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1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drawings/drawing2.xml" ContentType="application/vnd.openxmlformats-officedocument.drawing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lg_cehua\trunk\数值文档\数值设计\"/>
    </mc:Choice>
  </mc:AlternateContent>
  <xr:revisionPtr revIDLastSave="0" documentId="13_ncr:1_{747891A2-0D27-4614-8534-B6125A1B54E9}" xr6:coauthVersionLast="47" xr6:coauthVersionMax="47" xr10:uidLastSave="{00000000-0000-0000-0000-000000000000}"/>
  <bookViews>
    <workbookView xWindow="-120" yWindow="-120" windowWidth="29040" windowHeight="15840" tabRatio="864" activeTab="2" xr2:uid="{00000000-000D-0000-FFFF-FFFF00000000}"/>
  </bookViews>
  <sheets>
    <sheet name="节奏总纲" sheetId="18" r:id="rId1"/>
    <sheet name="其他调用" sheetId="91" r:id="rId2"/>
    <sheet name="基础状态预期" sheetId="68" r:id="rId3"/>
    <sheet name="备份" sheetId="88" r:id="rId4"/>
    <sheet name="武将升星" sheetId="69" r:id="rId5"/>
    <sheet name="武将升级" sheetId="70" r:id="rId6"/>
    <sheet name="第4特性" sheetId="95" r:id="rId7"/>
    <sheet name="武将羁绊" sheetId="87" r:id="rId8"/>
    <sheet name="三国武将羁绊" sheetId="94" r:id="rId9"/>
    <sheet name="武将上阵羁绊" sheetId="93" r:id="rId10"/>
    <sheet name="武将进阶" sheetId="72" r:id="rId11"/>
    <sheet name="武将觉醒" sheetId="71" r:id="rId12"/>
    <sheet name="武将天赋" sheetId="99" r:id="rId13"/>
    <sheet name="武将经验消耗" sheetId="76" r:id="rId14"/>
    <sheet name="银币消耗" sheetId="74" r:id="rId15"/>
    <sheet name="属性汇总" sheetId="75" r:id="rId16"/>
    <sheet name="武将升星（废弃）" sheetId="50" state="hidden" r:id="rId17"/>
    <sheet name="Sheet2" sheetId="48" state="hidden" r:id="rId18"/>
    <sheet name="武将觉醒(废弃）" sheetId="51" state="hidden" r:id="rId19"/>
    <sheet name="属性分配（废弃）" sheetId="47" state="hidden" r:id="rId20"/>
    <sheet name="武将数量星级阶位验证" sheetId="84" r:id="rId21"/>
    <sheet name="武将天赋进度验证" sheetId="100" r:id="rId22"/>
    <sheet name="抽奖相关（日韩版本）" sheetId="97" r:id="rId23"/>
    <sheet name="130和140抽将（越南）" sheetId="98" r:id="rId24"/>
    <sheet name="140武将价值" sheetId="96" r:id="rId25"/>
    <sheet name="祈愿验证" sheetId="92" r:id="rId26"/>
    <sheet name="武将战力价值情况" sheetId="89" r:id="rId27"/>
    <sheet name="各r阵容卡情况" sheetId="90" r:id="rId28"/>
  </sheets>
  <functionGroups builtInGroupCount="19"/>
  <externalReferences>
    <externalReference r:id="rId29"/>
    <externalReference r:id="rId30"/>
    <externalReference r:id="rId31"/>
    <externalReference r:id="rId32"/>
    <externalReference r:id="rId33"/>
    <externalReference r:id="rId34"/>
    <externalReference r:id="rId35"/>
  </externalReferences>
  <definedNames>
    <definedName name="aaa">(#REF!,#REF!)</definedName>
    <definedName name="时间节点">#REF!</definedName>
  </definedNames>
  <calcPr calcId="191029"/>
  <customWorkbookViews>
    <customWorkbookView name="admin - 个人视图" guid="{459B7961-6E0F-4AD2-B1C7-0898323A2E74}" mergeInterval="0" personalView="1" maximized="1" windowWidth="1920" windowHeight="804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8" i="84" l="1"/>
  <c r="AD9" i="84"/>
  <c r="AD10" i="84"/>
  <c r="AD11" i="84"/>
  <c r="AD12" i="84"/>
  <c r="AD13" i="84"/>
  <c r="AC20" i="84"/>
  <c r="AC21" i="84"/>
  <c r="AC22" i="84"/>
  <c r="AC23" i="84"/>
  <c r="AC24" i="84"/>
  <c r="AC25" i="84"/>
  <c r="AC26" i="84"/>
  <c r="AC27" i="84"/>
  <c r="AC28" i="84"/>
  <c r="AC29" i="84"/>
  <c r="AC30" i="84"/>
  <c r="AC31" i="84"/>
  <c r="AC32" i="84"/>
  <c r="AC33" i="84"/>
  <c r="AC34" i="84"/>
  <c r="AC35" i="84"/>
  <c r="AC36" i="84"/>
  <c r="AC37" i="84"/>
  <c r="AC38" i="84"/>
  <c r="AC39" i="84"/>
  <c r="AC40" i="84"/>
  <c r="AC41" i="84"/>
  <c r="AC42" i="84"/>
  <c r="AC43" i="84"/>
  <c r="AC44" i="84"/>
  <c r="AC45" i="84"/>
  <c r="BF3" i="84"/>
  <c r="B44" i="84"/>
  <c r="C44" i="84"/>
  <c r="D44" i="84"/>
  <c r="E44" i="84"/>
  <c r="E17" i="84"/>
  <c r="C16" i="84"/>
  <c r="B16" i="84"/>
  <c r="E13" i="84"/>
  <c r="C12" i="84"/>
  <c r="B12" i="84"/>
  <c r="C9" i="84"/>
  <c r="B9" i="84"/>
  <c r="AC200" i="84" l="1"/>
  <c r="AC201" i="84"/>
  <c r="AC202" i="84"/>
  <c r="AC203" i="84"/>
  <c r="AC204" i="84"/>
  <c r="AC205" i="84"/>
  <c r="AC206" i="84"/>
  <c r="AC207" i="84"/>
  <c r="AC208" i="84"/>
  <c r="AC209" i="84"/>
  <c r="AC210" i="84"/>
  <c r="AC211" i="84"/>
  <c r="AC212" i="84"/>
  <c r="AC213" i="84"/>
  <c r="AC214" i="84"/>
  <c r="AC215" i="84"/>
  <c r="AC216" i="84"/>
  <c r="AC217" i="84"/>
  <c r="AC218" i="84"/>
  <c r="AC219" i="84"/>
  <c r="AC220" i="84"/>
  <c r="AC221" i="84"/>
  <c r="AC222" i="84"/>
  <c r="AC223" i="84"/>
  <c r="AC224" i="84"/>
  <c r="AC225" i="84"/>
  <c r="CQ5" i="84" l="1"/>
  <c r="CQ6" i="84" s="1"/>
  <c r="CQ7" i="84" s="1"/>
  <c r="CQ8" i="84" s="1"/>
  <c r="CQ9" i="84" l="1"/>
  <c r="CQ10" i="84" l="1"/>
  <c r="P92" i="87"/>
  <c r="Q92" i="87"/>
  <c r="R92" i="87"/>
  <c r="S92" i="87"/>
  <c r="T92" i="87"/>
  <c r="U92" i="87"/>
  <c r="V92" i="87"/>
  <c r="W92" i="87"/>
  <c r="P93" i="87"/>
  <c r="Q93" i="87"/>
  <c r="R93" i="87"/>
  <c r="S93" i="87"/>
  <c r="T93" i="87"/>
  <c r="U93" i="87"/>
  <c r="V93" i="87"/>
  <c r="W93" i="87"/>
  <c r="P94" i="87"/>
  <c r="Q94" i="87"/>
  <c r="R94" i="87"/>
  <c r="V94" i="87" s="1"/>
  <c r="AD94" i="87" s="1"/>
  <c r="S94" i="87"/>
  <c r="T94" i="87"/>
  <c r="U94" i="87"/>
  <c r="P95" i="87"/>
  <c r="Q95" i="87"/>
  <c r="R95" i="87"/>
  <c r="V95" i="87" s="1"/>
  <c r="AD95" i="87" s="1"/>
  <c r="S95" i="87"/>
  <c r="T95" i="87"/>
  <c r="U95" i="87"/>
  <c r="P96" i="87"/>
  <c r="Q96" i="87"/>
  <c r="R96" i="87"/>
  <c r="V96" i="87" s="1"/>
  <c r="AD96" i="87" s="1"/>
  <c r="S96" i="87"/>
  <c r="T96" i="87"/>
  <c r="U96" i="87"/>
  <c r="W96" i="87"/>
  <c r="P97" i="87"/>
  <c r="Q97" i="87"/>
  <c r="R97" i="87"/>
  <c r="V97" i="87" s="1"/>
  <c r="AD97" i="87" s="1"/>
  <c r="S97" i="87"/>
  <c r="T97" i="87"/>
  <c r="U97" i="87"/>
  <c r="P98" i="87"/>
  <c r="Q98" i="87"/>
  <c r="R98" i="87"/>
  <c r="V98" i="87" s="1"/>
  <c r="AD98" i="87" s="1"/>
  <c r="S98" i="87"/>
  <c r="T98" i="87"/>
  <c r="U98" i="87"/>
  <c r="P99" i="87"/>
  <c r="Q99" i="87"/>
  <c r="R99" i="87"/>
  <c r="W99" i="87" s="1"/>
  <c r="S99" i="87"/>
  <c r="T99" i="87"/>
  <c r="U99" i="87"/>
  <c r="V99" i="87"/>
  <c r="P100" i="87"/>
  <c r="Q100" i="87"/>
  <c r="R100" i="87"/>
  <c r="V100" i="87" s="1"/>
  <c r="AD100" i="87" s="1"/>
  <c r="S100" i="87"/>
  <c r="T100" i="87"/>
  <c r="U100" i="87"/>
  <c r="P101" i="87"/>
  <c r="Q101" i="87"/>
  <c r="R101" i="87"/>
  <c r="V101" i="87" s="1"/>
  <c r="AD101" i="87" s="1"/>
  <c r="S101" i="87"/>
  <c r="T101" i="87"/>
  <c r="U101" i="87"/>
  <c r="W101" i="87"/>
  <c r="P102" i="87"/>
  <c r="Q102" i="87"/>
  <c r="R102" i="87"/>
  <c r="V102" i="87" s="1"/>
  <c r="AD102" i="87" s="1"/>
  <c r="S102" i="87"/>
  <c r="T102" i="87"/>
  <c r="U102" i="87"/>
  <c r="P103" i="87"/>
  <c r="Q103" i="87"/>
  <c r="R103" i="87"/>
  <c r="S103" i="87"/>
  <c r="T103" i="87"/>
  <c r="U103" i="87"/>
  <c r="V103" i="87"/>
  <c r="W103" i="87"/>
  <c r="P104" i="87"/>
  <c r="Q104" i="87"/>
  <c r="R104" i="87"/>
  <c r="S104" i="87"/>
  <c r="T104" i="87"/>
  <c r="U104" i="87"/>
  <c r="V104" i="87"/>
  <c r="W104" i="87"/>
  <c r="P105" i="87"/>
  <c r="Q105" i="87"/>
  <c r="R105" i="87"/>
  <c r="W105" i="87" s="1"/>
  <c r="S105" i="87"/>
  <c r="T105" i="87"/>
  <c r="U105" i="87"/>
  <c r="V105" i="87"/>
  <c r="AA43" i="99"/>
  <c r="AA46" i="99"/>
  <c r="AA49" i="99"/>
  <c r="CQ11" i="84" l="1"/>
  <c r="W95" i="87"/>
  <c r="AE95" i="87" s="1"/>
  <c r="W100" i="87"/>
  <c r="AE100" i="87" s="1"/>
  <c r="AC105" i="87"/>
  <c r="AD105" i="87"/>
  <c r="AC92" i="87"/>
  <c r="AC96" i="87"/>
  <c r="AA105" i="87"/>
  <c r="W94" i="87"/>
  <c r="AE94" i="87" s="1"/>
  <c r="W102" i="87"/>
  <c r="AE102" i="87" s="1"/>
  <c r="W98" i="87"/>
  <c r="AE98" i="87" s="1"/>
  <c r="AB105" i="87"/>
  <c r="X99" i="87"/>
  <c r="AF99" i="87" s="1"/>
  <c r="AC101" i="87"/>
  <c r="AB101" i="87"/>
  <c r="AB103" i="87"/>
  <c r="AE101" i="87"/>
  <c r="AC98" i="87"/>
  <c r="AE103" i="87"/>
  <c r="AD103" i="87"/>
  <c r="AB100" i="87"/>
  <c r="AC94" i="87"/>
  <c r="AB104" i="87"/>
  <c r="AA104" i="87"/>
  <c r="AC103" i="87"/>
  <c r="AB102" i="87"/>
  <c r="AA102" i="87"/>
  <c r="AA100" i="87"/>
  <c r="AE99" i="87"/>
  <c r="AB98" i="87"/>
  <c r="W97" i="87"/>
  <c r="AE97" i="87" s="1"/>
  <c r="AB96" i="87"/>
  <c r="AB94" i="87"/>
  <c r="AE93" i="87"/>
  <c r="AB92" i="87"/>
  <c r="AD99" i="87"/>
  <c r="AA98" i="87"/>
  <c r="AA96" i="87"/>
  <c r="AA94" i="87"/>
  <c r="AD93" i="87"/>
  <c r="AA92" i="87"/>
  <c r="AC99" i="87"/>
  <c r="AC97" i="87"/>
  <c r="AC95" i="87"/>
  <c r="AC93" i="87"/>
  <c r="X104" i="87"/>
  <c r="AF104" i="87" s="1"/>
  <c r="AE104" i="87"/>
  <c r="AD104" i="87"/>
  <c r="AA103" i="87"/>
  <c r="AA101" i="87"/>
  <c r="AB99" i="87"/>
  <c r="AB97" i="87"/>
  <c r="AE96" i="87"/>
  <c r="AB95" i="87"/>
  <c r="X93" i="87"/>
  <c r="AF93" i="87" s="1"/>
  <c r="AB93" i="87"/>
  <c r="AE92" i="87"/>
  <c r="AE105" i="87"/>
  <c r="AC104" i="87"/>
  <c r="AC102" i="87"/>
  <c r="AC100" i="87"/>
  <c r="AA99" i="87"/>
  <c r="AA97" i="87"/>
  <c r="AA95" i="87"/>
  <c r="AA93" i="87"/>
  <c r="AD92" i="87"/>
  <c r="X92" i="87"/>
  <c r="AF92" i="87" s="1"/>
  <c r="X103" i="87"/>
  <c r="AF103" i="87" s="1"/>
  <c r="BC5" i="99"/>
  <c r="CQ12" i="84" l="1"/>
  <c r="W55" i="99"/>
  <c r="W56" i="99"/>
  <c r="W57" i="99"/>
  <c r="W58" i="99"/>
  <c r="W59" i="99"/>
  <c r="W60" i="99"/>
  <c r="W54" i="99"/>
  <c r="AA48" i="99"/>
  <c r="W44" i="99"/>
  <c r="X44" i="99"/>
  <c r="Y44" i="99"/>
  <c r="Z44" i="99"/>
  <c r="V44" i="99"/>
  <c r="CQ13" i="84" l="1"/>
  <c r="AA47" i="99"/>
  <c r="AA45" i="99"/>
  <c r="AA44" i="99"/>
  <c r="Z36" i="99"/>
  <c r="Y36" i="99"/>
  <c r="X36" i="99"/>
  <c r="W36" i="99"/>
  <c r="V36" i="99"/>
  <c r="Z35" i="99"/>
  <c r="Y35" i="99"/>
  <c r="X35" i="99"/>
  <c r="W35" i="99"/>
  <c r="V35" i="99"/>
  <c r="V33" i="99"/>
  <c r="W33" i="99"/>
  <c r="X33" i="99"/>
  <c r="Y33" i="99"/>
  <c r="Z33" i="99"/>
  <c r="W32" i="99"/>
  <c r="X32" i="99"/>
  <c r="Y32" i="99"/>
  <c r="Z32" i="99"/>
  <c r="V32" i="99"/>
  <c r="CQ14" i="84" l="1"/>
  <c r="G117" i="90"/>
  <c r="H117" i="90"/>
  <c r="I117" i="90"/>
  <c r="J117" i="90"/>
  <c r="G118" i="90"/>
  <c r="H118" i="90"/>
  <c r="I118" i="90"/>
  <c r="J118" i="90"/>
  <c r="G119" i="90"/>
  <c r="H119" i="90"/>
  <c r="I119" i="90"/>
  <c r="J119" i="90"/>
  <c r="G120" i="90"/>
  <c r="H120" i="90"/>
  <c r="I120" i="90"/>
  <c r="J120" i="90"/>
  <c r="G121" i="90"/>
  <c r="H121" i="90"/>
  <c r="I121" i="90"/>
  <c r="J121" i="90"/>
  <c r="G122" i="90"/>
  <c r="H122" i="90"/>
  <c r="I122" i="90"/>
  <c r="J122" i="90"/>
  <c r="G123" i="90"/>
  <c r="H123" i="90"/>
  <c r="I123" i="90"/>
  <c r="J123" i="90"/>
  <c r="G124" i="90"/>
  <c r="H124" i="90"/>
  <c r="I124" i="90"/>
  <c r="J124" i="90"/>
  <c r="G125" i="90"/>
  <c r="H125" i="90"/>
  <c r="I125" i="90"/>
  <c r="J125" i="90"/>
  <c r="G126" i="90"/>
  <c r="H126" i="90"/>
  <c r="I126" i="90"/>
  <c r="J126" i="90"/>
  <c r="G127" i="90"/>
  <c r="H127" i="90"/>
  <c r="I127" i="90"/>
  <c r="J127" i="90"/>
  <c r="G128" i="90"/>
  <c r="H128" i="90"/>
  <c r="I128" i="90"/>
  <c r="J128" i="90"/>
  <c r="G129" i="90"/>
  <c r="H129" i="90"/>
  <c r="I129" i="90"/>
  <c r="J129" i="90"/>
  <c r="G130" i="90"/>
  <c r="H130" i="90"/>
  <c r="I130" i="90"/>
  <c r="J130" i="90"/>
  <c r="G131" i="90"/>
  <c r="H131" i="90"/>
  <c r="I131" i="90"/>
  <c r="J131" i="90"/>
  <c r="G132" i="90"/>
  <c r="H132" i="90"/>
  <c r="I132" i="90"/>
  <c r="J132" i="90"/>
  <c r="G133" i="90"/>
  <c r="H133" i="90"/>
  <c r="I133" i="90"/>
  <c r="J133" i="90"/>
  <c r="G134" i="90"/>
  <c r="H134" i="90"/>
  <c r="I134" i="90"/>
  <c r="J134" i="90"/>
  <c r="G135" i="90"/>
  <c r="H135" i="90"/>
  <c r="I135" i="90"/>
  <c r="J135" i="90"/>
  <c r="G136" i="90"/>
  <c r="H136" i="90"/>
  <c r="I136" i="90"/>
  <c r="J136" i="90"/>
  <c r="G137" i="90"/>
  <c r="H137" i="90"/>
  <c r="I137" i="90"/>
  <c r="J137" i="90"/>
  <c r="G138" i="90"/>
  <c r="H138" i="90"/>
  <c r="I138" i="90"/>
  <c r="J138" i="90"/>
  <c r="G139" i="90"/>
  <c r="H139" i="90"/>
  <c r="I139" i="90"/>
  <c r="J139" i="90"/>
  <c r="G162" i="90"/>
  <c r="C162" i="90" s="1"/>
  <c r="H162" i="90"/>
  <c r="I162" i="90"/>
  <c r="J162" i="90"/>
  <c r="G163" i="90"/>
  <c r="C163" i="90" s="1"/>
  <c r="H163" i="90"/>
  <c r="I163" i="90"/>
  <c r="J163" i="90"/>
  <c r="G164" i="90"/>
  <c r="C164" i="90" s="1"/>
  <c r="H164" i="90"/>
  <c r="I164" i="90"/>
  <c r="J164" i="90"/>
  <c r="G165" i="90"/>
  <c r="C165" i="90" s="1"/>
  <c r="H165" i="90"/>
  <c r="I165" i="90"/>
  <c r="J165" i="90"/>
  <c r="G166" i="90"/>
  <c r="C166" i="90" s="1"/>
  <c r="H166" i="90"/>
  <c r="I166" i="90"/>
  <c r="J166" i="90"/>
  <c r="G167" i="90"/>
  <c r="H167" i="90"/>
  <c r="I167" i="90"/>
  <c r="J167" i="90"/>
  <c r="G168" i="90"/>
  <c r="H168" i="90"/>
  <c r="I168" i="90"/>
  <c r="J168" i="90"/>
  <c r="G169" i="90"/>
  <c r="C169" i="90" s="1"/>
  <c r="H169" i="90"/>
  <c r="I169" i="90"/>
  <c r="J169" i="90"/>
  <c r="G170" i="90"/>
  <c r="H170" i="90"/>
  <c r="I170" i="90"/>
  <c r="J170" i="90"/>
  <c r="G171" i="90"/>
  <c r="C171" i="90" s="1"/>
  <c r="H171" i="90"/>
  <c r="I171" i="90"/>
  <c r="J171" i="90"/>
  <c r="G172" i="90"/>
  <c r="H172" i="90"/>
  <c r="I172" i="90"/>
  <c r="J172" i="90"/>
  <c r="G173" i="90"/>
  <c r="C173" i="90" s="1"/>
  <c r="H173" i="90"/>
  <c r="I173" i="90"/>
  <c r="J173" i="90"/>
  <c r="G174" i="90"/>
  <c r="C174" i="90" s="1"/>
  <c r="H174" i="90"/>
  <c r="I174" i="90"/>
  <c r="J174" i="90"/>
  <c r="G175" i="90"/>
  <c r="H175" i="90"/>
  <c r="I175" i="90"/>
  <c r="J175" i="90"/>
  <c r="G176" i="90"/>
  <c r="H176" i="90"/>
  <c r="I176" i="90"/>
  <c r="J176" i="90"/>
  <c r="G177" i="90"/>
  <c r="C177" i="90" s="1"/>
  <c r="H177" i="90"/>
  <c r="I177" i="90"/>
  <c r="J177" i="90"/>
  <c r="G178" i="90"/>
  <c r="H178" i="90"/>
  <c r="I178" i="90"/>
  <c r="J178" i="90"/>
  <c r="G179" i="90"/>
  <c r="C179" i="90" s="1"/>
  <c r="H179" i="90"/>
  <c r="I179" i="90"/>
  <c r="J179" i="90"/>
  <c r="G180" i="90"/>
  <c r="H180" i="90"/>
  <c r="I180" i="90"/>
  <c r="J180" i="90"/>
  <c r="G181" i="90"/>
  <c r="C181" i="90" s="1"/>
  <c r="H181" i="90"/>
  <c r="I181" i="90"/>
  <c r="J181" i="90"/>
  <c r="G182" i="90"/>
  <c r="C182" i="90" s="1"/>
  <c r="H182" i="90"/>
  <c r="I182" i="90"/>
  <c r="J182" i="90"/>
  <c r="G183" i="90"/>
  <c r="H183" i="90"/>
  <c r="I183" i="90"/>
  <c r="J183" i="90"/>
  <c r="G184" i="90"/>
  <c r="H184" i="90"/>
  <c r="I184" i="90"/>
  <c r="J184" i="90"/>
  <c r="G72" i="90"/>
  <c r="H72" i="90"/>
  <c r="I72" i="90"/>
  <c r="J72" i="90"/>
  <c r="G73" i="90"/>
  <c r="H73" i="90"/>
  <c r="I73" i="90"/>
  <c r="J73" i="90"/>
  <c r="G74" i="90"/>
  <c r="H74" i="90"/>
  <c r="I74" i="90"/>
  <c r="J74" i="90"/>
  <c r="G75" i="90"/>
  <c r="H75" i="90"/>
  <c r="I75" i="90"/>
  <c r="J75" i="90"/>
  <c r="G76" i="90"/>
  <c r="H76" i="90"/>
  <c r="I76" i="90"/>
  <c r="J76" i="90"/>
  <c r="G77" i="90"/>
  <c r="H77" i="90"/>
  <c r="I77" i="90"/>
  <c r="J77" i="90"/>
  <c r="G78" i="90"/>
  <c r="H78" i="90"/>
  <c r="I78" i="90"/>
  <c r="J78" i="90"/>
  <c r="G79" i="90"/>
  <c r="H79" i="90"/>
  <c r="I79" i="90"/>
  <c r="J79" i="90"/>
  <c r="G80" i="90"/>
  <c r="H80" i="90"/>
  <c r="I80" i="90"/>
  <c r="J80" i="90"/>
  <c r="G81" i="90"/>
  <c r="H81" i="90"/>
  <c r="I81" i="90"/>
  <c r="J81" i="90"/>
  <c r="G82" i="90"/>
  <c r="H82" i="90"/>
  <c r="I82" i="90"/>
  <c r="J82" i="90"/>
  <c r="G83" i="90"/>
  <c r="H83" i="90"/>
  <c r="I83" i="90"/>
  <c r="J83" i="90"/>
  <c r="G84" i="90"/>
  <c r="H84" i="90"/>
  <c r="I84" i="90"/>
  <c r="J84" i="90"/>
  <c r="G85" i="90"/>
  <c r="H85" i="90"/>
  <c r="I85" i="90"/>
  <c r="J85" i="90"/>
  <c r="G86" i="90"/>
  <c r="H86" i="90"/>
  <c r="I86" i="90"/>
  <c r="J86" i="90"/>
  <c r="G87" i="90"/>
  <c r="H87" i="90"/>
  <c r="I87" i="90"/>
  <c r="J87" i="90"/>
  <c r="G88" i="90"/>
  <c r="H88" i="90"/>
  <c r="I88" i="90"/>
  <c r="J88" i="90"/>
  <c r="G89" i="90"/>
  <c r="H89" i="90"/>
  <c r="I89" i="90"/>
  <c r="J89" i="90"/>
  <c r="G90" i="90"/>
  <c r="H90" i="90"/>
  <c r="I90" i="90"/>
  <c r="J90" i="90"/>
  <c r="G91" i="90"/>
  <c r="H91" i="90"/>
  <c r="I91" i="90"/>
  <c r="J91" i="90"/>
  <c r="G92" i="90"/>
  <c r="H92" i="90"/>
  <c r="I92" i="90"/>
  <c r="J92" i="90"/>
  <c r="G93" i="90"/>
  <c r="H93" i="90"/>
  <c r="I93" i="90"/>
  <c r="J93" i="90"/>
  <c r="G94" i="90"/>
  <c r="H94" i="90"/>
  <c r="I94" i="90"/>
  <c r="J94" i="90"/>
  <c r="G27" i="90"/>
  <c r="H27" i="90"/>
  <c r="I27" i="90"/>
  <c r="J27" i="90"/>
  <c r="G28" i="90"/>
  <c r="H28" i="90"/>
  <c r="I28" i="90"/>
  <c r="J28" i="90"/>
  <c r="G29" i="90"/>
  <c r="H29" i="90"/>
  <c r="I29" i="90"/>
  <c r="J29" i="90"/>
  <c r="G30" i="90"/>
  <c r="H30" i="90"/>
  <c r="I30" i="90"/>
  <c r="J30" i="90"/>
  <c r="G31" i="90"/>
  <c r="H31" i="90"/>
  <c r="I31" i="90"/>
  <c r="J31" i="90"/>
  <c r="G32" i="90"/>
  <c r="H32" i="90"/>
  <c r="I32" i="90"/>
  <c r="J32" i="90"/>
  <c r="G33" i="90"/>
  <c r="H33" i="90"/>
  <c r="I33" i="90"/>
  <c r="J33" i="90"/>
  <c r="G34" i="90"/>
  <c r="H34" i="90"/>
  <c r="I34" i="90"/>
  <c r="J34" i="90"/>
  <c r="G35" i="90"/>
  <c r="H35" i="90"/>
  <c r="I35" i="90"/>
  <c r="J35" i="90"/>
  <c r="G36" i="90"/>
  <c r="H36" i="90"/>
  <c r="I36" i="90"/>
  <c r="J36" i="90"/>
  <c r="G37" i="90"/>
  <c r="H37" i="90"/>
  <c r="I37" i="90"/>
  <c r="J37" i="90"/>
  <c r="G38" i="90"/>
  <c r="H38" i="90"/>
  <c r="I38" i="90"/>
  <c r="J38" i="90"/>
  <c r="G39" i="90"/>
  <c r="H39" i="90"/>
  <c r="I39" i="90"/>
  <c r="J39" i="90"/>
  <c r="G40" i="90"/>
  <c r="H40" i="90"/>
  <c r="I40" i="90"/>
  <c r="J40" i="90"/>
  <c r="G41" i="90"/>
  <c r="H41" i="90"/>
  <c r="I41" i="90"/>
  <c r="J41" i="90"/>
  <c r="G42" i="90"/>
  <c r="H42" i="90"/>
  <c r="I42" i="90"/>
  <c r="J42" i="90"/>
  <c r="G43" i="90"/>
  <c r="H43" i="90"/>
  <c r="I43" i="90"/>
  <c r="J43" i="90"/>
  <c r="G44" i="90"/>
  <c r="H44" i="90"/>
  <c r="I44" i="90"/>
  <c r="J44" i="90"/>
  <c r="G45" i="90"/>
  <c r="H45" i="90"/>
  <c r="I45" i="90"/>
  <c r="J45" i="90"/>
  <c r="G46" i="90"/>
  <c r="H46" i="90"/>
  <c r="I46" i="90"/>
  <c r="J46" i="90"/>
  <c r="G47" i="90"/>
  <c r="H47" i="90"/>
  <c r="I47" i="90"/>
  <c r="J47" i="90"/>
  <c r="G48" i="90"/>
  <c r="H48" i="90"/>
  <c r="I48" i="90"/>
  <c r="J48" i="90"/>
  <c r="G49" i="90"/>
  <c r="H49" i="90"/>
  <c r="I49" i="90"/>
  <c r="J49" i="90"/>
  <c r="BH162" i="90"/>
  <c r="BH163" i="90"/>
  <c r="BH164" i="90"/>
  <c r="BH165" i="90"/>
  <c r="BH166" i="90"/>
  <c r="BH167" i="90"/>
  <c r="BH168" i="90"/>
  <c r="BH169" i="90"/>
  <c r="BH170" i="90"/>
  <c r="BH171" i="90"/>
  <c r="BH172" i="90"/>
  <c r="BH173" i="90"/>
  <c r="BH174" i="90"/>
  <c r="BH175" i="90"/>
  <c r="BH176" i="90"/>
  <c r="BH177" i="90"/>
  <c r="BH178" i="90"/>
  <c r="BH179" i="90"/>
  <c r="BH180" i="90"/>
  <c r="BH181" i="90"/>
  <c r="BH182" i="90"/>
  <c r="BH183" i="90"/>
  <c r="BH184" i="90"/>
  <c r="BJ162" i="90"/>
  <c r="BN162" i="90" s="1"/>
  <c r="BK162" i="90"/>
  <c r="BL162" i="90"/>
  <c r="BM162" i="90"/>
  <c r="BJ163" i="90"/>
  <c r="BK163" i="90"/>
  <c r="BL163" i="90"/>
  <c r="BM163" i="90"/>
  <c r="BJ164" i="90"/>
  <c r="BK164" i="90"/>
  <c r="BL164" i="90"/>
  <c r="BM164" i="90"/>
  <c r="BN164" i="90" s="1"/>
  <c r="BJ165" i="90"/>
  <c r="BK165" i="90"/>
  <c r="BL165" i="90"/>
  <c r="BM165" i="90"/>
  <c r="BJ166" i="90"/>
  <c r="BK166" i="90"/>
  <c r="BL166" i="90"/>
  <c r="BM166" i="90"/>
  <c r="BJ167" i="90"/>
  <c r="BK167" i="90"/>
  <c r="BL167" i="90"/>
  <c r="BM167" i="90"/>
  <c r="BJ168" i="90"/>
  <c r="BK168" i="90"/>
  <c r="BL168" i="90"/>
  <c r="BM168" i="90"/>
  <c r="BJ169" i="90"/>
  <c r="BK169" i="90"/>
  <c r="BL169" i="90"/>
  <c r="BM169" i="90"/>
  <c r="BJ170" i="90"/>
  <c r="BK170" i="90"/>
  <c r="BL170" i="90"/>
  <c r="BM170" i="90"/>
  <c r="BJ171" i="90"/>
  <c r="BK171" i="90"/>
  <c r="BL171" i="90"/>
  <c r="BM171" i="90"/>
  <c r="BJ172" i="90"/>
  <c r="BK172" i="90"/>
  <c r="BL172" i="90"/>
  <c r="BM172" i="90"/>
  <c r="BJ173" i="90"/>
  <c r="BK173" i="90"/>
  <c r="BL173" i="90"/>
  <c r="BM173" i="90"/>
  <c r="BJ174" i="90"/>
  <c r="BK174" i="90"/>
  <c r="BL174" i="90"/>
  <c r="BM174" i="90"/>
  <c r="BJ175" i="90"/>
  <c r="BK175" i="90"/>
  <c r="BL175" i="90"/>
  <c r="BM175" i="90"/>
  <c r="BJ176" i="90"/>
  <c r="BK176" i="90"/>
  <c r="BL176" i="90"/>
  <c r="BM176" i="90"/>
  <c r="BJ177" i="90"/>
  <c r="BK177" i="90"/>
  <c r="BL177" i="90"/>
  <c r="BM177" i="90"/>
  <c r="BJ178" i="90"/>
  <c r="BK178" i="90"/>
  <c r="BL178" i="90"/>
  <c r="BM178" i="90"/>
  <c r="BJ179" i="90"/>
  <c r="BK179" i="90"/>
  <c r="BL179" i="90"/>
  <c r="BM179" i="90"/>
  <c r="BJ180" i="90"/>
  <c r="BK180" i="90"/>
  <c r="BL180" i="90"/>
  <c r="BM180" i="90"/>
  <c r="BN180" i="90" s="1"/>
  <c r="BJ181" i="90"/>
  <c r="BK181" i="90"/>
  <c r="BL181" i="90"/>
  <c r="BM181" i="90"/>
  <c r="BJ182" i="90"/>
  <c r="BK182" i="90"/>
  <c r="BL182" i="90"/>
  <c r="BM182" i="90"/>
  <c r="BJ183" i="90"/>
  <c r="BK183" i="90"/>
  <c r="BL183" i="90"/>
  <c r="BM183" i="90"/>
  <c r="BJ184" i="90"/>
  <c r="BK184" i="90"/>
  <c r="BL184" i="90"/>
  <c r="BM184" i="90"/>
  <c r="BJ117" i="90"/>
  <c r="BK117" i="90"/>
  <c r="BL117" i="90"/>
  <c r="BM117" i="90"/>
  <c r="BJ118" i="90"/>
  <c r="BK118" i="90"/>
  <c r="BL118" i="90"/>
  <c r="BM118" i="90"/>
  <c r="BJ119" i="90"/>
  <c r="BK119" i="90"/>
  <c r="BL119" i="90"/>
  <c r="BM119" i="90"/>
  <c r="BJ120" i="90"/>
  <c r="BK120" i="90"/>
  <c r="BL120" i="90"/>
  <c r="BM120" i="90"/>
  <c r="BJ121" i="90"/>
  <c r="BK121" i="90"/>
  <c r="BL121" i="90"/>
  <c r="BM121" i="90"/>
  <c r="BJ122" i="90"/>
  <c r="BN122" i="90" s="1"/>
  <c r="BK122" i="90"/>
  <c r="BL122" i="90"/>
  <c r="BM122" i="90"/>
  <c r="BJ123" i="90"/>
  <c r="BK123" i="90"/>
  <c r="BL123" i="90"/>
  <c r="BM123" i="90"/>
  <c r="BJ124" i="90"/>
  <c r="BK124" i="90"/>
  <c r="BL124" i="90"/>
  <c r="BM124" i="90"/>
  <c r="BN124" i="90"/>
  <c r="BJ125" i="90"/>
  <c r="BK125" i="90"/>
  <c r="BL125" i="90"/>
  <c r="BM125" i="90"/>
  <c r="BJ126" i="90"/>
  <c r="BK126" i="90"/>
  <c r="BN126" i="90" s="1"/>
  <c r="BL126" i="90"/>
  <c r="BM126" i="90"/>
  <c r="BJ127" i="90"/>
  <c r="BK127" i="90"/>
  <c r="BL127" i="90"/>
  <c r="BM127" i="90"/>
  <c r="BJ128" i="90"/>
  <c r="BK128" i="90"/>
  <c r="BL128" i="90"/>
  <c r="BM128" i="90"/>
  <c r="BJ129" i="90"/>
  <c r="BN129" i="90" s="1"/>
  <c r="BK129" i="90"/>
  <c r="BL129" i="90"/>
  <c r="BM129" i="90"/>
  <c r="BJ130" i="90"/>
  <c r="BK130" i="90"/>
  <c r="BL130" i="90"/>
  <c r="BM130" i="90"/>
  <c r="BJ131" i="90"/>
  <c r="BK131" i="90"/>
  <c r="BL131" i="90"/>
  <c r="BM131" i="90"/>
  <c r="BJ132" i="90"/>
  <c r="BN132" i="90" s="1"/>
  <c r="BK132" i="90"/>
  <c r="BL132" i="90"/>
  <c r="BM132" i="90"/>
  <c r="BJ133" i="90"/>
  <c r="BK133" i="90"/>
  <c r="BL133" i="90"/>
  <c r="BM133" i="90"/>
  <c r="BJ134" i="90"/>
  <c r="BK134" i="90"/>
  <c r="BL134" i="90"/>
  <c r="BM134" i="90"/>
  <c r="BJ135" i="90"/>
  <c r="BK135" i="90"/>
  <c r="BN135" i="90" s="1"/>
  <c r="BL135" i="90"/>
  <c r="BM135" i="90"/>
  <c r="BJ136" i="90"/>
  <c r="BN136" i="90" s="1"/>
  <c r="BK136" i="90"/>
  <c r="BL136" i="90"/>
  <c r="BM136" i="90"/>
  <c r="BJ137" i="90"/>
  <c r="BK137" i="90"/>
  <c r="BL137" i="90"/>
  <c r="BM137" i="90"/>
  <c r="BJ138" i="90"/>
  <c r="BK138" i="90"/>
  <c r="BL138" i="90"/>
  <c r="BM138" i="90"/>
  <c r="BJ139" i="90"/>
  <c r="BN139" i="90" s="1"/>
  <c r="BK139" i="90"/>
  <c r="BL139" i="90"/>
  <c r="BM139" i="90"/>
  <c r="BH117" i="90"/>
  <c r="BH118" i="90"/>
  <c r="BH119" i="90"/>
  <c r="BH120" i="90"/>
  <c r="BH121" i="90"/>
  <c r="BH122" i="90"/>
  <c r="BH123" i="90"/>
  <c r="BH124" i="90"/>
  <c r="BH125" i="90"/>
  <c r="BH126" i="90"/>
  <c r="BH127" i="90"/>
  <c r="BH128" i="90"/>
  <c r="BH129" i="90"/>
  <c r="BH130" i="90"/>
  <c r="BH131" i="90"/>
  <c r="BH132" i="90"/>
  <c r="BH133" i="90"/>
  <c r="BH134" i="90"/>
  <c r="BH135" i="90"/>
  <c r="BH136" i="90"/>
  <c r="BH137" i="90"/>
  <c r="BH138" i="90"/>
  <c r="BH139" i="90"/>
  <c r="BJ72" i="90"/>
  <c r="BK72" i="90"/>
  <c r="BL72" i="90"/>
  <c r="BJ73" i="90"/>
  <c r="BK73" i="90"/>
  <c r="BL73" i="90"/>
  <c r="BM73" i="90"/>
  <c r="BJ74" i="90"/>
  <c r="BK74" i="90"/>
  <c r="BL74" i="90"/>
  <c r="BJ75" i="90"/>
  <c r="BK75" i="90"/>
  <c r="BL75" i="90"/>
  <c r="BM75" i="90"/>
  <c r="BJ76" i="90"/>
  <c r="BK76" i="90"/>
  <c r="BL76" i="90"/>
  <c r="BM76" i="90"/>
  <c r="BJ77" i="90"/>
  <c r="BK77" i="90"/>
  <c r="BL77" i="90"/>
  <c r="BJ78" i="90"/>
  <c r="BK78" i="90"/>
  <c r="BL78" i="90"/>
  <c r="BM78" i="90"/>
  <c r="BJ79" i="90"/>
  <c r="BK79" i="90"/>
  <c r="BL79" i="90"/>
  <c r="BJ80" i="90"/>
  <c r="BK80" i="90"/>
  <c r="BL80" i="90"/>
  <c r="BJ81" i="90"/>
  <c r="BK81" i="90"/>
  <c r="BL81" i="90"/>
  <c r="BJ82" i="90"/>
  <c r="BK82" i="90"/>
  <c r="BL82" i="90"/>
  <c r="BJ83" i="90"/>
  <c r="BK83" i="90"/>
  <c r="BL83" i="90"/>
  <c r="BJ84" i="90"/>
  <c r="BK84" i="90"/>
  <c r="BL84" i="90"/>
  <c r="BJ85" i="90"/>
  <c r="BK85" i="90"/>
  <c r="BL85" i="90"/>
  <c r="BJ86" i="90"/>
  <c r="BK86" i="90"/>
  <c r="BL86" i="90"/>
  <c r="BJ87" i="90"/>
  <c r="BK87" i="90"/>
  <c r="BL87" i="90"/>
  <c r="BJ88" i="90"/>
  <c r="BK88" i="90"/>
  <c r="BL88" i="90"/>
  <c r="BM88" i="90"/>
  <c r="BJ89" i="90"/>
  <c r="BK89" i="90"/>
  <c r="BL89" i="90"/>
  <c r="BM89" i="90"/>
  <c r="BJ90" i="90"/>
  <c r="BK90" i="90"/>
  <c r="BL90" i="90"/>
  <c r="BJ91" i="90"/>
  <c r="BK91" i="90"/>
  <c r="BL91" i="90"/>
  <c r="BM91" i="90"/>
  <c r="BJ92" i="90"/>
  <c r="BK92" i="90"/>
  <c r="BL92" i="90"/>
  <c r="BM92" i="90"/>
  <c r="BJ93" i="90"/>
  <c r="BK93" i="90"/>
  <c r="BL93" i="90"/>
  <c r="BJ94" i="90"/>
  <c r="BK94" i="90"/>
  <c r="BL94" i="90"/>
  <c r="BM94" i="90"/>
  <c r="BH72" i="90"/>
  <c r="BH73" i="90"/>
  <c r="BH74" i="90"/>
  <c r="BH75" i="90"/>
  <c r="BH76" i="90"/>
  <c r="BH77" i="90"/>
  <c r="BH78" i="90"/>
  <c r="BH79" i="90"/>
  <c r="BH80" i="90"/>
  <c r="BH81" i="90"/>
  <c r="BH82" i="90"/>
  <c r="BH83" i="90"/>
  <c r="BH84" i="90"/>
  <c r="BH85" i="90"/>
  <c r="BH86" i="90"/>
  <c r="BH87" i="90"/>
  <c r="BH88" i="90"/>
  <c r="BH89" i="90"/>
  <c r="BH90" i="90"/>
  <c r="BH91" i="90"/>
  <c r="BH92" i="90"/>
  <c r="BH93" i="90"/>
  <c r="BH94" i="90"/>
  <c r="BB162" i="90"/>
  <c r="BB163" i="90"/>
  <c r="BB164" i="90"/>
  <c r="BB165" i="90"/>
  <c r="BB166" i="90"/>
  <c r="BB167" i="90"/>
  <c r="BB168" i="90"/>
  <c r="BB169" i="90"/>
  <c r="BB170" i="90"/>
  <c r="BB171" i="90"/>
  <c r="BB172" i="90"/>
  <c r="BB173" i="90"/>
  <c r="BB174" i="90"/>
  <c r="BB175" i="90"/>
  <c r="BB176" i="90"/>
  <c r="BB177" i="90"/>
  <c r="BB178" i="90"/>
  <c r="BB179" i="90"/>
  <c r="BB180" i="90"/>
  <c r="BB181" i="90"/>
  <c r="BB182" i="90"/>
  <c r="BB183" i="90"/>
  <c r="BB184" i="90"/>
  <c r="BB117" i="90"/>
  <c r="BB118" i="90"/>
  <c r="BB119" i="90"/>
  <c r="BB120" i="90"/>
  <c r="BB121" i="90"/>
  <c r="BB122" i="90"/>
  <c r="BB123" i="90"/>
  <c r="BB124" i="90"/>
  <c r="BB125" i="90"/>
  <c r="BB126" i="90"/>
  <c r="BB127" i="90"/>
  <c r="BB128" i="90"/>
  <c r="BB129" i="90"/>
  <c r="BB130" i="90"/>
  <c r="BB131" i="90"/>
  <c r="BB132" i="90"/>
  <c r="BB133" i="90"/>
  <c r="BB134" i="90"/>
  <c r="BB135" i="90"/>
  <c r="BB136" i="90"/>
  <c r="BB137" i="90"/>
  <c r="BB138" i="90"/>
  <c r="BB139" i="90"/>
  <c r="BA94" i="90"/>
  <c r="BB94" i="90" s="1"/>
  <c r="BA72" i="90"/>
  <c r="BB72" i="90" s="1"/>
  <c r="BA73" i="90"/>
  <c r="BB73" i="90"/>
  <c r="BA74" i="90"/>
  <c r="BB74" i="90" s="1"/>
  <c r="BA75" i="90"/>
  <c r="BB75" i="90" s="1"/>
  <c r="BA76" i="90"/>
  <c r="BB76" i="90"/>
  <c r="BA77" i="90"/>
  <c r="BM77" i="90" s="1"/>
  <c r="BA78" i="90"/>
  <c r="BB78" i="90" s="1"/>
  <c r="BA79" i="90"/>
  <c r="BB79" i="90" s="1"/>
  <c r="BA80" i="90"/>
  <c r="BM80" i="90" s="1"/>
  <c r="BB80" i="90"/>
  <c r="BA81" i="90"/>
  <c r="BM81" i="90" s="1"/>
  <c r="BA82" i="90"/>
  <c r="BB82" i="90" s="1"/>
  <c r="BA83" i="90"/>
  <c r="BB83" i="90" s="1"/>
  <c r="BA84" i="90"/>
  <c r="BM84" i="90" s="1"/>
  <c r="BB84" i="90"/>
  <c r="BA85" i="90"/>
  <c r="BB85" i="90" s="1"/>
  <c r="BA86" i="90"/>
  <c r="BB86" i="90" s="1"/>
  <c r="BA87" i="90"/>
  <c r="BB87" i="90" s="1"/>
  <c r="BA88" i="90"/>
  <c r="BB88" i="90"/>
  <c r="BA89" i="90"/>
  <c r="BB89" i="90" s="1"/>
  <c r="BA90" i="90"/>
  <c r="BB90" i="90" s="1"/>
  <c r="BA91" i="90"/>
  <c r="BB91" i="90" s="1"/>
  <c r="BA92" i="90"/>
  <c r="BB92" i="90"/>
  <c r="BA93" i="90"/>
  <c r="BM93" i="90" s="1"/>
  <c r="BL49" i="90"/>
  <c r="BK49" i="90"/>
  <c r="BJ49" i="90"/>
  <c r="BL48" i="90"/>
  <c r="BK48" i="90"/>
  <c r="BJ48" i="90"/>
  <c r="BL47" i="90"/>
  <c r="BK47" i="90"/>
  <c r="BJ47" i="90"/>
  <c r="BL46" i="90"/>
  <c r="BK46" i="90"/>
  <c r="BJ46" i="90"/>
  <c r="BL45" i="90"/>
  <c r="BK45" i="90"/>
  <c r="BJ45" i="90"/>
  <c r="BL44" i="90"/>
  <c r="BK44" i="90"/>
  <c r="BJ44" i="90"/>
  <c r="BL43" i="90"/>
  <c r="BK43" i="90"/>
  <c r="BJ43" i="90"/>
  <c r="BL42" i="90"/>
  <c r="BK42" i="90"/>
  <c r="BJ42" i="90"/>
  <c r="BL41" i="90"/>
  <c r="BK41" i="90"/>
  <c r="BJ41" i="90"/>
  <c r="BL40" i="90"/>
  <c r="BK40" i="90"/>
  <c r="BJ40" i="90"/>
  <c r="BL39" i="90"/>
  <c r="BK39" i="90"/>
  <c r="BJ39" i="90"/>
  <c r="BL38" i="90"/>
  <c r="BK38" i="90"/>
  <c r="BJ38" i="90"/>
  <c r="BL37" i="90"/>
  <c r="BK37" i="90"/>
  <c r="BJ37" i="90"/>
  <c r="BL36" i="90"/>
  <c r="BK36" i="90"/>
  <c r="BJ36" i="90"/>
  <c r="BL35" i="90"/>
  <c r="BK35" i="90"/>
  <c r="BJ35" i="90"/>
  <c r="BL34" i="90"/>
  <c r="BK34" i="90"/>
  <c r="BJ34" i="90"/>
  <c r="BL33" i="90"/>
  <c r="BK33" i="90"/>
  <c r="BJ33" i="90"/>
  <c r="BL32" i="90"/>
  <c r="BK32" i="90"/>
  <c r="BJ32" i="90"/>
  <c r="BL31" i="90"/>
  <c r="BK31" i="90"/>
  <c r="BJ31" i="90"/>
  <c r="BL30" i="90"/>
  <c r="BK30" i="90"/>
  <c r="BJ30" i="90"/>
  <c r="BL29" i="90"/>
  <c r="BK29" i="90"/>
  <c r="BJ29" i="90"/>
  <c r="BL28" i="90"/>
  <c r="BK28" i="90"/>
  <c r="BJ28" i="90"/>
  <c r="BL27" i="90"/>
  <c r="BK27" i="90"/>
  <c r="BJ27" i="90"/>
  <c r="BH49" i="90"/>
  <c r="BH48" i="90"/>
  <c r="BH47" i="90"/>
  <c r="BH46" i="90"/>
  <c r="BH45" i="90"/>
  <c r="BH44" i="90"/>
  <c r="BH43" i="90"/>
  <c r="BH42" i="90"/>
  <c r="BH41" i="90"/>
  <c r="BH40" i="90"/>
  <c r="BH39" i="90"/>
  <c r="BH38" i="90"/>
  <c r="BH37" i="90"/>
  <c r="BH36" i="90"/>
  <c r="BH35" i="90"/>
  <c r="BH34" i="90"/>
  <c r="BH33" i="90"/>
  <c r="BH32" i="90"/>
  <c r="BH31" i="90"/>
  <c r="BH30" i="90"/>
  <c r="BH29" i="90"/>
  <c r="BH28" i="90"/>
  <c r="BH27" i="90"/>
  <c r="BA27" i="90"/>
  <c r="BM27" i="90" s="1"/>
  <c r="BN27" i="90" s="1"/>
  <c r="BA28" i="90"/>
  <c r="BA29" i="90"/>
  <c r="BM29" i="90" s="1"/>
  <c r="BB29" i="90"/>
  <c r="BA30" i="90"/>
  <c r="BB30" i="90" s="1"/>
  <c r="BA31" i="90"/>
  <c r="BM31" i="90" s="1"/>
  <c r="BA32" i="90"/>
  <c r="BA33" i="90"/>
  <c r="BM33" i="90" s="1"/>
  <c r="BB33" i="90"/>
  <c r="BA34" i="90"/>
  <c r="BB34" i="90" s="1"/>
  <c r="BA35" i="90"/>
  <c r="BM35" i="90" s="1"/>
  <c r="BN35" i="90" s="1"/>
  <c r="BA36" i="90"/>
  <c r="BA37" i="90"/>
  <c r="BM37" i="90" s="1"/>
  <c r="BB37" i="90"/>
  <c r="BA38" i="90"/>
  <c r="BB38" i="90" s="1"/>
  <c r="BA39" i="90"/>
  <c r="BM39" i="90" s="1"/>
  <c r="BA40" i="90"/>
  <c r="BA41" i="90"/>
  <c r="BB41" i="90" s="1"/>
  <c r="BA42" i="90"/>
  <c r="BB42" i="90" s="1"/>
  <c r="BA43" i="90"/>
  <c r="BM43" i="90" s="1"/>
  <c r="BN43" i="90" s="1"/>
  <c r="BA44" i="90"/>
  <c r="BA45" i="90"/>
  <c r="BM45" i="90" s="1"/>
  <c r="BA46" i="90"/>
  <c r="BB46" i="90" s="1"/>
  <c r="BA47" i="90"/>
  <c r="BM47" i="90" s="1"/>
  <c r="BN47" i="90" s="1"/>
  <c r="BA48" i="90"/>
  <c r="BA49" i="90"/>
  <c r="BB49" i="90" s="1"/>
  <c r="I26" i="90"/>
  <c r="G192" i="90"/>
  <c r="H192" i="90"/>
  <c r="I192" i="90"/>
  <c r="J192" i="90"/>
  <c r="CQ15" i="84" l="1"/>
  <c r="BB44" i="90"/>
  <c r="BM44" i="90"/>
  <c r="BB48" i="90"/>
  <c r="BM48" i="90"/>
  <c r="BB32" i="90"/>
  <c r="BM32" i="90"/>
  <c r="BN32" i="90" s="1"/>
  <c r="BB36" i="90"/>
  <c r="BM36" i="90"/>
  <c r="BN127" i="90"/>
  <c r="BB40" i="90"/>
  <c r="BM40" i="90"/>
  <c r="BN40" i="90" s="1"/>
  <c r="BM72" i="90"/>
  <c r="BB28" i="90"/>
  <c r="BM28" i="90"/>
  <c r="BN119" i="90"/>
  <c r="BN28" i="90"/>
  <c r="BB47" i="90"/>
  <c r="BB43" i="90"/>
  <c r="BB39" i="90"/>
  <c r="BB35" i="90"/>
  <c r="BB31" i="90"/>
  <c r="BB27" i="90"/>
  <c r="BM38" i="90"/>
  <c r="BM41" i="90"/>
  <c r="BN41" i="90" s="1"/>
  <c r="BN93" i="90"/>
  <c r="BM85" i="90"/>
  <c r="BM82" i="90"/>
  <c r="BN82" i="90" s="1"/>
  <c r="BN81" i="90"/>
  <c r="BN77" i="90"/>
  <c r="BN137" i="90"/>
  <c r="BN133" i="90"/>
  <c r="BN163" i="90"/>
  <c r="BN42" i="90"/>
  <c r="BN84" i="90"/>
  <c r="BN130" i="90"/>
  <c r="BN123" i="90"/>
  <c r="BN120" i="90"/>
  <c r="BN117" i="90"/>
  <c r="BN36" i="90"/>
  <c r="BN45" i="90"/>
  <c r="BN94" i="90"/>
  <c r="BN72" i="90"/>
  <c r="BM34" i="90"/>
  <c r="BN34" i="90" s="1"/>
  <c r="BM46" i="90"/>
  <c r="BN46" i="90" s="1"/>
  <c r="BM49" i="90"/>
  <c r="BN49" i="90" s="1"/>
  <c r="BN91" i="90"/>
  <c r="BM86" i="90"/>
  <c r="BM83" i="90"/>
  <c r="BN83" i="90" s="1"/>
  <c r="BN75" i="90"/>
  <c r="BN88" i="90"/>
  <c r="BM79" i="90"/>
  <c r="BN79" i="90" s="1"/>
  <c r="BB45" i="90"/>
  <c r="BN33" i="90"/>
  <c r="BN44" i="90"/>
  <c r="BB93" i="90"/>
  <c r="BB81" i="90"/>
  <c r="BB77" i="90"/>
  <c r="BM90" i="90"/>
  <c r="BN90" i="90" s="1"/>
  <c r="BN89" i="90"/>
  <c r="BN85" i="90"/>
  <c r="BM74" i="90"/>
  <c r="BN74" i="90" s="1"/>
  <c r="BN73" i="90"/>
  <c r="BN138" i="90"/>
  <c r="BN131" i="90"/>
  <c r="BN128" i="90"/>
  <c r="BN125" i="90"/>
  <c r="BN121" i="90"/>
  <c r="BN118" i="90"/>
  <c r="C139" i="90"/>
  <c r="C138" i="90"/>
  <c r="C137" i="90"/>
  <c r="C136" i="90"/>
  <c r="C135" i="90"/>
  <c r="C134" i="90"/>
  <c r="C133" i="90"/>
  <c r="C132" i="90"/>
  <c r="C131" i="90"/>
  <c r="C130" i="90"/>
  <c r="C129" i="90"/>
  <c r="C128" i="90"/>
  <c r="C127" i="90"/>
  <c r="C126" i="90"/>
  <c r="C125" i="90"/>
  <c r="C124" i="90"/>
  <c r="C123" i="90"/>
  <c r="C122" i="90"/>
  <c r="C121" i="90"/>
  <c r="C120" i="90"/>
  <c r="C119" i="90"/>
  <c r="C118" i="90"/>
  <c r="C117" i="90"/>
  <c r="BN78" i="90"/>
  <c r="BN134" i="90"/>
  <c r="BM30" i="90"/>
  <c r="BN30" i="90" s="1"/>
  <c r="BN38" i="90"/>
  <c r="BM42" i="90"/>
  <c r="BN92" i="90"/>
  <c r="BM87" i="90"/>
  <c r="BN87" i="90" s="1"/>
  <c r="BN86" i="90"/>
  <c r="BN80" i="90"/>
  <c r="BN76" i="90"/>
  <c r="BN171" i="90"/>
  <c r="BN165" i="90"/>
  <c r="C184" i="90"/>
  <c r="C176" i="90"/>
  <c r="C168" i="90"/>
  <c r="C180" i="90"/>
  <c r="C172" i="90"/>
  <c r="C183" i="90"/>
  <c r="C175" i="90"/>
  <c r="C167" i="90"/>
  <c r="C178" i="90"/>
  <c r="C170" i="90"/>
  <c r="BN175" i="90"/>
  <c r="BN167" i="90"/>
  <c r="BN177" i="90"/>
  <c r="BN182" i="90"/>
  <c r="BN169" i="90"/>
  <c r="BN178" i="90"/>
  <c r="BN172" i="90"/>
  <c r="BN170" i="90"/>
  <c r="BN176" i="90"/>
  <c r="BN183" i="90"/>
  <c r="BN174" i="90"/>
  <c r="BN181" i="90"/>
  <c r="BN179" i="90"/>
  <c r="BN168" i="90"/>
  <c r="BN166" i="90"/>
  <c r="BN184" i="90"/>
  <c r="BN173" i="90"/>
  <c r="BN48" i="90"/>
  <c r="BN29" i="90"/>
  <c r="BN31" i="90"/>
  <c r="BN37" i="90"/>
  <c r="BN39" i="90"/>
  <c r="CQ16" i="84" l="1"/>
  <c r="BB192" i="90"/>
  <c r="BH192" i="90"/>
  <c r="BJ192" i="90"/>
  <c r="BK192" i="90"/>
  <c r="BL192" i="90"/>
  <c r="BM192" i="90"/>
  <c r="G193" i="90"/>
  <c r="H193" i="90"/>
  <c r="I193" i="90"/>
  <c r="J193" i="90"/>
  <c r="CQ17" i="84" l="1"/>
  <c r="BN192" i="90"/>
  <c r="BB193" i="90"/>
  <c r="BH193" i="90"/>
  <c r="BJ193" i="90"/>
  <c r="BN193" i="90" s="1"/>
  <c r="BK193" i="90"/>
  <c r="BL193" i="90"/>
  <c r="BM193" i="90"/>
  <c r="G194" i="90"/>
  <c r="H194" i="90"/>
  <c r="I194" i="90"/>
  <c r="J194" i="90"/>
  <c r="CQ18" i="84" l="1"/>
  <c r="BB194" i="90"/>
  <c r="BH194" i="90"/>
  <c r="BJ194" i="90"/>
  <c r="BK194" i="90"/>
  <c r="BL194" i="90"/>
  <c r="BM194" i="90"/>
  <c r="G195" i="90"/>
  <c r="H195" i="90"/>
  <c r="I195" i="90"/>
  <c r="J195" i="90"/>
  <c r="CQ19" i="84" l="1"/>
  <c r="BN194" i="90"/>
  <c r="BB195" i="90"/>
  <c r="BH195" i="90"/>
  <c r="BJ195" i="90"/>
  <c r="BN195" i="90" s="1"/>
  <c r="BK195" i="90"/>
  <c r="BL195" i="90"/>
  <c r="BM195" i="90"/>
  <c r="G196" i="90"/>
  <c r="H196" i="90"/>
  <c r="I196" i="90"/>
  <c r="J196" i="90"/>
  <c r="CQ20" i="84" l="1"/>
  <c r="BB196" i="90"/>
  <c r="BH196" i="90"/>
  <c r="BJ196" i="90"/>
  <c r="BK196" i="90"/>
  <c r="BL196" i="90"/>
  <c r="BM196" i="90"/>
  <c r="G197" i="90"/>
  <c r="H197" i="90"/>
  <c r="I197" i="90"/>
  <c r="J197" i="90"/>
  <c r="CQ21" i="84" l="1"/>
  <c r="BN196" i="90"/>
  <c r="BB197" i="90"/>
  <c r="BH197" i="90"/>
  <c r="BJ197" i="90"/>
  <c r="BK197" i="90"/>
  <c r="BL197" i="90"/>
  <c r="BM197" i="90"/>
  <c r="G198" i="90"/>
  <c r="H198" i="90"/>
  <c r="I198" i="90"/>
  <c r="J198" i="90"/>
  <c r="CQ22" i="84" l="1"/>
  <c r="BN197" i="90"/>
  <c r="BB198" i="90"/>
  <c r="BH198" i="90"/>
  <c r="BJ198" i="90"/>
  <c r="BK198" i="90"/>
  <c r="BL198" i="90"/>
  <c r="BM198" i="90"/>
  <c r="G199" i="90"/>
  <c r="H199" i="90"/>
  <c r="I199" i="90"/>
  <c r="J199" i="90"/>
  <c r="CQ23" i="84" l="1"/>
  <c r="BN198" i="90"/>
  <c r="BB199" i="90"/>
  <c r="BH199" i="90"/>
  <c r="BJ199" i="90"/>
  <c r="BK199" i="90"/>
  <c r="BL199" i="90"/>
  <c r="BM199" i="90"/>
  <c r="G200" i="90"/>
  <c r="H200" i="90"/>
  <c r="I200" i="90"/>
  <c r="J200" i="90"/>
  <c r="CQ24" i="84" l="1"/>
  <c r="BN199" i="90"/>
  <c r="BB200" i="90"/>
  <c r="BH200" i="90"/>
  <c r="BJ200" i="90"/>
  <c r="BK200" i="90"/>
  <c r="BN200" i="90" s="1"/>
  <c r="BL200" i="90"/>
  <c r="BM200" i="90"/>
  <c r="G201" i="90"/>
  <c r="H201" i="90"/>
  <c r="I201" i="90"/>
  <c r="J201" i="90"/>
  <c r="CQ25" i="84" l="1"/>
  <c r="BB201" i="90"/>
  <c r="BH201" i="90"/>
  <c r="BJ201" i="90"/>
  <c r="BN201" i="90" s="1"/>
  <c r="BK201" i="90"/>
  <c r="BL201" i="90"/>
  <c r="BM201" i="90"/>
  <c r="G202" i="90"/>
  <c r="H202" i="90"/>
  <c r="I202" i="90"/>
  <c r="J202" i="90"/>
  <c r="CQ26" i="84" l="1"/>
  <c r="BB202" i="90"/>
  <c r="BH202" i="90"/>
  <c r="BJ202" i="90"/>
  <c r="BK202" i="90"/>
  <c r="BL202" i="90"/>
  <c r="BM202" i="90"/>
  <c r="G203" i="90"/>
  <c r="H203" i="90"/>
  <c r="I203" i="90"/>
  <c r="J203" i="90"/>
  <c r="CQ27" i="84" l="1"/>
  <c r="BN202" i="90"/>
  <c r="BB203" i="90"/>
  <c r="BH203" i="90"/>
  <c r="BJ203" i="90"/>
  <c r="BN203" i="90" s="1"/>
  <c r="BK203" i="90"/>
  <c r="BL203" i="90"/>
  <c r="BM203" i="90"/>
  <c r="G204" i="90"/>
  <c r="H204" i="90"/>
  <c r="I204" i="90"/>
  <c r="J204" i="90"/>
  <c r="CQ28" i="84" l="1"/>
  <c r="BB204" i="90"/>
  <c r="BH204" i="90"/>
  <c r="BJ204" i="90"/>
  <c r="BN204" i="90" s="1"/>
  <c r="BK204" i="90"/>
  <c r="BL204" i="90"/>
  <c r="BM204" i="90"/>
  <c r="G205" i="90"/>
  <c r="H205" i="90"/>
  <c r="I205" i="90"/>
  <c r="J205" i="90"/>
  <c r="CQ29" i="84" l="1"/>
  <c r="BB205" i="90"/>
  <c r="BH205" i="90"/>
  <c r="BJ205" i="90"/>
  <c r="BN205" i="90" s="1"/>
  <c r="BK205" i="90"/>
  <c r="BL205" i="90"/>
  <c r="BM205" i="90"/>
  <c r="G206" i="90"/>
  <c r="H206" i="90"/>
  <c r="I206" i="90"/>
  <c r="J206" i="90"/>
  <c r="CQ30" i="84" l="1"/>
  <c r="BB206" i="90"/>
  <c r="BH206" i="90"/>
  <c r="BJ206" i="90"/>
  <c r="BK206" i="90"/>
  <c r="BL206" i="90"/>
  <c r="BM206" i="90"/>
  <c r="G207" i="90"/>
  <c r="H207" i="90"/>
  <c r="I207" i="90"/>
  <c r="J207" i="90"/>
  <c r="CQ31" i="84" l="1"/>
  <c r="C207" i="90"/>
  <c r="BN206" i="90"/>
  <c r="BB207" i="90"/>
  <c r="BH207" i="90"/>
  <c r="BJ207" i="90"/>
  <c r="BK207" i="90"/>
  <c r="BL207" i="90"/>
  <c r="BM207" i="90"/>
  <c r="G208" i="90"/>
  <c r="C208" i="90" s="1"/>
  <c r="H208" i="90"/>
  <c r="I208" i="90"/>
  <c r="J208" i="90"/>
  <c r="CQ32" i="84" l="1"/>
  <c r="BN207" i="90"/>
  <c r="CQ33" i="84" l="1"/>
  <c r="BB208" i="90"/>
  <c r="BH208" i="90"/>
  <c r="BJ208" i="90"/>
  <c r="BK208" i="90"/>
  <c r="BL208" i="90"/>
  <c r="BM208" i="90"/>
  <c r="G209" i="90"/>
  <c r="H209" i="90"/>
  <c r="I209" i="90"/>
  <c r="J209" i="90"/>
  <c r="CQ34" i="84" l="1"/>
  <c r="C209" i="90"/>
  <c r="BN208" i="90"/>
  <c r="CQ35" i="84" l="1"/>
  <c r="BB209" i="90"/>
  <c r="BH209" i="90"/>
  <c r="BJ209" i="90"/>
  <c r="BK209" i="90"/>
  <c r="BL209" i="90"/>
  <c r="BM209" i="90"/>
  <c r="G210" i="90"/>
  <c r="H210" i="90"/>
  <c r="I210" i="90"/>
  <c r="J210" i="90"/>
  <c r="CQ36" i="84" l="1"/>
  <c r="C210" i="90"/>
  <c r="BN209" i="90"/>
  <c r="BB210" i="90" l="1"/>
  <c r="BH210" i="90"/>
  <c r="BJ210" i="90"/>
  <c r="BK210" i="90"/>
  <c r="BL210" i="90"/>
  <c r="BM210" i="90"/>
  <c r="G211" i="90"/>
  <c r="H211" i="90"/>
  <c r="I211" i="90"/>
  <c r="J211" i="90"/>
  <c r="C211" i="90" l="1"/>
  <c r="BN210" i="90"/>
  <c r="BB211" i="90" l="1"/>
  <c r="BH211" i="90"/>
  <c r="BJ211" i="90"/>
  <c r="BK211" i="90"/>
  <c r="BL211" i="90"/>
  <c r="BM211" i="90"/>
  <c r="G212" i="90"/>
  <c r="H212" i="90"/>
  <c r="I212" i="90"/>
  <c r="J212" i="90"/>
  <c r="C212" i="90" l="1"/>
  <c r="BN211" i="90"/>
  <c r="BB212" i="90" l="1"/>
  <c r="BH212" i="90"/>
  <c r="BJ212" i="90"/>
  <c r="BK212" i="90"/>
  <c r="BL212" i="90"/>
  <c r="BM212" i="90"/>
  <c r="G213" i="90"/>
  <c r="H213" i="90"/>
  <c r="I213" i="90"/>
  <c r="J213" i="90"/>
  <c r="BN212" i="90" l="1"/>
  <c r="C213" i="90"/>
  <c r="BB213" i="90"/>
  <c r="BH213" i="90"/>
  <c r="BJ213" i="90"/>
  <c r="BN213" i="90" s="1"/>
  <c r="BK213" i="90"/>
  <c r="BL213" i="90"/>
  <c r="BM213" i="90"/>
  <c r="G214" i="90"/>
  <c r="H214" i="90"/>
  <c r="I214" i="90"/>
  <c r="J214" i="90"/>
  <c r="C214" i="90" l="1"/>
  <c r="BB214" i="90"/>
  <c r="BH214" i="90"/>
  <c r="BJ214" i="90"/>
  <c r="BK214" i="90"/>
  <c r="BL214" i="90"/>
  <c r="BM214" i="90"/>
  <c r="G215" i="90"/>
  <c r="H215" i="90"/>
  <c r="I215" i="90"/>
  <c r="J215" i="90"/>
  <c r="C215" i="90" l="1"/>
  <c r="BN214" i="90"/>
  <c r="BB215" i="90" l="1"/>
  <c r="BH215" i="90"/>
  <c r="BJ215" i="90"/>
  <c r="BN215" i="90" s="1"/>
  <c r="BK215" i="90"/>
  <c r="BL215" i="90"/>
  <c r="BM215" i="90"/>
  <c r="G216" i="90"/>
  <c r="H216" i="90"/>
  <c r="I216" i="90"/>
  <c r="J216" i="90"/>
  <c r="C216" i="90" l="1"/>
  <c r="BB216" i="90"/>
  <c r="BH216" i="90"/>
  <c r="BJ216" i="90"/>
  <c r="BK216" i="90"/>
  <c r="BL216" i="90"/>
  <c r="BM216" i="90"/>
  <c r="G217" i="90"/>
  <c r="H217" i="90"/>
  <c r="I217" i="90"/>
  <c r="J217" i="90"/>
  <c r="C217" i="90" l="1"/>
  <c r="BN216" i="90"/>
  <c r="BB217" i="90" l="1"/>
  <c r="BH217" i="90"/>
  <c r="BJ217" i="90"/>
  <c r="BK217" i="90"/>
  <c r="BL217" i="90"/>
  <c r="BM217" i="90"/>
  <c r="G218" i="90"/>
  <c r="H218" i="90"/>
  <c r="I218" i="90"/>
  <c r="J218" i="90"/>
  <c r="C218" i="90" l="1"/>
  <c r="BN217" i="90"/>
  <c r="BB218" i="90" l="1"/>
  <c r="BH218" i="90"/>
  <c r="BJ218" i="90"/>
  <c r="BK218" i="90"/>
  <c r="BL218" i="90"/>
  <c r="BM218" i="90"/>
  <c r="G219" i="90"/>
  <c r="H219" i="90"/>
  <c r="I219" i="90"/>
  <c r="J219" i="90"/>
  <c r="C219" i="90" l="1"/>
  <c r="BN218" i="90"/>
  <c r="BB219" i="90" l="1"/>
  <c r="BH219" i="90"/>
  <c r="BJ219" i="90"/>
  <c r="BN219" i="90" s="1"/>
  <c r="BK219" i="90"/>
  <c r="BL219" i="90"/>
  <c r="BM219" i="90"/>
  <c r="G220" i="90"/>
  <c r="H220" i="90"/>
  <c r="I220" i="90"/>
  <c r="J220" i="90"/>
  <c r="C220" i="90" l="1"/>
  <c r="BB220" i="90"/>
  <c r="BH220" i="90"/>
  <c r="BJ220" i="90"/>
  <c r="BK220" i="90"/>
  <c r="BL220" i="90"/>
  <c r="BM220" i="90"/>
  <c r="G221" i="90"/>
  <c r="H221" i="90"/>
  <c r="I221" i="90"/>
  <c r="J221" i="90"/>
  <c r="C221" i="90" l="1"/>
  <c r="BN220" i="90"/>
  <c r="BB221" i="90" l="1"/>
  <c r="BH221" i="90"/>
  <c r="BJ221" i="90"/>
  <c r="BK221" i="90"/>
  <c r="BL221" i="90"/>
  <c r="BM221" i="90"/>
  <c r="G222" i="90"/>
  <c r="H222" i="90"/>
  <c r="I222" i="90"/>
  <c r="J222" i="90"/>
  <c r="C222" i="90" l="1"/>
  <c r="BN221" i="90"/>
  <c r="BB222" i="90" l="1"/>
  <c r="BH222" i="90"/>
  <c r="BJ222" i="90"/>
  <c r="BN222" i="90" s="1"/>
  <c r="BK222" i="90"/>
  <c r="BL222" i="90"/>
  <c r="BM222" i="90"/>
  <c r="G223" i="90"/>
  <c r="H223" i="90"/>
  <c r="I223" i="90"/>
  <c r="J223" i="90"/>
  <c r="C223" i="90" l="1"/>
  <c r="BB223" i="90"/>
  <c r="BH223" i="90"/>
  <c r="BJ223" i="90"/>
  <c r="BK223" i="90"/>
  <c r="BL223" i="90"/>
  <c r="BM223" i="90"/>
  <c r="G224" i="90"/>
  <c r="C224" i="90" s="1"/>
  <c r="H224" i="90"/>
  <c r="I224" i="90"/>
  <c r="J224" i="90"/>
  <c r="BN223" i="90" l="1"/>
  <c r="BB224" i="90" l="1"/>
  <c r="BH224" i="90"/>
  <c r="BJ224" i="90"/>
  <c r="BK224" i="90"/>
  <c r="BL224" i="90"/>
  <c r="BM224" i="90"/>
  <c r="G225" i="90"/>
  <c r="H225" i="90"/>
  <c r="I225" i="90"/>
  <c r="J225" i="90"/>
  <c r="C225" i="90" l="1"/>
  <c r="BN224" i="90"/>
  <c r="BB225" i="90" l="1"/>
  <c r="BH225" i="90"/>
  <c r="BJ225" i="90"/>
  <c r="BK225" i="90"/>
  <c r="BL225" i="90"/>
  <c r="BM225" i="90"/>
  <c r="G226" i="90"/>
  <c r="C226" i="90" s="1"/>
  <c r="H226" i="90"/>
  <c r="I226" i="90"/>
  <c r="J226" i="90"/>
  <c r="BN225" i="90" l="1"/>
  <c r="BB226" i="90" l="1"/>
  <c r="BH226" i="90"/>
  <c r="BJ226" i="90"/>
  <c r="BK226" i="90"/>
  <c r="BL226" i="90"/>
  <c r="BM226" i="90"/>
  <c r="G227" i="90"/>
  <c r="C227" i="90" s="1"/>
  <c r="H227" i="90"/>
  <c r="I227" i="90"/>
  <c r="J227" i="90"/>
  <c r="BN226" i="90" l="1"/>
  <c r="BB227" i="90" l="1"/>
  <c r="BH227" i="90"/>
  <c r="BJ227" i="90"/>
  <c r="BK227" i="90"/>
  <c r="BL227" i="90"/>
  <c r="BM227" i="90"/>
  <c r="G228" i="90"/>
  <c r="H228" i="90"/>
  <c r="I228" i="90"/>
  <c r="J228" i="90"/>
  <c r="C228" i="90" l="1"/>
  <c r="BN227" i="90"/>
  <c r="BB228" i="90" l="1"/>
  <c r="BH228" i="90"/>
  <c r="BJ228" i="90"/>
  <c r="BK228" i="90"/>
  <c r="BL228" i="90"/>
  <c r="BM228" i="90"/>
  <c r="G229" i="90"/>
  <c r="H229" i="90"/>
  <c r="I229" i="90"/>
  <c r="J229" i="90"/>
  <c r="BN228" i="90" l="1"/>
  <c r="BB229" i="90" l="1"/>
  <c r="BH229" i="90"/>
  <c r="BJ229" i="90"/>
  <c r="BK229" i="90"/>
  <c r="BL229" i="90"/>
  <c r="BM229" i="90"/>
  <c r="E27" i="90"/>
  <c r="AT27" i="90" s="1"/>
  <c r="E28" i="90"/>
  <c r="AT28" i="90" s="1"/>
  <c r="E29" i="90"/>
  <c r="AT29" i="90" s="1"/>
  <c r="E30" i="90"/>
  <c r="AT30" i="90" s="1"/>
  <c r="E31" i="90"/>
  <c r="AT31" i="90" s="1"/>
  <c r="E32" i="90"/>
  <c r="AT32" i="90" s="1"/>
  <c r="E33" i="90"/>
  <c r="AT33" i="90" s="1"/>
  <c r="E34" i="90"/>
  <c r="AT34" i="90" s="1"/>
  <c r="E35" i="90"/>
  <c r="AT35" i="90" s="1"/>
  <c r="E36" i="90"/>
  <c r="AT36" i="90" s="1"/>
  <c r="E37" i="90"/>
  <c r="AT37" i="90" s="1"/>
  <c r="E38" i="90"/>
  <c r="AT38" i="90" s="1"/>
  <c r="E39" i="90"/>
  <c r="AT39" i="90" s="1"/>
  <c r="E40" i="90"/>
  <c r="AT40" i="90" s="1"/>
  <c r="E41" i="90"/>
  <c r="AT41" i="90" s="1"/>
  <c r="E42" i="90"/>
  <c r="AT42" i="90" s="1"/>
  <c r="E43" i="90"/>
  <c r="AT43" i="90" s="1"/>
  <c r="E44" i="90"/>
  <c r="AT44" i="90" s="1"/>
  <c r="E45" i="90"/>
  <c r="AT45" i="90" s="1"/>
  <c r="E46" i="90"/>
  <c r="AT46" i="90" s="1"/>
  <c r="E47" i="90"/>
  <c r="AT47" i="90" s="1"/>
  <c r="E48" i="90"/>
  <c r="AT48" i="90" s="1"/>
  <c r="K7" i="100"/>
  <c r="K8" i="100"/>
  <c r="K5" i="100"/>
  <c r="AC48" i="99"/>
  <c r="AA32" i="99"/>
  <c r="AA33" i="99"/>
  <c r="AA34" i="99"/>
  <c r="AA35" i="99"/>
  <c r="AA36" i="99"/>
  <c r="AA37" i="99"/>
  <c r="AA31" i="99"/>
  <c r="X8" i="99"/>
  <c r="AC44" i="99" s="1"/>
  <c r="X9" i="99"/>
  <c r="AC45" i="99" s="1"/>
  <c r="X10" i="99"/>
  <c r="AC46" i="99" s="1"/>
  <c r="X11" i="99"/>
  <c r="AC47" i="99" s="1"/>
  <c r="X12" i="99"/>
  <c r="X13" i="99"/>
  <c r="AC49" i="99" s="1"/>
  <c r="X7" i="99"/>
  <c r="AC43" i="99" s="1"/>
  <c r="AA22" i="99"/>
  <c r="AA25" i="99"/>
  <c r="AC25" i="99" s="1"/>
  <c r="AA19" i="99"/>
  <c r="AC19" i="99" s="1"/>
  <c r="M17" i="99"/>
  <c r="M23" i="99"/>
  <c r="M29" i="99"/>
  <c r="M36" i="99"/>
  <c r="M42" i="99"/>
  <c r="M11" i="99"/>
  <c r="M6" i="99"/>
  <c r="Y8" i="99"/>
  <c r="Z8" i="99"/>
  <c r="Y9" i="99"/>
  <c r="Z9" i="99"/>
  <c r="Y10" i="99"/>
  <c r="Z10" i="99"/>
  <c r="Y11" i="99"/>
  <c r="Z11" i="99"/>
  <c r="Y12" i="99"/>
  <c r="Z12" i="99"/>
  <c r="Y13" i="99"/>
  <c r="Z13" i="99"/>
  <c r="Z7" i="99"/>
  <c r="Y7" i="99"/>
  <c r="K6" i="100"/>
  <c r="AC22" i="99" l="1"/>
  <c r="AB48" i="99"/>
  <c r="AB49" i="99"/>
  <c r="AB51" i="99" s="1"/>
  <c r="AB43" i="99"/>
  <c r="AB44" i="99"/>
  <c r="AB45" i="99"/>
  <c r="AB46" i="99"/>
  <c r="AB47" i="99"/>
  <c r="AB35" i="99"/>
  <c r="AC35" i="99" s="1"/>
  <c r="AB36" i="99"/>
  <c r="AC36" i="99" s="1"/>
  <c r="AB37" i="99"/>
  <c r="AC37" i="99" s="1"/>
  <c r="AB31" i="99"/>
  <c r="AC31" i="99" s="1"/>
  <c r="AB32" i="99"/>
  <c r="AC32" i="99" s="1"/>
  <c r="AB33" i="99"/>
  <c r="AC33" i="99" s="1"/>
  <c r="AB34" i="99"/>
  <c r="AC34" i="99" s="1"/>
  <c r="AB19" i="99"/>
  <c r="BN229" i="90"/>
  <c r="AI17" i="99" l="1"/>
  <c r="AJ17" i="99"/>
  <c r="AK17" i="99"/>
  <c r="AN17" i="99"/>
  <c r="AO17" i="99"/>
  <c r="AP17" i="99"/>
  <c r="AQ17" i="99"/>
  <c r="AR17" i="99"/>
  <c r="AS17" i="99"/>
  <c r="AT17" i="99"/>
  <c r="AU17" i="99"/>
  <c r="AH17" i="99"/>
  <c r="AL14" i="99"/>
  <c r="AM14" i="99"/>
  <c r="AM6" i="99"/>
  <c r="AL6" i="99"/>
  <c r="AL17" i="99" l="1"/>
  <c r="AM17" i="99"/>
  <c r="BL7" i="99" l="1"/>
  <c r="BL8" i="99"/>
  <c r="BL9" i="99"/>
  <c r="BL6" i="99"/>
  <c r="AA23" i="99" l="1"/>
  <c r="AC23" i="99" s="1"/>
  <c r="AA24" i="99"/>
  <c r="AC24" i="99" s="1"/>
  <c r="AA21" i="99"/>
  <c r="AC21" i="99" s="1"/>
  <c r="AA20" i="99"/>
  <c r="AC20" i="99" s="1"/>
  <c r="L42" i="99"/>
  <c r="L36" i="99"/>
  <c r="L29" i="99"/>
  <c r="L23" i="99"/>
  <c r="L17" i="99"/>
  <c r="L11" i="99"/>
  <c r="L6" i="99"/>
  <c r="AB20" i="99" l="1"/>
  <c r="AB21" i="99"/>
  <c r="AB22" i="99"/>
  <c r="AB23" i="99"/>
  <c r="AB24" i="99"/>
  <c r="AB25" i="99"/>
  <c r="N4" i="98"/>
  <c r="R5" i="98" s="1"/>
  <c r="N7" i="98"/>
  <c r="F12" i="98"/>
  <c r="C15" i="98" s="1"/>
  <c r="F8" i="98"/>
  <c r="F16" i="98" s="1"/>
  <c r="N19" i="98"/>
  <c r="X17" i="98"/>
  <c r="V17" i="98"/>
  <c r="U17" i="98"/>
  <c r="X16" i="98"/>
  <c r="V16" i="98"/>
  <c r="U16" i="98"/>
  <c r="AC14" i="98"/>
  <c r="X15" i="98"/>
  <c r="Y15" i="98" s="1"/>
  <c r="V15" i="98"/>
  <c r="W15" i="98" s="1"/>
  <c r="U15" i="98"/>
  <c r="AC13" i="98"/>
  <c r="X14" i="98"/>
  <c r="Y14" i="98" s="1"/>
  <c r="V14" i="98"/>
  <c r="W14" i="98" s="1"/>
  <c r="U14" i="98"/>
  <c r="X13" i="98"/>
  <c r="Y13" i="98" s="1"/>
  <c r="V13" i="98"/>
  <c r="W13" i="98" s="1"/>
  <c r="U13" i="98"/>
  <c r="X12" i="98"/>
  <c r="Y12" i="98" s="1"/>
  <c r="V12" i="98"/>
  <c r="W12" i="98" s="1"/>
  <c r="U12" i="98"/>
  <c r="X11" i="98"/>
  <c r="Y11" i="98" s="1"/>
  <c r="V11" i="98"/>
  <c r="W11" i="98" s="1"/>
  <c r="U11" i="98"/>
  <c r="AH9" i="98"/>
  <c r="AG9" i="98"/>
  <c r="X10" i="98"/>
  <c r="V10" i="98"/>
  <c r="U10" i="98"/>
  <c r="AF8" i="98"/>
  <c r="AH8" i="98" s="1"/>
  <c r="X9" i="98"/>
  <c r="V9" i="98"/>
  <c r="U9" i="98"/>
  <c r="AF7" i="98"/>
  <c r="AG7" i="98" s="1"/>
  <c r="X8" i="98"/>
  <c r="V8" i="98"/>
  <c r="U8" i="98"/>
  <c r="N8" i="98"/>
  <c r="AF6" i="98"/>
  <c r="AH6" i="98" s="1"/>
  <c r="X7" i="98"/>
  <c r="V7" i="98"/>
  <c r="U7" i="98"/>
  <c r="AF5" i="98"/>
  <c r="AH5" i="98" s="1"/>
  <c r="X6" i="98"/>
  <c r="V6" i="98"/>
  <c r="U6" i="98"/>
  <c r="M6" i="98"/>
  <c r="AF4" i="98"/>
  <c r="AH4" i="98" s="1"/>
  <c r="T5" i="98"/>
  <c r="X5" i="98" s="1"/>
  <c r="AF3" i="98"/>
  <c r="AH3" i="98" s="1"/>
  <c r="X4" i="98"/>
  <c r="D11" i="98"/>
  <c r="D8" i="98"/>
  <c r="C8" i="98"/>
  <c r="AG4" i="98" l="1"/>
  <c r="M9" i="98"/>
  <c r="M11" i="98" s="1"/>
  <c r="AG3" i="98"/>
  <c r="AG6" i="98"/>
  <c r="Y24" i="98"/>
  <c r="AD14" i="98"/>
  <c r="AE14" i="98" s="1"/>
  <c r="Y25" i="98" s="1"/>
  <c r="AH7" i="98"/>
  <c r="U5" i="98"/>
  <c r="AG8" i="98"/>
  <c r="V5" i="98"/>
  <c r="AG5" i="98"/>
  <c r="T19" i="98"/>
  <c r="C11" i="98" l="1"/>
  <c r="C14" i="98" s="1"/>
  <c r="Q91" i="87" l="1"/>
  <c r="P91" i="87" l="1"/>
  <c r="AU222" i="69" l="1"/>
  <c r="AT222" i="69"/>
  <c r="AS222" i="69"/>
  <c r="AR222" i="69"/>
  <c r="AU221" i="69"/>
  <c r="AT221" i="69"/>
  <c r="AS221" i="69"/>
  <c r="AR221" i="69"/>
  <c r="AU220" i="69"/>
  <c r="AT220" i="69"/>
  <c r="AS220" i="69"/>
  <c r="AR220" i="69"/>
  <c r="AU219" i="69"/>
  <c r="AT219" i="69"/>
  <c r="AS219" i="69"/>
  <c r="AR219" i="69"/>
  <c r="AU218" i="69"/>
  <c r="AT218" i="69"/>
  <c r="AS218" i="69"/>
  <c r="AR218" i="69"/>
  <c r="AU217" i="69"/>
  <c r="AT217" i="69"/>
  <c r="AS217" i="69"/>
  <c r="AR217" i="69"/>
  <c r="AU216" i="69"/>
  <c r="AT216" i="69"/>
  <c r="AS216" i="69"/>
  <c r="AR216" i="69"/>
  <c r="AU215" i="69"/>
  <c r="AT215" i="69"/>
  <c r="AS215" i="69"/>
  <c r="AR215" i="69"/>
  <c r="AU214" i="69"/>
  <c r="AT214" i="69"/>
  <c r="AS214" i="69"/>
  <c r="AR214" i="69"/>
  <c r="AU213" i="69"/>
  <c r="AT213" i="69"/>
  <c r="AS213" i="69"/>
  <c r="AR213" i="69"/>
  <c r="AU212" i="69"/>
  <c r="AT212" i="69"/>
  <c r="AS212" i="69"/>
  <c r="AR212" i="69"/>
  <c r="AU211" i="69"/>
  <c r="AT211" i="69"/>
  <c r="AS211" i="69"/>
  <c r="AR211" i="69"/>
  <c r="AU210" i="69"/>
  <c r="AT210" i="69"/>
  <c r="AS210" i="69"/>
  <c r="AR210" i="69"/>
  <c r="AU209" i="69"/>
  <c r="AT209" i="69"/>
  <c r="AS209" i="69"/>
  <c r="AR209" i="69"/>
  <c r="AU208" i="69"/>
  <c r="AT208" i="69"/>
  <c r="AS208" i="69"/>
  <c r="AR208" i="69"/>
  <c r="AU207" i="69"/>
  <c r="AT207" i="69"/>
  <c r="AS207" i="69"/>
  <c r="AR207" i="69"/>
  <c r="AU206" i="69"/>
  <c r="AT206" i="69"/>
  <c r="AS206" i="69"/>
  <c r="AR206" i="69"/>
  <c r="AU205" i="69"/>
  <c r="AT205" i="69"/>
  <c r="AS205" i="69"/>
  <c r="AR205" i="69"/>
  <c r="AU204" i="69"/>
  <c r="AT204" i="69"/>
  <c r="AS204" i="69"/>
  <c r="AR204" i="69"/>
  <c r="AU203" i="69"/>
  <c r="AT203" i="69"/>
  <c r="AS203" i="69"/>
  <c r="AR203" i="69"/>
  <c r="AU202" i="69"/>
  <c r="AT202" i="69"/>
  <c r="AS202" i="69"/>
  <c r="AR202" i="69"/>
  <c r="AU201" i="69"/>
  <c r="AT201" i="69"/>
  <c r="AS201" i="69"/>
  <c r="AR201" i="69"/>
  <c r="AU200" i="69"/>
  <c r="AT200" i="69"/>
  <c r="AS200" i="69"/>
  <c r="AR200" i="69"/>
  <c r="AU199" i="69"/>
  <c r="AT199" i="69"/>
  <c r="AS199" i="69"/>
  <c r="AR199" i="69"/>
  <c r="AU198" i="69"/>
  <c r="AT198" i="69"/>
  <c r="AS198" i="69"/>
  <c r="AR198" i="69"/>
  <c r="AU197" i="69"/>
  <c r="AT197" i="69"/>
  <c r="AS197" i="69"/>
  <c r="AR197" i="69"/>
  <c r="AT196" i="69"/>
  <c r="AS196" i="69"/>
  <c r="AR196" i="69"/>
  <c r="AT195" i="69"/>
  <c r="AS195" i="69"/>
  <c r="AR195" i="69"/>
  <c r="AT194" i="69"/>
  <c r="AS194" i="69"/>
  <c r="AR194" i="69"/>
  <c r="AT193" i="69"/>
  <c r="AS193" i="69"/>
  <c r="AR193" i="69"/>
  <c r="AT192" i="69"/>
  <c r="AS192" i="69"/>
  <c r="AR192" i="69"/>
  <c r="AT191" i="69"/>
  <c r="AS191" i="69"/>
  <c r="AR191" i="69"/>
  <c r="AV190" i="69"/>
  <c r="AT190" i="69"/>
  <c r="AS190" i="69"/>
  <c r="AR190" i="69"/>
  <c r="AV189" i="69"/>
  <c r="AT189" i="69"/>
  <c r="AS189" i="69"/>
  <c r="AR189" i="69"/>
  <c r="AV188" i="69"/>
  <c r="AT188" i="69"/>
  <c r="AS188" i="69"/>
  <c r="AR188" i="69"/>
  <c r="AV187" i="69"/>
  <c r="AT187" i="69"/>
  <c r="AS187" i="69"/>
  <c r="AR187" i="69"/>
  <c r="AV186" i="69"/>
  <c r="AT186" i="69"/>
  <c r="AS186" i="69"/>
  <c r="AR186" i="69"/>
  <c r="AV185" i="69"/>
  <c r="AT185" i="69"/>
  <c r="AS185" i="69"/>
  <c r="AR185" i="69"/>
  <c r="AV184" i="69"/>
  <c r="AT184" i="69"/>
  <c r="AS184" i="69"/>
  <c r="AR184" i="69"/>
  <c r="AU177" i="69"/>
  <c r="AT177" i="69"/>
  <c r="AS177" i="69"/>
  <c r="AR177" i="69"/>
  <c r="AU176" i="69"/>
  <c r="AT176" i="69"/>
  <c r="AS176" i="69"/>
  <c r="AR176" i="69"/>
  <c r="AU175" i="69"/>
  <c r="AT175" i="69"/>
  <c r="AS175" i="69"/>
  <c r="AR175" i="69"/>
  <c r="AU174" i="69"/>
  <c r="AT174" i="69"/>
  <c r="AS174" i="69"/>
  <c r="AR174" i="69"/>
  <c r="AU173" i="69"/>
  <c r="AT173" i="69"/>
  <c r="AS173" i="69"/>
  <c r="AR173" i="69"/>
  <c r="AU172" i="69"/>
  <c r="AT172" i="69"/>
  <c r="AS172" i="69"/>
  <c r="AR172" i="69"/>
  <c r="AU171" i="69"/>
  <c r="AT171" i="69"/>
  <c r="AS171" i="69"/>
  <c r="AR171" i="69"/>
  <c r="AU170" i="69"/>
  <c r="AT170" i="69"/>
  <c r="AS170" i="69"/>
  <c r="AR170" i="69"/>
  <c r="AU169" i="69"/>
  <c r="AT169" i="69"/>
  <c r="AS169" i="69"/>
  <c r="AR169" i="69"/>
  <c r="AU168" i="69"/>
  <c r="AT168" i="69"/>
  <c r="AS168" i="69"/>
  <c r="AR168" i="69"/>
  <c r="AU167" i="69"/>
  <c r="AT167" i="69"/>
  <c r="AS167" i="69"/>
  <c r="AR167" i="69"/>
  <c r="AU166" i="69"/>
  <c r="AT166" i="69"/>
  <c r="AS166" i="69"/>
  <c r="AR166" i="69"/>
  <c r="AU165" i="69"/>
  <c r="AT165" i="69"/>
  <c r="AS165" i="69"/>
  <c r="AR165" i="69"/>
  <c r="AU164" i="69"/>
  <c r="AT164" i="69"/>
  <c r="AS164" i="69"/>
  <c r="AR164" i="69"/>
  <c r="AU163" i="69"/>
  <c r="AT163" i="69"/>
  <c r="AS163" i="69"/>
  <c r="AR163" i="69"/>
  <c r="AU162" i="69"/>
  <c r="AT162" i="69"/>
  <c r="AS162" i="69"/>
  <c r="AR162" i="69"/>
  <c r="AU161" i="69"/>
  <c r="AT161" i="69"/>
  <c r="AS161" i="69"/>
  <c r="AR161" i="69"/>
  <c r="AU160" i="69"/>
  <c r="AT160" i="69"/>
  <c r="AS160" i="69"/>
  <c r="AR160" i="69"/>
  <c r="AU159" i="69"/>
  <c r="AT159" i="69"/>
  <c r="AS159" i="69"/>
  <c r="AR159" i="69"/>
  <c r="AU158" i="69"/>
  <c r="AT158" i="69"/>
  <c r="AS158" i="69"/>
  <c r="AR158" i="69"/>
  <c r="AU157" i="69"/>
  <c r="AT157" i="69"/>
  <c r="AS157" i="69"/>
  <c r="AR157" i="69"/>
  <c r="AU156" i="69"/>
  <c r="AT156" i="69"/>
  <c r="AS156" i="69"/>
  <c r="AR156" i="69"/>
  <c r="AU155" i="69"/>
  <c r="AT155" i="69"/>
  <c r="AS155" i="69"/>
  <c r="AR155" i="69"/>
  <c r="AU154" i="69"/>
  <c r="AT154" i="69"/>
  <c r="AS154" i="69"/>
  <c r="AR154" i="69"/>
  <c r="AU153" i="69"/>
  <c r="AT153" i="69"/>
  <c r="AS153" i="69"/>
  <c r="AR153" i="69"/>
  <c r="AU152" i="69"/>
  <c r="AT152" i="69"/>
  <c r="AS152" i="69"/>
  <c r="AR152" i="69"/>
  <c r="AT151" i="69"/>
  <c r="AS151" i="69"/>
  <c r="AR151" i="69"/>
  <c r="AT150" i="69"/>
  <c r="AS150" i="69"/>
  <c r="AR150" i="69"/>
  <c r="AT149" i="69"/>
  <c r="AS149" i="69"/>
  <c r="AR149" i="69"/>
  <c r="AT148" i="69"/>
  <c r="AS148" i="69"/>
  <c r="AR148" i="69"/>
  <c r="AT147" i="69"/>
  <c r="AS147" i="69"/>
  <c r="AR147" i="69"/>
  <c r="AT146" i="69"/>
  <c r="AS146" i="69"/>
  <c r="AR146" i="69"/>
  <c r="AV145" i="69"/>
  <c r="AT145" i="69"/>
  <c r="AS145" i="69"/>
  <c r="AR145" i="69"/>
  <c r="AV144" i="69"/>
  <c r="AT144" i="69"/>
  <c r="AS144" i="69"/>
  <c r="AR144" i="69"/>
  <c r="AV143" i="69"/>
  <c r="AT143" i="69"/>
  <c r="AS143" i="69"/>
  <c r="AR143" i="69"/>
  <c r="AV142" i="69"/>
  <c r="AT142" i="69"/>
  <c r="AS142" i="69"/>
  <c r="AR142" i="69"/>
  <c r="AV141" i="69"/>
  <c r="AT141" i="69"/>
  <c r="AS141" i="69"/>
  <c r="AR141" i="69"/>
  <c r="AV140" i="69"/>
  <c r="AT140" i="69"/>
  <c r="AS140" i="69"/>
  <c r="AR140" i="69"/>
  <c r="AV139" i="69"/>
  <c r="AT139" i="69"/>
  <c r="AS139" i="69"/>
  <c r="AR139" i="69"/>
  <c r="AU132" i="69"/>
  <c r="AT132" i="69"/>
  <c r="AS132" i="69"/>
  <c r="AR132" i="69"/>
  <c r="AU131" i="69"/>
  <c r="AT131" i="69"/>
  <c r="AS131" i="69"/>
  <c r="AR131" i="69"/>
  <c r="AU130" i="69"/>
  <c r="AT130" i="69"/>
  <c r="AS130" i="69"/>
  <c r="AR130" i="69"/>
  <c r="AU129" i="69"/>
  <c r="AT129" i="69"/>
  <c r="AS129" i="69"/>
  <c r="AR129" i="69"/>
  <c r="AU128" i="69"/>
  <c r="AT128" i="69"/>
  <c r="AS128" i="69"/>
  <c r="AR128" i="69"/>
  <c r="AU127" i="69"/>
  <c r="AT127" i="69"/>
  <c r="AS127" i="69"/>
  <c r="AR127" i="69"/>
  <c r="AU126" i="69"/>
  <c r="AT126" i="69"/>
  <c r="AS126" i="69"/>
  <c r="AR126" i="69"/>
  <c r="AU125" i="69"/>
  <c r="AT125" i="69"/>
  <c r="AS125" i="69"/>
  <c r="AR125" i="69"/>
  <c r="AU124" i="69"/>
  <c r="AT124" i="69"/>
  <c r="AS124" i="69"/>
  <c r="AR124" i="69"/>
  <c r="AU123" i="69"/>
  <c r="AT123" i="69"/>
  <c r="AS123" i="69"/>
  <c r="AR123" i="69"/>
  <c r="AU122" i="69"/>
  <c r="AT122" i="69"/>
  <c r="AS122" i="69"/>
  <c r="AR122" i="69"/>
  <c r="AU121" i="69"/>
  <c r="AT121" i="69"/>
  <c r="AS121" i="69"/>
  <c r="AR121" i="69"/>
  <c r="AU120" i="69"/>
  <c r="AT120" i="69"/>
  <c r="AS120" i="69"/>
  <c r="AR120" i="69"/>
  <c r="AU119" i="69"/>
  <c r="AT119" i="69"/>
  <c r="AS119" i="69"/>
  <c r="AR119" i="69"/>
  <c r="AU118" i="69"/>
  <c r="AT118" i="69"/>
  <c r="AS118" i="69"/>
  <c r="AR118" i="69"/>
  <c r="AU117" i="69"/>
  <c r="AT117" i="69"/>
  <c r="AS117" i="69"/>
  <c r="AR117" i="69"/>
  <c r="AU116" i="69"/>
  <c r="AT116" i="69"/>
  <c r="AS116" i="69"/>
  <c r="AR116" i="69"/>
  <c r="AU115" i="69"/>
  <c r="AT115" i="69"/>
  <c r="AS115" i="69"/>
  <c r="AR115" i="69"/>
  <c r="AU114" i="69"/>
  <c r="AT114" i="69"/>
  <c r="AS114" i="69"/>
  <c r="AR114" i="69"/>
  <c r="AU113" i="69"/>
  <c r="AT113" i="69"/>
  <c r="AS113" i="69"/>
  <c r="AR113" i="69"/>
  <c r="AU112" i="69"/>
  <c r="AT112" i="69"/>
  <c r="AS112" i="69"/>
  <c r="AR112" i="69"/>
  <c r="AU111" i="69"/>
  <c r="AT111" i="69"/>
  <c r="AS111" i="69"/>
  <c r="AR111" i="69"/>
  <c r="AU110" i="69"/>
  <c r="AT110" i="69"/>
  <c r="AS110" i="69"/>
  <c r="AR110" i="69"/>
  <c r="AU109" i="69"/>
  <c r="AT109" i="69"/>
  <c r="AS109" i="69"/>
  <c r="AR109" i="69"/>
  <c r="AU108" i="69"/>
  <c r="AT108" i="69"/>
  <c r="AS108" i="69"/>
  <c r="AR108" i="69"/>
  <c r="AU107" i="69"/>
  <c r="AT107" i="69"/>
  <c r="AS107" i="69"/>
  <c r="AR107" i="69"/>
  <c r="AT106" i="69"/>
  <c r="AS106" i="69"/>
  <c r="AR106" i="69"/>
  <c r="AT105" i="69"/>
  <c r="AS105" i="69"/>
  <c r="AR105" i="69"/>
  <c r="AT104" i="69"/>
  <c r="AS104" i="69"/>
  <c r="AR104" i="69"/>
  <c r="AT103" i="69"/>
  <c r="AS103" i="69"/>
  <c r="AR103" i="69"/>
  <c r="AT102" i="69"/>
  <c r="AS102" i="69"/>
  <c r="AR102" i="69"/>
  <c r="AT101" i="69"/>
  <c r="AS101" i="69"/>
  <c r="AR101" i="69"/>
  <c r="AV100" i="69"/>
  <c r="AT100" i="69"/>
  <c r="AS100" i="69"/>
  <c r="AR100" i="69"/>
  <c r="AV99" i="69"/>
  <c r="AT99" i="69"/>
  <c r="AS99" i="69"/>
  <c r="AR99" i="69"/>
  <c r="AV98" i="69"/>
  <c r="AT98" i="69"/>
  <c r="AS98" i="69"/>
  <c r="AR98" i="69"/>
  <c r="AV97" i="69"/>
  <c r="AT97" i="69"/>
  <c r="AS97" i="69"/>
  <c r="AR97" i="69"/>
  <c r="AV96" i="69"/>
  <c r="AT96" i="69"/>
  <c r="AS96" i="69"/>
  <c r="AR96" i="69"/>
  <c r="AV95" i="69"/>
  <c r="AT95" i="69"/>
  <c r="AS95" i="69"/>
  <c r="AR95" i="69"/>
  <c r="AV94" i="69"/>
  <c r="AS94" i="69"/>
  <c r="AR94" i="69"/>
  <c r="AU87" i="69"/>
  <c r="AT87" i="69"/>
  <c r="AS87" i="69"/>
  <c r="AR87" i="69"/>
  <c r="AU86" i="69"/>
  <c r="AT86" i="69"/>
  <c r="AS86" i="69"/>
  <c r="AR86" i="69"/>
  <c r="AU85" i="69"/>
  <c r="AT85" i="69"/>
  <c r="AS85" i="69"/>
  <c r="AR85" i="69"/>
  <c r="AU84" i="69"/>
  <c r="AT84" i="69"/>
  <c r="AS84" i="69"/>
  <c r="AR84" i="69"/>
  <c r="AU83" i="69"/>
  <c r="AT83" i="69"/>
  <c r="AS83" i="69"/>
  <c r="AR83" i="69"/>
  <c r="AU82" i="69"/>
  <c r="AT82" i="69"/>
  <c r="AS82" i="69"/>
  <c r="AR82" i="69"/>
  <c r="AU81" i="69"/>
  <c r="AT81" i="69"/>
  <c r="AS81" i="69"/>
  <c r="AR81" i="69"/>
  <c r="AU80" i="69"/>
  <c r="AT80" i="69"/>
  <c r="AS80" i="69"/>
  <c r="AR80" i="69"/>
  <c r="AU79" i="69"/>
  <c r="AT79" i="69"/>
  <c r="AS79" i="69"/>
  <c r="AR79" i="69"/>
  <c r="AU78" i="69"/>
  <c r="AT78" i="69"/>
  <c r="AS78" i="69"/>
  <c r="AR78" i="69"/>
  <c r="AU77" i="69"/>
  <c r="AT77" i="69"/>
  <c r="AS77" i="69"/>
  <c r="AR77" i="69"/>
  <c r="AU76" i="69"/>
  <c r="AT76" i="69"/>
  <c r="AS76" i="69"/>
  <c r="AR76" i="69"/>
  <c r="AU75" i="69"/>
  <c r="AT75" i="69"/>
  <c r="AS75" i="69"/>
  <c r="AR75" i="69"/>
  <c r="AU74" i="69"/>
  <c r="AT74" i="69"/>
  <c r="AS74" i="69"/>
  <c r="AR74" i="69"/>
  <c r="AU73" i="69"/>
  <c r="AT73" i="69"/>
  <c r="AS73" i="69"/>
  <c r="AR73" i="69"/>
  <c r="AU72" i="69"/>
  <c r="AT72" i="69"/>
  <c r="AS72" i="69"/>
  <c r="AR72" i="69"/>
  <c r="AU71" i="69"/>
  <c r="AT71" i="69"/>
  <c r="AS71" i="69"/>
  <c r="AR71" i="69"/>
  <c r="AU70" i="69"/>
  <c r="AT70" i="69"/>
  <c r="AS70" i="69"/>
  <c r="AR70" i="69"/>
  <c r="AU69" i="69"/>
  <c r="AT69" i="69"/>
  <c r="AS69" i="69"/>
  <c r="AR69" i="69"/>
  <c r="AU68" i="69"/>
  <c r="AT68" i="69"/>
  <c r="AS68" i="69"/>
  <c r="AR68" i="69"/>
  <c r="AU67" i="69"/>
  <c r="AT67" i="69"/>
  <c r="AS67" i="69"/>
  <c r="AR67" i="69"/>
  <c r="AU66" i="69"/>
  <c r="AT66" i="69"/>
  <c r="AS66" i="69"/>
  <c r="AR66" i="69"/>
  <c r="AU65" i="69"/>
  <c r="AT65" i="69"/>
  <c r="AS65" i="69"/>
  <c r="AR65" i="69"/>
  <c r="AU64" i="69"/>
  <c r="AT64" i="69"/>
  <c r="AS64" i="69"/>
  <c r="AR64" i="69"/>
  <c r="AU63" i="69"/>
  <c r="AT63" i="69"/>
  <c r="AS63" i="69"/>
  <c r="AR63" i="69"/>
  <c r="AU62" i="69"/>
  <c r="AT62" i="69"/>
  <c r="AS62" i="69"/>
  <c r="AR62" i="69"/>
  <c r="AT61" i="69"/>
  <c r="AS61" i="69"/>
  <c r="AR61" i="69"/>
  <c r="AT60" i="69"/>
  <c r="AS60" i="69"/>
  <c r="AR60" i="69"/>
  <c r="AT59" i="69"/>
  <c r="AS59" i="69"/>
  <c r="AR59" i="69"/>
  <c r="AT58" i="69"/>
  <c r="AS58" i="69"/>
  <c r="AR58" i="69"/>
  <c r="AT57" i="69"/>
  <c r="AS57" i="69"/>
  <c r="AR57" i="69"/>
  <c r="AT56" i="69"/>
  <c r="AS56" i="69"/>
  <c r="AR56" i="69"/>
  <c r="AV55" i="69"/>
  <c r="AT55" i="69"/>
  <c r="AS55" i="69"/>
  <c r="AR55" i="69"/>
  <c r="AV54" i="69"/>
  <c r="AT54" i="69"/>
  <c r="AS54" i="69"/>
  <c r="AR54" i="69"/>
  <c r="AV53" i="69"/>
  <c r="AT53" i="69"/>
  <c r="AS53" i="69"/>
  <c r="AR53" i="69"/>
  <c r="AV52" i="69"/>
  <c r="AT52" i="69"/>
  <c r="AS52" i="69"/>
  <c r="AR52" i="69"/>
  <c r="AV51" i="69"/>
  <c r="AT51" i="69"/>
  <c r="AS51" i="69"/>
  <c r="AR51" i="69"/>
  <c r="AV50" i="69"/>
  <c r="AT50" i="69"/>
  <c r="AS50" i="69"/>
  <c r="AR50" i="69"/>
  <c r="AV49" i="69"/>
  <c r="AS49" i="69"/>
  <c r="AR49" i="69"/>
  <c r="AR5" i="69"/>
  <c r="AS5" i="69"/>
  <c r="AT5" i="69"/>
  <c r="AV5" i="69"/>
  <c r="AR6" i="69"/>
  <c r="AS6" i="69"/>
  <c r="AT6" i="69"/>
  <c r="AV6" i="69"/>
  <c r="AR7" i="69"/>
  <c r="AS7" i="69"/>
  <c r="AT7" i="69"/>
  <c r="AV7" i="69"/>
  <c r="AR8" i="69"/>
  <c r="AS8" i="69"/>
  <c r="AT8" i="69"/>
  <c r="AV8" i="69"/>
  <c r="AR9" i="69"/>
  <c r="AS9" i="69"/>
  <c r="AT9" i="69"/>
  <c r="AV9" i="69"/>
  <c r="AR10" i="69"/>
  <c r="AS10" i="69"/>
  <c r="AT10" i="69"/>
  <c r="AV10" i="69"/>
  <c r="AR11" i="69"/>
  <c r="AS11" i="69"/>
  <c r="AT11" i="69"/>
  <c r="AR12" i="69"/>
  <c r="AS12" i="69"/>
  <c r="AT12" i="69"/>
  <c r="AR13" i="69"/>
  <c r="AS13" i="69"/>
  <c r="AT13" i="69"/>
  <c r="AR14" i="69"/>
  <c r="AS14" i="69"/>
  <c r="AT14" i="69"/>
  <c r="AR15" i="69"/>
  <c r="AS15" i="69"/>
  <c r="AT15" i="69"/>
  <c r="AR16" i="69"/>
  <c r="AS16" i="69"/>
  <c r="AT16" i="69"/>
  <c r="AR17" i="69"/>
  <c r="AS17" i="69"/>
  <c r="AT17" i="69"/>
  <c r="AU17" i="69"/>
  <c r="AR18" i="69"/>
  <c r="AS18" i="69"/>
  <c r="AT18" i="69"/>
  <c r="AU18" i="69"/>
  <c r="AR19" i="69"/>
  <c r="AS19" i="69"/>
  <c r="AT19" i="69"/>
  <c r="AU19" i="69"/>
  <c r="AR20" i="69"/>
  <c r="AS20" i="69"/>
  <c r="AT20" i="69"/>
  <c r="AU20" i="69"/>
  <c r="AR21" i="69"/>
  <c r="AS21" i="69"/>
  <c r="AT21" i="69"/>
  <c r="AU21" i="69"/>
  <c r="AR22" i="69"/>
  <c r="AS22" i="69"/>
  <c r="AT22" i="69"/>
  <c r="AU22" i="69"/>
  <c r="AR23" i="69"/>
  <c r="AS23" i="69"/>
  <c r="AT23" i="69"/>
  <c r="AU23" i="69"/>
  <c r="AR24" i="69"/>
  <c r="AS24" i="69"/>
  <c r="AT24" i="69"/>
  <c r="AU24" i="69"/>
  <c r="AR25" i="69"/>
  <c r="AS25" i="69"/>
  <c r="AT25" i="69"/>
  <c r="AU25" i="69"/>
  <c r="AR26" i="69"/>
  <c r="AS26" i="69"/>
  <c r="AT26" i="69"/>
  <c r="AU26" i="69"/>
  <c r="AR27" i="69"/>
  <c r="AS27" i="69"/>
  <c r="AT27" i="69"/>
  <c r="AU27" i="69"/>
  <c r="AR28" i="69"/>
  <c r="AS28" i="69"/>
  <c r="AT28" i="69"/>
  <c r="AU28" i="69"/>
  <c r="AR29" i="69"/>
  <c r="AS29" i="69"/>
  <c r="AT29" i="69"/>
  <c r="AU29" i="69"/>
  <c r="AR30" i="69"/>
  <c r="AS30" i="69"/>
  <c r="AT30" i="69"/>
  <c r="AU30" i="69"/>
  <c r="AR31" i="69"/>
  <c r="AS31" i="69"/>
  <c r="AT31" i="69"/>
  <c r="AU31" i="69"/>
  <c r="AR32" i="69"/>
  <c r="AS32" i="69"/>
  <c r="AT32" i="69"/>
  <c r="AU32" i="69"/>
  <c r="AR33" i="69"/>
  <c r="AS33" i="69"/>
  <c r="AT33" i="69"/>
  <c r="AU33" i="69"/>
  <c r="AR34" i="69"/>
  <c r="AS34" i="69"/>
  <c r="AT34" i="69"/>
  <c r="AU34" i="69"/>
  <c r="AR35" i="69"/>
  <c r="AS35" i="69"/>
  <c r="AT35" i="69"/>
  <c r="AU35" i="69"/>
  <c r="AR36" i="69"/>
  <c r="AS36" i="69"/>
  <c r="AT36" i="69"/>
  <c r="AU36" i="69"/>
  <c r="AR37" i="69"/>
  <c r="AS37" i="69"/>
  <c r="AT37" i="69"/>
  <c r="AU37" i="69"/>
  <c r="AR38" i="69"/>
  <c r="AS38" i="69"/>
  <c r="AT38" i="69"/>
  <c r="AU38" i="69"/>
  <c r="AR39" i="69"/>
  <c r="AS39" i="69"/>
  <c r="AT39" i="69"/>
  <c r="AU39" i="69"/>
  <c r="AR40" i="69"/>
  <c r="AS40" i="69"/>
  <c r="AT40" i="69"/>
  <c r="AU40" i="69"/>
  <c r="AR41" i="69"/>
  <c r="AS41" i="69"/>
  <c r="AT41" i="69"/>
  <c r="AU41" i="69"/>
  <c r="AR42" i="69"/>
  <c r="AS42" i="69"/>
  <c r="AT42" i="69"/>
  <c r="AU42" i="69"/>
  <c r="AS4" i="69"/>
  <c r="AV4" i="69"/>
  <c r="AR4" i="69"/>
  <c r="O10" i="97" l="1"/>
  <c r="N8" i="97"/>
  <c r="O8" i="97" s="1"/>
  <c r="AH13" i="97"/>
  <c r="AH12" i="97"/>
  <c r="AH14" i="97"/>
  <c r="AH15" i="97"/>
  <c r="AH11" i="97"/>
  <c r="M9" i="97" l="1"/>
  <c r="AA5" i="97"/>
  <c r="N9" i="97" l="1"/>
  <c r="O9" i="97" s="1"/>
  <c r="O36" i="97" l="1"/>
  <c r="O37" i="97" s="1"/>
  <c r="O38" i="97" s="1"/>
  <c r="O39" i="97" s="1"/>
  <c r="O32" i="97"/>
  <c r="N32" i="97"/>
  <c r="N30" i="97"/>
  <c r="N29" i="97"/>
  <c r="N28" i="97"/>
  <c r="N27" i="97"/>
  <c r="N26" i="97"/>
  <c r="O18" i="97"/>
  <c r="N39" i="97" s="1"/>
  <c r="O14" i="97"/>
  <c r="M13" i="97"/>
  <c r="M32" i="97" s="1"/>
  <c r="M10" i="97"/>
  <c r="L10" i="97"/>
  <c r="O5" i="97"/>
  <c r="N5" i="97"/>
  <c r="M5" i="97"/>
  <c r="L13" i="97" l="1"/>
  <c r="L32" i="97" s="1"/>
  <c r="M17" i="97"/>
  <c r="M26" i="97" s="1"/>
  <c r="N37" i="97"/>
  <c r="M37" i="97" s="1"/>
  <c r="M39" i="97"/>
  <c r="O27" i="97"/>
  <c r="O29" i="97"/>
  <c r="N38" i="97"/>
  <c r="M38" i="97" s="1"/>
  <c r="L3" i="97"/>
  <c r="O26" i="97"/>
  <c r="O28" i="97"/>
  <c r="O30" i="97"/>
  <c r="N36" i="97"/>
  <c r="M36" i="97" s="1"/>
  <c r="N35" i="97"/>
  <c r="M35" i="97" s="1"/>
  <c r="W9" i="96"/>
  <c r="I4" i="96"/>
  <c r="R14" i="96"/>
  <c r="R13" i="96"/>
  <c r="U4" i="96"/>
  <c r="W4" i="96" s="1"/>
  <c r="U5" i="96"/>
  <c r="W5" i="96" s="1"/>
  <c r="U6" i="96"/>
  <c r="U7" i="96"/>
  <c r="U8" i="96"/>
  <c r="U3" i="96"/>
  <c r="M29" i="97" l="1"/>
  <c r="M27" i="97"/>
  <c r="M28" i="97"/>
  <c r="M30" i="97"/>
  <c r="L17" i="97"/>
  <c r="W6" i="96"/>
  <c r="W3" i="96"/>
  <c r="W8" i="96"/>
  <c r="W7" i="96"/>
  <c r="I88" i="95"/>
  <c r="I89" i="95"/>
  <c r="I90" i="95"/>
  <c r="I91" i="95"/>
  <c r="I92" i="95"/>
  <c r="I93" i="95"/>
  <c r="I81" i="95"/>
  <c r="I82" i="95"/>
  <c r="I83" i="95"/>
  <c r="I84" i="95"/>
  <c r="I85" i="95"/>
  <c r="I86" i="95"/>
  <c r="I74" i="95"/>
  <c r="I75" i="95"/>
  <c r="I76" i="95"/>
  <c r="I77" i="95"/>
  <c r="I78" i="95"/>
  <c r="I79" i="95"/>
  <c r="E49" i="90"/>
  <c r="AT49" i="90" s="1"/>
  <c r="AE27" i="71"/>
  <c r="E80" i="71"/>
  <c r="F80" i="71"/>
  <c r="G80" i="71"/>
  <c r="H80" i="71"/>
  <c r="I80" i="71"/>
  <c r="E81" i="71"/>
  <c r="F81" i="71"/>
  <c r="G81" i="71"/>
  <c r="H81" i="71"/>
  <c r="I81" i="71"/>
  <c r="D81" i="71"/>
  <c r="D80" i="71"/>
  <c r="I2" i="71"/>
  <c r="I40" i="72"/>
  <c r="I41" i="72"/>
  <c r="I31" i="72"/>
  <c r="I32" i="72"/>
  <c r="I33" i="72"/>
  <c r="I34" i="72"/>
  <c r="I35" i="72"/>
  <c r="I36" i="72"/>
  <c r="I24" i="72"/>
  <c r="I25" i="72" s="1"/>
  <c r="I26" i="72" s="1"/>
  <c r="I27" i="72" s="1"/>
  <c r="I45" i="72" s="1"/>
  <c r="I10" i="72"/>
  <c r="L29" i="97" l="1"/>
  <c r="L30" i="97"/>
  <c r="L4" i="97"/>
  <c r="L28" i="97"/>
  <c r="L26" i="97"/>
  <c r="L27" i="97"/>
  <c r="I43" i="72"/>
  <c r="I44" i="72"/>
  <c r="I42" i="72"/>
  <c r="K5" i="96"/>
  <c r="K6" i="96"/>
  <c r="K7" i="96"/>
  <c r="K8" i="96"/>
  <c r="K9" i="96"/>
  <c r="K10" i="96"/>
  <c r="L10" i="96" s="1"/>
  <c r="K11" i="96"/>
  <c r="L11" i="96" s="1"/>
  <c r="K12" i="96"/>
  <c r="L12" i="96" s="1"/>
  <c r="K13" i="96"/>
  <c r="L13" i="96" s="1"/>
  <c r="K14" i="96"/>
  <c r="L14" i="96" s="1"/>
  <c r="K15" i="96"/>
  <c r="K16" i="96"/>
  <c r="K4" i="96"/>
  <c r="J8" i="96"/>
  <c r="J9" i="96"/>
  <c r="J10" i="96"/>
  <c r="J11" i="96"/>
  <c r="J12" i="96"/>
  <c r="J13" i="96"/>
  <c r="J14" i="96"/>
  <c r="J15" i="96"/>
  <c r="J16" i="96"/>
  <c r="I18" i="96" l="1"/>
  <c r="J5" i="96"/>
  <c r="J6" i="96"/>
  <c r="J7" i="96"/>
  <c r="C6" i="96" l="1"/>
  <c r="C7" i="96" s="1"/>
  <c r="C3" i="96"/>
  <c r="B5" i="96"/>
  <c r="N23" i="96" l="1"/>
  <c r="S14" i="96"/>
  <c r="T14" i="96" s="1"/>
  <c r="N24" i="96" s="1"/>
  <c r="G4" i="96"/>
  <c r="J4" i="96" s="1"/>
  <c r="B8" i="96"/>
  <c r="I69" i="69"/>
  <c r="I70" i="69" s="1"/>
  <c r="I71" i="69" s="1"/>
  <c r="I72" i="69" s="1"/>
  <c r="I73" i="69" s="1"/>
  <c r="I74" i="69" s="1"/>
  <c r="I75" i="69" s="1"/>
  <c r="I76" i="69" s="1"/>
  <c r="D135" i="69"/>
  <c r="E135" i="69"/>
  <c r="F135" i="69"/>
  <c r="G135" i="69"/>
  <c r="H135" i="69"/>
  <c r="I135" i="69"/>
  <c r="D136" i="69"/>
  <c r="E136" i="69"/>
  <c r="F136" i="69"/>
  <c r="G136" i="69"/>
  <c r="H136" i="69"/>
  <c r="I136" i="69"/>
  <c r="D137" i="69"/>
  <c r="E137" i="69"/>
  <c r="F137" i="69"/>
  <c r="G137" i="69"/>
  <c r="H137" i="69"/>
  <c r="I137" i="69"/>
  <c r="D138" i="69"/>
  <c r="E138" i="69"/>
  <c r="F138" i="69"/>
  <c r="G138" i="69"/>
  <c r="H138" i="69"/>
  <c r="I138" i="69"/>
  <c r="D139" i="69"/>
  <c r="E139" i="69"/>
  <c r="F139" i="69"/>
  <c r="G139" i="69"/>
  <c r="H139" i="69"/>
  <c r="I139" i="69"/>
  <c r="D140" i="69"/>
  <c r="E140" i="69"/>
  <c r="F140" i="69"/>
  <c r="G140" i="69"/>
  <c r="H140" i="69"/>
  <c r="I140" i="69"/>
  <c r="D141" i="69"/>
  <c r="E141" i="69"/>
  <c r="F141" i="69"/>
  <c r="G141" i="69"/>
  <c r="H141" i="69"/>
  <c r="I141" i="69"/>
  <c r="D142" i="69"/>
  <c r="E142" i="69"/>
  <c r="F142" i="69"/>
  <c r="G142" i="69"/>
  <c r="H142" i="69"/>
  <c r="I142" i="69"/>
  <c r="E134" i="69"/>
  <c r="F134" i="69"/>
  <c r="G134" i="69"/>
  <c r="H134" i="69"/>
  <c r="I134" i="69"/>
  <c r="D134" i="69"/>
  <c r="I124" i="69"/>
  <c r="V4" i="96" l="1"/>
  <c r="V9" i="96"/>
  <c r="V3" i="96"/>
  <c r="V8" i="96"/>
  <c r="V7" i="96"/>
  <c r="V6" i="96"/>
  <c r="V5" i="96"/>
  <c r="B10" i="96"/>
  <c r="M3" i="96"/>
  <c r="I125" i="69"/>
  <c r="I126" i="69"/>
  <c r="I127" i="69"/>
  <c r="I128" i="69"/>
  <c r="I129" i="69"/>
  <c r="I130" i="69"/>
  <c r="I131" i="69"/>
  <c r="I132" i="69"/>
  <c r="I114" i="69"/>
  <c r="I115" i="69"/>
  <c r="I116" i="69"/>
  <c r="I117" i="69"/>
  <c r="I118" i="69"/>
  <c r="I119" i="69"/>
  <c r="I120" i="69"/>
  <c r="I121" i="69"/>
  <c r="I122" i="69"/>
  <c r="I92" i="69"/>
  <c r="I93" i="69"/>
  <c r="I48" i="69"/>
  <c r="I49" i="69" s="1"/>
  <c r="I50" i="69" s="1"/>
  <c r="I51" i="69" s="1"/>
  <c r="I52" i="69" s="1"/>
  <c r="I53" i="69" s="1"/>
  <c r="I54" i="69" s="1"/>
  <c r="H93" i="69"/>
  <c r="L58" i="69"/>
  <c r="J68" i="69"/>
  <c r="I6" i="69"/>
  <c r="I7" i="69"/>
  <c r="I8" i="69"/>
  <c r="I9" i="69"/>
  <c r="I10" i="69"/>
  <c r="I11" i="69"/>
  <c r="I12" i="69"/>
  <c r="I13" i="69"/>
  <c r="I5" i="69"/>
  <c r="I104" i="69" s="1"/>
  <c r="D4" i="84"/>
  <c r="E4" i="84"/>
  <c r="C4" i="84"/>
  <c r="D89" i="95"/>
  <c r="E89" i="95"/>
  <c r="F89" i="95"/>
  <c r="G89" i="95"/>
  <c r="H89" i="95"/>
  <c r="D90" i="95"/>
  <c r="E90" i="95"/>
  <c r="F90" i="95"/>
  <c r="G90" i="95"/>
  <c r="H90" i="95"/>
  <c r="D91" i="95"/>
  <c r="E91" i="95"/>
  <c r="F91" i="95"/>
  <c r="G91" i="95"/>
  <c r="H91" i="95"/>
  <c r="D92" i="95"/>
  <c r="E92" i="95"/>
  <c r="F92" i="95"/>
  <c r="G92" i="95"/>
  <c r="H92" i="95"/>
  <c r="D93" i="95"/>
  <c r="E93" i="95"/>
  <c r="F93" i="95"/>
  <c r="G93" i="95"/>
  <c r="H93" i="95"/>
  <c r="E88" i="95"/>
  <c r="F88" i="95"/>
  <c r="G88" i="95"/>
  <c r="H88" i="95"/>
  <c r="D88" i="95"/>
  <c r="D82" i="95"/>
  <c r="E82" i="95"/>
  <c r="F82" i="95"/>
  <c r="G82" i="95"/>
  <c r="H82" i="95"/>
  <c r="D83" i="95"/>
  <c r="E83" i="95"/>
  <c r="F83" i="95"/>
  <c r="G83" i="95"/>
  <c r="H83" i="95"/>
  <c r="D84" i="95"/>
  <c r="E84" i="95"/>
  <c r="F84" i="95"/>
  <c r="G84" i="95"/>
  <c r="H84" i="95"/>
  <c r="D85" i="95"/>
  <c r="E85" i="95"/>
  <c r="F85" i="95"/>
  <c r="G85" i="95"/>
  <c r="H85" i="95"/>
  <c r="D86" i="95"/>
  <c r="E86" i="95"/>
  <c r="F86" i="95"/>
  <c r="G86" i="95"/>
  <c r="H86" i="95"/>
  <c r="E81" i="95"/>
  <c r="F81" i="95"/>
  <c r="G81" i="95"/>
  <c r="H81" i="95"/>
  <c r="D81" i="95"/>
  <c r="D75" i="95"/>
  <c r="E75" i="95"/>
  <c r="F75" i="95"/>
  <c r="G75" i="95"/>
  <c r="H75" i="95"/>
  <c r="D76" i="95"/>
  <c r="E76" i="95"/>
  <c r="F76" i="95"/>
  <c r="G76" i="95"/>
  <c r="H76" i="95"/>
  <c r="D77" i="95"/>
  <c r="E77" i="95"/>
  <c r="F77" i="95"/>
  <c r="G77" i="95"/>
  <c r="H77" i="95"/>
  <c r="D78" i="95"/>
  <c r="E78" i="95"/>
  <c r="F78" i="95"/>
  <c r="G78" i="95"/>
  <c r="H78" i="95"/>
  <c r="D79" i="95"/>
  <c r="E79" i="95"/>
  <c r="F79" i="95"/>
  <c r="G79" i="95"/>
  <c r="H79" i="95"/>
  <c r="E74" i="95"/>
  <c r="F74" i="95"/>
  <c r="G74" i="95"/>
  <c r="H74" i="95"/>
  <c r="D74" i="95"/>
  <c r="M10" i="96" l="1"/>
  <c r="N10" i="96" s="1"/>
  <c r="M14" i="96"/>
  <c r="N14" i="96" s="1"/>
  <c r="M13" i="96"/>
  <c r="N13" i="96" s="1"/>
  <c r="M5" i="96"/>
  <c r="M16" i="96"/>
  <c r="M12" i="96"/>
  <c r="N12" i="96" s="1"/>
  <c r="M11" i="96"/>
  <c r="N11" i="96" s="1"/>
  <c r="M4" i="96"/>
  <c r="M6" i="96"/>
  <c r="M9" i="96"/>
  <c r="M15" i="96"/>
  <c r="M8" i="96"/>
  <c r="M7" i="96"/>
  <c r="I111" i="69"/>
  <c r="I110" i="69"/>
  <c r="I108" i="69"/>
  <c r="I107" i="69"/>
  <c r="I106" i="69"/>
  <c r="I105" i="69"/>
  <c r="I109" i="69"/>
  <c r="I14" i="69"/>
  <c r="I112" i="69"/>
  <c r="I94" i="69"/>
  <c r="I99" i="69"/>
  <c r="I100" i="69"/>
  <c r="I98" i="69"/>
  <c r="I97" i="69"/>
  <c r="I96" i="69"/>
  <c r="I95" i="69"/>
  <c r="AM5" i="69"/>
  <c r="BN95" i="95"/>
  <c r="BQ96" i="95"/>
  <c r="BN107" i="95"/>
  <c r="BP129" i="95"/>
  <c r="AV5" i="95"/>
  <c r="AZ50" i="95"/>
  <c r="BO125" i="95"/>
  <c r="BM103" i="95"/>
  <c r="AR140" i="95"/>
  <c r="BO108" i="95"/>
  <c r="BP119" i="95"/>
  <c r="BO99" i="95"/>
  <c r="BM131" i="95"/>
  <c r="BD185" i="95"/>
  <c r="BB140" i="95"/>
  <c r="BN130" i="95"/>
  <c r="BP122" i="95"/>
  <c r="BO120" i="95"/>
  <c r="BP117" i="95"/>
  <c r="BN102" i="95"/>
  <c r="BN114" i="95"/>
  <c r="BA5" i="95"/>
  <c r="BD5" i="95"/>
  <c r="BM112" i="95"/>
  <c r="AQ50" i="95"/>
  <c r="AU185" i="95"/>
  <c r="BO96" i="95"/>
  <c r="AY50" i="95"/>
  <c r="BP128" i="95"/>
  <c r="BN129" i="95"/>
  <c r="AV185" i="95"/>
  <c r="BN132" i="95"/>
  <c r="AZ95" i="95"/>
  <c r="BN125" i="95"/>
  <c r="AQ5" i="95"/>
  <c r="BN110" i="95"/>
  <c r="BM110" i="95"/>
  <c r="BM130" i="95"/>
  <c r="BM121" i="95"/>
  <c r="BQ100" i="95"/>
  <c r="AZ140" i="95"/>
  <c r="BP115" i="95"/>
  <c r="BN105" i="95"/>
  <c r="BP112" i="95"/>
  <c r="BP108" i="95"/>
  <c r="BM111" i="95"/>
  <c r="AV50" i="95"/>
  <c r="BM125" i="95"/>
  <c r="BN109" i="95"/>
  <c r="AY95" i="95"/>
  <c r="AZ5" i="95"/>
  <c r="AT50" i="95"/>
  <c r="BM95" i="95"/>
  <c r="BO129" i="95"/>
  <c r="AP140" i="95"/>
  <c r="BO116" i="95"/>
  <c r="BN98" i="95"/>
  <c r="AQ185" i="95"/>
  <c r="BO132" i="95"/>
  <c r="BM132" i="95"/>
  <c r="BO101" i="95"/>
  <c r="BM114" i="95"/>
  <c r="BN128" i="95"/>
  <c r="BQ98" i="95"/>
  <c r="BO127" i="95"/>
  <c r="AP50" i="95"/>
  <c r="BN113" i="95"/>
  <c r="BO104" i="95"/>
  <c r="BA140" i="95"/>
  <c r="BM117" i="95"/>
  <c r="BM107" i="95"/>
  <c r="AP5" i="95"/>
  <c r="BO114" i="95"/>
  <c r="BN111" i="95"/>
  <c r="BO123" i="95"/>
  <c r="BO124" i="95"/>
  <c r="BN118" i="95"/>
  <c r="BM100" i="95"/>
  <c r="BO117" i="95"/>
  <c r="BP118" i="95"/>
  <c r="BN123" i="95"/>
  <c r="AW185" i="95"/>
  <c r="BN104" i="95"/>
  <c r="AY5" i="95"/>
  <c r="BM123" i="95"/>
  <c r="BP121" i="95"/>
  <c r="BN97" i="95"/>
  <c r="BM133" i="95"/>
  <c r="BP110" i="95"/>
  <c r="BM129" i="95"/>
  <c r="BA185" i="95"/>
  <c r="BM104" i="95"/>
  <c r="AU50" i="95"/>
  <c r="BA50" i="95"/>
  <c r="BN117" i="95"/>
  <c r="BO113" i="95"/>
  <c r="BM108" i="95"/>
  <c r="BA95" i="95"/>
  <c r="AV140" i="95"/>
  <c r="BN126" i="95"/>
  <c r="AP185" i="95"/>
  <c r="BB185" i="95"/>
  <c r="BN119" i="95"/>
  <c r="BO106" i="95"/>
  <c r="BO109" i="95"/>
  <c r="BO121" i="95"/>
  <c r="BP125" i="95"/>
  <c r="BN127" i="95"/>
  <c r="BP109" i="95"/>
  <c r="BO107" i="95"/>
  <c r="BO112" i="95"/>
  <c r="AT185" i="95"/>
  <c r="AT140" i="95"/>
  <c r="BO100" i="95"/>
  <c r="BN122" i="95"/>
  <c r="BO102" i="95"/>
  <c r="BM105" i="95"/>
  <c r="BN100" i="95"/>
  <c r="BN115" i="95"/>
  <c r="BO110" i="95"/>
  <c r="BM126" i="95"/>
  <c r="BD140" i="95"/>
  <c r="BP120" i="95"/>
  <c r="BM97" i="95"/>
  <c r="BM98" i="95"/>
  <c r="BN131" i="95"/>
  <c r="AU5" i="95"/>
  <c r="BQ101" i="95"/>
  <c r="BD95" i="95"/>
  <c r="BP113" i="95"/>
  <c r="BM122" i="95"/>
  <c r="BN99" i="95"/>
  <c r="BP133" i="95"/>
  <c r="BN116" i="95"/>
  <c r="AY185" i="95"/>
  <c r="BN112" i="95"/>
  <c r="BQ97" i="95"/>
  <c r="BO133" i="95"/>
  <c r="BM120" i="95"/>
  <c r="BO119" i="95"/>
  <c r="BO118" i="95"/>
  <c r="AY140" i="95"/>
  <c r="BP114" i="95"/>
  <c r="AT5" i="95"/>
  <c r="AU140" i="95"/>
  <c r="BN106" i="95"/>
  <c r="BM101" i="95"/>
  <c r="BM109" i="95"/>
  <c r="BO131" i="95"/>
  <c r="BM99" i="95"/>
  <c r="BO126" i="95"/>
  <c r="BO130" i="95"/>
  <c r="BP124" i="95"/>
  <c r="BM115" i="95"/>
  <c r="BP116" i="95"/>
  <c r="BN120" i="95"/>
  <c r="BN108" i="95"/>
  <c r="AY186" i="95"/>
  <c r="BP126" i="95"/>
  <c r="BM113" i="95"/>
  <c r="AV95" i="95"/>
  <c r="BN101" i="95"/>
  <c r="BM102" i="95"/>
  <c r="BQ99" i="95"/>
  <c r="BP111" i="95"/>
  <c r="AP95" i="95"/>
  <c r="BN133" i="95"/>
  <c r="AQ95" i="95"/>
  <c r="AU95" i="95"/>
  <c r="BM106" i="95"/>
  <c r="AT95" i="95"/>
  <c r="BP127" i="95"/>
  <c r="BD50" i="95"/>
  <c r="BN121" i="95"/>
  <c r="BM119" i="95"/>
  <c r="AQ140" i="95"/>
  <c r="BP132" i="95"/>
  <c r="BM96" i="95"/>
  <c r="BM128" i="95"/>
  <c r="BM124" i="95"/>
  <c r="BM118" i="95"/>
  <c r="BO98" i="95"/>
  <c r="BP131" i="95"/>
  <c r="BP123" i="95"/>
  <c r="AR185" i="95"/>
  <c r="BO111" i="95"/>
  <c r="BO103" i="95"/>
  <c r="BO97" i="95"/>
  <c r="AW140" i="95"/>
  <c r="BM116" i="95"/>
  <c r="BO105" i="95"/>
  <c r="BO115" i="95"/>
  <c r="BN96" i="95"/>
  <c r="AZ185" i="95"/>
  <c r="BM127" i="95"/>
  <c r="BN124" i="95"/>
  <c r="BO122" i="95"/>
  <c r="BP130" i="95"/>
  <c r="BN103" i="95"/>
  <c r="BO128" i="95"/>
  <c r="BQ95" i="95"/>
  <c r="AL4" i="69" l="1"/>
  <c r="AM4" i="69"/>
  <c r="AP4" i="69"/>
  <c r="AL5" i="69"/>
  <c r="AN5" i="69"/>
  <c r="AP5" i="69"/>
  <c r="AL6" i="69"/>
  <c r="AM6" i="69"/>
  <c r="AN6" i="69"/>
  <c r="AP6" i="69"/>
  <c r="AL7" i="69"/>
  <c r="AM7" i="69"/>
  <c r="AN7" i="69"/>
  <c r="AP7" i="69"/>
  <c r="AL8" i="69"/>
  <c r="AM8" i="69"/>
  <c r="AN8" i="69"/>
  <c r="AP8" i="69"/>
  <c r="AL9" i="69"/>
  <c r="AM9" i="69"/>
  <c r="AN9" i="69"/>
  <c r="AP9" i="69"/>
  <c r="AL10" i="69"/>
  <c r="AM10" i="69"/>
  <c r="AN10" i="69"/>
  <c r="AP10" i="69"/>
  <c r="AL11" i="69"/>
  <c r="AM11" i="69"/>
  <c r="AN11" i="69"/>
  <c r="AL12" i="69"/>
  <c r="AM12" i="69"/>
  <c r="AN12" i="69"/>
  <c r="AL13" i="69"/>
  <c r="AM13" i="69"/>
  <c r="AN13" i="69"/>
  <c r="AL14" i="69"/>
  <c r="AM14" i="69"/>
  <c r="AN14" i="69"/>
  <c r="AL15" i="69"/>
  <c r="AM15" i="69"/>
  <c r="AN15" i="69"/>
  <c r="AL16" i="69"/>
  <c r="AM16" i="69"/>
  <c r="AN16" i="69"/>
  <c r="AL17" i="69"/>
  <c r="AM17" i="69"/>
  <c r="AN17" i="69"/>
  <c r="AO17" i="69"/>
  <c r="AL18" i="69"/>
  <c r="AM18" i="69"/>
  <c r="AN18" i="69"/>
  <c r="AO18" i="69"/>
  <c r="AL19" i="69"/>
  <c r="AM19" i="69"/>
  <c r="AN19" i="69"/>
  <c r="AO19" i="69"/>
  <c r="AL20" i="69"/>
  <c r="AM20" i="69"/>
  <c r="AN20" i="69"/>
  <c r="AO20" i="69"/>
  <c r="AL21" i="69"/>
  <c r="AM21" i="69"/>
  <c r="AN21" i="69"/>
  <c r="AO21" i="69"/>
  <c r="AL22" i="69"/>
  <c r="AM22" i="69"/>
  <c r="AN22" i="69"/>
  <c r="AO22" i="69"/>
  <c r="AL23" i="69"/>
  <c r="AM23" i="69"/>
  <c r="AN23" i="69"/>
  <c r="AO23" i="69"/>
  <c r="AL24" i="69"/>
  <c r="AM24" i="69"/>
  <c r="AN24" i="69"/>
  <c r="AO24" i="69"/>
  <c r="AL25" i="69"/>
  <c r="AM25" i="69"/>
  <c r="AN25" i="69"/>
  <c r="AO25" i="69"/>
  <c r="AL26" i="69"/>
  <c r="AM26" i="69"/>
  <c r="AN26" i="69"/>
  <c r="AO26" i="69"/>
  <c r="AL27" i="69"/>
  <c r="AM27" i="69"/>
  <c r="AN27" i="69"/>
  <c r="AO27" i="69"/>
  <c r="AL28" i="69"/>
  <c r="AM28" i="69"/>
  <c r="AN28" i="69"/>
  <c r="AO28" i="69"/>
  <c r="AL29" i="69"/>
  <c r="AM29" i="69"/>
  <c r="AN29" i="69"/>
  <c r="AO29" i="69"/>
  <c r="AL30" i="69"/>
  <c r="AM30" i="69"/>
  <c r="AN30" i="69"/>
  <c r="AO30" i="69"/>
  <c r="AL31" i="69"/>
  <c r="AM31" i="69"/>
  <c r="AN31" i="69"/>
  <c r="AO31" i="69"/>
  <c r="AL32" i="69"/>
  <c r="AM32" i="69"/>
  <c r="AN32" i="69"/>
  <c r="AO32" i="69"/>
  <c r="AL33" i="69"/>
  <c r="AM33" i="69"/>
  <c r="AN33" i="69"/>
  <c r="AO33" i="69"/>
  <c r="AL34" i="69"/>
  <c r="AM34" i="69"/>
  <c r="AN34" i="69"/>
  <c r="AO34" i="69"/>
  <c r="AL35" i="69"/>
  <c r="AM35" i="69"/>
  <c r="AN35" i="69"/>
  <c r="AO35" i="69"/>
  <c r="AL36" i="69"/>
  <c r="AM36" i="69"/>
  <c r="AN36" i="69"/>
  <c r="AO36" i="69"/>
  <c r="AL37" i="69"/>
  <c r="AM37" i="69"/>
  <c r="AN37" i="69"/>
  <c r="AO37" i="69"/>
  <c r="AL38" i="69"/>
  <c r="AM38" i="69"/>
  <c r="AN38" i="69"/>
  <c r="AO38" i="69"/>
  <c r="AL39" i="69"/>
  <c r="AM39" i="69"/>
  <c r="AN39" i="69"/>
  <c r="AO39" i="69"/>
  <c r="AL40" i="69"/>
  <c r="AM40" i="69"/>
  <c r="AN40" i="69"/>
  <c r="AO40" i="69"/>
  <c r="AL41" i="69"/>
  <c r="AM41" i="69"/>
  <c r="AN41" i="69"/>
  <c r="AO41" i="69"/>
  <c r="AL42" i="69"/>
  <c r="AM42" i="69"/>
  <c r="AN42" i="69"/>
  <c r="AO42" i="69"/>
  <c r="AL49" i="69"/>
  <c r="AM49" i="69"/>
  <c r="AP49" i="69"/>
  <c r="AL50" i="69"/>
  <c r="AM50" i="69"/>
  <c r="AN50" i="69"/>
  <c r="AP50" i="69"/>
  <c r="AL51" i="69"/>
  <c r="AM51" i="69"/>
  <c r="AN51" i="69"/>
  <c r="AP51" i="69"/>
  <c r="AL52" i="69"/>
  <c r="AM52" i="69"/>
  <c r="AN52" i="69"/>
  <c r="AP52" i="69"/>
  <c r="AL53" i="69"/>
  <c r="AM53" i="69"/>
  <c r="AN53" i="69"/>
  <c r="AP53" i="69"/>
  <c r="AL54" i="69"/>
  <c r="AM54" i="69"/>
  <c r="AN54" i="69"/>
  <c r="AP54" i="69"/>
  <c r="AL55" i="69"/>
  <c r="AM55" i="69"/>
  <c r="AN55" i="69"/>
  <c r="AP55" i="69"/>
  <c r="AL56" i="69"/>
  <c r="AM56" i="69"/>
  <c r="AN56" i="69"/>
  <c r="AL57" i="69"/>
  <c r="AM57" i="69"/>
  <c r="AN57" i="69"/>
  <c r="AL58" i="69"/>
  <c r="AM58" i="69"/>
  <c r="AN58" i="69"/>
  <c r="AL59" i="69"/>
  <c r="AM59" i="69"/>
  <c r="AN59" i="69"/>
  <c r="AL60" i="69"/>
  <c r="AM60" i="69"/>
  <c r="AN60" i="69"/>
  <c r="AL61" i="69"/>
  <c r="AM61" i="69"/>
  <c r="AN61" i="69"/>
  <c r="AL62" i="69"/>
  <c r="AM62" i="69"/>
  <c r="AN62" i="69"/>
  <c r="AO62" i="69"/>
  <c r="AL63" i="69"/>
  <c r="AM63" i="69"/>
  <c r="AN63" i="69"/>
  <c r="AO63" i="69"/>
  <c r="AL64" i="69"/>
  <c r="AM64" i="69"/>
  <c r="AN64" i="69"/>
  <c r="AO64" i="69"/>
  <c r="AL65" i="69"/>
  <c r="AM65" i="69"/>
  <c r="AN65" i="69"/>
  <c r="AO65" i="69"/>
  <c r="AL66" i="69"/>
  <c r="AM66" i="69"/>
  <c r="AN66" i="69"/>
  <c r="AO66" i="69"/>
  <c r="AL67" i="69"/>
  <c r="AM67" i="69"/>
  <c r="AN67" i="69"/>
  <c r="AO67" i="69"/>
  <c r="AL68" i="69"/>
  <c r="AM68" i="69"/>
  <c r="AN68" i="69"/>
  <c r="AO68" i="69"/>
  <c r="AL69" i="69"/>
  <c r="AM69" i="69"/>
  <c r="AN69" i="69"/>
  <c r="AO69" i="69"/>
  <c r="AL70" i="69"/>
  <c r="AM70" i="69"/>
  <c r="AN70" i="69"/>
  <c r="AO70" i="69"/>
  <c r="AL71" i="69"/>
  <c r="AM71" i="69"/>
  <c r="AN71" i="69"/>
  <c r="AO71" i="69"/>
  <c r="AL72" i="69"/>
  <c r="AM72" i="69"/>
  <c r="AN72" i="69"/>
  <c r="AO72" i="69"/>
  <c r="AL73" i="69"/>
  <c r="AM73" i="69"/>
  <c r="AN73" i="69"/>
  <c r="AO73" i="69"/>
  <c r="AL74" i="69"/>
  <c r="AM74" i="69"/>
  <c r="AN74" i="69"/>
  <c r="AO74" i="69"/>
  <c r="AL75" i="69"/>
  <c r="AM75" i="69"/>
  <c r="AN75" i="69"/>
  <c r="AO75" i="69"/>
  <c r="AL76" i="69"/>
  <c r="AM76" i="69"/>
  <c r="AN76" i="69"/>
  <c r="AO76" i="69"/>
  <c r="AL77" i="69"/>
  <c r="AM77" i="69"/>
  <c r="AN77" i="69"/>
  <c r="AO77" i="69"/>
  <c r="AL78" i="69"/>
  <c r="AM78" i="69"/>
  <c r="AN78" i="69"/>
  <c r="AO78" i="69"/>
  <c r="AL79" i="69"/>
  <c r="AM79" i="69"/>
  <c r="AN79" i="69"/>
  <c r="AO79" i="69"/>
  <c r="AL80" i="69"/>
  <c r="AM80" i="69"/>
  <c r="AN80" i="69"/>
  <c r="AO80" i="69"/>
  <c r="AL81" i="69"/>
  <c r="AM81" i="69"/>
  <c r="AN81" i="69"/>
  <c r="AO81" i="69"/>
  <c r="AL82" i="69"/>
  <c r="AM82" i="69"/>
  <c r="AN82" i="69"/>
  <c r="AO82" i="69"/>
  <c r="AL83" i="69"/>
  <c r="AM83" i="69"/>
  <c r="AN83" i="69"/>
  <c r="AO83" i="69"/>
  <c r="AL84" i="69"/>
  <c r="AM84" i="69"/>
  <c r="AN84" i="69"/>
  <c r="AO84" i="69"/>
  <c r="AL85" i="69"/>
  <c r="AM85" i="69"/>
  <c r="AN85" i="69"/>
  <c r="AO85" i="69"/>
  <c r="AL86" i="69"/>
  <c r="AM86" i="69"/>
  <c r="AN86" i="69"/>
  <c r="AO86" i="69"/>
  <c r="AL87" i="69"/>
  <c r="AM87" i="69"/>
  <c r="AN87" i="69"/>
  <c r="AO87" i="69"/>
  <c r="AL94" i="69"/>
  <c r="AM94" i="69"/>
  <c r="AP94" i="69"/>
  <c r="AL95" i="69"/>
  <c r="AM95" i="69"/>
  <c r="AN95" i="69"/>
  <c r="AP95" i="69"/>
  <c r="AL96" i="69"/>
  <c r="AM96" i="69"/>
  <c r="AN96" i="69"/>
  <c r="AP96" i="69"/>
  <c r="AL97" i="69"/>
  <c r="AM97" i="69"/>
  <c r="AN97" i="69"/>
  <c r="AP97" i="69"/>
  <c r="AL98" i="69"/>
  <c r="AM98" i="69"/>
  <c r="AN98" i="69"/>
  <c r="AP98" i="69"/>
  <c r="AL99" i="69"/>
  <c r="AM99" i="69"/>
  <c r="AN99" i="69"/>
  <c r="AP99" i="69"/>
  <c r="AL100" i="69"/>
  <c r="AM100" i="69"/>
  <c r="AN100" i="69"/>
  <c r="AP100" i="69"/>
  <c r="AL101" i="69"/>
  <c r="AM101" i="69"/>
  <c r="AN101" i="69"/>
  <c r="AL102" i="69"/>
  <c r="AM102" i="69"/>
  <c r="AN102" i="69"/>
  <c r="AL103" i="69"/>
  <c r="AM103" i="69"/>
  <c r="AN103" i="69"/>
  <c r="AL104" i="69"/>
  <c r="AM104" i="69"/>
  <c r="AN104" i="69"/>
  <c r="AL105" i="69"/>
  <c r="AM105" i="69"/>
  <c r="AN105" i="69"/>
  <c r="AL106" i="69"/>
  <c r="AM106" i="69"/>
  <c r="AN106" i="69"/>
  <c r="AL107" i="69"/>
  <c r="AM107" i="69"/>
  <c r="AN107" i="69"/>
  <c r="AO107" i="69"/>
  <c r="AL108" i="69"/>
  <c r="AM108" i="69"/>
  <c r="AN108" i="69"/>
  <c r="AO108" i="69"/>
  <c r="AL109" i="69"/>
  <c r="AM109" i="69"/>
  <c r="AN109" i="69"/>
  <c r="AO109" i="69"/>
  <c r="AL110" i="69"/>
  <c r="AM110" i="69"/>
  <c r="AN110" i="69"/>
  <c r="AO110" i="69"/>
  <c r="AL111" i="69"/>
  <c r="AM111" i="69"/>
  <c r="AN111" i="69"/>
  <c r="AO111" i="69"/>
  <c r="AL112" i="69"/>
  <c r="AM112" i="69"/>
  <c r="AN112" i="69"/>
  <c r="AO112" i="69"/>
  <c r="AL113" i="69"/>
  <c r="AM113" i="69"/>
  <c r="AN113" i="69"/>
  <c r="AO113" i="69"/>
  <c r="AL114" i="69"/>
  <c r="AM114" i="69"/>
  <c r="AN114" i="69"/>
  <c r="AO114" i="69"/>
  <c r="AL115" i="69"/>
  <c r="AM115" i="69"/>
  <c r="AN115" i="69"/>
  <c r="AO115" i="69"/>
  <c r="AL116" i="69"/>
  <c r="AM116" i="69"/>
  <c r="AN116" i="69"/>
  <c r="AO116" i="69"/>
  <c r="AL117" i="69"/>
  <c r="AM117" i="69"/>
  <c r="AN117" i="69"/>
  <c r="AO117" i="69"/>
  <c r="AL118" i="69"/>
  <c r="AM118" i="69"/>
  <c r="AN118" i="69"/>
  <c r="AO118" i="69"/>
  <c r="AL119" i="69"/>
  <c r="AM119" i="69"/>
  <c r="AN119" i="69"/>
  <c r="AO119" i="69"/>
  <c r="AL120" i="69"/>
  <c r="AM120" i="69"/>
  <c r="AN120" i="69"/>
  <c r="AO120" i="69"/>
  <c r="AL121" i="69"/>
  <c r="AM121" i="69"/>
  <c r="AN121" i="69"/>
  <c r="AO121" i="69"/>
  <c r="AL122" i="69"/>
  <c r="AM122" i="69"/>
  <c r="AN122" i="69"/>
  <c r="AO122" i="69"/>
  <c r="AL123" i="69"/>
  <c r="AM123" i="69"/>
  <c r="AN123" i="69"/>
  <c r="AO123" i="69"/>
  <c r="AL124" i="69"/>
  <c r="AM124" i="69"/>
  <c r="AN124" i="69"/>
  <c r="AO124" i="69"/>
  <c r="AL125" i="69"/>
  <c r="AM125" i="69"/>
  <c r="AN125" i="69"/>
  <c r="AO125" i="69"/>
  <c r="AL126" i="69"/>
  <c r="AM126" i="69"/>
  <c r="AN126" i="69"/>
  <c r="AO126" i="69"/>
  <c r="AL127" i="69"/>
  <c r="AM127" i="69"/>
  <c r="AN127" i="69"/>
  <c r="AO127" i="69"/>
  <c r="AL128" i="69"/>
  <c r="AM128" i="69"/>
  <c r="AN128" i="69"/>
  <c r="AO128" i="69"/>
  <c r="AL129" i="69"/>
  <c r="AM129" i="69"/>
  <c r="AN129" i="69"/>
  <c r="AO129" i="69"/>
  <c r="AL130" i="69"/>
  <c r="AM130" i="69"/>
  <c r="AN130" i="69"/>
  <c r="AO130" i="69"/>
  <c r="AL131" i="69"/>
  <c r="AM131" i="69"/>
  <c r="AN131" i="69"/>
  <c r="AO131" i="69"/>
  <c r="AL132" i="69"/>
  <c r="AM132" i="69"/>
  <c r="AN132" i="69"/>
  <c r="AO132" i="69"/>
  <c r="AL139" i="69"/>
  <c r="AM139" i="69"/>
  <c r="AN139" i="69"/>
  <c r="AP139" i="69"/>
  <c r="AL140" i="69"/>
  <c r="AM140" i="69"/>
  <c r="AN140" i="69"/>
  <c r="AP140" i="69"/>
  <c r="AL141" i="69"/>
  <c r="AM141" i="69"/>
  <c r="AN141" i="69"/>
  <c r="AP141" i="69"/>
  <c r="AL142" i="69"/>
  <c r="AM142" i="69"/>
  <c r="AN142" i="69"/>
  <c r="AP142" i="69"/>
  <c r="AL143" i="69"/>
  <c r="AM143" i="69"/>
  <c r="AN143" i="69"/>
  <c r="AP143" i="69"/>
  <c r="AL144" i="69"/>
  <c r="AM144" i="69"/>
  <c r="AN144" i="69"/>
  <c r="AP144" i="69"/>
  <c r="AL145" i="69"/>
  <c r="AM145" i="69"/>
  <c r="AN145" i="69"/>
  <c r="AP145" i="69"/>
  <c r="AL146" i="69"/>
  <c r="AM146" i="69"/>
  <c r="AN146" i="69"/>
  <c r="AL147" i="69"/>
  <c r="AM147" i="69"/>
  <c r="AN147" i="69"/>
  <c r="AL148" i="69"/>
  <c r="AM148" i="69"/>
  <c r="AN148" i="69"/>
  <c r="AL149" i="69"/>
  <c r="AM149" i="69"/>
  <c r="AN149" i="69"/>
  <c r="AL150" i="69"/>
  <c r="AM150" i="69"/>
  <c r="AN150" i="69"/>
  <c r="AL151" i="69"/>
  <c r="AM151" i="69"/>
  <c r="AN151" i="69"/>
  <c r="AL152" i="69"/>
  <c r="AM152" i="69"/>
  <c r="AN152" i="69"/>
  <c r="AO152" i="69"/>
  <c r="AL153" i="69"/>
  <c r="AM153" i="69"/>
  <c r="AN153" i="69"/>
  <c r="AO153" i="69"/>
  <c r="AL154" i="69"/>
  <c r="AM154" i="69"/>
  <c r="AN154" i="69"/>
  <c r="AO154" i="69"/>
  <c r="AL155" i="69"/>
  <c r="AM155" i="69"/>
  <c r="AN155" i="69"/>
  <c r="AO155" i="69"/>
  <c r="AL156" i="69"/>
  <c r="AM156" i="69"/>
  <c r="AN156" i="69"/>
  <c r="AO156" i="69"/>
  <c r="AL157" i="69"/>
  <c r="AM157" i="69"/>
  <c r="AN157" i="69"/>
  <c r="AO157" i="69"/>
  <c r="AL158" i="69"/>
  <c r="AM158" i="69"/>
  <c r="AN158" i="69"/>
  <c r="AO158" i="69"/>
  <c r="AL159" i="69"/>
  <c r="AM159" i="69"/>
  <c r="AN159" i="69"/>
  <c r="AO159" i="69"/>
  <c r="AL160" i="69"/>
  <c r="AM160" i="69"/>
  <c r="AN160" i="69"/>
  <c r="AO160" i="69"/>
  <c r="AL161" i="69"/>
  <c r="AM161" i="69"/>
  <c r="AN161" i="69"/>
  <c r="AO161" i="69"/>
  <c r="AL162" i="69"/>
  <c r="AM162" i="69"/>
  <c r="AN162" i="69"/>
  <c r="AO162" i="69"/>
  <c r="AL163" i="69"/>
  <c r="AM163" i="69"/>
  <c r="AN163" i="69"/>
  <c r="AO163" i="69"/>
  <c r="AL164" i="69"/>
  <c r="AM164" i="69"/>
  <c r="AN164" i="69"/>
  <c r="AO164" i="69"/>
  <c r="AL165" i="69"/>
  <c r="AM165" i="69"/>
  <c r="AN165" i="69"/>
  <c r="AO165" i="69"/>
  <c r="AL166" i="69"/>
  <c r="AM166" i="69"/>
  <c r="AN166" i="69"/>
  <c r="AO166" i="69"/>
  <c r="AL167" i="69"/>
  <c r="AM167" i="69"/>
  <c r="AN167" i="69"/>
  <c r="AO167" i="69"/>
  <c r="AL168" i="69"/>
  <c r="AM168" i="69"/>
  <c r="AN168" i="69"/>
  <c r="AO168" i="69"/>
  <c r="AL169" i="69"/>
  <c r="AM169" i="69"/>
  <c r="AN169" i="69"/>
  <c r="AO169" i="69"/>
  <c r="AL170" i="69"/>
  <c r="AM170" i="69"/>
  <c r="AN170" i="69"/>
  <c r="AO170" i="69"/>
  <c r="AL171" i="69"/>
  <c r="AM171" i="69"/>
  <c r="AN171" i="69"/>
  <c r="AO171" i="69"/>
  <c r="AL172" i="69"/>
  <c r="AM172" i="69"/>
  <c r="AN172" i="69"/>
  <c r="AO172" i="69"/>
  <c r="AL173" i="69"/>
  <c r="AM173" i="69"/>
  <c r="AN173" i="69"/>
  <c r="AO173" i="69"/>
  <c r="AL174" i="69"/>
  <c r="AM174" i="69"/>
  <c r="AN174" i="69"/>
  <c r="AO174" i="69"/>
  <c r="AL175" i="69"/>
  <c r="AM175" i="69"/>
  <c r="AN175" i="69"/>
  <c r="AO175" i="69"/>
  <c r="AL176" i="69"/>
  <c r="AM176" i="69"/>
  <c r="AN176" i="69"/>
  <c r="AO176" i="69"/>
  <c r="AL177" i="69"/>
  <c r="AM177" i="69"/>
  <c r="AN177" i="69"/>
  <c r="AO177" i="69"/>
  <c r="AL184" i="69"/>
  <c r="AM184" i="69"/>
  <c r="AN184" i="69"/>
  <c r="AP184" i="69"/>
  <c r="AL185" i="69"/>
  <c r="AM185" i="69"/>
  <c r="AN185" i="69"/>
  <c r="AP185" i="69"/>
  <c r="AL186" i="69"/>
  <c r="AM186" i="69"/>
  <c r="AN186" i="69"/>
  <c r="AP186" i="69"/>
  <c r="AL187" i="69"/>
  <c r="AM187" i="69"/>
  <c r="AN187" i="69"/>
  <c r="AP187" i="69"/>
  <c r="AL188" i="69"/>
  <c r="AM188" i="69"/>
  <c r="AN188" i="69"/>
  <c r="AP188" i="69"/>
  <c r="AL189" i="69"/>
  <c r="AM189" i="69"/>
  <c r="AN189" i="69"/>
  <c r="AP189" i="69"/>
  <c r="AL190" i="69"/>
  <c r="AM190" i="69"/>
  <c r="AN190" i="69"/>
  <c r="AP190" i="69"/>
  <c r="AL191" i="69"/>
  <c r="AM191" i="69"/>
  <c r="AN191" i="69"/>
  <c r="AL192" i="69"/>
  <c r="AM192" i="69"/>
  <c r="AN192" i="69"/>
  <c r="AL193" i="69"/>
  <c r="AM193" i="69"/>
  <c r="AN193" i="69"/>
  <c r="AL194" i="69"/>
  <c r="AM194" i="69"/>
  <c r="AN194" i="69"/>
  <c r="AL195" i="69"/>
  <c r="AM195" i="69"/>
  <c r="AN195" i="69"/>
  <c r="AL196" i="69"/>
  <c r="AM196" i="69"/>
  <c r="AN196" i="69"/>
  <c r="AL197" i="69"/>
  <c r="AM197" i="69"/>
  <c r="AN197" i="69"/>
  <c r="AO197" i="69"/>
  <c r="AL198" i="69"/>
  <c r="AM198" i="69"/>
  <c r="AN198" i="69"/>
  <c r="AO198" i="69"/>
  <c r="AL199" i="69"/>
  <c r="AM199" i="69"/>
  <c r="AN199" i="69"/>
  <c r="AO199" i="69"/>
  <c r="AL200" i="69"/>
  <c r="AM200" i="69"/>
  <c r="AN200" i="69"/>
  <c r="AO200" i="69"/>
  <c r="AL201" i="69"/>
  <c r="AM201" i="69"/>
  <c r="AN201" i="69"/>
  <c r="AO201" i="69"/>
  <c r="AL202" i="69"/>
  <c r="AM202" i="69"/>
  <c r="AN202" i="69"/>
  <c r="AO202" i="69"/>
  <c r="AL203" i="69"/>
  <c r="AM203" i="69"/>
  <c r="AN203" i="69"/>
  <c r="AO203" i="69"/>
  <c r="AL204" i="69"/>
  <c r="AM204" i="69"/>
  <c r="AN204" i="69"/>
  <c r="AO204" i="69"/>
  <c r="AL205" i="69"/>
  <c r="AM205" i="69"/>
  <c r="AN205" i="69"/>
  <c r="AO205" i="69"/>
  <c r="AL206" i="69"/>
  <c r="AM206" i="69"/>
  <c r="AN206" i="69"/>
  <c r="AO206" i="69"/>
  <c r="AL207" i="69"/>
  <c r="AM207" i="69"/>
  <c r="AN207" i="69"/>
  <c r="AO207" i="69"/>
  <c r="AL208" i="69"/>
  <c r="AM208" i="69"/>
  <c r="AN208" i="69"/>
  <c r="AO208" i="69"/>
  <c r="AL209" i="69"/>
  <c r="AM209" i="69"/>
  <c r="AN209" i="69"/>
  <c r="AO209" i="69"/>
  <c r="AL210" i="69"/>
  <c r="AM210" i="69"/>
  <c r="AN210" i="69"/>
  <c r="AO210" i="69"/>
  <c r="AL211" i="69"/>
  <c r="AM211" i="69"/>
  <c r="AN211" i="69"/>
  <c r="AO211" i="69"/>
  <c r="AL212" i="69"/>
  <c r="AM212" i="69"/>
  <c r="AN212" i="69"/>
  <c r="AO212" i="69"/>
  <c r="AL213" i="69"/>
  <c r="AM213" i="69"/>
  <c r="AN213" i="69"/>
  <c r="AO213" i="69"/>
  <c r="AL214" i="69"/>
  <c r="AM214" i="69"/>
  <c r="AN214" i="69"/>
  <c r="AO214" i="69"/>
  <c r="AL215" i="69"/>
  <c r="AM215" i="69"/>
  <c r="AN215" i="69"/>
  <c r="AO215" i="69"/>
  <c r="AL216" i="69"/>
  <c r="AM216" i="69"/>
  <c r="AN216" i="69"/>
  <c r="AO216" i="69"/>
  <c r="AL217" i="69"/>
  <c r="AM217" i="69"/>
  <c r="AN217" i="69"/>
  <c r="AO217" i="69"/>
  <c r="AL218" i="69"/>
  <c r="AM218" i="69"/>
  <c r="AN218" i="69"/>
  <c r="AO218" i="69"/>
  <c r="AL219" i="69"/>
  <c r="AM219" i="69"/>
  <c r="AN219" i="69"/>
  <c r="AO219" i="69"/>
  <c r="AL220" i="69"/>
  <c r="AM220" i="69"/>
  <c r="AN220" i="69"/>
  <c r="AO220" i="69"/>
  <c r="AL221" i="69"/>
  <c r="AM221" i="69"/>
  <c r="AN221" i="69"/>
  <c r="AO221" i="69"/>
  <c r="AL222" i="69"/>
  <c r="AM222" i="69"/>
  <c r="AN222" i="69"/>
  <c r="AO222" i="69"/>
  <c r="AR141" i="95"/>
  <c r="AT141" i="95"/>
  <c r="AZ51" i="95"/>
  <c r="AQ96" i="95"/>
  <c r="AP51" i="95"/>
  <c r="AQ186" i="95"/>
  <c r="AZ141" i="95"/>
  <c r="AU96" i="95"/>
  <c r="AT96" i="95"/>
  <c r="BA96" i="95"/>
  <c r="AT51" i="95"/>
  <c r="AQ141" i="95"/>
  <c r="BA186" i="95"/>
  <c r="AZ96" i="95"/>
  <c r="BD96" i="95"/>
  <c r="AV141" i="95"/>
  <c r="AU6" i="95"/>
  <c r="AZ186" i="95"/>
  <c r="AP141" i="95"/>
  <c r="AY6" i="95"/>
  <c r="AV51" i="95"/>
  <c r="BA6" i="95"/>
  <c r="BD51" i="95"/>
  <c r="AP186" i="95"/>
  <c r="AR186" i="95"/>
  <c r="BA141" i="95"/>
  <c r="AT186" i="95"/>
  <c r="AZ6" i="95"/>
  <c r="AU186" i="95"/>
  <c r="AY141" i="95"/>
  <c r="AQ51" i="95"/>
  <c r="AY51" i="95"/>
  <c r="AY96" i="95"/>
  <c r="BD141" i="95"/>
  <c r="BB141" i="95"/>
  <c r="BB142" i="95" s="1"/>
  <c r="BD186" i="95"/>
  <c r="AV6" i="95"/>
  <c r="AQ6" i="95"/>
  <c r="AW186" i="95"/>
  <c r="AV96" i="95"/>
  <c r="BB186" i="95"/>
  <c r="BA51" i="95"/>
  <c r="AP142" i="95"/>
  <c r="BD6" i="95"/>
  <c r="AU141" i="95"/>
  <c r="AW141" i="95"/>
  <c r="AV186" i="95"/>
  <c r="BD97" i="95"/>
  <c r="AV187" i="95"/>
  <c r="AT6" i="95"/>
  <c r="AU51" i="95"/>
  <c r="AP96" i="95"/>
  <c r="AP6" i="95"/>
  <c r="AY187" i="95"/>
  <c r="BW189" i="71" l="1"/>
  <c r="BW188" i="71"/>
  <c r="BW187" i="71"/>
  <c r="BW186" i="71"/>
  <c r="BW185" i="71"/>
  <c r="BW184" i="71"/>
  <c r="BW144" i="71"/>
  <c r="BW143" i="71"/>
  <c r="BW142" i="71"/>
  <c r="BW141" i="71"/>
  <c r="BW140" i="71"/>
  <c r="BW139" i="71"/>
  <c r="BW99" i="71"/>
  <c r="BW98" i="71"/>
  <c r="BW97" i="71"/>
  <c r="BW96" i="71"/>
  <c r="BW95" i="71"/>
  <c r="BW94" i="71"/>
  <c r="BW54" i="71"/>
  <c r="BW53" i="71"/>
  <c r="BW52" i="71"/>
  <c r="BW51" i="71"/>
  <c r="BW50" i="71"/>
  <c r="BW49" i="71"/>
  <c r="BW9" i="71"/>
  <c r="BW10" i="71" s="1"/>
  <c r="BW11" i="71" s="1"/>
  <c r="BW12" i="71" s="1"/>
  <c r="BW13" i="71" s="1"/>
  <c r="BW14" i="71" s="1"/>
  <c r="BW15" i="71" s="1"/>
  <c r="BW16" i="71" s="1"/>
  <c r="BW17" i="71" s="1"/>
  <c r="BW18" i="71" s="1"/>
  <c r="BW19" i="71" s="1"/>
  <c r="BW8" i="71"/>
  <c r="BW7" i="71"/>
  <c r="BW6" i="71"/>
  <c r="BW5" i="71"/>
  <c r="BW4" i="71"/>
  <c r="AZ97" i="95"/>
  <c r="AZ187" i="95"/>
  <c r="AZ52" i="95"/>
  <c r="AT7" i="95"/>
  <c r="BD52" i="95"/>
  <c r="AU142" i="95"/>
  <c r="AZ7" i="95"/>
  <c r="AT187" i="95"/>
  <c r="BA7" i="95"/>
  <c r="AP7" i="95"/>
  <c r="AU52" i="95"/>
  <c r="BA97" i="95"/>
  <c r="BD142" i="95"/>
  <c r="BD143" i="95" s="1"/>
  <c r="BD187" i="95"/>
  <c r="AV97" i="95"/>
  <c r="AQ7" i="95"/>
  <c r="AU97" i="95"/>
  <c r="BB143" i="95"/>
  <c r="AY97" i="95"/>
  <c r="BA52" i="95"/>
  <c r="AZ98" i="95"/>
  <c r="AV7" i="95"/>
  <c r="AZ142" i="95"/>
  <c r="BA142" i="95"/>
  <c r="AT142" i="95"/>
  <c r="AT143" i="95" s="1"/>
  <c r="BD98" i="95"/>
  <c r="BA187" i="95"/>
  <c r="AV142" i="95"/>
  <c r="AY52" i="95"/>
  <c r="AQ97" i="95"/>
  <c r="AW142" i="95"/>
  <c r="AV188" i="95"/>
  <c r="AP143" i="95"/>
  <c r="BB187" i="95"/>
  <c r="AU7" i="95"/>
  <c r="AP97" i="95"/>
  <c r="AT52" i="95"/>
  <c r="AY7" i="95"/>
  <c r="AY188" i="95"/>
  <c r="AW187" i="95"/>
  <c r="AQ142" i="95"/>
  <c r="AP52" i="95"/>
  <c r="BD7" i="95"/>
  <c r="AQ52" i="95"/>
  <c r="AV52" i="95"/>
  <c r="AR142" i="95"/>
  <c r="AQ187" i="95"/>
  <c r="AP187" i="95"/>
  <c r="AT97" i="95"/>
  <c r="AR187" i="95"/>
  <c r="BB144" i="95"/>
  <c r="AY142" i="95"/>
  <c r="AY143" i="95" s="1"/>
  <c r="AU187" i="95"/>
  <c r="AL106" i="72" l="1"/>
  <c r="AP8" i="95"/>
  <c r="AU8" i="95"/>
  <c r="BD8" i="95"/>
  <c r="AZ143" i="95"/>
  <c r="AQ98" i="95"/>
  <c r="AP98" i="95"/>
  <c r="AW188" i="95"/>
  <c r="BA188" i="95"/>
  <c r="AY144" i="95"/>
  <c r="AV8" i="95"/>
  <c r="AT8" i="95"/>
  <c r="AY98" i="95"/>
  <c r="AV189" i="95"/>
  <c r="BA98" i="95"/>
  <c r="AT98" i="95"/>
  <c r="AY53" i="95"/>
  <c r="BA8" i="95"/>
  <c r="BA53" i="95"/>
  <c r="BB188" i="95"/>
  <c r="AY8" i="95"/>
  <c r="AU98" i="95"/>
  <c r="AU188" i="95"/>
  <c r="AU143" i="95"/>
  <c r="AP9" i="95"/>
  <c r="AV143" i="95"/>
  <c r="AQ188" i="95"/>
  <c r="AV98" i="95"/>
  <c r="BB145" i="95"/>
  <c r="AQ8" i="95"/>
  <c r="AP188" i="95"/>
  <c r="BD188" i="95"/>
  <c r="AQ53" i="95"/>
  <c r="AZ99" i="95"/>
  <c r="BA143" i="95"/>
  <c r="AP53" i="95"/>
  <c r="AZ188" i="95"/>
  <c r="AT144" i="95"/>
  <c r="BD53" i="95"/>
  <c r="AU53" i="95"/>
  <c r="AT53" i="95"/>
  <c r="AT188" i="95"/>
  <c r="AT189" i="95" s="1"/>
  <c r="AW143" i="95"/>
  <c r="AZ53" i="95"/>
  <c r="AQ143" i="95"/>
  <c r="BD144" i="95"/>
  <c r="AY189" i="95"/>
  <c r="AP144" i="95"/>
  <c r="AR188" i="95"/>
  <c r="BD99" i="95"/>
  <c r="AR143" i="95"/>
  <c r="AZ8" i="95"/>
  <c r="AV53" i="95"/>
  <c r="K203" i="84" l="1"/>
  <c r="L203" i="84"/>
  <c r="AA203" i="84" s="1"/>
  <c r="M203" i="84"/>
  <c r="AB203" i="84" s="1"/>
  <c r="N203" i="84"/>
  <c r="O203" i="84"/>
  <c r="T203" i="84"/>
  <c r="K204" i="84"/>
  <c r="L204" i="84"/>
  <c r="AA204" i="84" s="1"/>
  <c r="M204" i="84"/>
  <c r="AB204" i="84" s="1"/>
  <c r="N204" i="84"/>
  <c r="O204" i="84"/>
  <c r="T204" i="84"/>
  <c r="K205" i="84"/>
  <c r="L205" i="84"/>
  <c r="AA205" i="84" s="1"/>
  <c r="M205" i="84"/>
  <c r="AB205" i="84" s="1"/>
  <c r="N205" i="84"/>
  <c r="O205" i="84"/>
  <c r="T205" i="84"/>
  <c r="K206" i="84"/>
  <c r="L206" i="84"/>
  <c r="AA206" i="84" s="1"/>
  <c r="M206" i="84"/>
  <c r="AB206" i="84" s="1"/>
  <c r="N206" i="84"/>
  <c r="O206" i="84"/>
  <c r="T206" i="84"/>
  <c r="K207" i="84"/>
  <c r="L207" i="84"/>
  <c r="AA207" i="84" s="1"/>
  <c r="M207" i="84"/>
  <c r="AB207" i="84" s="1"/>
  <c r="N207" i="84"/>
  <c r="O207" i="84"/>
  <c r="T207" i="84"/>
  <c r="K208" i="84"/>
  <c r="L208" i="84"/>
  <c r="AA208" i="84" s="1"/>
  <c r="M208" i="84"/>
  <c r="AB208" i="84" s="1"/>
  <c r="N208" i="84"/>
  <c r="O208" i="84"/>
  <c r="T208" i="84"/>
  <c r="K209" i="84"/>
  <c r="L209" i="84"/>
  <c r="AA209" i="84" s="1"/>
  <c r="M209" i="84"/>
  <c r="AB209" i="84" s="1"/>
  <c r="N209" i="84"/>
  <c r="O209" i="84"/>
  <c r="T209" i="84"/>
  <c r="K210" i="84"/>
  <c r="L210" i="84"/>
  <c r="AA210" i="84" s="1"/>
  <c r="M210" i="84"/>
  <c r="AB210" i="84" s="1"/>
  <c r="N210" i="84"/>
  <c r="O210" i="84"/>
  <c r="T210" i="84"/>
  <c r="K211" i="84"/>
  <c r="L211" i="84"/>
  <c r="AA211" i="84" s="1"/>
  <c r="M211" i="84"/>
  <c r="AB211" i="84" s="1"/>
  <c r="N211" i="84"/>
  <c r="O211" i="84"/>
  <c r="T211" i="84"/>
  <c r="K212" i="84"/>
  <c r="L212" i="84"/>
  <c r="AA212" i="84" s="1"/>
  <c r="M212" i="84"/>
  <c r="AB212" i="84" s="1"/>
  <c r="N212" i="84"/>
  <c r="O212" i="84"/>
  <c r="T212" i="84"/>
  <c r="K213" i="84"/>
  <c r="L213" i="84"/>
  <c r="AA213" i="84" s="1"/>
  <c r="M213" i="84"/>
  <c r="AB213" i="84" s="1"/>
  <c r="N213" i="84"/>
  <c r="O213" i="84"/>
  <c r="T213" i="84"/>
  <c r="K214" i="84"/>
  <c r="L214" i="84"/>
  <c r="AA214" i="84" s="1"/>
  <c r="M214" i="84"/>
  <c r="AB214" i="84" s="1"/>
  <c r="N214" i="84"/>
  <c r="O214" i="84"/>
  <c r="T214" i="84"/>
  <c r="K215" i="84"/>
  <c r="L215" i="84"/>
  <c r="AA215" i="84" s="1"/>
  <c r="M215" i="84"/>
  <c r="AB215" i="84" s="1"/>
  <c r="N215" i="84"/>
  <c r="O215" i="84"/>
  <c r="T215" i="84"/>
  <c r="K216" i="84"/>
  <c r="L216" i="84"/>
  <c r="AA216" i="84" s="1"/>
  <c r="M216" i="84"/>
  <c r="AB216" i="84" s="1"/>
  <c r="N216" i="84"/>
  <c r="O216" i="84"/>
  <c r="T216" i="84"/>
  <c r="K217" i="84"/>
  <c r="L217" i="84"/>
  <c r="AA217" i="84" s="1"/>
  <c r="M217" i="84"/>
  <c r="AB217" i="84" s="1"/>
  <c r="N217" i="84"/>
  <c r="O217" i="84"/>
  <c r="T217" i="84"/>
  <c r="K218" i="84"/>
  <c r="L218" i="84"/>
  <c r="AA218" i="84" s="1"/>
  <c r="M218" i="84"/>
  <c r="AB218" i="84" s="1"/>
  <c r="N218" i="84"/>
  <c r="O218" i="84"/>
  <c r="T218" i="84"/>
  <c r="K219" i="84"/>
  <c r="L219" i="84"/>
  <c r="AA219" i="84" s="1"/>
  <c r="M219" i="84"/>
  <c r="AB219" i="84" s="1"/>
  <c r="N219" i="84"/>
  <c r="O219" i="84"/>
  <c r="T219" i="84"/>
  <c r="K220" i="84"/>
  <c r="L220" i="84"/>
  <c r="AA220" i="84" s="1"/>
  <c r="M220" i="84"/>
  <c r="AB220" i="84" s="1"/>
  <c r="N220" i="84"/>
  <c r="O220" i="84"/>
  <c r="T220" i="84"/>
  <c r="K221" i="84"/>
  <c r="L221" i="84"/>
  <c r="AA221" i="84" s="1"/>
  <c r="M221" i="84"/>
  <c r="AB221" i="84" s="1"/>
  <c r="N221" i="84"/>
  <c r="O221" i="84"/>
  <c r="T221" i="84"/>
  <c r="K222" i="84"/>
  <c r="L222" i="84"/>
  <c r="AA222" i="84" s="1"/>
  <c r="M222" i="84"/>
  <c r="AB222" i="84" s="1"/>
  <c r="N222" i="84"/>
  <c r="O222" i="84"/>
  <c r="T222" i="84"/>
  <c r="K223" i="84"/>
  <c r="L223" i="84"/>
  <c r="AA223" i="84" s="1"/>
  <c r="M223" i="84"/>
  <c r="AB223" i="84" s="1"/>
  <c r="N223" i="84"/>
  <c r="O223" i="84"/>
  <c r="T223" i="84"/>
  <c r="K224" i="84"/>
  <c r="L224" i="84"/>
  <c r="AA224" i="84" s="1"/>
  <c r="M224" i="84"/>
  <c r="AB224" i="84" s="1"/>
  <c r="N224" i="84"/>
  <c r="O224" i="84"/>
  <c r="T224" i="84"/>
  <c r="K225" i="84"/>
  <c r="L225" i="84"/>
  <c r="AA225" i="84" s="1"/>
  <c r="M225" i="84"/>
  <c r="AB225" i="84" s="1"/>
  <c r="N225" i="84"/>
  <c r="O225" i="84"/>
  <c r="T225" i="84"/>
  <c r="K158" i="84"/>
  <c r="L158" i="84"/>
  <c r="AA158" i="84" s="1"/>
  <c r="M158" i="84"/>
  <c r="AB158" i="84" s="1"/>
  <c r="N158" i="84"/>
  <c r="AC158" i="84" s="1"/>
  <c r="O158" i="84"/>
  <c r="T158" i="84"/>
  <c r="K159" i="84"/>
  <c r="L159" i="84"/>
  <c r="AA159" i="84" s="1"/>
  <c r="M159" i="84"/>
  <c r="AB159" i="84" s="1"/>
  <c r="N159" i="84"/>
  <c r="AC159" i="84" s="1"/>
  <c r="O159" i="84"/>
  <c r="T159" i="84"/>
  <c r="K160" i="84"/>
  <c r="L160" i="84"/>
  <c r="AA160" i="84" s="1"/>
  <c r="M160" i="84"/>
  <c r="AB160" i="84" s="1"/>
  <c r="N160" i="84"/>
  <c r="AC160" i="84" s="1"/>
  <c r="O160" i="84"/>
  <c r="T160" i="84"/>
  <c r="K161" i="84"/>
  <c r="L161" i="84"/>
  <c r="AA161" i="84" s="1"/>
  <c r="M161" i="84"/>
  <c r="AB161" i="84" s="1"/>
  <c r="N161" i="84"/>
  <c r="AC161" i="84" s="1"/>
  <c r="O161" i="84"/>
  <c r="T161" i="84"/>
  <c r="K162" i="84"/>
  <c r="L162" i="84"/>
  <c r="AA162" i="84" s="1"/>
  <c r="M162" i="84"/>
  <c r="AB162" i="84" s="1"/>
  <c r="N162" i="84"/>
  <c r="AC162" i="84" s="1"/>
  <c r="O162" i="84"/>
  <c r="T162" i="84"/>
  <c r="K163" i="84"/>
  <c r="L163" i="84"/>
  <c r="AA163" i="84" s="1"/>
  <c r="M163" i="84"/>
  <c r="AB163" i="84" s="1"/>
  <c r="N163" i="84"/>
  <c r="AC163" i="84" s="1"/>
  <c r="O163" i="84"/>
  <c r="T163" i="84"/>
  <c r="K164" i="84"/>
  <c r="L164" i="84"/>
  <c r="AA164" i="84" s="1"/>
  <c r="M164" i="84"/>
  <c r="AB164" i="84" s="1"/>
  <c r="N164" i="84"/>
  <c r="AC164" i="84" s="1"/>
  <c r="O164" i="84"/>
  <c r="T164" i="84"/>
  <c r="K165" i="84"/>
  <c r="L165" i="84"/>
  <c r="AA165" i="84" s="1"/>
  <c r="M165" i="84"/>
  <c r="AB165" i="84" s="1"/>
  <c r="N165" i="84"/>
  <c r="AC165" i="84" s="1"/>
  <c r="O165" i="84"/>
  <c r="T165" i="84"/>
  <c r="K166" i="84"/>
  <c r="L166" i="84"/>
  <c r="AA166" i="84" s="1"/>
  <c r="M166" i="84"/>
  <c r="AB166" i="84" s="1"/>
  <c r="N166" i="84"/>
  <c r="AC166" i="84" s="1"/>
  <c r="O166" i="84"/>
  <c r="T166" i="84"/>
  <c r="K167" i="84"/>
  <c r="L167" i="84"/>
  <c r="AA167" i="84" s="1"/>
  <c r="M167" i="84"/>
  <c r="AB167" i="84" s="1"/>
  <c r="N167" i="84"/>
  <c r="AC167" i="84" s="1"/>
  <c r="O167" i="84"/>
  <c r="T167" i="84"/>
  <c r="K168" i="84"/>
  <c r="L168" i="84"/>
  <c r="AA168" i="84" s="1"/>
  <c r="M168" i="84"/>
  <c r="AB168" i="84" s="1"/>
  <c r="N168" i="84"/>
  <c r="AC168" i="84" s="1"/>
  <c r="O168" i="84"/>
  <c r="T168" i="84"/>
  <c r="K169" i="84"/>
  <c r="L169" i="84"/>
  <c r="AA169" i="84" s="1"/>
  <c r="M169" i="84"/>
  <c r="AB169" i="84" s="1"/>
  <c r="N169" i="84"/>
  <c r="AC169" i="84" s="1"/>
  <c r="O169" i="84"/>
  <c r="T169" i="84"/>
  <c r="K170" i="84"/>
  <c r="L170" i="84"/>
  <c r="AA170" i="84" s="1"/>
  <c r="M170" i="84"/>
  <c r="AB170" i="84" s="1"/>
  <c r="N170" i="84"/>
  <c r="AC170" i="84" s="1"/>
  <c r="O170" i="84"/>
  <c r="T170" i="84"/>
  <c r="K171" i="84"/>
  <c r="L171" i="84"/>
  <c r="AA171" i="84" s="1"/>
  <c r="M171" i="84"/>
  <c r="AB171" i="84" s="1"/>
  <c r="N171" i="84"/>
  <c r="AC171" i="84" s="1"/>
  <c r="O171" i="84"/>
  <c r="T171" i="84"/>
  <c r="K172" i="84"/>
  <c r="L172" i="84"/>
  <c r="AA172" i="84" s="1"/>
  <c r="M172" i="84"/>
  <c r="AB172" i="84" s="1"/>
  <c r="N172" i="84"/>
  <c r="AC172" i="84" s="1"/>
  <c r="O172" i="84"/>
  <c r="T172" i="84"/>
  <c r="K173" i="84"/>
  <c r="L173" i="84"/>
  <c r="AA173" i="84" s="1"/>
  <c r="M173" i="84"/>
  <c r="AB173" i="84" s="1"/>
  <c r="N173" i="84"/>
  <c r="AC173" i="84" s="1"/>
  <c r="O173" i="84"/>
  <c r="T173" i="84"/>
  <c r="K174" i="84"/>
  <c r="L174" i="84"/>
  <c r="AA174" i="84" s="1"/>
  <c r="M174" i="84"/>
  <c r="AB174" i="84" s="1"/>
  <c r="N174" i="84"/>
  <c r="AC174" i="84" s="1"/>
  <c r="O174" i="84"/>
  <c r="T174" i="84"/>
  <c r="K175" i="84"/>
  <c r="L175" i="84"/>
  <c r="AA175" i="84" s="1"/>
  <c r="M175" i="84"/>
  <c r="AB175" i="84" s="1"/>
  <c r="N175" i="84"/>
  <c r="AC175" i="84" s="1"/>
  <c r="O175" i="84"/>
  <c r="T175" i="84"/>
  <c r="K176" i="84"/>
  <c r="L176" i="84"/>
  <c r="AA176" i="84" s="1"/>
  <c r="M176" i="84"/>
  <c r="AB176" i="84" s="1"/>
  <c r="N176" i="84"/>
  <c r="AC176" i="84" s="1"/>
  <c r="O176" i="84"/>
  <c r="T176" i="84"/>
  <c r="K177" i="84"/>
  <c r="L177" i="84"/>
  <c r="AA177" i="84" s="1"/>
  <c r="M177" i="84"/>
  <c r="AB177" i="84" s="1"/>
  <c r="N177" i="84"/>
  <c r="AC177" i="84" s="1"/>
  <c r="O177" i="84"/>
  <c r="T177" i="84"/>
  <c r="K178" i="84"/>
  <c r="L178" i="84"/>
  <c r="AA178" i="84" s="1"/>
  <c r="M178" i="84"/>
  <c r="AB178" i="84" s="1"/>
  <c r="N178" i="84"/>
  <c r="AC178" i="84" s="1"/>
  <c r="O178" i="84"/>
  <c r="T178" i="84"/>
  <c r="K179" i="84"/>
  <c r="L179" i="84"/>
  <c r="AA179" i="84" s="1"/>
  <c r="M179" i="84"/>
  <c r="AB179" i="84" s="1"/>
  <c r="N179" i="84"/>
  <c r="AC179" i="84" s="1"/>
  <c r="O179" i="84"/>
  <c r="T179" i="84"/>
  <c r="K180" i="84"/>
  <c r="L180" i="84"/>
  <c r="AA180" i="84" s="1"/>
  <c r="M180" i="84"/>
  <c r="AB180" i="84" s="1"/>
  <c r="N180" i="84"/>
  <c r="AC180" i="84" s="1"/>
  <c r="O180" i="84"/>
  <c r="T180" i="84"/>
  <c r="K113" i="84"/>
  <c r="L113" i="84"/>
  <c r="AA113" i="84" s="1"/>
  <c r="M113" i="84"/>
  <c r="AB113" i="84" s="1"/>
  <c r="N113" i="84"/>
  <c r="AC113" i="84" s="1"/>
  <c r="O113" i="84"/>
  <c r="T113" i="84"/>
  <c r="K114" i="84"/>
  <c r="L114" i="84"/>
  <c r="M114" i="84"/>
  <c r="AB114" i="84" s="1"/>
  <c r="N114" i="84"/>
  <c r="AC114" i="84" s="1"/>
  <c r="O114" i="84"/>
  <c r="T114" i="84"/>
  <c r="K115" i="84"/>
  <c r="L115" i="84"/>
  <c r="AA115" i="84" s="1"/>
  <c r="M115" i="84"/>
  <c r="N115" i="84"/>
  <c r="AC115" i="84" s="1"/>
  <c r="O115" i="84"/>
  <c r="T115" i="84"/>
  <c r="K116" i="84"/>
  <c r="L116" i="84"/>
  <c r="AA116" i="84" s="1"/>
  <c r="M116" i="84"/>
  <c r="AB116" i="84" s="1"/>
  <c r="N116" i="84"/>
  <c r="O116" i="84"/>
  <c r="T116" i="84"/>
  <c r="K117" i="84"/>
  <c r="L117" i="84"/>
  <c r="AA117" i="84" s="1"/>
  <c r="M117" i="84"/>
  <c r="AB117" i="84" s="1"/>
  <c r="N117" i="84"/>
  <c r="AC117" i="84" s="1"/>
  <c r="O117" i="84"/>
  <c r="T117" i="84"/>
  <c r="K118" i="84"/>
  <c r="L118" i="84"/>
  <c r="AA118" i="84" s="1"/>
  <c r="M118" i="84"/>
  <c r="AB118" i="84" s="1"/>
  <c r="N118" i="84"/>
  <c r="AC118" i="84" s="1"/>
  <c r="O118" i="84"/>
  <c r="T118" i="84"/>
  <c r="K119" i="84"/>
  <c r="L119" i="84"/>
  <c r="AA119" i="84" s="1"/>
  <c r="M119" i="84"/>
  <c r="AB119" i="84" s="1"/>
  <c r="N119" i="84"/>
  <c r="AC119" i="84" s="1"/>
  <c r="O119" i="84"/>
  <c r="T119" i="84"/>
  <c r="K120" i="84"/>
  <c r="L120" i="84"/>
  <c r="M120" i="84"/>
  <c r="AB120" i="84" s="1"/>
  <c r="N120" i="84"/>
  <c r="AC120" i="84" s="1"/>
  <c r="O120" i="84"/>
  <c r="T120" i="84"/>
  <c r="K121" i="84"/>
  <c r="L121" i="84"/>
  <c r="AA121" i="84" s="1"/>
  <c r="M121" i="84"/>
  <c r="N121" i="84"/>
  <c r="AC121" i="84" s="1"/>
  <c r="O121" i="84"/>
  <c r="T121" i="84"/>
  <c r="K122" i="84"/>
  <c r="L122" i="84"/>
  <c r="AA122" i="84" s="1"/>
  <c r="M122" i="84"/>
  <c r="AB122" i="84" s="1"/>
  <c r="N122" i="84"/>
  <c r="O122" i="84"/>
  <c r="T122" i="84"/>
  <c r="K123" i="84"/>
  <c r="L123" i="84"/>
  <c r="AA123" i="84" s="1"/>
  <c r="M123" i="84"/>
  <c r="AB123" i="84" s="1"/>
  <c r="N123" i="84"/>
  <c r="AC123" i="84" s="1"/>
  <c r="O123" i="84"/>
  <c r="T123" i="84"/>
  <c r="K124" i="84"/>
  <c r="L124" i="84"/>
  <c r="AA124" i="84" s="1"/>
  <c r="M124" i="84"/>
  <c r="AB124" i="84" s="1"/>
  <c r="N124" i="84"/>
  <c r="AC124" i="84" s="1"/>
  <c r="O124" i="84"/>
  <c r="T124" i="84"/>
  <c r="K125" i="84"/>
  <c r="L125" i="84"/>
  <c r="AA125" i="84" s="1"/>
  <c r="M125" i="84"/>
  <c r="AB125" i="84" s="1"/>
  <c r="N125" i="84"/>
  <c r="AC125" i="84" s="1"/>
  <c r="O125" i="84"/>
  <c r="T125" i="84"/>
  <c r="K126" i="84"/>
  <c r="L126" i="84"/>
  <c r="M126" i="84"/>
  <c r="AB126" i="84" s="1"/>
  <c r="N126" i="84"/>
  <c r="AC126" i="84" s="1"/>
  <c r="O126" i="84"/>
  <c r="T126" i="84"/>
  <c r="K127" i="84"/>
  <c r="L127" i="84"/>
  <c r="AA127" i="84" s="1"/>
  <c r="M127" i="84"/>
  <c r="N127" i="84"/>
  <c r="AC127" i="84" s="1"/>
  <c r="O127" i="84"/>
  <c r="T127" i="84"/>
  <c r="K128" i="84"/>
  <c r="L128" i="84"/>
  <c r="AA128" i="84" s="1"/>
  <c r="M128" i="84"/>
  <c r="AB128" i="84" s="1"/>
  <c r="N128" i="84"/>
  <c r="O128" i="84"/>
  <c r="T128" i="84"/>
  <c r="K129" i="84"/>
  <c r="L129" i="84"/>
  <c r="AA129" i="84" s="1"/>
  <c r="M129" i="84"/>
  <c r="AB129" i="84" s="1"/>
  <c r="N129" i="84"/>
  <c r="AC129" i="84" s="1"/>
  <c r="O129" i="84"/>
  <c r="T129" i="84"/>
  <c r="K130" i="84"/>
  <c r="L130" i="84"/>
  <c r="AA130" i="84" s="1"/>
  <c r="M130" i="84"/>
  <c r="AB130" i="84" s="1"/>
  <c r="N130" i="84"/>
  <c r="AC130" i="84" s="1"/>
  <c r="O130" i="84"/>
  <c r="T130" i="84"/>
  <c r="K131" i="84"/>
  <c r="L131" i="84"/>
  <c r="AA131" i="84" s="1"/>
  <c r="M131" i="84"/>
  <c r="AB131" i="84" s="1"/>
  <c r="N131" i="84"/>
  <c r="AC131" i="84" s="1"/>
  <c r="O131" i="84"/>
  <c r="T131" i="84"/>
  <c r="K132" i="84"/>
  <c r="L132" i="84"/>
  <c r="M132" i="84"/>
  <c r="AB132" i="84" s="1"/>
  <c r="N132" i="84"/>
  <c r="AC132" i="84" s="1"/>
  <c r="O132" i="84"/>
  <c r="T132" i="84"/>
  <c r="K133" i="84"/>
  <c r="L133" i="84"/>
  <c r="AA133" i="84" s="1"/>
  <c r="M133" i="84"/>
  <c r="N133" i="84"/>
  <c r="AC133" i="84" s="1"/>
  <c r="O133" i="84"/>
  <c r="T133" i="84"/>
  <c r="K134" i="84"/>
  <c r="L134" i="84"/>
  <c r="AA134" i="84" s="1"/>
  <c r="M134" i="84"/>
  <c r="AB134" i="84" s="1"/>
  <c r="N134" i="84"/>
  <c r="O134" i="84"/>
  <c r="T134" i="84"/>
  <c r="K135" i="84"/>
  <c r="L135" i="84"/>
  <c r="AA135" i="84" s="1"/>
  <c r="M135" i="84"/>
  <c r="AB135" i="84" s="1"/>
  <c r="N135" i="84"/>
  <c r="AC135" i="84" s="1"/>
  <c r="O135" i="84"/>
  <c r="T135" i="84"/>
  <c r="K68" i="84"/>
  <c r="L68" i="84"/>
  <c r="AA68" i="84" s="1"/>
  <c r="M68" i="84"/>
  <c r="AB68" i="84" s="1"/>
  <c r="N68" i="84"/>
  <c r="AC68" i="84" s="1"/>
  <c r="O68" i="84"/>
  <c r="T68" i="84"/>
  <c r="K69" i="84"/>
  <c r="L69" i="84"/>
  <c r="AA69" i="84" s="1"/>
  <c r="M69" i="84"/>
  <c r="AB69" i="84" s="1"/>
  <c r="N69" i="84"/>
  <c r="AC69" i="84" s="1"/>
  <c r="O69" i="84"/>
  <c r="T69" i="84"/>
  <c r="K70" i="84"/>
  <c r="L70" i="84"/>
  <c r="AA70" i="84" s="1"/>
  <c r="M70" i="84"/>
  <c r="AB70" i="84" s="1"/>
  <c r="N70" i="84"/>
  <c r="AC70" i="84" s="1"/>
  <c r="O70" i="84"/>
  <c r="T70" i="84"/>
  <c r="K71" i="84"/>
  <c r="L71" i="84"/>
  <c r="AA71" i="84" s="1"/>
  <c r="M71" i="84"/>
  <c r="AB71" i="84" s="1"/>
  <c r="N71" i="84"/>
  <c r="AC71" i="84" s="1"/>
  <c r="O71" i="84"/>
  <c r="T71" i="84"/>
  <c r="K72" i="84"/>
  <c r="L72" i="84"/>
  <c r="AA72" i="84" s="1"/>
  <c r="M72" i="84"/>
  <c r="AB72" i="84" s="1"/>
  <c r="N72" i="84"/>
  <c r="AC72" i="84" s="1"/>
  <c r="O72" i="84"/>
  <c r="T72" i="84"/>
  <c r="K73" i="84"/>
  <c r="L73" i="84"/>
  <c r="AA73" i="84" s="1"/>
  <c r="M73" i="84"/>
  <c r="AB73" i="84" s="1"/>
  <c r="N73" i="84"/>
  <c r="AC73" i="84" s="1"/>
  <c r="O73" i="84"/>
  <c r="T73" i="84"/>
  <c r="K74" i="84"/>
  <c r="L74" i="84"/>
  <c r="AA74" i="84" s="1"/>
  <c r="M74" i="84"/>
  <c r="AB74" i="84" s="1"/>
  <c r="N74" i="84"/>
  <c r="AC74" i="84" s="1"/>
  <c r="O74" i="84"/>
  <c r="T74" i="84"/>
  <c r="K75" i="84"/>
  <c r="L75" i="84"/>
  <c r="AA75" i="84" s="1"/>
  <c r="M75" i="84"/>
  <c r="AB75" i="84" s="1"/>
  <c r="N75" i="84"/>
  <c r="AC75" i="84" s="1"/>
  <c r="O75" i="84"/>
  <c r="T75" i="84"/>
  <c r="K76" i="84"/>
  <c r="L76" i="84"/>
  <c r="AA76" i="84" s="1"/>
  <c r="M76" i="84"/>
  <c r="AB76" i="84" s="1"/>
  <c r="N76" i="84"/>
  <c r="AC76" i="84" s="1"/>
  <c r="O76" i="84"/>
  <c r="T76" i="84"/>
  <c r="K77" i="84"/>
  <c r="L77" i="84"/>
  <c r="AA77" i="84" s="1"/>
  <c r="M77" i="84"/>
  <c r="AB77" i="84" s="1"/>
  <c r="N77" i="84"/>
  <c r="AC77" i="84" s="1"/>
  <c r="O77" i="84"/>
  <c r="T77" i="84"/>
  <c r="K78" i="84"/>
  <c r="L78" i="84"/>
  <c r="AA78" i="84" s="1"/>
  <c r="M78" i="84"/>
  <c r="AB78" i="84" s="1"/>
  <c r="N78" i="84"/>
  <c r="AC78" i="84" s="1"/>
  <c r="O78" i="84"/>
  <c r="T78" i="84"/>
  <c r="K79" i="84"/>
  <c r="L79" i="84"/>
  <c r="AA79" i="84" s="1"/>
  <c r="M79" i="84"/>
  <c r="AB79" i="84" s="1"/>
  <c r="N79" i="84"/>
  <c r="AC79" i="84" s="1"/>
  <c r="O79" i="84"/>
  <c r="T79" i="84"/>
  <c r="K80" i="84"/>
  <c r="L80" i="84"/>
  <c r="AA80" i="84" s="1"/>
  <c r="M80" i="84"/>
  <c r="AB80" i="84" s="1"/>
  <c r="N80" i="84"/>
  <c r="AC80" i="84" s="1"/>
  <c r="O80" i="84"/>
  <c r="T80" i="84"/>
  <c r="K81" i="84"/>
  <c r="L81" i="84"/>
  <c r="AA81" i="84" s="1"/>
  <c r="M81" i="84"/>
  <c r="AB81" i="84" s="1"/>
  <c r="N81" i="84"/>
  <c r="AC81" i="84" s="1"/>
  <c r="O81" i="84"/>
  <c r="T81" i="84"/>
  <c r="K82" i="84"/>
  <c r="L82" i="84"/>
  <c r="AA82" i="84" s="1"/>
  <c r="M82" i="84"/>
  <c r="AB82" i="84" s="1"/>
  <c r="N82" i="84"/>
  <c r="AC82" i="84" s="1"/>
  <c r="O82" i="84"/>
  <c r="T82" i="84"/>
  <c r="K83" i="84"/>
  <c r="L83" i="84"/>
  <c r="AA83" i="84" s="1"/>
  <c r="M83" i="84"/>
  <c r="AB83" i="84" s="1"/>
  <c r="N83" i="84"/>
  <c r="AC83" i="84" s="1"/>
  <c r="O83" i="84"/>
  <c r="T83" i="84"/>
  <c r="K84" i="84"/>
  <c r="L84" i="84"/>
  <c r="AA84" i="84" s="1"/>
  <c r="M84" i="84"/>
  <c r="AB84" i="84" s="1"/>
  <c r="N84" i="84"/>
  <c r="AC84" i="84" s="1"/>
  <c r="O84" i="84"/>
  <c r="T84" i="84"/>
  <c r="K85" i="84"/>
  <c r="L85" i="84"/>
  <c r="AA85" i="84" s="1"/>
  <c r="M85" i="84"/>
  <c r="AB85" i="84" s="1"/>
  <c r="N85" i="84"/>
  <c r="AC85" i="84" s="1"/>
  <c r="O85" i="84"/>
  <c r="T85" i="84"/>
  <c r="K86" i="84"/>
  <c r="L86" i="84"/>
  <c r="AA86" i="84" s="1"/>
  <c r="M86" i="84"/>
  <c r="AB86" i="84" s="1"/>
  <c r="N86" i="84"/>
  <c r="AC86" i="84" s="1"/>
  <c r="O86" i="84"/>
  <c r="T86" i="84"/>
  <c r="K87" i="84"/>
  <c r="L87" i="84"/>
  <c r="AA87" i="84" s="1"/>
  <c r="M87" i="84"/>
  <c r="AB87" i="84" s="1"/>
  <c r="N87" i="84"/>
  <c r="AC87" i="84" s="1"/>
  <c r="O87" i="84"/>
  <c r="T87" i="84"/>
  <c r="K88" i="84"/>
  <c r="L88" i="84"/>
  <c r="AA88" i="84" s="1"/>
  <c r="M88" i="84"/>
  <c r="AB88" i="84" s="1"/>
  <c r="N88" i="84"/>
  <c r="AC88" i="84" s="1"/>
  <c r="O88" i="84"/>
  <c r="T88" i="84"/>
  <c r="K89" i="84"/>
  <c r="L89" i="84"/>
  <c r="AA89" i="84" s="1"/>
  <c r="M89" i="84"/>
  <c r="AB89" i="84" s="1"/>
  <c r="N89" i="84"/>
  <c r="AC89" i="84" s="1"/>
  <c r="O89" i="84"/>
  <c r="T89" i="84"/>
  <c r="K90" i="84"/>
  <c r="L90" i="84"/>
  <c r="AA90" i="84" s="1"/>
  <c r="M90" i="84"/>
  <c r="AB90" i="84" s="1"/>
  <c r="N90" i="84"/>
  <c r="AC90" i="84" s="1"/>
  <c r="O90" i="84"/>
  <c r="T90" i="84"/>
  <c r="I23" i="84"/>
  <c r="K23" i="84"/>
  <c r="L23" i="84"/>
  <c r="AA23" i="84" s="1"/>
  <c r="M23" i="84"/>
  <c r="AB23" i="84" s="1"/>
  <c r="N23" i="84"/>
  <c r="O23" i="84"/>
  <c r="T23" i="84"/>
  <c r="I24" i="84"/>
  <c r="K24" i="84"/>
  <c r="L24" i="84"/>
  <c r="AA24" i="84" s="1"/>
  <c r="M24" i="84"/>
  <c r="AB24" i="84" s="1"/>
  <c r="N24" i="84"/>
  <c r="O24" i="84"/>
  <c r="T24" i="84"/>
  <c r="I25" i="84"/>
  <c r="K25" i="84"/>
  <c r="L25" i="84"/>
  <c r="AA25" i="84" s="1"/>
  <c r="M25" i="84"/>
  <c r="AB25" i="84" s="1"/>
  <c r="N25" i="84"/>
  <c r="O25" i="84"/>
  <c r="T25" i="84"/>
  <c r="I26" i="84"/>
  <c r="K26" i="84"/>
  <c r="L26" i="84"/>
  <c r="AA26" i="84" s="1"/>
  <c r="M26" i="84"/>
  <c r="AB26" i="84" s="1"/>
  <c r="N26" i="84"/>
  <c r="O26" i="84"/>
  <c r="T26" i="84"/>
  <c r="I27" i="84"/>
  <c r="K27" i="84"/>
  <c r="L27" i="84"/>
  <c r="AA27" i="84" s="1"/>
  <c r="M27" i="84"/>
  <c r="AB27" i="84" s="1"/>
  <c r="N27" i="84"/>
  <c r="O27" i="84"/>
  <c r="T27" i="84"/>
  <c r="I28" i="84"/>
  <c r="K28" i="84"/>
  <c r="L28" i="84"/>
  <c r="AA28" i="84" s="1"/>
  <c r="M28" i="84"/>
  <c r="AB28" i="84" s="1"/>
  <c r="N28" i="84"/>
  <c r="O28" i="84"/>
  <c r="T28" i="84"/>
  <c r="I29" i="84"/>
  <c r="K29" i="84"/>
  <c r="L29" i="84"/>
  <c r="AA29" i="84" s="1"/>
  <c r="M29" i="84"/>
  <c r="AB29" i="84" s="1"/>
  <c r="N29" i="84"/>
  <c r="O29" i="84"/>
  <c r="T29" i="84"/>
  <c r="I30" i="84"/>
  <c r="K30" i="84"/>
  <c r="L30" i="84"/>
  <c r="AA30" i="84" s="1"/>
  <c r="M30" i="84"/>
  <c r="AB30" i="84" s="1"/>
  <c r="N30" i="84"/>
  <c r="O30" i="84"/>
  <c r="T30" i="84"/>
  <c r="I31" i="84"/>
  <c r="K31" i="84"/>
  <c r="L31" i="84"/>
  <c r="AA31" i="84" s="1"/>
  <c r="M31" i="84"/>
  <c r="AB31" i="84" s="1"/>
  <c r="N31" i="84"/>
  <c r="O31" i="84"/>
  <c r="T31" i="84"/>
  <c r="I32" i="84"/>
  <c r="K32" i="84"/>
  <c r="L32" i="84"/>
  <c r="AA32" i="84" s="1"/>
  <c r="M32" i="84"/>
  <c r="AB32" i="84" s="1"/>
  <c r="N32" i="84"/>
  <c r="O32" i="84"/>
  <c r="T32" i="84"/>
  <c r="I33" i="84"/>
  <c r="K33" i="84"/>
  <c r="L33" i="84"/>
  <c r="AA33" i="84" s="1"/>
  <c r="M33" i="84"/>
  <c r="AB33" i="84" s="1"/>
  <c r="N33" i="84"/>
  <c r="O33" i="84"/>
  <c r="T33" i="84"/>
  <c r="I34" i="84"/>
  <c r="K34" i="84"/>
  <c r="L34" i="84"/>
  <c r="AA34" i="84" s="1"/>
  <c r="M34" i="84"/>
  <c r="AB34" i="84" s="1"/>
  <c r="N34" i="84"/>
  <c r="O34" i="84"/>
  <c r="T34" i="84"/>
  <c r="I35" i="84"/>
  <c r="K35" i="84"/>
  <c r="L35" i="84"/>
  <c r="AA35" i="84" s="1"/>
  <c r="M35" i="84"/>
  <c r="AB35" i="84" s="1"/>
  <c r="N35" i="84"/>
  <c r="O35" i="84"/>
  <c r="T35" i="84"/>
  <c r="I36" i="84"/>
  <c r="K36" i="84"/>
  <c r="L36" i="84"/>
  <c r="AA36" i="84" s="1"/>
  <c r="M36" i="84"/>
  <c r="AB36" i="84" s="1"/>
  <c r="N36" i="84"/>
  <c r="O36" i="84"/>
  <c r="T36" i="84"/>
  <c r="I37" i="84"/>
  <c r="K37" i="84"/>
  <c r="L37" i="84"/>
  <c r="AA37" i="84" s="1"/>
  <c r="M37" i="84"/>
  <c r="AB37" i="84" s="1"/>
  <c r="N37" i="84"/>
  <c r="O37" i="84"/>
  <c r="T37" i="84"/>
  <c r="I38" i="84"/>
  <c r="K38" i="84"/>
  <c r="L38" i="84"/>
  <c r="AA38" i="84" s="1"/>
  <c r="M38" i="84"/>
  <c r="AB38" i="84" s="1"/>
  <c r="N38" i="84"/>
  <c r="O38" i="84"/>
  <c r="T38" i="84"/>
  <c r="I39" i="84"/>
  <c r="K39" i="84"/>
  <c r="L39" i="84"/>
  <c r="AA39" i="84" s="1"/>
  <c r="M39" i="84"/>
  <c r="AB39" i="84" s="1"/>
  <c r="N39" i="84"/>
  <c r="O39" i="84"/>
  <c r="T39" i="84"/>
  <c r="I40" i="84"/>
  <c r="K40" i="84"/>
  <c r="L40" i="84"/>
  <c r="AA40" i="84" s="1"/>
  <c r="M40" i="84"/>
  <c r="AB40" i="84" s="1"/>
  <c r="N40" i="84"/>
  <c r="O40" i="84"/>
  <c r="T40" i="84"/>
  <c r="I41" i="84"/>
  <c r="K41" i="84"/>
  <c r="L41" i="84"/>
  <c r="AA41" i="84" s="1"/>
  <c r="M41" i="84"/>
  <c r="AB41" i="84" s="1"/>
  <c r="N41" i="84"/>
  <c r="O41" i="84"/>
  <c r="T41" i="84"/>
  <c r="I42" i="84"/>
  <c r="K42" i="84"/>
  <c r="L42" i="84"/>
  <c r="AA42" i="84" s="1"/>
  <c r="M42" i="84"/>
  <c r="AB42" i="84" s="1"/>
  <c r="N42" i="84"/>
  <c r="O42" i="84"/>
  <c r="T42" i="84"/>
  <c r="I43" i="84"/>
  <c r="K43" i="84"/>
  <c r="L43" i="84"/>
  <c r="AA43" i="84" s="1"/>
  <c r="M43" i="84"/>
  <c r="AB43" i="84" s="1"/>
  <c r="N43" i="84"/>
  <c r="O43" i="84"/>
  <c r="T43" i="84"/>
  <c r="I44" i="84"/>
  <c r="K44" i="84"/>
  <c r="L44" i="84"/>
  <c r="AA44" i="84" s="1"/>
  <c r="M44" i="84"/>
  <c r="AB44" i="84" s="1"/>
  <c r="N44" i="84"/>
  <c r="O44" i="84"/>
  <c r="T44" i="84"/>
  <c r="I45" i="84"/>
  <c r="K45" i="84"/>
  <c r="L45" i="84"/>
  <c r="AA45" i="84" s="1"/>
  <c r="M45" i="84"/>
  <c r="AB45" i="84" s="1"/>
  <c r="N45" i="84"/>
  <c r="O45" i="84"/>
  <c r="T45" i="84"/>
  <c r="AF5" i="69"/>
  <c r="AG5" i="69"/>
  <c r="AH5" i="69"/>
  <c r="AJ5" i="69"/>
  <c r="AF6" i="69"/>
  <c r="AG6" i="69"/>
  <c r="AH6" i="69"/>
  <c r="AJ6" i="69"/>
  <c r="AF7" i="69"/>
  <c r="AG7" i="69"/>
  <c r="AH7" i="69"/>
  <c r="AJ7" i="69"/>
  <c r="AF8" i="69"/>
  <c r="AG8" i="69"/>
  <c r="AH8" i="69"/>
  <c r="AJ8" i="69"/>
  <c r="AF9" i="69"/>
  <c r="AG9" i="69"/>
  <c r="AH9" i="69"/>
  <c r="AJ9" i="69"/>
  <c r="AF10" i="69"/>
  <c r="AG10" i="69"/>
  <c r="AH10" i="69"/>
  <c r="AJ10" i="69"/>
  <c r="AF11" i="69"/>
  <c r="AG11" i="69"/>
  <c r="AH11" i="69"/>
  <c r="AF12" i="69"/>
  <c r="AG12" i="69"/>
  <c r="AH12" i="69"/>
  <c r="AF13" i="69"/>
  <c r="AG13" i="69"/>
  <c r="AH13" i="69"/>
  <c r="AF14" i="69"/>
  <c r="AG14" i="69"/>
  <c r="AH14" i="69"/>
  <c r="AF15" i="69"/>
  <c r="AG15" i="69"/>
  <c r="AH15" i="69"/>
  <c r="AF16" i="69"/>
  <c r="AG16" i="69"/>
  <c r="AH16" i="69"/>
  <c r="AF17" i="69"/>
  <c r="AG17" i="69"/>
  <c r="AH17" i="69"/>
  <c r="AI17" i="69"/>
  <c r="AF18" i="69"/>
  <c r="AG18" i="69"/>
  <c r="AH18" i="69"/>
  <c r="AI18" i="69"/>
  <c r="AF19" i="69"/>
  <c r="AG19" i="69"/>
  <c r="AH19" i="69"/>
  <c r="AI19" i="69"/>
  <c r="AF20" i="69"/>
  <c r="AG20" i="69"/>
  <c r="AH20" i="69"/>
  <c r="AI20" i="69"/>
  <c r="AF21" i="69"/>
  <c r="AG21" i="69"/>
  <c r="AH21" i="69"/>
  <c r="AI21" i="69"/>
  <c r="AF22" i="69"/>
  <c r="AG22" i="69"/>
  <c r="AH22" i="69"/>
  <c r="AI22" i="69"/>
  <c r="AF23" i="69"/>
  <c r="AG23" i="69"/>
  <c r="AH23" i="69"/>
  <c r="AI23" i="69"/>
  <c r="AF24" i="69"/>
  <c r="AG24" i="69"/>
  <c r="AH24" i="69"/>
  <c r="AI24" i="69"/>
  <c r="AF25" i="69"/>
  <c r="AG25" i="69"/>
  <c r="AH25" i="69"/>
  <c r="AI25" i="69"/>
  <c r="AF26" i="69"/>
  <c r="AG26" i="69"/>
  <c r="AH26" i="69"/>
  <c r="AI26" i="69"/>
  <c r="AF27" i="69"/>
  <c r="AG27" i="69"/>
  <c r="AH27" i="69"/>
  <c r="AI27" i="69"/>
  <c r="AF28" i="69"/>
  <c r="AG28" i="69"/>
  <c r="AH28" i="69"/>
  <c r="AI28" i="69"/>
  <c r="AF29" i="69"/>
  <c r="AG29" i="69"/>
  <c r="AH29" i="69"/>
  <c r="AI29" i="69"/>
  <c r="AF30" i="69"/>
  <c r="AG30" i="69"/>
  <c r="AH30" i="69"/>
  <c r="AI30" i="69"/>
  <c r="AF31" i="69"/>
  <c r="AG31" i="69"/>
  <c r="AH31" i="69"/>
  <c r="AI31" i="69"/>
  <c r="AF32" i="69"/>
  <c r="AG32" i="69"/>
  <c r="AH32" i="69"/>
  <c r="AI32" i="69"/>
  <c r="AF33" i="69"/>
  <c r="AG33" i="69"/>
  <c r="AH33" i="69"/>
  <c r="AI33" i="69"/>
  <c r="AF34" i="69"/>
  <c r="AG34" i="69"/>
  <c r="AH34" i="69"/>
  <c r="AI34" i="69"/>
  <c r="AF35" i="69"/>
  <c r="AG35" i="69"/>
  <c r="AH35" i="69"/>
  <c r="AI35" i="69"/>
  <c r="AF36" i="69"/>
  <c r="AG36" i="69"/>
  <c r="AH36" i="69"/>
  <c r="AI36" i="69"/>
  <c r="AF37" i="69"/>
  <c r="AG37" i="69"/>
  <c r="AH37" i="69"/>
  <c r="AI37" i="69"/>
  <c r="AF38" i="69"/>
  <c r="AG38" i="69"/>
  <c r="AH38" i="69"/>
  <c r="AI38" i="69"/>
  <c r="AF39" i="69"/>
  <c r="AG39" i="69"/>
  <c r="AH39" i="69"/>
  <c r="AI39" i="69"/>
  <c r="AF40" i="69"/>
  <c r="AG40" i="69"/>
  <c r="AH40" i="69"/>
  <c r="AI40" i="69"/>
  <c r="AF41" i="69"/>
  <c r="AG41" i="69"/>
  <c r="AH41" i="69"/>
  <c r="AI41" i="69"/>
  <c r="AF42" i="69"/>
  <c r="AG42" i="69"/>
  <c r="AH42" i="69"/>
  <c r="AI42" i="69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BS203" i="84"/>
  <c r="BS204" i="84"/>
  <c r="BS205" i="84"/>
  <c r="BS206" i="84"/>
  <c r="BS207" i="84"/>
  <c r="BS208" i="84"/>
  <c r="BS209" i="84"/>
  <c r="BS210" i="84"/>
  <c r="BS211" i="84"/>
  <c r="BS212" i="84"/>
  <c r="BS213" i="84"/>
  <c r="BS214" i="84"/>
  <c r="BS215" i="84"/>
  <c r="BS216" i="84"/>
  <c r="BS217" i="84"/>
  <c r="BS218" i="84"/>
  <c r="BS219" i="84"/>
  <c r="BS220" i="84"/>
  <c r="BS221" i="84"/>
  <c r="BS222" i="84"/>
  <c r="BS223" i="84"/>
  <c r="BS224" i="84"/>
  <c r="BS225" i="84"/>
  <c r="BS158" i="84"/>
  <c r="BS159" i="84"/>
  <c r="BS160" i="84"/>
  <c r="BS161" i="84"/>
  <c r="BS162" i="84"/>
  <c r="BS163" i="84"/>
  <c r="BS164" i="84"/>
  <c r="BS165" i="84"/>
  <c r="BS166" i="84"/>
  <c r="BS167" i="84"/>
  <c r="BS168" i="84"/>
  <c r="BS169" i="84"/>
  <c r="BS170" i="84"/>
  <c r="BS171" i="84"/>
  <c r="BS172" i="84"/>
  <c r="BS173" i="84"/>
  <c r="BS174" i="84"/>
  <c r="BS175" i="84"/>
  <c r="BS176" i="84"/>
  <c r="BS177" i="84"/>
  <c r="BS178" i="84"/>
  <c r="BS179" i="84"/>
  <c r="BS180" i="84"/>
  <c r="BS113" i="84"/>
  <c r="BS114" i="84"/>
  <c r="BS115" i="84"/>
  <c r="BS116" i="84"/>
  <c r="BS117" i="84"/>
  <c r="BS118" i="84"/>
  <c r="BS119" i="84"/>
  <c r="BS120" i="84"/>
  <c r="BS121" i="84"/>
  <c r="BS122" i="84"/>
  <c r="BS123" i="84"/>
  <c r="BS124" i="84"/>
  <c r="BS125" i="84"/>
  <c r="BS126" i="84"/>
  <c r="BS127" i="84"/>
  <c r="BS128" i="84"/>
  <c r="BS129" i="84"/>
  <c r="BS130" i="84"/>
  <c r="BS131" i="84"/>
  <c r="BS132" i="84"/>
  <c r="BS133" i="84"/>
  <c r="BS134" i="84"/>
  <c r="BS135" i="84"/>
  <c r="AV68" i="84"/>
  <c r="AU68" i="84" s="1"/>
  <c r="AV69" i="84"/>
  <c r="AV114" i="84" s="1"/>
  <c r="AV159" i="84" s="1"/>
  <c r="AV70" i="84"/>
  <c r="AV115" i="84" s="1"/>
  <c r="AV160" i="84" s="1"/>
  <c r="AV205" i="84" s="1"/>
  <c r="AV71" i="84"/>
  <c r="AU71" i="84" s="1"/>
  <c r="AV72" i="84"/>
  <c r="AV117" i="84" s="1"/>
  <c r="AV162" i="84" s="1"/>
  <c r="AV73" i="84"/>
  <c r="AU73" i="84" s="1"/>
  <c r="AV74" i="84"/>
  <c r="AV75" i="84"/>
  <c r="AV120" i="84" s="1"/>
  <c r="AV165" i="84" s="1"/>
  <c r="AV210" i="84" s="1"/>
  <c r="AU210" i="84" s="1"/>
  <c r="AV76" i="84"/>
  <c r="AU76" i="84" s="1"/>
  <c r="AV77" i="84"/>
  <c r="AV122" i="84" s="1"/>
  <c r="AV167" i="84" s="1"/>
  <c r="AV78" i="84"/>
  <c r="AV123" i="84" s="1"/>
  <c r="AV168" i="84" s="1"/>
  <c r="AV213" i="84" s="1"/>
  <c r="AV79" i="84"/>
  <c r="AU79" i="84" s="1"/>
  <c r="AV80" i="84"/>
  <c r="AV125" i="84" s="1"/>
  <c r="AU125" i="84" s="1"/>
  <c r="AV81" i="84"/>
  <c r="AV126" i="84" s="1"/>
  <c r="AV171" i="84" s="1"/>
  <c r="AV216" i="84" s="1"/>
  <c r="AU216" i="84" s="1"/>
  <c r="AV82" i="84"/>
  <c r="AU82" i="84" s="1"/>
  <c r="AV83" i="84"/>
  <c r="AV128" i="84" s="1"/>
  <c r="AV173" i="84" s="1"/>
  <c r="AV218" i="84" s="1"/>
  <c r="AV84" i="84"/>
  <c r="AV129" i="84" s="1"/>
  <c r="AV174" i="84" s="1"/>
  <c r="AV219" i="84" s="1"/>
  <c r="AU219" i="84" s="1"/>
  <c r="AV85" i="84"/>
  <c r="AV130" i="84" s="1"/>
  <c r="AV175" i="84" s="1"/>
  <c r="AV86" i="84"/>
  <c r="AV131" i="84" s="1"/>
  <c r="AV176" i="84" s="1"/>
  <c r="AV221" i="84" s="1"/>
  <c r="AU221" i="84" s="1"/>
  <c r="AV87" i="84"/>
  <c r="AV132" i="84" s="1"/>
  <c r="AV88" i="84"/>
  <c r="AV133" i="84" s="1"/>
  <c r="AV178" i="84" s="1"/>
  <c r="AV223" i="84" s="1"/>
  <c r="AU223" i="84" s="1"/>
  <c r="AV89" i="84"/>
  <c r="AV134" i="84" s="1"/>
  <c r="AV179" i="84" s="1"/>
  <c r="AV224" i="84" s="1"/>
  <c r="AU224" i="84" s="1"/>
  <c r="AV90" i="84"/>
  <c r="AV135" i="84" s="1"/>
  <c r="BS68" i="84"/>
  <c r="BS69" i="84"/>
  <c r="BS70" i="84"/>
  <c r="BS71" i="84"/>
  <c r="BS72" i="84"/>
  <c r="BS73" i="84"/>
  <c r="BS74" i="84"/>
  <c r="BS75" i="84"/>
  <c r="BS76" i="84"/>
  <c r="BS77" i="84"/>
  <c r="BS78" i="84"/>
  <c r="BS79" i="84"/>
  <c r="BS80" i="84"/>
  <c r="BS81" i="84"/>
  <c r="BS82" i="84"/>
  <c r="BS83" i="84"/>
  <c r="BS84" i="84"/>
  <c r="BS85" i="84"/>
  <c r="BS86" i="84"/>
  <c r="BS87" i="84"/>
  <c r="BS88" i="84"/>
  <c r="BS89" i="84"/>
  <c r="BS90" i="84"/>
  <c r="AS23" i="84"/>
  <c r="AU23" i="84"/>
  <c r="BS23" i="84"/>
  <c r="AS24" i="84"/>
  <c r="BH24" i="84" s="1"/>
  <c r="AU24" i="84"/>
  <c r="BS24" i="84"/>
  <c r="AS25" i="84"/>
  <c r="AU25" i="84"/>
  <c r="AY25" i="84" s="1"/>
  <c r="BS25" i="84"/>
  <c r="AS26" i="84"/>
  <c r="BG26" i="84" s="1"/>
  <c r="AU26" i="84"/>
  <c r="AY26" i="84" s="1"/>
  <c r="BS26" i="84"/>
  <c r="AS27" i="84"/>
  <c r="BI27" i="84" s="1"/>
  <c r="AU27" i="84"/>
  <c r="BS27" i="84"/>
  <c r="AS28" i="84"/>
  <c r="AU28" i="84"/>
  <c r="BS28" i="84"/>
  <c r="AS29" i="84"/>
  <c r="BG29" i="84" s="1"/>
  <c r="AU29" i="84"/>
  <c r="BS29" i="84"/>
  <c r="AS30" i="84"/>
  <c r="AU30" i="84"/>
  <c r="BS30" i="84"/>
  <c r="AS31" i="84"/>
  <c r="AU31" i="84"/>
  <c r="AY31" i="84" s="1"/>
  <c r="BS31" i="84"/>
  <c r="AS32" i="84"/>
  <c r="BG32" i="84" s="1"/>
  <c r="AU32" i="84"/>
  <c r="AY32" i="84" s="1"/>
  <c r="BS32" i="84"/>
  <c r="AS33" i="84"/>
  <c r="BI33" i="84" s="1"/>
  <c r="AU33" i="84"/>
  <c r="BS33" i="84"/>
  <c r="AS34" i="84"/>
  <c r="AU34" i="84"/>
  <c r="BS34" i="84"/>
  <c r="AS35" i="84"/>
  <c r="AU35" i="84"/>
  <c r="BS35" i="84"/>
  <c r="AS36" i="84"/>
  <c r="BI36" i="84" s="1"/>
  <c r="AU36" i="84"/>
  <c r="BS36" i="84"/>
  <c r="AS37" i="84"/>
  <c r="AU37" i="84"/>
  <c r="AY37" i="84" s="1"/>
  <c r="BS37" i="84"/>
  <c r="AS38" i="84"/>
  <c r="BG38" i="84" s="1"/>
  <c r="AU38" i="84"/>
  <c r="AY38" i="84" s="1"/>
  <c r="BS38" i="84"/>
  <c r="AS39" i="84"/>
  <c r="BI39" i="84" s="1"/>
  <c r="AU39" i="84"/>
  <c r="BS39" i="84"/>
  <c r="AS40" i="84"/>
  <c r="BI40" i="84" s="1"/>
  <c r="AU40" i="84"/>
  <c r="AY40" i="84" s="1"/>
  <c r="BS40" i="84"/>
  <c r="AS41" i="84"/>
  <c r="BH41" i="84" s="1"/>
  <c r="AU41" i="84"/>
  <c r="AY41" i="84" s="1"/>
  <c r="BS41" i="84"/>
  <c r="AS42" i="84"/>
  <c r="BH42" i="84" s="1"/>
  <c r="AU42" i="84"/>
  <c r="AY42" i="84" s="1"/>
  <c r="BS42" i="84"/>
  <c r="AS43" i="84"/>
  <c r="AU43" i="84"/>
  <c r="AY43" i="84" s="1"/>
  <c r="BS43" i="84"/>
  <c r="AS44" i="84"/>
  <c r="AU44" i="84"/>
  <c r="BS44" i="84"/>
  <c r="AS45" i="84"/>
  <c r="BG45" i="84" s="1"/>
  <c r="AU45" i="84"/>
  <c r="BS45" i="84"/>
  <c r="BD54" i="95"/>
  <c r="BB146" i="95"/>
  <c r="AP145" i="95"/>
  <c r="AV99" i="95"/>
  <c r="BA9" i="95"/>
  <c r="AU99" i="95"/>
  <c r="AT9" i="95"/>
  <c r="AU144" i="95"/>
  <c r="AU54" i="95"/>
  <c r="AP99" i="95"/>
  <c r="AT145" i="95"/>
  <c r="AZ144" i="95"/>
  <c r="AV190" i="95"/>
  <c r="AQ54" i="95"/>
  <c r="AR189" i="95"/>
  <c r="AR144" i="95"/>
  <c r="AZ100" i="95"/>
  <c r="BA144" i="95"/>
  <c r="AQ99" i="95"/>
  <c r="AP189" i="95"/>
  <c r="AP10" i="95"/>
  <c r="AV9" i="95"/>
  <c r="AY54" i="95"/>
  <c r="BA54" i="95"/>
  <c r="BA99" i="95"/>
  <c r="AT54" i="95"/>
  <c r="AP100" i="95"/>
  <c r="AZ54" i="95"/>
  <c r="AZ189" i="95"/>
  <c r="AP190" i="95"/>
  <c r="AZ9" i="95"/>
  <c r="AY190" i="95"/>
  <c r="BA189" i="95"/>
  <c r="BA145" i="95"/>
  <c r="AP54" i="95"/>
  <c r="AP55" i="95" s="1"/>
  <c r="AQ9" i="95"/>
  <c r="AQ144" i="95"/>
  <c r="AQ145" i="95" s="1"/>
  <c r="AW144" i="95"/>
  <c r="AP146" i="95"/>
  <c r="AY145" i="95"/>
  <c r="AY9" i="95"/>
  <c r="AQ189" i="95"/>
  <c r="AV54" i="95"/>
  <c r="BD100" i="95"/>
  <c r="AT190" i="95"/>
  <c r="AV144" i="95"/>
  <c r="AU9" i="95"/>
  <c r="AT99" i="95"/>
  <c r="AW189" i="95"/>
  <c r="BB189" i="95"/>
  <c r="BD145" i="95"/>
  <c r="AU189" i="95"/>
  <c r="BD189" i="95"/>
  <c r="AY99" i="95"/>
  <c r="BD9" i="95"/>
  <c r="BG24" i="84" l="1"/>
  <c r="BH23" i="84"/>
  <c r="BG23" i="84"/>
  <c r="AC134" i="84"/>
  <c r="AB133" i="84"/>
  <c r="AA132" i="84"/>
  <c r="AC128" i="84"/>
  <c r="AB127" i="84"/>
  <c r="AA126" i="84"/>
  <c r="AC122" i="84"/>
  <c r="AB121" i="84"/>
  <c r="AA120" i="84"/>
  <c r="AC116" i="84"/>
  <c r="AB115" i="84"/>
  <c r="AA114" i="84"/>
  <c r="BG43" i="84"/>
  <c r="BI43" i="84"/>
  <c r="BG42" i="84"/>
  <c r="BI42" i="84"/>
  <c r="AV127" i="84"/>
  <c r="AU127" i="84" s="1"/>
  <c r="AY127" i="84" s="1"/>
  <c r="BI24" i="84"/>
  <c r="BI23" i="84"/>
  <c r="AV124" i="84"/>
  <c r="AV169" i="84" s="1"/>
  <c r="AV214" i="84" s="1"/>
  <c r="AU214" i="84" s="1"/>
  <c r="AY214" i="84" s="1"/>
  <c r="AV118" i="84"/>
  <c r="AV163" i="84" s="1"/>
  <c r="AV208" i="84" s="1"/>
  <c r="AU208" i="84" s="1"/>
  <c r="AY208" i="84" s="1"/>
  <c r="AU133" i="84"/>
  <c r="AY133" i="84" s="1"/>
  <c r="AU213" i="84"/>
  <c r="AY213" i="84" s="1"/>
  <c r="BI44" i="84"/>
  <c r="BG44" i="84"/>
  <c r="BH44" i="84"/>
  <c r="BG35" i="84"/>
  <c r="BH35" i="84"/>
  <c r="BI30" i="84"/>
  <c r="BH30" i="84"/>
  <c r="AU74" i="84"/>
  <c r="AY74" i="84" s="1"/>
  <c r="AV119" i="84"/>
  <c r="AV164" i="84" s="1"/>
  <c r="AY68" i="84"/>
  <c r="AV113" i="84"/>
  <c r="AV158" i="84" s="1"/>
  <c r="AU132" i="84"/>
  <c r="AY132" i="84" s="1"/>
  <c r="AV177" i="84"/>
  <c r="AU135" i="84"/>
  <c r="AY135" i="84" s="1"/>
  <c r="AV180" i="84"/>
  <c r="AV225" i="84" s="1"/>
  <c r="AU225" i="84" s="1"/>
  <c r="AU162" i="84"/>
  <c r="AY162" i="84" s="1"/>
  <c r="AV207" i="84"/>
  <c r="AU207" i="84" s="1"/>
  <c r="BI29" i="84"/>
  <c r="BH29" i="84"/>
  <c r="BG36" i="84"/>
  <c r="BH36" i="84"/>
  <c r="AU175" i="84"/>
  <c r="AY175" i="84" s="1"/>
  <c r="AV220" i="84"/>
  <c r="AU220" i="84" s="1"/>
  <c r="AU167" i="84"/>
  <c r="AY167" i="84" s="1"/>
  <c r="AV212" i="84"/>
  <c r="AU212" i="84" s="1"/>
  <c r="BI35" i="84"/>
  <c r="BG30" i="84"/>
  <c r="AU205" i="84"/>
  <c r="AY205" i="84" s="1"/>
  <c r="AU218" i="84"/>
  <c r="AY218" i="84" s="1"/>
  <c r="AU159" i="84"/>
  <c r="AY159" i="84" s="1"/>
  <c r="AV204" i="84"/>
  <c r="AU204" i="84" s="1"/>
  <c r="AY219" i="84"/>
  <c r="BH45" i="84"/>
  <c r="AV121" i="84"/>
  <c r="AV116" i="84"/>
  <c r="AU116" i="84" s="1"/>
  <c r="AY116" i="84" s="1"/>
  <c r="BI45" i="84"/>
  <c r="AY221" i="84"/>
  <c r="AY216" i="84"/>
  <c r="AY210" i="84"/>
  <c r="AY224" i="84"/>
  <c r="AY223" i="84"/>
  <c r="AU178" i="84"/>
  <c r="AY178" i="84" s="1"/>
  <c r="AU176" i="84"/>
  <c r="AY176" i="84" s="1"/>
  <c r="AU179" i="84"/>
  <c r="AY179" i="84" s="1"/>
  <c r="AV170" i="84"/>
  <c r="AU165" i="84"/>
  <c r="AY165" i="84" s="1"/>
  <c r="AU168" i="84"/>
  <c r="AY168" i="84" s="1"/>
  <c r="AU174" i="84"/>
  <c r="AU173" i="84"/>
  <c r="AY173" i="84" s="1"/>
  <c r="AU171" i="84"/>
  <c r="AU160" i="84"/>
  <c r="AY160" i="84" s="1"/>
  <c r="AU115" i="84"/>
  <c r="AY115" i="84" s="1"/>
  <c r="AU130" i="84"/>
  <c r="AU114" i="84"/>
  <c r="AY114" i="84" s="1"/>
  <c r="AU134" i="84"/>
  <c r="AY134" i="84" s="1"/>
  <c r="AU126" i="84"/>
  <c r="AY126" i="84" s="1"/>
  <c r="AU120" i="84"/>
  <c r="AU131" i="84"/>
  <c r="AY125" i="84"/>
  <c r="AU129" i="84"/>
  <c r="AU123" i="84"/>
  <c r="AU117" i="84"/>
  <c r="AU128" i="84"/>
  <c r="AU122" i="84"/>
  <c r="AU70" i="84"/>
  <c r="AY76" i="84"/>
  <c r="AY73" i="84"/>
  <c r="AU83" i="84"/>
  <c r="AU80" i="84"/>
  <c r="AU77" i="84"/>
  <c r="AU72" i="84"/>
  <c r="AY71" i="84"/>
  <c r="AU69" i="84"/>
  <c r="AU89" i="84"/>
  <c r="AU85" i="84"/>
  <c r="AU81" i="84"/>
  <c r="AY81" i="84" s="1"/>
  <c r="AU87" i="84"/>
  <c r="AY87" i="84" s="1"/>
  <c r="AU84" i="84"/>
  <c r="AY84" i="84" s="1"/>
  <c r="AU78" i="84"/>
  <c r="AY78" i="84" s="1"/>
  <c r="AU90" i="84"/>
  <c r="AU88" i="84"/>
  <c r="AU86" i="84"/>
  <c r="AY82" i="84"/>
  <c r="AY79" i="84"/>
  <c r="AU75" i="84"/>
  <c r="BG41" i="84"/>
  <c r="BG40" i="84"/>
  <c r="AY39" i="84"/>
  <c r="BG34" i="84"/>
  <c r="BH34" i="84"/>
  <c r="BI34" i="84"/>
  <c r="AY30" i="84"/>
  <c r="AY24" i="84"/>
  <c r="AY36" i="84"/>
  <c r="AY33" i="84"/>
  <c r="AY45" i="84"/>
  <c r="AY27" i="84"/>
  <c r="BI41" i="84"/>
  <c r="BH40" i="84"/>
  <c r="AY44" i="84"/>
  <c r="BG37" i="84"/>
  <c r="BH37" i="84"/>
  <c r="BG31" i="84"/>
  <c r="BH31" i="84"/>
  <c r="BI28" i="84"/>
  <c r="BG25" i="84"/>
  <c r="BH25" i="84"/>
  <c r="AY29" i="84"/>
  <c r="BH39" i="84"/>
  <c r="BI37" i="84"/>
  <c r="BH33" i="84"/>
  <c r="BI31" i="84"/>
  <c r="BG28" i="84"/>
  <c r="BH27" i="84"/>
  <c r="BI25" i="84"/>
  <c r="AY35" i="84"/>
  <c r="BH28" i="84"/>
  <c r="AY23" i="84"/>
  <c r="BH43" i="84"/>
  <c r="BG39" i="84"/>
  <c r="BH38" i="84"/>
  <c r="BI38" i="84"/>
  <c r="AY34" i="84"/>
  <c r="BG33" i="84"/>
  <c r="BH32" i="84"/>
  <c r="BI32" i="84"/>
  <c r="AY28" i="84"/>
  <c r="BG27" i="84"/>
  <c r="BH26" i="84"/>
  <c r="BI26" i="84"/>
  <c r="BK14" i="71"/>
  <c r="BK15" i="71"/>
  <c r="BK16" i="71"/>
  <c r="BK17" i="71"/>
  <c r="BK18" i="71"/>
  <c r="BK19" i="71"/>
  <c r="BK59" i="71"/>
  <c r="BK60" i="71"/>
  <c r="BK61" i="71"/>
  <c r="BK62" i="71"/>
  <c r="BK63" i="71"/>
  <c r="BK64" i="71"/>
  <c r="BK104" i="71"/>
  <c r="BK105" i="71"/>
  <c r="BK106" i="71"/>
  <c r="BK107" i="71"/>
  <c r="BK108" i="71"/>
  <c r="BK109" i="71"/>
  <c r="BK149" i="71"/>
  <c r="BK150" i="71"/>
  <c r="BK151" i="71"/>
  <c r="BK152" i="71"/>
  <c r="BK153" i="71"/>
  <c r="BK154" i="71"/>
  <c r="BK194" i="71"/>
  <c r="BK195" i="71"/>
  <c r="BK196" i="71"/>
  <c r="BK197" i="71"/>
  <c r="BK198" i="71"/>
  <c r="BK199" i="71"/>
  <c r="N201" i="71"/>
  <c r="O201" i="71"/>
  <c r="P201" i="71"/>
  <c r="Q201" i="71"/>
  <c r="T201" i="71"/>
  <c r="U203" i="84" s="1"/>
  <c r="U201" i="71"/>
  <c r="V203" i="84" s="1"/>
  <c r="AE207" i="90" s="1"/>
  <c r="N202" i="71"/>
  <c r="O202" i="71"/>
  <c r="P202" i="71"/>
  <c r="Q202" i="71"/>
  <c r="T202" i="71"/>
  <c r="U204" i="84" s="1"/>
  <c r="U202" i="71"/>
  <c r="V204" i="84" s="1"/>
  <c r="AE208" i="90" s="1"/>
  <c r="AE202" i="71"/>
  <c r="AF202" i="71"/>
  <c r="AG202" i="71"/>
  <c r="AH202" i="71"/>
  <c r="AI202" i="71"/>
  <c r="AJ202" i="71"/>
  <c r="N203" i="71"/>
  <c r="O203" i="71"/>
  <c r="P203" i="71"/>
  <c r="Q203" i="71"/>
  <c r="T203" i="71"/>
  <c r="U205" i="84" s="1"/>
  <c r="U203" i="71"/>
  <c r="V205" i="84" s="1"/>
  <c r="AE209" i="90" s="1"/>
  <c r="AE203" i="71"/>
  <c r="AF203" i="71"/>
  <c r="AG203" i="71"/>
  <c r="AH203" i="71"/>
  <c r="AI203" i="71"/>
  <c r="AJ203" i="71"/>
  <c r="N204" i="71"/>
  <c r="O204" i="71"/>
  <c r="P204" i="71"/>
  <c r="Q204" i="71"/>
  <c r="T204" i="71"/>
  <c r="U206" i="84" s="1"/>
  <c r="U204" i="71"/>
  <c r="V206" i="84" s="1"/>
  <c r="AE210" i="90" s="1"/>
  <c r="AE204" i="71"/>
  <c r="AF204" i="71"/>
  <c r="AG204" i="71"/>
  <c r="AH204" i="71"/>
  <c r="AI204" i="71"/>
  <c r="AJ204" i="71"/>
  <c r="N205" i="71"/>
  <c r="O205" i="71"/>
  <c r="P205" i="71"/>
  <c r="Q205" i="71"/>
  <c r="T205" i="71"/>
  <c r="U207" i="84" s="1"/>
  <c r="U205" i="71"/>
  <c r="V207" i="84" s="1"/>
  <c r="AE211" i="90" s="1"/>
  <c r="AE205" i="71"/>
  <c r="AF205" i="71"/>
  <c r="AG205" i="71"/>
  <c r="AH205" i="71"/>
  <c r="AI205" i="71"/>
  <c r="AJ205" i="71"/>
  <c r="N206" i="71"/>
  <c r="O206" i="71"/>
  <c r="P206" i="71"/>
  <c r="Q206" i="71"/>
  <c r="T206" i="71"/>
  <c r="U208" i="84" s="1"/>
  <c r="U206" i="71"/>
  <c r="V208" i="84" s="1"/>
  <c r="AE212" i="90" s="1"/>
  <c r="AE206" i="71"/>
  <c r="AF206" i="71"/>
  <c r="AG206" i="71"/>
  <c r="AH206" i="71"/>
  <c r="AI206" i="71"/>
  <c r="AJ206" i="71"/>
  <c r="N207" i="71"/>
  <c r="O207" i="71"/>
  <c r="P207" i="71"/>
  <c r="Q207" i="71"/>
  <c r="T207" i="71"/>
  <c r="U209" i="84" s="1"/>
  <c r="U207" i="71"/>
  <c r="V209" i="84" s="1"/>
  <c r="AE213" i="90" s="1"/>
  <c r="AE207" i="71"/>
  <c r="AF207" i="71"/>
  <c r="AG207" i="71"/>
  <c r="AH207" i="71"/>
  <c r="AI207" i="71"/>
  <c r="AJ207" i="71"/>
  <c r="N208" i="71"/>
  <c r="O208" i="71"/>
  <c r="P208" i="71"/>
  <c r="Q208" i="71"/>
  <c r="T208" i="71"/>
  <c r="U210" i="84" s="1"/>
  <c r="U208" i="71"/>
  <c r="V210" i="84" s="1"/>
  <c r="AE214" i="90" s="1"/>
  <c r="AE208" i="71"/>
  <c r="AF208" i="71"/>
  <c r="AG208" i="71"/>
  <c r="AH208" i="71"/>
  <c r="AI208" i="71"/>
  <c r="AJ208" i="71"/>
  <c r="N209" i="71"/>
  <c r="O209" i="71"/>
  <c r="P209" i="71"/>
  <c r="Q209" i="71"/>
  <c r="T209" i="71"/>
  <c r="U211" i="84" s="1"/>
  <c r="U209" i="71"/>
  <c r="V211" i="84" s="1"/>
  <c r="AE215" i="90" s="1"/>
  <c r="AE209" i="71"/>
  <c r="AF209" i="71"/>
  <c r="AG209" i="71"/>
  <c r="AH209" i="71"/>
  <c r="AI209" i="71"/>
  <c r="AJ209" i="71"/>
  <c r="N210" i="71"/>
  <c r="O210" i="71"/>
  <c r="P210" i="71"/>
  <c r="Q210" i="71"/>
  <c r="T210" i="71"/>
  <c r="U212" i="84" s="1"/>
  <c r="U210" i="71"/>
  <c r="V212" i="84" s="1"/>
  <c r="AE216" i="90" s="1"/>
  <c r="AE210" i="71"/>
  <c r="AF210" i="71"/>
  <c r="AG210" i="71"/>
  <c r="AH210" i="71"/>
  <c r="AI210" i="71"/>
  <c r="AJ210" i="71"/>
  <c r="N211" i="71"/>
  <c r="O211" i="71"/>
  <c r="P211" i="71"/>
  <c r="Q211" i="71"/>
  <c r="T211" i="71"/>
  <c r="U213" i="84" s="1"/>
  <c r="U211" i="71"/>
  <c r="V213" i="84" s="1"/>
  <c r="AE217" i="90" s="1"/>
  <c r="AE211" i="71"/>
  <c r="AF211" i="71"/>
  <c r="AG211" i="71"/>
  <c r="AH211" i="71"/>
  <c r="AI211" i="71"/>
  <c r="AJ211" i="71"/>
  <c r="N212" i="71"/>
  <c r="O212" i="71"/>
  <c r="P212" i="71"/>
  <c r="Q212" i="71"/>
  <c r="T212" i="71"/>
  <c r="U214" i="84" s="1"/>
  <c r="U212" i="71"/>
  <c r="V214" i="84" s="1"/>
  <c r="AE218" i="90" s="1"/>
  <c r="AE212" i="71"/>
  <c r="AF212" i="71"/>
  <c r="AG212" i="71"/>
  <c r="AH212" i="71"/>
  <c r="AI212" i="71"/>
  <c r="AJ212" i="71"/>
  <c r="N213" i="71"/>
  <c r="O213" i="71"/>
  <c r="P213" i="71"/>
  <c r="Q213" i="71"/>
  <c r="T213" i="71"/>
  <c r="U215" i="84" s="1"/>
  <c r="U213" i="71"/>
  <c r="V215" i="84" s="1"/>
  <c r="AE219" i="90" s="1"/>
  <c r="AE213" i="71"/>
  <c r="AF213" i="71"/>
  <c r="AG213" i="71"/>
  <c r="AH213" i="71"/>
  <c r="AI213" i="71"/>
  <c r="AJ213" i="71"/>
  <c r="N214" i="71"/>
  <c r="O214" i="71"/>
  <c r="P214" i="71"/>
  <c r="Q214" i="71"/>
  <c r="T214" i="71"/>
  <c r="U216" i="84" s="1"/>
  <c r="U214" i="71"/>
  <c r="V216" i="84" s="1"/>
  <c r="AE220" i="90" s="1"/>
  <c r="AE214" i="71"/>
  <c r="AF214" i="71"/>
  <c r="AG214" i="71"/>
  <c r="AH214" i="71"/>
  <c r="AI214" i="71"/>
  <c r="AJ214" i="71"/>
  <c r="N215" i="71"/>
  <c r="O215" i="71"/>
  <c r="P215" i="71"/>
  <c r="Q215" i="71"/>
  <c r="T215" i="71"/>
  <c r="U217" i="84" s="1"/>
  <c r="U215" i="71"/>
  <c r="V217" i="84" s="1"/>
  <c r="AE221" i="90" s="1"/>
  <c r="AE215" i="71"/>
  <c r="AF215" i="71"/>
  <c r="AG215" i="71"/>
  <c r="AH215" i="71"/>
  <c r="AI215" i="71"/>
  <c r="AJ215" i="71"/>
  <c r="N216" i="71"/>
  <c r="O216" i="71"/>
  <c r="P216" i="71"/>
  <c r="Q216" i="71"/>
  <c r="T216" i="71"/>
  <c r="U218" i="84" s="1"/>
  <c r="U216" i="71"/>
  <c r="V218" i="84" s="1"/>
  <c r="AE222" i="90" s="1"/>
  <c r="AE216" i="71"/>
  <c r="AF216" i="71"/>
  <c r="AG216" i="71"/>
  <c r="AH216" i="71"/>
  <c r="AI216" i="71"/>
  <c r="AJ216" i="71"/>
  <c r="N217" i="71"/>
  <c r="O217" i="71"/>
  <c r="P217" i="71"/>
  <c r="Q217" i="71"/>
  <c r="T217" i="71"/>
  <c r="U219" i="84" s="1"/>
  <c r="U217" i="71"/>
  <c r="V219" i="84" s="1"/>
  <c r="AE223" i="90" s="1"/>
  <c r="AE217" i="71"/>
  <c r="AF217" i="71"/>
  <c r="AG217" i="71"/>
  <c r="AH217" i="71"/>
  <c r="AI217" i="71"/>
  <c r="AJ217" i="71"/>
  <c r="N218" i="71"/>
  <c r="O218" i="71"/>
  <c r="P218" i="71"/>
  <c r="Q218" i="71"/>
  <c r="T218" i="71"/>
  <c r="U220" i="84" s="1"/>
  <c r="U218" i="71"/>
  <c r="V220" i="84" s="1"/>
  <c r="AE224" i="90" s="1"/>
  <c r="AE218" i="71"/>
  <c r="AF218" i="71"/>
  <c r="AG218" i="71"/>
  <c r="AH218" i="71"/>
  <c r="AI218" i="71"/>
  <c r="AJ218" i="71"/>
  <c r="N219" i="71"/>
  <c r="O219" i="71"/>
  <c r="P219" i="71"/>
  <c r="Q219" i="71"/>
  <c r="T219" i="71"/>
  <c r="U221" i="84" s="1"/>
  <c r="U219" i="71"/>
  <c r="V221" i="84" s="1"/>
  <c r="AE225" i="90" s="1"/>
  <c r="AE219" i="71"/>
  <c r="AF219" i="71"/>
  <c r="AG219" i="71"/>
  <c r="AH219" i="71"/>
  <c r="AI219" i="71"/>
  <c r="AJ219" i="71"/>
  <c r="N220" i="71"/>
  <c r="O220" i="71"/>
  <c r="P220" i="71"/>
  <c r="Q220" i="71"/>
  <c r="T220" i="71"/>
  <c r="U222" i="84" s="1"/>
  <c r="U220" i="71"/>
  <c r="V222" i="84" s="1"/>
  <c r="AE226" i="90" s="1"/>
  <c r="AE220" i="71"/>
  <c r="AF220" i="71"/>
  <c r="AG220" i="71"/>
  <c r="AH220" i="71"/>
  <c r="AI220" i="71"/>
  <c r="AJ220" i="71"/>
  <c r="N221" i="71"/>
  <c r="O221" i="71"/>
  <c r="P221" i="71"/>
  <c r="Q221" i="71"/>
  <c r="T221" i="71"/>
  <c r="U223" i="84" s="1"/>
  <c r="U221" i="71"/>
  <c r="V223" i="84" s="1"/>
  <c r="AE227" i="90" s="1"/>
  <c r="AE221" i="71"/>
  <c r="AF221" i="71"/>
  <c r="AG221" i="71"/>
  <c r="AH221" i="71"/>
  <c r="AI221" i="71"/>
  <c r="AJ221" i="71"/>
  <c r="N222" i="71"/>
  <c r="O222" i="71"/>
  <c r="P222" i="71"/>
  <c r="Q222" i="71"/>
  <c r="T222" i="71"/>
  <c r="U224" i="84" s="1"/>
  <c r="U222" i="71"/>
  <c r="V224" i="84" s="1"/>
  <c r="AE228" i="90" s="1"/>
  <c r="AE222" i="71"/>
  <c r="AF222" i="71"/>
  <c r="AG222" i="71"/>
  <c r="AH222" i="71"/>
  <c r="AI222" i="71"/>
  <c r="AJ222" i="71"/>
  <c r="N223" i="71"/>
  <c r="O223" i="71"/>
  <c r="P223" i="71"/>
  <c r="Q223" i="71"/>
  <c r="T223" i="71"/>
  <c r="U225" i="84" s="1"/>
  <c r="U223" i="71"/>
  <c r="V225" i="84" s="1"/>
  <c r="AE229" i="90" s="1"/>
  <c r="AE223" i="71"/>
  <c r="AF223" i="71"/>
  <c r="AG223" i="71"/>
  <c r="AH223" i="71"/>
  <c r="AI223" i="71"/>
  <c r="AJ223" i="71"/>
  <c r="N156" i="71"/>
  <c r="O156" i="71"/>
  <c r="P156" i="71"/>
  <c r="Q156" i="71"/>
  <c r="T156" i="71"/>
  <c r="U158" i="84" s="1"/>
  <c r="U156" i="71"/>
  <c r="V158" i="84" s="1"/>
  <c r="AE162" i="90" s="1"/>
  <c r="N157" i="71"/>
  <c r="O157" i="71"/>
  <c r="P157" i="71"/>
  <c r="Q157" i="71"/>
  <c r="T157" i="71"/>
  <c r="U159" i="84" s="1"/>
  <c r="U157" i="71"/>
  <c r="V159" i="84" s="1"/>
  <c r="AE163" i="90" s="1"/>
  <c r="AE157" i="71"/>
  <c r="AF157" i="71"/>
  <c r="AG157" i="71"/>
  <c r="AH157" i="71"/>
  <c r="AI157" i="71"/>
  <c r="AJ157" i="71"/>
  <c r="N158" i="71"/>
  <c r="O158" i="71"/>
  <c r="P158" i="71"/>
  <c r="Q158" i="71"/>
  <c r="T158" i="71"/>
  <c r="U160" i="84" s="1"/>
  <c r="U158" i="71"/>
  <c r="V160" i="84" s="1"/>
  <c r="AE164" i="90" s="1"/>
  <c r="AE158" i="71"/>
  <c r="AF158" i="71"/>
  <c r="AG158" i="71"/>
  <c r="AH158" i="71"/>
  <c r="AI158" i="71"/>
  <c r="AJ158" i="71"/>
  <c r="N159" i="71"/>
  <c r="O159" i="71"/>
  <c r="P159" i="71"/>
  <c r="Q159" i="71"/>
  <c r="T159" i="71"/>
  <c r="U161" i="84" s="1"/>
  <c r="U159" i="71"/>
  <c r="V161" i="84" s="1"/>
  <c r="AE165" i="90" s="1"/>
  <c r="AE159" i="71"/>
  <c r="AF159" i="71"/>
  <c r="AG159" i="71"/>
  <c r="AH159" i="71"/>
  <c r="AI159" i="71"/>
  <c r="AJ159" i="71"/>
  <c r="N160" i="71"/>
  <c r="O160" i="71"/>
  <c r="P160" i="71"/>
  <c r="Q160" i="71"/>
  <c r="T160" i="71"/>
  <c r="U162" i="84" s="1"/>
  <c r="U160" i="71"/>
  <c r="V162" i="84" s="1"/>
  <c r="AE166" i="90" s="1"/>
  <c r="AE160" i="71"/>
  <c r="AF160" i="71"/>
  <c r="AG160" i="71"/>
  <c r="AH160" i="71"/>
  <c r="AI160" i="71"/>
  <c r="AJ160" i="71"/>
  <c r="N161" i="71"/>
  <c r="O161" i="71"/>
  <c r="P161" i="71"/>
  <c r="Q161" i="71"/>
  <c r="T161" i="71"/>
  <c r="U163" i="84" s="1"/>
  <c r="U161" i="71"/>
  <c r="V163" i="84" s="1"/>
  <c r="AE167" i="90" s="1"/>
  <c r="AE161" i="71"/>
  <c r="AF161" i="71"/>
  <c r="AG161" i="71"/>
  <c r="AH161" i="71"/>
  <c r="AI161" i="71"/>
  <c r="AJ161" i="71"/>
  <c r="N162" i="71"/>
  <c r="O162" i="71"/>
  <c r="P162" i="71"/>
  <c r="Q162" i="71"/>
  <c r="T162" i="71"/>
  <c r="U164" i="84" s="1"/>
  <c r="U162" i="71"/>
  <c r="V164" i="84" s="1"/>
  <c r="AE168" i="90" s="1"/>
  <c r="AE162" i="71"/>
  <c r="AF162" i="71"/>
  <c r="AG162" i="71"/>
  <c r="AH162" i="71"/>
  <c r="AI162" i="71"/>
  <c r="AJ162" i="71"/>
  <c r="N163" i="71"/>
  <c r="O163" i="71"/>
  <c r="P163" i="71"/>
  <c r="Q163" i="71"/>
  <c r="T163" i="71"/>
  <c r="U165" i="84" s="1"/>
  <c r="U163" i="71"/>
  <c r="V165" i="84" s="1"/>
  <c r="AE169" i="90" s="1"/>
  <c r="N164" i="71"/>
  <c r="O164" i="71"/>
  <c r="P164" i="71"/>
  <c r="Q164" i="71"/>
  <c r="T164" i="71"/>
  <c r="U166" i="84" s="1"/>
  <c r="U164" i="71"/>
  <c r="V166" i="84" s="1"/>
  <c r="AE170" i="90" s="1"/>
  <c r="N165" i="71"/>
  <c r="O165" i="71"/>
  <c r="P165" i="71"/>
  <c r="Q165" i="71"/>
  <c r="T165" i="71"/>
  <c r="U167" i="84" s="1"/>
  <c r="U165" i="71"/>
  <c r="V167" i="84" s="1"/>
  <c r="AE171" i="90" s="1"/>
  <c r="N166" i="71"/>
  <c r="O166" i="71"/>
  <c r="P166" i="71"/>
  <c r="Q166" i="71"/>
  <c r="T166" i="71"/>
  <c r="U168" i="84" s="1"/>
  <c r="U166" i="71"/>
  <c r="V168" i="84" s="1"/>
  <c r="AE172" i="90" s="1"/>
  <c r="N167" i="71"/>
  <c r="O167" i="71"/>
  <c r="P167" i="71"/>
  <c r="Q167" i="71"/>
  <c r="T167" i="71"/>
  <c r="U169" i="84" s="1"/>
  <c r="U167" i="71"/>
  <c r="V169" i="84" s="1"/>
  <c r="AE173" i="90" s="1"/>
  <c r="N168" i="71"/>
  <c r="O168" i="71"/>
  <c r="P168" i="71"/>
  <c r="Q168" i="71"/>
  <c r="T168" i="71"/>
  <c r="U170" i="84" s="1"/>
  <c r="U168" i="71"/>
  <c r="V170" i="84" s="1"/>
  <c r="AE174" i="90" s="1"/>
  <c r="N169" i="71"/>
  <c r="O169" i="71"/>
  <c r="P169" i="71"/>
  <c r="Q169" i="71"/>
  <c r="T169" i="71"/>
  <c r="U171" i="84" s="1"/>
  <c r="U169" i="71"/>
  <c r="V171" i="84" s="1"/>
  <c r="AE175" i="90" s="1"/>
  <c r="N170" i="71"/>
  <c r="O170" i="71"/>
  <c r="P170" i="71"/>
  <c r="Q170" i="71"/>
  <c r="T170" i="71"/>
  <c r="U172" i="84" s="1"/>
  <c r="U170" i="71"/>
  <c r="V172" i="84" s="1"/>
  <c r="AE176" i="90" s="1"/>
  <c r="N171" i="71"/>
  <c r="O171" i="71"/>
  <c r="P171" i="71"/>
  <c r="Q171" i="71"/>
  <c r="T171" i="71"/>
  <c r="U173" i="84" s="1"/>
  <c r="U171" i="71"/>
  <c r="V173" i="84" s="1"/>
  <c r="AE177" i="90" s="1"/>
  <c r="N172" i="71"/>
  <c r="O172" i="71"/>
  <c r="P172" i="71"/>
  <c r="Q172" i="71"/>
  <c r="T172" i="71"/>
  <c r="U174" i="84" s="1"/>
  <c r="U172" i="71"/>
  <c r="V174" i="84" s="1"/>
  <c r="AE178" i="90" s="1"/>
  <c r="N173" i="71"/>
  <c r="O173" i="71"/>
  <c r="P173" i="71"/>
  <c r="Q173" i="71"/>
  <c r="T173" i="71"/>
  <c r="U175" i="84" s="1"/>
  <c r="U173" i="71"/>
  <c r="V175" i="84" s="1"/>
  <c r="AE179" i="90" s="1"/>
  <c r="N174" i="71"/>
  <c r="O174" i="71"/>
  <c r="P174" i="71"/>
  <c r="Q174" i="71"/>
  <c r="T174" i="71"/>
  <c r="U176" i="84" s="1"/>
  <c r="U174" i="71"/>
  <c r="V176" i="84" s="1"/>
  <c r="AE180" i="90" s="1"/>
  <c r="N175" i="71"/>
  <c r="O175" i="71"/>
  <c r="P175" i="71"/>
  <c r="Q175" i="71"/>
  <c r="T175" i="71"/>
  <c r="U177" i="84" s="1"/>
  <c r="U175" i="71"/>
  <c r="V177" i="84" s="1"/>
  <c r="AE181" i="90" s="1"/>
  <c r="N176" i="71"/>
  <c r="O176" i="71"/>
  <c r="P176" i="71"/>
  <c r="Q176" i="71"/>
  <c r="T176" i="71"/>
  <c r="U178" i="84" s="1"/>
  <c r="U176" i="71"/>
  <c r="V178" i="84" s="1"/>
  <c r="AE182" i="90" s="1"/>
  <c r="N177" i="71"/>
  <c r="O177" i="71"/>
  <c r="P177" i="71"/>
  <c r="Q177" i="71"/>
  <c r="T177" i="71"/>
  <c r="U179" i="84" s="1"/>
  <c r="U177" i="71"/>
  <c r="V179" i="84" s="1"/>
  <c r="AE183" i="90" s="1"/>
  <c r="N178" i="71"/>
  <c r="O178" i="71"/>
  <c r="P178" i="71"/>
  <c r="Q178" i="71"/>
  <c r="T178" i="71"/>
  <c r="U180" i="84" s="1"/>
  <c r="U178" i="71"/>
  <c r="V180" i="84" s="1"/>
  <c r="AE184" i="90" s="1"/>
  <c r="N111" i="71"/>
  <c r="O111" i="71"/>
  <c r="P111" i="71"/>
  <c r="Q111" i="71"/>
  <c r="T111" i="71"/>
  <c r="U113" i="84" s="1"/>
  <c r="U111" i="71"/>
  <c r="V113" i="84" s="1"/>
  <c r="AE117" i="90" s="1"/>
  <c r="N112" i="71"/>
  <c r="O112" i="71"/>
  <c r="P112" i="71"/>
  <c r="Q112" i="71"/>
  <c r="T112" i="71"/>
  <c r="U114" i="84" s="1"/>
  <c r="U112" i="71"/>
  <c r="V114" i="84" s="1"/>
  <c r="AE118" i="90" s="1"/>
  <c r="AE112" i="71"/>
  <c r="AF112" i="71"/>
  <c r="AG112" i="71"/>
  <c r="AH112" i="71"/>
  <c r="AI112" i="71"/>
  <c r="AJ112" i="71"/>
  <c r="N113" i="71"/>
  <c r="O113" i="71"/>
  <c r="P113" i="71"/>
  <c r="Q113" i="71"/>
  <c r="T113" i="71"/>
  <c r="U115" i="84" s="1"/>
  <c r="U113" i="71"/>
  <c r="V115" i="84" s="1"/>
  <c r="AE119" i="90" s="1"/>
  <c r="AE113" i="71"/>
  <c r="AF113" i="71"/>
  <c r="AG113" i="71"/>
  <c r="AH113" i="71"/>
  <c r="AI113" i="71"/>
  <c r="AJ113" i="71"/>
  <c r="N114" i="71"/>
  <c r="O114" i="71"/>
  <c r="P114" i="71"/>
  <c r="Q114" i="71"/>
  <c r="T114" i="71"/>
  <c r="U116" i="84" s="1"/>
  <c r="U114" i="71"/>
  <c r="V116" i="84" s="1"/>
  <c r="AE120" i="90" s="1"/>
  <c r="AE114" i="71"/>
  <c r="AF114" i="71"/>
  <c r="AG114" i="71"/>
  <c r="AH114" i="71"/>
  <c r="AI114" i="71"/>
  <c r="AJ114" i="71"/>
  <c r="N115" i="71"/>
  <c r="O115" i="71"/>
  <c r="P115" i="71"/>
  <c r="Q115" i="71"/>
  <c r="T115" i="71"/>
  <c r="U117" i="84" s="1"/>
  <c r="U115" i="71"/>
  <c r="V117" i="84" s="1"/>
  <c r="AE121" i="90" s="1"/>
  <c r="AE115" i="71"/>
  <c r="AF115" i="71"/>
  <c r="AG115" i="71"/>
  <c r="AH115" i="71"/>
  <c r="AI115" i="71"/>
  <c r="AJ115" i="71"/>
  <c r="N116" i="71"/>
  <c r="O116" i="71"/>
  <c r="P116" i="71"/>
  <c r="Q116" i="71"/>
  <c r="T116" i="71"/>
  <c r="U118" i="84" s="1"/>
  <c r="U116" i="71"/>
  <c r="V118" i="84" s="1"/>
  <c r="AE122" i="90" s="1"/>
  <c r="AE116" i="71"/>
  <c r="AF116" i="71"/>
  <c r="AG116" i="71"/>
  <c r="AH116" i="71"/>
  <c r="AI116" i="71"/>
  <c r="AJ116" i="71"/>
  <c r="N117" i="71"/>
  <c r="O117" i="71"/>
  <c r="P117" i="71"/>
  <c r="Q117" i="71"/>
  <c r="T117" i="71"/>
  <c r="U119" i="84" s="1"/>
  <c r="U117" i="71"/>
  <c r="V119" i="84" s="1"/>
  <c r="AE123" i="90" s="1"/>
  <c r="AE117" i="71"/>
  <c r="AF117" i="71"/>
  <c r="AG117" i="71"/>
  <c r="AH117" i="71"/>
  <c r="AI117" i="71"/>
  <c r="AJ117" i="71"/>
  <c r="N118" i="71"/>
  <c r="O118" i="71"/>
  <c r="P118" i="71"/>
  <c r="Q118" i="71"/>
  <c r="T118" i="71"/>
  <c r="U120" i="84" s="1"/>
  <c r="U118" i="71"/>
  <c r="V120" i="84" s="1"/>
  <c r="AE124" i="90" s="1"/>
  <c r="N119" i="71"/>
  <c r="O119" i="71"/>
  <c r="P119" i="71"/>
  <c r="Q119" i="71"/>
  <c r="T119" i="71"/>
  <c r="U121" i="84" s="1"/>
  <c r="U119" i="71"/>
  <c r="V121" i="84" s="1"/>
  <c r="AE125" i="90" s="1"/>
  <c r="N120" i="71"/>
  <c r="O120" i="71"/>
  <c r="P120" i="71"/>
  <c r="Q120" i="71"/>
  <c r="T120" i="71"/>
  <c r="U122" i="84" s="1"/>
  <c r="U120" i="71"/>
  <c r="V122" i="84" s="1"/>
  <c r="AE126" i="90" s="1"/>
  <c r="N121" i="71"/>
  <c r="O121" i="71"/>
  <c r="P121" i="71"/>
  <c r="Q121" i="71"/>
  <c r="T121" i="71"/>
  <c r="U123" i="84" s="1"/>
  <c r="U121" i="71"/>
  <c r="V123" i="84" s="1"/>
  <c r="AE127" i="90" s="1"/>
  <c r="N122" i="71"/>
  <c r="O122" i="71"/>
  <c r="P122" i="71"/>
  <c r="Q122" i="71"/>
  <c r="T122" i="71"/>
  <c r="U124" i="84" s="1"/>
  <c r="U122" i="71"/>
  <c r="V124" i="84" s="1"/>
  <c r="AE128" i="90" s="1"/>
  <c r="N123" i="71"/>
  <c r="O123" i="71"/>
  <c r="P123" i="71"/>
  <c r="Q123" i="71"/>
  <c r="T123" i="71"/>
  <c r="U125" i="84" s="1"/>
  <c r="U123" i="71"/>
  <c r="V125" i="84" s="1"/>
  <c r="AE129" i="90" s="1"/>
  <c r="N124" i="71"/>
  <c r="O124" i="71"/>
  <c r="P124" i="71"/>
  <c r="Q124" i="71"/>
  <c r="T124" i="71"/>
  <c r="U126" i="84" s="1"/>
  <c r="U124" i="71"/>
  <c r="V126" i="84" s="1"/>
  <c r="AE130" i="90" s="1"/>
  <c r="N125" i="71"/>
  <c r="O125" i="71"/>
  <c r="P125" i="71"/>
  <c r="Q125" i="71"/>
  <c r="T125" i="71"/>
  <c r="U127" i="84" s="1"/>
  <c r="U125" i="71"/>
  <c r="V127" i="84" s="1"/>
  <c r="AE131" i="90" s="1"/>
  <c r="N126" i="71"/>
  <c r="O126" i="71"/>
  <c r="P126" i="71"/>
  <c r="Q126" i="71"/>
  <c r="T126" i="71"/>
  <c r="U128" i="84" s="1"/>
  <c r="U126" i="71"/>
  <c r="V128" i="84" s="1"/>
  <c r="AE132" i="90" s="1"/>
  <c r="N127" i="71"/>
  <c r="O127" i="71"/>
  <c r="P127" i="71"/>
  <c r="Q127" i="71"/>
  <c r="T127" i="71"/>
  <c r="U129" i="84" s="1"/>
  <c r="U127" i="71"/>
  <c r="V129" i="84" s="1"/>
  <c r="AE133" i="90" s="1"/>
  <c r="N128" i="71"/>
  <c r="O128" i="71"/>
  <c r="P128" i="71"/>
  <c r="Q128" i="71"/>
  <c r="T128" i="71"/>
  <c r="U130" i="84" s="1"/>
  <c r="U128" i="71"/>
  <c r="V130" i="84" s="1"/>
  <c r="AE134" i="90" s="1"/>
  <c r="N129" i="71"/>
  <c r="O129" i="71"/>
  <c r="P129" i="71"/>
  <c r="Q129" i="71"/>
  <c r="T129" i="71"/>
  <c r="U131" i="84" s="1"/>
  <c r="U129" i="71"/>
  <c r="V131" i="84" s="1"/>
  <c r="AE135" i="90" s="1"/>
  <c r="N130" i="71"/>
  <c r="O130" i="71"/>
  <c r="P130" i="71"/>
  <c r="Q130" i="71"/>
  <c r="T130" i="71"/>
  <c r="U132" i="84" s="1"/>
  <c r="U130" i="71"/>
  <c r="V132" i="84" s="1"/>
  <c r="AE136" i="90" s="1"/>
  <c r="N131" i="71"/>
  <c r="O131" i="71"/>
  <c r="P131" i="71"/>
  <c r="Q131" i="71"/>
  <c r="T131" i="71"/>
  <c r="U133" i="84" s="1"/>
  <c r="U131" i="71"/>
  <c r="V133" i="84" s="1"/>
  <c r="AE137" i="90" s="1"/>
  <c r="N132" i="71"/>
  <c r="O132" i="71"/>
  <c r="P132" i="71"/>
  <c r="Q132" i="71"/>
  <c r="T132" i="71"/>
  <c r="U134" i="84" s="1"/>
  <c r="U132" i="71"/>
  <c r="V134" i="84" s="1"/>
  <c r="AE138" i="90" s="1"/>
  <c r="N133" i="71"/>
  <c r="O133" i="71"/>
  <c r="P133" i="71"/>
  <c r="Q133" i="71"/>
  <c r="T133" i="71"/>
  <c r="U135" i="84" s="1"/>
  <c r="U133" i="71"/>
  <c r="V135" i="84" s="1"/>
  <c r="AE139" i="90" s="1"/>
  <c r="N66" i="71"/>
  <c r="O66" i="71"/>
  <c r="P66" i="71"/>
  <c r="Q66" i="71"/>
  <c r="T66" i="71"/>
  <c r="U68" i="84" s="1"/>
  <c r="U66" i="71"/>
  <c r="V68" i="84" s="1"/>
  <c r="AE72" i="90" s="1"/>
  <c r="AL66" i="71"/>
  <c r="AL111" i="71" s="1"/>
  <c r="AL156" i="71" s="1"/>
  <c r="AL201" i="71" s="1"/>
  <c r="N67" i="71"/>
  <c r="O67" i="71"/>
  <c r="P67" i="71"/>
  <c r="Q67" i="71"/>
  <c r="T67" i="71"/>
  <c r="U69" i="84" s="1"/>
  <c r="U67" i="71"/>
  <c r="V69" i="84" s="1"/>
  <c r="AE73" i="90" s="1"/>
  <c r="AE67" i="71"/>
  <c r="AF67" i="71"/>
  <c r="AG67" i="71"/>
  <c r="AH67" i="71"/>
  <c r="AI67" i="71"/>
  <c r="AJ67" i="71"/>
  <c r="AL67" i="71"/>
  <c r="AL112" i="71" s="1"/>
  <c r="AL157" i="71" s="1"/>
  <c r="AL202" i="71" s="1"/>
  <c r="N68" i="71"/>
  <c r="O68" i="71"/>
  <c r="P68" i="71"/>
  <c r="Q68" i="71"/>
  <c r="T68" i="71"/>
  <c r="U70" i="84" s="1"/>
  <c r="U68" i="71"/>
  <c r="V70" i="84" s="1"/>
  <c r="AE74" i="90" s="1"/>
  <c r="AE68" i="71"/>
  <c r="AF68" i="71"/>
  <c r="AG68" i="71"/>
  <c r="AH68" i="71"/>
  <c r="AI68" i="71"/>
  <c r="AJ68" i="71"/>
  <c r="AL68" i="71"/>
  <c r="AL113" i="71" s="1"/>
  <c r="AL158" i="71" s="1"/>
  <c r="AL203" i="71" s="1"/>
  <c r="N69" i="71"/>
  <c r="O69" i="71"/>
  <c r="P69" i="71"/>
  <c r="Q69" i="71"/>
  <c r="T69" i="71"/>
  <c r="U71" i="84" s="1"/>
  <c r="U69" i="71"/>
  <c r="V71" i="84" s="1"/>
  <c r="AE75" i="90" s="1"/>
  <c r="AE69" i="71"/>
  <c r="AF69" i="71"/>
  <c r="AG69" i="71"/>
  <c r="AH69" i="71"/>
  <c r="AI69" i="71"/>
  <c r="AJ69" i="71"/>
  <c r="AL69" i="71"/>
  <c r="AL114" i="71" s="1"/>
  <c r="AL159" i="71" s="1"/>
  <c r="AL204" i="71" s="1"/>
  <c r="N70" i="71"/>
  <c r="O70" i="71"/>
  <c r="P70" i="71"/>
  <c r="Q70" i="71"/>
  <c r="T70" i="71"/>
  <c r="U72" i="84" s="1"/>
  <c r="U70" i="71"/>
  <c r="V72" i="84" s="1"/>
  <c r="AE76" i="90" s="1"/>
  <c r="AE70" i="71"/>
  <c r="AF70" i="71"/>
  <c r="AG70" i="71"/>
  <c r="AH70" i="71"/>
  <c r="AI70" i="71"/>
  <c r="AJ70" i="71"/>
  <c r="AL70" i="71"/>
  <c r="AL115" i="71" s="1"/>
  <c r="AL160" i="71" s="1"/>
  <c r="AL205" i="71" s="1"/>
  <c r="N71" i="71"/>
  <c r="O71" i="71"/>
  <c r="P71" i="71"/>
  <c r="Q71" i="71"/>
  <c r="T71" i="71"/>
  <c r="U73" i="84" s="1"/>
  <c r="U71" i="71"/>
  <c r="V73" i="84" s="1"/>
  <c r="AE77" i="90" s="1"/>
  <c r="AE71" i="71"/>
  <c r="AF71" i="71"/>
  <c r="AG71" i="71"/>
  <c r="AH71" i="71"/>
  <c r="AI71" i="71"/>
  <c r="AJ71" i="71"/>
  <c r="AL71" i="71"/>
  <c r="AL116" i="71" s="1"/>
  <c r="AL161" i="71" s="1"/>
  <c r="AL206" i="71" s="1"/>
  <c r="N72" i="71"/>
  <c r="O72" i="71"/>
  <c r="P72" i="71"/>
  <c r="Q72" i="71"/>
  <c r="T72" i="71"/>
  <c r="U74" i="84" s="1"/>
  <c r="U72" i="71"/>
  <c r="V74" i="84" s="1"/>
  <c r="AE78" i="90" s="1"/>
  <c r="AE72" i="71"/>
  <c r="AF72" i="71"/>
  <c r="AG72" i="71"/>
  <c r="AH72" i="71"/>
  <c r="AI72" i="71"/>
  <c r="AJ72" i="71"/>
  <c r="AL72" i="71"/>
  <c r="AL117" i="71" s="1"/>
  <c r="AL162" i="71" s="1"/>
  <c r="AL207" i="71" s="1"/>
  <c r="N73" i="71"/>
  <c r="O73" i="71"/>
  <c r="P73" i="71"/>
  <c r="Q73" i="71"/>
  <c r="T73" i="71"/>
  <c r="U75" i="84" s="1"/>
  <c r="U73" i="71"/>
  <c r="V75" i="84" s="1"/>
  <c r="AE79" i="90" s="1"/>
  <c r="AL73" i="71"/>
  <c r="AL118" i="71" s="1"/>
  <c r="AL163" i="71" s="1"/>
  <c r="AL208" i="71" s="1"/>
  <c r="N74" i="71"/>
  <c r="O74" i="71"/>
  <c r="P74" i="71"/>
  <c r="Q74" i="71"/>
  <c r="T74" i="71"/>
  <c r="U76" i="84" s="1"/>
  <c r="U74" i="71"/>
  <c r="V76" i="84" s="1"/>
  <c r="AE80" i="90" s="1"/>
  <c r="AL74" i="71"/>
  <c r="AL119" i="71" s="1"/>
  <c r="AL164" i="71" s="1"/>
  <c r="AL209" i="71" s="1"/>
  <c r="N75" i="71"/>
  <c r="O75" i="71"/>
  <c r="P75" i="71"/>
  <c r="Q75" i="71"/>
  <c r="T75" i="71"/>
  <c r="U77" i="84" s="1"/>
  <c r="U75" i="71"/>
  <c r="V77" i="84" s="1"/>
  <c r="AE81" i="90" s="1"/>
  <c r="AL75" i="71"/>
  <c r="AL120" i="71" s="1"/>
  <c r="AL165" i="71" s="1"/>
  <c r="AL210" i="71" s="1"/>
  <c r="N76" i="71"/>
  <c r="O76" i="71"/>
  <c r="P76" i="71"/>
  <c r="Q76" i="71"/>
  <c r="T76" i="71"/>
  <c r="U78" i="84" s="1"/>
  <c r="U76" i="71"/>
  <c r="V78" i="84" s="1"/>
  <c r="AE82" i="90" s="1"/>
  <c r="AL76" i="71"/>
  <c r="AL121" i="71" s="1"/>
  <c r="AL166" i="71" s="1"/>
  <c r="AL211" i="71" s="1"/>
  <c r="N77" i="71"/>
  <c r="O77" i="71"/>
  <c r="P77" i="71"/>
  <c r="Q77" i="71"/>
  <c r="T77" i="71"/>
  <c r="U79" i="84" s="1"/>
  <c r="U77" i="71"/>
  <c r="V79" i="84" s="1"/>
  <c r="AE83" i="90" s="1"/>
  <c r="AL77" i="71"/>
  <c r="AL122" i="71" s="1"/>
  <c r="AL167" i="71" s="1"/>
  <c r="AL212" i="71" s="1"/>
  <c r="N78" i="71"/>
  <c r="O78" i="71"/>
  <c r="P78" i="71"/>
  <c r="Q78" i="71"/>
  <c r="T78" i="71"/>
  <c r="U80" i="84" s="1"/>
  <c r="U78" i="71"/>
  <c r="V80" i="84" s="1"/>
  <c r="AE84" i="90" s="1"/>
  <c r="AL78" i="71"/>
  <c r="AL123" i="71" s="1"/>
  <c r="AL168" i="71" s="1"/>
  <c r="AL213" i="71" s="1"/>
  <c r="N79" i="71"/>
  <c r="O79" i="71"/>
  <c r="P79" i="71"/>
  <c r="Q79" i="71"/>
  <c r="T79" i="71"/>
  <c r="U81" i="84" s="1"/>
  <c r="U79" i="71"/>
  <c r="V81" i="84" s="1"/>
  <c r="AE85" i="90" s="1"/>
  <c r="AL79" i="71"/>
  <c r="AL124" i="71" s="1"/>
  <c r="AL169" i="71" s="1"/>
  <c r="AL214" i="71" s="1"/>
  <c r="N80" i="71"/>
  <c r="O80" i="71"/>
  <c r="P80" i="71"/>
  <c r="Q80" i="71"/>
  <c r="T80" i="71"/>
  <c r="U82" i="84" s="1"/>
  <c r="U80" i="71"/>
  <c r="V82" i="84" s="1"/>
  <c r="AE86" i="90" s="1"/>
  <c r="AL80" i="71"/>
  <c r="AL125" i="71" s="1"/>
  <c r="AL170" i="71" s="1"/>
  <c r="AL215" i="71" s="1"/>
  <c r="N81" i="71"/>
  <c r="O81" i="71"/>
  <c r="P81" i="71"/>
  <c r="Q81" i="71"/>
  <c r="T81" i="71"/>
  <c r="U83" i="84" s="1"/>
  <c r="U81" i="71"/>
  <c r="V83" i="84" s="1"/>
  <c r="AE87" i="90" s="1"/>
  <c r="AL81" i="71"/>
  <c r="AL126" i="71" s="1"/>
  <c r="AL171" i="71" s="1"/>
  <c r="AL216" i="71" s="1"/>
  <c r="N82" i="71"/>
  <c r="O82" i="71"/>
  <c r="P82" i="71"/>
  <c r="Q82" i="71"/>
  <c r="T82" i="71"/>
  <c r="U84" i="84" s="1"/>
  <c r="U82" i="71"/>
  <c r="V84" i="84" s="1"/>
  <c r="AE88" i="90" s="1"/>
  <c r="AL82" i="71"/>
  <c r="AL127" i="71" s="1"/>
  <c r="AL172" i="71" s="1"/>
  <c r="AL217" i="71" s="1"/>
  <c r="N83" i="71"/>
  <c r="O83" i="71"/>
  <c r="P83" i="71"/>
  <c r="Q83" i="71"/>
  <c r="T83" i="71"/>
  <c r="U85" i="84" s="1"/>
  <c r="U83" i="71"/>
  <c r="V85" i="84" s="1"/>
  <c r="AE89" i="90" s="1"/>
  <c r="AL83" i="71"/>
  <c r="AL128" i="71" s="1"/>
  <c r="AL173" i="71" s="1"/>
  <c r="AL218" i="71" s="1"/>
  <c r="N84" i="71"/>
  <c r="O84" i="71"/>
  <c r="P84" i="71"/>
  <c r="Q84" i="71"/>
  <c r="T84" i="71"/>
  <c r="U86" i="84" s="1"/>
  <c r="U84" i="71"/>
  <c r="V86" i="84" s="1"/>
  <c r="AE90" i="90" s="1"/>
  <c r="AL84" i="71"/>
  <c r="AL129" i="71" s="1"/>
  <c r="AL174" i="71" s="1"/>
  <c r="AL219" i="71" s="1"/>
  <c r="N85" i="71"/>
  <c r="O85" i="71"/>
  <c r="P85" i="71"/>
  <c r="Q85" i="71"/>
  <c r="T85" i="71"/>
  <c r="U87" i="84" s="1"/>
  <c r="U85" i="71"/>
  <c r="V87" i="84" s="1"/>
  <c r="AE91" i="90" s="1"/>
  <c r="AL85" i="71"/>
  <c r="AL130" i="71" s="1"/>
  <c r="AL175" i="71" s="1"/>
  <c r="AL220" i="71" s="1"/>
  <c r="N86" i="71"/>
  <c r="O86" i="71"/>
  <c r="P86" i="71"/>
  <c r="Q86" i="71"/>
  <c r="T86" i="71"/>
  <c r="U88" i="84" s="1"/>
  <c r="U86" i="71"/>
  <c r="V88" i="84" s="1"/>
  <c r="AE92" i="90" s="1"/>
  <c r="AL86" i="71"/>
  <c r="AL131" i="71" s="1"/>
  <c r="AL176" i="71" s="1"/>
  <c r="AL221" i="71" s="1"/>
  <c r="N87" i="71"/>
  <c r="O87" i="71"/>
  <c r="P87" i="71"/>
  <c r="Q87" i="71"/>
  <c r="T87" i="71"/>
  <c r="U89" i="84" s="1"/>
  <c r="U87" i="71"/>
  <c r="V89" i="84" s="1"/>
  <c r="AE93" i="90" s="1"/>
  <c r="AL87" i="71"/>
  <c r="AL132" i="71" s="1"/>
  <c r="AL177" i="71" s="1"/>
  <c r="AL222" i="71" s="1"/>
  <c r="N88" i="71"/>
  <c r="O88" i="71"/>
  <c r="P88" i="71"/>
  <c r="Q88" i="71"/>
  <c r="T88" i="71"/>
  <c r="U90" i="84" s="1"/>
  <c r="U88" i="71"/>
  <c r="V90" i="84" s="1"/>
  <c r="AE94" i="90" s="1"/>
  <c r="AL88" i="71"/>
  <c r="AL133" i="71" s="1"/>
  <c r="AL178" i="71" s="1"/>
  <c r="AL223" i="71" s="1"/>
  <c r="N21" i="71"/>
  <c r="O21" i="71"/>
  <c r="P21" i="71"/>
  <c r="Q21" i="71"/>
  <c r="T21" i="71"/>
  <c r="U23" i="84" s="1"/>
  <c r="U21" i="71"/>
  <c r="V23" i="84" s="1"/>
  <c r="AE27" i="90" s="1"/>
  <c r="N22" i="71"/>
  <c r="O22" i="71"/>
  <c r="P22" i="71"/>
  <c r="Q22" i="71"/>
  <c r="T22" i="71"/>
  <c r="U24" i="84" s="1"/>
  <c r="U22" i="71"/>
  <c r="V24" i="84" s="1"/>
  <c r="AE28" i="90" s="1"/>
  <c r="AE22" i="71"/>
  <c r="AF22" i="71"/>
  <c r="AG22" i="71"/>
  <c r="AH22" i="71"/>
  <c r="AI22" i="71"/>
  <c r="AJ22" i="71"/>
  <c r="N23" i="71"/>
  <c r="O23" i="71"/>
  <c r="P23" i="71"/>
  <c r="Q23" i="71"/>
  <c r="T23" i="71"/>
  <c r="U25" i="84" s="1"/>
  <c r="U23" i="71"/>
  <c r="V25" i="84" s="1"/>
  <c r="AE29" i="90" s="1"/>
  <c r="AE23" i="71"/>
  <c r="AF23" i="71"/>
  <c r="AG23" i="71"/>
  <c r="AH23" i="71"/>
  <c r="AI23" i="71"/>
  <c r="AJ23" i="71"/>
  <c r="N24" i="71"/>
  <c r="O24" i="71"/>
  <c r="P24" i="71"/>
  <c r="Q24" i="71"/>
  <c r="T24" i="71"/>
  <c r="U26" i="84" s="1"/>
  <c r="U24" i="71"/>
  <c r="V26" i="84" s="1"/>
  <c r="AE30" i="90" s="1"/>
  <c r="AE24" i="71"/>
  <c r="AF24" i="71"/>
  <c r="AG24" i="71"/>
  <c r="AH24" i="71"/>
  <c r="AI24" i="71"/>
  <c r="AJ24" i="71"/>
  <c r="N25" i="71"/>
  <c r="O25" i="71"/>
  <c r="P25" i="71"/>
  <c r="Q25" i="71"/>
  <c r="T25" i="71"/>
  <c r="U27" i="84" s="1"/>
  <c r="U25" i="71"/>
  <c r="V27" i="84" s="1"/>
  <c r="AE31" i="90" s="1"/>
  <c r="AE25" i="71"/>
  <c r="AF25" i="71"/>
  <c r="AG25" i="71"/>
  <c r="AH25" i="71"/>
  <c r="AI25" i="71"/>
  <c r="AJ25" i="71"/>
  <c r="N26" i="71"/>
  <c r="O26" i="71"/>
  <c r="P26" i="71"/>
  <c r="Q26" i="71"/>
  <c r="T26" i="71"/>
  <c r="U28" i="84" s="1"/>
  <c r="U26" i="71"/>
  <c r="V28" i="84" s="1"/>
  <c r="AE32" i="90" s="1"/>
  <c r="AE26" i="71"/>
  <c r="AF26" i="71"/>
  <c r="AG26" i="71"/>
  <c r="AH26" i="71"/>
  <c r="AI26" i="71"/>
  <c r="AJ26" i="71"/>
  <c r="N27" i="71"/>
  <c r="O27" i="71"/>
  <c r="P27" i="71"/>
  <c r="Q27" i="71"/>
  <c r="T27" i="71"/>
  <c r="U29" i="84" s="1"/>
  <c r="U27" i="71"/>
  <c r="V29" i="84" s="1"/>
  <c r="AE33" i="90" s="1"/>
  <c r="AF27" i="71"/>
  <c r="AG27" i="71"/>
  <c r="AH27" i="71"/>
  <c r="AI27" i="71"/>
  <c r="AJ27" i="71"/>
  <c r="N28" i="71"/>
  <c r="O28" i="71"/>
  <c r="P28" i="71"/>
  <c r="Q28" i="71"/>
  <c r="T28" i="71"/>
  <c r="U30" i="84" s="1"/>
  <c r="U28" i="71"/>
  <c r="V30" i="84" s="1"/>
  <c r="AE34" i="90" s="1"/>
  <c r="N29" i="71"/>
  <c r="O29" i="71"/>
  <c r="P29" i="71"/>
  <c r="Q29" i="71"/>
  <c r="T29" i="71"/>
  <c r="U31" i="84" s="1"/>
  <c r="U29" i="71"/>
  <c r="V31" i="84" s="1"/>
  <c r="AE35" i="90" s="1"/>
  <c r="N30" i="71"/>
  <c r="O30" i="71"/>
  <c r="P30" i="71"/>
  <c r="Q30" i="71"/>
  <c r="T30" i="71"/>
  <c r="U32" i="84" s="1"/>
  <c r="U30" i="71"/>
  <c r="V32" i="84" s="1"/>
  <c r="AE36" i="90" s="1"/>
  <c r="N31" i="71"/>
  <c r="O31" i="71"/>
  <c r="P31" i="71"/>
  <c r="Q31" i="71"/>
  <c r="T31" i="71"/>
  <c r="U33" i="84" s="1"/>
  <c r="U31" i="71"/>
  <c r="V33" i="84" s="1"/>
  <c r="AE37" i="90" s="1"/>
  <c r="N32" i="71"/>
  <c r="O32" i="71"/>
  <c r="P32" i="71"/>
  <c r="Q32" i="71"/>
  <c r="T32" i="71"/>
  <c r="U34" i="84" s="1"/>
  <c r="U32" i="71"/>
  <c r="V34" i="84" s="1"/>
  <c r="AE38" i="90" s="1"/>
  <c r="N33" i="71"/>
  <c r="O33" i="71"/>
  <c r="P33" i="71"/>
  <c r="Q33" i="71"/>
  <c r="T33" i="71"/>
  <c r="U35" i="84" s="1"/>
  <c r="U33" i="71"/>
  <c r="V35" i="84" s="1"/>
  <c r="AE39" i="90" s="1"/>
  <c r="N34" i="71"/>
  <c r="O34" i="71"/>
  <c r="P34" i="71"/>
  <c r="Q34" i="71"/>
  <c r="T34" i="71"/>
  <c r="U36" i="84" s="1"/>
  <c r="U34" i="71"/>
  <c r="V36" i="84" s="1"/>
  <c r="AE40" i="90" s="1"/>
  <c r="N35" i="71"/>
  <c r="O35" i="71"/>
  <c r="P35" i="71"/>
  <c r="Q35" i="71"/>
  <c r="T35" i="71"/>
  <c r="U37" i="84" s="1"/>
  <c r="U35" i="71"/>
  <c r="V37" i="84" s="1"/>
  <c r="AE41" i="90" s="1"/>
  <c r="N36" i="71"/>
  <c r="O36" i="71"/>
  <c r="P36" i="71"/>
  <c r="Q36" i="71"/>
  <c r="T36" i="71"/>
  <c r="U38" i="84" s="1"/>
  <c r="U36" i="71"/>
  <c r="V38" i="84" s="1"/>
  <c r="AE42" i="90" s="1"/>
  <c r="N37" i="71"/>
  <c r="O37" i="71"/>
  <c r="P37" i="71"/>
  <c r="Q37" i="71"/>
  <c r="T37" i="71"/>
  <c r="U39" i="84" s="1"/>
  <c r="U37" i="71"/>
  <c r="V39" i="84" s="1"/>
  <c r="AE43" i="90" s="1"/>
  <c r="N38" i="71"/>
  <c r="O38" i="71"/>
  <c r="P38" i="71"/>
  <c r="Q38" i="71"/>
  <c r="T38" i="71"/>
  <c r="U40" i="84" s="1"/>
  <c r="U38" i="71"/>
  <c r="V40" i="84" s="1"/>
  <c r="AE44" i="90" s="1"/>
  <c r="N39" i="71"/>
  <c r="O39" i="71"/>
  <c r="P39" i="71"/>
  <c r="Q39" i="71"/>
  <c r="T39" i="71"/>
  <c r="U41" i="84" s="1"/>
  <c r="U39" i="71"/>
  <c r="V41" i="84" s="1"/>
  <c r="AE45" i="90" s="1"/>
  <c r="N40" i="71"/>
  <c r="O40" i="71"/>
  <c r="P40" i="71"/>
  <c r="Q40" i="71"/>
  <c r="T40" i="71"/>
  <c r="U42" i="84" s="1"/>
  <c r="U40" i="71"/>
  <c r="V42" i="84" s="1"/>
  <c r="AE46" i="90" s="1"/>
  <c r="N41" i="71"/>
  <c r="O41" i="71"/>
  <c r="P41" i="71"/>
  <c r="Q41" i="71"/>
  <c r="T41" i="71"/>
  <c r="U43" i="84" s="1"/>
  <c r="U41" i="71"/>
  <c r="V43" i="84" s="1"/>
  <c r="AE47" i="90" s="1"/>
  <c r="N42" i="71"/>
  <c r="O42" i="71"/>
  <c r="P42" i="71"/>
  <c r="Q42" i="71"/>
  <c r="T42" i="71"/>
  <c r="U44" i="84" s="1"/>
  <c r="U42" i="71"/>
  <c r="V44" i="84" s="1"/>
  <c r="AE48" i="90" s="1"/>
  <c r="N43" i="71"/>
  <c r="O43" i="71"/>
  <c r="P43" i="71"/>
  <c r="Q43" i="71"/>
  <c r="T43" i="71"/>
  <c r="U45" i="84" s="1"/>
  <c r="U43" i="71"/>
  <c r="V45" i="84" s="1"/>
  <c r="AE49" i="90" s="1"/>
  <c r="O200" i="72"/>
  <c r="P203" i="84" s="1"/>
  <c r="T200" i="72"/>
  <c r="U200" i="72"/>
  <c r="O201" i="72"/>
  <c r="P204" i="84" s="1"/>
  <c r="T201" i="72"/>
  <c r="U201" i="72"/>
  <c r="O202" i="72"/>
  <c r="P205" i="84" s="1"/>
  <c r="T202" i="72"/>
  <c r="U202" i="72"/>
  <c r="O203" i="72"/>
  <c r="P206" i="84" s="1"/>
  <c r="T203" i="72"/>
  <c r="U203" i="72"/>
  <c r="O204" i="72"/>
  <c r="P207" i="84" s="1"/>
  <c r="T204" i="72"/>
  <c r="U204" i="72"/>
  <c r="O205" i="72"/>
  <c r="P208" i="84" s="1"/>
  <c r="T205" i="72"/>
  <c r="U205" i="72"/>
  <c r="O206" i="72"/>
  <c r="P209" i="84" s="1"/>
  <c r="T206" i="72"/>
  <c r="U206" i="72"/>
  <c r="O207" i="72"/>
  <c r="P210" i="84" s="1"/>
  <c r="T207" i="72"/>
  <c r="U207" i="72"/>
  <c r="O208" i="72"/>
  <c r="P211" i="84" s="1"/>
  <c r="T208" i="72"/>
  <c r="U208" i="72"/>
  <c r="O209" i="72"/>
  <c r="P212" i="84" s="1"/>
  <c r="T209" i="72"/>
  <c r="U209" i="72"/>
  <c r="O210" i="72"/>
  <c r="P213" i="84" s="1"/>
  <c r="T210" i="72"/>
  <c r="U210" i="72"/>
  <c r="O211" i="72"/>
  <c r="P214" i="84" s="1"/>
  <c r="T211" i="72"/>
  <c r="U211" i="72"/>
  <c r="O212" i="72"/>
  <c r="P215" i="84" s="1"/>
  <c r="T212" i="72"/>
  <c r="U212" i="72"/>
  <c r="O213" i="72"/>
  <c r="P216" i="84" s="1"/>
  <c r="T213" i="72"/>
  <c r="U213" i="72"/>
  <c r="O214" i="72"/>
  <c r="P217" i="84" s="1"/>
  <c r="T214" i="72"/>
  <c r="U214" i="72"/>
  <c r="O215" i="72"/>
  <c r="P218" i="84" s="1"/>
  <c r="T215" i="72"/>
  <c r="U215" i="72"/>
  <c r="O216" i="72"/>
  <c r="P219" i="84" s="1"/>
  <c r="T216" i="72"/>
  <c r="U216" i="72"/>
  <c r="O217" i="72"/>
  <c r="P220" i="84" s="1"/>
  <c r="T217" i="72"/>
  <c r="U217" i="72"/>
  <c r="O218" i="72"/>
  <c r="P221" i="84" s="1"/>
  <c r="T218" i="72"/>
  <c r="U218" i="72"/>
  <c r="O219" i="72"/>
  <c r="P222" i="84" s="1"/>
  <c r="T219" i="72"/>
  <c r="U219" i="72"/>
  <c r="O220" i="72"/>
  <c r="P223" i="84" s="1"/>
  <c r="T220" i="72"/>
  <c r="U220" i="72"/>
  <c r="O221" i="72"/>
  <c r="P224" i="84" s="1"/>
  <c r="T221" i="72"/>
  <c r="U221" i="72"/>
  <c r="O222" i="72"/>
  <c r="P225" i="84" s="1"/>
  <c r="T222" i="72"/>
  <c r="U222" i="72"/>
  <c r="O155" i="72"/>
  <c r="P158" i="84" s="1"/>
  <c r="T155" i="72"/>
  <c r="U155" i="72"/>
  <c r="O156" i="72"/>
  <c r="P159" i="84" s="1"/>
  <c r="T156" i="72"/>
  <c r="U156" i="72"/>
  <c r="O157" i="72"/>
  <c r="P160" i="84" s="1"/>
  <c r="T157" i="72"/>
  <c r="U157" i="72"/>
  <c r="O158" i="72"/>
  <c r="P161" i="84" s="1"/>
  <c r="T158" i="72"/>
  <c r="U158" i="72"/>
  <c r="O159" i="72"/>
  <c r="P162" i="84" s="1"/>
  <c r="T159" i="72"/>
  <c r="U159" i="72"/>
  <c r="O160" i="72"/>
  <c r="P163" i="84" s="1"/>
  <c r="T160" i="72"/>
  <c r="U160" i="72"/>
  <c r="O161" i="72"/>
  <c r="P164" i="84" s="1"/>
  <c r="T161" i="72"/>
  <c r="U161" i="72"/>
  <c r="O162" i="72"/>
  <c r="P165" i="84" s="1"/>
  <c r="T162" i="72"/>
  <c r="U162" i="72"/>
  <c r="O163" i="72"/>
  <c r="P166" i="84" s="1"/>
  <c r="T163" i="72"/>
  <c r="U163" i="72"/>
  <c r="O164" i="72"/>
  <c r="P167" i="84" s="1"/>
  <c r="T164" i="72"/>
  <c r="U164" i="72"/>
  <c r="O165" i="72"/>
  <c r="P168" i="84" s="1"/>
  <c r="T165" i="72"/>
  <c r="U165" i="72"/>
  <c r="O166" i="72"/>
  <c r="P169" i="84" s="1"/>
  <c r="T166" i="72"/>
  <c r="U166" i="72"/>
  <c r="O167" i="72"/>
  <c r="P170" i="84" s="1"/>
  <c r="T167" i="72"/>
  <c r="U167" i="72"/>
  <c r="O168" i="72"/>
  <c r="P171" i="84" s="1"/>
  <c r="T168" i="72"/>
  <c r="U168" i="72"/>
  <c r="O169" i="72"/>
  <c r="P172" i="84" s="1"/>
  <c r="T169" i="72"/>
  <c r="U169" i="72"/>
  <c r="O170" i="72"/>
  <c r="P173" i="84" s="1"/>
  <c r="T170" i="72"/>
  <c r="U170" i="72"/>
  <c r="O171" i="72"/>
  <c r="P174" i="84" s="1"/>
  <c r="T171" i="72"/>
  <c r="U171" i="72"/>
  <c r="O172" i="72"/>
  <c r="P175" i="84" s="1"/>
  <c r="T172" i="72"/>
  <c r="U172" i="72"/>
  <c r="O173" i="72"/>
  <c r="P176" i="84" s="1"/>
  <c r="T173" i="72"/>
  <c r="U173" i="72"/>
  <c r="O174" i="72"/>
  <c r="P177" i="84" s="1"/>
  <c r="T174" i="72"/>
  <c r="U174" i="72"/>
  <c r="O175" i="72"/>
  <c r="P178" i="84" s="1"/>
  <c r="T175" i="72"/>
  <c r="U175" i="72"/>
  <c r="O176" i="72"/>
  <c r="P179" i="84" s="1"/>
  <c r="T176" i="72"/>
  <c r="U176" i="72"/>
  <c r="O177" i="72"/>
  <c r="P180" i="84" s="1"/>
  <c r="T177" i="72"/>
  <c r="U177" i="72"/>
  <c r="O110" i="72"/>
  <c r="P113" i="84" s="1"/>
  <c r="T110" i="72"/>
  <c r="U110" i="72"/>
  <c r="O111" i="72"/>
  <c r="P114" i="84" s="1"/>
  <c r="T111" i="72"/>
  <c r="U111" i="72"/>
  <c r="O112" i="72"/>
  <c r="P115" i="84" s="1"/>
  <c r="T112" i="72"/>
  <c r="U112" i="72"/>
  <c r="O113" i="72"/>
  <c r="P116" i="84" s="1"/>
  <c r="T113" i="72"/>
  <c r="U113" i="72"/>
  <c r="O114" i="72"/>
  <c r="P117" i="84" s="1"/>
  <c r="T114" i="72"/>
  <c r="U114" i="72"/>
  <c r="O115" i="72"/>
  <c r="P118" i="84" s="1"/>
  <c r="T115" i="72"/>
  <c r="U115" i="72"/>
  <c r="O116" i="72"/>
  <c r="P119" i="84" s="1"/>
  <c r="T116" i="72"/>
  <c r="U116" i="72"/>
  <c r="O117" i="72"/>
  <c r="P120" i="84" s="1"/>
  <c r="T117" i="72"/>
  <c r="U117" i="72"/>
  <c r="O118" i="72"/>
  <c r="P121" i="84" s="1"/>
  <c r="T118" i="72"/>
  <c r="U118" i="72"/>
  <c r="O119" i="72"/>
  <c r="P122" i="84" s="1"/>
  <c r="T119" i="72"/>
  <c r="U119" i="72"/>
  <c r="O120" i="72"/>
  <c r="P123" i="84" s="1"/>
  <c r="T120" i="72"/>
  <c r="U120" i="72"/>
  <c r="O121" i="72"/>
  <c r="P124" i="84" s="1"/>
  <c r="T121" i="72"/>
  <c r="U121" i="72"/>
  <c r="O122" i="72"/>
  <c r="P125" i="84" s="1"/>
  <c r="T122" i="72"/>
  <c r="U122" i="72"/>
  <c r="O123" i="72"/>
  <c r="P126" i="84" s="1"/>
  <c r="T123" i="72"/>
  <c r="U123" i="72"/>
  <c r="O124" i="72"/>
  <c r="P127" i="84" s="1"/>
  <c r="T124" i="72"/>
  <c r="U124" i="72"/>
  <c r="O125" i="72"/>
  <c r="P128" i="84" s="1"/>
  <c r="T125" i="72"/>
  <c r="U125" i="72"/>
  <c r="O126" i="72"/>
  <c r="P129" i="84" s="1"/>
  <c r="T126" i="72"/>
  <c r="U126" i="72"/>
  <c r="O127" i="72"/>
  <c r="P130" i="84" s="1"/>
  <c r="T127" i="72"/>
  <c r="U127" i="72"/>
  <c r="O128" i="72"/>
  <c r="P131" i="84" s="1"/>
  <c r="T128" i="72"/>
  <c r="U128" i="72"/>
  <c r="O129" i="72"/>
  <c r="P132" i="84" s="1"/>
  <c r="T129" i="72"/>
  <c r="U129" i="72"/>
  <c r="O130" i="72"/>
  <c r="P133" i="84" s="1"/>
  <c r="T130" i="72"/>
  <c r="U130" i="72"/>
  <c r="O131" i="72"/>
  <c r="P134" i="84" s="1"/>
  <c r="T131" i="72"/>
  <c r="U131" i="72"/>
  <c r="O132" i="72"/>
  <c r="P135" i="84" s="1"/>
  <c r="T132" i="72"/>
  <c r="U132" i="72"/>
  <c r="O65" i="72"/>
  <c r="P68" i="84" s="1"/>
  <c r="T65" i="72"/>
  <c r="U65" i="72"/>
  <c r="O66" i="72"/>
  <c r="P69" i="84" s="1"/>
  <c r="T66" i="72"/>
  <c r="U66" i="72"/>
  <c r="O67" i="72"/>
  <c r="P70" i="84" s="1"/>
  <c r="T67" i="72"/>
  <c r="U67" i="72"/>
  <c r="O68" i="72"/>
  <c r="P71" i="84" s="1"/>
  <c r="T68" i="72"/>
  <c r="U68" i="72"/>
  <c r="O69" i="72"/>
  <c r="P72" i="84" s="1"/>
  <c r="T69" i="72"/>
  <c r="U69" i="72"/>
  <c r="O70" i="72"/>
  <c r="P73" i="84" s="1"/>
  <c r="T70" i="72"/>
  <c r="U70" i="72"/>
  <c r="O71" i="72"/>
  <c r="P74" i="84" s="1"/>
  <c r="T71" i="72"/>
  <c r="U71" i="72"/>
  <c r="O72" i="72"/>
  <c r="P75" i="84" s="1"/>
  <c r="T72" i="72"/>
  <c r="U72" i="72"/>
  <c r="O73" i="72"/>
  <c r="P76" i="84" s="1"/>
  <c r="T73" i="72"/>
  <c r="U73" i="72"/>
  <c r="O74" i="72"/>
  <c r="P77" i="84" s="1"/>
  <c r="T74" i="72"/>
  <c r="U74" i="72"/>
  <c r="O75" i="72"/>
  <c r="P78" i="84" s="1"/>
  <c r="T75" i="72"/>
  <c r="U75" i="72"/>
  <c r="O76" i="72"/>
  <c r="P79" i="84" s="1"/>
  <c r="T76" i="72"/>
  <c r="U76" i="72"/>
  <c r="O77" i="72"/>
  <c r="P80" i="84" s="1"/>
  <c r="T77" i="72"/>
  <c r="U77" i="72"/>
  <c r="O78" i="72"/>
  <c r="P81" i="84" s="1"/>
  <c r="T78" i="72"/>
  <c r="U78" i="72"/>
  <c r="O79" i="72"/>
  <c r="P82" i="84" s="1"/>
  <c r="T79" i="72"/>
  <c r="U79" i="72"/>
  <c r="O80" i="72"/>
  <c r="P83" i="84" s="1"/>
  <c r="T80" i="72"/>
  <c r="U80" i="72"/>
  <c r="O81" i="72"/>
  <c r="P84" i="84" s="1"/>
  <c r="T81" i="72"/>
  <c r="U81" i="72"/>
  <c r="O82" i="72"/>
  <c r="P85" i="84" s="1"/>
  <c r="T82" i="72"/>
  <c r="U82" i="72"/>
  <c r="O83" i="72"/>
  <c r="P86" i="84" s="1"/>
  <c r="T83" i="72"/>
  <c r="U83" i="72"/>
  <c r="O84" i="72"/>
  <c r="P87" i="84" s="1"/>
  <c r="T84" i="72"/>
  <c r="U84" i="72"/>
  <c r="O85" i="72"/>
  <c r="P88" i="84" s="1"/>
  <c r="T85" i="72"/>
  <c r="U85" i="72"/>
  <c r="O86" i="72"/>
  <c r="P89" i="84" s="1"/>
  <c r="T86" i="72"/>
  <c r="U86" i="72"/>
  <c r="O87" i="72"/>
  <c r="P90" i="84" s="1"/>
  <c r="T87" i="72"/>
  <c r="U87" i="72"/>
  <c r="O20" i="72"/>
  <c r="P23" i="84" s="1"/>
  <c r="T20" i="72"/>
  <c r="U20" i="72"/>
  <c r="O21" i="72"/>
  <c r="P24" i="84" s="1"/>
  <c r="T21" i="72"/>
  <c r="U21" i="72"/>
  <c r="O22" i="72"/>
  <c r="P25" i="84" s="1"/>
  <c r="T22" i="72"/>
  <c r="U22" i="72"/>
  <c r="O23" i="72"/>
  <c r="P26" i="84" s="1"/>
  <c r="T23" i="72"/>
  <c r="U23" i="72"/>
  <c r="O24" i="72"/>
  <c r="P27" i="84" s="1"/>
  <c r="T24" i="72"/>
  <c r="U24" i="72"/>
  <c r="O25" i="72"/>
  <c r="P28" i="84" s="1"/>
  <c r="T25" i="72"/>
  <c r="U25" i="72"/>
  <c r="O26" i="72"/>
  <c r="P29" i="84" s="1"/>
  <c r="T26" i="72"/>
  <c r="U26" i="72"/>
  <c r="O27" i="72"/>
  <c r="P30" i="84" s="1"/>
  <c r="T27" i="72"/>
  <c r="U27" i="72"/>
  <c r="O28" i="72"/>
  <c r="P31" i="84" s="1"/>
  <c r="T28" i="72"/>
  <c r="U28" i="72"/>
  <c r="O29" i="72"/>
  <c r="P32" i="84" s="1"/>
  <c r="T29" i="72"/>
  <c r="U29" i="72"/>
  <c r="O30" i="72"/>
  <c r="P33" i="84" s="1"/>
  <c r="T30" i="72"/>
  <c r="U30" i="72"/>
  <c r="O31" i="72"/>
  <c r="P34" i="84" s="1"/>
  <c r="T31" i="72"/>
  <c r="U31" i="72"/>
  <c r="O32" i="72"/>
  <c r="P35" i="84" s="1"/>
  <c r="T32" i="72"/>
  <c r="U32" i="72"/>
  <c r="O33" i="72"/>
  <c r="P36" i="84" s="1"/>
  <c r="T33" i="72"/>
  <c r="U33" i="72"/>
  <c r="O34" i="72"/>
  <c r="P37" i="84" s="1"/>
  <c r="T34" i="72"/>
  <c r="U34" i="72"/>
  <c r="O35" i="72"/>
  <c r="P38" i="84" s="1"/>
  <c r="T35" i="72"/>
  <c r="U35" i="72"/>
  <c r="O36" i="72"/>
  <c r="P39" i="84" s="1"/>
  <c r="T36" i="72"/>
  <c r="U36" i="72"/>
  <c r="O37" i="72"/>
  <c r="P40" i="84" s="1"/>
  <c r="T37" i="72"/>
  <c r="U37" i="72"/>
  <c r="O38" i="72"/>
  <c r="P41" i="84" s="1"/>
  <c r="T38" i="72"/>
  <c r="U38" i="72"/>
  <c r="O39" i="72"/>
  <c r="P42" i="84" s="1"/>
  <c r="T39" i="72"/>
  <c r="U39" i="72"/>
  <c r="O40" i="72"/>
  <c r="P43" i="84" s="1"/>
  <c r="T40" i="72"/>
  <c r="U40" i="72"/>
  <c r="O41" i="72"/>
  <c r="P44" i="84" s="1"/>
  <c r="T41" i="72"/>
  <c r="U41" i="72"/>
  <c r="O42" i="72"/>
  <c r="P45" i="84" s="1"/>
  <c r="T42" i="72"/>
  <c r="U42" i="72"/>
  <c r="BZ6" i="70"/>
  <c r="BZ7" i="70"/>
  <c r="BZ8" i="70"/>
  <c r="BZ9" i="70"/>
  <c r="BZ10" i="70"/>
  <c r="BZ11" i="70"/>
  <c r="BZ12" i="70"/>
  <c r="BZ13" i="70"/>
  <c r="BZ14" i="70"/>
  <c r="BZ15" i="70"/>
  <c r="BZ16" i="70"/>
  <c r="BZ17" i="70"/>
  <c r="BZ18" i="70"/>
  <c r="BZ19" i="70"/>
  <c r="BZ20" i="70"/>
  <c r="BZ21" i="70"/>
  <c r="BZ22" i="70"/>
  <c r="BZ23" i="70"/>
  <c r="BZ24" i="70"/>
  <c r="BZ25" i="70"/>
  <c r="BZ26" i="70"/>
  <c r="BZ27" i="70"/>
  <c r="BZ28" i="70"/>
  <c r="BZ29" i="70"/>
  <c r="BZ30" i="70"/>
  <c r="BZ31" i="70"/>
  <c r="BZ32" i="70"/>
  <c r="BZ33" i="70"/>
  <c r="BZ34" i="70"/>
  <c r="BZ35" i="70"/>
  <c r="BZ36" i="70"/>
  <c r="BZ37" i="70"/>
  <c r="BZ38" i="70"/>
  <c r="BZ39" i="70"/>
  <c r="BZ40" i="70"/>
  <c r="BZ41" i="70"/>
  <c r="BZ42" i="70"/>
  <c r="BZ5" i="70"/>
  <c r="O5" i="69"/>
  <c r="P5" i="69"/>
  <c r="Q5" i="69"/>
  <c r="S5" i="69"/>
  <c r="T5" i="69"/>
  <c r="U5" i="69"/>
  <c r="V5" i="69"/>
  <c r="X5" i="69"/>
  <c r="Y5" i="69"/>
  <c r="Z5" i="69"/>
  <c r="AA5" i="69"/>
  <c r="AC5" i="69"/>
  <c r="O6" i="69"/>
  <c r="P6" i="69"/>
  <c r="Q6" i="69"/>
  <c r="S6" i="69"/>
  <c r="T6" i="69"/>
  <c r="U6" i="69"/>
  <c r="V6" i="69"/>
  <c r="X6" i="69"/>
  <c r="Y6" i="69"/>
  <c r="Z6" i="69"/>
  <c r="AA6" i="69"/>
  <c r="AC6" i="69"/>
  <c r="O7" i="69"/>
  <c r="P7" i="69"/>
  <c r="Q7" i="69"/>
  <c r="S7" i="69"/>
  <c r="T7" i="69"/>
  <c r="U7" i="69"/>
  <c r="V7" i="69"/>
  <c r="X7" i="69"/>
  <c r="Y7" i="69"/>
  <c r="Z7" i="69"/>
  <c r="AA7" i="69"/>
  <c r="AC7" i="69"/>
  <c r="O8" i="69"/>
  <c r="P8" i="69"/>
  <c r="Q8" i="69"/>
  <c r="S8" i="69"/>
  <c r="T8" i="69"/>
  <c r="U8" i="69"/>
  <c r="V8" i="69"/>
  <c r="X8" i="69"/>
  <c r="Y8" i="69"/>
  <c r="Z8" i="69"/>
  <c r="AA8" i="69"/>
  <c r="AC8" i="69"/>
  <c r="O9" i="69"/>
  <c r="P9" i="69"/>
  <c r="Q9" i="69"/>
  <c r="S9" i="69"/>
  <c r="T9" i="69"/>
  <c r="U9" i="69"/>
  <c r="V9" i="69"/>
  <c r="X9" i="69"/>
  <c r="Y9" i="69"/>
  <c r="Z9" i="69"/>
  <c r="AA9" i="69"/>
  <c r="AC9" i="69"/>
  <c r="O10" i="69"/>
  <c r="P10" i="69"/>
  <c r="Q10" i="69"/>
  <c r="S10" i="69"/>
  <c r="T10" i="69"/>
  <c r="U10" i="69"/>
  <c r="V10" i="69"/>
  <c r="X10" i="69"/>
  <c r="Y10" i="69"/>
  <c r="Z10" i="69"/>
  <c r="AA10" i="69"/>
  <c r="AC10" i="69"/>
  <c r="O11" i="69"/>
  <c r="P11" i="69"/>
  <c r="Q11" i="69"/>
  <c r="T11" i="69"/>
  <c r="U11" i="69"/>
  <c r="V11" i="69"/>
  <c r="Y11" i="69"/>
  <c r="Z11" i="69"/>
  <c r="AA11" i="69"/>
  <c r="O12" i="69"/>
  <c r="P12" i="69"/>
  <c r="Q12" i="69"/>
  <c r="T12" i="69"/>
  <c r="U12" i="69"/>
  <c r="V12" i="69"/>
  <c r="Y12" i="69"/>
  <c r="Z12" i="69"/>
  <c r="AA12" i="69"/>
  <c r="O13" i="69"/>
  <c r="P13" i="69"/>
  <c r="Q13" i="69"/>
  <c r="T13" i="69"/>
  <c r="U13" i="69"/>
  <c r="V13" i="69"/>
  <c r="Y13" i="69"/>
  <c r="Z13" i="69"/>
  <c r="AA13" i="69"/>
  <c r="O14" i="69"/>
  <c r="P14" i="69"/>
  <c r="Q14" i="69"/>
  <c r="T14" i="69"/>
  <c r="U14" i="69"/>
  <c r="V14" i="69"/>
  <c r="Y14" i="69"/>
  <c r="Z14" i="69"/>
  <c r="AA14" i="69"/>
  <c r="O15" i="69"/>
  <c r="P15" i="69"/>
  <c r="Q15" i="69"/>
  <c r="T15" i="69"/>
  <c r="U15" i="69"/>
  <c r="V15" i="69"/>
  <c r="Y15" i="69"/>
  <c r="Z15" i="69"/>
  <c r="AA15" i="69"/>
  <c r="O16" i="69"/>
  <c r="P16" i="69"/>
  <c r="Q16" i="69"/>
  <c r="T16" i="69"/>
  <c r="U16" i="69"/>
  <c r="V16" i="69"/>
  <c r="Y16" i="69"/>
  <c r="Z16" i="69"/>
  <c r="AA16" i="69"/>
  <c r="O17" i="69"/>
  <c r="P17" i="69"/>
  <c r="Q17" i="69"/>
  <c r="R17" i="69"/>
  <c r="T17" i="69"/>
  <c r="U17" i="69"/>
  <c r="V17" i="69"/>
  <c r="Y17" i="69"/>
  <c r="Z17" i="69"/>
  <c r="AA17" i="69"/>
  <c r="AB17" i="69"/>
  <c r="O18" i="69"/>
  <c r="P18" i="69"/>
  <c r="Q18" i="69"/>
  <c r="R18" i="69"/>
  <c r="T18" i="69"/>
  <c r="U18" i="69"/>
  <c r="V18" i="69"/>
  <c r="Y18" i="69"/>
  <c r="Z18" i="69"/>
  <c r="AA18" i="69"/>
  <c r="AB18" i="69"/>
  <c r="O19" i="69"/>
  <c r="P19" i="69"/>
  <c r="Q19" i="69"/>
  <c r="R19" i="69"/>
  <c r="T19" i="69"/>
  <c r="U19" i="69"/>
  <c r="V19" i="69"/>
  <c r="Y19" i="69"/>
  <c r="Z19" i="69"/>
  <c r="AA19" i="69"/>
  <c r="AB19" i="69"/>
  <c r="O20" i="69"/>
  <c r="P20" i="69"/>
  <c r="Q20" i="69"/>
  <c r="R20" i="69"/>
  <c r="T20" i="69"/>
  <c r="U20" i="69"/>
  <c r="V20" i="69"/>
  <c r="Y20" i="69"/>
  <c r="Z20" i="69"/>
  <c r="AA20" i="69"/>
  <c r="AB20" i="69"/>
  <c r="O21" i="69"/>
  <c r="P21" i="69"/>
  <c r="Q21" i="69"/>
  <c r="R21" i="69"/>
  <c r="T21" i="69"/>
  <c r="U21" i="69"/>
  <c r="V21" i="69"/>
  <c r="Y21" i="69"/>
  <c r="Z21" i="69"/>
  <c r="AA21" i="69"/>
  <c r="AB21" i="69"/>
  <c r="O22" i="69"/>
  <c r="P22" i="69"/>
  <c r="Q22" i="69"/>
  <c r="R22" i="69"/>
  <c r="T22" i="69"/>
  <c r="U22" i="69"/>
  <c r="V22" i="69"/>
  <c r="Y22" i="69"/>
  <c r="Z22" i="69"/>
  <c r="AA22" i="69"/>
  <c r="AB22" i="69"/>
  <c r="O23" i="69"/>
  <c r="P23" i="69"/>
  <c r="Q23" i="69"/>
  <c r="R23" i="69"/>
  <c r="T23" i="69"/>
  <c r="U23" i="69"/>
  <c r="V23" i="69"/>
  <c r="Y23" i="69"/>
  <c r="Z23" i="69"/>
  <c r="AA23" i="69"/>
  <c r="AB23" i="69"/>
  <c r="O24" i="69"/>
  <c r="P24" i="69"/>
  <c r="Q24" i="69"/>
  <c r="R24" i="69"/>
  <c r="T24" i="69"/>
  <c r="U24" i="69"/>
  <c r="V24" i="69"/>
  <c r="Y24" i="69"/>
  <c r="Z24" i="69"/>
  <c r="AA24" i="69"/>
  <c r="AB24" i="69"/>
  <c r="O25" i="69"/>
  <c r="P25" i="69"/>
  <c r="Q25" i="69"/>
  <c r="R25" i="69"/>
  <c r="T25" i="69"/>
  <c r="U25" i="69"/>
  <c r="V25" i="69"/>
  <c r="Y25" i="69"/>
  <c r="Z25" i="69"/>
  <c r="AA25" i="69"/>
  <c r="AB25" i="69"/>
  <c r="O26" i="69"/>
  <c r="P26" i="69"/>
  <c r="Q26" i="69"/>
  <c r="R26" i="69"/>
  <c r="T26" i="69"/>
  <c r="U26" i="69"/>
  <c r="V26" i="69"/>
  <c r="Y26" i="69"/>
  <c r="Z26" i="69"/>
  <c r="AA26" i="69"/>
  <c r="AB26" i="69"/>
  <c r="O27" i="69"/>
  <c r="P27" i="69"/>
  <c r="Q27" i="69"/>
  <c r="R27" i="69"/>
  <c r="T27" i="69"/>
  <c r="U27" i="69"/>
  <c r="V27" i="69"/>
  <c r="Y27" i="69"/>
  <c r="Z27" i="69"/>
  <c r="AA27" i="69"/>
  <c r="AB27" i="69"/>
  <c r="O28" i="69"/>
  <c r="P28" i="69"/>
  <c r="Q28" i="69"/>
  <c r="R28" i="69"/>
  <c r="T28" i="69"/>
  <c r="U28" i="69"/>
  <c r="V28" i="69"/>
  <c r="Y28" i="69"/>
  <c r="Z28" i="69"/>
  <c r="AA28" i="69"/>
  <c r="AB28" i="69"/>
  <c r="O29" i="69"/>
  <c r="P29" i="69"/>
  <c r="Q29" i="69"/>
  <c r="R29" i="69"/>
  <c r="T29" i="69"/>
  <c r="U29" i="69"/>
  <c r="V29" i="69"/>
  <c r="Y29" i="69"/>
  <c r="Z29" i="69"/>
  <c r="AA29" i="69"/>
  <c r="AB29" i="69"/>
  <c r="O30" i="69"/>
  <c r="P30" i="69"/>
  <c r="Q30" i="69"/>
  <c r="R30" i="69"/>
  <c r="T30" i="69"/>
  <c r="U30" i="69"/>
  <c r="V30" i="69"/>
  <c r="Y30" i="69"/>
  <c r="Z30" i="69"/>
  <c r="AA30" i="69"/>
  <c r="AB30" i="69"/>
  <c r="O31" i="69"/>
  <c r="P31" i="69"/>
  <c r="Q31" i="69"/>
  <c r="R31" i="69"/>
  <c r="T31" i="69"/>
  <c r="U31" i="69"/>
  <c r="V31" i="69"/>
  <c r="Y31" i="69"/>
  <c r="Z31" i="69"/>
  <c r="AA31" i="69"/>
  <c r="AB31" i="69"/>
  <c r="O32" i="69"/>
  <c r="P32" i="69"/>
  <c r="Q32" i="69"/>
  <c r="R32" i="69"/>
  <c r="T32" i="69"/>
  <c r="U32" i="69"/>
  <c r="V32" i="69"/>
  <c r="Y32" i="69"/>
  <c r="Z32" i="69"/>
  <c r="AA32" i="69"/>
  <c r="AB32" i="69"/>
  <c r="O33" i="69"/>
  <c r="P33" i="69"/>
  <c r="Q33" i="69"/>
  <c r="R33" i="69"/>
  <c r="T33" i="69"/>
  <c r="U33" i="69"/>
  <c r="V33" i="69"/>
  <c r="Y33" i="69"/>
  <c r="Z33" i="69"/>
  <c r="AA33" i="69"/>
  <c r="AB33" i="69"/>
  <c r="O34" i="69"/>
  <c r="P34" i="69"/>
  <c r="Q34" i="69"/>
  <c r="R34" i="69"/>
  <c r="T34" i="69"/>
  <c r="U34" i="69"/>
  <c r="V34" i="69"/>
  <c r="Y34" i="69"/>
  <c r="Z34" i="69"/>
  <c r="AA34" i="69"/>
  <c r="AB34" i="69"/>
  <c r="O35" i="69"/>
  <c r="P35" i="69"/>
  <c r="Q35" i="69"/>
  <c r="R35" i="69"/>
  <c r="T35" i="69"/>
  <c r="U35" i="69"/>
  <c r="V35" i="69"/>
  <c r="Y35" i="69"/>
  <c r="Z35" i="69"/>
  <c r="AA35" i="69"/>
  <c r="AB35" i="69"/>
  <c r="O36" i="69"/>
  <c r="P36" i="69"/>
  <c r="Q36" i="69"/>
  <c r="R36" i="69"/>
  <c r="T36" i="69"/>
  <c r="U36" i="69"/>
  <c r="V36" i="69"/>
  <c r="Y36" i="69"/>
  <c r="Z36" i="69"/>
  <c r="AA36" i="69"/>
  <c r="AB36" i="69"/>
  <c r="O37" i="69"/>
  <c r="P37" i="69"/>
  <c r="Q37" i="69"/>
  <c r="R37" i="69"/>
  <c r="T37" i="69"/>
  <c r="U37" i="69"/>
  <c r="V37" i="69"/>
  <c r="Y37" i="69"/>
  <c r="Z37" i="69"/>
  <c r="AA37" i="69"/>
  <c r="AB37" i="69"/>
  <c r="O38" i="69"/>
  <c r="P38" i="69"/>
  <c r="Q38" i="69"/>
  <c r="R38" i="69"/>
  <c r="T38" i="69"/>
  <c r="U38" i="69"/>
  <c r="V38" i="69"/>
  <c r="Y38" i="69"/>
  <c r="Z38" i="69"/>
  <c r="AA38" i="69"/>
  <c r="AB38" i="69"/>
  <c r="O39" i="69"/>
  <c r="P39" i="69"/>
  <c r="Q39" i="69"/>
  <c r="R39" i="69"/>
  <c r="T39" i="69"/>
  <c r="U39" i="69"/>
  <c r="V39" i="69"/>
  <c r="Y39" i="69"/>
  <c r="Z39" i="69"/>
  <c r="AA39" i="69"/>
  <c r="AB39" i="69"/>
  <c r="O40" i="69"/>
  <c r="P40" i="69"/>
  <c r="Q40" i="69"/>
  <c r="R40" i="69"/>
  <c r="T40" i="69"/>
  <c r="U40" i="69"/>
  <c r="V40" i="69"/>
  <c r="Y40" i="69"/>
  <c r="Z40" i="69"/>
  <c r="AA40" i="69"/>
  <c r="AB40" i="69"/>
  <c r="O41" i="69"/>
  <c r="P41" i="69"/>
  <c r="Q41" i="69"/>
  <c r="R41" i="69"/>
  <c r="T41" i="69"/>
  <c r="U41" i="69"/>
  <c r="V41" i="69"/>
  <c r="Y41" i="69"/>
  <c r="Z41" i="69"/>
  <c r="AA41" i="69"/>
  <c r="AB41" i="69"/>
  <c r="O42" i="69"/>
  <c r="P42" i="69"/>
  <c r="Q42" i="69"/>
  <c r="R42" i="69"/>
  <c r="T42" i="69"/>
  <c r="U42" i="69"/>
  <c r="V42" i="69"/>
  <c r="Y42" i="69"/>
  <c r="Z42" i="69"/>
  <c r="AA42" i="69"/>
  <c r="AB42" i="69"/>
  <c r="O200" i="69"/>
  <c r="P200" i="69"/>
  <c r="Q200" i="69"/>
  <c r="R200" i="69"/>
  <c r="T200" i="69"/>
  <c r="U200" i="69"/>
  <c r="V200" i="69"/>
  <c r="Y200" i="69"/>
  <c r="Z200" i="69"/>
  <c r="AA200" i="69"/>
  <c r="AB200" i="69"/>
  <c r="AF200" i="69"/>
  <c r="AG200" i="69"/>
  <c r="AH200" i="69"/>
  <c r="AI200" i="69"/>
  <c r="O201" i="69"/>
  <c r="P201" i="69"/>
  <c r="Q201" i="69"/>
  <c r="R201" i="69"/>
  <c r="T201" i="69"/>
  <c r="U201" i="69"/>
  <c r="V201" i="69"/>
  <c r="Y201" i="69"/>
  <c r="Z201" i="69"/>
  <c r="AA201" i="69"/>
  <c r="AB201" i="69"/>
  <c r="AF201" i="69"/>
  <c r="AG201" i="69"/>
  <c r="AH201" i="69"/>
  <c r="AI201" i="69"/>
  <c r="O202" i="69"/>
  <c r="P202" i="69"/>
  <c r="Q202" i="69"/>
  <c r="R202" i="69"/>
  <c r="T202" i="69"/>
  <c r="U202" i="69"/>
  <c r="V202" i="69"/>
  <c r="Y202" i="69"/>
  <c r="Z202" i="69"/>
  <c r="AA202" i="69"/>
  <c r="AB202" i="69"/>
  <c r="AF202" i="69"/>
  <c r="AG202" i="69"/>
  <c r="AH202" i="69"/>
  <c r="AI202" i="69"/>
  <c r="O203" i="69"/>
  <c r="P203" i="69"/>
  <c r="Q203" i="69"/>
  <c r="R203" i="69"/>
  <c r="T203" i="69"/>
  <c r="U203" i="69"/>
  <c r="V203" i="69"/>
  <c r="Y203" i="69"/>
  <c r="Z203" i="69"/>
  <c r="AA203" i="69"/>
  <c r="AB203" i="69"/>
  <c r="AF203" i="69"/>
  <c r="AG203" i="69"/>
  <c r="AH203" i="69"/>
  <c r="AI203" i="69"/>
  <c r="O204" i="69"/>
  <c r="P204" i="69"/>
  <c r="Q204" i="69"/>
  <c r="R204" i="69"/>
  <c r="T204" i="69"/>
  <c r="U204" i="69"/>
  <c r="V204" i="69"/>
  <c r="Y204" i="69"/>
  <c r="Z204" i="69"/>
  <c r="AA204" i="69"/>
  <c r="AB204" i="69"/>
  <c r="AF204" i="69"/>
  <c r="AG204" i="69"/>
  <c r="AH204" i="69"/>
  <c r="AI204" i="69"/>
  <c r="O205" i="69"/>
  <c r="P205" i="69"/>
  <c r="Q205" i="69"/>
  <c r="R205" i="69"/>
  <c r="T205" i="69"/>
  <c r="U205" i="69"/>
  <c r="V205" i="69"/>
  <c r="Y205" i="69"/>
  <c r="Z205" i="69"/>
  <c r="AA205" i="69"/>
  <c r="AB205" i="69"/>
  <c r="AF205" i="69"/>
  <c r="AG205" i="69"/>
  <c r="AH205" i="69"/>
  <c r="AI205" i="69"/>
  <c r="O206" i="69"/>
  <c r="P206" i="69"/>
  <c r="Q206" i="69"/>
  <c r="R206" i="69"/>
  <c r="T206" i="69"/>
  <c r="U206" i="69"/>
  <c r="V206" i="69"/>
  <c r="Y206" i="69"/>
  <c r="Z206" i="69"/>
  <c r="AA206" i="69"/>
  <c r="AB206" i="69"/>
  <c r="AF206" i="69"/>
  <c r="AG206" i="69"/>
  <c r="AH206" i="69"/>
  <c r="AI206" i="69"/>
  <c r="O207" i="69"/>
  <c r="P207" i="69"/>
  <c r="Q207" i="69"/>
  <c r="R207" i="69"/>
  <c r="T207" i="69"/>
  <c r="U207" i="69"/>
  <c r="V207" i="69"/>
  <c r="Y207" i="69"/>
  <c r="Z207" i="69"/>
  <c r="AA207" i="69"/>
  <c r="AB207" i="69"/>
  <c r="AF207" i="69"/>
  <c r="AG207" i="69"/>
  <c r="AH207" i="69"/>
  <c r="AI207" i="69"/>
  <c r="O208" i="69"/>
  <c r="P208" i="69"/>
  <c r="Q208" i="69"/>
  <c r="R208" i="69"/>
  <c r="T208" i="69"/>
  <c r="U208" i="69"/>
  <c r="V208" i="69"/>
  <c r="Y208" i="69"/>
  <c r="Z208" i="69"/>
  <c r="AA208" i="69"/>
  <c r="AB208" i="69"/>
  <c r="AF208" i="69"/>
  <c r="AG208" i="69"/>
  <c r="AH208" i="69"/>
  <c r="AI208" i="69"/>
  <c r="O209" i="69"/>
  <c r="P209" i="69"/>
  <c r="Q209" i="69"/>
  <c r="R209" i="69"/>
  <c r="T209" i="69"/>
  <c r="U209" i="69"/>
  <c r="V209" i="69"/>
  <c r="Y209" i="69"/>
  <c r="Z209" i="69"/>
  <c r="AA209" i="69"/>
  <c r="AB209" i="69"/>
  <c r="AF209" i="69"/>
  <c r="AG209" i="69"/>
  <c r="AH209" i="69"/>
  <c r="AI209" i="69"/>
  <c r="O210" i="69"/>
  <c r="P210" i="69"/>
  <c r="Q210" i="69"/>
  <c r="R210" i="69"/>
  <c r="T210" i="69"/>
  <c r="U210" i="69"/>
  <c r="V210" i="69"/>
  <c r="Y210" i="69"/>
  <c r="Z210" i="69"/>
  <c r="AA210" i="69"/>
  <c r="AB210" i="69"/>
  <c r="AF210" i="69"/>
  <c r="AG210" i="69"/>
  <c r="AH210" i="69"/>
  <c r="AI210" i="69"/>
  <c r="O211" i="69"/>
  <c r="P211" i="69"/>
  <c r="Q211" i="69"/>
  <c r="R211" i="69"/>
  <c r="T211" i="69"/>
  <c r="U211" i="69"/>
  <c r="V211" i="69"/>
  <c r="Y211" i="69"/>
  <c r="Z211" i="69"/>
  <c r="AA211" i="69"/>
  <c r="AB211" i="69"/>
  <c r="AF211" i="69"/>
  <c r="AG211" i="69"/>
  <c r="AH211" i="69"/>
  <c r="AI211" i="69"/>
  <c r="O212" i="69"/>
  <c r="P212" i="69"/>
  <c r="Q212" i="69"/>
  <c r="R212" i="69"/>
  <c r="T212" i="69"/>
  <c r="U212" i="69"/>
  <c r="V212" i="69"/>
  <c r="Y212" i="69"/>
  <c r="Z212" i="69"/>
  <c r="AA212" i="69"/>
  <c r="AB212" i="69"/>
  <c r="AF212" i="69"/>
  <c r="AG212" i="69"/>
  <c r="AH212" i="69"/>
  <c r="AI212" i="69"/>
  <c r="O213" i="69"/>
  <c r="P213" i="69"/>
  <c r="Q213" i="69"/>
  <c r="R213" i="69"/>
  <c r="T213" i="69"/>
  <c r="U213" i="69"/>
  <c r="V213" i="69"/>
  <c r="Y213" i="69"/>
  <c r="Z213" i="69"/>
  <c r="AA213" i="69"/>
  <c r="AB213" i="69"/>
  <c r="AF213" i="69"/>
  <c r="AG213" i="69"/>
  <c r="AH213" i="69"/>
  <c r="AI213" i="69"/>
  <c r="O214" i="69"/>
  <c r="P214" i="69"/>
  <c r="Q214" i="69"/>
  <c r="R214" i="69"/>
  <c r="T214" i="69"/>
  <c r="U214" i="69"/>
  <c r="V214" i="69"/>
  <c r="Y214" i="69"/>
  <c r="Z214" i="69"/>
  <c r="AA214" i="69"/>
  <c r="AB214" i="69"/>
  <c r="AF214" i="69"/>
  <c r="AG214" i="69"/>
  <c r="AH214" i="69"/>
  <c r="AI214" i="69"/>
  <c r="O215" i="69"/>
  <c r="P215" i="69"/>
  <c r="Q215" i="69"/>
  <c r="R215" i="69"/>
  <c r="T215" i="69"/>
  <c r="U215" i="69"/>
  <c r="V215" i="69"/>
  <c r="Y215" i="69"/>
  <c r="Z215" i="69"/>
  <c r="AA215" i="69"/>
  <c r="AB215" i="69"/>
  <c r="AF215" i="69"/>
  <c r="AG215" i="69"/>
  <c r="AH215" i="69"/>
  <c r="AI215" i="69"/>
  <c r="O216" i="69"/>
  <c r="P216" i="69"/>
  <c r="Q216" i="69"/>
  <c r="R216" i="69"/>
  <c r="T216" i="69"/>
  <c r="U216" i="69"/>
  <c r="V216" i="69"/>
  <c r="Y216" i="69"/>
  <c r="Z216" i="69"/>
  <c r="AA216" i="69"/>
  <c r="AB216" i="69"/>
  <c r="AF216" i="69"/>
  <c r="AG216" i="69"/>
  <c r="AH216" i="69"/>
  <c r="AI216" i="69"/>
  <c r="O217" i="69"/>
  <c r="P217" i="69"/>
  <c r="Q217" i="69"/>
  <c r="R217" i="69"/>
  <c r="T217" i="69"/>
  <c r="U217" i="69"/>
  <c r="V217" i="69"/>
  <c r="Y217" i="69"/>
  <c r="Z217" i="69"/>
  <c r="AA217" i="69"/>
  <c r="AB217" i="69"/>
  <c r="AF217" i="69"/>
  <c r="AG217" i="69"/>
  <c r="AH217" i="69"/>
  <c r="AI217" i="69"/>
  <c r="O218" i="69"/>
  <c r="P218" i="69"/>
  <c r="Q218" i="69"/>
  <c r="R218" i="69"/>
  <c r="T218" i="69"/>
  <c r="U218" i="69"/>
  <c r="V218" i="69"/>
  <c r="Y218" i="69"/>
  <c r="Z218" i="69"/>
  <c r="AA218" i="69"/>
  <c r="AB218" i="69"/>
  <c r="AF218" i="69"/>
  <c r="AG218" i="69"/>
  <c r="AH218" i="69"/>
  <c r="AI218" i="69"/>
  <c r="O219" i="69"/>
  <c r="P219" i="69"/>
  <c r="Q219" i="69"/>
  <c r="R219" i="69"/>
  <c r="T219" i="69"/>
  <c r="U219" i="69"/>
  <c r="V219" i="69"/>
  <c r="Y219" i="69"/>
  <c r="Z219" i="69"/>
  <c r="AA219" i="69"/>
  <c r="AB219" i="69"/>
  <c r="AF219" i="69"/>
  <c r="AG219" i="69"/>
  <c r="AH219" i="69"/>
  <c r="AI219" i="69"/>
  <c r="O220" i="69"/>
  <c r="P220" i="69"/>
  <c r="Q220" i="69"/>
  <c r="R220" i="69"/>
  <c r="T220" i="69"/>
  <c r="U220" i="69"/>
  <c r="V220" i="69"/>
  <c r="Y220" i="69"/>
  <c r="Z220" i="69"/>
  <c r="AA220" i="69"/>
  <c r="AB220" i="69"/>
  <c r="AF220" i="69"/>
  <c r="AG220" i="69"/>
  <c r="AH220" i="69"/>
  <c r="AI220" i="69"/>
  <c r="O221" i="69"/>
  <c r="P221" i="69"/>
  <c r="Q221" i="69"/>
  <c r="R221" i="69"/>
  <c r="T221" i="69"/>
  <c r="U221" i="69"/>
  <c r="V221" i="69"/>
  <c r="Y221" i="69"/>
  <c r="Z221" i="69"/>
  <c r="AA221" i="69"/>
  <c r="AB221" i="69"/>
  <c r="AF221" i="69"/>
  <c r="AG221" i="69"/>
  <c r="AH221" i="69"/>
  <c r="AI221" i="69"/>
  <c r="O222" i="69"/>
  <c r="P222" i="69"/>
  <c r="Q222" i="69"/>
  <c r="R222" i="69"/>
  <c r="T222" i="69"/>
  <c r="U222" i="69"/>
  <c r="V222" i="69"/>
  <c r="Y222" i="69"/>
  <c r="Z222" i="69"/>
  <c r="AA222" i="69"/>
  <c r="AB222" i="69"/>
  <c r="AF222" i="69"/>
  <c r="AG222" i="69"/>
  <c r="AH222" i="69"/>
  <c r="AI222" i="69"/>
  <c r="O155" i="69"/>
  <c r="P155" i="69"/>
  <c r="Q155" i="69"/>
  <c r="R155" i="69"/>
  <c r="T155" i="69"/>
  <c r="U155" i="69"/>
  <c r="V155" i="69"/>
  <c r="Y155" i="69"/>
  <c r="Z155" i="69"/>
  <c r="AA155" i="69"/>
  <c r="AB155" i="69"/>
  <c r="AF155" i="69"/>
  <c r="AG155" i="69"/>
  <c r="AH155" i="69"/>
  <c r="AI155" i="69"/>
  <c r="O156" i="69"/>
  <c r="P156" i="69"/>
  <c r="Q156" i="69"/>
  <c r="R156" i="69"/>
  <c r="T156" i="69"/>
  <c r="U156" i="69"/>
  <c r="V156" i="69"/>
  <c r="Y156" i="69"/>
  <c r="Z156" i="69"/>
  <c r="AA156" i="69"/>
  <c r="AB156" i="69"/>
  <c r="AF156" i="69"/>
  <c r="AG156" i="69"/>
  <c r="AH156" i="69"/>
  <c r="AI156" i="69"/>
  <c r="O157" i="69"/>
  <c r="P157" i="69"/>
  <c r="Q157" i="69"/>
  <c r="R157" i="69"/>
  <c r="T157" i="69"/>
  <c r="U157" i="69"/>
  <c r="V157" i="69"/>
  <c r="Y157" i="69"/>
  <c r="Z157" i="69"/>
  <c r="AA157" i="69"/>
  <c r="AB157" i="69"/>
  <c r="AF157" i="69"/>
  <c r="AG157" i="69"/>
  <c r="AH157" i="69"/>
  <c r="AI157" i="69"/>
  <c r="O158" i="69"/>
  <c r="P158" i="69"/>
  <c r="Q158" i="69"/>
  <c r="R158" i="69"/>
  <c r="T158" i="69"/>
  <c r="U158" i="69"/>
  <c r="V158" i="69"/>
  <c r="Y158" i="69"/>
  <c r="Z158" i="69"/>
  <c r="AA158" i="69"/>
  <c r="AB158" i="69"/>
  <c r="AF158" i="69"/>
  <c r="AG158" i="69"/>
  <c r="AH158" i="69"/>
  <c r="AI158" i="69"/>
  <c r="O159" i="69"/>
  <c r="P159" i="69"/>
  <c r="Q159" i="69"/>
  <c r="R159" i="69"/>
  <c r="T159" i="69"/>
  <c r="U159" i="69"/>
  <c r="V159" i="69"/>
  <c r="Y159" i="69"/>
  <c r="Z159" i="69"/>
  <c r="AA159" i="69"/>
  <c r="AB159" i="69"/>
  <c r="AF159" i="69"/>
  <c r="AG159" i="69"/>
  <c r="AH159" i="69"/>
  <c r="AI159" i="69"/>
  <c r="O160" i="69"/>
  <c r="P160" i="69"/>
  <c r="Q160" i="69"/>
  <c r="R160" i="69"/>
  <c r="T160" i="69"/>
  <c r="U160" i="69"/>
  <c r="V160" i="69"/>
  <c r="Y160" i="69"/>
  <c r="Z160" i="69"/>
  <c r="AA160" i="69"/>
  <c r="AB160" i="69"/>
  <c r="AF160" i="69"/>
  <c r="AG160" i="69"/>
  <c r="AH160" i="69"/>
  <c r="AI160" i="69"/>
  <c r="O161" i="69"/>
  <c r="P161" i="69"/>
  <c r="Q161" i="69"/>
  <c r="R161" i="69"/>
  <c r="T161" i="69"/>
  <c r="U161" i="69"/>
  <c r="V161" i="69"/>
  <c r="Y161" i="69"/>
  <c r="Z161" i="69"/>
  <c r="AA161" i="69"/>
  <c r="AB161" i="69"/>
  <c r="AF161" i="69"/>
  <c r="AG161" i="69"/>
  <c r="AH161" i="69"/>
  <c r="AI161" i="69"/>
  <c r="O162" i="69"/>
  <c r="P162" i="69"/>
  <c r="Q162" i="69"/>
  <c r="R162" i="69"/>
  <c r="T162" i="69"/>
  <c r="U162" i="69"/>
  <c r="V162" i="69"/>
  <c r="Y162" i="69"/>
  <c r="Z162" i="69"/>
  <c r="AA162" i="69"/>
  <c r="AB162" i="69"/>
  <c r="AF162" i="69"/>
  <c r="AG162" i="69"/>
  <c r="AH162" i="69"/>
  <c r="AI162" i="69"/>
  <c r="O163" i="69"/>
  <c r="P163" i="69"/>
  <c r="Q163" i="69"/>
  <c r="R163" i="69"/>
  <c r="T163" i="69"/>
  <c r="U163" i="69"/>
  <c r="V163" i="69"/>
  <c r="Y163" i="69"/>
  <c r="Z163" i="69"/>
  <c r="AA163" i="69"/>
  <c r="AB163" i="69"/>
  <c r="AF163" i="69"/>
  <c r="AG163" i="69"/>
  <c r="AH163" i="69"/>
  <c r="AI163" i="69"/>
  <c r="O164" i="69"/>
  <c r="P164" i="69"/>
  <c r="Q164" i="69"/>
  <c r="R164" i="69"/>
  <c r="T164" i="69"/>
  <c r="U164" i="69"/>
  <c r="V164" i="69"/>
  <c r="Y164" i="69"/>
  <c r="Z164" i="69"/>
  <c r="AA164" i="69"/>
  <c r="AB164" i="69"/>
  <c r="AF164" i="69"/>
  <c r="AG164" i="69"/>
  <c r="AH164" i="69"/>
  <c r="AI164" i="69"/>
  <c r="O165" i="69"/>
  <c r="P165" i="69"/>
  <c r="Q165" i="69"/>
  <c r="R165" i="69"/>
  <c r="T165" i="69"/>
  <c r="U165" i="69"/>
  <c r="V165" i="69"/>
  <c r="Y165" i="69"/>
  <c r="Z165" i="69"/>
  <c r="AA165" i="69"/>
  <c r="AB165" i="69"/>
  <c r="AF165" i="69"/>
  <c r="AG165" i="69"/>
  <c r="AH165" i="69"/>
  <c r="AI165" i="69"/>
  <c r="O166" i="69"/>
  <c r="P166" i="69"/>
  <c r="Q166" i="69"/>
  <c r="R166" i="69"/>
  <c r="T166" i="69"/>
  <c r="U166" i="69"/>
  <c r="V166" i="69"/>
  <c r="Y166" i="69"/>
  <c r="Z166" i="69"/>
  <c r="AA166" i="69"/>
  <c r="AB166" i="69"/>
  <c r="AF166" i="69"/>
  <c r="AG166" i="69"/>
  <c r="AH166" i="69"/>
  <c r="AI166" i="69"/>
  <c r="O167" i="69"/>
  <c r="P167" i="69"/>
  <c r="Q167" i="69"/>
  <c r="R167" i="69"/>
  <c r="T167" i="69"/>
  <c r="U167" i="69"/>
  <c r="V167" i="69"/>
  <c r="Y167" i="69"/>
  <c r="Z167" i="69"/>
  <c r="AA167" i="69"/>
  <c r="AB167" i="69"/>
  <c r="AF167" i="69"/>
  <c r="AG167" i="69"/>
  <c r="AH167" i="69"/>
  <c r="AI167" i="69"/>
  <c r="O168" i="69"/>
  <c r="P168" i="69"/>
  <c r="Q168" i="69"/>
  <c r="R168" i="69"/>
  <c r="T168" i="69"/>
  <c r="U168" i="69"/>
  <c r="V168" i="69"/>
  <c r="Y168" i="69"/>
  <c r="Z168" i="69"/>
  <c r="AA168" i="69"/>
  <c r="AB168" i="69"/>
  <c r="AF168" i="69"/>
  <c r="AG168" i="69"/>
  <c r="AH168" i="69"/>
  <c r="AI168" i="69"/>
  <c r="O169" i="69"/>
  <c r="P169" i="69"/>
  <c r="Q169" i="69"/>
  <c r="R169" i="69"/>
  <c r="T169" i="69"/>
  <c r="U169" i="69"/>
  <c r="V169" i="69"/>
  <c r="Y169" i="69"/>
  <c r="Z169" i="69"/>
  <c r="AA169" i="69"/>
  <c r="AB169" i="69"/>
  <c r="AF169" i="69"/>
  <c r="AG169" i="69"/>
  <c r="AH169" i="69"/>
  <c r="AI169" i="69"/>
  <c r="O170" i="69"/>
  <c r="P170" i="69"/>
  <c r="Q170" i="69"/>
  <c r="R170" i="69"/>
  <c r="T170" i="69"/>
  <c r="U170" i="69"/>
  <c r="V170" i="69"/>
  <c r="Y170" i="69"/>
  <c r="Z170" i="69"/>
  <c r="AA170" i="69"/>
  <c r="AB170" i="69"/>
  <c r="AF170" i="69"/>
  <c r="AG170" i="69"/>
  <c r="AH170" i="69"/>
  <c r="AI170" i="69"/>
  <c r="O171" i="69"/>
  <c r="P171" i="69"/>
  <c r="Q171" i="69"/>
  <c r="R171" i="69"/>
  <c r="T171" i="69"/>
  <c r="U171" i="69"/>
  <c r="V171" i="69"/>
  <c r="Y171" i="69"/>
  <c r="Z171" i="69"/>
  <c r="AA171" i="69"/>
  <c r="AB171" i="69"/>
  <c r="AF171" i="69"/>
  <c r="AG171" i="69"/>
  <c r="AH171" i="69"/>
  <c r="AI171" i="69"/>
  <c r="O172" i="69"/>
  <c r="P172" i="69"/>
  <c r="Q172" i="69"/>
  <c r="R172" i="69"/>
  <c r="T172" i="69"/>
  <c r="U172" i="69"/>
  <c r="V172" i="69"/>
  <c r="Y172" i="69"/>
  <c r="Z172" i="69"/>
  <c r="AA172" i="69"/>
  <c r="AB172" i="69"/>
  <c r="AF172" i="69"/>
  <c r="AG172" i="69"/>
  <c r="AH172" i="69"/>
  <c r="AI172" i="69"/>
  <c r="O173" i="69"/>
  <c r="P173" i="69"/>
  <c r="Q173" i="69"/>
  <c r="R173" i="69"/>
  <c r="T173" i="69"/>
  <c r="U173" i="69"/>
  <c r="V173" i="69"/>
  <c r="Y173" i="69"/>
  <c r="Z173" i="69"/>
  <c r="AA173" i="69"/>
  <c r="AB173" i="69"/>
  <c r="AF173" i="69"/>
  <c r="AG173" i="69"/>
  <c r="AH173" i="69"/>
  <c r="AI173" i="69"/>
  <c r="O174" i="69"/>
  <c r="P174" i="69"/>
  <c r="Q174" i="69"/>
  <c r="R174" i="69"/>
  <c r="T174" i="69"/>
  <c r="U174" i="69"/>
  <c r="V174" i="69"/>
  <c r="Y174" i="69"/>
  <c r="Z174" i="69"/>
  <c r="AA174" i="69"/>
  <c r="AB174" i="69"/>
  <c r="AF174" i="69"/>
  <c r="AG174" i="69"/>
  <c r="AH174" i="69"/>
  <c r="AI174" i="69"/>
  <c r="O175" i="69"/>
  <c r="P175" i="69"/>
  <c r="Q175" i="69"/>
  <c r="R175" i="69"/>
  <c r="T175" i="69"/>
  <c r="U175" i="69"/>
  <c r="V175" i="69"/>
  <c r="Y175" i="69"/>
  <c r="Z175" i="69"/>
  <c r="AA175" i="69"/>
  <c r="AB175" i="69"/>
  <c r="AF175" i="69"/>
  <c r="AG175" i="69"/>
  <c r="AH175" i="69"/>
  <c r="AI175" i="69"/>
  <c r="O176" i="69"/>
  <c r="P176" i="69"/>
  <c r="Q176" i="69"/>
  <c r="R176" i="69"/>
  <c r="T176" i="69"/>
  <c r="U176" i="69"/>
  <c r="V176" i="69"/>
  <c r="Y176" i="69"/>
  <c r="Z176" i="69"/>
  <c r="AA176" i="69"/>
  <c r="AB176" i="69"/>
  <c r="AF176" i="69"/>
  <c r="AG176" i="69"/>
  <c r="AH176" i="69"/>
  <c r="AI176" i="69"/>
  <c r="O177" i="69"/>
  <c r="P177" i="69"/>
  <c r="Q177" i="69"/>
  <c r="R177" i="69"/>
  <c r="T177" i="69"/>
  <c r="U177" i="69"/>
  <c r="V177" i="69"/>
  <c r="Y177" i="69"/>
  <c r="Z177" i="69"/>
  <c r="AA177" i="69"/>
  <c r="AB177" i="69"/>
  <c r="AF177" i="69"/>
  <c r="AG177" i="69"/>
  <c r="AH177" i="69"/>
  <c r="AI177" i="69"/>
  <c r="AF110" i="69"/>
  <c r="AG110" i="69"/>
  <c r="AH110" i="69"/>
  <c r="AI110" i="69"/>
  <c r="AF111" i="69"/>
  <c r="AG111" i="69"/>
  <c r="AH111" i="69"/>
  <c r="AI111" i="69"/>
  <c r="AF112" i="69"/>
  <c r="AG112" i="69"/>
  <c r="AH112" i="69"/>
  <c r="AI112" i="69"/>
  <c r="AF113" i="69"/>
  <c r="AG113" i="69"/>
  <c r="AH113" i="69"/>
  <c r="AI113" i="69"/>
  <c r="AF114" i="69"/>
  <c r="AG114" i="69"/>
  <c r="AH114" i="69"/>
  <c r="AI114" i="69"/>
  <c r="AF115" i="69"/>
  <c r="AG115" i="69"/>
  <c r="AH115" i="69"/>
  <c r="AI115" i="69"/>
  <c r="AF116" i="69"/>
  <c r="AG116" i="69"/>
  <c r="AH116" i="69"/>
  <c r="AI116" i="69"/>
  <c r="AF117" i="69"/>
  <c r="AG117" i="69"/>
  <c r="AH117" i="69"/>
  <c r="AI117" i="69"/>
  <c r="AF118" i="69"/>
  <c r="AG118" i="69"/>
  <c r="AH118" i="69"/>
  <c r="AI118" i="69"/>
  <c r="AF119" i="69"/>
  <c r="AG119" i="69"/>
  <c r="AH119" i="69"/>
  <c r="AI119" i="69"/>
  <c r="AF120" i="69"/>
  <c r="AG120" i="69"/>
  <c r="AH120" i="69"/>
  <c r="AI120" i="69"/>
  <c r="AF121" i="69"/>
  <c r="AG121" i="69"/>
  <c r="AH121" i="69"/>
  <c r="AI121" i="69"/>
  <c r="AF122" i="69"/>
  <c r="AG122" i="69"/>
  <c r="AH122" i="69"/>
  <c r="AI122" i="69"/>
  <c r="AF123" i="69"/>
  <c r="AG123" i="69"/>
  <c r="AH123" i="69"/>
  <c r="AI123" i="69"/>
  <c r="AF124" i="69"/>
  <c r="AG124" i="69"/>
  <c r="AH124" i="69"/>
  <c r="AI124" i="69"/>
  <c r="AF125" i="69"/>
  <c r="AG125" i="69"/>
  <c r="AH125" i="69"/>
  <c r="AI125" i="69"/>
  <c r="AF126" i="69"/>
  <c r="AG126" i="69"/>
  <c r="AH126" i="69"/>
  <c r="AI126" i="69"/>
  <c r="AF127" i="69"/>
  <c r="AG127" i="69"/>
  <c r="AH127" i="69"/>
  <c r="AI127" i="69"/>
  <c r="AF128" i="69"/>
  <c r="AG128" i="69"/>
  <c r="AH128" i="69"/>
  <c r="AI128" i="69"/>
  <c r="AF129" i="69"/>
  <c r="AG129" i="69"/>
  <c r="AH129" i="69"/>
  <c r="AI129" i="69"/>
  <c r="AF130" i="69"/>
  <c r="AG130" i="69"/>
  <c r="AH130" i="69"/>
  <c r="AI130" i="69"/>
  <c r="AF131" i="69"/>
  <c r="AG131" i="69"/>
  <c r="AH131" i="69"/>
  <c r="AI131" i="69"/>
  <c r="AF132" i="69"/>
  <c r="AG132" i="69"/>
  <c r="AH132" i="69"/>
  <c r="AI132" i="69"/>
  <c r="O110" i="69"/>
  <c r="P110" i="69"/>
  <c r="Q110" i="69"/>
  <c r="R110" i="69"/>
  <c r="T110" i="69"/>
  <c r="U110" i="69"/>
  <c r="V110" i="69"/>
  <c r="Y110" i="69"/>
  <c r="Z110" i="69"/>
  <c r="AA110" i="69"/>
  <c r="AB110" i="69"/>
  <c r="O111" i="69"/>
  <c r="P111" i="69"/>
  <c r="Q111" i="69"/>
  <c r="R111" i="69"/>
  <c r="T111" i="69"/>
  <c r="U111" i="69"/>
  <c r="V111" i="69"/>
  <c r="Y111" i="69"/>
  <c r="Z111" i="69"/>
  <c r="AA111" i="69"/>
  <c r="AB111" i="69"/>
  <c r="O112" i="69"/>
  <c r="P112" i="69"/>
  <c r="Q112" i="69"/>
  <c r="R112" i="69"/>
  <c r="T112" i="69"/>
  <c r="U112" i="69"/>
  <c r="V112" i="69"/>
  <c r="Y112" i="69"/>
  <c r="Z112" i="69"/>
  <c r="AA112" i="69"/>
  <c r="AB112" i="69"/>
  <c r="O113" i="69"/>
  <c r="P113" i="69"/>
  <c r="Q113" i="69"/>
  <c r="R113" i="69"/>
  <c r="T113" i="69"/>
  <c r="U113" i="69"/>
  <c r="V113" i="69"/>
  <c r="Y113" i="69"/>
  <c r="Z113" i="69"/>
  <c r="AA113" i="69"/>
  <c r="AB113" i="69"/>
  <c r="O114" i="69"/>
  <c r="P114" i="69"/>
  <c r="Q114" i="69"/>
  <c r="R114" i="69"/>
  <c r="T114" i="69"/>
  <c r="U114" i="69"/>
  <c r="V114" i="69"/>
  <c r="Y114" i="69"/>
  <c r="Z114" i="69"/>
  <c r="AA114" i="69"/>
  <c r="AB114" i="69"/>
  <c r="O115" i="69"/>
  <c r="P115" i="69"/>
  <c r="Q115" i="69"/>
  <c r="R115" i="69"/>
  <c r="T115" i="69"/>
  <c r="U115" i="69"/>
  <c r="V115" i="69"/>
  <c r="Y115" i="69"/>
  <c r="Z115" i="69"/>
  <c r="AA115" i="69"/>
  <c r="AB115" i="69"/>
  <c r="O116" i="69"/>
  <c r="P116" i="69"/>
  <c r="Q116" i="69"/>
  <c r="R116" i="69"/>
  <c r="T116" i="69"/>
  <c r="U116" i="69"/>
  <c r="V116" i="69"/>
  <c r="Y116" i="69"/>
  <c r="Z116" i="69"/>
  <c r="AA116" i="69"/>
  <c r="AB116" i="69"/>
  <c r="O117" i="69"/>
  <c r="P117" i="69"/>
  <c r="Q117" i="69"/>
  <c r="R117" i="69"/>
  <c r="T117" i="69"/>
  <c r="U117" i="69"/>
  <c r="V117" i="69"/>
  <c r="Y117" i="69"/>
  <c r="Z117" i="69"/>
  <c r="AA117" i="69"/>
  <c r="AB117" i="69"/>
  <c r="O118" i="69"/>
  <c r="P118" i="69"/>
  <c r="Q118" i="69"/>
  <c r="R118" i="69"/>
  <c r="T118" i="69"/>
  <c r="U118" i="69"/>
  <c r="V118" i="69"/>
  <c r="Y118" i="69"/>
  <c r="Z118" i="69"/>
  <c r="AA118" i="69"/>
  <c r="AB118" i="69"/>
  <c r="O119" i="69"/>
  <c r="P119" i="69"/>
  <c r="Q119" i="69"/>
  <c r="R119" i="69"/>
  <c r="T119" i="69"/>
  <c r="U119" i="69"/>
  <c r="V119" i="69"/>
  <c r="Y119" i="69"/>
  <c r="Z119" i="69"/>
  <c r="AA119" i="69"/>
  <c r="AB119" i="69"/>
  <c r="O120" i="69"/>
  <c r="P120" i="69"/>
  <c r="Q120" i="69"/>
  <c r="R120" i="69"/>
  <c r="T120" i="69"/>
  <c r="U120" i="69"/>
  <c r="V120" i="69"/>
  <c r="Y120" i="69"/>
  <c r="Z120" i="69"/>
  <c r="AA120" i="69"/>
  <c r="AB120" i="69"/>
  <c r="O121" i="69"/>
  <c r="P121" i="69"/>
  <c r="Q121" i="69"/>
  <c r="R121" i="69"/>
  <c r="T121" i="69"/>
  <c r="U121" i="69"/>
  <c r="V121" i="69"/>
  <c r="Y121" i="69"/>
  <c r="Z121" i="69"/>
  <c r="AA121" i="69"/>
  <c r="AB121" i="69"/>
  <c r="O122" i="69"/>
  <c r="P122" i="69"/>
  <c r="Q122" i="69"/>
  <c r="R122" i="69"/>
  <c r="T122" i="69"/>
  <c r="U122" i="69"/>
  <c r="V122" i="69"/>
  <c r="Y122" i="69"/>
  <c r="Z122" i="69"/>
  <c r="AA122" i="69"/>
  <c r="AB122" i="69"/>
  <c r="O123" i="69"/>
  <c r="P123" i="69"/>
  <c r="Q123" i="69"/>
  <c r="R123" i="69"/>
  <c r="T123" i="69"/>
  <c r="U123" i="69"/>
  <c r="V123" i="69"/>
  <c r="Y123" i="69"/>
  <c r="Z123" i="69"/>
  <c r="AA123" i="69"/>
  <c r="AB123" i="69"/>
  <c r="O124" i="69"/>
  <c r="P124" i="69"/>
  <c r="Q124" i="69"/>
  <c r="R124" i="69"/>
  <c r="T124" i="69"/>
  <c r="U124" i="69"/>
  <c r="V124" i="69"/>
  <c r="Y124" i="69"/>
  <c r="Z124" i="69"/>
  <c r="AA124" i="69"/>
  <c r="AB124" i="69"/>
  <c r="O125" i="69"/>
  <c r="P125" i="69"/>
  <c r="Q125" i="69"/>
  <c r="R125" i="69"/>
  <c r="T125" i="69"/>
  <c r="U125" i="69"/>
  <c r="V125" i="69"/>
  <c r="Y125" i="69"/>
  <c r="Z125" i="69"/>
  <c r="AA125" i="69"/>
  <c r="AB125" i="69"/>
  <c r="O126" i="69"/>
  <c r="P126" i="69"/>
  <c r="Q126" i="69"/>
  <c r="R126" i="69"/>
  <c r="T126" i="69"/>
  <c r="U126" i="69"/>
  <c r="V126" i="69"/>
  <c r="Y126" i="69"/>
  <c r="Z126" i="69"/>
  <c r="AA126" i="69"/>
  <c r="AB126" i="69"/>
  <c r="O127" i="69"/>
  <c r="P127" i="69"/>
  <c r="Q127" i="69"/>
  <c r="R127" i="69"/>
  <c r="T127" i="69"/>
  <c r="U127" i="69"/>
  <c r="V127" i="69"/>
  <c r="Y127" i="69"/>
  <c r="Z127" i="69"/>
  <c r="AA127" i="69"/>
  <c r="AB127" i="69"/>
  <c r="O128" i="69"/>
  <c r="P128" i="69"/>
  <c r="Q128" i="69"/>
  <c r="R128" i="69"/>
  <c r="T128" i="69"/>
  <c r="U128" i="69"/>
  <c r="V128" i="69"/>
  <c r="Y128" i="69"/>
  <c r="Z128" i="69"/>
  <c r="AA128" i="69"/>
  <c r="AB128" i="69"/>
  <c r="O129" i="69"/>
  <c r="P129" i="69"/>
  <c r="Q129" i="69"/>
  <c r="R129" i="69"/>
  <c r="T129" i="69"/>
  <c r="U129" i="69"/>
  <c r="V129" i="69"/>
  <c r="Y129" i="69"/>
  <c r="Z129" i="69"/>
  <c r="AA129" i="69"/>
  <c r="AB129" i="69"/>
  <c r="O130" i="69"/>
  <c r="P130" i="69"/>
  <c r="Q130" i="69"/>
  <c r="R130" i="69"/>
  <c r="T130" i="69"/>
  <c r="U130" i="69"/>
  <c r="V130" i="69"/>
  <c r="Y130" i="69"/>
  <c r="Z130" i="69"/>
  <c r="AA130" i="69"/>
  <c r="AB130" i="69"/>
  <c r="O131" i="69"/>
  <c r="P131" i="69"/>
  <c r="Q131" i="69"/>
  <c r="R131" i="69"/>
  <c r="T131" i="69"/>
  <c r="U131" i="69"/>
  <c r="V131" i="69"/>
  <c r="Y131" i="69"/>
  <c r="Z131" i="69"/>
  <c r="AA131" i="69"/>
  <c r="AB131" i="69"/>
  <c r="O65" i="69"/>
  <c r="P65" i="69"/>
  <c r="Q65" i="69"/>
  <c r="R65" i="69"/>
  <c r="T65" i="69"/>
  <c r="U65" i="69"/>
  <c r="V65" i="69"/>
  <c r="Y65" i="69"/>
  <c r="Z65" i="69"/>
  <c r="AA65" i="69"/>
  <c r="AB65" i="69"/>
  <c r="AF65" i="69"/>
  <c r="AG65" i="69"/>
  <c r="AH65" i="69"/>
  <c r="AI65" i="69"/>
  <c r="O66" i="69"/>
  <c r="P66" i="69"/>
  <c r="Q66" i="69"/>
  <c r="R66" i="69"/>
  <c r="T66" i="69"/>
  <c r="U66" i="69"/>
  <c r="V66" i="69"/>
  <c r="Y66" i="69"/>
  <c r="Z66" i="69"/>
  <c r="AA66" i="69"/>
  <c r="AB66" i="69"/>
  <c r="AF66" i="69"/>
  <c r="AG66" i="69"/>
  <c r="AH66" i="69"/>
  <c r="AI66" i="69"/>
  <c r="O67" i="69"/>
  <c r="P67" i="69"/>
  <c r="Q67" i="69"/>
  <c r="R67" i="69"/>
  <c r="T67" i="69"/>
  <c r="U67" i="69"/>
  <c r="V67" i="69"/>
  <c r="Y67" i="69"/>
  <c r="Z67" i="69"/>
  <c r="AA67" i="69"/>
  <c r="AB67" i="69"/>
  <c r="AF67" i="69"/>
  <c r="AG67" i="69"/>
  <c r="AH67" i="69"/>
  <c r="AI67" i="69"/>
  <c r="O68" i="69"/>
  <c r="P68" i="69"/>
  <c r="Q68" i="69"/>
  <c r="R68" i="69"/>
  <c r="T68" i="69"/>
  <c r="U68" i="69"/>
  <c r="V68" i="69"/>
  <c r="Y68" i="69"/>
  <c r="Z68" i="69"/>
  <c r="AA68" i="69"/>
  <c r="AB68" i="69"/>
  <c r="AF68" i="69"/>
  <c r="AG68" i="69"/>
  <c r="AH68" i="69"/>
  <c r="AI68" i="69"/>
  <c r="O69" i="69"/>
  <c r="P69" i="69"/>
  <c r="Q69" i="69"/>
  <c r="R69" i="69"/>
  <c r="T69" i="69"/>
  <c r="U69" i="69"/>
  <c r="V69" i="69"/>
  <c r="Y69" i="69"/>
  <c r="Z69" i="69"/>
  <c r="AA69" i="69"/>
  <c r="AB69" i="69"/>
  <c r="AF69" i="69"/>
  <c r="AG69" i="69"/>
  <c r="AH69" i="69"/>
  <c r="AI69" i="69"/>
  <c r="O70" i="69"/>
  <c r="P70" i="69"/>
  <c r="Q70" i="69"/>
  <c r="R70" i="69"/>
  <c r="T70" i="69"/>
  <c r="U70" i="69"/>
  <c r="V70" i="69"/>
  <c r="Y70" i="69"/>
  <c r="Z70" i="69"/>
  <c r="AA70" i="69"/>
  <c r="AB70" i="69"/>
  <c r="AF70" i="69"/>
  <c r="AG70" i="69"/>
  <c r="AH70" i="69"/>
  <c r="AI70" i="69"/>
  <c r="O71" i="69"/>
  <c r="P71" i="69"/>
  <c r="Q71" i="69"/>
  <c r="R71" i="69"/>
  <c r="T71" i="69"/>
  <c r="U71" i="69"/>
  <c r="V71" i="69"/>
  <c r="Y71" i="69"/>
  <c r="Z71" i="69"/>
  <c r="AA71" i="69"/>
  <c r="AB71" i="69"/>
  <c r="AF71" i="69"/>
  <c r="AG71" i="69"/>
  <c r="AH71" i="69"/>
  <c r="AI71" i="69"/>
  <c r="O72" i="69"/>
  <c r="P72" i="69"/>
  <c r="Q72" i="69"/>
  <c r="R72" i="69"/>
  <c r="T72" i="69"/>
  <c r="U72" i="69"/>
  <c r="V72" i="69"/>
  <c r="Y72" i="69"/>
  <c r="Z72" i="69"/>
  <c r="AA72" i="69"/>
  <c r="AB72" i="69"/>
  <c r="AF72" i="69"/>
  <c r="AG72" i="69"/>
  <c r="AH72" i="69"/>
  <c r="AI72" i="69"/>
  <c r="O73" i="69"/>
  <c r="P73" i="69"/>
  <c r="Q73" i="69"/>
  <c r="R73" i="69"/>
  <c r="T73" i="69"/>
  <c r="U73" i="69"/>
  <c r="V73" i="69"/>
  <c r="Y73" i="69"/>
  <c r="Z73" i="69"/>
  <c r="AA73" i="69"/>
  <c r="AB73" i="69"/>
  <c r="AF73" i="69"/>
  <c r="AG73" i="69"/>
  <c r="AH73" i="69"/>
  <c r="AI73" i="69"/>
  <c r="O74" i="69"/>
  <c r="P74" i="69"/>
  <c r="Q74" i="69"/>
  <c r="R74" i="69"/>
  <c r="T74" i="69"/>
  <c r="U74" i="69"/>
  <c r="V74" i="69"/>
  <c r="Y74" i="69"/>
  <c r="Z74" i="69"/>
  <c r="AA74" i="69"/>
  <c r="AB74" i="69"/>
  <c r="AF74" i="69"/>
  <c r="AG74" i="69"/>
  <c r="AH74" i="69"/>
  <c r="AI74" i="69"/>
  <c r="O75" i="69"/>
  <c r="P75" i="69"/>
  <c r="Q75" i="69"/>
  <c r="R75" i="69"/>
  <c r="T75" i="69"/>
  <c r="U75" i="69"/>
  <c r="V75" i="69"/>
  <c r="Y75" i="69"/>
  <c r="Z75" i="69"/>
  <c r="AA75" i="69"/>
  <c r="AB75" i="69"/>
  <c r="AF75" i="69"/>
  <c r="AG75" i="69"/>
  <c r="AH75" i="69"/>
  <c r="AI75" i="69"/>
  <c r="O76" i="69"/>
  <c r="P76" i="69"/>
  <c r="Q76" i="69"/>
  <c r="R76" i="69"/>
  <c r="T76" i="69"/>
  <c r="U76" i="69"/>
  <c r="V76" i="69"/>
  <c r="Y76" i="69"/>
  <c r="Z76" i="69"/>
  <c r="AA76" i="69"/>
  <c r="AB76" i="69"/>
  <c r="AF76" i="69"/>
  <c r="AG76" i="69"/>
  <c r="AH76" i="69"/>
  <c r="AI76" i="69"/>
  <c r="O77" i="69"/>
  <c r="P77" i="69"/>
  <c r="Q77" i="69"/>
  <c r="R77" i="69"/>
  <c r="T77" i="69"/>
  <c r="U77" i="69"/>
  <c r="V77" i="69"/>
  <c r="Y77" i="69"/>
  <c r="Z77" i="69"/>
  <c r="AA77" i="69"/>
  <c r="AB77" i="69"/>
  <c r="AF77" i="69"/>
  <c r="AG77" i="69"/>
  <c r="AH77" i="69"/>
  <c r="AI77" i="69"/>
  <c r="O78" i="69"/>
  <c r="P78" i="69"/>
  <c r="Q78" i="69"/>
  <c r="R78" i="69"/>
  <c r="T78" i="69"/>
  <c r="U78" i="69"/>
  <c r="V78" i="69"/>
  <c r="Y78" i="69"/>
  <c r="Z78" i="69"/>
  <c r="AA78" i="69"/>
  <c r="AB78" i="69"/>
  <c r="AF78" i="69"/>
  <c r="AG78" i="69"/>
  <c r="AH78" i="69"/>
  <c r="AI78" i="69"/>
  <c r="O79" i="69"/>
  <c r="P79" i="69"/>
  <c r="Q79" i="69"/>
  <c r="R79" i="69"/>
  <c r="T79" i="69"/>
  <c r="U79" i="69"/>
  <c r="V79" i="69"/>
  <c r="Y79" i="69"/>
  <c r="Z79" i="69"/>
  <c r="AA79" i="69"/>
  <c r="AB79" i="69"/>
  <c r="AF79" i="69"/>
  <c r="AG79" i="69"/>
  <c r="AH79" i="69"/>
  <c r="AI79" i="69"/>
  <c r="O80" i="69"/>
  <c r="P80" i="69"/>
  <c r="Q80" i="69"/>
  <c r="R80" i="69"/>
  <c r="T80" i="69"/>
  <c r="U80" i="69"/>
  <c r="V80" i="69"/>
  <c r="Y80" i="69"/>
  <c r="Z80" i="69"/>
  <c r="AA80" i="69"/>
  <c r="AB80" i="69"/>
  <c r="AF80" i="69"/>
  <c r="AG80" i="69"/>
  <c r="AH80" i="69"/>
  <c r="AI80" i="69"/>
  <c r="O81" i="69"/>
  <c r="P81" i="69"/>
  <c r="Q81" i="69"/>
  <c r="R81" i="69"/>
  <c r="T81" i="69"/>
  <c r="U81" i="69"/>
  <c r="V81" i="69"/>
  <c r="Y81" i="69"/>
  <c r="Z81" i="69"/>
  <c r="AA81" i="69"/>
  <c r="AB81" i="69"/>
  <c r="AF81" i="69"/>
  <c r="AG81" i="69"/>
  <c r="AH81" i="69"/>
  <c r="AI81" i="69"/>
  <c r="O82" i="69"/>
  <c r="P82" i="69"/>
  <c r="Q82" i="69"/>
  <c r="R82" i="69"/>
  <c r="T82" i="69"/>
  <c r="U82" i="69"/>
  <c r="V82" i="69"/>
  <c r="Y82" i="69"/>
  <c r="Z82" i="69"/>
  <c r="AA82" i="69"/>
  <c r="AB82" i="69"/>
  <c r="AF82" i="69"/>
  <c r="AG82" i="69"/>
  <c r="AH82" i="69"/>
  <c r="AI82" i="69"/>
  <c r="O83" i="69"/>
  <c r="P83" i="69"/>
  <c r="Q83" i="69"/>
  <c r="R83" i="69"/>
  <c r="T83" i="69"/>
  <c r="U83" i="69"/>
  <c r="V83" i="69"/>
  <c r="Y83" i="69"/>
  <c r="Z83" i="69"/>
  <c r="AA83" i="69"/>
  <c r="AB83" i="69"/>
  <c r="AF83" i="69"/>
  <c r="AG83" i="69"/>
  <c r="AH83" i="69"/>
  <c r="AI83" i="69"/>
  <c r="O84" i="69"/>
  <c r="P84" i="69"/>
  <c r="Q84" i="69"/>
  <c r="R84" i="69"/>
  <c r="T84" i="69"/>
  <c r="U84" i="69"/>
  <c r="V84" i="69"/>
  <c r="Y84" i="69"/>
  <c r="Z84" i="69"/>
  <c r="AA84" i="69"/>
  <c r="AB84" i="69"/>
  <c r="AF84" i="69"/>
  <c r="AG84" i="69"/>
  <c r="AH84" i="69"/>
  <c r="AI84" i="69"/>
  <c r="O85" i="69"/>
  <c r="P85" i="69"/>
  <c r="Q85" i="69"/>
  <c r="R85" i="69"/>
  <c r="T85" i="69"/>
  <c r="U85" i="69"/>
  <c r="V85" i="69"/>
  <c r="Y85" i="69"/>
  <c r="Z85" i="69"/>
  <c r="AA85" i="69"/>
  <c r="AB85" i="69"/>
  <c r="AF85" i="69"/>
  <c r="AG85" i="69"/>
  <c r="AH85" i="69"/>
  <c r="AI85" i="69"/>
  <c r="O86" i="69"/>
  <c r="P86" i="69"/>
  <c r="Q86" i="69"/>
  <c r="R86" i="69"/>
  <c r="T86" i="69"/>
  <c r="U86" i="69"/>
  <c r="V86" i="69"/>
  <c r="Y86" i="69"/>
  <c r="Z86" i="69"/>
  <c r="AA86" i="69"/>
  <c r="AB86" i="69"/>
  <c r="AF86" i="69"/>
  <c r="AG86" i="69"/>
  <c r="AH86" i="69"/>
  <c r="AI86" i="69"/>
  <c r="O87" i="69"/>
  <c r="P87" i="69"/>
  <c r="Q87" i="69"/>
  <c r="R87" i="69"/>
  <c r="T87" i="69"/>
  <c r="U87" i="69"/>
  <c r="V87" i="69"/>
  <c r="Y87" i="69"/>
  <c r="Z87" i="69"/>
  <c r="AA87" i="69"/>
  <c r="AB87" i="69"/>
  <c r="AF87" i="69"/>
  <c r="AG87" i="69"/>
  <c r="AH87" i="69"/>
  <c r="AI87" i="69"/>
  <c r="BD55" i="95"/>
  <c r="BD56" i="95" s="1"/>
  <c r="AT191" i="95"/>
  <c r="AP191" i="95"/>
  <c r="AR190" i="95"/>
  <c r="AY191" i="95"/>
  <c r="AP101" i="95"/>
  <c r="BD146" i="95"/>
  <c r="BA55" i="95"/>
  <c r="AV100" i="95"/>
  <c r="AT10" i="95"/>
  <c r="AU10" i="95"/>
  <c r="AT100" i="95"/>
  <c r="AW145" i="95"/>
  <c r="AZ101" i="95"/>
  <c r="AQ146" i="95"/>
  <c r="AW190" i="95"/>
  <c r="AP11" i="95"/>
  <c r="AT146" i="95"/>
  <c r="AZ145" i="95"/>
  <c r="AV191" i="95"/>
  <c r="AY100" i="95"/>
  <c r="AV145" i="95"/>
  <c r="AR145" i="95"/>
  <c r="BB190" i="95"/>
  <c r="AP56" i="95"/>
  <c r="AY55" i="95"/>
  <c r="AT55" i="95"/>
  <c r="BA100" i="95"/>
  <c r="AP147" i="95"/>
  <c r="AQ10" i="95"/>
  <c r="AV55" i="95"/>
  <c r="AQ100" i="95"/>
  <c r="AU100" i="95"/>
  <c r="BD10" i="95"/>
  <c r="AZ190" i="95"/>
  <c r="BD101" i="95"/>
  <c r="AU55" i="95"/>
  <c r="AU145" i="95"/>
  <c r="AQ190" i="95"/>
  <c r="BD190" i="95"/>
  <c r="BA190" i="95"/>
  <c r="AZ10" i="95"/>
  <c r="AQ55" i="95"/>
  <c r="BA10" i="95"/>
  <c r="BA101" i="95"/>
  <c r="AU190" i="95"/>
  <c r="BB147" i="95"/>
  <c r="AV10" i="95"/>
  <c r="AY10" i="95"/>
  <c r="AY146" i="95"/>
  <c r="BA146" i="95"/>
  <c r="BA147" i="95" s="1"/>
  <c r="AZ55" i="95"/>
  <c r="AE90" i="84" l="1"/>
  <c r="AE84" i="84"/>
  <c r="AE78" i="84"/>
  <c r="AE72" i="84"/>
  <c r="AE89" i="84"/>
  <c r="AE83" i="84"/>
  <c r="AE77" i="84"/>
  <c r="AE71" i="84"/>
  <c r="AE88" i="84"/>
  <c r="AE82" i="84"/>
  <c r="AE76" i="84"/>
  <c r="AE70" i="84"/>
  <c r="AE87" i="84"/>
  <c r="AE81" i="84"/>
  <c r="AE75" i="84"/>
  <c r="AE69" i="84"/>
  <c r="AU169" i="84"/>
  <c r="AY169" i="84" s="1"/>
  <c r="AE86" i="84"/>
  <c r="AE80" i="84"/>
  <c r="AE74" i="84"/>
  <c r="AE68" i="84"/>
  <c r="AE134" i="84"/>
  <c r="AE133" i="84"/>
  <c r="AE132" i="84"/>
  <c r="AE131" i="84"/>
  <c r="AE130" i="84"/>
  <c r="AE129" i="84"/>
  <c r="AE128" i="84"/>
  <c r="AE127" i="84"/>
  <c r="AE126" i="84"/>
  <c r="AE125" i="84"/>
  <c r="AE124" i="84"/>
  <c r="AE123" i="84"/>
  <c r="AE122" i="84"/>
  <c r="AE121" i="84"/>
  <c r="AE120" i="84"/>
  <c r="AE119" i="84"/>
  <c r="AE118" i="84"/>
  <c r="AE117" i="84"/>
  <c r="AE116" i="84"/>
  <c r="AE115" i="84"/>
  <c r="AE114" i="84"/>
  <c r="AE113" i="84"/>
  <c r="AE180" i="84"/>
  <c r="AE179" i="84"/>
  <c r="AE178" i="84"/>
  <c r="AE177" i="84"/>
  <c r="AE176" i="84"/>
  <c r="AE175" i="84"/>
  <c r="AE174" i="84"/>
  <c r="AE173" i="84"/>
  <c r="AE172" i="84"/>
  <c r="AE171" i="84"/>
  <c r="AE170" i="84"/>
  <c r="AE169" i="84"/>
  <c r="AE168" i="84"/>
  <c r="AE167" i="84"/>
  <c r="AE166" i="84"/>
  <c r="AE165" i="84"/>
  <c r="AE164" i="84"/>
  <c r="AE163" i="84"/>
  <c r="AE162" i="84"/>
  <c r="AE161" i="84"/>
  <c r="AE160" i="84"/>
  <c r="AE159" i="84"/>
  <c r="AE158" i="84"/>
  <c r="AE225" i="84"/>
  <c r="AE224" i="84"/>
  <c r="AE223" i="84"/>
  <c r="AE222" i="84"/>
  <c r="AE221" i="84"/>
  <c r="AE220" i="84"/>
  <c r="AE219" i="84"/>
  <c r="AE218" i="84"/>
  <c r="AE217" i="84"/>
  <c r="AE216" i="84"/>
  <c r="AE215" i="84"/>
  <c r="AE214" i="84"/>
  <c r="AE213" i="84"/>
  <c r="AE212" i="84"/>
  <c r="AE211" i="84"/>
  <c r="AE210" i="84"/>
  <c r="AE209" i="84"/>
  <c r="AE208" i="84"/>
  <c r="AE207" i="84"/>
  <c r="AE206" i="84"/>
  <c r="AE205" i="84"/>
  <c r="AE204" i="84"/>
  <c r="AE203" i="84"/>
  <c r="AU124" i="84"/>
  <c r="AY124" i="84" s="1"/>
  <c r="AE45" i="84"/>
  <c r="AE44" i="84"/>
  <c r="AE43" i="84"/>
  <c r="AE42" i="84"/>
  <c r="AE41" i="84"/>
  <c r="AE40" i="84"/>
  <c r="AE39" i="84"/>
  <c r="AE38" i="84"/>
  <c r="AE37" i="84"/>
  <c r="AE36" i="84"/>
  <c r="AE35" i="84"/>
  <c r="AE34" i="84"/>
  <c r="AE33" i="84"/>
  <c r="AE32" i="84"/>
  <c r="AE31" i="84"/>
  <c r="AE30" i="84"/>
  <c r="AE29" i="84"/>
  <c r="AE28" i="84"/>
  <c r="AE27" i="84"/>
  <c r="AE26" i="84"/>
  <c r="AE25" i="84"/>
  <c r="AE24" i="84"/>
  <c r="AE23" i="84"/>
  <c r="AE85" i="84"/>
  <c r="AE79" i="84"/>
  <c r="AE73" i="84"/>
  <c r="AU118" i="84"/>
  <c r="AY118" i="84" s="1"/>
  <c r="AU163" i="84"/>
  <c r="AY163" i="84" s="1"/>
  <c r="AY207" i="84"/>
  <c r="AV161" i="84"/>
  <c r="AV206" i="84" s="1"/>
  <c r="AU206" i="84" s="1"/>
  <c r="AY220" i="84"/>
  <c r="AV172" i="84"/>
  <c r="AV217" i="84" s="1"/>
  <c r="AU119" i="84"/>
  <c r="AY119" i="84" s="1"/>
  <c r="AY204" i="84"/>
  <c r="AU158" i="84"/>
  <c r="AY158" i="84" s="1"/>
  <c r="AV203" i="84"/>
  <c r="AU203" i="84" s="1"/>
  <c r="AU121" i="84"/>
  <c r="AY121" i="84" s="1"/>
  <c r="AV166" i="84"/>
  <c r="AU164" i="84"/>
  <c r="AY164" i="84" s="1"/>
  <c r="AV209" i="84"/>
  <c r="AU209" i="84" s="1"/>
  <c r="AU170" i="84"/>
  <c r="AY170" i="84" s="1"/>
  <c r="AV215" i="84"/>
  <c r="AU180" i="84"/>
  <c r="AY180" i="84" s="1"/>
  <c r="AU113" i="84"/>
  <c r="AY113" i="84" s="1"/>
  <c r="AV222" i="84"/>
  <c r="AU222" i="84" s="1"/>
  <c r="AU177" i="84"/>
  <c r="AY177" i="84" s="1"/>
  <c r="AY212" i="84"/>
  <c r="AY225" i="84"/>
  <c r="AY171" i="84"/>
  <c r="AY174" i="84"/>
  <c r="AY131" i="84"/>
  <c r="AY120" i="84"/>
  <c r="AY117" i="84"/>
  <c r="AY122" i="84"/>
  <c r="AY123" i="84"/>
  <c r="AY130" i="84"/>
  <c r="AY128" i="84"/>
  <c r="AY129" i="84"/>
  <c r="AY83" i="84"/>
  <c r="AY77" i="84"/>
  <c r="AY89" i="84"/>
  <c r="AY70" i="84"/>
  <c r="AY88" i="84"/>
  <c r="AY72" i="84"/>
  <c r="AY85" i="84"/>
  <c r="AY86" i="84"/>
  <c r="AY69" i="84"/>
  <c r="AY75" i="84"/>
  <c r="AY90" i="84"/>
  <c r="AY80" i="84"/>
  <c r="U223" i="68"/>
  <c r="V223" i="68"/>
  <c r="W223" i="68"/>
  <c r="X223" i="68"/>
  <c r="AB223" i="68"/>
  <c r="V211" i="71" s="1"/>
  <c r="W213" i="84" s="1"/>
  <c r="AC223" i="68"/>
  <c r="W211" i="71" s="1"/>
  <c r="X213" i="84" s="1"/>
  <c r="U224" i="68"/>
  <c r="V224" i="68"/>
  <c r="W224" i="68"/>
  <c r="X224" i="68"/>
  <c r="AB224" i="68"/>
  <c r="V212" i="71" s="1"/>
  <c r="W214" i="84" s="1"/>
  <c r="AC224" i="68"/>
  <c r="W212" i="71" s="1"/>
  <c r="X214" i="84" s="1"/>
  <c r="U225" i="68"/>
  <c r="V225" i="68"/>
  <c r="W225" i="68"/>
  <c r="X225" i="68"/>
  <c r="AB225" i="68"/>
  <c r="V213" i="71" s="1"/>
  <c r="W215" i="84" s="1"/>
  <c r="AC225" i="68"/>
  <c r="W213" i="71" s="1"/>
  <c r="X215" i="84" s="1"/>
  <c r="U226" i="68"/>
  <c r="V226" i="68"/>
  <c r="W226" i="68"/>
  <c r="X226" i="68"/>
  <c r="AB226" i="68"/>
  <c r="V214" i="71" s="1"/>
  <c r="W216" i="84" s="1"/>
  <c r="AC226" i="68"/>
  <c r="W214" i="71" s="1"/>
  <c r="X216" i="84" s="1"/>
  <c r="U227" i="68"/>
  <c r="V227" i="68"/>
  <c r="W227" i="68"/>
  <c r="X227" i="68"/>
  <c r="AB227" i="68"/>
  <c r="V215" i="71" s="1"/>
  <c r="W217" i="84" s="1"/>
  <c r="AC227" i="68"/>
  <c r="W215" i="71" s="1"/>
  <c r="X217" i="84" s="1"/>
  <c r="U228" i="68"/>
  <c r="V228" i="68"/>
  <c r="W228" i="68"/>
  <c r="X228" i="68"/>
  <c r="AB228" i="68"/>
  <c r="V216" i="71" s="1"/>
  <c r="W218" i="84" s="1"/>
  <c r="AC228" i="68"/>
  <c r="W216" i="71" s="1"/>
  <c r="X218" i="84" s="1"/>
  <c r="U229" i="68"/>
  <c r="V229" i="68"/>
  <c r="W229" i="68"/>
  <c r="X229" i="68"/>
  <c r="AB229" i="68"/>
  <c r="V217" i="71" s="1"/>
  <c r="W219" i="84" s="1"/>
  <c r="AC229" i="68"/>
  <c r="W217" i="71" s="1"/>
  <c r="X219" i="84" s="1"/>
  <c r="U230" i="68"/>
  <c r="V230" i="68"/>
  <c r="W230" i="68"/>
  <c r="X230" i="68"/>
  <c r="AB230" i="68"/>
  <c r="V218" i="71" s="1"/>
  <c r="W220" i="84" s="1"/>
  <c r="AC230" i="68"/>
  <c r="W218" i="71" s="1"/>
  <c r="X220" i="84" s="1"/>
  <c r="U231" i="68"/>
  <c r="V231" i="68"/>
  <c r="W231" i="68"/>
  <c r="X231" i="68"/>
  <c r="AB231" i="68"/>
  <c r="V219" i="71" s="1"/>
  <c r="W221" i="84" s="1"/>
  <c r="AC231" i="68"/>
  <c r="W219" i="71" s="1"/>
  <c r="X221" i="84" s="1"/>
  <c r="U232" i="68"/>
  <c r="V232" i="68"/>
  <c r="W232" i="68"/>
  <c r="X232" i="68"/>
  <c r="AB232" i="68"/>
  <c r="V220" i="71" s="1"/>
  <c r="W222" i="84" s="1"/>
  <c r="AC232" i="68"/>
  <c r="W220" i="71" s="1"/>
  <c r="X222" i="84" s="1"/>
  <c r="U233" i="68"/>
  <c r="V233" i="68"/>
  <c r="W233" i="68"/>
  <c r="X233" i="68"/>
  <c r="AB233" i="68"/>
  <c r="V221" i="71" s="1"/>
  <c r="W223" i="84" s="1"/>
  <c r="AC233" i="68"/>
  <c r="W221" i="71" s="1"/>
  <c r="X223" i="84" s="1"/>
  <c r="U234" i="68"/>
  <c r="V234" i="68"/>
  <c r="W234" i="68"/>
  <c r="X234" i="68"/>
  <c r="AB234" i="68"/>
  <c r="V222" i="71" s="1"/>
  <c r="W224" i="84" s="1"/>
  <c r="AC234" i="68"/>
  <c r="W222" i="71" s="1"/>
  <c r="X224" i="84" s="1"/>
  <c r="U235" i="68"/>
  <c r="V235" i="68"/>
  <c r="W235" i="68"/>
  <c r="X235" i="68"/>
  <c r="AB235" i="68"/>
  <c r="V223" i="71" s="1"/>
  <c r="W225" i="84" s="1"/>
  <c r="AC235" i="68"/>
  <c r="W223" i="71" s="1"/>
  <c r="X225" i="84" s="1"/>
  <c r="U178" i="68"/>
  <c r="V178" i="68"/>
  <c r="W178" i="68"/>
  <c r="X178" i="68"/>
  <c r="AB178" i="68"/>
  <c r="V166" i="71" s="1"/>
  <c r="W168" i="84" s="1"/>
  <c r="AC178" i="68"/>
  <c r="W166" i="71" s="1"/>
  <c r="X168" i="84" s="1"/>
  <c r="U179" i="68"/>
  <c r="V179" i="68"/>
  <c r="W179" i="68"/>
  <c r="X179" i="68"/>
  <c r="AB179" i="68"/>
  <c r="V167" i="71" s="1"/>
  <c r="W169" i="84" s="1"/>
  <c r="AC179" i="68"/>
  <c r="W167" i="71" s="1"/>
  <c r="X169" i="84" s="1"/>
  <c r="U180" i="68"/>
  <c r="V180" i="68"/>
  <c r="W180" i="68"/>
  <c r="X180" i="68"/>
  <c r="AB180" i="68"/>
  <c r="V168" i="71" s="1"/>
  <c r="W170" i="84" s="1"/>
  <c r="AC180" i="68"/>
  <c r="W168" i="71" s="1"/>
  <c r="X170" i="84" s="1"/>
  <c r="U181" i="68"/>
  <c r="V181" i="68"/>
  <c r="W181" i="68"/>
  <c r="X181" i="68"/>
  <c r="AB181" i="68"/>
  <c r="V169" i="71" s="1"/>
  <c r="W171" i="84" s="1"/>
  <c r="AC181" i="68"/>
  <c r="W169" i="71" s="1"/>
  <c r="X171" i="84" s="1"/>
  <c r="U182" i="68"/>
  <c r="V182" i="68"/>
  <c r="W182" i="68"/>
  <c r="X182" i="68"/>
  <c r="AB182" i="68"/>
  <c r="V170" i="71" s="1"/>
  <c r="W172" i="84" s="1"/>
  <c r="AC182" i="68"/>
  <c r="W170" i="71" s="1"/>
  <c r="X172" i="84" s="1"/>
  <c r="U183" i="68"/>
  <c r="V183" i="68"/>
  <c r="W183" i="68"/>
  <c r="X183" i="68"/>
  <c r="AB183" i="68"/>
  <c r="V171" i="71" s="1"/>
  <c r="W173" i="84" s="1"/>
  <c r="AC183" i="68"/>
  <c r="W171" i="71" s="1"/>
  <c r="X173" i="84" s="1"/>
  <c r="U184" i="68"/>
  <c r="V184" i="68"/>
  <c r="W184" i="68"/>
  <c r="X184" i="68"/>
  <c r="AB184" i="68"/>
  <c r="V172" i="71" s="1"/>
  <c r="W174" i="84" s="1"/>
  <c r="AC184" i="68"/>
  <c r="W172" i="71" s="1"/>
  <c r="X174" i="84" s="1"/>
  <c r="U185" i="68"/>
  <c r="V185" i="68"/>
  <c r="W185" i="68"/>
  <c r="X185" i="68"/>
  <c r="AB185" i="68"/>
  <c r="V173" i="71" s="1"/>
  <c r="W175" i="84" s="1"/>
  <c r="AC185" i="68"/>
  <c r="W173" i="71" s="1"/>
  <c r="X175" i="84" s="1"/>
  <c r="U186" i="68"/>
  <c r="V186" i="68"/>
  <c r="W186" i="68"/>
  <c r="X186" i="68"/>
  <c r="AB186" i="68"/>
  <c r="V174" i="71" s="1"/>
  <c r="W176" i="84" s="1"/>
  <c r="AC186" i="68"/>
  <c r="W174" i="71" s="1"/>
  <c r="X176" i="84" s="1"/>
  <c r="U187" i="68"/>
  <c r="V187" i="68"/>
  <c r="W187" i="68"/>
  <c r="X187" i="68"/>
  <c r="AB187" i="68"/>
  <c r="V175" i="71" s="1"/>
  <c r="W177" i="84" s="1"/>
  <c r="AC187" i="68"/>
  <c r="W175" i="71" s="1"/>
  <c r="X177" i="84" s="1"/>
  <c r="U188" i="68"/>
  <c r="V188" i="68"/>
  <c r="W188" i="68"/>
  <c r="X188" i="68"/>
  <c r="AB188" i="68"/>
  <c r="V176" i="71" s="1"/>
  <c r="W178" i="84" s="1"/>
  <c r="AC188" i="68"/>
  <c r="W176" i="71" s="1"/>
  <c r="X178" i="84" s="1"/>
  <c r="U189" i="68"/>
  <c r="V189" i="68"/>
  <c r="W189" i="68"/>
  <c r="X189" i="68"/>
  <c r="AB189" i="68"/>
  <c r="V177" i="71" s="1"/>
  <c r="W179" i="84" s="1"/>
  <c r="AC189" i="68"/>
  <c r="W177" i="71" s="1"/>
  <c r="X179" i="84" s="1"/>
  <c r="U190" i="68"/>
  <c r="V190" i="68"/>
  <c r="W190" i="68"/>
  <c r="X190" i="68"/>
  <c r="AB190" i="68"/>
  <c r="V178" i="71" s="1"/>
  <c r="W180" i="84" s="1"/>
  <c r="AC190" i="68"/>
  <c r="W178" i="71" s="1"/>
  <c r="X180" i="84" s="1"/>
  <c r="U133" i="68"/>
  <c r="V133" i="68"/>
  <c r="W133" i="68"/>
  <c r="X133" i="68"/>
  <c r="AB133" i="68"/>
  <c r="V121" i="71" s="1"/>
  <c r="W123" i="84" s="1"/>
  <c r="AC133" i="68"/>
  <c r="W121" i="71" s="1"/>
  <c r="X123" i="84" s="1"/>
  <c r="U134" i="68"/>
  <c r="V134" i="68"/>
  <c r="W134" i="68"/>
  <c r="X134" i="68"/>
  <c r="AB134" i="68"/>
  <c r="V122" i="71" s="1"/>
  <c r="W124" i="84" s="1"/>
  <c r="AC134" i="68"/>
  <c r="W122" i="71" s="1"/>
  <c r="X124" i="84" s="1"/>
  <c r="U135" i="68"/>
  <c r="V135" i="68"/>
  <c r="W135" i="68"/>
  <c r="X135" i="68"/>
  <c r="AB135" i="68"/>
  <c r="V123" i="71" s="1"/>
  <c r="W125" i="84" s="1"/>
  <c r="AC135" i="68"/>
  <c r="W123" i="71" s="1"/>
  <c r="X125" i="84" s="1"/>
  <c r="U136" i="68"/>
  <c r="V136" i="68"/>
  <c r="W136" i="68"/>
  <c r="X136" i="68"/>
  <c r="AB136" i="68"/>
  <c r="V124" i="71" s="1"/>
  <c r="W126" i="84" s="1"/>
  <c r="AC136" i="68"/>
  <c r="W124" i="71" s="1"/>
  <c r="X126" i="84" s="1"/>
  <c r="U137" i="68"/>
  <c r="V137" i="68"/>
  <c r="W137" i="68"/>
  <c r="X137" i="68"/>
  <c r="AB137" i="68"/>
  <c r="V125" i="71" s="1"/>
  <c r="W127" i="84" s="1"/>
  <c r="AC137" i="68"/>
  <c r="W125" i="71" s="1"/>
  <c r="X127" i="84" s="1"/>
  <c r="U138" i="68"/>
  <c r="V138" i="68"/>
  <c r="W138" i="68"/>
  <c r="X138" i="68"/>
  <c r="AB138" i="68"/>
  <c r="V126" i="71" s="1"/>
  <c r="W128" i="84" s="1"/>
  <c r="AC138" i="68"/>
  <c r="W126" i="71" s="1"/>
  <c r="X128" i="84" s="1"/>
  <c r="U139" i="68"/>
  <c r="V139" i="68"/>
  <c r="W139" i="68"/>
  <c r="X139" i="68"/>
  <c r="AB139" i="68"/>
  <c r="V127" i="71" s="1"/>
  <c r="W129" i="84" s="1"/>
  <c r="AC139" i="68"/>
  <c r="W127" i="71" s="1"/>
  <c r="X129" i="84" s="1"/>
  <c r="U140" i="68"/>
  <c r="V140" i="68"/>
  <c r="W140" i="68"/>
  <c r="X140" i="68"/>
  <c r="AB140" i="68"/>
  <c r="V128" i="71" s="1"/>
  <c r="W130" i="84" s="1"/>
  <c r="AC140" i="68"/>
  <c r="W128" i="71" s="1"/>
  <c r="X130" i="84" s="1"/>
  <c r="U141" i="68"/>
  <c r="V141" i="68"/>
  <c r="W141" i="68"/>
  <c r="X141" i="68"/>
  <c r="AB141" i="68"/>
  <c r="V129" i="71" s="1"/>
  <c r="W131" i="84" s="1"/>
  <c r="AC141" i="68"/>
  <c r="W129" i="71" s="1"/>
  <c r="X131" i="84" s="1"/>
  <c r="U142" i="68"/>
  <c r="V142" i="68"/>
  <c r="W142" i="68"/>
  <c r="X142" i="68"/>
  <c r="AB142" i="68"/>
  <c r="V130" i="71" s="1"/>
  <c r="W132" i="84" s="1"/>
  <c r="AC142" i="68"/>
  <c r="W130" i="71" s="1"/>
  <c r="X132" i="84" s="1"/>
  <c r="U143" i="68"/>
  <c r="V143" i="68"/>
  <c r="W143" i="68"/>
  <c r="X143" i="68"/>
  <c r="AB143" i="68"/>
  <c r="V131" i="71" s="1"/>
  <c r="W133" i="84" s="1"/>
  <c r="AC143" i="68"/>
  <c r="W131" i="71" s="1"/>
  <c r="X133" i="84" s="1"/>
  <c r="U144" i="68"/>
  <c r="V144" i="68"/>
  <c r="W144" i="68"/>
  <c r="X144" i="68"/>
  <c r="AB144" i="68"/>
  <c r="V132" i="71" s="1"/>
  <c r="W134" i="84" s="1"/>
  <c r="AC144" i="68"/>
  <c r="W132" i="71" s="1"/>
  <c r="X134" i="84" s="1"/>
  <c r="U145" i="68"/>
  <c r="V145" i="68"/>
  <c r="W145" i="68"/>
  <c r="X145" i="68"/>
  <c r="AB145" i="68"/>
  <c r="V133" i="71" s="1"/>
  <c r="W135" i="84" s="1"/>
  <c r="AC145" i="68"/>
  <c r="W133" i="71" s="1"/>
  <c r="X135" i="84" s="1"/>
  <c r="U88" i="68"/>
  <c r="V88" i="68"/>
  <c r="W88" i="68"/>
  <c r="X88" i="68"/>
  <c r="AB88" i="68"/>
  <c r="V76" i="71" s="1"/>
  <c r="W78" i="84" s="1"/>
  <c r="AC88" i="68"/>
  <c r="W76" i="71" s="1"/>
  <c r="X78" i="84" s="1"/>
  <c r="U89" i="68"/>
  <c r="V89" i="68"/>
  <c r="W89" i="68"/>
  <c r="X89" i="68"/>
  <c r="AB89" i="68"/>
  <c r="V77" i="71" s="1"/>
  <c r="W79" i="84" s="1"/>
  <c r="AC89" i="68"/>
  <c r="W77" i="71" s="1"/>
  <c r="X79" i="84" s="1"/>
  <c r="U90" i="68"/>
  <c r="V90" i="68"/>
  <c r="W90" i="68"/>
  <c r="X90" i="68"/>
  <c r="AB90" i="68"/>
  <c r="V78" i="71" s="1"/>
  <c r="W80" i="84" s="1"/>
  <c r="AC90" i="68"/>
  <c r="W78" i="71" s="1"/>
  <c r="X80" i="84" s="1"/>
  <c r="U91" i="68"/>
  <c r="V91" i="68"/>
  <c r="W91" i="68"/>
  <c r="X91" i="68"/>
  <c r="AB91" i="68"/>
  <c r="V79" i="71" s="1"/>
  <c r="W81" i="84" s="1"/>
  <c r="AC91" i="68"/>
  <c r="W79" i="71" s="1"/>
  <c r="X81" i="84" s="1"/>
  <c r="U92" i="68"/>
  <c r="V92" i="68"/>
  <c r="W92" i="68"/>
  <c r="X92" i="68"/>
  <c r="AB92" i="68"/>
  <c r="V80" i="71" s="1"/>
  <c r="W82" i="84" s="1"/>
  <c r="AC92" i="68"/>
  <c r="W80" i="71" s="1"/>
  <c r="X82" i="84" s="1"/>
  <c r="U93" i="68"/>
  <c r="V93" i="68"/>
  <c r="W93" i="68"/>
  <c r="X93" i="68"/>
  <c r="AB93" i="68"/>
  <c r="V81" i="71" s="1"/>
  <c r="W83" i="84" s="1"/>
  <c r="AC93" i="68"/>
  <c r="W81" i="71" s="1"/>
  <c r="X83" i="84" s="1"/>
  <c r="U94" i="68"/>
  <c r="V94" i="68"/>
  <c r="W94" i="68"/>
  <c r="X94" i="68"/>
  <c r="AB94" i="68"/>
  <c r="V82" i="71" s="1"/>
  <c r="W84" i="84" s="1"/>
  <c r="AC94" i="68"/>
  <c r="W82" i="71" s="1"/>
  <c r="X84" i="84" s="1"/>
  <c r="U95" i="68"/>
  <c r="V95" i="68"/>
  <c r="W95" i="68"/>
  <c r="X95" i="68"/>
  <c r="AB95" i="68"/>
  <c r="V83" i="71" s="1"/>
  <c r="W85" i="84" s="1"/>
  <c r="AC95" i="68"/>
  <c r="W83" i="71" s="1"/>
  <c r="X85" i="84" s="1"/>
  <c r="U96" i="68"/>
  <c r="V96" i="68"/>
  <c r="W96" i="68"/>
  <c r="X96" i="68"/>
  <c r="AB96" i="68"/>
  <c r="V84" i="71" s="1"/>
  <c r="W86" i="84" s="1"/>
  <c r="AC96" i="68"/>
  <c r="W84" i="71" s="1"/>
  <c r="X86" i="84" s="1"/>
  <c r="U97" i="68"/>
  <c r="V97" i="68"/>
  <c r="W97" i="68"/>
  <c r="X97" i="68"/>
  <c r="AB97" i="68"/>
  <c r="V85" i="71" s="1"/>
  <c r="W87" i="84" s="1"/>
  <c r="AC97" i="68"/>
  <c r="W85" i="71" s="1"/>
  <c r="X87" i="84" s="1"/>
  <c r="U98" i="68"/>
  <c r="V98" i="68"/>
  <c r="W98" i="68"/>
  <c r="X98" i="68"/>
  <c r="AB98" i="68"/>
  <c r="V86" i="71" s="1"/>
  <c r="W88" i="84" s="1"/>
  <c r="AC98" i="68"/>
  <c r="W86" i="71" s="1"/>
  <c r="X88" i="84" s="1"/>
  <c r="U99" i="68"/>
  <c r="V99" i="68"/>
  <c r="W99" i="68"/>
  <c r="X99" i="68"/>
  <c r="AB99" i="68"/>
  <c r="V87" i="71" s="1"/>
  <c r="W89" i="84" s="1"/>
  <c r="AC99" i="68"/>
  <c r="W87" i="71" s="1"/>
  <c r="X89" i="84" s="1"/>
  <c r="U100" i="68"/>
  <c r="V100" i="68"/>
  <c r="W100" i="68"/>
  <c r="X100" i="68"/>
  <c r="AB100" i="68"/>
  <c r="V88" i="71" s="1"/>
  <c r="W90" i="84" s="1"/>
  <c r="AC100" i="68"/>
  <c r="W88" i="71" s="1"/>
  <c r="X90" i="84" s="1"/>
  <c r="AT88" i="68"/>
  <c r="AT133" i="68" s="1"/>
  <c r="AT178" i="68" s="1"/>
  <c r="AT223" i="68" s="1"/>
  <c r="AU88" i="68"/>
  <c r="AU133" i="68" s="1"/>
  <c r="AU178" i="68" s="1"/>
  <c r="AU223" i="68" s="1"/>
  <c r="AV88" i="68"/>
  <c r="AV133" i="68" s="1"/>
  <c r="AV178" i="68" s="1"/>
  <c r="AV223" i="68" s="1"/>
  <c r="AW88" i="68"/>
  <c r="AW133" i="68" s="1"/>
  <c r="AW178" i="68" s="1"/>
  <c r="AW223" i="68" s="1"/>
  <c r="AX88" i="68"/>
  <c r="AX133" i="68" s="1"/>
  <c r="AX178" i="68" s="1"/>
  <c r="AX223" i="68" s="1"/>
  <c r="AY88" i="68"/>
  <c r="AY133" i="68" s="1"/>
  <c r="AY178" i="68" s="1"/>
  <c r="AY223" i="68" s="1"/>
  <c r="AT89" i="68"/>
  <c r="AT134" i="68" s="1"/>
  <c r="AT179" i="68" s="1"/>
  <c r="AT224" i="68" s="1"/>
  <c r="AU89" i="68"/>
  <c r="AU134" i="68" s="1"/>
  <c r="AU179" i="68" s="1"/>
  <c r="AU224" i="68" s="1"/>
  <c r="AV89" i="68"/>
  <c r="AV134" i="68" s="1"/>
  <c r="AV179" i="68" s="1"/>
  <c r="AV224" i="68" s="1"/>
  <c r="AW89" i="68"/>
  <c r="AW134" i="68" s="1"/>
  <c r="AW179" i="68" s="1"/>
  <c r="AW224" i="68" s="1"/>
  <c r="AX89" i="68"/>
  <c r="AX134" i="68" s="1"/>
  <c r="AX179" i="68" s="1"/>
  <c r="AX224" i="68" s="1"/>
  <c r="AY89" i="68"/>
  <c r="AY134" i="68" s="1"/>
  <c r="AY179" i="68" s="1"/>
  <c r="AY224" i="68" s="1"/>
  <c r="AT90" i="68"/>
  <c r="AT135" i="68" s="1"/>
  <c r="AT180" i="68" s="1"/>
  <c r="AT225" i="68" s="1"/>
  <c r="AU90" i="68"/>
  <c r="AU135" i="68" s="1"/>
  <c r="AU180" i="68" s="1"/>
  <c r="AU225" i="68" s="1"/>
  <c r="AV90" i="68"/>
  <c r="AV135" i="68" s="1"/>
  <c r="AV180" i="68" s="1"/>
  <c r="AV225" i="68" s="1"/>
  <c r="AW90" i="68"/>
  <c r="AW135" i="68" s="1"/>
  <c r="AW180" i="68" s="1"/>
  <c r="AW225" i="68" s="1"/>
  <c r="AX90" i="68"/>
  <c r="AX135" i="68" s="1"/>
  <c r="AX180" i="68" s="1"/>
  <c r="AX225" i="68" s="1"/>
  <c r="AY90" i="68"/>
  <c r="AY135" i="68" s="1"/>
  <c r="AY180" i="68" s="1"/>
  <c r="AY225" i="68" s="1"/>
  <c r="AT91" i="68"/>
  <c r="AT136" i="68" s="1"/>
  <c r="AT181" i="68" s="1"/>
  <c r="AT226" i="68" s="1"/>
  <c r="AU91" i="68"/>
  <c r="AU136" i="68" s="1"/>
  <c r="AU181" i="68" s="1"/>
  <c r="AU226" i="68" s="1"/>
  <c r="AV91" i="68"/>
  <c r="AV136" i="68" s="1"/>
  <c r="AV181" i="68" s="1"/>
  <c r="AV226" i="68" s="1"/>
  <c r="AW91" i="68"/>
  <c r="AW136" i="68" s="1"/>
  <c r="AW181" i="68" s="1"/>
  <c r="AW226" i="68" s="1"/>
  <c r="AX91" i="68"/>
  <c r="AX136" i="68" s="1"/>
  <c r="AX181" i="68" s="1"/>
  <c r="AX226" i="68" s="1"/>
  <c r="AY91" i="68"/>
  <c r="AY136" i="68" s="1"/>
  <c r="AY181" i="68" s="1"/>
  <c r="AY226" i="68" s="1"/>
  <c r="AT92" i="68"/>
  <c r="AT137" i="68" s="1"/>
  <c r="AT182" i="68" s="1"/>
  <c r="AT227" i="68" s="1"/>
  <c r="AU92" i="68"/>
  <c r="AU137" i="68" s="1"/>
  <c r="AU182" i="68" s="1"/>
  <c r="AU227" i="68" s="1"/>
  <c r="AV92" i="68"/>
  <c r="AV137" i="68" s="1"/>
  <c r="AV182" i="68" s="1"/>
  <c r="AV227" i="68" s="1"/>
  <c r="AW92" i="68"/>
  <c r="AW137" i="68" s="1"/>
  <c r="AW182" i="68" s="1"/>
  <c r="AW227" i="68" s="1"/>
  <c r="AX92" i="68"/>
  <c r="AX137" i="68" s="1"/>
  <c r="AX182" i="68" s="1"/>
  <c r="AX227" i="68" s="1"/>
  <c r="AY92" i="68"/>
  <c r="AY137" i="68" s="1"/>
  <c r="AY182" i="68" s="1"/>
  <c r="AY227" i="68" s="1"/>
  <c r="AT93" i="68"/>
  <c r="AT138" i="68" s="1"/>
  <c r="AT183" i="68" s="1"/>
  <c r="AT228" i="68" s="1"/>
  <c r="AU93" i="68"/>
  <c r="AU138" i="68" s="1"/>
  <c r="AU183" i="68" s="1"/>
  <c r="AU228" i="68" s="1"/>
  <c r="AV93" i="68"/>
  <c r="AV138" i="68" s="1"/>
  <c r="AV183" i="68" s="1"/>
  <c r="AV228" i="68" s="1"/>
  <c r="AW93" i="68"/>
  <c r="AW138" i="68" s="1"/>
  <c r="AW183" i="68" s="1"/>
  <c r="AW228" i="68" s="1"/>
  <c r="AX93" i="68"/>
  <c r="AX138" i="68" s="1"/>
  <c r="AX183" i="68" s="1"/>
  <c r="AX228" i="68" s="1"/>
  <c r="AY93" i="68"/>
  <c r="AY138" i="68" s="1"/>
  <c r="AY183" i="68" s="1"/>
  <c r="AY228" i="68" s="1"/>
  <c r="AT94" i="68"/>
  <c r="AT139" i="68" s="1"/>
  <c r="AT184" i="68" s="1"/>
  <c r="AT229" i="68" s="1"/>
  <c r="AU94" i="68"/>
  <c r="AU139" i="68" s="1"/>
  <c r="AU184" i="68" s="1"/>
  <c r="AU229" i="68" s="1"/>
  <c r="AV94" i="68"/>
  <c r="AV139" i="68" s="1"/>
  <c r="AV184" i="68" s="1"/>
  <c r="AV229" i="68" s="1"/>
  <c r="AW94" i="68"/>
  <c r="AW139" i="68" s="1"/>
  <c r="AW184" i="68" s="1"/>
  <c r="AW229" i="68" s="1"/>
  <c r="AX94" i="68"/>
  <c r="AX139" i="68" s="1"/>
  <c r="AX184" i="68" s="1"/>
  <c r="AX229" i="68" s="1"/>
  <c r="AY94" i="68"/>
  <c r="AY139" i="68" s="1"/>
  <c r="AY184" i="68" s="1"/>
  <c r="AY229" i="68" s="1"/>
  <c r="AT95" i="68"/>
  <c r="AT140" i="68" s="1"/>
  <c r="AT185" i="68" s="1"/>
  <c r="AT230" i="68" s="1"/>
  <c r="AU95" i="68"/>
  <c r="AU140" i="68" s="1"/>
  <c r="AU185" i="68" s="1"/>
  <c r="AU230" i="68" s="1"/>
  <c r="AV95" i="68"/>
  <c r="AV140" i="68" s="1"/>
  <c r="AV185" i="68" s="1"/>
  <c r="AV230" i="68" s="1"/>
  <c r="AW95" i="68"/>
  <c r="AW140" i="68" s="1"/>
  <c r="AW185" i="68" s="1"/>
  <c r="AW230" i="68" s="1"/>
  <c r="AX95" i="68"/>
  <c r="AX140" i="68" s="1"/>
  <c r="AX185" i="68" s="1"/>
  <c r="AX230" i="68" s="1"/>
  <c r="AY95" i="68"/>
  <c r="AY140" i="68" s="1"/>
  <c r="AY185" i="68" s="1"/>
  <c r="AY230" i="68" s="1"/>
  <c r="AT96" i="68"/>
  <c r="AT141" i="68" s="1"/>
  <c r="AT186" i="68" s="1"/>
  <c r="AT231" i="68" s="1"/>
  <c r="AU96" i="68"/>
  <c r="AU141" i="68" s="1"/>
  <c r="AU186" i="68" s="1"/>
  <c r="AU231" i="68" s="1"/>
  <c r="AV96" i="68"/>
  <c r="AV141" i="68" s="1"/>
  <c r="AV186" i="68" s="1"/>
  <c r="AV231" i="68" s="1"/>
  <c r="AW96" i="68"/>
  <c r="AW141" i="68" s="1"/>
  <c r="AW186" i="68" s="1"/>
  <c r="AW231" i="68" s="1"/>
  <c r="AX96" i="68"/>
  <c r="AX141" i="68" s="1"/>
  <c r="AX186" i="68" s="1"/>
  <c r="AX231" i="68" s="1"/>
  <c r="AY96" i="68"/>
  <c r="AY141" i="68" s="1"/>
  <c r="AY186" i="68" s="1"/>
  <c r="AY231" i="68" s="1"/>
  <c r="AT97" i="68"/>
  <c r="AT142" i="68" s="1"/>
  <c r="AT187" i="68" s="1"/>
  <c r="AT232" i="68" s="1"/>
  <c r="AU97" i="68"/>
  <c r="AU142" i="68" s="1"/>
  <c r="AU187" i="68" s="1"/>
  <c r="AU232" i="68" s="1"/>
  <c r="AV97" i="68"/>
  <c r="AV142" i="68" s="1"/>
  <c r="AV187" i="68" s="1"/>
  <c r="AV232" i="68" s="1"/>
  <c r="AW97" i="68"/>
  <c r="AW142" i="68" s="1"/>
  <c r="AW187" i="68" s="1"/>
  <c r="AW232" i="68" s="1"/>
  <c r="AX97" i="68"/>
  <c r="AX142" i="68" s="1"/>
  <c r="AX187" i="68" s="1"/>
  <c r="AX232" i="68" s="1"/>
  <c r="AY97" i="68"/>
  <c r="AY142" i="68" s="1"/>
  <c r="AY187" i="68" s="1"/>
  <c r="AY232" i="68" s="1"/>
  <c r="AT98" i="68"/>
  <c r="AT143" i="68" s="1"/>
  <c r="AT188" i="68" s="1"/>
  <c r="AT233" i="68" s="1"/>
  <c r="AU98" i="68"/>
  <c r="AU143" i="68" s="1"/>
  <c r="AU188" i="68" s="1"/>
  <c r="AU233" i="68" s="1"/>
  <c r="AV98" i="68"/>
  <c r="AV143" i="68" s="1"/>
  <c r="AV188" i="68" s="1"/>
  <c r="AV233" i="68" s="1"/>
  <c r="AW98" i="68"/>
  <c r="AW143" i="68" s="1"/>
  <c r="AW188" i="68" s="1"/>
  <c r="AW233" i="68" s="1"/>
  <c r="AX98" i="68"/>
  <c r="AX143" i="68" s="1"/>
  <c r="AX188" i="68" s="1"/>
  <c r="AX233" i="68" s="1"/>
  <c r="AY98" i="68"/>
  <c r="AY143" i="68" s="1"/>
  <c r="AY188" i="68" s="1"/>
  <c r="AY233" i="68" s="1"/>
  <c r="AT99" i="68"/>
  <c r="AT144" i="68" s="1"/>
  <c r="AT189" i="68" s="1"/>
  <c r="AT234" i="68" s="1"/>
  <c r="AU99" i="68"/>
  <c r="AU144" i="68" s="1"/>
  <c r="AU189" i="68" s="1"/>
  <c r="AU234" i="68" s="1"/>
  <c r="AV99" i="68"/>
  <c r="AV144" i="68" s="1"/>
  <c r="AV189" i="68" s="1"/>
  <c r="AV234" i="68" s="1"/>
  <c r="AW99" i="68"/>
  <c r="AW144" i="68" s="1"/>
  <c r="AW189" i="68" s="1"/>
  <c r="AW234" i="68" s="1"/>
  <c r="AX99" i="68"/>
  <c r="AX144" i="68" s="1"/>
  <c r="AX189" i="68" s="1"/>
  <c r="AX234" i="68" s="1"/>
  <c r="AY99" i="68"/>
  <c r="AY144" i="68" s="1"/>
  <c r="AY189" i="68" s="1"/>
  <c r="AY234" i="68" s="1"/>
  <c r="AT100" i="68"/>
  <c r="AT145" i="68" s="1"/>
  <c r="AT190" i="68" s="1"/>
  <c r="AT235" i="68" s="1"/>
  <c r="AU100" i="68"/>
  <c r="AU145" i="68" s="1"/>
  <c r="AU190" i="68" s="1"/>
  <c r="AU235" i="68" s="1"/>
  <c r="AV100" i="68"/>
  <c r="AV145" i="68" s="1"/>
  <c r="AV190" i="68" s="1"/>
  <c r="AV235" i="68" s="1"/>
  <c r="AW100" i="68"/>
  <c r="AW145" i="68" s="1"/>
  <c r="AW190" i="68" s="1"/>
  <c r="AW235" i="68" s="1"/>
  <c r="AX100" i="68"/>
  <c r="AX145" i="68" s="1"/>
  <c r="AX190" i="68" s="1"/>
  <c r="AX235" i="68" s="1"/>
  <c r="AY100" i="68"/>
  <c r="AY145" i="68" s="1"/>
  <c r="AY190" i="68" s="1"/>
  <c r="AY235" i="68" s="1"/>
  <c r="BA11" i="95"/>
  <c r="AZ191" i="95"/>
  <c r="AQ56" i="95"/>
  <c r="BA56" i="95"/>
  <c r="AV192" i="95"/>
  <c r="AU146" i="95"/>
  <c r="AP12" i="95"/>
  <c r="AQ11" i="95"/>
  <c r="AY11" i="95"/>
  <c r="AP192" i="95"/>
  <c r="AV11" i="95"/>
  <c r="BA191" i="95"/>
  <c r="BB191" i="95"/>
  <c r="AT101" i="95"/>
  <c r="AP102" i="95"/>
  <c r="AY56" i="95"/>
  <c r="BB148" i="95"/>
  <c r="AQ101" i="95"/>
  <c r="AV101" i="95"/>
  <c r="BD191" i="95"/>
  <c r="AQ191" i="95"/>
  <c r="AT11" i="95"/>
  <c r="AR146" i="95"/>
  <c r="AU11" i="95"/>
  <c r="AU191" i="95"/>
  <c r="AU192" i="95" s="1"/>
  <c r="AW146" i="95"/>
  <c r="AZ146" i="95"/>
  <c r="AW191" i="95"/>
  <c r="AV56" i="95"/>
  <c r="AZ56" i="95"/>
  <c r="AV146" i="95"/>
  <c r="AP57" i="95"/>
  <c r="BA148" i="95"/>
  <c r="AQ147" i="95"/>
  <c r="AZ102" i="95"/>
  <c r="AU56" i="95"/>
  <c r="AU101" i="95"/>
  <c r="AY101" i="95"/>
  <c r="AR191" i="95"/>
  <c r="AZ11" i="95"/>
  <c r="BD11" i="95"/>
  <c r="AT56" i="95"/>
  <c r="AP148" i="95"/>
  <c r="BA102" i="95"/>
  <c r="R183" i="68"/>
  <c r="S185" i="68"/>
  <c r="R134" i="68"/>
  <c r="S98" i="68"/>
  <c r="S224" i="68"/>
  <c r="R187" i="68"/>
  <c r="R223" i="68"/>
  <c r="S140" i="68"/>
  <c r="S136" i="68"/>
  <c r="R185" i="68"/>
  <c r="R137" i="68"/>
  <c r="R135" i="68"/>
  <c r="S93" i="68"/>
  <c r="S96" i="68"/>
  <c r="R90" i="68"/>
  <c r="S142" i="68"/>
  <c r="S144" i="68"/>
  <c r="R95" i="68"/>
  <c r="R182" i="68"/>
  <c r="R180" i="68"/>
  <c r="R139" i="68"/>
  <c r="S133" i="68"/>
  <c r="S230" i="68"/>
  <c r="S228" i="68"/>
  <c r="S189" i="68"/>
  <c r="S233" i="68"/>
  <c r="R227" i="68"/>
  <c r="R231" i="68"/>
  <c r="R233" i="68"/>
  <c r="S141" i="68"/>
  <c r="S99" i="68"/>
  <c r="R226" i="68"/>
  <c r="S190" i="68"/>
  <c r="S226" i="68"/>
  <c r="R97" i="68"/>
  <c r="R133" i="68"/>
  <c r="S179" i="68"/>
  <c r="S95" i="68"/>
  <c r="R140" i="68"/>
  <c r="S229" i="68"/>
  <c r="R228" i="68"/>
  <c r="S225" i="68"/>
  <c r="S92" i="68"/>
  <c r="R224" i="68"/>
  <c r="R136" i="68"/>
  <c r="R189" i="68"/>
  <c r="S183" i="68"/>
  <c r="S137" i="68"/>
  <c r="S135" i="68"/>
  <c r="S138" i="68"/>
  <c r="R100" i="68"/>
  <c r="R96" i="68"/>
  <c r="S223" i="68"/>
  <c r="S94" i="68"/>
  <c r="R229" i="68"/>
  <c r="S181" i="68"/>
  <c r="R145" i="68"/>
  <c r="S187" i="68"/>
  <c r="S97" i="68"/>
  <c r="S184" i="68"/>
  <c r="S234" i="68"/>
  <c r="S232" i="68"/>
  <c r="R142" i="68"/>
  <c r="S143" i="68"/>
  <c r="R230" i="68"/>
  <c r="R234" i="68"/>
  <c r="R143" i="68"/>
  <c r="S89" i="68"/>
  <c r="S134" i="68"/>
  <c r="R98" i="68"/>
  <c r="R91" i="68"/>
  <c r="S180" i="68"/>
  <c r="R144" i="68"/>
  <c r="S90" i="68"/>
  <c r="R138" i="68"/>
  <c r="R178" i="68"/>
  <c r="S91" i="68"/>
  <c r="R99" i="68"/>
  <c r="S231" i="68"/>
  <c r="R181" i="68"/>
  <c r="R179" i="68"/>
  <c r="R88" i="68"/>
  <c r="R186" i="68"/>
  <c r="S178" i="68"/>
  <c r="S235" i="68"/>
  <c r="S139" i="68"/>
  <c r="S100" i="68"/>
  <c r="R92" i="68"/>
  <c r="S88" i="68"/>
  <c r="S227" i="68"/>
  <c r="R235" i="68"/>
  <c r="S145" i="68"/>
  <c r="R184" i="68"/>
  <c r="R232" i="68"/>
  <c r="R190" i="68"/>
  <c r="R141" i="68"/>
  <c r="R94" i="68"/>
  <c r="R89" i="68"/>
  <c r="R188" i="68"/>
  <c r="R225" i="68"/>
  <c r="S188" i="68"/>
  <c r="S182" i="68"/>
  <c r="R93" i="68"/>
  <c r="S186" i="68"/>
  <c r="R78" i="70" l="1"/>
  <c r="O79" i="95"/>
  <c r="T121" i="70"/>
  <c r="Q122" i="95"/>
  <c r="T171" i="70"/>
  <c r="Q172" i="95"/>
  <c r="S87" i="70"/>
  <c r="P88" i="95"/>
  <c r="S83" i="70"/>
  <c r="P84" i="95"/>
  <c r="S75" i="70"/>
  <c r="P76" i="95"/>
  <c r="S129" i="70"/>
  <c r="P130" i="95"/>
  <c r="S125" i="70"/>
  <c r="P126" i="95"/>
  <c r="U122" i="70"/>
  <c r="R123" i="95"/>
  <c r="S175" i="70"/>
  <c r="P176" i="95"/>
  <c r="U168" i="70"/>
  <c r="R169" i="95"/>
  <c r="S221" i="70"/>
  <c r="P222" i="95"/>
  <c r="T84" i="70"/>
  <c r="Q85" i="95"/>
  <c r="U86" i="70"/>
  <c r="R87" i="95"/>
  <c r="S85" i="70"/>
  <c r="P86" i="95"/>
  <c r="S131" i="70"/>
  <c r="P132" i="95"/>
  <c r="U128" i="70"/>
  <c r="R129" i="95"/>
  <c r="S123" i="70"/>
  <c r="P124" i="95"/>
  <c r="U120" i="70"/>
  <c r="R121" i="95"/>
  <c r="S173" i="70"/>
  <c r="P174" i="95"/>
  <c r="U212" i="70"/>
  <c r="R213" i="95"/>
  <c r="T86" i="70"/>
  <c r="Q87" i="95"/>
  <c r="R85" i="70"/>
  <c r="O86" i="95"/>
  <c r="T82" i="70"/>
  <c r="Q83" i="95"/>
  <c r="R81" i="70"/>
  <c r="O82" i="95"/>
  <c r="T78" i="70"/>
  <c r="Q79" i="95"/>
  <c r="R77" i="70"/>
  <c r="O78" i="95"/>
  <c r="T132" i="70"/>
  <c r="Q133" i="95"/>
  <c r="R131" i="70"/>
  <c r="O132" i="95"/>
  <c r="T128" i="70"/>
  <c r="Q129" i="95"/>
  <c r="R127" i="70"/>
  <c r="O128" i="95"/>
  <c r="T124" i="70"/>
  <c r="Q125" i="95"/>
  <c r="R123" i="70"/>
  <c r="O124" i="95"/>
  <c r="T120" i="70"/>
  <c r="Q121" i="95"/>
  <c r="R177" i="70"/>
  <c r="O178" i="95"/>
  <c r="T174" i="70"/>
  <c r="Q175" i="95"/>
  <c r="R173" i="70"/>
  <c r="O174" i="95"/>
  <c r="T170" i="70"/>
  <c r="Q171" i="95"/>
  <c r="R169" i="70"/>
  <c r="O170" i="95"/>
  <c r="T166" i="70"/>
  <c r="Q167" i="95"/>
  <c r="R165" i="70"/>
  <c r="O166" i="95"/>
  <c r="T220" i="70"/>
  <c r="Q221" i="95"/>
  <c r="R219" i="70"/>
  <c r="O220" i="95"/>
  <c r="T216" i="70"/>
  <c r="Q217" i="95"/>
  <c r="R215" i="70"/>
  <c r="O216" i="95"/>
  <c r="T212" i="70"/>
  <c r="Q213" i="95"/>
  <c r="R211" i="70"/>
  <c r="O212" i="95"/>
  <c r="T87" i="70"/>
  <c r="Q88" i="95"/>
  <c r="U84" i="70"/>
  <c r="R85" i="95"/>
  <c r="S79" i="70"/>
  <c r="P80" i="95"/>
  <c r="U172" i="70"/>
  <c r="R173" i="95"/>
  <c r="U210" i="70"/>
  <c r="R211" i="95"/>
  <c r="R87" i="70"/>
  <c r="O88" i="95"/>
  <c r="U82" i="70"/>
  <c r="R83" i="95"/>
  <c r="S81" i="70"/>
  <c r="P82" i="95"/>
  <c r="U78" i="70"/>
  <c r="R79" i="95"/>
  <c r="S77" i="70"/>
  <c r="P78" i="95"/>
  <c r="U132" i="70"/>
  <c r="R133" i="95"/>
  <c r="S127" i="70"/>
  <c r="P128" i="95"/>
  <c r="U124" i="70"/>
  <c r="R125" i="95"/>
  <c r="S177" i="70"/>
  <c r="P178" i="95"/>
  <c r="U174" i="70"/>
  <c r="R175" i="95"/>
  <c r="U170" i="70"/>
  <c r="R171" i="95"/>
  <c r="S169" i="70"/>
  <c r="P170" i="95"/>
  <c r="U166" i="70"/>
  <c r="R167" i="95"/>
  <c r="S165" i="70"/>
  <c r="P166" i="95"/>
  <c r="U220" i="70"/>
  <c r="R221" i="95"/>
  <c r="S219" i="70"/>
  <c r="P220" i="95"/>
  <c r="U216" i="70"/>
  <c r="R217" i="95"/>
  <c r="S215" i="70"/>
  <c r="P216" i="95"/>
  <c r="S211" i="70"/>
  <c r="P212" i="95"/>
  <c r="U87" i="70"/>
  <c r="R88" i="95"/>
  <c r="S86" i="70"/>
  <c r="P87" i="95"/>
  <c r="U83" i="70"/>
  <c r="R84" i="95"/>
  <c r="S82" i="70"/>
  <c r="P83" i="95"/>
  <c r="U79" i="70"/>
  <c r="R80" i="95"/>
  <c r="S78" i="70"/>
  <c r="P79" i="95"/>
  <c r="U75" i="70"/>
  <c r="R76" i="95"/>
  <c r="S132" i="70"/>
  <c r="P133" i="95"/>
  <c r="U129" i="70"/>
  <c r="R130" i="95"/>
  <c r="S128" i="70"/>
  <c r="P129" i="95"/>
  <c r="U125" i="70"/>
  <c r="R126" i="95"/>
  <c r="S124" i="70"/>
  <c r="P125" i="95"/>
  <c r="U121" i="70"/>
  <c r="R122" i="95"/>
  <c r="S120" i="70"/>
  <c r="P121" i="95"/>
  <c r="U175" i="70"/>
  <c r="R176" i="95"/>
  <c r="S174" i="70"/>
  <c r="P175" i="95"/>
  <c r="U171" i="70"/>
  <c r="R172" i="95"/>
  <c r="S170" i="70"/>
  <c r="P171" i="95"/>
  <c r="U167" i="70"/>
  <c r="R168" i="95"/>
  <c r="S166" i="70"/>
  <c r="P167" i="95"/>
  <c r="U221" i="70"/>
  <c r="R222" i="95"/>
  <c r="S220" i="70"/>
  <c r="P221" i="95"/>
  <c r="U217" i="70"/>
  <c r="R218" i="95"/>
  <c r="S216" i="70"/>
  <c r="P217" i="95"/>
  <c r="U213" i="70"/>
  <c r="R214" i="95"/>
  <c r="S212" i="70"/>
  <c r="P213" i="95"/>
  <c r="R170" i="70"/>
  <c r="O171" i="95"/>
  <c r="T167" i="70"/>
  <c r="Q168" i="95"/>
  <c r="R166" i="70"/>
  <c r="O167" i="95"/>
  <c r="T221" i="70"/>
  <c r="Q222" i="95"/>
  <c r="R220" i="70"/>
  <c r="O221" i="95"/>
  <c r="T217" i="70"/>
  <c r="Q218" i="95"/>
  <c r="R216" i="70"/>
  <c r="O217" i="95"/>
  <c r="T213" i="70"/>
  <c r="Q214" i="95"/>
  <c r="R212" i="70"/>
  <c r="O213" i="95"/>
  <c r="T83" i="70"/>
  <c r="Q84" i="95"/>
  <c r="R132" i="70"/>
  <c r="O133" i="95"/>
  <c r="R128" i="70"/>
  <c r="O129" i="95"/>
  <c r="T125" i="70"/>
  <c r="Q126" i="95"/>
  <c r="T175" i="70"/>
  <c r="Q176" i="95"/>
  <c r="U80" i="70"/>
  <c r="R81" i="95"/>
  <c r="U76" i="70"/>
  <c r="R77" i="95"/>
  <c r="U130" i="70"/>
  <c r="R131" i="95"/>
  <c r="U126" i="70"/>
  <c r="R127" i="95"/>
  <c r="U176" i="70"/>
  <c r="R177" i="95"/>
  <c r="S217" i="70"/>
  <c r="P218" i="95"/>
  <c r="U214" i="70"/>
  <c r="R215" i="95"/>
  <c r="T80" i="70"/>
  <c r="Q81" i="95"/>
  <c r="T76" i="70"/>
  <c r="Q77" i="95"/>
  <c r="R75" i="70"/>
  <c r="O76" i="95"/>
  <c r="T130" i="70"/>
  <c r="Q131" i="95"/>
  <c r="R129" i="70"/>
  <c r="O130" i="95"/>
  <c r="T126" i="70"/>
  <c r="Q127" i="95"/>
  <c r="R125" i="70"/>
  <c r="O126" i="95"/>
  <c r="R175" i="70"/>
  <c r="O176" i="95"/>
  <c r="R221" i="70"/>
  <c r="O222" i="95"/>
  <c r="U85" i="70"/>
  <c r="R86" i="95"/>
  <c r="S84" i="70"/>
  <c r="P85" i="95"/>
  <c r="U81" i="70"/>
  <c r="R82" i="95"/>
  <c r="S80" i="70"/>
  <c r="P81" i="95"/>
  <c r="U77" i="70"/>
  <c r="R78" i="95"/>
  <c r="S76" i="70"/>
  <c r="P77" i="95"/>
  <c r="U131" i="70"/>
  <c r="R132" i="95"/>
  <c r="S130" i="70"/>
  <c r="P131" i="95"/>
  <c r="U127" i="70"/>
  <c r="R128" i="95"/>
  <c r="S126" i="70"/>
  <c r="P127" i="95"/>
  <c r="U123" i="70"/>
  <c r="R124" i="95"/>
  <c r="S122" i="70"/>
  <c r="P123" i="95"/>
  <c r="U177" i="70"/>
  <c r="R178" i="95"/>
  <c r="S176" i="70"/>
  <c r="P177" i="95"/>
  <c r="U173" i="70"/>
  <c r="R174" i="95"/>
  <c r="S172" i="70"/>
  <c r="P173" i="95"/>
  <c r="U169" i="70"/>
  <c r="R170" i="95"/>
  <c r="S168" i="70"/>
  <c r="P169" i="95"/>
  <c r="U165" i="70"/>
  <c r="R166" i="95"/>
  <c r="S222" i="70"/>
  <c r="P223" i="95"/>
  <c r="U219" i="70"/>
  <c r="R220" i="95"/>
  <c r="S218" i="70"/>
  <c r="P219" i="95"/>
  <c r="U215" i="70"/>
  <c r="R216" i="95"/>
  <c r="S214" i="70"/>
  <c r="P215" i="95"/>
  <c r="U211" i="70"/>
  <c r="R212" i="95"/>
  <c r="S210" i="70"/>
  <c r="P211" i="95"/>
  <c r="R86" i="70"/>
  <c r="O87" i="95"/>
  <c r="R82" i="70"/>
  <c r="O83" i="95"/>
  <c r="T79" i="70"/>
  <c r="Q80" i="95"/>
  <c r="T75" i="70"/>
  <c r="Q76" i="95"/>
  <c r="T129" i="70"/>
  <c r="Q130" i="95"/>
  <c r="R124" i="70"/>
  <c r="O125" i="95"/>
  <c r="R120" i="70"/>
  <c r="O121" i="95"/>
  <c r="R174" i="70"/>
  <c r="O175" i="95"/>
  <c r="S121" i="70"/>
  <c r="P122" i="95"/>
  <c r="S171" i="70"/>
  <c r="P172" i="95"/>
  <c r="S167" i="70"/>
  <c r="P168" i="95"/>
  <c r="U222" i="70"/>
  <c r="R223" i="95"/>
  <c r="U218" i="70"/>
  <c r="R219" i="95"/>
  <c r="S213" i="70"/>
  <c r="P214" i="95"/>
  <c r="R83" i="70"/>
  <c r="O84" i="95"/>
  <c r="R79" i="70"/>
  <c r="O80" i="95"/>
  <c r="T122" i="70"/>
  <c r="Q123" i="95"/>
  <c r="R121" i="70"/>
  <c r="O122" i="95"/>
  <c r="T176" i="70"/>
  <c r="Q177" i="95"/>
  <c r="T172" i="70"/>
  <c r="Q173" i="95"/>
  <c r="R171" i="70"/>
  <c r="O172" i="95"/>
  <c r="T168" i="70"/>
  <c r="Q169" i="95"/>
  <c r="R167" i="70"/>
  <c r="O168" i="95"/>
  <c r="T222" i="70"/>
  <c r="Q223" i="95"/>
  <c r="T218" i="70"/>
  <c r="Q219" i="95"/>
  <c r="R217" i="70"/>
  <c r="O218" i="95"/>
  <c r="T214" i="70"/>
  <c r="Q215" i="95"/>
  <c r="R213" i="70"/>
  <c r="O214" i="95"/>
  <c r="T210" i="70"/>
  <c r="Q211" i="95"/>
  <c r="T85" i="70"/>
  <c r="Q86" i="95"/>
  <c r="R84" i="70"/>
  <c r="O85" i="95"/>
  <c r="T81" i="70"/>
  <c r="Q82" i="95"/>
  <c r="R80" i="70"/>
  <c r="O81" i="95"/>
  <c r="T77" i="70"/>
  <c r="Q78" i="95"/>
  <c r="R76" i="70"/>
  <c r="O77" i="95"/>
  <c r="T131" i="70"/>
  <c r="Q132" i="95"/>
  <c r="R130" i="70"/>
  <c r="O131" i="95"/>
  <c r="T127" i="70"/>
  <c r="Q128" i="95"/>
  <c r="R126" i="70"/>
  <c r="O127" i="95"/>
  <c r="T123" i="70"/>
  <c r="Q124" i="95"/>
  <c r="R122" i="70"/>
  <c r="O123" i="95"/>
  <c r="T177" i="70"/>
  <c r="Q178" i="95"/>
  <c r="R176" i="70"/>
  <c r="O177" i="95"/>
  <c r="T173" i="70"/>
  <c r="Q174" i="95"/>
  <c r="R172" i="70"/>
  <c r="O173" i="95"/>
  <c r="T169" i="70"/>
  <c r="Q170" i="95"/>
  <c r="R168" i="70"/>
  <c r="O169" i="95"/>
  <c r="T165" i="70"/>
  <c r="Q166" i="95"/>
  <c r="R222" i="70"/>
  <c r="O223" i="95"/>
  <c r="T219" i="70"/>
  <c r="Q220" i="95"/>
  <c r="R218" i="70"/>
  <c r="O219" i="95"/>
  <c r="T215" i="70"/>
  <c r="Q216" i="95"/>
  <c r="R214" i="70"/>
  <c r="O215" i="95"/>
  <c r="T211" i="70"/>
  <c r="Q212" i="95"/>
  <c r="R210" i="70"/>
  <c r="O211" i="95"/>
  <c r="AU161" i="84"/>
  <c r="AY161" i="84" s="1"/>
  <c r="AL134" i="84"/>
  <c r="AL128" i="84"/>
  <c r="AL90" i="84"/>
  <c r="AL89" i="84"/>
  <c r="AL88" i="84"/>
  <c r="AL87" i="84"/>
  <c r="AL86" i="84"/>
  <c r="AL85" i="84"/>
  <c r="AL84" i="84"/>
  <c r="AL83" i="84"/>
  <c r="AL82" i="84"/>
  <c r="AL81" i="84"/>
  <c r="AL80" i="84"/>
  <c r="AL79" i="84"/>
  <c r="AL78" i="84"/>
  <c r="AL135" i="84"/>
  <c r="AL133" i="84"/>
  <c r="AL132" i="84"/>
  <c r="AL131" i="84"/>
  <c r="AL130" i="84"/>
  <c r="AL129" i="84"/>
  <c r="AL127" i="84"/>
  <c r="AL126" i="84"/>
  <c r="AL125" i="84"/>
  <c r="AL124" i="84"/>
  <c r="AL123" i="84"/>
  <c r="AL180" i="84"/>
  <c r="AL179" i="84"/>
  <c r="AL178" i="84"/>
  <c r="AL177" i="84"/>
  <c r="AL176" i="84"/>
  <c r="AL175" i="84"/>
  <c r="AL174" i="84"/>
  <c r="AL173" i="84"/>
  <c r="AL172" i="84"/>
  <c r="AL171" i="84"/>
  <c r="AL170" i="84"/>
  <c r="AL169" i="84"/>
  <c r="AL168" i="84"/>
  <c r="AL225" i="84"/>
  <c r="AL224" i="84"/>
  <c r="AL223" i="84"/>
  <c r="AL222" i="84"/>
  <c r="AL221" i="84"/>
  <c r="AL220" i="84"/>
  <c r="AL219" i="84"/>
  <c r="AL218" i="84"/>
  <c r="AL217" i="84"/>
  <c r="AL216" i="84"/>
  <c r="AL215" i="84"/>
  <c r="AL214" i="84"/>
  <c r="AL213" i="84"/>
  <c r="AU172" i="84"/>
  <c r="AY172" i="84" s="1"/>
  <c r="AY203" i="84"/>
  <c r="AY209" i="84"/>
  <c r="AU217" i="84"/>
  <c r="AY217" i="84" s="1"/>
  <c r="AU215" i="84"/>
  <c r="AY215" i="84" s="1"/>
  <c r="AY222" i="84"/>
  <c r="AY206" i="84"/>
  <c r="AV211" i="84"/>
  <c r="AU166" i="84"/>
  <c r="AY166" i="84" s="1"/>
  <c r="Q81" i="72"/>
  <c r="R84" i="84" s="1"/>
  <c r="AG84" i="84" s="1"/>
  <c r="W81" i="72"/>
  <c r="V86" i="72"/>
  <c r="P86" i="72"/>
  <c r="Q89" i="84" s="1"/>
  <c r="AF89" i="84" s="1"/>
  <c r="V121" i="72"/>
  <c r="P121" i="72"/>
  <c r="Q124" i="84" s="1"/>
  <c r="AF124" i="84" s="1"/>
  <c r="Q125" i="72"/>
  <c r="R128" i="84" s="1"/>
  <c r="AG128" i="84" s="1"/>
  <c r="W125" i="72"/>
  <c r="W174" i="72"/>
  <c r="Q174" i="72"/>
  <c r="R177" i="84" s="1"/>
  <c r="AG177" i="84" s="1"/>
  <c r="P167" i="72"/>
  <c r="Q170" i="84" s="1"/>
  <c r="AF170" i="84" s="1"/>
  <c r="V167" i="72"/>
  <c r="W214" i="72"/>
  <c r="Q214" i="72"/>
  <c r="R217" i="84" s="1"/>
  <c r="AG217" i="84" s="1"/>
  <c r="V215" i="72"/>
  <c r="P215" i="72"/>
  <c r="Q218" i="84" s="1"/>
  <c r="AF218" i="84" s="1"/>
  <c r="P79" i="72"/>
  <c r="Q82" i="84" s="1"/>
  <c r="AF82" i="84" s="1"/>
  <c r="V79" i="72"/>
  <c r="P120" i="72"/>
  <c r="Q123" i="84" s="1"/>
  <c r="AF123" i="84" s="1"/>
  <c r="V120" i="72"/>
  <c r="W124" i="72"/>
  <c r="Q124" i="72"/>
  <c r="R127" i="84" s="1"/>
  <c r="AG127" i="84" s="1"/>
  <c r="W173" i="72"/>
  <c r="Q173" i="72"/>
  <c r="R176" i="84" s="1"/>
  <c r="AG176" i="84" s="1"/>
  <c r="V172" i="72"/>
  <c r="P172" i="72"/>
  <c r="Q175" i="84" s="1"/>
  <c r="AF175" i="84" s="1"/>
  <c r="Q213" i="72"/>
  <c r="R216" i="84" s="1"/>
  <c r="AG216" i="84" s="1"/>
  <c r="W213" i="72"/>
  <c r="P214" i="72"/>
  <c r="Q217" i="84" s="1"/>
  <c r="AF217" i="84" s="1"/>
  <c r="V214" i="72"/>
  <c r="P78" i="72"/>
  <c r="Q81" i="84" s="1"/>
  <c r="AF81" i="84" s="1"/>
  <c r="V78" i="72"/>
  <c r="V125" i="72"/>
  <c r="P125" i="72"/>
  <c r="Q128" i="84" s="1"/>
  <c r="AF128" i="84" s="1"/>
  <c r="Q123" i="72"/>
  <c r="R126" i="84" s="1"/>
  <c r="AG126" i="84" s="1"/>
  <c r="W123" i="72"/>
  <c r="Q172" i="72"/>
  <c r="R175" i="84" s="1"/>
  <c r="AG175" i="84" s="1"/>
  <c r="W172" i="72"/>
  <c r="V171" i="72"/>
  <c r="P171" i="72"/>
  <c r="Q174" i="84" s="1"/>
  <c r="AF174" i="84" s="1"/>
  <c r="W212" i="72"/>
  <c r="Q212" i="72"/>
  <c r="R215" i="84" s="1"/>
  <c r="AG215" i="84" s="1"/>
  <c r="V213" i="72"/>
  <c r="P213" i="72"/>
  <c r="Q216" i="84" s="1"/>
  <c r="AF216" i="84" s="1"/>
  <c r="Q78" i="72"/>
  <c r="R81" i="84" s="1"/>
  <c r="AG81" i="84" s="1"/>
  <c r="W78" i="72"/>
  <c r="V83" i="72"/>
  <c r="P83" i="72"/>
  <c r="Q86" i="84" s="1"/>
  <c r="AF86" i="84" s="1"/>
  <c r="V131" i="72"/>
  <c r="P131" i="72"/>
  <c r="Q134" i="84" s="1"/>
  <c r="AF134" i="84" s="1"/>
  <c r="P132" i="72"/>
  <c r="Q135" i="84" s="1"/>
  <c r="V132" i="72"/>
  <c r="W122" i="72"/>
  <c r="Q122" i="72"/>
  <c r="R125" i="84" s="1"/>
  <c r="AG125" i="84" s="1"/>
  <c r="W165" i="72"/>
  <c r="Q165" i="72"/>
  <c r="R168" i="84" s="1"/>
  <c r="AG168" i="84" s="1"/>
  <c r="V176" i="72"/>
  <c r="P176" i="72"/>
  <c r="Q179" i="84" s="1"/>
  <c r="AF179" i="84" s="1"/>
  <c r="W217" i="72"/>
  <c r="Q217" i="72"/>
  <c r="R220" i="84" s="1"/>
  <c r="AG220" i="84" s="1"/>
  <c r="V218" i="72"/>
  <c r="P218" i="72"/>
  <c r="Q221" i="84" s="1"/>
  <c r="AF221" i="84" s="1"/>
  <c r="W83" i="72"/>
  <c r="Q83" i="72"/>
  <c r="R86" i="84" s="1"/>
  <c r="AG86" i="84" s="1"/>
  <c r="W77" i="72"/>
  <c r="Q77" i="72"/>
  <c r="R80" i="84" s="1"/>
  <c r="AG80" i="84" s="1"/>
  <c r="P82" i="72"/>
  <c r="Q85" i="84" s="1"/>
  <c r="AF85" i="84" s="1"/>
  <c r="V82" i="72"/>
  <c r="P76" i="72"/>
  <c r="Q79" i="84" s="1"/>
  <c r="AF79" i="84" s="1"/>
  <c r="V76" i="72"/>
  <c r="V130" i="72"/>
  <c r="P130" i="72"/>
  <c r="Q133" i="84" s="1"/>
  <c r="AF133" i="84" s="1"/>
  <c r="P123" i="72"/>
  <c r="Q126" i="84" s="1"/>
  <c r="AF126" i="84" s="1"/>
  <c r="V123" i="72"/>
  <c r="V128" i="72"/>
  <c r="P128" i="72"/>
  <c r="Q131" i="84" s="1"/>
  <c r="AF131" i="84" s="1"/>
  <c r="W127" i="72"/>
  <c r="Q127" i="72"/>
  <c r="R130" i="84" s="1"/>
  <c r="AG130" i="84" s="1"/>
  <c r="W121" i="72"/>
  <c r="Q121" i="72"/>
  <c r="R124" i="84" s="1"/>
  <c r="AG124" i="84" s="1"/>
  <c r="Q177" i="72"/>
  <c r="R180" i="84" s="1"/>
  <c r="AG180" i="84" s="1"/>
  <c r="W177" i="72"/>
  <c r="Q170" i="72"/>
  <c r="R173" i="84" s="1"/>
  <c r="AG173" i="84" s="1"/>
  <c r="W170" i="72"/>
  <c r="P175" i="72"/>
  <c r="Q178" i="84" s="1"/>
  <c r="AF178" i="84" s="1"/>
  <c r="V175" i="72"/>
  <c r="V169" i="72"/>
  <c r="P169" i="72"/>
  <c r="Q172" i="84" s="1"/>
  <c r="AF172" i="84" s="1"/>
  <c r="Q222" i="72"/>
  <c r="R225" i="84" s="1"/>
  <c r="AG225" i="84" s="1"/>
  <c r="W222" i="72"/>
  <c r="Q216" i="72"/>
  <c r="R219" i="84" s="1"/>
  <c r="AG219" i="84" s="1"/>
  <c r="W216" i="72"/>
  <c r="Q210" i="72"/>
  <c r="R213" i="84" s="1"/>
  <c r="AG213" i="84" s="1"/>
  <c r="W210" i="72"/>
  <c r="P217" i="72"/>
  <c r="Q220" i="84" s="1"/>
  <c r="AF220" i="84" s="1"/>
  <c r="V217" i="72"/>
  <c r="P211" i="72"/>
  <c r="Q214" i="84" s="1"/>
  <c r="AF214" i="84" s="1"/>
  <c r="V211" i="72"/>
  <c r="Q87" i="72"/>
  <c r="R90" i="84" s="1"/>
  <c r="AG90" i="84" s="1"/>
  <c r="W87" i="72"/>
  <c r="Q75" i="72"/>
  <c r="R78" i="84" s="1"/>
  <c r="AG78" i="84" s="1"/>
  <c r="W75" i="72"/>
  <c r="V80" i="72"/>
  <c r="P80" i="72"/>
  <c r="Q83" i="84" s="1"/>
  <c r="AF83" i="84" s="1"/>
  <c r="V127" i="72"/>
  <c r="P127" i="72"/>
  <c r="Q130" i="84" s="1"/>
  <c r="AF130" i="84" s="1"/>
  <c r="W131" i="72"/>
  <c r="Q131" i="72"/>
  <c r="R134" i="84" s="1"/>
  <c r="AG134" i="84" s="1"/>
  <c r="W168" i="72"/>
  <c r="Q168" i="72"/>
  <c r="R171" i="84" s="1"/>
  <c r="AG171" i="84" s="1"/>
  <c r="P173" i="72"/>
  <c r="Q176" i="84" s="1"/>
  <c r="AF176" i="84" s="1"/>
  <c r="V173" i="72"/>
  <c r="W220" i="72"/>
  <c r="Q220" i="72"/>
  <c r="R223" i="84" s="1"/>
  <c r="AG223" i="84" s="1"/>
  <c r="V221" i="72"/>
  <c r="P221" i="72"/>
  <c r="Q224" i="84" s="1"/>
  <c r="AF224" i="84" s="1"/>
  <c r="W86" i="72"/>
  <c r="Q86" i="72"/>
  <c r="R89" i="84" s="1"/>
  <c r="AG89" i="84" s="1"/>
  <c r="Q80" i="72"/>
  <c r="R83" i="84" s="1"/>
  <c r="AG83" i="84" s="1"/>
  <c r="W80" i="72"/>
  <c r="P85" i="72"/>
  <c r="Q88" i="84" s="1"/>
  <c r="AF88" i="84" s="1"/>
  <c r="V85" i="72"/>
  <c r="P126" i="72"/>
  <c r="Q129" i="84" s="1"/>
  <c r="AF129" i="84" s="1"/>
  <c r="V126" i="72"/>
  <c r="W130" i="72"/>
  <c r="Q130" i="72"/>
  <c r="R133" i="84" s="1"/>
  <c r="AG133" i="84" s="1"/>
  <c r="Q167" i="72"/>
  <c r="R170" i="84" s="1"/>
  <c r="AG170" i="84" s="1"/>
  <c r="W167" i="72"/>
  <c r="W176" i="72"/>
  <c r="Q176" i="72"/>
  <c r="R179" i="84" s="1"/>
  <c r="AG179" i="84" s="1"/>
  <c r="V166" i="72"/>
  <c r="P166" i="72"/>
  <c r="Q169" i="84" s="1"/>
  <c r="AF169" i="84" s="1"/>
  <c r="Q219" i="72"/>
  <c r="R222" i="84" s="1"/>
  <c r="AG222" i="84" s="1"/>
  <c r="W219" i="72"/>
  <c r="P220" i="72"/>
  <c r="Q223" i="84" s="1"/>
  <c r="AF223" i="84" s="1"/>
  <c r="V220" i="72"/>
  <c r="W85" i="72"/>
  <c r="Q85" i="72"/>
  <c r="R88" i="84" s="1"/>
  <c r="AG88" i="84" s="1"/>
  <c r="W79" i="72"/>
  <c r="Q79" i="72"/>
  <c r="R82" i="84" s="1"/>
  <c r="AG82" i="84" s="1"/>
  <c r="P84" i="72"/>
  <c r="Q87" i="84" s="1"/>
  <c r="AF87" i="84" s="1"/>
  <c r="V84" i="72"/>
  <c r="Q129" i="72"/>
  <c r="R132" i="84" s="1"/>
  <c r="AG132" i="84" s="1"/>
  <c r="W129" i="72"/>
  <c r="W166" i="72"/>
  <c r="Q166" i="72"/>
  <c r="R169" i="84" s="1"/>
  <c r="AG169" i="84" s="1"/>
  <c r="P177" i="72"/>
  <c r="Q180" i="84" s="1"/>
  <c r="AF180" i="84" s="1"/>
  <c r="V177" i="72"/>
  <c r="P165" i="72"/>
  <c r="Q168" i="84" s="1"/>
  <c r="AF168" i="84" s="1"/>
  <c r="V165" i="72"/>
  <c r="W218" i="72"/>
  <c r="Q218" i="72"/>
  <c r="R221" i="84" s="1"/>
  <c r="AG221" i="84" s="1"/>
  <c r="V219" i="72"/>
  <c r="P219" i="72"/>
  <c r="Q222" i="84" s="1"/>
  <c r="AF222" i="84" s="1"/>
  <c r="Q84" i="72"/>
  <c r="R87" i="84" s="1"/>
  <c r="AG87" i="84" s="1"/>
  <c r="W84" i="72"/>
  <c r="V77" i="72"/>
  <c r="P77" i="72"/>
  <c r="Q80" i="84" s="1"/>
  <c r="AF80" i="84" s="1"/>
  <c r="V124" i="72"/>
  <c r="P124" i="72"/>
  <c r="Q127" i="84" s="1"/>
  <c r="AF127" i="84" s="1"/>
  <c r="W128" i="72"/>
  <c r="Q128" i="72"/>
  <c r="R131" i="84" s="1"/>
  <c r="AG131" i="84" s="1"/>
  <c r="W171" i="72"/>
  <c r="Q171" i="72"/>
  <c r="R174" i="84" s="1"/>
  <c r="AG174" i="84" s="1"/>
  <c r="P170" i="72"/>
  <c r="Q173" i="84" s="1"/>
  <c r="AF173" i="84" s="1"/>
  <c r="V170" i="72"/>
  <c r="W211" i="72"/>
  <c r="Q211" i="72"/>
  <c r="R214" i="84" s="1"/>
  <c r="AG214" i="84" s="1"/>
  <c r="V212" i="72"/>
  <c r="P212" i="72"/>
  <c r="Q215" i="84" s="1"/>
  <c r="AF215" i="84" s="1"/>
  <c r="W82" i="72"/>
  <c r="Q82" i="72"/>
  <c r="R85" i="84" s="1"/>
  <c r="AG85" i="84" s="1"/>
  <c r="W76" i="72"/>
  <c r="Q76" i="72"/>
  <c r="R79" i="84" s="1"/>
  <c r="AG79" i="84" s="1"/>
  <c r="P87" i="72"/>
  <c r="Q90" i="84" s="1"/>
  <c r="AF90" i="84" s="1"/>
  <c r="V87" i="72"/>
  <c r="P81" i="72"/>
  <c r="Q84" i="84" s="1"/>
  <c r="AF84" i="84" s="1"/>
  <c r="V81" i="72"/>
  <c r="P75" i="72"/>
  <c r="Q78" i="84" s="1"/>
  <c r="AF78" i="84" s="1"/>
  <c r="V75" i="72"/>
  <c r="P129" i="72"/>
  <c r="Q132" i="84" s="1"/>
  <c r="AF132" i="84" s="1"/>
  <c r="V129" i="72"/>
  <c r="V122" i="72"/>
  <c r="P122" i="72"/>
  <c r="Q125" i="84" s="1"/>
  <c r="AF125" i="84" s="1"/>
  <c r="Q132" i="72"/>
  <c r="R135" i="84" s="1"/>
  <c r="W132" i="72"/>
  <c r="Q126" i="72"/>
  <c r="R129" i="84" s="1"/>
  <c r="AG129" i="84" s="1"/>
  <c r="W126" i="72"/>
  <c r="Q120" i="72"/>
  <c r="R123" i="84" s="1"/>
  <c r="AG123" i="84" s="1"/>
  <c r="W120" i="72"/>
  <c r="W175" i="72"/>
  <c r="Q175" i="72"/>
  <c r="R178" i="84" s="1"/>
  <c r="AG178" i="84" s="1"/>
  <c r="Q169" i="72"/>
  <c r="R172" i="84" s="1"/>
  <c r="AG172" i="84" s="1"/>
  <c r="W169" i="72"/>
  <c r="V174" i="72"/>
  <c r="P174" i="72"/>
  <c r="Q177" i="84" s="1"/>
  <c r="AF177" i="84" s="1"/>
  <c r="V168" i="72"/>
  <c r="P168" i="72"/>
  <c r="Q171" i="84" s="1"/>
  <c r="AF171" i="84" s="1"/>
  <c r="W221" i="72"/>
  <c r="Q221" i="72"/>
  <c r="R224" i="84" s="1"/>
  <c r="AG224" i="84" s="1"/>
  <c r="W215" i="72"/>
  <c r="Q215" i="72"/>
  <c r="R218" i="84" s="1"/>
  <c r="AG218" i="84" s="1"/>
  <c r="P222" i="72"/>
  <c r="Q225" i="84" s="1"/>
  <c r="AF225" i="84" s="1"/>
  <c r="V222" i="72"/>
  <c r="V216" i="72"/>
  <c r="P216" i="72"/>
  <c r="Q219" i="84" s="1"/>
  <c r="AF219" i="84" s="1"/>
  <c r="P210" i="72"/>
  <c r="Q213" i="84" s="1"/>
  <c r="AF213" i="84" s="1"/>
  <c r="V210" i="72"/>
  <c r="AA84" i="70"/>
  <c r="AT87" i="87" s="1"/>
  <c r="AG84" i="70"/>
  <c r="AS84" i="70"/>
  <c r="AM84" i="70"/>
  <c r="AN77" i="70"/>
  <c r="AB77" i="70"/>
  <c r="AU80" i="87" s="1"/>
  <c r="AH77" i="70"/>
  <c r="AT77" i="70"/>
  <c r="AQ120" i="70"/>
  <c r="AE120" i="70"/>
  <c r="Y120" i="70"/>
  <c r="AR123" i="87" s="1"/>
  <c r="AK120" i="70"/>
  <c r="Z171" i="70"/>
  <c r="AS174" i="87" s="1"/>
  <c r="AF171" i="70"/>
  <c r="AL171" i="70"/>
  <c r="AR171" i="70"/>
  <c r="AS222" i="70"/>
  <c r="AM222" i="70"/>
  <c r="AA222" i="70"/>
  <c r="AT225" i="87" s="1"/>
  <c r="AG222" i="70"/>
  <c r="AH215" i="70"/>
  <c r="AT215" i="70"/>
  <c r="AB215" i="70"/>
  <c r="AU218" i="87" s="1"/>
  <c r="AN215" i="70"/>
  <c r="Z85" i="70"/>
  <c r="AS88" i="87" s="1"/>
  <c r="AL85" i="70"/>
  <c r="AF85" i="70"/>
  <c r="AR85" i="70"/>
  <c r="AM78" i="70"/>
  <c r="AA78" i="70"/>
  <c r="AT81" i="87" s="1"/>
  <c r="AG78" i="70"/>
  <c r="AS78" i="70"/>
  <c r="AT129" i="70"/>
  <c r="AN129" i="70"/>
  <c r="AB129" i="70"/>
  <c r="AU132" i="87" s="1"/>
  <c r="AH129" i="70"/>
  <c r="Y172" i="70"/>
  <c r="AR175" i="87" s="1"/>
  <c r="AQ172" i="70"/>
  <c r="AK172" i="70"/>
  <c r="AE172" i="70"/>
  <c r="AL165" i="70"/>
  <c r="AR165" i="70"/>
  <c r="AF165" i="70"/>
  <c r="Z165" i="70"/>
  <c r="AS168" i="87" s="1"/>
  <c r="AG216" i="70"/>
  <c r="AS216" i="70"/>
  <c r="AA216" i="70"/>
  <c r="AT219" i="87" s="1"/>
  <c r="AM216" i="70"/>
  <c r="Y86" i="70"/>
  <c r="AR89" i="87" s="1"/>
  <c r="AK86" i="70"/>
  <c r="AE86" i="70"/>
  <c r="AQ86" i="70"/>
  <c r="AL79" i="70"/>
  <c r="Z79" i="70"/>
  <c r="AS82" i="87" s="1"/>
  <c r="AF79" i="70"/>
  <c r="AR79" i="70"/>
  <c r="AS130" i="70"/>
  <c r="AM130" i="70"/>
  <c r="AA130" i="70"/>
  <c r="AT133" i="87" s="1"/>
  <c r="AG130" i="70"/>
  <c r="AH123" i="70"/>
  <c r="AT123" i="70"/>
  <c r="AN123" i="70"/>
  <c r="AB123" i="70"/>
  <c r="AU126" i="87" s="1"/>
  <c r="AK166" i="70"/>
  <c r="AE166" i="70"/>
  <c r="Y166" i="70"/>
  <c r="AR169" i="87" s="1"/>
  <c r="AQ166" i="70"/>
  <c r="Z217" i="70"/>
  <c r="AS220" i="87" s="1"/>
  <c r="AR217" i="70"/>
  <c r="AL217" i="70"/>
  <c r="AF217" i="70"/>
  <c r="AS210" i="70"/>
  <c r="AG210" i="70"/>
  <c r="AA210" i="70"/>
  <c r="AT213" i="87" s="1"/>
  <c r="AM210" i="70"/>
  <c r="AK80" i="70"/>
  <c r="Y80" i="70"/>
  <c r="AR83" i="87" s="1"/>
  <c r="AQ80" i="70"/>
  <c r="AE80" i="70"/>
  <c r="AR131" i="70"/>
  <c r="AL131" i="70"/>
  <c r="Z131" i="70"/>
  <c r="AS134" i="87" s="1"/>
  <c r="AF131" i="70"/>
  <c r="AG124" i="70"/>
  <c r="AA124" i="70"/>
  <c r="AT127" i="87" s="1"/>
  <c r="AS124" i="70"/>
  <c r="AM124" i="70"/>
  <c r="AB175" i="70"/>
  <c r="AU178" i="87" s="1"/>
  <c r="AT175" i="70"/>
  <c r="AH175" i="70"/>
  <c r="AN175" i="70"/>
  <c r="AQ218" i="70"/>
  <c r="Y218" i="70"/>
  <c r="AR221" i="87" s="1"/>
  <c r="AK218" i="70"/>
  <c r="AE218" i="70"/>
  <c r="AF211" i="70"/>
  <c r="Z211" i="70"/>
  <c r="AS214" i="87" s="1"/>
  <c r="AR211" i="70"/>
  <c r="AL211" i="70"/>
  <c r="AQ132" i="70"/>
  <c r="AK132" i="70"/>
  <c r="AE132" i="70"/>
  <c r="Y132" i="70"/>
  <c r="AR135" i="87" s="1"/>
  <c r="AF125" i="70"/>
  <c r="Z125" i="70"/>
  <c r="AS128" i="87" s="1"/>
  <c r="AR125" i="70"/>
  <c r="AL125" i="70"/>
  <c r="AG176" i="70"/>
  <c r="AM176" i="70"/>
  <c r="AA176" i="70"/>
  <c r="AT179" i="87" s="1"/>
  <c r="AS176" i="70"/>
  <c r="AN169" i="70"/>
  <c r="AH169" i="70"/>
  <c r="AB169" i="70"/>
  <c r="AU172" i="87" s="1"/>
  <c r="AT169" i="70"/>
  <c r="AE212" i="70"/>
  <c r="AK212" i="70"/>
  <c r="AQ212" i="70"/>
  <c r="Y212" i="70"/>
  <c r="AR215" i="87" s="1"/>
  <c r="AB83" i="70"/>
  <c r="AU86" i="87" s="1"/>
  <c r="AT83" i="70"/>
  <c r="AH83" i="70"/>
  <c r="AN83" i="70"/>
  <c r="AE126" i="70"/>
  <c r="AK126" i="70"/>
  <c r="Y126" i="70"/>
  <c r="AR129" i="87" s="1"/>
  <c r="AQ126" i="70"/>
  <c r="AF177" i="70"/>
  <c r="AL177" i="70"/>
  <c r="Z177" i="70"/>
  <c r="AS180" i="87" s="1"/>
  <c r="AR177" i="70"/>
  <c r="AM170" i="70"/>
  <c r="AG170" i="70"/>
  <c r="AA170" i="70"/>
  <c r="AT173" i="87" s="1"/>
  <c r="AS170" i="70"/>
  <c r="AT221" i="70"/>
  <c r="AN221" i="70"/>
  <c r="AB221" i="70"/>
  <c r="AU224" i="87" s="1"/>
  <c r="AH221" i="70"/>
  <c r="AQ85" i="70"/>
  <c r="Y85" i="70"/>
  <c r="AR88" i="87" s="1"/>
  <c r="AK85" i="70"/>
  <c r="AE85" i="70"/>
  <c r="AR84" i="70"/>
  <c r="AL84" i="70"/>
  <c r="AF84" i="70"/>
  <c r="Z84" i="70"/>
  <c r="AS87" i="87" s="1"/>
  <c r="AS83" i="70"/>
  <c r="AM83" i="70"/>
  <c r="AG83" i="70"/>
  <c r="AA83" i="70"/>
  <c r="AT86" i="87" s="1"/>
  <c r="AN82" i="70"/>
  <c r="AB82" i="70"/>
  <c r="AU85" i="87" s="1"/>
  <c r="AT82" i="70"/>
  <c r="AH82" i="70"/>
  <c r="AE79" i="70"/>
  <c r="AK79" i="70"/>
  <c r="Y79" i="70"/>
  <c r="AR82" i="87" s="1"/>
  <c r="AQ79" i="70"/>
  <c r="AF78" i="70"/>
  <c r="AL78" i="70"/>
  <c r="Z78" i="70"/>
  <c r="AS81" i="87" s="1"/>
  <c r="AR78" i="70"/>
  <c r="AG77" i="70"/>
  <c r="AM77" i="70"/>
  <c r="AA77" i="70"/>
  <c r="AT80" i="87" s="1"/>
  <c r="AS77" i="70"/>
  <c r="AB76" i="70"/>
  <c r="AU79" i="87" s="1"/>
  <c r="AH76" i="70"/>
  <c r="AN76" i="70"/>
  <c r="AT76" i="70"/>
  <c r="AK131" i="70"/>
  <c r="AE131" i="70"/>
  <c r="AQ131" i="70"/>
  <c r="Y131" i="70"/>
  <c r="AR134" i="87" s="1"/>
  <c r="AL130" i="70"/>
  <c r="AF130" i="70"/>
  <c r="AR130" i="70"/>
  <c r="Z130" i="70"/>
  <c r="AS133" i="87" s="1"/>
  <c r="AM129" i="70"/>
  <c r="AG129" i="70"/>
  <c r="AS129" i="70"/>
  <c r="AA129" i="70"/>
  <c r="AT132" i="87" s="1"/>
  <c r="AN128" i="70"/>
  <c r="AH128" i="70"/>
  <c r="AB128" i="70"/>
  <c r="AU131" i="87" s="1"/>
  <c r="AT128" i="70"/>
  <c r="Y125" i="70"/>
  <c r="AR128" i="87" s="1"/>
  <c r="AQ125" i="70"/>
  <c r="AK125" i="70"/>
  <c r="AE125" i="70"/>
  <c r="Z124" i="70"/>
  <c r="AS127" i="87" s="1"/>
  <c r="AR124" i="70"/>
  <c r="AL124" i="70"/>
  <c r="AF124" i="70"/>
  <c r="AA123" i="70"/>
  <c r="AT126" i="87" s="1"/>
  <c r="AS123" i="70"/>
  <c r="AG123" i="70"/>
  <c r="AM123" i="70"/>
  <c r="AB122" i="70"/>
  <c r="AU125" i="87" s="1"/>
  <c r="AT122" i="70"/>
  <c r="AH122" i="70"/>
  <c r="AN122" i="70"/>
  <c r="Y177" i="70"/>
  <c r="AR180" i="87" s="1"/>
  <c r="AQ177" i="70"/>
  <c r="AK177" i="70"/>
  <c r="AE177" i="70"/>
  <c r="AR176" i="70"/>
  <c r="AL176" i="70"/>
  <c r="AF176" i="70"/>
  <c r="Z176" i="70"/>
  <c r="AS179" i="87" s="1"/>
  <c r="AS175" i="70"/>
  <c r="AG175" i="70"/>
  <c r="AA175" i="70"/>
  <c r="AT178" i="87" s="1"/>
  <c r="AM175" i="70"/>
  <c r="AT174" i="70"/>
  <c r="AB174" i="70"/>
  <c r="AU177" i="87" s="1"/>
  <c r="AN174" i="70"/>
  <c r="AH174" i="70"/>
  <c r="Y171" i="70"/>
  <c r="AR174" i="87" s="1"/>
  <c r="AE171" i="70"/>
  <c r="AK171" i="70"/>
  <c r="AQ171" i="70"/>
  <c r="AF170" i="70"/>
  <c r="Z170" i="70"/>
  <c r="AS173" i="87" s="1"/>
  <c r="AR170" i="70"/>
  <c r="AL170" i="70"/>
  <c r="AG169" i="70"/>
  <c r="AA169" i="70"/>
  <c r="AT172" i="87" s="1"/>
  <c r="AM169" i="70"/>
  <c r="AS169" i="70"/>
  <c r="AH168" i="70"/>
  <c r="AB168" i="70"/>
  <c r="AU171" i="87" s="1"/>
  <c r="AN168" i="70"/>
  <c r="AT168" i="70"/>
  <c r="AE165" i="70"/>
  <c r="AQ165" i="70"/>
  <c r="Y165" i="70"/>
  <c r="AR168" i="87" s="1"/>
  <c r="AK165" i="70"/>
  <c r="AR222" i="70"/>
  <c r="AL222" i="70"/>
  <c r="AF222" i="70"/>
  <c r="Z222" i="70"/>
  <c r="AS225" i="87" s="1"/>
  <c r="AS221" i="70"/>
  <c r="AM221" i="70"/>
  <c r="AG221" i="70"/>
  <c r="AA221" i="70"/>
  <c r="AT224" i="87" s="1"/>
  <c r="AN220" i="70"/>
  <c r="AT220" i="70"/>
  <c r="AB220" i="70"/>
  <c r="AU223" i="87" s="1"/>
  <c r="AH220" i="70"/>
  <c r="Y217" i="70"/>
  <c r="AR220" i="87" s="1"/>
  <c r="AE217" i="70"/>
  <c r="AK217" i="70"/>
  <c r="AQ217" i="70"/>
  <c r="Z216" i="70"/>
  <c r="AS219" i="87" s="1"/>
  <c r="AL216" i="70"/>
  <c r="AF216" i="70"/>
  <c r="AR216" i="70"/>
  <c r="AA215" i="70"/>
  <c r="AT218" i="87" s="1"/>
  <c r="AG215" i="70"/>
  <c r="AS215" i="70"/>
  <c r="AM215" i="70"/>
  <c r="AB214" i="70"/>
  <c r="AU217" i="87" s="1"/>
  <c r="AH214" i="70"/>
  <c r="AT214" i="70"/>
  <c r="AN214" i="70"/>
  <c r="Y211" i="70"/>
  <c r="AR214" i="87" s="1"/>
  <c r="AE211" i="70"/>
  <c r="AK211" i="70"/>
  <c r="AQ211" i="70"/>
  <c r="AL210" i="70"/>
  <c r="Z210" i="70"/>
  <c r="AS213" i="87" s="1"/>
  <c r="AF210" i="70"/>
  <c r="AR210" i="70"/>
  <c r="AN87" i="70"/>
  <c r="AT87" i="70"/>
  <c r="AB87" i="70"/>
  <c r="AU90" i="87" s="1"/>
  <c r="AH87" i="70"/>
  <c r="AK84" i="70"/>
  <c r="AE84" i="70"/>
  <c r="Y84" i="70"/>
  <c r="AR87" i="87" s="1"/>
  <c r="AQ84" i="70"/>
  <c r="AL83" i="70"/>
  <c r="AF83" i="70"/>
  <c r="Z83" i="70"/>
  <c r="AS86" i="87" s="1"/>
  <c r="AR83" i="70"/>
  <c r="AA82" i="70"/>
  <c r="AT85" i="87" s="1"/>
  <c r="AG82" i="70"/>
  <c r="AM82" i="70"/>
  <c r="AS82" i="70"/>
  <c r="AB81" i="70"/>
  <c r="AU84" i="87" s="1"/>
  <c r="AT81" i="70"/>
  <c r="AN81" i="70"/>
  <c r="AH81" i="70"/>
  <c r="Y78" i="70"/>
  <c r="AR81" i="87" s="1"/>
  <c r="AQ78" i="70"/>
  <c r="AK78" i="70"/>
  <c r="AE78" i="70"/>
  <c r="Z77" i="70"/>
  <c r="AS80" i="87" s="1"/>
  <c r="AR77" i="70"/>
  <c r="AL77" i="70"/>
  <c r="AF77" i="70"/>
  <c r="AA76" i="70"/>
  <c r="AT79" i="87" s="1"/>
  <c r="AG76" i="70"/>
  <c r="AM76" i="70"/>
  <c r="AS76" i="70"/>
  <c r="AN75" i="70"/>
  <c r="AB75" i="70"/>
  <c r="AU78" i="87" s="1"/>
  <c r="AT75" i="70"/>
  <c r="AH75" i="70"/>
  <c r="AQ130" i="70"/>
  <c r="AE130" i="70"/>
  <c r="Y130" i="70"/>
  <c r="AR133" i="87" s="1"/>
  <c r="AK130" i="70"/>
  <c r="AR129" i="70"/>
  <c r="AF129" i="70"/>
  <c r="Z129" i="70"/>
  <c r="AS132" i="87" s="1"/>
  <c r="AL129" i="70"/>
  <c r="AS128" i="70"/>
  <c r="AG128" i="70"/>
  <c r="AA128" i="70"/>
  <c r="AT131" i="87" s="1"/>
  <c r="AM128" i="70"/>
  <c r="AH127" i="70"/>
  <c r="AT127" i="70"/>
  <c r="AB127" i="70"/>
  <c r="AU130" i="87" s="1"/>
  <c r="AN127" i="70"/>
  <c r="AQ124" i="70"/>
  <c r="AK124" i="70"/>
  <c r="AE124" i="70"/>
  <c r="Y124" i="70"/>
  <c r="AR127" i="87" s="1"/>
  <c r="AR123" i="70"/>
  <c r="AL123" i="70"/>
  <c r="AF123" i="70"/>
  <c r="Z123" i="70"/>
  <c r="AS126" i="87" s="1"/>
  <c r="AS122" i="70"/>
  <c r="AM122" i="70"/>
  <c r="AG122" i="70"/>
  <c r="AA122" i="70"/>
  <c r="AT125" i="87" s="1"/>
  <c r="AN121" i="70"/>
  <c r="AT121" i="70"/>
  <c r="AB121" i="70"/>
  <c r="AU124" i="87" s="1"/>
  <c r="AH121" i="70"/>
  <c r="AK176" i="70"/>
  <c r="Y176" i="70"/>
  <c r="AR179" i="87" s="1"/>
  <c r="AE176" i="70"/>
  <c r="AQ176" i="70"/>
  <c r="AL175" i="70"/>
  <c r="AR175" i="70"/>
  <c r="AF175" i="70"/>
  <c r="Z175" i="70"/>
  <c r="AS178" i="87" s="1"/>
  <c r="AM174" i="70"/>
  <c r="AS174" i="70"/>
  <c r="AG174" i="70"/>
  <c r="AA174" i="70"/>
  <c r="AT177" i="87" s="1"/>
  <c r="AN173" i="70"/>
  <c r="AB173" i="70"/>
  <c r="AU176" i="87" s="1"/>
  <c r="AT173" i="70"/>
  <c r="AH173" i="70"/>
  <c r="Y170" i="70"/>
  <c r="AR173" i="87" s="1"/>
  <c r="AQ170" i="70"/>
  <c r="AE170" i="70"/>
  <c r="AK170" i="70"/>
  <c r="Z169" i="70"/>
  <c r="AS172" i="87" s="1"/>
  <c r="AF169" i="70"/>
  <c r="AL169" i="70"/>
  <c r="AR169" i="70"/>
  <c r="AA168" i="70"/>
  <c r="AT171" i="87" s="1"/>
  <c r="AM168" i="70"/>
  <c r="AG168" i="70"/>
  <c r="AS168" i="70"/>
  <c r="AB167" i="70"/>
  <c r="AU170" i="87" s="1"/>
  <c r="AT167" i="70"/>
  <c r="AH167" i="70"/>
  <c r="AN167" i="70"/>
  <c r="AQ222" i="70"/>
  <c r="AK222" i="70"/>
  <c r="AE222" i="70"/>
  <c r="Y222" i="70"/>
  <c r="AR225" i="87" s="1"/>
  <c r="AR221" i="70"/>
  <c r="AL221" i="70"/>
  <c r="AF221" i="70"/>
  <c r="Z221" i="70"/>
  <c r="AS224" i="87" s="1"/>
  <c r="AG220" i="70"/>
  <c r="AS220" i="70"/>
  <c r="AA220" i="70"/>
  <c r="AT223" i="87" s="1"/>
  <c r="AM220" i="70"/>
  <c r="AT219" i="70"/>
  <c r="AH219" i="70"/>
  <c r="AB219" i="70"/>
  <c r="AU222" i="87" s="1"/>
  <c r="AN219" i="70"/>
  <c r="AQ216" i="70"/>
  <c r="Y216" i="70"/>
  <c r="AR219" i="87" s="1"/>
  <c r="AK216" i="70"/>
  <c r="AE216" i="70"/>
  <c r="AR215" i="70"/>
  <c r="Z215" i="70"/>
  <c r="AS218" i="87" s="1"/>
  <c r="AL215" i="70"/>
  <c r="AF215" i="70"/>
  <c r="AS214" i="70"/>
  <c r="AG214" i="70"/>
  <c r="AA214" i="70"/>
  <c r="AT217" i="87" s="1"/>
  <c r="AM214" i="70"/>
  <c r="AT213" i="70"/>
  <c r="AB213" i="70"/>
  <c r="AU216" i="87" s="1"/>
  <c r="AN213" i="70"/>
  <c r="AH213" i="70"/>
  <c r="AE210" i="70"/>
  <c r="Y210" i="70"/>
  <c r="AR213" i="87" s="1"/>
  <c r="AQ210" i="70"/>
  <c r="AK210" i="70"/>
  <c r="AS87" i="70"/>
  <c r="AG87" i="70"/>
  <c r="AA87" i="70"/>
  <c r="AT90" i="87" s="1"/>
  <c r="AM87" i="70"/>
  <c r="AT86" i="70"/>
  <c r="AH86" i="70"/>
  <c r="AN86" i="70"/>
  <c r="AB86" i="70"/>
  <c r="AU89" i="87" s="1"/>
  <c r="AQ83" i="70"/>
  <c r="AE83" i="70"/>
  <c r="Y83" i="70"/>
  <c r="AR86" i="87" s="1"/>
  <c r="AK83" i="70"/>
  <c r="Z82" i="70"/>
  <c r="AS85" i="87" s="1"/>
  <c r="AL82" i="70"/>
  <c r="AF82" i="70"/>
  <c r="AR82" i="70"/>
  <c r="AS81" i="70"/>
  <c r="AM81" i="70"/>
  <c r="AA81" i="70"/>
  <c r="AT84" i="87" s="1"/>
  <c r="AG81" i="70"/>
  <c r="AT80" i="70"/>
  <c r="AN80" i="70"/>
  <c r="AB80" i="70"/>
  <c r="AU83" i="87" s="1"/>
  <c r="AH80" i="70"/>
  <c r="AQ77" i="70"/>
  <c r="AK77" i="70"/>
  <c r="AE77" i="70"/>
  <c r="Y77" i="70"/>
  <c r="AR80" i="87" s="1"/>
  <c r="AR76" i="70"/>
  <c r="AF76" i="70"/>
  <c r="Z76" i="70"/>
  <c r="AS79" i="87" s="1"/>
  <c r="AL76" i="70"/>
  <c r="AG75" i="70"/>
  <c r="AM75" i="70"/>
  <c r="AS75" i="70"/>
  <c r="AA75" i="70"/>
  <c r="AT78" i="87" s="1"/>
  <c r="AN132" i="70"/>
  <c r="AB132" i="70"/>
  <c r="AU135" i="87" s="1"/>
  <c r="AT132" i="70"/>
  <c r="AH132" i="70"/>
  <c r="AK129" i="70"/>
  <c r="Y129" i="70"/>
  <c r="AR132" i="87" s="1"/>
  <c r="AE129" i="70"/>
  <c r="AQ129" i="70"/>
  <c r="AL128" i="70"/>
  <c r="Z128" i="70"/>
  <c r="AS131" i="87" s="1"/>
  <c r="AR128" i="70"/>
  <c r="AF128" i="70"/>
  <c r="AG127" i="70"/>
  <c r="AS127" i="70"/>
  <c r="AA127" i="70"/>
  <c r="AT130" i="87" s="1"/>
  <c r="AM127" i="70"/>
  <c r="AN126" i="70"/>
  <c r="AH126" i="70"/>
  <c r="AT126" i="70"/>
  <c r="AB126" i="70"/>
  <c r="AU129" i="87" s="1"/>
  <c r="AK123" i="70"/>
  <c r="AE123" i="70"/>
  <c r="Y123" i="70"/>
  <c r="AR126" i="87" s="1"/>
  <c r="AQ123" i="70"/>
  <c r="AL122" i="70"/>
  <c r="AF122" i="70"/>
  <c r="AR122" i="70"/>
  <c r="Z122" i="70"/>
  <c r="AS125" i="87" s="1"/>
  <c r="AA121" i="70"/>
  <c r="AT124" i="87" s="1"/>
  <c r="AG121" i="70"/>
  <c r="AM121" i="70"/>
  <c r="AS121" i="70"/>
  <c r="AB120" i="70"/>
  <c r="AU123" i="87" s="1"/>
  <c r="AT120" i="70"/>
  <c r="AN120" i="70"/>
  <c r="AH120" i="70"/>
  <c r="AE175" i="70"/>
  <c r="Y175" i="70"/>
  <c r="AR178" i="87" s="1"/>
  <c r="AK175" i="70"/>
  <c r="AQ175" i="70"/>
  <c r="AF174" i="70"/>
  <c r="Z174" i="70"/>
  <c r="AS177" i="87" s="1"/>
  <c r="AL174" i="70"/>
  <c r="AR174" i="70"/>
  <c r="AG173" i="70"/>
  <c r="AA173" i="70"/>
  <c r="AT176" i="87" s="1"/>
  <c r="AS173" i="70"/>
  <c r="AM173" i="70"/>
  <c r="AH172" i="70"/>
  <c r="AT172" i="70"/>
  <c r="AN172" i="70"/>
  <c r="AB172" i="70"/>
  <c r="AU175" i="87" s="1"/>
  <c r="AQ169" i="70"/>
  <c r="AE169" i="70"/>
  <c r="AK169" i="70"/>
  <c r="Y169" i="70"/>
  <c r="AR172" i="87" s="1"/>
  <c r="AR168" i="70"/>
  <c r="AL168" i="70"/>
  <c r="AF168" i="70"/>
  <c r="Z168" i="70"/>
  <c r="AS171" i="87" s="1"/>
  <c r="AS167" i="70"/>
  <c r="AM167" i="70"/>
  <c r="AA167" i="70"/>
  <c r="AT170" i="87" s="1"/>
  <c r="AG167" i="70"/>
  <c r="AT166" i="70"/>
  <c r="AN166" i="70"/>
  <c r="AB166" i="70"/>
  <c r="AU169" i="87" s="1"/>
  <c r="AH166" i="70"/>
  <c r="AK221" i="70"/>
  <c r="AE221" i="70"/>
  <c r="Y221" i="70"/>
  <c r="AR224" i="87" s="1"/>
  <c r="AQ221" i="70"/>
  <c r="AL220" i="70"/>
  <c r="Z220" i="70"/>
  <c r="AS223" i="87" s="1"/>
  <c r="AR220" i="70"/>
  <c r="AF220" i="70"/>
  <c r="AM219" i="70"/>
  <c r="AA219" i="70"/>
  <c r="AT222" i="87" s="1"/>
  <c r="AS219" i="70"/>
  <c r="AG219" i="70"/>
  <c r="AN218" i="70"/>
  <c r="AB218" i="70"/>
  <c r="AU221" i="87" s="1"/>
  <c r="AH218" i="70"/>
  <c r="AT218" i="70"/>
  <c r="AK215" i="70"/>
  <c r="Y215" i="70"/>
  <c r="AR218" i="87" s="1"/>
  <c r="AE215" i="70"/>
  <c r="AQ215" i="70"/>
  <c r="AL214" i="70"/>
  <c r="AF214" i="70"/>
  <c r="AR214" i="70"/>
  <c r="Z214" i="70"/>
  <c r="AS217" i="87" s="1"/>
  <c r="AM213" i="70"/>
  <c r="AG213" i="70"/>
  <c r="AS213" i="70"/>
  <c r="AA213" i="70"/>
  <c r="AT216" i="87" s="1"/>
  <c r="AN212" i="70"/>
  <c r="AB212" i="70"/>
  <c r="AU215" i="87" s="1"/>
  <c r="AH212" i="70"/>
  <c r="AT212" i="70"/>
  <c r="AL87" i="70"/>
  <c r="Z87" i="70"/>
  <c r="AS90" i="87" s="1"/>
  <c r="AF87" i="70"/>
  <c r="AR87" i="70"/>
  <c r="AM86" i="70"/>
  <c r="AA86" i="70"/>
  <c r="AT89" i="87" s="1"/>
  <c r="AS86" i="70"/>
  <c r="AG86" i="70"/>
  <c r="AN85" i="70"/>
  <c r="AB85" i="70"/>
  <c r="AU88" i="87" s="1"/>
  <c r="AH85" i="70"/>
  <c r="AT85" i="70"/>
  <c r="AE82" i="70"/>
  <c r="AQ82" i="70"/>
  <c r="Y82" i="70"/>
  <c r="AR85" i="87" s="1"/>
  <c r="AK82" i="70"/>
  <c r="AL81" i="70"/>
  <c r="AF81" i="70"/>
  <c r="AR81" i="70"/>
  <c r="Z81" i="70"/>
  <c r="AS84" i="87" s="1"/>
  <c r="AM80" i="70"/>
  <c r="AG80" i="70"/>
  <c r="AS80" i="70"/>
  <c r="AA80" i="70"/>
  <c r="AT83" i="87" s="1"/>
  <c r="AN79" i="70"/>
  <c r="AH79" i="70"/>
  <c r="AT79" i="70"/>
  <c r="AB79" i="70"/>
  <c r="AU82" i="87" s="1"/>
  <c r="Y76" i="70"/>
  <c r="AR79" i="87" s="1"/>
  <c r="AE76" i="70"/>
  <c r="AK76" i="70"/>
  <c r="AQ76" i="70"/>
  <c r="Z75" i="70"/>
  <c r="AS78" i="87" s="1"/>
  <c r="AR75" i="70"/>
  <c r="AF75" i="70"/>
  <c r="AL75" i="70"/>
  <c r="AG132" i="70"/>
  <c r="AS132" i="70"/>
  <c r="AM132" i="70"/>
  <c r="AA132" i="70"/>
  <c r="AT135" i="87" s="1"/>
  <c r="AH131" i="70"/>
  <c r="AB131" i="70"/>
  <c r="AU134" i="87" s="1"/>
  <c r="AN131" i="70"/>
  <c r="AT131" i="70"/>
  <c r="AE128" i="70"/>
  <c r="Y128" i="70"/>
  <c r="AR131" i="87" s="1"/>
  <c r="AQ128" i="70"/>
  <c r="AK128" i="70"/>
  <c r="Z127" i="70"/>
  <c r="AS130" i="87" s="1"/>
  <c r="AF127" i="70"/>
  <c r="AL127" i="70"/>
  <c r="AR127" i="70"/>
  <c r="AS126" i="70"/>
  <c r="AG126" i="70"/>
  <c r="AA126" i="70"/>
  <c r="AT129" i="87" s="1"/>
  <c r="AM126" i="70"/>
  <c r="AT125" i="70"/>
  <c r="AH125" i="70"/>
  <c r="AB125" i="70"/>
  <c r="AU128" i="87" s="1"/>
  <c r="AN125" i="70"/>
  <c r="AQ122" i="70"/>
  <c r="AE122" i="70"/>
  <c r="Y122" i="70"/>
  <c r="AR125" i="87" s="1"/>
  <c r="AK122" i="70"/>
  <c r="Z121" i="70"/>
  <c r="AS124" i="87" s="1"/>
  <c r="AL121" i="70"/>
  <c r="AF121" i="70"/>
  <c r="AR121" i="70"/>
  <c r="AS120" i="70"/>
  <c r="AM120" i="70"/>
  <c r="AA120" i="70"/>
  <c r="AT123" i="87" s="1"/>
  <c r="AG120" i="70"/>
  <c r="AB177" i="70"/>
  <c r="AU180" i="87" s="1"/>
  <c r="AH177" i="70"/>
  <c r="AN177" i="70"/>
  <c r="AT177" i="70"/>
  <c r="Y174" i="70"/>
  <c r="AR177" i="87" s="1"/>
  <c r="AK174" i="70"/>
  <c r="AE174" i="70"/>
  <c r="AQ174" i="70"/>
  <c r="Z173" i="70"/>
  <c r="AS176" i="87" s="1"/>
  <c r="AF173" i="70"/>
  <c r="AR173" i="70"/>
  <c r="AL173" i="70"/>
  <c r="AA172" i="70"/>
  <c r="AT175" i="87" s="1"/>
  <c r="AG172" i="70"/>
  <c r="AS172" i="70"/>
  <c r="AM172" i="70"/>
  <c r="AH171" i="70"/>
  <c r="AT171" i="70"/>
  <c r="AB171" i="70"/>
  <c r="AU174" i="87" s="1"/>
  <c r="AN171" i="70"/>
  <c r="AQ168" i="70"/>
  <c r="AK168" i="70"/>
  <c r="Y168" i="70"/>
  <c r="AR171" i="87" s="1"/>
  <c r="AE168" i="70"/>
  <c r="AR167" i="70"/>
  <c r="AL167" i="70"/>
  <c r="Z167" i="70"/>
  <c r="AS170" i="87" s="1"/>
  <c r="AF167" i="70"/>
  <c r="AS166" i="70"/>
  <c r="AM166" i="70"/>
  <c r="AG166" i="70"/>
  <c r="AA166" i="70"/>
  <c r="AT169" i="87" s="1"/>
  <c r="AB165" i="70"/>
  <c r="AU168" i="87" s="1"/>
  <c r="AH165" i="70"/>
  <c r="AN165" i="70"/>
  <c r="AT165" i="70"/>
  <c r="AE220" i="70"/>
  <c r="Y220" i="70"/>
  <c r="AR223" i="87" s="1"/>
  <c r="AK220" i="70"/>
  <c r="AQ220" i="70"/>
  <c r="AF219" i="70"/>
  <c r="Z219" i="70"/>
  <c r="AS222" i="87" s="1"/>
  <c r="AL219" i="70"/>
  <c r="AR219" i="70"/>
  <c r="AG218" i="70"/>
  <c r="AS218" i="70"/>
  <c r="AA218" i="70"/>
  <c r="AT221" i="87" s="1"/>
  <c r="AM218" i="70"/>
  <c r="AB217" i="70"/>
  <c r="AU220" i="87" s="1"/>
  <c r="AT217" i="70"/>
  <c r="AN217" i="70"/>
  <c r="AH217" i="70"/>
  <c r="AQ214" i="70"/>
  <c r="AE214" i="70"/>
  <c r="Y214" i="70"/>
  <c r="AR217" i="87" s="1"/>
  <c r="AK214" i="70"/>
  <c r="AR213" i="70"/>
  <c r="AF213" i="70"/>
  <c r="Z213" i="70"/>
  <c r="AS216" i="87" s="1"/>
  <c r="AL213" i="70"/>
  <c r="AS212" i="70"/>
  <c r="AG212" i="70"/>
  <c r="AA212" i="70"/>
  <c r="AT215" i="87" s="1"/>
  <c r="AM212" i="70"/>
  <c r="AN211" i="70"/>
  <c r="AH211" i="70"/>
  <c r="AB211" i="70"/>
  <c r="AU214" i="87" s="1"/>
  <c r="AT211" i="70"/>
  <c r="AE87" i="70"/>
  <c r="AK87" i="70"/>
  <c r="Y87" i="70"/>
  <c r="AR90" i="87" s="1"/>
  <c r="AQ87" i="70"/>
  <c r="AF86" i="70"/>
  <c r="Z86" i="70"/>
  <c r="AS89" i="87" s="1"/>
  <c r="AL86" i="70"/>
  <c r="AR86" i="70"/>
  <c r="AG85" i="70"/>
  <c r="AS85" i="70"/>
  <c r="AA85" i="70"/>
  <c r="AT88" i="87" s="1"/>
  <c r="AM85" i="70"/>
  <c r="AH84" i="70"/>
  <c r="AT84" i="70"/>
  <c r="AB84" i="70"/>
  <c r="AU87" i="87" s="1"/>
  <c r="AN84" i="70"/>
  <c r="AQ81" i="70"/>
  <c r="AE81" i="70"/>
  <c r="Y81" i="70"/>
  <c r="AR84" i="87" s="1"/>
  <c r="AK81" i="70"/>
  <c r="AR80" i="70"/>
  <c r="AF80" i="70"/>
  <c r="Z80" i="70"/>
  <c r="AS83" i="87" s="1"/>
  <c r="AL80" i="70"/>
  <c r="AS79" i="70"/>
  <c r="AG79" i="70"/>
  <c r="AA79" i="70"/>
  <c r="AT82" i="87" s="1"/>
  <c r="AM79" i="70"/>
  <c r="AT78" i="70"/>
  <c r="AH78" i="70"/>
  <c r="AB78" i="70"/>
  <c r="AU81" i="87" s="1"/>
  <c r="AN78" i="70"/>
  <c r="AQ75" i="70"/>
  <c r="AK75" i="70"/>
  <c r="Y75" i="70"/>
  <c r="AR78" i="87" s="1"/>
  <c r="AE75" i="70"/>
  <c r="Z132" i="70"/>
  <c r="AS135" i="87" s="1"/>
  <c r="AR132" i="70"/>
  <c r="AF132" i="70"/>
  <c r="AL132" i="70"/>
  <c r="AA131" i="70"/>
  <c r="AT134" i="87" s="1"/>
  <c r="AS131" i="70"/>
  <c r="AG131" i="70"/>
  <c r="AM131" i="70"/>
  <c r="AB130" i="70"/>
  <c r="AU133" i="87" s="1"/>
  <c r="AT130" i="70"/>
  <c r="AH130" i="70"/>
  <c r="AN130" i="70"/>
  <c r="Y127" i="70"/>
  <c r="AR130" i="87" s="1"/>
  <c r="AE127" i="70"/>
  <c r="AK127" i="70"/>
  <c r="AQ127" i="70"/>
  <c r="AL126" i="70"/>
  <c r="Z126" i="70"/>
  <c r="AS129" i="87" s="1"/>
  <c r="AF126" i="70"/>
  <c r="AR126" i="70"/>
  <c r="AM125" i="70"/>
  <c r="AA125" i="70"/>
  <c r="AT128" i="87" s="1"/>
  <c r="AG125" i="70"/>
  <c r="AS125" i="70"/>
  <c r="AN124" i="70"/>
  <c r="AB124" i="70"/>
  <c r="AU127" i="87" s="1"/>
  <c r="AH124" i="70"/>
  <c r="AT124" i="70"/>
  <c r="Y121" i="70"/>
  <c r="AR124" i="87" s="1"/>
  <c r="AK121" i="70"/>
  <c r="AQ121" i="70"/>
  <c r="AE121" i="70"/>
  <c r="AL120" i="70"/>
  <c r="AF120" i="70"/>
  <c r="Z120" i="70"/>
  <c r="AS123" i="87" s="1"/>
  <c r="AR120" i="70"/>
  <c r="AM177" i="70"/>
  <c r="AA177" i="70"/>
  <c r="AT180" i="87" s="1"/>
  <c r="AS177" i="70"/>
  <c r="AG177" i="70"/>
  <c r="AB176" i="70"/>
  <c r="AU179" i="87" s="1"/>
  <c r="AT176" i="70"/>
  <c r="AN176" i="70"/>
  <c r="AH176" i="70"/>
  <c r="AK173" i="70"/>
  <c r="Y173" i="70"/>
  <c r="AR176" i="87" s="1"/>
  <c r="AQ173" i="70"/>
  <c r="AE173" i="70"/>
  <c r="AL172" i="70"/>
  <c r="AF172" i="70"/>
  <c r="Z172" i="70"/>
  <c r="AS175" i="87" s="1"/>
  <c r="AR172" i="70"/>
  <c r="AA171" i="70"/>
  <c r="AT174" i="87" s="1"/>
  <c r="AM171" i="70"/>
  <c r="AG171" i="70"/>
  <c r="AS171" i="70"/>
  <c r="AT170" i="70"/>
  <c r="AN170" i="70"/>
  <c r="AH170" i="70"/>
  <c r="AB170" i="70"/>
  <c r="AU173" i="87" s="1"/>
  <c r="AQ167" i="70"/>
  <c r="AK167" i="70"/>
  <c r="AE167" i="70"/>
  <c r="Y167" i="70"/>
  <c r="AR170" i="87" s="1"/>
  <c r="AR166" i="70"/>
  <c r="AL166" i="70"/>
  <c r="AF166" i="70"/>
  <c r="Z166" i="70"/>
  <c r="AS169" i="87" s="1"/>
  <c r="AA165" i="70"/>
  <c r="AT168" i="87" s="1"/>
  <c r="AS165" i="70"/>
  <c r="AG165" i="70"/>
  <c r="AM165" i="70"/>
  <c r="AB222" i="70"/>
  <c r="AU225" i="87" s="1"/>
  <c r="AT222" i="70"/>
  <c r="AH222" i="70"/>
  <c r="AN222" i="70"/>
  <c r="Y219" i="70"/>
  <c r="AR222" i="87" s="1"/>
  <c r="AK219" i="70"/>
  <c r="AQ219" i="70"/>
  <c r="AE219" i="70"/>
  <c r="Z218" i="70"/>
  <c r="AS221" i="87" s="1"/>
  <c r="AF218" i="70"/>
  <c r="AR218" i="70"/>
  <c r="AL218" i="70"/>
  <c r="AA217" i="70"/>
  <c r="AT220" i="87" s="1"/>
  <c r="AG217" i="70"/>
  <c r="AM217" i="70"/>
  <c r="AS217" i="70"/>
  <c r="AN216" i="70"/>
  <c r="AB216" i="70"/>
  <c r="AU219" i="87" s="1"/>
  <c r="AH216" i="70"/>
  <c r="AT216" i="70"/>
  <c r="AK213" i="70"/>
  <c r="Y213" i="70"/>
  <c r="AR216" i="87" s="1"/>
  <c r="AE213" i="70"/>
  <c r="AQ213" i="70"/>
  <c r="AL212" i="70"/>
  <c r="Z212" i="70"/>
  <c r="AS215" i="87" s="1"/>
  <c r="AF212" i="70"/>
  <c r="AR212" i="70"/>
  <c r="AM211" i="70"/>
  <c r="AG211" i="70"/>
  <c r="AS211" i="70"/>
  <c r="AA211" i="70"/>
  <c r="AT214" i="87" s="1"/>
  <c r="AN210" i="70"/>
  <c r="AH210" i="70"/>
  <c r="AB210" i="70"/>
  <c r="AU213" i="87" s="1"/>
  <c r="AT210" i="70"/>
  <c r="U43" i="68"/>
  <c r="V43" i="68"/>
  <c r="W43" i="68"/>
  <c r="X43" i="68"/>
  <c r="AB43" i="68"/>
  <c r="V31" i="71" s="1"/>
  <c r="W33" i="84" s="1"/>
  <c r="AC43" i="68"/>
  <c r="W31" i="71" s="1"/>
  <c r="X33" i="84" s="1"/>
  <c r="U44" i="68"/>
  <c r="V44" i="68"/>
  <c r="W44" i="68"/>
  <c r="X44" i="68"/>
  <c r="AB44" i="68"/>
  <c r="V32" i="71" s="1"/>
  <c r="W34" i="84" s="1"/>
  <c r="AC44" i="68"/>
  <c r="W32" i="71" s="1"/>
  <c r="X34" i="84" s="1"/>
  <c r="U45" i="68"/>
  <c r="V45" i="68"/>
  <c r="W45" i="68"/>
  <c r="X45" i="68"/>
  <c r="AB45" i="68"/>
  <c r="V33" i="71" s="1"/>
  <c r="W35" i="84" s="1"/>
  <c r="AC45" i="68"/>
  <c r="W33" i="71" s="1"/>
  <c r="X35" i="84" s="1"/>
  <c r="U46" i="68"/>
  <c r="V46" i="68"/>
  <c r="W46" i="68"/>
  <c r="X46" i="68"/>
  <c r="AB46" i="68"/>
  <c r="V34" i="71" s="1"/>
  <c r="W36" i="84" s="1"/>
  <c r="AC46" i="68"/>
  <c r="W34" i="71" s="1"/>
  <c r="X36" i="84" s="1"/>
  <c r="U47" i="68"/>
  <c r="V47" i="68"/>
  <c r="W47" i="68"/>
  <c r="X47" i="68"/>
  <c r="AB47" i="68"/>
  <c r="V35" i="71" s="1"/>
  <c r="W37" i="84" s="1"/>
  <c r="AC47" i="68"/>
  <c r="W35" i="71" s="1"/>
  <c r="X37" i="84" s="1"/>
  <c r="U48" i="68"/>
  <c r="V48" i="68"/>
  <c r="W48" i="68"/>
  <c r="X48" i="68"/>
  <c r="AB48" i="68"/>
  <c r="V36" i="71" s="1"/>
  <c r="W38" i="84" s="1"/>
  <c r="AC48" i="68"/>
  <c r="W36" i="71" s="1"/>
  <c r="X38" i="84" s="1"/>
  <c r="U49" i="68"/>
  <c r="V49" i="68"/>
  <c r="W49" i="68"/>
  <c r="X49" i="68"/>
  <c r="AB49" i="68"/>
  <c r="V37" i="71" s="1"/>
  <c r="W39" i="84" s="1"/>
  <c r="AC49" i="68"/>
  <c r="W37" i="71" s="1"/>
  <c r="X39" i="84" s="1"/>
  <c r="U50" i="68"/>
  <c r="V50" i="68"/>
  <c r="W50" i="68"/>
  <c r="X50" i="68"/>
  <c r="AB50" i="68"/>
  <c r="V38" i="71" s="1"/>
  <c r="W40" i="84" s="1"/>
  <c r="AC50" i="68"/>
  <c r="W38" i="71" s="1"/>
  <c r="X40" i="84" s="1"/>
  <c r="U51" i="68"/>
  <c r="V51" i="68"/>
  <c r="W51" i="68"/>
  <c r="X51" i="68"/>
  <c r="AB51" i="68"/>
  <c r="V39" i="71" s="1"/>
  <c r="W41" i="84" s="1"/>
  <c r="AC51" i="68"/>
  <c r="W39" i="71" s="1"/>
  <c r="X41" i="84" s="1"/>
  <c r="U52" i="68"/>
  <c r="V52" i="68"/>
  <c r="W52" i="68"/>
  <c r="X52" i="68"/>
  <c r="AB52" i="68"/>
  <c r="V40" i="71" s="1"/>
  <c r="W42" i="84" s="1"/>
  <c r="AC52" i="68"/>
  <c r="W40" i="71" s="1"/>
  <c r="X42" i="84" s="1"/>
  <c r="U53" i="68"/>
  <c r="V53" i="68"/>
  <c r="W53" i="68"/>
  <c r="X53" i="68"/>
  <c r="AB53" i="68"/>
  <c r="V41" i="71" s="1"/>
  <c r="W43" i="84" s="1"/>
  <c r="AC53" i="68"/>
  <c r="W41" i="71" s="1"/>
  <c r="X43" i="84" s="1"/>
  <c r="U54" i="68"/>
  <c r="V54" i="68"/>
  <c r="W54" i="68"/>
  <c r="X54" i="68"/>
  <c r="AB54" i="68"/>
  <c r="V42" i="71" s="1"/>
  <c r="W44" i="84" s="1"/>
  <c r="AC54" i="68"/>
  <c r="W42" i="71" s="1"/>
  <c r="X44" i="84" s="1"/>
  <c r="U55" i="68"/>
  <c r="V55" i="68"/>
  <c r="W55" i="68"/>
  <c r="X55" i="68"/>
  <c r="AB55" i="68"/>
  <c r="V43" i="71" s="1"/>
  <c r="W45" i="84" s="1"/>
  <c r="AC55" i="68"/>
  <c r="W43" i="71" s="1"/>
  <c r="X45" i="84" s="1"/>
  <c r="C223" i="68"/>
  <c r="C224" i="68"/>
  <c r="C225" i="68"/>
  <c r="C226" i="68"/>
  <c r="C227" i="68"/>
  <c r="C228" i="68"/>
  <c r="C229" i="68"/>
  <c r="C230" i="68"/>
  <c r="C231" i="68"/>
  <c r="C232" i="68"/>
  <c r="C233" i="68"/>
  <c r="C234" i="68"/>
  <c r="C235" i="68"/>
  <c r="C178" i="68"/>
  <c r="C179" i="68"/>
  <c r="C180" i="68"/>
  <c r="C181" i="68"/>
  <c r="C182" i="68"/>
  <c r="C183" i="68"/>
  <c r="C184" i="68"/>
  <c r="C185" i="68"/>
  <c r="C186" i="68"/>
  <c r="C187" i="68"/>
  <c r="C188" i="68"/>
  <c r="C189" i="68"/>
  <c r="C190" i="68"/>
  <c r="C133" i="68"/>
  <c r="C134" i="68"/>
  <c r="C135" i="68"/>
  <c r="C136" i="68"/>
  <c r="C137" i="68"/>
  <c r="C138" i="68"/>
  <c r="C139" i="68"/>
  <c r="C140" i="68"/>
  <c r="C141" i="68"/>
  <c r="C142" i="68"/>
  <c r="C143" i="68"/>
  <c r="C144" i="68"/>
  <c r="C145" i="68"/>
  <c r="C88" i="68"/>
  <c r="C89" i="68"/>
  <c r="C90" i="68"/>
  <c r="C91" i="68"/>
  <c r="C92" i="68"/>
  <c r="C93" i="68"/>
  <c r="C94" i="68"/>
  <c r="C95" i="68"/>
  <c r="C96" i="68"/>
  <c r="C97" i="68"/>
  <c r="C98" i="68"/>
  <c r="C99" i="68"/>
  <c r="C100" i="68"/>
  <c r="I90" i="84" s="1"/>
  <c r="B43" i="68"/>
  <c r="B44" i="68"/>
  <c r="B45" i="68"/>
  <c r="B46" i="68"/>
  <c r="B47" i="68"/>
  <c r="B48" i="68"/>
  <c r="B49" i="68"/>
  <c r="B50" i="68"/>
  <c r="B51" i="68"/>
  <c r="B52" i="68"/>
  <c r="B53" i="68"/>
  <c r="B54" i="68"/>
  <c r="B55" i="68"/>
  <c r="A195" i="68"/>
  <c r="A196" i="68" s="1"/>
  <c r="A197" i="68" s="1"/>
  <c r="A198" i="68" s="1"/>
  <c r="A199" i="68" s="1"/>
  <c r="A200" i="68" s="1"/>
  <c r="A201" i="68" s="1"/>
  <c r="A202" i="68" s="1"/>
  <c r="A203" i="68" s="1"/>
  <c r="A204" i="68" s="1"/>
  <c r="A205" i="68" s="1"/>
  <c r="A206" i="68" s="1"/>
  <c r="A207" i="68" s="1"/>
  <c r="A208" i="68" s="1"/>
  <c r="A209" i="68" s="1"/>
  <c r="A210" i="68" s="1"/>
  <c r="A211" i="68" s="1"/>
  <c r="A212" i="68" s="1"/>
  <c r="A213" i="68" s="1"/>
  <c r="A214" i="68" s="1"/>
  <c r="A215" i="68" s="1"/>
  <c r="A216" i="68" s="1"/>
  <c r="A217" i="68" s="1"/>
  <c r="A218" i="68" s="1"/>
  <c r="A219" i="68" s="1"/>
  <c r="A220" i="68" s="1"/>
  <c r="A221" i="68" s="1"/>
  <c r="A222" i="68" s="1"/>
  <c r="A223" i="68" s="1"/>
  <c r="A224" i="68" s="1"/>
  <c r="A225" i="68" s="1"/>
  <c r="A226" i="68" s="1"/>
  <c r="A227" i="68" s="1"/>
  <c r="A228" i="68" s="1"/>
  <c r="A229" i="68" s="1"/>
  <c r="A230" i="68" s="1"/>
  <c r="A231" i="68" s="1"/>
  <c r="A232" i="68" s="1"/>
  <c r="A233" i="68" s="1"/>
  <c r="A234" i="68" s="1"/>
  <c r="A235" i="68" s="1"/>
  <c r="A236" i="68" s="1"/>
  <c r="A237" i="68" s="1"/>
  <c r="A238" i="68" s="1"/>
  <c r="A150" i="68"/>
  <c r="A151" i="68" s="1"/>
  <c r="A152" i="68" s="1"/>
  <c r="A153" i="68" s="1"/>
  <c r="A154" i="68" s="1"/>
  <c r="A155" i="68" s="1"/>
  <c r="A156" i="68" s="1"/>
  <c r="A157" i="68" s="1"/>
  <c r="A158" i="68" s="1"/>
  <c r="A159" i="68" s="1"/>
  <c r="A160" i="68" s="1"/>
  <c r="A161" i="68" s="1"/>
  <c r="A162" i="68" s="1"/>
  <c r="A163" i="68" s="1"/>
  <c r="A164" i="68" s="1"/>
  <c r="A165" i="68" s="1"/>
  <c r="A166" i="68" s="1"/>
  <c r="A167" i="68" s="1"/>
  <c r="A168" i="68" s="1"/>
  <c r="A169" i="68" s="1"/>
  <c r="A170" i="68" s="1"/>
  <c r="A171" i="68" s="1"/>
  <c r="A172" i="68" s="1"/>
  <c r="A173" i="68" s="1"/>
  <c r="A174" i="68" s="1"/>
  <c r="A175" i="68" s="1"/>
  <c r="A176" i="68" s="1"/>
  <c r="A177" i="68" s="1"/>
  <c r="A178" i="68" s="1"/>
  <c r="A179" i="68" s="1"/>
  <c r="A180" i="68" s="1"/>
  <c r="A181" i="68" s="1"/>
  <c r="A182" i="68" s="1"/>
  <c r="A183" i="68" s="1"/>
  <c r="A184" i="68" s="1"/>
  <c r="A185" i="68" s="1"/>
  <c r="A186" i="68" s="1"/>
  <c r="A187" i="68" s="1"/>
  <c r="A188" i="68" s="1"/>
  <c r="A189" i="68" s="1"/>
  <c r="A190" i="68" s="1"/>
  <c r="A191" i="68" s="1"/>
  <c r="A192" i="68" s="1"/>
  <c r="A193" i="68" s="1"/>
  <c r="A105" i="68"/>
  <c r="A106" i="68" s="1"/>
  <c r="A107" i="68" s="1"/>
  <c r="A108" i="68" s="1"/>
  <c r="A109" i="68" s="1"/>
  <c r="A110" i="68" s="1"/>
  <c r="A111" i="68" s="1"/>
  <c r="A112" i="68" s="1"/>
  <c r="A113" i="68" s="1"/>
  <c r="A114" i="68" s="1"/>
  <c r="A115" i="68" s="1"/>
  <c r="A116" i="68" s="1"/>
  <c r="A117" i="68" s="1"/>
  <c r="A118" i="68" s="1"/>
  <c r="A119" i="68" s="1"/>
  <c r="A120" i="68" s="1"/>
  <c r="A121" i="68" s="1"/>
  <c r="A122" i="68" s="1"/>
  <c r="A123" i="68" s="1"/>
  <c r="A124" i="68" s="1"/>
  <c r="A125" i="68" s="1"/>
  <c r="A126" i="68" s="1"/>
  <c r="A127" i="68" s="1"/>
  <c r="A128" i="68" s="1"/>
  <c r="A129" i="68" s="1"/>
  <c r="A130" i="68" s="1"/>
  <c r="A131" i="68" s="1"/>
  <c r="A132" i="68" s="1"/>
  <c r="A133" i="68" s="1"/>
  <c r="A134" i="68" s="1"/>
  <c r="A135" i="68" s="1"/>
  <c r="A136" i="68" s="1"/>
  <c r="A137" i="68" s="1"/>
  <c r="A138" i="68" s="1"/>
  <c r="A139" i="68" s="1"/>
  <c r="A140" i="68" s="1"/>
  <c r="A141" i="68" s="1"/>
  <c r="A142" i="68" s="1"/>
  <c r="A143" i="68" s="1"/>
  <c r="A144" i="68" s="1"/>
  <c r="A145" i="68" s="1"/>
  <c r="A146" i="68" s="1"/>
  <c r="A147" i="68" s="1"/>
  <c r="A148" i="68" s="1"/>
  <c r="A60" i="68"/>
  <c r="A61" i="68" s="1"/>
  <c r="A62" i="68" s="1"/>
  <c r="A63" i="68" s="1"/>
  <c r="A64" i="68" s="1"/>
  <c r="A65" i="68" s="1"/>
  <c r="A66" i="68" s="1"/>
  <c r="A67" i="68" s="1"/>
  <c r="A68" i="68" s="1"/>
  <c r="A69" i="68" s="1"/>
  <c r="A70" i="68" s="1"/>
  <c r="A71" i="68" s="1"/>
  <c r="A72" i="68" s="1"/>
  <c r="A73" i="68" s="1"/>
  <c r="A74" i="68" s="1"/>
  <c r="A75" i="68" s="1"/>
  <c r="A76" i="68" s="1"/>
  <c r="A77" i="68" s="1"/>
  <c r="A78" i="68" s="1"/>
  <c r="A79" i="68" s="1"/>
  <c r="A80" i="68" s="1"/>
  <c r="A81" i="68" s="1"/>
  <c r="A82" i="68" s="1"/>
  <c r="A83" i="68" s="1"/>
  <c r="A84" i="68" s="1"/>
  <c r="A85" i="68" s="1"/>
  <c r="A86" i="68" s="1"/>
  <c r="A87" i="68" s="1"/>
  <c r="A88" i="68" s="1"/>
  <c r="A89" i="68" s="1"/>
  <c r="A90" i="68" s="1"/>
  <c r="A91" i="68" s="1"/>
  <c r="A92" i="68" s="1"/>
  <c r="A93" i="68" s="1"/>
  <c r="A94" i="68" s="1"/>
  <c r="A95" i="68" s="1"/>
  <c r="A96" i="68" s="1"/>
  <c r="A97" i="68" s="1"/>
  <c r="A98" i="68" s="1"/>
  <c r="A99" i="68" s="1"/>
  <c r="A100" i="68" s="1"/>
  <c r="A101" i="68" s="1"/>
  <c r="A102" i="68" s="1"/>
  <c r="A103" i="68" s="1"/>
  <c r="AP149" i="95"/>
  <c r="AR192" i="95"/>
  <c r="BA192" i="95"/>
  <c r="AV12" i="95"/>
  <c r="AU147" i="95"/>
  <c r="AV147" i="95"/>
  <c r="AQ12" i="95"/>
  <c r="AV193" i="95"/>
  <c r="AZ103" i="95"/>
  <c r="AZ57" i="95"/>
  <c r="AW147" i="95"/>
  <c r="AZ12" i="95"/>
  <c r="AU102" i="95"/>
  <c r="AQ102" i="95"/>
  <c r="BA12" i="95"/>
  <c r="AW192" i="95"/>
  <c r="BA193" i="95"/>
  <c r="AP58" i="95"/>
  <c r="AP103" i="95"/>
  <c r="AV102" i="95"/>
  <c r="BB149" i="95"/>
  <c r="AQ57" i="95"/>
  <c r="AP13" i="95"/>
  <c r="AZ192" i="95"/>
  <c r="BA103" i="95"/>
  <c r="AP150" i="95"/>
  <c r="BA149" i="95"/>
  <c r="BB192" i="95"/>
  <c r="AV57" i="95"/>
  <c r="AR147" i="95"/>
  <c r="AU57" i="95"/>
  <c r="AU12" i="95"/>
  <c r="AZ147" i="95"/>
  <c r="AP193" i="95"/>
  <c r="AQ192" i="95"/>
  <c r="AU193" i="95"/>
  <c r="AQ148" i="95"/>
  <c r="BA57" i="95"/>
  <c r="S55" i="68"/>
  <c r="S47" i="68"/>
  <c r="R51" i="68"/>
  <c r="S45" i="68"/>
  <c r="R44" i="68"/>
  <c r="R48" i="68"/>
  <c r="R43" i="68"/>
  <c r="S54" i="68"/>
  <c r="R50" i="68"/>
  <c r="R47" i="68"/>
  <c r="S43" i="68"/>
  <c r="S49" i="68"/>
  <c r="S44" i="68"/>
  <c r="S53" i="68"/>
  <c r="S50" i="68"/>
  <c r="R45" i="68"/>
  <c r="S52" i="68"/>
  <c r="R53" i="68"/>
  <c r="S51" i="68"/>
  <c r="S46" i="68"/>
  <c r="R46" i="68"/>
  <c r="R54" i="68"/>
  <c r="R55" i="68"/>
  <c r="R49" i="68"/>
  <c r="R52" i="68"/>
  <c r="S48" i="68"/>
  <c r="I133" i="84" l="1"/>
  <c r="E137" i="90"/>
  <c r="AT137" i="90" s="1"/>
  <c r="I224" i="84"/>
  <c r="E228" i="90"/>
  <c r="AT228" i="90" s="1"/>
  <c r="I127" i="84"/>
  <c r="E131" i="90"/>
  <c r="AT131" i="90" s="1"/>
  <c r="I213" i="84"/>
  <c r="E217" i="90"/>
  <c r="AT217" i="90" s="1"/>
  <c r="I126" i="84"/>
  <c r="E130" i="90"/>
  <c r="AT130" i="90" s="1"/>
  <c r="I85" i="84"/>
  <c r="E89" i="90"/>
  <c r="AT89" i="90" s="1"/>
  <c r="I79" i="84"/>
  <c r="E83" i="90"/>
  <c r="AT83" i="90" s="1"/>
  <c r="I131" i="84"/>
  <c r="E135" i="90"/>
  <c r="AT135" i="90" s="1"/>
  <c r="I125" i="84"/>
  <c r="E129" i="90"/>
  <c r="AT129" i="90" s="1"/>
  <c r="I177" i="84"/>
  <c r="E181" i="90"/>
  <c r="AT181" i="90" s="1"/>
  <c r="I171" i="84"/>
  <c r="E175" i="90"/>
  <c r="AT175" i="90" s="1"/>
  <c r="I223" i="84"/>
  <c r="E227" i="90"/>
  <c r="AT227" i="90" s="1"/>
  <c r="I217" i="84"/>
  <c r="E221" i="90"/>
  <c r="AT221" i="90" s="1"/>
  <c r="I87" i="84"/>
  <c r="E91" i="90"/>
  <c r="AT91" i="90" s="1"/>
  <c r="I173" i="84"/>
  <c r="E177" i="90"/>
  <c r="AT177" i="90" s="1"/>
  <c r="I80" i="84"/>
  <c r="E84" i="90"/>
  <c r="AT84" i="90" s="1"/>
  <c r="I84" i="84"/>
  <c r="E88" i="90"/>
  <c r="AT88" i="90" s="1"/>
  <c r="I78" i="84"/>
  <c r="E82" i="90"/>
  <c r="AT82" i="90" s="1"/>
  <c r="I130" i="84"/>
  <c r="E134" i="90"/>
  <c r="AT134" i="90" s="1"/>
  <c r="I124" i="84"/>
  <c r="E128" i="90"/>
  <c r="AT128" i="90" s="1"/>
  <c r="I176" i="84"/>
  <c r="E180" i="90"/>
  <c r="AT180" i="90" s="1"/>
  <c r="I170" i="84"/>
  <c r="E174" i="90"/>
  <c r="AT174" i="90" s="1"/>
  <c r="I222" i="84"/>
  <c r="E226" i="90"/>
  <c r="AT226" i="90" s="1"/>
  <c r="I216" i="84"/>
  <c r="E220" i="90"/>
  <c r="AT220" i="90" s="1"/>
  <c r="I81" i="84"/>
  <c r="E85" i="90"/>
  <c r="AT85" i="90" s="1"/>
  <c r="I219" i="84"/>
  <c r="E223" i="90"/>
  <c r="AT223" i="90" s="1"/>
  <c r="I86" i="84"/>
  <c r="E90" i="90"/>
  <c r="AT90" i="90" s="1"/>
  <c r="I178" i="84"/>
  <c r="E182" i="90"/>
  <c r="AT182" i="90" s="1"/>
  <c r="I218" i="84"/>
  <c r="E222" i="90"/>
  <c r="AT222" i="90" s="1"/>
  <c r="I89" i="84"/>
  <c r="E93" i="90"/>
  <c r="AT93" i="90" s="1"/>
  <c r="I83" i="84"/>
  <c r="E87" i="90"/>
  <c r="AT87" i="90" s="1"/>
  <c r="I135" i="84"/>
  <c r="E139" i="90"/>
  <c r="AT139" i="90" s="1"/>
  <c r="I129" i="84"/>
  <c r="E133" i="90"/>
  <c r="AT133" i="90" s="1"/>
  <c r="I123" i="84"/>
  <c r="E127" i="90"/>
  <c r="AT127" i="90" s="1"/>
  <c r="I175" i="84"/>
  <c r="E179" i="90"/>
  <c r="AT179" i="90" s="1"/>
  <c r="I169" i="84"/>
  <c r="E173" i="90"/>
  <c r="AT173" i="90" s="1"/>
  <c r="I221" i="84"/>
  <c r="E225" i="90"/>
  <c r="AT225" i="90" s="1"/>
  <c r="I215" i="84"/>
  <c r="E219" i="90"/>
  <c r="AT219" i="90" s="1"/>
  <c r="I179" i="84"/>
  <c r="E183" i="90"/>
  <c r="AT183" i="90" s="1"/>
  <c r="I132" i="84"/>
  <c r="E136" i="90"/>
  <c r="AT136" i="90" s="1"/>
  <c r="I172" i="84"/>
  <c r="E176" i="90"/>
  <c r="AT176" i="90" s="1"/>
  <c r="I88" i="84"/>
  <c r="E92" i="90"/>
  <c r="AT92" i="90" s="1"/>
  <c r="I82" i="84"/>
  <c r="E86" i="90"/>
  <c r="AT86" i="90" s="1"/>
  <c r="I134" i="84"/>
  <c r="E138" i="90"/>
  <c r="AT138" i="90" s="1"/>
  <c r="I128" i="84"/>
  <c r="E132" i="90"/>
  <c r="AT132" i="90" s="1"/>
  <c r="I180" i="84"/>
  <c r="E184" i="90"/>
  <c r="AT184" i="90" s="1"/>
  <c r="I174" i="84"/>
  <c r="E178" i="90"/>
  <c r="AT178" i="90" s="1"/>
  <c r="I168" i="84"/>
  <c r="E172" i="90"/>
  <c r="AT172" i="90" s="1"/>
  <c r="I220" i="84"/>
  <c r="E224" i="90"/>
  <c r="AT224" i="90" s="1"/>
  <c r="I214" i="84"/>
  <c r="E218" i="90"/>
  <c r="AT218" i="90" s="1"/>
  <c r="I225" i="84"/>
  <c r="E229" i="90"/>
  <c r="AT229" i="90" s="1"/>
  <c r="U35" i="70"/>
  <c r="R36" i="95"/>
  <c r="R42" i="70"/>
  <c r="O43" i="95"/>
  <c r="T39" i="70"/>
  <c r="Q40" i="95"/>
  <c r="R38" i="70"/>
  <c r="O39" i="95"/>
  <c r="T35" i="70"/>
  <c r="Q36" i="95"/>
  <c r="R34" i="70"/>
  <c r="O35" i="95"/>
  <c r="T31" i="70"/>
  <c r="Q32" i="95"/>
  <c r="R30" i="70"/>
  <c r="O31" i="95"/>
  <c r="S42" i="70"/>
  <c r="P43" i="95"/>
  <c r="U31" i="70"/>
  <c r="R32" i="95"/>
  <c r="U40" i="70"/>
  <c r="R41" i="95"/>
  <c r="U32" i="70"/>
  <c r="R33" i="95"/>
  <c r="S35" i="70"/>
  <c r="P36" i="95"/>
  <c r="T40" i="70"/>
  <c r="Q41" i="95"/>
  <c r="R39" i="70"/>
  <c r="O40" i="95"/>
  <c r="T36" i="70"/>
  <c r="Q37" i="95"/>
  <c r="R35" i="70"/>
  <c r="O36" i="95"/>
  <c r="T32" i="70"/>
  <c r="Q33" i="95"/>
  <c r="R31" i="70"/>
  <c r="O32" i="95"/>
  <c r="S38" i="70"/>
  <c r="P39" i="95"/>
  <c r="S31" i="70"/>
  <c r="P32" i="95"/>
  <c r="U41" i="70"/>
  <c r="R42" i="95"/>
  <c r="S40" i="70"/>
  <c r="P41" i="95"/>
  <c r="U37" i="70"/>
  <c r="R38" i="95"/>
  <c r="S36" i="70"/>
  <c r="P37" i="95"/>
  <c r="U33" i="70"/>
  <c r="R34" i="95"/>
  <c r="S32" i="70"/>
  <c r="P33" i="95"/>
  <c r="T41" i="70"/>
  <c r="Q42" i="95"/>
  <c r="R40" i="70"/>
  <c r="O41" i="95"/>
  <c r="T37" i="70"/>
  <c r="Q38" i="95"/>
  <c r="R36" i="70"/>
  <c r="O37" i="95"/>
  <c r="T33" i="70"/>
  <c r="Q34" i="95"/>
  <c r="R32" i="70"/>
  <c r="O33" i="95"/>
  <c r="S30" i="70"/>
  <c r="P31" i="95"/>
  <c r="S39" i="70"/>
  <c r="P40" i="95"/>
  <c r="U42" i="70"/>
  <c r="R43" i="95"/>
  <c r="S41" i="70"/>
  <c r="P42" i="95"/>
  <c r="U38" i="70"/>
  <c r="R39" i="95"/>
  <c r="S37" i="70"/>
  <c r="P38" i="95"/>
  <c r="U34" i="70"/>
  <c r="R35" i="95"/>
  <c r="S33" i="70"/>
  <c r="P34" i="95"/>
  <c r="U30" i="70"/>
  <c r="R31" i="95"/>
  <c r="U39" i="70"/>
  <c r="R40" i="95"/>
  <c r="S34" i="70"/>
  <c r="P35" i="95"/>
  <c r="U36" i="70"/>
  <c r="R37" i="95"/>
  <c r="T42" i="70"/>
  <c r="Q43" i="95"/>
  <c r="R41" i="70"/>
  <c r="O42" i="95"/>
  <c r="T38" i="70"/>
  <c r="Q39" i="95"/>
  <c r="R37" i="70"/>
  <c r="O38" i="95"/>
  <c r="T34" i="70"/>
  <c r="Q35" i="95"/>
  <c r="R33" i="70"/>
  <c r="O34" i="95"/>
  <c r="T30" i="70"/>
  <c r="Q31" i="95"/>
  <c r="AS128" i="84"/>
  <c r="F128" i="89"/>
  <c r="F168" i="89"/>
  <c r="AS168" i="84"/>
  <c r="F214" i="89"/>
  <c r="AS214" i="84"/>
  <c r="F81" i="89"/>
  <c r="AS81" i="84"/>
  <c r="F225" i="89"/>
  <c r="AS225" i="84"/>
  <c r="F86" i="89"/>
  <c r="AS86" i="84"/>
  <c r="AS80" i="84"/>
  <c r="F80" i="89"/>
  <c r="AS132" i="84"/>
  <c r="F132" i="89"/>
  <c r="F126" i="89"/>
  <c r="AS126" i="84"/>
  <c r="AS178" i="84"/>
  <c r="F178" i="89"/>
  <c r="F172" i="89"/>
  <c r="AS172" i="84"/>
  <c r="AS224" i="84"/>
  <c r="F224" i="89"/>
  <c r="F218" i="89"/>
  <c r="AS218" i="84"/>
  <c r="F88" i="89"/>
  <c r="AS88" i="84"/>
  <c r="F174" i="89"/>
  <c r="AS174" i="84"/>
  <c r="AS220" i="84"/>
  <c r="F220" i="89"/>
  <c r="F179" i="89"/>
  <c r="AS179" i="84"/>
  <c r="AS85" i="84"/>
  <c r="F85" i="89"/>
  <c r="F79" i="89"/>
  <c r="AS79" i="84"/>
  <c r="F131" i="89"/>
  <c r="AS131" i="84"/>
  <c r="AS125" i="84"/>
  <c r="F125" i="89"/>
  <c r="AS177" i="84"/>
  <c r="F177" i="89"/>
  <c r="AS171" i="84"/>
  <c r="F171" i="89"/>
  <c r="AS223" i="84"/>
  <c r="F223" i="89"/>
  <c r="AS217" i="84"/>
  <c r="F217" i="89"/>
  <c r="F82" i="89"/>
  <c r="AS82" i="84"/>
  <c r="F127" i="89"/>
  <c r="AS127" i="84"/>
  <c r="AS219" i="84"/>
  <c r="F219" i="89"/>
  <c r="AS90" i="84"/>
  <c r="F90" i="89"/>
  <c r="F84" i="89"/>
  <c r="AS84" i="84"/>
  <c r="AS78" i="84"/>
  <c r="F78" i="89"/>
  <c r="AS130" i="84"/>
  <c r="F130" i="89"/>
  <c r="AS124" i="84"/>
  <c r="F124" i="89"/>
  <c r="AS176" i="84"/>
  <c r="F176" i="89"/>
  <c r="F170" i="89"/>
  <c r="AS170" i="84"/>
  <c r="F222" i="89"/>
  <c r="AS222" i="84"/>
  <c r="F216" i="89"/>
  <c r="AS216" i="84"/>
  <c r="F134" i="89"/>
  <c r="AS134" i="84"/>
  <c r="F87" i="89"/>
  <c r="AS87" i="84"/>
  <c r="F133" i="89"/>
  <c r="AS133" i="84"/>
  <c r="F173" i="89"/>
  <c r="AS173" i="84"/>
  <c r="F213" i="89"/>
  <c r="AS213" i="84"/>
  <c r="F89" i="89"/>
  <c r="AS89" i="84"/>
  <c r="F83" i="89"/>
  <c r="AS83" i="84"/>
  <c r="AS135" i="84"/>
  <c r="F135" i="89"/>
  <c r="F129" i="89"/>
  <c r="AS129" i="84"/>
  <c r="F123" i="89"/>
  <c r="AS123" i="84"/>
  <c r="AS175" i="84"/>
  <c r="F175" i="89"/>
  <c r="F169" i="89"/>
  <c r="AS169" i="84"/>
  <c r="F221" i="89"/>
  <c r="AS221" i="84"/>
  <c r="AS215" i="84"/>
  <c r="F215" i="89"/>
  <c r="F180" i="89"/>
  <c r="AS180" i="84"/>
  <c r="AU211" i="84"/>
  <c r="AY211" i="84" s="1"/>
  <c r="W32" i="72"/>
  <c r="Q32" i="72"/>
  <c r="R35" i="84" s="1"/>
  <c r="AG35" i="84" s="1"/>
  <c r="V36" i="72"/>
  <c r="P36" i="72"/>
  <c r="Q39" i="84" s="1"/>
  <c r="AF39" i="84" s="1"/>
  <c r="W39" i="72"/>
  <c r="Q39" i="72"/>
  <c r="R42" i="84" s="1"/>
  <c r="AG42" i="84" s="1"/>
  <c r="Q33" i="72"/>
  <c r="R36" i="84" s="1"/>
  <c r="AG36" i="84" s="1"/>
  <c r="W33" i="72"/>
  <c r="V33" i="72"/>
  <c r="P33" i="72"/>
  <c r="Q36" i="84" s="1"/>
  <c r="AF36" i="84" s="1"/>
  <c r="P34" i="72"/>
  <c r="Q37" i="84" s="1"/>
  <c r="AF37" i="84" s="1"/>
  <c r="V34" i="72"/>
  <c r="P32" i="72"/>
  <c r="Q35" i="84" s="1"/>
  <c r="AF35" i="84" s="1"/>
  <c r="V32" i="72"/>
  <c r="P37" i="72"/>
  <c r="Q40" i="84" s="1"/>
  <c r="AF40" i="84" s="1"/>
  <c r="V37" i="72"/>
  <c r="Q37" i="72"/>
  <c r="R40" i="84" s="1"/>
  <c r="AG40" i="84" s="1"/>
  <c r="W37" i="72"/>
  <c r="P35" i="72"/>
  <c r="Q38" i="84" s="1"/>
  <c r="AF38" i="84" s="1"/>
  <c r="V35" i="72"/>
  <c r="Q42" i="72"/>
  <c r="R45" i="84" s="1"/>
  <c r="AG45" i="84" s="1"/>
  <c r="W42" i="72"/>
  <c r="W36" i="72"/>
  <c r="Q36" i="72"/>
  <c r="R39" i="84" s="1"/>
  <c r="AG39" i="84" s="1"/>
  <c r="W30" i="72"/>
  <c r="Q30" i="72"/>
  <c r="R33" i="84" s="1"/>
  <c r="AG33" i="84" s="1"/>
  <c r="V30" i="72"/>
  <c r="P30" i="72"/>
  <c r="Q33" i="84" s="1"/>
  <c r="AF33" i="84" s="1"/>
  <c r="W38" i="72"/>
  <c r="Q38" i="72"/>
  <c r="R41" i="84" s="1"/>
  <c r="AG41" i="84" s="1"/>
  <c r="P31" i="72"/>
  <c r="Q34" i="84" s="1"/>
  <c r="AF34" i="84" s="1"/>
  <c r="V31" i="72"/>
  <c r="V42" i="72"/>
  <c r="P42" i="72"/>
  <c r="Q45" i="84" s="1"/>
  <c r="AF45" i="84" s="1"/>
  <c r="W41" i="72"/>
  <c r="Q41" i="72"/>
  <c r="R44" i="84" s="1"/>
  <c r="AG44" i="84" s="1"/>
  <c r="W35" i="72"/>
  <c r="Q35" i="72"/>
  <c r="R38" i="84" s="1"/>
  <c r="AG38" i="84" s="1"/>
  <c r="P41" i="72"/>
  <c r="Q44" i="84" s="1"/>
  <c r="AF44" i="84" s="1"/>
  <c r="V41" i="72"/>
  <c r="V40" i="72"/>
  <c r="P40" i="72"/>
  <c r="Q43" i="84" s="1"/>
  <c r="AF43" i="84" s="1"/>
  <c r="Q31" i="72"/>
  <c r="R34" i="84" s="1"/>
  <c r="AG34" i="84" s="1"/>
  <c r="W31" i="72"/>
  <c r="V39" i="72"/>
  <c r="P39" i="72"/>
  <c r="Q42" i="84" s="1"/>
  <c r="AF42" i="84" s="1"/>
  <c r="Q40" i="72"/>
  <c r="R43" i="84" s="1"/>
  <c r="AG43" i="84" s="1"/>
  <c r="W40" i="72"/>
  <c r="Q34" i="72"/>
  <c r="R37" i="84" s="1"/>
  <c r="AG37" i="84" s="1"/>
  <c r="W34" i="72"/>
  <c r="P38" i="72"/>
  <c r="Q41" i="84" s="1"/>
  <c r="AF41" i="84" s="1"/>
  <c r="V38" i="72"/>
  <c r="AT40" i="70"/>
  <c r="AH40" i="70"/>
  <c r="AN40" i="70"/>
  <c r="AB40" i="70"/>
  <c r="AU43" i="87" s="1"/>
  <c r="Y41" i="70"/>
  <c r="AR44" i="87" s="1"/>
  <c r="AE41" i="70"/>
  <c r="AQ41" i="70"/>
  <c r="AK41" i="70"/>
  <c r="AA39" i="70"/>
  <c r="AT42" i="87" s="1"/>
  <c r="AG39" i="70"/>
  <c r="AS39" i="70"/>
  <c r="AM39" i="70"/>
  <c r="AL34" i="70"/>
  <c r="Z34" i="70"/>
  <c r="AS37" i="87" s="1"/>
  <c r="AR34" i="70"/>
  <c r="AF34" i="70"/>
  <c r="AA42" i="70"/>
  <c r="AT45" i="87" s="1"/>
  <c r="AM42" i="70"/>
  <c r="AG42" i="70"/>
  <c r="AS42" i="70"/>
  <c r="AB41" i="70"/>
  <c r="AU44" i="87" s="1"/>
  <c r="AN41" i="70"/>
  <c r="AH41" i="70"/>
  <c r="AT41" i="70"/>
  <c r="AK38" i="70"/>
  <c r="Y38" i="70"/>
  <c r="AR41" i="87" s="1"/>
  <c r="AQ38" i="70"/>
  <c r="AE38" i="70"/>
  <c r="AL37" i="70"/>
  <c r="Z37" i="70"/>
  <c r="AS40" i="87" s="1"/>
  <c r="AR37" i="70"/>
  <c r="AF37" i="70"/>
  <c r="AG36" i="70"/>
  <c r="AM36" i="70"/>
  <c r="AA36" i="70"/>
  <c r="AT39" i="87" s="1"/>
  <c r="AS36" i="70"/>
  <c r="AB35" i="70"/>
  <c r="AU38" i="87" s="1"/>
  <c r="AH35" i="70"/>
  <c r="AT35" i="70"/>
  <c r="AN35" i="70"/>
  <c r="AQ32" i="70"/>
  <c r="AE32" i="70"/>
  <c r="AK32" i="70"/>
  <c r="Y32" i="70"/>
  <c r="AR35" i="87" s="1"/>
  <c r="AL31" i="70"/>
  <c r="Z31" i="70"/>
  <c r="AS34" i="87" s="1"/>
  <c r="AR31" i="70"/>
  <c r="AF31" i="70"/>
  <c r="AG30" i="70"/>
  <c r="AS30" i="70"/>
  <c r="AA30" i="70"/>
  <c r="AT33" i="87" s="1"/>
  <c r="AM30" i="70"/>
  <c r="AS35" i="70"/>
  <c r="AG35" i="70"/>
  <c r="AA35" i="70"/>
  <c r="AT38" i="87" s="1"/>
  <c r="AM35" i="70"/>
  <c r="AE42" i="70"/>
  <c r="AQ42" i="70"/>
  <c r="Y42" i="70"/>
  <c r="AR45" i="87" s="1"/>
  <c r="AK42" i="70"/>
  <c r="AF41" i="70"/>
  <c r="AL41" i="70"/>
  <c r="AR41" i="70"/>
  <c r="Z41" i="70"/>
  <c r="AS44" i="87" s="1"/>
  <c r="AM40" i="70"/>
  <c r="AA40" i="70"/>
  <c r="AT43" i="87" s="1"/>
  <c r="AS40" i="70"/>
  <c r="AG40" i="70"/>
  <c r="AH39" i="70"/>
  <c r="AN39" i="70"/>
  <c r="AT39" i="70"/>
  <c r="AB39" i="70"/>
  <c r="AU42" i="87" s="1"/>
  <c r="AQ36" i="70"/>
  <c r="AE36" i="70"/>
  <c r="AK36" i="70"/>
  <c r="Y36" i="70"/>
  <c r="AR39" i="87" s="1"/>
  <c r="AL35" i="70"/>
  <c r="AF35" i="70"/>
  <c r="AR35" i="70"/>
  <c r="Z35" i="70"/>
  <c r="AS38" i="87" s="1"/>
  <c r="AS34" i="70"/>
  <c r="AG34" i="70"/>
  <c r="AA34" i="70"/>
  <c r="AT37" i="87" s="1"/>
  <c r="AM34" i="70"/>
  <c r="AN33" i="70"/>
  <c r="AB33" i="70"/>
  <c r="AU36" i="87" s="1"/>
  <c r="AT33" i="70"/>
  <c r="AH33" i="70"/>
  <c r="AQ30" i="70"/>
  <c r="Y30" i="70"/>
  <c r="AR33" i="87" s="1"/>
  <c r="AK30" i="70"/>
  <c r="AE30" i="70"/>
  <c r="Z42" i="70"/>
  <c r="AS45" i="87" s="1"/>
  <c r="AF42" i="70"/>
  <c r="AL42" i="70"/>
  <c r="AR42" i="70"/>
  <c r="Z36" i="70"/>
  <c r="AS39" i="87" s="1"/>
  <c r="AF36" i="70"/>
  <c r="AR36" i="70"/>
  <c r="AL36" i="70"/>
  <c r="AE31" i="70"/>
  <c r="AQ31" i="70"/>
  <c r="Y31" i="70"/>
  <c r="AR34" i="87" s="1"/>
  <c r="AK31" i="70"/>
  <c r="AF40" i="70"/>
  <c r="AL40" i="70"/>
  <c r="Z40" i="70"/>
  <c r="AS43" i="87" s="1"/>
  <c r="AR40" i="70"/>
  <c r="AT38" i="70"/>
  <c r="AB38" i="70"/>
  <c r="AU41" i="87" s="1"/>
  <c r="AN38" i="70"/>
  <c r="AH38" i="70"/>
  <c r="AQ35" i="70"/>
  <c r="AE35" i="70"/>
  <c r="Y35" i="70"/>
  <c r="AR38" i="87" s="1"/>
  <c r="AK35" i="70"/>
  <c r="AG33" i="70"/>
  <c r="AA33" i="70"/>
  <c r="AT36" i="87" s="1"/>
  <c r="AM33" i="70"/>
  <c r="AS33" i="70"/>
  <c r="Y40" i="70"/>
  <c r="AR43" i="87" s="1"/>
  <c r="AE40" i="70"/>
  <c r="AK40" i="70"/>
  <c r="AQ40" i="70"/>
  <c r="AR39" i="70"/>
  <c r="Z39" i="70"/>
  <c r="AS42" i="87" s="1"/>
  <c r="AF39" i="70"/>
  <c r="AL39" i="70"/>
  <c r="AM38" i="70"/>
  <c r="AA38" i="70"/>
  <c r="AT41" i="87" s="1"/>
  <c r="AS38" i="70"/>
  <c r="AG38" i="70"/>
  <c r="AT37" i="70"/>
  <c r="AN37" i="70"/>
  <c r="AH37" i="70"/>
  <c r="AB37" i="70"/>
  <c r="AU40" i="87" s="1"/>
  <c r="AE34" i="70"/>
  <c r="Y34" i="70"/>
  <c r="AR37" i="87" s="1"/>
  <c r="AK34" i="70"/>
  <c r="AQ34" i="70"/>
  <c r="Z33" i="70"/>
  <c r="AS36" i="87" s="1"/>
  <c r="AL33" i="70"/>
  <c r="AR33" i="70"/>
  <c r="AF33" i="70"/>
  <c r="AS32" i="70"/>
  <c r="AA32" i="70"/>
  <c r="AT35" i="87" s="1"/>
  <c r="AM32" i="70"/>
  <c r="AG32" i="70"/>
  <c r="AN31" i="70"/>
  <c r="AH31" i="70"/>
  <c r="AB31" i="70"/>
  <c r="AU34" i="87" s="1"/>
  <c r="AT31" i="70"/>
  <c r="AA41" i="70"/>
  <c r="AT44" i="87" s="1"/>
  <c r="AM41" i="70"/>
  <c r="AG41" i="70"/>
  <c r="AS41" i="70"/>
  <c r="AE37" i="70"/>
  <c r="AK37" i="70"/>
  <c r="Y37" i="70"/>
  <c r="AR40" i="87" s="1"/>
  <c r="AQ37" i="70"/>
  <c r="AN34" i="70"/>
  <c r="AH34" i="70"/>
  <c r="AT34" i="70"/>
  <c r="AB34" i="70"/>
  <c r="AU37" i="87" s="1"/>
  <c r="Z30" i="70"/>
  <c r="AS33" i="87" s="1"/>
  <c r="AF30" i="70"/>
  <c r="AR30" i="70"/>
  <c r="AL30" i="70"/>
  <c r="AB32" i="70"/>
  <c r="AU35" i="87" s="1"/>
  <c r="AN32" i="70"/>
  <c r="AH32" i="70"/>
  <c r="AT32" i="70"/>
  <c r="AB42" i="70"/>
  <c r="AU45" i="87" s="1"/>
  <c r="AN42" i="70"/>
  <c r="AH42" i="70"/>
  <c r="AT42" i="70"/>
  <c r="AK39" i="70"/>
  <c r="AQ39" i="70"/>
  <c r="AE39" i="70"/>
  <c r="Y39" i="70"/>
  <c r="AR42" i="87" s="1"/>
  <c r="AR38" i="70"/>
  <c r="AF38" i="70"/>
  <c r="Z38" i="70"/>
  <c r="AS41" i="87" s="1"/>
  <c r="AL38" i="70"/>
  <c r="AS37" i="70"/>
  <c r="AG37" i="70"/>
  <c r="AA37" i="70"/>
  <c r="AT40" i="87" s="1"/>
  <c r="AM37" i="70"/>
  <c r="AN36" i="70"/>
  <c r="AB36" i="70"/>
  <c r="AU39" i="87" s="1"/>
  <c r="AH36" i="70"/>
  <c r="AT36" i="70"/>
  <c r="AQ33" i="70"/>
  <c r="Y33" i="70"/>
  <c r="AR36" i="87" s="1"/>
  <c r="AK33" i="70"/>
  <c r="AE33" i="70"/>
  <c r="AL32" i="70"/>
  <c r="AF32" i="70"/>
  <c r="Z32" i="70"/>
  <c r="AS35" i="87" s="1"/>
  <c r="AR32" i="70"/>
  <c r="AS31" i="70"/>
  <c r="AG31" i="70"/>
  <c r="AM31" i="70"/>
  <c r="AA31" i="70"/>
  <c r="AT34" i="87" s="1"/>
  <c r="AN30" i="70"/>
  <c r="AB30" i="70"/>
  <c r="AU33" i="87" s="1"/>
  <c r="AT30" i="70"/>
  <c r="AH30" i="70"/>
  <c r="F161" i="18"/>
  <c r="G161" i="18"/>
  <c r="F162" i="18"/>
  <c r="G162" i="18"/>
  <c r="U198" i="68"/>
  <c r="V198" i="68"/>
  <c r="W198" i="68"/>
  <c r="Y198" i="68"/>
  <c r="AB198" i="68"/>
  <c r="AD198" i="68"/>
  <c r="U199" i="68"/>
  <c r="V199" i="68"/>
  <c r="W199" i="68"/>
  <c r="Y199" i="68"/>
  <c r="AB199" i="68"/>
  <c r="AD199" i="68"/>
  <c r="U200" i="68"/>
  <c r="V200" i="68"/>
  <c r="W200" i="68"/>
  <c r="Y200" i="68"/>
  <c r="AB200" i="68"/>
  <c r="AD200" i="68"/>
  <c r="U201" i="68"/>
  <c r="V201" i="68"/>
  <c r="W201" i="68"/>
  <c r="Y201" i="68"/>
  <c r="AB201" i="68"/>
  <c r="AD201" i="68"/>
  <c r="U202" i="68"/>
  <c r="V202" i="68"/>
  <c r="W202" i="68"/>
  <c r="Y202" i="68"/>
  <c r="AB202" i="68"/>
  <c r="AD202" i="68"/>
  <c r="U203" i="68"/>
  <c r="V203" i="68"/>
  <c r="W203" i="68"/>
  <c r="Y203" i="68"/>
  <c r="AB203" i="68"/>
  <c r="AD203" i="68"/>
  <c r="U204" i="68"/>
  <c r="V204" i="68"/>
  <c r="W204" i="68"/>
  <c r="AB204" i="68"/>
  <c r="U205" i="68"/>
  <c r="V205" i="68"/>
  <c r="W205" i="68"/>
  <c r="AB205" i="68"/>
  <c r="U206" i="68"/>
  <c r="V206" i="68"/>
  <c r="W206" i="68"/>
  <c r="AB206" i="68"/>
  <c r="U207" i="68"/>
  <c r="V207" i="68"/>
  <c r="W207" i="68"/>
  <c r="AB207" i="68"/>
  <c r="U208" i="68"/>
  <c r="V208" i="68"/>
  <c r="W208" i="68"/>
  <c r="AB208" i="68"/>
  <c r="U209" i="68"/>
  <c r="V209" i="68"/>
  <c r="W209" i="68"/>
  <c r="AB209" i="68"/>
  <c r="U210" i="68"/>
  <c r="V210" i="68"/>
  <c r="W210" i="68"/>
  <c r="X210" i="68"/>
  <c r="AB210" i="68"/>
  <c r="AC210" i="68"/>
  <c r="U211" i="68"/>
  <c r="V211" i="68"/>
  <c r="W211" i="68"/>
  <c r="X211" i="68"/>
  <c r="AB211" i="68"/>
  <c r="AC211" i="68"/>
  <c r="U212" i="68"/>
  <c r="V212" i="68"/>
  <c r="W212" i="68"/>
  <c r="X212" i="68"/>
  <c r="AB212" i="68"/>
  <c r="AC212" i="68"/>
  <c r="U213" i="68"/>
  <c r="V213" i="68"/>
  <c r="W213" i="68"/>
  <c r="X213" i="68"/>
  <c r="AB213" i="68"/>
  <c r="V201" i="71" s="1"/>
  <c r="W203" i="84" s="1"/>
  <c r="AC213" i="68"/>
  <c r="W201" i="71" s="1"/>
  <c r="X203" i="84" s="1"/>
  <c r="U214" i="68"/>
  <c r="V214" i="68"/>
  <c r="W214" i="68"/>
  <c r="X214" i="68"/>
  <c r="AB214" i="68"/>
  <c r="V202" i="71" s="1"/>
  <c r="W204" i="84" s="1"/>
  <c r="AC214" i="68"/>
  <c r="W202" i="71" s="1"/>
  <c r="X204" i="84" s="1"/>
  <c r="U215" i="68"/>
  <c r="V215" i="68"/>
  <c r="W215" i="68"/>
  <c r="X215" i="68"/>
  <c r="AB215" i="68"/>
  <c r="V203" i="71" s="1"/>
  <c r="W205" i="84" s="1"/>
  <c r="AC215" i="68"/>
  <c r="W203" i="71" s="1"/>
  <c r="X205" i="84" s="1"/>
  <c r="U216" i="68"/>
  <c r="V216" i="68"/>
  <c r="W216" i="68"/>
  <c r="X216" i="68"/>
  <c r="AB216" i="68"/>
  <c r="V204" i="71" s="1"/>
  <c r="W206" i="84" s="1"/>
  <c r="AC216" i="68"/>
  <c r="W204" i="71" s="1"/>
  <c r="X206" i="84" s="1"/>
  <c r="U217" i="68"/>
  <c r="V217" i="68"/>
  <c r="W217" i="68"/>
  <c r="X217" i="68"/>
  <c r="AB217" i="68"/>
  <c r="V205" i="71" s="1"/>
  <c r="W207" i="84" s="1"/>
  <c r="AC217" i="68"/>
  <c r="W205" i="71" s="1"/>
  <c r="X207" i="84" s="1"/>
  <c r="U218" i="68"/>
  <c r="V218" i="68"/>
  <c r="W218" i="68"/>
  <c r="X218" i="68"/>
  <c r="AB218" i="68"/>
  <c r="V206" i="71" s="1"/>
  <c r="W208" i="84" s="1"/>
  <c r="AC218" i="68"/>
  <c r="W206" i="71" s="1"/>
  <c r="X208" i="84" s="1"/>
  <c r="U219" i="68"/>
  <c r="V219" i="68"/>
  <c r="W219" i="68"/>
  <c r="X219" i="68"/>
  <c r="AB219" i="68"/>
  <c r="V207" i="71" s="1"/>
  <c r="W209" i="84" s="1"/>
  <c r="AC219" i="68"/>
  <c r="W207" i="71" s="1"/>
  <c r="X209" i="84" s="1"/>
  <c r="U220" i="68"/>
  <c r="V220" i="68"/>
  <c r="W220" i="68"/>
  <c r="X220" i="68"/>
  <c r="AB220" i="68"/>
  <c r="V208" i="71" s="1"/>
  <c r="W210" i="84" s="1"/>
  <c r="AC220" i="68"/>
  <c r="W208" i="71" s="1"/>
  <c r="X210" i="84" s="1"/>
  <c r="U221" i="68"/>
  <c r="V221" i="68"/>
  <c r="W221" i="68"/>
  <c r="X221" i="68"/>
  <c r="AB221" i="68"/>
  <c r="V209" i="71" s="1"/>
  <c r="W211" i="84" s="1"/>
  <c r="AC221" i="68"/>
  <c r="W209" i="71" s="1"/>
  <c r="X211" i="84" s="1"/>
  <c r="U222" i="68"/>
  <c r="V222" i="68"/>
  <c r="W222" i="68"/>
  <c r="X222" i="68"/>
  <c r="AB222" i="68"/>
  <c r="V210" i="71" s="1"/>
  <c r="W212" i="84" s="1"/>
  <c r="AC222" i="68"/>
  <c r="W210" i="71" s="1"/>
  <c r="X212" i="84" s="1"/>
  <c r="U153" i="68"/>
  <c r="V153" i="68"/>
  <c r="W153" i="68"/>
  <c r="Y153" i="68"/>
  <c r="AB153" i="68"/>
  <c r="AD153" i="68"/>
  <c r="U154" i="68"/>
  <c r="V154" i="68"/>
  <c r="W154" i="68"/>
  <c r="Y154" i="68"/>
  <c r="AB154" i="68"/>
  <c r="AD154" i="68"/>
  <c r="U155" i="68"/>
  <c r="V155" i="68"/>
  <c r="W155" i="68"/>
  <c r="Y155" i="68"/>
  <c r="AB155" i="68"/>
  <c r="AD155" i="68"/>
  <c r="U156" i="68"/>
  <c r="V156" i="68"/>
  <c r="W156" i="68"/>
  <c r="Y156" i="68"/>
  <c r="AB156" i="68"/>
  <c r="AD156" i="68"/>
  <c r="U157" i="68"/>
  <c r="V157" i="68"/>
  <c r="W157" i="68"/>
  <c r="Y157" i="68"/>
  <c r="AB157" i="68"/>
  <c r="AD157" i="68"/>
  <c r="U158" i="68"/>
  <c r="V158" i="68"/>
  <c r="W158" i="68"/>
  <c r="Y158" i="68"/>
  <c r="AB158" i="68"/>
  <c r="AD158" i="68"/>
  <c r="U159" i="68"/>
  <c r="V159" i="68"/>
  <c r="W159" i="68"/>
  <c r="AB159" i="68"/>
  <c r="U160" i="68"/>
  <c r="V160" i="68"/>
  <c r="W160" i="68"/>
  <c r="AB160" i="68"/>
  <c r="U161" i="68"/>
  <c r="V161" i="68"/>
  <c r="W161" i="68"/>
  <c r="AB161" i="68"/>
  <c r="U162" i="68"/>
  <c r="V162" i="68"/>
  <c r="W162" i="68"/>
  <c r="AB162" i="68"/>
  <c r="U163" i="68"/>
  <c r="V163" i="68"/>
  <c r="W163" i="68"/>
  <c r="AB163" i="68"/>
  <c r="U164" i="68"/>
  <c r="V164" i="68"/>
  <c r="W164" i="68"/>
  <c r="AB164" i="68"/>
  <c r="U165" i="68"/>
  <c r="V165" i="68"/>
  <c r="W165" i="68"/>
  <c r="X165" i="68"/>
  <c r="AB165" i="68"/>
  <c r="AC165" i="68"/>
  <c r="U166" i="68"/>
  <c r="V166" i="68"/>
  <c r="W166" i="68"/>
  <c r="X166" i="68"/>
  <c r="AB166" i="68"/>
  <c r="AC166" i="68"/>
  <c r="U167" i="68"/>
  <c r="V167" i="68"/>
  <c r="W167" i="68"/>
  <c r="X167" i="68"/>
  <c r="AB167" i="68"/>
  <c r="AC167" i="68"/>
  <c r="U168" i="68"/>
  <c r="V168" i="68"/>
  <c r="W168" i="68"/>
  <c r="X168" i="68"/>
  <c r="AB168" i="68"/>
  <c r="V156" i="71" s="1"/>
  <c r="W158" i="84" s="1"/>
  <c r="AC168" i="68"/>
  <c r="W156" i="71" s="1"/>
  <c r="X158" i="84" s="1"/>
  <c r="U169" i="68"/>
  <c r="V169" i="68"/>
  <c r="W169" i="68"/>
  <c r="X169" i="68"/>
  <c r="AB169" i="68"/>
  <c r="V157" i="71" s="1"/>
  <c r="W159" i="84" s="1"/>
  <c r="AC169" i="68"/>
  <c r="W157" i="71" s="1"/>
  <c r="X159" i="84" s="1"/>
  <c r="U170" i="68"/>
  <c r="V170" i="68"/>
  <c r="W170" i="68"/>
  <c r="X170" i="68"/>
  <c r="AB170" i="68"/>
  <c r="V158" i="71" s="1"/>
  <c r="W160" i="84" s="1"/>
  <c r="AC170" i="68"/>
  <c r="W158" i="71" s="1"/>
  <c r="X160" i="84" s="1"/>
  <c r="U171" i="68"/>
  <c r="V171" i="68"/>
  <c r="W171" i="68"/>
  <c r="X171" i="68"/>
  <c r="AB171" i="68"/>
  <c r="V159" i="71" s="1"/>
  <c r="W161" i="84" s="1"/>
  <c r="AC171" i="68"/>
  <c r="W159" i="71" s="1"/>
  <c r="X161" i="84" s="1"/>
  <c r="U172" i="68"/>
  <c r="V172" i="68"/>
  <c r="W172" i="68"/>
  <c r="X172" i="68"/>
  <c r="AB172" i="68"/>
  <c r="V160" i="71" s="1"/>
  <c r="W162" i="84" s="1"/>
  <c r="AC172" i="68"/>
  <c r="W160" i="71" s="1"/>
  <c r="X162" i="84" s="1"/>
  <c r="U173" i="68"/>
  <c r="V173" i="68"/>
  <c r="W173" i="68"/>
  <c r="X173" i="68"/>
  <c r="AB173" i="68"/>
  <c r="V161" i="71" s="1"/>
  <c r="W163" i="84" s="1"/>
  <c r="AC173" i="68"/>
  <c r="W161" i="71" s="1"/>
  <c r="X163" i="84" s="1"/>
  <c r="U174" i="68"/>
  <c r="V174" i="68"/>
  <c r="W174" i="68"/>
  <c r="X174" i="68"/>
  <c r="AB174" i="68"/>
  <c r="V162" i="71" s="1"/>
  <c r="W164" i="84" s="1"/>
  <c r="AC174" i="68"/>
  <c r="W162" i="71" s="1"/>
  <c r="X164" i="84" s="1"/>
  <c r="U175" i="68"/>
  <c r="V175" i="68"/>
  <c r="W175" i="68"/>
  <c r="X175" i="68"/>
  <c r="AB175" i="68"/>
  <c r="V163" i="71" s="1"/>
  <c r="W165" i="84" s="1"/>
  <c r="AC175" i="68"/>
  <c r="W163" i="71" s="1"/>
  <c r="X165" i="84" s="1"/>
  <c r="U176" i="68"/>
  <c r="V176" i="68"/>
  <c r="W176" i="68"/>
  <c r="X176" i="68"/>
  <c r="AB176" i="68"/>
  <c r="V164" i="71" s="1"/>
  <c r="W166" i="84" s="1"/>
  <c r="AC176" i="68"/>
  <c r="W164" i="71" s="1"/>
  <c r="X166" i="84" s="1"/>
  <c r="U177" i="68"/>
  <c r="V177" i="68"/>
  <c r="W177" i="68"/>
  <c r="X177" i="68"/>
  <c r="AB177" i="68"/>
  <c r="V165" i="71" s="1"/>
  <c r="W167" i="84" s="1"/>
  <c r="AC177" i="68"/>
  <c r="W165" i="71" s="1"/>
  <c r="X167" i="84" s="1"/>
  <c r="U108" i="68"/>
  <c r="V108" i="68"/>
  <c r="W108" i="68"/>
  <c r="Y108" i="68"/>
  <c r="AB108" i="68"/>
  <c r="AD108" i="68"/>
  <c r="U109" i="68"/>
  <c r="V109" i="68"/>
  <c r="W109" i="68"/>
  <c r="Y109" i="68"/>
  <c r="AB109" i="68"/>
  <c r="AD109" i="68"/>
  <c r="U110" i="68"/>
  <c r="V110" i="68"/>
  <c r="W110" i="68"/>
  <c r="Y110" i="68"/>
  <c r="AB110" i="68"/>
  <c r="AD110" i="68"/>
  <c r="U111" i="68"/>
  <c r="V111" i="68"/>
  <c r="W111" i="68"/>
  <c r="Y111" i="68"/>
  <c r="AB111" i="68"/>
  <c r="AD111" i="68"/>
  <c r="U112" i="68"/>
  <c r="V112" i="68"/>
  <c r="W112" i="68"/>
  <c r="Y112" i="68"/>
  <c r="AB112" i="68"/>
  <c r="AD112" i="68"/>
  <c r="U113" i="68"/>
  <c r="V113" i="68"/>
  <c r="W113" i="68"/>
  <c r="Y113" i="68"/>
  <c r="AB113" i="68"/>
  <c r="AD113" i="68"/>
  <c r="U114" i="68"/>
  <c r="V114" i="68"/>
  <c r="W114" i="68"/>
  <c r="AB114" i="68"/>
  <c r="U115" i="68"/>
  <c r="V115" i="68"/>
  <c r="W115" i="68"/>
  <c r="AB115" i="68"/>
  <c r="U116" i="68"/>
  <c r="V116" i="68"/>
  <c r="W116" i="68"/>
  <c r="AB116" i="68"/>
  <c r="U117" i="68"/>
  <c r="V117" i="68"/>
  <c r="W117" i="68"/>
  <c r="AB117" i="68"/>
  <c r="U118" i="68"/>
  <c r="V118" i="68"/>
  <c r="W118" i="68"/>
  <c r="AB118" i="68"/>
  <c r="U119" i="68"/>
  <c r="V119" i="68"/>
  <c r="W119" i="68"/>
  <c r="AB119" i="68"/>
  <c r="U120" i="68"/>
  <c r="V120" i="68"/>
  <c r="W120" i="68"/>
  <c r="X120" i="68"/>
  <c r="AB120" i="68"/>
  <c r="AC120" i="68"/>
  <c r="U121" i="68"/>
  <c r="V121" i="68"/>
  <c r="W121" i="68"/>
  <c r="X121" i="68"/>
  <c r="AB121" i="68"/>
  <c r="AC121" i="68"/>
  <c r="U122" i="68"/>
  <c r="V122" i="68"/>
  <c r="W122" i="68"/>
  <c r="X122" i="68"/>
  <c r="AB122" i="68"/>
  <c r="AC122" i="68"/>
  <c r="U123" i="68"/>
  <c r="V123" i="68"/>
  <c r="W123" i="68"/>
  <c r="X123" i="68"/>
  <c r="AB123" i="68"/>
  <c r="V111" i="71" s="1"/>
  <c r="W113" i="84" s="1"/>
  <c r="AC123" i="68"/>
  <c r="W111" i="71" s="1"/>
  <c r="X113" i="84" s="1"/>
  <c r="U124" i="68"/>
  <c r="V124" i="68"/>
  <c r="W124" i="68"/>
  <c r="X124" i="68"/>
  <c r="AB124" i="68"/>
  <c r="V112" i="71" s="1"/>
  <c r="W114" i="84" s="1"/>
  <c r="AC124" i="68"/>
  <c r="W112" i="71" s="1"/>
  <c r="X114" i="84" s="1"/>
  <c r="U125" i="68"/>
  <c r="V125" i="68"/>
  <c r="W125" i="68"/>
  <c r="X125" i="68"/>
  <c r="AB125" i="68"/>
  <c r="V113" i="71" s="1"/>
  <c r="W115" i="84" s="1"/>
  <c r="AC125" i="68"/>
  <c r="W113" i="71" s="1"/>
  <c r="X115" i="84" s="1"/>
  <c r="U126" i="68"/>
  <c r="V126" i="68"/>
  <c r="W126" i="68"/>
  <c r="X126" i="68"/>
  <c r="AB126" i="68"/>
  <c r="V114" i="71" s="1"/>
  <c r="W116" i="84" s="1"/>
  <c r="AC126" i="68"/>
  <c r="W114" i="71" s="1"/>
  <c r="X116" i="84" s="1"/>
  <c r="U127" i="68"/>
  <c r="V127" i="68"/>
  <c r="W127" i="68"/>
  <c r="X127" i="68"/>
  <c r="AB127" i="68"/>
  <c r="V115" i="71" s="1"/>
  <c r="W117" i="84" s="1"/>
  <c r="AC127" i="68"/>
  <c r="W115" i="71" s="1"/>
  <c r="X117" i="84" s="1"/>
  <c r="U128" i="68"/>
  <c r="V128" i="68"/>
  <c r="W128" i="68"/>
  <c r="X128" i="68"/>
  <c r="AB128" i="68"/>
  <c r="V116" i="71" s="1"/>
  <c r="W118" i="84" s="1"/>
  <c r="AC128" i="68"/>
  <c r="W116" i="71" s="1"/>
  <c r="X118" i="84" s="1"/>
  <c r="U129" i="68"/>
  <c r="V129" i="68"/>
  <c r="W129" i="68"/>
  <c r="X129" i="68"/>
  <c r="AB129" i="68"/>
  <c r="V117" i="71" s="1"/>
  <c r="W119" i="84" s="1"/>
  <c r="AC129" i="68"/>
  <c r="W117" i="71" s="1"/>
  <c r="X119" i="84" s="1"/>
  <c r="U130" i="68"/>
  <c r="V130" i="68"/>
  <c r="W130" i="68"/>
  <c r="X130" i="68"/>
  <c r="AB130" i="68"/>
  <c r="V118" i="71" s="1"/>
  <c r="W120" i="84" s="1"/>
  <c r="AC130" i="68"/>
  <c r="W118" i="71" s="1"/>
  <c r="X120" i="84" s="1"/>
  <c r="U131" i="68"/>
  <c r="V131" i="68"/>
  <c r="W131" i="68"/>
  <c r="X131" i="68"/>
  <c r="AB131" i="68"/>
  <c r="V119" i="71" s="1"/>
  <c r="W121" i="84" s="1"/>
  <c r="AC131" i="68"/>
  <c r="W119" i="71" s="1"/>
  <c r="X121" i="84" s="1"/>
  <c r="U132" i="68"/>
  <c r="V132" i="68"/>
  <c r="W132" i="68"/>
  <c r="X132" i="68"/>
  <c r="AB132" i="68"/>
  <c r="V120" i="71" s="1"/>
  <c r="W122" i="84" s="1"/>
  <c r="AC132" i="68"/>
  <c r="W120" i="71" s="1"/>
  <c r="X122" i="84" s="1"/>
  <c r="AC75" i="68"/>
  <c r="AC76" i="68"/>
  <c r="AC77" i="68"/>
  <c r="AC78" i="68"/>
  <c r="W66" i="71" s="1"/>
  <c r="X68" i="84" s="1"/>
  <c r="AC79" i="68"/>
  <c r="W67" i="71" s="1"/>
  <c r="X69" i="84" s="1"/>
  <c r="AC80" i="68"/>
  <c r="W68" i="71" s="1"/>
  <c r="X70" i="84" s="1"/>
  <c r="AC81" i="68"/>
  <c r="W69" i="71" s="1"/>
  <c r="X71" i="84" s="1"/>
  <c r="AC82" i="68"/>
  <c r="W70" i="71" s="1"/>
  <c r="X72" i="84" s="1"/>
  <c r="AC83" i="68"/>
  <c r="W71" i="71" s="1"/>
  <c r="X73" i="84" s="1"/>
  <c r="AC84" i="68"/>
  <c r="W72" i="71" s="1"/>
  <c r="X74" i="84" s="1"/>
  <c r="AC85" i="68"/>
  <c r="W73" i="71" s="1"/>
  <c r="X75" i="84" s="1"/>
  <c r="AC86" i="68"/>
  <c r="W74" i="71" s="1"/>
  <c r="X76" i="84" s="1"/>
  <c r="AC87" i="68"/>
  <c r="W75" i="71" s="1"/>
  <c r="X77" i="84" s="1"/>
  <c r="U63" i="68"/>
  <c r="V63" i="68"/>
  <c r="W63" i="68"/>
  <c r="Y63" i="68"/>
  <c r="AB63" i="68"/>
  <c r="AD63" i="68"/>
  <c r="U64" i="68"/>
  <c r="V64" i="68"/>
  <c r="W64" i="68"/>
  <c r="Y64" i="68"/>
  <c r="AB64" i="68"/>
  <c r="AD64" i="68"/>
  <c r="U65" i="68"/>
  <c r="V65" i="68"/>
  <c r="W65" i="68"/>
  <c r="Y65" i="68"/>
  <c r="AB65" i="68"/>
  <c r="AD65" i="68"/>
  <c r="U66" i="68"/>
  <c r="V66" i="68"/>
  <c r="W66" i="68"/>
  <c r="Y66" i="68"/>
  <c r="AB66" i="68"/>
  <c r="AD66" i="68"/>
  <c r="U67" i="68"/>
  <c r="V67" i="68"/>
  <c r="W67" i="68"/>
  <c r="Y67" i="68"/>
  <c r="AB67" i="68"/>
  <c r="AD67" i="68"/>
  <c r="U68" i="68"/>
  <c r="V68" i="68"/>
  <c r="W68" i="68"/>
  <c r="Y68" i="68"/>
  <c r="AB68" i="68"/>
  <c r="AD68" i="68"/>
  <c r="U69" i="68"/>
  <c r="V69" i="68"/>
  <c r="W69" i="68"/>
  <c r="AB69" i="68"/>
  <c r="U70" i="68"/>
  <c r="V70" i="68"/>
  <c r="W70" i="68"/>
  <c r="AB70" i="68"/>
  <c r="U71" i="68"/>
  <c r="V71" i="68"/>
  <c r="W71" i="68"/>
  <c r="AB71" i="68"/>
  <c r="U72" i="68"/>
  <c r="V72" i="68"/>
  <c r="W72" i="68"/>
  <c r="AB72" i="68"/>
  <c r="U73" i="68"/>
  <c r="V73" i="68"/>
  <c r="W73" i="68"/>
  <c r="AB73" i="68"/>
  <c r="U74" i="68"/>
  <c r="V74" i="68"/>
  <c r="W74" i="68"/>
  <c r="AB74" i="68"/>
  <c r="U75" i="68"/>
  <c r="V75" i="68"/>
  <c r="W75" i="68"/>
  <c r="X75" i="68"/>
  <c r="AB75" i="68"/>
  <c r="U76" i="68"/>
  <c r="V76" i="68"/>
  <c r="W76" i="68"/>
  <c r="X76" i="68"/>
  <c r="AB76" i="68"/>
  <c r="U77" i="68"/>
  <c r="V77" i="68"/>
  <c r="W77" i="68"/>
  <c r="X77" i="68"/>
  <c r="AB77" i="68"/>
  <c r="U78" i="68"/>
  <c r="V78" i="68"/>
  <c r="W78" i="68"/>
  <c r="X78" i="68"/>
  <c r="AB78" i="68"/>
  <c r="V66" i="71" s="1"/>
  <c r="W68" i="84" s="1"/>
  <c r="U79" i="68"/>
  <c r="V79" i="68"/>
  <c r="W79" i="68"/>
  <c r="X79" i="68"/>
  <c r="AB79" i="68"/>
  <c r="V67" i="71" s="1"/>
  <c r="W69" i="84" s="1"/>
  <c r="U80" i="68"/>
  <c r="V80" i="68"/>
  <c r="W80" i="68"/>
  <c r="X80" i="68"/>
  <c r="AB80" i="68"/>
  <c r="V68" i="71" s="1"/>
  <c r="W70" i="84" s="1"/>
  <c r="U81" i="68"/>
  <c r="V81" i="68"/>
  <c r="W81" i="68"/>
  <c r="X81" i="68"/>
  <c r="AB81" i="68"/>
  <c r="V69" i="71" s="1"/>
  <c r="W71" i="84" s="1"/>
  <c r="U82" i="68"/>
  <c r="V82" i="68"/>
  <c r="W82" i="68"/>
  <c r="X82" i="68"/>
  <c r="AB82" i="68"/>
  <c r="V70" i="71" s="1"/>
  <c r="W72" i="84" s="1"/>
  <c r="U83" i="68"/>
  <c r="V83" i="68"/>
  <c r="W83" i="68"/>
  <c r="X83" i="68"/>
  <c r="AB83" i="68"/>
  <c r="V71" i="71" s="1"/>
  <c r="W73" i="84" s="1"/>
  <c r="U84" i="68"/>
  <c r="V84" i="68"/>
  <c r="W84" i="68"/>
  <c r="X84" i="68"/>
  <c r="AB84" i="68"/>
  <c r="V72" i="71" s="1"/>
  <c r="W74" i="84" s="1"/>
  <c r="U85" i="68"/>
  <c r="V85" i="68"/>
  <c r="W85" i="68"/>
  <c r="X85" i="68"/>
  <c r="AB85" i="68"/>
  <c r="V73" i="71" s="1"/>
  <c r="W75" i="84" s="1"/>
  <c r="U86" i="68"/>
  <c r="V86" i="68"/>
  <c r="W86" i="68"/>
  <c r="X86" i="68"/>
  <c r="AB86" i="68"/>
  <c r="V74" i="71" s="1"/>
  <c r="W76" i="84" s="1"/>
  <c r="U87" i="68"/>
  <c r="V87" i="68"/>
  <c r="W87" i="68"/>
  <c r="X87" i="68"/>
  <c r="AB87" i="68"/>
  <c r="V75" i="71" s="1"/>
  <c r="W77" i="84" s="1"/>
  <c r="AU78" i="68"/>
  <c r="AU123" i="68" s="1"/>
  <c r="AU168" i="68" s="1"/>
  <c r="AU213" i="68" s="1"/>
  <c r="AV78" i="68"/>
  <c r="AV123" i="68" s="1"/>
  <c r="AV168" i="68" s="1"/>
  <c r="AV213" i="68" s="1"/>
  <c r="AW78" i="68"/>
  <c r="AW123" i="68" s="1"/>
  <c r="AW168" i="68" s="1"/>
  <c r="AW213" i="68" s="1"/>
  <c r="AX78" i="68"/>
  <c r="AX123" i="68" s="1"/>
  <c r="AX168" i="68" s="1"/>
  <c r="AX213" i="68" s="1"/>
  <c r="AY78" i="68"/>
  <c r="AY123" i="68" s="1"/>
  <c r="AY168" i="68" s="1"/>
  <c r="AY213" i="68" s="1"/>
  <c r="AU79" i="68"/>
  <c r="AU124" i="68" s="1"/>
  <c r="AU169" i="68" s="1"/>
  <c r="AU214" i="68" s="1"/>
  <c r="AV79" i="68"/>
  <c r="AV124" i="68" s="1"/>
  <c r="AV169" i="68" s="1"/>
  <c r="AV214" i="68" s="1"/>
  <c r="AW79" i="68"/>
  <c r="AW124" i="68" s="1"/>
  <c r="AW169" i="68" s="1"/>
  <c r="AW214" i="68" s="1"/>
  <c r="AX79" i="68"/>
  <c r="AX124" i="68" s="1"/>
  <c r="AX169" i="68" s="1"/>
  <c r="AX214" i="68" s="1"/>
  <c r="AY79" i="68"/>
  <c r="AY124" i="68" s="1"/>
  <c r="AY169" i="68" s="1"/>
  <c r="AY214" i="68" s="1"/>
  <c r="AU80" i="68"/>
  <c r="AU125" i="68" s="1"/>
  <c r="AU170" i="68" s="1"/>
  <c r="AU215" i="68" s="1"/>
  <c r="AV80" i="68"/>
  <c r="AV125" i="68" s="1"/>
  <c r="AV170" i="68" s="1"/>
  <c r="AV215" i="68" s="1"/>
  <c r="AW80" i="68"/>
  <c r="AW125" i="68" s="1"/>
  <c r="AW170" i="68" s="1"/>
  <c r="AW215" i="68" s="1"/>
  <c r="AX80" i="68"/>
  <c r="AX125" i="68" s="1"/>
  <c r="AX170" i="68" s="1"/>
  <c r="AX215" i="68" s="1"/>
  <c r="AY80" i="68"/>
  <c r="AY125" i="68" s="1"/>
  <c r="AY170" i="68" s="1"/>
  <c r="AY215" i="68" s="1"/>
  <c r="AU81" i="68"/>
  <c r="AU126" i="68" s="1"/>
  <c r="AU171" i="68" s="1"/>
  <c r="AU216" i="68" s="1"/>
  <c r="AV81" i="68"/>
  <c r="AV126" i="68" s="1"/>
  <c r="AV171" i="68" s="1"/>
  <c r="AV216" i="68" s="1"/>
  <c r="AW81" i="68"/>
  <c r="AW126" i="68" s="1"/>
  <c r="AW171" i="68" s="1"/>
  <c r="AW216" i="68" s="1"/>
  <c r="AX81" i="68"/>
  <c r="AX126" i="68" s="1"/>
  <c r="AX171" i="68" s="1"/>
  <c r="AX216" i="68" s="1"/>
  <c r="AY81" i="68"/>
  <c r="AY126" i="68" s="1"/>
  <c r="AY171" i="68" s="1"/>
  <c r="AY216" i="68" s="1"/>
  <c r="AU82" i="68"/>
  <c r="AU127" i="68" s="1"/>
  <c r="AU172" i="68" s="1"/>
  <c r="AU217" i="68" s="1"/>
  <c r="AV82" i="68"/>
  <c r="AV127" i="68" s="1"/>
  <c r="AV172" i="68" s="1"/>
  <c r="AV217" i="68" s="1"/>
  <c r="AW82" i="68"/>
  <c r="AW127" i="68" s="1"/>
  <c r="AW172" i="68" s="1"/>
  <c r="AW217" i="68" s="1"/>
  <c r="AX82" i="68"/>
  <c r="AX127" i="68" s="1"/>
  <c r="AX172" i="68" s="1"/>
  <c r="AX217" i="68" s="1"/>
  <c r="AY82" i="68"/>
  <c r="AY127" i="68" s="1"/>
  <c r="AY172" i="68" s="1"/>
  <c r="AY217" i="68" s="1"/>
  <c r="AU83" i="68"/>
  <c r="AU128" i="68" s="1"/>
  <c r="AU173" i="68" s="1"/>
  <c r="AU218" i="68" s="1"/>
  <c r="AV83" i="68"/>
  <c r="AV128" i="68" s="1"/>
  <c r="AV173" i="68" s="1"/>
  <c r="AV218" i="68" s="1"/>
  <c r="AW83" i="68"/>
  <c r="AW128" i="68" s="1"/>
  <c r="AW173" i="68" s="1"/>
  <c r="AW218" i="68" s="1"/>
  <c r="AX83" i="68"/>
  <c r="AX128" i="68" s="1"/>
  <c r="AX173" i="68" s="1"/>
  <c r="AX218" i="68" s="1"/>
  <c r="AY83" i="68"/>
  <c r="AY128" i="68" s="1"/>
  <c r="AY173" i="68" s="1"/>
  <c r="AY218" i="68" s="1"/>
  <c r="AU84" i="68"/>
  <c r="AU129" i="68" s="1"/>
  <c r="AU174" i="68" s="1"/>
  <c r="AU219" i="68" s="1"/>
  <c r="AV84" i="68"/>
  <c r="AV129" i="68" s="1"/>
  <c r="AV174" i="68" s="1"/>
  <c r="AV219" i="68" s="1"/>
  <c r="AW84" i="68"/>
  <c r="AW129" i="68" s="1"/>
  <c r="AW174" i="68" s="1"/>
  <c r="AW219" i="68" s="1"/>
  <c r="AX84" i="68"/>
  <c r="AX129" i="68" s="1"/>
  <c r="AX174" i="68" s="1"/>
  <c r="AX219" i="68" s="1"/>
  <c r="AY84" i="68"/>
  <c r="AY129" i="68" s="1"/>
  <c r="AY174" i="68" s="1"/>
  <c r="AY219" i="68" s="1"/>
  <c r="AU85" i="68"/>
  <c r="AU130" i="68" s="1"/>
  <c r="AU175" i="68" s="1"/>
  <c r="AU220" i="68" s="1"/>
  <c r="AV85" i="68"/>
  <c r="AV130" i="68" s="1"/>
  <c r="AV175" i="68" s="1"/>
  <c r="AV220" i="68" s="1"/>
  <c r="AW85" i="68"/>
  <c r="AW130" i="68" s="1"/>
  <c r="AW175" i="68" s="1"/>
  <c r="AW220" i="68" s="1"/>
  <c r="AX85" i="68"/>
  <c r="AX130" i="68" s="1"/>
  <c r="AX175" i="68" s="1"/>
  <c r="AX220" i="68" s="1"/>
  <c r="AY85" i="68"/>
  <c r="AY130" i="68" s="1"/>
  <c r="AY175" i="68" s="1"/>
  <c r="AY220" i="68" s="1"/>
  <c r="AU86" i="68"/>
  <c r="AU131" i="68" s="1"/>
  <c r="AU176" i="68" s="1"/>
  <c r="AU221" i="68" s="1"/>
  <c r="AV86" i="68"/>
  <c r="AV131" i="68" s="1"/>
  <c r="AV176" i="68" s="1"/>
  <c r="AV221" i="68" s="1"/>
  <c r="AW86" i="68"/>
  <c r="AW131" i="68" s="1"/>
  <c r="AW176" i="68" s="1"/>
  <c r="AW221" i="68" s="1"/>
  <c r="AX86" i="68"/>
  <c r="AX131" i="68" s="1"/>
  <c r="AX176" i="68" s="1"/>
  <c r="AX221" i="68" s="1"/>
  <c r="AY86" i="68"/>
  <c r="AY131" i="68" s="1"/>
  <c r="AY176" i="68" s="1"/>
  <c r="AY221" i="68" s="1"/>
  <c r="AU87" i="68"/>
  <c r="AU132" i="68" s="1"/>
  <c r="AU177" i="68" s="1"/>
  <c r="AU222" i="68" s="1"/>
  <c r="AV87" i="68"/>
  <c r="AV132" i="68" s="1"/>
  <c r="AV177" i="68" s="1"/>
  <c r="AV222" i="68" s="1"/>
  <c r="AW87" i="68"/>
  <c r="AW132" i="68" s="1"/>
  <c r="AW177" i="68" s="1"/>
  <c r="AW222" i="68" s="1"/>
  <c r="AX87" i="68"/>
  <c r="AX132" i="68" s="1"/>
  <c r="AX177" i="68" s="1"/>
  <c r="AX222" i="68" s="1"/>
  <c r="AY87" i="68"/>
  <c r="AY132" i="68" s="1"/>
  <c r="AY177" i="68" s="1"/>
  <c r="AY222" i="68" s="1"/>
  <c r="AT78" i="68"/>
  <c r="AT123" i="68" s="1"/>
  <c r="AT168" i="68" s="1"/>
  <c r="AT213" i="68" s="1"/>
  <c r="AT79" i="68"/>
  <c r="AT124" i="68" s="1"/>
  <c r="AT169" i="68" s="1"/>
  <c r="AT214" i="68" s="1"/>
  <c r="AT80" i="68"/>
  <c r="AT125" i="68" s="1"/>
  <c r="AT170" i="68" s="1"/>
  <c r="AT215" i="68" s="1"/>
  <c r="AT81" i="68"/>
  <c r="AT126" i="68" s="1"/>
  <c r="AT171" i="68" s="1"/>
  <c r="AT216" i="68" s="1"/>
  <c r="AT82" i="68"/>
  <c r="AT127" i="68" s="1"/>
  <c r="AT172" i="68" s="1"/>
  <c r="AT217" i="68" s="1"/>
  <c r="AT83" i="68"/>
  <c r="AT128" i="68" s="1"/>
  <c r="AT173" i="68" s="1"/>
  <c r="AT218" i="68" s="1"/>
  <c r="AT84" i="68"/>
  <c r="AT129" i="68" s="1"/>
  <c r="AT174" i="68" s="1"/>
  <c r="AT219" i="68" s="1"/>
  <c r="AT85" i="68"/>
  <c r="AT130" i="68" s="1"/>
  <c r="AT175" i="68" s="1"/>
  <c r="AT220" i="68" s="1"/>
  <c r="AT86" i="68"/>
  <c r="AT131" i="68" s="1"/>
  <c r="AT176" i="68" s="1"/>
  <c r="AT221" i="68" s="1"/>
  <c r="AT87" i="68"/>
  <c r="AT132" i="68" s="1"/>
  <c r="AT177" i="68" s="1"/>
  <c r="AT222" i="68" s="1"/>
  <c r="U18" i="68"/>
  <c r="V18" i="68"/>
  <c r="W18" i="68"/>
  <c r="Y18" i="68"/>
  <c r="AB18" i="68"/>
  <c r="AD18" i="68"/>
  <c r="U19" i="68"/>
  <c r="V19" i="68"/>
  <c r="W19" i="68"/>
  <c r="Y19" i="68"/>
  <c r="AB19" i="68"/>
  <c r="AD19" i="68"/>
  <c r="U20" i="68"/>
  <c r="V20" i="68"/>
  <c r="W20" i="68"/>
  <c r="Y20" i="68"/>
  <c r="AB20" i="68"/>
  <c r="AD20" i="68"/>
  <c r="U21" i="68"/>
  <c r="V21" i="68"/>
  <c r="W21" i="68"/>
  <c r="Y21" i="68"/>
  <c r="AB21" i="68"/>
  <c r="AD21" i="68"/>
  <c r="U22" i="68"/>
  <c r="V22" i="68"/>
  <c r="W22" i="68"/>
  <c r="Y22" i="68"/>
  <c r="AB22" i="68"/>
  <c r="AD22" i="68"/>
  <c r="U23" i="68"/>
  <c r="V23" i="68"/>
  <c r="W23" i="68"/>
  <c r="Y23" i="68"/>
  <c r="AB23" i="68"/>
  <c r="AD23" i="68"/>
  <c r="U24" i="68"/>
  <c r="V24" i="68"/>
  <c r="W24" i="68"/>
  <c r="AB24" i="68"/>
  <c r="U25" i="68"/>
  <c r="V25" i="68"/>
  <c r="W25" i="68"/>
  <c r="AB25" i="68"/>
  <c r="U26" i="68"/>
  <c r="V26" i="68"/>
  <c r="W26" i="68"/>
  <c r="AB26" i="68"/>
  <c r="U27" i="68"/>
  <c r="V27" i="68"/>
  <c r="W27" i="68"/>
  <c r="AB27" i="68"/>
  <c r="U28" i="68"/>
  <c r="V28" i="68"/>
  <c r="W28" i="68"/>
  <c r="AB28" i="68"/>
  <c r="U29" i="68"/>
  <c r="V29" i="68"/>
  <c r="W29" i="68"/>
  <c r="AB29" i="68"/>
  <c r="U30" i="68"/>
  <c r="V30" i="68"/>
  <c r="W30" i="68"/>
  <c r="X30" i="68"/>
  <c r="AB30" i="68"/>
  <c r="AC30" i="68"/>
  <c r="U31" i="68"/>
  <c r="V31" i="68"/>
  <c r="W31" i="68"/>
  <c r="X31" i="68"/>
  <c r="AB31" i="68"/>
  <c r="AC31" i="68"/>
  <c r="U32" i="68"/>
  <c r="V32" i="68"/>
  <c r="W32" i="68"/>
  <c r="X32" i="68"/>
  <c r="AB32" i="68"/>
  <c r="AC32" i="68"/>
  <c r="U33" i="68"/>
  <c r="V33" i="68"/>
  <c r="W33" i="68"/>
  <c r="X33" i="68"/>
  <c r="AB33" i="68"/>
  <c r="V21" i="71" s="1"/>
  <c r="W23" i="84" s="1"/>
  <c r="AC33" i="68"/>
  <c r="W21" i="71" s="1"/>
  <c r="X23" i="84" s="1"/>
  <c r="U34" i="68"/>
  <c r="V34" i="68"/>
  <c r="W34" i="68"/>
  <c r="X34" i="68"/>
  <c r="AB34" i="68"/>
  <c r="V22" i="71" s="1"/>
  <c r="W24" i="84" s="1"/>
  <c r="AC34" i="68"/>
  <c r="W22" i="71" s="1"/>
  <c r="X24" i="84" s="1"/>
  <c r="U35" i="68"/>
  <c r="V35" i="68"/>
  <c r="W35" i="68"/>
  <c r="X35" i="68"/>
  <c r="AB35" i="68"/>
  <c r="V23" i="71" s="1"/>
  <c r="W25" i="84" s="1"/>
  <c r="AC35" i="68"/>
  <c r="W23" i="71" s="1"/>
  <c r="X25" i="84" s="1"/>
  <c r="U36" i="68"/>
  <c r="V36" i="68"/>
  <c r="W36" i="68"/>
  <c r="X36" i="68"/>
  <c r="AB36" i="68"/>
  <c r="V24" i="71" s="1"/>
  <c r="W26" i="84" s="1"/>
  <c r="AC36" i="68"/>
  <c r="W24" i="71" s="1"/>
  <c r="X26" i="84" s="1"/>
  <c r="U37" i="68"/>
  <c r="V37" i="68"/>
  <c r="W37" i="68"/>
  <c r="X37" i="68"/>
  <c r="AB37" i="68"/>
  <c r="V25" i="71" s="1"/>
  <c r="W27" i="84" s="1"/>
  <c r="AC37" i="68"/>
  <c r="W25" i="71" s="1"/>
  <c r="X27" i="84" s="1"/>
  <c r="U38" i="68"/>
  <c r="V38" i="68"/>
  <c r="W38" i="68"/>
  <c r="X38" i="68"/>
  <c r="AB38" i="68"/>
  <c r="V26" i="71" s="1"/>
  <c r="W28" i="84" s="1"/>
  <c r="AC38" i="68"/>
  <c r="W26" i="71" s="1"/>
  <c r="X28" i="84" s="1"/>
  <c r="U39" i="68"/>
  <c r="V39" i="68"/>
  <c r="W39" i="68"/>
  <c r="X39" i="68"/>
  <c r="AB39" i="68"/>
  <c r="V27" i="71" s="1"/>
  <c r="W29" i="84" s="1"/>
  <c r="AC39" i="68"/>
  <c r="W27" i="71" s="1"/>
  <c r="X29" i="84" s="1"/>
  <c r="U40" i="68"/>
  <c r="V40" i="68"/>
  <c r="W40" i="68"/>
  <c r="X40" i="68"/>
  <c r="AB40" i="68"/>
  <c r="V28" i="71" s="1"/>
  <c r="W30" i="84" s="1"/>
  <c r="AC40" i="68"/>
  <c r="W28" i="71" s="1"/>
  <c r="X30" i="84" s="1"/>
  <c r="U41" i="68"/>
  <c r="V41" i="68"/>
  <c r="W41" i="68"/>
  <c r="X41" i="68"/>
  <c r="AB41" i="68"/>
  <c r="V29" i="71" s="1"/>
  <c r="W31" i="84" s="1"/>
  <c r="AC41" i="68"/>
  <c r="W29" i="71" s="1"/>
  <c r="X31" i="84" s="1"/>
  <c r="U42" i="68"/>
  <c r="V42" i="68"/>
  <c r="W42" i="68"/>
  <c r="X42" i="68"/>
  <c r="AB42" i="68"/>
  <c r="V30" i="71" s="1"/>
  <c r="W32" i="84" s="1"/>
  <c r="AC42" i="68"/>
  <c r="W30" i="71" s="1"/>
  <c r="X32" i="84" s="1"/>
  <c r="C213" i="68"/>
  <c r="C214" i="68"/>
  <c r="C215" i="68"/>
  <c r="C216" i="68"/>
  <c r="C217" i="68"/>
  <c r="C218" i="68"/>
  <c r="C219" i="68"/>
  <c r="C220" i="68"/>
  <c r="C221" i="68"/>
  <c r="C222" i="68"/>
  <c r="C168" i="68"/>
  <c r="C169" i="68"/>
  <c r="C170" i="68"/>
  <c r="C171" i="68"/>
  <c r="C172" i="68"/>
  <c r="C173" i="68"/>
  <c r="C174" i="68"/>
  <c r="C175" i="68"/>
  <c r="C176" i="68"/>
  <c r="C177" i="68"/>
  <c r="C123" i="68"/>
  <c r="C124" i="68"/>
  <c r="C125" i="68"/>
  <c r="C126" i="68"/>
  <c r="C127" i="68"/>
  <c r="C128" i="68"/>
  <c r="C129" i="68"/>
  <c r="C130" i="68"/>
  <c r="C131" i="68"/>
  <c r="C132" i="68"/>
  <c r="C78" i="68"/>
  <c r="C79" i="68"/>
  <c r="C80" i="68"/>
  <c r="C81" i="68"/>
  <c r="C82" i="68"/>
  <c r="C83" i="68"/>
  <c r="C84" i="68"/>
  <c r="C85" i="68"/>
  <c r="C86" i="68"/>
  <c r="C87" i="68"/>
  <c r="B19" i="68"/>
  <c r="B20" i="68"/>
  <c r="B21" i="68"/>
  <c r="B22" i="68"/>
  <c r="B23" i="68"/>
  <c r="B24" i="68"/>
  <c r="B25" i="68"/>
  <c r="B26" i="68"/>
  <c r="B27" i="68"/>
  <c r="B28" i="68"/>
  <c r="B29" i="68"/>
  <c r="B30" i="68"/>
  <c r="B31" i="68"/>
  <c r="B32" i="68"/>
  <c r="B33" i="68"/>
  <c r="B34" i="68"/>
  <c r="B35" i="68"/>
  <c r="B36" i="68"/>
  <c r="B37" i="68"/>
  <c r="B38" i="68"/>
  <c r="B39" i="68"/>
  <c r="B40" i="68"/>
  <c r="B41" i="68"/>
  <c r="B42" i="68"/>
  <c r="B18" i="68"/>
  <c r="AL54" i="18"/>
  <c r="AS54" i="18"/>
  <c r="AL55" i="18"/>
  <c r="AS55" i="18"/>
  <c r="AL56" i="18"/>
  <c r="AS56" i="18"/>
  <c r="AL57" i="18"/>
  <c r="AS57" i="18"/>
  <c r="AL58" i="18"/>
  <c r="AS58" i="18"/>
  <c r="AL59" i="18"/>
  <c r="AS59" i="18"/>
  <c r="AL60" i="18"/>
  <c r="AS60" i="18"/>
  <c r="AL61" i="18"/>
  <c r="AS61" i="18"/>
  <c r="AL62" i="18"/>
  <c r="AS62" i="18"/>
  <c r="AL63" i="18"/>
  <c r="AS63" i="18"/>
  <c r="AL64" i="18"/>
  <c r="AS64" i="18"/>
  <c r="AL65" i="18"/>
  <c r="AS65" i="18"/>
  <c r="AL66" i="18"/>
  <c r="AS66" i="18"/>
  <c r="AL67" i="18"/>
  <c r="AS67" i="18"/>
  <c r="AL68" i="18"/>
  <c r="AS68" i="18"/>
  <c r="AL69" i="18"/>
  <c r="AS69" i="18"/>
  <c r="AL70" i="18"/>
  <c r="AS70" i="18"/>
  <c r="AL71" i="18"/>
  <c r="AS71" i="18"/>
  <c r="AL72" i="18"/>
  <c r="AS72" i="18"/>
  <c r="AL73" i="18"/>
  <c r="AS73" i="18"/>
  <c r="AL74" i="18"/>
  <c r="AS74" i="18"/>
  <c r="AL75" i="18"/>
  <c r="AS75" i="18"/>
  <c r="AL76" i="18"/>
  <c r="AS76" i="18"/>
  <c r="AL77" i="18"/>
  <c r="AS77" i="18"/>
  <c r="AL78" i="18"/>
  <c r="AS78" i="18"/>
  <c r="AL79" i="18"/>
  <c r="AS79" i="18"/>
  <c r="AL80" i="18"/>
  <c r="AS80" i="18"/>
  <c r="AL81" i="18"/>
  <c r="AS81" i="18"/>
  <c r="AL82" i="18"/>
  <c r="AS82" i="18"/>
  <c r="AL83" i="18"/>
  <c r="AS83" i="18"/>
  <c r="AS5" i="18"/>
  <c r="AT5" i="18"/>
  <c r="AU5" i="18"/>
  <c r="AV5" i="18"/>
  <c r="AW5" i="18"/>
  <c r="AX5" i="18"/>
  <c r="AS6" i="18"/>
  <c r="AT6" i="18"/>
  <c r="AU6" i="18"/>
  <c r="AV6" i="18"/>
  <c r="AW6" i="18"/>
  <c r="AX6" i="18"/>
  <c r="AS7" i="18"/>
  <c r="AT7" i="18"/>
  <c r="AU7" i="18"/>
  <c r="AV7" i="18"/>
  <c r="AW7" i="18"/>
  <c r="AX7" i="18"/>
  <c r="AS8" i="18"/>
  <c r="AT8" i="18"/>
  <c r="AU8" i="18"/>
  <c r="AV8" i="18"/>
  <c r="AW8" i="18"/>
  <c r="AX8" i="18"/>
  <c r="AS9" i="18"/>
  <c r="AT9" i="18"/>
  <c r="AU9" i="18"/>
  <c r="AV9" i="18"/>
  <c r="AW9" i="18"/>
  <c r="AX9" i="18"/>
  <c r="AS10" i="18"/>
  <c r="AT10" i="18"/>
  <c r="AU10" i="18"/>
  <c r="AV10" i="18"/>
  <c r="AW10" i="18"/>
  <c r="AX10" i="18"/>
  <c r="AS11" i="18"/>
  <c r="AT11" i="18"/>
  <c r="AU11" i="18"/>
  <c r="AV11" i="18"/>
  <c r="AW11" i="18"/>
  <c r="AX11" i="18"/>
  <c r="AS12" i="18"/>
  <c r="AT12" i="18"/>
  <c r="AU12" i="18"/>
  <c r="AV12" i="18"/>
  <c r="AW12" i="18"/>
  <c r="AX12" i="18"/>
  <c r="AS13" i="18"/>
  <c r="AT13" i="18"/>
  <c r="AU13" i="18"/>
  <c r="AV13" i="18"/>
  <c r="AW13" i="18"/>
  <c r="AX13" i="18"/>
  <c r="AS14" i="18"/>
  <c r="AT14" i="18"/>
  <c r="AU14" i="18"/>
  <c r="AV14" i="18"/>
  <c r="AW14" i="18"/>
  <c r="AX14" i="18"/>
  <c r="AS15" i="18"/>
  <c r="AT15" i="18"/>
  <c r="AU15" i="18"/>
  <c r="AV15" i="18"/>
  <c r="AW15" i="18"/>
  <c r="AX15" i="18"/>
  <c r="AS16" i="18"/>
  <c r="AT16" i="18"/>
  <c r="AU16" i="18"/>
  <c r="AV16" i="18"/>
  <c r="AW16" i="18"/>
  <c r="AX16" i="18"/>
  <c r="AS17" i="18"/>
  <c r="AT17" i="18"/>
  <c r="AU17" i="18"/>
  <c r="AV17" i="18"/>
  <c r="AW17" i="18"/>
  <c r="AX17" i="18"/>
  <c r="AS18" i="18"/>
  <c r="AT18" i="18"/>
  <c r="AU18" i="18"/>
  <c r="AV18" i="18"/>
  <c r="AW18" i="18"/>
  <c r="AX18" i="18"/>
  <c r="AS19" i="18"/>
  <c r="AT19" i="18"/>
  <c r="AU19" i="18"/>
  <c r="AV19" i="18"/>
  <c r="AW19" i="18"/>
  <c r="AX19" i="18"/>
  <c r="AS20" i="18"/>
  <c r="AT20" i="18"/>
  <c r="AU20" i="18"/>
  <c r="AV20" i="18"/>
  <c r="AW20" i="18"/>
  <c r="AX20" i="18"/>
  <c r="AS21" i="18"/>
  <c r="AT21" i="18"/>
  <c r="AU21" i="18"/>
  <c r="AV21" i="18"/>
  <c r="AW21" i="18"/>
  <c r="AX21" i="18"/>
  <c r="AS22" i="18"/>
  <c r="AT22" i="18"/>
  <c r="AU22" i="18"/>
  <c r="AV22" i="18"/>
  <c r="AW22" i="18"/>
  <c r="AX22" i="18"/>
  <c r="AS23" i="18"/>
  <c r="AT23" i="18"/>
  <c r="AU23" i="18"/>
  <c r="AV23" i="18"/>
  <c r="AW23" i="18"/>
  <c r="AX23" i="18"/>
  <c r="AS24" i="18"/>
  <c r="AT24" i="18"/>
  <c r="AU24" i="18"/>
  <c r="AV24" i="18"/>
  <c r="AW24" i="18"/>
  <c r="AX24" i="18"/>
  <c r="AS25" i="18"/>
  <c r="AT25" i="18"/>
  <c r="AU25" i="18"/>
  <c r="AV25" i="18"/>
  <c r="AW25" i="18"/>
  <c r="AX25" i="18"/>
  <c r="AS26" i="18"/>
  <c r="AT26" i="18"/>
  <c r="AU26" i="18"/>
  <c r="AV26" i="18"/>
  <c r="AW26" i="18"/>
  <c r="AX26" i="18"/>
  <c r="AS27" i="18"/>
  <c r="AT27" i="18"/>
  <c r="AU27" i="18"/>
  <c r="AV27" i="18"/>
  <c r="AW27" i="18"/>
  <c r="AX27" i="18"/>
  <c r="AS28" i="18"/>
  <c r="AT28" i="18"/>
  <c r="AU28" i="18"/>
  <c r="AV28" i="18"/>
  <c r="AW28" i="18"/>
  <c r="AX28" i="18"/>
  <c r="AS29" i="18"/>
  <c r="AT29" i="18"/>
  <c r="AU29" i="18"/>
  <c r="AV29" i="18"/>
  <c r="AW29" i="18"/>
  <c r="AX29" i="18"/>
  <c r="AS30" i="18"/>
  <c r="AT30" i="18"/>
  <c r="AU30" i="18"/>
  <c r="AV30" i="18"/>
  <c r="AW30" i="18"/>
  <c r="AX30" i="18"/>
  <c r="AS31" i="18"/>
  <c r="AT31" i="18"/>
  <c r="AU31" i="18"/>
  <c r="AV31" i="18"/>
  <c r="AW31" i="18"/>
  <c r="AX31" i="18"/>
  <c r="AS32" i="18"/>
  <c r="AT32" i="18"/>
  <c r="AU32" i="18"/>
  <c r="AV32" i="18"/>
  <c r="AW32" i="18"/>
  <c r="AX32" i="18"/>
  <c r="AS33" i="18"/>
  <c r="AT33" i="18"/>
  <c r="AU33" i="18"/>
  <c r="AV33" i="18"/>
  <c r="AW33" i="18"/>
  <c r="AX33" i="18"/>
  <c r="AS34" i="18"/>
  <c r="AT34" i="18"/>
  <c r="AU34" i="18"/>
  <c r="AV34" i="18"/>
  <c r="AW34" i="18"/>
  <c r="AX34" i="18"/>
  <c r="AS35" i="18"/>
  <c r="AT35" i="18"/>
  <c r="AU35" i="18"/>
  <c r="AV35" i="18"/>
  <c r="AW35" i="18"/>
  <c r="AX35" i="18"/>
  <c r="AS36" i="18"/>
  <c r="AT36" i="18"/>
  <c r="AU36" i="18"/>
  <c r="AV36" i="18"/>
  <c r="AW36" i="18"/>
  <c r="AX36" i="18"/>
  <c r="AS37" i="18"/>
  <c r="AT37" i="18"/>
  <c r="AU37" i="18"/>
  <c r="AV37" i="18"/>
  <c r="AW37" i="18"/>
  <c r="AX37" i="18"/>
  <c r="AS38" i="18"/>
  <c r="AT38" i="18"/>
  <c r="AU38" i="18"/>
  <c r="AV38" i="18"/>
  <c r="AW38" i="18"/>
  <c r="AX38" i="18"/>
  <c r="AS39" i="18"/>
  <c r="AS40" i="18"/>
  <c r="AS41" i="18"/>
  <c r="AS42" i="18"/>
  <c r="AS43" i="18"/>
  <c r="AS44" i="18"/>
  <c r="AS45" i="18"/>
  <c r="AS46" i="18"/>
  <c r="AS47" i="18"/>
  <c r="AS48" i="18"/>
  <c r="AS49" i="18"/>
  <c r="AS50" i="18"/>
  <c r="AS51" i="18"/>
  <c r="AS52" i="18"/>
  <c r="AS53" i="18"/>
  <c r="AS4" i="18"/>
  <c r="AL5" i="18"/>
  <c r="AM5" i="18"/>
  <c r="AN5" i="18"/>
  <c r="AO5" i="18"/>
  <c r="AP5" i="18"/>
  <c r="AQ5" i="18"/>
  <c r="AL6" i="18"/>
  <c r="AM6" i="18"/>
  <c r="AN6" i="18"/>
  <c r="AO6" i="18"/>
  <c r="AP6" i="18"/>
  <c r="AQ6" i="18"/>
  <c r="AL7" i="18"/>
  <c r="AM7" i="18"/>
  <c r="AN7" i="18"/>
  <c r="AO7" i="18"/>
  <c r="AP7" i="18"/>
  <c r="AQ7" i="18"/>
  <c r="AL8" i="18"/>
  <c r="AM8" i="18"/>
  <c r="AN8" i="18"/>
  <c r="AO8" i="18"/>
  <c r="AP8" i="18"/>
  <c r="AQ8" i="18"/>
  <c r="AL9" i="18"/>
  <c r="AM9" i="18"/>
  <c r="AN9" i="18"/>
  <c r="AO9" i="18"/>
  <c r="AP9" i="18"/>
  <c r="AQ9" i="18"/>
  <c r="AL10" i="18"/>
  <c r="AM10" i="18"/>
  <c r="AN10" i="18"/>
  <c r="AO10" i="18"/>
  <c r="AP10" i="18"/>
  <c r="AQ10" i="18"/>
  <c r="AL11" i="18"/>
  <c r="AM11" i="18"/>
  <c r="AN11" i="18"/>
  <c r="AO11" i="18"/>
  <c r="AP11" i="18"/>
  <c r="AQ11" i="18"/>
  <c r="AL12" i="18"/>
  <c r="AM12" i="18"/>
  <c r="AN12" i="18"/>
  <c r="AO12" i="18"/>
  <c r="AP12" i="18"/>
  <c r="AQ12" i="18"/>
  <c r="AL13" i="18"/>
  <c r="AM13" i="18"/>
  <c r="AN13" i="18"/>
  <c r="AO13" i="18"/>
  <c r="AP13" i="18"/>
  <c r="AQ13" i="18"/>
  <c r="AL14" i="18"/>
  <c r="AM14" i="18"/>
  <c r="AN14" i="18"/>
  <c r="AO14" i="18"/>
  <c r="AP14" i="18"/>
  <c r="AQ14" i="18"/>
  <c r="AL15" i="18"/>
  <c r="AM15" i="18"/>
  <c r="AN15" i="18"/>
  <c r="AO15" i="18"/>
  <c r="AP15" i="18"/>
  <c r="AQ15" i="18"/>
  <c r="AL16" i="18"/>
  <c r="AM16" i="18"/>
  <c r="AN16" i="18"/>
  <c r="AO16" i="18"/>
  <c r="AP16" i="18"/>
  <c r="AQ16" i="18"/>
  <c r="AL17" i="18"/>
  <c r="AM17" i="18"/>
  <c r="AN17" i="18"/>
  <c r="AO17" i="18"/>
  <c r="AP17" i="18"/>
  <c r="AQ17" i="18"/>
  <c r="AL18" i="18"/>
  <c r="AM18" i="18"/>
  <c r="AN18" i="18"/>
  <c r="AO18" i="18"/>
  <c r="AP18" i="18"/>
  <c r="AQ18" i="18"/>
  <c r="AL19" i="18"/>
  <c r="AM19" i="18"/>
  <c r="AN19" i="18"/>
  <c r="AO19" i="18"/>
  <c r="AP19" i="18"/>
  <c r="AQ19" i="18"/>
  <c r="AL20" i="18"/>
  <c r="AM20" i="18"/>
  <c r="AN20" i="18"/>
  <c r="AO20" i="18"/>
  <c r="AP20" i="18"/>
  <c r="AQ20" i="18"/>
  <c r="AL21" i="18"/>
  <c r="AM21" i="18"/>
  <c r="AN21" i="18"/>
  <c r="AO21" i="18"/>
  <c r="AP21" i="18"/>
  <c r="AQ21" i="18"/>
  <c r="AL22" i="18"/>
  <c r="AM22" i="18"/>
  <c r="AN22" i="18"/>
  <c r="AO22" i="18"/>
  <c r="AP22" i="18"/>
  <c r="AQ22" i="18"/>
  <c r="AL23" i="18"/>
  <c r="AM23" i="18"/>
  <c r="AN23" i="18"/>
  <c r="AO23" i="18"/>
  <c r="AP23" i="18"/>
  <c r="AQ23" i="18"/>
  <c r="AL24" i="18"/>
  <c r="AM24" i="18"/>
  <c r="AN24" i="18"/>
  <c r="AO24" i="18"/>
  <c r="AP24" i="18"/>
  <c r="AQ24" i="18"/>
  <c r="AL25" i="18"/>
  <c r="AM25" i="18"/>
  <c r="AN25" i="18"/>
  <c r="AO25" i="18"/>
  <c r="AP25" i="18"/>
  <c r="AQ25" i="18"/>
  <c r="AL26" i="18"/>
  <c r="AM26" i="18"/>
  <c r="AN26" i="18"/>
  <c r="AO26" i="18"/>
  <c r="AP26" i="18"/>
  <c r="AQ26" i="18"/>
  <c r="AL27" i="18"/>
  <c r="AM27" i="18"/>
  <c r="AN27" i="18"/>
  <c r="AO27" i="18"/>
  <c r="AP27" i="18"/>
  <c r="AQ27" i="18"/>
  <c r="AL28" i="18"/>
  <c r="AM28" i="18"/>
  <c r="AN28" i="18"/>
  <c r="AO28" i="18"/>
  <c r="AP28" i="18"/>
  <c r="AQ28" i="18"/>
  <c r="AL29" i="18"/>
  <c r="AM29" i="18"/>
  <c r="AN29" i="18"/>
  <c r="AO29" i="18"/>
  <c r="AP29" i="18"/>
  <c r="AQ29" i="18"/>
  <c r="AL30" i="18"/>
  <c r="AM30" i="18"/>
  <c r="AN30" i="18"/>
  <c r="AO30" i="18"/>
  <c r="AP30" i="18"/>
  <c r="AQ30" i="18"/>
  <c r="AL31" i="18"/>
  <c r="AM31" i="18"/>
  <c r="AN31" i="18"/>
  <c r="AO31" i="18"/>
  <c r="AP31" i="18"/>
  <c r="AQ31" i="18"/>
  <c r="AL32" i="18"/>
  <c r="AM32" i="18"/>
  <c r="AN32" i="18"/>
  <c r="AO32" i="18"/>
  <c r="AP32" i="18"/>
  <c r="AQ32" i="18"/>
  <c r="AL33" i="18"/>
  <c r="AM33" i="18"/>
  <c r="AN33" i="18"/>
  <c r="AO33" i="18"/>
  <c r="AP33" i="18"/>
  <c r="AQ33" i="18"/>
  <c r="AL34" i="18"/>
  <c r="AM34" i="18"/>
  <c r="AN34" i="18"/>
  <c r="AO34" i="18"/>
  <c r="AP34" i="18"/>
  <c r="AQ34" i="18"/>
  <c r="AL35" i="18"/>
  <c r="AM35" i="18"/>
  <c r="AN35" i="18"/>
  <c r="AO35" i="18"/>
  <c r="AP35" i="18"/>
  <c r="AQ35" i="18"/>
  <c r="AL36" i="18"/>
  <c r="AM36" i="18"/>
  <c r="AN36" i="18"/>
  <c r="AO36" i="18"/>
  <c r="AP36" i="18"/>
  <c r="AQ36" i="18"/>
  <c r="AL37" i="18"/>
  <c r="AM37" i="18"/>
  <c r="AN37" i="18"/>
  <c r="AO37" i="18"/>
  <c r="AP37" i="18"/>
  <c r="AQ37" i="18"/>
  <c r="AL38" i="18"/>
  <c r="AM38" i="18"/>
  <c r="AN38" i="18"/>
  <c r="AO38" i="18"/>
  <c r="AP38" i="18"/>
  <c r="AQ38" i="18"/>
  <c r="AL39" i="18"/>
  <c r="AL40" i="18"/>
  <c r="AL41" i="18"/>
  <c r="AL42" i="18"/>
  <c r="AL43" i="18"/>
  <c r="AL44" i="18"/>
  <c r="AL45" i="18"/>
  <c r="AL46" i="18"/>
  <c r="AL47" i="18"/>
  <c r="AL48" i="18"/>
  <c r="AL49" i="18"/>
  <c r="AL50" i="18"/>
  <c r="AL51" i="18"/>
  <c r="AL52" i="18"/>
  <c r="AL53" i="18"/>
  <c r="AM4" i="18"/>
  <c r="AN4" i="18"/>
  <c r="AO4" i="18"/>
  <c r="AP4" i="18"/>
  <c r="AQ4" i="18"/>
  <c r="AL4" i="18"/>
  <c r="N114" i="18"/>
  <c r="O114" i="18"/>
  <c r="P114" i="18"/>
  <c r="Q114" i="18"/>
  <c r="R114" i="18"/>
  <c r="S114" i="18"/>
  <c r="T114" i="18"/>
  <c r="V114" i="18"/>
  <c r="W114" i="18"/>
  <c r="X114" i="18"/>
  <c r="Y114" i="18"/>
  <c r="Z114" i="18"/>
  <c r="AA114" i="18"/>
  <c r="N115" i="18"/>
  <c r="O115" i="18"/>
  <c r="P115" i="18"/>
  <c r="Q115" i="18"/>
  <c r="R115" i="18"/>
  <c r="S115" i="18"/>
  <c r="T115" i="18"/>
  <c r="V115" i="18"/>
  <c r="W115" i="18"/>
  <c r="X115" i="18"/>
  <c r="Y115" i="18"/>
  <c r="Z115" i="18"/>
  <c r="AA115" i="18"/>
  <c r="N116" i="18"/>
  <c r="O116" i="18"/>
  <c r="P116" i="18"/>
  <c r="Q116" i="18"/>
  <c r="R116" i="18"/>
  <c r="S116" i="18"/>
  <c r="T116" i="18"/>
  <c r="V116" i="18"/>
  <c r="W116" i="18"/>
  <c r="X116" i="18"/>
  <c r="Y116" i="18"/>
  <c r="Z116" i="18"/>
  <c r="AA116" i="18"/>
  <c r="N117" i="18"/>
  <c r="O117" i="18"/>
  <c r="P117" i="18"/>
  <c r="Q117" i="18"/>
  <c r="R117" i="18"/>
  <c r="S117" i="18"/>
  <c r="T117" i="18"/>
  <c r="V117" i="18"/>
  <c r="W117" i="18"/>
  <c r="X117" i="18"/>
  <c r="Y117" i="18"/>
  <c r="Z117" i="18"/>
  <c r="AA117" i="18"/>
  <c r="N118" i="18"/>
  <c r="O118" i="18"/>
  <c r="P118" i="18"/>
  <c r="CP27" i="84" s="1"/>
  <c r="Q118" i="18"/>
  <c r="CP63" i="84" s="1"/>
  <c r="R118" i="18"/>
  <c r="S118" i="18"/>
  <c r="T118" i="18"/>
  <c r="V118" i="18"/>
  <c r="W118" i="18"/>
  <c r="X118" i="18"/>
  <c r="Y118" i="18"/>
  <c r="Z118" i="18"/>
  <c r="AA118" i="18"/>
  <c r="N119" i="18"/>
  <c r="O119" i="18"/>
  <c r="P119" i="18"/>
  <c r="Q119" i="18"/>
  <c r="R119" i="18"/>
  <c r="S119" i="18"/>
  <c r="T119" i="18"/>
  <c r="V119" i="18"/>
  <c r="W119" i="18"/>
  <c r="X119" i="18"/>
  <c r="Y119" i="18"/>
  <c r="Z119" i="18"/>
  <c r="AA119" i="18"/>
  <c r="N120" i="18"/>
  <c r="O120" i="18"/>
  <c r="P120" i="18"/>
  <c r="Q120" i="18"/>
  <c r="R120" i="18"/>
  <c r="S120" i="18"/>
  <c r="T120" i="18"/>
  <c r="V120" i="18"/>
  <c r="W120" i="18"/>
  <c r="X120" i="18"/>
  <c r="Y120" i="18"/>
  <c r="Z120" i="18"/>
  <c r="AA120" i="18"/>
  <c r="N121" i="18"/>
  <c r="O121" i="18"/>
  <c r="P121" i="18"/>
  <c r="Q121" i="18"/>
  <c r="R121" i="18"/>
  <c r="S121" i="18"/>
  <c r="T121" i="18"/>
  <c r="V121" i="18"/>
  <c r="W121" i="18"/>
  <c r="X121" i="18"/>
  <c r="Y121" i="18"/>
  <c r="Z121" i="18"/>
  <c r="AA121" i="18"/>
  <c r="N122" i="18"/>
  <c r="O122" i="18"/>
  <c r="P122" i="18"/>
  <c r="Q122" i="18"/>
  <c r="R122" i="18"/>
  <c r="S122" i="18"/>
  <c r="T122" i="18"/>
  <c r="V122" i="18"/>
  <c r="W122" i="18"/>
  <c r="X122" i="18"/>
  <c r="Y122" i="18"/>
  <c r="Z122" i="18"/>
  <c r="AA122" i="18"/>
  <c r="N123" i="18"/>
  <c r="O123" i="18"/>
  <c r="P123" i="18"/>
  <c r="CP28" i="84" s="1"/>
  <c r="Q123" i="18"/>
  <c r="CP64" i="84" s="1"/>
  <c r="R123" i="18"/>
  <c r="S123" i="18"/>
  <c r="T123" i="18"/>
  <c r="V123" i="18"/>
  <c r="W123" i="18"/>
  <c r="X123" i="18"/>
  <c r="Y123" i="18"/>
  <c r="Z123" i="18"/>
  <c r="AA123" i="18"/>
  <c r="N124" i="18"/>
  <c r="O124" i="18"/>
  <c r="P124" i="18"/>
  <c r="Q124" i="18"/>
  <c r="R124" i="18"/>
  <c r="S124" i="18"/>
  <c r="T124" i="18"/>
  <c r="V124" i="18"/>
  <c r="W124" i="18"/>
  <c r="X124" i="18"/>
  <c r="Y124" i="18"/>
  <c r="Z124" i="18"/>
  <c r="AA124" i="18"/>
  <c r="N125" i="18"/>
  <c r="O125" i="18"/>
  <c r="P125" i="18"/>
  <c r="Q125" i="18"/>
  <c r="R125" i="18"/>
  <c r="S125" i="18"/>
  <c r="T125" i="18"/>
  <c r="V125" i="18"/>
  <c r="W125" i="18"/>
  <c r="X125" i="18"/>
  <c r="Y125" i="18"/>
  <c r="Z125" i="18"/>
  <c r="AA125" i="18"/>
  <c r="N126" i="18"/>
  <c r="O126" i="18"/>
  <c r="P126" i="18"/>
  <c r="Q126" i="18"/>
  <c r="R126" i="18"/>
  <c r="S126" i="18"/>
  <c r="T126" i="18"/>
  <c r="V126" i="18"/>
  <c r="W126" i="18"/>
  <c r="X126" i="18"/>
  <c r="Y126" i="18"/>
  <c r="Z126" i="18"/>
  <c r="AA126" i="18"/>
  <c r="N127" i="18"/>
  <c r="O127" i="18"/>
  <c r="P127" i="18"/>
  <c r="Q127" i="18"/>
  <c r="R127" i="18"/>
  <c r="S127" i="18"/>
  <c r="T127" i="18"/>
  <c r="V127" i="18"/>
  <c r="W127" i="18"/>
  <c r="X127" i="18"/>
  <c r="Y127" i="18"/>
  <c r="Z127" i="18"/>
  <c r="AA127" i="18"/>
  <c r="N128" i="18"/>
  <c r="O128" i="18"/>
  <c r="P128" i="18"/>
  <c r="CP29" i="84" s="1"/>
  <c r="Q128" i="18"/>
  <c r="CP65" i="84" s="1"/>
  <c r="R128" i="18"/>
  <c r="S128" i="18"/>
  <c r="T128" i="18"/>
  <c r="V128" i="18"/>
  <c r="W128" i="18"/>
  <c r="X128" i="18"/>
  <c r="Y128" i="18"/>
  <c r="Z128" i="18"/>
  <c r="AA128" i="18"/>
  <c r="N129" i="18"/>
  <c r="O129" i="18"/>
  <c r="P129" i="18"/>
  <c r="Q129" i="18"/>
  <c r="R129" i="18"/>
  <c r="S129" i="18"/>
  <c r="T129" i="18"/>
  <c r="V129" i="18"/>
  <c r="W129" i="18"/>
  <c r="X129" i="18"/>
  <c r="Y129" i="18"/>
  <c r="Z129" i="18"/>
  <c r="AA129" i="18"/>
  <c r="N130" i="18"/>
  <c r="O130" i="18"/>
  <c r="P130" i="18"/>
  <c r="Q130" i="18"/>
  <c r="R130" i="18"/>
  <c r="S130" i="18"/>
  <c r="T130" i="18"/>
  <c r="V130" i="18"/>
  <c r="W130" i="18"/>
  <c r="X130" i="18"/>
  <c r="Y130" i="18"/>
  <c r="Z130" i="18"/>
  <c r="AA130" i="18"/>
  <c r="N131" i="18"/>
  <c r="O131" i="18"/>
  <c r="P131" i="18"/>
  <c r="Q131" i="18"/>
  <c r="R131" i="18"/>
  <c r="S131" i="18"/>
  <c r="T131" i="18"/>
  <c r="V131" i="18"/>
  <c r="W131" i="18"/>
  <c r="X131" i="18"/>
  <c r="Y131" i="18"/>
  <c r="Z131" i="18"/>
  <c r="AA131" i="18"/>
  <c r="N132" i="18"/>
  <c r="O132" i="18"/>
  <c r="P132" i="18"/>
  <c r="Q132" i="18"/>
  <c r="R132" i="18"/>
  <c r="S132" i="18"/>
  <c r="T132" i="18"/>
  <c r="V132" i="18"/>
  <c r="W132" i="18"/>
  <c r="X132" i="18"/>
  <c r="Y132" i="18"/>
  <c r="Z132" i="18"/>
  <c r="AA132" i="18"/>
  <c r="N133" i="18"/>
  <c r="O133" i="18"/>
  <c r="P133" i="18"/>
  <c r="CP30" i="84" s="1"/>
  <c r="Q133" i="18"/>
  <c r="CP66" i="84" s="1"/>
  <c r="R133" i="18"/>
  <c r="S133" i="18"/>
  <c r="T133" i="18"/>
  <c r="V133" i="18"/>
  <c r="W133" i="18"/>
  <c r="X133" i="18"/>
  <c r="Y133" i="18"/>
  <c r="Z133" i="18"/>
  <c r="AA133" i="18"/>
  <c r="N134" i="18"/>
  <c r="O134" i="18"/>
  <c r="P134" i="18"/>
  <c r="Q134" i="18"/>
  <c r="R134" i="18"/>
  <c r="S134" i="18"/>
  <c r="T134" i="18"/>
  <c r="V134" i="18"/>
  <c r="W134" i="18"/>
  <c r="X134" i="18"/>
  <c r="Y134" i="18"/>
  <c r="Z134" i="18"/>
  <c r="AA134" i="18"/>
  <c r="N135" i="18"/>
  <c r="O135" i="18"/>
  <c r="P135" i="18"/>
  <c r="Q135" i="18"/>
  <c r="R135" i="18"/>
  <c r="S135" i="18"/>
  <c r="T135" i="18"/>
  <c r="V135" i="18"/>
  <c r="W135" i="18"/>
  <c r="X135" i="18"/>
  <c r="Y135" i="18"/>
  <c r="Z135" i="18"/>
  <c r="AA135" i="18"/>
  <c r="N136" i="18"/>
  <c r="O136" i="18"/>
  <c r="P136" i="18"/>
  <c r="Q136" i="18"/>
  <c r="R136" i="18"/>
  <c r="S136" i="18"/>
  <c r="T136" i="18"/>
  <c r="V136" i="18"/>
  <c r="W136" i="18"/>
  <c r="X136" i="18"/>
  <c r="Y136" i="18"/>
  <c r="Z136" i="18"/>
  <c r="AA136" i="18"/>
  <c r="N137" i="18"/>
  <c r="O137" i="18"/>
  <c r="P137" i="18"/>
  <c r="Q137" i="18"/>
  <c r="R137" i="18"/>
  <c r="S137" i="18"/>
  <c r="T137" i="18"/>
  <c r="V137" i="18"/>
  <c r="W137" i="18"/>
  <c r="X137" i="18"/>
  <c r="Y137" i="18"/>
  <c r="Z137" i="18"/>
  <c r="AA137" i="18"/>
  <c r="N138" i="18"/>
  <c r="O138" i="18"/>
  <c r="P138" i="18"/>
  <c r="CP31" i="84" s="1"/>
  <c r="Q138" i="18"/>
  <c r="CP67" i="84" s="1"/>
  <c r="R138" i="18"/>
  <c r="S138" i="18"/>
  <c r="T138" i="18"/>
  <c r="V138" i="18"/>
  <c r="W138" i="18"/>
  <c r="X138" i="18"/>
  <c r="Y138" i="18"/>
  <c r="Z138" i="18"/>
  <c r="AA138" i="18"/>
  <c r="N139" i="18"/>
  <c r="O139" i="18"/>
  <c r="P139" i="18"/>
  <c r="Q139" i="18"/>
  <c r="R139" i="18"/>
  <c r="S139" i="18"/>
  <c r="T139" i="18"/>
  <c r="V139" i="18"/>
  <c r="W139" i="18"/>
  <c r="X139" i="18"/>
  <c r="Y139" i="18"/>
  <c r="Z139" i="18"/>
  <c r="AA139" i="18"/>
  <c r="N140" i="18"/>
  <c r="O140" i="18"/>
  <c r="P140" i="18"/>
  <c r="Q140" i="18"/>
  <c r="R140" i="18"/>
  <c r="S140" i="18"/>
  <c r="T140" i="18"/>
  <c r="V140" i="18"/>
  <c r="W140" i="18"/>
  <c r="X140" i="18"/>
  <c r="Y140" i="18"/>
  <c r="Z140" i="18"/>
  <c r="AA140" i="18"/>
  <c r="N141" i="18"/>
  <c r="O141" i="18"/>
  <c r="P141" i="18"/>
  <c r="Q141" i="18"/>
  <c r="R141" i="18"/>
  <c r="S141" i="18"/>
  <c r="T141" i="18"/>
  <c r="V141" i="18"/>
  <c r="W141" i="18"/>
  <c r="X141" i="18"/>
  <c r="Y141" i="18"/>
  <c r="Z141" i="18"/>
  <c r="AA141" i="18"/>
  <c r="N142" i="18"/>
  <c r="O142" i="18"/>
  <c r="P142" i="18"/>
  <c r="Q142" i="18"/>
  <c r="R142" i="18"/>
  <c r="S142" i="18"/>
  <c r="T142" i="18"/>
  <c r="V142" i="18"/>
  <c r="W142" i="18"/>
  <c r="X142" i="18"/>
  <c r="Y142" i="18"/>
  <c r="Z142" i="18"/>
  <c r="AA142" i="18"/>
  <c r="N143" i="18"/>
  <c r="O143" i="18"/>
  <c r="P143" i="18"/>
  <c r="CP32" i="84" s="1"/>
  <c r="Q143" i="18"/>
  <c r="CP68" i="84" s="1"/>
  <c r="R143" i="18"/>
  <c r="S143" i="18"/>
  <c r="T143" i="18"/>
  <c r="V143" i="18"/>
  <c r="W143" i="18"/>
  <c r="X143" i="18"/>
  <c r="Y143" i="18"/>
  <c r="Z143" i="18"/>
  <c r="AA143" i="18"/>
  <c r="N144" i="18"/>
  <c r="O144" i="18"/>
  <c r="P144" i="18"/>
  <c r="Q144" i="18"/>
  <c r="R144" i="18"/>
  <c r="S144" i="18"/>
  <c r="T144" i="18"/>
  <c r="V144" i="18"/>
  <c r="W144" i="18"/>
  <c r="X144" i="18"/>
  <c r="Y144" i="18"/>
  <c r="Z144" i="18"/>
  <c r="AA144" i="18"/>
  <c r="N145" i="18"/>
  <c r="O145" i="18"/>
  <c r="P145" i="18"/>
  <c r="Q145" i="18"/>
  <c r="R145" i="18"/>
  <c r="S145" i="18"/>
  <c r="T145" i="18"/>
  <c r="V145" i="18"/>
  <c r="W145" i="18"/>
  <c r="X145" i="18"/>
  <c r="Y145" i="18"/>
  <c r="Z145" i="18"/>
  <c r="AA145" i="18"/>
  <c r="N146" i="18"/>
  <c r="O146" i="18"/>
  <c r="P146" i="18"/>
  <c r="Q146" i="18"/>
  <c r="R146" i="18"/>
  <c r="S146" i="18"/>
  <c r="T146" i="18"/>
  <c r="V146" i="18"/>
  <c r="W146" i="18"/>
  <c r="X146" i="18"/>
  <c r="Y146" i="18"/>
  <c r="Z146" i="18"/>
  <c r="AA146" i="18"/>
  <c r="N147" i="18"/>
  <c r="O147" i="18"/>
  <c r="P147" i="18"/>
  <c r="Q147" i="18"/>
  <c r="R147" i="18"/>
  <c r="S147" i="18"/>
  <c r="T147" i="18"/>
  <c r="V147" i="18"/>
  <c r="W147" i="18"/>
  <c r="X147" i="18"/>
  <c r="Y147" i="18"/>
  <c r="Z147" i="18"/>
  <c r="AA147" i="18"/>
  <c r="N148" i="18"/>
  <c r="O148" i="18"/>
  <c r="P148" i="18"/>
  <c r="CP33" i="84" s="1"/>
  <c r="Q148" i="18"/>
  <c r="CP69" i="84" s="1"/>
  <c r="R148" i="18"/>
  <c r="S148" i="18"/>
  <c r="T148" i="18"/>
  <c r="V148" i="18"/>
  <c r="W148" i="18"/>
  <c r="X148" i="18"/>
  <c r="Y148" i="18"/>
  <c r="Z148" i="18"/>
  <c r="AA148" i="18"/>
  <c r="N149" i="18"/>
  <c r="O149" i="18"/>
  <c r="P149" i="18"/>
  <c r="Q149" i="18"/>
  <c r="R149" i="18"/>
  <c r="S149" i="18"/>
  <c r="T149" i="18"/>
  <c r="V149" i="18"/>
  <c r="W149" i="18"/>
  <c r="X149" i="18"/>
  <c r="Y149" i="18"/>
  <c r="Z149" i="18"/>
  <c r="AA149" i="18"/>
  <c r="N150" i="18"/>
  <c r="O150" i="18"/>
  <c r="P150" i="18"/>
  <c r="Q150" i="18"/>
  <c r="R150" i="18"/>
  <c r="S150" i="18"/>
  <c r="T150" i="18"/>
  <c r="V150" i="18"/>
  <c r="W150" i="18"/>
  <c r="X150" i="18"/>
  <c r="Y150" i="18"/>
  <c r="Z150" i="18"/>
  <c r="AA150" i="18"/>
  <c r="N151" i="18"/>
  <c r="O151" i="18"/>
  <c r="P151" i="18"/>
  <c r="Q151" i="18"/>
  <c r="R151" i="18"/>
  <c r="S151" i="18"/>
  <c r="T151" i="18"/>
  <c r="V151" i="18"/>
  <c r="W151" i="18"/>
  <c r="X151" i="18"/>
  <c r="Y151" i="18"/>
  <c r="Z151" i="18"/>
  <c r="AA151" i="18"/>
  <c r="N152" i="18"/>
  <c r="O152" i="18"/>
  <c r="P152" i="18"/>
  <c r="Q152" i="18"/>
  <c r="R152" i="18"/>
  <c r="S152" i="18"/>
  <c r="T152" i="18"/>
  <c r="V152" i="18"/>
  <c r="W152" i="18"/>
  <c r="X152" i="18"/>
  <c r="Y152" i="18"/>
  <c r="Z152" i="18"/>
  <c r="AA152" i="18"/>
  <c r="N153" i="18"/>
  <c r="O153" i="18"/>
  <c r="P153" i="18"/>
  <c r="CP34" i="84" s="1"/>
  <c r="Q153" i="18"/>
  <c r="CP70" i="84" s="1"/>
  <c r="R153" i="18"/>
  <c r="S153" i="18"/>
  <c r="T153" i="18"/>
  <c r="V153" i="18"/>
  <c r="W153" i="18"/>
  <c r="X153" i="18"/>
  <c r="Y153" i="18"/>
  <c r="Z153" i="18"/>
  <c r="AA153" i="18"/>
  <c r="N154" i="18"/>
  <c r="O154" i="18"/>
  <c r="P154" i="18"/>
  <c r="Q154" i="18"/>
  <c r="R154" i="18"/>
  <c r="S154" i="18"/>
  <c r="T154" i="18"/>
  <c r="V154" i="18"/>
  <c r="W154" i="18"/>
  <c r="X154" i="18"/>
  <c r="Y154" i="18"/>
  <c r="Z154" i="18"/>
  <c r="AA154" i="18"/>
  <c r="N155" i="18"/>
  <c r="O155" i="18"/>
  <c r="P155" i="18"/>
  <c r="Q155" i="18"/>
  <c r="R155" i="18"/>
  <c r="S155" i="18"/>
  <c r="T155" i="18"/>
  <c r="V155" i="18"/>
  <c r="W155" i="18"/>
  <c r="X155" i="18"/>
  <c r="Y155" i="18"/>
  <c r="Z155" i="18"/>
  <c r="AA155" i="18"/>
  <c r="N156" i="18"/>
  <c r="O156" i="18"/>
  <c r="P156" i="18"/>
  <c r="Q156" i="18"/>
  <c r="R156" i="18"/>
  <c r="S156" i="18"/>
  <c r="T156" i="18"/>
  <c r="V156" i="18"/>
  <c r="W156" i="18"/>
  <c r="X156" i="18"/>
  <c r="Y156" i="18"/>
  <c r="Z156" i="18"/>
  <c r="AA156" i="18"/>
  <c r="N157" i="18"/>
  <c r="O157" i="18"/>
  <c r="P157" i="18"/>
  <c r="Q157" i="18"/>
  <c r="R157" i="18"/>
  <c r="S157" i="18"/>
  <c r="T157" i="18"/>
  <c r="V157" i="18"/>
  <c r="W157" i="18"/>
  <c r="X157" i="18"/>
  <c r="Y157" i="18"/>
  <c r="Z157" i="18"/>
  <c r="AA157" i="18"/>
  <c r="N158" i="18"/>
  <c r="O158" i="18"/>
  <c r="P158" i="18"/>
  <c r="CP35" i="84" s="1"/>
  <c r="Q158" i="18"/>
  <c r="CP71" i="84" s="1"/>
  <c r="R158" i="18"/>
  <c r="S158" i="18"/>
  <c r="T158" i="18"/>
  <c r="V158" i="18"/>
  <c r="W158" i="18"/>
  <c r="X158" i="18"/>
  <c r="Y158" i="18"/>
  <c r="Z158" i="18"/>
  <c r="AA158" i="18"/>
  <c r="N159" i="18"/>
  <c r="O159" i="18"/>
  <c r="P159" i="18"/>
  <c r="Q159" i="18"/>
  <c r="R159" i="18"/>
  <c r="S159" i="18"/>
  <c r="T159" i="18"/>
  <c r="V159" i="18"/>
  <c r="W159" i="18"/>
  <c r="X159" i="18"/>
  <c r="Y159" i="18"/>
  <c r="Z159" i="18"/>
  <c r="AA159" i="18"/>
  <c r="N160" i="18"/>
  <c r="O160" i="18"/>
  <c r="P160" i="18"/>
  <c r="Q160" i="18"/>
  <c r="R160" i="18"/>
  <c r="S160" i="18"/>
  <c r="T160" i="18"/>
  <c r="V160" i="18"/>
  <c r="W160" i="18"/>
  <c r="X160" i="18"/>
  <c r="Y160" i="18"/>
  <c r="Z160" i="18"/>
  <c r="AA160" i="18"/>
  <c r="N161" i="18"/>
  <c r="O161" i="18"/>
  <c r="P161" i="18"/>
  <c r="Q161" i="18"/>
  <c r="R161" i="18"/>
  <c r="S161" i="18"/>
  <c r="T161" i="18"/>
  <c r="V161" i="18"/>
  <c r="W161" i="18"/>
  <c r="X161" i="18"/>
  <c r="Y161" i="18"/>
  <c r="Z161" i="18"/>
  <c r="AA161" i="18"/>
  <c r="N162" i="18"/>
  <c r="O162" i="18"/>
  <c r="P162" i="18"/>
  <c r="Q162" i="18"/>
  <c r="R162" i="18"/>
  <c r="S162" i="18"/>
  <c r="T162" i="18"/>
  <c r="V162" i="18"/>
  <c r="W162" i="18"/>
  <c r="X162" i="18"/>
  <c r="Y162" i="18"/>
  <c r="Z162" i="18"/>
  <c r="AA162" i="18"/>
  <c r="N163" i="18"/>
  <c r="O163" i="18"/>
  <c r="P163" i="18"/>
  <c r="CP36" i="84" s="1"/>
  <c r="Q163" i="18"/>
  <c r="CP72" i="84" s="1"/>
  <c r="R163" i="18"/>
  <c r="S163" i="18"/>
  <c r="T163" i="18"/>
  <c r="V163" i="18"/>
  <c r="W163" i="18"/>
  <c r="X163" i="18"/>
  <c r="Y163" i="18"/>
  <c r="Z163" i="18"/>
  <c r="AA163" i="18"/>
  <c r="AC5" i="18"/>
  <c r="AD5" i="18"/>
  <c r="AE5" i="18"/>
  <c r="AF5" i="18"/>
  <c r="AG5" i="18"/>
  <c r="AH5" i="18"/>
  <c r="AC6" i="18"/>
  <c r="AD6" i="18"/>
  <c r="AE6" i="18"/>
  <c r="AF6" i="18"/>
  <c r="AG6" i="18"/>
  <c r="AH6" i="18"/>
  <c r="AC7" i="18"/>
  <c r="AD7" i="18"/>
  <c r="AE7" i="18"/>
  <c r="AF7" i="18"/>
  <c r="AG7" i="18"/>
  <c r="AH7" i="18"/>
  <c r="AC8" i="18"/>
  <c r="AD8" i="18"/>
  <c r="AE8" i="18"/>
  <c r="AF8" i="18"/>
  <c r="AG8" i="18"/>
  <c r="AH8" i="18"/>
  <c r="AC9" i="18"/>
  <c r="AD9" i="18"/>
  <c r="AE9" i="18"/>
  <c r="AF9" i="18"/>
  <c r="AG9" i="18"/>
  <c r="AH9" i="18"/>
  <c r="AC10" i="18"/>
  <c r="AD10" i="18"/>
  <c r="AE10" i="18"/>
  <c r="AF10" i="18"/>
  <c r="AG10" i="18"/>
  <c r="AH10" i="18"/>
  <c r="AC11" i="18"/>
  <c r="AD11" i="18"/>
  <c r="AE11" i="18"/>
  <c r="AF11" i="18"/>
  <c r="AG11" i="18"/>
  <c r="AH11" i="18"/>
  <c r="AC12" i="18"/>
  <c r="AD12" i="18"/>
  <c r="AE12" i="18"/>
  <c r="AF12" i="18"/>
  <c r="AG12" i="18"/>
  <c r="AH12" i="18"/>
  <c r="AC13" i="18"/>
  <c r="AD13" i="18"/>
  <c r="AE13" i="18"/>
  <c r="AF13" i="18"/>
  <c r="AG13" i="18"/>
  <c r="AH13" i="18"/>
  <c r="AC14" i="18"/>
  <c r="AD14" i="18"/>
  <c r="AE14" i="18"/>
  <c r="AF14" i="18"/>
  <c r="AG14" i="18"/>
  <c r="AH14" i="18"/>
  <c r="AC15" i="18"/>
  <c r="AD15" i="18"/>
  <c r="AE15" i="18"/>
  <c r="AF15" i="18"/>
  <c r="AG15" i="18"/>
  <c r="AH15" i="18"/>
  <c r="AC16" i="18"/>
  <c r="AD16" i="18"/>
  <c r="AE16" i="18"/>
  <c r="AF16" i="18"/>
  <c r="AG16" i="18"/>
  <c r="AH16" i="18"/>
  <c r="AC17" i="18"/>
  <c r="AD17" i="18"/>
  <c r="AE17" i="18"/>
  <c r="AF17" i="18"/>
  <c r="AG17" i="18"/>
  <c r="AH17" i="18"/>
  <c r="AC18" i="18"/>
  <c r="AD18" i="18"/>
  <c r="AE18" i="18"/>
  <c r="AF18" i="18"/>
  <c r="AG18" i="18"/>
  <c r="AH18" i="18"/>
  <c r="AC19" i="18"/>
  <c r="AD19" i="18"/>
  <c r="AE19" i="18"/>
  <c r="AF19" i="18"/>
  <c r="AG19" i="18"/>
  <c r="AH19" i="18"/>
  <c r="AC20" i="18"/>
  <c r="AD20" i="18"/>
  <c r="AE20" i="18"/>
  <c r="AF20" i="18"/>
  <c r="AG20" i="18"/>
  <c r="AH20" i="18"/>
  <c r="AC21" i="18"/>
  <c r="AD21" i="18"/>
  <c r="AE21" i="18"/>
  <c r="AF21" i="18"/>
  <c r="AG21" i="18"/>
  <c r="AH21" i="18"/>
  <c r="AC22" i="18"/>
  <c r="AD22" i="18"/>
  <c r="AE22" i="18"/>
  <c r="AF22" i="18"/>
  <c r="AG22" i="18"/>
  <c r="AH22" i="18"/>
  <c r="AC23" i="18"/>
  <c r="AD23" i="18"/>
  <c r="AE23" i="18"/>
  <c r="AF23" i="18"/>
  <c r="AG23" i="18"/>
  <c r="AH23" i="18"/>
  <c r="AC24" i="18"/>
  <c r="AD24" i="18"/>
  <c r="AE24" i="18"/>
  <c r="AF24" i="18"/>
  <c r="AG24" i="18"/>
  <c r="AH24" i="18"/>
  <c r="AC25" i="18"/>
  <c r="AD25" i="18"/>
  <c r="AE25" i="18"/>
  <c r="AF25" i="18"/>
  <c r="AG25" i="18"/>
  <c r="AH25" i="18"/>
  <c r="AC26" i="18"/>
  <c r="AD26" i="18"/>
  <c r="AE26" i="18"/>
  <c r="AF26" i="18"/>
  <c r="AG26" i="18"/>
  <c r="AH26" i="18"/>
  <c r="AC27" i="18"/>
  <c r="AD27" i="18"/>
  <c r="AE27" i="18"/>
  <c r="AF27" i="18"/>
  <c r="AG27" i="18"/>
  <c r="AH27" i="18"/>
  <c r="AC28" i="18"/>
  <c r="AD28" i="18"/>
  <c r="AE28" i="18"/>
  <c r="AF28" i="18"/>
  <c r="AG28" i="18"/>
  <c r="AH28" i="18"/>
  <c r="AC29" i="18"/>
  <c r="AD29" i="18"/>
  <c r="AE29" i="18"/>
  <c r="AF29" i="18"/>
  <c r="AG29" i="18"/>
  <c r="AH29" i="18"/>
  <c r="AC30" i="18"/>
  <c r="AD30" i="18"/>
  <c r="AE30" i="18"/>
  <c r="AF30" i="18"/>
  <c r="AG30" i="18"/>
  <c r="AH30" i="18"/>
  <c r="AC31" i="18"/>
  <c r="AD31" i="18"/>
  <c r="AE31" i="18"/>
  <c r="AF31" i="18"/>
  <c r="AG31" i="18"/>
  <c r="AH31" i="18"/>
  <c r="AC32" i="18"/>
  <c r="AD32" i="18"/>
  <c r="AE32" i="18"/>
  <c r="AF32" i="18"/>
  <c r="AG32" i="18"/>
  <c r="AH32" i="18"/>
  <c r="AC33" i="18"/>
  <c r="AD33" i="18"/>
  <c r="AE33" i="18"/>
  <c r="AF33" i="18"/>
  <c r="AG33" i="18"/>
  <c r="AH33" i="18"/>
  <c r="AC34" i="18"/>
  <c r="AD34" i="18"/>
  <c r="AE34" i="18"/>
  <c r="AF34" i="18"/>
  <c r="AG34" i="18"/>
  <c r="AH34" i="18"/>
  <c r="AC35" i="18"/>
  <c r="AD35" i="18"/>
  <c r="AE35" i="18"/>
  <c r="AF35" i="18"/>
  <c r="AG35" i="18"/>
  <c r="AH35" i="18"/>
  <c r="AC36" i="18"/>
  <c r="AD36" i="18"/>
  <c r="AE36" i="18"/>
  <c r="AF36" i="18"/>
  <c r="AG36" i="18"/>
  <c r="AH36" i="18"/>
  <c r="AC37" i="18"/>
  <c r="AD37" i="18"/>
  <c r="AE37" i="18"/>
  <c r="AF37" i="18"/>
  <c r="AG37" i="18"/>
  <c r="AH37" i="18"/>
  <c r="AC38" i="18"/>
  <c r="AD38" i="18"/>
  <c r="AE38" i="18"/>
  <c r="AF38" i="18"/>
  <c r="AG38" i="18"/>
  <c r="AH38" i="18"/>
  <c r="AC39" i="18"/>
  <c r="AD39" i="18"/>
  <c r="AE39" i="18"/>
  <c r="AF39" i="18"/>
  <c r="AG39" i="18"/>
  <c r="AH39" i="18"/>
  <c r="AC40" i="18"/>
  <c r="AD40" i="18"/>
  <c r="AE40" i="18"/>
  <c r="AF40" i="18"/>
  <c r="AG40" i="18"/>
  <c r="AH40" i="18"/>
  <c r="AC41" i="18"/>
  <c r="AD41" i="18"/>
  <c r="AE41" i="18"/>
  <c r="AF41" i="18"/>
  <c r="AG41" i="18"/>
  <c r="AH41" i="18"/>
  <c r="AC42" i="18"/>
  <c r="AD42" i="18"/>
  <c r="AE42" i="18"/>
  <c r="AF42" i="18"/>
  <c r="AG42" i="18"/>
  <c r="AH42" i="18"/>
  <c r="AC43" i="18"/>
  <c r="AD43" i="18"/>
  <c r="AE43" i="18"/>
  <c r="AF43" i="18"/>
  <c r="AG43" i="18"/>
  <c r="AH43" i="18"/>
  <c r="AC44" i="18"/>
  <c r="AD44" i="18"/>
  <c r="AE44" i="18"/>
  <c r="AF44" i="18"/>
  <c r="AG44" i="18"/>
  <c r="AH44" i="18"/>
  <c r="AC45" i="18"/>
  <c r="AD45" i="18"/>
  <c r="AE45" i="18"/>
  <c r="AF45" i="18"/>
  <c r="AG45" i="18"/>
  <c r="AH45" i="18"/>
  <c r="AC46" i="18"/>
  <c r="AD46" i="18"/>
  <c r="AE46" i="18"/>
  <c r="AF46" i="18"/>
  <c r="AG46" i="18"/>
  <c r="AH46" i="18"/>
  <c r="AC47" i="18"/>
  <c r="AD47" i="18"/>
  <c r="AE47" i="18"/>
  <c r="AF47" i="18"/>
  <c r="AG47" i="18"/>
  <c r="AH47" i="18"/>
  <c r="AC48" i="18"/>
  <c r="AD48" i="18"/>
  <c r="AE48" i="18"/>
  <c r="AF48" i="18"/>
  <c r="AG48" i="18"/>
  <c r="AH48" i="18"/>
  <c r="AC49" i="18"/>
  <c r="AD49" i="18"/>
  <c r="AE49" i="18"/>
  <c r="AF49" i="18"/>
  <c r="AG49" i="18"/>
  <c r="AH49" i="18"/>
  <c r="AC50" i="18"/>
  <c r="AD50" i="18"/>
  <c r="AE50" i="18"/>
  <c r="AF50" i="18"/>
  <c r="AG50" i="18"/>
  <c r="AH50" i="18"/>
  <c r="AC51" i="18"/>
  <c r="AD51" i="18"/>
  <c r="AE51" i="18"/>
  <c r="AF51" i="18"/>
  <c r="AG51" i="18"/>
  <c r="AH51" i="18"/>
  <c r="AC52" i="18"/>
  <c r="AD52" i="18"/>
  <c r="AE52" i="18"/>
  <c r="AF52" i="18"/>
  <c r="AG52" i="18"/>
  <c r="AH52" i="18"/>
  <c r="AC53" i="18"/>
  <c r="AD53" i="18"/>
  <c r="AE53" i="18"/>
  <c r="AF53" i="18"/>
  <c r="AG53" i="18"/>
  <c r="AH53" i="18"/>
  <c r="AC54" i="18"/>
  <c r="AD54" i="18"/>
  <c r="AE54" i="18"/>
  <c r="AF54" i="18"/>
  <c r="AG54" i="18"/>
  <c r="AH54" i="18"/>
  <c r="AC55" i="18"/>
  <c r="AD55" i="18"/>
  <c r="AE55" i="18"/>
  <c r="AF55" i="18"/>
  <c r="AG55" i="18"/>
  <c r="AH55" i="18"/>
  <c r="AC56" i="18"/>
  <c r="AD56" i="18"/>
  <c r="AE56" i="18"/>
  <c r="AF56" i="18"/>
  <c r="AG56" i="18"/>
  <c r="AH56" i="18"/>
  <c r="AC57" i="18"/>
  <c r="AD57" i="18"/>
  <c r="AE57" i="18"/>
  <c r="AF57" i="18"/>
  <c r="AG57" i="18"/>
  <c r="AH57" i="18"/>
  <c r="AC58" i="18"/>
  <c r="AD58" i="18"/>
  <c r="AE58" i="18"/>
  <c r="AF58" i="18"/>
  <c r="AG58" i="18"/>
  <c r="AH58" i="18"/>
  <c r="AC59" i="18"/>
  <c r="AD59" i="18"/>
  <c r="AE59" i="18"/>
  <c r="AF59" i="18"/>
  <c r="AG59" i="18"/>
  <c r="AH59" i="18"/>
  <c r="AC60" i="18"/>
  <c r="AD60" i="18"/>
  <c r="AE60" i="18"/>
  <c r="AF60" i="18"/>
  <c r="AG60" i="18"/>
  <c r="AH60" i="18"/>
  <c r="AC61" i="18"/>
  <c r="AD61" i="18"/>
  <c r="AE61" i="18"/>
  <c r="AF61" i="18"/>
  <c r="AG61" i="18"/>
  <c r="AH61" i="18"/>
  <c r="AC62" i="18"/>
  <c r="AD62" i="18"/>
  <c r="AE62" i="18"/>
  <c r="AF62" i="18"/>
  <c r="AG62" i="18"/>
  <c r="AH62" i="18"/>
  <c r="AC63" i="18"/>
  <c r="AD63" i="18"/>
  <c r="AE63" i="18"/>
  <c r="AF63" i="18"/>
  <c r="AG63" i="18"/>
  <c r="AH63" i="18"/>
  <c r="AC64" i="18"/>
  <c r="AD64" i="18"/>
  <c r="AE64" i="18"/>
  <c r="AF64" i="18"/>
  <c r="AG64" i="18"/>
  <c r="AH64" i="18"/>
  <c r="AC65" i="18"/>
  <c r="AD65" i="18"/>
  <c r="AE65" i="18"/>
  <c r="AF65" i="18"/>
  <c r="AG65" i="18"/>
  <c r="AH65" i="18"/>
  <c r="AC66" i="18"/>
  <c r="AD66" i="18"/>
  <c r="AE66" i="18"/>
  <c r="AF66" i="18"/>
  <c r="AG66" i="18"/>
  <c r="AH66" i="18"/>
  <c r="AC67" i="18"/>
  <c r="AD67" i="18"/>
  <c r="AE67" i="18"/>
  <c r="AF67" i="18"/>
  <c r="AG67" i="18"/>
  <c r="AH67" i="18"/>
  <c r="AC68" i="18"/>
  <c r="AD68" i="18"/>
  <c r="AE68" i="18"/>
  <c r="AF68" i="18"/>
  <c r="AG68" i="18"/>
  <c r="AH68" i="18"/>
  <c r="AC69" i="18"/>
  <c r="AD69" i="18"/>
  <c r="AE69" i="18"/>
  <c r="AF69" i="18"/>
  <c r="AG69" i="18"/>
  <c r="AH69" i="18"/>
  <c r="AC70" i="18"/>
  <c r="AD70" i="18"/>
  <c r="AE70" i="18"/>
  <c r="AF70" i="18"/>
  <c r="AG70" i="18"/>
  <c r="AH70" i="18"/>
  <c r="AC71" i="18"/>
  <c r="AD71" i="18"/>
  <c r="AE71" i="18"/>
  <c r="AF71" i="18"/>
  <c r="AG71" i="18"/>
  <c r="AH71" i="18"/>
  <c r="AC72" i="18"/>
  <c r="AD72" i="18"/>
  <c r="AE72" i="18"/>
  <c r="AF72" i="18"/>
  <c r="AG72" i="18"/>
  <c r="AH72" i="18"/>
  <c r="AC73" i="18"/>
  <c r="AD73" i="18"/>
  <c r="AE73" i="18"/>
  <c r="AF73" i="18"/>
  <c r="AG73" i="18"/>
  <c r="AH73" i="18"/>
  <c r="AC74" i="18"/>
  <c r="AD74" i="18"/>
  <c r="AE74" i="18"/>
  <c r="AF74" i="18"/>
  <c r="AG74" i="18"/>
  <c r="AH74" i="18"/>
  <c r="AC75" i="18"/>
  <c r="AD75" i="18"/>
  <c r="AE75" i="18"/>
  <c r="AF75" i="18"/>
  <c r="AG75" i="18"/>
  <c r="AH75" i="18"/>
  <c r="AC76" i="18"/>
  <c r="AD76" i="18"/>
  <c r="AE76" i="18"/>
  <c r="AF76" i="18"/>
  <c r="AG76" i="18"/>
  <c r="AH76" i="18"/>
  <c r="AC77" i="18"/>
  <c r="AD77" i="18"/>
  <c r="AE77" i="18"/>
  <c r="AF77" i="18"/>
  <c r="AG77" i="18"/>
  <c r="AH77" i="18"/>
  <c r="AC78" i="18"/>
  <c r="AD78" i="18"/>
  <c r="AE78" i="18"/>
  <c r="AF78" i="18"/>
  <c r="AG78" i="18"/>
  <c r="AH78" i="18"/>
  <c r="AC79" i="18"/>
  <c r="AD79" i="18"/>
  <c r="AE79" i="18"/>
  <c r="AF79" i="18"/>
  <c r="AG79" i="18"/>
  <c r="AH79" i="18"/>
  <c r="AC80" i="18"/>
  <c r="AD80" i="18"/>
  <c r="AE80" i="18"/>
  <c r="AF80" i="18"/>
  <c r="AG80" i="18"/>
  <c r="AH80" i="18"/>
  <c r="AC81" i="18"/>
  <c r="AD81" i="18"/>
  <c r="AE81" i="18"/>
  <c r="AF81" i="18"/>
  <c r="AG81" i="18"/>
  <c r="AH81" i="18"/>
  <c r="AC82" i="18"/>
  <c r="AD82" i="18"/>
  <c r="AE82" i="18"/>
  <c r="AF82" i="18"/>
  <c r="AG82" i="18"/>
  <c r="AH82" i="18"/>
  <c r="AC83" i="18"/>
  <c r="AD83" i="18"/>
  <c r="AE83" i="18"/>
  <c r="AF83" i="18"/>
  <c r="AG83" i="18"/>
  <c r="AH83" i="18"/>
  <c r="AC84" i="18"/>
  <c r="AD84" i="18"/>
  <c r="AE84" i="18"/>
  <c r="AF84" i="18"/>
  <c r="AG84" i="18"/>
  <c r="AH84" i="18"/>
  <c r="AC85" i="18"/>
  <c r="AD85" i="18"/>
  <c r="AE85" i="18"/>
  <c r="AF85" i="18"/>
  <c r="AG85" i="18"/>
  <c r="AH85" i="18"/>
  <c r="AC86" i="18"/>
  <c r="AD86" i="18"/>
  <c r="AE86" i="18"/>
  <c r="AF86" i="18"/>
  <c r="AG86" i="18"/>
  <c r="AH86" i="18"/>
  <c r="AC87" i="18"/>
  <c r="AD87" i="18"/>
  <c r="AE87" i="18"/>
  <c r="AF87" i="18"/>
  <c r="AG87" i="18"/>
  <c r="AH87" i="18"/>
  <c r="AC88" i="18"/>
  <c r="AD88" i="18"/>
  <c r="AE88" i="18"/>
  <c r="AF88" i="18"/>
  <c r="AG88" i="18"/>
  <c r="AH88" i="18"/>
  <c r="AC89" i="18"/>
  <c r="AD89" i="18"/>
  <c r="AE89" i="18"/>
  <c r="AF89" i="18"/>
  <c r="AG89" i="18"/>
  <c r="AH89" i="18"/>
  <c r="AC90" i="18"/>
  <c r="AD90" i="18"/>
  <c r="AE90" i="18"/>
  <c r="AF90" i="18"/>
  <c r="AG90" i="18"/>
  <c r="AH90" i="18"/>
  <c r="AC91" i="18"/>
  <c r="AD91" i="18"/>
  <c r="AE91" i="18"/>
  <c r="AF91" i="18"/>
  <c r="AG91" i="18"/>
  <c r="AH91" i="18"/>
  <c r="AC92" i="18"/>
  <c r="AD92" i="18"/>
  <c r="AE92" i="18"/>
  <c r="AF92" i="18"/>
  <c r="AG92" i="18"/>
  <c r="AH92" i="18"/>
  <c r="AC93" i="18"/>
  <c r="AD93" i="18"/>
  <c r="AE93" i="18"/>
  <c r="AF93" i="18"/>
  <c r="AG93" i="18"/>
  <c r="AH93" i="18"/>
  <c r="AC94" i="18"/>
  <c r="AD94" i="18"/>
  <c r="AE94" i="18"/>
  <c r="AF94" i="18"/>
  <c r="AG94" i="18"/>
  <c r="AH94" i="18"/>
  <c r="AC95" i="18"/>
  <c r="AD95" i="18"/>
  <c r="AE95" i="18"/>
  <c r="AF95" i="18"/>
  <c r="AG95" i="18"/>
  <c r="AH95" i="18"/>
  <c r="AC96" i="18"/>
  <c r="AD96" i="18"/>
  <c r="AE96" i="18"/>
  <c r="AF96" i="18"/>
  <c r="AG96" i="18"/>
  <c r="AH96" i="18"/>
  <c r="AC97" i="18"/>
  <c r="AD97" i="18"/>
  <c r="AE97" i="18"/>
  <c r="AF97" i="18"/>
  <c r="AG97" i="18"/>
  <c r="AH97" i="18"/>
  <c r="AC98" i="18"/>
  <c r="AD98" i="18"/>
  <c r="AE98" i="18"/>
  <c r="AF98" i="18"/>
  <c r="AG98" i="18"/>
  <c r="AH98" i="18"/>
  <c r="AC99" i="18"/>
  <c r="AD99" i="18"/>
  <c r="AE99" i="18"/>
  <c r="AF99" i="18"/>
  <c r="AG99" i="18"/>
  <c r="AH99" i="18"/>
  <c r="AC100" i="18"/>
  <c r="AD100" i="18"/>
  <c r="AE100" i="18"/>
  <c r="AF100" i="18"/>
  <c r="AG100" i="18"/>
  <c r="AH100" i="18"/>
  <c r="AC101" i="18"/>
  <c r="AD101" i="18"/>
  <c r="AE101" i="18"/>
  <c r="AF101" i="18"/>
  <c r="AG101" i="18"/>
  <c r="AH101" i="18"/>
  <c r="AC102" i="18"/>
  <c r="AD102" i="18"/>
  <c r="AE102" i="18"/>
  <c r="AF102" i="18"/>
  <c r="AG102" i="18"/>
  <c r="AH102" i="18"/>
  <c r="AC103" i="18"/>
  <c r="AD103" i="18"/>
  <c r="AE103" i="18"/>
  <c r="AF103" i="18"/>
  <c r="AG103" i="18"/>
  <c r="AH103" i="18"/>
  <c r="AC104" i="18"/>
  <c r="AD104" i="18"/>
  <c r="AE104" i="18"/>
  <c r="AF104" i="18"/>
  <c r="AG104" i="18"/>
  <c r="AH104" i="18"/>
  <c r="AC105" i="18"/>
  <c r="AD105" i="18"/>
  <c r="AE105" i="18"/>
  <c r="AF105" i="18"/>
  <c r="AG105" i="18"/>
  <c r="AH105" i="18"/>
  <c r="AC106" i="18"/>
  <c r="AD106" i="18"/>
  <c r="AE106" i="18"/>
  <c r="AF106" i="18"/>
  <c r="AG106" i="18"/>
  <c r="AH106" i="18"/>
  <c r="AC107" i="18"/>
  <c r="AD107" i="18"/>
  <c r="AE107" i="18"/>
  <c r="AF107" i="18"/>
  <c r="AG107" i="18"/>
  <c r="AH107" i="18"/>
  <c r="AC108" i="18"/>
  <c r="AD108" i="18"/>
  <c r="AE108" i="18"/>
  <c r="AF108" i="18"/>
  <c r="AG108" i="18"/>
  <c r="AH108" i="18"/>
  <c r="AC109" i="18"/>
  <c r="AD109" i="18"/>
  <c r="AE109" i="18"/>
  <c r="AF109" i="18"/>
  <c r="AG109" i="18"/>
  <c r="AH109" i="18"/>
  <c r="AC110" i="18"/>
  <c r="AD110" i="18"/>
  <c r="AE110" i="18"/>
  <c r="AF110" i="18"/>
  <c r="AG110" i="18"/>
  <c r="AH110" i="18"/>
  <c r="AC111" i="18"/>
  <c r="AD111" i="18"/>
  <c r="AE111" i="18"/>
  <c r="AF111" i="18"/>
  <c r="AG111" i="18"/>
  <c r="AH111" i="18"/>
  <c r="AC112" i="18"/>
  <c r="AD112" i="18"/>
  <c r="AE112" i="18"/>
  <c r="AF112" i="18"/>
  <c r="AG112" i="18"/>
  <c r="AH112" i="18"/>
  <c r="AC113" i="18"/>
  <c r="AD113" i="18"/>
  <c r="AE113" i="18"/>
  <c r="AF113" i="18"/>
  <c r="AG113" i="18"/>
  <c r="AH113" i="18"/>
  <c r="AC114" i="18"/>
  <c r="AD114" i="18"/>
  <c r="AE114" i="18"/>
  <c r="AF114" i="18"/>
  <c r="AG114" i="18"/>
  <c r="AH114" i="18"/>
  <c r="AC115" i="18"/>
  <c r="AD115" i="18"/>
  <c r="AE115" i="18"/>
  <c r="AF115" i="18"/>
  <c r="AG115" i="18"/>
  <c r="AH115" i="18"/>
  <c r="AC116" i="18"/>
  <c r="AD116" i="18"/>
  <c r="AE116" i="18"/>
  <c r="AF116" i="18"/>
  <c r="AG116" i="18"/>
  <c r="AH116" i="18"/>
  <c r="AC117" i="18"/>
  <c r="AD117" i="18"/>
  <c r="AE117" i="18"/>
  <c r="AF117" i="18"/>
  <c r="AG117" i="18"/>
  <c r="AH117" i="18"/>
  <c r="AC118" i="18"/>
  <c r="AD118" i="18"/>
  <c r="AE118" i="18"/>
  <c r="AF118" i="18"/>
  <c r="AG118" i="18"/>
  <c r="AH118" i="18"/>
  <c r="AC119" i="18"/>
  <c r="AD119" i="18"/>
  <c r="AE119" i="18"/>
  <c r="AF119" i="18"/>
  <c r="AG119" i="18"/>
  <c r="AH119" i="18"/>
  <c r="AC120" i="18"/>
  <c r="AD120" i="18"/>
  <c r="AE120" i="18"/>
  <c r="AF120" i="18"/>
  <c r="AG120" i="18"/>
  <c r="AH120" i="18"/>
  <c r="AC121" i="18"/>
  <c r="AD121" i="18"/>
  <c r="AE121" i="18"/>
  <c r="AF121" i="18"/>
  <c r="AG121" i="18"/>
  <c r="AH121" i="18"/>
  <c r="AC122" i="18"/>
  <c r="AD122" i="18"/>
  <c r="AE122" i="18"/>
  <c r="AF122" i="18"/>
  <c r="AG122" i="18"/>
  <c r="AH122" i="18"/>
  <c r="AC123" i="18"/>
  <c r="AD123" i="18"/>
  <c r="AE123" i="18"/>
  <c r="AF123" i="18"/>
  <c r="AG123" i="18"/>
  <c r="AH123" i="18"/>
  <c r="AC124" i="18"/>
  <c r="AD124" i="18"/>
  <c r="AE124" i="18"/>
  <c r="AF124" i="18"/>
  <c r="AG124" i="18"/>
  <c r="AH124" i="18"/>
  <c r="AC125" i="18"/>
  <c r="AD125" i="18"/>
  <c r="AE125" i="18"/>
  <c r="AF125" i="18"/>
  <c r="AG125" i="18"/>
  <c r="AH125" i="18"/>
  <c r="AC126" i="18"/>
  <c r="AD126" i="18"/>
  <c r="AE126" i="18"/>
  <c r="AF126" i="18"/>
  <c r="AG126" i="18"/>
  <c r="AH126" i="18"/>
  <c r="AC127" i="18"/>
  <c r="AD127" i="18"/>
  <c r="AE127" i="18"/>
  <c r="AF127" i="18"/>
  <c r="AG127" i="18"/>
  <c r="AH127" i="18"/>
  <c r="AC128" i="18"/>
  <c r="AD128" i="18"/>
  <c r="AE128" i="18"/>
  <c r="AF128" i="18"/>
  <c r="AG128" i="18"/>
  <c r="AH128" i="18"/>
  <c r="AC129" i="18"/>
  <c r="AD129" i="18"/>
  <c r="AE129" i="18"/>
  <c r="AF129" i="18"/>
  <c r="AG129" i="18"/>
  <c r="AH129" i="18"/>
  <c r="AC130" i="18"/>
  <c r="AD130" i="18"/>
  <c r="AE130" i="18"/>
  <c r="AF130" i="18"/>
  <c r="AG130" i="18"/>
  <c r="AH130" i="18"/>
  <c r="AC131" i="18"/>
  <c r="AD131" i="18"/>
  <c r="AE131" i="18"/>
  <c r="AF131" i="18"/>
  <c r="AG131" i="18"/>
  <c r="AH131" i="18"/>
  <c r="AC132" i="18"/>
  <c r="AD132" i="18"/>
  <c r="AE132" i="18"/>
  <c r="AF132" i="18"/>
  <c r="AG132" i="18"/>
  <c r="AH132" i="18"/>
  <c r="AC133" i="18"/>
  <c r="AD133" i="18"/>
  <c r="AE133" i="18"/>
  <c r="AF133" i="18"/>
  <c r="AG133" i="18"/>
  <c r="AH133" i="18"/>
  <c r="AC134" i="18"/>
  <c r="AD134" i="18"/>
  <c r="AE134" i="18"/>
  <c r="AF134" i="18"/>
  <c r="AG134" i="18"/>
  <c r="AH134" i="18"/>
  <c r="AC135" i="18"/>
  <c r="AD135" i="18"/>
  <c r="AE135" i="18"/>
  <c r="AF135" i="18"/>
  <c r="AG135" i="18"/>
  <c r="AH135" i="18"/>
  <c r="AC136" i="18"/>
  <c r="AD136" i="18"/>
  <c r="AE136" i="18"/>
  <c r="AF136" i="18"/>
  <c r="AG136" i="18"/>
  <c r="AH136" i="18"/>
  <c r="AC137" i="18"/>
  <c r="AD137" i="18"/>
  <c r="AE137" i="18"/>
  <c r="AF137" i="18"/>
  <c r="AG137" i="18"/>
  <c r="AH137" i="18"/>
  <c r="AC138" i="18"/>
  <c r="AD138" i="18"/>
  <c r="AE138" i="18"/>
  <c r="AF138" i="18"/>
  <c r="AG138" i="18"/>
  <c r="AH138" i="18"/>
  <c r="AC139" i="18"/>
  <c r="AD139" i="18"/>
  <c r="AE139" i="18"/>
  <c r="AF139" i="18"/>
  <c r="AG139" i="18"/>
  <c r="AH139" i="18"/>
  <c r="AC140" i="18"/>
  <c r="AD140" i="18"/>
  <c r="AE140" i="18"/>
  <c r="AF140" i="18"/>
  <c r="AG140" i="18"/>
  <c r="AH140" i="18"/>
  <c r="AC141" i="18"/>
  <c r="AD141" i="18"/>
  <c r="AE141" i="18"/>
  <c r="AF141" i="18"/>
  <c r="AG141" i="18"/>
  <c r="AH141" i="18"/>
  <c r="AC142" i="18"/>
  <c r="AD142" i="18"/>
  <c r="AE142" i="18"/>
  <c r="AF142" i="18"/>
  <c r="AG142" i="18"/>
  <c r="AH142" i="18"/>
  <c r="AC143" i="18"/>
  <c r="AD143" i="18"/>
  <c r="AE143" i="18"/>
  <c r="AF143" i="18"/>
  <c r="AG143" i="18"/>
  <c r="AH143" i="18"/>
  <c r="AC144" i="18"/>
  <c r="AD144" i="18"/>
  <c r="AE144" i="18"/>
  <c r="AF144" i="18"/>
  <c r="AG144" i="18"/>
  <c r="AH144" i="18"/>
  <c r="AC145" i="18"/>
  <c r="AD145" i="18"/>
  <c r="AE145" i="18"/>
  <c r="AF145" i="18"/>
  <c r="AG145" i="18"/>
  <c r="AH145" i="18"/>
  <c r="AC146" i="18"/>
  <c r="AD146" i="18"/>
  <c r="AE146" i="18"/>
  <c r="AF146" i="18"/>
  <c r="AG146" i="18"/>
  <c r="AH146" i="18"/>
  <c r="AC147" i="18"/>
  <c r="AD147" i="18"/>
  <c r="AE147" i="18"/>
  <c r="AF147" i="18"/>
  <c r="AG147" i="18"/>
  <c r="AH147" i="18"/>
  <c r="AC148" i="18"/>
  <c r="AD148" i="18"/>
  <c r="AE148" i="18"/>
  <c r="AF148" i="18"/>
  <c r="AG148" i="18"/>
  <c r="AH148" i="18"/>
  <c r="AC149" i="18"/>
  <c r="AD149" i="18"/>
  <c r="AE149" i="18"/>
  <c r="AF149" i="18"/>
  <c r="AG149" i="18"/>
  <c r="AH149" i="18"/>
  <c r="AC150" i="18"/>
  <c r="AD150" i="18"/>
  <c r="AE150" i="18"/>
  <c r="AF150" i="18"/>
  <c r="AG150" i="18"/>
  <c r="AH150" i="18"/>
  <c r="AC151" i="18"/>
  <c r="AD151" i="18"/>
  <c r="AE151" i="18"/>
  <c r="AF151" i="18"/>
  <c r="AG151" i="18"/>
  <c r="AH151" i="18"/>
  <c r="AC152" i="18"/>
  <c r="AD152" i="18"/>
  <c r="AE152" i="18"/>
  <c r="AF152" i="18"/>
  <c r="AG152" i="18"/>
  <c r="AH152" i="18"/>
  <c r="AC153" i="18"/>
  <c r="AD153" i="18"/>
  <c r="AE153" i="18"/>
  <c r="AF153" i="18"/>
  <c r="AG153" i="18"/>
  <c r="AH153" i="18"/>
  <c r="AC154" i="18"/>
  <c r="AD154" i="18"/>
  <c r="AE154" i="18"/>
  <c r="AF154" i="18"/>
  <c r="AG154" i="18"/>
  <c r="AH154" i="18"/>
  <c r="AC155" i="18"/>
  <c r="AD155" i="18"/>
  <c r="AE155" i="18"/>
  <c r="AF155" i="18"/>
  <c r="AG155" i="18"/>
  <c r="AH155" i="18"/>
  <c r="AC156" i="18"/>
  <c r="AD156" i="18"/>
  <c r="AE156" i="18"/>
  <c r="AF156" i="18"/>
  <c r="AG156" i="18"/>
  <c r="AH156" i="18"/>
  <c r="AC157" i="18"/>
  <c r="AD157" i="18"/>
  <c r="AE157" i="18"/>
  <c r="AF157" i="18"/>
  <c r="AG157" i="18"/>
  <c r="AH157" i="18"/>
  <c r="AC158" i="18"/>
  <c r="AD158" i="18"/>
  <c r="AE158" i="18"/>
  <c r="AF158" i="18"/>
  <c r="AG158" i="18"/>
  <c r="AH158" i="18"/>
  <c r="AC159" i="18"/>
  <c r="AD159" i="18"/>
  <c r="AE159" i="18"/>
  <c r="AF159" i="18"/>
  <c r="AG159" i="18"/>
  <c r="AH159" i="18"/>
  <c r="AC160" i="18"/>
  <c r="AD160" i="18"/>
  <c r="AE160" i="18"/>
  <c r="AF160" i="18"/>
  <c r="AG160" i="18"/>
  <c r="AH160" i="18"/>
  <c r="AC161" i="18"/>
  <c r="AD161" i="18"/>
  <c r="AE161" i="18"/>
  <c r="AF161" i="18"/>
  <c r="AG161" i="18"/>
  <c r="AH161" i="18"/>
  <c r="AC162" i="18"/>
  <c r="AD162" i="18"/>
  <c r="AE162" i="18"/>
  <c r="AF162" i="18"/>
  <c r="AG162" i="18"/>
  <c r="AH162" i="18"/>
  <c r="AC163" i="18"/>
  <c r="AD163" i="18"/>
  <c r="AE163" i="18"/>
  <c r="AF163" i="18"/>
  <c r="AG163" i="18"/>
  <c r="AH163" i="18"/>
  <c r="AC164" i="18"/>
  <c r="AD164" i="18"/>
  <c r="AE164" i="18"/>
  <c r="AF164" i="18"/>
  <c r="AG164" i="18"/>
  <c r="AH164" i="18"/>
  <c r="AC165" i="18"/>
  <c r="AD165" i="18"/>
  <c r="AE165" i="18"/>
  <c r="AF165" i="18"/>
  <c r="AG165" i="18"/>
  <c r="AH165" i="18"/>
  <c r="AC166" i="18"/>
  <c r="AD166" i="18"/>
  <c r="AE166" i="18"/>
  <c r="AF166" i="18"/>
  <c r="AG166" i="18"/>
  <c r="AH166" i="18"/>
  <c r="AC167" i="18"/>
  <c r="AD167" i="18"/>
  <c r="AE167" i="18"/>
  <c r="AF167" i="18"/>
  <c r="AG167" i="18"/>
  <c r="AH167" i="18"/>
  <c r="AC168" i="18"/>
  <c r="AD168" i="18"/>
  <c r="AE168" i="18"/>
  <c r="AF168" i="18"/>
  <c r="AG168" i="18"/>
  <c r="AH168" i="18"/>
  <c r="AC169" i="18"/>
  <c r="AD169" i="18"/>
  <c r="AE169" i="18"/>
  <c r="AF169" i="18"/>
  <c r="AG169" i="18"/>
  <c r="AH169" i="18"/>
  <c r="AC170" i="18"/>
  <c r="AD170" i="18"/>
  <c r="AE170" i="18"/>
  <c r="AF170" i="18"/>
  <c r="AG170" i="18"/>
  <c r="AH170" i="18"/>
  <c r="AC171" i="18"/>
  <c r="AD171" i="18"/>
  <c r="AE171" i="18"/>
  <c r="AF171" i="18"/>
  <c r="AG171" i="18"/>
  <c r="AH171" i="18"/>
  <c r="AC172" i="18"/>
  <c r="AD172" i="18"/>
  <c r="AE172" i="18"/>
  <c r="AF172" i="18"/>
  <c r="AG172" i="18"/>
  <c r="AH172" i="18"/>
  <c r="AC173" i="18"/>
  <c r="AD173" i="18"/>
  <c r="AE173" i="18"/>
  <c r="AF173" i="18"/>
  <c r="AG173" i="18"/>
  <c r="AH173" i="18"/>
  <c r="AC174" i="18"/>
  <c r="AD174" i="18"/>
  <c r="AE174" i="18"/>
  <c r="AF174" i="18"/>
  <c r="AG174" i="18"/>
  <c r="AH174" i="18"/>
  <c r="AC175" i="18"/>
  <c r="AD175" i="18"/>
  <c r="AE175" i="18"/>
  <c r="AF175" i="18"/>
  <c r="AG175" i="18"/>
  <c r="AH175" i="18"/>
  <c r="AC176" i="18"/>
  <c r="AD176" i="18"/>
  <c r="AE176" i="18"/>
  <c r="AF176" i="18"/>
  <c r="AG176" i="18"/>
  <c r="AH176" i="18"/>
  <c r="AC177" i="18"/>
  <c r="AD177" i="18"/>
  <c r="AE177" i="18"/>
  <c r="AF177" i="18"/>
  <c r="AG177" i="18"/>
  <c r="AH177" i="18"/>
  <c r="AC178" i="18"/>
  <c r="AD178" i="18"/>
  <c r="AE178" i="18"/>
  <c r="AF178" i="18"/>
  <c r="AG178" i="18"/>
  <c r="AH178" i="18"/>
  <c r="AC179" i="18"/>
  <c r="AD179" i="18"/>
  <c r="AE179" i="18"/>
  <c r="AF179" i="18"/>
  <c r="AG179" i="18"/>
  <c r="AH179" i="18"/>
  <c r="AC180" i="18"/>
  <c r="AD180" i="18"/>
  <c r="AE180" i="18"/>
  <c r="AF180" i="18"/>
  <c r="AG180" i="18"/>
  <c r="AH180" i="18"/>
  <c r="AC181" i="18"/>
  <c r="AD181" i="18"/>
  <c r="AE181" i="18"/>
  <c r="AF181" i="18"/>
  <c r="AG181" i="18"/>
  <c r="AH181" i="18"/>
  <c r="AC182" i="18"/>
  <c r="AD182" i="18"/>
  <c r="AE182" i="18"/>
  <c r="AF182" i="18"/>
  <c r="AG182" i="18"/>
  <c r="AH182" i="18"/>
  <c r="AC183" i="18"/>
  <c r="AD183" i="18"/>
  <c r="AE183" i="18"/>
  <c r="AF183" i="18"/>
  <c r="AG183" i="18"/>
  <c r="AH183" i="18"/>
  <c r="AC184" i="18"/>
  <c r="AD184" i="18"/>
  <c r="AE184" i="18"/>
  <c r="AF184" i="18"/>
  <c r="AG184" i="18"/>
  <c r="AH184" i="18"/>
  <c r="AC185" i="18"/>
  <c r="AD185" i="18"/>
  <c r="AE185" i="18"/>
  <c r="AF185" i="18"/>
  <c r="AG185" i="18"/>
  <c r="AH185" i="18"/>
  <c r="AC186" i="18"/>
  <c r="AD186" i="18"/>
  <c r="AE186" i="18"/>
  <c r="AF186" i="18"/>
  <c r="AG186" i="18"/>
  <c r="AH186" i="18"/>
  <c r="AC187" i="18"/>
  <c r="AD187" i="18"/>
  <c r="AE187" i="18"/>
  <c r="AF187" i="18"/>
  <c r="AG187" i="18"/>
  <c r="AH187" i="18"/>
  <c r="AC188" i="18"/>
  <c r="AD188" i="18"/>
  <c r="AE188" i="18"/>
  <c r="AF188" i="18"/>
  <c r="AG188" i="18"/>
  <c r="AH188" i="18"/>
  <c r="AC189" i="18"/>
  <c r="AD189" i="18"/>
  <c r="AE189" i="18"/>
  <c r="AF189" i="18"/>
  <c r="AG189" i="18"/>
  <c r="AH189" i="18"/>
  <c r="AC190" i="18"/>
  <c r="AD190" i="18"/>
  <c r="AE190" i="18"/>
  <c r="AF190" i="18"/>
  <c r="AG190" i="18"/>
  <c r="AH190" i="18"/>
  <c r="AC191" i="18"/>
  <c r="AD191" i="18"/>
  <c r="AE191" i="18"/>
  <c r="AF191" i="18"/>
  <c r="AG191" i="18"/>
  <c r="AH191" i="18"/>
  <c r="AC192" i="18"/>
  <c r="AD192" i="18"/>
  <c r="AE192" i="18"/>
  <c r="AF192" i="18"/>
  <c r="AG192" i="18"/>
  <c r="AH192" i="18"/>
  <c r="AC193" i="18"/>
  <c r="AD193" i="18"/>
  <c r="AE193" i="18"/>
  <c r="AF193" i="18"/>
  <c r="AG193" i="18"/>
  <c r="AH193" i="18"/>
  <c r="AC194" i="18"/>
  <c r="AD194" i="18"/>
  <c r="AE194" i="18"/>
  <c r="AF194" i="18"/>
  <c r="AG194" i="18"/>
  <c r="AH194" i="18"/>
  <c r="AC195" i="18"/>
  <c r="AD195" i="18"/>
  <c r="AE195" i="18"/>
  <c r="AF195" i="18"/>
  <c r="AG195" i="18"/>
  <c r="AH195" i="18"/>
  <c r="AC196" i="18"/>
  <c r="AD196" i="18"/>
  <c r="AE196" i="18"/>
  <c r="AF196" i="18"/>
  <c r="AG196" i="18"/>
  <c r="AH196" i="18"/>
  <c r="AC197" i="18"/>
  <c r="AD197" i="18"/>
  <c r="AE197" i="18"/>
  <c r="AF197" i="18"/>
  <c r="AG197" i="18"/>
  <c r="AH197" i="18"/>
  <c r="AC198" i="18"/>
  <c r="AD198" i="18"/>
  <c r="AE198" i="18"/>
  <c r="AF198" i="18"/>
  <c r="AG198" i="18"/>
  <c r="AH198" i="18"/>
  <c r="AC199" i="18"/>
  <c r="AD199" i="18"/>
  <c r="AE199" i="18"/>
  <c r="AF199" i="18"/>
  <c r="AG199" i="18"/>
  <c r="AH199" i="18"/>
  <c r="AC200" i="18"/>
  <c r="AD200" i="18"/>
  <c r="AE200" i="18"/>
  <c r="AF200" i="18"/>
  <c r="AG200" i="18"/>
  <c r="AH200" i="18"/>
  <c r="AC201" i="18"/>
  <c r="AD201" i="18"/>
  <c r="AE201" i="18"/>
  <c r="AF201" i="18"/>
  <c r="AG201" i="18"/>
  <c r="AH201" i="18"/>
  <c r="AC202" i="18"/>
  <c r="AD202" i="18"/>
  <c r="AE202" i="18"/>
  <c r="AF202" i="18"/>
  <c r="AG202" i="18"/>
  <c r="AH202" i="18"/>
  <c r="AC203" i="18"/>
  <c r="AD203" i="18"/>
  <c r="AE203" i="18"/>
  <c r="AF203" i="18"/>
  <c r="AG203" i="18"/>
  <c r="AH203" i="18"/>
  <c r="AC204" i="18"/>
  <c r="AD204" i="18"/>
  <c r="AE204" i="18"/>
  <c r="AF204" i="18"/>
  <c r="AG204" i="18"/>
  <c r="AH204" i="18"/>
  <c r="AC205" i="18"/>
  <c r="AD205" i="18"/>
  <c r="AE205" i="18"/>
  <c r="AF205" i="18"/>
  <c r="AG205" i="18"/>
  <c r="AH205" i="18"/>
  <c r="AC206" i="18"/>
  <c r="AD206" i="18"/>
  <c r="AE206" i="18"/>
  <c r="AF206" i="18"/>
  <c r="AG206" i="18"/>
  <c r="AH206" i="18"/>
  <c r="AC207" i="18"/>
  <c r="AD207" i="18"/>
  <c r="AE207" i="18"/>
  <c r="AF207" i="18"/>
  <c r="AG207" i="18"/>
  <c r="AH207" i="18"/>
  <c r="AC208" i="18"/>
  <c r="AD208" i="18"/>
  <c r="AE208" i="18"/>
  <c r="AF208" i="18"/>
  <c r="AG208" i="18"/>
  <c r="AH208" i="18"/>
  <c r="AC209" i="18"/>
  <c r="AD209" i="18"/>
  <c r="AE209" i="18"/>
  <c r="AF209" i="18"/>
  <c r="AG209" i="18"/>
  <c r="AH209" i="18"/>
  <c r="AC210" i="18"/>
  <c r="AD210" i="18"/>
  <c r="AE210" i="18"/>
  <c r="AF210" i="18"/>
  <c r="AG210" i="18"/>
  <c r="AH210" i="18"/>
  <c r="AC211" i="18"/>
  <c r="AD211" i="18"/>
  <c r="AE211" i="18"/>
  <c r="AF211" i="18"/>
  <c r="AG211" i="18"/>
  <c r="AH211" i="18"/>
  <c r="AC212" i="18"/>
  <c r="AD212" i="18"/>
  <c r="AE212" i="18"/>
  <c r="AF212" i="18"/>
  <c r="AG212" i="18"/>
  <c r="AH212" i="18"/>
  <c r="AC213" i="18"/>
  <c r="AD213" i="18"/>
  <c r="AE213" i="18"/>
  <c r="AF213" i="18"/>
  <c r="AG213" i="18"/>
  <c r="AH213" i="18"/>
  <c r="AC214" i="18"/>
  <c r="AD214" i="18"/>
  <c r="AE214" i="18"/>
  <c r="AF214" i="18"/>
  <c r="AG214" i="18"/>
  <c r="AH214" i="18"/>
  <c r="AC215" i="18"/>
  <c r="AD215" i="18"/>
  <c r="AE215" i="18"/>
  <c r="AF215" i="18"/>
  <c r="AG215" i="18"/>
  <c r="AH215" i="18"/>
  <c r="AC216" i="18"/>
  <c r="AD216" i="18"/>
  <c r="AE216" i="18"/>
  <c r="AF216" i="18"/>
  <c r="AG216" i="18"/>
  <c r="AH216" i="18"/>
  <c r="AC217" i="18"/>
  <c r="AD217" i="18"/>
  <c r="AE217" i="18"/>
  <c r="AF217" i="18"/>
  <c r="AG217" i="18"/>
  <c r="AH217" i="18"/>
  <c r="AC218" i="18"/>
  <c r="AD218" i="18"/>
  <c r="AE218" i="18"/>
  <c r="AF218" i="18"/>
  <c r="AG218" i="18"/>
  <c r="AH218" i="18"/>
  <c r="AC219" i="18"/>
  <c r="AD219" i="18"/>
  <c r="AE219" i="18"/>
  <c r="AF219" i="18"/>
  <c r="AG219" i="18"/>
  <c r="AH219" i="18"/>
  <c r="AC220" i="18"/>
  <c r="AD220" i="18"/>
  <c r="AE220" i="18"/>
  <c r="AF220" i="18"/>
  <c r="AG220" i="18"/>
  <c r="AH220" i="18"/>
  <c r="AC221" i="18"/>
  <c r="AD221" i="18"/>
  <c r="AE221" i="18"/>
  <c r="AF221" i="18"/>
  <c r="AG221" i="18"/>
  <c r="AH221" i="18"/>
  <c r="AC222" i="18"/>
  <c r="AD222" i="18"/>
  <c r="AE222" i="18"/>
  <c r="AF222" i="18"/>
  <c r="AG222" i="18"/>
  <c r="AH222" i="18"/>
  <c r="AC223" i="18"/>
  <c r="AD223" i="18"/>
  <c r="AE223" i="18"/>
  <c r="AF223" i="18"/>
  <c r="AG223" i="18"/>
  <c r="AH223" i="18"/>
  <c r="AC224" i="18"/>
  <c r="AD224" i="18"/>
  <c r="AE224" i="18"/>
  <c r="AF224" i="18"/>
  <c r="AG224" i="18"/>
  <c r="AH224" i="18"/>
  <c r="AC225" i="18"/>
  <c r="AD225" i="18"/>
  <c r="AE225" i="18"/>
  <c r="AF225" i="18"/>
  <c r="AG225" i="18"/>
  <c r="AH225" i="18"/>
  <c r="AC226" i="18"/>
  <c r="AD226" i="18"/>
  <c r="AE226" i="18"/>
  <c r="AF226" i="18"/>
  <c r="AG226" i="18"/>
  <c r="AH226" i="18"/>
  <c r="AC227" i="18"/>
  <c r="AD227" i="18"/>
  <c r="AE227" i="18"/>
  <c r="AF227" i="18"/>
  <c r="AG227" i="18"/>
  <c r="AH227" i="18"/>
  <c r="AC228" i="18"/>
  <c r="AD228" i="18"/>
  <c r="AE228" i="18"/>
  <c r="AF228" i="18"/>
  <c r="AG228" i="18"/>
  <c r="AH228" i="18"/>
  <c r="AC229" i="18"/>
  <c r="AD229" i="18"/>
  <c r="AE229" i="18"/>
  <c r="AF229" i="18"/>
  <c r="AG229" i="18"/>
  <c r="AH229" i="18"/>
  <c r="AC230" i="18"/>
  <c r="AD230" i="18"/>
  <c r="AE230" i="18"/>
  <c r="AF230" i="18"/>
  <c r="AG230" i="18"/>
  <c r="AH230" i="18"/>
  <c r="AC231" i="18"/>
  <c r="AD231" i="18"/>
  <c r="AE231" i="18"/>
  <c r="AF231" i="18"/>
  <c r="AG231" i="18"/>
  <c r="AH231" i="18"/>
  <c r="AC232" i="18"/>
  <c r="AD232" i="18"/>
  <c r="AE232" i="18"/>
  <c r="AF232" i="18"/>
  <c r="AG232" i="18"/>
  <c r="AH232" i="18"/>
  <c r="AC233" i="18"/>
  <c r="AD233" i="18"/>
  <c r="AE233" i="18"/>
  <c r="AF233" i="18"/>
  <c r="AG233" i="18"/>
  <c r="AH233" i="18"/>
  <c r="AC234" i="18"/>
  <c r="AD234" i="18"/>
  <c r="AE234" i="18"/>
  <c r="AF234" i="18"/>
  <c r="AG234" i="18"/>
  <c r="AH234" i="18"/>
  <c r="AC235" i="18"/>
  <c r="AD235" i="18"/>
  <c r="AE235" i="18"/>
  <c r="AF235" i="18"/>
  <c r="AG235" i="18"/>
  <c r="AH235" i="18"/>
  <c r="AC236" i="18"/>
  <c r="AD236" i="18"/>
  <c r="AE236" i="18"/>
  <c r="AF236" i="18"/>
  <c r="AG236" i="18"/>
  <c r="AH236" i="18"/>
  <c r="AC237" i="18"/>
  <c r="AD237" i="18"/>
  <c r="AE237" i="18"/>
  <c r="AF237" i="18"/>
  <c r="AG237" i="18"/>
  <c r="AH237" i="18"/>
  <c r="AC238" i="18"/>
  <c r="AD238" i="18"/>
  <c r="AE238" i="18"/>
  <c r="AF238" i="18"/>
  <c r="AG238" i="18"/>
  <c r="AH238" i="18"/>
  <c r="AC239" i="18"/>
  <c r="AD239" i="18"/>
  <c r="AE239" i="18"/>
  <c r="AF239" i="18"/>
  <c r="AG239" i="18"/>
  <c r="AH239" i="18"/>
  <c r="AC240" i="18"/>
  <c r="AD240" i="18"/>
  <c r="AE240" i="18"/>
  <c r="AF240" i="18"/>
  <c r="AG240" i="18"/>
  <c r="AH240" i="18"/>
  <c r="AC241" i="18"/>
  <c r="AD241" i="18"/>
  <c r="AE241" i="18"/>
  <c r="AF241" i="18"/>
  <c r="AG241" i="18"/>
  <c r="AH241" i="18"/>
  <c r="AC242" i="18"/>
  <c r="AD242" i="18"/>
  <c r="AE242" i="18"/>
  <c r="AF242" i="18"/>
  <c r="AG242" i="18"/>
  <c r="AH242" i="18"/>
  <c r="AC243" i="18"/>
  <c r="AD243" i="18"/>
  <c r="AE243" i="18"/>
  <c r="AF243" i="18"/>
  <c r="AG243" i="18"/>
  <c r="AH243" i="18"/>
  <c r="AC244" i="18"/>
  <c r="AD244" i="18"/>
  <c r="AE244" i="18"/>
  <c r="AF244" i="18"/>
  <c r="AG244" i="18"/>
  <c r="AH244" i="18"/>
  <c r="AC245" i="18"/>
  <c r="AD245" i="18"/>
  <c r="AE245" i="18"/>
  <c r="AF245" i="18"/>
  <c r="AG245" i="18"/>
  <c r="AH245" i="18"/>
  <c r="AC246" i="18"/>
  <c r="AD246" i="18"/>
  <c r="AE246" i="18"/>
  <c r="AF246" i="18"/>
  <c r="AG246" i="18"/>
  <c r="AH246" i="18"/>
  <c r="AC247" i="18"/>
  <c r="AD247" i="18"/>
  <c r="AE247" i="18"/>
  <c r="AF247" i="18"/>
  <c r="AG247" i="18"/>
  <c r="AH247" i="18"/>
  <c r="AC248" i="18"/>
  <c r="AD248" i="18"/>
  <c r="AE248" i="18"/>
  <c r="AF248" i="18"/>
  <c r="AG248" i="18"/>
  <c r="AH248" i="18"/>
  <c r="AC249" i="18"/>
  <c r="AD249" i="18"/>
  <c r="AE249" i="18"/>
  <c r="AF249" i="18"/>
  <c r="AG249" i="18"/>
  <c r="AH249" i="18"/>
  <c r="AC250" i="18"/>
  <c r="AD250" i="18"/>
  <c r="AE250" i="18"/>
  <c r="AF250" i="18"/>
  <c r="AG250" i="18"/>
  <c r="AH250" i="18"/>
  <c r="AC251" i="18"/>
  <c r="AD251" i="18"/>
  <c r="AE251" i="18"/>
  <c r="AF251" i="18"/>
  <c r="AG251" i="18"/>
  <c r="AH251" i="18"/>
  <c r="AC252" i="18"/>
  <c r="AD252" i="18"/>
  <c r="AE252" i="18"/>
  <c r="AF252" i="18"/>
  <c r="AG252" i="18"/>
  <c r="AH252" i="18"/>
  <c r="AC253" i="18"/>
  <c r="AD253" i="18"/>
  <c r="AE253" i="18"/>
  <c r="AF253" i="18"/>
  <c r="AG253" i="18"/>
  <c r="AH253" i="18"/>
  <c r="AC254" i="18"/>
  <c r="AD254" i="18"/>
  <c r="AE254" i="18"/>
  <c r="AF254" i="18"/>
  <c r="AG254" i="18"/>
  <c r="AH254" i="18"/>
  <c r="AC255" i="18"/>
  <c r="AD255" i="18"/>
  <c r="AE255" i="18"/>
  <c r="AF255" i="18"/>
  <c r="AG255" i="18"/>
  <c r="AH255" i="18"/>
  <c r="AC256" i="18"/>
  <c r="AD256" i="18"/>
  <c r="AE256" i="18"/>
  <c r="AF256" i="18"/>
  <c r="AG256" i="18"/>
  <c r="AH256" i="18"/>
  <c r="AC257" i="18"/>
  <c r="AD257" i="18"/>
  <c r="AE257" i="18"/>
  <c r="AF257" i="18"/>
  <c r="AG257" i="18"/>
  <c r="AH257" i="18"/>
  <c r="AC258" i="18"/>
  <c r="AD258" i="18"/>
  <c r="AE258" i="18"/>
  <c r="AF258" i="18"/>
  <c r="AG258" i="18"/>
  <c r="AH258" i="18"/>
  <c r="AC259" i="18"/>
  <c r="AD259" i="18"/>
  <c r="AE259" i="18"/>
  <c r="AF259" i="18"/>
  <c r="AG259" i="18"/>
  <c r="AH259" i="18"/>
  <c r="AC260" i="18"/>
  <c r="AD260" i="18"/>
  <c r="AE260" i="18"/>
  <c r="AF260" i="18"/>
  <c r="AG260" i="18"/>
  <c r="AH260" i="18"/>
  <c r="AC261" i="18"/>
  <c r="AD261" i="18"/>
  <c r="AE261" i="18"/>
  <c r="AF261" i="18"/>
  <c r="AG261" i="18"/>
  <c r="AH261" i="18"/>
  <c r="AC262" i="18"/>
  <c r="AD262" i="18"/>
  <c r="AE262" i="18"/>
  <c r="AF262" i="18"/>
  <c r="AG262" i="18"/>
  <c r="AH262" i="18"/>
  <c r="AC263" i="18"/>
  <c r="AD263" i="18"/>
  <c r="AE263" i="18"/>
  <c r="AF263" i="18"/>
  <c r="AG263" i="18"/>
  <c r="AH263" i="18"/>
  <c r="AC264" i="18"/>
  <c r="AD264" i="18"/>
  <c r="AE264" i="18"/>
  <c r="AF264" i="18"/>
  <c r="AG264" i="18"/>
  <c r="AH264" i="18"/>
  <c r="AC265" i="18"/>
  <c r="AD265" i="18"/>
  <c r="AE265" i="18"/>
  <c r="AF265" i="18"/>
  <c r="AG265" i="18"/>
  <c r="AH265" i="18"/>
  <c r="AC266" i="18"/>
  <c r="AD266" i="18"/>
  <c r="AE266" i="18"/>
  <c r="AF266" i="18"/>
  <c r="AG266" i="18"/>
  <c r="AH266" i="18"/>
  <c r="AC267" i="18"/>
  <c r="AD267" i="18"/>
  <c r="AE267" i="18"/>
  <c r="AF267" i="18"/>
  <c r="AG267" i="18"/>
  <c r="AH267" i="18"/>
  <c r="AC268" i="18"/>
  <c r="AD268" i="18"/>
  <c r="AE268" i="18"/>
  <c r="AF268" i="18"/>
  <c r="AG268" i="18"/>
  <c r="AH268" i="18"/>
  <c r="AC269" i="18"/>
  <c r="AD269" i="18"/>
  <c r="AE269" i="18"/>
  <c r="AF269" i="18"/>
  <c r="AG269" i="18"/>
  <c r="AH269" i="18"/>
  <c r="AC270" i="18"/>
  <c r="AD270" i="18"/>
  <c r="AE270" i="18"/>
  <c r="AF270" i="18"/>
  <c r="AG270" i="18"/>
  <c r="AH270" i="18"/>
  <c r="AC271" i="18"/>
  <c r="AD271" i="18"/>
  <c r="AE271" i="18"/>
  <c r="AF271" i="18"/>
  <c r="AG271" i="18"/>
  <c r="AH271" i="18"/>
  <c r="AC272" i="18"/>
  <c r="AD272" i="18"/>
  <c r="AE272" i="18"/>
  <c r="AF272" i="18"/>
  <c r="AG272" i="18"/>
  <c r="AH272" i="18"/>
  <c r="AC273" i="18"/>
  <c r="AD273" i="18"/>
  <c r="AE273" i="18"/>
  <c r="AF273" i="18"/>
  <c r="AG273" i="18"/>
  <c r="AH273" i="18"/>
  <c r="AC274" i="18"/>
  <c r="AD274" i="18"/>
  <c r="AE274" i="18"/>
  <c r="AF274" i="18"/>
  <c r="AG274" i="18"/>
  <c r="AH274" i="18"/>
  <c r="AC275" i="18"/>
  <c r="AD275" i="18"/>
  <c r="AE275" i="18"/>
  <c r="AF275" i="18"/>
  <c r="AG275" i="18"/>
  <c r="AH275" i="18"/>
  <c r="AC276" i="18"/>
  <c r="AD276" i="18"/>
  <c r="AE276" i="18"/>
  <c r="AF276" i="18"/>
  <c r="AG276" i="18"/>
  <c r="AH276" i="18"/>
  <c r="AC277" i="18"/>
  <c r="AD277" i="18"/>
  <c r="AE277" i="18"/>
  <c r="AF277" i="18"/>
  <c r="AG277" i="18"/>
  <c r="AH277" i="18"/>
  <c r="AC278" i="18"/>
  <c r="AD278" i="18"/>
  <c r="AE278" i="18"/>
  <c r="AF278" i="18"/>
  <c r="AG278" i="18"/>
  <c r="AH278" i="18"/>
  <c r="AC279" i="18"/>
  <c r="AD279" i="18"/>
  <c r="AE279" i="18"/>
  <c r="AF279" i="18"/>
  <c r="AG279" i="18"/>
  <c r="AH279" i="18"/>
  <c r="AC280" i="18"/>
  <c r="AD280" i="18"/>
  <c r="AE280" i="18"/>
  <c r="AF280" i="18"/>
  <c r="AG280" i="18"/>
  <c r="AH280" i="18"/>
  <c r="AC281" i="18"/>
  <c r="AD281" i="18"/>
  <c r="AE281" i="18"/>
  <c r="AF281" i="18"/>
  <c r="AG281" i="18"/>
  <c r="AH281" i="18"/>
  <c r="AC282" i="18"/>
  <c r="AD282" i="18"/>
  <c r="AE282" i="18"/>
  <c r="AF282" i="18"/>
  <c r="AG282" i="18"/>
  <c r="AH282" i="18"/>
  <c r="AC283" i="18"/>
  <c r="AD283" i="18"/>
  <c r="AE283" i="18"/>
  <c r="AF283" i="18"/>
  <c r="AG283" i="18"/>
  <c r="AH283" i="18"/>
  <c r="AC284" i="18"/>
  <c r="AD284" i="18"/>
  <c r="AE284" i="18"/>
  <c r="AF284" i="18"/>
  <c r="AG284" i="18"/>
  <c r="AH284" i="18"/>
  <c r="AC285" i="18"/>
  <c r="AD285" i="18"/>
  <c r="AE285" i="18"/>
  <c r="AF285" i="18"/>
  <c r="AG285" i="18"/>
  <c r="AH285" i="18"/>
  <c r="AC286" i="18"/>
  <c r="AD286" i="18"/>
  <c r="AE286" i="18"/>
  <c r="AF286" i="18"/>
  <c r="AG286" i="18"/>
  <c r="AH286" i="18"/>
  <c r="AC287" i="18"/>
  <c r="AD287" i="18"/>
  <c r="AE287" i="18"/>
  <c r="AF287" i="18"/>
  <c r="AG287" i="18"/>
  <c r="AH287" i="18"/>
  <c r="AC288" i="18"/>
  <c r="AD288" i="18"/>
  <c r="AE288" i="18"/>
  <c r="AF288" i="18"/>
  <c r="AG288" i="18"/>
  <c r="AH288" i="18"/>
  <c r="AC289" i="18"/>
  <c r="AD289" i="18"/>
  <c r="AE289" i="18"/>
  <c r="AF289" i="18"/>
  <c r="AG289" i="18"/>
  <c r="AH289" i="18"/>
  <c r="AC290" i="18"/>
  <c r="AD290" i="18"/>
  <c r="AE290" i="18"/>
  <c r="AF290" i="18"/>
  <c r="AG290" i="18"/>
  <c r="AH290" i="18"/>
  <c r="AC291" i="18"/>
  <c r="AD291" i="18"/>
  <c r="AE291" i="18"/>
  <c r="AF291" i="18"/>
  <c r="AG291" i="18"/>
  <c r="AH291" i="18"/>
  <c r="AC292" i="18"/>
  <c r="AD292" i="18"/>
  <c r="AE292" i="18"/>
  <c r="AF292" i="18"/>
  <c r="AG292" i="18"/>
  <c r="AH292" i="18"/>
  <c r="AC293" i="18"/>
  <c r="AD293" i="18"/>
  <c r="AE293" i="18"/>
  <c r="AF293" i="18"/>
  <c r="AG293" i="18"/>
  <c r="AH293" i="18"/>
  <c r="AC294" i="18"/>
  <c r="AD294" i="18"/>
  <c r="AE294" i="18"/>
  <c r="AF294" i="18"/>
  <c r="AG294" i="18"/>
  <c r="AH294" i="18"/>
  <c r="AC295" i="18"/>
  <c r="AD295" i="18"/>
  <c r="AE295" i="18"/>
  <c r="AF295" i="18"/>
  <c r="AG295" i="18"/>
  <c r="AH295" i="18"/>
  <c r="AC296" i="18"/>
  <c r="AD296" i="18"/>
  <c r="AE296" i="18"/>
  <c r="AF296" i="18"/>
  <c r="AG296" i="18"/>
  <c r="AH296" i="18"/>
  <c r="AC297" i="18"/>
  <c r="AD297" i="18"/>
  <c r="AE297" i="18"/>
  <c r="AF297" i="18"/>
  <c r="AG297" i="18"/>
  <c r="AH297" i="18"/>
  <c r="AC298" i="18"/>
  <c r="AD298" i="18"/>
  <c r="AE298" i="18"/>
  <c r="AF298" i="18"/>
  <c r="AG298" i="18"/>
  <c r="AH298" i="18"/>
  <c r="AC299" i="18"/>
  <c r="AD299" i="18"/>
  <c r="AE299" i="18"/>
  <c r="AF299" i="18"/>
  <c r="AG299" i="18"/>
  <c r="AH299" i="18"/>
  <c r="AC300" i="18"/>
  <c r="AD300" i="18"/>
  <c r="AE300" i="18"/>
  <c r="AF300" i="18"/>
  <c r="AG300" i="18"/>
  <c r="AH300" i="18"/>
  <c r="AC301" i="18"/>
  <c r="AD301" i="18"/>
  <c r="AE301" i="18"/>
  <c r="AF301" i="18"/>
  <c r="AG301" i="18"/>
  <c r="AH301" i="18"/>
  <c r="AC302" i="18"/>
  <c r="AD302" i="18"/>
  <c r="AE302" i="18"/>
  <c r="AF302" i="18"/>
  <c r="AG302" i="18"/>
  <c r="AH302" i="18"/>
  <c r="AC303" i="18"/>
  <c r="AD303" i="18"/>
  <c r="AE303" i="18"/>
  <c r="AF303" i="18"/>
  <c r="AG303" i="18"/>
  <c r="AH303" i="18"/>
  <c r="AC304" i="18"/>
  <c r="AD304" i="18"/>
  <c r="AE304" i="18"/>
  <c r="AF304" i="18"/>
  <c r="AG304" i="18"/>
  <c r="AH304" i="18"/>
  <c r="AC305" i="18"/>
  <c r="AD305" i="18"/>
  <c r="AE305" i="18"/>
  <c r="AF305" i="18"/>
  <c r="AG305" i="18"/>
  <c r="AH305" i="18"/>
  <c r="AC306" i="18"/>
  <c r="AD306" i="18"/>
  <c r="AE306" i="18"/>
  <c r="AF306" i="18"/>
  <c r="AG306" i="18"/>
  <c r="AH306" i="18"/>
  <c r="AC307" i="18"/>
  <c r="AD307" i="18"/>
  <c r="AE307" i="18"/>
  <c r="AF307" i="18"/>
  <c r="AG307" i="18"/>
  <c r="AH307" i="18"/>
  <c r="AC308" i="18"/>
  <c r="AD308" i="18"/>
  <c r="AE308" i="18"/>
  <c r="AF308" i="18"/>
  <c r="AG308" i="18"/>
  <c r="AH308" i="18"/>
  <c r="AC309" i="18"/>
  <c r="AD309" i="18"/>
  <c r="AE309" i="18"/>
  <c r="AF309" i="18"/>
  <c r="AG309" i="18"/>
  <c r="AH309" i="18"/>
  <c r="AC310" i="18"/>
  <c r="AD310" i="18"/>
  <c r="AE310" i="18"/>
  <c r="AF310" i="18"/>
  <c r="AG310" i="18"/>
  <c r="AH310" i="18"/>
  <c r="AC311" i="18"/>
  <c r="AD311" i="18"/>
  <c r="AE311" i="18"/>
  <c r="AF311" i="18"/>
  <c r="AG311" i="18"/>
  <c r="AH311" i="18"/>
  <c r="AC312" i="18"/>
  <c r="AD312" i="18"/>
  <c r="AE312" i="18"/>
  <c r="AF312" i="18"/>
  <c r="AG312" i="18"/>
  <c r="AH312" i="18"/>
  <c r="AC313" i="18"/>
  <c r="AD313" i="18"/>
  <c r="AE313" i="18"/>
  <c r="AF313" i="18"/>
  <c r="AG313" i="18"/>
  <c r="AH313" i="18"/>
  <c r="AC314" i="18"/>
  <c r="AD314" i="18"/>
  <c r="AE314" i="18"/>
  <c r="AF314" i="18"/>
  <c r="AG314" i="18"/>
  <c r="AH314" i="18"/>
  <c r="AC315" i="18"/>
  <c r="AD315" i="18"/>
  <c r="AE315" i="18"/>
  <c r="AF315" i="18"/>
  <c r="AG315" i="18"/>
  <c r="AH315" i="18"/>
  <c r="AC316" i="18"/>
  <c r="AD316" i="18"/>
  <c r="AE316" i="18"/>
  <c r="AF316" i="18"/>
  <c r="AG316" i="18"/>
  <c r="AH316" i="18"/>
  <c r="AC317" i="18"/>
  <c r="AD317" i="18"/>
  <c r="AE317" i="18"/>
  <c r="AF317" i="18"/>
  <c r="AG317" i="18"/>
  <c r="AH317" i="18"/>
  <c r="AC318" i="18"/>
  <c r="AD318" i="18"/>
  <c r="AE318" i="18"/>
  <c r="AF318" i="18"/>
  <c r="AG318" i="18"/>
  <c r="AH318" i="18"/>
  <c r="AC319" i="18"/>
  <c r="AD319" i="18"/>
  <c r="AE319" i="18"/>
  <c r="AF319" i="18"/>
  <c r="AG319" i="18"/>
  <c r="AH319" i="18"/>
  <c r="AC320" i="18"/>
  <c r="AD320" i="18"/>
  <c r="AE320" i="18"/>
  <c r="AF320" i="18"/>
  <c r="AG320" i="18"/>
  <c r="AH320" i="18"/>
  <c r="AC321" i="18"/>
  <c r="AD321" i="18"/>
  <c r="AE321" i="18"/>
  <c r="AF321" i="18"/>
  <c r="AG321" i="18"/>
  <c r="AH321" i="18"/>
  <c r="AC322" i="18"/>
  <c r="AD322" i="18"/>
  <c r="AE322" i="18"/>
  <c r="AF322" i="18"/>
  <c r="AG322" i="18"/>
  <c r="AH322" i="18"/>
  <c r="AC323" i="18"/>
  <c r="AD323" i="18"/>
  <c r="AE323" i="18"/>
  <c r="AF323" i="18"/>
  <c r="AG323" i="18"/>
  <c r="AH323" i="18"/>
  <c r="AC324" i="18"/>
  <c r="AD324" i="18"/>
  <c r="AE324" i="18"/>
  <c r="AF324" i="18"/>
  <c r="AG324" i="18"/>
  <c r="AH324" i="18"/>
  <c r="AC325" i="18"/>
  <c r="AD325" i="18"/>
  <c r="AE325" i="18"/>
  <c r="AF325" i="18"/>
  <c r="AG325" i="18"/>
  <c r="AH325" i="18"/>
  <c r="AC326" i="18"/>
  <c r="AD326" i="18"/>
  <c r="AE326" i="18"/>
  <c r="AF326" i="18"/>
  <c r="AG326" i="18"/>
  <c r="AH326" i="18"/>
  <c r="AC327" i="18"/>
  <c r="AD327" i="18"/>
  <c r="AE327" i="18"/>
  <c r="AF327" i="18"/>
  <c r="AG327" i="18"/>
  <c r="AH327" i="18"/>
  <c r="AC328" i="18"/>
  <c r="AD328" i="18"/>
  <c r="AE328" i="18"/>
  <c r="AF328" i="18"/>
  <c r="AG328" i="18"/>
  <c r="AH328" i="18"/>
  <c r="AC329" i="18"/>
  <c r="AD329" i="18"/>
  <c r="AE329" i="18"/>
  <c r="AF329" i="18"/>
  <c r="AG329" i="18"/>
  <c r="AH329" i="18"/>
  <c r="AC330" i="18"/>
  <c r="AD330" i="18"/>
  <c r="AE330" i="18"/>
  <c r="AF330" i="18"/>
  <c r="AG330" i="18"/>
  <c r="AH330" i="18"/>
  <c r="AC331" i="18"/>
  <c r="AD331" i="18"/>
  <c r="AE331" i="18"/>
  <c r="AF331" i="18"/>
  <c r="AG331" i="18"/>
  <c r="AH331" i="18"/>
  <c r="AC332" i="18"/>
  <c r="AD332" i="18"/>
  <c r="AE332" i="18"/>
  <c r="AF332" i="18"/>
  <c r="AG332" i="18"/>
  <c r="AH332" i="18"/>
  <c r="AC333" i="18"/>
  <c r="AD333" i="18"/>
  <c r="AE333" i="18"/>
  <c r="AF333" i="18"/>
  <c r="AG333" i="18"/>
  <c r="AH333" i="18"/>
  <c r="AC334" i="18"/>
  <c r="AD334" i="18"/>
  <c r="AE334" i="18"/>
  <c r="AF334" i="18"/>
  <c r="AG334" i="18"/>
  <c r="AH334" i="18"/>
  <c r="AC335" i="18"/>
  <c r="AD335" i="18"/>
  <c r="AE335" i="18"/>
  <c r="AF335" i="18"/>
  <c r="AG335" i="18"/>
  <c r="AH335" i="18"/>
  <c r="AC336" i="18"/>
  <c r="AD336" i="18"/>
  <c r="AE336" i="18"/>
  <c r="AF336" i="18"/>
  <c r="AG336" i="18"/>
  <c r="AH336" i="18"/>
  <c r="AC337" i="18"/>
  <c r="AD337" i="18"/>
  <c r="AE337" i="18"/>
  <c r="AF337" i="18"/>
  <c r="AG337" i="18"/>
  <c r="AH337" i="18"/>
  <c r="AC338" i="18"/>
  <c r="AD338" i="18"/>
  <c r="AE338" i="18"/>
  <c r="AF338" i="18"/>
  <c r="AG338" i="18"/>
  <c r="AH338" i="18"/>
  <c r="AC339" i="18"/>
  <c r="AD339" i="18"/>
  <c r="AE339" i="18"/>
  <c r="AF339" i="18"/>
  <c r="AG339" i="18"/>
  <c r="AH339" i="18"/>
  <c r="AC340" i="18"/>
  <c r="AD340" i="18"/>
  <c r="AE340" i="18"/>
  <c r="AF340" i="18"/>
  <c r="AG340" i="18"/>
  <c r="AH340" i="18"/>
  <c r="AC341" i="18"/>
  <c r="AD341" i="18"/>
  <c r="AE341" i="18"/>
  <c r="AF341" i="18"/>
  <c r="AG341" i="18"/>
  <c r="AH341" i="18"/>
  <c r="AC342" i="18"/>
  <c r="AD342" i="18"/>
  <c r="AE342" i="18"/>
  <c r="AF342" i="18"/>
  <c r="AG342" i="18"/>
  <c r="AH342" i="18"/>
  <c r="AC343" i="18"/>
  <c r="AD343" i="18"/>
  <c r="AE343" i="18"/>
  <c r="AF343" i="18"/>
  <c r="AG343" i="18"/>
  <c r="AH343" i="18"/>
  <c r="AC344" i="18"/>
  <c r="AD344" i="18"/>
  <c r="AE344" i="18"/>
  <c r="AF344" i="18"/>
  <c r="AG344" i="18"/>
  <c r="AH344" i="18"/>
  <c r="AC345" i="18"/>
  <c r="AD345" i="18"/>
  <c r="AE345" i="18"/>
  <c r="AF345" i="18"/>
  <c r="AG345" i="18"/>
  <c r="AH345" i="18"/>
  <c r="AC346" i="18"/>
  <c r="AD346" i="18"/>
  <c r="AE346" i="18"/>
  <c r="AF346" i="18"/>
  <c r="AG346" i="18"/>
  <c r="AH346" i="18"/>
  <c r="AC347" i="18"/>
  <c r="AD347" i="18"/>
  <c r="AE347" i="18"/>
  <c r="AF347" i="18"/>
  <c r="AG347" i="18"/>
  <c r="AH347" i="18"/>
  <c r="AC348" i="18"/>
  <c r="AD348" i="18"/>
  <c r="AE348" i="18"/>
  <c r="AF348" i="18"/>
  <c r="AG348" i="18"/>
  <c r="AH348" i="18"/>
  <c r="AC349" i="18"/>
  <c r="AD349" i="18"/>
  <c r="AE349" i="18"/>
  <c r="AF349" i="18"/>
  <c r="AG349" i="18"/>
  <c r="AH349" i="18"/>
  <c r="AC350" i="18"/>
  <c r="AD350" i="18"/>
  <c r="AE350" i="18"/>
  <c r="AF350" i="18"/>
  <c r="AG350" i="18"/>
  <c r="AH350" i="18"/>
  <c r="AC351" i="18"/>
  <c r="AD351" i="18"/>
  <c r="AE351" i="18"/>
  <c r="AF351" i="18"/>
  <c r="AG351" i="18"/>
  <c r="AH351" i="18"/>
  <c r="AC352" i="18"/>
  <c r="AD352" i="18"/>
  <c r="AE352" i="18"/>
  <c r="AF352" i="18"/>
  <c r="AG352" i="18"/>
  <c r="AH352" i="18"/>
  <c r="AC353" i="18"/>
  <c r="AD353" i="18"/>
  <c r="AE353" i="18"/>
  <c r="AF353" i="18"/>
  <c r="AG353" i="18"/>
  <c r="AH353" i="18"/>
  <c r="AC354" i="18"/>
  <c r="AD354" i="18"/>
  <c r="AE354" i="18"/>
  <c r="AF354" i="18"/>
  <c r="AG354" i="18"/>
  <c r="AH354" i="18"/>
  <c r="AC355" i="18"/>
  <c r="AD355" i="18"/>
  <c r="AE355" i="18"/>
  <c r="AF355" i="18"/>
  <c r="AG355" i="18"/>
  <c r="AH355" i="18"/>
  <c r="AC356" i="18"/>
  <c r="AD356" i="18"/>
  <c r="AE356" i="18"/>
  <c r="AF356" i="18"/>
  <c r="AG356" i="18"/>
  <c r="AH356" i="18"/>
  <c r="AC357" i="18"/>
  <c r="AD357" i="18"/>
  <c r="AE357" i="18"/>
  <c r="AF357" i="18"/>
  <c r="AG357" i="18"/>
  <c r="AH357" i="18"/>
  <c r="AC358" i="18"/>
  <c r="AD358" i="18"/>
  <c r="AE358" i="18"/>
  <c r="AF358" i="18"/>
  <c r="AG358" i="18"/>
  <c r="AH358" i="18"/>
  <c r="AC359" i="18"/>
  <c r="AD359" i="18"/>
  <c r="AE359" i="18"/>
  <c r="AF359" i="18"/>
  <c r="AG359" i="18"/>
  <c r="AH359" i="18"/>
  <c r="AC360" i="18"/>
  <c r="AD360" i="18"/>
  <c r="AE360" i="18"/>
  <c r="AF360" i="18"/>
  <c r="AG360" i="18"/>
  <c r="AH360" i="18"/>
  <c r="AC361" i="18"/>
  <c r="AD361" i="18"/>
  <c r="AE361" i="18"/>
  <c r="AF361" i="18"/>
  <c r="AG361" i="18"/>
  <c r="AH361" i="18"/>
  <c r="AC362" i="18"/>
  <c r="AD362" i="18"/>
  <c r="AE362" i="18"/>
  <c r="AF362" i="18"/>
  <c r="AG362" i="18"/>
  <c r="AH362" i="18"/>
  <c r="AC363" i="18"/>
  <c r="AD363" i="18"/>
  <c r="AE363" i="18"/>
  <c r="AF363" i="18"/>
  <c r="AG363" i="18"/>
  <c r="AH363" i="18"/>
  <c r="AC4" i="18"/>
  <c r="V5" i="18"/>
  <c r="W5" i="18"/>
  <c r="X5" i="18"/>
  <c r="Y5" i="18"/>
  <c r="Z5" i="18"/>
  <c r="AA5" i="18"/>
  <c r="V6" i="18"/>
  <c r="W6" i="18"/>
  <c r="X6" i="18"/>
  <c r="Y6" i="18"/>
  <c r="Z6" i="18"/>
  <c r="AA6" i="18"/>
  <c r="V7" i="18"/>
  <c r="W7" i="18"/>
  <c r="X7" i="18"/>
  <c r="Y7" i="18"/>
  <c r="Z7" i="18"/>
  <c r="AA7" i="18"/>
  <c r="V8" i="18"/>
  <c r="W8" i="18"/>
  <c r="X8" i="18"/>
  <c r="Y8" i="18"/>
  <c r="Z8" i="18"/>
  <c r="AA8" i="18"/>
  <c r="V9" i="18"/>
  <c r="W9" i="18"/>
  <c r="X9" i="18"/>
  <c r="Y9" i="18"/>
  <c r="Z9" i="18"/>
  <c r="AA9" i="18"/>
  <c r="V10" i="18"/>
  <c r="W10" i="18"/>
  <c r="X10" i="18"/>
  <c r="Y10" i="18"/>
  <c r="Z10" i="18"/>
  <c r="AA10" i="18"/>
  <c r="V11" i="18"/>
  <c r="W11" i="18"/>
  <c r="X11" i="18"/>
  <c r="Y11" i="18"/>
  <c r="Z11" i="18"/>
  <c r="AA11" i="18"/>
  <c r="V12" i="18"/>
  <c r="W12" i="18"/>
  <c r="X12" i="18"/>
  <c r="Y12" i="18"/>
  <c r="Z12" i="18"/>
  <c r="AA12" i="18"/>
  <c r="V13" i="18"/>
  <c r="W13" i="18"/>
  <c r="X13" i="18"/>
  <c r="Y13" i="18"/>
  <c r="Z13" i="18"/>
  <c r="AA13" i="18"/>
  <c r="V14" i="18"/>
  <c r="W14" i="18"/>
  <c r="X14" i="18"/>
  <c r="Y14" i="18"/>
  <c r="Z14" i="18"/>
  <c r="AA14" i="18"/>
  <c r="V15" i="18"/>
  <c r="W15" i="18"/>
  <c r="X15" i="18"/>
  <c r="Y15" i="18"/>
  <c r="Z15" i="18"/>
  <c r="AA15" i="18"/>
  <c r="V16" i="18"/>
  <c r="W16" i="18"/>
  <c r="X16" i="18"/>
  <c r="Y16" i="18"/>
  <c r="Z16" i="18"/>
  <c r="AA16" i="18"/>
  <c r="V17" i="18"/>
  <c r="W17" i="18"/>
  <c r="X17" i="18"/>
  <c r="Y17" i="18"/>
  <c r="Z17" i="18"/>
  <c r="AA17" i="18"/>
  <c r="V18" i="18"/>
  <c r="W18" i="18"/>
  <c r="X18" i="18"/>
  <c r="Y18" i="18"/>
  <c r="Z18" i="18"/>
  <c r="AA18" i="18"/>
  <c r="V19" i="18"/>
  <c r="W19" i="18"/>
  <c r="X19" i="18"/>
  <c r="Y19" i="18"/>
  <c r="Z19" i="18"/>
  <c r="AA19" i="18"/>
  <c r="V20" i="18"/>
  <c r="W20" i="18"/>
  <c r="X20" i="18"/>
  <c r="Y20" i="18"/>
  <c r="Z20" i="18"/>
  <c r="AA20" i="18"/>
  <c r="V21" i="18"/>
  <c r="W21" i="18"/>
  <c r="X21" i="18"/>
  <c r="Y21" i="18"/>
  <c r="Z21" i="18"/>
  <c r="AA21" i="18"/>
  <c r="V22" i="18"/>
  <c r="W22" i="18"/>
  <c r="X22" i="18"/>
  <c r="Y22" i="18"/>
  <c r="Z22" i="18"/>
  <c r="AA22" i="18"/>
  <c r="V23" i="18"/>
  <c r="W23" i="18"/>
  <c r="X23" i="18"/>
  <c r="Y23" i="18"/>
  <c r="Z23" i="18"/>
  <c r="AA23" i="18"/>
  <c r="V24" i="18"/>
  <c r="W24" i="18"/>
  <c r="X24" i="18"/>
  <c r="Y24" i="18"/>
  <c r="Z24" i="18"/>
  <c r="AA24" i="18"/>
  <c r="V25" i="18"/>
  <c r="W25" i="18"/>
  <c r="X25" i="18"/>
  <c r="Y25" i="18"/>
  <c r="Z25" i="18"/>
  <c r="AA25" i="18"/>
  <c r="V26" i="18"/>
  <c r="W26" i="18"/>
  <c r="X26" i="18"/>
  <c r="Y26" i="18"/>
  <c r="Z26" i="18"/>
  <c r="AA26" i="18"/>
  <c r="V27" i="18"/>
  <c r="W27" i="18"/>
  <c r="X27" i="18"/>
  <c r="Y27" i="18"/>
  <c r="Z27" i="18"/>
  <c r="AA27" i="18"/>
  <c r="V28" i="18"/>
  <c r="W28" i="18"/>
  <c r="X28" i="18"/>
  <c r="Y28" i="18"/>
  <c r="Z28" i="18"/>
  <c r="AA28" i="18"/>
  <c r="V29" i="18"/>
  <c r="W29" i="18"/>
  <c r="X29" i="18"/>
  <c r="Y29" i="18"/>
  <c r="Z29" i="18"/>
  <c r="AA29" i="18"/>
  <c r="V30" i="18"/>
  <c r="W30" i="18"/>
  <c r="X30" i="18"/>
  <c r="Y30" i="18"/>
  <c r="Z30" i="18"/>
  <c r="AA30" i="18"/>
  <c r="V31" i="18"/>
  <c r="W31" i="18"/>
  <c r="X31" i="18"/>
  <c r="Y31" i="18"/>
  <c r="Z31" i="18"/>
  <c r="AA31" i="18"/>
  <c r="V32" i="18"/>
  <c r="W32" i="18"/>
  <c r="X32" i="18"/>
  <c r="Y32" i="18"/>
  <c r="Z32" i="18"/>
  <c r="AA32" i="18"/>
  <c r="V33" i="18"/>
  <c r="W33" i="18"/>
  <c r="X33" i="18"/>
  <c r="Y33" i="18"/>
  <c r="Z33" i="18"/>
  <c r="AA33" i="18"/>
  <c r="V34" i="18"/>
  <c r="W34" i="18"/>
  <c r="X34" i="18"/>
  <c r="Y34" i="18"/>
  <c r="Z34" i="18"/>
  <c r="AA34" i="18"/>
  <c r="V35" i="18"/>
  <c r="W35" i="18"/>
  <c r="X35" i="18"/>
  <c r="Y35" i="18"/>
  <c r="Z35" i="18"/>
  <c r="AA35" i="18"/>
  <c r="V36" i="18"/>
  <c r="W36" i="18"/>
  <c r="X36" i="18"/>
  <c r="Y36" i="18"/>
  <c r="Z36" i="18"/>
  <c r="AA36" i="18"/>
  <c r="V37" i="18"/>
  <c r="W37" i="18"/>
  <c r="X37" i="18"/>
  <c r="Y37" i="18"/>
  <c r="Z37" i="18"/>
  <c r="AA37" i="18"/>
  <c r="V38" i="18"/>
  <c r="W38" i="18"/>
  <c r="X38" i="18"/>
  <c r="Y38" i="18"/>
  <c r="Z38" i="18"/>
  <c r="AA38" i="18"/>
  <c r="V39" i="18"/>
  <c r="W39" i="18"/>
  <c r="X39" i="18"/>
  <c r="Y39" i="18"/>
  <c r="Z39" i="18"/>
  <c r="AA39" i="18"/>
  <c r="V40" i="18"/>
  <c r="W40" i="18"/>
  <c r="X40" i="18"/>
  <c r="Y40" i="18"/>
  <c r="Z40" i="18"/>
  <c r="AA40" i="18"/>
  <c r="V41" i="18"/>
  <c r="W41" i="18"/>
  <c r="X41" i="18"/>
  <c r="Y41" i="18"/>
  <c r="Z41" i="18"/>
  <c r="AA41" i="18"/>
  <c r="V42" i="18"/>
  <c r="W42" i="18"/>
  <c r="X42" i="18"/>
  <c r="Y42" i="18"/>
  <c r="Z42" i="18"/>
  <c r="AA42" i="18"/>
  <c r="V43" i="18"/>
  <c r="W43" i="18"/>
  <c r="X43" i="18"/>
  <c r="Y43" i="18"/>
  <c r="Z43" i="18"/>
  <c r="AA43" i="18"/>
  <c r="V44" i="18"/>
  <c r="W44" i="18"/>
  <c r="X44" i="18"/>
  <c r="Y44" i="18"/>
  <c r="Z44" i="18"/>
  <c r="AA44" i="18"/>
  <c r="V45" i="18"/>
  <c r="W45" i="18"/>
  <c r="X45" i="18"/>
  <c r="Y45" i="18"/>
  <c r="Z45" i="18"/>
  <c r="AA45" i="18"/>
  <c r="V46" i="18"/>
  <c r="W46" i="18"/>
  <c r="X46" i="18"/>
  <c r="Y46" i="18"/>
  <c r="Z46" i="18"/>
  <c r="AA46" i="18"/>
  <c r="V47" i="18"/>
  <c r="W47" i="18"/>
  <c r="X47" i="18"/>
  <c r="Y47" i="18"/>
  <c r="Z47" i="18"/>
  <c r="AA47" i="18"/>
  <c r="V48" i="18"/>
  <c r="W48" i="18"/>
  <c r="X48" i="18"/>
  <c r="Y48" i="18"/>
  <c r="Z48" i="18"/>
  <c r="AA48" i="18"/>
  <c r="V49" i="18"/>
  <c r="W49" i="18"/>
  <c r="X49" i="18"/>
  <c r="Y49" i="18"/>
  <c r="Z49" i="18"/>
  <c r="AA49" i="18"/>
  <c r="V50" i="18"/>
  <c r="W50" i="18"/>
  <c r="X50" i="18"/>
  <c r="Y50" i="18"/>
  <c r="Z50" i="18"/>
  <c r="AA50" i="18"/>
  <c r="V51" i="18"/>
  <c r="W51" i="18"/>
  <c r="X51" i="18"/>
  <c r="Y51" i="18"/>
  <c r="Z51" i="18"/>
  <c r="AA51" i="18"/>
  <c r="V52" i="18"/>
  <c r="W52" i="18"/>
  <c r="X52" i="18"/>
  <c r="Y52" i="18"/>
  <c r="Z52" i="18"/>
  <c r="AA52" i="18"/>
  <c r="V53" i="18"/>
  <c r="W53" i="18"/>
  <c r="X53" i="18"/>
  <c r="Y53" i="18"/>
  <c r="Z53" i="18"/>
  <c r="AA53" i="18"/>
  <c r="V54" i="18"/>
  <c r="W54" i="18"/>
  <c r="X54" i="18"/>
  <c r="Y54" i="18"/>
  <c r="Z54" i="18"/>
  <c r="AA54" i="18"/>
  <c r="V55" i="18"/>
  <c r="W55" i="18"/>
  <c r="X55" i="18"/>
  <c r="Y55" i="18"/>
  <c r="Z55" i="18"/>
  <c r="AA55" i="18"/>
  <c r="V56" i="18"/>
  <c r="W56" i="18"/>
  <c r="X56" i="18"/>
  <c r="Y56" i="18"/>
  <c r="Z56" i="18"/>
  <c r="AA56" i="18"/>
  <c r="V57" i="18"/>
  <c r="W57" i="18"/>
  <c r="X57" i="18"/>
  <c r="Y57" i="18"/>
  <c r="Z57" i="18"/>
  <c r="AA57" i="18"/>
  <c r="V58" i="18"/>
  <c r="W58" i="18"/>
  <c r="X58" i="18"/>
  <c r="Y58" i="18"/>
  <c r="Z58" i="18"/>
  <c r="AA58" i="18"/>
  <c r="V59" i="18"/>
  <c r="W59" i="18"/>
  <c r="X59" i="18"/>
  <c r="Y59" i="18"/>
  <c r="Z59" i="18"/>
  <c r="AA59" i="18"/>
  <c r="V60" i="18"/>
  <c r="W60" i="18"/>
  <c r="X60" i="18"/>
  <c r="Y60" i="18"/>
  <c r="Z60" i="18"/>
  <c r="AA60" i="18"/>
  <c r="V61" i="18"/>
  <c r="W61" i="18"/>
  <c r="X61" i="18"/>
  <c r="Y61" i="18"/>
  <c r="Z61" i="18"/>
  <c r="AA61" i="18"/>
  <c r="V62" i="18"/>
  <c r="W62" i="18"/>
  <c r="X62" i="18"/>
  <c r="Y62" i="18"/>
  <c r="Z62" i="18"/>
  <c r="AA62" i="18"/>
  <c r="V63" i="18"/>
  <c r="W63" i="18"/>
  <c r="X63" i="18"/>
  <c r="Y63" i="18"/>
  <c r="Z63" i="18"/>
  <c r="AA63" i="18"/>
  <c r="V64" i="18"/>
  <c r="W64" i="18"/>
  <c r="X64" i="18"/>
  <c r="Y64" i="18"/>
  <c r="Z64" i="18"/>
  <c r="AA64" i="18"/>
  <c r="V65" i="18"/>
  <c r="W65" i="18"/>
  <c r="X65" i="18"/>
  <c r="Y65" i="18"/>
  <c r="Z65" i="18"/>
  <c r="AA65" i="18"/>
  <c r="V66" i="18"/>
  <c r="W66" i="18"/>
  <c r="X66" i="18"/>
  <c r="Y66" i="18"/>
  <c r="Z66" i="18"/>
  <c r="AA66" i="18"/>
  <c r="V67" i="18"/>
  <c r="W67" i="18"/>
  <c r="X67" i="18"/>
  <c r="Y67" i="18"/>
  <c r="Z67" i="18"/>
  <c r="AA67" i="18"/>
  <c r="V68" i="18"/>
  <c r="W68" i="18"/>
  <c r="X68" i="18"/>
  <c r="Y68" i="18"/>
  <c r="Z68" i="18"/>
  <c r="AA68" i="18"/>
  <c r="V69" i="18"/>
  <c r="W69" i="18"/>
  <c r="X69" i="18"/>
  <c r="Y69" i="18"/>
  <c r="Z69" i="18"/>
  <c r="AA69" i="18"/>
  <c r="V70" i="18"/>
  <c r="W70" i="18"/>
  <c r="X70" i="18"/>
  <c r="Y70" i="18"/>
  <c r="Z70" i="18"/>
  <c r="AA70" i="18"/>
  <c r="V71" i="18"/>
  <c r="W71" i="18"/>
  <c r="X71" i="18"/>
  <c r="Y71" i="18"/>
  <c r="Z71" i="18"/>
  <c r="AA71" i="18"/>
  <c r="V72" i="18"/>
  <c r="W72" i="18"/>
  <c r="X72" i="18"/>
  <c r="Y72" i="18"/>
  <c r="Z72" i="18"/>
  <c r="AA72" i="18"/>
  <c r="V73" i="18"/>
  <c r="W73" i="18"/>
  <c r="X73" i="18"/>
  <c r="Y73" i="18"/>
  <c r="Z73" i="18"/>
  <c r="AA73" i="18"/>
  <c r="V74" i="18"/>
  <c r="W74" i="18"/>
  <c r="X74" i="18"/>
  <c r="Y74" i="18"/>
  <c r="Z74" i="18"/>
  <c r="AA74" i="18"/>
  <c r="V75" i="18"/>
  <c r="W75" i="18"/>
  <c r="X75" i="18"/>
  <c r="Y75" i="18"/>
  <c r="Z75" i="18"/>
  <c r="AA75" i="18"/>
  <c r="V76" i="18"/>
  <c r="W76" i="18"/>
  <c r="X76" i="18"/>
  <c r="Y76" i="18"/>
  <c r="Z76" i="18"/>
  <c r="AA76" i="18"/>
  <c r="V77" i="18"/>
  <c r="W77" i="18"/>
  <c r="X77" i="18"/>
  <c r="Y77" i="18"/>
  <c r="Z77" i="18"/>
  <c r="AA77" i="18"/>
  <c r="V78" i="18"/>
  <c r="W78" i="18"/>
  <c r="X78" i="18"/>
  <c r="Y78" i="18"/>
  <c r="Z78" i="18"/>
  <c r="AA78" i="18"/>
  <c r="V79" i="18"/>
  <c r="W79" i="18"/>
  <c r="X79" i="18"/>
  <c r="Y79" i="18"/>
  <c r="Z79" i="18"/>
  <c r="AA79" i="18"/>
  <c r="V80" i="18"/>
  <c r="W80" i="18"/>
  <c r="X80" i="18"/>
  <c r="Y80" i="18"/>
  <c r="Z80" i="18"/>
  <c r="AA80" i="18"/>
  <c r="V81" i="18"/>
  <c r="W81" i="18"/>
  <c r="X81" i="18"/>
  <c r="Y81" i="18"/>
  <c r="Z81" i="18"/>
  <c r="AA81" i="18"/>
  <c r="V82" i="18"/>
  <c r="W82" i="18"/>
  <c r="X82" i="18"/>
  <c r="Y82" i="18"/>
  <c r="Z82" i="18"/>
  <c r="AA82" i="18"/>
  <c r="V83" i="18"/>
  <c r="W83" i="18"/>
  <c r="X83" i="18"/>
  <c r="Y83" i="18"/>
  <c r="Z83" i="18"/>
  <c r="AA83" i="18"/>
  <c r="V84" i="18"/>
  <c r="W84" i="18"/>
  <c r="X84" i="18"/>
  <c r="Y84" i="18"/>
  <c r="Z84" i="18"/>
  <c r="AA84" i="18"/>
  <c r="V85" i="18"/>
  <c r="W85" i="18"/>
  <c r="X85" i="18"/>
  <c r="Y85" i="18"/>
  <c r="Z85" i="18"/>
  <c r="AA85" i="18"/>
  <c r="V86" i="18"/>
  <c r="W86" i="18"/>
  <c r="X86" i="18"/>
  <c r="Y86" i="18"/>
  <c r="Z86" i="18"/>
  <c r="AA86" i="18"/>
  <c r="V87" i="18"/>
  <c r="W87" i="18"/>
  <c r="X87" i="18"/>
  <c r="Y87" i="18"/>
  <c r="Z87" i="18"/>
  <c r="AA87" i="18"/>
  <c r="V88" i="18"/>
  <c r="W88" i="18"/>
  <c r="X88" i="18"/>
  <c r="Y88" i="18"/>
  <c r="Z88" i="18"/>
  <c r="AA88" i="18"/>
  <c r="V89" i="18"/>
  <c r="W89" i="18"/>
  <c r="X89" i="18"/>
  <c r="Y89" i="18"/>
  <c r="Z89" i="18"/>
  <c r="AA89" i="18"/>
  <c r="V90" i="18"/>
  <c r="W90" i="18"/>
  <c r="X90" i="18"/>
  <c r="Y90" i="18"/>
  <c r="Z90" i="18"/>
  <c r="AA90" i="18"/>
  <c r="V91" i="18"/>
  <c r="W91" i="18"/>
  <c r="X91" i="18"/>
  <c r="Y91" i="18"/>
  <c r="Z91" i="18"/>
  <c r="AA91" i="18"/>
  <c r="V92" i="18"/>
  <c r="W92" i="18"/>
  <c r="X92" i="18"/>
  <c r="Y92" i="18"/>
  <c r="Z92" i="18"/>
  <c r="AA92" i="18"/>
  <c r="V93" i="18"/>
  <c r="W93" i="18"/>
  <c r="X93" i="18"/>
  <c r="Y93" i="18"/>
  <c r="Z93" i="18"/>
  <c r="AA93" i="18"/>
  <c r="V94" i="18"/>
  <c r="W94" i="18"/>
  <c r="X94" i="18"/>
  <c r="Y94" i="18"/>
  <c r="Z94" i="18"/>
  <c r="AA94" i="18"/>
  <c r="V95" i="18"/>
  <c r="W95" i="18"/>
  <c r="X95" i="18"/>
  <c r="Y95" i="18"/>
  <c r="Z95" i="18"/>
  <c r="AA95" i="18"/>
  <c r="V96" i="18"/>
  <c r="W96" i="18"/>
  <c r="X96" i="18"/>
  <c r="Y96" i="18"/>
  <c r="Z96" i="18"/>
  <c r="AA96" i="18"/>
  <c r="V97" i="18"/>
  <c r="W97" i="18"/>
  <c r="X97" i="18"/>
  <c r="Y97" i="18"/>
  <c r="Z97" i="18"/>
  <c r="AA97" i="18"/>
  <c r="V98" i="18"/>
  <c r="W98" i="18"/>
  <c r="X98" i="18"/>
  <c r="Y98" i="18"/>
  <c r="Z98" i="18"/>
  <c r="AA98" i="18"/>
  <c r="V99" i="18"/>
  <c r="W99" i="18"/>
  <c r="X99" i="18"/>
  <c r="Y99" i="18"/>
  <c r="Z99" i="18"/>
  <c r="AA99" i="18"/>
  <c r="V100" i="18"/>
  <c r="W100" i="18"/>
  <c r="X100" i="18"/>
  <c r="Y100" i="18"/>
  <c r="Z100" i="18"/>
  <c r="AA100" i="18"/>
  <c r="V101" i="18"/>
  <c r="W101" i="18"/>
  <c r="X101" i="18"/>
  <c r="Y101" i="18"/>
  <c r="Z101" i="18"/>
  <c r="AA101" i="18"/>
  <c r="V102" i="18"/>
  <c r="W102" i="18"/>
  <c r="X102" i="18"/>
  <c r="Y102" i="18"/>
  <c r="Z102" i="18"/>
  <c r="AA102" i="18"/>
  <c r="V103" i="18"/>
  <c r="W103" i="18"/>
  <c r="X103" i="18"/>
  <c r="Y103" i="18"/>
  <c r="Z103" i="18"/>
  <c r="AA103" i="18"/>
  <c r="V104" i="18"/>
  <c r="W104" i="18"/>
  <c r="X104" i="18"/>
  <c r="Y104" i="18"/>
  <c r="Z104" i="18"/>
  <c r="AA104" i="18"/>
  <c r="V105" i="18"/>
  <c r="W105" i="18"/>
  <c r="X105" i="18"/>
  <c r="Y105" i="18"/>
  <c r="Z105" i="18"/>
  <c r="AA105" i="18"/>
  <c r="V106" i="18"/>
  <c r="W106" i="18"/>
  <c r="X106" i="18"/>
  <c r="Y106" i="18"/>
  <c r="Z106" i="18"/>
  <c r="AA106" i="18"/>
  <c r="V107" i="18"/>
  <c r="W107" i="18"/>
  <c r="X107" i="18"/>
  <c r="Y107" i="18"/>
  <c r="Z107" i="18"/>
  <c r="AA107" i="18"/>
  <c r="V108" i="18"/>
  <c r="W108" i="18"/>
  <c r="X108" i="18"/>
  <c r="Y108" i="18"/>
  <c r="Z108" i="18"/>
  <c r="AA108" i="18"/>
  <c r="V109" i="18"/>
  <c r="W109" i="18"/>
  <c r="X109" i="18"/>
  <c r="Y109" i="18"/>
  <c r="Z109" i="18"/>
  <c r="AA109" i="18"/>
  <c r="V110" i="18"/>
  <c r="W110" i="18"/>
  <c r="X110" i="18"/>
  <c r="Y110" i="18"/>
  <c r="Z110" i="18"/>
  <c r="AA110" i="18"/>
  <c r="V111" i="18"/>
  <c r="W111" i="18"/>
  <c r="X111" i="18"/>
  <c r="Y111" i="18"/>
  <c r="Z111" i="18"/>
  <c r="AA111" i="18"/>
  <c r="V112" i="18"/>
  <c r="W112" i="18"/>
  <c r="X112" i="18"/>
  <c r="Y112" i="18"/>
  <c r="Z112" i="18"/>
  <c r="AA112" i="18"/>
  <c r="V113" i="18"/>
  <c r="W113" i="18"/>
  <c r="X113" i="18"/>
  <c r="Y113" i="18"/>
  <c r="Z113" i="18"/>
  <c r="AA113" i="18"/>
  <c r="V4" i="18"/>
  <c r="N5" i="18"/>
  <c r="O5" i="18"/>
  <c r="P5" i="18"/>
  <c r="Q5" i="18"/>
  <c r="R5" i="18"/>
  <c r="S5" i="18"/>
  <c r="T5" i="18"/>
  <c r="N6" i="18"/>
  <c r="O6" i="18"/>
  <c r="P6" i="18"/>
  <c r="Q6" i="18"/>
  <c r="R6" i="18"/>
  <c r="S6" i="18"/>
  <c r="T6" i="18"/>
  <c r="N7" i="18"/>
  <c r="O7" i="18"/>
  <c r="P7" i="18"/>
  <c r="Q7" i="18"/>
  <c r="R7" i="18"/>
  <c r="S7" i="18"/>
  <c r="T7" i="18"/>
  <c r="N8" i="18"/>
  <c r="O8" i="18"/>
  <c r="P8" i="18"/>
  <c r="CP5" i="84" s="1"/>
  <c r="Q8" i="18"/>
  <c r="CP41" i="84" s="1"/>
  <c r="R8" i="18"/>
  <c r="S8" i="18"/>
  <c r="T8" i="18"/>
  <c r="N9" i="18"/>
  <c r="O9" i="18"/>
  <c r="P9" i="18"/>
  <c r="Q9" i="18"/>
  <c r="R9" i="18"/>
  <c r="S9" i="18"/>
  <c r="T9" i="18"/>
  <c r="N10" i="18"/>
  <c r="O10" i="18"/>
  <c r="P10" i="18"/>
  <c r="Q10" i="18"/>
  <c r="R10" i="18"/>
  <c r="S10" i="18"/>
  <c r="T10" i="18"/>
  <c r="N11" i="18"/>
  <c r="O11" i="18"/>
  <c r="P11" i="18"/>
  <c r="Q11" i="18"/>
  <c r="R11" i="18"/>
  <c r="S11" i="18"/>
  <c r="T11" i="18"/>
  <c r="N12" i="18"/>
  <c r="O12" i="18"/>
  <c r="P12" i="18"/>
  <c r="Q12" i="18"/>
  <c r="R12" i="18"/>
  <c r="S12" i="18"/>
  <c r="T12" i="18"/>
  <c r="N13" i="18"/>
  <c r="O13" i="18"/>
  <c r="P13" i="18"/>
  <c r="CP6" i="84" s="1"/>
  <c r="Q13" i="18"/>
  <c r="CP42" i="84" s="1"/>
  <c r="R13" i="18"/>
  <c r="S13" i="18"/>
  <c r="T13" i="18"/>
  <c r="N14" i="18"/>
  <c r="O14" i="18"/>
  <c r="P14" i="18"/>
  <c r="Q14" i="18"/>
  <c r="R14" i="18"/>
  <c r="S14" i="18"/>
  <c r="T14" i="18"/>
  <c r="N15" i="18"/>
  <c r="O15" i="18"/>
  <c r="P15" i="18"/>
  <c r="Q15" i="18"/>
  <c r="R15" i="18"/>
  <c r="S15" i="18"/>
  <c r="T15" i="18"/>
  <c r="N16" i="18"/>
  <c r="O16" i="18"/>
  <c r="P16" i="18"/>
  <c r="Q16" i="18"/>
  <c r="R16" i="18"/>
  <c r="S16" i="18"/>
  <c r="T16" i="18"/>
  <c r="N17" i="18"/>
  <c r="O17" i="18"/>
  <c r="P17" i="18"/>
  <c r="Q17" i="18"/>
  <c r="R17" i="18"/>
  <c r="S17" i="18"/>
  <c r="T17" i="18"/>
  <c r="N18" i="18"/>
  <c r="O18" i="18"/>
  <c r="P18" i="18"/>
  <c r="CP7" i="84" s="1"/>
  <c r="Q18" i="18"/>
  <c r="CP43" i="84" s="1"/>
  <c r="R18" i="18"/>
  <c r="S18" i="18"/>
  <c r="T18" i="18"/>
  <c r="N19" i="18"/>
  <c r="O19" i="18"/>
  <c r="P19" i="18"/>
  <c r="Q19" i="18"/>
  <c r="R19" i="18"/>
  <c r="S19" i="18"/>
  <c r="T19" i="18"/>
  <c r="N20" i="18"/>
  <c r="O20" i="18"/>
  <c r="P20" i="18"/>
  <c r="Q20" i="18"/>
  <c r="R20" i="18"/>
  <c r="S20" i="18"/>
  <c r="T20" i="18"/>
  <c r="N21" i="18"/>
  <c r="O21" i="18"/>
  <c r="P21" i="18"/>
  <c r="Q21" i="18"/>
  <c r="R21" i="18"/>
  <c r="S21" i="18"/>
  <c r="T21" i="18"/>
  <c r="N22" i="18"/>
  <c r="O22" i="18"/>
  <c r="P22" i="18"/>
  <c r="Q22" i="18"/>
  <c r="R22" i="18"/>
  <c r="S22" i="18"/>
  <c r="T22" i="18"/>
  <c r="N23" i="18"/>
  <c r="O23" i="18"/>
  <c r="P23" i="18"/>
  <c r="CP8" i="84" s="1"/>
  <c r="Q23" i="18"/>
  <c r="CP44" i="84" s="1"/>
  <c r="R23" i="18"/>
  <c r="S23" i="18"/>
  <c r="T23" i="18"/>
  <c r="N24" i="18"/>
  <c r="O24" i="18"/>
  <c r="P24" i="18"/>
  <c r="Q24" i="18"/>
  <c r="R24" i="18"/>
  <c r="S24" i="18"/>
  <c r="T24" i="18"/>
  <c r="N25" i="18"/>
  <c r="O25" i="18"/>
  <c r="P25" i="18"/>
  <c r="Q25" i="18"/>
  <c r="R25" i="18"/>
  <c r="S25" i="18"/>
  <c r="T25" i="18"/>
  <c r="N26" i="18"/>
  <c r="O26" i="18"/>
  <c r="P26" i="18"/>
  <c r="Q26" i="18"/>
  <c r="R26" i="18"/>
  <c r="S26" i="18"/>
  <c r="T26" i="18"/>
  <c r="N27" i="18"/>
  <c r="O27" i="18"/>
  <c r="P27" i="18"/>
  <c r="Q27" i="18"/>
  <c r="R27" i="18"/>
  <c r="S27" i="18"/>
  <c r="T27" i="18"/>
  <c r="N28" i="18"/>
  <c r="O28" i="18"/>
  <c r="P28" i="18"/>
  <c r="CP9" i="84" s="1"/>
  <c r="Q28" i="18"/>
  <c r="CP45" i="84" s="1"/>
  <c r="R28" i="18"/>
  <c r="S28" i="18"/>
  <c r="T28" i="18"/>
  <c r="N29" i="18"/>
  <c r="O29" i="18"/>
  <c r="P29" i="18"/>
  <c r="Q29" i="18"/>
  <c r="R29" i="18"/>
  <c r="S29" i="18"/>
  <c r="T29" i="18"/>
  <c r="N30" i="18"/>
  <c r="O30" i="18"/>
  <c r="P30" i="18"/>
  <c r="Q30" i="18"/>
  <c r="R30" i="18"/>
  <c r="S30" i="18"/>
  <c r="T30" i="18"/>
  <c r="N31" i="18"/>
  <c r="O31" i="18"/>
  <c r="P31" i="18"/>
  <c r="Q31" i="18"/>
  <c r="R31" i="18"/>
  <c r="S31" i="18"/>
  <c r="T31" i="18"/>
  <c r="N32" i="18"/>
  <c r="O32" i="18"/>
  <c r="P32" i="18"/>
  <c r="Q32" i="18"/>
  <c r="R32" i="18"/>
  <c r="S32" i="18"/>
  <c r="T32" i="18"/>
  <c r="N33" i="18"/>
  <c r="O33" i="18"/>
  <c r="P33" i="18"/>
  <c r="CP10" i="84" s="1"/>
  <c r="Q33" i="18"/>
  <c r="CP46" i="84" s="1"/>
  <c r="R33" i="18"/>
  <c r="S33" i="18"/>
  <c r="T33" i="18"/>
  <c r="N34" i="18"/>
  <c r="O34" i="18"/>
  <c r="P34" i="18"/>
  <c r="Q34" i="18"/>
  <c r="R34" i="18"/>
  <c r="S34" i="18"/>
  <c r="T34" i="18"/>
  <c r="N35" i="18"/>
  <c r="O35" i="18"/>
  <c r="P35" i="18"/>
  <c r="Q35" i="18"/>
  <c r="R35" i="18"/>
  <c r="S35" i="18"/>
  <c r="T35" i="18"/>
  <c r="N36" i="18"/>
  <c r="O36" i="18"/>
  <c r="P36" i="18"/>
  <c r="Q36" i="18"/>
  <c r="R36" i="18"/>
  <c r="S36" i="18"/>
  <c r="T36" i="18"/>
  <c r="N37" i="18"/>
  <c r="O37" i="18"/>
  <c r="P37" i="18"/>
  <c r="Q37" i="18"/>
  <c r="R37" i="18"/>
  <c r="S37" i="18"/>
  <c r="T37" i="18"/>
  <c r="N38" i="18"/>
  <c r="O38" i="18"/>
  <c r="P38" i="18"/>
  <c r="CP11" i="84" s="1"/>
  <c r="Q38" i="18"/>
  <c r="CP47" i="84" s="1"/>
  <c r="R38" i="18"/>
  <c r="S38" i="18"/>
  <c r="T38" i="18"/>
  <c r="N39" i="18"/>
  <c r="O39" i="18"/>
  <c r="P39" i="18"/>
  <c r="Q39" i="18"/>
  <c r="R39" i="18"/>
  <c r="S39" i="18"/>
  <c r="T39" i="18"/>
  <c r="N40" i="18"/>
  <c r="O40" i="18"/>
  <c r="P40" i="18"/>
  <c r="Q40" i="18"/>
  <c r="R40" i="18"/>
  <c r="S40" i="18"/>
  <c r="T40" i="18"/>
  <c r="N41" i="18"/>
  <c r="O41" i="18"/>
  <c r="P41" i="18"/>
  <c r="Q41" i="18"/>
  <c r="R41" i="18"/>
  <c r="S41" i="18"/>
  <c r="T41" i="18"/>
  <c r="N42" i="18"/>
  <c r="O42" i="18"/>
  <c r="P42" i="18"/>
  <c r="Q42" i="18"/>
  <c r="R42" i="18"/>
  <c r="S42" i="18"/>
  <c r="T42" i="18"/>
  <c r="N43" i="18"/>
  <c r="O43" i="18"/>
  <c r="P43" i="18"/>
  <c r="CP12" i="84" s="1"/>
  <c r="Q43" i="18"/>
  <c r="CP48" i="84" s="1"/>
  <c r="R43" i="18"/>
  <c r="S43" i="18"/>
  <c r="T43" i="18"/>
  <c r="N44" i="18"/>
  <c r="O44" i="18"/>
  <c r="P44" i="18"/>
  <c r="Q44" i="18"/>
  <c r="R44" i="18"/>
  <c r="S44" i="18"/>
  <c r="T44" i="18"/>
  <c r="N45" i="18"/>
  <c r="O45" i="18"/>
  <c r="P45" i="18"/>
  <c r="Q45" i="18"/>
  <c r="R45" i="18"/>
  <c r="S45" i="18"/>
  <c r="T45" i="18"/>
  <c r="N46" i="18"/>
  <c r="O46" i="18"/>
  <c r="P46" i="18"/>
  <c r="Q46" i="18"/>
  <c r="R46" i="18"/>
  <c r="S46" i="18"/>
  <c r="T46" i="18"/>
  <c r="N47" i="18"/>
  <c r="O47" i="18"/>
  <c r="P47" i="18"/>
  <c r="Q47" i="18"/>
  <c r="R47" i="18"/>
  <c r="S47" i="18"/>
  <c r="T47" i="18"/>
  <c r="N48" i="18"/>
  <c r="O48" i="18"/>
  <c r="P48" i="18"/>
  <c r="CP13" i="84" s="1"/>
  <c r="Q48" i="18"/>
  <c r="CP49" i="84" s="1"/>
  <c r="R48" i="18"/>
  <c r="S48" i="18"/>
  <c r="T48" i="18"/>
  <c r="N49" i="18"/>
  <c r="O49" i="18"/>
  <c r="P49" i="18"/>
  <c r="Q49" i="18"/>
  <c r="R49" i="18"/>
  <c r="S49" i="18"/>
  <c r="T49" i="18"/>
  <c r="N50" i="18"/>
  <c r="O50" i="18"/>
  <c r="P50" i="18"/>
  <c r="Q50" i="18"/>
  <c r="R50" i="18"/>
  <c r="S50" i="18"/>
  <c r="T50" i="18"/>
  <c r="N51" i="18"/>
  <c r="O51" i="18"/>
  <c r="P51" i="18"/>
  <c r="Q51" i="18"/>
  <c r="R51" i="18"/>
  <c r="S51" i="18"/>
  <c r="T51" i="18"/>
  <c r="N52" i="18"/>
  <c r="O52" i="18"/>
  <c r="P52" i="18"/>
  <c r="Q52" i="18"/>
  <c r="R52" i="18"/>
  <c r="S52" i="18"/>
  <c r="T52" i="18"/>
  <c r="N53" i="18"/>
  <c r="O53" i="18"/>
  <c r="P53" i="18"/>
  <c r="CP14" i="84" s="1"/>
  <c r="Q53" i="18"/>
  <c r="CP50" i="84" s="1"/>
  <c r="R53" i="18"/>
  <c r="S53" i="18"/>
  <c r="T53" i="18"/>
  <c r="N54" i="18"/>
  <c r="O54" i="18"/>
  <c r="P54" i="18"/>
  <c r="Q54" i="18"/>
  <c r="R54" i="18"/>
  <c r="S54" i="18"/>
  <c r="T54" i="18"/>
  <c r="N55" i="18"/>
  <c r="O55" i="18"/>
  <c r="P55" i="18"/>
  <c r="Q55" i="18"/>
  <c r="R55" i="18"/>
  <c r="S55" i="18"/>
  <c r="T55" i="18"/>
  <c r="N56" i="18"/>
  <c r="O56" i="18"/>
  <c r="P56" i="18"/>
  <c r="Q56" i="18"/>
  <c r="R56" i="18"/>
  <c r="S56" i="18"/>
  <c r="T56" i="18"/>
  <c r="N57" i="18"/>
  <c r="O57" i="18"/>
  <c r="P57" i="18"/>
  <c r="Q57" i="18"/>
  <c r="R57" i="18"/>
  <c r="S57" i="18"/>
  <c r="T57" i="18"/>
  <c r="N58" i="18"/>
  <c r="O58" i="18"/>
  <c r="P58" i="18"/>
  <c r="CP15" i="84" s="1"/>
  <c r="Q58" i="18"/>
  <c r="CP51" i="84" s="1"/>
  <c r="R58" i="18"/>
  <c r="S58" i="18"/>
  <c r="T58" i="18"/>
  <c r="N59" i="18"/>
  <c r="O59" i="18"/>
  <c r="P59" i="18"/>
  <c r="Q59" i="18"/>
  <c r="R59" i="18"/>
  <c r="S59" i="18"/>
  <c r="T59" i="18"/>
  <c r="N60" i="18"/>
  <c r="O60" i="18"/>
  <c r="P60" i="18"/>
  <c r="Q60" i="18"/>
  <c r="R60" i="18"/>
  <c r="S60" i="18"/>
  <c r="T60" i="18"/>
  <c r="N61" i="18"/>
  <c r="O61" i="18"/>
  <c r="P61" i="18"/>
  <c r="Q61" i="18"/>
  <c r="R61" i="18"/>
  <c r="S61" i="18"/>
  <c r="T61" i="18"/>
  <c r="N62" i="18"/>
  <c r="O62" i="18"/>
  <c r="P62" i="18"/>
  <c r="Q62" i="18"/>
  <c r="R62" i="18"/>
  <c r="S62" i="18"/>
  <c r="T62" i="18"/>
  <c r="N63" i="18"/>
  <c r="O63" i="18"/>
  <c r="P63" i="18"/>
  <c r="CP16" i="84" s="1"/>
  <c r="Q63" i="18"/>
  <c r="CP52" i="84" s="1"/>
  <c r="R63" i="18"/>
  <c r="S63" i="18"/>
  <c r="T63" i="18"/>
  <c r="N64" i="18"/>
  <c r="O64" i="18"/>
  <c r="P64" i="18"/>
  <c r="Q64" i="18"/>
  <c r="R64" i="18"/>
  <c r="S64" i="18"/>
  <c r="T64" i="18"/>
  <c r="N65" i="18"/>
  <c r="O65" i="18"/>
  <c r="P65" i="18"/>
  <c r="Q65" i="18"/>
  <c r="R65" i="18"/>
  <c r="S65" i="18"/>
  <c r="T65" i="18"/>
  <c r="N66" i="18"/>
  <c r="O66" i="18"/>
  <c r="P66" i="18"/>
  <c r="Q66" i="18"/>
  <c r="R66" i="18"/>
  <c r="S66" i="18"/>
  <c r="T66" i="18"/>
  <c r="N67" i="18"/>
  <c r="O67" i="18"/>
  <c r="P67" i="18"/>
  <c r="Q67" i="18"/>
  <c r="R67" i="18"/>
  <c r="S67" i="18"/>
  <c r="T67" i="18"/>
  <c r="N68" i="18"/>
  <c r="O68" i="18"/>
  <c r="P68" i="18"/>
  <c r="CP17" i="84" s="1"/>
  <c r="Q68" i="18"/>
  <c r="CP53" i="84" s="1"/>
  <c r="R68" i="18"/>
  <c r="S68" i="18"/>
  <c r="T68" i="18"/>
  <c r="N69" i="18"/>
  <c r="O69" i="18"/>
  <c r="P69" i="18"/>
  <c r="Q69" i="18"/>
  <c r="R69" i="18"/>
  <c r="S69" i="18"/>
  <c r="T69" i="18"/>
  <c r="N70" i="18"/>
  <c r="O70" i="18"/>
  <c r="P70" i="18"/>
  <c r="Q70" i="18"/>
  <c r="R70" i="18"/>
  <c r="S70" i="18"/>
  <c r="T70" i="18"/>
  <c r="N71" i="18"/>
  <c r="O71" i="18"/>
  <c r="P71" i="18"/>
  <c r="Q71" i="18"/>
  <c r="R71" i="18"/>
  <c r="S71" i="18"/>
  <c r="T71" i="18"/>
  <c r="N72" i="18"/>
  <c r="O72" i="18"/>
  <c r="P72" i="18"/>
  <c r="Q72" i="18"/>
  <c r="R72" i="18"/>
  <c r="S72" i="18"/>
  <c r="T72" i="18"/>
  <c r="N73" i="18"/>
  <c r="O73" i="18"/>
  <c r="P73" i="18"/>
  <c r="CP18" i="84" s="1"/>
  <c r="Q73" i="18"/>
  <c r="CP54" i="84" s="1"/>
  <c r="R73" i="18"/>
  <c r="S73" i="18"/>
  <c r="T73" i="18"/>
  <c r="N74" i="18"/>
  <c r="O74" i="18"/>
  <c r="P74" i="18"/>
  <c r="Q74" i="18"/>
  <c r="R74" i="18"/>
  <c r="S74" i="18"/>
  <c r="T74" i="18"/>
  <c r="N75" i="18"/>
  <c r="O75" i="18"/>
  <c r="P75" i="18"/>
  <c r="Q75" i="18"/>
  <c r="R75" i="18"/>
  <c r="S75" i="18"/>
  <c r="T75" i="18"/>
  <c r="N76" i="18"/>
  <c r="O76" i="18"/>
  <c r="P76" i="18"/>
  <c r="Q76" i="18"/>
  <c r="R76" i="18"/>
  <c r="S76" i="18"/>
  <c r="T76" i="18"/>
  <c r="N77" i="18"/>
  <c r="O77" i="18"/>
  <c r="P77" i="18"/>
  <c r="Q77" i="18"/>
  <c r="R77" i="18"/>
  <c r="S77" i="18"/>
  <c r="T77" i="18"/>
  <c r="N78" i="18"/>
  <c r="O78" i="18"/>
  <c r="P78" i="18"/>
  <c r="CP19" i="84" s="1"/>
  <c r="Q78" i="18"/>
  <c r="CP55" i="84" s="1"/>
  <c r="R78" i="18"/>
  <c r="S78" i="18"/>
  <c r="T78" i="18"/>
  <c r="N79" i="18"/>
  <c r="O79" i="18"/>
  <c r="P79" i="18"/>
  <c r="Q79" i="18"/>
  <c r="R79" i="18"/>
  <c r="S79" i="18"/>
  <c r="T79" i="18"/>
  <c r="N80" i="18"/>
  <c r="O80" i="18"/>
  <c r="P80" i="18"/>
  <c r="Q80" i="18"/>
  <c r="R80" i="18"/>
  <c r="S80" i="18"/>
  <c r="T80" i="18"/>
  <c r="N81" i="18"/>
  <c r="O81" i="18"/>
  <c r="P81" i="18"/>
  <c r="Q81" i="18"/>
  <c r="R81" i="18"/>
  <c r="S81" i="18"/>
  <c r="T81" i="18"/>
  <c r="N82" i="18"/>
  <c r="O82" i="18"/>
  <c r="P82" i="18"/>
  <c r="Q82" i="18"/>
  <c r="R82" i="18"/>
  <c r="S82" i="18"/>
  <c r="T82" i="18"/>
  <c r="N83" i="18"/>
  <c r="O83" i="18"/>
  <c r="P83" i="18"/>
  <c r="CP20" i="84" s="1"/>
  <c r="Q83" i="18"/>
  <c r="CP56" i="84" s="1"/>
  <c r="R83" i="18"/>
  <c r="S83" i="18"/>
  <c r="T83" i="18"/>
  <c r="N84" i="18"/>
  <c r="O84" i="18"/>
  <c r="P84" i="18"/>
  <c r="Q84" i="18"/>
  <c r="R84" i="18"/>
  <c r="S84" i="18"/>
  <c r="T84" i="18"/>
  <c r="N85" i="18"/>
  <c r="O85" i="18"/>
  <c r="P85" i="18"/>
  <c r="Q85" i="18"/>
  <c r="R85" i="18"/>
  <c r="S85" i="18"/>
  <c r="T85" i="18"/>
  <c r="N86" i="18"/>
  <c r="O86" i="18"/>
  <c r="P86" i="18"/>
  <c r="Q86" i="18"/>
  <c r="R86" i="18"/>
  <c r="S86" i="18"/>
  <c r="T86" i="18"/>
  <c r="N87" i="18"/>
  <c r="O87" i="18"/>
  <c r="P87" i="18"/>
  <c r="Q87" i="18"/>
  <c r="R87" i="18"/>
  <c r="S87" i="18"/>
  <c r="T87" i="18"/>
  <c r="N88" i="18"/>
  <c r="O88" i="18"/>
  <c r="P88" i="18"/>
  <c r="CP21" i="84" s="1"/>
  <c r="Q88" i="18"/>
  <c r="CP57" i="84" s="1"/>
  <c r="R88" i="18"/>
  <c r="S88" i="18"/>
  <c r="T88" i="18"/>
  <c r="N89" i="18"/>
  <c r="O89" i="18"/>
  <c r="P89" i="18"/>
  <c r="Q89" i="18"/>
  <c r="R89" i="18"/>
  <c r="S89" i="18"/>
  <c r="T89" i="18"/>
  <c r="N90" i="18"/>
  <c r="O90" i="18"/>
  <c r="P90" i="18"/>
  <c r="Q90" i="18"/>
  <c r="R90" i="18"/>
  <c r="S90" i="18"/>
  <c r="T90" i="18"/>
  <c r="N91" i="18"/>
  <c r="O91" i="18"/>
  <c r="P91" i="18"/>
  <c r="Q91" i="18"/>
  <c r="R91" i="18"/>
  <c r="S91" i="18"/>
  <c r="T91" i="18"/>
  <c r="N92" i="18"/>
  <c r="O92" i="18"/>
  <c r="P92" i="18"/>
  <c r="Q92" i="18"/>
  <c r="R92" i="18"/>
  <c r="S92" i="18"/>
  <c r="T92" i="18"/>
  <c r="N93" i="18"/>
  <c r="O93" i="18"/>
  <c r="P93" i="18"/>
  <c r="CP22" i="84" s="1"/>
  <c r="Q93" i="18"/>
  <c r="CP58" i="84" s="1"/>
  <c r="R93" i="18"/>
  <c r="S93" i="18"/>
  <c r="T93" i="18"/>
  <c r="N94" i="18"/>
  <c r="O94" i="18"/>
  <c r="P94" i="18"/>
  <c r="Q94" i="18"/>
  <c r="R94" i="18"/>
  <c r="S94" i="18"/>
  <c r="T94" i="18"/>
  <c r="N95" i="18"/>
  <c r="O95" i="18"/>
  <c r="P95" i="18"/>
  <c r="Q95" i="18"/>
  <c r="R95" i="18"/>
  <c r="S95" i="18"/>
  <c r="T95" i="18"/>
  <c r="N96" i="18"/>
  <c r="O96" i="18"/>
  <c r="P96" i="18"/>
  <c r="Q96" i="18"/>
  <c r="R96" i="18"/>
  <c r="S96" i="18"/>
  <c r="T96" i="18"/>
  <c r="N97" i="18"/>
  <c r="O97" i="18"/>
  <c r="P97" i="18"/>
  <c r="Q97" i="18"/>
  <c r="R97" i="18"/>
  <c r="S97" i="18"/>
  <c r="T97" i="18"/>
  <c r="N98" i="18"/>
  <c r="O98" i="18"/>
  <c r="P98" i="18"/>
  <c r="CP23" i="84" s="1"/>
  <c r="Q98" i="18"/>
  <c r="CP59" i="84" s="1"/>
  <c r="R98" i="18"/>
  <c r="S98" i="18"/>
  <c r="T98" i="18"/>
  <c r="N99" i="18"/>
  <c r="O99" i="18"/>
  <c r="P99" i="18"/>
  <c r="Q99" i="18"/>
  <c r="R99" i="18"/>
  <c r="S99" i="18"/>
  <c r="T99" i="18"/>
  <c r="N100" i="18"/>
  <c r="O100" i="18"/>
  <c r="P100" i="18"/>
  <c r="Q100" i="18"/>
  <c r="R100" i="18"/>
  <c r="S100" i="18"/>
  <c r="T100" i="18"/>
  <c r="N101" i="18"/>
  <c r="O101" i="18"/>
  <c r="P101" i="18"/>
  <c r="Q101" i="18"/>
  <c r="R101" i="18"/>
  <c r="S101" i="18"/>
  <c r="T101" i="18"/>
  <c r="N102" i="18"/>
  <c r="O102" i="18"/>
  <c r="P102" i="18"/>
  <c r="Q102" i="18"/>
  <c r="R102" i="18"/>
  <c r="S102" i="18"/>
  <c r="T102" i="18"/>
  <c r="N103" i="18"/>
  <c r="O103" i="18"/>
  <c r="P103" i="18"/>
  <c r="CP24" i="84" s="1"/>
  <c r="Q103" i="18"/>
  <c r="CP60" i="84" s="1"/>
  <c r="R103" i="18"/>
  <c r="S103" i="18"/>
  <c r="T103" i="18"/>
  <c r="N104" i="18"/>
  <c r="O104" i="18"/>
  <c r="P104" i="18"/>
  <c r="Q104" i="18"/>
  <c r="R104" i="18"/>
  <c r="S104" i="18"/>
  <c r="T104" i="18"/>
  <c r="N105" i="18"/>
  <c r="O105" i="18"/>
  <c r="P105" i="18"/>
  <c r="Q105" i="18"/>
  <c r="R105" i="18"/>
  <c r="S105" i="18"/>
  <c r="T105" i="18"/>
  <c r="N106" i="18"/>
  <c r="O106" i="18"/>
  <c r="P106" i="18"/>
  <c r="Q106" i="18"/>
  <c r="R106" i="18"/>
  <c r="S106" i="18"/>
  <c r="T106" i="18"/>
  <c r="N107" i="18"/>
  <c r="O107" i="18"/>
  <c r="P107" i="18"/>
  <c r="Q107" i="18"/>
  <c r="R107" i="18"/>
  <c r="S107" i="18"/>
  <c r="T107" i="18"/>
  <c r="N108" i="18"/>
  <c r="O108" i="18"/>
  <c r="P108" i="18"/>
  <c r="CP25" i="84" s="1"/>
  <c r="Q108" i="18"/>
  <c r="CP61" i="84" s="1"/>
  <c r="R108" i="18"/>
  <c r="S108" i="18"/>
  <c r="T108" i="18"/>
  <c r="N109" i="18"/>
  <c r="O109" i="18"/>
  <c r="P109" i="18"/>
  <c r="Q109" i="18"/>
  <c r="R109" i="18"/>
  <c r="S109" i="18"/>
  <c r="T109" i="18"/>
  <c r="N110" i="18"/>
  <c r="O110" i="18"/>
  <c r="P110" i="18"/>
  <c r="Q110" i="18"/>
  <c r="R110" i="18"/>
  <c r="S110" i="18"/>
  <c r="T110" i="18"/>
  <c r="N111" i="18"/>
  <c r="O111" i="18"/>
  <c r="P111" i="18"/>
  <c r="Q111" i="18"/>
  <c r="R111" i="18"/>
  <c r="S111" i="18"/>
  <c r="T111" i="18"/>
  <c r="N112" i="18"/>
  <c r="O112" i="18"/>
  <c r="P112" i="18"/>
  <c r="Q112" i="18"/>
  <c r="R112" i="18"/>
  <c r="S112" i="18"/>
  <c r="T112" i="18"/>
  <c r="N113" i="18"/>
  <c r="O113" i="18"/>
  <c r="P113" i="18"/>
  <c r="CP26" i="84" s="1"/>
  <c r="Q113" i="18"/>
  <c r="CP62" i="84" s="1"/>
  <c r="R113" i="18"/>
  <c r="S113" i="18"/>
  <c r="T113" i="18"/>
  <c r="N4" i="18"/>
  <c r="O4" i="18"/>
  <c r="F160" i="18"/>
  <c r="G160" i="18"/>
  <c r="F153" i="18"/>
  <c r="G153" i="18"/>
  <c r="F154" i="18"/>
  <c r="G154" i="18"/>
  <c r="F155" i="18"/>
  <c r="G155" i="18"/>
  <c r="F156" i="18"/>
  <c r="G156" i="18"/>
  <c r="F157" i="18"/>
  <c r="G157" i="18"/>
  <c r="F158" i="18"/>
  <c r="G158" i="18"/>
  <c r="F159" i="18"/>
  <c r="G159" i="18"/>
  <c r="I53" i="18"/>
  <c r="K53" i="18"/>
  <c r="I54" i="18"/>
  <c r="K54" i="18"/>
  <c r="I55" i="18"/>
  <c r="K55" i="18"/>
  <c r="I56" i="18"/>
  <c r="K56" i="18"/>
  <c r="I57" i="18"/>
  <c r="K57" i="18"/>
  <c r="I58" i="18"/>
  <c r="K58" i="18"/>
  <c r="I59" i="18"/>
  <c r="K59" i="18"/>
  <c r="I60" i="18"/>
  <c r="K60" i="18"/>
  <c r="I61" i="18"/>
  <c r="K61" i="18"/>
  <c r="I62" i="18"/>
  <c r="K62" i="18"/>
  <c r="I63" i="18"/>
  <c r="K63" i="18"/>
  <c r="I64" i="18"/>
  <c r="K64" i="18"/>
  <c r="I65" i="18"/>
  <c r="K65" i="18"/>
  <c r="I66" i="18"/>
  <c r="K66" i="18"/>
  <c r="I67" i="18"/>
  <c r="K67" i="18"/>
  <c r="I68" i="18"/>
  <c r="K68" i="18"/>
  <c r="I69" i="18"/>
  <c r="K69" i="18"/>
  <c r="I70" i="18"/>
  <c r="K70" i="18"/>
  <c r="I71" i="18"/>
  <c r="K71" i="18"/>
  <c r="I72" i="18"/>
  <c r="K72" i="18"/>
  <c r="I73" i="18"/>
  <c r="K73" i="18"/>
  <c r="I74" i="18"/>
  <c r="K74" i="18"/>
  <c r="I75" i="18"/>
  <c r="K75" i="18"/>
  <c r="I76" i="18"/>
  <c r="K76" i="18"/>
  <c r="I77" i="18"/>
  <c r="K77" i="18"/>
  <c r="I78" i="18"/>
  <c r="K78" i="18"/>
  <c r="I79" i="18"/>
  <c r="K79" i="18"/>
  <c r="I80" i="18"/>
  <c r="K80" i="18"/>
  <c r="I81" i="18"/>
  <c r="K81" i="18"/>
  <c r="I82" i="18"/>
  <c r="K82" i="18"/>
  <c r="I4" i="18"/>
  <c r="J4" i="18"/>
  <c r="K4" i="18"/>
  <c r="I5" i="18"/>
  <c r="J5" i="18"/>
  <c r="K5" i="18"/>
  <c r="I6" i="18"/>
  <c r="J6" i="18"/>
  <c r="K6" i="18"/>
  <c r="I7" i="18"/>
  <c r="J7" i="18"/>
  <c r="K7" i="18"/>
  <c r="I8" i="18"/>
  <c r="J8" i="18"/>
  <c r="K8" i="18"/>
  <c r="I9" i="18"/>
  <c r="J9" i="18"/>
  <c r="K9" i="18"/>
  <c r="I10" i="18"/>
  <c r="J10" i="18"/>
  <c r="K10" i="18"/>
  <c r="I11" i="18"/>
  <c r="J11" i="18"/>
  <c r="K11" i="18"/>
  <c r="I12" i="18"/>
  <c r="J12" i="18"/>
  <c r="K12" i="18"/>
  <c r="I13" i="18"/>
  <c r="J13" i="18"/>
  <c r="K13" i="18"/>
  <c r="I14" i="18"/>
  <c r="J14" i="18"/>
  <c r="K14" i="18"/>
  <c r="I15" i="18"/>
  <c r="J15" i="18"/>
  <c r="K15" i="18"/>
  <c r="I16" i="18"/>
  <c r="J16" i="18"/>
  <c r="K16" i="18"/>
  <c r="I17" i="18"/>
  <c r="J17" i="18"/>
  <c r="K17" i="18"/>
  <c r="I18" i="18"/>
  <c r="J18" i="18"/>
  <c r="K18" i="18"/>
  <c r="I19" i="18"/>
  <c r="J19" i="18"/>
  <c r="K19" i="18"/>
  <c r="I20" i="18"/>
  <c r="J20" i="18"/>
  <c r="K20" i="18"/>
  <c r="I21" i="18"/>
  <c r="J21" i="18"/>
  <c r="K21" i="18"/>
  <c r="I22" i="18"/>
  <c r="J22" i="18"/>
  <c r="K22" i="18"/>
  <c r="I23" i="18"/>
  <c r="J23" i="18"/>
  <c r="K23" i="18"/>
  <c r="I24" i="18"/>
  <c r="J24" i="18"/>
  <c r="K24" i="18"/>
  <c r="I25" i="18"/>
  <c r="J25" i="18"/>
  <c r="K25" i="18"/>
  <c r="I26" i="18"/>
  <c r="J26" i="18"/>
  <c r="K26" i="18"/>
  <c r="I27" i="18"/>
  <c r="J27" i="18"/>
  <c r="K27" i="18"/>
  <c r="I28" i="18"/>
  <c r="J28" i="18"/>
  <c r="K28" i="18"/>
  <c r="I29" i="18"/>
  <c r="J29" i="18"/>
  <c r="K29" i="18"/>
  <c r="I30" i="18"/>
  <c r="J30" i="18"/>
  <c r="K30" i="18"/>
  <c r="I31" i="18"/>
  <c r="J31" i="18"/>
  <c r="K31" i="18"/>
  <c r="I32" i="18"/>
  <c r="J32" i="18"/>
  <c r="K32" i="18"/>
  <c r="I33" i="18"/>
  <c r="J33" i="18"/>
  <c r="K33" i="18"/>
  <c r="I34" i="18"/>
  <c r="J34" i="18"/>
  <c r="K34" i="18"/>
  <c r="I35" i="18"/>
  <c r="J35" i="18"/>
  <c r="K35" i="18"/>
  <c r="I36" i="18"/>
  <c r="J36" i="18"/>
  <c r="K36" i="18"/>
  <c r="I37" i="18"/>
  <c r="J37" i="18"/>
  <c r="K37" i="18"/>
  <c r="I38" i="18"/>
  <c r="K38" i="18"/>
  <c r="I39" i="18"/>
  <c r="K39" i="18"/>
  <c r="I40" i="18"/>
  <c r="K40" i="18"/>
  <c r="I41" i="18"/>
  <c r="K41" i="18"/>
  <c r="I42" i="18"/>
  <c r="K42" i="18"/>
  <c r="I43" i="18"/>
  <c r="K43" i="18"/>
  <c r="I44" i="18"/>
  <c r="K44" i="18"/>
  <c r="I45" i="18"/>
  <c r="K45" i="18"/>
  <c r="I46" i="18"/>
  <c r="K46" i="18"/>
  <c r="I47" i="18"/>
  <c r="K47" i="18"/>
  <c r="I48" i="18"/>
  <c r="K48" i="18"/>
  <c r="I49" i="18"/>
  <c r="K49" i="18"/>
  <c r="I50" i="18"/>
  <c r="K50" i="18"/>
  <c r="I51" i="18"/>
  <c r="K51" i="18"/>
  <c r="I52" i="18"/>
  <c r="K52" i="18"/>
  <c r="K3" i="18"/>
  <c r="J3" i="18"/>
  <c r="I3" i="18"/>
  <c r="D35" i="18"/>
  <c r="C35" i="18"/>
  <c r="B35" i="18"/>
  <c r="D34" i="18"/>
  <c r="C34" i="18"/>
  <c r="B34" i="18"/>
  <c r="D33" i="18"/>
  <c r="C33" i="18"/>
  <c r="B33" i="18"/>
  <c r="D32" i="18"/>
  <c r="C32" i="18"/>
  <c r="B32" i="18"/>
  <c r="D31" i="18"/>
  <c r="C31" i="18"/>
  <c r="B31" i="18"/>
  <c r="D30" i="18"/>
  <c r="C30" i="18"/>
  <c r="B30" i="18"/>
  <c r="D29" i="18"/>
  <c r="C29" i="18"/>
  <c r="B29" i="18"/>
  <c r="D28" i="18"/>
  <c r="C28" i="18"/>
  <c r="B28" i="18"/>
  <c r="D27" i="18"/>
  <c r="C27" i="18"/>
  <c r="B27" i="18"/>
  <c r="D26" i="18"/>
  <c r="C26" i="18"/>
  <c r="B26" i="18"/>
  <c r="D25" i="18"/>
  <c r="C25" i="18"/>
  <c r="B25" i="18"/>
  <c r="D24" i="18"/>
  <c r="C24" i="18"/>
  <c r="B24" i="18"/>
  <c r="D17" i="18"/>
  <c r="C17" i="18"/>
  <c r="B17" i="18"/>
  <c r="D16" i="18"/>
  <c r="C16" i="18"/>
  <c r="B16" i="18"/>
  <c r="D15" i="18"/>
  <c r="C15" i="18"/>
  <c r="B15" i="18"/>
  <c r="D14" i="18"/>
  <c r="C14" i="18"/>
  <c r="B14" i="18"/>
  <c r="D13" i="18"/>
  <c r="C13" i="18"/>
  <c r="B13" i="18"/>
  <c r="D12" i="18"/>
  <c r="C12" i="18"/>
  <c r="B12" i="18"/>
  <c r="D11" i="18"/>
  <c r="C11" i="18"/>
  <c r="B11" i="18"/>
  <c r="D10" i="18"/>
  <c r="C10" i="18"/>
  <c r="B10" i="18"/>
  <c r="D9" i="18"/>
  <c r="C9" i="18"/>
  <c r="B9" i="18"/>
  <c r="D8" i="18"/>
  <c r="C8" i="18"/>
  <c r="B8" i="18"/>
  <c r="F4" i="18"/>
  <c r="G4" i="18"/>
  <c r="F5" i="18"/>
  <c r="G5" i="18"/>
  <c r="F6" i="18"/>
  <c r="G6" i="18"/>
  <c r="F7" i="18"/>
  <c r="G7" i="18"/>
  <c r="F8" i="18"/>
  <c r="G8" i="18"/>
  <c r="F9" i="18"/>
  <c r="G9" i="18"/>
  <c r="F10" i="18"/>
  <c r="G10" i="18"/>
  <c r="F11" i="18"/>
  <c r="G11" i="18"/>
  <c r="F12" i="18"/>
  <c r="G12" i="18"/>
  <c r="F13" i="18"/>
  <c r="G13" i="18"/>
  <c r="F14" i="18"/>
  <c r="G14" i="18"/>
  <c r="F15" i="18"/>
  <c r="G15" i="18"/>
  <c r="F16" i="18"/>
  <c r="G16" i="18"/>
  <c r="F17" i="18"/>
  <c r="G17" i="18"/>
  <c r="F18" i="18"/>
  <c r="G18" i="18"/>
  <c r="F19" i="18"/>
  <c r="G19" i="18"/>
  <c r="F20" i="18"/>
  <c r="G20" i="18"/>
  <c r="F21" i="18"/>
  <c r="G21" i="18"/>
  <c r="F22" i="18"/>
  <c r="G22" i="18"/>
  <c r="F23" i="18"/>
  <c r="G23" i="18"/>
  <c r="F24" i="18"/>
  <c r="G24" i="18"/>
  <c r="F25" i="18"/>
  <c r="G25" i="18"/>
  <c r="F26" i="18"/>
  <c r="G26" i="18"/>
  <c r="F27" i="18"/>
  <c r="G27" i="18"/>
  <c r="F28" i="18"/>
  <c r="G28" i="18"/>
  <c r="F29" i="18"/>
  <c r="G29" i="18"/>
  <c r="F30" i="18"/>
  <c r="G30" i="18"/>
  <c r="F31" i="18"/>
  <c r="G31" i="18"/>
  <c r="F32" i="18"/>
  <c r="G32" i="18"/>
  <c r="F33" i="18"/>
  <c r="G33" i="18"/>
  <c r="F34" i="18"/>
  <c r="G34" i="18"/>
  <c r="F35" i="18"/>
  <c r="G35" i="18"/>
  <c r="F36" i="18"/>
  <c r="G36" i="18"/>
  <c r="F37" i="18"/>
  <c r="G37" i="18"/>
  <c r="F38" i="18"/>
  <c r="G38" i="18"/>
  <c r="F39" i="18"/>
  <c r="G39" i="18"/>
  <c r="F40" i="18"/>
  <c r="G40" i="18"/>
  <c r="F41" i="18"/>
  <c r="G41" i="18"/>
  <c r="F42" i="18"/>
  <c r="G42" i="18"/>
  <c r="F43" i="18"/>
  <c r="G43" i="18"/>
  <c r="F44" i="18"/>
  <c r="G44" i="18"/>
  <c r="F45" i="18"/>
  <c r="G45" i="18"/>
  <c r="F46" i="18"/>
  <c r="G46" i="18"/>
  <c r="F47" i="18"/>
  <c r="G47" i="18"/>
  <c r="F48" i="18"/>
  <c r="G48" i="18"/>
  <c r="F49" i="18"/>
  <c r="G49" i="18"/>
  <c r="F50" i="18"/>
  <c r="G50" i="18"/>
  <c r="F51" i="18"/>
  <c r="G51" i="18"/>
  <c r="F52" i="18"/>
  <c r="G52" i="18"/>
  <c r="F53" i="18"/>
  <c r="G53" i="18"/>
  <c r="F54" i="18"/>
  <c r="G54" i="18"/>
  <c r="F55" i="18"/>
  <c r="G55" i="18"/>
  <c r="F56" i="18"/>
  <c r="G56" i="18"/>
  <c r="F57" i="18"/>
  <c r="G57" i="18"/>
  <c r="F58" i="18"/>
  <c r="G58" i="18"/>
  <c r="F59" i="18"/>
  <c r="G59" i="18"/>
  <c r="F60" i="18"/>
  <c r="G60" i="18"/>
  <c r="F61" i="18"/>
  <c r="G61" i="18"/>
  <c r="F62" i="18"/>
  <c r="G62" i="18"/>
  <c r="F63" i="18"/>
  <c r="G63" i="18"/>
  <c r="F64" i="18"/>
  <c r="G64" i="18"/>
  <c r="F65" i="18"/>
  <c r="G65" i="18"/>
  <c r="F66" i="18"/>
  <c r="G66" i="18"/>
  <c r="F67" i="18"/>
  <c r="G67" i="18"/>
  <c r="F68" i="18"/>
  <c r="G68" i="18"/>
  <c r="F69" i="18"/>
  <c r="G69" i="18"/>
  <c r="F70" i="18"/>
  <c r="G70" i="18"/>
  <c r="F71" i="18"/>
  <c r="G71" i="18"/>
  <c r="F72" i="18"/>
  <c r="G72" i="18"/>
  <c r="F73" i="18"/>
  <c r="G73" i="18"/>
  <c r="F74" i="18"/>
  <c r="G74" i="18"/>
  <c r="F75" i="18"/>
  <c r="G75" i="18"/>
  <c r="F76" i="18"/>
  <c r="G76" i="18"/>
  <c r="F77" i="18"/>
  <c r="G77" i="18"/>
  <c r="F78" i="18"/>
  <c r="G78" i="18"/>
  <c r="F79" i="18"/>
  <c r="G79" i="18"/>
  <c r="F80" i="18"/>
  <c r="G80" i="18"/>
  <c r="F81" i="18"/>
  <c r="G81" i="18"/>
  <c r="F82" i="18"/>
  <c r="G82" i="18"/>
  <c r="F83" i="18"/>
  <c r="G83" i="18"/>
  <c r="F84" i="18"/>
  <c r="G84" i="18"/>
  <c r="F85" i="18"/>
  <c r="G85" i="18"/>
  <c r="F86" i="18"/>
  <c r="G86" i="18"/>
  <c r="F87" i="18"/>
  <c r="G87" i="18"/>
  <c r="F88" i="18"/>
  <c r="G88" i="18"/>
  <c r="F89" i="18"/>
  <c r="G89" i="18"/>
  <c r="F90" i="18"/>
  <c r="G90" i="18"/>
  <c r="F91" i="18"/>
  <c r="G91" i="18"/>
  <c r="F92" i="18"/>
  <c r="G92" i="18"/>
  <c r="F93" i="18"/>
  <c r="G93" i="18"/>
  <c r="F94" i="18"/>
  <c r="G94" i="18"/>
  <c r="F95" i="18"/>
  <c r="G95" i="18"/>
  <c r="F96" i="18"/>
  <c r="G96" i="18"/>
  <c r="F97" i="18"/>
  <c r="G97" i="18"/>
  <c r="F98" i="18"/>
  <c r="G98" i="18"/>
  <c r="F99" i="18"/>
  <c r="G99" i="18"/>
  <c r="F100" i="18"/>
  <c r="G100" i="18"/>
  <c r="F101" i="18"/>
  <c r="G101" i="18"/>
  <c r="F102" i="18"/>
  <c r="G102" i="18"/>
  <c r="F103" i="18"/>
  <c r="G103" i="18"/>
  <c r="F104" i="18"/>
  <c r="G104" i="18"/>
  <c r="F105" i="18"/>
  <c r="G105" i="18"/>
  <c r="F106" i="18"/>
  <c r="G106" i="18"/>
  <c r="F107" i="18"/>
  <c r="G107" i="18"/>
  <c r="F108" i="18"/>
  <c r="G108" i="18"/>
  <c r="F109" i="18"/>
  <c r="G109" i="18"/>
  <c r="F110" i="18"/>
  <c r="G110" i="18"/>
  <c r="F111" i="18"/>
  <c r="G111" i="18"/>
  <c r="F112" i="18"/>
  <c r="G112" i="18"/>
  <c r="F113" i="18"/>
  <c r="G113" i="18"/>
  <c r="F114" i="18"/>
  <c r="G114" i="18"/>
  <c r="F115" i="18"/>
  <c r="G115" i="18"/>
  <c r="F116" i="18"/>
  <c r="G116" i="18"/>
  <c r="F117" i="18"/>
  <c r="G117" i="18"/>
  <c r="F118" i="18"/>
  <c r="G118" i="18"/>
  <c r="F119" i="18"/>
  <c r="G119" i="18"/>
  <c r="F120" i="18"/>
  <c r="G120" i="18"/>
  <c r="F121" i="18"/>
  <c r="G121" i="18"/>
  <c r="F122" i="18"/>
  <c r="G122" i="18"/>
  <c r="F123" i="18"/>
  <c r="G123" i="18"/>
  <c r="F124" i="18"/>
  <c r="G124" i="18"/>
  <c r="F125" i="18"/>
  <c r="G125" i="18"/>
  <c r="F126" i="18"/>
  <c r="G126" i="18"/>
  <c r="F127" i="18"/>
  <c r="G127" i="18"/>
  <c r="F128" i="18"/>
  <c r="G128" i="18"/>
  <c r="F129" i="18"/>
  <c r="G129" i="18"/>
  <c r="F130" i="18"/>
  <c r="G130" i="18"/>
  <c r="F131" i="18"/>
  <c r="G131" i="18"/>
  <c r="F132" i="18"/>
  <c r="G132" i="18"/>
  <c r="F133" i="18"/>
  <c r="G133" i="18"/>
  <c r="F134" i="18"/>
  <c r="G134" i="18"/>
  <c r="F135" i="18"/>
  <c r="G135" i="18"/>
  <c r="F136" i="18"/>
  <c r="G136" i="18"/>
  <c r="F137" i="18"/>
  <c r="G137" i="18"/>
  <c r="F138" i="18"/>
  <c r="G138" i="18"/>
  <c r="F139" i="18"/>
  <c r="G139" i="18"/>
  <c r="F140" i="18"/>
  <c r="G140" i="18"/>
  <c r="F141" i="18"/>
  <c r="G141" i="18"/>
  <c r="F142" i="18"/>
  <c r="G142" i="18"/>
  <c r="F143" i="18"/>
  <c r="G143" i="18"/>
  <c r="F144" i="18"/>
  <c r="G144" i="18"/>
  <c r="F145" i="18"/>
  <c r="G145" i="18"/>
  <c r="F146" i="18"/>
  <c r="G146" i="18"/>
  <c r="F147" i="18"/>
  <c r="G147" i="18"/>
  <c r="F148" i="18"/>
  <c r="G148" i="18"/>
  <c r="F149" i="18"/>
  <c r="G149" i="18"/>
  <c r="F150" i="18"/>
  <c r="G150" i="18"/>
  <c r="F151" i="18"/>
  <c r="G151" i="18"/>
  <c r="F152" i="18"/>
  <c r="G152" i="18"/>
  <c r="G3" i="18"/>
  <c r="F3" i="18"/>
  <c r="AP104" i="95"/>
  <c r="AQ13" i="95"/>
  <c r="AV194" i="95"/>
  <c r="AR148" i="95"/>
  <c r="AZ104" i="95"/>
  <c r="AR193" i="95"/>
  <c r="AW193" i="95"/>
  <c r="AV58" i="95"/>
  <c r="AU148" i="95"/>
  <c r="AU194" i="95"/>
  <c r="AZ193" i="95"/>
  <c r="BA104" i="95"/>
  <c r="AZ13" i="95"/>
  <c r="AZ148" i="95"/>
  <c r="AQ58" i="95"/>
  <c r="AQ193" i="95"/>
  <c r="AP194" i="95"/>
  <c r="AV103" i="95"/>
  <c r="AV148" i="95"/>
  <c r="BB150" i="95"/>
  <c r="BB193" i="95"/>
  <c r="BA150" i="95"/>
  <c r="BA105" i="95"/>
  <c r="AP195" i="95"/>
  <c r="AP14" i="95"/>
  <c r="BA13" i="95"/>
  <c r="AV13" i="95"/>
  <c r="AP59" i="95"/>
  <c r="AQ103" i="95"/>
  <c r="AU103" i="95"/>
  <c r="AW148" i="95"/>
  <c r="AU13" i="95"/>
  <c r="AQ149" i="95"/>
  <c r="AZ58" i="95"/>
  <c r="AP151" i="95"/>
  <c r="AU58" i="95"/>
  <c r="BA58" i="95"/>
  <c r="BA194" i="95"/>
  <c r="I74" i="84" l="1"/>
  <c r="E78" i="90"/>
  <c r="AT78" i="90" s="1"/>
  <c r="I68" i="84"/>
  <c r="E72" i="90"/>
  <c r="AT72" i="90" s="1"/>
  <c r="I117" i="84"/>
  <c r="E121" i="90"/>
  <c r="AT121" i="90" s="1"/>
  <c r="I166" i="84"/>
  <c r="E170" i="90"/>
  <c r="AT170" i="90" s="1"/>
  <c r="I160" i="84"/>
  <c r="E164" i="90"/>
  <c r="AT164" i="90" s="1"/>
  <c r="I209" i="84"/>
  <c r="E213" i="90"/>
  <c r="AT213" i="90" s="1"/>
  <c r="I203" i="84"/>
  <c r="E207" i="90"/>
  <c r="AT207" i="90" s="1"/>
  <c r="I73" i="84"/>
  <c r="E77" i="90"/>
  <c r="AT77" i="90" s="1"/>
  <c r="I122" i="84"/>
  <c r="E126" i="90"/>
  <c r="AT126" i="90" s="1"/>
  <c r="I116" i="84"/>
  <c r="E120" i="90"/>
  <c r="AT120" i="90" s="1"/>
  <c r="I165" i="84"/>
  <c r="E169" i="90"/>
  <c r="AT169" i="90" s="1"/>
  <c r="I159" i="84"/>
  <c r="E163" i="90"/>
  <c r="AT163" i="90" s="1"/>
  <c r="I208" i="84"/>
  <c r="E212" i="90"/>
  <c r="AT212" i="90" s="1"/>
  <c r="I72" i="84"/>
  <c r="E76" i="90"/>
  <c r="AT76" i="90" s="1"/>
  <c r="I121" i="84"/>
  <c r="E125" i="90"/>
  <c r="AT125" i="90" s="1"/>
  <c r="I115" i="84"/>
  <c r="E119" i="90"/>
  <c r="AT119" i="90" s="1"/>
  <c r="I164" i="84"/>
  <c r="E168" i="90"/>
  <c r="AT168" i="90" s="1"/>
  <c r="I158" i="84"/>
  <c r="E162" i="90"/>
  <c r="AT162" i="90" s="1"/>
  <c r="I207" i="84"/>
  <c r="E211" i="90"/>
  <c r="AT211" i="90" s="1"/>
  <c r="I77" i="84"/>
  <c r="E81" i="90"/>
  <c r="AT81" i="90" s="1"/>
  <c r="I71" i="84"/>
  <c r="E75" i="90"/>
  <c r="AT75" i="90" s="1"/>
  <c r="I120" i="84"/>
  <c r="E124" i="90"/>
  <c r="AT124" i="90" s="1"/>
  <c r="I114" i="84"/>
  <c r="E118" i="90"/>
  <c r="AT118" i="90" s="1"/>
  <c r="I163" i="84"/>
  <c r="E167" i="90"/>
  <c r="AT167" i="90" s="1"/>
  <c r="I212" i="84"/>
  <c r="E216" i="90"/>
  <c r="AT216" i="90" s="1"/>
  <c r="I206" i="84"/>
  <c r="E210" i="90"/>
  <c r="AT210" i="90" s="1"/>
  <c r="I76" i="84"/>
  <c r="E80" i="90"/>
  <c r="AT80" i="90" s="1"/>
  <c r="I70" i="84"/>
  <c r="E74" i="90"/>
  <c r="AT74" i="90" s="1"/>
  <c r="I119" i="84"/>
  <c r="E123" i="90"/>
  <c r="AT123" i="90" s="1"/>
  <c r="I113" i="84"/>
  <c r="E117" i="90"/>
  <c r="AT117" i="90" s="1"/>
  <c r="I162" i="84"/>
  <c r="E166" i="90"/>
  <c r="AT166" i="90" s="1"/>
  <c r="I211" i="84"/>
  <c r="E215" i="90"/>
  <c r="AT215" i="90" s="1"/>
  <c r="I205" i="84"/>
  <c r="E209" i="90"/>
  <c r="AT209" i="90" s="1"/>
  <c r="I75" i="84"/>
  <c r="E79" i="90"/>
  <c r="AT79" i="90" s="1"/>
  <c r="I69" i="84"/>
  <c r="E73" i="90"/>
  <c r="AT73" i="90" s="1"/>
  <c r="I118" i="84"/>
  <c r="E122" i="90"/>
  <c r="AT122" i="90" s="1"/>
  <c r="I167" i="84"/>
  <c r="E171" i="90"/>
  <c r="AT171" i="90" s="1"/>
  <c r="I161" i="84"/>
  <c r="E165" i="90"/>
  <c r="AT165" i="90" s="1"/>
  <c r="I210" i="84"/>
  <c r="E214" i="90"/>
  <c r="AT214" i="90" s="1"/>
  <c r="I204" i="84"/>
  <c r="E208" i="90"/>
  <c r="AT208" i="90" s="1"/>
  <c r="R12" i="70"/>
  <c r="O13" i="95"/>
  <c r="S66" i="70"/>
  <c r="P67" i="95"/>
  <c r="S54" i="70"/>
  <c r="P55" i="95"/>
  <c r="R106" i="70"/>
  <c r="O107" i="95"/>
  <c r="R157" i="70"/>
  <c r="O158" i="95"/>
  <c r="R153" i="70"/>
  <c r="O154" i="95"/>
  <c r="R143" i="70"/>
  <c r="O144" i="95"/>
  <c r="R205" i="70"/>
  <c r="O206" i="95"/>
  <c r="T198" i="70"/>
  <c r="Q199" i="95"/>
  <c r="R193" i="70"/>
  <c r="O194" i="95"/>
  <c r="T27" i="70"/>
  <c r="Q28" i="95"/>
  <c r="R26" i="70"/>
  <c r="O27" i="95"/>
  <c r="T23" i="70"/>
  <c r="Q24" i="95"/>
  <c r="R22" i="70"/>
  <c r="O23" i="95"/>
  <c r="T19" i="70"/>
  <c r="Q20" i="95"/>
  <c r="R18" i="70"/>
  <c r="O19" i="95"/>
  <c r="T16" i="70"/>
  <c r="Q17" i="95"/>
  <c r="T14" i="70"/>
  <c r="Q15" i="95"/>
  <c r="T12" i="70"/>
  <c r="Q13" i="95"/>
  <c r="T9" i="70"/>
  <c r="Q10" i="95"/>
  <c r="R8" i="70"/>
  <c r="O9" i="95"/>
  <c r="T5" i="70"/>
  <c r="Q6" i="95"/>
  <c r="U74" i="70"/>
  <c r="R75" i="95"/>
  <c r="R73" i="70"/>
  <c r="O74" i="95"/>
  <c r="T71" i="70"/>
  <c r="Q72" i="95"/>
  <c r="S68" i="70"/>
  <c r="P69" i="95"/>
  <c r="U66" i="70"/>
  <c r="R67" i="95"/>
  <c r="R65" i="70"/>
  <c r="O66" i="95"/>
  <c r="T63" i="70"/>
  <c r="Q64" i="95"/>
  <c r="V54" i="70"/>
  <c r="S55" i="95"/>
  <c r="S53" i="70"/>
  <c r="P54" i="95"/>
  <c r="V50" i="70"/>
  <c r="S51" i="95"/>
  <c r="T117" i="70"/>
  <c r="Q118" i="95"/>
  <c r="R116" i="70"/>
  <c r="O117" i="95"/>
  <c r="T113" i="70"/>
  <c r="Q114" i="95"/>
  <c r="R112" i="70"/>
  <c r="O113" i="95"/>
  <c r="T109" i="70"/>
  <c r="Q110" i="95"/>
  <c r="R108" i="70"/>
  <c r="O109" i="95"/>
  <c r="T106" i="70"/>
  <c r="Q107" i="95"/>
  <c r="T104" i="70"/>
  <c r="Q105" i="95"/>
  <c r="T102" i="70"/>
  <c r="Q103" i="95"/>
  <c r="T99" i="70"/>
  <c r="Q100" i="95"/>
  <c r="R98" i="70"/>
  <c r="O99" i="95"/>
  <c r="T95" i="70"/>
  <c r="Q96" i="95"/>
  <c r="R164" i="70"/>
  <c r="O165" i="95"/>
  <c r="T161" i="70"/>
  <c r="Q162" i="95"/>
  <c r="R160" i="70"/>
  <c r="O161" i="95"/>
  <c r="T157" i="70"/>
  <c r="Q158" i="95"/>
  <c r="R156" i="70"/>
  <c r="O157" i="95"/>
  <c r="T153" i="70"/>
  <c r="Q154" i="95"/>
  <c r="R152" i="70"/>
  <c r="O153" i="95"/>
  <c r="R150" i="70"/>
  <c r="O151" i="95"/>
  <c r="R148" i="70"/>
  <c r="O149" i="95"/>
  <c r="R146" i="70"/>
  <c r="O147" i="95"/>
  <c r="T143" i="70"/>
  <c r="Q144" i="95"/>
  <c r="R142" i="70"/>
  <c r="O143" i="95"/>
  <c r="T209" i="70"/>
  <c r="Q210" i="95"/>
  <c r="R208" i="70"/>
  <c r="O209" i="95"/>
  <c r="T205" i="70"/>
  <c r="Q206" i="95"/>
  <c r="R204" i="70"/>
  <c r="O205" i="95"/>
  <c r="T201" i="70"/>
  <c r="Q202" i="95"/>
  <c r="R200" i="70"/>
  <c r="O201" i="95"/>
  <c r="T197" i="70"/>
  <c r="Q198" i="95"/>
  <c r="T195" i="70"/>
  <c r="Q196" i="95"/>
  <c r="T193" i="70"/>
  <c r="Q194" i="95"/>
  <c r="T191" i="70"/>
  <c r="Q192" i="95"/>
  <c r="R190" i="70"/>
  <c r="O191" i="95"/>
  <c r="T187" i="70"/>
  <c r="Q188" i="95"/>
  <c r="R186" i="70"/>
  <c r="O187" i="95"/>
  <c r="T28" i="70"/>
  <c r="Q29" i="95"/>
  <c r="T20" i="70"/>
  <c r="Q21" i="95"/>
  <c r="R9" i="70"/>
  <c r="O10" i="95"/>
  <c r="S74" i="70"/>
  <c r="P75" i="95"/>
  <c r="S61" i="70"/>
  <c r="P62" i="95"/>
  <c r="R113" i="70"/>
  <c r="O114" i="95"/>
  <c r="T100" i="70"/>
  <c r="Q101" i="95"/>
  <c r="T147" i="70"/>
  <c r="Q148" i="95"/>
  <c r="U28" i="70"/>
  <c r="R29" i="95"/>
  <c r="S27" i="70"/>
  <c r="P28" i="95"/>
  <c r="U24" i="70"/>
  <c r="R25" i="95"/>
  <c r="S23" i="70"/>
  <c r="P24" i="95"/>
  <c r="U20" i="70"/>
  <c r="R21" i="95"/>
  <c r="S19" i="70"/>
  <c r="P20" i="95"/>
  <c r="S16" i="70"/>
  <c r="P17" i="95"/>
  <c r="S14" i="70"/>
  <c r="P15" i="95"/>
  <c r="S12" i="70"/>
  <c r="P13" i="95"/>
  <c r="V10" i="70"/>
  <c r="S11" i="95"/>
  <c r="S9" i="70"/>
  <c r="P10" i="95"/>
  <c r="V6" i="70"/>
  <c r="S7" i="95"/>
  <c r="S5" i="70"/>
  <c r="P6" i="95"/>
  <c r="T74" i="70"/>
  <c r="Q75" i="95"/>
  <c r="S71" i="70"/>
  <c r="P72" i="95"/>
  <c r="U69" i="70"/>
  <c r="R70" i="95"/>
  <c r="R68" i="70"/>
  <c r="O69" i="95"/>
  <c r="T66" i="70"/>
  <c r="Q67" i="95"/>
  <c r="S63" i="70"/>
  <c r="P64" i="95"/>
  <c r="T61" i="70"/>
  <c r="Q62" i="95"/>
  <c r="T59" i="70"/>
  <c r="Q60" i="95"/>
  <c r="T57" i="70"/>
  <c r="Q58" i="95"/>
  <c r="T54" i="70"/>
  <c r="Q55" i="95"/>
  <c r="R53" i="70"/>
  <c r="O54" i="95"/>
  <c r="T50" i="70"/>
  <c r="Q51" i="95"/>
  <c r="U118" i="70"/>
  <c r="R119" i="95"/>
  <c r="S117" i="70"/>
  <c r="P118" i="95"/>
  <c r="U114" i="70"/>
  <c r="R115" i="95"/>
  <c r="S113" i="70"/>
  <c r="P114" i="95"/>
  <c r="U110" i="70"/>
  <c r="R111" i="95"/>
  <c r="S109" i="70"/>
  <c r="P110" i="95"/>
  <c r="S106" i="70"/>
  <c r="P107" i="95"/>
  <c r="S104" i="70"/>
  <c r="P105" i="95"/>
  <c r="S102" i="70"/>
  <c r="P103" i="95"/>
  <c r="V100" i="70"/>
  <c r="S101" i="95"/>
  <c r="S99" i="70"/>
  <c r="P100" i="95"/>
  <c r="V96" i="70"/>
  <c r="S97" i="95"/>
  <c r="S95" i="70"/>
  <c r="P96" i="95"/>
  <c r="U162" i="70"/>
  <c r="R163" i="95"/>
  <c r="S161" i="70"/>
  <c r="P162" i="95"/>
  <c r="U158" i="70"/>
  <c r="R159" i="95"/>
  <c r="S157" i="70"/>
  <c r="P158" i="95"/>
  <c r="U154" i="70"/>
  <c r="R155" i="95"/>
  <c r="S153" i="70"/>
  <c r="P154" i="95"/>
  <c r="V144" i="70"/>
  <c r="S145" i="95"/>
  <c r="S143" i="70"/>
  <c r="P144" i="95"/>
  <c r="V140" i="70"/>
  <c r="S141" i="95"/>
  <c r="S209" i="70"/>
  <c r="P210" i="95"/>
  <c r="U206" i="70"/>
  <c r="R207" i="95"/>
  <c r="S205" i="70"/>
  <c r="P206" i="95"/>
  <c r="U202" i="70"/>
  <c r="R203" i="95"/>
  <c r="S201" i="70"/>
  <c r="P202" i="95"/>
  <c r="U198" i="70"/>
  <c r="R199" i="95"/>
  <c r="S197" i="70"/>
  <c r="P198" i="95"/>
  <c r="S195" i="70"/>
  <c r="P196" i="95"/>
  <c r="S193" i="70"/>
  <c r="P194" i="95"/>
  <c r="S191" i="70"/>
  <c r="P192" i="95"/>
  <c r="V188" i="70"/>
  <c r="S189" i="95"/>
  <c r="S187" i="70"/>
  <c r="P188" i="95"/>
  <c r="T118" i="70"/>
  <c r="Q119" i="95"/>
  <c r="R16" i="70"/>
  <c r="O17" i="95"/>
  <c r="T6" i="70"/>
  <c r="Q7" i="95"/>
  <c r="R71" i="70"/>
  <c r="O72" i="95"/>
  <c r="S59" i="70"/>
  <c r="P60" i="95"/>
  <c r="V51" i="70"/>
  <c r="S52" i="95"/>
  <c r="R104" i="70"/>
  <c r="O105" i="95"/>
  <c r="R95" i="70"/>
  <c r="O96" i="95"/>
  <c r="T158" i="70"/>
  <c r="Q159" i="95"/>
  <c r="T149" i="70"/>
  <c r="Q150" i="95"/>
  <c r="T202" i="70"/>
  <c r="Q203" i="95"/>
  <c r="R195" i="70"/>
  <c r="O196" i="95"/>
  <c r="S24" i="70"/>
  <c r="P25" i="95"/>
  <c r="U21" i="70"/>
  <c r="R22" i="95"/>
  <c r="R61" i="70"/>
  <c r="O62" i="95"/>
  <c r="T55" i="70"/>
  <c r="Q56" i="95"/>
  <c r="S110" i="70"/>
  <c r="P111" i="95"/>
  <c r="S100" i="70"/>
  <c r="P101" i="95"/>
  <c r="V97" i="70"/>
  <c r="S98" i="95"/>
  <c r="S96" i="70"/>
  <c r="P97" i="95"/>
  <c r="U163" i="70"/>
  <c r="R164" i="95"/>
  <c r="U159" i="70"/>
  <c r="R160" i="95"/>
  <c r="S158" i="70"/>
  <c r="P159" i="95"/>
  <c r="U155" i="70"/>
  <c r="R156" i="95"/>
  <c r="S149" i="70"/>
  <c r="P150" i="95"/>
  <c r="V145" i="70"/>
  <c r="S146" i="95"/>
  <c r="S140" i="70"/>
  <c r="P141" i="95"/>
  <c r="S198" i="70"/>
  <c r="P199" i="95"/>
  <c r="S188" i="70"/>
  <c r="P189" i="95"/>
  <c r="V185" i="70"/>
  <c r="S186" i="95"/>
  <c r="T29" i="70"/>
  <c r="Q30" i="95"/>
  <c r="R28" i="70"/>
  <c r="O29" i="95"/>
  <c r="T25" i="70"/>
  <c r="Q26" i="95"/>
  <c r="R24" i="70"/>
  <c r="O25" i="95"/>
  <c r="T21" i="70"/>
  <c r="Q22" i="95"/>
  <c r="R20" i="70"/>
  <c r="O21" i="95"/>
  <c r="T17" i="70"/>
  <c r="Q18" i="95"/>
  <c r="T15" i="70"/>
  <c r="Q16" i="95"/>
  <c r="T13" i="70"/>
  <c r="Q14" i="95"/>
  <c r="T11" i="70"/>
  <c r="Q12" i="95"/>
  <c r="R10" i="70"/>
  <c r="O11" i="95"/>
  <c r="T7" i="70"/>
  <c r="Q8" i="95"/>
  <c r="R6" i="70"/>
  <c r="O7" i="95"/>
  <c r="S72" i="70"/>
  <c r="P73" i="95"/>
  <c r="U70" i="70"/>
  <c r="R71" i="95"/>
  <c r="R69" i="70"/>
  <c r="O70" i="95"/>
  <c r="T67" i="70"/>
  <c r="Q68" i="95"/>
  <c r="S64" i="70"/>
  <c r="P65" i="95"/>
  <c r="U62" i="70"/>
  <c r="R63" i="95"/>
  <c r="S55" i="70"/>
  <c r="P56" i="95"/>
  <c r="V52" i="70"/>
  <c r="S53" i="95"/>
  <c r="S51" i="70"/>
  <c r="P52" i="95"/>
  <c r="T119" i="70"/>
  <c r="Q120" i="95"/>
  <c r="R118" i="70"/>
  <c r="O119" i="95"/>
  <c r="T115" i="70"/>
  <c r="Q116" i="95"/>
  <c r="R114" i="70"/>
  <c r="O115" i="95"/>
  <c r="T111" i="70"/>
  <c r="Q112" i="95"/>
  <c r="R110" i="70"/>
  <c r="O111" i="95"/>
  <c r="T107" i="70"/>
  <c r="Q108" i="95"/>
  <c r="T105" i="70"/>
  <c r="Q106" i="95"/>
  <c r="T103" i="70"/>
  <c r="Q104" i="95"/>
  <c r="T101" i="70"/>
  <c r="Q102" i="95"/>
  <c r="R100" i="70"/>
  <c r="O101" i="95"/>
  <c r="T97" i="70"/>
  <c r="Q98" i="95"/>
  <c r="R96" i="70"/>
  <c r="O97" i="95"/>
  <c r="T163" i="70"/>
  <c r="Q164" i="95"/>
  <c r="R162" i="70"/>
  <c r="O163" i="95"/>
  <c r="T159" i="70"/>
  <c r="Q160" i="95"/>
  <c r="R158" i="70"/>
  <c r="O159" i="95"/>
  <c r="T155" i="70"/>
  <c r="Q156" i="95"/>
  <c r="R154" i="70"/>
  <c r="O155" i="95"/>
  <c r="R151" i="70"/>
  <c r="O152" i="95"/>
  <c r="R149" i="70"/>
  <c r="O150" i="95"/>
  <c r="R147" i="70"/>
  <c r="O148" i="95"/>
  <c r="T145" i="70"/>
  <c r="Q146" i="95"/>
  <c r="R144" i="70"/>
  <c r="O145" i="95"/>
  <c r="T141" i="70"/>
  <c r="Q142" i="95"/>
  <c r="R140" i="70"/>
  <c r="O141" i="95"/>
  <c r="T207" i="70"/>
  <c r="Q208" i="95"/>
  <c r="R206" i="70"/>
  <c r="O207" i="95"/>
  <c r="T203" i="70"/>
  <c r="Q204" i="95"/>
  <c r="R202" i="70"/>
  <c r="O203" i="95"/>
  <c r="T199" i="70"/>
  <c r="Q200" i="95"/>
  <c r="R198" i="70"/>
  <c r="O199" i="95"/>
  <c r="T196" i="70"/>
  <c r="Q197" i="95"/>
  <c r="T194" i="70"/>
  <c r="Q195" i="95"/>
  <c r="T192" i="70"/>
  <c r="Q193" i="95"/>
  <c r="T189" i="70"/>
  <c r="Q190" i="95"/>
  <c r="R188" i="70"/>
  <c r="O189" i="95"/>
  <c r="T185" i="70"/>
  <c r="Q186" i="95"/>
  <c r="R27" i="70"/>
  <c r="O28" i="95"/>
  <c r="R19" i="70"/>
  <c r="O20" i="95"/>
  <c r="R14" i="70"/>
  <c r="O15" i="95"/>
  <c r="R5" i="70"/>
  <c r="O6" i="95"/>
  <c r="T69" i="70"/>
  <c r="Q70" i="95"/>
  <c r="R63" i="70"/>
  <c r="O64" i="95"/>
  <c r="R117" i="70"/>
  <c r="O118" i="95"/>
  <c r="R109" i="70"/>
  <c r="O110" i="95"/>
  <c r="R102" i="70"/>
  <c r="O103" i="95"/>
  <c r="T96" i="70"/>
  <c r="Q97" i="95"/>
  <c r="R161" i="70"/>
  <c r="O162" i="95"/>
  <c r="T154" i="70"/>
  <c r="Q155" i="95"/>
  <c r="T144" i="70"/>
  <c r="Q145" i="95"/>
  <c r="T206" i="70"/>
  <c r="Q207" i="95"/>
  <c r="R191" i="70"/>
  <c r="O192" i="95"/>
  <c r="U29" i="70"/>
  <c r="R30" i="95"/>
  <c r="S28" i="70"/>
  <c r="P29" i="95"/>
  <c r="U25" i="70"/>
  <c r="R26" i="95"/>
  <c r="S20" i="70"/>
  <c r="P21" i="95"/>
  <c r="U17" i="70"/>
  <c r="R18" i="95"/>
  <c r="S10" i="70"/>
  <c r="P11" i="95"/>
  <c r="V7" i="70"/>
  <c r="S8" i="95"/>
  <c r="S6" i="70"/>
  <c r="P7" i="95"/>
  <c r="R74" i="70"/>
  <c r="O75" i="95"/>
  <c r="T72" i="70"/>
  <c r="Q73" i="95"/>
  <c r="S69" i="70"/>
  <c r="P70" i="95"/>
  <c r="U67" i="70"/>
  <c r="R68" i="95"/>
  <c r="R66" i="70"/>
  <c r="O67" i="95"/>
  <c r="T64" i="70"/>
  <c r="Q65" i="95"/>
  <c r="R59" i="70"/>
  <c r="O60" i="95"/>
  <c r="R57" i="70"/>
  <c r="O58" i="95"/>
  <c r="R54" i="70"/>
  <c r="O55" i="95"/>
  <c r="T51" i="70"/>
  <c r="Q52" i="95"/>
  <c r="R50" i="70"/>
  <c r="O51" i="95"/>
  <c r="U119" i="70"/>
  <c r="R120" i="95"/>
  <c r="S118" i="70"/>
  <c r="P119" i="95"/>
  <c r="U115" i="70"/>
  <c r="R116" i="95"/>
  <c r="S114" i="70"/>
  <c r="P115" i="95"/>
  <c r="U111" i="70"/>
  <c r="R112" i="95"/>
  <c r="U107" i="70"/>
  <c r="R108" i="95"/>
  <c r="S162" i="70"/>
  <c r="P163" i="95"/>
  <c r="S154" i="70"/>
  <c r="P155" i="95"/>
  <c r="S151" i="70"/>
  <c r="P152" i="95"/>
  <c r="S147" i="70"/>
  <c r="P148" i="95"/>
  <c r="S144" i="70"/>
  <c r="P145" i="95"/>
  <c r="V141" i="70"/>
  <c r="S142" i="95"/>
  <c r="U207" i="70"/>
  <c r="R208" i="95"/>
  <c r="S206" i="70"/>
  <c r="P207" i="95"/>
  <c r="U203" i="70"/>
  <c r="R204" i="95"/>
  <c r="S202" i="70"/>
  <c r="P203" i="95"/>
  <c r="U199" i="70"/>
  <c r="R200" i="95"/>
  <c r="V189" i="70"/>
  <c r="S190" i="95"/>
  <c r="S29" i="70"/>
  <c r="P30" i="95"/>
  <c r="U26" i="70"/>
  <c r="R27" i="95"/>
  <c r="S25" i="70"/>
  <c r="P26" i="95"/>
  <c r="U22" i="70"/>
  <c r="R23" i="95"/>
  <c r="S21" i="70"/>
  <c r="P22" i="95"/>
  <c r="U18" i="70"/>
  <c r="R19" i="95"/>
  <c r="S17" i="70"/>
  <c r="P18" i="95"/>
  <c r="S15" i="70"/>
  <c r="P16" i="95"/>
  <c r="S13" i="70"/>
  <c r="P14" i="95"/>
  <c r="S11" i="70"/>
  <c r="P12" i="95"/>
  <c r="V8" i="70"/>
  <c r="S9" i="95"/>
  <c r="S7" i="70"/>
  <c r="P8" i="95"/>
  <c r="U73" i="70"/>
  <c r="R74" i="95"/>
  <c r="R72" i="70"/>
  <c r="O73" i="95"/>
  <c r="T70" i="70"/>
  <c r="Q71" i="95"/>
  <c r="S67" i="70"/>
  <c r="P68" i="95"/>
  <c r="U65" i="70"/>
  <c r="R66" i="95"/>
  <c r="R64" i="70"/>
  <c r="O65" i="95"/>
  <c r="T62" i="70"/>
  <c r="Q63" i="95"/>
  <c r="T60" i="70"/>
  <c r="Q61" i="95"/>
  <c r="T58" i="70"/>
  <c r="Q59" i="95"/>
  <c r="T56" i="70"/>
  <c r="Q57" i="95"/>
  <c r="R55" i="70"/>
  <c r="O56" i="95"/>
  <c r="T52" i="70"/>
  <c r="Q53" i="95"/>
  <c r="R51" i="70"/>
  <c r="O52" i="95"/>
  <c r="S119" i="70"/>
  <c r="P120" i="95"/>
  <c r="U116" i="70"/>
  <c r="R117" i="95"/>
  <c r="S115" i="70"/>
  <c r="P116" i="95"/>
  <c r="U112" i="70"/>
  <c r="R113" i="95"/>
  <c r="S111" i="70"/>
  <c r="P112" i="95"/>
  <c r="U108" i="70"/>
  <c r="R109" i="95"/>
  <c r="S107" i="70"/>
  <c r="P108" i="95"/>
  <c r="S105" i="70"/>
  <c r="P106" i="95"/>
  <c r="S103" i="70"/>
  <c r="P104" i="95"/>
  <c r="S101" i="70"/>
  <c r="P102" i="95"/>
  <c r="V98" i="70"/>
  <c r="S99" i="95"/>
  <c r="S97" i="70"/>
  <c r="P98" i="95"/>
  <c r="U164" i="70"/>
  <c r="R165" i="95"/>
  <c r="S163" i="70"/>
  <c r="P164" i="95"/>
  <c r="U160" i="70"/>
  <c r="R161" i="95"/>
  <c r="S159" i="70"/>
  <c r="P160" i="95"/>
  <c r="U156" i="70"/>
  <c r="R157" i="95"/>
  <c r="S155" i="70"/>
  <c r="P156" i="95"/>
  <c r="U152" i="70"/>
  <c r="R153" i="95"/>
  <c r="S145" i="70"/>
  <c r="P146" i="95"/>
  <c r="V142" i="70"/>
  <c r="S143" i="95"/>
  <c r="S141" i="70"/>
  <c r="P142" i="95"/>
  <c r="U208" i="70"/>
  <c r="R209" i="95"/>
  <c r="S207" i="70"/>
  <c r="P208" i="95"/>
  <c r="U204" i="70"/>
  <c r="R205" i="95"/>
  <c r="S203" i="70"/>
  <c r="P204" i="95"/>
  <c r="U200" i="70"/>
  <c r="R201" i="95"/>
  <c r="S199" i="70"/>
  <c r="P200" i="95"/>
  <c r="S196" i="70"/>
  <c r="P197" i="95"/>
  <c r="S194" i="70"/>
  <c r="P195" i="95"/>
  <c r="S192" i="70"/>
  <c r="P193" i="95"/>
  <c r="V190" i="70"/>
  <c r="S191" i="95"/>
  <c r="S189" i="70"/>
  <c r="P190" i="95"/>
  <c r="V186" i="70"/>
  <c r="S187" i="95"/>
  <c r="S185" i="70"/>
  <c r="P186" i="95"/>
  <c r="R23" i="70"/>
  <c r="O24" i="95"/>
  <c r="T10" i="70"/>
  <c r="Q11" i="95"/>
  <c r="U72" i="70"/>
  <c r="R73" i="95"/>
  <c r="U64" i="70"/>
  <c r="R65" i="95"/>
  <c r="S57" i="70"/>
  <c r="P58" i="95"/>
  <c r="S50" i="70"/>
  <c r="P51" i="95"/>
  <c r="T110" i="70"/>
  <c r="Q111" i="95"/>
  <c r="T140" i="70"/>
  <c r="Q141" i="95"/>
  <c r="R201" i="70"/>
  <c r="O202" i="95"/>
  <c r="R187" i="70"/>
  <c r="O188" i="95"/>
  <c r="R29" i="70"/>
  <c r="O30" i="95"/>
  <c r="T26" i="70"/>
  <c r="Q27" i="95"/>
  <c r="R25" i="70"/>
  <c r="O26" i="95"/>
  <c r="T22" i="70"/>
  <c r="Q23" i="95"/>
  <c r="R21" i="70"/>
  <c r="O22" i="95"/>
  <c r="T18" i="70"/>
  <c r="Q19" i="95"/>
  <c r="R17" i="70"/>
  <c r="O18" i="95"/>
  <c r="R15" i="70"/>
  <c r="O16" i="95"/>
  <c r="R13" i="70"/>
  <c r="O14" i="95"/>
  <c r="R11" i="70"/>
  <c r="O12" i="95"/>
  <c r="T8" i="70"/>
  <c r="Q9" i="95"/>
  <c r="R7" i="70"/>
  <c r="O8" i="95"/>
  <c r="T73" i="70"/>
  <c r="Q74" i="95"/>
  <c r="S70" i="70"/>
  <c r="P71" i="95"/>
  <c r="U68" i="70"/>
  <c r="R69" i="95"/>
  <c r="R67" i="70"/>
  <c r="O68" i="95"/>
  <c r="T65" i="70"/>
  <c r="Q66" i="95"/>
  <c r="S62" i="70"/>
  <c r="P63" i="95"/>
  <c r="S60" i="70"/>
  <c r="P61" i="95"/>
  <c r="S58" i="70"/>
  <c r="P59" i="95"/>
  <c r="S56" i="70"/>
  <c r="P57" i="95"/>
  <c r="V53" i="70"/>
  <c r="S54" i="95"/>
  <c r="S52" i="70"/>
  <c r="P53" i="95"/>
  <c r="R119" i="70"/>
  <c r="O120" i="95"/>
  <c r="T116" i="70"/>
  <c r="Q117" i="95"/>
  <c r="R115" i="70"/>
  <c r="O116" i="95"/>
  <c r="T112" i="70"/>
  <c r="Q113" i="95"/>
  <c r="R111" i="70"/>
  <c r="O112" i="95"/>
  <c r="T108" i="70"/>
  <c r="Q109" i="95"/>
  <c r="R107" i="70"/>
  <c r="O108" i="95"/>
  <c r="R105" i="70"/>
  <c r="O106" i="95"/>
  <c r="R103" i="70"/>
  <c r="O104" i="95"/>
  <c r="R101" i="70"/>
  <c r="O102" i="95"/>
  <c r="T98" i="70"/>
  <c r="Q99" i="95"/>
  <c r="R97" i="70"/>
  <c r="O98" i="95"/>
  <c r="T164" i="70"/>
  <c r="Q165" i="95"/>
  <c r="R163" i="70"/>
  <c r="O164" i="95"/>
  <c r="T160" i="70"/>
  <c r="Q161" i="95"/>
  <c r="R159" i="70"/>
  <c r="O160" i="95"/>
  <c r="T156" i="70"/>
  <c r="Q157" i="95"/>
  <c r="R155" i="70"/>
  <c r="O156" i="95"/>
  <c r="T152" i="70"/>
  <c r="Q153" i="95"/>
  <c r="T150" i="70"/>
  <c r="Q151" i="95"/>
  <c r="T148" i="70"/>
  <c r="Q149" i="95"/>
  <c r="T146" i="70"/>
  <c r="Q147" i="95"/>
  <c r="R145" i="70"/>
  <c r="O146" i="95"/>
  <c r="T142" i="70"/>
  <c r="Q143" i="95"/>
  <c r="R141" i="70"/>
  <c r="O142" i="95"/>
  <c r="T208" i="70"/>
  <c r="Q209" i="95"/>
  <c r="R207" i="70"/>
  <c r="O208" i="95"/>
  <c r="T204" i="70"/>
  <c r="Q205" i="95"/>
  <c r="R203" i="70"/>
  <c r="O204" i="95"/>
  <c r="T200" i="70"/>
  <c r="Q201" i="95"/>
  <c r="R199" i="70"/>
  <c r="O200" i="95"/>
  <c r="R196" i="70"/>
  <c r="O197" i="95"/>
  <c r="R194" i="70"/>
  <c r="O195" i="95"/>
  <c r="R192" i="70"/>
  <c r="O193" i="95"/>
  <c r="T190" i="70"/>
  <c r="Q191" i="95"/>
  <c r="R189" i="70"/>
  <c r="O190" i="95"/>
  <c r="T186" i="70"/>
  <c r="Q187" i="95"/>
  <c r="R185" i="70"/>
  <c r="O186" i="95"/>
  <c r="T24" i="70"/>
  <c r="Q25" i="95"/>
  <c r="V55" i="70"/>
  <c r="S56" i="95"/>
  <c r="T114" i="70"/>
  <c r="Q115" i="95"/>
  <c r="R99" i="70"/>
  <c r="O100" i="95"/>
  <c r="T162" i="70"/>
  <c r="Q163" i="95"/>
  <c r="T151" i="70"/>
  <c r="Q152" i="95"/>
  <c r="R209" i="70"/>
  <c r="O210" i="95"/>
  <c r="R197" i="70"/>
  <c r="O198" i="95"/>
  <c r="T188" i="70"/>
  <c r="Q189" i="95"/>
  <c r="U27" i="70"/>
  <c r="R28" i="95"/>
  <c r="S26" i="70"/>
  <c r="P27" i="95"/>
  <c r="U23" i="70"/>
  <c r="R24" i="95"/>
  <c r="S22" i="70"/>
  <c r="P23" i="95"/>
  <c r="U19" i="70"/>
  <c r="R20" i="95"/>
  <c r="S18" i="70"/>
  <c r="P19" i="95"/>
  <c r="V9" i="70"/>
  <c r="S10" i="95"/>
  <c r="S8" i="70"/>
  <c r="P9" i="95"/>
  <c r="V5" i="70"/>
  <c r="S6" i="95"/>
  <c r="S73" i="70"/>
  <c r="P74" i="95"/>
  <c r="U71" i="70"/>
  <c r="R72" i="95"/>
  <c r="R70" i="70"/>
  <c r="O71" i="95"/>
  <c r="T68" i="70"/>
  <c r="Q69" i="95"/>
  <c r="S65" i="70"/>
  <c r="P66" i="95"/>
  <c r="U63" i="70"/>
  <c r="R64" i="95"/>
  <c r="R62" i="70"/>
  <c r="O63" i="95"/>
  <c r="R60" i="70"/>
  <c r="O61" i="95"/>
  <c r="R58" i="70"/>
  <c r="O59" i="95"/>
  <c r="R56" i="70"/>
  <c r="O57" i="95"/>
  <c r="T53" i="70"/>
  <c r="Q54" i="95"/>
  <c r="R52" i="70"/>
  <c r="O53" i="95"/>
  <c r="U117" i="70"/>
  <c r="R118" i="95"/>
  <c r="S116" i="70"/>
  <c r="P117" i="95"/>
  <c r="U113" i="70"/>
  <c r="R114" i="95"/>
  <c r="S112" i="70"/>
  <c r="P113" i="95"/>
  <c r="U109" i="70"/>
  <c r="R110" i="95"/>
  <c r="S108" i="70"/>
  <c r="P109" i="95"/>
  <c r="V99" i="70"/>
  <c r="S100" i="95"/>
  <c r="S98" i="70"/>
  <c r="P99" i="95"/>
  <c r="V95" i="70"/>
  <c r="S96" i="95"/>
  <c r="S164" i="70"/>
  <c r="P165" i="95"/>
  <c r="U161" i="70"/>
  <c r="R162" i="95"/>
  <c r="S160" i="70"/>
  <c r="P161" i="95"/>
  <c r="U157" i="70"/>
  <c r="R158" i="95"/>
  <c r="S156" i="70"/>
  <c r="P157" i="95"/>
  <c r="U153" i="70"/>
  <c r="R154" i="95"/>
  <c r="S152" i="70"/>
  <c r="P153" i="95"/>
  <c r="S150" i="70"/>
  <c r="P151" i="95"/>
  <c r="S148" i="70"/>
  <c r="P149" i="95"/>
  <c r="S146" i="70"/>
  <c r="P147" i="95"/>
  <c r="V143" i="70"/>
  <c r="S144" i="95"/>
  <c r="S142" i="70"/>
  <c r="P143" i="95"/>
  <c r="U209" i="70"/>
  <c r="R210" i="95"/>
  <c r="S208" i="70"/>
  <c r="P209" i="95"/>
  <c r="U205" i="70"/>
  <c r="R206" i="95"/>
  <c r="S204" i="70"/>
  <c r="P205" i="95"/>
  <c r="U201" i="70"/>
  <c r="R202" i="95"/>
  <c r="S200" i="70"/>
  <c r="P201" i="95"/>
  <c r="U197" i="70"/>
  <c r="R198" i="95"/>
  <c r="S190" i="70"/>
  <c r="P191" i="95"/>
  <c r="V187" i="70"/>
  <c r="S188" i="95"/>
  <c r="S186" i="70"/>
  <c r="P187" i="95"/>
  <c r="AL72" i="84"/>
  <c r="AL73" i="84"/>
  <c r="AL77" i="84"/>
  <c r="AL71" i="84"/>
  <c r="AL76" i="84"/>
  <c r="AL70" i="84"/>
  <c r="AL122" i="84"/>
  <c r="AL121" i="84"/>
  <c r="AL120" i="84"/>
  <c r="AL119" i="84"/>
  <c r="AL118" i="84"/>
  <c r="AL117" i="84"/>
  <c r="AL116" i="84"/>
  <c r="AL115" i="84"/>
  <c r="AL114" i="84"/>
  <c r="AL113" i="84"/>
  <c r="AL167" i="84"/>
  <c r="AL166" i="84"/>
  <c r="AL165" i="84"/>
  <c r="AL164" i="84"/>
  <c r="AL163" i="84"/>
  <c r="AL162" i="84"/>
  <c r="AL161" i="84"/>
  <c r="AL160" i="84"/>
  <c r="AL159" i="84"/>
  <c r="AL158" i="84"/>
  <c r="AL212" i="84"/>
  <c r="AL211" i="84"/>
  <c r="AL210" i="84"/>
  <c r="AL209" i="84"/>
  <c r="AL208" i="84"/>
  <c r="AL207" i="84"/>
  <c r="AL206" i="84"/>
  <c r="AL205" i="84"/>
  <c r="AL204" i="84"/>
  <c r="AL203" i="84"/>
  <c r="AL75" i="84"/>
  <c r="AL69" i="84"/>
  <c r="AL74" i="84"/>
  <c r="AL68" i="84"/>
  <c r="AS161" i="84"/>
  <c r="F161" i="89"/>
  <c r="BG86" i="84"/>
  <c r="BH86" i="84"/>
  <c r="BI86" i="84"/>
  <c r="AS74" i="84"/>
  <c r="F74" i="89"/>
  <c r="AS68" i="84"/>
  <c r="F68" i="89"/>
  <c r="AS117" i="84"/>
  <c r="F117" i="89"/>
  <c r="AS166" i="84"/>
  <c r="F166" i="89"/>
  <c r="F160" i="89"/>
  <c r="AS160" i="84"/>
  <c r="AS209" i="84"/>
  <c r="F209" i="89"/>
  <c r="F203" i="89"/>
  <c r="AS203" i="84"/>
  <c r="BG221" i="84"/>
  <c r="BH221" i="84"/>
  <c r="BI221" i="84"/>
  <c r="BG123" i="84"/>
  <c r="BH123" i="84"/>
  <c r="BI123" i="84"/>
  <c r="BG83" i="84"/>
  <c r="BH83" i="84"/>
  <c r="BI83" i="84"/>
  <c r="BI173" i="84"/>
  <c r="BH173" i="84"/>
  <c r="BG173" i="84"/>
  <c r="BH134" i="84"/>
  <c r="BI134" i="84"/>
  <c r="BG134" i="84"/>
  <c r="BI170" i="84"/>
  <c r="BH170" i="84"/>
  <c r="BG170" i="84"/>
  <c r="BH223" i="84"/>
  <c r="BI223" i="84"/>
  <c r="BG223" i="84"/>
  <c r="BH125" i="84"/>
  <c r="BI125" i="84"/>
  <c r="BG125" i="84"/>
  <c r="BG85" i="84"/>
  <c r="BI85" i="84"/>
  <c r="BH85" i="84"/>
  <c r="BG224" i="84"/>
  <c r="BH224" i="84"/>
  <c r="BI224" i="84"/>
  <c r="F75" i="89"/>
  <c r="AS75" i="84"/>
  <c r="AS210" i="84"/>
  <c r="F210" i="89"/>
  <c r="BI175" i="84"/>
  <c r="BG175" i="84"/>
  <c r="BH175" i="84"/>
  <c r="BH214" i="84"/>
  <c r="BI214" i="84"/>
  <c r="BG214" i="84"/>
  <c r="F73" i="89"/>
  <c r="AS73" i="84"/>
  <c r="AS122" i="84"/>
  <c r="F122" i="89"/>
  <c r="AS116" i="84"/>
  <c r="F116" i="89"/>
  <c r="F165" i="89"/>
  <c r="AS165" i="84"/>
  <c r="F159" i="89"/>
  <c r="AS159" i="84"/>
  <c r="F208" i="89"/>
  <c r="AS208" i="84"/>
  <c r="BH130" i="84"/>
  <c r="BI130" i="84"/>
  <c r="BG130" i="84"/>
  <c r="BI82" i="84"/>
  <c r="BG82" i="84"/>
  <c r="BH82" i="84"/>
  <c r="BH131" i="84"/>
  <c r="BI131" i="84"/>
  <c r="BG131" i="84"/>
  <c r="BI179" i="84"/>
  <c r="BG179" i="84"/>
  <c r="BH179" i="84"/>
  <c r="BG88" i="84"/>
  <c r="BH88" i="84"/>
  <c r="BI88" i="84"/>
  <c r="BG172" i="84"/>
  <c r="BI172" i="84"/>
  <c r="BH172" i="84"/>
  <c r="BG225" i="84"/>
  <c r="BH225" i="84"/>
  <c r="BI225" i="84"/>
  <c r="BH168" i="84"/>
  <c r="BI168" i="84"/>
  <c r="BG168" i="84"/>
  <c r="AS118" i="84"/>
  <c r="F118" i="89"/>
  <c r="F204" i="89"/>
  <c r="AS204" i="84"/>
  <c r="BH124" i="84"/>
  <c r="BI124" i="84"/>
  <c r="BG124" i="84"/>
  <c r="F72" i="89"/>
  <c r="AS72" i="84"/>
  <c r="F121" i="89"/>
  <c r="AS121" i="84"/>
  <c r="F115" i="89"/>
  <c r="AS115" i="84"/>
  <c r="F164" i="89"/>
  <c r="AS164" i="84"/>
  <c r="AS158" i="84"/>
  <c r="F158" i="89"/>
  <c r="AS207" i="84"/>
  <c r="F207" i="89"/>
  <c r="BI180" i="84"/>
  <c r="BG180" i="84"/>
  <c r="BH180" i="84"/>
  <c r="BI169" i="84"/>
  <c r="BH169" i="84"/>
  <c r="BG169" i="84"/>
  <c r="BG129" i="84"/>
  <c r="BH129" i="84"/>
  <c r="BI129" i="84"/>
  <c r="BG89" i="84"/>
  <c r="BI89" i="84"/>
  <c r="BH89" i="84"/>
  <c r="BG133" i="84"/>
  <c r="BH133" i="84"/>
  <c r="BI133" i="84"/>
  <c r="BH216" i="84"/>
  <c r="BI216" i="84"/>
  <c r="BG216" i="84"/>
  <c r="BH90" i="84"/>
  <c r="BI90" i="84"/>
  <c r="BG90" i="84"/>
  <c r="BG171" i="84"/>
  <c r="BI171" i="84"/>
  <c r="BH171" i="84"/>
  <c r="BH132" i="84"/>
  <c r="BI132" i="84"/>
  <c r="BG132" i="84"/>
  <c r="F167" i="89"/>
  <c r="AS167" i="84"/>
  <c r="BH215" i="84"/>
  <c r="BG215" i="84"/>
  <c r="BI215" i="84"/>
  <c r="BI174" i="84"/>
  <c r="BH174" i="84"/>
  <c r="BG174" i="84"/>
  <c r="F77" i="89"/>
  <c r="AS77" i="84"/>
  <c r="F71" i="89"/>
  <c r="AS71" i="84"/>
  <c r="AS120" i="84"/>
  <c r="F120" i="89"/>
  <c r="AS114" i="84"/>
  <c r="F114" i="89"/>
  <c r="F163" i="89"/>
  <c r="AS163" i="84"/>
  <c r="F212" i="89"/>
  <c r="AS212" i="84"/>
  <c r="F206" i="89"/>
  <c r="AS206" i="84"/>
  <c r="BI176" i="84"/>
  <c r="BG176" i="84"/>
  <c r="BH176" i="84"/>
  <c r="BI78" i="84"/>
  <c r="BH78" i="84"/>
  <c r="BG78" i="84"/>
  <c r="BG79" i="84"/>
  <c r="BH79" i="84"/>
  <c r="BI79" i="84"/>
  <c r="BI218" i="84"/>
  <c r="BG218" i="84"/>
  <c r="BH218" i="84"/>
  <c r="BH81" i="84"/>
  <c r="BG81" i="84"/>
  <c r="BI81" i="84"/>
  <c r="F69" i="89"/>
  <c r="AS69" i="84"/>
  <c r="BI135" i="84"/>
  <c r="BG135" i="84"/>
  <c r="BH135" i="84"/>
  <c r="BG127" i="84"/>
  <c r="BH127" i="84"/>
  <c r="BI127" i="84"/>
  <c r="BH126" i="84"/>
  <c r="BI126" i="84"/>
  <c r="BG126" i="84"/>
  <c r="F76" i="89"/>
  <c r="AS76" i="84"/>
  <c r="F70" i="89"/>
  <c r="AS70" i="84"/>
  <c r="F119" i="89"/>
  <c r="AS119" i="84"/>
  <c r="F113" i="89"/>
  <c r="AS113" i="84"/>
  <c r="AS162" i="84"/>
  <c r="F162" i="89"/>
  <c r="F211" i="89"/>
  <c r="AS211" i="84"/>
  <c r="AS205" i="84"/>
  <c r="F205" i="89"/>
  <c r="BG213" i="84"/>
  <c r="BH213" i="84"/>
  <c r="BI213" i="84"/>
  <c r="BH87" i="84"/>
  <c r="BG87" i="84"/>
  <c r="BI87" i="84"/>
  <c r="BH222" i="84"/>
  <c r="BI222" i="84"/>
  <c r="BG222" i="84"/>
  <c r="BH84" i="84"/>
  <c r="BI84" i="84"/>
  <c r="BG84" i="84"/>
  <c r="BH219" i="84"/>
  <c r="BI219" i="84"/>
  <c r="BG219" i="84"/>
  <c r="BH217" i="84"/>
  <c r="BI217" i="84"/>
  <c r="BG217" i="84"/>
  <c r="BI177" i="84"/>
  <c r="BG177" i="84"/>
  <c r="BH177" i="84"/>
  <c r="BH220" i="84"/>
  <c r="BG220" i="84"/>
  <c r="BI220" i="84"/>
  <c r="BI178" i="84"/>
  <c r="BG178" i="84"/>
  <c r="BH178" i="84"/>
  <c r="BG80" i="84"/>
  <c r="BH80" i="84"/>
  <c r="BI80" i="84"/>
  <c r="BI128" i="84"/>
  <c r="BG128" i="84"/>
  <c r="BH128" i="84"/>
  <c r="AT73" i="70"/>
  <c r="AH73" i="70"/>
  <c r="AB73" i="70"/>
  <c r="AU76" i="87" s="1"/>
  <c r="AN73" i="70"/>
  <c r="AG72" i="70"/>
  <c r="AM72" i="70"/>
  <c r="AA72" i="70"/>
  <c r="AT75" i="87" s="1"/>
  <c r="AS72" i="70"/>
  <c r="Z71" i="70"/>
  <c r="AS74" i="87" s="1"/>
  <c r="AR71" i="70"/>
  <c r="AL71" i="70"/>
  <c r="AF71" i="70"/>
  <c r="AQ70" i="70"/>
  <c r="AK70" i="70"/>
  <c r="Y70" i="70"/>
  <c r="AR73" i="87" s="1"/>
  <c r="AE70" i="70"/>
  <c r="AT67" i="70"/>
  <c r="AN67" i="70"/>
  <c r="AB67" i="70"/>
  <c r="AU70" i="87" s="1"/>
  <c r="AH67" i="70"/>
  <c r="AS66" i="70"/>
  <c r="AG66" i="70"/>
  <c r="AA66" i="70"/>
  <c r="AT69" i="87" s="1"/>
  <c r="AM66" i="70"/>
  <c r="AF65" i="70"/>
  <c r="AR65" i="70"/>
  <c r="AL65" i="70"/>
  <c r="Z65" i="70"/>
  <c r="AS68" i="87" s="1"/>
  <c r="AB29" i="70"/>
  <c r="AU32" i="87" s="1"/>
  <c r="AH29" i="70"/>
  <c r="AT29" i="70"/>
  <c r="AN29" i="70"/>
  <c r="AN28" i="70"/>
  <c r="AB28" i="70"/>
  <c r="AU31" i="87" s="1"/>
  <c r="AT28" i="70"/>
  <c r="AH28" i="70"/>
  <c r="AN27" i="70"/>
  <c r="AB27" i="70"/>
  <c r="AU30" i="87" s="1"/>
  <c r="AH27" i="70"/>
  <c r="AT27" i="70"/>
  <c r="AB26" i="70"/>
  <c r="AU29" i="87" s="1"/>
  <c r="AH26" i="70"/>
  <c r="AT26" i="70"/>
  <c r="AN26" i="70"/>
  <c r="AN25" i="70"/>
  <c r="AH25" i="70"/>
  <c r="AT25" i="70"/>
  <c r="AB25" i="70"/>
  <c r="AU28" i="87" s="1"/>
  <c r="AN24" i="70"/>
  <c r="AB24" i="70"/>
  <c r="AU27" i="87" s="1"/>
  <c r="AT24" i="70"/>
  <c r="AH24" i="70"/>
  <c r="AB23" i="70"/>
  <c r="AU26" i="87" s="1"/>
  <c r="AN23" i="70"/>
  <c r="AT23" i="70"/>
  <c r="AH23" i="70"/>
  <c r="AN22" i="70"/>
  <c r="AH22" i="70"/>
  <c r="AB22" i="70"/>
  <c r="AU25" i="87" s="1"/>
  <c r="AT22" i="70"/>
  <c r="AN21" i="70"/>
  <c r="AB21" i="70"/>
  <c r="AU24" i="87" s="1"/>
  <c r="AT21" i="70"/>
  <c r="AH21" i="70"/>
  <c r="AB20" i="70"/>
  <c r="AU23" i="87" s="1"/>
  <c r="AH20" i="70"/>
  <c r="AT20" i="70"/>
  <c r="AN20" i="70"/>
  <c r="AH74" i="70"/>
  <c r="AB74" i="70"/>
  <c r="AU77" i="87" s="1"/>
  <c r="AT74" i="70"/>
  <c r="AN74" i="70"/>
  <c r="AM73" i="70"/>
  <c r="AS73" i="70"/>
  <c r="AA73" i="70"/>
  <c r="AT76" i="87" s="1"/>
  <c r="AG73" i="70"/>
  <c r="Z72" i="70"/>
  <c r="AS75" i="87" s="1"/>
  <c r="AL72" i="70"/>
  <c r="AF72" i="70"/>
  <c r="AR72" i="70"/>
  <c r="AE71" i="70"/>
  <c r="AK71" i="70"/>
  <c r="Y71" i="70"/>
  <c r="AR74" i="87" s="1"/>
  <c r="AQ71" i="70"/>
  <c r="AB68" i="70"/>
  <c r="AU71" i="87" s="1"/>
  <c r="AT68" i="70"/>
  <c r="AH68" i="70"/>
  <c r="AN68" i="70"/>
  <c r="AM67" i="70"/>
  <c r="AG67" i="70"/>
  <c r="AS67" i="70"/>
  <c r="AA67" i="70"/>
  <c r="AT70" i="87" s="1"/>
  <c r="AL66" i="70"/>
  <c r="Z66" i="70"/>
  <c r="AS69" i="87" s="1"/>
  <c r="AR66" i="70"/>
  <c r="AF66" i="70"/>
  <c r="Y65" i="70"/>
  <c r="AR68" i="87" s="1"/>
  <c r="AQ65" i="70"/>
  <c r="AE65" i="70"/>
  <c r="AK65" i="70"/>
  <c r="AS29" i="70"/>
  <c r="AA29" i="70"/>
  <c r="AT32" i="87" s="1"/>
  <c r="AM29" i="70"/>
  <c r="AG29" i="70"/>
  <c r="AS28" i="70"/>
  <c r="AG28" i="70"/>
  <c r="AA28" i="70"/>
  <c r="AT31" i="87" s="1"/>
  <c r="AM28" i="70"/>
  <c r="AG27" i="70"/>
  <c r="AM27" i="70"/>
  <c r="AA27" i="70"/>
  <c r="AT30" i="87" s="1"/>
  <c r="AS27" i="70"/>
  <c r="AS26" i="70"/>
  <c r="AG26" i="70"/>
  <c r="AM26" i="70"/>
  <c r="AA26" i="70"/>
  <c r="AT29" i="87" s="1"/>
  <c r="AS25" i="70"/>
  <c r="AG25" i="70"/>
  <c r="AA25" i="70"/>
  <c r="AT28" i="87" s="1"/>
  <c r="AM25" i="70"/>
  <c r="AG24" i="70"/>
  <c r="AA24" i="70"/>
  <c r="AT27" i="87" s="1"/>
  <c r="AM24" i="70"/>
  <c r="AS24" i="70"/>
  <c r="AS23" i="70"/>
  <c r="AA23" i="70"/>
  <c r="AT26" i="87" s="1"/>
  <c r="AM23" i="70"/>
  <c r="AG23" i="70"/>
  <c r="AS22" i="70"/>
  <c r="AG22" i="70"/>
  <c r="AM22" i="70"/>
  <c r="AA22" i="70"/>
  <c r="AT25" i="87" s="1"/>
  <c r="AG21" i="70"/>
  <c r="AS21" i="70"/>
  <c r="AM21" i="70"/>
  <c r="AA21" i="70"/>
  <c r="AT24" i="87" s="1"/>
  <c r="AS20" i="70"/>
  <c r="AA20" i="70"/>
  <c r="AT23" i="87" s="1"/>
  <c r="AM20" i="70"/>
  <c r="AG20" i="70"/>
  <c r="AS74" i="70"/>
  <c r="AM74" i="70"/>
  <c r="AG74" i="70"/>
  <c r="AA74" i="70"/>
  <c r="AT77" i="87" s="1"/>
  <c r="AF73" i="70"/>
  <c r="Z73" i="70"/>
  <c r="AS76" i="87" s="1"/>
  <c r="AL73" i="70"/>
  <c r="AR73" i="70"/>
  <c r="Y72" i="70"/>
  <c r="AR75" i="87" s="1"/>
  <c r="AQ72" i="70"/>
  <c r="AK72" i="70"/>
  <c r="AE72" i="70"/>
  <c r="AH69" i="70"/>
  <c r="AB69" i="70"/>
  <c r="AU72" i="87" s="1"/>
  <c r="AT69" i="70"/>
  <c r="AN69" i="70"/>
  <c r="AS68" i="70"/>
  <c r="AM68" i="70"/>
  <c r="AA68" i="70"/>
  <c r="AT71" i="87" s="1"/>
  <c r="AG68" i="70"/>
  <c r="AR67" i="70"/>
  <c r="AF67" i="70"/>
  <c r="Z67" i="70"/>
  <c r="AS70" i="87" s="1"/>
  <c r="AL67" i="70"/>
  <c r="AE66" i="70"/>
  <c r="Y66" i="70"/>
  <c r="AR69" i="87" s="1"/>
  <c r="AK66" i="70"/>
  <c r="AQ66" i="70"/>
  <c r="AT119" i="70"/>
  <c r="AN119" i="70"/>
  <c r="AB119" i="70"/>
  <c r="AU122" i="87" s="1"/>
  <c r="AH119" i="70"/>
  <c r="AN118" i="70"/>
  <c r="AH118" i="70"/>
  <c r="AT118" i="70"/>
  <c r="AB118" i="70"/>
  <c r="AU121" i="87" s="1"/>
  <c r="AT117" i="70"/>
  <c r="AH117" i="70"/>
  <c r="AB117" i="70"/>
  <c r="AU120" i="87" s="1"/>
  <c r="AN117" i="70"/>
  <c r="AN116" i="70"/>
  <c r="AB116" i="70"/>
  <c r="AU119" i="87" s="1"/>
  <c r="AH116" i="70"/>
  <c r="AT116" i="70"/>
  <c r="AB115" i="70"/>
  <c r="AU118" i="87" s="1"/>
  <c r="AH115" i="70"/>
  <c r="AN115" i="70"/>
  <c r="AT115" i="70"/>
  <c r="AN114" i="70"/>
  <c r="AB114" i="70"/>
  <c r="AU117" i="87" s="1"/>
  <c r="AT114" i="70"/>
  <c r="AH114" i="70"/>
  <c r="AN113" i="70"/>
  <c r="AB113" i="70"/>
  <c r="AU116" i="87" s="1"/>
  <c r="AT113" i="70"/>
  <c r="AH113" i="70"/>
  <c r="AH112" i="70"/>
  <c r="AB112" i="70"/>
  <c r="AU115" i="87" s="1"/>
  <c r="AT112" i="70"/>
  <c r="AN112" i="70"/>
  <c r="AB111" i="70"/>
  <c r="AU114" i="87" s="1"/>
  <c r="AT111" i="70"/>
  <c r="AN111" i="70"/>
  <c r="AH111" i="70"/>
  <c r="AB110" i="70"/>
  <c r="AU113" i="87" s="1"/>
  <c r="AT110" i="70"/>
  <c r="AH110" i="70"/>
  <c r="AN110" i="70"/>
  <c r="AT164" i="70"/>
  <c r="AH164" i="70"/>
  <c r="AB164" i="70"/>
  <c r="AN164" i="70"/>
  <c r="AT163" i="70"/>
  <c r="AN163" i="70"/>
  <c r="AH163" i="70"/>
  <c r="AB163" i="70"/>
  <c r="AU166" i="87" s="1"/>
  <c r="AT162" i="70"/>
  <c r="AN162" i="70"/>
  <c r="AH162" i="70"/>
  <c r="AB162" i="70"/>
  <c r="AU165" i="87" s="1"/>
  <c r="AN161" i="70"/>
  <c r="AH161" i="70"/>
  <c r="AB161" i="70"/>
  <c r="AU164" i="87" s="1"/>
  <c r="AT161" i="70"/>
  <c r="AH160" i="70"/>
  <c r="AB160" i="70"/>
  <c r="AU163" i="87" s="1"/>
  <c r="AT160" i="70"/>
  <c r="AN160" i="70"/>
  <c r="AB159" i="70"/>
  <c r="AU162" i="87" s="1"/>
  <c r="AH159" i="70"/>
  <c r="AN159" i="70"/>
  <c r="AT159" i="70"/>
  <c r="AH158" i="70"/>
  <c r="AB158" i="70"/>
  <c r="AU161" i="87" s="1"/>
  <c r="AT158" i="70"/>
  <c r="AN158" i="70"/>
  <c r="AT157" i="70"/>
  <c r="AN157" i="70"/>
  <c r="AH157" i="70"/>
  <c r="AB157" i="70"/>
  <c r="AU160" i="87" s="1"/>
  <c r="AN156" i="70"/>
  <c r="AH156" i="70"/>
  <c r="AB156" i="70"/>
  <c r="AU159" i="87" s="1"/>
  <c r="AT156" i="70"/>
  <c r="AH155" i="70"/>
  <c r="AB155" i="70"/>
  <c r="AU158" i="87" s="1"/>
  <c r="AN155" i="70"/>
  <c r="AT155" i="70"/>
  <c r="AT209" i="70"/>
  <c r="AH209" i="70"/>
  <c r="AB209" i="70"/>
  <c r="AU212" i="87" s="1"/>
  <c r="AN209" i="70"/>
  <c r="AN208" i="70"/>
  <c r="AB208" i="70"/>
  <c r="AU211" i="87" s="1"/>
  <c r="AT208" i="70"/>
  <c r="AH208" i="70"/>
  <c r="AH207" i="70"/>
  <c r="AN207" i="70"/>
  <c r="AB207" i="70"/>
  <c r="AU210" i="87" s="1"/>
  <c r="AT207" i="70"/>
  <c r="AB206" i="70"/>
  <c r="AU209" i="87" s="1"/>
  <c r="AT206" i="70"/>
  <c r="AH206" i="70"/>
  <c r="AN206" i="70"/>
  <c r="AB205" i="70"/>
  <c r="AU208" i="87" s="1"/>
  <c r="AN205" i="70"/>
  <c r="AT205" i="70"/>
  <c r="AH205" i="70"/>
  <c r="AB204" i="70"/>
  <c r="AU207" i="87" s="1"/>
  <c r="AT204" i="70"/>
  <c r="AH204" i="70"/>
  <c r="AN204" i="70"/>
  <c r="AT203" i="70"/>
  <c r="AN203" i="70"/>
  <c r="AB203" i="70"/>
  <c r="AU206" i="87" s="1"/>
  <c r="AH203" i="70"/>
  <c r="AN202" i="70"/>
  <c r="AH202" i="70"/>
  <c r="AT202" i="70"/>
  <c r="AB202" i="70"/>
  <c r="AU205" i="87" s="1"/>
  <c r="AT201" i="70"/>
  <c r="AH201" i="70"/>
  <c r="AB201" i="70"/>
  <c r="AU204" i="87" s="1"/>
  <c r="AN201" i="70"/>
  <c r="AN200" i="70"/>
  <c r="AB200" i="70"/>
  <c r="AU203" i="87" s="1"/>
  <c r="AH200" i="70"/>
  <c r="AT200" i="70"/>
  <c r="AL29" i="70"/>
  <c r="Z29" i="70"/>
  <c r="AS32" i="87" s="1"/>
  <c r="AR29" i="70"/>
  <c r="AF29" i="70"/>
  <c r="AL26" i="70"/>
  <c r="AF26" i="70"/>
  <c r="AR26" i="70"/>
  <c r="Z26" i="70"/>
  <c r="AS29" i="87" s="1"/>
  <c r="AL23" i="70"/>
  <c r="AF23" i="70"/>
  <c r="Z23" i="70"/>
  <c r="AS26" i="87" s="1"/>
  <c r="AR23" i="70"/>
  <c r="Z21" i="70"/>
  <c r="AS24" i="87" s="1"/>
  <c r="AF21" i="70"/>
  <c r="AR21" i="70"/>
  <c r="AL21" i="70"/>
  <c r="Y73" i="70"/>
  <c r="AR76" i="87" s="1"/>
  <c r="AQ73" i="70"/>
  <c r="AK73" i="70"/>
  <c r="AE73" i="70"/>
  <c r="AL68" i="70"/>
  <c r="AF68" i="70"/>
  <c r="AR68" i="70"/>
  <c r="Z68" i="70"/>
  <c r="AS71" i="87" s="1"/>
  <c r="AM119" i="70"/>
  <c r="AG119" i="70"/>
  <c r="AA119" i="70"/>
  <c r="AT122" i="87" s="1"/>
  <c r="AS119" i="70"/>
  <c r="AM117" i="70"/>
  <c r="AA117" i="70"/>
  <c r="AT120" i="87" s="1"/>
  <c r="AG117" i="70"/>
  <c r="AS117" i="70"/>
  <c r="AG116" i="70"/>
  <c r="AS116" i="70"/>
  <c r="AM116" i="70"/>
  <c r="AA116" i="70"/>
  <c r="AT119" i="87" s="1"/>
  <c r="AG113" i="70"/>
  <c r="AS113" i="70"/>
  <c r="AM113" i="70"/>
  <c r="AA113" i="70"/>
  <c r="AT116" i="87" s="1"/>
  <c r="AG111" i="70"/>
  <c r="AM111" i="70"/>
  <c r="AA111" i="70"/>
  <c r="AT114" i="87" s="1"/>
  <c r="AS111" i="70"/>
  <c r="AS163" i="70"/>
  <c r="AM163" i="70"/>
  <c r="AG163" i="70"/>
  <c r="AA163" i="70"/>
  <c r="AT166" i="87" s="1"/>
  <c r="AA160" i="70"/>
  <c r="AT163" i="87" s="1"/>
  <c r="AS160" i="70"/>
  <c r="AG160" i="70"/>
  <c r="AM160" i="70"/>
  <c r="AG158" i="70"/>
  <c r="AA158" i="70"/>
  <c r="AT161" i="87" s="1"/>
  <c r="AM158" i="70"/>
  <c r="AS158" i="70"/>
  <c r="AM157" i="70"/>
  <c r="AG157" i="70"/>
  <c r="AA157" i="70"/>
  <c r="AT160" i="87" s="1"/>
  <c r="AS157" i="70"/>
  <c r="AA155" i="70"/>
  <c r="AT158" i="87" s="1"/>
  <c r="AS155" i="70"/>
  <c r="AG155" i="70"/>
  <c r="AM155" i="70"/>
  <c r="AM209" i="70"/>
  <c r="AA209" i="70"/>
  <c r="AT212" i="87" s="1"/>
  <c r="AS209" i="70"/>
  <c r="AG209" i="70"/>
  <c r="AS206" i="70"/>
  <c r="AM206" i="70"/>
  <c r="AA206" i="70"/>
  <c r="AT209" i="87" s="1"/>
  <c r="AG206" i="70"/>
  <c r="AS204" i="70"/>
  <c r="AM204" i="70"/>
  <c r="AA204" i="70"/>
  <c r="AT207" i="87" s="1"/>
  <c r="AG204" i="70"/>
  <c r="AS202" i="70"/>
  <c r="AG202" i="70"/>
  <c r="AA202" i="70"/>
  <c r="AT205" i="87" s="1"/>
  <c r="AM202" i="70"/>
  <c r="AG200" i="70"/>
  <c r="AM200" i="70"/>
  <c r="AA200" i="70"/>
  <c r="AT203" i="87" s="1"/>
  <c r="AS200" i="70"/>
  <c r="AQ29" i="70"/>
  <c r="AE29" i="70"/>
  <c r="Y29" i="70"/>
  <c r="AR32" i="87" s="1"/>
  <c r="AK29" i="70"/>
  <c r="AE28" i="70"/>
  <c r="AK28" i="70"/>
  <c r="Y28" i="70"/>
  <c r="AR31" i="87" s="1"/>
  <c r="AQ28" i="70"/>
  <c r="AQ27" i="70"/>
  <c r="AE27" i="70"/>
  <c r="Y27" i="70"/>
  <c r="AR30" i="87" s="1"/>
  <c r="AK27" i="70"/>
  <c r="AQ26" i="70"/>
  <c r="AE26" i="70"/>
  <c r="Y26" i="70"/>
  <c r="AR29" i="87" s="1"/>
  <c r="AK26" i="70"/>
  <c r="AE25" i="70"/>
  <c r="Y25" i="70"/>
  <c r="AR28" i="87" s="1"/>
  <c r="AK25" i="70"/>
  <c r="AQ25" i="70"/>
  <c r="AQ24" i="70"/>
  <c r="Y24" i="70"/>
  <c r="AR27" i="87" s="1"/>
  <c r="AK24" i="70"/>
  <c r="AE24" i="70"/>
  <c r="AQ23" i="70"/>
  <c r="AE23" i="70"/>
  <c r="AK23" i="70"/>
  <c r="Y23" i="70"/>
  <c r="AR26" i="87" s="1"/>
  <c r="AE22" i="70"/>
  <c r="AQ22" i="70"/>
  <c r="Y22" i="70"/>
  <c r="AR25" i="87" s="1"/>
  <c r="AK22" i="70"/>
  <c r="AQ21" i="70"/>
  <c r="Y21" i="70"/>
  <c r="AR24" i="87" s="1"/>
  <c r="AK21" i="70"/>
  <c r="AE21" i="70"/>
  <c r="AQ20" i="70"/>
  <c r="AE20" i="70"/>
  <c r="Y20" i="70"/>
  <c r="AR23" i="87" s="1"/>
  <c r="AK20" i="70"/>
  <c r="AE74" i="70"/>
  <c r="Y74" i="70"/>
  <c r="AR77" i="87" s="1"/>
  <c r="AQ74" i="70"/>
  <c r="AK74" i="70"/>
  <c r="AH71" i="70"/>
  <c r="AT71" i="70"/>
  <c r="AN71" i="70"/>
  <c r="AB71" i="70"/>
  <c r="AU74" i="87" s="1"/>
  <c r="AA70" i="70"/>
  <c r="AT73" i="87" s="1"/>
  <c r="AS70" i="70"/>
  <c r="AG70" i="70"/>
  <c r="AM70" i="70"/>
  <c r="AR69" i="70"/>
  <c r="AL69" i="70"/>
  <c r="Z69" i="70"/>
  <c r="AS72" i="87" s="1"/>
  <c r="AF69" i="70"/>
  <c r="AQ68" i="70"/>
  <c r="AE68" i="70"/>
  <c r="Y68" i="70"/>
  <c r="AR71" i="87" s="1"/>
  <c r="AK68" i="70"/>
  <c r="AT65" i="70"/>
  <c r="AH65" i="70"/>
  <c r="AB65" i="70"/>
  <c r="AU68" i="87" s="1"/>
  <c r="AN65" i="70"/>
  <c r="AR119" i="70"/>
  <c r="AF119" i="70"/>
  <c r="Z119" i="70"/>
  <c r="AS122" i="87" s="1"/>
  <c r="AL119" i="70"/>
  <c r="AL118" i="70"/>
  <c r="Z118" i="70"/>
  <c r="AS121" i="87" s="1"/>
  <c r="AR118" i="70"/>
  <c r="AF118" i="70"/>
  <c r="AF117" i="70"/>
  <c r="AR117" i="70"/>
  <c r="AL117" i="70"/>
  <c r="Z117" i="70"/>
  <c r="AS120" i="87" s="1"/>
  <c r="Z116" i="70"/>
  <c r="AS119" i="87" s="1"/>
  <c r="AR116" i="70"/>
  <c r="AL116" i="70"/>
  <c r="AF116" i="70"/>
  <c r="AR115" i="70"/>
  <c r="Z115" i="70"/>
  <c r="AS118" i="87" s="1"/>
  <c r="AF115" i="70"/>
  <c r="AL115" i="70"/>
  <c r="AF114" i="70"/>
  <c r="AR114" i="70"/>
  <c r="Z114" i="70"/>
  <c r="AS117" i="87" s="1"/>
  <c r="AL114" i="70"/>
  <c r="Z113" i="70"/>
  <c r="AS116" i="87" s="1"/>
  <c r="AF113" i="70"/>
  <c r="AR113" i="70"/>
  <c r="AL113" i="70"/>
  <c r="AL112" i="70"/>
  <c r="Z112" i="70"/>
  <c r="AS115" i="87" s="1"/>
  <c r="AR112" i="70"/>
  <c r="AF112" i="70"/>
  <c r="AL111" i="70"/>
  <c r="AF111" i="70"/>
  <c r="Z111" i="70"/>
  <c r="AS114" i="87" s="1"/>
  <c r="AR111" i="70"/>
  <c r="AR110" i="70"/>
  <c r="AL110" i="70"/>
  <c r="Z110" i="70"/>
  <c r="AS113" i="87" s="1"/>
  <c r="AF110" i="70"/>
  <c r="AR164" i="70"/>
  <c r="AL164" i="70"/>
  <c r="AF164" i="70"/>
  <c r="Z164" i="70"/>
  <c r="AL163" i="70"/>
  <c r="AF163" i="70"/>
  <c r="Z163" i="70"/>
  <c r="AS166" i="87" s="1"/>
  <c r="AR163" i="70"/>
  <c r="AF162" i="70"/>
  <c r="Z162" i="70"/>
  <c r="AS165" i="87" s="1"/>
  <c r="AL162" i="70"/>
  <c r="AR162" i="70"/>
  <c r="Z161" i="70"/>
  <c r="AS164" i="87" s="1"/>
  <c r="AL161" i="70"/>
  <c r="AR161" i="70"/>
  <c r="AF161" i="70"/>
  <c r="AR160" i="70"/>
  <c r="Z160" i="70"/>
  <c r="AS163" i="87" s="1"/>
  <c r="AL160" i="70"/>
  <c r="AF160" i="70"/>
  <c r="Z159" i="70"/>
  <c r="AS162" i="87" s="1"/>
  <c r="AF159" i="70"/>
  <c r="AL159" i="70"/>
  <c r="AR159" i="70"/>
  <c r="Z158" i="70"/>
  <c r="AS161" i="87" s="1"/>
  <c r="AR158" i="70"/>
  <c r="AF158" i="70"/>
  <c r="AL158" i="70"/>
  <c r="AF157" i="70"/>
  <c r="Z157" i="70"/>
  <c r="AS160" i="87" s="1"/>
  <c r="AL157" i="70"/>
  <c r="AR157" i="70"/>
  <c r="Z156" i="70"/>
  <c r="AS159" i="87" s="1"/>
  <c r="AR156" i="70"/>
  <c r="AL156" i="70"/>
  <c r="AF156" i="70"/>
  <c r="AR155" i="70"/>
  <c r="AL155" i="70"/>
  <c r="AF155" i="70"/>
  <c r="Z155" i="70"/>
  <c r="AS158" i="87" s="1"/>
  <c r="AF209" i="70"/>
  <c r="AR209" i="70"/>
  <c r="Z209" i="70"/>
  <c r="AS212" i="87" s="1"/>
  <c r="AL209" i="70"/>
  <c r="Z208" i="70"/>
  <c r="AS211" i="87" s="1"/>
  <c r="AR208" i="70"/>
  <c r="AF208" i="70"/>
  <c r="AL208" i="70"/>
  <c r="AR207" i="70"/>
  <c r="AL207" i="70"/>
  <c r="Z207" i="70"/>
  <c r="AS210" i="87" s="1"/>
  <c r="AF207" i="70"/>
  <c r="AL206" i="70"/>
  <c r="AF206" i="70"/>
  <c r="Z206" i="70"/>
  <c r="AS209" i="87" s="1"/>
  <c r="AR206" i="70"/>
  <c r="Z205" i="70"/>
  <c r="AS208" i="87" s="1"/>
  <c r="AL205" i="70"/>
  <c r="AF205" i="70"/>
  <c r="AR205" i="70"/>
  <c r="AL204" i="70"/>
  <c r="AF204" i="70"/>
  <c r="AR204" i="70"/>
  <c r="Z204" i="70"/>
  <c r="AS207" i="87" s="1"/>
  <c r="AR203" i="70"/>
  <c r="AF203" i="70"/>
  <c r="Z203" i="70"/>
  <c r="AS206" i="87" s="1"/>
  <c r="AL203" i="70"/>
  <c r="AL202" i="70"/>
  <c r="Z202" i="70"/>
  <c r="AS205" i="87" s="1"/>
  <c r="AF202" i="70"/>
  <c r="AR202" i="70"/>
  <c r="AF201" i="70"/>
  <c r="AL201" i="70"/>
  <c r="Z201" i="70"/>
  <c r="AS204" i="87" s="1"/>
  <c r="AR201" i="70"/>
  <c r="Z200" i="70"/>
  <c r="AS203" i="87" s="1"/>
  <c r="AR200" i="70"/>
  <c r="AL200" i="70"/>
  <c r="AF200" i="70"/>
  <c r="AL28" i="70"/>
  <c r="Z28" i="70"/>
  <c r="AS31" i="87" s="1"/>
  <c r="AF28" i="70"/>
  <c r="AR28" i="70"/>
  <c r="Z27" i="70"/>
  <c r="AS30" i="87" s="1"/>
  <c r="AF27" i="70"/>
  <c r="AR27" i="70"/>
  <c r="AL27" i="70"/>
  <c r="AL25" i="70"/>
  <c r="Z25" i="70"/>
  <c r="AS28" i="87" s="1"/>
  <c r="AR25" i="70"/>
  <c r="AF25" i="70"/>
  <c r="Z24" i="70"/>
  <c r="AS27" i="87" s="1"/>
  <c r="AL24" i="70"/>
  <c r="AF24" i="70"/>
  <c r="AR24" i="70"/>
  <c r="AL22" i="70"/>
  <c r="Z22" i="70"/>
  <c r="AS25" i="87" s="1"/>
  <c r="AR22" i="70"/>
  <c r="AF22" i="70"/>
  <c r="AL20" i="70"/>
  <c r="AR20" i="70"/>
  <c r="Z20" i="70"/>
  <c r="AS23" i="87" s="1"/>
  <c r="AF20" i="70"/>
  <c r="AL74" i="70"/>
  <c r="Z74" i="70"/>
  <c r="AS77" i="87" s="1"/>
  <c r="AF74" i="70"/>
  <c r="AR74" i="70"/>
  <c r="AH70" i="70"/>
  <c r="AN70" i="70"/>
  <c r="AT70" i="70"/>
  <c r="AB70" i="70"/>
  <c r="AU73" i="87" s="1"/>
  <c r="AA69" i="70"/>
  <c r="AT72" i="87" s="1"/>
  <c r="AS69" i="70"/>
  <c r="AG69" i="70"/>
  <c r="AM69" i="70"/>
  <c r="AK67" i="70"/>
  <c r="Y67" i="70"/>
  <c r="AR70" i="87" s="1"/>
  <c r="AE67" i="70"/>
  <c r="AQ67" i="70"/>
  <c r="AS118" i="70"/>
  <c r="AG118" i="70"/>
  <c r="AA118" i="70"/>
  <c r="AT121" i="87" s="1"/>
  <c r="AM118" i="70"/>
  <c r="AA115" i="70"/>
  <c r="AT118" i="87" s="1"/>
  <c r="AG115" i="70"/>
  <c r="AM115" i="70"/>
  <c r="AS115" i="70"/>
  <c r="AG114" i="70"/>
  <c r="AA114" i="70"/>
  <c r="AT117" i="87" s="1"/>
  <c r="AS114" i="70"/>
  <c r="AM114" i="70"/>
  <c r="AA112" i="70"/>
  <c r="AT115" i="87" s="1"/>
  <c r="AG112" i="70"/>
  <c r="AS112" i="70"/>
  <c r="AM112" i="70"/>
  <c r="AG110" i="70"/>
  <c r="AA110" i="70"/>
  <c r="AT113" i="87" s="1"/>
  <c r="AS110" i="70"/>
  <c r="AM110" i="70"/>
  <c r="AS164" i="70"/>
  <c r="AM164" i="70"/>
  <c r="AG164" i="70"/>
  <c r="AA164" i="70"/>
  <c r="AM162" i="70"/>
  <c r="AG162" i="70"/>
  <c r="AA162" i="70"/>
  <c r="AT165" i="87" s="1"/>
  <c r="AS162" i="70"/>
  <c r="AG161" i="70"/>
  <c r="AA161" i="70"/>
  <c r="AT164" i="87" s="1"/>
  <c r="AM161" i="70"/>
  <c r="AS161" i="70"/>
  <c r="AA159" i="70"/>
  <c r="AT162" i="87" s="1"/>
  <c r="AG159" i="70"/>
  <c r="AM159" i="70"/>
  <c r="AS159" i="70"/>
  <c r="AG156" i="70"/>
  <c r="AA156" i="70"/>
  <c r="AT159" i="87" s="1"/>
  <c r="AS156" i="70"/>
  <c r="AM156" i="70"/>
  <c r="AG208" i="70"/>
  <c r="AS208" i="70"/>
  <c r="AA208" i="70"/>
  <c r="AT211" i="87" s="1"/>
  <c r="AM208" i="70"/>
  <c r="AA207" i="70"/>
  <c r="AT210" i="87" s="1"/>
  <c r="AS207" i="70"/>
  <c r="AG207" i="70"/>
  <c r="AM207" i="70"/>
  <c r="AA205" i="70"/>
  <c r="AT208" i="87" s="1"/>
  <c r="AG205" i="70"/>
  <c r="AM205" i="70"/>
  <c r="AS205" i="70"/>
  <c r="AM203" i="70"/>
  <c r="AG203" i="70"/>
  <c r="AS203" i="70"/>
  <c r="AA203" i="70"/>
  <c r="AT206" i="87" s="1"/>
  <c r="AM201" i="70"/>
  <c r="AA201" i="70"/>
  <c r="AT204" i="87" s="1"/>
  <c r="AG201" i="70"/>
  <c r="AS201" i="70"/>
  <c r="AN72" i="70"/>
  <c r="AT72" i="70"/>
  <c r="AH72" i="70"/>
  <c r="AB72" i="70"/>
  <c r="AU75" i="87" s="1"/>
  <c r="AA71" i="70"/>
  <c r="AT74" i="87" s="1"/>
  <c r="AM71" i="70"/>
  <c r="AG71" i="70"/>
  <c r="AS71" i="70"/>
  <c r="Z70" i="70"/>
  <c r="AS73" i="87" s="1"/>
  <c r="AF70" i="70"/>
  <c r="AL70" i="70"/>
  <c r="AR70" i="70"/>
  <c r="AK69" i="70"/>
  <c r="AE69" i="70"/>
  <c r="AQ69" i="70"/>
  <c r="Y69" i="70"/>
  <c r="AR72" i="87" s="1"/>
  <c r="AN66" i="70"/>
  <c r="AH66" i="70"/>
  <c r="AT66" i="70"/>
  <c r="AB66" i="70"/>
  <c r="AU69" i="87" s="1"/>
  <c r="AM65" i="70"/>
  <c r="AA65" i="70"/>
  <c r="AT68" i="87" s="1"/>
  <c r="AG65" i="70"/>
  <c r="AS65" i="70"/>
  <c r="AK119" i="70"/>
  <c r="Y119" i="70"/>
  <c r="AR122" i="87" s="1"/>
  <c r="AQ119" i="70"/>
  <c r="AE119" i="70"/>
  <c r="AE118" i="70"/>
  <c r="Y118" i="70"/>
  <c r="AR121" i="87" s="1"/>
  <c r="AK118" i="70"/>
  <c r="AQ118" i="70"/>
  <c r="Y117" i="70"/>
  <c r="AR120" i="87" s="1"/>
  <c r="AQ117" i="70"/>
  <c r="AK117" i="70"/>
  <c r="AE117" i="70"/>
  <c r="AQ116" i="70"/>
  <c r="AK116" i="70"/>
  <c r="AE116" i="70"/>
  <c r="Y116" i="70"/>
  <c r="AR119" i="87" s="1"/>
  <c r="Y115" i="70"/>
  <c r="AR118" i="87" s="1"/>
  <c r="AE115" i="70"/>
  <c r="AK115" i="70"/>
  <c r="AQ115" i="70"/>
  <c r="Y114" i="70"/>
  <c r="AR117" i="87" s="1"/>
  <c r="AQ114" i="70"/>
  <c r="AK114" i="70"/>
  <c r="AE114" i="70"/>
  <c r="AK113" i="70"/>
  <c r="AE113" i="70"/>
  <c r="Y113" i="70"/>
  <c r="AR116" i="87" s="1"/>
  <c r="AQ113" i="70"/>
  <c r="Y112" i="70"/>
  <c r="AR115" i="87" s="1"/>
  <c r="AQ112" i="70"/>
  <c r="AK112" i="70"/>
  <c r="AE112" i="70"/>
  <c r="AQ111" i="70"/>
  <c r="Y111" i="70"/>
  <c r="AR114" i="87" s="1"/>
  <c r="AE111" i="70"/>
  <c r="AK111" i="70"/>
  <c r="AK110" i="70"/>
  <c r="Y110" i="70"/>
  <c r="AR113" i="87" s="1"/>
  <c r="AE110" i="70"/>
  <c r="AQ110" i="70"/>
  <c r="AK164" i="70"/>
  <c r="AE164" i="70"/>
  <c r="Y164" i="70"/>
  <c r="AQ164" i="70"/>
  <c r="AE163" i="70"/>
  <c r="Y163" i="70"/>
  <c r="AR166" i="87" s="1"/>
  <c r="AQ163" i="70"/>
  <c r="AK163" i="70"/>
  <c r="Y162" i="70"/>
  <c r="AR165" i="87" s="1"/>
  <c r="AK162" i="70"/>
  <c r="AE162" i="70"/>
  <c r="AQ162" i="70"/>
  <c r="AQ161" i="70"/>
  <c r="Y161" i="70"/>
  <c r="AR164" i="87" s="1"/>
  <c r="AE161" i="70"/>
  <c r="AK161" i="70"/>
  <c r="AQ160" i="70"/>
  <c r="AK160" i="70"/>
  <c r="AE160" i="70"/>
  <c r="Y160" i="70"/>
  <c r="AR163" i="87" s="1"/>
  <c r="AE159" i="70"/>
  <c r="AQ159" i="70"/>
  <c r="Y159" i="70"/>
  <c r="AR162" i="87" s="1"/>
  <c r="AK159" i="70"/>
  <c r="AE158" i="70"/>
  <c r="Y158" i="70"/>
  <c r="AR161" i="87" s="1"/>
  <c r="AQ158" i="70"/>
  <c r="AK158" i="70"/>
  <c r="Y157" i="70"/>
  <c r="AR160" i="87" s="1"/>
  <c r="AQ157" i="70"/>
  <c r="AE157" i="70"/>
  <c r="AK157" i="70"/>
  <c r="AQ156" i="70"/>
  <c r="AK156" i="70"/>
  <c r="Y156" i="70"/>
  <c r="AR159" i="87" s="1"/>
  <c r="AE156" i="70"/>
  <c r="AQ155" i="70"/>
  <c r="AK155" i="70"/>
  <c r="AE155" i="70"/>
  <c r="Y155" i="70"/>
  <c r="AR158" i="87" s="1"/>
  <c r="Y209" i="70"/>
  <c r="AR212" i="87" s="1"/>
  <c r="AQ209" i="70"/>
  <c r="AE209" i="70"/>
  <c r="AK209" i="70"/>
  <c r="AQ208" i="70"/>
  <c r="AK208" i="70"/>
  <c r="AE208" i="70"/>
  <c r="Y208" i="70"/>
  <c r="AR211" i="87" s="1"/>
  <c r="AK207" i="70"/>
  <c r="AE207" i="70"/>
  <c r="Y207" i="70"/>
  <c r="AR210" i="87" s="1"/>
  <c r="AQ207" i="70"/>
  <c r="AQ206" i="70"/>
  <c r="AE206" i="70"/>
  <c r="Y206" i="70"/>
  <c r="AR209" i="87" s="1"/>
  <c r="AK206" i="70"/>
  <c r="AE205" i="70"/>
  <c r="AQ205" i="70"/>
  <c r="Y205" i="70"/>
  <c r="AR208" i="87" s="1"/>
  <c r="AK205" i="70"/>
  <c r="AQ204" i="70"/>
  <c r="AE204" i="70"/>
  <c r="Y204" i="70"/>
  <c r="AR207" i="87" s="1"/>
  <c r="AK204" i="70"/>
  <c r="AK203" i="70"/>
  <c r="Y203" i="70"/>
  <c r="AR206" i="87" s="1"/>
  <c r="AQ203" i="70"/>
  <c r="AE203" i="70"/>
  <c r="AE202" i="70"/>
  <c r="AK202" i="70"/>
  <c r="Y202" i="70"/>
  <c r="AR205" i="87" s="1"/>
  <c r="AQ202" i="70"/>
  <c r="Y201" i="70"/>
  <c r="AR204" i="87" s="1"/>
  <c r="AQ201" i="70"/>
  <c r="AK201" i="70"/>
  <c r="AE201" i="70"/>
  <c r="AQ200" i="70"/>
  <c r="AK200" i="70"/>
  <c r="Y200" i="70"/>
  <c r="AR203" i="87" s="1"/>
  <c r="AE200" i="70"/>
  <c r="AU104" i="95"/>
  <c r="AV59" i="95"/>
  <c r="AV104" i="95"/>
  <c r="AP105" i="95"/>
  <c r="AZ59" i="95"/>
  <c r="BA195" i="95"/>
  <c r="AZ194" i="95"/>
  <c r="AV14" i="95"/>
  <c r="AU59" i="95"/>
  <c r="AQ14" i="95"/>
  <c r="AW194" i="95"/>
  <c r="AQ194" i="95"/>
  <c r="BA14" i="95"/>
  <c r="AP15" i="95"/>
  <c r="AU14" i="95"/>
  <c r="AR149" i="95"/>
  <c r="AZ105" i="95"/>
  <c r="AZ149" i="95"/>
  <c r="AW149" i="95"/>
  <c r="AR194" i="95"/>
  <c r="AP60" i="95"/>
  <c r="BB151" i="95"/>
  <c r="AZ14" i="95"/>
  <c r="AU195" i="95"/>
  <c r="AQ104" i="95"/>
  <c r="AQ59" i="95"/>
  <c r="AV195" i="95"/>
  <c r="AP152" i="95"/>
  <c r="BA106" i="95"/>
  <c r="BA59" i="95"/>
  <c r="AQ150" i="95"/>
  <c r="AP196" i="95"/>
  <c r="AV149" i="95"/>
  <c r="AU149" i="95"/>
  <c r="BB194" i="95"/>
  <c r="BA151" i="95"/>
  <c r="S126" i="68"/>
  <c r="S87" i="68"/>
  <c r="S39" i="68"/>
  <c r="S221" i="68"/>
  <c r="R37" i="68"/>
  <c r="D17" i="68"/>
  <c r="R157" i="68"/>
  <c r="D190" i="68"/>
  <c r="R65" i="68"/>
  <c r="S166" i="68"/>
  <c r="D124" i="68"/>
  <c r="R172" i="68"/>
  <c r="S81" i="68"/>
  <c r="R212" i="68"/>
  <c r="D85" i="68"/>
  <c r="D142" i="68"/>
  <c r="S33" i="68"/>
  <c r="D123" i="68"/>
  <c r="D87" i="68"/>
  <c r="R41" i="68"/>
  <c r="R126" i="68"/>
  <c r="S32" i="68"/>
  <c r="D134" i="68"/>
  <c r="D235" i="68"/>
  <c r="T198" i="68"/>
  <c r="R32" i="68"/>
  <c r="D215" i="68"/>
  <c r="R159" i="68"/>
  <c r="R29" i="68"/>
  <c r="D229" i="68"/>
  <c r="D94" i="68"/>
  <c r="R67" i="68"/>
  <c r="D143" i="68"/>
  <c r="S77" i="68"/>
  <c r="D230" i="68"/>
  <c r="R171" i="68"/>
  <c r="S78" i="68"/>
  <c r="R27" i="68"/>
  <c r="R112" i="68"/>
  <c r="T66" i="68"/>
  <c r="T110" i="68"/>
  <c r="D174" i="68"/>
  <c r="D91" i="68"/>
  <c r="D39" i="68"/>
  <c r="D131" i="68"/>
  <c r="D47" i="68"/>
  <c r="S38" i="68"/>
  <c r="R18" i="68"/>
  <c r="R121" i="68"/>
  <c r="R28" i="68"/>
  <c r="D50" i="68"/>
  <c r="D30" i="68"/>
  <c r="D176" i="68"/>
  <c r="D135" i="68"/>
  <c r="R220" i="68"/>
  <c r="D136" i="68"/>
  <c r="T201" i="68"/>
  <c r="D214" i="68"/>
  <c r="R69" i="68"/>
  <c r="R217" i="68"/>
  <c r="T155" i="68"/>
  <c r="T21" i="68"/>
  <c r="S218" i="68"/>
  <c r="R110" i="68"/>
  <c r="R30" i="68"/>
  <c r="D128" i="68"/>
  <c r="R161" i="68"/>
  <c r="T156" i="68"/>
  <c r="R154" i="68"/>
  <c r="R87" i="68"/>
  <c r="S86" i="68"/>
  <c r="R168" i="68"/>
  <c r="R177" i="68"/>
  <c r="D137" i="68"/>
  <c r="R82" i="68"/>
  <c r="R38" i="68"/>
  <c r="D21" i="68"/>
  <c r="R83" i="68"/>
  <c r="D138" i="68"/>
  <c r="D48" i="68"/>
  <c r="T200" i="68"/>
  <c r="D100" i="68"/>
  <c r="D188" i="68"/>
  <c r="D233" i="68"/>
  <c r="D29" i="68"/>
  <c r="D83" i="68"/>
  <c r="R74" i="68"/>
  <c r="T63" i="68"/>
  <c r="R113" i="68"/>
  <c r="D219" i="68"/>
  <c r="D86" i="68"/>
  <c r="T64" i="68"/>
  <c r="R64" i="68"/>
  <c r="T19" i="68"/>
  <c r="R20" i="68"/>
  <c r="R221" i="68"/>
  <c r="R132" i="68"/>
  <c r="R199" i="68"/>
  <c r="R130" i="68"/>
  <c r="R31" i="68"/>
  <c r="R211" i="68"/>
  <c r="D232" i="68"/>
  <c r="D125" i="68"/>
  <c r="R176" i="68"/>
  <c r="R42" i="68"/>
  <c r="R164" i="68"/>
  <c r="R214" i="68"/>
  <c r="R215" i="68"/>
  <c r="S174" i="68"/>
  <c r="D129" i="68"/>
  <c r="D95" i="68"/>
  <c r="D98" i="68"/>
  <c r="R165" i="68"/>
  <c r="R162" i="68"/>
  <c r="D55" i="68"/>
  <c r="R216" i="68"/>
  <c r="R72" i="68"/>
  <c r="S40" i="68"/>
  <c r="D173" i="68"/>
  <c r="R40" i="68"/>
  <c r="D127" i="68"/>
  <c r="R85" i="68"/>
  <c r="S170" i="68"/>
  <c r="R36" i="68"/>
  <c r="S215" i="68"/>
  <c r="S120" i="68"/>
  <c r="R124" i="68"/>
  <c r="D141" i="68"/>
  <c r="D42" i="68"/>
  <c r="D227" i="68"/>
  <c r="D23" i="68"/>
  <c r="D217" i="68"/>
  <c r="R71" i="68"/>
  <c r="D222" i="68"/>
  <c r="S75" i="68"/>
  <c r="D19" i="68"/>
  <c r="T203" i="68"/>
  <c r="T158" i="68"/>
  <c r="S121" i="68"/>
  <c r="D32" i="68"/>
  <c r="R111" i="68"/>
  <c r="T108" i="68"/>
  <c r="R213" i="68"/>
  <c r="D187" i="68"/>
  <c r="D231" i="68"/>
  <c r="R34" i="68"/>
  <c r="R33" i="68"/>
  <c r="S83" i="68"/>
  <c r="D168" i="68"/>
  <c r="D92" i="68"/>
  <c r="S85" i="68"/>
  <c r="D183" i="68"/>
  <c r="D89" i="68"/>
  <c r="R160" i="68"/>
  <c r="R219" i="68"/>
  <c r="D79" i="68"/>
  <c r="R79" i="68"/>
  <c r="T20" i="68"/>
  <c r="T65" i="68"/>
  <c r="D78" i="68"/>
  <c r="R200" i="68"/>
  <c r="R174" i="68"/>
  <c r="D185" i="68"/>
  <c r="S211" i="68"/>
  <c r="R208" i="68"/>
  <c r="D178" i="68"/>
  <c r="S172" i="68"/>
  <c r="D180" i="68"/>
  <c r="D126" i="68"/>
  <c r="R117" i="68"/>
  <c r="S128" i="68"/>
  <c r="S123" i="68"/>
  <c r="R209" i="68"/>
  <c r="D220" i="68"/>
  <c r="T153" i="68"/>
  <c r="D140" i="68"/>
  <c r="R39" i="68"/>
  <c r="R155" i="68"/>
  <c r="T109" i="68"/>
  <c r="S213" i="68"/>
  <c r="R222" i="68"/>
  <c r="D41" i="68"/>
  <c r="D52" i="68"/>
  <c r="D181" i="68"/>
  <c r="S30" i="68"/>
  <c r="D84" i="68"/>
  <c r="D130" i="68"/>
  <c r="S127" i="68"/>
  <c r="R25" i="68"/>
  <c r="R202" i="68"/>
  <c r="R80" i="68"/>
  <c r="R205" i="68"/>
  <c r="D33" i="68"/>
  <c r="D169" i="68"/>
  <c r="S222" i="68"/>
  <c r="D234" i="68"/>
  <c r="R167" i="68"/>
  <c r="R76" i="68"/>
  <c r="D179" i="68"/>
  <c r="D80" i="68"/>
  <c r="D44" i="68"/>
  <c r="S210" i="68"/>
  <c r="S131" i="68"/>
  <c r="D54" i="68"/>
  <c r="R203" i="68"/>
  <c r="S212" i="68"/>
  <c r="D22" i="68"/>
  <c r="D18" i="68"/>
  <c r="D82" i="68"/>
  <c r="R153" i="68"/>
  <c r="R119" i="68"/>
  <c r="S124" i="68"/>
  <c r="D189" i="68"/>
  <c r="D46" i="68"/>
  <c r="D182" i="68"/>
  <c r="S42" i="68"/>
  <c r="S84" i="68"/>
  <c r="D24" i="68"/>
  <c r="R116" i="68"/>
  <c r="T111" i="68"/>
  <c r="T202" i="68"/>
  <c r="T199" i="68"/>
  <c r="D133" i="68"/>
  <c r="D224" i="68"/>
  <c r="D171" i="68"/>
  <c r="D31" i="68"/>
  <c r="D38" i="68"/>
  <c r="R21" i="68"/>
  <c r="S36" i="68"/>
  <c r="R125" i="68"/>
  <c r="D81" i="68"/>
  <c r="D225" i="68"/>
  <c r="S171" i="68"/>
  <c r="D49" i="68"/>
  <c r="R108" i="68"/>
  <c r="R118" i="68"/>
  <c r="T112" i="68"/>
  <c r="R163" i="68"/>
  <c r="R173" i="68"/>
  <c r="R78" i="68"/>
  <c r="D93" i="68"/>
  <c r="D43" i="68"/>
  <c r="R68" i="68"/>
  <c r="R75" i="68"/>
  <c r="R73" i="68"/>
  <c r="D172" i="68"/>
  <c r="S177" i="68"/>
  <c r="D37" i="68"/>
  <c r="S220" i="68"/>
  <c r="R66" i="68"/>
  <c r="D35" i="68"/>
  <c r="R131" i="68"/>
  <c r="D53" i="68"/>
  <c r="S168" i="68"/>
  <c r="R169" i="68"/>
  <c r="S217" i="68"/>
  <c r="D28" i="68"/>
  <c r="S129" i="68"/>
  <c r="D51" i="68"/>
  <c r="T67" i="68"/>
  <c r="R26" i="68"/>
  <c r="R123" i="68"/>
  <c r="D26" i="68"/>
  <c r="T68" i="68"/>
  <c r="T157" i="68"/>
  <c r="D97" i="68"/>
  <c r="R207" i="68"/>
  <c r="D184" i="68"/>
  <c r="S175" i="68"/>
  <c r="D170" i="68"/>
  <c r="R24" i="68"/>
  <c r="R206" i="68"/>
  <c r="R70" i="68"/>
  <c r="R129" i="68"/>
  <c r="D40" i="68"/>
  <c r="R86" i="68"/>
  <c r="R81" i="68"/>
  <c r="S165" i="68"/>
  <c r="D99" i="68"/>
  <c r="R63" i="68"/>
  <c r="R120" i="68"/>
  <c r="R204" i="68"/>
  <c r="T154" i="68"/>
  <c r="S125" i="68"/>
  <c r="D218" i="68"/>
  <c r="S167" i="68"/>
  <c r="D216" i="68"/>
  <c r="R158" i="68"/>
  <c r="T22" i="68"/>
  <c r="R218" i="68"/>
  <c r="D175" i="68"/>
  <c r="R109" i="68"/>
  <c r="R22" i="68"/>
  <c r="S173" i="68"/>
  <c r="R23" i="68"/>
  <c r="D36" i="68"/>
  <c r="R35" i="68"/>
  <c r="D96" i="68"/>
  <c r="S122" i="68"/>
  <c r="R201" i="68"/>
  <c r="S35" i="68"/>
  <c r="D228" i="68"/>
  <c r="T18" i="68"/>
  <c r="D25" i="68"/>
  <c r="R210" i="68"/>
  <c r="D221" i="68"/>
  <c r="S214" i="68"/>
  <c r="R122" i="68"/>
  <c r="D186" i="68"/>
  <c r="R128" i="68"/>
  <c r="D45" i="68"/>
  <c r="R115" i="68"/>
  <c r="S80" i="68"/>
  <c r="S82" i="68"/>
  <c r="S216" i="68"/>
  <c r="D145" i="68"/>
  <c r="D139" i="68"/>
  <c r="R127" i="68"/>
  <c r="S176" i="68"/>
  <c r="R175" i="68"/>
  <c r="S132" i="68"/>
  <c r="D34" i="68"/>
  <c r="D223" i="68"/>
  <c r="D226" i="68"/>
  <c r="R156" i="68"/>
  <c r="T23" i="68"/>
  <c r="D20" i="68"/>
  <c r="S41" i="68"/>
  <c r="S37" i="68"/>
  <c r="D132" i="68"/>
  <c r="S31" i="68"/>
  <c r="D144" i="68"/>
  <c r="R84" i="68"/>
  <c r="D213" i="68"/>
  <c r="S76" i="68"/>
  <c r="R114" i="68"/>
  <c r="S79" i="68"/>
  <c r="S169" i="68"/>
  <c r="R77" i="68"/>
  <c r="R198" i="68"/>
  <c r="S34" i="68"/>
  <c r="D90" i="68"/>
  <c r="S219" i="68"/>
  <c r="R170" i="68"/>
  <c r="D177" i="68"/>
  <c r="T113" i="68"/>
  <c r="R166" i="68"/>
  <c r="D27" i="68"/>
  <c r="R19" i="68"/>
  <c r="S130" i="68"/>
  <c r="D88" i="68"/>
  <c r="CR110" i="99" l="1"/>
  <c r="CR211" i="99"/>
  <c r="CR80" i="99"/>
  <c r="CR30" i="99"/>
  <c r="CR13" i="99"/>
  <c r="CR122" i="99"/>
  <c r="CR77" i="99"/>
  <c r="CR71" i="99"/>
  <c r="CR173" i="99"/>
  <c r="CR209" i="99"/>
  <c r="CR177" i="99"/>
  <c r="CR86" i="99"/>
  <c r="CR163" i="99"/>
  <c r="CR74" i="99"/>
  <c r="CR28" i="99"/>
  <c r="CR126" i="99"/>
  <c r="CR131" i="99"/>
  <c r="CR66" i="99"/>
  <c r="CR127" i="99"/>
  <c r="CR157" i="99"/>
  <c r="CR204" i="99"/>
  <c r="CR210" i="99"/>
  <c r="CR114" i="99"/>
  <c r="CR78" i="99"/>
  <c r="CR19" i="99"/>
  <c r="CR12" i="99"/>
  <c r="CR39" i="99"/>
  <c r="CR175" i="99"/>
  <c r="CR16" i="99"/>
  <c r="CR82" i="99"/>
  <c r="CR117" i="99"/>
  <c r="CR218" i="99"/>
  <c r="CR203" i="99"/>
  <c r="CR216" i="99"/>
  <c r="CR85" i="99"/>
  <c r="CR68" i="99"/>
  <c r="CR176" i="99"/>
  <c r="CR75" i="99"/>
  <c r="CR65" i="99"/>
  <c r="CR130" i="99"/>
  <c r="CR168" i="99"/>
  <c r="CR70" i="99"/>
  <c r="CR128" i="99"/>
  <c r="CR202" i="99"/>
  <c r="CR72" i="99"/>
  <c r="CR17" i="99"/>
  <c r="CR41" i="99"/>
  <c r="CR222" i="99"/>
  <c r="CR38" i="99"/>
  <c r="CR4" i="99"/>
  <c r="CR67" i="99"/>
  <c r="CR217" i="99"/>
  <c r="CR15" i="99"/>
  <c r="CR129" i="99"/>
  <c r="CR200" i="99"/>
  <c r="CR26" i="99"/>
  <c r="CR32" i="99"/>
  <c r="CR119" i="99"/>
  <c r="CR171" i="99"/>
  <c r="CR10" i="99"/>
  <c r="CR33" i="99"/>
  <c r="CR111" i="99"/>
  <c r="CR112" i="99"/>
  <c r="CR24" i="99"/>
  <c r="CR83" i="99"/>
  <c r="CR20" i="99"/>
  <c r="CR22" i="99"/>
  <c r="CR5" i="99"/>
  <c r="CR21" i="99"/>
  <c r="CR166" i="99"/>
  <c r="CR8" i="99"/>
  <c r="CR161" i="99"/>
  <c r="CR31" i="99"/>
  <c r="CR29" i="99"/>
  <c r="CR14" i="99"/>
  <c r="CR169" i="99"/>
  <c r="CR212" i="99"/>
  <c r="CR208" i="99"/>
  <c r="CR162" i="99"/>
  <c r="CR201" i="99"/>
  <c r="CR219" i="99"/>
  <c r="CR9" i="99"/>
  <c r="CR7" i="99"/>
  <c r="CR164" i="99"/>
  <c r="CR87" i="99"/>
  <c r="CR116" i="99"/>
  <c r="CR115" i="99"/>
  <c r="CR206" i="99"/>
  <c r="CR76" i="99"/>
  <c r="CR18" i="99"/>
  <c r="CR221" i="99"/>
  <c r="CR174" i="99"/>
  <c r="CR205" i="99"/>
  <c r="CR69" i="99"/>
  <c r="CR124" i="99"/>
  <c r="CR35" i="99"/>
  <c r="CR120" i="99"/>
  <c r="CR84" i="99"/>
  <c r="CR6" i="99"/>
  <c r="CR36" i="99"/>
  <c r="CR156" i="99"/>
  <c r="CR118" i="99"/>
  <c r="CR40" i="99"/>
  <c r="CR11" i="99"/>
  <c r="CR34" i="99"/>
  <c r="CR213" i="99"/>
  <c r="CR25" i="99"/>
  <c r="CR207" i="99"/>
  <c r="CR42" i="99"/>
  <c r="CR132" i="99"/>
  <c r="CR113" i="99"/>
  <c r="CR81" i="99"/>
  <c r="CR170" i="99"/>
  <c r="CR37" i="99"/>
  <c r="CR214" i="99"/>
  <c r="CR159" i="99"/>
  <c r="CR123" i="99"/>
  <c r="CR167" i="99"/>
  <c r="CR121" i="99"/>
  <c r="CR165" i="99"/>
  <c r="CR172" i="99"/>
  <c r="CR27" i="99"/>
  <c r="CR23" i="99"/>
  <c r="CR215" i="99"/>
  <c r="CR73" i="99"/>
  <c r="CR79" i="99"/>
  <c r="CR158" i="99"/>
  <c r="CR125" i="99"/>
  <c r="CR155" i="99"/>
  <c r="CR220" i="99"/>
  <c r="CR160" i="99"/>
  <c r="F136" i="90"/>
  <c r="F168" i="90"/>
  <c r="F128" i="90"/>
  <c r="F117" i="90"/>
  <c r="F89" i="90"/>
  <c r="F38" i="90"/>
  <c r="F172" i="90"/>
  <c r="F44" i="90"/>
  <c r="F46" i="90"/>
  <c r="F207" i="90"/>
  <c r="F36" i="90"/>
  <c r="F179" i="90"/>
  <c r="F127" i="90"/>
  <c r="F73" i="90"/>
  <c r="F182" i="90"/>
  <c r="F33" i="90"/>
  <c r="F91" i="90"/>
  <c r="F221" i="90"/>
  <c r="F176" i="90"/>
  <c r="F34" i="90"/>
  <c r="F129" i="90"/>
  <c r="F219" i="90"/>
  <c r="F181" i="90"/>
  <c r="F215" i="90"/>
  <c r="F30" i="90"/>
  <c r="F28" i="90"/>
  <c r="F84" i="90"/>
  <c r="F169" i="90"/>
  <c r="F88" i="90"/>
  <c r="F74" i="90"/>
  <c r="F124" i="90"/>
  <c r="F208" i="90"/>
  <c r="F43" i="90"/>
  <c r="F78" i="90"/>
  <c r="F39" i="90"/>
  <c r="F163" i="90"/>
  <c r="F166" i="90"/>
  <c r="F180" i="90"/>
  <c r="F126" i="90"/>
  <c r="F211" i="90"/>
  <c r="F224" i="90"/>
  <c r="F131" i="90"/>
  <c r="F225" i="90"/>
  <c r="F178" i="90"/>
  <c r="F226" i="90"/>
  <c r="F222" i="90"/>
  <c r="F209" i="90"/>
  <c r="F217" i="90"/>
  <c r="F216" i="90"/>
  <c r="F80" i="90"/>
  <c r="F134" i="90"/>
  <c r="F184" i="90"/>
  <c r="F125" i="90"/>
  <c r="F218" i="90"/>
  <c r="F42" i="90"/>
  <c r="F93" i="90"/>
  <c r="F210" i="90"/>
  <c r="F40" i="90"/>
  <c r="F47" i="90"/>
  <c r="F86" i="90"/>
  <c r="F173" i="90"/>
  <c r="F171" i="90"/>
  <c r="F121" i="90"/>
  <c r="F118" i="90"/>
  <c r="F41" i="90"/>
  <c r="F165" i="90"/>
  <c r="F130" i="90"/>
  <c r="F223" i="90"/>
  <c r="F119" i="90"/>
  <c r="F94" i="90"/>
  <c r="F87" i="90"/>
  <c r="F220" i="90"/>
  <c r="F48" i="90"/>
  <c r="F212" i="90"/>
  <c r="F170" i="90"/>
  <c r="F132" i="90"/>
  <c r="F81" i="90"/>
  <c r="F162" i="90"/>
  <c r="F177" i="90"/>
  <c r="F92" i="90"/>
  <c r="F174" i="90"/>
  <c r="F75" i="90"/>
  <c r="F85" i="90"/>
  <c r="F183" i="90"/>
  <c r="F31" i="90"/>
  <c r="F32" i="90"/>
  <c r="F214" i="90"/>
  <c r="F90" i="90"/>
  <c r="F49" i="90"/>
  <c r="F82" i="90"/>
  <c r="F27" i="90"/>
  <c r="F123" i="90"/>
  <c r="F79" i="90"/>
  <c r="F72" i="90"/>
  <c r="F229" i="90"/>
  <c r="F35" i="90"/>
  <c r="F122" i="90"/>
  <c r="F137" i="90"/>
  <c r="F76" i="90"/>
  <c r="F133" i="90"/>
  <c r="F175" i="90"/>
  <c r="F139" i="90"/>
  <c r="F77" i="90"/>
  <c r="F29" i="90"/>
  <c r="F213" i="90"/>
  <c r="F227" i="90"/>
  <c r="F45" i="90"/>
  <c r="F138" i="90"/>
  <c r="F83" i="90"/>
  <c r="F120" i="90"/>
  <c r="F167" i="90"/>
  <c r="F164" i="90"/>
  <c r="F228" i="90"/>
  <c r="F37" i="90"/>
  <c r="F135" i="90"/>
  <c r="AP26" i="87"/>
  <c r="N24" i="95"/>
  <c r="AO24" i="95" s="1"/>
  <c r="B23" i="75"/>
  <c r="CM23" i="75" s="1"/>
  <c r="J26" i="84"/>
  <c r="M24" i="71"/>
  <c r="BO23" i="71" s="1"/>
  <c r="B23" i="74"/>
  <c r="B23" i="76"/>
  <c r="N23" i="72"/>
  <c r="AP23" i="72" s="1"/>
  <c r="Q23" i="70"/>
  <c r="BO23" i="70" s="1"/>
  <c r="N23" i="69"/>
  <c r="BJ23" i="69" s="1"/>
  <c r="N79" i="95"/>
  <c r="AO79" i="95" s="1"/>
  <c r="AP81" i="87"/>
  <c r="C33" i="75"/>
  <c r="ED33" i="75" s="1"/>
  <c r="J81" i="84"/>
  <c r="C33" i="76"/>
  <c r="C33" i="74"/>
  <c r="M79" i="71"/>
  <c r="BO78" i="71" s="1"/>
  <c r="Q78" i="70"/>
  <c r="BO78" i="70" s="1"/>
  <c r="N78" i="72"/>
  <c r="AP78" i="72" s="1"/>
  <c r="N78" i="69"/>
  <c r="BJ78" i="69" s="1"/>
  <c r="N80" i="95"/>
  <c r="AO80" i="95" s="1"/>
  <c r="AP82" i="87"/>
  <c r="C34" i="75"/>
  <c r="DI34" i="75" s="1"/>
  <c r="J82" i="84"/>
  <c r="M80" i="71"/>
  <c r="BO79" i="71" s="1"/>
  <c r="C34" i="76"/>
  <c r="C34" i="74"/>
  <c r="N79" i="72"/>
  <c r="AP79" i="72" s="1"/>
  <c r="N79" i="69"/>
  <c r="BJ79" i="69" s="1"/>
  <c r="Q79" i="70"/>
  <c r="BO79" i="70" s="1"/>
  <c r="W160" i="72"/>
  <c r="Q160" i="72"/>
  <c r="R163" i="84" s="1"/>
  <c r="AG163" i="84" s="1"/>
  <c r="Q205" i="72"/>
  <c r="R208" i="84" s="1"/>
  <c r="AG208" i="84" s="1"/>
  <c r="W205" i="72"/>
  <c r="B29" i="75"/>
  <c r="EC29" i="75" s="1"/>
  <c r="AP32" i="87"/>
  <c r="N30" i="95"/>
  <c r="AO30" i="95" s="1"/>
  <c r="J32" i="84"/>
  <c r="M30" i="71"/>
  <c r="BO29" i="71" s="1"/>
  <c r="B29" i="74"/>
  <c r="B29" i="76"/>
  <c r="N29" i="72"/>
  <c r="AP29" i="72" s="1"/>
  <c r="Q29" i="70"/>
  <c r="BO29" i="70" s="1"/>
  <c r="N29" i="69"/>
  <c r="BJ29" i="69" s="1"/>
  <c r="N160" i="95"/>
  <c r="AO160" i="95" s="1"/>
  <c r="AP162" i="87"/>
  <c r="E24" i="75"/>
  <c r="DK24" i="75" s="1"/>
  <c r="J162" i="84"/>
  <c r="E24" i="76"/>
  <c r="N159" i="72"/>
  <c r="AP159" i="72" s="1"/>
  <c r="Q159" i="70"/>
  <c r="BO159" i="70" s="1"/>
  <c r="M160" i="71"/>
  <c r="BO159" i="71" s="1"/>
  <c r="N159" i="69"/>
  <c r="BJ159" i="69" s="1"/>
  <c r="E24" i="74"/>
  <c r="Q111" i="72"/>
  <c r="R114" i="84" s="1"/>
  <c r="AG114" i="84" s="1"/>
  <c r="W111" i="72"/>
  <c r="C35" i="75"/>
  <c r="ED35" i="75" s="1"/>
  <c r="AP83" i="87"/>
  <c r="N81" i="95"/>
  <c r="AO81" i="95" s="1"/>
  <c r="J83" i="84"/>
  <c r="Q80" i="70"/>
  <c r="BO80" i="70" s="1"/>
  <c r="C35" i="74"/>
  <c r="N80" i="69"/>
  <c r="BJ80" i="69" s="1"/>
  <c r="C35" i="76"/>
  <c r="M81" i="71"/>
  <c r="BO80" i="71" s="1"/>
  <c r="N80" i="72"/>
  <c r="AP80" i="72" s="1"/>
  <c r="Q164" i="72"/>
  <c r="R167" i="84" s="1"/>
  <c r="AG167" i="84" s="1"/>
  <c r="W164" i="72"/>
  <c r="Q74" i="72"/>
  <c r="R77" i="84" s="1"/>
  <c r="AG77" i="84" s="1"/>
  <c r="W74" i="72"/>
  <c r="J135" i="84"/>
  <c r="N133" i="95"/>
  <c r="AO133" i="95" s="1"/>
  <c r="AP135" i="87"/>
  <c r="D42" i="75"/>
  <c r="BT42" i="75" s="1"/>
  <c r="M133" i="71"/>
  <c r="BO132" i="71" s="1"/>
  <c r="D42" i="74"/>
  <c r="D42" i="76"/>
  <c r="N132" i="72"/>
  <c r="AP132" i="72" s="1"/>
  <c r="Q132" i="70"/>
  <c r="BO132" i="70" s="1"/>
  <c r="V202" i="72"/>
  <c r="P202" i="72"/>
  <c r="Q205" i="84" s="1"/>
  <c r="AF205" i="84" s="1"/>
  <c r="N16" i="95"/>
  <c r="AO16" i="95" s="1"/>
  <c r="B15" i="75"/>
  <c r="EC15" i="75" s="1"/>
  <c r="J178" i="84"/>
  <c r="N176" i="95"/>
  <c r="AO176" i="95" s="1"/>
  <c r="AP178" i="87"/>
  <c r="E40" i="75"/>
  <c r="EF40" i="75" s="1"/>
  <c r="M176" i="71"/>
  <c r="BO175" i="71" s="1"/>
  <c r="Q175" i="70"/>
  <c r="BO175" i="70" s="1"/>
  <c r="N175" i="69"/>
  <c r="BJ175" i="69" s="1"/>
  <c r="E40" i="76"/>
  <c r="E40" i="74"/>
  <c r="N175" i="72"/>
  <c r="AP175" i="72" s="1"/>
  <c r="B10" i="75"/>
  <c r="EC10" i="75" s="1"/>
  <c r="N11" i="95"/>
  <c r="AO11" i="95" s="1"/>
  <c r="N17" i="95"/>
  <c r="AO17" i="95" s="1"/>
  <c r="B16" i="75"/>
  <c r="CM16" i="75" s="1"/>
  <c r="P25" i="72"/>
  <c r="Q28" i="84" s="1"/>
  <c r="AF28" i="84" s="1"/>
  <c r="V25" i="72"/>
  <c r="P24" i="72"/>
  <c r="Q27" i="84" s="1"/>
  <c r="AF27" i="84" s="1"/>
  <c r="V24" i="72"/>
  <c r="F41" i="75"/>
  <c r="EG41" i="75" s="1"/>
  <c r="N222" i="95"/>
  <c r="AO222" i="95" s="1"/>
  <c r="J224" i="84"/>
  <c r="AP224" i="87"/>
  <c r="M222" i="71"/>
  <c r="BO221" i="71" s="1"/>
  <c r="F41" i="74"/>
  <c r="N221" i="72"/>
  <c r="AP221" i="72" s="1"/>
  <c r="F41" i="76"/>
  <c r="Q221" i="70"/>
  <c r="BO221" i="70" s="1"/>
  <c r="N221" i="69"/>
  <c r="BJ221" i="69" s="1"/>
  <c r="J121" i="84"/>
  <c r="N119" i="95"/>
  <c r="AO119" i="95" s="1"/>
  <c r="D28" i="75"/>
  <c r="AB28" i="75" s="1"/>
  <c r="AP121" i="87"/>
  <c r="M119" i="71"/>
  <c r="BO118" i="71" s="1"/>
  <c r="D28" i="76"/>
  <c r="D28" i="74"/>
  <c r="N118" i="72"/>
  <c r="AP118" i="72" s="1"/>
  <c r="N118" i="69"/>
  <c r="BJ118" i="69" s="1"/>
  <c r="Q118" i="70"/>
  <c r="BO118" i="70" s="1"/>
  <c r="P155" i="72"/>
  <c r="Q158" i="84" s="1"/>
  <c r="AF158" i="84" s="1"/>
  <c r="V155" i="72"/>
  <c r="AP204" i="87"/>
  <c r="F21" i="75"/>
  <c r="AY21" i="75" s="1"/>
  <c r="J204" i="84"/>
  <c r="N202" i="95"/>
  <c r="AO202" i="95" s="1"/>
  <c r="M202" i="71"/>
  <c r="BO201" i="71" s="1"/>
  <c r="F21" i="76"/>
  <c r="F21" i="74"/>
  <c r="N201" i="72"/>
  <c r="AP201" i="72" s="1"/>
  <c r="Q201" i="70"/>
  <c r="BO201" i="70" s="1"/>
  <c r="N201" i="69"/>
  <c r="BJ201" i="69" s="1"/>
  <c r="J134" i="84"/>
  <c r="N132" i="95"/>
  <c r="AO132" i="95" s="1"/>
  <c r="D41" i="75"/>
  <c r="EE41" i="75" s="1"/>
  <c r="AP134" i="87"/>
  <c r="Q131" i="70"/>
  <c r="BO131" i="70" s="1"/>
  <c r="D41" i="74"/>
  <c r="N131" i="69"/>
  <c r="BJ131" i="69" s="1"/>
  <c r="D41" i="76"/>
  <c r="M132" i="71"/>
  <c r="BO131" i="71" s="1"/>
  <c r="N131" i="72"/>
  <c r="AP131" i="72" s="1"/>
  <c r="E42" i="75"/>
  <c r="DK42" i="75" s="1"/>
  <c r="AP180" i="87"/>
  <c r="J180" i="84"/>
  <c r="N178" i="95"/>
  <c r="AO178" i="95" s="1"/>
  <c r="E42" i="74"/>
  <c r="E42" i="76"/>
  <c r="M178" i="71"/>
  <c r="BO177" i="71" s="1"/>
  <c r="N177" i="72"/>
  <c r="AP177" i="72" s="1"/>
  <c r="Q177" i="70"/>
  <c r="BO177" i="70" s="1"/>
  <c r="N177" i="69"/>
  <c r="BJ177" i="69" s="1"/>
  <c r="J223" i="84"/>
  <c r="N221" i="95"/>
  <c r="AO221" i="95" s="1"/>
  <c r="F40" i="75"/>
  <c r="EG40" i="75" s="1"/>
  <c r="AP223" i="87"/>
  <c r="M221" i="71"/>
  <c r="BO220" i="71" s="1"/>
  <c r="N220" i="72"/>
  <c r="AP220" i="72" s="1"/>
  <c r="N220" i="69"/>
  <c r="BJ220" i="69" s="1"/>
  <c r="F40" i="76"/>
  <c r="Q220" i="70"/>
  <c r="BO220" i="70" s="1"/>
  <c r="F40" i="74"/>
  <c r="N37" i="95"/>
  <c r="AO37" i="95" s="1"/>
  <c r="B36" i="75"/>
  <c r="AU36" i="75" s="1"/>
  <c r="AP39" i="87"/>
  <c r="J39" i="84"/>
  <c r="B36" i="76"/>
  <c r="B36" i="74"/>
  <c r="N36" i="72"/>
  <c r="AP36" i="72" s="1"/>
  <c r="M37" i="71"/>
  <c r="BO36" i="71" s="1"/>
  <c r="Q36" i="70"/>
  <c r="BO36" i="70" s="1"/>
  <c r="N36" i="69"/>
  <c r="BJ36" i="69" s="1"/>
  <c r="Q161" i="72"/>
  <c r="R164" i="84" s="1"/>
  <c r="AG164" i="84" s="1"/>
  <c r="W161" i="72"/>
  <c r="V209" i="72"/>
  <c r="P209" i="72"/>
  <c r="Q212" i="84" s="1"/>
  <c r="AF212" i="84" s="1"/>
  <c r="J214" i="84"/>
  <c r="F31" i="75"/>
  <c r="DL31" i="75" s="1"/>
  <c r="N212" i="95"/>
  <c r="AO212" i="95" s="1"/>
  <c r="AP214" i="87"/>
  <c r="F31" i="76"/>
  <c r="Q211" i="70"/>
  <c r="BO211" i="70" s="1"/>
  <c r="N211" i="69"/>
  <c r="BJ211" i="69" s="1"/>
  <c r="N211" i="72"/>
  <c r="AP211" i="72" s="1"/>
  <c r="M212" i="71"/>
  <c r="BO211" i="71" s="1"/>
  <c r="F31" i="74"/>
  <c r="N41" i="69"/>
  <c r="BJ41" i="69" s="1"/>
  <c r="B41" i="75"/>
  <c r="Z41" i="75" s="1"/>
  <c r="N42" i="95"/>
  <c r="AO42" i="95" s="1"/>
  <c r="AP44" i="87"/>
  <c r="J44" i="84"/>
  <c r="Q41" i="70"/>
  <c r="BO41" i="70" s="1"/>
  <c r="B41" i="74"/>
  <c r="N41" i="72"/>
  <c r="AP41" i="72" s="1"/>
  <c r="B41" i="76"/>
  <c r="M42" i="71"/>
  <c r="BO41" i="71" s="1"/>
  <c r="AP126" i="87"/>
  <c r="N124" i="95"/>
  <c r="AO124" i="95" s="1"/>
  <c r="J126" i="84"/>
  <c r="D33" i="75"/>
  <c r="CO33" i="75" s="1"/>
  <c r="M124" i="71"/>
  <c r="BO123" i="71" s="1"/>
  <c r="D33" i="76"/>
  <c r="D33" i="74"/>
  <c r="N123" i="69"/>
  <c r="BJ123" i="69" s="1"/>
  <c r="Q123" i="70"/>
  <c r="BO123" i="70" s="1"/>
  <c r="N123" i="72"/>
  <c r="AP123" i="72" s="1"/>
  <c r="N167" i="95"/>
  <c r="AO167" i="95" s="1"/>
  <c r="E31" i="75"/>
  <c r="AX31" i="75" s="1"/>
  <c r="AP169" i="87"/>
  <c r="J169" i="84"/>
  <c r="E31" i="76"/>
  <c r="N166" i="72"/>
  <c r="AP166" i="72" s="1"/>
  <c r="Q166" i="70"/>
  <c r="BO166" i="70" s="1"/>
  <c r="M167" i="71"/>
  <c r="BO166" i="71" s="1"/>
  <c r="N166" i="69"/>
  <c r="BJ166" i="69" s="1"/>
  <c r="E31" i="74"/>
  <c r="B25" i="75"/>
  <c r="EC25" i="75" s="1"/>
  <c r="N26" i="95"/>
  <c r="AO26" i="95" s="1"/>
  <c r="AP28" i="87"/>
  <c r="J28" i="84"/>
  <c r="B25" i="76"/>
  <c r="B25" i="74"/>
  <c r="M26" i="71"/>
  <c r="BO25" i="71" s="1"/>
  <c r="Q25" i="70"/>
  <c r="BO25" i="70" s="1"/>
  <c r="N25" i="69"/>
  <c r="BJ25" i="69" s="1"/>
  <c r="N25" i="72"/>
  <c r="AP25" i="72" s="1"/>
  <c r="J132" i="84"/>
  <c r="N130" i="95"/>
  <c r="AO130" i="95" s="1"/>
  <c r="D39" i="75"/>
  <c r="EE39" i="75" s="1"/>
  <c r="AP132" i="87"/>
  <c r="N129" i="72"/>
  <c r="AP129" i="72" s="1"/>
  <c r="D39" i="76"/>
  <c r="Q129" i="70"/>
  <c r="BO129" i="70" s="1"/>
  <c r="D39" i="74"/>
  <c r="N129" i="69"/>
  <c r="BJ129" i="69" s="1"/>
  <c r="M130" i="71"/>
  <c r="BO129" i="71" s="1"/>
  <c r="AP31" i="87"/>
  <c r="N29" i="95"/>
  <c r="AO29" i="95" s="1"/>
  <c r="B28" i="75"/>
  <c r="BR28" i="75" s="1"/>
  <c r="J31" i="84"/>
  <c r="B28" i="74"/>
  <c r="B28" i="76"/>
  <c r="M29" i="71"/>
  <c r="BO28" i="71" s="1"/>
  <c r="Q28" i="70"/>
  <c r="BO28" i="70" s="1"/>
  <c r="N28" i="69"/>
  <c r="BJ28" i="69" s="1"/>
  <c r="N28" i="72"/>
  <c r="AP28" i="72" s="1"/>
  <c r="N201" i="95"/>
  <c r="AO201" i="95" s="1"/>
  <c r="J203" i="84"/>
  <c r="F20" i="75"/>
  <c r="EG20" i="75" s="1"/>
  <c r="AP203" i="87"/>
  <c r="M201" i="71"/>
  <c r="BO200" i="71" s="1"/>
  <c r="F20" i="74"/>
  <c r="F20" i="76"/>
  <c r="N200" i="72"/>
  <c r="AP200" i="72" s="1"/>
  <c r="Q200" i="70"/>
  <c r="BO200" i="70" s="1"/>
  <c r="N200" i="69"/>
  <c r="BJ200" i="69" s="1"/>
  <c r="N129" i="95"/>
  <c r="AO129" i="95" s="1"/>
  <c r="AP131" i="87"/>
  <c r="D38" i="75"/>
  <c r="DJ38" i="75" s="1"/>
  <c r="J131" i="84"/>
  <c r="D38" i="76"/>
  <c r="D38" i="74"/>
  <c r="N128" i="72"/>
  <c r="AP128" i="72" s="1"/>
  <c r="M129" i="71"/>
  <c r="BO128" i="71" s="1"/>
  <c r="Q128" i="70"/>
  <c r="BO128" i="70" s="1"/>
  <c r="N128" i="69"/>
  <c r="BJ128" i="69" s="1"/>
  <c r="V68" i="72"/>
  <c r="P68" i="72"/>
  <c r="Q71" i="84" s="1"/>
  <c r="AF71" i="84" s="1"/>
  <c r="W156" i="72"/>
  <c r="Q156" i="72"/>
  <c r="R159" i="84" s="1"/>
  <c r="AG159" i="84" s="1"/>
  <c r="P73" i="72"/>
  <c r="Q76" i="84" s="1"/>
  <c r="AF76" i="84" s="1"/>
  <c r="V73" i="72"/>
  <c r="V156" i="72"/>
  <c r="P156" i="72"/>
  <c r="Q159" i="84" s="1"/>
  <c r="AF159" i="84" s="1"/>
  <c r="W26" i="72"/>
  <c r="Q26" i="72"/>
  <c r="R29" i="84" s="1"/>
  <c r="AG29" i="84" s="1"/>
  <c r="N218" i="95"/>
  <c r="AO218" i="95" s="1"/>
  <c r="F37" i="75"/>
  <c r="EG37" i="75" s="1"/>
  <c r="J220" i="84"/>
  <c r="AP220" i="87"/>
  <c r="F37" i="76"/>
  <c r="Q217" i="70"/>
  <c r="BO217" i="70" s="1"/>
  <c r="N217" i="72"/>
  <c r="AP217" i="72" s="1"/>
  <c r="F37" i="74"/>
  <c r="N217" i="69"/>
  <c r="BJ217" i="69" s="1"/>
  <c r="M218" i="71"/>
  <c r="BO217" i="71" s="1"/>
  <c r="AP38" i="87"/>
  <c r="N36" i="95"/>
  <c r="AO36" i="95" s="1"/>
  <c r="B35" i="75"/>
  <c r="EC35" i="75" s="1"/>
  <c r="J38" i="84"/>
  <c r="B35" i="74"/>
  <c r="B35" i="76"/>
  <c r="M36" i="71"/>
  <c r="BO35" i="71" s="1"/>
  <c r="N35" i="69"/>
  <c r="BJ35" i="69" s="1"/>
  <c r="Q35" i="70"/>
  <c r="BO35" i="70" s="1"/>
  <c r="N35" i="72"/>
  <c r="AP35" i="72" s="1"/>
  <c r="Q25" i="72"/>
  <c r="R28" i="84" s="1"/>
  <c r="AG28" i="84" s="1"/>
  <c r="W25" i="72"/>
  <c r="N86" i="95"/>
  <c r="AO86" i="95" s="1"/>
  <c r="C40" i="75"/>
  <c r="ED40" i="75" s="1"/>
  <c r="AP88" i="87"/>
  <c r="J88" i="84"/>
  <c r="M86" i="71"/>
  <c r="BO85" i="71" s="1"/>
  <c r="C40" i="74"/>
  <c r="C40" i="76"/>
  <c r="N85" i="72"/>
  <c r="AP85" i="72" s="1"/>
  <c r="Q85" i="70"/>
  <c r="BO85" i="70" s="1"/>
  <c r="N85" i="69"/>
  <c r="BJ85" i="69" s="1"/>
  <c r="Q69" i="72"/>
  <c r="R72" i="84" s="1"/>
  <c r="AG72" i="84" s="1"/>
  <c r="W69" i="72"/>
  <c r="D26" i="75"/>
  <c r="EE26" i="75" s="1"/>
  <c r="J119" i="84"/>
  <c r="AP119" i="87"/>
  <c r="N117" i="95"/>
  <c r="AO117" i="95" s="1"/>
  <c r="Q116" i="70"/>
  <c r="BO116" i="70" s="1"/>
  <c r="D26" i="76"/>
  <c r="N116" i="69"/>
  <c r="BJ116" i="69" s="1"/>
  <c r="D26" i="74"/>
  <c r="M117" i="71"/>
  <c r="BO116" i="71" s="1"/>
  <c r="N116" i="72"/>
  <c r="AP116" i="72" s="1"/>
  <c r="AP206" i="87"/>
  <c r="J206" i="84"/>
  <c r="N204" i="95"/>
  <c r="AO204" i="95" s="1"/>
  <c r="F23" i="75"/>
  <c r="DL23" i="75" s="1"/>
  <c r="F23" i="76"/>
  <c r="F23" i="74"/>
  <c r="M204" i="71"/>
  <c r="BO203" i="71" s="1"/>
  <c r="N203" i="69"/>
  <c r="BJ203" i="69" s="1"/>
  <c r="Q203" i="70"/>
  <c r="BO203" i="70" s="1"/>
  <c r="N203" i="72"/>
  <c r="AP203" i="72" s="1"/>
  <c r="E32" i="75"/>
  <c r="EF32" i="75" s="1"/>
  <c r="AP170" i="87"/>
  <c r="N168" i="95"/>
  <c r="AO168" i="95" s="1"/>
  <c r="J170" i="84"/>
  <c r="E32" i="76"/>
  <c r="E32" i="74"/>
  <c r="M168" i="71"/>
  <c r="BO167" i="71" s="1"/>
  <c r="N167" i="69"/>
  <c r="BJ167" i="69" s="1"/>
  <c r="N167" i="72"/>
  <c r="AP167" i="72" s="1"/>
  <c r="Q167" i="70"/>
  <c r="BO167" i="70" s="1"/>
  <c r="N161" i="95"/>
  <c r="AO161" i="95" s="1"/>
  <c r="J163" i="84"/>
  <c r="E25" i="75"/>
  <c r="EF25" i="75" s="1"/>
  <c r="AP163" i="87"/>
  <c r="E25" i="74"/>
  <c r="M161" i="71"/>
  <c r="BO160" i="71" s="1"/>
  <c r="E25" i="76"/>
  <c r="N160" i="72"/>
  <c r="AP160" i="72" s="1"/>
  <c r="Q160" i="70"/>
  <c r="BO160" i="70" s="1"/>
  <c r="N160" i="69"/>
  <c r="BJ160" i="69" s="1"/>
  <c r="V113" i="72"/>
  <c r="P113" i="72"/>
  <c r="Q116" i="84" s="1"/>
  <c r="AF116" i="84" s="1"/>
  <c r="AP23" i="87"/>
  <c r="J23" i="84"/>
  <c r="B20" i="75"/>
  <c r="Z20" i="75" s="1"/>
  <c r="N21" i="95"/>
  <c r="AO21" i="95" s="1"/>
  <c r="M21" i="71"/>
  <c r="BO20" i="71" s="1"/>
  <c r="B20" i="76"/>
  <c r="B20" i="74"/>
  <c r="N20" i="72"/>
  <c r="AP20" i="72" s="1"/>
  <c r="Q20" i="70"/>
  <c r="BO20" i="70" s="1"/>
  <c r="N20" i="69"/>
  <c r="BJ20" i="69" s="1"/>
  <c r="Q72" i="72"/>
  <c r="R75" i="84" s="1"/>
  <c r="AG75" i="84" s="1"/>
  <c r="W72" i="72"/>
  <c r="W116" i="72"/>
  <c r="Q116" i="72"/>
  <c r="R119" i="84" s="1"/>
  <c r="AG119" i="84" s="1"/>
  <c r="AP24" i="87"/>
  <c r="J24" i="84"/>
  <c r="N22" i="95"/>
  <c r="AO22" i="95" s="1"/>
  <c r="B21" i="75"/>
  <c r="CM21" i="75" s="1"/>
  <c r="B21" i="76"/>
  <c r="B21" i="74"/>
  <c r="M22" i="71"/>
  <c r="BO21" i="71" s="1"/>
  <c r="N21" i="72"/>
  <c r="AP21" i="72" s="1"/>
  <c r="Q21" i="70"/>
  <c r="BO21" i="70" s="1"/>
  <c r="N21" i="69"/>
  <c r="BJ21" i="69" s="1"/>
  <c r="V65" i="72"/>
  <c r="P65" i="72"/>
  <c r="Q68" i="84" s="1"/>
  <c r="AF68" i="84" s="1"/>
  <c r="N8" i="95"/>
  <c r="AO8" i="95" s="1"/>
  <c r="B7" i="75"/>
  <c r="EC7" i="75" s="1"/>
  <c r="AP27" i="87"/>
  <c r="N25" i="95"/>
  <c r="AO25" i="95" s="1"/>
  <c r="B24" i="75"/>
  <c r="BR24" i="75" s="1"/>
  <c r="J27" i="84"/>
  <c r="B24" i="74"/>
  <c r="B24" i="76"/>
  <c r="M25" i="71"/>
  <c r="BO24" i="71" s="1"/>
  <c r="N24" i="69"/>
  <c r="BJ24" i="69" s="1"/>
  <c r="Q24" i="70"/>
  <c r="BO24" i="70" s="1"/>
  <c r="N24" i="72"/>
  <c r="AP24" i="72" s="1"/>
  <c r="W115" i="72"/>
  <c r="Q115" i="72"/>
  <c r="R118" i="84" s="1"/>
  <c r="AG118" i="84" s="1"/>
  <c r="Q163" i="72"/>
  <c r="R166" i="84" s="1"/>
  <c r="AG166" i="84" s="1"/>
  <c r="W163" i="72"/>
  <c r="V116" i="72"/>
  <c r="P116" i="72"/>
  <c r="Q119" i="84" s="1"/>
  <c r="AF119" i="84" s="1"/>
  <c r="J172" i="84"/>
  <c r="E34" i="75"/>
  <c r="EF34" i="75" s="1"/>
  <c r="AP172" i="87"/>
  <c r="N170" i="95"/>
  <c r="AO170" i="95" s="1"/>
  <c r="Q169" i="70"/>
  <c r="BO169" i="70" s="1"/>
  <c r="E34" i="76"/>
  <c r="N169" i="69"/>
  <c r="BJ169" i="69" s="1"/>
  <c r="E34" i="74"/>
  <c r="M170" i="71"/>
  <c r="BO169" i="71" s="1"/>
  <c r="N169" i="72"/>
  <c r="AP169" i="72" s="1"/>
  <c r="P205" i="72"/>
  <c r="Q208" i="84" s="1"/>
  <c r="AF208" i="84" s="1"/>
  <c r="V205" i="72"/>
  <c r="V164" i="72"/>
  <c r="P164" i="72"/>
  <c r="Q167" i="84" s="1"/>
  <c r="AF167" i="84" s="1"/>
  <c r="N68" i="95"/>
  <c r="AO68" i="95" s="1"/>
  <c r="C22" i="75"/>
  <c r="DI22" i="75" s="1"/>
  <c r="J70" i="84"/>
  <c r="AP70" i="87"/>
  <c r="M68" i="71"/>
  <c r="BO67" i="71" s="1"/>
  <c r="C22" i="76"/>
  <c r="C22" i="74"/>
  <c r="N67" i="69"/>
  <c r="BJ67" i="69" s="1"/>
  <c r="Q67" i="70"/>
  <c r="BO67" i="70" s="1"/>
  <c r="N67" i="72"/>
  <c r="AP67" i="72" s="1"/>
  <c r="N111" i="95"/>
  <c r="AO111" i="95" s="1"/>
  <c r="J113" i="84"/>
  <c r="D20" i="75"/>
  <c r="AB20" i="75" s="1"/>
  <c r="AP113" i="87"/>
  <c r="M111" i="71"/>
  <c r="BO110" i="71" s="1"/>
  <c r="D20" i="74"/>
  <c r="D20" i="76"/>
  <c r="N110" i="72"/>
  <c r="AP110" i="72" s="1"/>
  <c r="Q110" i="70"/>
  <c r="BO110" i="70" s="1"/>
  <c r="N110" i="69"/>
  <c r="BJ110" i="69" s="1"/>
  <c r="W200" i="72"/>
  <c r="Q200" i="72"/>
  <c r="R203" i="84" s="1"/>
  <c r="AG203" i="84" s="1"/>
  <c r="Q24" i="72"/>
  <c r="R27" i="84" s="1"/>
  <c r="AG27" i="84" s="1"/>
  <c r="W24" i="72"/>
  <c r="N172" i="95"/>
  <c r="AO172" i="95" s="1"/>
  <c r="AP174" i="87"/>
  <c r="J174" i="84"/>
  <c r="E36" i="75"/>
  <c r="BU36" i="75" s="1"/>
  <c r="E36" i="74"/>
  <c r="N171" i="72"/>
  <c r="AP171" i="72" s="1"/>
  <c r="N171" i="69"/>
  <c r="BJ171" i="69" s="1"/>
  <c r="M172" i="71"/>
  <c r="BO171" i="71" s="1"/>
  <c r="Q171" i="70"/>
  <c r="BO171" i="70" s="1"/>
  <c r="E36" i="76"/>
  <c r="N127" i="95"/>
  <c r="AO127" i="95" s="1"/>
  <c r="D36" i="75"/>
  <c r="EE36" i="75" s="1"/>
  <c r="J129" i="84"/>
  <c r="AP129" i="87"/>
  <c r="D36" i="76"/>
  <c r="D36" i="74"/>
  <c r="M127" i="71"/>
  <c r="BO126" i="71" s="1"/>
  <c r="N126" i="69"/>
  <c r="BJ126" i="69" s="1"/>
  <c r="N126" i="72"/>
  <c r="AP126" i="72" s="1"/>
  <c r="Q126" i="70"/>
  <c r="BO126" i="70" s="1"/>
  <c r="J221" i="84"/>
  <c r="F38" i="75"/>
  <c r="EG38" i="75" s="1"/>
  <c r="N219" i="95"/>
  <c r="AO219" i="95" s="1"/>
  <c r="AP221" i="87"/>
  <c r="M219" i="71"/>
  <c r="BO218" i="71" s="1"/>
  <c r="F38" i="76"/>
  <c r="F38" i="74"/>
  <c r="N218" i="72"/>
  <c r="AP218" i="72" s="1"/>
  <c r="N218" i="69"/>
  <c r="BJ218" i="69" s="1"/>
  <c r="Q218" i="70"/>
  <c r="BO218" i="70" s="1"/>
  <c r="AP205" i="87"/>
  <c r="F22" i="75"/>
  <c r="DL22" i="75" s="1"/>
  <c r="N203" i="95"/>
  <c r="AO203" i="95" s="1"/>
  <c r="J205" i="84"/>
  <c r="F22" i="74"/>
  <c r="F22" i="76"/>
  <c r="M203" i="71"/>
  <c r="BO202" i="71" s="1"/>
  <c r="N202" i="72"/>
  <c r="AP202" i="72" s="1"/>
  <c r="N202" i="69"/>
  <c r="BJ202" i="69" s="1"/>
  <c r="Q202" i="70"/>
  <c r="BO202" i="70" s="1"/>
  <c r="C39" i="75"/>
  <c r="AA39" i="75" s="1"/>
  <c r="AP87" i="87"/>
  <c r="J87" i="84"/>
  <c r="N85" i="95"/>
  <c r="AO85" i="95" s="1"/>
  <c r="M85" i="71"/>
  <c r="BO84" i="71" s="1"/>
  <c r="N84" i="72"/>
  <c r="AP84" i="72" s="1"/>
  <c r="N84" i="69"/>
  <c r="BJ84" i="69" s="1"/>
  <c r="C39" i="76"/>
  <c r="C39" i="74"/>
  <c r="Q84" i="70"/>
  <c r="BO84" i="70" s="1"/>
  <c r="P161" i="72"/>
  <c r="Q164" i="84" s="1"/>
  <c r="AF164" i="84" s="1"/>
  <c r="V161" i="72"/>
  <c r="W67" i="72"/>
  <c r="Q67" i="72"/>
  <c r="R70" i="84" s="1"/>
  <c r="AG70" i="84" s="1"/>
  <c r="J72" i="84"/>
  <c r="N70" i="95"/>
  <c r="AO70" i="95" s="1"/>
  <c r="AP72" i="87"/>
  <c r="C24" i="75"/>
  <c r="DI24" i="75" s="1"/>
  <c r="M70" i="71"/>
  <c r="BO69" i="71" s="1"/>
  <c r="N69" i="72"/>
  <c r="AP69" i="72" s="1"/>
  <c r="Q69" i="70"/>
  <c r="BO69" i="70" s="1"/>
  <c r="N69" i="69"/>
  <c r="BJ69" i="69" s="1"/>
  <c r="C24" i="74"/>
  <c r="C24" i="76"/>
  <c r="P115" i="72"/>
  <c r="Q118" i="84" s="1"/>
  <c r="AF118" i="84" s="1"/>
  <c r="V115" i="72"/>
  <c r="P206" i="72"/>
  <c r="Q209" i="84" s="1"/>
  <c r="AF209" i="84" s="1"/>
  <c r="V206" i="72"/>
  <c r="V201" i="72"/>
  <c r="P201" i="72"/>
  <c r="Q204" i="84" s="1"/>
  <c r="AF204" i="84" s="1"/>
  <c r="N177" i="95"/>
  <c r="AO177" i="95" s="1"/>
  <c r="E41" i="75"/>
  <c r="EF41" i="75" s="1"/>
  <c r="AP179" i="87"/>
  <c r="J179" i="84"/>
  <c r="N176" i="72"/>
  <c r="AP176" i="72" s="1"/>
  <c r="E41" i="74"/>
  <c r="N176" i="69"/>
  <c r="BJ176" i="69" s="1"/>
  <c r="E41" i="76"/>
  <c r="Q176" i="70"/>
  <c r="BO176" i="70" s="1"/>
  <c r="M177" i="71"/>
  <c r="BO176" i="71" s="1"/>
  <c r="J89" i="84"/>
  <c r="AP89" i="87"/>
  <c r="N87" i="95"/>
  <c r="AO87" i="95" s="1"/>
  <c r="C41" i="75"/>
  <c r="ED41" i="75" s="1"/>
  <c r="C41" i="74"/>
  <c r="C41" i="76"/>
  <c r="M87" i="71"/>
  <c r="BO86" i="71" s="1"/>
  <c r="N86" i="72"/>
  <c r="AP86" i="72" s="1"/>
  <c r="N86" i="69"/>
  <c r="BJ86" i="69" s="1"/>
  <c r="Q86" i="70"/>
  <c r="BO86" i="70" s="1"/>
  <c r="V159" i="72"/>
  <c r="P159" i="72"/>
  <c r="Q162" i="84" s="1"/>
  <c r="AF162" i="84" s="1"/>
  <c r="P67" i="72"/>
  <c r="Q70" i="84" s="1"/>
  <c r="AF70" i="84" s="1"/>
  <c r="V67" i="72"/>
  <c r="B19" i="75"/>
  <c r="EC19" i="75" s="1"/>
  <c r="N20" i="95"/>
  <c r="AO20" i="95" s="1"/>
  <c r="N78" i="95"/>
  <c r="AO78" i="95" s="1"/>
  <c r="C32" i="75"/>
  <c r="ED32" i="75" s="1"/>
  <c r="J80" i="84"/>
  <c r="AP80" i="87"/>
  <c r="M78" i="71"/>
  <c r="BO77" i="71" s="1"/>
  <c r="N77" i="72"/>
  <c r="AP77" i="72" s="1"/>
  <c r="Q77" i="70"/>
  <c r="BO77" i="70" s="1"/>
  <c r="C32" i="76"/>
  <c r="N77" i="69"/>
  <c r="BJ77" i="69" s="1"/>
  <c r="C32" i="74"/>
  <c r="P23" i="72"/>
  <c r="Q26" i="84" s="1"/>
  <c r="AF26" i="84" s="1"/>
  <c r="V23" i="72"/>
  <c r="W113" i="72"/>
  <c r="Q113" i="72"/>
  <c r="R116" i="84" s="1"/>
  <c r="AG116" i="84" s="1"/>
  <c r="V119" i="72"/>
  <c r="P119" i="72"/>
  <c r="Q122" i="84" s="1"/>
  <c r="AF122" i="84" s="1"/>
  <c r="W202" i="72"/>
  <c r="Q202" i="72"/>
  <c r="R205" i="84" s="1"/>
  <c r="AG205" i="84" s="1"/>
  <c r="V160" i="72"/>
  <c r="P160" i="72"/>
  <c r="Q163" i="84" s="1"/>
  <c r="AF163" i="84" s="1"/>
  <c r="AP29" i="87"/>
  <c r="J29" i="84"/>
  <c r="N27" i="95"/>
  <c r="AO27" i="95" s="1"/>
  <c r="B26" i="75"/>
  <c r="DH26" i="75" s="1"/>
  <c r="M27" i="71"/>
  <c r="BO26" i="71" s="1"/>
  <c r="B26" i="76"/>
  <c r="B26" i="74"/>
  <c r="N26" i="72"/>
  <c r="AP26" i="72" s="1"/>
  <c r="Q26" i="70"/>
  <c r="BO26" i="70" s="1"/>
  <c r="N26" i="69"/>
  <c r="BJ26" i="69" s="1"/>
  <c r="C23" i="75"/>
  <c r="ED23" i="75" s="1"/>
  <c r="AP71" i="87"/>
  <c r="N69" i="95"/>
  <c r="AO69" i="95" s="1"/>
  <c r="J71" i="84"/>
  <c r="C23" i="74"/>
  <c r="C23" i="76"/>
  <c r="M69" i="71"/>
  <c r="BO68" i="71" s="1"/>
  <c r="N68" i="72"/>
  <c r="AP68" i="72" s="1"/>
  <c r="N68" i="69"/>
  <c r="BJ68" i="69" s="1"/>
  <c r="Q68" i="70"/>
  <c r="BO68" i="70" s="1"/>
  <c r="W155" i="72"/>
  <c r="Q155" i="72"/>
  <c r="R158" i="84" s="1"/>
  <c r="AG158" i="84" s="1"/>
  <c r="W206" i="72"/>
  <c r="Q206" i="72"/>
  <c r="R209" i="84" s="1"/>
  <c r="AG209" i="84" s="1"/>
  <c r="W208" i="72"/>
  <c r="Q208" i="72"/>
  <c r="R211" i="84" s="1"/>
  <c r="AG211" i="84" s="1"/>
  <c r="W110" i="72"/>
  <c r="Q110" i="72"/>
  <c r="R113" i="84" s="1"/>
  <c r="AG113" i="84" s="1"/>
  <c r="N210" i="95"/>
  <c r="AO210" i="95" s="1"/>
  <c r="J212" i="84"/>
  <c r="AP212" i="87"/>
  <c r="F29" i="75"/>
  <c r="BV29" i="75" s="1"/>
  <c r="F29" i="76"/>
  <c r="M210" i="71"/>
  <c r="BO209" i="71" s="1"/>
  <c r="F29" i="74"/>
  <c r="Q209" i="70"/>
  <c r="BO209" i="70" s="1"/>
  <c r="N209" i="69"/>
  <c r="BJ209" i="69" s="1"/>
  <c r="N209" i="72"/>
  <c r="AP209" i="72" s="1"/>
  <c r="Q66" i="72"/>
  <c r="R69" i="84" s="1"/>
  <c r="AG69" i="84" s="1"/>
  <c r="W66" i="72"/>
  <c r="Q71" i="72"/>
  <c r="R74" i="84" s="1"/>
  <c r="AG74" i="84" s="1"/>
  <c r="W71" i="72"/>
  <c r="AP124" i="87"/>
  <c r="N122" i="95"/>
  <c r="AO122" i="95" s="1"/>
  <c r="D31" i="75"/>
  <c r="EE31" i="75" s="1"/>
  <c r="J124" i="84"/>
  <c r="M122" i="71"/>
  <c r="BO121" i="71" s="1"/>
  <c r="Q121" i="70"/>
  <c r="BO121" i="70" s="1"/>
  <c r="N121" i="69"/>
  <c r="BJ121" i="69" s="1"/>
  <c r="D31" i="74"/>
  <c r="D31" i="76"/>
  <c r="N121" i="72"/>
  <c r="AP121" i="72" s="1"/>
  <c r="J165" i="84"/>
  <c r="E27" i="75"/>
  <c r="AC27" i="75" s="1"/>
  <c r="N163" i="95"/>
  <c r="AO163" i="95" s="1"/>
  <c r="AP165" i="87"/>
  <c r="E27" i="74"/>
  <c r="M163" i="71"/>
  <c r="BO162" i="71" s="1"/>
  <c r="E27" i="76"/>
  <c r="N162" i="72"/>
  <c r="AP162" i="72" s="1"/>
  <c r="N162" i="69"/>
  <c r="BJ162" i="69" s="1"/>
  <c r="Q162" i="70"/>
  <c r="BO162" i="70" s="1"/>
  <c r="P111" i="72"/>
  <c r="Q114" i="84" s="1"/>
  <c r="AF114" i="84" s="1"/>
  <c r="V111" i="72"/>
  <c r="W21" i="72"/>
  <c r="Q21" i="72"/>
  <c r="R24" i="84" s="1"/>
  <c r="AG24" i="84" s="1"/>
  <c r="W119" i="72"/>
  <c r="Q119" i="72"/>
  <c r="R122" i="84" s="1"/>
  <c r="AG122" i="84" s="1"/>
  <c r="E20" i="75"/>
  <c r="CP20" i="75" s="1"/>
  <c r="J158" i="84"/>
  <c r="AP158" i="87"/>
  <c r="N156" i="95"/>
  <c r="AO156" i="95" s="1"/>
  <c r="E20" i="74"/>
  <c r="M156" i="71"/>
  <c r="BO155" i="71" s="1"/>
  <c r="E20" i="76"/>
  <c r="N155" i="72"/>
  <c r="AP155" i="72" s="1"/>
  <c r="Q155" i="70"/>
  <c r="BO155" i="70" s="1"/>
  <c r="N155" i="69"/>
  <c r="BJ155" i="69" s="1"/>
  <c r="W159" i="72"/>
  <c r="Q159" i="72"/>
  <c r="R162" i="84" s="1"/>
  <c r="AG162" i="84" s="1"/>
  <c r="D24" i="75"/>
  <c r="EE24" i="75" s="1"/>
  <c r="N115" i="95"/>
  <c r="AO115" i="95" s="1"/>
  <c r="J117" i="84"/>
  <c r="AP117" i="87"/>
  <c r="D24" i="74"/>
  <c r="D24" i="76"/>
  <c r="M115" i="71"/>
  <c r="BO114" i="71" s="1"/>
  <c r="N114" i="72"/>
  <c r="AP114" i="72" s="1"/>
  <c r="Q114" i="70"/>
  <c r="BO114" i="70" s="1"/>
  <c r="N114" i="69"/>
  <c r="BJ114" i="69" s="1"/>
  <c r="V110" i="72"/>
  <c r="P110" i="72"/>
  <c r="Q113" i="84" s="1"/>
  <c r="AF113" i="84" s="1"/>
  <c r="N131" i="95"/>
  <c r="AO131" i="95" s="1"/>
  <c r="J133" i="84"/>
  <c r="D40" i="75"/>
  <c r="EE40" i="75" s="1"/>
  <c r="AP133" i="87"/>
  <c r="D40" i="74"/>
  <c r="D40" i="76"/>
  <c r="M131" i="71"/>
  <c r="BO130" i="71" s="1"/>
  <c r="N130" i="72"/>
  <c r="AP130" i="72" s="1"/>
  <c r="Q130" i="70"/>
  <c r="BO130" i="70" s="1"/>
  <c r="N130" i="69"/>
  <c r="BJ130" i="69" s="1"/>
  <c r="V163" i="72"/>
  <c r="P163" i="72"/>
  <c r="Q166" i="84" s="1"/>
  <c r="AF166" i="84" s="1"/>
  <c r="N15" i="95"/>
  <c r="AO15" i="95" s="1"/>
  <c r="B14" i="75"/>
  <c r="DH14" i="75" s="1"/>
  <c r="N77" i="95"/>
  <c r="AO77" i="95" s="1"/>
  <c r="AP79" i="87"/>
  <c r="J79" i="84"/>
  <c r="C31" i="75"/>
  <c r="BS31" i="75" s="1"/>
  <c r="M77" i="71"/>
  <c r="BO76" i="71" s="1"/>
  <c r="N76" i="72"/>
  <c r="AP76" i="72" s="1"/>
  <c r="Q76" i="70"/>
  <c r="BO76" i="70" s="1"/>
  <c r="C31" i="74"/>
  <c r="C31" i="76"/>
  <c r="N76" i="69"/>
  <c r="BJ76" i="69" s="1"/>
  <c r="Q203" i="72"/>
  <c r="R206" i="84" s="1"/>
  <c r="AG206" i="84" s="1"/>
  <c r="W203" i="72"/>
  <c r="P26" i="72"/>
  <c r="Q29" i="84" s="1"/>
  <c r="AF29" i="84" s="1"/>
  <c r="V26" i="72"/>
  <c r="P71" i="72"/>
  <c r="Q74" i="84" s="1"/>
  <c r="AF74" i="84" s="1"/>
  <c r="V71" i="72"/>
  <c r="J122" i="84"/>
  <c r="N120" i="95"/>
  <c r="AO120" i="95" s="1"/>
  <c r="D29" i="75"/>
  <c r="EE29" i="75" s="1"/>
  <c r="AP122" i="87"/>
  <c r="D29" i="74"/>
  <c r="D29" i="76"/>
  <c r="M120" i="71"/>
  <c r="BO119" i="71" s="1"/>
  <c r="N119" i="72"/>
  <c r="AP119" i="72" s="1"/>
  <c r="Q119" i="70"/>
  <c r="BO119" i="70" s="1"/>
  <c r="N119" i="69"/>
  <c r="BJ119" i="69" s="1"/>
  <c r="Q162" i="72"/>
  <c r="R165" i="84" s="1"/>
  <c r="AG165" i="84" s="1"/>
  <c r="W162" i="72"/>
  <c r="V20" i="72"/>
  <c r="P20" i="72"/>
  <c r="Q23" i="84" s="1"/>
  <c r="AF23" i="84" s="1"/>
  <c r="J114" i="84"/>
  <c r="D21" i="76"/>
  <c r="D21" i="74"/>
  <c r="D21" i="75"/>
  <c r="EE21" i="75" s="1"/>
  <c r="M112" i="71"/>
  <c r="BO111" i="71" s="1"/>
  <c r="AP114" i="87"/>
  <c r="N112" i="95"/>
  <c r="AO112" i="95" s="1"/>
  <c r="Q111" i="70"/>
  <c r="BO111" i="70" s="1"/>
  <c r="N111" i="69"/>
  <c r="BJ111" i="69" s="1"/>
  <c r="N111" i="72"/>
  <c r="AP111" i="72" s="1"/>
  <c r="W23" i="72"/>
  <c r="Q23" i="72"/>
  <c r="R26" i="84" s="1"/>
  <c r="AG26" i="84" s="1"/>
  <c r="N13" i="95"/>
  <c r="AO13" i="95" s="1"/>
  <c r="B12" i="75"/>
  <c r="DH12" i="75" s="1"/>
  <c r="J41" i="84"/>
  <c r="B38" i="75"/>
  <c r="CM38" i="75" s="1"/>
  <c r="N39" i="95"/>
  <c r="AO39" i="95" s="1"/>
  <c r="AP41" i="87"/>
  <c r="B38" i="76"/>
  <c r="B38" i="74"/>
  <c r="N38" i="72"/>
  <c r="AP38" i="72" s="1"/>
  <c r="M39" i="71"/>
  <c r="BO38" i="71" s="1"/>
  <c r="Q38" i="70"/>
  <c r="BO38" i="70" s="1"/>
  <c r="N38" i="69"/>
  <c r="BJ38" i="69" s="1"/>
  <c r="Q204" i="72"/>
  <c r="R207" i="84" s="1"/>
  <c r="AG207" i="84" s="1"/>
  <c r="W204" i="72"/>
  <c r="J30" i="84"/>
  <c r="N28" i="95"/>
  <c r="AO28" i="95" s="1"/>
  <c r="B27" i="75"/>
  <c r="EC27" i="75" s="1"/>
  <c r="AP30" i="87"/>
  <c r="B27" i="76"/>
  <c r="B27" i="74"/>
  <c r="M28" i="71"/>
  <c r="BO27" i="71" s="1"/>
  <c r="Q27" i="70"/>
  <c r="BO27" i="70" s="1"/>
  <c r="N27" i="69"/>
  <c r="BJ27" i="69" s="1"/>
  <c r="N27" i="72"/>
  <c r="AP27" i="72" s="1"/>
  <c r="N74" i="95"/>
  <c r="AO74" i="95" s="1"/>
  <c r="C28" i="75"/>
  <c r="AV28" i="75" s="1"/>
  <c r="J76" i="84"/>
  <c r="AP76" i="87"/>
  <c r="M74" i="71"/>
  <c r="BO73" i="71" s="1"/>
  <c r="N73" i="72"/>
  <c r="AP73" i="72" s="1"/>
  <c r="Q73" i="70"/>
  <c r="BO73" i="70" s="1"/>
  <c r="C28" i="76"/>
  <c r="N73" i="69"/>
  <c r="BJ73" i="69" s="1"/>
  <c r="C28" i="74"/>
  <c r="V72" i="72"/>
  <c r="P72" i="72"/>
  <c r="Q75" i="84" s="1"/>
  <c r="AF75" i="84" s="1"/>
  <c r="N159" i="95"/>
  <c r="AO159" i="95" s="1"/>
  <c r="AP161" i="87"/>
  <c r="J161" i="84"/>
  <c r="E23" i="75"/>
  <c r="CP23" i="75" s="1"/>
  <c r="M159" i="71"/>
  <c r="BO158" i="71" s="1"/>
  <c r="N158" i="69"/>
  <c r="BJ158" i="69" s="1"/>
  <c r="Q158" i="70"/>
  <c r="BO158" i="70" s="1"/>
  <c r="E23" i="76"/>
  <c r="E23" i="74"/>
  <c r="N158" i="72"/>
  <c r="AP158" i="72" s="1"/>
  <c r="AP215" i="87"/>
  <c r="J215" i="84"/>
  <c r="N213" i="95"/>
  <c r="AO213" i="95" s="1"/>
  <c r="F32" i="75"/>
  <c r="AY32" i="75" s="1"/>
  <c r="F32" i="76"/>
  <c r="M213" i="71"/>
  <c r="BO212" i="71" s="1"/>
  <c r="F32" i="74"/>
  <c r="N212" i="72"/>
  <c r="AP212" i="72" s="1"/>
  <c r="Q212" i="70"/>
  <c r="BO212" i="70" s="1"/>
  <c r="N212" i="69"/>
  <c r="BJ212" i="69" s="1"/>
  <c r="J69" i="84"/>
  <c r="N67" i="95"/>
  <c r="AO67" i="95" s="1"/>
  <c r="C21" i="75"/>
  <c r="ED21" i="75" s="1"/>
  <c r="AP69" i="87"/>
  <c r="M67" i="71"/>
  <c r="BO66" i="71" s="1"/>
  <c r="C21" i="76"/>
  <c r="C21" i="74"/>
  <c r="Q66" i="70"/>
  <c r="BO66" i="70" s="1"/>
  <c r="N66" i="72"/>
  <c r="AP66" i="72" s="1"/>
  <c r="N66" i="69"/>
  <c r="BJ66" i="69" s="1"/>
  <c r="F42" i="75"/>
  <c r="EG42" i="75" s="1"/>
  <c r="J225" i="84"/>
  <c r="N223" i="95"/>
  <c r="AO223" i="95" s="1"/>
  <c r="AP225" i="87"/>
  <c r="F42" i="74"/>
  <c r="M223" i="71"/>
  <c r="BO222" i="71" s="1"/>
  <c r="F42" i="76"/>
  <c r="N222" i="72"/>
  <c r="AP222" i="72" s="1"/>
  <c r="Q222" i="70"/>
  <c r="BO222" i="70" s="1"/>
  <c r="N222" i="69"/>
  <c r="BJ222" i="69" s="1"/>
  <c r="J78" i="84"/>
  <c r="N76" i="95"/>
  <c r="AO76" i="95" s="1"/>
  <c r="AP78" i="87"/>
  <c r="C30" i="75"/>
  <c r="DI30" i="75" s="1"/>
  <c r="C30" i="74"/>
  <c r="C30" i="76"/>
  <c r="M76" i="71"/>
  <c r="BO75" i="71" s="1"/>
  <c r="N75" i="72"/>
  <c r="AP75" i="72" s="1"/>
  <c r="N75" i="69"/>
  <c r="BJ75" i="69" s="1"/>
  <c r="Q75" i="70"/>
  <c r="BO75" i="70" s="1"/>
  <c r="Q28" i="72"/>
  <c r="R31" i="84" s="1"/>
  <c r="AG31" i="84" s="1"/>
  <c r="W28" i="72"/>
  <c r="P74" i="72"/>
  <c r="Q77" i="84" s="1"/>
  <c r="AF77" i="84" s="1"/>
  <c r="V74" i="72"/>
  <c r="Q117" i="72"/>
  <c r="R120" i="84" s="1"/>
  <c r="AG120" i="84" s="1"/>
  <c r="W117" i="72"/>
  <c r="P157" i="72"/>
  <c r="Q160" i="84" s="1"/>
  <c r="AF160" i="84" s="1"/>
  <c r="V157" i="72"/>
  <c r="P207" i="72"/>
  <c r="Q210" i="84" s="1"/>
  <c r="AF210" i="84" s="1"/>
  <c r="V207" i="72"/>
  <c r="P66" i="72"/>
  <c r="Q69" i="84" s="1"/>
  <c r="AF69" i="84" s="1"/>
  <c r="V66" i="72"/>
  <c r="AP33" i="87"/>
  <c r="N31" i="95"/>
  <c r="AO31" i="95" s="1"/>
  <c r="J33" i="84"/>
  <c r="B30" i="75"/>
  <c r="CM30" i="75" s="1"/>
  <c r="M31" i="71"/>
  <c r="BO30" i="71" s="1"/>
  <c r="B30" i="74"/>
  <c r="B30" i="76"/>
  <c r="N30" i="72"/>
  <c r="AP30" i="72" s="1"/>
  <c r="Q30" i="70"/>
  <c r="BO30" i="70" s="1"/>
  <c r="N30" i="69"/>
  <c r="BJ30" i="69" s="1"/>
  <c r="AP159" i="87"/>
  <c r="N157" i="95"/>
  <c r="AO157" i="95" s="1"/>
  <c r="E21" i="75"/>
  <c r="DK21" i="75" s="1"/>
  <c r="J159" i="84"/>
  <c r="M157" i="71"/>
  <c r="BO156" i="71" s="1"/>
  <c r="E21" i="76"/>
  <c r="E21" i="74"/>
  <c r="N156" i="72"/>
  <c r="AP156" i="72" s="1"/>
  <c r="Q156" i="70"/>
  <c r="BO156" i="70" s="1"/>
  <c r="N156" i="69"/>
  <c r="BJ156" i="69" s="1"/>
  <c r="Q201" i="72"/>
  <c r="R204" i="84" s="1"/>
  <c r="AG204" i="84" s="1"/>
  <c r="W201" i="72"/>
  <c r="N165" i="95"/>
  <c r="AO165" i="95" s="1"/>
  <c r="E29" i="75"/>
  <c r="CP29" i="75" s="1"/>
  <c r="AP167" i="87"/>
  <c r="J167" i="84"/>
  <c r="E29" i="74"/>
  <c r="N164" i="69"/>
  <c r="BJ164" i="69" s="1"/>
  <c r="Q164" i="70"/>
  <c r="BO164" i="70" s="1"/>
  <c r="E29" i="76"/>
  <c r="M165" i="71"/>
  <c r="BO164" i="71" s="1"/>
  <c r="N164" i="72"/>
  <c r="AP164" i="72" s="1"/>
  <c r="N18" i="95"/>
  <c r="AO18" i="95" s="1"/>
  <c r="B17" i="75"/>
  <c r="CM17" i="75" s="1"/>
  <c r="N214" i="95"/>
  <c r="AO214" i="95" s="1"/>
  <c r="J216" i="84"/>
  <c r="F33" i="75"/>
  <c r="EG33" i="75" s="1"/>
  <c r="AP216" i="87"/>
  <c r="M214" i="71"/>
  <c r="BO213" i="71" s="1"/>
  <c r="F33" i="76"/>
  <c r="F33" i="74"/>
  <c r="N213" i="69"/>
  <c r="BJ213" i="69" s="1"/>
  <c r="N213" i="72"/>
  <c r="AP213" i="72" s="1"/>
  <c r="Q213" i="70"/>
  <c r="BO213" i="70" s="1"/>
  <c r="P21" i="72"/>
  <c r="Q24" i="84" s="1"/>
  <c r="AF24" i="84" s="1"/>
  <c r="V21" i="72"/>
  <c r="C38" i="75"/>
  <c r="ED38" i="75" s="1"/>
  <c r="AP86" i="87"/>
  <c r="J86" i="84"/>
  <c r="N84" i="95"/>
  <c r="AO84" i="95" s="1"/>
  <c r="C38" i="76"/>
  <c r="C38" i="74"/>
  <c r="M84" i="71"/>
  <c r="BO83" i="71" s="1"/>
  <c r="Q83" i="70"/>
  <c r="BO83" i="70" s="1"/>
  <c r="N83" i="69"/>
  <c r="BJ83" i="69" s="1"/>
  <c r="N83" i="72"/>
  <c r="AP83" i="72" s="1"/>
  <c r="Q68" i="72"/>
  <c r="R71" i="84" s="1"/>
  <c r="AG71" i="84" s="1"/>
  <c r="W68" i="72"/>
  <c r="AP25" i="87"/>
  <c r="B22" i="75"/>
  <c r="EC22" i="75" s="1"/>
  <c r="J25" i="84"/>
  <c r="N23" i="95"/>
  <c r="AO23" i="95" s="1"/>
  <c r="B22" i="74"/>
  <c r="B22" i="76"/>
  <c r="M23" i="71"/>
  <c r="BO22" i="71" s="1"/>
  <c r="N22" i="72"/>
  <c r="AP22" i="72" s="1"/>
  <c r="N22" i="69"/>
  <c r="BJ22" i="69" s="1"/>
  <c r="Q22" i="70"/>
  <c r="BO22" i="70" s="1"/>
  <c r="W158" i="72"/>
  <c r="Q158" i="72"/>
  <c r="R161" i="84" s="1"/>
  <c r="AG161" i="84" s="1"/>
  <c r="J207" i="84"/>
  <c r="AP207" i="87"/>
  <c r="F24" i="75"/>
  <c r="AY24" i="75" s="1"/>
  <c r="N205" i="95"/>
  <c r="AO205" i="95" s="1"/>
  <c r="F24" i="76"/>
  <c r="M205" i="71"/>
  <c r="BO204" i="71" s="1"/>
  <c r="F24" i="74"/>
  <c r="N204" i="72"/>
  <c r="AP204" i="72" s="1"/>
  <c r="Q204" i="70"/>
  <c r="BO204" i="70" s="1"/>
  <c r="N204" i="69"/>
  <c r="BJ204" i="69" s="1"/>
  <c r="B5" i="75"/>
  <c r="EC5" i="75" s="1"/>
  <c r="N6" i="95"/>
  <c r="AO6" i="95" s="1"/>
  <c r="C37" i="75"/>
  <c r="ED37" i="75" s="1"/>
  <c r="N83" i="95"/>
  <c r="AO83" i="95" s="1"/>
  <c r="AP85" i="87"/>
  <c r="J85" i="84"/>
  <c r="M83" i="71"/>
  <c r="BO82" i="71" s="1"/>
  <c r="C37" i="74"/>
  <c r="C37" i="76"/>
  <c r="N82" i="72"/>
  <c r="AP82" i="72" s="1"/>
  <c r="Q82" i="70"/>
  <c r="BO82" i="70" s="1"/>
  <c r="N82" i="69"/>
  <c r="BJ82" i="69" s="1"/>
  <c r="B39" i="75"/>
  <c r="EC39" i="75" s="1"/>
  <c r="N40" i="95"/>
  <c r="AO40" i="95" s="1"/>
  <c r="J42" i="84"/>
  <c r="AP42" i="87"/>
  <c r="B39" i="74"/>
  <c r="B39" i="76"/>
  <c r="M40" i="71"/>
  <c r="BO39" i="71" s="1"/>
  <c r="N39" i="69"/>
  <c r="BJ39" i="69" s="1"/>
  <c r="Q39" i="70"/>
  <c r="BO39" i="70" s="1"/>
  <c r="N39" i="72"/>
  <c r="AP39" i="72" s="1"/>
  <c r="N7" i="95"/>
  <c r="AO7" i="95" s="1"/>
  <c r="B6" i="75"/>
  <c r="BR6" i="75" s="1"/>
  <c r="N164" i="95"/>
  <c r="AO164" i="95" s="1"/>
  <c r="E28" i="75"/>
  <c r="EF28" i="75" s="1"/>
  <c r="J166" i="84"/>
  <c r="AP166" i="87"/>
  <c r="E28" i="76"/>
  <c r="E28" i="74"/>
  <c r="M164" i="71"/>
  <c r="BO163" i="71" s="1"/>
  <c r="N163" i="72"/>
  <c r="AP163" i="72" s="1"/>
  <c r="N163" i="69"/>
  <c r="BJ163" i="69" s="1"/>
  <c r="Q163" i="70"/>
  <c r="BO163" i="70" s="1"/>
  <c r="J130" i="84"/>
  <c r="D37" i="75"/>
  <c r="EE37" i="75" s="1"/>
  <c r="AP130" i="87"/>
  <c r="N128" i="95"/>
  <c r="AO128" i="95" s="1"/>
  <c r="D37" i="74"/>
  <c r="D37" i="76"/>
  <c r="M128" i="71"/>
  <c r="BO127" i="71" s="1"/>
  <c r="N127" i="72"/>
  <c r="AP127" i="72" s="1"/>
  <c r="Q127" i="70"/>
  <c r="BO127" i="70" s="1"/>
  <c r="N127" i="69"/>
  <c r="BJ127" i="69" s="1"/>
  <c r="AP75" i="87"/>
  <c r="N73" i="95"/>
  <c r="AO73" i="95" s="1"/>
  <c r="C27" i="75"/>
  <c r="DI27" i="75" s="1"/>
  <c r="J75" i="84"/>
  <c r="C27" i="76"/>
  <c r="C27" i="74"/>
  <c r="M73" i="71"/>
  <c r="BO72" i="71" s="1"/>
  <c r="N72" i="72"/>
  <c r="AP72" i="72" s="1"/>
  <c r="Q72" i="70"/>
  <c r="BO72" i="70" s="1"/>
  <c r="N72" i="69"/>
  <c r="BJ72" i="69" s="1"/>
  <c r="D32" i="75"/>
  <c r="EE32" i="75" s="1"/>
  <c r="N123" i="95"/>
  <c r="AO123" i="95" s="1"/>
  <c r="J125" i="84"/>
  <c r="AP125" i="87"/>
  <c r="D32" i="74"/>
  <c r="D32" i="76"/>
  <c r="M123" i="71"/>
  <c r="BO122" i="71" s="1"/>
  <c r="N122" i="72"/>
  <c r="AP122" i="72" s="1"/>
  <c r="Q122" i="70"/>
  <c r="BO122" i="70" s="1"/>
  <c r="N122" i="69"/>
  <c r="BJ122" i="69" s="1"/>
  <c r="W29" i="72"/>
  <c r="Q29" i="72"/>
  <c r="R32" i="84" s="1"/>
  <c r="AG32" i="84" s="1"/>
  <c r="AP164" i="87"/>
  <c r="N162" i="95"/>
  <c r="AO162" i="95" s="1"/>
  <c r="J164" i="84"/>
  <c r="E26" i="75"/>
  <c r="AX26" i="75" s="1"/>
  <c r="E26" i="74"/>
  <c r="M162" i="71"/>
  <c r="BO161" i="71" s="1"/>
  <c r="E26" i="76"/>
  <c r="N161" i="72"/>
  <c r="AP161" i="72" s="1"/>
  <c r="Q161" i="70"/>
  <c r="BO161" i="70" s="1"/>
  <c r="N161" i="69"/>
  <c r="BJ161" i="69" s="1"/>
  <c r="P204" i="72"/>
  <c r="Q207" i="84" s="1"/>
  <c r="AF207" i="84" s="1"/>
  <c r="V204" i="72"/>
  <c r="W73" i="72"/>
  <c r="Q73" i="72"/>
  <c r="R76" i="84" s="1"/>
  <c r="AG76" i="84" s="1"/>
  <c r="N171" i="95"/>
  <c r="AO171" i="95" s="1"/>
  <c r="E35" i="75"/>
  <c r="AX35" i="75" s="1"/>
  <c r="AP173" i="87"/>
  <c r="J173" i="84"/>
  <c r="E35" i="76"/>
  <c r="E35" i="74"/>
  <c r="N170" i="69"/>
  <c r="BJ170" i="69" s="1"/>
  <c r="M171" i="71"/>
  <c r="BO170" i="71" s="1"/>
  <c r="Q170" i="70"/>
  <c r="BO170" i="70" s="1"/>
  <c r="N170" i="72"/>
  <c r="AP170" i="72" s="1"/>
  <c r="N12" i="95"/>
  <c r="AO12" i="95" s="1"/>
  <c r="B11" i="75"/>
  <c r="EC11" i="75" s="1"/>
  <c r="AP209" i="87"/>
  <c r="F26" i="75"/>
  <c r="DL26" i="75" s="1"/>
  <c r="N207" i="95"/>
  <c r="AO207" i="95" s="1"/>
  <c r="J209" i="84"/>
  <c r="F26" i="74"/>
  <c r="N206" i="72"/>
  <c r="AP206" i="72" s="1"/>
  <c r="Q206" i="70"/>
  <c r="BO206" i="70" s="1"/>
  <c r="M207" i="71"/>
  <c r="BO206" i="71" s="1"/>
  <c r="N206" i="69"/>
  <c r="BJ206" i="69" s="1"/>
  <c r="F26" i="76"/>
  <c r="W118" i="72"/>
  <c r="Q118" i="72"/>
  <c r="R121" i="84" s="1"/>
  <c r="AG121" i="84" s="1"/>
  <c r="B40" i="75"/>
  <c r="EC40" i="75" s="1"/>
  <c r="AP43" i="87"/>
  <c r="N41" i="95"/>
  <c r="AO41" i="95" s="1"/>
  <c r="J43" i="84"/>
  <c r="B40" i="74"/>
  <c r="B40" i="76"/>
  <c r="M41" i="71"/>
  <c r="BO40" i="71" s="1"/>
  <c r="Q40" i="70"/>
  <c r="BO40" i="70" s="1"/>
  <c r="N40" i="72"/>
  <c r="AP40" i="72" s="1"/>
  <c r="N40" i="69"/>
  <c r="BJ40" i="69" s="1"/>
  <c r="N9" i="95"/>
  <c r="AO9" i="95" s="1"/>
  <c r="B8" i="75"/>
  <c r="EC8" i="75" s="1"/>
  <c r="N206" i="95"/>
  <c r="AO206" i="95" s="1"/>
  <c r="AP208" i="87"/>
  <c r="F25" i="75"/>
  <c r="CQ25" i="75" s="1"/>
  <c r="J208" i="84"/>
  <c r="F25" i="74"/>
  <c r="M206" i="71"/>
  <c r="BO205" i="71" s="1"/>
  <c r="F25" i="76"/>
  <c r="N205" i="72"/>
  <c r="AP205" i="72" s="1"/>
  <c r="Q205" i="70"/>
  <c r="BO205" i="70" s="1"/>
  <c r="N205" i="69"/>
  <c r="BJ205" i="69" s="1"/>
  <c r="P22" i="72"/>
  <c r="Q25" i="84" s="1"/>
  <c r="AF25" i="84" s="1"/>
  <c r="V22" i="72"/>
  <c r="N38" i="95"/>
  <c r="AO38" i="95" s="1"/>
  <c r="J40" i="84"/>
  <c r="B37" i="75"/>
  <c r="EC37" i="75" s="1"/>
  <c r="AP40" i="87"/>
  <c r="M38" i="71"/>
  <c r="BO37" i="71" s="1"/>
  <c r="B37" i="76"/>
  <c r="B37" i="74"/>
  <c r="N37" i="72"/>
  <c r="AP37" i="72" s="1"/>
  <c r="Q37" i="70"/>
  <c r="BO37" i="70" s="1"/>
  <c r="N37" i="69"/>
  <c r="BJ37" i="69" s="1"/>
  <c r="AP211" i="87"/>
  <c r="F28" i="75"/>
  <c r="CQ28" i="75" s="1"/>
  <c r="J211" i="84"/>
  <c r="N209" i="95"/>
  <c r="AO209" i="95" s="1"/>
  <c r="M209" i="71"/>
  <c r="BO208" i="71" s="1"/>
  <c r="F28" i="76"/>
  <c r="F28" i="74"/>
  <c r="N208" i="69"/>
  <c r="BJ208" i="69" s="1"/>
  <c r="Q208" i="70"/>
  <c r="BO208" i="70" s="1"/>
  <c r="N208" i="72"/>
  <c r="AP208" i="72" s="1"/>
  <c r="Q27" i="72"/>
  <c r="R30" i="84" s="1"/>
  <c r="AG30" i="84" s="1"/>
  <c r="W27" i="72"/>
  <c r="N33" i="95"/>
  <c r="AO33" i="95" s="1"/>
  <c r="B32" i="75"/>
  <c r="DH32" i="75" s="1"/>
  <c r="AP35" i="87"/>
  <c r="J35" i="84"/>
  <c r="M33" i="71"/>
  <c r="BO32" i="71" s="1"/>
  <c r="B32" i="76"/>
  <c r="B32" i="74"/>
  <c r="N32" i="69"/>
  <c r="BJ32" i="69" s="1"/>
  <c r="Q32" i="70"/>
  <c r="BO32" i="70" s="1"/>
  <c r="N32" i="72"/>
  <c r="AP32" i="72" s="1"/>
  <c r="Q114" i="72"/>
  <c r="R117" i="84" s="1"/>
  <c r="AG117" i="84" s="1"/>
  <c r="W114" i="72"/>
  <c r="N121" i="95"/>
  <c r="AO121" i="95" s="1"/>
  <c r="D30" i="75"/>
  <c r="EE30" i="75" s="1"/>
  <c r="AP123" i="87"/>
  <c r="J123" i="84"/>
  <c r="D30" i="74"/>
  <c r="D30" i="76"/>
  <c r="N120" i="72"/>
  <c r="AP120" i="72" s="1"/>
  <c r="M121" i="71"/>
  <c r="BO120" i="71" s="1"/>
  <c r="Q120" i="70"/>
  <c r="BO120" i="70" s="1"/>
  <c r="N120" i="69"/>
  <c r="BJ120" i="69" s="1"/>
  <c r="D25" i="75"/>
  <c r="BT25" i="75" s="1"/>
  <c r="AP118" i="87"/>
  <c r="N116" i="95"/>
  <c r="AO116" i="95" s="1"/>
  <c r="J118" i="84"/>
  <c r="D25" i="74"/>
  <c r="D25" i="76"/>
  <c r="M116" i="71"/>
  <c r="BO115" i="71" s="1"/>
  <c r="N115" i="72"/>
  <c r="AP115" i="72" s="1"/>
  <c r="N115" i="69"/>
  <c r="BJ115" i="69" s="1"/>
  <c r="Q115" i="70"/>
  <c r="BO115" i="70" s="1"/>
  <c r="P112" i="72"/>
  <c r="Q115" i="84" s="1"/>
  <c r="AF115" i="84" s="1"/>
  <c r="V112" i="72"/>
  <c r="AP219" i="87"/>
  <c r="F36" i="75"/>
  <c r="EG36" i="75" s="1"/>
  <c r="N217" i="95"/>
  <c r="AO217" i="95" s="1"/>
  <c r="J219" i="84"/>
  <c r="Q216" i="70"/>
  <c r="BO216" i="70" s="1"/>
  <c r="M217" i="71"/>
  <c r="BO216" i="71" s="1"/>
  <c r="N216" i="69"/>
  <c r="BJ216" i="69" s="1"/>
  <c r="F36" i="76"/>
  <c r="F36" i="74"/>
  <c r="N216" i="72"/>
  <c r="AP216" i="72" s="1"/>
  <c r="P117" i="72"/>
  <c r="Q120" i="84" s="1"/>
  <c r="AF120" i="84" s="1"/>
  <c r="V117" i="72"/>
  <c r="V162" i="72"/>
  <c r="P162" i="72"/>
  <c r="Q165" i="84" s="1"/>
  <c r="AF165" i="84" s="1"/>
  <c r="Q112" i="72"/>
  <c r="R115" i="84" s="1"/>
  <c r="AG115" i="84" s="1"/>
  <c r="W112" i="72"/>
  <c r="AP90" i="87"/>
  <c r="C42" i="75"/>
  <c r="ED42" i="75" s="1"/>
  <c r="J90" i="84"/>
  <c r="N88" i="95"/>
  <c r="AO88" i="95" s="1"/>
  <c r="M88" i="71"/>
  <c r="BO87" i="71" s="1"/>
  <c r="C42" i="74"/>
  <c r="C42" i="76"/>
  <c r="Q87" i="70"/>
  <c r="BO87" i="70" s="1"/>
  <c r="N87" i="72"/>
  <c r="AP87" i="72" s="1"/>
  <c r="N10" i="95"/>
  <c r="AO10" i="95" s="1"/>
  <c r="B9" i="75"/>
  <c r="EC9" i="75" s="1"/>
  <c r="AP127" i="87"/>
  <c r="N125" i="95"/>
  <c r="AO125" i="95" s="1"/>
  <c r="D34" i="75"/>
  <c r="EE34" i="75" s="1"/>
  <c r="J127" i="84"/>
  <c r="M125" i="71"/>
  <c r="BO124" i="71" s="1"/>
  <c r="N124" i="72"/>
  <c r="AP124" i="72" s="1"/>
  <c r="Q124" i="70"/>
  <c r="BO124" i="70" s="1"/>
  <c r="D34" i="76"/>
  <c r="N124" i="69"/>
  <c r="BJ124" i="69" s="1"/>
  <c r="D34" i="74"/>
  <c r="J115" i="84"/>
  <c r="N113" i="95"/>
  <c r="AO113" i="95" s="1"/>
  <c r="D22" i="75"/>
  <c r="EE22" i="75" s="1"/>
  <c r="AP115" i="87"/>
  <c r="M113" i="71"/>
  <c r="BO112" i="71" s="1"/>
  <c r="D22" i="76"/>
  <c r="D22" i="74"/>
  <c r="N112" i="72"/>
  <c r="AP112" i="72" s="1"/>
  <c r="Q112" i="70"/>
  <c r="BO112" i="70" s="1"/>
  <c r="N112" i="69"/>
  <c r="BJ112" i="69" s="1"/>
  <c r="Q209" i="72"/>
  <c r="R212" i="84" s="1"/>
  <c r="AG212" i="84" s="1"/>
  <c r="W209" i="72"/>
  <c r="AP37" i="87"/>
  <c r="J37" i="84"/>
  <c r="N35" i="95"/>
  <c r="AO35" i="95" s="1"/>
  <c r="B34" i="75"/>
  <c r="BR34" i="75" s="1"/>
  <c r="N34" i="72"/>
  <c r="AP34" i="72" s="1"/>
  <c r="B34" i="74"/>
  <c r="N34" i="69"/>
  <c r="BJ34" i="69" s="1"/>
  <c r="B34" i="76"/>
  <c r="M35" i="71"/>
  <c r="BO34" i="71" s="1"/>
  <c r="Q34" i="70"/>
  <c r="BO34" i="70" s="1"/>
  <c r="P29" i="72"/>
  <c r="Q32" i="84" s="1"/>
  <c r="AF32" i="84" s="1"/>
  <c r="V29" i="72"/>
  <c r="E38" i="75"/>
  <c r="AX38" i="75" s="1"/>
  <c r="AP176" i="87"/>
  <c r="N174" i="95"/>
  <c r="AO174" i="95" s="1"/>
  <c r="J176" i="84"/>
  <c r="M174" i="71"/>
  <c r="BO173" i="71" s="1"/>
  <c r="Q173" i="70"/>
  <c r="BO173" i="70" s="1"/>
  <c r="E38" i="76"/>
  <c r="N173" i="72"/>
  <c r="AP173" i="72" s="1"/>
  <c r="E38" i="74"/>
  <c r="N173" i="69"/>
  <c r="BJ173" i="69" s="1"/>
  <c r="J128" i="84"/>
  <c r="N126" i="95"/>
  <c r="AO126" i="95" s="1"/>
  <c r="D35" i="75"/>
  <c r="CO35" i="75" s="1"/>
  <c r="AP128" i="87"/>
  <c r="M126" i="71"/>
  <c r="BO125" i="71" s="1"/>
  <c r="N125" i="72"/>
  <c r="AP125" i="72" s="1"/>
  <c r="D35" i="74"/>
  <c r="Q125" i="70"/>
  <c r="BO125" i="70" s="1"/>
  <c r="D35" i="76"/>
  <c r="N125" i="69"/>
  <c r="BJ125" i="69" s="1"/>
  <c r="N173" i="95"/>
  <c r="AO173" i="95" s="1"/>
  <c r="AP175" i="87"/>
  <c r="J175" i="84"/>
  <c r="E37" i="75"/>
  <c r="BU37" i="75" s="1"/>
  <c r="E37" i="76"/>
  <c r="N172" i="69"/>
  <c r="BJ172" i="69" s="1"/>
  <c r="N172" i="72"/>
  <c r="AP172" i="72" s="1"/>
  <c r="E37" i="74"/>
  <c r="M173" i="71"/>
  <c r="BO172" i="71" s="1"/>
  <c r="Q172" i="70"/>
  <c r="BO172" i="70" s="1"/>
  <c r="J84" i="84"/>
  <c r="C36" i="76"/>
  <c r="N82" i="95"/>
  <c r="AO82" i="95" s="1"/>
  <c r="C36" i="74"/>
  <c r="C36" i="75"/>
  <c r="ED36" i="75" s="1"/>
  <c r="AP84" i="87"/>
  <c r="M82" i="71"/>
  <c r="BO81" i="71" s="1"/>
  <c r="N81" i="72"/>
  <c r="AP81" i="72" s="1"/>
  <c r="N81" i="69"/>
  <c r="BJ81" i="69" s="1"/>
  <c r="Q81" i="70"/>
  <c r="BO81" i="70" s="1"/>
  <c r="N71" i="95"/>
  <c r="AO71" i="95" s="1"/>
  <c r="AP73" i="87"/>
  <c r="C25" i="75"/>
  <c r="ED25" i="75" s="1"/>
  <c r="J73" i="84"/>
  <c r="M71" i="71"/>
  <c r="BO70" i="71" s="1"/>
  <c r="C25" i="74"/>
  <c r="C25" i="76"/>
  <c r="N70" i="69"/>
  <c r="BJ70" i="69" s="1"/>
  <c r="Q70" i="70"/>
  <c r="BO70" i="70" s="1"/>
  <c r="N70" i="72"/>
  <c r="AP70" i="72" s="1"/>
  <c r="P158" i="72"/>
  <c r="Q161" i="84" s="1"/>
  <c r="AF161" i="84" s="1"/>
  <c r="V158" i="72"/>
  <c r="N66" i="95"/>
  <c r="AO66" i="95" s="1"/>
  <c r="AP68" i="87"/>
  <c r="C20" i="75"/>
  <c r="DI20" i="75" s="1"/>
  <c r="J68" i="84"/>
  <c r="M66" i="71"/>
  <c r="BO65" i="71" s="1"/>
  <c r="C20" i="76"/>
  <c r="C20" i="74"/>
  <c r="N65" i="69"/>
  <c r="BJ65" i="69" s="1"/>
  <c r="Q65" i="70"/>
  <c r="BO65" i="70" s="1"/>
  <c r="N65" i="72"/>
  <c r="AP65" i="72" s="1"/>
  <c r="F30" i="75"/>
  <c r="EG30" i="75" s="1"/>
  <c r="N211" i="95"/>
  <c r="AO211" i="95" s="1"/>
  <c r="J213" i="84"/>
  <c r="AP213" i="87"/>
  <c r="F30" i="76"/>
  <c r="F30" i="74"/>
  <c r="M211" i="71"/>
  <c r="BO210" i="71" s="1"/>
  <c r="N210" i="69"/>
  <c r="BJ210" i="69" s="1"/>
  <c r="N210" i="72"/>
  <c r="AP210" i="72" s="1"/>
  <c r="Q210" i="70"/>
  <c r="BO210" i="70" s="1"/>
  <c r="D23" i="75"/>
  <c r="EE23" i="75" s="1"/>
  <c r="J116" i="84"/>
  <c r="AP116" i="87"/>
  <c r="N114" i="95"/>
  <c r="AO114" i="95" s="1"/>
  <c r="M114" i="71"/>
  <c r="BO113" i="71" s="1"/>
  <c r="N113" i="72"/>
  <c r="AP113" i="72" s="1"/>
  <c r="Q113" i="70"/>
  <c r="BO113" i="70" s="1"/>
  <c r="N113" i="69"/>
  <c r="BJ113" i="69" s="1"/>
  <c r="D23" i="74"/>
  <c r="D23" i="76"/>
  <c r="E30" i="75"/>
  <c r="EF30" i="75" s="1"/>
  <c r="E30" i="74"/>
  <c r="J168" i="84"/>
  <c r="M166" i="71"/>
  <c r="BO165" i="71" s="1"/>
  <c r="AP168" i="87"/>
  <c r="E30" i="76"/>
  <c r="N166" i="95"/>
  <c r="AO166" i="95" s="1"/>
  <c r="Q165" i="70"/>
  <c r="BO165" i="70" s="1"/>
  <c r="N165" i="69"/>
  <c r="BJ165" i="69" s="1"/>
  <c r="N165" i="72"/>
  <c r="AP165" i="72" s="1"/>
  <c r="Q157" i="72"/>
  <c r="R160" i="84" s="1"/>
  <c r="AG160" i="84" s="1"/>
  <c r="W157" i="72"/>
  <c r="P28" i="72"/>
  <c r="Q31" i="84" s="1"/>
  <c r="AF31" i="84" s="1"/>
  <c r="V28" i="72"/>
  <c r="P69" i="72"/>
  <c r="Q72" i="84" s="1"/>
  <c r="AF72" i="84" s="1"/>
  <c r="V69" i="72"/>
  <c r="V203" i="72"/>
  <c r="P203" i="72"/>
  <c r="Q206" i="84" s="1"/>
  <c r="AF206" i="84" s="1"/>
  <c r="N14" i="95"/>
  <c r="AO14" i="95" s="1"/>
  <c r="B13" i="75"/>
  <c r="EC13" i="75" s="1"/>
  <c r="C26" i="75"/>
  <c r="ED26" i="75" s="1"/>
  <c r="J74" i="84"/>
  <c r="AP74" i="87"/>
  <c r="N72" i="95"/>
  <c r="AO72" i="95" s="1"/>
  <c r="Q71" i="70"/>
  <c r="BO71" i="70" s="1"/>
  <c r="C26" i="76"/>
  <c r="C26" i="74"/>
  <c r="M72" i="71"/>
  <c r="BO71" i="71" s="1"/>
  <c r="N71" i="69"/>
  <c r="BJ71" i="69" s="1"/>
  <c r="N71" i="72"/>
  <c r="AP71" i="72" s="1"/>
  <c r="Q65" i="72"/>
  <c r="R68" i="84" s="1"/>
  <c r="AG68" i="84" s="1"/>
  <c r="W65" i="72"/>
  <c r="J34" i="84"/>
  <c r="AP34" i="87"/>
  <c r="N32" i="95"/>
  <c r="AO32" i="95" s="1"/>
  <c r="B31" i="75"/>
  <c r="DH31" i="75" s="1"/>
  <c r="M32" i="71"/>
  <c r="BO31" i="71" s="1"/>
  <c r="N31" i="72"/>
  <c r="AP31" i="72" s="1"/>
  <c r="Q31" i="70"/>
  <c r="BO31" i="70" s="1"/>
  <c r="B31" i="74"/>
  <c r="N31" i="69"/>
  <c r="BJ31" i="69" s="1"/>
  <c r="B31" i="76"/>
  <c r="AP120" i="87"/>
  <c r="N118" i="95"/>
  <c r="AO118" i="95" s="1"/>
  <c r="D27" i="75"/>
  <c r="EE27" i="75" s="1"/>
  <c r="J120" i="84"/>
  <c r="D27" i="76"/>
  <c r="D27" i="74"/>
  <c r="M118" i="71"/>
  <c r="BO117" i="71" s="1"/>
  <c r="N117" i="69"/>
  <c r="BJ117" i="69" s="1"/>
  <c r="N117" i="72"/>
  <c r="AP117" i="72" s="1"/>
  <c r="Q117" i="70"/>
  <c r="BO117" i="70" s="1"/>
  <c r="AP45" i="87"/>
  <c r="B42" i="75"/>
  <c r="CM42" i="75" s="1"/>
  <c r="N43" i="95"/>
  <c r="AO43" i="95" s="1"/>
  <c r="N42" i="69"/>
  <c r="BJ42" i="69" s="1"/>
  <c r="J45" i="84"/>
  <c r="M43" i="71"/>
  <c r="BO42" i="71" s="1"/>
  <c r="B42" i="74"/>
  <c r="B42" i="76"/>
  <c r="N42" i="72"/>
  <c r="AP42" i="72" s="1"/>
  <c r="Q42" i="70"/>
  <c r="BO42" i="70" s="1"/>
  <c r="N5" i="95"/>
  <c r="AO5" i="95" s="1"/>
  <c r="N34" i="95"/>
  <c r="AO34" i="95" s="1"/>
  <c r="B33" i="75"/>
  <c r="EC33" i="75" s="1"/>
  <c r="AP36" i="87"/>
  <c r="J36" i="84"/>
  <c r="M34" i="71"/>
  <c r="BO33" i="71" s="1"/>
  <c r="B33" i="76"/>
  <c r="B33" i="74"/>
  <c r="N33" i="72"/>
  <c r="AP33" i="72" s="1"/>
  <c r="Q33" i="70"/>
  <c r="BO33" i="70" s="1"/>
  <c r="N33" i="69"/>
  <c r="BJ33" i="69" s="1"/>
  <c r="Q22" i="72"/>
  <c r="R25" i="84" s="1"/>
  <c r="AG25" i="84" s="1"/>
  <c r="W22" i="72"/>
  <c r="E33" i="75"/>
  <c r="EF33" i="75" s="1"/>
  <c r="AP171" i="87"/>
  <c r="N169" i="95"/>
  <c r="AO169" i="95" s="1"/>
  <c r="J171" i="84"/>
  <c r="M169" i="71"/>
  <c r="BO168" i="71" s="1"/>
  <c r="E33" i="76"/>
  <c r="E33" i="74"/>
  <c r="N168" i="72"/>
  <c r="AP168" i="72" s="1"/>
  <c r="N168" i="69"/>
  <c r="BJ168" i="69" s="1"/>
  <c r="Q168" i="70"/>
  <c r="BO168" i="70" s="1"/>
  <c r="N215" i="95"/>
  <c r="AO215" i="95" s="1"/>
  <c r="J217" i="84"/>
  <c r="F34" i="75"/>
  <c r="DL34" i="75" s="1"/>
  <c r="AP217" i="87"/>
  <c r="M215" i="71"/>
  <c r="BO214" i="71" s="1"/>
  <c r="N214" i="69"/>
  <c r="BJ214" i="69" s="1"/>
  <c r="Q214" i="70"/>
  <c r="BO214" i="70" s="1"/>
  <c r="F34" i="74"/>
  <c r="F34" i="76"/>
  <c r="N214" i="72"/>
  <c r="AP214" i="72" s="1"/>
  <c r="N75" i="95"/>
  <c r="AO75" i="95" s="1"/>
  <c r="AP77" i="87"/>
  <c r="J77" i="84"/>
  <c r="C29" i="75"/>
  <c r="CN29" i="75" s="1"/>
  <c r="Q74" i="70"/>
  <c r="BO74" i="70" s="1"/>
  <c r="C29" i="74"/>
  <c r="N74" i="69"/>
  <c r="BJ74" i="69" s="1"/>
  <c r="C29" i="76"/>
  <c r="M75" i="71"/>
  <c r="BO74" i="71" s="1"/>
  <c r="N74" i="72"/>
  <c r="AP74" i="72" s="1"/>
  <c r="V208" i="72"/>
  <c r="P208" i="72"/>
  <c r="Q211" i="84" s="1"/>
  <c r="AF211" i="84" s="1"/>
  <c r="J218" i="84"/>
  <c r="AP218" i="87"/>
  <c r="F35" i="75"/>
  <c r="DL35" i="75" s="1"/>
  <c r="N216" i="95"/>
  <c r="AO216" i="95" s="1"/>
  <c r="F35" i="76"/>
  <c r="F35" i="74"/>
  <c r="M216" i="71"/>
  <c r="BO215" i="71" s="1"/>
  <c r="N215" i="72"/>
  <c r="AP215" i="72" s="1"/>
  <c r="N215" i="69"/>
  <c r="BJ215" i="69" s="1"/>
  <c r="Q215" i="70"/>
  <c r="BO215" i="70" s="1"/>
  <c r="Q20" i="72"/>
  <c r="R23" i="84" s="1"/>
  <c r="AG23" i="84" s="1"/>
  <c r="W20" i="72"/>
  <c r="J210" i="84"/>
  <c r="N208" i="95"/>
  <c r="AO208" i="95" s="1"/>
  <c r="F27" i="75"/>
  <c r="AY27" i="75" s="1"/>
  <c r="AP210" i="87"/>
  <c r="F27" i="74"/>
  <c r="F27" i="76"/>
  <c r="M208" i="71"/>
  <c r="BO207" i="71" s="1"/>
  <c r="N207" i="69"/>
  <c r="BJ207" i="69" s="1"/>
  <c r="N207" i="72"/>
  <c r="AP207" i="72" s="1"/>
  <c r="Q207" i="70"/>
  <c r="BO207" i="70" s="1"/>
  <c r="N19" i="95"/>
  <c r="AO19" i="95" s="1"/>
  <c r="B18" i="75"/>
  <c r="CM18" i="75" s="1"/>
  <c r="E39" i="75"/>
  <c r="CP39" i="75" s="1"/>
  <c r="AP177" i="87"/>
  <c r="J177" i="84"/>
  <c r="N175" i="95"/>
  <c r="AO175" i="95" s="1"/>
  <c r="M175" i="71"/>
  <c r="BO174" i="71" s="1"/>
  <c r="N174" i="69"/>
  <c r="BJ174" i="69" s="1"/>
  <c r="Q174" i="70"/>
  <c r="BO174" i="70" s="1"/>
  <c r="E39" i="74"/>
  <c r="E39" i="76"/>
  <c r="N174" i="72"/>
  <c r="AP174" i="72" s="1"/>
  <c r="P27" i="72"/>
  <c r="Q30" i="84" s="1"/>
  <c r="AF30" i="84" s="1"/>
  <c r="V27" i="72"/>
  <c r="P118" i="72"/>
  <c r="Q121" i="84" s="1"/>
  <c r="AF121" i="84" s="1"/>
  <c r="V118" i="72"/>
  <c r="Q207" i="72"/>
  <c r="R210" i="84" s="1"/>
  <c r="AG210" i="84" s="1"/>
  <c r="W207" i="72"/>
  <c r="P114" i="72"/>
  <c r="Q117" i="84" s="1"/>
  <c r="AF117" i="84" s="1"/>
  <c r="V114" i="72"/>
  <c r="V200" i="72"/>
  <c r="P200" i="72"/>
  <c r="Q203" i="84" s="1"/>
  <c r="AF203" i="84" s="1"/>
  <c r="AP222" i="87"/>
  <c r="J222" i="84"/>
  <c r="F39" i="75"/>
  <c r="BV39" i="75" s="1"/>
  <c r="N220" i="95"/>
  <c r="AO220" i="95" s="1"/>
  <c r="M220" i="71"/>
  <c r="BO219" i="71" s="1"/>
  <c r="F39" i="74"/>
  <c r="F39" i="76"/>
  <c r="N219" i="69"/>
  <c r="BJ219" i="69" s="1"/>
  <c r="Q219" i="70"/>
  <c r="BO219" i="70" s="1"/>
  <c r="N219" i="72"/>
  <c r="AP219" i="72" s="1"/>
  <c r="W70" i="72"/>
  <c r="Q70" i="72"/>
  <c r="R73" i="84" s="1"/>
  <c r="AG73" i="84" s="1"/>
  <c r="N158" i="95"/>
  <c r="AO158" i="95" s="1"/>
  <c r="E22" i="75"/>
  <c r="DK22" i="75" s="1"/>
  <c r="AP160" i="87"/>
  <c r="J160" i="84"/>
  <c r="M158" i="71"/>
  <c r="BO157" i="71" s="1"/>
  <c r="E22" i="76"/>
  <c r="E22" i="74"/>
  <c r="N157" i="69"/>
  <c r="BJ157" i="69" s="1"/>
  <c r="Q157" i="70"/>
  <c r="BO157" i="70" s="1"/>
  <c r="N157" i="72"/>
  <c r="AP157" i="72" s="1"/>
  <c r="P70" i="72"/>
  <c r="Q73" i="84" s="1"/>
  <c r="AF73" i="84" s="1"/>
  <c r="V70" i="72"/>
  <c r="AR167" i="87"/>
  <c r="AR107" i="87"/>
  <c r="AT167" i="87"/>
  <c r="AT107" i="87"/>
  <c r="AU107" i="87"/>
  <c r="AU167" i="87"/>
  <c r="AS167" i="87"/>
  <c r="AS107" i="87"/>
  <c r="BH162" i="84"/>
  <c r="BI162" i="84"/>
  <c r="BG162" i="84"/>
  <c r="BI166" i="84"/>
  <c r="BH166" i="84"/>
  <c r="BG166" i="84"/>
  <c r="BI212" i="84"/>
  <c r="BG212" i="84"/>
  <c r="BH212" i="84"/>
  <c r="BG207" i="84"/>
  <c r="BH207" i="84"/>
  <c r="BI207" i="84"/>
  <c r="BI205" i="84"/>
  <c r="BG205" i="84"/>
  <c r="BH205" i="84"/>
  <c r="BI120" i="84"/>
  <c r="BG120" i="84"/>
  <c r="BH120" i="84"/>
  <c r="BG121" i="84"/>
  <c r="BI121" i="84"/>
  <c r="BH121" i="84"/>
  <c r="BH116" i="84"/>
  <c r="BI116" i="84"/>
  <c r="BG116" i="84"/>
  <c r="BH210" i="84"/>
  <c r="BI210" i="84"/>
  <c r="BG210" i="84"/>
  <c r="BG209" i="84"/>
  <c r="BH209" i="84"/>
  <c r="BI209" i="84"/>
  <c r="BG117" i="84"/>
  <c r="BH117" i="84"/>
  <c r="BI117" i="84"/>
  <c r="BI69" i="84"/>
  <c r="BG69" i="84"/>
  <c r="BH69" i="84"/>
  <c r="BI114" i="84"/>
  <c r="BG114" i="84"/>
  <c r="BH114" i="84"/>
  <c r="BH118" i="84"/>
  <c r="BG118" i="84"/>
  <c r="BI118" i="84"/>
  <c r="BG76" i="84"/>
  <c r="BH76" i="84"/>
  <c r="BI76" i="84"/>
  <c r="BI167" i="84"/>
  <c r="BH167" i="84"/>
  <c r="BG167" i="84"/>
  <c r="BI208" i="84"/>
  <c r="BG208" i="84"/>
  <c r="BH208" i="84"/>
  <c r="BG211" i="84"/>
  <c r="BH211" i="84"/>
  <c r="BI211" i="84"/>
  <c r="BI119" i="84"/>
  <c r="BG119" i="84"/>
  <c r="BH119" i="84"/>
  <c r="BI163" i="84"/>
  <c r="BH163" i="84"/>
  <c r="BG163" i="84"/>
  <c r="BI71" i="84"/>
  <c r="BH71" i="84"/>
  <c r="BG71" i="84"/>
  <c r="BI158" i="84"/>
  <c r="BG158" i="84"/>
  <c r="BH158" i="84"/>
  <c r="BI204" i="84"/>
  <c r="BH204" i="84"/>
  <c r="BG204" i="84"/>
  <c r="BH159" i="84"/>
  <c r="BI159" i="84"/>
  <c r="BG159" i="84"/>
  <c r="BG75" i="84"/>
  <c r="BI75" i="84"/>
  <c r="BH75" i="84"/>
  <c r="BG160" i="84"/>
  <c r="BH160" i="84"/>
  <c r="BI160" i="84"/>
  <c r="BI115" i="84"/>
  <c r="BG115" i="84"/>
  <c r="BH115" i="84"/>
  <c r="BH74" i="84"/>
  <c r="BI74" i="84"/>
  <c r="BG74" i="84"/>
  <c r="BI113" i="84"/>
  <c r="BG113" i="84"/>
  <c r="BH113" i="84"/>
  <c r="BI164" i="84"/>
  <c r="BH164" i="84"/>
  <c r="BG164" i="84"/>
  <c r="BI72" i="84"/>
  <c r="BH72" i="84"/>
  <c r="BG72" i="84"/>
  <c r="BI122" i="84"/>
  <c r="BG122" i="84"/>
  <c r="BH122" i="84"/>
  <c r="BH68" i="84"/>
  <c r="BI68" i="84"/>
  <c r="BG68" i="84"/>
  <c r="BG70" i="84"/>
  <c r="BI70" i="84"/>
  <c r="BH70" i="84"/>
  <c r="BI206" i="84"/>
  <c r="BH206" i="84"/>
  <c r="BG206" i="84"/>
  <c r="BG77" i="84"/>
  <c r="BI77" i="84"/>
  <c r="BH77" i="84"/>
  <c r="BH165" i="84"/>
  <c r="BI165" i="84"/>
  <c r="BG165" i="84"/>
  <c r="BH73" i="84"/>
  <c r="BG73" i="84"/>
  <c r="BI73" i="84"/>
  <c r="BG203" i="84"/>
  <c r="BH203" i="84"/>
  <c r="BI203" i="84"/>
  <c r="BI161" i="84"/>
  <c r="BG161" i="84"/>
  <c r="BH161" i="84"/>
  <c r="Q97" i="94"/>
  <c r="Q98" i="94"/>
  <c r="Q82" i="94"/>
  <c r="Q83" i="94"/>
  <c r="Q84" i="94"/>
  <c r="Q85" i="94"/>
  <c r="Q86" i="94"/>
  <c r="Q87" i="94"/>
  <c r="Q88" i="94"/>
  <c r="Q89" i="94"/>
  <c r="Q90" i="94"/>
  <c r="Q91" i="94"/>
  <c r="Q92" i="94"/>
  <c r="Q93" i="94"/>
  <c r="Q94" i="94"/>
  <c r="Q95" i="94"/>
  <c r="Q96" i="94"/>
  <c r="AD24" i="68"/>
  <c r="AC31" i="75" l="1"/>
  <c r="DH16" i="75"/>
  <c r="EF31" i="75"/>
  <c r="DK31" i="75"/>
  <c r="BS35" i="75"/>
  <c r="EE42" i="75"/>
  <c r="CN35" i="75"/>
  <c r="EE33" i="75"/>
  <c r="AW33" i="75"/>
  <c r="DI35" i="75"/>
  <c r="DJ33" i="75"/>
  <c r="AB33" i="75"/>
  <c r="BR16" i="75"/>
  <c r="EC16" i="75"/>
  <c r="AV35" i="75"/>
  <c r="BT33" i="75"/>
  <c r="AA35" i="75"/>
  <c r="AU44" i="90"/>
  <c r="EG32" i="75"/>
  <c r="AU77" i="90"/>
  <c r="AU177" i="90"/>
  <c r="AU87" i="90"/>
  <c r="AU121" i="90"/>
  <c r="AU42" i="90"/>
  <c r="AU182" i="90"/>
  <c r="AU120" i="90"/>
  <c r="AU139" i="90"/>
  <c r="AU72" i="90"/>
  <c r="AU32" i="90"/>
  <c r="AU162" i="90"/>
  <c r="AU94" i="90"/>
  <c r="AU171" i="90"/>
  <c r="AU218" i="90"/>
  <c r="AU222" i="90"/>
  <c r="AU180" i="90"/>
  <c r="AU74" i="90"/>
  <c r="AU219" i="90"/>
  <c r="AU73" i="90"/>
  <c r="AU38" i="90"/>
  <c r="AU164" i="90"/>
  <c r="AU211" i="90"/>
  <c r="AU172" i="90"/>
  <c r="AU83" i="90"/>
  <c r="AU175" i="90"/>
  <c r="AU79" i="90"/>
  <c r="AU31" i="90"/>
  <c r="AU81" i="90"/>
  <c r="AU119" i="90"/>
  <c r="AU173" i="90"/>
  <c r="AU125" i="90"/>
  <c r="AU226" i="90"/>
  <c r="AU166" i="90"/>
  <c r="AU88" i="90"/>
  <c r="AU129" i="90"/>
  <c r="AU127" i="90"/>
  <c r="AU89" i="90"/>
  <c r="AU29" i="90"/>
  <c r="AU118" i="90"/>
  <c r="AU215" i="90"/>
  <c r="AU167" i="90"/>
  <c r="AU124" i="90"/>
  <c r="AU138" i="90"/>
  <c r="AU133" i="90"/>
  <c r="AU123" i="90"/>
  <c r="AU183" i="90"/>
  <c r="AU132" i="90"/>
  <c r="AU223" i="90"/>
  <c r="AU86" i="90"/>
  <c r="AU184" i="90"/>
  <c r="AU178" i="90"/>
  <c r="AU163" i="90"/>
  <c r="AU169" i="90"/>
  <c r="AU34" i="90"/>
  <c r="AU179" i="90"/>
  <c r="AU117" i="90"/>
  <c r="AU90" i="90"/>
  <c r="AU93" i="90"/>
  <c r="AU217" i="90"/>
  <c r="AU181" i="90"/>
  <c r="AU135" i="90"/>
  <c r="AU45" i="90"/>
  <c r="AU76" i="90"/>
  <c r="AU27" i="90"/>
  <c r="AU85" i="90"/>
  <c r="AU170" i="90"/>
  <c r="AU130" i="90"/>
  <c r="AU47" i="90"/>
  <c r="AU134" i="90"/>
  <c r="AU225" i="90"/>
  <c r="AU39" i="90"/>
  <c r="AU84" i="90"/>
  <c r="AU176" i="90"/>
  <c r="AU36" i="90"/>
  <c r="AU128" i="90"/>
  <c r="AU35" i="90"/>
  <c r="AU220" i="90"/>
  <c r="AU208" i="90"/>
  <c r="AU229" i="90"/>
  <c r="AU126" i="90"/>
  <c r="AU37" i="90"/>
  <c r="AU227" i="90"/>
  <c r="AU137" i="90"/>
  <c r="AU82" i="90"/>
  <c r="AU75" i="90"/>
  <c r="AU212" i="90"/>
  <c r="AU165" i="90"/>
  <c r="AU40" i="90"/>
  <c r="AU80" i="90"/>
  <c r="AU131" i="90"/>
  <c r="AU78" i="90"/>
  <c r="AU28" i="90"/>
  <c r="AU221" i="90"/>
  <c r="AU207" i="90"/>
  <c r="AU168" i="90"/>
  <c r="AU92" i="90"/>
  <c r="AU33" i="90"/>
  <c r="AU214" i="90"/>
  <c r="AU209" i="90"/>
  <c r="AU228" i="90"/>
  <c r="AU213" i="90"/>
  <c r="AU122" i="90"/>
  <c r="AU49" i="90"/>
  <c r="AU174" i="90"/>
  <c r="AU48" i="90"/>
  <c r="AU41" i="90"/>
  <c r="AU210" i="90"/>
  <c r="AU216" i="90"/>
  <c r="AU224" i="90"/>
  <c r="AU43" i="90"/>
  <c r="AU30" i="90"/>
  <c r="AU91" i="90"/>
  <c r="AU46" i="90"/>
  <c r="AU136" i="90"/>
  <c r="CM25" i="75"/>
  <c r="AU35" i="75"/>
  <c r="CO21" i="75"/>
  <c r="CO29" i="75"/>
  <c r="AW29" i="75"/>
  <c r="BS38" i="75"/>
  <c r="AB29" i="75"/>
  <c r="DJ29" i="75"/>
  <c r="CN38" i="75"/>
  <c r="BT29" i="75"/>
  <c r="DI38" i="75"/>
  <c r="AV38" i="75"/>
  <c r="DI31" i="75"/>
  <c r="AA38" i="75"/>
  <c r="AX30" i="75"/>
  <c r="EC36" i="75"/>
  <c r="CN33" i="75"/>
  <c r="EF38" i="75"/>
  <c r="AV36" i="75"/>
  <c r="AD23" i="75"/>
  <c r="AC29" i="75"/>
  <c r="AD34" i="75"/>
  <c r="AV32" i="75"/>
  <c r="DH41" i="75"/>
  <c r="DI28" i="75"/>
  <c r="CQ23" i="75"/>
  <c r="BR7" i="75"/>
  <c r="EC41" i="75"/>
  <c r="DJ37" i="75"/>
  <c r="AD30" i="75"/>
  <c r="AU22" i="75"/>
  <c r="AC33" i="75"/>
  <c r="CQ30" i="75"/>
  <c r="EE35" i="75"/>
  <c r="DL29" i="75"/>
  <c r="CQ29" i="75"/>
  <c r="AD38" i="75"/>
  <c r="AW30" i="75"/>
  <c r="CO30" i="75"/>
  <c r="DL30" i="75"/>
  <c r="BS26" i="75"/>
  <c r="CP33" i="75"/>
  <c r="AY38" i="75"/>
  <c r="AD28" i="75"/>
  <c r="AB30" i="75"/>
  <c r="BT30" i="75"/>
  <c r="BT41" i="75"/>
  <c r="BU39" i="75"/>
  <c r="DH30" i="75"/>
  <c r="DL28" i="75"/>
  <c r="BV28" i="75"/>
  <c r="AW37" i="75"/>
  <c r="AY28" i="75"/>
  <c r="DJ30" i="75"/>
  <c r="BR30" i="75"/>
  <c r="Z22" i="75"/>
  <c r="BV30" i="75"/>
  <c r="AU30" i="75"/>
  <c r="Z31" i="75"/>
  <c r="CM11" i="75"/>
  <c r="BR14" i="75"/>
  <c r="DH8" i="75"/>
  <c r="AY30" i="75"/>
  <c r="Z30" i="75"/>
  <c r="BR11" i="75"/>
  <c r="BR8" i="75"/>
  <c r="EC14" i="75"/>
  <c r="AX33" i="75"/>
  <c r="DH11" i="75"/>
  <c r="CM8" i="75"/>
  <c r="CM14" i="75"/>
  <c r="CN37" i="75"/>
  <c r="BT20" i="75"/>
  <c r="AV37" i="75"/>
  <c r="EE20" i="75"/>
  <c r="DJ20" i="75"/>
  <c r="Z36" i="75"/>
  <c r="AB22" i="75"/>
  <c r="AV25" i="75"/>
  <c r="AA33" i="75"/>
  <c r="BS40" i="75"/>
  <c r="DI25" i="75"/>
  <c r="BU23" i="75"/>
  <c r="CP27" i="75"/>
  <c r="EF23" i="75"/>
  <c r="DL21" i="75"/>
  <c r="BS22" i="75"/>
  <c r="AX29" i="75"/>
  <c r="AA31" i="75"/>
  <c r="AA25" i="75"/>
  <c r="CO34" i="75"/>
  <c r="CM41" i="75"/>
  <c r="DH7" i="75"/>
  <c r="CM7" i="75"/>
  <c r="ED28" i="75"/>
  <c r="EG23" i="75"/>
  <c r="CO22" i="75"/>
  <c r="AU32" i="75"/>
  <c r="AY34" i="75"/>
  <c r="AY23" i="75"/>
  <c r="CM36" i="75"/>
  <c r="BR36" i="75"/>
  <c r="DJ21" i="75"/>
  <c r="BR12" i="75"/>
  <c r="AV24" i="75"/>
  <c r="AA28" i="75"/>
  <c r="AW23" i="75"/>
  <c r="AV22" i="75"/>
  <c r="AD32" i="75"/>
  <c r="BS36" i="75"/>
  <c r="BU30" i="75"/>
  <c r="BV23" i="75"/>
  <c r="DH36" i="75"/>
  <c r="BR41" i="75"/>
  <c r="ED24" i="75"/>
  <c r="AA24" i="75"/>
  <c r="AU41" i="75"/>
  <c r="AV40" i="75"/>
  <c r="DI36" i="75"/>
  <c r="CM32" i="75"/>
  <c r="DI33" i="75"/>
  <c r="EC32" i="75"/>
  <c r="EC12" i="75"/>
  <c r="Z32" i="75"/>
  <c r="AW22" i="75"/>
  <c r="AC38" i="75"/>
  <c r="AA40" i="75"/>
  <c r="AV33" i="75"/>
  <c r="CQ26" i="75"/>
  <c r="BU27" i="75"/>
  <c r="BS33" i="75"/>
  <c r="CO23" i="75"/>
  <c r="EG21" i="75"/>
  <c r="ED22" i="75"/>
  <c r="CM12" i="75"/>
  <c r="BR5" i="75"/>
  <c r="AW39" i="75"/>
  <c r="BV34" i="75"/>
  <c r="BS25" i="75"/>
  <c r="AY29" i="75"/>
  <c r="BR35" i="75"/>
  <c r="DL36" i="75"/>
  <c r="DJ41" i="75"/>
  <c r="AD29" i="75"/>
  <c r="BR19" i="75"/>
  <c r="AA37" i="75"/>
  <c r="AU31" i="75"/>
  <c r="CO41" i="75"/>
  <c r="BS37" i="75"/>
  <c r="DI37" i="75"/>
  <c r="CO20" i="75"/>
  <c r="AW41" i="75"/>
  <c r="AW20" i="75"/>
  <c r="AX36" i="75"/>
  <c r="DK36" i="75"/>
  <c r="BT35" i="75"/>
  <c r="AB41" i="75"/>
  <c r="AC36" i="75"/>
  <c r="CQ36" i="75"/>
  <c r="DH38" i="75"/>
  <c r="BR18" i="75"/>
  <c r="BR31" i="75"/>
  <c r="AY39" i="75"/>
  <c r="AB40" i="75"/>
  <c r="CQ27" i="75"/>
  <c r="EG27" i="75"/>
  <c r="CQ35" i="75"/>
  <c r="DJ35" i="75"/>
  <c r="BV27" i="75"/>
  <c r="CM31" i="75"/>
  <c r="EC31" i="75"/>
  <c r="DH18" i="75"/>
  <c r="EC18" i="75"/>
  <c r="AX22" i="75"/>
  <c r="Z35" i="75"/>
  <c r="DH35" i="75"/>
  <c r="AC22" i="75"/>
  <c r="AB42" i="75"/>
  <c r="AW35" i="75"/>
  <c r="AD36" i="75"/>
  <c r="AB37" i="75"/>
  <c r="AB23" i="75"/>
  <c r="AD35" i="75"/>
  <c r="CO39" i="75"/>
  <c r="CN40" i="75"/>
  <c r="CO42" i="75"/>
  <c r="CP32" i="75"/>
  <c r="BS24" i="75"/>
  <c r="DJ23" i="75"/>
  <c r="CN20" i="75"/>
  <c r="CN31" i="75"/>
  <c r="DH39" i="75"/>
  <c r="BR9" i="75"/>
  <c r="CN24" i="75"/>
  <c r="DK38" i="75"/>
  <c r="DK23" i="75"/>
  <c r="DL27" i="75"/>
  <c r="EC6" i="75"/>
  <c r="AW42" i="75"/>
  <c r="AB39" i="75"/>
  <c r="DH19" i="75"/>
  <c r="BR39" i="75"/>
  <c r="AW21" i="75"/>
  <c r="AB35" i="75"/>
  <c r="AY36" i="75"/>
  <c r="AU25" i="75"/>
  <c r="AX32" i="75"/>
  <c r="AX23" i="75"/>
  <c r="AU38" i="75"/>
  <c r="AU39" i="75"/>
  <c r="AY35" i="75"/>
  <c r="BT39" i="75"/>
  <c r="BV38" i="75"/>
  <c r="DI40" i="75"/>
  <c r="BU38" i="75"/>
  <c r="CP36" i="75"/>
  <c r="CM6" i="75"/>
  <c r="BT37" i="75"/>
  <c r="CM39" i="75"/>
  <c r="DH6" i="75"/>
  <c r="EG35" i="75"/>
  <c r="EG29" i="75"/>
  <c r="EC38" i="75"/>
  <c r="BS20" i="75"/>
  <c r="AB21" i="75"/>
  <c r="AV21" i="75"/>
  <c r="Z25" i="75"/>
  <c r="AD27" i="75"/>
  <c r="AC23" i="75"/>
  <c r="AW27" i="75"/>
  <c r="AV26" i="75"/>
  <c r="Z38" i="75"/>
  <c r="Z39" i="75"/>
  <c r="AV20" i="75"/>
  <c r="DJ39" i="75"/>
  <c r="DL38" i="75"/>
  <c r="DJ42" i="75"/>
  <c r="CP38" i="75"/>
  <c r="CN26" i="75"/>
  <c r="DH5" i="75"/>
  <c r="BU22" i="75"/>
  <c r="CP22" i="75"/>
  <c r="BR38" i="75"/>
  <c r="CN25" i="75"/>
  <c r="BV35" i="75"/>
  <c r="CN21" i="75"/>
  <c r="DH9" i="75"/>
  <c r="DI21" i="75"/>
  <c r="EF36" i="75"/>
  <c r="ED31" i="75"/>
  <c r="AC20" i="75"/>
  <c r="BR25" i="75"/>
  <c r="AA21" i="75"/>
  <c r="AV31" i="75"/>
  <c r="AB27" i="75"/>
  <c r="AA26" i="75"/>
  <c r="AA20" i="75"/>
  <c r="CM35" i="75"/>
  <c r="CQ38" i="75"/>
  <c r="BV36" i="75"/>
  <c r="DH25" i="75"/>
  <c r="CM19" i="75"/>
  <c r="DI26" i="75"/>
  <c r="CM5" i="75"/>
  <c r="CO27" i="75"/>
  <c r="DJ27" i="75"/>
  <c r="BT23" i="75"/>
  <c r="CO37" i="75"/>
  <c r="BT21" i="75"/>
  <c r="BS21" i="75"/>
  <c r="BT27" i="75"/>
  <c r="EF37" i="75"/>
  <c r="BS29" i="75"/>
  <c r="CO28" i="75"/>
  <c r="BT22" i="75"/>
  <c r="BR32" i="75"/>
  <c r="EG24" i="75"/>
  <c r="DL24" i="75"/>
  <c r="EG28" i="75"/>
  <c r="CO25" i="75"/>
  <c r="DJ22" i="75"/>
  <c r="DK33" i="75"/>
  <c r="EF21" i="75"/>
  <c r="EC30" i="75"/>
  <c r="EE28" i="75"/>
  <c r="CQ34" i="75"/>
  <c r="BU33" i="75"/>
  <c r="CO36" i="75"/>
  <c r="DI41" i="75"/>
  <c r="AW36" i="75"/>
  <c r="AA41" i="75"/>
  <c r="CN39" i="75"/>
  <c r="AU27" i="75"/>
  <c r="AX25" i="75"/>
  <c r="AW24" i="75"/>
  <c r="AV29" i="75"/>
  <c r="BS39" i="75"/>
  <c r="EF20" i="75"/>
  <c r="AC25" i="75"/>
  <c r="AB24" i="75"/>
  <c r="AA29" i="75"/>
  <c r="CM27" i="75"/>
  <c r="DK20" i="75"/>
  <c r="AX20" i="75"/>
  <c r="BR27" i="75"/>
  <c r="DH20" i="75"/>
  <c r="AC32" i="75"/>
  <c r="AW32" i="75"/>
  <c r="BU32" i="75"/>
  <c r="BU20" i="75"/>
  <c r="CP25" i="75"/>
  <c r="CM9" i="75"/>
  <c r="EC20" i="75"/>
  <c r="AB32" i="75"/>
  <c r="DK32" i="75"/>
  <c r="BU25" i="75"/>
  <c r="BR20" i="75"/>
  <c r="CM20" i="75"/>
  <c r="EE38" i="75"/>
  <c r="AW38" i="75"/>
  <c r="AU20" i="75"/>
  <c r="DK25" i="75"/>
  <c r="ED39" i="75"/>
  <c r="CO38" i="75"/>
  <c r="AB38" i="75"/>
  <c r="DH27" i="75"/>
  <c r="DI39" i="75"/>
  <c r="AV39" i="75"/>
  <c r="CO31" i="75"/>
  <c r="CO24" i="75"/>
  <c r="CO32" i="75"/>
  <c r="BT38" i="75"/>
  <c r="AW31" i="75"/>
  <c r="BT31" i="75"/>
  <c r="BT24" i="75"/>
  <c r="DJ32" i="75"/>
  <c r="Z27" i="75"/>
  <c r="AB31" i="75"/>
  <c r="DJ31" i="75"/>
  <c r="DJ24" i="75"/>
  <c r="DI29" i="75"/>
  <c r="BT32" i="75"/>
  <c r="EF22" i="75"/>
  <c r="Z33" i="75"/>
  <c r="DJ36" i="75"/>
  <c r="CM26" i="75"/>
  <c r="ED20" i="75"/>
  <c r="AX41" i="75"/>
  <c r="AC41" i="75"/>
  <c r="AY37" i="75"/>
  <c r="BS23" i="75"/>
  <c r="CP34" i="75"/>
  <c r="AB36" i="75"/>
  <c r="AD37" i="75"/>
  <c r="CQ37" i="75"/>
  <c r="DH33" i="75"/>
  <c r="CP40" i="75"/>
  <c r="BU34" i="75"/>
  <c r="AD39" i="75"/>
  <c r="AX28" i="75"/>
  <c r="BV37" i="75"/>
  <c r="BU40" i="75"/>
  <c r="DK34" i="75"/>
  <c r="AX40" i="75"/>
  <c r="DK40" i="75"/>
  <c r="EC17" i="75"/>
  <c r="AC40" i="75"/>
  <c r="CP41" i="75"/>
  <c r="DK28" i="75"/>
  <c r="BR17" i="75"/>
  <c r="BS41" i="75"/>
  <c r="DH17" i="75"/>
  <c r="DL37" i="75"/>
  <c r="AX34" i="75"/>
  <c r="DK41" i="75"/>
  <c r="BT36" i="75"/>
  <c r="CP28" i="75"/>
  <c r="EG34" i="75"/>
  <c r="AC34" i="75"/>
  <c r="BU28" i="75"/>
  <c r="DL39" i="75"/>
  <c r="EG39" i="75"/>
  <c r="AC28" i="75"/>
  <c r="AU23" i="75"/>
  <c r="AU26" i="75"/>
  <c r="BR23" i="75"/>
  <c r="BT40" i="75"/>
  <c r="EC23" i="75"/>
  <c r="BU41" i="75"/>
  <c r="Z23" i="75"/>
  <c r="Z26" i="75"/>
  <c r="BV42" i="75"/>
  <c r="BR26" i="75"/>
  <c r="CN41" i="75"/>
  <c r="EC26" i="75"/>
  <c r="DH23" i="75"/>
  <c r="AV41" i="75"/>
  <c r="DL42" i="75"/>
  <c r="DH29" i="75"/>
  <c r="DK35" i="75"/>
  <c r="DH21" i="75"/>
  <c r="AU21" i="75"/>
  <c r="BR15" i="75"/>
  <c r="AC35" i="75"/>
  <c r="AV30" i="75"/>
  <c r="DH15" i="75"/>
  <c r="CQ22" i="75"/>
  <c r="AU42" i="75"/>
  <c r="EC42" i="75"/>
  <c r="AV42" i="75"/>
  <c r="AC26" i="75"/>
  <c r="AY26" i="75"/>
  <c r="CN34" i="75"/>
  <c r="CP35" i="75"/>
  <c r="BU26" i="75"/>
  <c r="AA34" i="75"/>
  <c r="AU33" i="75"/>
  <c r="BR33" i="75"/>
  <c r="CQ42" i="75"/>
  <c r="AV27" i="75"/>
  <c r="AY20" i="75"/>
  <c r="AU37" i="75"/>
  <c r="AV23" i="75"/>
  <c r="CM33" i="75"/>
  <c r="CN23" i="75"/>
  <c r="CQ39" i="75"/>
  <c r="BR42" i="75"/>
  <c r="DI23" i="75"/>
  <c r="DH10" i="75"/>
  <c r="AA23" i="75"/>
  <c r="DH13" i="75"/>
  <c r="BR40" i="75"/>
  <c r="DH34" i="75"/>
  <c r="BR10" i="75"/>
  <c r="CO40" i="75"/>
  <c r="CM40" i="75"/>
  <c r="CM10" i="75"/>
  <c r="BV20" i="75"/>
  <c r="Z24" i="75"/>
  <c r="DH40" i="75"/>
  <c r="DL20" i="75"/>
  <c r="EG25" i="75"/>
  <c r="EC28" i="75"/>
  <c r="AU34" i="75"/>
  <c r="DH24" i="75"/>
  <c r="ED29" i="75"/>
  <c r="AD42" i="75"/>
  <c r="Z34" i="75"/>
  <c r="CQ40" i="75"/>
  <c r="CM37" i="75"/>
  <c r="EC34" i="75"/>
  <c r="AY42" i="75"/>
  <c r="AU40" i="75"/>
  <c r="DJ40" i="75"/>
  <c r="CQ20" i="75"/>
  <c r="CM34" i="75"/>
  <c r="AD20" i="75"/>
  <c r="AW40" i="75"/>
  <c r="Z40" i="75"/>
  <c r="Z37" i="75"/>
  <c r="AW26" i="75"/>
  <c r="AW25" i="75"/>
  <c r="BV40" i="75"/>
  <c r="BV41" i="75"/>
  <c r="CQ33" i="75"/>
  <c r="CP37" i="75"/>
  <c r="CP21" i="75"/>
  <c r="BT28" i="75"/>
  <c r="CQ32" i="75"/>
  <c r="AD22" i="75"/>
  <c r="Z42" i="75"/>
  <c r="AB26" i="75"/>
  <c r="AA36" i="75"/>
  <c r="AD41" i="75"/>
  <c r="AA32" i="75"/>
  <c r="Z21" i="75"/>
  <c r="AY40" i="75"/>
  <c r="AC21" i="75"/>
  <c r="AA22" i="75"/>
  <c r="AA30" i="75"/>
  <c r="AA42" i="75"/>
  <c r="AC30" i="75"/>
  <c r="AB25" i="75"/>
  <c r="DL40" i="75"/>
  <c r="CM15" i="75"/>
  <c r="DH37" i="75"/>
  <c r="DL41" i="75"/>
  <c r="BU29" i="75"/>
  <c r="DJ26" i="75"/>
  <c r="BU42" i="75"/>
  <c r="CN22" i="75"/>
  <c r="CN27" i="75"/>
  <c r="CM24" i="75"/>
  <c r="CN28" i="75"/>
  <c r="BV22" i="75"/>
  <c r="BS30" i="75"/>
  <c r="BV32" i="75"/>
  <c r="EF42" i="75"/>
  <c r="EF35" i="75"/>
  <c r="EG22" i="75"/>
  <c r="EF27" i="75"/>
  <c r="EF26" i="75"/>
  <c r="ED30" i="75"/>
  <c r="AA27" i="75"/>
  <c r="AY41" i="75"/>
  <c r="BT26" i="75"/>
  <c r="DH28" i="75"/>
  <c r="BV25" i="75"/>
  <c r="DK37" i="75"/>
  <c r="BV24" i="75"/>
  <c r="CM28" i="75"/>
  <c r="AY22" i="75"/>
  <c r="AX24" i="75"/>
  <c r="AD31" i="75"/>
  <c r="AY25" i="75"/>
  <c r="AW34" i="75"/>
  <c r="AD33" i="75"/>
  <c r="AX42" i="75"/>
  <c r="AD24" i="75"/>
  <c r="AX39" i="75"/>
  <c r="AX27" i="75"/>
  <c r="AU29" i="75"/>
  <c r="CN42" i="75"/>
  <c r="CQ41" i="75"/>
  <c r="DK29" i="75"/>
  <c r="CO26" i="75"/>
  <c r="CQ24" i="75"/>
  <c r="CP31" i="75"/>
  <c r="DJ25" i="75"/>
  <c r="BR21" i="75"/>
  <c r="DL25" i="75"/>
  <c r="CP24" i="75"/>
  <c r="CN30" i="75"/>
  <c r="BS28" i="75"/>
  <c r="DI32" i="75"/>
  <c r="CM22" i="75"/>
  <c r="DL33" i="75"/>
  <c r="CP42" i="75"/>
  <c r="BU35" i="75"/>
  <c r="DK27" i="75"/>
  <c r="CP26" i="75"/>
  <c r="AX21" i="75"/>
  <c r="CM13" i="75"/>
  <c r="BR37" i="75"/>
  <c r="DL32" i="75"/>
  <c r="AU28" i="75"/>
  <c r="AW28" i="75"/>
  <c r="AX37" i="75"/>
  <c r="AD21" i="75"/>
  <c r="AC24" i="75"/>
  <c r="AY31" i="75"/>
  <c r="AD25" i="75"/>
  <c r="AB34" i="75"/>
  <c r="AY33" i="75"/>
  <c r="AC42" i="75"/>
  <c r="AC39" i="75"/>
  <c r="Z29" i="75"/>
  <c r="BS42" i="75"/>
  <c r="BT34" i="75"/>
  <c r="CP30" i="75"/>
  <c r="CM29" i="75"/>
  <c r="DJ28" i="75"/>
  <c r="BU24" i="75"/>
  <c r="DK26" i="75"/>
  <c r="BV26" i="75"/>
  <c r="BU31" i="75"/>
  <c r="CN32" i="75"/>
  <c r="DH22" i="75"/>
  <c r="BV33" i="75"/>
  <c r="DH42" i="75"/>
  <c r="BV21" i="75"/>
  <c r="CQ21" i="75"/>
  <c r="EF39" i="75"/>
  <c r="EG26" i="75"/>
  <c r="EF24" i="75"/>
  <c r="EC24" i="75"/>
  <c r="EC21" i="75"/>
  <c r="ED27" i="75"/>
  <c r="EF29" i="75"/>
  <c r="EG31" i="75"/>
  <c r="EE25" i="75"/>
  <c r="ED34" i="75"/>
  <c r="AD40" i="75"/>
  <c r="Z28" i="75"/>
  <c r="AC37" i="75"/>
  <c r="AD26" i="75"/>
  <c r="AU24" i="75"/>
  <c r="AV34" i="75"/>
  <c r="BR13" i="75"/>
  <c r="CN36" i="75"/>
  <c r="DI42" i="75"/>
  <c r="DJ34" i="75"/>
  <c r="DK30" i="75"/>
  <c r="BR29" i="75"/>
  <c r="BV31" i="75"/>
  <c r="CQ31" i="75"/>
  <c r="BS27" i="75"/>
  <c r="DK39" i="75"/>
  <c r="BU21" i="75"/>
  <c r="BS32" i="75"/>
  <c r="BR22" i="75"/>
  <c r="BS34" i="75"/>
  <c r="Q81" i="94"/>
  <c r="AP106" i="95"/>
  <c r="AU150" i="95"/>
  <c r="AZ15" i="95"/>
  <c r="BA152" i="95"/>
  <c r="AQ195" i="95"/>
  <c r="AR195" i="95"/>
  <c r="AU105" i="95"/>
  <c r="AQ151" i="95"/>
  <c r="AQ105" i="95"/>
  <c r="AV15" i="95"/>
  <c r="AQ60" i="95"/>
  <c r="BA15" i="95"/>
  <c r="BA60" i="95"/>
  <c r="AV60" i="95"/>
  <c r="AZ195" i="95"/>
  <c r="AV196" i="95"/>
  <c r="AP61" i="95"/>
  <c r="AZ60" i="95"/>
  <c r="AR150" i="95"/>
  <c r="AZ106" i="95"/>
  <c r="AP153" i="95"/>
  <c r="AP16" i="95"/>
  <c r="AU15" i="95"/>
  <c r="AW195" i="95"/>
  <c r="AP197" i="95"/>
  <c r="AV150" i="95"/>
  <c r="AU196" i="95"/>
  <c r="BB152" i="95"/>
  <c r="AU60" i="95"/>
  <c r="AV105" i="95"/>
  <c r="BA196" i="95"/>
  <c r="AP107" i="95"/>
  <c r="BA107" i="95"/>
  <c r="BA108" i="95" s="1"/>
  <c r="AQ15" i="95"/>
  <c r="AW150" i="95"/>
  <c r="BB195" i="95"/>
  <c r="AZ150" i="95"/>
  <c r="AP154" i="95"/>
  <c r="AU16" i="95"/>
  <c r="Q80" i="94" l="1"/>
  <c r="AU17" i="95"/>
  <c r="Q11" i="94" l="1"/>
  <c r="Q12" i="94"/>
  <c r="Q13" i="94"/>
  <c r="Q14" i="94"/>
  <c r="Q15" i="94"/>
  <c r="Q16" i="94"/>
  <c r="Q17" i="94"/>
  <c r="Q18" i="94"/>
  <c r="Q19" i="94"/>
  <c r="Q20" i="94"/>
  <c r="Q21" i="94"/>
  <c r="Q22" i="94"/>
  <c r="Q23" i="94"/>
  <c r="Q24" i="94"/>
  <c r="Q25" i="94"/>
  <c r="Q26" i="94"/>
  <c r="Q27" i="94"/>
  <c r="Q28" i="94"/>
  <c r="Q29" i="94"/>
  <c r="Q30" i="94"/>
  <c r="Q31" i="94"/>
  <c r="Q32" i="94"/>
  <c r="Q33" i="94"/>
  <c r="Q34" i="94"/>
  <c r="Q35" i="94"/>
  <c r="Q36" i="94"/>
  <c r="Q37" i="94"/>
  <c r="Q38" i="94"/>
  <c r="Q39" i="94"/>
  <c r="Q40" i="94"/>
  <c r="Q41" i="94"/>
  <c r="Q42" i="94"/>
  <c r="Q43" i="94"/>
  <c r="Q44" i="94"/>
  <c r="Q45" i="94"/>
  <c r="Q46" i="94"/>
  <c r="Q47" i="94"/>
  <c r="Q48" i="94"/>
  <c r="Q49" i="94"/>
  <c r="Q50" i="94"/>
  <c r="Q51" i="94"/>
  <c r="Q52" i="94"/>
  <c r="Q53" i="94"/>
  <c r="Q54" i="94"/>
  <c r="Q55" i="94"/>
  <c r="Q56" i="94"/>
  <c r="Q57" i="94"/>
  <c r="Q58" i="94"/>
  <c r="Q59" i="94"/>
  <c r="Q60" i="94"/>
  <c r="Q61" i="94"/>
  <c r="Q62" i="94"/>
  <c r="Q63" i="94"/>
  <c r="Q64" i="94"/>
  <c r="Q65" i="94"/>
  <c r="Q66" i="94"/>
  <c r="Q67" i="94"/>
  <c r="Q68" i="94"/>
  <c r="Q70" i="94"/>
  <c r="Q71" i="94"/>
  <c r="Q72" i="94"/>
  <c r="Q73" i="94"/>
  <c r="Q74" i="94"/>
  <c r="Q75" i="94"/>
  <c r="Q76" i="94"/>
  <c r="Q77" i="94"/>
  <c r="Q78" i="94"/>
  <c r="Q79" i="94"/>
  <c r="Q10" i="94"/>
  <c r="AP108" i="95"/>
  <c r="BA197" i="95"/>
  <c r="AU151" i="95"/>
  <c r="BA153" i="95"/>
  <c r="AP155" i="95"/>
  <c r="AV61" i="95"/>
  <c r="AP62" i="95"/>
  <c r="AQ196" i="95"/>
  <c r="AU197" i="95"/>
  <c r="AZ151" i="95"/>
  <c r="BA109" i="95"/>
  <c r="AV151" i="95"/>
  <c r="BB153" i="95"/>
  <c r="AQ61" i="95"/>
  <c r="AV16" i="95"/>
  <c r="AV106" i="95"/>
  <c r="AW196" i="95"/>
  <c r="AQ152" i="95"/>
  <c r="AW151" i="95"/>
  <c r="AZ152" i="95"/>
  <c r="AZ107" i="95"/>
  <c r="AR196" i="95"/>
  <c r="BA16" i="95"/>
  <c r="BB196" i="95"/>
  <c r="AZ61" i="95"/>
  <c r="AU18" i="95"/>
  <c r="AQ16" i="95"/>
  <c r="AV197" i="95"/>
  <c r="AQ106" i="95"/>
  <c r="AQ107" i="95" s="1"/>
  <c r="AQ108" i="95" s="1"/>
  <c r="BA61" i="95"/>
  <c r="AR151" i="95"/>
  <c r="AZ196" i="95"/>
  <c r="AZ16" i="95"/>
  <c r="AU61" i="95"/>
  <c r="AW152" i="95"/>
  <c r="AU106" i="95"/>
  <c r="AP198" i="95"/>
  <c r="AP17" i="95"/>
  <c r="M47" i="94" l="1"/>
  <c r="L47" i="94"/>
  <c r="K47" i="94"/>
  <c r="J47" i="94"/>
  <c r="M46" i="94"/>
  <c r="L46" i="94"/>
  <c r="K46" i="94"/>
  <c r="J46" i="94"/>
  <c r="L43" i="94"/>
  <c r="K43" i="94"/>
  <c r="J43" i="94"/>
  <c r="M38" i="94"/>
  <c r="L38" i="94"/>
  <c r="K38" i="94"/>
  <c r="J38" i="94"/>
  <c r="I38" i="94"/>
  <c r="J37" i="94"/>
  <c r="I37" i="94"/>
  <c r="J36" i="94"/>
  <c r="I36" i="94"/>
  <c r="J35" i="94"/>
  <c r="I35" i="94"/>
  <c r="J34" i="94"/>
  <c r="I34" i="94"/>
  <c r="M33" i="94"/>
  <c r="J33" i="94"/>
  <c r="I33" i="94"/>
  <c r="M32" i="94"/>
  <c r="L32" i="94"/>
  <c r="K32" i="94"/>
  <c r="J32" i="94"/>
  <c r="I32" i="94"/>
  <c r="M31" i="94"/>
  <c r="L31" i="94"/>
  <c r="K31" i="94"/>
  <c r="J31" i="94"/>
  <c r="I31" i="94"/>
  <c r="I30" i="94"/>
  <c r="M29" i="94"/>
  <c r="L29" i="94"/>
  <c r="K29" i="94"/>
  <c r="J29" i="94"/>
  <c r="I29" i="94"/>
  <c r="I28" i="94"/>
  <c r="I27" i="94"/>
  <c r="I26" i="94"/>
  <c r="I25" i="94"/>
  <c r="I24" i="94"/>
  <c r="M23" i="94"/>
  <c r="L23" i="94"/>
  <c r="K23" i="94"/>
  <c r="J23" i="94"/>
  <c r="I23" i="94"/>
  <c r="M22" i="94"/>
  <c r="L22" i="94"/>
  <c r="K22" i="94"/>
  <c r="J22" i="94"/>
  <c r="I22" i="94"/>
  <c r="M21" i="94"/>
  <c r="L21" i="94"/>
  <c r="K21" i="94"/>
  <c r="J21" i="94"/>
  <c r="I21" i="94"/>
  <c r="M20" i="94"/>
  <c r="L20" i="94"/>
  <c r="K20" i="94"/>
  <c r="J20" i="94"/>
  <c r="I20" i="94"/>
  <c r="M19" i="94"/>
  <c r="L19" i="94"/>
  <c r="K19" i="94"/>
  <c r="J19" i="94"/>
  <c r="I19" i="94"/>
  <c r="M18" i="94"/>
  <c r="L18" i="94"/>
  <c r="K18" i="94"/>
  <c r="J18" i="94"/>
  <c r="I18" i="94"/>
  <c r="M17" i="94"/>
  <c r="L17" i="94"/>
  <c r="K17" i="94"/>
  <c r="J17" i="94"/>
  <c r="I17" i="94"/>
  <c r="L16" i="94"/>
  <c r="K16" i="94"/>
  <c r="J16" i="94"/>
  <c r="I16" i="94"/>
  <c r="M15" i="94"/>
  <c r="L15" i="94"/>
  <c r="I15" i="94"/>
  <c r="M14" i="94"/>
  <c r="L14" i="94"/>
  <c r="K14" i="94"/>
  <c r="J14" i="94"/>
  <c r="I14" i="94"/>
  <c r="M13" i="94"/>
  <c r="L13" i="94"/>
  <c r="K13" i="94"/>
  <c r="J13" i="94"/>
  <c r="I13" i="94"/>
  <c r="L12" i="94"/>
  <c r="K12" i="94"/>
  <c r="J12" i="94"/>
  <c r="I12" i="94"/>
  <c r="M11" i="94"/>
  <c r="L11" i="94"/>
  <c r="I11" i="94"/>
  <c r="M10" i="94"/>
  <c r="L10" i="94"/>
  <c r="K10" i="94"/>
  <c r="J10" i="94"/>
  <c r="I10" i="94"/>
  <c r="M9" i="94"/>
  <c r="L9" i="94"/>
  <c r="K9" i="94"/>
  <c r="J9" i="94"/>
  <c r="I9" i="94"/>
  <c r="M8" i="94"/>
  <c r="L8" i="94"/>
  <c r="I8" i="94"/>
  <c r="M7" i="94"/>
  <c r="L7" i="94"/>
  <c r="K7" i="94"/>
  <c r="J7" i="94"/>
  <c r="I7" i="94"/>
  <c r="M6" i="94"/>
  <c r="L6" i="94"/>
  <c r="K6" i="94"/>
  <c r="J6" i="94"/>
  <c r="I6" i="94"/>
  <c r="M5" i="94"/>
  <c r="L5" i="94"/>
  <c r="K5" i="94"/>
  <c r="J5" i="94"/>
  <c r="I5" i="94"/>
  <c r="M4" i="94"/>
  <c r="L4" i="94"/>
  <c r="K4" i="94"/>
  <c r="J4" i="94"/>
  <c r="I4" i="94"/>
  <c r="M3" i="94"/>
  <c r="L3" i="94"/>
  <c r="K3" i="94"/>
  <c r="J3" i="94"/>
  <c r="I3" i="94"/>
  <c r="M2" i="94"/>
  <c r="L2" i="94"/>
  <c r="K2" i="94"/>
  <c r="I2" i="94"/>
  <c r="M1" i="94"/>
  <c r="L1" i="94"/>
  <c r="K1" i="94"/>
  <c r="I1" i="94"/>
  <c r="AV107" i="95"/>
  <c r="AV108" i="95"/>
  <c r="AP109" i="95"/>
  <c r="AP18" i="95"/>
  <c r="AR152" i="95"/>
  <c r="AW197" i="95"/>
  <c r="AW202" i="71"/>
  <c r="AR160" i="74"/>
  <c r="AT204" i="71"/>
  <c r="AB82" i="90"/>
  <c r="AD180" i="90"/>
  <c r="AC183" i="90"/>
  <c r="AB87" i="90"/>
  <c r="AD176" i="90"/>
  <c r="AS215" i="71"/>
  <c r="AC223" i="90"/>
  <c r="AD91" i="90"/>
  <c r="BA160" i="74"/>
  <c r="AD175" i="90"/>
  <c r="AC82" i="90"/>
  <c r="AB129" i="90"/>
  <c r="AU212" i="71"/>
  <c r="AX216" i="71"/>
  <c r="AS216" i="71"/>
  <c r="AD188" i="68"/>
  <c r="AD90" i="90"/>
  <c r="AC72" i="90"/>
  <c r="AC209" i="90"/>
  <c r="AD123" i="90"/>
  <c r="AC37" i="90"/>
  <c r="AT212" i="71"/>
  <c r="AC181" i="90"/>
  <c r="AB42" i="90"/>
  <c r="AU223" i="71"/>
  <c r="AR163" i="74"/>
  <c r="AW158" i="74"/>
  <c r="AX158" i="74"/>
  <c r="AD162" i="90"/>
  <c r="AC79" i="90"/>
  <c r="AV62" i="72"/>
  <c r="AC225" i="90"/>
  <c r="AC89" i="90"/>
  <c r="AD119" i="90"/>
  <c r="BC162" i="74"/>
  <c r="BB160" i="74"/>
  <c r="AV198" i="72"/>
  <c r="AT213" i="71"/>
  <c r="AD47" i="68"/>
  <c r="AS207" i="71"/>
  <c r="AB79" i="90"/>
  <c r="AB89" i="90"/>
  <c r="AB132" i="90"/>
  <c r="AW223" i="71"/>
  <c r="AD89" i="68"/>
  <c r="AC168" i="90"/>
  <c r="AD182" i="68"/>
  <c r="AV149" i="72"/>
  <c r="AV213" i="71"/>
  <c r="AD136" i="68"/>
  <c r="AX220" i="71"/>
  <c r="AQ163" i="74"/>
  <c r="AD226" i="90"/>
  <c r="AB125" i="90"/>
  <c r="AB181" i="90"/>
  <c r="AD210" i="90"/>
  <c r="AD38" i="90"/>
  <c r="AB213" i="90"/>
  <c r="AB172" i="90"/>
  <c r="AV63" i="72"/>
  <c r="AX219" i="71"/>
  <c r="AD131" i="90"/>
  <c r="AB126" i="90"/>
  <c r="AC26" i="68"/>
  <c r="AD39" i="90"/>
  <c r="AV202" i="71"/>
  <c r="AB168" i="90"/>
  <c r="AW211" i="71"/>
  <c r="AD170" i="90"/>
  <c r="AC164" i="90"/>
  <c r="AW221" i="71"/>
  <c r="AB208" i="90"/>
  <c r="AV107" i="72"/>
  <c r="AX162" i="74"/>
  <c r="AD29" i="90"/>
  <c r="AD126" i="90"/>
  <c r="AV159" i="74"/>
  <c r="AV160" i="74"/>
  <c r="AB211" i="90"/>
  <c r="AB227" i="90"/>
  <c r="AB35" i="90"/>
  <c r="AS221" i="71"/>
  <c r="AD34" i="68"/>
  <c r="AV199" i="72"/>
  <c r="AD31" i="68"/>
  <c r="AV195" i="72"/>
  <c r="AU211" i="71"/>
  <c r="AC226" i="90"/>
  <c r="AC177" i="90"/>
  <c r="BA163" i="74"/>
  <c r="AX203" i="71"/>
  <c r="AD96" i="68"/>
  <c r="AS157" i="74"/>
  <c r="AD141" i="68"/>
  <c r="AU217" i="71"/>
  <c r="AD41" i="90"/>
  <c r="AX160" i="74"/>
  <c r="AV61" i="72"/>
  <c r="AC180" i="90"/>
  <c r="AD33" i="90"/>
  <c r="AX217" i="71"/>
  <c r="AD29" i="68"/>
  <c r="AV152" i="72"/>
  <c r="AU221" i="71"/>
  <c r="AD140" i="68"/>
  <c r="AB40" i="90"/>
  <c r="AC163" i="90"/>
  <c r="AB45" i="90"/>
  <c r="AC139" i="90"/>
  <c r="AD44" i="90"/>
  <c r="AV105" i="72"/>
  <c r="AT218" i="71"/>
  <c r="AD92" i="90"/>
  <c r="AC214" i="90"/>
  <c r="AD88" i="68"/>
  <c r="BA159" i="74"/>
  <c r="AS206" i="71"/>
  <c r="AD137" i="68"/>
  <c r="AC18" i="68"/>
  <c r="AC123" i="90"/>
  <c r="AD142" i="68"/>
  <c r="AC216" i="90"/>
  <c r="AV215" i="71"/>
  <c r="AC33" i="90"/>
  <c r="AB74" i="90"/>
  <c r="AW218" i="71"/>
  <c r="AD172" i="90"/>
  <c r="AB90" i="90"/>
  <c r="AB169" i="90"/>
  <c r="AW210" i="71"/>
  <c r="AC29" i="68"/>
  <c r="AS212" i="71"/>
  <c r="AD177" i="90"/>
  <c r="AD207" i="90"/>
  <c r="AB135" i="90"/>
  <c r="AU222" i="71"/>
  <c r="AD54" i="68"/>
  <c r="AD52" i="68"/>
  <c r="AC20" i="68"/>
  <c r="AB210" i="90"/>
  <c r="AB229" i="90"/>
  <c r="AC174" i="90"/>
  <c r="AC90" i="90"/>
  <c r="AB43" i="90"/>
  <c r="AC73" i="90"/>
  <c r="AD45" i="68"/>
  <c r="AB222" i="90"/>
  <c r="AD30" i="90"/>
  <c r="AC208" i="90"/>
  <c r="AB215" i="90"/>
  <c r="AD132" i="90"/>
  <c r="AD55" i="68"/>
  <c r="AD179" i="90"/>
  <c r="AD164" i="90"/>
  <c r="AD137" i="90"/>
  <c r="AD85" i="90"/>
  <c r="AT217" i="71"/>
  <c r="AW160" i="74"/>
  <c r="AD220" i="90"/>
  <c r="AB223" i="90"/>
  <c r="AC224" i="90"/>
  <c r="AU210" i="71"/>
  <c r="AT211" i="71"/>
  <c r="AB166" i="90"/>
  <c r="AD49" i="68"/>
  <c r="AD223" i="90"/>
  <c r="AD43" i="68"/>
  <c r="AD77" i="90"/>
  <c r="AD125" i="90"/>
  <c r="AC227" i="90"/>
  <c r="AD118" i="90"/>
  <c r="AD28" i="90"/>
  <c r="AW157" i="74"/>
  <c r="AD80" i="90"/>
  <c r="AV214" i="71"/>
  <c r="AD227" i="90"/>
  <c r="AC92" i="90"/>
  <c r="AD35" i="90"/>
  <c r="AS205" i="71"/>
  <c r="AB228" i="90"/>
  <c r="AD224" i="90"/>
  <c r="AC131" i="90"/>
  <c r="BB162" i="74"/>
  <c r="AD46" i="90"/>
  <c r="AC124" i="90"/>
  <c r="AV106" i="72"/>
  <c r="AW214" i="71"/>
  <c r="AB173" i="90"/>
  <c r="AB41" i="90"/>
  <c r="AD228" i="68"/>
  <c r="AD117" i="90"/>
  <c r="AX206" i="71"/>
  <c r="AC130" i="90"/>
  <c r="AU219" i="71"/>
  <c r="AB179" i="90"/>
  <c r="AD225" i="68"/>
  <c r="AD213" i="90"/>
  <c r="AB75" i="90"/>
  <c r="AT208" i="71"/>
  <c r="AX218" i="71"/>
  <c r="AC170" i="90"/>
  <c r="AD186" i="68"/>
  <c r="AD217" i="90"/>
  <c r="AD53" i="68"/>
  <c r="AD183" i="68"/>
  <c r="AC81" i="90"/>
  <c r="BB157" i="74"/>
  <c r="AP162" i="74"/>
  <c r="AD74" i="90"/>
  <c r="AD25" i="68"/>
  <c r="AU216" i="71"/>
  <c r="AD75" i="90"/>
  <c r="AS210" i="71"/>
  <c r="AD181" i="90"/>
  <c r="AB128" i="90"/>
  <c r="AD222" i="90"/>
  <c r="AC78" i="90"/>
  <c r="AB88" i="90"/>
  <c r="AV216" i="71"/>
  <c r="AW219" i="71"/>
  <c r="AD79" i="90"/>
  <c r="AD209" i="90"/>
  <c r="AB167" i="90"/>
  <c r="AB134" i="90"/>
  <c r="AC133" i="90"/>
  <c r="AC91" i="90"/>
  <c r="AD86" i="90"/>
  <c r="AC165" i="90"/>
  <c r="AW209" i="71"/>
  <c r="AD232" i="68"/>
  <c r="AB73" i="90"/>
  <c r="AC35" i="90"/>
  <c r="AS223" i="71"/>
  <c r="AC22" i="68"/>
  <c r="AB83" i="90"/>
  <c r="AC129" i="90"/>
  <c r="AD88" i="90"/>
  <c r="AW220" i="71"/>
  <c r="AV194" i="72"/>
  <c r="AC47" i="90"/>
  <c r="AW161" i="74"/>
  <c r="AR157" i="74"/>
  <c r="BB159" i="74"/>
  <c r="AB174" i="90"/>
  <c r="AC24" i="68"/>
  <c r="AU163" i="74"/>
  <c r="AC77" i="90"/>
  <c r="AW205" i="71"/>
  <c r="AR162" i="74"/>
  <c r="AD48" i="90"/>
  <c r="AC31" i="90"/>
  <c r="AD181" i="68"/>
  <c r="AD218" i="90"/>
  <c r="AD215" i="90"/>
  <c r="AB119" i="90"/>
  <c r="AD214" i="90"/>
  <c r="AX208" i="71"/>
  <c r="AD174" i="90"/>
  <c r="AB139" i="90"/>
  <c r="AB31" i="90"/>
  <c r="AD121" i="90"/>
  <c r="AS214" i="71"/>
  <c r="AW159" i="74"/>
  <c r="AB33" i="90"/>
  <c r="AB94" i="90"/>
  <c r="AX214" i="71"/>
  <c r="AB81" i="90"/>
  <c r="AB218" i="90"/>
  <c r="AB34" i="90"/>
  <c r="AB127" i="90"/>
  <c r="AV59" i="72"/>
  <c r="AD122" i="90"/>
  <c r="AW213" i="71"/>
  <c r="AB86" i="90"/>
  <c r="AB120" i="90"/>
  <c r="AT215" i="71"/>
  <c r="AD38" i="68"/>
  <c r="AT163" i="74"/>
  <c r="AX211" i="71"/>
  <c r="AB78" i="90"/>
  <c r="AV108" i="72"/>
  <c r="AD35" i="68"/>
  <c r="AC132" i="90"/>
  <c r="AD178" i="68"/>
  <c r="AD73" i="90"/>
  <c r="AC122" i="90"/>
  <c r="AB77" i="90"/>
  <c r="AD87" i="90"/>
  <c r="AX210" i="71"/>
  <c r="AD185" i="68"/>
  <c r="AD136" i="90"/>
  <c r="AC207" i="90"/>
  <c r="AT210" i="71"/>
  <c r="AC41" i="90"/>
  <c r="AC85" i="90"/>
  <c r="AX202" i="71"/>
  <c r="AB117" i="90"/>
  <c r="AC169" i="90"/>
  <c r="AD219" i="90"/>
  <c r="AV220" i="71"/>
  <c r="AD138" i="90"/>
  <c r="AD120" i="90"/>
  <c r="AD50" i="68"/>
  <c r="AB217" i="90"/>
  <c r="AB162" i="90"/>
  <c r="AC34" i="90"/>
  <c r="AC94" i="90"/>
  <c r="AV109" i="72"/>
  <c r="AD184" i="90"/>
  <c r="AT206" i="71"/>
  <c r="AD138" i="68"/>
  <c r="AD139" i="68"/>
  <c r="AW162" i="74"/>
  <c r="AB36" i="90"/>
  <c r="AC212" i="90"/>
  <c r="AT222" i="71"/>
  <c r="AD37" i="90"/>
  <c r="AO163" i="74"/>
  <c r="AB91" i="90"/>
  <c r="AD93" i="68"/>
  <c r="AD99" i="68"/>
  <c r="AD91" i="68"/>
  <c r="AD47" i="90"/>
  <c r="AD41" i="68"/>
  <c r="AV104" i="72"/>
  <c r="BC160" i="74"/>
  <c r="AX205" i="71"/>
  <c r="AC221" i="90"/>
  <c r="AT214" i="71"/>
  <c r="AC84" i="90"/>
  <c r="AV207" i="71"/>
  <c r="AP161" i="74"/>
  <c r="AD183" i="90"/>
  <c r="AD234" i="68"/>
  <c r="AS156" i="74"/>
  <c r="AR158" i="74"/>
  <c r="AD33" i="68"/>
  <c r="AD187" i="68"/>
  <c r="AD31" i="90"/>
  <c r="AC178" i="90"/>
  <c r="AU218" i="71"/>
  <c r="AC162" i="90"/>
  <c r="AD130" i="90"/>
  <c r="AS158" i="74"/>
  <c r="AD228" i="90"/>
  <c r="AD89" i="90"/>
  <c r="AS213" i="71"/>
  <c r="AD128" i="90"/>
  <c r="AX222" i="71"/>
  <c r="AC39" i="90"/>
  <c r="AD48" i="68"/>
  <c r="AB137" i="90"/>
  <c r="AS163" i="74"/>
  <c r="AU161" i="74"/>
  <c r="AC28" i="90"/>
  <c r="AC30" i="90"/>
  <c r="BC163" i="74"/>
  <c r="AP163" i="74"/>
  <c r="AC21" i="68"/>
  <c r="AC222" i="90"/>
  <c r="AD144" i="68"/>
  <c r="AW206" i="71"/>
  <c r="AB48" i="90"/>
  <c r="AC43" i="90"/>
  <c r="AD97" i="68"/>
  <c r="AD180" i="68"/>
  <c r="AD189" i="68"/>
  <c r="AD81" i="90"/>
  <c r="AB118" i="90"/>
  <c r="AX163" i="74"/>
  <c r="AB182" i="90"/>
  <c r="AC211" i="90"/>
  <c r="AD233" i="68"/>
  <c r="BC158" i="74"/>
  <c r="AC117" i="90"/>
  <c r="AD39" i="68"/>
  <c r="AB180" i="90"/>
  <c r="AC166" i="90"/>
  <c r="BC159" i="74"/>
  <c r="AB212" i="90"/>
  <c r="AC45" i="90"/>
  <c r="AD163" i="90"/>
  <c r="AB38" i="90"/>
  <c r="AD139" i="90"/>
  <c r="AS203" i="71"/>
  <c r="AD98" i="68"/>
  <c r="AC175" i="90"/>
  <c r="AV163" i="74"/>
  <c r="AD28" i="68"/>
  <c r="AC125" i="90"/>
  <c r="AB27" i="90"/>
  <c r="AV154" i="72"/>
  <c r="AV197" i="72"/>
  <c r="AQ162" i="74"/>
  <c r="AC32" i="90"/>
  <c r="AW203" i="71"/>
  <c r="AD223" i="68"/>
  <c r="AD178" i="90"/>
  <c r="AB72" i="90"/>
  <c r="AD133" i="90"/>
  <c r="AX212" i="71"/>
  <c r="AB164" i="90"/>
  <c r="AV60" i="72"/>
  <c r="AC135" i="90"/>
  <c r="AD82" i="90"/>
  <c r="AD83" i="90"/>
  <c r="AV203" i="71"/>
  <c r="AB133" i="90"/>
  <c r="AD26" i="68"/>
  <c r="AD135" i="68"/>
  <c r="AC83" i="90"/>
  <c r="BC156" i="74"/>
  <c r="AC138" i="90"/>
  <c r="AD76" i="90"/>
  <c r="AT221" i="71"/>
  <c r="AV64" i="72"/>
  <c r="AB47" i="90"/>
  <c r="AC171" i="90"/>
  <c r="AB28" i="90"/>
  <c r="AC173" i="90"/>
  <c r="AD37" i="68"/>
  <c r="AD40" i="68"/>
  <c r="AT223" i="71"/>
  <c r="AX157" i="74"/>
  <c r="AD134" i="68"/>
  <c r="AB224" i="90"/>
  <c r="AC126" i="90"/>
  <c r="AD229" i="90"/>
  <c r="AB176" i="90"/>
  <c r="BA161" i="74"/>
  <c r="AS204" i="71"/>
  <c r="AQ161" i="74"/>
  <c r="AB131" i="90"/>
  <c r="AC137" i="90"/>
  <c r="AD72" i="90"/>
  <c r="AD211" i="90"/>
  <c r="AV206" i="71"/>
  <c r="AD145" i="68"/>
  <c r="AD94" i="90"/>
  <c r="AB32" i="90"/>
  <c r="AD100" i="68"/>
  <c r="AB207" i="90"/>
  <c r="AT209" i="71"/>
  <c r="AD184" i="68"/>
  <c r="AY163" i="74"/>
  <c r="AC167" i="90"/>
  <c r="AV209" i="71"/>
  <c r="AC215" i="90"/>
  <c r="AU208" i="71"/>
  <c r="AD190" i="68"/>
  <c r="AX209" i="71"/>
  <c r="AD78" i="90"/>
  <c r="AW222" i="71"/>
  <c r="AC36" i="90"/>
  <c r="AX221" i="71"/>
  <c r="BC157" i="74"/>
  <c r="AD36" i="90"/>
  <c r="AC80" i="90"/>
  <c r="AD92" i="68"/>
  <c r="AC219" i="90"/>
  <c r="AX213" i="71"/>
  <c r="AV223" i="71"/>
  <c r="AC121" i="90"/>
  <c r="AT203" i="71"/>
  <c r="BA162" i="74"/>
  <c r="AC27" i="68"/>
  <c r="AC210" i="90"/>
  <c r="AC74" i="90"/>
  <c r="AQ160" i="74"/>
  <c r="AS218" i="71"/>
  <c r="AC27" i="90"/>
  <c r="AC40" i="90"/>
  <c r="BB161" i="74"/>
  <c r="AD44" i="68"/>
  <c r="AD34" i="90"/>
  <c r="AB30" i="90"/>
  <c r="AD179" i="68"/>
  <c r="AV210" i="71"/>
  <c r="AX159" i="74"/>
  <c r="AC184" i="90"/>
  <c r="AW217" i="71"/>
  <c r="AD221" i="90"/>
  <c r="AC28" i="68"/>
  <c r="AW204" i="71"/>
  <c r="AU205" i="71"/>
  <c r="AD173" i="90"/>
  <c r="AD30" i="68"/>
  <c r="AB138" i="90"/>
  <c r="AS208" i="71"/>
  <c r="AS220" i="71"/>
  <c r="AC86" i="90"/>
  <c r="AV211" i="71"/>
  <c r="AC23" i="68"/>
  <c r="AV196" i="72"/>
  <c r="AB226" i="90"/>
  <c r="AD216" i="90"/>
  <c r="AB163" i="90"/>
  <c r="AX161" i="74"/>
  <c r="AV204" i="71"/>
  <c r="AB121" i="90"/>
  <c r="AC179" i="90"/>
  <c r="AU214" i="71"/>
  <c r="AC172" i="90"/>
  <c r="AC48" i="90"/>
  <c r="AC25" i="68"/>
  <c r="AB225" i="90"/>
  <c r="AD124" i="90"/>
  <c r="AB175" i="90"/>
  <c r="AC128" i="90"/>
  <c r="AC118" i="90"/>
  <c r="AD208" i="90"/>
  <c r="AD171" i="90"/>
  <c r="AV218" i="71"/>
  <c r="AS209" i="71"/>
  <c r="AB209" i="90"/>
  <c r="AW216" i="71"/>
  <c r="AD165" i="90"/>
  <c r="AV150" i="72"/>
  <c r="AD46" i="68"/>
  <c r="AD227" i="68"/>
  <c r="AZ161" i="74"/>
  <c r="AC120" i="90"/>
  <c r="AD93" i="90"/>
  <c r="AV151" i="72"/>
  <c r="AB165" i="90"/>
  <c r="AW212" i="71"/>
  <c r="AC76" i="90"/>
  <c r="BC161" i="74"/>
  <c r="AT216" i="71"/>
  <c r="AU202" i="71"/>
  <c r="AU220" i="71"/>
  <c r="AC220" i="90"/>
  <c r="AD167" i="90"/>
  <c r="AB219" i="90"/>
  <c r="AX204" i="71"/>
  <c r="AD95" i="68"/>
  <c r="AW215" i="71"/>
  <c r="AC213" i="90"/>
  <c r="AD235" i="68"/>
  <c r="AD94" i="68"/>
  <c r="AB37" i="90"/>
  <c r="AC176" i="90"/>
  <c r="AC136" i="90"/>
  <c r="AB92" i="90"/>
  <c r="AB171" i="90"/>
  <c r="AB76" i="90"/>
  <c r="AT220" i="71"/>
  <c r="AB29" i="90"/>
  <c r="AD42" i="68"/>
  <c r="AV205" i="71"/>
  <c r="AB49" i="90"/>
  <c r="AS222" i="71"/>
  <c r="AB130" i="90"/>
  <c r="AW163" i="74"/>
  <c r="AD230" i="68"/>
  <c r="AX207" i="71"/>
  <c r="AC88" i="90"/>
  <c r="AD42" i="90"/>
  <c r="AB84" i="90"/>
  <c r="AB136" i="90"/>
  <c r="AD45" i="90"/>
  <c r="AB122" i="90"/>
  <c r="AC127" i="90"/>
  <c r="BB158" i="74"/>
  <c r="AC217" i="90"/>
  <c r="AT202" i="71"/>
  <c r="AB124" i="90"/>
  <c r="AB178" i="90"/>
  <c r="AC42" i="90"/>
  <c r="AV153" i="72"/>
  <c r="AC44" i="90"/>
  <c r="AU207" i="71"/>
  <c r="AD36" i="68"/>
  <c r="AX215" i="71"/>
  <c r="AS162" i="74"/>
  <c r="AD51" i="68"/>
  <c r="AU209" i="71"/>
  <c r="AB80" i="90"/>
  <c r="AS160" i="74"/>
  <c r="AC38" i="90"/>
  <c r="AD182" i="90"/>
  <c r="AC75" i="90"/>
  <c r="AC87" i="90"/>
  <c r="AQ159" i="74"/>
  <c r="AB183" i="90"/>
  <c r="AV217" i="71"/>
  <c r="AC182" i="90"/>
  <c r="AD169" i="90"/>
  <c r="AU206" i="71"/>
  <c r="AS219" i="71"/>
  <c r="AD49" i="90"/>
  <c r="AU215" i="71"/>
  <c r="AD43" i="90"/>
  <c r="AB220" i="90"/>
  <c r="AC29" i="90"/>
  <c r="AS159" i="74"/>
  <c r="AC46" i="90"/>
  <c r="AB44" i="90"/>
  <c r="AR161" i="74"/>
  <c r="AD229" i="68"/>
  <c r="AB170" i="90"/>
  <c r="AD84" i="90"/>
  <c r="AZ162" i="74"/>
  <c r="AU203" i="71"/>
  <c r="AS202" i="71"/>
  <c r="AW208" i="71"/>
  <c r="BB163" i="74"/>
  <c r="AX156" i="74"/>
  <c r="AC49" i="90"/>
  <c r="AD224" i="68"/>
  <c r="AV221" i="71"/>
  <c r="AB123" i="90"/>
  <c r="AC93" i="90"/>
  <c r="AS211" i="71"/>
  <c r="AD27" i="90"/>
  <c r="AB85" i="90"/>
  <c r="AD135" i="90"/>
  <c r="AV161" i="74"/>
  <c r="AT207" i="71"/>
  <c r="AC119" i="90"/>
  <c r="AR159" i="74"/>
  <c r="AV219" i="71"/>
  <c r="AT219" i="71"/>
  <c r="AB214" i="90"/>
  <c r="AU213" i="71"/>
  <c r="AD40" i="90"/>
  <c r="AB216" i="90"/>
  <c r="AC19" i="68"/>
  <c r="AD32" i="68"/>
  <c r="AD129" i="90"/>
  <c r="AB39" i="90"/>
  <c r="AU162" i="74"/>
  <c r="AX223" i="71"/>
  <c r="AD168" i="90"/>
  <c r="AD90" i="68"/>
  <c r="AB46" i="90"/>
  <c r="AC218" i="90"/>
  <c r="AW207" i="71"/>
  <c r="AV162" i="74"/>
  <c r="AB221" i="90"/>
  <c r="AD226" i="68"/>
  <c r="AC229" i="90"/>
  <c r="AT205" i="71"/>
  <c r="AB93" i="90"/>
  <c r="AS161" i="74"/>
  <c r="AD212" i="90"/>
  <c r="AD143" i="68"/>
  <c r="AD127" i="90"/>
  <c r="AD166" i="90"/>
  <c r="AB177" i="90"/>
  <c r="AV222" i="71"/>
  <c r="AD133" i="68"/>
  <c r="AU204" i="71"/>
  <c r="AV208" i="71"/>
  <c r="AV212" i="71"/>
  <c r="AC228" i="90"/>
  <c r="AS217" i="71"/>
  <c r="AD27" i="68"/>
  <c r="AC134" i="90"/>
  <c r="AD32" i="90"/>
  <c r="AD231" i="68"/>
  <c r="AZ163" i="74"/>
  <c r="AD225" i="90"/>
  <c r="AD134" i="90"/>
  <c r="AB184" i="90"/>
  <c r="AF44" i="90" l="1"/>
  <c r="AB81" i="71"/>
  <c r="Z81" i="71"/>
  <c r="Y81" i="71"/>
  <c r="AD81" i="71"/>
  <c r="AA81" i="71"/>
  <c r="R81" i="71"/>
  <c r="AC81" i="71"/>
  <c r="AG122" i="90"/>
  <c r="AG177" i="90"/>
  <c r="AF216" i="90"/>
  <c r="Y22" i="71"/>
  <c r="AA22" i="71"/>
  <c r="Z22" i="71"/>
  <c r="R22" i="71"/>
  <c r="AD22" i="71"/>
  <c r="AC22" i="71"/>
  <c r="AB22" i="71"/>
  <c r="R82" i="71"/>
  <c r="Z82" i="71"/>
  <c r="AD82" i="71"/>
  <c r="AC82" i="71"/>
  <c r="AB82" i="71"/>
  <c r="AA82" i="71"/>
  <c r="Y82" i="71"/>
  <c r="AG227" i="90"/>
  <c r="AF127" i="90"/>
  <c r="AC86" i="71"/>
  <c r="Z86" i="71"/>
  <c r="AB86" i="71"/>
  <c r="AD86" i="71"/>
  <c r="AA86" i="71"/>
  <c r="R86" i="71"/>
  <c r="Y86" i="71"/>
  <c r="AF49" i="90"/>
  <c r="AD88" i="71"/>
  <c r="AA88" i="71"/>
  <c r="Y88" i="71"/>
  <c r="R88" i="71"/>
  <c r="AC88" i="71"/>
  <c r="Z88" i="71"/>
  <c r="AB88" i="71"/>
  <c r="AD23" i="71"/>
  <c r="AC23" i="71"/>
  <c r="AB23" i="71"/>
  <c r="AA23" i="71"/>
  <c r="R23" i="71"/>
  <c r="Y23" i="71"/>
  <c r="Z23" i="71"/>
  <c r="AG162" i="90"/>
  <c r="AF183" i="90"/>
  <c r="AF177" i="90"/>
  <c r="AG165" i="90"/>
  <c r="AG84" i="90"/>
  <c r="AF228" i="90"/>
  <c r="AF182" i="90"/>
  <c r="AG214" i="90"/>
  <c r="Z25" i="71"/>
  <c r="Y25" i="71"/>
  <c r="AC25" i="71"/>
  <c r="R25" i="71"/>
  <c r="AD25" i="71"/>
  <c r="AA25" i="71"/>
  <c r="AB25" i="71"/>
  <c r="AF81" i="90"/>
  <c r="AG76" i="90"/>
  <c r="Z132" i="71"/>
  <c r="AB132" i="71"/>
  <c r="Y132" i="71"/>
  <c r="AC132" i="71"/>
  <c r="AD132" i="71"/>
  <c r="R132" i="71"/>
  <c r="AA132" i="71"/>
  <c r="AF184" i="90"/>
  <c r="R37" i="71"/>
  <c r="AD37" i="71"/>
  <c r="Y37" i="71"/>
  <c r="Z37" i="71"/>
  <c r="AA37" i="71"/>
  <c r="AB37" i="71"/>
  <c r="AC37" i="71"/>
  <c r="AG89" i="90"/>
  <c r="AG82" i="90"/>
  <c r="AB214" i="71"/>
  <c r="Z214" i="71"/>
  <c r="R214" i="71"/>
  <c r="AC214" i="71"/>
  <c r="AD214" i="71"/>
  <c r="Y214" i="71"/>
  <c r="AA214" i="71"/>
  <c r="AF179" i="90"/>
  <c r="AF168" i="90"/>
  <c r="AG32" i="90"/>
  <c r="AF123" i="90"/>
  <c r="AG46" i="90"/>
  <c r="AF229" i="90"/>
  <c r="AD30" i="71"/>
  <c r="Y30" i="71"/>
  <c r="AA30" i="71"/>
  <c r="AB30" i="71"/>
  <c r="AC30" i="71"/>
  <c r="Z30" i="71"/>
  <c r="R30" i="71"/>
  <c r="AD223" i="71"/>
  <c r="AB223" i="71"/>
  <c r="AA223" i="71"/>
  <c r="R223" i="71"/>
  <c r="Y223" i="71"/>
  <c r="Z223" i="71"/>
  <c r="AC223" i="71"/>
  <c r="AG91" i="90"/>
  <c r="AF173" i="90"/>
  <c r="AF32" i="90"/>
  <c r="AG223" i="90"/>
  <c r="AD39" i="71"/>
  <c r="AA39" i="71"/>
  <c r="R39" i="71"/>
  <c r="AC39" i="71"/>
  <c r="Y39" i="71"/>
  <c r="Z39" i="71"/>
  <c r="AB39" i="71"/>
  <c r="AG30" i="90"/>
  <c r="AA79" i="71"/>
  <c r="AD79" i="71"/>
  <c r="Z79" i="71"/>
  <c r="R79" i="71"/>
  <c r="AC79" i="71"/>
  <c r="AB79" i="71"/>
  <c r="Y79" i="71"/>
  <c r="AA169" i="71"/>
  <c r="R169" i="71"/>
  <c r="AC169" i="71"/>
  <c r="AB169" i="71"/>
  <c r="Y169" i="71"/>
  <c r="AD169" i="71"/>
  <c r="Z169" i="71"/>
  <c r="AG171" i="90"/>
  <c r="AG44" i="90"/>
  <c r="AF215" i="90"/>
  <c r="AF135" i="90"/>
  <c r="AG133" i="90"/>
  <c r="AG48" i="90"/>
  <c r="AF166" i="90"/>
  <c r="Z170" i="71"/>
  <c r="AD170" i="71"/>
  <c r="AA170" i="71"/>
  <c r="AC170" i="71"/>
  <c r="AB170" i="71"/>
  <c r="Y170" i="71"/>
  <c r="R170" i="71"/>
  <c r="AG225" i="90"/>
  <c r="AF91" i="90"/>
  <c r="AF35" i="90"/>
  <c r="AF221" i="90"/>
  <c r="AG212" i="90"/>
  <c r="AG181" i="90"/>
  <c r="AG33" i="90"/>
  <c r="AF128" i="90"/>
  <c r="AF29" i="90"/>
  <c r="AG213" i="90"/>
  <c r="AG139" i="90"/>
  <c r="AF88" i="90"/>
  <c r="AG80" i="90"/>
  <c r="AG36" i="90"/>
  <c r="AF39" i="90"/>
  <c r="AF78" i="90"/>
  <c r="AG74" i="90"/>
  <c r="AG28" i="90"/>
  <c r="AG178" i="90"/>
  <c r="AF130" i="90"/>
  <c r="AG88" i="90"/>
  <c r="AF217" i="90"/>
  <c r="AF118" i="90"/>
  <c r="AG31" i="90"/>
  <c r="AG129" i="90"/>
  <c r="AB84" i="71"/>
  <c r="AA84" i="71"/>
  <c r="Z84" i="71"/>
  <c r="AD84" i="71"/>
  <c r="Y84" i="71"/>
  <c r="R84" i="71"/>
  <c r="AC84" i="71"/>
  <c r="AD166" i="71"/>
  <c r="Y166" i="71"/>
  <c r="AA166" i="71"/>
  <c r="R166" i="71"/>
  <c r="Z166" i="71"/>
  <c r="AB166" i="71"/>
  <c r="AC166" i="71"/>
  <c r="AF94" i="90"/>
  <c r="AG208" i="90"/>
  <c r="Z121" i="71"/>
  <c r="AD121" i="71"/>
  <c r="AB121" i="71"/>
  <c r="AC121" i="71"/>
  <c r="R121" i="71"/>
  <c r="Y121" i="71"/>
  <c r="AA121" i="71"/>
  <c r="R174" i="71"/>
  <c r="Y174" i="71"/>
  <c r="AC174" i="71"/>
  <c r="AD174" i="71"/>
  <c r="Z174" i="71"/>
  <c r="AA174" i="71"/>
  <c r="AB174" i="71"/>
  <c r="AG170" i="90"/>
  <c r="AG168" i="90"/>
  <c r="AG138" i="90"/>
  <c r="AF36" i="90"/>
  <c r="AC212" i="71"/>
  <c r="Y212" i="71"/>
  <c r="AA212" i="71"/>
  <c r="AB212" i="71"/>
  <c r="Z212" i="71"/>
  <c r="R212" i="71"/>
  <c r="AD212" i="71"/>
  <c r="AG29" i="90"/>
  <c r="AG131" i="90"/>
  <c r="AF214" i="90"/>
  <c r="AF45" i="90"/>
  <c r="AF41" i="90"/>
  <c r="AF119" i="90"/>
  <c r="AF38" i="90"/>
  <c r="AB173" i="71"/>
  <c r="Y173" i="71"/>
  <c r="AA173" i="71"/>
  <c r="R173" i="71"/>
  <c r="AD173" i="71"/>
  <c r="AC173" i="71"/>
  <c r="Z173" i="71"/>
  <c r="AB133" i="71"/>
  <c r="Z133" i="71"/>
  <c r="AC133" i="71"/>
  <c r="AA133" i="71"/>
  <c r="Y133" i="71"/>
  <c r="R133" i="71"/>
  <c r="AD133" i="71"/>
  <c r="AG126" i="90"/>
  <c r="AG182" i="90"/>
  <c r="AF28" i="90"/>
  <c r="AG210" i="90"/>
  <c r="AF47" i="90"/>
  <c r="AG85" i="90"/>
  <c r="Z217" i="71"/>
  <c r="R217" i="71"/>
  <c r="AD217" i="71"/>
  <c r="AA217" i="71"/>
  <c r="AC217" i="71"/>
  <c r="Y217" i="71"/>
  <c r="AB217" i="71"/>
  <c r="AG92" i="90"/>
  <c r="AF83" i="90"/>
  <c r="AG42" i="90"/>
  <c r="AF33" i="90"/>
  <c r="AG221" i="90"/>
  <c r="AG37" i="90"/>
  <c r="AF122" i="90"/>
  <c r="AD77" i="71"/>
  <c r="R77" i="71"/>
  <c r="AA77" i="71"/>
  <c r="Y77" i="71"/>
  <c r="AC77" i="71"/>
  <c r="Z77" i="71"/>
  <c r="AB77" i="71"/>
  <c r="AG79" i="90"/>
  <c r="AF92" i="90"/>
  <c r="AF211" i="90"/>
  <c r="AF172" i="90"/>
  <c r="AG169" i="90"/>
  <c r="AF134" i="90"/>
  <c r="AG226" i="90"/>
  <c r="Y38" i="71"/>
  <c r="R38" i="71"/>
  <c r="AC38" i="71"/>
  <c r="AB38" i="71"/>
  <c r="Z38" i="71"/>
  <c r="AD38" i="71"/>
  <c r="AA38" i="71"/>
  <c r="AG49" i="90"/>
  <c r="AF220" i="90"/>
  <c r="AG176" i="90"/>
  <c r="AF76" i="90"/>
  <c r="R83" i="71"/>
  <c r="AA83" i="71"/>
  <c r="AB83" i="71"/>
  <c r="Z83" i="71"/>
  <c r="Y83" i="71"/>
  <c r="AC83" i="71"/>
  <c r="AD83" i="71"/>
  <c r="AG163" i="90"/>
  <c r="R32" i="71"/>
  <c r="AD32" i="71"/>
  <c r="AC32" i="71"/>
  <c r="Z32" i="71"/>
  <c r="Y32" i="71"/>
  <c r="AA32" i="71"/>
  <c r="AB32" i="71"/>
  <c r="AG40" i="90"/>
  <c r="AG216" i="90"/>
  <c r="AF87" i="90"/>
  <c r="AF85" i="90"/>
  <c r="AG34" i="90"/>
  <c r="AC175" i="71"/>
  <c r="AA175" i="71"/>
  <c r="AB175" i="71"/>
  <c r="R175" i="71"/>
  <c r="AD175" i="71"/>
  <c r="Z175" i="71"/>
  <c r="Y175" i="71"/>
  <c r="Z124" i="71"/>
  <c r="AD124" i="71"/>
  <c r="R124" i="71"/>
  <c r="AB124" i="71"/>
  <c r="Y124" i="71"/>
  <c r="AA124" i="71"/>
  <c r="AC124" i="71"/>
  <c r="Z177" i="71"/>
  <c r="AC177" i="71"/>
  <c r="AD177" i="71"/>
  <c r="AB177" i="71"/>
  <c r="Y177" i="71"/>
  <c r="R177" i="71"/>
  <c r="AA177" i="71"/>
  <c r="AG209" i="90"/>
  <c r="AF178" i="90"/>
  <c r="AF222" i="90"/>
  <c r="Z24" i="71"/>
  <c r="AA24" i="71"/>
  <c r="AD24" i="71"/>
  <c r="AB24" i="71"/>
  <c r="Y24" i="71"/>
  <c r="AC24" i="71"/>
  <c r="R24" i="71"/>
  <c r="AG118" i="90"/>
  <c r="AG41" i="90"/>
  <c r="AC221" i="71"/>
  <c r="AA221" i="71"/>
  <c r="Z221" i="71"/>
  <c r="AB221" i="71"/>
  <c r="Y221" i="71"/>
  <c r="AD221" i="71"/>
  <c r="R221" i="71"/>
  <c r="AG180" i="90"/>
  <c r="AG224" i="90"/>
  <c r="AG83" i="90"/>
  <c r="AG218" i="90"/>
  <c r="AF213" i="90"/>
  <c r="R219" i="71"/>
  <c r="AD219" i="71"/>
  <c r="AC219" i="71"/>
  <c r="Y219" i="71"/>
  <c r="AA219" i="71"/>
  <c r="Z219" i="71"/>
  <c r="AB219" i="71"/>
  <c r="AG134" i="90"/>
  <c r="AF209" i="90"/>
  <c r="AC127" i="71"/>
  <c r="Z127" i="71"/>
  <c r="R127" i="71"/>
  <c r="Y127" i="71"/>
  <c r="AA127" i="71"/>
  <c r="AD127" i="71"/>
  <c r="AB127" i="71"/>
  <c r="AG117" i="90"/>
  <c r="AF136" i="90"/>
  <c r="AG87" i="90"/>
  <c r="AG184" i="90"/>
  <c r="AF171" i="90"/>
  <c r="AF40" i="90"/>
  <c r="AG45" i="90"/>
  <c r="AG86" i="90"/>
  <c r="AF165" i="90"/>
  <c r="AG183" i="90"/>
  <c r="AF27" i="90"/>
  <c r="AF34" i="90"/>
  <c r="Y26" i="71"/>
  <c r="Z26" i="71"/>
  <c r="R26" i="71"/>
  <c r="AB26" i="71"/>
  <c r="AD26" i="71"/>
  <c r="AA26" i="71"/>
  <c r="AC26" i="71"/>
  <c r="AF137" i="90"/>
  <c r="AA21" i="71"/>
  <c r="AD21" i="71"/>
  <c r="AC21" i="71"/>
  <c r="AB21" i="71"/>
  <c r="R21" i="71"/>
  <c r="Y21" i="71"/>
  <c r="Z21" i="71"/>
  <c r="AF224" i="90"/>
  <c r="AB168" i="71"/>
  <c r="Z168" i="71"/>
  <c r="Y168" i="71"/>
  <c r="AA168" i="71"/>
  <c r="R168" i="71"/>
  <c r="AC168" i="71"/>
  <c r="AD168" i="71"/>
  <c r="AF124" i="90"/>
  <c r="AC34" i="71"/>
  <c r="AD34" i="71"/>
  <c r="Z34" i="71"/>
  <c r="AA34" i="71"/>
  <c r="Y34" i="71"/>
  <c r="AB34" i="71"/>
  <c r="R34" i="71"/>
  <c r="AG47" i="90"/>
  <c r="AF208" i="90"/>
  <c r="Y33" i="71"/>
  <c r="R33" i="71"/>
  <c r="Z33" i="71"/>
  <c r="AA33" i="71"/>
  <c r="AC33" i="71"/>
  <c r="AD33" i="71"/>
  <c r="AB33" i="71"/>
  <c r="AF167" i="90"/>
  <c r="AG128" i="90"/>
  <c r="AF162" i="90"/>
  <c r="AF223" i="90"/>
  <c r="AF132" i="90"/>
  <c r="AD130" i="71"/>
  <c r="R130" i="71"/>
  <c r="Y130" i="71"/>
  <c r="AA130" i="71"/>
  <c r="Z130" i="71"/>
  <c r="AC130" i="71"/>
  <c r="AB130" i="71"/>
  <c r="Y123" i="71"/>
  <c r="AD123" i="71"/>
  <c r="R123" i="71"/>
  <c r="AB123" i="71"/>
  <c r="Z123" i="71"/>
  <c r="AA123" i="71"/>
  <c r="AC123" i="71"/>
  <c r="AF138" i="90"/>
  <c r="R31" i="71"/>
  <c r="Z31" i="71"/>
  <c r="AB31" i="71"/>
  <c r="AA31" i="71"/>
  <c r="AD31" i="71"/>
  <c r="Y31" i="71"/>
  <c r="AC31" i="71"/>
  <c r="AF46" i="90"/>
  <c r="AF163" i="90"/>
  <c r="AG72" i="90"/>
  <c r="AB126" i="71"/>
  <c r="Y126" i="71"/>
  <c r="Z126" i="71"/>
  <c r="R126" i="71"/>
  <c r="AC126" i="71"/>
  <c r="AA126" i="71"/>
  <c r="AD126" i="71"/>
  <c r="AD40" i="71"/>
  <c r="R40" i="71"/>
  <c r="Y40" i="71"/>
  <c r="AB40" i="71"/>
  <c r="Z40" i="71"/>
  <c r="AA40" i="71"/>
  <c r="AC40" i="71"/>
  <c r="AD216" i="71"/>
  <c r="Y216" i="71"/>
  <c r="AB216" i="71"/>
  <c r="R216" i="71"/>
  <c r="AA216" i="71"/>
  <c r="Z216" i="71"/>
  <c r="AC216" i="71"/>
  <c r="AF164" i="90"/>
  <c r="AG130" i="90"/>
  <c r="Y80" i="71"/>
  <c r="AB80" i="71"/>
  <c r="AA80" i="71"/>
  <c r="Z80" i="71"/>
  <c r="AD80" i="71"/>
  <c r="R80" i="71"/>
  <c r="AC80" i="71"/>
  <c r="AG124" i="90"/>
  <c r="AF219" i="90"/>
  <c r="AG75" i="90"/>
  <c r="Y128" i="71"/>
  <c r="Z128" i="71"/>
  <c r="AC128" i="71"/>
  <c r="AB128" i="71"/>
  <c r="AD128" i="71"/>
  <c r="AA128" i="71"/>
  <c r="R128" i="71"/>
  <c r="AF212" i="90"/>
  <c r="Y178" i="71"/>
  <c r="AB178" i="71"/>
  <c r="AC178" i="71"/>
  <c r="R178" i="71"/>
  <c r="AD178" i="71"/>
  <c r="Z178" i="71"/>
  <c r="AA178" i="71"/>
  <c r="AG173" i="90"/>
  <c r="AG175" i="90"/>
  <c r="Z36" i="71"/>
  <c r="AD36" i="71"/>
  <c r="Y36" i="71"/>
  <c r="AA36" i="71"/>
  <c r="R36" i="71"/>
  <c r="AB36" i="71"/>
  <c r="AC36" i="71"/>
  <c r="AF226" i="90"/>
  <c r="AF210" i="90"/>
  <c r="Y85" i="71"/>
  <c r="AA85" i="71"/>
  <c r="Z85" i="71"/>
  <c r="AC85" i="71"/>
  <c r="AB85" i="71"/>
  <c r="R85" i="71"/>
  <c r="AD85" i="71"/>
  <c r="AG77" i="90"/>
  <c r="AG35" i="90"/>
  <c r="Z122" i="71"/>
  <c r="AB122" i="71"/>
  <c r="AC122" i="71"/>
  <c r="AA122" i="71"/>
  <c r="R122" i="71"/>
  <c r="Y122" i="71"/>
  <c r="AD122" i="71"/>
  <c r="AG73" i="90"/>
  <c r="AF175" i="90"/>
  <c r="AF74" i="90"/>
  <c r="AG135" i="90"/>
  <c r="AF89" i="90"/>
  <c r="AD78" i="71"/>
  <c r="AB78" i="71"/>
  <c r="R78" i="71"/>
  <c r="Y78" i="71"/>
  <c r="AA78" i="71"/>
  <c r="AC78" i="71"/>
  <c r="Z78" i="71"/>
  <c r="AG123" i="90"/>
  <c r="AG222" i="90"/>
  <c r="AG132" i="90"/>
  <c r="AG179" i="90"/>
  <c r="AG81" i="90"/>
  <c r="AG119" i="90"/>
  <c r="AA87" i="71"/>
  <c r="Y87" i="71"/>
  <c r="Z87" i="71"/>
  <c r="AC87" i="71"/>
  <c r="AB87" i="71"/>
  <c r="AD87" i="71"/>
  <c r="R87" i="71"/>
  <c r="AG137" i="90"/>
  <c r="AF82" i="90"/>
  <c r="AF120" i="90"/>
  <c r="AG121" i="90"/>
  <c r="AG39" i="90"/>
  <c r="AF37" i="90"/>
  <c r="AG43" i="90"/>
  <c r="AF73" i="90"/>
  <c r="AG217" i="90"/>
  <c r="AG164" i="90"/>
  <c r="AF31" i="90"/>
  <c r="AF43" i="90"/>
  <c r="AF169" i="90"/>
  <c r="AF79" i="90"/>
  <c r="AF133" i="90"/>
  <c r="AF181" i="90"/>
  <c r="AF117" i="90"/>
  <c r="AF207" i="90"/>
  <c r="AG207" i="90"/>
  <c r="AF75" i="90"/>
  <c r="AC176" i="71"/>
  <c r="AD176" i="71"/>
  <c r="Z176" i="71"/>
  <c r="R176" i="71"/>
  <c r="Y176" i="71"/>
  <c r="AB176" i="71"/>
  <c r="AA176" i="71"/>
  <c r="AC171" i="71"/>
  <c r="Z171" i="71"/>
  <c r="AA171" i="71"/>
  <c r="R171" i="71"/>
  <c r="Y171" i="71"/>
  <c r="AD171" i="71"/>
  <c r="AB171" i="71"/>
  <c r="AG78" i="90"/>
  <c r="AB167" i="71"/>
  <c r="AA167" i="71"/>
  <c r="AC167" i="71"/>
  <c r="Y167" i="71"/>
  <c r="R167" i="71"/>
  <c r="Z167" i="71"/>
  <c r="AD167" i="71"/>
  <c r="AF77" i="90"/>
  <c r="AG220" i="90"/>
  <c r="AA211" i="71"/>
  <c r="AC211" i="71"/>
  <c r="Y211" i="71"/>
  <c r="R211" i="71"/>
  <c r="AD211" i="71"/>
  <c r="AB211" i="71"/>
  <c r="Z211" i="71"/>
  <c r="AG27" i="90"/>
  <c r="AG166" i="90"/>
  <c r="AG215" i="90"/>
  <c r="AF131" i="90"/>
  <c r="AG38" i="90"/>
  <c r="AC43" i="71"/>
  <c r="AB43" i="71"/>
  <c r="AA43" i="71"/>
  <c r="AD43" i="71"/>
  <c r="Y43" i="71"/>
  <c r="R43" i="71"/>
  <c r="Z43" i="71"/>
  <c r="AF86" i="90"/>
  <c r="Y222" i="71"/>
  <c r="Z222" i="71"/>
  <c r="AC222" i="71"/>
  <c r="R222" i="71"/>
  <c r="AD222" i="71"/>
  <c r="AA222" i="71"/>
  <c r="AB222" i="71"/>
  <c r="AG120" i="90"/>
  <c r="AF170" i="90"/>
  <c r="AF48" i="90"/>
  <c r="Y220" i="71"/>
  <c r="Z220" i="71"/>
  <c r="AD220" i="71"/>
  <c r="AC220" i="71"/>
  <c r="AA220" i="71"/>
  <c r="R220" i="71"/>
  <c r="AB220" i="71"/>
  <c r="AG211" i="90"/>
  <c r="AF139" i="90"/>
  <c r="AG90" i="90"/>
  <c r="AF90" i="90"/>
  <c r="Y29" i="71"/>
  <c r="AA29" i="71"/>
  <c r="AB29" i="71"/>
  <c r="R29" i="71"/>
  <c r="AD29" i="71"/>
  <c r="AC29" i="71"/>
  <c r="Z29" i="71"/>
  <c r="AF225" i="90"/>
  <c r="AG172" i="90"/>
  <c r="AF125" i="90"/>
  <c r="R213" i="71"/>
  <c r="Z213" i="71"/>
  <c r="AC213" i="71"/>
  <c r="AA213" i="71"/>
  <c r="Y213" i="71"/>
  <c r="AB213" i="71"/>
  <c r="AD213" i="71"/>
  <c r="R218" i="71"/>
  <c r="Z218" i="71"/>
  <c r="AC218" i="71"/>
  <c r="Y218" i="71"/>
  <c r="AA218" i="71"/>
  <c r="AB218" i="71"/>
  <c r="AD218" i="71"/>
  <c r="Y125" i="71"/>
  <c r="Z125" i="71"/>
  <c r="AB125" i="71"/>
  <c r="R125" i="71"/>
  <c r="AC125" i="71"/>
  <c r="AD125" i="71"/>
  <c r="AA125" i="71"/>
  <c r="AF227" i="90"/>
  <c r="AC41" i="71"/>
  <c r="Y41" i="71"/>
  <c r="Z41" i="71"/>
  <c r="AA41" i="71"/>
  <c r="R41" i="71"/>
  <c r="AD41" i="71"/>
  <c r="AB41" i="71"/>
  <c r="AD76" i="71"/>
  <c r="AB76" i="71"/>
  <c r="R76" i="71"/>
  <c r="AA76" i="71"/>
  <c r="AC76" i="71"/>
  <c r="Z76" i="71"/>
  <c r="Y76" i="71"/>
  <c r="AF218" i="90"/>
  <c r="AF30" i="90"/>
  <c r="AG136" i="90"/>
  <c r="AG229" i="90"/>
  <c r="AF180" i="90"/>
  <c r="AD42" i="71"/>
  <c r="R42" i="71"/>
  <c r="AA42" i="71"/>
  <c r="Z42" i="71"/>
  <c r="Y42" i="71"/>
  <c r="AB42" i="71"/>
  <c r="AC42" i="71"/>
  <c r="Y131" i="71"/>
  <c r="R131" i="71"/>
  <c r="AD131" i="71"/>
  <c r="AB131" i="71"/>
  <c r="AC131" i="71"/>
  <c r="Z131" i="71"/>
  <c r="AA131" i="71"/>
  <c r="AF174" i="90"/>
  <c r="AD28" i="71"/>
  <c r="AB28" i="71"/>
  <c r="Y28" i="71"/>
  <c r="AA28" i="71"/>
  <c r="Z28" i="71"/>
  <c r="R28" i="71"/>
  <c r="AC28" i="71"/>
  <c r="AG127" i="90"/>
  <c r="AF121" i="90"/>
  <c r="AG174" i="90"/>
  <c r="AB35" i="71"/>
  <c r="R35" i="71"/>
  <c r="Y35" i="71"/>
  <c r="AD35" i="71"/>
  <c r="AA35" i="71"/>
  <c r="AC35" i="71"/>
  <c r="Z35" i="71"/>
  <c r="AF42" i="90"/>
  <c r="AC172" i="71"/>
  <c r="Y172" i="71"/>
  <c r="Z172" i="71"/>
  <c r="AA172" i="71"/>
  <c r="AD172" i="71"/>
  <c r="AB172" i="71"/>
  <c r="R172" i="71"/>
  <c r="Z129" i="71"/>
  <c r="AD129" i="71"/>
  <c r="AC129" i="71"/>
  <c r="AA129" i="71"/>
  <c r="R129" i="71"/>
  <c r="AB129" i="71"/>
  <c r="Y129" i="71"/>
  <c r="AG94" i="90"/>
  <c r="AF126" i="90"/>
  <c r="AF129" i="90"/>
  <c r="AG125" i="90"/>
  <c r="AG228" i="90"/>
  <c r="AF84" i="90"/>
  <c r="AF72" i="90"/>
  <c r="AC27" i="71"/>
  <c r="AB27" i="71"/>
  <c r="AA27" i="71"/>
  <c r="R27" i="71"/>
  <c r="Y27" i="71"/>
  <c r="Z27" i="71"/>
  <c r="AD27" i="71"/>
  <c r="AG167" i="90"/>
  <c r="AF80" i="90"/>
  <c r="AF93" i="90"/>
  <c r="AG93" i="90"/>
  <c r="AG219" i="90"/>
  <c r="AC215" i="71"/>
  <c r="Z215" i="71"/>
  <c r="Y215" i="71"/>
  <c r="AA215" i="71"/>
  <c r="AD215" i="71"/>
  <c r="AB215" i="71"/>
  <c r="R215" i="71"/>
  <c r="AF176" i="90"/>
  <c r="M16" i="94"/>
  <c r="E25" i="84"/>
  <c r="M24" i="94" s="1"/>
  <c r="AV109" i="95"/>
  <c r="AR197" i="95"/>
  <c r="AP63" i="95"/>
  <c r="AQ62" i="95"/>
  <c r="BA110" i="95"/>
  <c r="AZ108" i="95"/>
  <c r="AV110" i="95"/>
  <c r="AR153" i="95"/>
  <c r="BB154" i="95"/>
  <c r="AP156" i="95"/>
  <c r="AW153" i="95"/>
  <c r="AU19" i="95"/>
  <c r="AP157" i="95"/>
  <c r="AU62" i="95"/>
  <c r="BB197" i="95"/>
  <c r="AV152" i="95"/>
  <c r="AV153" i="95" s="1"/>
  <c r="AZ17" i="95"/>
  <c r="AV17" i="95"/>
  <c r="AP64" i="95"/>
  <c r="AU107" i="95"/>
  <c r="AU108" i="95" s="1"/>
  <c r="AZ18" i="95"/>
  <c r="BA62" i="95"/>
  <c r="AU152" i="95"/>
  <c r="AU198" i="95"/>
  <c r="BB198" i="95"/>
  <c r="AW198" i="95"/>
  <c r="AW199" i="95"/>
  <c r="BA154" i="95"/>
  <c r="AQ17" i="95"/>
  <c r="AQ18" i="95" s="1"/>
  <c r="BA17" i="95"/>
  <c r="AQ63" i="95"/>
  <c r="AZ153" i="95"/>
  <c r="AW200" i="95"/>
  <c r="AZ154" i="95"/>
  <c r="AQ109" i="95"/>
  <c r="AR154" i="95"/>
  <c r="AQ153" i="95"/>
  <c r="AQ154" i="95" s="1"/>
  <c r="BA155" i="95"/>
  <c r="BA156" i="95" s="1"/>
  <c r="AZ62" i="95"/>
  <c r="AV198" i="95"/>
  <c r="AR198" i="95"/>
  <c r="AZ63" i="95"/>
  <c r="AZ64" i="95" s="1"/>
  <c r="AP199" i="95"/>
  <c r="AV62" i="95"/>
  <c r="AZ197" i="95"/>
  <c r="AP110" i="95"/>
  <c r="BA198" i="95"/>
  <c r="AU199" i="95"/>
  <c r="BB155" i="95"/>
  <c r="BB156" i="95" s="1"/>
  <c r="AQ197" i="95"/>
  <c r="AQ198" i="95" s="1"/>
  <c r="AP19" i="95"/>
  <c r="AZ198" i="95"/>
  <c r="BB199" i="95"/>
  <c r="BA157" i="95"/>
  <c r="AV154" i="95"/>
  <c r="AQ155" i="95"/>
  <c r="AZ109" i="95"/>
  <c r="AU63" i="95"/>
  <c r="AV18" i="95"/>
  <c r="AW201" i="95"/>
  <c r="AQ199" i="95"/>
  <c r="AV111" i="95"/>
  <c r="AU20" i="95"/>
  <c r="AR155" i="95"/>
  <c r="AR199" i="95"/>
  <c r="AU200" i="95"/>
  <c r="AU109" i="95"/>
  <c r="AZ65" i="95"/>
  <c r="BB157" i="95"/>
  <c r="AV199" i="95"/>
  <c r="AU153" i="95"/>
  <c r="AP200" i="95"/>
  <c r="AQ19" i="95"/>
  <c r="AZ19" i="95"/>
  <c r="AO14" i="93" l="1"/>
  <c r="AO15" i="93"/>
  <c r="AO16" i="93"/>
  <c r="AO17" i="93"/>
  <c r="AO18" i="93"/>
  <c r="AO13" i="93"/>
  <c r="AO7" i="93"/>
  <c r="AO8" i="93"/>
  <c r="AO9" i="93"/>
  <c r="AO10" i="93"/>
  <c r="AO11" i="93"/>
  <c r="AO6" i="93"/>
  <c r="AP201" i="95"/>
  <c r="AP202" i="95" s="1"/>
  <c r="AV63" i="95"/>
  <c r="AV64" i="95" s="1"/>
  <c r="AQ64" i="95"/>
  <c r="AQ65" i="95" s="1"/>
  <c r="AQ66" i="95" s="1"/>
  <c r="BA63" i="95"/>
  <c r="BA64" i="95" s="1"/>
  <c r="AU64" i="95"/>
  <c r="AU154" i="95"/>
  <c r="AU21" i="95"/>
  <c r="BA18" i="95"/>
  <c r="BA19" i="95" s="1"/>
  <c r="AP65" i="95"/>
  <c r="AP66" i="95" s="1"/>
  <c r="AV155" i="95"/>
  <c r="AW202" i="95"/>
  <c r="AP67" i="95"/>
  <c r="AU110" i="95"/>
  <c r="AV200" i="95"/>
  <c r="AV201" i="95" s="1"/>
  <c r="AZ110" i="95"/>
  <c r="AV112" i="95"/>
  <c r="AV113" i="95" s="1"/>
  <c r="AV114" i="95" s="1"/>
  <c r="AP20" i="95"/>
  <c r="AP21" i="95" s="1"/>
  <c r="BA65" i="95"/>
  <c r="BB158" i="95"/>
  <c r="AU201" i="95"/>
  <c r="BA158" i="95"/>
  <c r="AR156" i="95"/>
  <c r="AZ20" i="95"/>
  <c r="AR200" i="95"/>
  <c r="BA199" i="95"/>
  <c r="BA200" i="95" s="1"/>
  <c r="AZ66" i="95"/>
  <c r="AZ67" i="95" s="1"/>
  <c r="AZ199" i="95"/>
  <c r="AZ200" i="95" s="1"/>
  <c r="AZ201" i="95" s="1"/>
  <c r="AZ155" i="95"/>
  <c r="AZ156" i="95" s="1"/>
  <c r="AZ157" i="95" s="1"/>
  <c r="AW154" i="95"/>
  <c r="AW155" i="95" s="1"/>
  <c r="AW156" i="95" s="1"/>
  <c r="BA111" i="95"/>
  <c r="AQ67" i="95"/>
  <c r="AQ200" i="95"/>
  <c r="AV19" i="95"/>
  <c r="AP22" i="95"/>
  <c r="BA201" i="95"/>
  <c r="BA202" i="95" s="1"/>
  <c r="AQ156" i="95"/>
  <c r="AP203" i="95"/>
  <c r="BA20" i="95"/>
  <c r="BB200" i="95"/>
  <c r="BB201" i="95" s="1"/>
  <c r="AQ110" i="95"/>
  <c r="AQ111" i="95" s="1"/>
  <c r="AQ112" i="95" s="1"/>
  <c r="AP158" i="95"/>
  <c r="AP159" i="95" s="1"/>
  <c r="AP160" i="95" s="1"/>
  <c r="AV202" i="95"/>
  <c r="AQ20" i="95"/>
  <c r="BB202" i="95"/>
  <c r="AP111" i="95"/>
  <c r="AP112" i="95" s="1"/>
  <c r="AP113" i="95" s="1"/>
  <c r="Q7" i="93" l="1"/>
  <c r="Q8" i="93"/>
  <c r="Q9" i="93"/>
  <c r="Q10" i="93"/>
  <c r="Q11" i="93"/>
  <c r="Q12" i="93"/>
  <c r="Q13" i="93"/>
  <c r="Q14" i="93"/>
  <c r="Q15" i="93"/>
  <c r="Q16" i="93"/>
  <c r="Q6" i="93"/>
  <c r="BA112" i="95"/>
  <c r="BA113" i="95" s="1"/>
  <c r="BA114" i="95" s="1"/>
  <c r="BA115" i="95" s="1"/>
  <c r="AV203" i="95"/>
  <c r="AW203" i="95"/>
  <c r="AP204" i="95"/>
  <c r="AZ68" i="95"/>
  <c r="AQ21" i="95"/>
  <c r="AP68" i="95"/>
  <c r="AP161" i="95"/>
  <c r="AR157" i="95"/>
  <c r="AV20" i="95"/>
  <c r="AV21" i="95" s="1"/>
  <c r="AR201" i="95"/>
  <c r="AU22" i="95"/>
  <c r="AQ201" i="95"/>
  <c r="AU111" i="95"/>
  <c r="AQ157" i="95"/>
  <c r="AZ21" i="95"/>
  <c r="AV115" i="95"/>
  <c r="AP114" i="95"/>
  <c r="BA203" i="95"/>
  <c r="BB159" i="95"/>
  <c r="AU202" i="95"/>
  <c r="AP23" i="95"/>
  <c r="AU155" i="95"/>
  <c r="BA159" i="95"/>
  <c r="AQ113" i="95"/>
  <c r="BA116" i="95"/>
  <c r="BB203" i="95"/>
  <c r="AZ202" i="95"/>
  <c r="AZ158" i="95"/>
  <c r="AV65" i="95"/>
  <c r="AV66" i="95" s="1"/>
  <c r="AV67" i="95" s="1"/>
  <c r="AQ68" i="95"/>
  <c r="AW157" i="95"/>
  <c r="AU65" i="95"/>
  <c r="AU66" i="95" s="1"/>
  <c r="AV22" i="95"/>
  <c r="AU67" i="95"/>
  <c r="AV156" i="95"/>
  <c r="BA66" i="95"/>
  <c r="AZ111" i="95"/>
  <c r="BA21" i="95"/>
  <c r="AM210" i="71"/>
  <c r="AR163" i="71"/>
  <c r="AN28" i="71"/>
  <c r="AR162" i="71"/>
  <c r="AM32" i="71"/>
  <c r="AM174" i="71"/>
  <c r="AM25" i="71"/>
  <c r="AQ220" i="71"/>
  <c r="AR83" i="71"/>
  <c r="AM22" i="71"/>
  <c r="AM218" i="71"/>
  <c r="AO42" i="71"/>
  <c r="AO79" i="71"/>
  <c r="AQ77" i="71"/>
  <c r="AN124" i="71"/>
  <c r="AN36" i="71"/>
  <c r="AN214" i="71"/>
  <c r="AO119" i="71"/>
  <c r="AN26" i="71"/>
  <c r="AR209" i="71"/>
  <c r="AO208" i="71"/>
  <c r="AN81" i="71"/>
  <c r="AO169" i="71"/>
  <c r="AM208" i="71"/>
  <c r="AR214" i="71"/>
  <c r="AN125" i="71"/>
  <c r="AR165" i="71"/>
  <c r="AQ83" i="71"/>
  <c r="AN84" i="71"/>
  <c r="AP164" i="71"/>
  <c r="AO211" i="71"/>
  <c r="AQ81" i="71"/>
  <c r="AR223" i="71"/>
  <c r="AN133" i="71"/>
  <c r="AO37" i="71"/>
  <c r="AR174" i="71"/>
  <c r="AP84" i="71"/>
  <c r="AO123" i="71"/>
  <c r="AP217" i="71"/>
  <c r="AQ219" i="71"/>
  <c r="AM118" i="71"/>
  <c r="AN132" i="71"/>
  <c r="AP127" i="71"/>
  <c r="AN79" i="71"/>
  <c r="AM215" i="71"/>
  <c r="AP216" i="71"/>
  <c r="AQ42" i="71"/>
  <c r="AQ79" i="71"/>
  <c r="AM176" i="71"/>
  <c r="AP25" i="71"/>
  <c r="AR119" i="71"/>
  <c r="AR170" i="71"/>
  <c r="AQ88" i="71"/>
  <c r="AQ223" i="71"/>
  <c r="AR218" i="71"/>
  <c r="AM166" i="71"/>
  <c r="AR164" i="71"/>
  <c r="AO118" i="71"/>
  <c r="AM83" i="71"/>
  <c r="AO125" i="71"/>
  <c r="AR221" i="71"/>
  <c r="AM75" i="71"/>
  <c r="AR24" i="71"/>
  <c r="AP80" i="71"/>
  <c r="AM209" i="71"/>
  <c r="AM23" i="71"/>
  <c r="AR86" i="71"/>
  <c r="AM207" i="71"/>
  <c r="AM172" i="71"/>
  <c r="AQ164" i="71"/>
  <c r="AQ207" i="71"/>
  <c r="AR121" i="71"/>
  <c r="AN222" i="71"/>
  <c r="AQ78" i="71"/>
  <c r="AP163" i="71"/>
  <c r="AM40" i="71"/>
  <c r="AQ87" i="71"/>
  <c r="AM211" i="71"/>
  <c r="AM82" i="71"/>
  <c r="AP36" i="71"/>
  <c r="AM77" i="71"/>
  <c r="AR25" i="71"/>
  <c r="AO85" i="71"/>
  <c r="AR177" i="71"/>
  <c r="AN215" i="71"/>
  <c r="AO222" i="71"/>
  <c r="AO33" i="71"/>
  <c r="AM131" i="71"/>
  <c r="AO126" i="71"/>
  <c r="AR41" i="71"/>
  <c r="AN38" i="71"/>
  <c r="AR37" i="71"/>
  <c r="AO78" i="71"/>
  <c r="AO38" i="71"/>
  <c r="AQ163" i="71"/>
  <c r="AO74" i="71"/>
  <c r="AN175" i="71"/>
  <c r="AN76" i="71"/>
  <c r="AQ121" i="71"/>
  <c r="AN32" i="71"/>
  <c r="AR32" i="71"/>
  <c r="AM173" i="71"/>
  <c r="AO76" i="71"/>
  <c r="AR77" i="71"/>
  <c r="AR175" i="71"/>
  <c r="AQ26" i="71"/>
  <c r="AM34" i="71"/>
  <c r="AN174" i="71"/>
  <c r="AR82" i="71"/>
  <c r="AP125" i="71"/>
  <c r="AP212" i="71"/>
  <c r="AM123" i="71"/>
  <c r="AN39" i="71"/>
  <c r="AM164" i="71"/>
  <c r="AP23" i="71"/>
  <c r="AM213" i="71"/>
  <c r="AP81" i="71"/>
  <c r="AP207" i="71"/>
  <c r="AO81" i="71"/>
  <c r="AQ166" i="71"/>
  <c r="AQ117" i="71"/>
  <c r="AQ126" i="71"/>
  <c r="AR42" i="71"/>
  <c r="AN211" i="71"/>
  <c r="AN29" i="71"/>
  <c r="AR217" i="71"/>
  <c r="AR133" i="71"/>
  <c r="AN128" i="71"/>
  <c r="AN33" i="71"/>
  <c r="AN117" i="71"/>
  <c r="AO72" i="71"/>
  <c r="AR30" i="71"/>
  <c r="AR81" i="71"/>
  <c r="AO215" i="71"/>
  <c r="AM219" i="71"/>
  <c r="AR167" i="71"/>
  <c r="AR208" i="71"/>
  <c r="AM163" i="71"/>
  <c r="AP209" i="71"/>
  <c r="AN212" i="71"/>
  <c r="AM84" i="71"/>
  <c r="AO176" i="71"/>
  <c r="AP75" i="71"/>
  <c r="AP176" i="71"/>
  <c r="AO31" i="71"/>
  <c r="AP40" i="71"/>
  <c r="AM37" i="71"/>
  <c r="AN219" i="71"/>
  <c r="AO24" i="71"/>
  <c r="AN83" i="71"/>
  <c r="AO26" i="71"/>
  <c r="AO163" i="71"/>
  <c r="AO168" i="71"/>
  <c r="AP31" i="71"/>
  <c r="AR173" i="71"/>
  <c r="AO22" i="71"/>
  <c r="AP119" i="71"/>
  <c r="AQ73" i="71"/>
  <c r="AM178" i="71"/>
  <c r="AP39" i="71"/>
  <c r="AP78" i="71"/>
  <c r="AO209" i="71"/>
  <c r="AN122" i="71"/>
  <c r="AQ32" i="71"/>
  <c r="AR76" i="71"/>
  <c r="AP123" i="71"/>
  <c r="AN75" i="71"/>
  <c r="AN130" i="71"/>
  <c r="AN78" i="71"/>
  <c r="AR72" i="71"/>
  <c r="AO39" i="71"/>
  <c r="AO170" i="71"/>
  <c r="AQ25" i="71"/>
  <c r="AN173" i="71"/>
  <c r="AO30" i="71"/>
  <c r="AQ125" i="71"/>
  <c r="AQ74" i="71"/>
  <c r="AR127" i="71"/>
  <c r="AR118" i="71"/>
  <c r="AM72" i="71"/>
  <c r="AQ85" i="71"/>
  <c r="AR22" i="71"/>
  <c r="AO131" i="71"/>
  <c r="AN41" i="71"/>
  <c r="AP166" i="71"/>
  <c r="AM167" i="71"/>
  <c r="AO41" i="71"/>
  <c r="AP79" i="71"/>
  <c r="AR120" i="71"/>
  <c r="AR35" i="71"/>
  <c r="AR84" i="71"/>
  <c r="AP34" i="71"/>
  <c r="AN77" i="71"/>
  <c r="AP220" i="71"/>
  <c r="AQ177" i="71"/>
  <c r="AN40" i="71"/>
  <c r="AM26" i="71"/>
  <c r="AP73" i="71"/>
  <c r="AQ37" i="71"/>
  <c r="AM119" i="71"/>
  <c r="AQ131" i="71"/>
  <c r="AQ86" i="71"/>
  <c r="AQ38" i="71"/>
  <c r="AO133" i="71"/>
  <c r="AM36" i="71"/>
  <c r="AN176" i="71"/>
  <c r="AQ132" i="71"/>
  <c r="AO128" i="71"/>
  <c r="AO177" i="71"/>
  <c r="AQ133" i="71"/>
  <c r="AM121" i="71"/>
  <c r="AO129" i="71"/>
  <c r="AN31" i="71"/>
  <c r="AQ29" i="71"/>
  <c r="AQ24" i="71"/>
  <c r="AN170" i="71"/>
  <c r="AR128" i="71"/>
  <c r="AQ169" i="71"/>
  <c r="AM120" i="71"/>
  <c r="AR122" i="71"/>
  <c r="AP131" i="71"/>
  <c r="AP122" i="71"/>
  <c r="AQ216" i="71"/>
  <c r="AP126" i="71"/>
  <c r="AR74" i="71"/>
  <c r="AP124" i="71"/>
  <c r="AP87" i="71"/>
  <c r="AM127" i="71"/>
  <c r="AM31" i="71"/>
  <c r="AO120" i="71"/>
  <c r="AM76" i="71"/>
  <c r="AO221" i="71"/>
  <c r="AN34" i="71"/>
  <c r="AP174" i="71"/>
  <c r="AN208" i="71"/>
  <c r="AQ122" i="71"/>
  <c r="AO218" i="71"/>
  <c r="AO171" i="71"/>
  <c r="AM165" i="71"/>
  <c r="AQ165" i="71"/>
  <c r="AP173" i="71"/>
  <c r="AP24" i="71"/>
  <c r="AR43" i="71"/>
  <c r="AR28" i="71"/>
  <c r="AN123" i="71"/>
  <c r="AM80" i="71"/>
  <c r="AO166" i="71"/>
  <c r="AQ35" i="71"/>
  <c r="AQ128" i="71"/>
  <c r="AN210" i="71"/>
  <c r="AN207" i="71"/>
  <c r="AM78" i="71"/>
  <c r="AQ217" i="71"/>
  <c r="AO174" i="71"/>
  <c r="AN171" i="71"/>
  <c r="AR80" i="71"/>
  <c r="AM88" i="71"/>
  <c r="AN169" i="71"/>
  <c r="AQ218" i="71"/>
  <c r="AQ167" i="71"/>
  <c r="AO162" i="71"/>
  <c r="AR117" i="71"/>
  <c r="AQ80" i="71"/>
  <c r="AR169" i="71"/>
  <c r="AP177" i="71"/>
  <c r="AP178" i="71"/>
  <c r="AN72" i="71"/>
  <c r="AR216" i="71"/>
  <c r="AM222" i="71"/>
  <c r="AQ72" i="71"/>
  <c r="AP132" i="71"/>
  <c r="AR212" i="71"/>
  <c r="AN24" i="71"/>
  <c r="AR215" i="71"/>
  <c r="AQ170" i="71"/>
  <c r="AQ23" i="71"/>
  <c r="AP121" i="71"/>
  <c r="AO210" i="71"/>
  <c r="AP83" i="71"/>
  <c r="AQ75" i="71"/>
  <c r="AQ84" i="71"/>
  <c r="AO212" i="71"/>
  <c r="AQ130" i="71"/>
  <c r="AO86" i="71"/>
  <c r="AN121" i="71"/>
  <c r="AQ208" i="71"/>
  <c r="AN162" i="71"/>
  <c r="AN120" i="71"/>
  <c r="AQ168" i="71"/>
  <c r="AN80" i="71"/>
  <c r="AO25" i="71"/>
  <c r="AR176" i="71"/>
  <c r="AQ28" i="71"/>
  <c r="AO175" i="71"/>
  <c r="AN118" i="71"/>
  <c r="AP85" i="71"/>
  <c r="AP170" i="71"/>
  <c r="AO173" i="71"/>
  <c r="AO28" i="71"/>
  <c r="AP172" i="71"/>
  <c r="AR132" i="71"/>
  <c r="AM125" i="71"/>
  <c r="AQ124" i="71"/>
  <c r="AR131" i="71"/>
  <c r="AQ118" i="71"/>
  <c r="AP211" i="71"/>
  <c r="AN131" i="71"/>
  <c r="AN119" i="71"/>
  <c r="AM74" i="71"/>
  <c r="AN216" i="71"/>
  <c r="AN35" i="71"/>
  <c r="AQ43" i="71"/>
  <c r="AO216" i="71"/>
  <c r="AM132" i="71"/>
  <c r="AR33" i="71"/>
  <c r="AQ213" i="71"/>
  <c r="AM216" i="71"/>
  <c r="AQ175" i="71"/>
  <c r="AO223" i="71"/>
  <c r="AQ129" i="71"/>
  <c r="AO167" i="71"/>
  <c r="AR123" i="71"/>
  <c r="AN223" i="71"/>
  <c r="AQ174" i="71"/>
  <c r="AR222" i="71"/>
  <c r="AQ214" i="71"/>
  <c r="AM177" i="71"/>
  <c r="AQ172" i="71"/>
  <c r="AP26" i="71"/>
  <c r="AP43" i="71"/>
  <c r="AN87" i="71"/>
  <c r="AP77" i="71"/>
  <c r="AP86" i="71"/>
  <c r="AM81" i="71"/>
  <c r="AR178" i="71"/>
  <c r="AQ31" i="71"/>
  <c r="AO27" i="71"/>
  <c r="AN30" i="71"/>
  <c r="AN172" i="71"/>
  <c r="AP22" i="71"/>
  <c r="AP162" i="71"/>
  <c r="AN177" i="71"/>
  <c r="AP222" i="71"/>
  <c r="AR34" i="71"/>
  <c r="AQ119" i="71"/>
  <c r="AP28" i="71"/>
  <c r="AM73" i="71"/>
  <c r="AQ27" i="71"/>
  <c r="AP41" i="71"/>
  <c r="AN82" i="71"/>
  <c r="AR168" i="71"/>
  <c r="AP42" i="71"/>
  <c r="AN164" i="71"/>
  <c r="AQ76" i="71"/>
  <c r="AO29" i="71"/>
  <c r="AR29" i="71"/>
  <c r="AN218" i="71"/>
  <c r="AQ127" i="71"/>
  <c r="AO219" i="71"/>
  <c r="AM223" i="71"/>
  <c r="AM43" i="71"/>
  <c r="AP175" i="71"/>
  <c r="AM221" i="71"/>
  <c r="AM79" i="71"/>
  <c r="AM24" i="71"/>
  <c r="AO87" i="71"/>
  <c r="AQ171" i="71"/>
  <c r="AN221" i="71"/>
  <c r="AM220" i="71"/>
  <c r="AQ178" i="71"/>
  <c r="AM117" i="71"/>
  <c r="AP218" i="71"/>
  <c r="AR220" i="71"/>
  <c r="AP38" i="71"/>
  <c r="AO217" i="71"/>
  <c r="AO127" i="71"/>
  <c r="AN127" i="71"/>
  <c r="AO83" i="71"/>
  <c r="AO34" i="71"/>
  <c r="AN74" i="71"/>
  <c r="AO23" i="71"/>
  <c r="AO35" i="71"/>
  <c r="AM133" i="71"/>
  <c r="AN85" i="71"/>
  <c r="AM212" i="71"/>
  <c r="AM214" i="71"/>
  <c r="AN167" i="71"/>
  <c r="AM87" i="71"/>
  <c r="AO40" i="71"/>
  <c r="AR38" i="71"/>
  <c r="AQ36" i="71"/>
  <c r="AR125" i="71"/>
  <c r="AR129" i="71"/>
  <c r="AP221" i="71"/>
  <c r="AQ221" i="71"/>
  <c r="AN27" i="71"/>
  <c r="AQ30" i="71"/>
  <c r="AP167" i="71"/>
  <c r="AP27" i="71"/>
  <c r="AP208" i="71"/>
  <c r="AN129" i="71"/>
  <c r="AM42" i="71"/>
  <c r="AO121" i="71"/>
  <c r="AR75" i="71"/>
  <c r="AR211" i="71"/>
  <c r="AR78" i="71"/>
  <c r="AR73" i="71"/>
  <c r="AP129" i="71"/>
  <c r="AQ22" i="71"/>
  <c r="AM35" i="71"/>
  <c r="AP210" i="71"/>
  <c r="AO84" i="71"/>
  <c r="AR36" i="71"/>
  <c r="AP128" i="71"/>
  <c r="AO117" i="71"/>
  <c r="AO213" i="71"/>
  <c r="AN165" i="71"/>
  <c r="AM175" i="71"/>
  <c r="AM27" i="71"/>
  <c r="AR31" i="71"/>
  <c r="AN88" i="71"/>
  <c r="AR23" i="71"/>
  <c r="AO122" i="71"/>
  <c r="AM171" i="71"/>
  <c r="AN217" i="71"/>
  <c r="AM162" i="71"/>
  <c r="AQ41" i="71"/>
  <c r="AP76" i="71"/>
  <c r="AQ212" i="71"/>
  <c r="AQ173" i="71"/>
  <c r="AR219" i="71"/>
  <c r="AN178" i="71"/>
  <c r="AO73" i="71"/>
  <c r="AO132" i="71"/>
  <c r="AR124" i="71"/>
  <c r="AN220" i="71"/>
  <c r="AQ209" i="71"/>
  <c r="AM33" i="71"/>
  <c r="AR210" i="71"/>
  <c r="AO80" i="71"/>
  <c r="AP219" i="71"/>
  <c r="AM124" i="71"/>
  <c r="AR85" i="71"/>
  <c r="AO36" i="71"/>
  <c r="AM128" i="71"/>
  <c r="AP171" i="71"/>
  <c r="AN23" i="71"/>
  <c r="AR27" i="71"/>
  <c r="AN163" i="71"/>
  <c r="AR39" i="71"/>
  <c r="AP33" i="71"/>
  <c r="AM169" i="71"/>
  <c r="AP215" i="71"/>
  <c r="AP74" i="71"/>
  <c r="AR26" i="71"/>
  <c r="AP29" i="71"/>
  <c r="AO165" i="71"/>
  <c r="AQ123" i="71"/>
  <c r="AM217" i="71"/>
  <c r="AO82" i="71"/>
  <c r="AN42" i="71"/>
  <c r="AO178" i="71"/>
  <c r="AR79" i="71"/>
  <c r="AR40" i="71"/>
  <c r="AR213" i="71"/>
  <c r="AP37" i="71"/>
  <c r="AN22" i="71"/>
  <c r="AR87" i="71"/>
  <c r="AM170" i="71"/>
  <c r="AO32" i="71"/>
  <c r="AO75" i="71"/>
  <c r="AM85" i="71"/>
  <c r="AM130" i="71"/>
  <c r="AN126" i="71"/>
  <c r="AO172" i="71"/>
  <c r="AM30" i="71"/>
  <c r="AP118" i="71"/>
  <c r="AO124" i="71"/>
  <c r="AP133" i="71"/>
  <c r="AM168" i="71"/>
  <c r="AQ211" i="71"/>
  <c r="AP168" i="71"/>
  <c r="AO214" i="71"/>
  <c r="AP30" i="71"/>
  <c r="AP130" i="71"/>
  <c r="AR171" i="71"/>
  <c r="AO130" i="71"/>
  <c r="AQ222" i="71"/>
  <c r="AN213" i="71"/>
  <c r="AP35" i="71"/>
  <c r="AM126" i="71"/>
  <c r="AP32" i="71"/>
  <c r="AN73" i="71"/>
  <c r="AR172" i="71"/>
  <c r="AM38" i="71"/>
  <c r="AO88" i="71"/>
  <c r="AO207" i="71"/>
  <c r="AN166" i="71"/>
  <c r="AM28" i="71"/>
  <c r="AP214" i="71"/>
  <c r="AM129" i="71"/>
  <c r="AR88" i="71"/>
  <c r="AO77" i="71"/>
  <c r="AQ162" i="71"/>
  <c r="AP165" i="71"/>
  <c r="AQ33" i="71"/>
  <c r="AN43" i="71"/>
  <c r="AQ39" i="71"/>
  <c r="AP213" i="71"/>
  <c r="AR166" i="71"/>
  <c r="AQ215" i="71"/>
  <c r="AM122" i="71"/>
  <c r="AM39" i="71"/>
  <c r="AP169" i="71"/>
  <c r="AQ210" i="71"/>
  <c r="AQ176" i="71"/>
  <c r="AP82" i="71"/>
  <c r="AO164" i="71"/>
  <c r="AP223" i="71"/>
  <c r="AN37" i="71"/>
  <c r="AQ120" i="71"/>
  <c r="AP117" i="71"/>
  <c r="AR130" i="71"/>
  <c r="AO43" i="71"/>
  <c r="AM86" i="71"/>
  <c r="AO220" i="71"/>
  <c r="AR126" i="71"/>
  <c r="AR207" i="71"/>
  <c r="AN25" i="71"/>
  <c r="AQ34" i="71"/>
  <c r="AN209" i="71"/>
  <c r="AP120" i="71"/>
  <c r="AQ82" i="71"/>
  <c r="AP72" i="71"/>
  <c r="AQ40" i="71"/>
  <c r="AP88" i="71"/>
  <c r="AN86" i="71"/>
  <c r="AN168" i="71"/>
  <c r="AM41" i="71"/>
  <c r="AM29" i="71"/>
  <c r="AY217" i="71" l="1"/>
  <c r="AY214" i="71"/>
  <c r="AY212" i="71"/>
  <c r="AY220" i="71"/>
  <c r="AY221" i="71"/>
  <c r="AY223" i="71"/>
  <c r="AY216" i="71"/>
  <c r="AY222" i="71"/>
  <c r="AY219" i="71"/>
  <c r="AY213" i="71"/>
  <c r="AY211" i="71"/>
  <c r="AY207" i="71"/>
  <c r="AY209" i="71"/>
  <c r="AY215" i="71"/>
  <c r="AY208" i="71"/>
  <c r="AY218" i="71"/>
  <c r="AY210" i="71"/>
  <c r="U200" i="71"/>
  <c r="T200" i="71"/>
  <c r="U199" i="71"/>
  <c r="T199" i="71"/>
  <c r="U198" i="71"/>
  <c r="T198" i="71"/>
  <c r="U197" i="71"/>
  <c r="T197" i="71"/>
  <c r="U196" i="71"/>
  <c r="T196" i="71"/>
  <c r="U195" i="71"/>
  <c r="T195" i="71"/>
  <c r="U194" i="71"/>
  <c r="T194" i="71"/>
  <c r="U193" i="71"/>
  <c r="T193" i="71"/>
  <c r="U192" i="71"/>
  <c r="T192" i="71"/>
  <c r="U191" i="71"/>
  <c r="T191" i="71"/>
  <c r="U190" i="71"/>
  <c r="T190" i="71"/>
  <c r="U189" i="71"/>
  <c r="T189" i="71"/>
  <c r="U188" i="71"/>
  <c r="T188" i="71"/>
  <c r="U187" i="71"/>
  <c r="T187" i="71"/>
  <c r="U186" i="71"/>
  <c r="T186" i="71"/>
  <c r="U185" i="71"/>
  <c r="T185" i="71"/>
  <c r="U155" i="71"/>
  <c r="T155" i="71"/>
  <c r="U154" i="71"/>
  <c r="T154" i="71"/>
  <c r="U153" i="71"/>
  <c r="T153" i="71"/>
  <c r="U152" i="71"/>
  <c r="T152" i="71"/>
  <c r="U151" i="71"/>
  <c r="T151" i="71"/>
  <c r="U150" i="71"/>
  <c r="T150" i="71"/>
  <c r="U149" i="71"/>
  <c r="T149" i="71"/>
  <c r="U148" i="71"/>
  <c r="T148" i="71"/>
  <c r="U147" i="71"/>
  <c r="T147" i="71"/>
  <c r="U146" i="71"/>
  <c r="T146" i="71"/>
  <c r="U145" i="71"/>
  <c r="T145" i="71"/>
  <c r="U144" i="71"/>
  <c r="T144" i="71"/>
  <c r="U143" i="71"/>
  <c r="T143" i="71"/>
  <c r="U142" i="71"/>
  <c r="T142" i="71"/>
  <c r="U141" i="71"/>
  <c r="T141" i="71"/>
  <c r="U140" i="71"/>
  <c r="T140" i="71"/>
  <c r="U110" i="71"/>
  <c r="T110" i="71"/>
  <c r="U109" i="71"/>
  <c r="T109" i="71"/>
  <c r="U108" i="71"/>
  <c r="T108" i="71"/>
  <c r="U107" i="71"/>
  <c r="T107" i="71"/>
  <c r="U106" i="71"/>
  <c r="T106" i="71"/>
  <c r="U105" i="71"/>
  <c r="T105" i="71"/>
  <c r="U104" i="71"/>
  <c r="T104" i="71"/>
  <c r="U103" i="71"/>
  <c r="T103" i="71"/>
  <c r="U102" i="71"/>
  <c r="T102" i="71"/>
  <c r="U101" i="71"/>
  <c r="T101" i="71"/>
  <c r="U100" i="71"/>
  <c r="T100" i="71"/>
  <c r="U99" i="71"/>
  <c r="T99" i="71"/>
  <c r="U98" i="71"/>
  <c r="T98" i="71"/>
  <c r="U97" i="71"/>
  <c r="T97" i="71"/>
  <c r="U96" i="71"/>
  <c r="T96" i="71"/>
  <c r="U95" i="71"/>
  <c r="T95" i="71"/>
  <c r="U65" i="71"/>
  <c r="T65" i="71"/>
  <c r="U64" i="71"/>
  <c r="T64" i="71"/>
  <c r="U63" i="71"/>
  <c r="T63" i="71"/>
  <c r="U62" i="71"/>
  <c r="T62" i="71"/>
  <c r="U61" i="71"/>
  <c r="T61" i="71"/>
  <c r="U60" i="71"/>
  <c r="T60" i="71"/>
  <c r="U59" i="71"/>
  <c r="T59" i="71"/>
  <c r="U58" i="71"/>
  <c r="T58" i="71"/>
  <c r="U57" i="71"/>
  <c r="T57" i="71"/>
  <c r="U56" i="71"/>
  <c r="T56" i="71"/>
  <c r="U55" i="71"/>
  <c r="T55" i="71"/>
  <c r="U54" i="71"/>
  <c r="T54" i="71"/>
  <c r="U53" i="71"/>
  <c r="T53" i="71"/>
  <c r="U52" i="71"/>
  <c r="T52" i="71"/>
  <c r="U51" i="71"/>
  <c r="T51" i="71"/>
  <c r="U50" i="71"/>
  <c r="T50" i="71"/>
  <c r="T6" i="71"/>
  <c r="U6" i="71"/>
  <c r="T7" i="71"/>
  <c r="U7" i="71"/>
  <c r="T8" i="71"/>
  <c r="U8" i="71"/>
  <c r="T9" i="71"/>
  <c r="U9" i="71"/>
  <c r="T10" i="71"/>
  <c r="U10" i="71"/>
  <c r="T11" i="71"/>
  <c r="U11" i="71"/>
  <c r="T12" i="71"/>
  <c r="U12" i="71"/>
  <c r="T13" i="71"/>
  <c r="U13" i="71"/>
  <c r="T14" i="71"/>
  <c r="U14" i="71"/>
  <c r="T15" i="71"/>
  <c r="U15" i="71"/>
  <c r="T16" i="71"/>
  <c r="U16" i="71"/>
  <c r="T17" i="71"/>
  <c r="U17" i="71"/>
  <c r="T18" i="71"/>
  <c r="U18" i="71"/>
  <c r="T19" i="71"/>
  <c r="U19" i="71"/>
  <c r="T20" i="71"/>
  <c r="U20" i="71"/>
  <c r="U5" i="71"/>
  <c r="T5" i="71"/>
  <c r="D72" i="71"/>
  <c r="E72" i="71"/>
  <c r="F72" i="71"/>
  <c r="G72" i="71"/>
  <c r="H72" i="71"/>
  <c r="E71" i="71"/>
  <c r="F71" i="71"/>
  <c r="G71" i="71"/>
  <c r="H71" i="71"/>
  <c r="D71" i="71"/>
  <c r="AZ112" i="95"/>
  <c r="AZ113" i="95" s="1"/>
  <c r="AU156" i="95"/>
  <c r="AU157" i="95" s="1"/>
  <c r="AV204" i="95"/>
  <c r="BA204" i="95"/>
  <c r="BA117" i="95"/>
  <c r="BA67" i="95"/>
  <c r="AZ22" i="95"/>
  <c r="AV157" i="95"/>
  <c r="AU112" i="95"/>
  <c r="AR158" i="95"/>
  <c r="AZ159" i="95"/>
  <c r="AU23" i="95"/>
  <c r="AZ69" i="95"/>
  <c r="AW158" i="95"/>
  <c r="AQ114" i="95"/>
  <c r="AU158" i="95"/>
  <c r="AU68" i="95"/>
  <c r="AU69" i="95" s="1"/>
  <c r="AV23" i="95"/>
  <c r="AZ203" i="95"/>
  <c r="AR202" i="95"/>
  <c r="AW204" i="95"/>
  <c r="AW205" i="95" s="1"/>
  <c r="AP69" i="95"/>
  <c r="AW206" i="95"/>
  <c r="AU203" i="95"/>
  <c r="AP24" i="95"/>
  <c r="AU159" i="95"/>
  <c r="AV68" i="95"/>
  <c r="AQ22" i="95"/>
  <c r="AP162" i="95"/>
  <c r="BA22" i="95"/>
  <c r="AP205" i="95"/>
  <c r="BB160" i="95"/>
  <c r="BB161" i="95" s="1"/>
  <c r="AP115" i="95"/>
  <c r="AQ158" i="95"/>
  <c r="BA160" i="95"/>
  <c r="AQ69" i="95"/>
  <c r="AZ114" i="95"/>
  <c r="BB204" i="95"/>
  <c r="AV116" i="95"/>
  <c r="AQ202" i="95"/>
  <c r="H32" i="72" l="1"/>
  <c r="AV117" i="95"/>
  <c r="AV118" i="95" s="1"/>
  <c r="AZ160" i="95"/>
  <c r="AW159" i="95"/>
  <c r="AZ115" i="95"/>
  <c r="BB205" i="95"/>
  <c r="BA161" i="95"/>
  <c r="BA23" i="95"/>
  <c r="AQ159" i="95"/>
  <c r="AR203" i="95"/>
  <c r="AV69" i="95"/>
  <c r="AP163" i="95"/>
  <c r="AU113" i="95"/>
  <c r="AP116" i="95"/>
  <c r="AW207" i="95"/>
  <c r="AP206" i="95"/>
  <c r="AV158" i="95"/>
  <c r="AU24" i="95"/>
  <c r="AU25" i="95" s="1"/>
  <c r="AU26" i="95" s="1"/>
  <c r="AU27" i="95" s="1"/>
  <c r="BB162" i="95"/>
  <c r="AP25" i="95"/>
  <c r="AP26" i="95" s="1"/>
  <c r="BA118" i="95"/>
  <c r="BA119" i="95" s="1"/>
  <c r="AZ204" i="95"/>
  <c r="AQ203" i="95"/>
  <c r="AU70" i="95"/>
  <c r="AU71" i="95" s="1"/>
  <c r="AZ70" i="95"/>
  <c r="AV24" i="95"/>
  <c r="AQ23" i="95"/>
  <c r="BA205" i="95"/>
  <c r="BA206" i="95" s="1"/>
  <c r="AU160" i="95"/>
  <c r="AQ70" i="95"/>
  <c r="BA68" i="95"/>
  <c r="BA207" i="95"/>
  <c r="AZ23" i="95"/>
  <c r="AQ115" i="95"/>
  <c r="AV205" i="95"/>
  <c r="AR159" i="95"/>
  <c r="AU204" i="95"/>
  <c r="AP70" i="95"/>
  <c r="BA24" i="95"/>
  <c r="AV119" i="95"/>
  <c r="H33" i="72" l="1"/>
  <c r="H69" i="69"/>
  <c r="AV206" i="95"/>
  <c r="AV207" i="95" s="1"/>
  <c r="AP117" i="95"/>
  <c r="AV70" i="95"/>
  <c r="AP71" i="95"/>
  <c r="BB206" i="95"/>
  <c r="AQ71" i="95"/>
  <c r="AV208" i="95"/>
  <c r="AU161" i="95"/>
  <c r="AR160" i="95"/>
  <c r="AR161" i="95" s="1"/>
  <c r="BA25" i="95"/>
  <c r="BA26" i="95" s="1"/>
  <c r="AQ116" i="95"/>
  <c r="AQ117" i="95" s="1"/>
  <c r="AQ118" i="95" s="1"/>
  <c r="AQ119" i="95" s="1"/>
  <c r="BA162" i="95"/>
  <c r="BA163" i="95" s="1"/>
  <c r="BA164" i="95" s="1"/>
  <c r="BB163" i="95"/>
  <c r="AZ24" i="95"/>
  <c r="AV25" i="95"/>
  <c r="AP118" i="95"/>
  <c r="AV120" i="95"/>
  <c r="AQ204" i="95"/>
  <c r="AU72" i="95"/>
  <c r="AZ205" i="95"/>
  <c r="AR204" i="95"/>
  <c r="AU205" i="95"/>
  <c r="BA208" i="95"/>
  <c r="AZ161" i="95"/>
  <c r="BA69" i="95"/>
  <c r="AQ160" i="95"/>
  <c r="AZ71" i="95"/>
  <c r="AR162" i="95"/>
  <c r="AP27" i="95"/>
  <c r="AU114" i="95"/>
  <c r="AZ116" i="95"/>
  <c r="AV159" i="95"/>
  <c r="AQ24" i="95"/>
  <c r="BA120" i="95"/>
  <c r="AP164" i="95"/>
  <c r="AP207" i="95"/>
  <c r="AQ25" i="95"/>
  <c r="AW160" i="95"/>
  <c r="AU28" i="95"/>
  <c r="AU29" i="95" s="1"/>
  <c r="BA209" i="95"/>
  <c r="AW208" i="95"/>
  <c r="AW209" i="95" s="1"/>
  <c r="AW210" i="95" s="1"/>
  <c r="AU30" i="95"/>
  <c r="L59" i="69" l="1"/>
  <c r="H70" i="69"/>
  <c r="H48" i="69"/>
  <c r="H49" i="69" s="1"/>
  <c r="H50" i="69" s="1"/>
  <c r="BA210" i="95"/>
  <c r="AU162" i="95"/>
  <c r="AZ206" i="95"/>
  <c r="AQ120" i="95"/>
  <c r="AU73" i="95"/>
  <c r="AQ26" i="95"/>
  <c r="BA165" i="95"/>
  <c r="AP165" i="95"/>
  <c r="BA121" i="95"/>
  <c r="AZ117" i="95"/>
  <c r="BA27" i="95"/>
  <c r="AV71" i="95"/>
  <c r="AQ205" i="95"/>
  <c r="AZ25" i="95"/>
  <c r="AZ26" i="95" s="1"/>
  <c r="AZ27" i="95" s="1"/>
  <c r="AV26" i="95"/>
  <c r="AP166" i="95"/>
  <c r="AW161" i="95"/>
  <c r="AQ72" i="95"/>
  <c r="AQ161" i="95"/>
  <c r="AU115" i="95"/>
  <c r="AR205" i="95"/>
  <c r="AV160" i="95"/>
  <c r="BA70" i="95"/>
  <c r="BA122" i="95"/>
  <c r="AZ28" i="95"/>
  <c r="AW211" i="95"/>
  <c r="AZ72" i="95"/>
  <c r="AW162" i="95"/>
  <c r="AZ207" i="95"/>
  <c r="AU31" i="95"/>
  <c r="AU32" i="95" s="1"/>
  <c r="AU33" i="95" s="1"/>
  <c r="AP28" i="95"/>
  <c r="AZ162" i="95"/>
  <c r="AZ163" i="95" s="1"/>
  <c r="BA211" i="95"/>
  <c r="BB207" i="95"/>
  <c r="AP119" i="95"/>
  <c r="AP120" i="95" s="1"/>
  <c r="AV209" i="95"/>
  <c r="BB164" i="95"/>
  <c r="AV121" i="95"/>
  <c r="AV122" i="95" s="1"/>
  <c r="AR163" i="95"/>
  <c r="AP208" i="95"/>
  <c r="AU206" i="95"/>
  <c r="AP72" i="95"/>
  <c r="L60" i="69" l="1"/>
  <c r="H71" i="69"/>
  <c r="AZ218" i="84"/>
  <c r="AZ204" i="84"/>
  <c r="AZ220" i="84"/>
  <c r="AZ205" i="84"/>
  <c r="AZ222" i="84"/>
  <c r="AZ212" i="84"/>
  <c r="AZ206" i="84"/>
  <c r="AZ219" i="84"/>
  <c r="AZ208" i="84"/>
  <c r="AZ207" i="84"/>
  <c r="AZ203" i="84"/>
  <c r="AZ213" i="84"/>
  <c r="AZ209" i="84"/>
  <c r="AZ210" i="84"/>
  <c r="AZ221" i="84"/>
  <c r="AZ223" i="84"/>
  <c r="AZ224" i="84"/>
  <c r="AZ217" i="84"/>
  <c r="AZ214" i="84"/>
  <c r="AZ225" i="84"/>
  <c r="AZ215" i="84"/>
  <c r="AZ211" i="84"/>
  <c r="AZ216" i="84"/>
  <c r="AZ176" i="84"/>
  <c r="AZ165" i="84"/>
  <c r="AZ159" i="84"/>
  <c r="AZ166" i="84"/>
  <c r="AZ178" i="84"/>
  <c r="AZ172" i="84"/>
  <c r="AZ158" i="84"/>
  <c r="AZ171" i="84"/>
  <c r="AZ164" i="84"/>
  <c r="AZ175" i="84"/>
  <c r="AZ168" i="84"/>
  <c r="AZ174" i="84"/>
  <c r="AZ180" i="84"/>
  <c r="AZ167" i="84"/>
  <c r="AZ173" i="84"/>
  <c r="AZ169" i="84"/>
  <c r="AZ179" i="84"/>
  <c r="AZ177" i="84"/>
  <c r="AZ162" i="84"/>
  <c r="AZ163" i="84"/>
  <c r="AZ161" i="84"/>
  <c r="AZ170" i="84"/>
  <c r="AZ160" i="84"/>
  <c r="AZ127" i="84"/>
  <c r="AZ132" i="84"/>
  <c r="AZ134" i="84"/>
  <c r="AZ122" i="84"/>
  <c r="AZ133" i="84"/>
  <c r="AZ118" i="84"/>
  <c r="AZ124" i="84"/>
  <c r="AZ115" i="84"/>
  <c r="AZ114" i="84"/>
  <c r="AZ119" i="84"/>
  <c r="AZ128" i="84"/>
  <c r="AZ131" i="84"/>
  <c r="AZ125" i="84"/>
  <c r="AZ113" i="84"/>
  <c r="AZ123" i="84"/>
  <c r="AZ129" i="84"/>
  <c r="AZ121" i="84"/>
  <c r="AZ135" i="84"/>
  <c r="AZ130" i="84"/>
  <c r="AZ117" i="84"/>
  <c r="AZ116" i="84"/>
  <c r="AZ120" i="84"/>
  <c r="AZ126" i="84"/>
  <c r="AZ73" i="84"/>
  <c r="AZ79" i="84"/>
  <c r="AZ75" i="84"/>
  <c r="AZ85" i="84"/>
  <c r="AZ74" i="84"/>
  <c r="AZ77" i="84"/>
  <c r="AZ88" i="84"/>
  <c r="AZ89" i="84"/>
  <c r="AZ68" i="84"/>
  <c r="AZ83" i="84"/>
  <c r="AZ86" i="84"/>
  <c r="AZ69" i="84"/>
  <c r="AZ84" i="84"/>
  <c r="AZ82" i="84"/>
  <c r="AZ87" i="84"/>
  <c r="AZ72" i="84"/>
  <c r="AZ70" i="84"/>
  <c r="AZ90" i="84"/>
  <c r="AZ71" i="84"/>
  <c r="AZ78" i="84"/>
  <c r="AZ80" i="84"/>
  <c r="AZ81" i="84"/>
  <c r="AZ76" i="84"/>
  <c r="M12" i="94"/>
  <c r="AZ38" i="84"/>
  <c r="AZ39" i="84"/>
  <c r="AZ27" i="84"/>
  <c r="AZ45" i="84"/>
  <c r="AZ31" i="84"/>
  <c r="AZ43" i="84"/>
  <c r="AZ26" i="84"/>
  <c r="AZ34" i="84"/>
  <c r="AZ35" i="84"/>
  <c r="AZ32" i="84"/>
  <c r="AZ40" i="84"/>
  <c r="AZ36" i="84"/>
  <c r="AZ44" i="84"/>
  <c r="AZ25" i="84"/>
  <c r="AZ29" i="84"/>
  <c r="AZ24" i="84"/>
  <c r="AZ28" i="84"/>
  <c r="AZ23" i="84"/>
  <c r="AZ42" i="84"/>
  <c r="AZ37" i="84"/>
  <c r="AZ41" i="84"/>
  <c r="AZ33" i="84"/>
  <c r="AZ30" i="84"/>
  <c r="AZ164" i="95"/>
  <c r="AZ165" i="95" s="1"/>
  <c r="AZ166" i="95" s="1"/>
  <c r="AU34" i="95"/>
  <c r="BA212" i="95"/>
  <c r="AR206" i="95"/>
  <c r="AZ29" i="95"/>
  <c r="BB208" i="95"/>
  <c r="BA123" i="95"/>
  <c r="AQ206" i="95"/>
  <c r="AQ121" i="95"/>
  <c r="AW212" i="95"/>
  <c r="BA71" i="95"/>
  <c r="BA28" i="95"/>
  <c r="AP29" i="95"/>
  <c r="AZ73" i="95"/>
  <c r="AW163" i="95"/>
  <c r="AP167" i="95"/>
  <c r="AV123" i="95"/>
  <c r="BA72" i="95"/>
  <c r="AV161" i="95"/>
  <c r="AV162" i="95" s="1"/>
  <c r="BB165" i="95"/>
  <c r="AQ27" i="95"/>
  <c r="AZ208" i="95"/>
  <c r="AR164" i="95"/>
  <c r="AQ73" i="95"/>
  <c r="AQ74" i="95" s="1"/>
  <c r="AQ75" i="95" s="1"/>
  <c r="AP209" i="95"/>
  <c r="AV27" i="95"/>
  <c r="AU74" i="95"/>
  <c r="AU75" i="95" s="1"/>
  <c r="BA166" i="95"/>
  <c r="AU207" i="95"/>
  <c r="AZ167" i="95"/>
  <c r="AU116" i="95"/>
  <c r="AV210" i="95"/>
  <c r="AP121" i="95"/>
  <c r="AP73" i="95"/>
  <c r="AU163" i="95"/>
  <c r="AU164" i="95" s="1"/>
  <c r="AV72" i="95"/>
  <c r="AZ118" i="95"/>
  <c r="AQ162" i="95"/>
  <c r="L61" i="69" l="1"/>
  <c r="H72" i="69"/>
  <c r="AQ163" i="95"/>
  <c r="BA73" i="95"/>
  <c r="BB166" i="95"/>
  <c r="AZ74" i="95"/>
  <c r="AV28" i="95"/>
  <c r="AW213" i="95"/>
  <c r="AW214" i="95" s="1"/>
  <c r="AP30" i="95"/>
  <c r="AP210" i="95"/>
  <c r="AP168" i="95"/>
  <c r="AU165" i="95"/>
  <c r="AU166" i="95" s="1"/>
  <c r="AZ119" i="95"/>
  <c r="AV73" i="95"/>
  <c r="AU35" i="95"/>
  <c r="AZ168" i="95"/>
  <c r="AU208" i="95"/>
  <c r="AU117" i="95"/>
  <c r="AU76" i="95"/>
  <c r="AZ30" i="95"/>
  <c r="AP122" i="95"/>
  <c r="AR207" i="95"/>
  <c r="BA74" i="95"/>
  <c r="BA29" i="95"/>
  <c r="BA167" i="95"/>
  <c r="AV163" i="95"/>
  <c r="AV164" i="95" s="1"/>
  <c r="AV165" i="95" s="1"/>
  <c r="AR165" i="95"/>
  <c r="AR166" i="95" s="1"/>
  <c r="AV124" i="95"/>
  <c r="AQ207" i="95"/>
  <c r="AZ209" i="95"/>
  <c r="AV211" i="95"/>
  <c r="AQ76" i="95"/>
  <c r="BB209" i="95"/>
  <c r="BA124" i="95"/>
  <c r="AP74" i="95"/>
  <c r="AW164" i="95"/>
  <c r="AQ28" i="95"/>
  <c r="BA213" i="95"/>
  <c r="AQ122" i="95"/>
  <c r="L62" i="69" l="1"/>
  <c r="H73" i="69"/>
  <c r="BA214" i="95"/>
  <c r="AZ31" i="95"/>
  <c r="AZ32" i="95" s="1"/>
  <c r="AQ164" i="95"/>
  <c r="AV125" i="95"/>
  <c r="AP211" i="95"/>
  <c r="AP123" i="95"/>
  <c r="BA30" i="95"/>
  <c r="AZ33" i="95"/>
  <c r="AU77" i="95"/>
  <c r="AZ75" i="95"/>
  <c r="AR208" i="95"/>
  <c r="AV166" i="95"/>
  <c r="AW165" i="95"/>
  <c r="AU118" i="95"/>
  <c r="AU119" i="95" s="1"/>
  <c r="AU120" i="95" s="1"/>
  <c r="AU121" i="95" s="1"/>
  <c r="AQ29" i="95"/>
  <c r="AW166" i="95"/>
  <c r="BA75" i="95"/>
  <c r="AV74" i="95"/>
  <c r="AV75" i="95" s="1"/>
  <c r="AV76" i="95" s="1"/>
  <c r="AQ208" i="95"/>
  <c r="AZ120" i="95"/>
  <c r="BB167" i="95"/>
  <c r="AV212" i="95"/>
  <c r="BA125" i="95"/>
  <c r="BA126" i="95" s="1"/>
  <c r="AU36" i="95"/>
  <c r="AU37" i="95" s="1"/>
  <c r="AU38" i="95" s="1"/>
  <c r="AP75" i="95"/>
  <c r="AR209" i="95"/>
  <c r="AZ169" i="95"/>
  <c r="AW215" i="95"/>
  <c r="AQ123" i="95"/>
  <c r="BB210" i="95"/>
  <c r="AR167" i="95"/>
  <c r="BA168" i="95"/>
  <c r="AV77" i="95"/>
  <c r="AV29" i="95"/>
  <c r="AU209" i="95"/>
  <c r="AQ77" i="95"/>
  <c r="AQ78" i="95" s="1"/>
  <c r="AQ79" i="95" s="1"/>
  <c r="AU167" i="95"/>
  <c r="AU168" i="95" s="1"/>
  <c r="AU169" i="95" s="1"/>
  <c r="AU170" i="95" s="1"/>
  <c r="AZ210" i="95"/>
  <c r="AP169" i="95"/>
  <c r="AP31" i="95"/>
  <c r="AU171" i="95"/>
  <c r="L63" i="69" l="1"/>
  <c r="H74" i="69"/>
  <c r="AV30" i="95"/>
  <c r="AQ165" i="95"/>
  <c r="AQ166" i="95" s="1"/>
  <c r="AQ167" i="95" s="1"/>
  <c r="AV213" i="95"/>
  <c r="AW216" i="95"/>
  <c r="AZ76" i="95"/>
  <c r="AZ170" i="95"/>
  <c r="AP32" i="95"/>
  <c r="AQ168" i="95"/>
  <c r="AP124" i="95"/>
  <c r="AU39" i="95"/>
  <c r="AZ121" i="95"/>
  <c r="BA169" i="95"/>
  <c r="BA215" i="95"/>
  <c r="AU210" i="95"/>
  <c r="AP212" i="95"/>
  <c r="AQ124" i="95"/>
  <c r="BA76" i="95"/>
  <c r="AV78" i="95"/>
  <c r="BA127" i="95"/>
  <c r="AV167" i="95"/>
  <c r="AP76" i="95"/>
  <c r="AW167" i="95"/>
  <c r="AP170" i="95"/>
  <c r="BB211" i="95"/>
  <c r="BB168" i="95"/>
  <c r="AV168" i="95"/>
  <c r="AQ30" i="95"/>
  <c r="AQ80" i="95"/>
  <c r="AQ81" i="95" s="1"/>
  <c r="BA31" i="95"/>
  <c r="AZ34" i="95"/>
  <c r="AQ209" i="95"/>
  <c r="AQ210" i="95" s="1"/>
  <c r="AR210" i="95"/>
  <c r="AZ211" i="95"/>
  <c r="AV126" i="95"/>
  <c r="AU122" i="95"/>
  <c r="AR168" i="95"/>
  <c r="AU78" i="95"/>
  <c r="AU79" i="95" s="1"/>
  <c r="AU172" i="95"/>
  <c r="L64" i="69" l="1"/>
  <c r="H75" i="69"/>
  <c r="AU80" i="95"/>
  <c r="AU40" i="95"/>
  <c r="AR169" i="95"/>
  <c r="AZ122" i="95"/>
  <c r="AW217" i="95"/>
  <c r="BB212" i="95"/>
  <c r="BB213" i="95" s="1"/>
  <c r="BB214" i="95" s="1"/>
  <c r="BB215" i="95" s="1"/>
  <c r="AQ169" i="95"/>
  <c r="AW168" i="95"/>
  <c r="AP171" i="95"/>
  <c r="AZ212" i="95"/>
  <c r="AV31" i="95"/>
  <c r="AV32" i="95" s="1"/>
  <c r="AV33" i="95" s="1"/>
  <c r="AV34" i="95" s="1"/>
  <c r="AV35" i="95" s="1"/>
  <c r="AV214" i="95"/>
  <c r="AZ77" i="95"/>
  <c r="AQ82" i="95"/>
  <c r="AV127" i="95"/>
  <c r="AQ211" i="95"/>
  <c r="BA32" i="95"/>
  <c r="AU123" i="95"/>
  <c r="AP33" i="95"/>
  <c r="AQ31" i="95"/>
  <c r="AQ32" i="95" s="1"/>
  <c r="AQ33" i="95" s="1"/>
  <c r="AQ34" i="95" s="1"/>
  <c r="AQ125" i="95"/>
  <c r="AU173" i="95"/>
  <c r="AP213" i="95"/>
  <c r="AV79" i="95"/>
  <c r="BB216" i="95"/>
  <c r="BA128" i="95"/>
  <c r="AU211" i="95"/>
  <c r="AV169" i="95"/>
  <c r="AZ171" i="95"/>
  <c r="BA170" i="95"/>
  <c r="BA216" i="95"/>
  <c r="BA77" i="95"/>
  <c r="BB169" i="95"/>
  <c r="AP125" i="95"/>
  <c r="AU41" i="95"/>
  <c r="AP77" i="95"/>
  <c r="AZ35" i="95"/>
  <c r="AR211" i="95"/>
  <c r="L65" i="69" l="1"/>
  <c r="H76" i="69"/>
  <c r="BA78" i="95"/>
  <c r="AZ78" i="95"/>
  <c r="BB217" i="95"/>
  <c r="AV36" i="95"/>
  <c r="AW218" i="95"/>
  <c r="AP214" i="95"/>
  <c r="AP126" i="95"/>
  <c r="AR170" i="95"/>
  <c r="BA33" i="95"/>
  <c r="BA171" i="95"/>
  <c r="AP34" i="95"/>
  <c r="AU124" i="95"/>
  <c r="AQ126" i="95"/>
  <c r="AZ36" i="95"/>
  <c r="BA217" i="95"/>
  <c r="BA218" i="95" s="1"/>
  <c r="BA219" i="95" s="1"/>
  <c r="BA220" i="95" s="1"/>
  <c r="BA221" i="95" s="1"/>
  <c r="AZ213" i="95"/>
  <c r="AU42" i="95"/>
  <c r="AV80" i="95"/>
  <c r="AU81" i="95"/>
  <c r="AU82" i="95" s="1"/>
  <c r="BA129" i="95"/>
  <c r="AQ35" i="95"/>
  <c r="AZ172" i="95"/>
  <c r="AQ212" i="95"/>
  <c r="AW169" i="95"/>
  <c r="AU174" i="95"/>
  <c r="AR212" i="95"/>
  <c r="AV170" i="95"/>
  <c r="AQ170" i="95"/>
  <c r="AV128" i="95"/>
  <c r="AV215" i="95"/>
  <c r="AP78" i="95"/>
  <c r="AZ123" i="95"/>
  <c r="AQ83" i="95"/>
  <c r="BB170" i="95"/>
  <c r="AU212" i="95"/>
  <c r="AP172" i="95"/>
  <c r="AU83" i="95"/>
  <c r="L66" i="69" l="1"/>
  <c r="G69" i="69"/>
  <c r="J69" i="69" s="1"/>
  <c r="F69" i="69"/>
  <c r="E69" i="69"/>
  <c r="E70" i="69" s="1"/>
  <c r="E71" i="69" s="1"/>
  <c r="E72" i="69" s="1"/>
  <c r="E73" i="69" s="1"/>
  <c r="E74" i="69" s="1"/>
  <c r="E75" i="69" s="1"/>
  <c r="E76" i="69" s="1"/>
  <c r="D69" i="69"/>
  <c r="D70" i="69" s="1"/>
  <c r="D71" i="69" s="1"/>
  <c r="D72" i="69" s="1"/>
  <c r="D73" i="69" s="1"/>
  <c r="D74" i="69" s="1"/>
  <c r="D75" i="69" s="1"/>
  <c r="D76" i="69" s="1"/>
  <c r="V199" i="69"/>
  <c r="U199" i="69"/>
  <c r="T199" i="69"/>
  <c r="V198" i="69"/>
  <c r="U198" i="69"/>
  <c r="T198" i="69"/>
  <c r="V197" i="69"/>
  <c r="U197" i="69"/>
  <c r="T197" i="69"/>
  <c r="V196" i="69"/>
  <c r="U196" i="69"/>
  <c r="T196" i="69"/>
  <c r="V195" i="69"/>
  <c r="U195" i="69"/>
  <c r="T195" i="69"/>
  <c r="V194" i="69"/>
  <c r="U194" i="69"/>
  <c r="T194" i="69"/>
  <c r="V193" i="69"/>
  <c r="U193" i="69"/>
  <c r="T193" i="69"/>
  <c r="V192" i="69"/>
  <c r="U192" i="69"/>
  <c r="T192" i="69"/>
  <c r="V191" i="69"/>
  <c r="U191" i="69"/>
  <c r="T191" i="69"/>
  <c r="X190" i="69"/>
  <c r="V190" i="69"/>
  <c r="U190" i="69"/>
  <c r="T190" i="69"/>
  <c r="X189" i="69"/>
  <c r="V189" i="69"/>
  <c r="U189" i="69"/>
  <c r="T189" i="69"/>
  <c r="X188" i="69"/>
  <c r="V188" i="69"/>
  <c r="U188" i="69"/>
  <c r="T188" i="69"/>
  <c r="X187" i="69"/>
  <c r="V187" i="69"/>
  <c r="U187" i="69"/>
  <c r="T187" i="69"/>
  <c r="X186" i="69"/>
  <c r="V186" i="69"/>
  <c r="U186" i="69"/>
  <c r="T186" i="69"/>
  <c r="X185" i="69"/>
  <c r="V185" i="69"/>
  <c r="U185" i="69"/>
  <c r="T185" i="69"/>
  <c r="X184" i="69"/>
  <c r="V184" i="69"/>
  <c r="U184" i="69"/>
  <c r="T184" i="69"/>
  <c r="V154" i="69"/>
  <c r="U154" i="69"/>
  <c r="T154" i="69"/>
  <c r="V153" i="69"/>
  <c r="U153" i="69"/>
  <c r="T153" i="69"/>
  <c r="V152" i="69"/>
  <c r="U152" i="69"/>
  <c r="T152" i="69"/>
  <c r="V151" i="69"/>
  <c r="U151" i="69"/>
  <c r="T151" i="69"/>
  <c r="V150" i="69"/>
  <c r="U150" i="69"/>
  <c r="T150" i="69"/>
  <c r="V149" i="69"/>
  <c r="U149" i="69"/>
  <c r="T149" i="69"/>
  <c r="V148" i="69"/>
  <c r="U148" i="69"/>
  <c r="T148" i="69"/>
  <c r="V147" i="69"/>
  <c r="U147" i="69"/>
  <c r="T147" i="69"/>
  <c r="V146" i="69"/>
  <c r="U146" i="69"/>
  <c r="T146" i="69"/>
  <c r="X145" i="69"/>
  <c r="V145" i="69"/>
  <c r="U145" i="69"/>
  <c r="T145" i="69"/>
  <c r="X144" i="69"/>
  <c r="V144" i="69"/>
  <c r="U144" i="69"/>
  <c r="T144" i="69"/>
  <c r="X143" i="69"/>
  <c r="V143" i="69"/>
  <c r="U143" i="69"/>
  <c r="T143" i="69"/>
  <c r="X142" i="69"/>
  <c r="V142" i="69"/>
  <c r="U142" i="69"/>
  <c r="T142" i="69"/>
  <c r="X141" i="69"/>
  <c r="V141" i="69"/>
  <c r="U141" i="69"/>
  <c r="T141" i="69"/>
  <c r="X140" i="69"/>
  <c r="V140" i="69"/>
  <c r="U140" i="69"/>
  <c r="T140" i="69"/>
  <c r="X139" i="69"/>
  <c r="V139" i="69"/>
  <c r="U139" i="69"/>
  <c r="T139" i="69"/>
  <c r="V132" i="69"/>
  <c r="U132" i="69"/>
  <c r="T132" i="69"/>
  <c r="V109" i="69"/>
  <c r="U109" i="69"/>
  <c r="T109" i="69"/>
  <c r="V108" i="69"/>
  <c r="U108" i="69"/>
  <c r="T108" i="69"/>
  <c r="V107" i="69"/>
  <c r="U107" i="69"/>
  <c r="T107" i="69"/>
  <c r="V106" i="69"/>
  <c r="U106" i="69"/>
  <c r="T106" i="69"/>
  <c r="V105" i="69"/>
  <c r="U105" i="69"/>
  <c r="T105" i="69"/>
  <c r="V104" i="69"/>
  <c r="U104" i="69"/>
  <c r="T104" i="69"/>
  <c r="V103" i="69"/>
  <c r="U103" i="69"/>
  <c r="T103" i="69"/>
  <c r="V102" i="69"/>
  <c r="U102" i="69"/>
  <c r="T102" i="69"/>
  <c r="V101" i="69"/>
  <c r="U101" i="69"/>
  <c r="T101" i="69"/>
  <c r="X100" i="69"/>
  <c r="V100" i="69"/>
  <c r="U100" i="69"/>
  <c r="T100" i="69"/>
  <c r="X99" i="69"/>
  <c r="V99" i="69"/>
  <c r="U99" i="69"/>
  <c r="T99" i="69"/>
  <c r="X98" i="69"/>
  <c r="V98" i="69"/>
  <c r="U98" i="69"/>
  <c r="T98" i="69"/>
  <c r="X97" i="69"/>
  <c r="V97" i="69"/>
  <c r="U97" i="69"/>
  <c r="T97" i="69"/>
  <c r="X96" i="69"/>
  <c r="V96" i="69"/>
  <c r="U96" i="69"/>
  <c r="T96" i="69"/>
  <c r="X95" i="69"/>
  <c r="V95" i="69"/>
  <c r="U95" i="69"/>
  <c r="T95" i="69"/>
  <c r="X94" i="69"/>
  <c r="U94" i="69"/>
  <c r="T94" i="69"/>
  <c r="V64" i="69"/>
  <c r="U64" i="69"/>
  <c r="T64" i="69"/>
  <c r="V63" i="69"/>
  <c r="U63" i="69"/>
  <c r="T63" i="69"/>
  <c r="V62" i="69"/>
  <c r="U62" i="69"/>
  <c r="T62" i="69"/>
  <c r="V61" i="69"/>
  <c r="U61" i="69"/>
  <c r="T61" i="69"/>
  <c r="V60" i="69"/>
  <c r="U60" i="69"/>
  <c r="T60" i="69"/>
  <c r="V59" i="69"/>
  <c r="U59" i="69"/>
  <c r="T59" i="69"/>
  <c r="V58" i="69"/>
  <c r="U58" i="69"/>
  <c r="T58" i="69"/>
  <c r="V57" i="69"/>
  <c r="U57" i="69"/>
  <c r="T57" i="69"/>
  <c r="V56" i="69"/>
  <c r="U56" i="69"/>
  <c r="T56" i="69"/>
  <c r="X55" i="69"/>
  <c r="V55" i="69"/>
  <c r="U55" i="69"/>
  <c r="T55" i="69"/>
  <c r="X54" i="69"/>
  <c r="V54" i="69"/>
  <c r="U54" i="69"/>
  <c r="T54" i="69"/>
  <c r="X53" i="69"/>
  <c r="V53" i="69"/>
  <c r="U53" i="69"/>
  <c r="T53" i="69"/>
  <c r="X52" i="69"/>
  <c r="V52" i="69"/>
  <c r="U52" i="69"/>
  <c r="T52" i="69"/>
  <c r="X51" i="69"/>
  <c r="V51" i="69"/>
  <c r="U51" i="69"/>
  <c r="T51" i="69"/>
  <c r="X50" i="69"/>
  <c r="V50" i="69"/>
  <c r="U50" i="69"/>
  <c r="T50" i="69"/>
  <c r="X49" i="69"/>
  <c r="U49" i="69"/>
  <c r="T49" i="69"/>
  <c r="U4" i="69"/>
  <c r="X4" i="69"/>
  <c r="T4" i="69"/>
  <c r="D125" i="69"/>
  <c r="E125" i="69"/>
  <c r="F125" i="69"/>
  <c r="G125" i="69"/>
  <c r="H125" i="69"/>
  <c r="D126" i="69"/>
  <c r="E126" i="69"/>
  <c r="F126" i="69"/>
  <c r="G126" i="69"/>
  <c r="H126" i="69"/>
  <c r="D127" i="69"/>
  <c r="E127" i="69"/>
  <c r="F127" i="69"/>
  <c r="G127" i="69"/>
  <c r="H127" i="69"/>
  <c r="D128" i="69"/>
  <c r="E128" i="69"/>
  <c r="F128" i="69"/>
  <c r="G128" i="69"/>
  <c r="H128" i="69"/>
  <c r="D129" i="69"/>
  <c r="E129" i="69"/>
  <c r="F129" i="69"/>
  <c r="G129" i="69"/>
  <c r="H129" i="69"/>
  <c r="D130" i="69"/>
  <c r="E130" i="69"/>
  <c r="F130" i="69"/>
  <c r="G130" i="69"/>
  <c r="H130" i="69"/>
  <c r="D131" i="69"/>
  <c r="E131" i="69"/>
  <c r="F131" i="69"/>
  <c r="G131" i="69"/>
  <c r="H131" i="69"/>
  <c r="D132" i="69"/>
  <c r="E132" i="69"/>
  <c r="F132" i="69"/>
  <c r="G132" i="69"/>
  <c r="H132" i="69"/>
  <c r="E124" i="69"/>
  <c r="F124" i="69"/>
  <c r="G124" i="69"/>
  <c r="H124" i="69"/>
  <c r="D124" i="69"/>
  <c r="D115" i="69"/>
  <c r="E115" i="69"/>
  <c r="F115" i="69"/>
  <c r="G115" i="69"/>
  <c r="H115" i="69"/>
  <c r="D116" i="69"/>
  <c r="E116" i="69"/>
  <c r="F116" i="69"/>
  <c r="G116" i="69"/>
  <c r="H116" i="69"/>
  <c r="D117" i="69"/>
  <c r="E117" i="69"/>
  <c r="F117" i="69"/>
  <c r="G117" i="69"/>
  <c r="H117" i="69"/>
  <c r="D118" i="69"/>
  <c r="E118" i="69"/>
  <c r="F118" i="69"/>
  <c r="G118" i="69"/>
  <c r="H118" i="69"/>
  <c r="D119" i="69"/>
  <c r="E119" i="69"/>
  <c r="F119" i="69"/>
  <c r="G119" i="69"/>
  <c r="H119" i="69"/>
  <c r="D120" i="69"/>
  <c r="E120" i="69"/>
  <c r="F120" i="69"/>
  <c r="G120" i="69"/>
  <c r="H120" i="69"/>
  <c r="D121" i="69"/>
  <c r="E121" i="69"/>
  <c r="F121" i="69"/>
  <c r="G121" i="69"/>
  <c r="H121" i="69"/>
  <c r="D122" i="69"/>
  <c r="E122" i="69"/>
  <c r="F122" i="69"/>
  <c r="G122" i="69"/>
  <c r="H122" i="69"/>
  <c r="E114" i="69"/>
  <c r="F114" i="69"/>
  <c r="G114" i="69"/>
  <c r="H114" i="69"/>
  <c r="D114" i="69"/>
  <c r="O4" i="69"/>
  <c r="E105" i="69"/>
  <c r="F105" i="69"/>
  <c r="G105" i="69"/>
  <c r="H105" i="69"/>
  <c r="E106" i="69"/>
  <c r="F106" i="69"/>
  <c r="G106" i="69"/>
  <c r="H106" i="69"/>
  <c r="E107" i="69"/>
  <c r="F107" i="69"/>
  <c r="G107" i="69"/>
  <c r="H107" i="69"/>
  <c r="E108" i="69"/>
  <c r="F108" i="69"/>
  <c r="G108" i="69"/>
  <c r="H108" i="69"/>
  <c r="E109" i="69"/>
  <c r="F109" i="69"/>
  <c r="G109" i="69"/>
  <c r="H109" i="69"/>
  <c r="E110" i="69"/>
  <c r="F110" i="69"/>
  <c r="G110" i="69"/>
  <c r="H110" i="69"/>
  <c r="E111" i="69"/>
  <c r="F111" i="69"/>
  <c r="G111" i="69"/>
  <c r="H111" i="69"/>
  <c r="E112" i="69"/>
  <c r="F112" i="69"/>
  <c r="G112" i="69"/>
  <c r="H112" i="69"/>
  <c r="D106" i="69"/>
  <c r="D107" i="69"/>
  <c r="D108" i="69"/>
  <c r="D109" i="69"/>
  <c r="K2" i="89"/>
  <c r="K1" i="89"/>
  <c r="A25" i="70"/>
  <c r="BS202" i="84"/>
  <c r="BS201" i="84"/>
  <c r="BS200" i="84"/>
  <c r="BS199" i="84"/>
  <c r="BS198" i="84"/>
  <c r="BS197" i="84"/>
  <c r="BS196" i="84"/>
  <c r="BS195" i="84"/>
  <c r="BS194" i="84"/>
  <c r="BS193" i="84"/>
  <c r="BS192" i="84"/>
  <c r="BS191" i="84"/>
  <c r="BS190" i="84"/>
  <c r="BS189" i="84"/>
  <c r="BS188" i="84"/>
  <c r="BS187" i="84"/>
  <c r="BS157" i="84"/>
  <c r="BS156" i="84"/>
  <c r="BS155" i="84"/>
  <c r="BS154" i="84"/>
  <c r="BS153" i="84"/>
  <c r="BS152" i="84"/>
  <c r="BS151" i="84"/>
  <c r="BS150" i="84"/>
  <c r="BS149" i="84"/>
  <c r="BS148" i="84"/>
  <c r="BS147" i="84"/>
  <c r="BS146" i="84"/>
  <c r="BS145" i="84"/>
  <c r="BS144" i="84"/>
  <c r="BS143" i="84"/>
  <c r="BS142" i="84"/>
  <c r="BS112" i="84"/>
  <c r="BS111" i="84"/>
  <c r="BS110" i="84"/>
  <c r="BS109" i="84"/>
  <c r="BS108" i="84"/>
  <c r="BS107" i="84"/>
  <c r="BS106" i="84"/>
  <c r="BS105" i="84"/>
  <c r="BS104" i="84"/>
  <c r="BS103" i="84"/>
  <c r="BS102" i="84"/>
  <c r="BS101" i="84"/>
  <c r="BS100" i="84"/>
  <c r="BS99" i="84"/>
  <c r="BS98" i="84"/>
  <c r="BS97" i="84"/>
  <c r="BS67" i="84"/>
  <c r="BS66" i="84"/>
  <c r="BS65" i="84"/>
  <c r="BS64" i="84"/>
  <c r="BS63" i="84"/>
  <c r="BS62" i="84"/>
  <c r="BS61" i="84"/>
  <c r="BS60" i="84"/>
  <c r="BS59" i="84"/>
  <c r="BS58" i="84"/>
  <c r="BS57" i="84"/>
  <c r="BS56" i="84"/>
  <c r="BS55" i="84"/>
  <c r="BS54" i="84"/>
  <c r="BS53" i="84"/>
  <c r="BS52" i="84"/>
  <c r="BS8" i="84"/>
  <c r="BS9" i="84"/>
  <c r="BS10" i="84"/>
  <c r="BS11" i="84"/>
  <c r="BS12" i="84"/>
  <c r="BS13" i="84"/>
  <c r="BS14" i="84"/>
  <c r="BS15" i="84"/>
  <c r="BS16" i="84"/>
  <c r="BS17" i="84"/>
  <c r="BS18" i="84"/>
  <c r="BS19" i="84"/>
  <c r="BS20" i="84"/>
  <c r="BS21" i="84"/>
  <c r="BS22" i="84"/>
  <c r="BS7" i="84"/>
  <c r="G24" i="72"/>
  <c r="G25" i="72" s="1"/>
  <c r="G26" i="72" s="1"/>
  <c r="G27" i="72" s="1"/>
  <c r="H24" i="72"/>
  <c r="H25" i="72" s="1"/>
  <c r="H26" i="72" s="1"/>
  <c r="H27" i="72" s="1"/>
  <c r="F24" i="72"/>
  <c r="G2" i="71"/>
  <c r="H2" i="71"/>
  <c r="F2" i="71"/>
  <c r="N5" i="71"/>
  <c r="K47" i="87"/>
  <c r="K46" i="87"/>
  <c r="M47" i="87"/>
  <c r="M46" i="87"/>
  <c r="L47" i="87"/>
  <c r="L46" i="87"/>
  <c r="J46" i="87"/>
  <c r="J47" i="87"/>
  <c r="K43" i="87"/>
  <c r="L43" i="87"/>
  <c r="J43" i="87"/>
  <c r="G32" i="72"/>
  <c r="F32" i="72"/>
  <c r="AV52" i="84"/>
  <c r="AV97" i="84" s="1"/>
  <c r="AV142" i="84" s="1"/>
  <c r="AV187" i="84" s="1"/>
  <c r="AU187" i="84" s="1"/>
  <c r="AZ187" i="84" s="1"/>
  <c r="AV53" i="84"/>
  <c r="AV98" i="84" s="1"/>
  <c r="AV143" i="84" s="1"/>
  <c r="AV188" i="84" s="1"/>
  <c r="AV54" i="84"/>
  <c r="AV99" i="84" s="1"/>
  <c r="AV55" i="84"/>
  <c r="AV100" i="84" s="1"/>
  <c r="AV56" i="84"/>
  <c r="AV101" i="84" s="1"/>
  <c r="AV57" i="84"/>
  <c r="AV102" i="84" s="1"/>
  <c r="AV147" i="84" s="1"/>
  <c r="AV192" i="84" s="1"/>
  <c r="AU192" i="84" s="1"/>
  <c r="AY192" i="84" s="1"/>
  <c r="AV58" i="84"/>
  <c r="AV103" i="84" s="1"/>
  <c r="AV59" i="84"/>
  <c r="AV60" i="84"/>
  <c r="AV105" i="84" s="1"/>
  <c r="AV150" i="84" s="1"/>
  <c r="AV195" i="84" s="1"/>
  <c r="AV61" i="84"/>
  <c r="AV106" i="84" s="1"/>
  <c r="AV151" i="84" s="1"/>
  <c r="AV196" i="84" s="1"/>
  <c r="AU196" i="84" s="1"/>
  <c r="AV62" i="84"/>
  <c r="AU62" i="84" s="1"/>
  <c r="AV63" i="84"/>
  <c r="AV108" i="84" s="1"/>
  <c r="AV64" i="84"/>
  <c r="AV109" i="84" s="1"/>
  <c r="AV65" i="84"/>
  <c r="AV110" i="84" s="1"/>
  <c r="AV155" i="84" s="1"/>
  <c r="AV200" i="84" s="1"/>
  <c r="AU200" i="84" s="1"/>
  <c r="AZ200" i="84" s="1"/>
  <c r="AV66" i="84"/>
  <c r="AV111" i="84" s="1"/>
  <c r="AV67" i="84"/>
  <c r="AV112" i="84" s="1"/>
  <c r="AU14" i="84"/>
  <c r="AZ14" i="84" s="1"/>
  <c r="AU15" i="84"/>
  <c r="AZ15" i="84" s="1"/>
  <c r="R199" i="69"/>
  <c r="Q199" i="69"/>
  <c r="P199" i="69"/>
  <c r="O199" i="69"/>
  <c r="R198" i="69"/>
  <c r="Q198" i="69"/>
  <c r="P198" i="69"/>
  <c r="O198" i="69"/>
  <c r="Q197" i="69"/>
  <c r="P197" i="69"/>
  <c r="O197" i="69"/>
  <c r="Q196" i="69"/>
  <c r="P196" i="69"/>
  <c r="O196" i="69"/>
  <c r="Q195" i="69"/>
  <c r="P195" i="69"/>
  <c r="O195" i="69"/>
  <c r="Q194" i="69"/>
  <c r="P194" i="69"/>
  <c r="O194" i="69"/>
  <c r="Q193" i="69"/>
  <c r="P193" i="69"/>
  <c r="O193" i="69"/>
  <c r="Q192" i="69"/>
  <c r="P192" i="69"/>
  <c r="O192" i="69"/>
  <c r="Q191" i="69"/>
  <c r="P191" i="69"/>
  <c r="O191" i="69"/>
  <c r="S190" i="69"/>
  <c r="Q190" i="69"/>
  <c r="P190" i="69"/>
  <c r="O190" i="69"/>
  <c r="S189" i="69"/>
  <c r="Q189" i="69"/>
  <c r="P189" i="69"/>
  <c r="O189" i="69"/>
  <c r="S188" i="69"/>
  <c r="Q188" i="69"/>
  <c r="P188" i="69"/>
  <c r="O188" i="69"/>
  <c r="S187" i="69"/>
  <c r="Q187" i="69"/>
  <c r="P187" i="69"/>
  <c r="O187" i="69"/>
  <c r="S186" i="69"/>
  <c r="Q186" i="69"/>
  <c r="P186" i="69"/>
  <c r="O186" i="69"/>
  <c r="S185" i="69"/>
  <c r="Q185" i="69"/>
  <c r="P185" i="69"/>
  <c r="O185" i="69"/>
  <c r="S184" i="69"/>
  <c r="Q184" i="69"/>
  <c r="P184" i="69"/>
  <c r="O184" i="69"/>
  <c r="R154" i="69"/>
  <c r="Q154" i="69"/>
  <c r="P154" i="69"/>
  <c r="O154" i="69"/>
  <c r="R153" i="69"/>
  <c r="Q153" i="69"/>
  <c r="P153" i="69"/>
  <c r="O153" i="69"/>
  <c r="Q152" i="69"/>
  <c r="P152" i="69"/>
  <c r="O152" i="69"/>
  <c r="Q151" i="69"/>
  <c r="P151" i="69"/>
  <c r="O151" i="69"/>
  <c r="Q150" i="69"/>
  <c r="P150" i="69"/>
  <c r="O150" i="69"/>
  <c r="Q149" i="69"/>
  <c r="P149" i="69"/>
  <c r="O149" i="69"/>
  <c r="Q148" i="69"/>
  <c r="P148" i="69"/>
  <c r="O148" i="69"/>
  <c r="Q147" i="69"/>
  <c r="P147" i="69"/>
  <c r="O147" i="69"/>
  <c r="Q146" i="69"/>
  <c r="P146" i="69"/>
  <c r="O146" i="69"/>
  <c r="S145" i="69"/>
  <c r="Q145" i="69"/>
  <c r="P145" i="69"/>
  <c r="O145" i="69"/>
  <c r="S144" i="69"/>
  <c r="Q144" i="69"/>
  <c r="P144" i="69"/>
  <c r="O144" i="69"/>
  <c r="S143" i="69"/>
  <c r="Q143" i="69"/>
  <c r="P143" i="69"/>
  <c r="O143" i="69"/>
  <c r="S142" i="69"/>
  <c r="Q142" i="69"/>
  <c r="P142" i="69"/>
  <c r="O142" i="69"/>
  <c r="S141" i="69"/>
  <c r="Q141" i="69"/>
  <c r="P141" i="69"/>
  <c r="O141" i="69"/>
  <c r="S140" i="69"/>
  <c r="Q140" i="69"/>
  <c r="P140" i="69"/>
  <c r="O140" i="69"/>
  <c r="S139" i="69"/>
  <c r="Q139" i="69"/>
  <c r="P139" i="69"/>
  <c r="O139" i="69"/>
  <c r="R132" i="69"/>
  <c r="Q132" i="69"/>
  <c r="AG135" i="84" s="1"/>
  <c r="P132" i="69"/>
  <c r="AF135" i="84" s="1"/>
  <c r="O132" i="69"/>
  <c r="AE135" i="84" s="1"/>
  <c r="R109" i="69"/>
  <c r="Q109" i="69"/>
  <c r="P109" i="69"/>
  <c r="O109" i="69"/>
  <c r="R108" i="69"/>
  <c r="Q108" i="69"/>
  <c r="P108" i="69"/>
  <c r="O108" i="69"/>
  <c r="Q107" i="69"/>
  <c r="P107" i="69"/>
  <c r="O107" i="69"/>
  <c r="Q106" i="69"/>
  <c r="P106" i="69"/>
  <c r="O106" i="69"/>
  <c r="Q105" i="69"/>
  <c r="P105" i="69"/>
  <c r="O105" i="69"/>
  <c r="Q104" i="69"/>
  <c r="P104" i="69"/>
  <c r="O104" i="69"/>
  <c r="Q103" i="69"/>
  <c r="P103" i="69"/>
  <c r="O103" i="69"/>
  <c r="Q102" i="69"/>
  <c r="P102" i="69"/>
  <c r="O102" i="69"/>
  <c r="Q101" i="69"/>
  <c r="P101" i="69"/>
  <c r="O101" i="69"/>
  <c r="S100" i="69"/>
  <c r="Q100" i="69"/>
  <c r="P100" i="69"/>
  <c r="O100" i="69"/>
  <c r="S99" i="69"/>
  <c r="Q99" i="69"/>
  <c r="P99" i="69"/>
  <c r="O99" i="69"/>
  <c r="S98" i="69"/>
  <c r="Q98" i="69"/>
  <c r="P98" i="69"/>
  <c r="O98" i="69"/>
  <c r="S97" i="69"/>
  <c r="Q97" i="69"/>
  <c r="P97" i="69"/>
  <c r="O97" i="69"/>
  <c r="S96" i="69"/>
  <c r="Q96" i="69"/>
  <c r="P96" i="69"/>
  <c r="O96" i="69"/>
  <c r="S95" i="69"/>
  <c r="Q95" i="69"/>
  <c r="P95" i="69"/>
  <c r="O95" i="69"/>
  <c r="S94" i="69"/>
  <c r="P94" i="69"/>
  <c r="O94" i="69"/>
  <c r="R64" i="69"/>
  <c r="Q64" i="69"/>
  <c r="P64" i="69"/>
  <c r="O64" i="69"/>
  <c r="R63" i="69"/>
  <c r="Q63" i="69"/>
  <c r="P63" i="69"/>
  <c r="O63" i="69"/>
  <c r="Q62" i="69"/>
  <c r="P62" i="69"/>
  <c r="O62" i="69"/>
  <c r="Q61" i="69"/>
  <c r="P61" i="69"/>
  <c r="O61" i="69"/>
  <c r="Q60" i="69"/>
  <c r="P60" i="69"/>
  <c r="O60" i="69"/>
  <c r="Q59" i="69"/>
  <c r="P59" i="69"/>
  <c r="O59" i="69"/>
  <c r="Q58" i="69"/>
  <c r="P58" i="69"/>
  <c r="O58" i="69"/>
  <c r="Q57" i="69"/>
  <c r="P57" i="69"/>
  <c r="O57" i="69"/>
  <c r="Q56" i="69"/>
  <c r="P56" i="69"/>
  <c r="O56" i="69"/>
  <c r="S55" i="69"/>
  <c r="Q55" i="69"/>
  <c r="P55" i="69"/>
  <c r="O55" i="69"/>
  <c r="S54" i="69"/>
  <c r="Q54" i="69"/>
  <c r="P54" i="69"/>
  <c r="O54" i="69"/>
  <c r="S53" i="69"/>
  <c r="Q53" i="69"/>
  <c r="P53" i="69"/>
  <c r="O53" i="69"/>
  <c r="S52" i="69"/>
  <c r="Q52" i="69"/>
  <c r="P52" i="69"/>
  <c r="O52" i="69"/>
  <c r="S51" i="69"/>
  <c r="Q51" i="69"/>
  <c r="P51" i="69"/>
  <c r="O51" i="69"/>
  <c r="S50" i="69"/>
  <c r="Q50" i="69"/>
  <c r="P50" i="69"/>
  <c r="O50" i="69"/>
  <c r="S49" i="69"/>
  <c r="P49" i="69"/>
  <c r="O49" i="69"/>
  <c r="P4" i="69"/>
  <c r="S4" i="69"/>
  <c r="D48" i="69"/>
  <c r="E48" i="69"/>
  <c r="E94" i="69" s="1"/>
  <c r="F48" i="69"/>
  <c r="F49" i="69" s="1"/>
  <c r="F50" i="69" s="1"/>
  <c r="G48" i="69"/>
  <c r="G49" i="69" s="1"/>
  <c r="F41" i="72"/>
  <c r="G41" i="72"/>
  <c r="H41" i="72"/>
  <c r="I9" i="92"/>
  <c r="J9" i="92"/>
  <c r="K9" i="92"/>
  <c r="L9" i="92"/>
  <c r="I10" i="92"/>
  <c r="J10" i="92"/>
  <c r="K10" i="92"/>
  <c r="L10" i="92"/>
  <c r="O10" i="92"/>
  <c r="P10" i="92"/>
  <c r="Q10" i="92"/>
  <c r="R10" i="92"/>
  <c r="I11" i="92"/>
  <c r="J11" i="92"/>
  <c r="K11" i="92"/>
  <c r="L11" i="92"/>
  <c r="I12" i="92"/>
  <c r="J12" i="92"/>
  <c r="K12" i="92"/>
  <c r="L12" i="92"/>
  <c r="I13" i="92"/>
  <c r="J13" i="92"/>
  <c r="K13" i="92"/>
  <c r="L13" i="92"/>
  <c r="I14" i="92"/>
  <c r="J14" i="92"/>
  <c r="K14" i="92"/>
  <c r="L14" i="92"/>
  <c r="I15" i="92"/>
  <c r="J15" i="92"/>
  <c r="K15" i="92"/>
  <c r="L15" i="92"/>
  <c r="I16" i="92"/>
  <c r="J16" i="92"/>
  <c r="K16" i="92"/>
  <c r="L16" i="92"/>
  <c r="I17" i="92"/>
  <c r="J17" i="92"/>
  <c r="K17" i="92"/>
  <c r="L17" i="92"/>
  <c r="I18" i="92"/>
  <c r="J18" i="92"/>
  <c r="K18" i="92"/>
  <c r="L18" i="92"/>
  <c r="I19" i="92"/>
  <c r="J19" i="92"/>
  <c r="K19" i="92"/>
  <c r="L19" i="92"/>
  <c r="I20" i="92"/>
  <c r="J20" i="92"/>
  <c r="K20" i="92"/>
  <c r="L20" i="92"/>
  <c r="I21" i="92"/>
  <c r="J21" i="92"/>
  <c r="K21" i="92"/>
  <c r="L21" i="92"/>
  <c r="I22" i="92"/>
  <c r="J22" i="92"/>
  <c r="K22" i="92"/>
  <c r="L22" i="92"/>
  <c r="I23" i="92"/>
  <c r="J23" i="92"/>
  <c r="K23" i="92"/>
  <c r="L23" i="92"/>
  <c r="AG97" i="70"/>
  <c r="I52" i="70"/>
  <c r="I54" i="70"/>
  <c r="I53" i="70"/>
  <c r="G146" i="69"/>
  <c r="H146" i="69"/>
  <c r="F146" i="69"/>
  <c r="F8" i="89"/>
  <c r="F9" i="89"/>
  <c r="F10" i="89"/>
  <c r="F11" i="89"/>
  <c r="F12" i="89"/>
  <c r="F13" i="89"/>
  <c r="F14" i="89"/>
  <c r="F15" i="89"/>
  <c r="F16" i="89"/>
  <c r="F17" i="89"/>
  <c r="F18" i="89"/>
  <c r="F19" i="89"/>
  <c r="F20" i="89"/>
  <c r="F21" i="89"/>
  <c r="F22" i="89"/>
  <c r="F7" i="89"/>
  <c r="C198" i="68"/>
  <c r="E192" i="90" s="1"/>
  <c r="AT192" i="90" s="1"/>
  <c r="C199" i="68"/>
  <c r="E193" i="90" s="1"/>
  <c r="AT193" i="90" s="1"/>
  <c r="C200" i="68"/>
  <c r="C201" i="68"/>
  <c r="E195" i="90" s="1"/>
  <c r="AT195" i="90" s="1"/>
  <c r="C202" i="68"/>
  <c r="E196" i="90" s="1"/>
  <c r="AT196" i="90" s="1"/>
  <c r="C203" i="68"/>
  <c r="C204" i="68"/>
  <c r="E198" i="90" s="1"/>
  <c r="AT198" i="90" s="1"/>
  <c r="C205" i="68"/>
  <c r="C206" i="68"/>
  <c r="C207" i="68"/>
  <c r="E201" i="90" s="1"/>
  <c r="AT201" i="90" s="1"/>
  <c r="C208" i="68"/>
  <c r="C209" i="68"/>
  <c r="E203" i="90" s="1"/>
  <c r="AT203" i="90" s="1"/>
  <c r="C210" i="68"/>
  <c r="C211" i="68"/>
  <c r="C212" i="68"/>
  <c r="E206" i="90" s="1"/>
  <c r="AT206" i="90" s="1"/>
  <c r="C197" i="68"/>
  <c r="C153" i="68"/>
  <c r="C154" i="68"/>
  <c r="E148" i="90" s="1"/>
  <c r="AT148" i="90" s="1"/>
  <c r="C155" i="68"/>
  <c r="E149" i="90" s="1"/>
  <c r="AT149" i="90" s="1"/>
  <c r="C156" i="68"/>
  <c r="I146" i="84" s="1"/>
  <c r="C157" i="68"/>
  <c r="I147" i="84" s="1"/>
  <c r="C158" i="68"/>
  <c r="C159" i="68"/>
  <c r="C160" i="68"/>
  <c r="E154" i="90" s="1"/>
  <c r="AT154" i="90" s="1"/>
  <c r="C161" i="68"/>
  <c r="AS151" i="84" s="1"/>
  <c r="C162" i="68"/>
  <c r="I152" i="84" s="1"/>
  <c r="C163" i="68"/>
  <c r="I153" i="84" s="1"/>
  <c r="C164" i="68"/>
  <c r="I154" i="84" s="1"/>
  <c r="C165" i="68"/>
  <c r="E159" i="90" s="1"/>
  <c r="AT159" i="90" s="1"/>
  <c r="C166" i="68"/>
  <c r="E160" i="90" s="1"/>
  <c r="AT160" i="90" s="1"/>
  <c r="C167" i="68"/>
  <c r="I157" i="84" s="1"/>
  <c r="C152" i="68"/>
  <c r="C108" i="68"/>
  <c r="E102" i="90" s="1"/>
  <c r="AT102" i="90" s="1"/>
  <c r="C109" i="68"/>
  <c r="E103" i="90" s="1"/>
  <c r="AT103" i="90" s="1"/>
  <c r="C110" i="68"/>
  <c r="AS100" i="84" s="1"/>
  <c r="C111" i="68"/>
  <c r="AS101" i="84" s="1"/>
  <c r="BG101" i="84" s="1"/>
  <c r="C112" i="68"/>
  <c r="C113" i="68"/>
  <c r="E107" i="90" s="1"/>
  <c r="AT107" i="90" s="1"/>
  <c r="C114" i="68"/>
  <c r="I104" i="84" s="1"/>
  <c r="C115" i="68"/>
  <c r="E109" i="90" s="1"/>
  <c r="AT109" i="90" s="1"/>
  <c r="C116" i="68"/>
  <c r="E110" i="90" s="1"/>
  <c r="AT110" i="90" s="1"/>
  <c r="C117" i="68"/>
  <c r="E111" i="90" s="1"/>
  <c r="AT111" i="90" s="1"/>
  <c r="C118" i="68"/>
  <c r="C119" i="68"/>
  <c r="C120" i="68"/>
  <c r="E114" i="90" s="1"/>
  <c r="AT114" i="90" s="1"/>
  <c r="C121" i="68"/>
  <c r="E115" i="90" s="1"/>
  <c r="AT115" i="90" s="1"/>
  <c r="C122" i="68"/>
  <c r="C107" i="68"/>
  <c r="C63" i="68"/>
  <c r="C64" i="68"/>
  <c r="E58" i="90" s="1"/>
  <c r="AT58" i="90" s="1"/>
  <c r="C65" i="68"/>
  <c r="I55" i="84" s="1"/>
  <c r="C66" i="68"/>
  <c r="AS56" i="84" s="1"/>
  <c r="BH56" i="84" s="1"/>
  <c r="C67" i="68"/>
  <c r="I57" i="84" s="1"/>
  <c r="C68" i="68"/>
  <c r="C69" i="68"/>
  <c r="I59" i="84" s="1"/>
  <c r="C70" i="68"/>
  <c r="E64" i="90" s="1"/>
  <c r="AT64" i="90" s="1"/>
  <c r="C71" i="68"/>
  <c r="I61" i="84" s="1"/>
  <c r="C72" i="68"/>
  <c r="C73" i="68"/>
  <c r="AS63" i="84" s="1"/>
  <c r="C74" i="68"/>
  <c r="C75" i="68"/>
  <c r="C76" i="68"/>
  <c r="E70" i="90" s="1"/>
  <c r="AT70" i="90" s="1"/>
  <c r="C77" i="68"/>
  <c r="C62" i="68"/>
  <c r="E56" i="90" s="1"/>
  <c r="AT56" i="90" s="1"/>
  <c r="N3" i="18"/>
  <c r="CC4" i="70"/>
  <c r="CB5" i="70"/>
  <c r="Y199" i="70"/>
  <c r="AR202" i="87" s="1"/>
  <c r="AG198" i="70"/>
  <c r="AE198" i="70"/>
  <c r="AS197" i="70"/>
  <c r="AF197" i="70"/>
  <c r="AA195" i="70"/>
  <c r="AT198" i="87" s="1"/>
  <c r="AL194" i="70"/>
  <c r="AM192" i="70"/>
  <c r="AF192" i="70"/>
  <c r="AM191" i="70"/>
  <c r="Z191" i="70"/>
  <c r="AS194" i="87" s="1"/>
  <c r="Y190" i="70"/>
  <c r="AR193" i="87" s="1"/>
  <c r="AM189" i="70"/>
  <c r="AK187" i="70"/>
  <c r="AU185" i="70"/>
  <c r="AF185" i="70"/>
  <c r="Y197" i="68"/>
  <c r="S185" i="95" s="1"/>
  <c r="V197" i="68"/>
  <c r="U197" i="68"/>
  <c r="O185" i="95" s="1"/>
  <c r="AT154" i="70"/>
  <c r="Z154" i="70"/>
  <c r="AS157" i="87" s="1"/>
  <c r="AS152" i="70"/>
  <c r="AR152" i="70"/>
  <c r="AE151" i="70"/>
  <c r="AE150" i="70"/>
  <c r="AQ149" i="70"/>
  <c r="AG148" i="70"/>
  <c r="AS147" i="70"/>
  <c r="AS146" i="70"/>
  <c r="AR146" i="70"/>
  <c r="AS145" i="70"/>
  <c r="AF145" i="70"/>
  <c r="Y145" i="70"/>
  <c r="AR148" i="87" s="1"/>
  <c r="AS144" i="70"/>
  <c r="Y143" i="70"/>
  <c r="AR146" i="87" s="1"/>
  <c r="AM142" i="70"/>
  <c r="AU141" i="70"/>
  <c r="AU140" i="70"/>
  <c r="Y152" i="68"/>
  <c r="S140" i="95" s="1"/>
  <c r="V152" i="68"/>
  <c r="U152" i="68"/>
  <c r="O140" i="95" s="1"/>
  <c r="AS109" i="70"/>
  <c r="Z107" i="70"/>
  <c r="AS110" i="87" s="1"/>
  <c r="AG106" i="70"/>
  <c r="AS104" i="70"/>
  <c r="AR104" i="70"/>
  <c r="Z103" i="70"/>
  <c r="AS106" i="87" s="1"/>
  <c r="AS102" i="70"/>
  <c r="AS100" i="70"/>
  <c r="AE99" i="70"/>
  <c r="AO98" i="70"/>
  <c r="AC97" i="70"/>
  <c r="AV100" i="87" s="1"/>
  <c r="AE97" i="70"/>
  <c r="AL95" i="70"/>
  <c r="Y107" i="68"/>
  <c r="S95" i="95" s="1"/>
  <c r="V107" i="68"/>
  <c r="U107" i="68"/>
  <c r="AE64" i="70"/>
  <c r="AH63" i="70"/>
  <c r="AA62" i="70"/>
  <c r="AT65" i="87" s="1"/>
  <c r="AF62" i="70"/>
  <c r="AE62" i="70"/>
  <c r="Z58" i="70"/>
  <c r="AS61" i="87" s="1"/>
  <c r="AE57" i="70"/>
  <c r="AQ56" i="70"/>
  <c r="Z54" i="70"/>
  <c r="AS57" i="87" s="1"/>
  <c r="AC53" i="70"/>
  <c r="AV56" i="87" s="1"/>
  <c r="AS53" i="70"/>
  <c r="AS52" i="70"/>
  <c r="AR52" i="70"/>
  <c r="AL51" i="70"/>
  <c r="AL50" i="70"/>
  <c r="Y62" i="68"/>
  <c r="S50" i="95" s="1"/>
  <c r="V62" i="68"/>
  <c r="U62" i="68"/>
  <c r="O50" i="95" s="1"/>
  <c r="AI5" i="70"/>
  <c r="AO6" i="70"/>
  <c r="AK7" i="70"/>
  <c r="AL8" i="70"/>
  <c r="AF10" i="70"/>
  <c r="AA10" i="70"/>
  <c r="AT13" i="87" s="1"/>
  <c r="AA13" i="70"/>
  <c r="AT16" i="87" s="1"/>
  <c r="AL15" i="70"/>
  <c r="AE17" i="70"/>
  <c r="AL17" i="70"/>
  <c r="AR18" i="70"/>
  <c r="AL19" i="70"/>
  <c r="V17" i="68"/>
  <c r="Y17" i="68"/>
  <c r="S5" i="95" s="1"/>
  <c r="U17" i="68"/>
  <c r="I27" i="70"/>
  <c r="J27" i="70" s="1"/>
  <c r="I28" i="70"/>
  <c r="J28" i="70" s="1"/>
  <c r="K28" i="70" s="1"/>
  <c r="L28" i="70" s="1"/>
  <c r="C6" i="70"/>
  <c r="D6" i="70" s="1"/>
  <c r="AL51" i="71"/>
  <c r="AL96" i="71" s="1"/>
  <c r="AL141" i="71" s="1"/>
  <c r="AL186" i="71" s="1"/>
  <c r="AL52" i="71"/>
  <c r="AL97" i="71" s="1"/>
  <c r="AL142" i="71" s="1"/>
  <c r="AL187" i="71" s="1"/>
  <c r="AL53" i="71"/>
  <c r="AL98" i="71" s="1"/>
  <c r="AL143" i="71" s="1"/>
  <c r="AL188" i="71" s="1"/>
  <c r="AL54" i="71"/>
  <c r="AL99" i="71" s="1"/>
  <c r="AL144" i="71" s="1"/>
  <c r="AL189" i="71" s="1"/>
  <c r="AL55" i="71"/>
  <c r="AL100" i="71" s="1"/>
  <c r="AL145" i="71" s="1"/>
  <c r="AL190" i="71" s="1"/>
  <c r="AL56" i="71"/>
  <c r="AL101" i="71" s="1"/>
  <c r="AL146" i="71" s="1"/>
  <c r="AL191" i="71" s="1"/>
  <c r="AL57" i="71"/>
  <c r="AL102" i="71" s="1"/>
  <c r="AL147" i="71" s="1"/>
  <c r="AL192" i="71" s="1"/>
  <c r="AL58" i="71"/>
  <c r="AL103" i="71" s="1"/>
  <c r="AL148" i="71" s="1"/>
  <c r="AL193" i="71" s="1"/>
  <c r="AL59" i="71"/>
  <c r="AL104" i="71" s="1"/>
  <c r="AL149" i="71" s="1"/>
  <c r="AL194" i="71" s="1"/>
  <c r="AL60" i="71"/>
  <c r="AL105" i="71" s="1"/>
  <c r="AL150" i="71" s="1"/>
  <c r="AL195" i="71" s="1"/>
  <c r="AL61" i="71"/>
  <c r="AL106" i="71" s="1"/>
  <c r="AL151" i="71" s="1"/>
  <c r="AL196" i="71" s="1"/>
  <c r="AL62" i="71"/>
  <c r="AL107" i="71" s="1"/>
  <c r="AL152" i="71" s="1"/>
  <c r="AL197" i="71" s="1"/>
  <c r="AL63" i="71"/>
  <c r="AL108" i="71" s="1"/>
  <c r="AL153" i="71" s="1"/>
  <c r="AL198" i="71" s="1"/>
  <c r="AL64" i="71"/>
  <c r="AL109" i="71" s="1"/>
  <c r="AL154" i="71" s="1"/>
  <c r="AL199" i="71" s="1"/>
  <c r="AL65" i="71"/>
  <c r="AL110" i="71" s="1"/>
  <c r="AL155" i="71" s="1"/>
  <c r="AL200" i="71" s="1"/>
  <c r="AL50" i="71"/>
  <c r="AL95" i="71" s="1"/>
  <c r="AL140" i="71" s="1"/>
  <c r="AL185" i="71" s="1"/>
  <c r="K8" i="94"/>
  <c r="J8" i="94"/>
  <c r="AU63" i="68"/>
  <c r="AU108" i="68" s="1"/>
  <c r="AU153" i="68" s="1"/>
  <c r="AU198" i="68" s="1"/>
  <c r="AV63" i="68"/>
  <c r="AV108" i="68" s="1"/>
  <c r="AV153" i="68" s="1"/>
  <c r="AV198" i="68" s="1"/>
  <c r="AW63" i="68"/>
  <c r="AW108" i="68" s="1"/>
  <c r="AW153" i="68" s="1"/>
  <c r="AW198" i="68" s="1"/>
  <c r="AX63" i="68"/>
  <c r="AX108" i="68" s="1"/>
  <c r="AX153" i="68" s="1"/>
  <c r="AX198" i="68" s="1"/>
  <c r="AY63" i="68"/>
  <c r="AY108" i="68" s="1"/>
  <c r="AY153" i="68" s="1"/>
  <c r="AY198" i="68" s="1"/>
  <c r="AU64" i="68"/>
  <c r="AU109" i="68" s="1"/>
  <c r="AU154" i="68" s="1"/>
  <c r="AU199" i="68" s="1"/>
  <c r="AV64" i="68"/>
  <c r="AV109" i="68" s="1"/>
  <c r="AV154" i="68" s="1"/>
  <c r="AV199" i="68" s="1"/>
  <c r="AW64" i="68"/>
  <c r="AW109" i="68" s="1"/>
  <c r="AW154" i="68" s="1"/>
  <c r="AW199" i="68" s="1"/>
  <c r="AX64" i="68"/>
  <c r="AX109" i="68" s="1"/>
  <c r="AX154" i="68" s="1"/>
  <c r="AX199" i="68" s="1"/>
  <c r="AY64" i="68"/>
  <c r="AY109" i="68" s="1"/>
  <c r="AY154" i="68" s="1"/>
  <c r="AY199" i="68" s="1"/>
  <c r="AU65" i="68"/>
  <c r="AU110" i="68" s="1"/>
  <c r="AU155" i="68" s="1"/>
  <c r="AU200" i="68" s="1"/>
  <c r="AV65" i="68"/>
  <c r="AV110" i="68" s="1"/>
  <c r="AV155" i="68" s="1"/>
  <c r="AV200" i="68" s="1"/>
  <c r="AW65" i="68"/>
  <c r="AW110" i="68" s="1"/>
  <c r="AW155" i="68" s="1"/>
  <c r="AW200" i="68" s="1"/>
  <c r="AX65" i="68"/>
  <c r="AX110" i="68" s="1"/>
  <c r="AX155" i="68" s="1"/>
  <c r="AX200" i="68" s="1"/>
  <c r="AY65" i="68"/>
  <c r="AY110" i="68" s="1"/>
  <c r="AY155" i="68" s="1"/>
  <c r="AY200" i="68" s="1"/>
  <c r="AU66" i="68"/>
  <c r="AU111" i="68" s="1"/>
  <c r="AU156" i="68" s="1"/>
  <c r="AU201" i="68" s="1"/>
  <c r="AV66" i="68"/>
  <c r="AV111" i="68" s="1"/>
  <c r="AV156" i="68" s="1"/>
  <c r="AV201" i="68" s="1"/>
  <c r="AW66" i="68"/>
  <c r="AW111" i="68" s="1"/>
  <c r="AW156" i="68" s="1"/>
  <c r="AW201" i="68" s="1"/>
  <c r="AX66" i="68"/>
  <c r="AX111" i="68" s="1"/>
  <c r="AX156" i="68" s="1"/>
  <c r="AX201" i="68" s="1"/>
  <c r="AY66" i="68"/>
  <c r="AY111" i="68" s="1"/>
  <c r="AY156" i="68" s="1"/>
  <c r="AY201" i="68" s="1"/>
  <c r="AU67" i="68"/>
  <c r="AU112" i="68" s="1"/>
  <c r="AU157" i="68" s="1"/>
  <c r="AU202" i="68" s="1"/>
  <c r="AV67" i="68"/>
  <c r="AV112" i="68" s="1"/>
  <c r="AV157" i="68" s="1"/>
  <c r="AV202" i="68" s="1"/>
  <c r="AW67" i="68"/>
  <c r="AW112" i="68" s="1"/>
  <c r="AW157" i="68" s="1"/>
  <c r="AW202" i="68" s="1"/>
  <c r="AX67" i="68"/>
  <c r="AX112" i="68" s="1"/>
  <c r="AX157" i="68" s="1"/>
  <c r="AX202" i="68" s="1"/>
  <c r="AY67" i="68"/>
  <c r="AY112" i="68" s="1"/>
  <c r="AY157" i="68" s="1"/>
  <c r="AY202" i="68" s="1"/>
  <c r="AU68" i="68"/>
  <c r="AU113" i="68" s="1"/>
  <c r="AU158" i="68" s="1"/>
  <c r="AU203" i="68" s="1"/>
  <c r="AV68" i="68"/>
  <c r="AV113" i="68" s="1"/>
  <c r="AV158" i="68" s="1"/>
  <c r="AV203" i="68" s="1"/>
  <c r="AW68" i="68"/>
  <c r="AW113" i="68" s="1"/>
  <c r="AW158" i="68" s="1"/>
  <c r="AW203" i="68" s="1"/>
  <c r="AX68" i="68"/>
  <c r="AX113" i="68" s="1"/>
  <c r="AX158" i="68" s="1"/>
  <c r="AX203" i="68" s="1"/>
  <c r="AY68" i="68"/>
  <c r="AY113" i="68" s="1"/>
  <c r="AY158" i="68" s="1"/>
  <c r="AY203" i="68" s="1"/>
  <c r="AU69" i="68"/>
  <c r="AU114" i="68" s="1"/>
  <c r="AU159" i="68" s="1"/>
  <c r="AU204" i="68" s="1"/>
  <c r="AV69" i="68"/>
  <c r="AV114" i="68" s="1"/>
  <c r="AV159" i="68" s="1"/>
  <c r="AV204" i="68" s="1"/>
  <c r="AW69" i="68"/>
  <c r="AW114" i="68" s="1"/>
  <c r="AW159" i="68" s="1"/>
  <c r="AW204" i="68" s="1"/>
  <c r="AX69" i="68"/>
  <c r="AX114" i="68" s="1"/>
  <c r="AX159" i="68" s="1"/>
  <c r="AX204" i="68" s="1"/>
  <c r="AY69" i="68"/>
  <c r="AY114" i="68" s="1"/>
  <c r="AY159" i="68" s="1"/>
  <c r="AY204" i="68" s="1"/>
  <c r="AU70" i="68"/>
  <c r="AU115" i="68" s="1"/>
  <c r="AU160" i="68" s="1"/>
  <c r="AU205" i="68" s="1"/>
  <c r="AV70" i="68"/>
  <c r="AV115" i="68" s="1"/>
  <c r="AV160" i="68" s="1"/>
  <c r="AV205" i="68" s="1"/>
  <c r="AW70" i="68"/>
  <c r="AW115" i="68" s="1"/>
  <c r="AW160" i="68" s="1"/>
  <c r="AW205" i="68" s="1"/>
  <c r="AX70" i="68"/>
  <c r="AX115" i="68" s="1"/>
  <c r="AX160" i="68" s="1"/>
  <c r="AX205" i="68" s="1"/>
  <c r="AY70" i="68"/>
  <c r="AY115" i="68" s="1"/>
  <c r="AY160" i="68" s="1"/>
  <c r="AY205" i="68" s="1"/>
  <c r="AU71" i="68"/>
  <c r="AU116" i="68" s="1"/>
  <c r="AU161" i="68" s="1"/>
  <c r="AU206" i="68" s="1"/>
  <c r="AV71" i="68"/>
  <c r="AV116" i="68" s="1"/>
  <c r="AV161" i="68" s="1"/>
  <c r="AV206" i="68" s="1"/>
  <c r="AW71" i="68"/>
  <c r="AW116" i="68" s="1"/>
  <c r="AW161" i="68" s="1"/>
  <c r="AW206" i="68" s="1"/>
  <c r="AX71" i="68"/>
  <c r="AX116" i="68" s="1"/>
  <c r="AX161" i="68" s="1"/>
  <c r="AX206" i="68" s="1"/>
  <c r="AY71" i="68"/>
  <c r="AY116" i="68" s="1"/>
  <c r="AY161" i="68" s="1"/>
  <c r="AY206" i="68" s="1"/>
  <c r="AU72" i="68"/>
  <c r="AU117" i="68" s="1"/>
  <c r="AU162" i="68" s="1"/>
  <c r="AU207" i="68" s="1"/>
  <c r="AV72" i="68"/>
  <c r="AV117" i="68" s="1"/>
  <c r="AV162" i="68" s="1"/>
  <c r="AV207" i="68" s="1"/>
  <c r="AW72" i="68"/>
  <c r="AW117" i="68" s="1"/>
  <c r="AW162" i="68" s="1"/>
  <c r="AW207" i="68" s="1"/>
  <c r="AX72" i="68"/>
  <c r="AX117" i="68" s="1"/>
  <c r="AX162" i="68" s="1"/>
  <c r="AX207" i="68" s="1"/>
  <c r="AY72" i="68"/>
  <c r="AY117" i="68" s="1"/>
  <c r="AY162" i="68" s="1"/>
  <c r="AY207" i="68" s="1"/>
  <c r="AU73" i="68"/>
  <c r="AU118" i="68" s="1"/>
  <c r="AU163" i="68" s="1"/>
  <c r="AU208" i="68" s="1"/>
  <c r="AV73" i="68"/>
  <c r="AV118" i="68" s="1"/>
  <c r="AV163" i="68" s="1"/>
  <c r="AV208" i="68" s="1"/>
  <c r="AW73" i="68"/>
  <c r="AW118" i="68" s="1"/>
  <c r="AW163" i="68" s="1"/>
  <c r="AW208" i="68" s="1"/>
  <c r="AX73" i="68"/>
  <c r="AX118" i="68" s="1"/>
  <c r="AX163" i="68" s="1"/>
  <c r="AX208" i="68" s="1"/>
  <c r="AY73" i="68"/>
  <c r="AY118" i="68" s="1"/>
  <c r="AY163" i="68" s="1"/>
  <c r="AY208" i="68" s="1"/>
  <c r="AU74" i="68"/>
  <c r="AU119" i="68" s="1"/>
  <c r="AU164" i="68" s="1"/>
  <c r="AU209" i="68" s="1"/>
  <c r="AV74" i="68"/>
  <c r="AV119" i="68" s="1"/>
  <c r="AV164" i="68" s="1"/>
  <c r="AV209" i="68" s="1"/>
  <c r="AW74" i="68"/>
  <c r="AW119" i="68" s="1"/>
  <c r="AW164" i="68" s="1"/>
  <c r="AW209" i="68" s="1"/>
  <c r="AX74" i="68"/>
  <c r="AX119" i="68" s="1"/>
  <c r="AX164" i="68" s="1"/>
  <c r="AX209" i="68" s="1"/>
  <c r="AY74" i="68"/>
  <c r="AY119" i="68" s="1"/>
  <c r="AY164" i="68" s="1"/>
  <c r="AY209" i="68" s="1"/>
  <c r="AU75" i="68"/>
  <c r="AU120" i="68" s="1"/>
  <c r="AU165" i="68" s="1"/>
  <c r="AU210" i="68" s="1"/>
  <c r="AV75" i="68"/>
  <c r="AV120" i="68" s="1"/>
  <c r="AV165" i="68" s="1"/>
  <c r="AV210" i="68" s="1"/>
  <c r="AW75" i="68"/>
  <c r="AW120" i="68" s="1"/>
  <c r="AW165" i="68" s="1"/>
  <c r="AW210" i="68" s="1"/>
  <c r="AX75" i="68"/>
  <c r="AX120" i="68" s="1"/>
  <c r="AX165" i="68" s="1"/>
  <c r="AX210" i="68" s="1"/>
  <c r="AY75" i="68"/>
  <c r="AY120" i="68" s="1"/>
  <c r="AY165" i="68" s="1"/>
  <c r="AY210" i="68" s="1"/>
  <c r="AU76" i="68"/>
  <c r="AU121" i="68" s="1"/>
  <c r="AU166" i="68" s="1"/>
  <c r="AU211" i="68" s="1"/>
  <c r="AV76" i="68"/>
  <c r="AV121" i="68" s="1"/>
  <c r="AV166" i="68" s="1"/>
  <c r="AV211" i="68" s="1"/>
  <c r="AW76" i="68"/>
  <c r="AW121" i="68" s="1"/>
  <c r="AW166" i="68" s="1"/>
  <c r="AW211" i="68" s="1"/>
  <c r="AX76" i="68"/>
  <c r="AX121" i="68" s="1"/>
  <c r="AX166" i="68" s="1"/>
  <c r="AX211" i="68" s="1"/>
  <c r="AY76" i="68"/>
  <c r="AY121" i="68" s="1"/>
  <c r="AY166" i="68" s="1"/>
  <c r="AY211" i="68" s="1"/>
  <c r="AU77" i="68"/>
  <c r="AU122" i="68" s="1"/>
  <c r="AU167" i="68" s="1"/>
  <c r="AU212" i="68" s="1"/>
  <c r="AV77" i="68"/>
  <c r="AV122" i="68" s="1"/>
  <c r="AV167" i="68" s="1"/>
  <c r="AV212" i="68" s="1"/>
  <c r="AW77" i="68"/>
  <c r="AW122" i="68" s="1"/>
  <c r="AW167" i="68" s="1"/>
  <c r="AW212" i="68" s="1"/>
  <c r="AX77" i="68"/>
  <c r="AX122" i="68" s="1"/>
  <c r="AX167" i="68" s="1"/>
  <c r="AX212" i="68" s="1"/>
  <c r="AY77" i="68"/>
  <c r="AY122" i="68" s="1"/>
  <c r="AY167" i="68" s="1"/>
  <c r="AY212" i="68" s="1"/>
  <c r="AV62" i="68"/>
  <c r="AV107" i="68" s="1"/>
  <c r="AV152" i="68" s="1"/>
  <c r="AV197" i="68" s="1"/>
  <c r="AW62" i="68"/>
  <c r="AW107" i="68" s="1"/>
  <c r="AW152" i="68" s="1"/>
  <c r="AW197" i="68" s="1"/>
  <c r="AX62" i="68"/>
  <c r="AX107" i="68" s="1"/>
  <c r="AX152" i="68" s="1"/>
  <c r="AX197" i="68" s="1"/>
  <c r="AY62" i="68"/>
  <c r="AY107" i="68" s="1"/>
  <c r="AY152" i="68" s="1"/>
  <c r="AY197" i="68" s="1"/>
  <c r="AU62" i="68"/>
  <c r="AU107" i="68" s="1"/>
  <c r="AU152" i="68" s="1"/>
  <c r="AU197" i="68" s="1"/>
  <c r="AT63" i="68"/>
  <c r="AT108" i="68" s="1"/>
  <c r="AT153" i="68" s="1"/>
  <c r="AT198" i="68" s="1"/>
  <c r="AT64" i="68"/>
  <c r="AT109" i="68" s="1"/>
  <c r="AT154" i="68" s="1"/>
  <c r="AT199" i="68" s="1"/>
  <c r="AT65" i="68"/>
  <c r="AT110" i="68" s="1"/>
  <c r="AT155" i="68" s="1"/>
  <c r="AT200" i="68" s="1"/>
  <c r="AT66" i="68"/>
  <c r="AT111" i="68" s="1"/>
  <c r="AT156" i="68" s="1"/>
  <c r="AT201" i="68" s="1"/>
  <c r="AT67" i="68"/>
  <c r="AT112" i="68" s="1"/>
  <c r="AT157" i="68" s="1"/>
  <c r="AT202" i="68" s="1"/>
  <c r="AT68" i="68"/>
  <c r="AT113" i="68" s="1"/>
  <c r="AT158" i="68" s="1"/>
  <c r="AT203" i="68" s="1"/>
  <c r="AT69" i="68"/>
  <c r="AT114" i="68" s="1"/>
  <c r="AT159" i="68" s="1"/>
  <c r="AT204" i="68" s="1"/>
  <c r="AT70" i="68"/>
  <c r="AT115" i="68" s="1"/>
  <c r="AT160" i="68" s="1"/>
  <c r="AT205" i="68" s="1"/>
  <c r="AT71" i="68"/>
  <c r="AT116" i="68" s="1"/>
  <c r="AT161" i="68" s="1"/>
  <c r="AT206" i="68" s="1"/>
  <c r="AT72" i="68"/>
  <c r="AT117" i="68" s="1"/>
  <c r="AT162" i="68" s="1"/>
  <c r="AT207" i="68" s="1"/>
  <c r="AT73" i="68"/>
  <c r="AT118" i="68" s="1"/>
  <c r="AT163" i="68" s="1"/>
  <c r="AT208" i="68" s="1"/>
  <c r="AT74" i="68"/>
  <c r="AT119" i="68" s="1"/>
  <c r="AT164" i="68" s="1"/>
  <c r="AT209" i="68" s="1"/>
  <c r="AT75" i="68"/>
  <c r="AT120" i="68" s="1"/>
  <c r="AT165" i="68" s="1"/>
  <c r="AT210" i="68" s="1"/>
  <c r="AT76" i="68"/>
  <c r="AT121" i="68" s="1"/>
  <c r="AT166" i="68" s="1"/>
  <c r="AT211" i="68" s="1"/>
  <c r="AT77" i="68"/>
  <c r="AT122" i="68" s="1"/>
  <c r="AT167" i="68" s="1"/>
  <c r="AT212" i="68" s="1"/>
  <c r="AT62" i="68"/>
  <c r="N7" i="84"/>
  <c r="D5" i="70"/>
  <c r="W54" i="50"/>
  <c r="W39" i="50"/>
  <c r="X39" i="50" s="1"/>
  <c r="W20" i="50"/>
  <c r="W38" i="50"/>
  <c r="X38" i="50" s="1"/>
  <c r="W19" i="50"/>
  <c r="W53" i="50"/>
  <c r="W37" i="50"/>
  <c r="X37" i="50" s="1"/>
  <c r="W68" i="50"/>
  <c r="W80" i="50"/>
  <c r="W67" i="50"/>
  <c r="W52" i="50"/>
  <c r="W79" i="50"/>
  <c r="W66" i="50"/>
  <c r="R13" i="51"/>
  <c r="W33" i="50"/>
  <c r="X33" i="50" s="1"/>
  <c r="W78" i="50"/>
  <c r="W65" i="50"/>
  <c r="W50" i="50"/>
  <c r="W49" i="50"/>
  <c r="W32" i="50"/>
  <c r="X32" i="50" s="1"/>
  <c r="W13" i="50"/>
  <c r="R12" i="51"/>
  <c r="W48" i="50"/>
  <c r="W63" i="50"/>
  <c r="W76" i="50"/>
  <c r="R11" i="51"/>
  <c r="W62" i="50"/>
  <c r="W31" i="50"/>
  <c r="X31" i="50" s="1"/>
  <c r="W75" i="50"/>
  <c r="W61" i="50"/>
  <c r="W46" i="50"/>
  <c r="W30" i="50"/>
  <c r="X30" i="50" s="1"/>
  <c r="W60" i="50"/>
  <c r="W74" i="50"/>
  <c r="W45" i="50"/>
  <c r="W59" i="50"/>
  <c r="W73" i="50"/>
  <c r="W28" i="50"/>
  <c r="X28" i="50" s="1"/>
  <c r="W44" i="50"/>
  <c r="W7" i="50"/>
  <c r="X7" i="50" s="1"/>
  <c r="AX4" i="18"/>
  <c r="AW4" i="18"/>
  <c r="AV4" i="18"/>
  <c r="AU4" i="18"/>
  <c r="AT4" i="18"/>
  <c r="AD4" i="18"/>
  <c r="AA4" i="18"/>
  <c r="Z4" i="18"/>
  <c r="Y4" i="18"/>
  <c r="X4" i="18"/>
  <c r="W4" i="18"/>
  <c r="T4" i="18"/>
  <c r="S4" i="18"/>
  <c r="R4" i="18"/>
  <c r="Q4" i="18"/>
  <c r="P4" i="18"/>
  <c r="AI8" i="70"/>
  <c r="G20" i="90"/>
  <c r="D63" i="71"/>
  <c r="E63" i="71"/>
  <c r="F63" i="71"/>
  <c r="G63" i="71"/>
  <c r="H63" i="71"/>
  <c r="I19" i="90"/>
  <c r="I20" i="90"/>
  <c r="I21" i="90"/>
  <c r="I22" i="90"/>
  <c r="I23" i="90"/>
  <c r="I24" i="90"/>
  <c r="I25" i="90"/>
  <c r="I15" i="90"/>
  <c r="I16" i="90"/>
  <c r="I17" i="90"/>
  <c r="H26" i="90"/>
  <c r="H25" i="90"/>
  <c r="H24" i="90"/>
  <c r="H23" i="90"/>
  <c r="C14" i="72"/>
  <c r="C23" i="72" s="1"/>
  <c r="C32" i="72" s="1"/>
  <c r="C41" i="72" s="1"/>
  <c r="C15" i="72"/>
  <c r="C24" i="72" s="1"/>
  <c r="C33" i="72" s="1"/>
  <c r="C42" i="72" s="1"/>
  <c r="C16" i="72"/>
  <c r="C25" i="72" s="1"/>
  <c r="C34" i="72" s="1"/>
  <c r="C43" i="72" s="1"/>
  <c r="C17" i="72"/>
  <c r="C26" i="72" s="1"/>
  <c r="C35" i="72" s="1"/>
  <c r="C44" i="72" s="1"/>
  <c r="C18" i="72"/>
  <c r="C27" i="72" s="1"/>
  <c r="C36" i="72" s="1"/>
  <c r="C45" i="72" s="1"/>
  <c r="C13" i="72"/>
  <c r="C22" i="72" s="1"/>
  <c r="C31" i="72" s="1"/>
  <c r="C40" i="72" s="1"/>
  <c r="Q32" i="68"/>
  <c r="P32" i="68"/>
  <c r="T19" i="72" s="1"/>
  <c r="Q31" i="68"/>
  <c r="O18" i="72" s="1"/>
  <c r="P21" i="84" s="1"/>
  <c r="P31" i="68"/>
  <c r="T18" i="72" s="1"/>
  <c r="Q30" i="68"/>
  <c r="O17" i="72" s="1"/>
  <c r="P20" i="84" s="1"/>
  <c r="P30" i="68"/>
  <c r="T17" i="72" s="1"/>
  <c r="Q29" i="68"/>
  <c r="U16" i="72" s="1"/>
  <c r="P29" i="68"/>
  <c r="T16" i="72" s="1"/>
  <c r="Q28" i="68"/>
  <c r="O15" i="72" s="1"/>
  <c r="P18" i="84" s="1"/>
  <c r="P28" i="68"/>
  <c r="T15" i="72" s="1"/>
  <c r="Q27" i="68"/>
  <c r="U14" i="72" s="1"/>
  <c r="P27" i="68"/>
  <c r="T14" i="72" s="1"/>
  <c r="Q26" i="68"/>
  <c r="P26" i="68"/>
  <c r="T13" i="72" s="1"/>
  <c r="Q25" i="68"/>
  <c r="O12" i="72" s="1"/>
  <c r="P15" i="84" s="1"/>
  <c r="P25" i="68"/>
  <c r="T12" i="72" s="1"/>
  <c r="Q24" i="68"/>
  <c r="U11" i="72" s="1"/>
  <c r="P24" i="68"/>
  <c r="T11" i="72" s="1"/>
  <c r="Q23" i="68"/>
  <c r="O10" i="72" s="1"/>
  <c r="P13" i="84" s="1"/>
  <c r="P23" i="68"/>
  <c r="T10" i="72" s="1"/>
  <c r="Q22" i="68"/>
  <c r="U9" i="72" s="1"/>
  <c r="P22" i="68"/>
  <c r="T9" i="72" s="1"/>
  <c r="Q21" i="68"/>
  <c r="O8" i="72" s="1"/>
  <c r="P11" i="84" s="1"/>
  <c r="P21" i="68"/>
  <c r="T8" i="72" s="1"/>
  <c r="Q20" i="68"/>
  <c r="P20" i="68"/>
  <c r="T7" i="72" s="1"/>
  <c r="Q19" i="68"/>
  <c r="O6" i="72" s="1"/>
  <c r="P9" i="84" s="1"/>
  <c r="P19" i="68"/>
  <c r="T6" i="72" s="1"/>
  <c r="Q18" i="68"/>
  <c r="U5" i="72" s="1"/>
  <c r="P18" i="68"/>
  <c r="T5" i="72" s="1"/>
  <c r="Q17" i="68"/>
  <c r="U4" i="72" s="1"/>
  <c r="P17" i="68"/>
  <c r="T4" i="72" s="1"/>
  <c r="Q77" i="68"/>
  <c r="P77" i="68"/>
  <c r="T64" i="72" s="1"/>
  <c r="Q76" i="68"/>
  <c r="P76" i="68"/>
  <c r="T63" i="72" s="1"/>
  <c r="Q75" i="68"/>
  <c r="O62" i="72" s="1"/>
  <c r="P65" i="84" s="1"/>
  <c r="P75" i="68"/>
  <c r="T62" i="72" s="1"/>
  <c r="Q74" i="68"/>
  <c r="U61" i="72" s="1"/>
  <c r="P74" i="68"/>
  <c r="T61" i="72" s="1"/>
  <c r="Q73" i="68"/>
  <c r="U60" i="72" s="1"/>
  <c r="P73" i="68"/>
  <c r="T60" i="72" s="1"/>
  <c r="Q72" i="68"/>
  <c r="O59" i="72" s="1"/>
  <c r="P62" i="84" s="1"/>
  <c r="P72" i="68"/>
  <c r="T59" i="72" s="1"/>
  <c r="Q71" i="68"/>
  <c r="P71" i="68"/>
  <c r="T58" i="72" s="1"/>
  <c r="Q70" i="68"/>
  <c r="P70" i="68"/>
  <c r="T57" i="72" s="1"/>
  <c r="Q69" i="68"/>
  <c r="O56" i="72" s="1"/>
  <c r="P59" i="84" s="1"/>
  <c r="P69" i="68"/>
  <c r="T56" i="72" s="1"/>
  <c r="Q68" i="68"/>
  <c r="U55" i="72" s="1"/>
  <c r="P68" i="68"/>
  <c r="T55" i="72" s="1"/>
  <c r="Q67" i="68"/>
  <c r="O54" i="72" s="1"/>
  <c r="P57" i="84" s="1"/>
  <c r="P67" i="68"/>
  <c r="T54" i="72" s="1"/>
  <c r="Q66" i="68"/>
  <c r="U53" i="72" s="1"/>
  <c r="P66" i="68"/>
  <c r="T53" i="72" s="1"/>
  <c r="Q65" i="68"/>
  <c r="P65" i="68"/>
  <c r="T52" i="72" s="1"/>
  <c r="Q64" i="68"/>
  <c r="O51" i="72" s="1"/>
  <c r="P54" i="84" s="1"/>
  <c r="P64" i="68"/>
  <c r="T51" i="72" s="1"/>
  <c r="Q63" i="68"/>
  <c r="O50" i="72" s="1"/>
  <c r="P53" i="84" s="1"/>
  <c r="P63" i="68"/>
  <c r="T50" i="72" s="1"/>
  <c r="Q62" i="68"/>
  <c r="O49" i="72" s="1"/>
  <c r="P52" i="84" s="1"/>
  <c r="P62" i="68"/>
  <c r="T49" i="72" s="1"/>
  <c r="Q122" i="68"/>
  <c r="O109" i="72" s="1"/>
  <c r="P112" i="84" s="1"/>
  <c r="P122" i="68"/>
  <c r="Q121" i="68"/>
  <c r="U108" i="72" s="1"/>
  <c r="P121" i="68"/>
  <c r="T108" i="72" s="1"/>
  <c r="Q120" i="68"/>
  <c r="P120" i="68"/>
  <c r="T107" i="72" s="1"/>
  <c r="Q119" i="68"/>
  <c r="U106" i="72" s="1"/>
  <c r="P119" i="68"/>
  <c r="Q118" i="68"/>
  <c r="U105" i="72" s="1"/>
  <c r="P118" i="68"/>
  <c r="T105" i="72" s="1"/>
  <c r="Q117" i="68"/>
  <c r="O104" i="72" s="1"/>
  <c r="P107" i="84" s="1"/>
  <c r="P117" i="68"/>
  <c r="T104" i="72" s="1"/>
  <c r="Q116" i="68"/>
  <c r="U103" i="72" s="1"/>
  <c r="P116" i="68"/>
  <c r="Q115" i="68"/>
  <c r="U102" i="72" s="1"/>
  <c r="P115" i="68"/>
  <c r="T102" i="72" s="1"/>
  <c r="Q114" i="68"/>
  <c r="P114" i="68"/>
  <c r="T101" i="72" s="1"/>
  <c r="Q113" i="68"/>
  <c r="U100" i="72" s="1"/>
  <c r="P113" i="68"/>
  <c r="T100" i="72" s="1"/>
  <c r="Q112" i="68"/>
  <c r="U99" i="72" s="1"/>
  <c r="P112" i="68"/>
  <c r="T99" i="72" s="1"/>
  <c r="Q111" i="68"/>
  <c r="U98" i="72" s="1"/>
  <c r="P111" i="68"/>
  <c r="T98" i="72" s="1"/>
  <c r="Q110" i="68"/>
  <c r="U97" i="72" s="1"/>
  <c r="P110" i="68"/>
  <c r="T97" i="72" s="1"/>
  <c r="Q109" i="68"/>
  <c r="U96" i="72" s="1"/>
  <c r="P109" i="68"/>
  <c r="T96" i="72" s="1"/>
  <c r="Q108" i="68"/>
  <c r="P108" i="68"/>
  <c r="T95" i="72" s="1"/>
  <c r="Q107" i="68"/>
  <c r="O94" i="72" s="1"/>
  <c r="P97" i="84" s="1"/>
  <c r="P107" i="68"/>
  <c r="Q212" i="68"/>
  <c r="U199" i="72" s="1"/>
  <c r="P212" i="68"/>
  <c r="T199" i="72" s="1"/>
  <c r="Q211" i="68"/>
  <c r="O198" i="72" s="1"/>
  <c r="P201" i="84" s="1"/>
  <c r="P211" i="68"/>
  <c r="T198" i="72" s="1"/>
  <c r="Q210" i="68"/>
  <c r="P210" i="68"/>
  <c r="T197" i="72" s="1"/>
  <c r="Q209" i="68"/>
  <c r="U196" i="72" s="1"/>
  <c r="P209" i="68"/>
  <c r="T196" i="72" s="1"/>
  <c r="Q208" i="68"/>
  <c r="U195" i="72" s="1"/>
  <c r="P208" i="68"/>
  <c r="T195" i="72" s="1"/>
  <c r="Q207" i="68"/>
  <c r="O194" i="72" s="1"/>
  <c r="P197" i="84" s="1"/>
  <c r="P207" i="68"/>
  <c r="T194" i="72" s="1"/>
  <c r="Q206" i="68"/>
  <c r="O193" i="72" s="1"/>
  <c r="P196" i="84" s="1"/>
  <c r="P206" i="68"/>
  <c r="T193" i="72" s="1"/>
  <c r="Q205" i="68"/>
  <c r="O192" i="72" s="1"/>
  <c r="P195" i="84" s="1"/>
  <c r="P205" i="68"/>
  <c r="T192" i="72" s="1"/>
  <c r="Q204" i="68"/>
  <c r="O191" i="72" s="1"/>
  <c r="P194" i="84" s="1"/>
  <c r="P204" i="68"/>
  <c r="T191" i="72" s="1"/>
  <c r="Q203" i="68"/>
  <c r="P203" i="68"/>
  <c r="T190" i="72" s="1"/>
  <c r="Q202" i="68"/>
  <c r="U189" i="72" s="1"/>
  <c r="P202" i="68"/>
  <c r="T189" i="72" s="1"/>
  <c r="Q201" i="68"/>
  <c r="U188" i="72" s="1"/>
  <c r="P201" i="68"/>
  <c r="T188" i="72" s="1"/>
  <c r="Q200" i="68"/>
  <c r="U187" i="72" s="1"/>
  <c r="P200" i="68"/>
  <c r="T187" i="72" s="1"/>
  <c r="Q199" i="68"/>
  <c r="U186" i="72" s="1"/>
  <c r="P199" i="68"/>
  <c r="T186" i="72" s="1"/>
  <c r="Q198" i="68"/>
  <c r="U185" i="72" s="1"/>
  <c r="P198" i="68"/>
  <c r="T185" i="72" s="1"/>
  <c r="Q197" i="68"/>
  <c r="P197" i="68"/>
  <c r="T184" i="72" s="1"/>
  <c r="P153" i="68"/>
  <c r="T140" i="72" s="1"/>
  <c r="Q153" i="68"/>
  <c r="U140" i="72" s="1"/>
  <c r="P154" i="68"/>
  <c r="T141" i="72" s="1"/>
  <c r="Q154" i="68"/>
  <c r="U141" i="72" s="1"/>
  <c r="P155" i="68"/>
  <c r="T142" i="72" s="1"/>
  <c r="Q155" i="68"/>
  <c r="U142" i="72" s="1"/>
  <c r="P156" i="68"/>
  <c r="T143" i="72" s="1"/>
  <c r="Q156" i="68"/>
  <c r="O143" i="72" s="1"/>
  <c r="P146" i="84" s="1"/>
  <c r="P157" i="68"/>
  <c r="T144" i="72" s="1"/>
  <c r="Q157" i="68"/>
  <c r="O144" i="72" s="1"/>
  <c r="P147" i="84" s="1"/>
  <c r="P158" i="68"/>
  <c r="T145" i="72" s="1"/>
  <c r="Q158" i="68"/>
  <c r="U145" i="72" s="1"/>
  <c r="P159" i="68"/>
  <c r="T146" i="72" s="1"/>
  <c r="Q159" i="68"/>
  <c r="U146" i="72" s="1"/>
  <c r="P160" i="68"/>
  <c r="T147" i="72" s="1"/>
  <c r="Q160" i="68"/>
  <c r="O147" i="72" s="1"/>
  <c r="P150" i="84" s="1"/>
  <c r="P161" i="68"/>
  <c r="T148" i="72" s="1"/>
  <c r="Q161" i="68"/>
  <c r="O148" i="72" s="1"/>
  <c r="P151" i="84" s="1"/>
  <c r="P162" i="68"/>
  <c r="T149" i="72" s="1"/>
  <c r="Q162" i="68"/>
  <c r="O149" i="72" s="1"/>
  <c r="P152" i="84" s="1"/>
  <c r="P163" i="68"/>
  <c r="T150" i="72" s="1"/>
  <c r="Q163" i="68"/>
  <c r="O150" i="72" s="1"/>
  <c r="P153" i="84" s="1"/>
  <c r="P164" i="68"/>
  <c r="T151" i="72" s="1"/>
  <c r="Q164" i="68"/>
  <c r="O151" i="72" s="1"/>
  <c r="P154" i="84" s="1"/>
  <c r="P165" i="68"/>
  <c r="T152" i="72" s="1"/>
  <c r="Q165" i="68"/>
  <c r="O152" i="72" s="1"/>
  <c r="P155" i="84" s="1"/>
  <c r="P166" i="68"/>
  <c r="T153" i="72" s="1"/>
  <c r="Q166" i="68"/>
  <c r="U153" i="72" s="1"/>
  <c r="P167" i="68"/>
  <c r="T154" i="72" s="1"/>
  <c r="Q167" i="68"/>
  <c r="U154" i="72" s="1"/>
  <c r="Q152" i="68"/>
  <c r="O139" i="72" s="1"/>
  <c r="P142" i="84" s="1"/>
  <c r="P152" i="68"/>
  <c r="T139" i="72" s="1"/>
  <c r="AI34" i="89"/>
  <c r="AI35" i="89"/>
  <c r="AI36" i="89"/>
  <c r="E13" i="71"/>
  <c r="F13" i="71"/>
  <c r="G13" i="71"/>
  <c r="H13" i="71"/>
  <c r="I13" i="71"/>
  <c r="D13" i="71"/>
  <c r="H47" i="70"/>
  <c r="I46" i="70"/>
  <c r="J46" i="70" s="1"/>
  <c r="H44" i="70"/>
  <c r="I43" i="70"/>
  <c r="AD107" i="68"/>
  <c r="AD17" i="68"/>
  <c r="AD62" i="68"/>
  <c r="U201" i="84"/>
  <c r="V200" i="84"/>
  <c r="AE204" i="90" s="1"/>
  <c r="V198" i="84"/>
  <c r="AE202" i="90" s="1"/>
  <c r="U198" i="84"/>
  <c r="V197" i="84"/>
  <c r="AE201" i="90" s="1"/>
  <c r="V195" i="84"/>
  <c r="AE199" i="90" s="1"/>
  <c r="U195" i="84"/>
  <c r="V194" i="84"/>
  <c r="AE198" i="90" s="1"/>
  <c r="U193" i="84"/>
  <c r="U192" i="84"/>
  <c r="V191" i="84"/>
  <c r="AE195" i="90" s="1"/>
  <c r="V190" i="84"/>
  <c r="AE194" i="90" s="1"/>
  <c r="U189" i="84"/>
  <c r="V188" i="84"/>
  <c r="AE192" i="90" s="1"/>
  <c r="V187" i="84"/>
  <c r="AE191" i="90" s="1"/>
  <c r="V157" i="84"/>
  <c r="AE161" i="90" s="1"/>
  <c r="U155" i="84"/>
  <c r="V154" i="84"/>
  <c r="AE158" i="90" s="1"/>
  <c r="V153" i="84"/>
  <c r="AE157" i="90" s="1"/>
  <c r="U152" i="84"/>
  <c r="V151" i="84"/>
  <c r="AE155" i="90" s="1"/>
  <c r="V150" i="84"/>
  <c r="AE154" i="90" s="1"/>
  <c r="U149" i="84"/>
  <c r="V148" i="84"/>
  <c r="AE152" i="90" s="1"/>
  <c r="U148" i="84"/>
  <c r="U146" i="84"/>
  <c r="V145" i="84"/>
  <c r="AE149" i="90" s="1"/>
  <c r="U144" i="84"/>
  <c r="U143" i="84"/>
  <c r="V142" i="84"/>
  <c r="AE146" i="90" s="1"/>
  <c r="U142" i="84"/>
  <c r="V112" i="84"/>
  <c r="AE116" i="90" s="1"/>
  <c r="U112" i="84"/>
  <c r="V111" i="84"/>
  <c r="AE115" i="90" s="1"/>
  <c r="U109" i="84"/>
  <c r="V108" i="84"/>
  <c r="AE112" i="90" s="1"/>
  <c r="U108" i="84"/>
  <c r="V107" i="84"/>
  <c r="AE111" i="90" s="1"/>
  <c r="U106" i="84"/>
  <c r="V105" i="84"/>
  <c r="AE109" i="90" s="1"/>
  <c r="V104" i="84"/>
  <c r="AE108" i="90" s="1"/>
  <c r="V103" i="84"/>
  <c r="AE107" i="90" s="1"/>
  <c r="U103" i="84"/>
  <c r="V102" i="84"/>
  <c r="AE106" i="90" s="1"/>
  <c r="V100" i="84"/>
  <c r="AE104" i="90" s="1"/>
  <c r="U100" i="84"/>
  <c r="V99" i="84"/>
  <c r="AE103" i="90" s="1"/>
  <c r="V98" i="84"/>
  <c r="AE102" i="90" s="1"/>
  <c r="V97" i="84"/>
  <c r="AE101" i="90" s="1"/>
  <c r="U97" i="84"/>
  <c r="V66" i="84"/>
  <c r="AE70" i="90" s="1"/>
  <c r="U65" i="84"/>
  <c r="V63" i="84"/>
  <c r="AE67" i="90" s="1"/>
  <c r="U63" i="84"/>
  <c r="V62" i="84"/>
  <c r="AE66" i="90" s="1"/>
  <c r="U62" i="84"/>
  <c r="U60" i="84"/>
  <c r="V59" i="84"/>
  <c r="AE63" i="90" s="1"/>
  <c r="U59" i="84"/>
  <c r="V57" i="84"/>
  <c r="AE61" i="90" s="1"/>
  <c r="U57" i="84"/>
  <c r="V56" i="84"/>
  <c r="AE60" i="90" s="1"/>
  <c r="U56" i="84"/>
  <c r="V54" i="84"/>
  <c r="AE58" i="90" s="1"/>
  <c r="U54" i="84"/>
  <c r="V53" i="84"/>
  <c r="AE57" i="90" s="1"/>
  <c r="U53" i="84"/>
  <c r="I30" i="71"/>
  <c r="H30" i="71"/>
  <c r="G30" i="71"/>
  <c r="F30" i="71"/>
  <c r="E30" i="71"/>
  <c r="D30" i="71"/>
  <c r="E22" i="71"/>
  <c r="F22" i="71"/>
  <c r="G22" i="71"/>
  <c r="H22" i="71"/>
  <c r="I22" i="71"/>
  <c r="D22" i="71"/>
  <c r="J191" i="90"/>
  <c r="I191" i="90"/>
  <c r="H191" i="90"/>
  <c r="G191" i="90"/>
  <c r="J161" i="90"/>
  <c r="I161" i="90"/>
  <c r="H161" i="90"/>
  <c r="G161" i="90"/>
  <c r="J160" i="90"/>
  <c r="I160" i="90"/>
  <c r="H160" i="90"/>
  <c r="G160" i="90"/>
  <c r="J159" i="90"/>
  <c r="I159" i="90"/>
  <c r="H159" i="90"/>
  <c r="G159" i="90"/>
  <c r="J158" i="90"/>
  <c r="I158" i="90"/>
  <c r="H158" i="90"/>
  <c r="G158" i="90"/>
  <c r="J157" i="90"/>
  <c r="I157" i="90"/>
  <c r="H157" i="90"/>
  <c r="G157" i="90"/>
  <c r="J156" i="90"/>
  <c r="I156" i="90"/>
  <c r="H156" i="90"/>
  <c r="G156" i="90"/>
  <c r="J155" i="90"/>
  <c r="I155" i="90"/>
  <c r="H155" i="90"/>
  <c r="G155" i="90"/>
  <c r="J154" i="90"/>
  <c r="I154" i="90"/>
  <c r="H154" i="90"/>
  <c r="G154" i="90"/>
  <c r="J153" i="90"/>
  <c r="I153" i="90"/>
  <c r="H153" i="90"/>
  <c r="G153" i="90"/>
  <c r="J152" i="90"/>
  <c r="I152" i="90"/>
  <c r="H152" i="90"/>
  <c r="G152" i="90"/>
  <c r="J151" i="90"/>
  <c r="I151" i="90"/>
  <c r="H151" i="90"/>
  <c r="G151" i="90"/>
  <c r="J150" i="90"/>
  <c r="I150" i="90"/>
  <c r="H150" i="90"/>
  <c r="G150" i="90"/>
  <c r="J149" i="90"/>
  <c r="I149" i="90"/>
  <c r="H149" i="90"/>
  <c r="G149" i="90"/>
  <c r="J148" i="90"/>
  <c r="I148" i="90"/>
  <c r="H148" i="90"/>
  <c r="G148" i="90"/>
  <c r="J147" i="90"/>
  <c r="I147" i="90"/>
  <c r="H147" i="90"/>
  <c r="G147" i="90"/>
  <c r="J146" i="90"/>
  <c r="I146" i="90"/>
  <c r="H146" i="90"/>
  <c r="G146" i="90"/>
  <c r="J116" i="90"/>
  <c r="I116" i="90"/>
  <c r="H116" i="90"/>
  <c r="G116" i="90"/>
  <c r="J115" i="90"/>
  <c r="I115" i="90"/>
  <c r="H115" i="90"/>
  <c r="G115" i="90"/>
  <c r="J114" i="90"/>
  <c r="I114" i="90"/>
  <c r="H114" i="90"/>
  <c r="G114" i="90"/>
  <c r="J113" i="90"/>
  <c r="I113" i="90"/>
  <c r="H113" i="90"/>
  <c r="G113" i="90"/>
  <c r="J112" i="90"/>
  <c r="I112" i="90"/>
  <c r="H112" i="90"/>
  <c r="G112" i="90"/>
  <c r="J111" i="90"/>
  <c r="I111" i="90"/>
  <c r="H111" i="90"/>
  <c r="G111" i="90"/>
  <c r="J110" i="90"/>
  <c r="I110" i="90"/>
  <c r="H110" i="90"/>
  <c r="G110" i="90"/>
  <c r="J109" i="90"/>
  <c r="I109" i="90"/>
  <c r="H109" i="90"/>
  <c r="G109" i="90"/>
  <c r="J108" i="90"/>
  <c r="I108" i="90"/>
  <c r="H108" i="90"/>
  <c r="G108" i="90"/>
  <c r="J107" i="90"/>
  <c r="I107" i="90"/>
  <c r="H107" i="90"/>
  <c r="G107" i="90"/>
  <c r="J106" i="90"/>
  <c r="I106" i="90"/>
  <c r="H106" i="90"/>
  <c r="G106" i="90"/>
  <c r="J105" i="90"/>
  <c r="I105" i="90"/>
  <c r="H105" i="90"/>
  <c r="G105" i="90"/>
  <c r="J104" i="90"/>
  <c r="I104" i="90"/>
  <c r="H104" i="90"/>
  <c r="G104" i="90"/>
  <c r="J103" i="90"/>
  <c r="I103" i="90"/>
  <c r="H103" i="90"/>
  <c r="G103" i="90"/>
  <c r="J102" i="90"/>
  <c r="I102" i="90"/>
  <c r="H102" i="90"/>
  <c r="G102" i="90"/>
  <c r="J101" i="90"/>
  <c r="I101" i="90"/>
  <c r="H101" i="90"/>
  <c r="G101" i="90"/>
  <c r="J71" i="90"/>
  <c r="I71" i="90"/>
  <c r="H71" i="90"/>
  <c r="G71" i="90"/>
  <c r="J70" i="90"/>
  <c r="I70" i="90"/>
  <c r="H70" i="90"/>
  <c r="G70" i="90"/>
  <c r="J69" i="90"/>
  <c r="I69" i="90"/>
  <c r="H69" i="90"/>
  <c r="G69" i="90"/>
  <c r="J68" i="90"/>
  <c r="I68" i="90"/>
  <c r="H68" i="90"/>
  <c r="G68" i="90"/>
  <c r="J67" i="90"/>
  <c r="I67" i="90"/>
  <c r="H67" i="90"/>
  <c r="G67" i="90"/>
  <c r="J66" i="90"/>
  <c r="I66" i="90"/>
  <c r="H66" i="90"/>
  <c r="G66" i="90"/>
  <c r="J65" i="90"/>
  <c r="I65" i="90"/>
  <c r="H65" i="90"/>
  <c r="G65" i="90"/>
  <c r="J64" i="90"/>
  <c r="I64" i="90"/>
  <c r="H64" i="90"/>
  <c r="G64" i="90"/>
  <c r="J63" i="90"/>
  <c r="I63" i="90"/>
  <c r="H63" i="90"/>
  <c r="G63" i="90"/>
  <c r="J62" i="90"/>
  <c r="I62" i="90"/>
  <c r="H62" i="90"/>
  <c r="G62" i="90"/>
  <c r="J61" i="90"/>
  <c r="I61" i="90"/>
  <c r="H61" i="90"/>
  <c r="G61" i="90"/>
  <c r="J60" i="90"/>
  <c r="I60" i="90"/>
  <c r="H60" i="90"/>
  <c r="G60" i="90"/>
  <c r="J59" i="90"/>
  <c r="I59" i="90"/>
  <c r="H59" i="90"/>
  <c r="G59" i="90"/>
  <c r="J58" i="90"/>
  <c r="I58" i="90"/>
  <c r="H58" i="90"/>
  <c r="G58" i="90"/>
  <c r="J57" i="90"/>
  <c r="I57" i="90"/>
  <c r="H57" i="90"/>
  <c r="G57" i="90"/>
  <c r="J56" i="90"/>
  <c r="I56" i="90"/>
  <c r="H56" i="90"/>
  <c r="G56" i="90"/>
  <c r="G12" i="90"/>
  <c r="H12" i="90"/>
  <c r="I12" i="90"/>
  <c r="J12" i="90"/>
  <c r="G13" i="90"/>
  <c r="H13" i="90"/>
  <c r="I13" i="90"/>
  <c r="J13" i="90"/>
  <c r="G14" i="90"/>
  <c r="H14" i="90"/>
  <c r="I14" i="90"/>
  <c r="J14" i="90"/>
  <c r="G15" i="90"/>
  <c r="H15" i="90"/>
  <c r="J15" i="90"/>
  <c r="G16" i="90"/>
  <c r="H16" i="90"/>
  <c r="J16" i="90"/>
  <c r="G17" i="90"/>
  <c r="H17" i="90"/>
  <c r="J17" i="90"/>
  <c r="G18" i="90"/>
  <c r="H18" i="90"/>
  <c r="J18" i="90"/>
  <c r="G19" i="90"/>
  <c r="H19" i="90"/>
  <c r="J19" i="90"/>
  <c r="H20" i="90"/>
  <c r="J20" i="90"/>
  <c r="G21" i="90"/>
  <c r="H21" i="90"/>
  <c r="J21" i="90"/>
  <c r="G22" i="90"/>
  <c r="H22" i="90"/>
  <c r="J22" i="90"/>
  <c r="G23" i="90"/>
  <c r="J23" i="90"/>
  <c r="G24" i="90"/>
  <c r="J24" i="90"/>
  <c r="G25" i="90"/>
  <c r="J25" i="90"/>
  <c r="G26" i="90"/>
  <c r="J26" i="90"/>
  <c r="H11" i="90"/>
  <c r="I11" i="90"/>
  <c r="J11" i="90"/>
  <c r="G11" i="90"/>
  <c r="G40" i="72"/>
  <c r="H40" i="72"/>
  <c r="F40" i="72"/>
  <c r="U197" i="72"/>
  <c r="U191" i="72"/>
  <c r="U64" i="72"/>
  <c r="U58" i="72"/>
  <c r="U52" i="72"/>
  <c r="U17" i="72"/>
  <c r="E10" i="72"/>
  <c r="F10" i="72"/>
  <c r="G10" i="72"/>
  <c r="H10" i="72"/>
  <c r="D10" i="72"/>
  <c r="D31" i="84"/>
  <c r="E31" i="84"/>
  <c r="M30" i="94" s="1"/>
  <c r="U8" i="84"/>
  <c r="V8" i="84"/>
  <c r="AE12" i="90" s="1"/>
  <c r="U9" i="84"/>
  <c r="V9" i="84"/>
  <c r="AE13" i="90" s="1"/>
  <c r="V10" i="84"/>
  <c r="AE14" i="90" s="1"/>
  <c r="V11" i="84"/>
  <c r="AE15" i="90" s="1"/>
  <c r="U12" i="84"/>
  <c r="V13" i="84"/>
  <c r="AE17" i="90" s="1"/>
  <c r="V14" i="84"/>
  <c r="AE18" i="90" s="1"/>
  <c r="U15" i="84"/>
  <c r="U17" i="84"/>
  <c r="V17" i="84"/>
  <c r="AE21" i="90" s="1"/>
  <c r="U20" i="84"/>
  <c r="V20" i="84"/>
  <c r="AE24" i="90" s="1"/>
  <c r="U21" i="84"/>
  <c r="V7" i="84"/>
  <c r="AE11" i="90" s="1"/>
  <c r="U7" i="84"/>
  <c r="O197" i="72"/>
  <c r="P200" i="84" s="1"/>
  <c r="O64" i="72"/>
  <c r="P67" i="84" s="1"/>
  <c r="O58" i="72"/>
  <c r="P61" i="84" s="1"/>
  <c r="O52" i="72"/>
  <c r="P55" i="84" s="1"/>
  <c r="F33" i="72"/>
  <c r="F34" i="72"/>
  <c r="F35" i="72"/>
  <c r="F36" i="72"/>
  <c r="F31" i="72"/>
  <c r="BK116" i="90"/>
  <c r="BK115" i="90"/>
  <c r="BM191" i="90"/>
  <c r="BL191" i="90"/>
  <c r="BK191" i="90"/>
  <c r="BJ191" i="90"/>
  <c r="BM161" i="90"/>
  <c r="BL161" i="90"/>
  <c r="BK161" i="90"/>
  <c r="BJ161" i="90"/>
  <c r="BM160" i="90"/>
  <c r="BL160" i="90"/>
  <c r="BK160" i="90"/>
  <c r="BJ160" i="90"/>
  <c r="BM159" i="90"/>
  <c r="BL159" i="90"/>
  <c r="BK159" i="90"/>
  <c r="BJ159" i="90"/>
  <c r="BM158" i="90"/>
  <c r="BL158" i="90"/>
  <c r="BK158" i="90"/>
  <c r="BJ158" i="90"/>
  <c r="BM157" i="90"/>
  <c r="BL157" i="90"/>
  <c r="BK157" i="90"/>
  <c r="BJ157" i="90"/>
  <c r="BM156" i="90"/>
  <c r="BL156" i="90"/>
  <c r="BK156" i="90"/>
  <c r="BJ156" i="90"/>
  <c r="BM155" i="90"/>
  <c r="BL155" i="90"/>
  <c r="BK155" i="90"/>
  <c r="BJ155" i="90"/>
  <c r="BM154" i="90"/>
  <c r="BL154" i="90"/>
  <c r="BK154" i="90"/>
  <c r="BJ154" i="90"/>
  <c r="BM153" i="90"/>
  <c r="BL153" i="90"/>
  <c r="BK153" i="90"/>
  <c r="BJ153" i="90"/>
  <c r="BM152" i="90"/>
  <c r="BL152" i="90"/>
  <c r="BK152" i="90"/>
  <c r="BJ152" i="90"/>
  <c r="BM151" i="90"/>
  <c r="BL151" i="90"/>
  <c r="BK151" i="90"/>
  <c r="BJ151" i="90"/>
  <c r="BM150" i="90"/>
  <c r="BL150" i="90"/>
  <c r="BK150" i="90"/>
  <c r="BJ150" i="90"/>
  <c r="BM149" i="90"/>
  <c r="BL149" i="90"/>
  <c r="BK149" i="90"/>
  <c r="BJ149" i="90"/>
  <c r="BM148" i="90"/>
  <c r="BL148" i="90"/>
  <c r="BK148" i="90"/>
  <c r="BJ148" i="90"/>
  <c r="BM147" i="90"/>
  <c r="BL147" i="90"/>
  <c r="BK147" i="90"/>
  <c r="BJ147" i="90"/>
  <c r="BM146" i="90"/>
  <c r="BL146" i="90"/>
  <c r="BK146" i="90"/>
  <c r="BJ146" i="90"/>
  <c r="BM116" i="90"/>
  <c r="BL116" i="90"/>
  <c r="BJ116" i="90"/>
  <c r="BM115" i="90"/>
  <c r="BL115" i="90"/>
  <c r="BJ115" i="90"/>
  <c r="BM114" i="90"/>
  <c r="BL114" i="90"/>
  <c r="BK114" i="90"/>
  <c r="BJ114" i="90"/>
  <c r="BM113" i="90"/>
  <c r="BL113" i="90"/>
  <c r="BK113" i="90"/>
  <c r="BJ113" i="90"/>
  <c r="BM112" i="90"/>
  <c r="BL112" i="90"/>
  <c r="BK112" i="90"/>
  <c r="BJ112" i="90"/>
  <c r="BM111" i="90"/>
  <c r="BL111" i="90"/>
  <c r="BK111" i="90"/>
  <c r="BJ111" i="90"/>
  <c r="BM110" i="90"/>
  <c r="BL110" i="90"/>
  <c r="BK110" i="90"/>
  <c r="BJ110" i="90"/>
  <c r="BM109" i="90"/>
  <c r="BL109" i="90"/>
  <c r="BK109" i="90"/>
  <c r="BJ109" i="90"/>
  <c r="BM108" i="90"/>
  <c r="BL108" i="90"/>
  <c r="BK108" i="90"/>
  <c r="BJ108" i="90"/>
  <c r="BM107" i="90"/>
  <c r="BL107" i="90"/>
  <c r="BK107" i="90"/>
  <c r="BJ107" i="90"/>
  <c r="BM106" i="90"/>
  <c r="BL106" i="90"/>
  <c r="BK106" i="90"/>
  <c r="BJ106" i="90"/>
  <c r="BM105" i="90"/>
  <c r="BL105" i="90"/>
  <c r="BK105" i="90"/>
  <c r="BJ105" i="90"/>
  <c r="BM104" i="90"/>
  <c r="BL104" i="90"/>
  <c r="BK104" i="90"/>
  <c r="BJ104" i="90"/>
  <c r="BM103" i="90"/>
  <c r="BL103" i="90"/>
  <c r="BK103" i="90"/>
  <c r="BJ103" i="90"/>
  <c r="BM102" i="90"/>
  <c r="BL102" i="90"/>
  <c r="BK102" i="90"/>
  <c r="BJ102" i="90"/>
  <c r="BM101" i="90"/>
  <c r="BL101" i="90"/>
  <c r="BK101" i="90"/>
  <c r="BJ101" i="90"/>
  <c r="BL71" i="90"/>
  <c r="BK71" i="90"/>
  <c r="BJ71" i="90"/>
  <c r="BL70" i="90"/>
  <c r="BK70" i="90"/>
  <c r="BJ70" i="90"/>
  <c r="BL69" i="90"/>
  <c r="BK69" i="90"/>
  <c r="BJ69" i="90"/>
  <c r="BL68" i="90"/>
  <c r="BK68" i="90"/>
  <c r="BJ68" i="90"/>
  <c r="BL67" i="90"/>
  <c r="BK67" i="90"/>
  <c r="BJ67" i="90"/>
  <c r="BK66" i="90"/>
  <c r="BJ66" i="90"/>
  <c r="BK65" i="90"/>
  <c r="BJ65" i="90"/>
  <c r="BK64" i="90"/>
  <c r="BJ64" i="90"/>
  <c r="BK63" i="90"/>
  <c r="BJ63" i="90"/>
  <c r="BK62" i="90"/>
  <c r="BJ62" i="90"/>
  <c r="BK61" i="90"/>
  <c r="BJ61" i="90"/>
  <c r="BJ60" i="90"/>
  <c r="BJ59" i="90"/>
  <c r="BJ58" i="90"/>
  <c r="BJ13" i="90"/>
  <c r="BJ14" i="90"/>
  <c r="BJ15" i="90"/>
  <c r="BJ16" i="90"/>
  <c r="BJ17" i="90"/>
  <c r="BK17" i="90"/>
  <c r="BJ18" i="90"/>
  <c r="BK18" i="90"/>
  <c r="BJ19" i="90"/>
  <c r="BK19" i="90"/>
  <c r="BJ20" i="90"/>
  <c r="BK20" i="90"/>
  <c r="BJ21" i="90"/>
  <c r="BK21" i="90"/>
  <c r="BJ22" i="90"/>
  <c r="BK22" i="90"/>
  <c r="BJ23" i="90"/>
  <c r="BK23" i="90"/>
  <c r="BL23" i="90"/>
  <c r="BJ24" i="90"/>
  <c r="BK24" i="90"/>
  <c r="BL24" i="90"/>
  <c r="BJ25" i="90"/>
  <c r="BK25" i="90"/>
  <c r="BL25" i="90"/>
  <c r="BJ26" i="90"/>
  <c r="BK26" i="90"/>
  <c r="BL26" i="90"/>
  <c r="AX11" i="90"/>
  <c r="BJ11" i="90" s="1"/>
  <c r="AY11" i="90"/>
  <c r="BK11" i="90" s="1"/>
  <c r="AZ11" i="90"/>
  <c r="BL11" i="90" s="1"/>
  <c r="BA11" i="90"/>
  <c r="AX12" i="90"/>
  <c r="BJ12" i="90" s="1"/>
  <c r="AY12" i="90"/>
  <c r="BK12" i="90" s="1"/>
  <c r="AZ12" i="90"/>
  <c r="BL12" i="90" s="1"/>
  <c r="BA12" i="90"/>
  <c r="BM12" i="90" s="1"/>
  <c r="AY13" i="90"/>
  <c r="BK13" i="90" s="1"/>
  <c r="AZ13" i="90"/>
  <c r="BL13" i="90" s="1"/>
  <c r="BA13" i="90"/>
  <c r="BM13" i="90" s="1"/>
  <c r="AY14" i="90"/>
  <c r="AZ14" i="90"/>
  <c r="BL14" i="90" s="1"/>
  <c r="BA14" i="90"/>
  <c r="BM14" i="90" s="1"/>
  <c r="AY15" i="90"/>
  <c r="BK15" i="90" s="1"/>
  <c r="AZ15" i="90"/>
  <c r="BL15" i="90" s="1"/>
  <c r="BA15" i="90"/>
  <c r="BM15" i="90" s="1"/>
  <c r="AY16" i="90"/>
  <c r="BK16" i="90" s="1"/>
  <c r="AZ16" i="90"/>
  <c r="BL16" i="90" s="1"/>
  <c r="BA16" i="90"/>
  <c r="AZ17" i="90"/>
  <c r="BL17" i="90" s="1"/>
  <c r="BA17" i="90"/>
  <c r="BM17" i="90" s="1"/>
  <c r="AZ18" i="90"/>
  <c r="BL18" i="90" s="1"/>
  <c r="BA18" i="90"/>
  <c r="BM18" i="90" s="1"/>
  <c r="AZ19" i="90"/>
  <c r="BL19" i="90" s="1"/>
  <c r="BA19" i="90"/>
  <c r="BM19" i="90" s="1"/>
  <c r="AZ20" i="90"/>
  <c r="BL20" i="90" s="1"/>
  <c r="BA20" i="90"/>
  <c r="AZ21" i="90"/>
  <c r="BL21" i="90" s="1"/>
  <c r="BA21" i="90"/>
  <c r="BM21" i="90" s="1"/>
  <c r="AZ22" i="90"/>
  <c r="BL22" i="90" s="1"/>
  <c r="BA22" i="90"/>
  <c r="BM22" i="90" s="1"/>
  <c r="BA23" i="90"/>
  <c r="BB23" i="90" s="1"/>
  <c r="BA24" i="90"/>
  <c r="BM24" i="90" s="1"/>
  <c r="BA25" i="90"/>
  <c r="BM25" i="90" s="1"/>
  <c r="BA26" i="90"/>
  <c r="BM26" i="90" s="1"/>
  <c r="AX56" i="90"/>
  <c r="BJ56" i="90" s="1"/>
  <c r="AY56" i="90"/>
  <c r="BK56" i="90" s="1"/>
  <c r="AZ56" i="90"/>
  <c r="BL56" i="90" s="1"/>
  <c r="BA56" i="90"/>
  <c r="BM56" i="90" s="1"/>
  <c r="AX57" i="90"/>
  <c r="BJ57" i="90" s="1"/>
  <c r="AY57" i="90"/>
  <c r="BK57" i="90" s="1"/>
  <c r="AZ57" i="90"/>
  <c r="BL57" i="90" s="1"/>
  <c r="BA57" i="90"/>
  <c r="BM57" i="90" s="1"/>
  <c r="AY58" i="90"/>
  <c r="AZ58" i="90"/>
  <c r="BL58" i="90" s="1"/>
  <c r="BA58" i="90"/>
  <c r="BM58" i="90" s="1"/>
  <c r="AY59" i="90"/>
  <c r="AZ59" i="90"/>
  <c r="BL59" i="90" s="1"/>
  <c r="BA59" i="90"/>
  <c r="BM59" i="90" s="1"/>
  <c r="AY60" i="90"/>
  <c r="BK60" i="90" s="1"/>
  <c r="AZ60" i="90"/>
  <c r="BA60" i="90"/>
  <c r="BM60" i="90" s="1"/>
  <c r="AZ61" i="90"/>
  <c r="BL61" i="90" s="1"/>
  <c r="BA61" i="90"/>
  <c r="AZ62" i="90"/>
  <c r="BA62" i="90"/>
  <c r="BM62" i="90" s="1"/>
  <c r="AZ63" i="90"/>
  <c r="BL63" i="90" s="1"/>
  <c r="BA63" i="90"/>
  <c r="BM63" i="90" s="1"/>
  <c r="AZ64" i="90"/>
  <c r="BL64" i="90" s="1"/>
  <c r="BA64" i="90"/>
  <c r="BM64" i="90" s="1"/>
  <c r="AZ65" i="90"/>
  <c r="BL65" i="90" s="1"/>
  <c r="BA65" i="90"/>
  <c r="AZ66" i="90"/>
  <c r="BL66" i="90" s="1"/>
  <c r="BA66" i="90"/>
  <c r="BM66" i="90" s="1"/>
  <c r="BA67" i="90"/>
  <c r="BM67" i="90" s="1"/>
  <c r="BA68" i="90"/>
  <c r="BB68" i="90" s="1"/>
  <c r="BA69" i="90"/>
  <c r="BM69" i="90" s="1"/>
  <c r="BA70" i="90"/>
  <c r="BM70" i="90" s="1"/>
  <c r="BA71" i="90"/>
  <c r="BB101" i="90"/>
  <c r="BB102" i="90"/>
  <c r="BB103" i="90"/>
  <c r="BB104" i="90"/>
  <c r="BB105" i="90"/>
  <c r="BB106" i="90"/>
  <c r="BB107" i="90"/>
  <c r="BB108" i="90"/>
  <c r="BB109" i="90"/>
  <c r="BB110" i="90"/>
  <c r="BB111" i="90"/>
  <c r="BB112" i="90"/>
  <c r="BB113" i="90"/>
  <c r="BB114" i="90"/>
  <c r="BB115" i="90"/>
  <c r="BB116" i="90"/>
  <c r="BB146" i="90"/>
  <c r="BB147" i="90"/>
  <c r="BB148" i="90"/>
  <c r="BB149" i="90"/>
  <c r="BB150" i="90"/>
  <c r="BB151" i="90"/>
  <c r="BB152" i="90"/>
  <c r="BB153" i="90"/>
  <c r="BB154" i="90"/>
  <c r="BB155" i="90"/>
  <c r="BB156" i="90"/>
  <c r="BB157" i="90"/>
  <c r="BB158" i="90"/>
  <c r="BB159" i="90"/>
  <c r="BB160" i="90"/>
  <c r="BB161" i="90"/>
  <c r="BB191" i="90"/>
  <c r="E106" i="90"/>
  <c r="AT106" i="90" s="1"/>
  <c r="E62" i="90"/>
  <c r="AT62" i="90" s="1"/>
  <c r="E12" i="90"/>
  <c r="AT12" i="90" s="1"/>
  <c r="E13" i="90"/>
  <c r="AT13" i="90" s="1"/>
  <c r="E14" i="90"/>
  <c r="AT14" i="90" s="1"/>
  <c r="E15" i="90"/>
  <c r="AT15" i="90" s="1"/>
  <c r="E16" i="90"/>
  <c r="AT16" i="90" s="1"/>
  <c r="E17" i="90"/>
  <c r="AT17" i="90" s="1"/>
  <c r="E18" i="90"/>
  <c r="AT18" i="90" s="1"/>
  <c r="E11" i="90"/>
  <c r="AT11" i="90" s="1"/>
  <c r="Q200" i="71"/>
  <c r="P200" i="71"/>
  <c r="O200" i="71"/>
  <c r="N200" i="71"/>
  <c r="Q199" i="71"/>
  <c r="P199" i="71"/>
  <c r="O199" i="71"/>
  <c r="N199" i="71"/>
  <c r="Q198" i="71"/>
  <c r="P198" i="71"/>
  <c r="O198" i="71"/>
  <c r="N198" i="71"/>
  <c r="P197" i="71"/>
  <c r="O197" i="71"/>
  <c r="N197" i="71"/>
  <c r="P196" i="71"/>
  <c r="O196" i="71"/>
  <c r="N196" i="71"/>
  <c r="P195" i="71"/>
  <c r="O195" i="71"/>
  <c r="N195" i="71"/>
  <c r="P194" i="71"/>
  <c r="O194" i="71"/>
  <c r="N194" i="71"/>
  <c r="P193" i="71"/>
  <c r="O193" i="71"/>
  <c r="N193" i="71"/>
  <c r="P192" i="71"/>
  <c r="O192" i="71"/>
  <c r="N192" i="71"/>
  <c r="P191" i="71"/>
  <c r="O191" i="71"/>
  <c r="N191" i="71"/>
  <c r="P190" i="71"/>
  <c r="O190" i="71"/>
  <c r="N190" i="71"/>
  <c r="P189" i="71"/>
  <c r="O189" i="71"/>
  <c r="N189" i="71"/>
  <c r="P188" i="71"/>
  <c r="O188" i="71"/>
  <c r="N188" i="71"/>
  <c r="O187" i="71"/>
  <c r="N187" i="71"/>
  <c r="O186" i="71"/>
  <c r="N186" i="71"/>
  <c r="O185" i="71"/>
  <c r="N185" i="71"/>
  <c r="Q155" i="71"/>
  <c r="P155" i="71"/>
  <c r="O155" i="71"/>
  <c r="N155" i="71"/>
  <c r="Q154" i="71"/>
  <c r="P154" i="71"/>
  <c r="O154" i="71"/>
  <c r="N154" i="71"/>
  <c r="Q153" i="71"/>
  <c r="P153" i="71"/>
  <c r="O153" i="71"/>
  <c r="N153" i="71"/>
  <c r="P152" i="71"/>
  <c r="O152" i="71"/>
  <c r="N152" i="71"/>
  <c r="P151" i="71"/>
  <c r="O151" i="71"/>
  <c r="N151" i="71"/>
  <c r="P150" i="71"/>
  <c r="O150" i="71"/>
  <c r="N150" i="71"/>
  <c r="P149" i="71"/>
  <c r="O149" i="71"/>
  <c r="N149" i="71"/>
  <c r="P148" i="71"/>
  <c r="O148" i="71"/>
  <c r="N148" i="71"/>
  <c r="P147" i="71"/>
  <c r="O147" i="71"/>
  <c r="N147" i="71"/>
  <c r="P146" i="71"/>
  <c r="O146" i="71"/>
  <c r="N146" i="71"/>
  <c r="P145" i="71"/>
  <c r="O145" i="71"/>
  <c r="N145" i="71"/>
  <c r="P144" i="71"/>
  <c r="O144" i="71"/>
  <c r="N144" i="71"/>
  <c r="P143" i="71"/>
  <c r="O143" i="71"/>
  <c r="N143" i="71"/>
  <c r="O142" i="71"/>
  <c r="N142" i="71"/>
  <c r="O141" i="71"/>
  <c r="N141" i="71"/>
  <c r="O140" i="71"/>
  <c r="N140" i="71"/>
  <c r="P99" i="71"/>
  <c r="O96" i="71"/>
  <c r="O95" i="71"/>
  <c r="Q65" i="71"/>
  <c r="P65" i="71"/>
  <c r="O65" i="71"/>
  <c r="N65" i="71"/>
  <c r="Q64" i="71"/>
  <c r="P64" i="71"/>
  <c r="O64" i="71"/>
  <c r="N64" i="71"/>
  <c r="Q63" i="71"/>
  <c r="P63" i="71"/>
  <c r="O63" i="71"/>
  <c r="N63" i="71"/>
  <c r="P62" i="71"/>
  <c r="O62" i="71"/>
  <c r="N62" i="71"/>
  <c r="P61" i="71"/>
  <c r="O61" i="71"/>
  <c r="N61" i="71"/>
  <c r="P60" i="71"/>
  <c r="O60" i="71"/>
  <c r="N60" i="71"/>
  <c r="P59" i="71"/>
  <c r="O59" i="71"/>
  <c r="N59" i="71"/>
  <c r="P58" i="71"/>
  <c r="O58" i="71"/>
  <c r="N58" i="71"/>
  <c r="P57" i="71"/>
  <c r="O57" i="71"/>
  <c r="N57" i="71"/>
  <c r="P56" i="71"/>
  <c r="O56" i="71"/>
  <c r="N56" i="71"/>
  <c r="P55" i="71"/>
  <c r="O55" i="71"/>
  <c r="N55" i="71"/>
  <c r="R54" i="71"/>
  <c r="O54" i="71"/>
  <c r="N54" i="71"/>
  <c r="R53" i="71"/>
  <c r="O53" i="71"/>
  <c r="N53" i="71"/>
  <c r="R52" i="71"/>
  <c r="O52" i="71"/>
  <c r="N52" i="71"/>
  <c r="R51" i="71"/>
  <c r="O51" i="71"/>
  <c r="N51" i="71"/>
  <c r="R50" i="71"/>
  <c r="O50" i="71"/>
  <c r="N50" i="71"/>
  <c r="N6" i="71"/>
  <c r="O6" i="71"/>
  <c r="R6" i="71"/>
  <c r="N7" i="71"/>
  <c r="O7" i="71"/>
  <c r="R7" i="71"/>
  <c r="N8" i="71"/>
  <c r="O8" i="71"/>
  <c r="R8" i="71"/>
  <c r="N9" i="71"/>
  <c r="O9" i="71"/>
  <c r="R9" i="71"/>
  <c r="N10" i="71"/>
  <c r="O10" i="71"/>
  <c r="R10" i="71"/>
  <c r="N11" i="71"/>
  <c r="O11" i="71"/>
  <c r="P11" i="71"/>
  <c r="R11" i="71"/>
  <c r="N12" i="71"/>
  <c r="O12" i="71"/>
  <c r="P12" i="71"/>
  <c r="N13" i="71"/>
  <c r="O13" i="71"/>
  <c r="P13" i="71"/>
  <c r="N14" i="71"/>
  <c r="O14" i="71"/>
  <c r="P14" i="71"/>
  <c r="N15" i="71"/>
  <c r="O15" i="71"/>
  <c r="P15" i="71"/>
  <c r="N16" i="71"/>
  <c r="O16" i="71"/>
  <c r="P16" i="71"/>
  <c r="N17" i="71"/>
  <c r="O17" i="71"/>
  <c r="P17" i="71"/>
  <c r="N18" i="71"/>
  <c r="O18" i="71"/>
  <c r="P18" i="71"/>
  <c r="Q18" i="71"/>
  <c r="N19" i="71"/>
  <c r="O19" i="71"/>
  <c r="P19" i="71"/>
  <c r="Q19" i="71"/>
  <c r="N20" i="71"/>
  <c r="O20" i="71"/>
  <c r="P20" i="71"/>
  <c r="Q20" i="71"/>
  <c r="O5" i="71"/>
  <c r="R5" i="71"/>
  <c r="AA199" i="69"/>
  <c r="Z199" i="69"/>
  <c r="Y199" i="69"/>
  <c r="AA198" i="69"/>
  <c r="Z198" i="69"/>
  <c r="Y198" i="69"/>
  <c r="AA197" i="69"/>
  <c r="Z197" i="69"/>
  <c r="Y197" i="69"/>
  <c r="AA196" i="69"/>
  <c r="Z196" i="69"/>
  <c r="Y196" i="69"/>
  <c r="AA195" i="69"/>
  <c r="Z195" i="69"/>
  <c r="Y195" i="69"/>
  <c r="AA194" i="69"/>
  <c r="Z194" i="69"/>
  <c r="Y194" i="69"/>
  <c r="AA193" i="69"/>
  <c r="Z193" i="69"/>
  <c r="Y193" i="69"/>
  <c r="AA192" i="69"/>
  <c r="Z192" i="69"/>
  <c r="Y192" i="69"/>
  <c r="AA191" i="69"/>
  <c r="Z191" i="69"/>
  <c r="Y191" i="69"/>
  <c r="AA190" i="69"/>
  <c r="Z190" i="69"/>
  <c r="Y190" i="69"/>
  <c r="AA189" i="69"/>
  <c r="Z189" i="69"/>
  <c r="Y189" i="69"/>
  <c r="AA188" i="69"/>
  <c r="Z188" i="69"/>
  <c r="Y188" i="69"/>
  <c r="AA187" i="69"/>
  <c r="Z187" i="69"/>
  <c r="Y187" i="69"/>
  <c r="Z186" i="69"/>
  <c r="Y186" i="69"/>
  <c r="Z185" i="69"/>
  <c r="Y185" i="69"/>
  <c r="Y184" i="69"/>
  <c r="AA154" i="69"/>
  <c r="Z154" i="69"/>
  <c r="Y154" i="69"/>
  <c r="AA153" i="69"/>
  <c r="Z153" i="69"/>
  <c r="Y153" i="69"/>
  <c r="AA152" i="69"/>
  <c r="Z152" i="69"/>
  <c r="Y152" i="69"/>
  <c r="AA151" i="69"/>
  <c r="Z151" i="69"/>
  <c r="Y151" i="69"/>
  <c r="AA150" i="69"/>
  <c r="Z150" i="69"/>
  <c r="Y150" i="69"/>
  <c r="AA149" i="69"/>
  <c r="Z149" i="69"/>
  <c r="Y149" i="69"/>
  <c r="AA148" i="69"/>
  <c r="Z148" i="69"/>
  <c r="Y148" i="69"/>
  <c r="AA147" i="69"/>
  <c r="Z147" i="69"/>
  <c r="Y147" i="69"/>
  <c r="AA146" i="69"/>
  <c r="Z146" i="69"/>
  <c r="Y146" i="69"/>
  <c r="AA145" i="69"/>
  <c r="Z145" i="69"/>
  <c r="Y145" i="69"/>
  <c r="AA144" i="69"/>
  <c r="Z144" i="69"/>
  <c r="Y144" i="69"/>
  <c r="AA143" i="69"/>
  <c r="Z143" i="69"/>
  <c r="Y143" i="69"/>
  <c r="AA142" i="69"/>
  <c r="Z142" i="69"/>
  <c r="Y142" i="69"/>
  <c r="Z141" i="69"/>
  <c r="Y141" i="69"/>
  <c r="Z140" i="69"/>
  <c r="Y140" i="69"/>
  <c r="Y139" i="69"/>
  <c r="AB109" i="69"/>
  <c r="AA109" i="69"/>
  <c r="Z109" i="69"/>
  <c r="Y109" i="69"/>
  <c r="AB108" i="69"/>
  <c r="AA108" i="69"/>
  <c r="Z108" i="69"/>
  <c r="Y108" i="69"/>
  <c r="AA107" i="69"/>
  <c r="Z107" i="69"/>
  <c r="Y107" i="69"/>
  <c r="AA106" i="69"/>
  <c r="Z106" i="69"/>
  <c r="Y106" i="69"/>
  <c r="AA105" i="69"/>
  <c r="Z105" i="69"/>
  <c r="Y105" i="69"/>
  <c r="AA104" i="69"/>
  <c r="Z104" i="69"/>
  <c r="Y104" i="69"/>
  <c r="AA103" i="69"/>
  <c r="Z103" i="69"/>
  <c r="Y103" i="69"/>
  <c r="AA102" i="69"/>
  <c r="Z102" i="69"/>
  <c r="Y102" i="69"/>
  <c r="AA101" i="69"/>
  <c r="Z101" i="69"/>
  <c r="Y101" i="69"/>
  <c r="AA100" i="69"/>
  <c r="Z100" i="69"/>
  <c r="Y100" i="69"/>
  <c r="AA99" i="69"/>
  <c r="Z99" i="69"/>
  <c r="Y99" i="69"/>
  <c r="AC98" i="69"/>
  <c r="AA98" i="69"/>
  <c r="Z98" i="69"/>
  <c r="Y98" i="69"/>
  <c r="AC97" i="69"/>
  <c r="Z97" i="69"/>
  <c r="Y97" i="69"/>
  <c r="AC96" i="69"/>
  <c r="Z96" i="69"/>
  <c r="Y96" i="69"/>
  <c r="AC95" i="69"/>
  <c r="Z95" i="69"/>
  <c r="Y95" i="69"/>
  <c r="AC94" i="69"/>
  <c r="Y94" i="69"/>
  <c r="AB64" i="69"/>
  <c r="AA64" i="69"/>
  <c r="Z64" i="69"/>
  <c r="Y64" i="69"/>
  <c r="AB63" i="69"/>
  <c r="AA63" i="69"/>
  <c r="Z63" i="69"/>
  <c r="Y63" i="69"/>
  <c r="AA62" i="69"/>
  <c r="Z62" i="69"/>
  <c r="Y62" i="69"/>
  <c r="AA61" i="69"/>
  <c r="Z61" i="69"/>
  <c r="Y61" i="69"/>
  <c r="AA60" i="69"/>
  <c r="Z60" i="69"/>
  <c r="Y60" i="69"/>
  <c r="AA59" i="69"/>
  <c r="Z59" i="69"/>
  <c r="Y59" i="69"/>
  <c r="AA58" i="69"/>
  <c r="Z58" i="69"/>
  <c r="Y58" i="69"/>
  <c r="AA57" i="69"/>
  <c r="Z57" i="69"/>
  <c r="Y57" i="69"/>
  <c r="AA56" i="69"/>
  <c r="Z56" i="69"/>
  <c r="Y56" i="69"/>
  <c r="AA55" i="69"/>
  <c r="Z55" i="69"/>
  <c r="Y55" i="69"/>
  <c r="AA54" i="69"/>
  <c r="Z54" i="69"/>
  <c r="Y54" i="69"/>
  <c r="AC53" i="69"/>
  <c r="Z53" i="69"/>
  <c r="Y53" i="69"/>
  <c r="AC52" i="69"/>
  <c r="Z52" i="69"/>
  <c r="Y52" i="69"/>
  <c r="AC51" i="69"/>
  <c r="Z51" i="69"/>
  <c r="Y51" i="69"/>
  <c r="AC50" i="69"/>
  <c r="Y50" i="69"/>
  <c r="AC49" i="69"/>
  <c r="Y49" i="69"/>
  <c r="AC4" i="69"/>
  <c r="Y4" i="69"/>
  <c r="Y132" i="69"/>
  <c r="AB132" i="69"/>
  <c r="AA132" i="69"/>
  <c r="Z132" i="69"/>
  <c r="D105" i="69"/>
  <c r="D110" i="69"/>
  <c r="D111" i="69"/>
  <c r="D112" i="69"/>
  <c r="E104" i="69"/>
  <c r="F104" i="69"/>
  <c r="G104" i="69"/>
  <c r="H104" i="69"/>
  <c r="D104" i="69"/>
  <c r="BK53" i="71"/>
  <c r="BK54" i="71"/>
  <c r="BK55" i="71"/>
  <c r="BK56" i="71"/>
  <c r="BK57" i="71"/>
  <c r="BK58" i="71"/>
  <c r="J101" i="89"/>
  <c r="O101" i="89" s="1"/>
  <c r="J100" i="89"/>
  <c r="N104" i="90" s="1"/>
  <c r="J99" i="89"/>
  <c r="O99" i="89" s="1"/>
  <c r="J98" i="89"/>
  <c r="N102" i="90" s="1"/>
  <c r="J97" i="89"/>
  <c r="N101" i="90" s="1"/>
  <c r="J56" i="89"/>
  <c r="O56" i="89" s="1"/>
  <c r="J55" i="89"/>
  <c r="N59" i="90" s="1"/>
  <c r="J54" i="89"/>
  <c r="N58" i="90" s="1"/>
  <c r="J53" i="89"/>
  <c r="N57" i="90" s="1"/>
  <c r="J52" i="89"/>
  <c r="O52" i="89" s="1"/>
  <c r="J8" i="89"/>
  <c r="O8" i="89" s="1"/>
  <c r="J9" i="89"/>
  <c r="O9" i="89" s="1"/>
  <c r="J10" i="89"/>
  <c r="O10" i="89" s="1"/>
  <c r="J11" i="89"/>
  <c r="O11" i="89" s="1"/>
  <c r="J7" i="89"/>
  <c r="O7" i="89" s="1"/>
  <c r="AQ6" i="89"/>
  <c r="AQ7" i="89"/>
  <c r="AQ8" i="89"/>
  <c r="AQ5" i="89"/>
  <c r="AS8" i="89"/>
  <c r="AT6" i="89"/>
  <c r="AT7" i="89"/>
  <c r="AT8" i="89"/>
  <c r="AT5" i="89"/>
  <c r="AK8" i="89"/>
  <c r="AL8" i="89"/>
  <c r="AL6" i="89"/>
  <c r="AM6" i="89"/>
  <c r="AN6" i="89"/>
  <c r="AO6" i="89"/>
  <c r="AL7" i="89"/>
  <c r="AM7" i="89"/>
  <c r="AN7" i="89"/>
  <c r="AO7" i="89"/>
  <c r="AM8" i="89"/>
  <c r="AN8" i="89"/>
  <c r="AO8" i="89"/>
  <c r="AM5" i="89"/>
  <c r="AN5" i="89"/>
  <c r="AO5" i="89"/>
  <c r="AL5" i="89"/>
  <c r="AI6" i="89"/>
  <c r="AJ6" i="89"/>
  <c r="AK6" i="89"/>
  <c r="AH7" i="89"/>
  <c r="AJ7" i="89"/>
  <c r="AK7" i="89"/>
  <c r="AH8" i="89"/>
  <c r="AI8" i="89"/>
  <c r="AI5" i="89"/>
  <c r="AJ5" i="89"/>
  <c r="AK5" i="89"/>
  <c r="AH5" i="89"/>
  <c r="AD6" i="89"/>
  <c r="AE6" i="89"/>
  <c r="AF6" i="89"/>
  <c r="AG6" i="89"/>
  <c r="AD7" i="89"/>
  <c r="AE7" i="89"/>
  <c r="AF7" i="89"/>
  <c r="AG7" i="89"/>
  <c r="AD8" i="89"/>
  <c r="AE8" i="89"/>
  <c r="AF8" i="89"/>
  <c r="AG8" i="89"/>
  <c r="AE5" i="89"/>
  <c r="AF5" i="89"/>
  <c r="AG5" i="89"/>
  <c r="AD5" i="89"/>
  <c r="E62" i="71"/>
  <c r="F62" i="71"/>
  <c r="G62" i="71"/>
  <c r="H62" i="71"/>
  <c r="V202" i="84"/>
  <c r="AE206" i="90" s="1"/>
  <c r="U202" i="84"/>
  <c r="V201" i="84"/>
  <c r="AE205" i="90" s="1"/>
  <c r="U200" i="84"/>
  <c r="V199" i="84"/>
  <c r="AE203" i="90" s="1"/>
  <c r="U199" i="84"/>
  <c r="U197" i="84"/>
  <c r="V196" i="84"/>
  <c r="AE200" i="90" s="1"/>
  <c r="U196" i="84"/>
  <c r="U194" i="84"/>
  <c r="V193" i="84"/>
  <c r="AE197" i="90" s="1"/>
  <c r="V192" i="84"/>
  <c r="AE196" i="90" s="1"/>
  <c r="U191" i="84"/>
  <c r="U190" i="84"/>
  <c r="V189" i="84"/>
  <c r="AE193" i="90" s="1"/>
  <c r="U188" i="84"/>
  <c r="U187" i="84"/>
  <c r="U157" i="84"/>
  <c r="V156" i="84"/>
  <c r="AE160" i="90" s="1"/>
  <c r="U156" i="84"/>
  <c r="V155" i="84"/>
  <c r="AE159" i="90" s="1"/>
  <c r="U154" i="84"/>
  <c r="U153" i="84"/>
  <c r="V152" i="84"/>
  <c r="AE156" i="90" s="1"/>
  <c r="U151" i="84"/>
  <c r="U150" i="84"/>
  <c r="V149" i="84"/>
  <c r="AE153" i="90" s="1"/>
  <c r="V147" i="84"/>
  <c r="AE151" i="90" s="1"/>
  <c r="U147" i="84"/>
  <c r="V146" i="84"/>
  <c r="AE150" i="90" s="1"/>
  <c r="U145" i="84"/>
  <c r="V144" i="84"/>
  <c r="AE148" i="90" s="1"/>
  <c r="V143" i="84"/>
  <c r="AE147" i="90" s="1"/>
  <c r="U111" i="84"/>
  <c r="V110" i="84"/>
  <c r="AE114" i="90" s="1"/>
  <c r="U110" i="84"/>
  <c r="V109" i="84"/>
  <c r="AE113" i="90" s="1"/>
  <c r="U107" i="84"/>
  <c r="V106" i="84"/>
  <c r="AE110" i="90" s="1"/>
  <c r="U105" i="84"/>
  <c r="U104" i="84"/>
  <c r="U102" i="84"/>
  <c r="V101" i="84"/>
  <c r="AE105" i="90" s="1"/>
  <c r="U101" i="84"/>
  <c r="U99" i="84"/>
  <c r="U98" i="84"/>
  <c r="V67" i="84"/>
  <c r="AE71" i="90" s="1"/>
  <c r="U67" i="84"/>
  <c r="U66" i="84"/>
  <c r="V65" i="84"/>
  <c r="AE69" i="90" s="1"/>
  <c r="V64" i="84"/>
  <c r="AE68" i="90" s="1"/>
  <c r="U64" i="84"/>
  <c r="V61" i="84"/>
  <c r="AE65" i="90" s="1"/>
  <c r="U61" i="84"/>
  <c r="V60" i="84"/>
  <c r="AE64" i="90" s="1"/>
  <c r="V58" i="84"/>
  <c r="AE62" i="90" s="1"/>
  <c r="U58" i="84"/>
  <c r="V55" i="84"/>
  <c r="AE59" i="90" s="1"/>
  <c r="U55" i="84"/>
  <c r="V52" i="84"/>
  <c r="AE56" i="90" s="1"/>
  <c r="U52" i="84"/>
  <c r="U10" i="84"/>
  <c r="U11" i="84"/>
  <c r="V12" i="84"/>
  <c r="AE16" i="90" s="1"/>
  <c r="U13" i="84"/>
  <c r="U14" i="84"/>
  <c r="V15" i="84"/>
  <c r="AE19" i="90" s="1"/>
  <c r="U16" i="84"/>
  <c r="V16" i="84"/>
  <c r="AE20" i="90" s="1"/>
  <c r="U18" i="84"/>
  <c r="V18" i="84"/>
  <c r="AE22" i="90" s="1"/>
  <c r="U19" i="84"/>
  <c r="V19" i="84"/>
  <c r="AE23" i="90" s="1"/>
  <c r="V21" i="84"/>
  <c r="AE25" i="90" s="1"/>
  <c r="U22" i="84"/>
  <c r="V22" i="84"/>
  <c r="AE26" i="90" s="1"/>
  <c r="D62" i="71"/>
  <c r="D93" i="69"/>
  <c r="E93" i="69"/>
  <c r="F93" i="69"/>
  <c r="G93" i="69"/>
  <c r="E92" i="69"/>
  <c r="F92" i="69"/>
  <c r="G92" i="69"/>
  <c r="H92" i="69"/>
  <c r="D92" i="69"/>
  <c r="AS14" i="84"/>
  <c r="AS13" i="84"/>
  <c r="BG13" i="84" s="1"/>
  <c r="AS12" i="84"/>
  <c r="AS11" i="84"/>
  <c r="AS10" i="84"/>
  <c r="BH10" i="84" s="1"/>
  <c r="AS9" i="84"/>
  <c r="BI9" i="84" s="1"/>
  <c r="AS8" i="84"/>
  <c r="BG8" i="84" s="1"/>
  <c r="AS7" i="84"/>
  <c r="BH7" i="84" s="1"/>
  <c r="T202" i="84"/>
  <c r="T201" i="84"/>
  <c r="T200" i="84"/>
  <c r="T199" i="84"/>
  <c r="T198" i="84"/>
  <c r="T197" i="84"/>
  <c r="T196" i="84"/>
  <c r="T195" i="84"/>
  <c r="T194" i="84"/>
  <c r="T193" i="84"/>
  <c r="T192" i="84"/>
  <c r="T191" i="84"/>
  <c r="T190" i="84"/>
  <c r="T189" i="84"/>
  <c r="T188" i="84"/>
  <c r="T187" i="84"/>
  <c r="T157" i="84"/>
  <c r="T156" i="84"/>
  <c r="T155" i="84"/>
  <c r="T154" i="84"/>
  <c r="T153" i="84"/>
  <c r="T152" i="84"/>
  <c r="T151" i="84"/>
  <c r="T150" i="84"/>
  <c r="T149" i="84"/>
  <c r="T148" i="84"/>
  <c r="T147" i="84"/>
  <c r="T146" i="84"/>
  <c r="T145" i="84"/>
  <c r="T144" i="84"/>
  <c r="T143" i="84"/>
  <c r="T142" i="84"/>
  <c r="T112" i="84"/>
  <c r="T111" i="84"/>
  <c r="T110" i="84"/>
  <c r="T109" i="84"/>
  <c r="T108" i="84"/>
  <c r="T107" i="84"/>
  <c r="T106" i="84"/>
  <c r="T105" i="84"/>
  <c r="T104" i="84"/>
  <c r="T103" i="84"/>
  <c r="T102" i="84"/>
  <c r="T101" i="84"/>
  <c r="T100" i="84"/>
  <c r="T99" i="84"/>
  <c r="T98" i="84"/>
  <c r="T97" i="84"/>
  <c r="T67" i="84"/>
  <c r="T66" i="84"/>
  <c r="T65" i="84"/>
  <c r="T64" i="84"/>
  <c r="T63" i="84"/>
  <c r="T62" i="84"/>
  <c r="T61" i="84"/>
  <c r="T60" i="84"/>
  <c r="T59" i="84"/>
  <c r="T58" i="84"/>
  <c r="T57" i="84"/>
  <c r="T56" i="84"/>
  <c r="T55" i="84"/>
  <c r="T54" i="84"/>
  <c r="T53" i="84"/>
  <c r="T52" i="84"/>
  <c r="T8" i="84"/>
  <c r="T9" i="84"/>
  <c r="T10" i="84"/>
  <c r="T11" i="84"/>
  <c r="T12" i="84"/>
  <c r="T13" i="84"/>
  <c r="T14" i="84"/>
  <c r="T15" i="84"/>
  <c r="T16" i="84"/>
  <c r="T17" i="84"/>
  <c r="T18" i="84"/>
  <c r="T19" i="84"/>
  <c r="T20" i="84"/>
  <c r="T21" i="84"/>
  <c r="T22" i="84"/>
  <c r="T7" i="84"/>
  <c r="X125" i="88"/>
  <c r="W125" i="88"/>
  <c r="V125" i="88"/>
  <c r="U125" i="88"/>
  <c r="N125" i="88"/>
  <c r="X124" i="88"/>
  <c r="S124" i="88" s="1"/>
  <c r="W124" i="88"/>
  <c r="R124" i="88" s="1"/>
  <c r="V124" i="88"/>
  <c r="Q124" i="88" s="1"/>
  <c r="U124" i="88"/>
  <c r="P124" i="88" s="1"/>
  <c r="N124" i="88"/>
  <c r="X123" i="88"/>
  <c r="S123" i="88" s="1"/>
  <c r="W123" i="88"/>
  <c r="R123" i="88" s="1"/>
  <c r="V123" i="88"/>
  <c r="Q123" i="88" s="1"/>
  <c r="U123" i="88"/>
  <c r="P123" i="88" s="1"/>
  <c r="N123" i="88"/>
  <c r="X122" i="88"/>
  <c r="S122" i="88" s="1"/>
  <c r="W122" i="88"/>
  <c r="R122" i="88" s="1"/>
  <c r="V122" i="88"/>
  <c r="Q122" i="88" s="1"/>
  <c r="U122" i="88"/>
  <c r="P122" i="88" s="1"/>
  <c r="N122" i="88"/>
  <c r="X121" i="88"/>
  <c r="S121" i="88" s="1"/>
  <c r="W121" i="88"/>
  <c r="R121" i="88" s="1"/>
  <c r="V121" i="88"/>
  <c r="Q121" i="88" s="1"/>
  <c r="U121" i="88"/>
  <c r="P121" i="88" s="1"/>
  <c r="N121" i="88"/>
  <c r="W120" i="88"/>
  <c r="R120" i="88" s="1"/>
  <c r="V120" i="88"/>
  <c r="Q120" i="88" s="1"/>
  <c r="U120" i="88"/>
  <c r="P120" i="88" s="1"/>
  <c r="W119" i="88"/>
  <c r="R119" i="88" s="1"/>
  <c r="V119" i="88"/>
  <c r="Q119" i="88" s="1"/>
  <c r="U119" i="88"/>
  <c r="P119" i="88" s="1"/>
  <c r="W118" i="88"/>
  <c r="R118" i="88" s="1"/>
  <c r="V118" i="88"/>
  <c r="Q118" i="88" s="1"/>
  <c r="U118" i="88"/>
  <c r="P118" i="88" s="1"/>
  <c r="C118" i="88"/>
  <c r="C119" i="88" s="1"/>
  <c r="C120" i="88" s="1"/>
  <c r="C121" i="88" s="1"/>
  <c r="C122" i="88" s="1"/>
  <c r="C123" i="88" s="1"/>
  <c r="C124" i="88" s="1"/>
  <c r="C125" i="88" s="1"/>
  <c r="W117" i="88"/>
  <c r="R117" i="88" s="1"/>
  <c r="V117" i="88"/>
  <c r="Q117" i="88" s="1"/>
  <c r="U117" i="88"/>
  <c r="P117" i="88" s="1"/>
  <c r="W116" i="88"/>
  <c r="R116" i="88" s="1"/>
  <c r="V116" i="88"/>
  <c r="Q116" i="88" s="1"/>
  <c r="U116" i="88"/>
  <c r="P116" i="88" s="1"/>
  <c r="W115" i="88"/>
  <c r="R115" i="88" s="1"/>
  <c r="V115" i="88"/>
  <c r="Q115" i="88" s="1"/>
  <c r="U115" i="88"/>
  <c r="P115" i="88" s="1"/>
  <c r="W114" i="88"/>
  <c r="R114" i="88" s="1"/>
  <c r="V114" i="88"/>
  <c r="Q114" i="88" s="1"/>
  <c r="U114" i="88"/>
  <c r="P114" i="88" s="1"/>
  <c r="W113" i="88"/>
  <c r="R113" i="88" s="1"/>
  <c r="V113" i="88"/>
  <c r="Q113" i="88" s="1"/>
  <c r="U113" i="88"/>
  <c r="P113" i="88" s="1"/>
  <c r="B113" i="88"/>
  <c r="C113" i="88" s="1"/>
  <c r="C114" i="88" s="1"/>
  <c r="C115" i="88" s="1"/>
  <c r="C116" i="88" s="1"/>
  <c r="W112" i="88"/>
  <c r="R112" i="88" s="1"/>
  <c r="V112" i="88"/>
  <c r="Q112" i="88" s="1"/>
  <c r="U112" i="88"/>
  <c r="P112" i="88" s="1"/>
  <c r="B112" i="88"/>
  <c r="C112" i="88" s="1"/>
  <c r="V111" i="88"/>
  <c r="Q111" i="88" s="1"/>
  <c r="U111" i="88"/>
  <c r="P111" i="88" s="1"/>
  <c r="B111" i="88"/>
  <c r="C111" i="88" s="1"/>
  <c r="V110" i="88"/>
  <c r="Q110" i="88" s="1"/>
  <c r="U110" i="88"/>
  <c r="P110" i="88" s="1"/>
  <c r="B110" i="88"/>
  <c r="C110" i="88" s="1"/>
  <c r="U109" i="88"/>
  <c r="P109" i="88" s="1"/>
  <c r="B109" i="88"/>
  <c r="C109" i="88" s="1"/>
  <c r="A107" i="88"/>
  <c r="A108" i="88" s="1"/>
  <c r="A109" i="88" s="1"/>
  <c r="A110" i="88" s="1"/>
  <c r="A111" i="88" s="1"/>
  <c r="A112" i="88" s="1"/>
  <c r="A113" i="88" s="1"/>
  <c r="A114" i="88" s="1"/>
  <c r="A115" i="88" s="1"/>
  <c r="A116" i="88" s="1"/>
  <c r="A117" i="88" s="1"/>
  <c r="A118" i="88" s="1"/>
  <c r="A119" i="88" s="1"/>
  <c r="A120" i="88" s="1"/>
  <c r="A121" i="88" s="1"/>
  <c r="A122" i="88" s="1"/>
  <c r="A123" i="88" s="1"/>
  <c r="A124" i="88" s="1"/>
  <c r="A125" i="88" s="1"/>
  <c r="AI102" i="88"/>
  <c r="AH102" i="88"/>
  <c r="AG102" i="88"/>
  <c r="AF102" i="88"/>
  <c r="AE102" i="88"/>
  <c r="AD102" i="88"/>
  <c r="AC102" i="88"/>
  <c r="AB102" i="88"/>
  <c r="AA102" i="88"/>
  <c r="Z102" i="88"/>
  <c r="O102" i="88"/>
  <c r="M102" i="88"/>
  <c r="L102" i="88"/>
  <c r="K102" i="88"/>
  <c r="J102" i="88"/>
  <c r="I102" i="88"/>
  <c r="H102" i="88"/>
  <c r="G102" i="88"/>
  <c r="F102" i="88"/>
  <c r="E102" i="88"/>
  <c r="X101" i="88"/>
  <c r="S101" i="88" s="1"/>
  <c r="S102" i="88" s="1"/>
  <c r="W101" i="88"/>
  <c r="V101" i="88"/>
  <c r="U101" i="88"/>
  <c r="P101" i="88" s="1"/>
  <c r="P102" i="88" s="1"/>
  <c r="N101" i="88"/>
  <c r="N102" i="88" s="1"/>
  <c r="X100" i="88"/>
  <c r="S100" i="88" s="1"/>
  <c r="W100" i="88"/>
  <c r="R100" i="88" s="1"/>
  <c r="V100" i="88"/>
  <c r="Q100" i="88" s="1"/>
  <c r="U100" i="88"/>
  <c r="P100" i="88" s="1"/>
  <c r="N100" i="88"/>
  <c r="X99" i="88"/>
  <c r="S99" i="88" s="1"/>
  <c r="W99" i="88"/>
  <c r="R99" i="88" s="1"/>
  <c r="V99" i="88"/>
  <c r="Q99" i="88" s="1"/>
  <c r="U99" i="88"/>
  <c r="P99" i="88" s="1"/>
  <c r="N99" i="88"/>
  <c r="X98" i="88"/>
  <c r="S98" i="88" s="1"/>
  <c r="W98" i="88"/>
  <c r="R98" i="88" s="1"/>
  <c r="V98" i="88"/>
  <c r="Q98" i="88" s="1"/>
  <c r="U98" i="88"/>
  <c r="P98" i="88" s="1"/>
  <c r="N98" i="88"/>
  <c r="X97" i="88"/>
  <c r="S97" i="88" s="1"/>
  <c r="W97" i="88"/>
  <c r="R97" i="88" s="1"/>
  <c r="V97" i="88"/>
  <c r="Q97" i="88" s="1"/>
  <c r="U97" i="88"/>
  <c r="P97" i="88" s="1"/>
  <c r="N97" i="88"/>
  <c r="W96" i="88"/>
  <c r="R96" i="88" s="1"/>
  <c r="V96" i="88"/>
  <c r="Q96" i="88" s="1"/>
  <c r="U96" i="88"/>
  <c r="P96" i="88" s="1"/>
  <c r="W95" i="88"/>
  <c r="R95" i="88" s="1"/>
  <c r="V95" i="88"/>
  <c r="Q95" i="88" s="1"/>
  <c r="U95" i="88"/>
  <c r="P95" i="88" s="1"/>
  <c r="W94" i="88"/>
  <c r="R94" i="88" s="1"/>
  <c r="V94" i="88"/>
  <c r="Q94" i="88" s="1"/>
  <c r="U94" i="88"/>
  <c r="P94" i="88" s="1"/>
  <c r="C94" i="88"/>
  <c r="C95" i="88" s="1"/>
  <c r="C96" i="88" s="1"/>
  <c r="C97" i="88" s="1"/>
  <c r="C98" i="88" s="1"/>
  <c r="C99" i="88" s="1"/>
  <c r="C100" i="88" s="1"/>
  <c r="C101" i="88" s="1"/>
  <c r="C102" i="88" s="1"/>
  <c r="W93" i="88"/>
  <c r="R93" i="88" s="1"/>
  <c r="V93" i="88"/>
  <c r="Q93" i="88" s="1"/>
  <c r="U93" i="88"/>
  <c r="P93" i="88" s="1"/>
  <c r="W92" i="88"/>
  <c r="R92" i="88" s="1"/>
  <c r="V92" i="88"/>
  <c r="Q92" i="88" s="1"/>
  <c r="U92" i="88"/>
  <c r="P92" i="88" s="1"/>
  <c r="W91" i="88"/>
  <c r="R91" i="88" s="1"/>
  <c r="V91" i="88"/>
  <c r="Q91" i="88" s="1"/>
  <c r="U91" i="88"/>
  <c r="P91" i="88" s="1"/>
  <c r="W90" i="88"/>
  <c r="R90" i="88" s="1"/>
  <c r="V90" i="88"/>
  <c r="Q90" i="88" s="1"/>
  <c r="U90" i="88"/>
  <c r="P90" i="88" s="1"/>
  <c r="B90" i="88"/>
  <c r="C90" i="88" s="1"/>
  <c r="W89" i="88"/>
  <c r="R89" i="88" s="1"/>
  <c r="V89" i="88"/>
  <c r="Q89" i="88" s="1"/>
  <c r="U89" i="88"/>
  <c r="P89" i="88" s="1"/>
  <c r="B89" i="88"/>
  <c r="C89" i="88" s="1"/>
  <c r="V88" i="88"/>
  <c r="Q88" i="88" s="1"/>
  <c r="U88" i="88"/>
  <c r="P88" i="88" s="1"/>
  <c r="B88" i="88"/>
  <c r="C88" i="88" s="1"/>
  <c r="V87" i="88"/>
  <c r="Q87" i="88" s="1"/>
  <c r="U87" i="88"/>
  <c r="P87" i="88" s="1"/>
  <c r="B87" i="88"/>
  <c r="C87" i="88" s="1"/>
  <c r="U86" i="88"/>
  <c r="P86" i="88" s="1"/>
  <c r="B86" i="88"/>
  <c r="C86" i="88" s="1"/>
  <c r="A84" i="88"/>
  <c r="A85" i="88" s="1"/>
  <c r="A86" i="88" s="1"/>
  <c r="A87" i="88" s="1"/>
  <c r="A88" i="88" s="1"/>
  <c r="A89" i="88" s="1"/>
  <c r="A90" i="88" s="1"/>
  <c r="A91" i="88" s="1"/>
  <c r="A92" i="88" s="1"/>
  <c r="A93" i="88" s="1"/>
  <c r="A94" i="88" s="1"/>
  <c r="A95" i="88" s="1"/>
  <c r="A96" i="88" s="1"/>
  <c r="A97" i="88" s="1"/>
  <c r="A98" i="88" s="1"/>
  <c r="A99" i="88" s="1"/>
  <c r="A100" i="88" s="1"/>
  <c r="A101" i="88" s="1"/>
  <c r="A102" i="88" s="1"/>
  <c r="A103" i="88" s="1"/>
  <c r="A104" i="88" s="1"/>
  <c r="A105" i="88" s="1"/>
  <c r="AI79" i="88"/>
  <c r="AH79" i="88"/>
  <c r="AG79" i="88"/>
  <c r="AF79" i="88"/>
  <c r="AE79" i="88"/>
  <c r="AD79" i="88"/>
  <c r="AC79" i="88"/>
  <c r="AB79" i="88"/>
  <c r="AA79" i="88"/>
  <c r="Z79" i="88"/>
  <c r="O79" i="88"/>
  <c r="M79" i="88"/>
  <c r="L79" i="88"/>
  <c r="K79" i="88"/>
  <c r="E79" i="88"/>
  <c r="J78" i="88"/>
  <c r="J79" i="88" s="1"/>
  <c r="I78" i="88"/>
  <c r="N78" i="88" s="1"/>
  <c r="N79" i="88" s="1"/>
  <c r="H78" i="88"/>
  <c r="W78" i="88" s="1"/>
  <c r="R78" i="88" s="1"/>
  <c r="R79" i="88" s="1"/>
  <c r="G78" i="88"/>
  <c r="F78" i="88"/>
  <c r="U78" i="88" s="1"/>
  <c r="P78" i="88" s="1"/>
  <c r="P79" i="88" s="1"/>
  <c r="J77" i="88"/>
  <c r="I77" i="88"/>
  <c r="N77" i="88" s="1"/>
  <c r="H77" i="88"/>
  <c r="W77" i="88" s="1"/>
  <c r="R77" i="88" s="1"/>
  <c r="G77" i="88"/>
  <c r="V77" i="88" s="1"/>
  <c r="Q77" i="88" s="1"/>
  <c r="F77" i="88"/>
  <c r="U77" i="88" s="1"/>
  <c r="P77" i="88" s="1"/>
  <c r="J76" i="88"/>
  <c r="I76" i="88"/>
  <c r="N76" i="88" s="1"/>
  <c r="H76" i="88"/>
  <c r="W76" i="88" s="1"/>
  <c r="R76" i="88" s="1"/>
  <c r="G76" i="88"/>
  <c r="V76" i="88" s="1"/>
  <c r="Q76" i="88" s="1"/>
  <c r="F76" i="88"/>
  <c r="U76" i="88" s="1"/>
  <c r="P76" i="88" s="1"/>
  <c r="J75" i="88"/>
  <c r="I75" i="88"/>
  <c r="X75" i="88" s="1"/>
  <c r="S75" i="88" s="1"/>
  <c r="H75" i="88"/>
  <c r="W75" i="88" s="1"/>
  <c r="R75" i="88" s="1"/>
  <c r="G75" i="88"/>
  <c r="V75" i="88" s="1"/>
  <c r="Q75" i="88" s="1"/>
  <c r="F75" i="88"/>
  <c r="U75" i="88" s="1"/>
  <c r="P75" i="88" s="1"/>
  <c r="J74" i="88"/>
  <c r="I74" i="88"/>
  <c r="X74" i="88" s="1"/>
  <c r="S74" i="88" s="1"/>
  <c r="H74" i="88"/>
  <c r="W74" i="88" s="1"/>
  <c r="R74" i="88" s="1"/>
  <c r="G74" i="88"/>
  <c r="V74" i="88" s="1"/>
  <c r="Q74" i="88" s="1"/>
  <c r="F74" i="88"/>
  <c r="U74" i="88" s="1"/>
  <c r="P74" i="88" s="1"/>
  <c r="J73" i="88"/>
  <c r="I73" i="88"/>
  <c r="H73" i="88"/>
  <c r="W73" i="88" s="1"/>
  <c r="R73" i="88" s="1"/>
  <c r="G73" i="88"/>
  <c r="V73" i="88" s="1"/>
  <c r="Q73" i="88" s="1"/>
  <c r="F73" i="88"/>
  <c r="U73" i="88" s="1"/>
  <c r="P73" i="88" s="1"/>
  <c r="J72" i="88"/>
  <c r="I72" i="88"/>
  <c r="H72" i="88"/>
  <c r="W72" i="88" s="1"/>
  <c r="R72" i="88" s="1"/>
  <c r="G72" i="88"/>
  <c r="V72" i="88" s="1"/>
  <c r="Q72" i="88" s="1"/>
  <c r="F72" i="88"/>
  <c r="U72" i="88" s="1"/>
  <c r="P72" i="88" s="1"/>
  <c r="J71" i="88"/>
  <c r="I71" i="88"/>
  <c r="H71" i="88"/>
  <c r="W71" i="88" s="1"/>
  <c r="R71" i="88" s="1"/>
  <c r="G71" i="88"/>
  <c r="V71" i="88" s="1"/>
  <c r="Q71" i="88" s="1"/>
  <c r="F71" i="88"/>
  <c r="U71" i="88" s="1"/>
  <c r="P71" i="88" s="1"/>
  <c r="J70" i="88"/>
  <c r="I70" i="88"/>
  <c r="H70" i="88"/>
  <c r="W70" i="88" s="1"/>
  <c r="R70" i="88" s="1"/>
  <c r="G70" i="88"/>
  <c r="V70" i="88" s="1"/>
  <c r="Q70" i="88" s="1"/>
  <c r="F70" i="88"/>
  <c r="U70" i="88" s="1"/>
  <c r="P70" i="88" s="1"/>
  <c r="C70" i="88"/>
  <c r="C71" i="88" s="1"/>
  <c r="C72" i="88" s="1"/>
  <c r="C73" i="88" s="1"/>
  <c r="C74" i="88" s="1"/>
  <c r="C75" i="88" s="1"/>
  <c r="C76" i="88" s="1"/>
  <c r="C77" i="88" s="1"/>
  <c r="C78" i="88" s="1"/>
  <c r="C79" i="88" s="1"/>
  <c r="J69" i="88"/>
  <c r="I69" i="88"/>
  <c r="H69" i="88"/>
  <c r="W69" i="88" s="1"/>
  <c r="R69" i="88" s="1"/>
  <c r="G69" i="88"/>
  <c r="V69" i="88" s="1"/>
  <c r="Q69" i="88" s="1"/>
  <c r="F69" i="88"/>
  <c r="U69" i="88" s="1"/>
  <c r="P69" i="88" s="1"/>
  <c r="J68" i="88"/>
  <c r="Y68" i="88" s="1"/>
  <c r="T68" i="88" s="1"/>
  <c r="I68" i="88"/>
  <c r="H68" i="88"/>
  <c r="W68" i="88" s="1"/>
  <c r="R68" i="88" s="1"/>
  <c r="G68" i="88"/>
  <c r="V68" i="88" s="1"/>
  <c r="Q68" i="88" s="1"/>
  <c r="F68" i="88"/>
  <c r="U68" i="88" s="1"/>
  <c r="P68" i="88" s="1"/>
  <c r="W67" i="88"/>
  <c r="R67" i="88" s="1"/>
  <c r="J67" i="88"/>
  <c r="Y67" i="88" s="1"/>
  <c r="T67" i="88" s="1"/>
  <c r="G67" i="88"/>
  <c r="V67" i="88" s="1"/>
  <c r="Q67" i="88" s="1"/>
  <c r="F67" i="88"/>
  <c r="U67" i="88" s="1"/>
  <c r="P67" i="88" s="1"/>
  <c r="B67" i="88"/>
  <c r="C67" i="88" s="1"/>
  <c r="J66" i="88"/>
  <c r="Y66" i="88" s="1"/>
  <c r="T66" i="88" s="1"/>
  <c r="G66" i="88"/>
  <c r="V66" i="88" s="1"/>
  <c r="Q66" i="88" s="1"/>
  <c r="F66" i="88"/>
  <c r="U66" i="88" s="1"/>
  <c r="P66" i="88" s="1"/>
  <c r="B66" i="88"/>
  <c r="C66" i="88" s="1"/>
  <c r="J65" i="88"/>
  <c r="Y65" i="88" s="1"/>
  <c r="T65" i="88" s="1"/>
  <c r="G65" i="88"/>
  <c r="V65" i="88" s="1"/>
  <c r="Q65" i="88" s="1"/>
  <c r="F65" i="88"/>
  <c r="U65" i="88" s="1"/>
  <c r="P65" i="88" s="1"/>
  <c r="B65" i="88"/>
  <c r="C65" i="88" s="1"/>
  <c r="V64" i="88"/>
  <c r="Q64" i="88" s="1"/>
  <c r="J64" i="88"/>
  <c r="Y64" i="88" s="1"/>
  <c r="T64" i="88" s="1"/>
  <c r="H64" i="88"/>
  <c r="F64" i="88"/>
  <c r="U64" i="88" s="1"/>
  <c r="P64" i="88" s="1"/>
  <c r="B64" i="88"/>
  <c r="C64" i="88" s="1"/>
  <c r="J63" i="88"/>
  <c r="Y63" i="88" s="1"/>
  <c r="T63" i="88" s="1"/>
  <c r="H63" i="88"/>
  <c r="F63" i="88"/>
  <c r="U63" i="88" s="1"/>
  <c r="P63" i="88" s="1"/>
  <c r="B63" i="88"/>
  <c r="C63" i="88" s="1"/>
  <c r="A61" i="88"/>
  <c r="A62" i="88" s="1"/>
  <c r="A63" i="88" s="1"/>
  <c r="A64" i="88" s="1"/>
  <c r="A65" i="88" s="1"/>
  <c r="A66" i="88" s="1"/>
  <c r="A67" i="88" s="1"/>
  <c r="A68" i="88" s="1"/>
  <c r="A69" i="88" s="1"/>
  <c r="A70" i="88" s="1"/>
  <c r="A71" i="88" s="1"/>
  <c r="A72" i="88" s="1"/>
  <c r="A73" i="88" s="1"/>
  <c r="A74" i="88" s="1"/>
  <c r="A75" i="88" s="1"/>
  <c r="A76" i="88" s="1"/>
  <c r="A77" i="88" s="1"/>
  <c r="A78" i="88" s="1"/>
  <c r="A79" i="88" s="1"/>
  <c r="A80" i="88" s="1"/>
  <c r="A81" i="88" s="1"/>
  <c r="A82" i="88" s="1"/>
  <c r="X56" i="88"/>
  <c r="S56" i="88" s="1"/>
  <c r="W56" i="88"/>
  <c r="R56" i="88" s="1"/>
  <c r="V56" i="88"/>
  <c r="Q56" i="88" s="1"/>
  <c r="U56" i="88"/>
  <c r="P56" i="88" s="1"/>
  <c r="N56" i="88"/>
  <c r="X55" i="88"/>
  <c r="S55" i="88" s="1"/>
  <c r="W55" i="88"/>
  <c r="R55" i="88" s="1"/>
  <c r="V55" i="88"/>
  <c r="Q55" i="88" s="1"/>
  <c r="U55" i="88"/>
  <c r="P55" i="88" s="1"/>
  <c r="N55" i="88"/>
  <c r="X54" i="88"/>
  <c r="S54" i="88" s="1"/>
  <c r="W54" i="88"/>
  <c r="R54" i="88" s="1"/>
  <c r="V54" i="88"/>
  <c r="Q54" i="88" s="1"/>
  <c r="U54" i="88"/>
  <c r="P54" i="88" s="1"/>
  <c r="N54" i="88"/>
  <c r="X53" i="88"/>
  <c r="S53" i="88" s="1"/>
  <c r="W53" i="88"/>
  <c r="R53" i="88" s="1"/>
  <c r="V53" i="88"/>
  <c r="Q53" i="88" s="1"/>
  <c r="U53" i="88"/>
  <c r="P53" i="88" s="1"/>
  <c r="N53" i="88"/>
  <c r="X52" i="88"/>
  <c r="S52" i="88" s="1"/>
  <c r="W52" i="88"/>
  <c r="R52" i="88" s="1"/>
  <c r="V52" i="88"/>
  <c r="Q52" i="88" s="1"/>
  <c r="U52" i="88"/>
  <c r="P52" i="88" s="1"/>
  <c r="N52" i="88"/>
  <c r="W51" i="88"/>
  <c r="R51" i="88" s="1"/>
  <c r="V51" i="88"/>
  <c r="Q51" i="88" s="1"/>
  <c r="U51" i="88"/>
  <c r="P51" i="88" s="1"/>
  <c r="W50" i="88"/>
  <c r="R50" i="88" s="1"/>
  <c r="V50" i="88"/>
  <c r="Q50" i="88" s="1"/>
  <c r="U50" i="88"/>
  <c r="P50" i="88" s="1"/>
  <c r="W49" i="88"/>
  <c r="R49" i="88" s="1"/>
  <c r="V49" i="88"/>
  <c r="Q49" i="88" s="1"/>
  <c r="U49" i="88"/>
  <c r="P49" i="88" s="1"/>
  <c r="W48" i="88"/>
  <c r="R48" i="88" s="1"/>
  <c r="V48" i="88"/>
  <c r="Q48" i="88" s="1"/>
  <c r="U48" i="88"/>
  <c r="P48" i="88" s="1"/>
  <c r="W47" i="88"/>
  <c r="R47" i="88" s="1"/>
  <c r="V47" i="88"/>
  <c r="Q47" i="88" s="1"/>
  <c r="U47" i="88"/>
  <c r="P47" i="88" s="1"/>
  <c r="C47" i="88"/>
  <c r="C48" i="88" s="1"/>
  <c r="C49" i="88" s="1"/>
  <c r="C50" i="88" s="1"/>
  <c r="C51" i="88" s="1"/>
  <c r="C52" i="88" s="1"/>
  <c r="C53" i="88" s="1"/>
  <c r="C54" i="88" s="1"/>
  <c r="C55" i="88" s="1"/>
  <c r="C56" i="88" s="1"/>
  <c r="Y46" i="88"/>
  <c r="T46" i="88" s="1"/>
  <c r="W46" i="88"/>
  <c r="R46" i="88" s="1"/>
  <c r="V46" i="88"/>
  <c r="Q46" i="88" s="1"/>
  <c r="U46" i="88"/>
  <c r="P46" i="88" s="1"/>
  <c r="Y45" i="88"/>
  <c r="T45" i="88" s="1"/>
  <c r="W45" i="88"/>
  <c r="R45" i="88" s="1"/>
  <c r="V45" i="88"/>
  <c r="Q45" i="88" s="1"/>
  <c r="U45" i="88"/>
  <c r="P45" i="88" s="1"/>
  <c r="B45" i="88"/>
  <c r="C45" i="88" s="1"/>
  <c r="Y44" i="88"/>
  <c r="T44" i="88" s="1"/>
  <c r="V44" i="88"/>
  <c r="Q44" i="88" s="1"/>
  <c r="U44" i="88"/>
  <c r="P44" i="88" s="1"/>
  <c r="B44" i="88"/>
  <c r="C44" i="88" s="1"/>
  <c r="Y43" i="88"/>
  <c r="T43" i="88" s="1"/>
  <c r="V43" i="88"/>
  <c r="Q43" i="88" s="1"/>
  <c r="U43" i="88"/>
  <c r="P43" i="88" s="1"/>
  <c r="B43" i="88"/>
  <c r="C43" i="88" s="1"/>
  <c r="Y42" i="88"/>
  <c r="T42" i="88" s="1"/>
  <c r="V42" i="88"/>
  <c r="Q42" i="88" s="1"/>
  <c r="U42" i="88"/>
  <c r="P42" i="88" s="1"/>
  <c r="B42" i="88"/>
  <c r="C42" i="88" s="1"/>
  <c r="Y41" i="88"/>
  <c r="T41" i="88" s="1"/>
  <c r="U41" i="88"/>
  <c r="P41" i="88" s="1"/>
  <c r="B41" i="88"/>
  <c r="C41" i="88" s="1"/>
  <c r="Y40" i="88"/>
  <c r="T40" i="88" s="1"/>
  <c r="U40" i="88"/>
  <c r="P40" i="88" s="1"/>
  <c r="B40" i="88"/>
  <c r="C40" i="88" s="1"/>
  <c r="A38" i="88"/>
  <c r="A39" i="88" s="1"/>
  <c r="A40" i="88" s="1"/>
  <c r="A41" i="88" s="1"/>
  <c r="A42" i="88" s="1"/>
  <c r="A43" i="88" s="1"/>
  <c r="A44" i="88" s="1"/>
  <c r="A45" i="88" s="1"/>
  <c r="A46" i="88" s="1"/>
  <c r="A47" i="88" s="1"/>
  <c r="A48" i="88" s="1"/>
  <c r="A49" i="88" s="1"/>
  <c r="A50" i="88" s="1"/>
  <c r="A51" i="88" s="1"/>
  <c r="A52" i="88" s="1"/>
  <c r="A53" i="88" s="1"/>
  <c r="A54" i="88" s="1"/>
  <c r="A55" i="88" s="1"/>
  <c r="A56" i="88" s="1"/>
  <c r="A57" i="88" s="1"/>
  <c r="A58" i="88" s="1"/>
  <c r="A59" i="88" s="1"/>
  <c r="X33" i="88"/>
  <c r="S33" i="88" s="1"/>
  <c r="W33" i="88"/>
  <c r="R33" i="88" s="1"/>
  <c r="V33" i="88"/>
  <c r="Q33" i="88" s="1"/>
  <c r="U33" i="88"/>
  <c r="P33" i="88" s="1"/>
  <c r="N33" i="88"/>
  <c r="X32" i="88"/>
  <c r="S32" i="88" s="1"/>
  <c r="W32" i="88"/>
  <c r="R32" i="88" s="1"/>
  <c r="V32" i="88"/>
  <c r="Q32" i="88" s="1"/>
  <c r="U32" i="88"/>
  <c r="P32" i="88" s="1"/>
  <c r="N32" i="88"/>
  <c r="X31" i="88"/>
  <c r="S31" i="88" s="1"/>
  <c r="W31" i="88"/>
  <c r="R31" i="88" s="1"/>
  <c r="V31" i="88"/>
  <c r="Q31" i="88" s="1"/>
  <c r="U31" i="88"/>
  <c r="P31" i="88" s="1"/>
  <c r="N31" i="88"/>
  <c r="X30" i="88"/>
  <c r="S30" i="88" s="1"/>
  <c r="W30" i="88"/>
  <c r="R30" i="88" s="1"/>
  <c r="V30" i="88"/>
  <c r="Q30" i="88" s="1"/>
  <c r="U30" i="88"/>
  <c r="P30" i="88" s="1"/>
  <c r="N30" i="88"/>
  <c r="X29" i="88"/>
  <c r="S29" i="88" s="1"/>
  <c r="W29" i="88"/>
  <c r="R29" i="88" s="1"/>
  <c r="V29" i="88"/>
  <c r="Q29" i="88" s="1"/>
  <c r="U29" i="88"/>
  <c r="P29" i="88" s="1"/>
  <c r="W28" i="88"/>
  <c r="R28" i="88" s="1"/>
  <c r="V28" i="88"/>
  <c r="Q28" i="88" s="1"/>
  <c r="U28" i="88"/>
  <c r="P28" i="88" s="1"/>
  <c r="W27" i="88"/>
  <c r="R27" i="88" s="1"/>
  <c r="V27" i="88"/>
  <c r="Q27" i="88" s="1"/>
  <c r="U27" i="88"/>
  <c r="P27" i="88" s="1"/>
  <c r="W26" i="88"/>
  <c r="R26" i="88" s="1"/>
  <c r="V26" i="88"/>
  <c r="Q26" i="88" s="1"/>
  <c r="U26" i="88"/>
  <c r="P26" i="88" s="1"/>
  <c r="W25" i="88"/>
  <c r="R25" i="88" s="1"/>
  <c r="V25" i="88"/>
  <c r="Q25" i="88" s="1"/>
  <c r="U25" i="88"/>
  <c r="P25" i="88" s="1"/>
  <c r="C25" i="88"/>
  <c r="C26" i="88" s="1"/>
  <c r="C27" i="88" s="1"/>
  <c r="C28" i="88" s="1"/>
  <c r="C29" i="88" s="1"/>
  <c r="C30" i="88" s="1"/>
  <c r="C31" i="88" s="1"/>
  <c r="C32" i="88" s="1"/>
  <c r="C33" i="88" s="1"/>
  <c r="W24" i="88"/>
  <c r="R24" i="88" s="1"/>
  <c r="V24" i="88"/>
  <c r="Q24" i="88" s="1"/>
  <c r="U24" i="88"/>
  <c r="P24" i="88" s="1"/>
  <c r="Y23" i="88"/>
  <c r="T23" i="88" s="1"/>
  <c r="W23" i="88"/>
  <c r="R23" i="88" s="1"/>
  <c r="V23" i="88"/>
  <c r="Q23" i="88" s="1"/>
  <c r="U23" i="88"/>
  <c r="P23" i="88" s="1"/>
  <c r="Y22" i="88"/>
  <c r="T22" i="88" s="1"/>
  <c r="V22" i="88"/>
  <c r="Q22" i="88" s="1"/>
  <c r="U22" i="88"/>
  <c r="P22" i="88" s="1"/>
  <c r="Y21" i="88"/>
  <c r="T21" i="88" s="1"/>
  <c r="V21" i="88"/>
  <c r="Q21" i="88" s="1"/>
  <c r="U21" i="88"/>
  <c r="P21" i="88" s="1"/>
  <c r="Y20" i="88"/>
  <c r="T20" i="88" s="1"/>
  <c r="V20" i="88"/>
  <c r="Q20" i="88" s="1"/>
  <c r="U20" i="88"/>
  <c r="P20" i="88" s="1"/>
  <c r="Y19" i="88"/>
  <c r="T19" i="88" s="1"/>
  <c r="V19" i="88"/>
  <c r="Q19" i="88" s="1"/>
  <c r="U19" i="88"/>
  <c r="P19" i="88" s="1"/>
  <c r="Y18" i="88"/>
  <c r="T18" i="88" s="1"/>
  <c r="U18" i="88"/>
  <c r="P18" i="88" s="1"/>
  <c r="Y17" i="88"/>
  <c r="T17" i="88" s="1"/>
  <c r="X17" i="88"/>
  <c r="S17" i="88" s="1"/>
  <c r="U17" i="88"/>
  <c r="P17" i="88" s="1"/>
  <c r="N17" i="88"/>
  <c r="A15" i="88"/>
  <c r="A16" i="88" s="1"/>
  <c r="A17" i="88" s="1"/>
  <c r="A18" i="88" s="1"/>
  <c r="A19" i="88" s="1"/>
  <c r="A20" i="88" s="1"/>
  <c r="A21" i="88" s="1"/>
  <c r="A22" i="88" s="1"/>
  <c r="A23" i="88" s="1"/>
  <c r="A24" i="88" s="1"/>
  <c r="A25" i="88" s="1"/>
  <c r="A26" i="88" s="1"/>
  <c r="A27" i="88" s="1"/>
  <c r="A28" i="88" s="1"/>
  <c r="A29" i="88" s="1"/>
  <c r="A30" i="88" s="1"/>
  <c r="A31" i="88" s="1"/>
  <c r="A32" i="88" s="1"/>
  <c r="A33" i="88" s="1"/>
  <c r="A34" i="88" s="1"/>
  <c r="A35" i="88" s="1"/>
  <c r="A36" i="88" s="1"/>
  <c r="G4" i="88"/>
  <c r="F4" i="88"/>
  <c r="E4" i="88"/>
  <c r="D4" i="88"/>
  <c r="C4" i="88"/>
  <c r="AS16" i="84"/>
  <c r="E20" i="90"/>
  <c r="AT20" i="90" s="1"/>
  <c r="AS15" i="84"/>
  <c r="BG15" i="84" s="1"/>
  <c r="E19" i="90"/>
  <c r="AT19" i="90" s="1"/>
  <c r="E22" i="90"/>
  <c r="AT22" i="90" s="1"/>
  <c r="AS17" i="84"/>
  <c r="BG17" i="84" s="1"/>
  <c r="E21" i="90"/>
  <c r="AT21" i="90" s="1"/>
  <c r="E23" i="90"/>
  <c r="AT23" i="90" s="1"/>
  <c r="AS18" i="84"/>
  <c r="E24" i="90"/>
  <c r="AT24" i="90" s="1"/>
  <c r="AS19" i="84"/>
  <c r="BG19" i="84" s="1"/>
  <c r="E25" i="90"/>
  <c r="AT25" i="90" s="1"/>
  <c r="AS20" i="84"/>
  <c r="E156" i="90"/>
  <c r="AT156" i="90" s="1"/>
  <c r="E68" i="90"/>
  <c r="AT68" i="90" s="1"/>
  <c r="AS21" i="84"/>
  <c r="BG21" i="84" s="1"/>
  <c r="E26" i="90"/>
  <c r="AT26" i="90" s="1"/>
  <c r="E69" i="90"/>
  <c r="AT69" i="90" s="1"/>
  <c r="E113" i="90"/>
  <c r="AT113" i="90" s="1"/>
  <c r="AS22" i="84"/>
  <c r="BG22" i="84" s="1"/>
  <c r="I2" i="87"/>
  <c r="K2" i="87"/>
  <c r="L2" i="87"/>
  <c r="M2" i="87"/>
  <c r="I3" i="87"/>
  <c r="I4" i="87"/>
  <c r="J4" i="87"/>
  <c r="K4" i="87"/>
  <c r="L4" i="87"/>
  <c r="M4" i="87"/>
  <c r="I5" i="87"/>
  <c r="J5" i="87"/>
  <c r="K5" i="87"/>
  <c r="L5" i="87"/>
  <c r="M5" i="87"/>
  <c r="I6" i="87"/>
  <c r="J6" i="87"/>
  <c r="K6" i="87"/>
  <c r="L6" i="87"/>
  <c r="M6" i="87"/>
  <c r="I7" i="87"/>
  <c r="J7" i="87"/>
  <c r="K7" i="87"/>
  <c r="L7" i="87"/>
  <c r="M7" i="87"/>
  <c r="I8" i="87"/>
  <c r="M8" i="87"/>
  <c r="I9" i="87"/>
  <c r="J9" i="87"/>
  <c r="K9" i="87"/>
  <c r="L9" i="87"/>
  <c r="M9" i="87"/>
  <c r="I10" i="87"/>
  <c r="J10" i="87"/>
  <c r="K10" i="87"/>
  <c r="L10" i="87"/>
  <c r="M10" i="87"/>
  <c r="I11" i="87"/>
  <c r="K11" i="87"/>
  <c r="L11" i="87"/>
  <c r="M11" i="87"/>
  <c r="I12" i="87"/>
  <c r="J12" i="87"/>
  <c r="K12" i="87"/>
  <c r="L12" i="87"/>
  <c r="I13" i="87"/>
  <c r="J13" i="87"/>
  <c r="K13" i="87"/>
  <c r="L13" i="87"/>
  <c r="M13" i="87"/>
  <c r="I14" i="87"/>
  <c r="J14" i="87"/>
  <c r="K14" i="87"/>
  <c r="L14" i="87"/>
  <c r="M14" i="87"/>
  <c r="I15" i="87"/>
  <c r="M15" i="87"/>
  <c r="I16" i="87"/>
  <c r="J16" i="87"/>
  <c r="K16" i="87"/>
  <c r="L16" i="87"/>
  <c r="I17" i="87"/>
  <c r="J17" i="87"/>
  <c r="K17" i="87"/>
  <c r="L17" i="87"/>
  <c r="I18" i="87"/>
  <c r="J18" i="87"/>
  <c r="K18" i="87"/>
  <c r="L18" i="87"/>
  <c r="I19" i="87"/>
  <c r="J19" i="87"/>
  <c r="K19" i="87"/>
  <c r="L19" i="87"/>
  <c r="I20" i="87"/>
  <c r="J20" i="87"/>
  <c r="K20" i="87"/>
  <c r="L20" i="87"/>
  <c r="I21" i="87"/>
  <c r="J21" i="87"/>
  <c r="K21" i="87"/>
  <c r="L21" i="87"/>
  <c r="I22" i="87"/>
  <c r="J22" i="87"/>
  <c r="K22" i="87"/>
  <c r="L22" i="87"/>
  <c r="M22" i="87"/>
  <c r="I23" i="87"/>
  <c r="J23" i="87"/>
  <c r="K23" i="87"/>
  <c r="L23" i="87"/>
  <c r="M23" i="87"/>
  <c r="I24" i="87"/>
  <c r="I25" i="87"/>
  <c r="I26" i="87"/>
  <c r="I27" i="87"/>
  <c r="I28" i="87"/>
  <c r="I29" i="87"/>
  <c r="J29" i="87"/>
  <c r="K29" i="87"/>
  <c r="L29" i="87"/>
  <c r="M29" i="87"/>
  <c r="I30" i="87"/>
  <c r="I31" i="87"/>
  <c r="J31" i="87"/>
  <c r="K31" i="87"/>
  <c r="L31" i="87"/>
  <c r="M31" i="87"/>
  <c r="I32" i="87"/>
  <c r="J32" i="87"/>
  <c r="K32" i="87"/>
  <c r="L32" i="87"/>
  <c r="M32" i="87"/>
  <c r="I33" i="87"/>
  <c r="J33" i="87"/>
  <c r="M33" i="87"/>
  <c r="I34" i="87"/>
  <c r="J34" i="87"/>
  <c r="I35" i="87"/>
  <c r="J35" i="87"/>
  <c r="I36" i="87"/>
  <c r="J36" i="87"/>
  <c r="I37" i="87"/>
  <c r="J37" i="87"/>
  <c r="I38" i="87"/>
  <c r="J38" i="87"/>
  <c r="K38" i="87"/>
  <c r="L38" i="87"/>
  <c r="M38" i="87"/>
  <c r="K1" i="87"/>
  <c r="L1" i="87"/>
  <c r="M1" i="87"/>
  <c r="I1" i="87"/>
  <c r="E94" i="90"/>
  <c r="AT94" i="90" s="1"/>
  <c r="L15" i="87"/>
  <c r="E35" i="84"/>
  <c r="M34" i="94" s="1"/>
  <c r="B2" i="84"/>
  <c r="K3" i="87"/>
  <c r="J3" i="87"/>
  <c r="L3" i="87"/>
  <c r="M3" i="87"/>
  <c r="I202" i="84"/>
  <c r="I191" i="84"/>
  <c r="I150" i="84"/>
  <c r="I149" i="84"/>
  <c r="I103" i="84"/>
  <c r="I58" i="84"/>
  <c r="I8" i="84"/>
  <c r="I9" i="84"/>
  <c r="I10" i="84"/>
  <c r="I11" i="84"/>
  <c r="I12" i="84"/>
  <c r="I13" i="84"/>
  <c r="I14" i="84"/>
  <c r="I15" i="84"/>
  <c r="I7" i="84"/>
  <c r="M21" i="87"/>
  <c r="M20" i="87"/>
  <c r="M19" i="87"/>
  <c r="I16" i="84"/>
  <c r="AU60" i="84"/>
  <c r="AZ60" i="84" s="1"/>
  <c r="AU54" i="84"/>
  <c r="AZ54" i="84" s="1"/>
  <c r="AU53" i="84"/>
  <c r="AY53" i="84" s="1"/>
  <c r="M18" i="87"/>
  <c r="M17" i="87"/>
  <c r="M12" i="87"/>
  <c r="L8" i="87"/>
  <c r="D26" i="84"/>
  <c r="D27" i="84"/>
  <c r="D28" i="84"/>
  <c r="D29" i="84"/>
  <c r="D25" i="84"/>
  <c r="I105" i="84"/>
  <c r="I17" i="84"/>
  <c r="AU16" i="84"/>
  <c r="AU17" i="84"/>
  <c r="AY17" i="84" s="1"/>
  <c r="AU18" i="84"/>
  <c r="AZ18" i="84" s="1"/>
  <c r="AU19" i="84"/>
  <c r="AU20" i="84"/>
  <c r="AY20" i="84" s="1"/>
  <c r="AU21" i="84"/>
  <c r="AY21" i="84" s="1"/>
  <c r="AU22" i="84"/>
  <c r="AZ22" i="84" s="1"/>
  <c r="AU7" i="84"/>
  <c r="AZ7" i="84" s="1"/>
  <c r="I18" i="84"/>
  <c r="AU8" i="84"/>
  <c r="I19" i="84"/>
  <c r="AU195" i="84"/>
  <c r="AZ195" i="84" s="1"/>
  <c r="AU9" i="84"/>
  <c r="AU10" i="84"/>
  <c r="AY10" i="84" s="1"/>
  <c r="AU11" i="84"/>
  <c r="AY11" i="84" s="1"/>
  <c r="E27" i="84"/>
  <c r="M16" i="87"/>
  <c r="I20" i="84"/>
  <c r="AU150" i="84"/>
  <c r="AZ150" i="84" s="1"/>
  <c r="E28" i="84"/>
  <c r="E26" i="84"/>
  <c r="E29" i="84"/>
  <c r="M24" i="87"/>
  <c r="AU12" i="84"/>
  <c r="AZ12" i="84" s="1"/>
  <c r="AS191" i="84"/>
  <c r="BH191" i="84" s="1"/>
  <c r="AS150" i="84"/>
  <c r="BI150" i="84" s="1"/>
  <c r="AS147" i="84"/>
  <c r="BI147" i="84" s="1"/>
  <c r="AS103" i="84"/>
  <c r="BI103" i="84" s="1"/>
  <c r="AS59" i="84"/>
  <c r="BI59" i="84" s="1"/>
  <c r="AS58" i="84"/>
  <c r="BI58" i="84" s="1"/>
  <c r="O202" i="84"/>
  <c r="N202" i="84"/>
  <c r="M202" i="84"/>
  <c r="AB202" i="84" s="1"/>
  <c r="L202" i="84"/>
  <c r="AA202" i="84" s="1"/>
  <c r="K202" i="84"/>
  <c r="O201" i="84"/>
  <c r="N201" i="84"/>
  <c r="M201" i="84"/>
  <c r="AB201" i="84" s="1"/>
  <c r="L201" i="84"/>
  <c r="AA201" i="84" s="1"/>
  <c r="K201" i="84"/>
  <c r="O200" i="84"/>
  <c r="N200" i="84"/>
  <c r="M200" i="84"/>
  <c r="AB200" i="84" s="1"/>
  <c r="L200" i="84"/>
  <c r="AA200" i="84" s="1"/>
  <c r="K200" i="84"/>
  <c r="O199" i="84"/>
  <c r="N199" i="84"/>
  <c r="M199" i="84"/>
  <c r="AB199" i="84" s="1"/>
  <c r="L199" i="84"/>
  <c r="AA199" i="84" s="1"/>
  <c r="K199" i="84"/>
  <c r="O198" i="84"/>
  <c r="N198" i="84"/>
  <c r="M198" i="84"/>
  <c r="AB198" i="84" s="1"/>
  <c r="L198" i="84"/>
  <c r="AA198" i="84" s="1"/>
  <c r="K198" i="84"/>
  <c r="O197" i="84"/>
  <c r="N197" i="84"/>
  <c r="M197" i="84"/>
  <c r="AB197" i="84" s="1"/>
  <c r="L197" i="84"/>
  <c r="AA197" i="84" s="1"/>
  <c r="K197" i="84"/>
  <c r="O196" i="84"/>
  <c r="N196" i="84"/>
  <c r="M196" i="84"/>
  <c r="AB196" i="84" s="1"/>
  <c r="L196" i="84"/>
  <c r="AA196" i="84" s="1"/>
  <c r="K196" i="84"/>
  <c r="O195" i="84"/>
  <c r="N195" i="84"/>
  <c r="M195" i="84"/>
  <c r="AB195" i="84" s="1"/>
  <c r="L195" i="84"/>
  <c r="AA195" i="84" s="1"/>
  <c r="K195" i="84"/>
  <c r="O194" i="84"/>
  <c r="N194" i="84"/>
  <c r="M194" i="84"/>
  <c r="AB194" i="84" s="1"/>
  <c r="L194" i="84"/>
  <c r="AA194" i="84" s="1"/>
  <c r="K194" i="84"/>
  <c r="O193" i="84"/>
  <c r="AD193" i="84" s="1"/>
  <c r="N193" i="84"/>
  <c r="M193" i="84"/>
  <c r="AB193" i="84" s="1"/>
  <c r="L193" i="84"/>
  <c r="AA193" i="84" s="1"/>
  <c r="K193" i="84"/>
  <c r="O192" i="84"/>
  <c r="AD192" i="84" s="1"/>
  <c r="N192" i="84"/>
  <c r="M192" i="84"/>
  <c r="AB192" i="84" s="1"/>
  <c r="L192" i="84"/>
  <c r="AA192" i="84" s="1"/>
  <c r="K192" i="84"/>
  <c r="O191" i="84"/>
  <c r="AD191" i="84" s="1"/>
  <c r="N191" i="84"/>
  <c r="M191" i="84"/>
  <c r="AB191" i="84" s="1"/>
  <c r="L191" i="84"/>
  <c r="AA191" i="84" s="1"/>
  <c r="K191" i="84"/>
  <c r="O190" i="84"/>
  <c r="AD190" i="84" s="1"/>
  <c r="N190" i="84"/>
  <c r="M190" i="84"/>
  <c r="AB190" i="84" s="1"/>
  <c r="L190" i="84"/>
  <c r="AA190" i="84" s="1"/>
  <c r="K190" i="84"/>
  <c r="O189" i="84"/>
  <c r="AD189" i="84" s="1"/>
  <c r="N189" i="84"/>
  <c r="M189" i="84"/>
  <c r="AB189" i="84" s="1"/>
  <c r="L189" i="84"/>
  <c r="AA189" i="84" s="1"/>
  <c r="K189" i="84"/>
  <c r="O188" i="84"/>
  <c r="AD188" i="84" s="1"/>
  <c r="N188" i="84"/>
  <c r="M188" i="84"/>
  <c r="AB188" i="84" s="1"/>
  <c r="L188" i="84"/>
  <c r="AA188" i="84" s="1"/>
  <c r="K188" i="84"/>
  <c r="O187" i="84"/>
  <c r="AD187" i="84" s="1"/>
  <c r="N187" i="84"/>
  <c r="M187" i="84"/>
  <c r="AB187" i="84" s="1"/>
  <c r="L187" i="84"/>
  <c r="AA187" i="84" s="1"/>
  <c r="K187" i="84"/>
  <c r="O157" i="84"/>
  <c r="N157" i="84"/>
  <c r="AC157" i="84" s="1"/>
  <c r="M157" i="84"/>
  <c r="AB157" i="84" s="1"/>
  <c r="L157" i="84"/>
  <c r="AA157" i="84" s="1"/>
  <c r="K157" i="84"/>
  <c r="O156" i="84"/>
  <c r="N156" i="84"/>
  <c r="AC156" i="84" s="1"/>
  <c r="M156" i="84"/>
  <c r="AB156" i="84" s="1"/>
  <c r="L156" i="84"/>
  <c r="AA156" i="84" s="1"/>
  <c r="K156" i="84"/>
  <c r="O155" i="84"/>
  <c r="N155" i="84"/>
  <c r="AC155" i="84" s="1"/>
  <c r="M155" i="84"/>
  <c r="AB155" i="84" s="1"/>
  <c r="L155" i="84"/>
  <c r="AA155" i="84" s="1"/>
  <c r="K155" i="84"/>
  <c r="O154" i="84"/>
  <c r="N154" i="84"/>
  <c r="M154" i="84"/>
  <c r="AB154" i="84" s="1"/>
  <c r="L154" i="84"/>
  <c r="AA154" i="84" s="1"/>
  <c r="K154" i="84"/>
  <c r="O153" i="84"/>
  <c r="N153" i="84"/>
  <c r="M153" i="84"/>
  <c r="AB153" i="84" s="1"/>
  <c r="L153" i="84"/>
  <c r="AA153" i="84" s="1"/>
  <c r="K153" i="84"/>
  <c r="O152" i="84"/>
  <c r="N152" i="84"/>
  <c r="M152" i="84"/>
  <c r="AB152" i="84" s="1"/>
  <c r="L152" i="84"/>
  <c r="AA152" i="84" s="1"/>
  <c r="K152" i="84"/>
  <c r="O151" i="84"/>
  <c r="N151" i="84"/>
  <c r="M151" i="84"/>
  <c r="AB151" i="84" s="1"/>
  <c r="L151" i="84"/>
  <c r="AA151" i="84" s="1"/>
  <c r="K151" i="84"/>
  <c r="O150" i="84"/>
  <c r="N150" i="84"/>
  <c r="M150" i="84"/>
  <c r="AB150" i="84" s="1"/>
  <c r="L150" i="84"/>
  <c r="AA150" i="84" s="1"/>
  <c r="K150" i="84"/>
  <c r="O149" i="84"/>
  <c r="N149" i="84"/>
  <c r="M149" i="84"/>
  <c r="AB149" i="84" s="1"/>
  <c r="L149" i="84"/>
  <c r="AA149" i="84" s="1"/>
  <c r="K149" i="84"/>
  <c r="O148" i="84"/>
  <c r="AD148" i="84" s="1"/>
  <c r="N148" i="84"/>
  <c r="M148" i="84"/>
  <c r="AB148" i="84" s="1"/>
  <c r="L148" i="84"/>
  <c r="AA148" i="84" s="1"/>
  <c r="K148" i="84"/>
  <c r="O147" i="84"/>
  <c r="AD147" i="84" s="1"/>
  <c r="N147" i="84"/>
  <c r="M147" i="84"/>
  <c r="AB147" i="84" s="1"/>
  <c r="L147" i="84"/>
  <c r="AA147" i="84" s="1"/>
  <c r="K147" i="84"/>
  <c r="O146" i="84"/>
  <c r="AD146" i="84" s="1"/>
  <c r="N146" i="84"/>
  <c r="M146" i="84"/>
  <c r="AB146" i="84" s="1"/>
  <c r="L146" i="84"/>
  <c r="AA146" i="84" s="1"/>
  <c r="K146" i="84"/>
  <c r="O145" i="84"/>
  <c r="AD145" i="84" s="1"/>
  <c r="N145" i="84"/>
  <c r="M145" i="84"/>
  <c r="AB145" i="84" s="1"/>
  <c r="L145" i="84"/>
  <c r="AA145" i="84" s="1"/>
  <c r="K145" i="84"/>
  <c r="O144" i="84"/>
  <c r="AD144" i="84" s="1"/>
  <c r="N144" i="84"/>
  <c r="M144" i="84"/>
  <c r="AB144" i="84" s="1"/>
  <c r="L144" i="84"/>
  <c r="AA144" i="84" s="1"/>
  <c r="K144" i="84"/>
  <c r="O143" i="84"/>
  <c r="AD143" i="84" s="1"/>
  <c r="N143" i="84"/>
  <c r="M143" i="84"/>
  <c r="AB143" i="84" s="1"/>
  <c r="L143" i="84"/>
  <c r="AA143" i="84" s="1"/>
  <c r="K143" i="84"/>
  <c r="O142" i="84"/>
  <c r="AD142" i="84" s="1"/>
  <c r="N142" i="84"/>
  <c r="M142" i="84"/>
  <c r="AB142" i="84" s="1"/>
  <c r="L142" i="84"/>
  <c r="AA142" i="84" s="1"/>
  <c r="K142" i="84"/>
  <c r="O107" i="84"/>
  <c r="N107" i="84"/>
  <c r="O106" i="84"/>
  <c r="N106" i="84"/>
  <c r="O105" i="84"/>
  <c r="N105" i="84"/>
  <c r="N104" i="84"/>
  <c r="O103" i="84"/>
  <c r="AD103" i="84" s="1"/>
  <c r="N103" i="84"/>
  <c r="O102" i="84"/>
  <c r="AD102" i="84" s="1"/>
  <c r="N102" i="84"/>
  <c r="N101" i="84"/>
  <c r="M101" i="84"/>
  <c r="AB101" i="84" s="1"/>
  <c r="N100" i="84"/>
  <c r="M100" i="84"/>
  <c r="AB100" i="84" s="1"/>
  <c r="N99" i="84"/>
  <c r="M99" i="84"/>
  <c r="AB99" i="84" s="1"/>
  <c r="N98" i="84"/>
  <c r="L98" i="84"/>
  <c r="AA98" i="84" s="1"/>
  <c r="N97" i="84"/>
  <c r="L97" i="84"/>
  <c r="AA97" i="84" s="1"/>
  <c r="O67" i="84"/>
  <c r="N67" i="84"/>
  <c r="AC67" i="84" s="1"/>
  <c r="M67" i="84"/>
  <c r="AB67" i="84" s="1"/>
  <c r="L67" i="84"/>
  <c r="AA67" i="84" s="1"/>
  <c r="K67" i="84"/>
  <c r="O66" i="84"/>
  <c r="N66" i="84"/>
  <c r="AC66" i="84" s="1"/>
  <c r="M66" i="84"/>
  <c r="AB66" i="84" s="1"/>
  <c r="L66" i="84"/>
  <c r="AA66" i="84" s="1"/>
  <c r="K66" i="84"/>
  <c r="O65" i="84"/>
  <c r="N65" i="84"/>
  <c r="AC65" i="84" s="1"/>
  <c r="M65" i="84"/>
  <c r="AB65" i="84" s="1"/>
  <c r="L65" i="84"/>
  <c r="AA65" i="84" s="1"/>
  <c r="K65" i="84"/>
  <c r="O64" i="84"/>
  <c r="N64" i="84"/>
  <c r="M64" i="84"/>
  <c r="AB64" i="84" s="1"/>
  <c r="L64" i="84"/>
  <c r="AA64" i="84" s="1"/>
  <c r="K64" i="84"/>
  <c r="O63" i="84"/>
  <c r="N63" i="84"/>
  <c r="M63" i="84"/>
  <c r="AB63" i="84" s="1"/>
  <c r="L63" i="84"/>
  <c r="AA63" i="84" s="1"/>
  <c r="K63" i="84"/>
  <c r="O62" i="84"/>
  <c r="N62" i="84"/>
  <c r="M62" i="84"/>
  <c r="AB62" i="84" s="1"/>
  <c r="L62" i="84"/>
  <c r="AA62" i="84" s="1"/>
  <c r="K62" i="84"/>
  <c r="O61" i="84"/>
  <c r="N61" i="84"/>
  <c r="M61" i="84"/>
  <c r="AB61" i="84" s="1"/>
  <c r="L61" i="84"/>
  <c r="AA61" i="84" s="1"/>
  <c r="K61" i="84"/>
  <c r="O60" i="84"/>
  <c r="N60" i="84"/>
  <c r="M60" i="84"/>
  <c r="AB60" i="84" s="1"/>
  <c r="L60" i="84"/>
  <c r="AA60" i="84" s="1"/>
  <c r="K60" i="84"/>
  <c r="O59" i="84"/>
  <c r="N59" i="84"/>
  <c r="M59" i="84"/>
  <c r="AB59" i="84" s="1"/>
  <c r="L59" i="84"/>
  <c r="AA59" i="84" s="1"/>
  <c r="K59" i="84"/>
  <c r="O58" i="84"/>
  <c r="AD58" i="84" s="1"/>
  <c r="N58" i="84"/>
  <c r="M58" i="84"/>
  <c r="AB58" i="84" s="1"/>
  <c r="L58" i="84"/>
  <c r="AA58" i="84" s="1"/>
  <c r="K58" i="84"/>
  <c r="O57" i="84"/>
  <c r="AD57" i="84" s="1"/>
  <c r="N57" i="84"/>
  <c r="M57" i="84"/>
  <c r="AB57" i="84" s="1"/>
  <c r="L57" i="84"/>
  <c r="AA57" i="84" s="1"/>
  <c r="K57" i="84"/>
  <c r="O56" i="84"/>
  <c r="AD56" i="84" s="1"/>
  <c r="N56" i="84"/>
  <c r="M56" i="84"/>
  <c r="AB56" i="84" s="1"/>
  <c r="L56" i="84"/>
  <c r="AA56" i="84" s="1"/>
  <c r="K56" i="84"/>
  <c r="O55" i="84"/>
  <c r="AD55" i="84" s="1"/>
  <c r="N55" i="84"/>
  <c r="M55" i="84"/>
  <c r="AB55" i="84" s="1"/>
  <c r="L55" i="84"/>
  <c r="AA55" i="84" s="1"/>
  <c r="K55" i="84"/>
  <c r="O54" i="84"/>
  <c r="AD54" i="84" s="1"/>
  <c r="N54" i="84"/>
  <c r="M54" i="84"/>
  <c r="AB54" i="84" s="1"/>
  <c r="L54" i="84"/>
  <c r="AA54" i="84" s="1"/>
  <c r="K54" i="84"/>
  <c r="O53" i="84"/>
  <c r="AD53" i="84" s="1"/>
  <c r="N53" i="84"/>
  <c r="M53" i="84"/>
  <c r="AB53" i="84" s="1"/>
  <c r="L53" i="84"/>
  <c r="AA53" i="84" s="1"/>
  <c r="K53" i="84"/>
  <c r="O52" i="84"/>
  <c r="AD52" i="84" s="1"/>
  <c r="N52" i="84"/>
  <c r="M52" i="84"/>
  <c r="L52" i="84"/>
  <c r="AA52" i="84" s="1"/>
  <c r="K52" i="84"/>
  <c r="K8" i="84"/>
  <c r="L8" i="84"/>
  <c r="AA8" i="84" s="1"/>
  <c r="M8" i="84"/>
  <c r="AB8" i="84" s="1"/>
  <c r="N8" i="84"/>
  <c r="O8" i="84"/>
  <c r="K9" i="84"/>
  <c r="L9" i="84"/>
  <c r="AA9" i="84" s="1"/>
  <c r="M9" i="84"/>
  <c r="AB9" i="84" s="1"/>
  <c r="N9" i="84"/>
  <c r="O9" i="84"/>
  <c r="K10" i="84"/>
  <c r="L10" i="84"/>
  <c r="AA10" i="84" s="1"/>
  <c r="M10" i="84"/>
  <c r="AB10" i="84" s="1"/>
  <c r="N10" i="84"/>
  <c r="O10" i="84"/>
  <c r="K11" i="84"/>
  <c r="L11" i="84"/>
  <c r="AA11" i="84" s="1"/>
  <c r="M11" i="84"/>
  <c r="AB11" i="84" s="1"/>
  <c r="N11" i="84"/>
  <c r="O11" i="84"/>
  <c r="K12" i="84"/>
  <c r="L12" i="84"/>
  <c r="AA12" i="84" s="1"/>
  <c r="M12" i="84"/>
  <c r="AB12" i="84" s="1"/>
  <c r="N12" i="84"/>
  <c r="O12" i="84"/>
  <c r="K13" i="84"/>
  <c r="L13" i="84"/>
  <c r="AA13" i="84" s="1"/>
  <c r="M13" i="84"/>
  <c r="AB13" i="84" s="1"/>
  <c r="N13" i="84"/>
  <c r="O13" i="84"/>
  <c r="K14" i="84"/>
  <c r="L14" i="84"/>
  <c r="AA14" i="84" s="1"/>
  <c r="M14" i="84"/>
  <c r="AB14" i="84" s="1"/>
  <c r="N14" i="84"/>
  <c r="O14" i="84"/>
  <c r="K15" i="84"/>
  <c r="L15" i="84"/>
  <c r="AA15" i="84" s="1"/>
  <c r="M15" i="84"/>
  <c r="AB15" i="84" s="1"/>
  <c r="N15" i="84"/>
  <c r="O15" i="84"/>
  <c r="K16" i="84"/>
  <c r="L16" i="84"/>
  <c r="AA16" i="84" s="1"/>
  <c r="M16" i="84"/>
  <c r="AB16" i="84" s="1"/>
  <c r="N16" i="84"/>
  <c r="O16" i="84"/>
  <c r="K17" i="84"/>
  <c r="L17" i="84"/>
  <c r="AA17" i="84" s="1"/>
  <c r="M17" i="84"/>
  <c r="AB17" i="84" s="1"/>
  <c r="N17" i="84"/>
  <c r="O17" i="84"/>
  <c r="K18" i="84"/>
  <c r="L18" i="84"/>
  <c r="AA18" i="84" s="1"/>
  <c r="M18" i="84"/>
  <c r="AB18" i="84" s="1"/>
  <c r="N18" i="84"/>
  <c r="O18" i="84"/>
  <c r="K19" i="84"/>
  <c r="L19" i="84"/>
  <c r="AA19" i="84" s="1"/>
  <c r="M19" i="84"/>
  <c r="AB19" i="84" s="1"/>
  <c r="N19" i="84"/>
  <c r="O19" i="84"/>
  <c r="K20" i="84"/>
  <c r="L20" i="84"/>
  <c r="AA20" i="84" s="1"/>
  <c r="M20" i="84"/>
  <c r="AB20" i="84" s="1"/>
  <c r="N20" i="84"/>
  <c r="O20" i="84"/>
  <c r="K21" i="84"/>
  <c r="L21" i="84"/>
  <c r="AA21" i="84" s="1"/>
  <c r="M21" i="84"/>
  <c r="AB21" i="84" s="1"/>
  <c r="N21" i="84"/>
  <c r="O21" i="84"/>
  <c r="K22" i="84"/>
  <c r="L22" i="84"/>
  <c r="AA22" i="84" s="1"/>
  <c r="M22" i="84"/>
  <c r="AB22" i="84" s="1"/>
  <c r="N22" i="84"/>
  <c r="O22" i="84"/>
  <c r="L7" i="84"/>
  <c r="AA7" i="84" s="1"/>
  <c r="M7" i="84"/>
  <c r="O7" i="84"/>
  <c r="AD7" i="84" s="1"/>
  <c r="K7" i="84"/>
  <c r="I109" i="84"/>
  <c r="I21" i="84"/>
  <c r="AU13" i="84"/>
  <c r="AY13" i="84" s="1"/>
  <c r="I22" i="84"/>
  <c r="AU105" i="84"/>
  <c r="AZ105" i="84" s="1"/>
  <c r="BK4" i="71"/>
  <c r="BK51" i="71"/>
  <c r="BK140" i="71"/>
  <c r="BK143" i="71"/>
  <c r="BK146" i="71"/>
  <c r="BK6" i="71"/>
  <c r="BK9" i="71"/>
  <c r="BK95" i="71"/>
  <c r="BK184" i="71"/>
  <c r="BK187" i="71"/>
  <c r="BK190" i="71"/>
  <c r="BK193" i="71"/>
  <c r="BK50" i="71"/>
  <c r="BK142" i="71"/>
  <c r="BK145" i="71"/>
  <c r="BK148" i="71"/>
  <c r="BK186" i="71"/>
  <c r="BK189" i="71"/>
  <c r="BK192" i="71"/>
  <c r="BK5" i="71"/>
  <c r="BK11" i="71"/>
  <c r="BK49" i="71"/>
  <c r="BK141" i="71"/>
  <c r="BK144" i="71"/>
  <c r="BK147" i="71"/>
  <c r="BK10" i="71"/>
  <c r="BK96" i="71"/>
  <c r="BK99" i="71"/>
  <c r="BK185" i="71"/>
  <c r="BK188" i="71"/>
  <c r="BK191" i="71"/>
  <c r="BK8" i="71"/>
  <c r="BK12" i="71"/>
  <c r="BK7" i="71"/>
  <c r="BK13" i="71"/>
  <c r="BK98" i="71"/>
  <c r="BK97" i="71"/>
  <c r="BK94" i="71"/>
  <c r="BK102" i="71"/>
  <c r="BK139" i="71"/>
  <c r="BK101" i="71"/>
  <c r="BK100" i="71"/>
  <c r="BK103" i="71"/>
  <c r="BK52" i="71"/>
  <c r="AF4" i="69"/>
  <c r="AJ4" i="69"/>
  <c r="I11" i="70"/>
  <c r="J11" i="70" s="1"/>
  <c r="K11" i="70" s="1"/>
  <c r="I8" i="70"/>
  <c r="J8" i="70" s="1"/>
  <c r="K8" i="70" s="1"/>
  <c r="L8" i="70" s="1"/>
  <c r="L9" i="70" s="1"/>
  <c r="K27" i="70"/>
  <c r="L27" i="70" s="1"/>
  <c r="CE4" i="75"/>
  <c r="CD4" i="75"/>
  <c r="CF4" i="75"/>
  <c r="CG4" i="75"/>
  <c r="CH4" i="75"/>
  <c r="H12" i="70"/>
  <c r="H9" i="70"/>
  <c r="O97" i="71"/>
  <c r="P105" i="71"/>
  <c r="O110" i="71"/>
  <c r="O104" i="71"/>
  <c r="O98" i="71"/>
  <c r="N106" i="71"/>
  <c r="N100" i="71"/>
  <c r="P110" i="71"/>
  <c r="O103" i="71"/>
  <c r="Q110" i="71"/>
  <c r="T109" i="72"/>
  <c r="N110" i="71"/>
  <c r="Q109" i="71"/>
  <c r="N109" i="71"/>
  <c r="N97" i="71"/>
  <c r="O109" i="71"/>
  <c r="N105" i="71"/>
  <c r="P109" i="71"/>
  <c r="O108" i="71"/>
  <c r="O102" i="71"/>
  <c r="N98" i="71"/>
  <c r="P102" i="71"/>
  <c r="O101" i="71"/>
  <c r="N103" i="71"/>
  <c r="Q108" i="71"/>
  <c r="P107" i="71"/>
  <c r="P101" i="71"/>
  <c r="O106" i="71"/>
  <c r="O100" i="71"/>
  <c r="N108" i="71"/>
  <c r="N102" i="71"/>
  <c r="N96" i="71"/>
  <c r="P104" i="71"/>
  <c r="N99" i="71"/>
  <c r="P103" i="71"/>
  <c r="T103" i="72"/>
  <c r="N104" i="71"/>
  <c r="P108" i="71"/>
  <c r="O107" i="71"/>
  <c r="P106" i="71"/>
  <c r="P100" i="71"/>
  <c r="O105" i="71"/>
  <c r="O99" i="71"/>
  <c r="T106" i="72"/>
  <c r="N107" i="71"/>
  <c r="N101" i="71"/>
  <c r="T94" i="72"/>
  <c r="N95" i="71"/>
  <c r="N108" i="84"/>
  <c r="L112" i="84"/>
  <c r="AA112" i="84" s="1"/>
  <c r="L106" i="84"/>
  <c r="AA106" i="84" s="1"/>
  <c r="L100" i="84"/>
  <c r="AA100" i="84" s="1"/>
  <c r="K108" i="84"/>
  <c r="K102" i="84"/>
  <c r="M107" i="84"/>
  <c r="AB107" i="84" s="1"/>
  <c r="M106" i="84"/>
  <c r="AB106" i="84" s="1"/>
  <c r="L105" i="84"/>
  <c r="AA105" i="84" s="1"/>
  <c r="K101" i="84"/>
  <c r="M111" i="84"/>
  <c r="AB111" i="84" s="1"/>
  <c r="L110" i="84"/>
  <c r="AA110" i="84" s="1"/>
  <c r="K106" i="84"/>
  <c r="N111" i="84"/>
  <c r="AC111" i="84" s="1"/>
  <c r="M104" i="84"/>
  <c r="AB104" i="84" s="1"/>
  <c r="L103" i="84"/>
  <c r="AA103" i="84" s="1"/>
  <c r="K105" i="84"/>
  <c r="N110" i="84"/>
  <c r="AC110" i="84" s="1"/>
  <c r="M103" i="84"/>
  <c r="AB103" i="84" s="1"/>
  <c r="L108" i="84"/>
  <c r="AA108" i="84" s="1"/>
  <c r="L102" i="84"/>
  <c r="AA102" i="84" s="1"/>
  <c r="K110" i="84"/>
  <c r="K104" i="84"/>
  <c r="K98" i="84"/>
  <c r="M112" i="84"/>
  <c r="AB112" i="84" s="1"/>
  <c r="L111" i="84"/>
  <c r="AA111" i="84" s="1"/>
  <c r="L99" i="84"/>
  <c r="AA99" i="84" s="1"/>
  <c r="K107" i="84"/>
  <c r="N112" i="84"/>
  <c r="AC112" i="84" s="1"/>
  <c r="M105" i="84"/>
  <c r="AB105" i="84" s="1"/>
  <c r="L104" i="84"/>
  <c r="AA104" i="84" s="1"/>
  <c r="K112" i="84"/>
  <c r="K100" i="84"/>
  <c r="M110" i="84"/>
  <c r="AB110" i="84" s="1"/>
  <c r="L109" i="84"/>
  <c r="AA109" i="84" s="1"/>
  <c r="K111" i="84"/>
  <c r="K99" i="84"/>
  <c r="M109" i="84"/>
  <c r="AB109" i="84" s="1"/>
  <c r="N109" i="84"/>
  <c r="M108" i="84"/>
  <c r="AB108" i="84" s="1"/>
  <c r="M102" i="84"/>
  <c r="AB102" i="84" s="1"/>
  <c r="L107" i="84"/>
  <c r="AA107" i="84" s="1"/>
  <c r="L101" i="84"/>
  <c r="AA101" i="84" s="1"/>
  <c r="K109" i="84"/>
  <c r="K103" i="84"/>
  <c r="K97" i="84"/>
  <c r="O100" i="72"/>
  <c r="P103" i="84" s="1"/>
  <c r="O108" i="72"/>
  <c r="P111" i="84" s="1"/>
  <c r="AH199" i="69"/>
  <c r="AG199" i="69"/>
  <c r="AF199" i="69"/>
  <c r="AH198" i="69"/>
  <c r="AG198" i="69"/>
  <c r="AF198" i="69"/>
  <c r="AH197" i="69"/>
  <c r="AG197" i="69"/>
  <c r="AF197" i="69"/>
  <c r="AH196" i="69"/>
  <c r="AG196" i="69"/>
  <c r="AF196" i="69"/>
  <c r="AH195" i="69"/>
  <c r="AG195" i="69"/>
  <c r="AF195" i="69"/>
  <c r="AH194" i="69"/>
  <c r="AG194" i="69"/>
  <c r="AF194" i="69"/>
  <c r="AH193" i="69"/>
  <c r="AG193" i="69"/>
  <c r="AF193" i="69"/>
  <c r="AH192" i="69"/>
  <c r="AG192" i="69"/>
  <c r="AF192" i="69"/>
  <c r="AH191" i="69"/>
  <c r="AG191" i="69"/>
  <c r="AF191" i="69"/>
  <c r="AH190" i="69"/>
  <c r="AG190" i="69"/>
  <c r="AF190" i="69"/>
  <c r="AH189" i="69"/>
  <c r="AG189" i="69"/>
  <c r="AF189" i="69"/>
  <c r="AH188" i="69"/>
  <c r="AG188" i="69"/>
  <c r="AF188" i="69"/>
  <c r="AG187" i="69"/>
  <c r="AF187" i="69"/>
  <c r="AG186" i="69"/>
  <c r="AF186" i="69"/>
  <c r="AG185" i="69"/>
  <c r="AF185" i="69"/>
  <c r="AF184" i="69"/>
  <c r="AH154" i="69"/>
  <c r="AG154" i="69"/>
  <c r="AF154" i="69"/>
  <c r="AH153" i="69"/>
  <c r="AG153" i="69"/>
  <c r="AF153" i="69"/>
  <c r="AH152" i="69"/>
  <c r="AG152" i="69"/>
  <c r="AF152" i="69"/>
  <c r="AH151" i="69"/>
  <c r="AG151" i="69"/>
  <c r="AF151" i="69"/>
  <c r="AH150" i="69"/>
  <c r="AG150" i="69"/>
  <c r="AF150" i="69"/>
  <c r="AH149" i="69"/>
  <c r="AG149" i="69"/>
  <c r="AF149" i="69"/>
  <c r="AH148" i="69"/>
  <c r="AG148" i="69"/>
  <c r="AF148" i="69"/>
  <c r="AH147" i="69"/>
  <c r="AG147" i="69"/>
  <c r="AF147" i="69"/>
  <c r="AH146" i="69"/>
  <c r="AG146" i="69"/>
  <c r="AF146" i="69"/>
  <c r="AH145" i="69"/>
  <c r="AG145" i="69"/>
  <c r="AF145" i="69"/>
  <c r="AH144" i="69"/>
  <c r="AG144" i="69"/>
  <c r="AF144" i="69"/>
  <c r="AH143" i="69"/>
  <c r="AG143" i="69"/>
  <c r="AF143" i="69"/>
  <c r="AG142" i="69"/>
  <c r="AF142" i="69"/>
  <c r="AG141" i="69"/>
  <c r="AF141" i="69"/>
  <c r="AG140" i="69"/>
  <c r="AF140" i="69"/>
  <c r="AF139" i="69"/>
  <c r="AH109" i="69"/>
  <c r="AG109" i="69"/>
  <c r="AF109" i="69"/>
  <c r="AH108" i="69"/>
  <c r="AG108" i="69"/>
  <c r="AF108" i="69"/>
  <c r="AH107" i="69"/>
  <c r="AG107" i="69"/>
  <c r="AF107" i="69"/>
  <c r="AH106" i="69"/>
  <c r="AG106" i="69"/>
  <c r="AF106" i="69"/>
  <c r="AH105" i="69"/>
  <c r="AG105" i="69"/>
  <c r="AF105" i="69"/>
  <c r="AH104" i="69"/>
  <c r="AG104" i="69"/>
  <c r="AF104" i="69"/>
  <c r="AH103" i="69"/>
  <c r="AG103" i="69"/>
  <c r="AF103" i="69"/>
  <c r="AH102" i="69"/>
  <c r="AG102" i="69"/>
  <c r="AF102" i="69"/>
  <c r="AH101" i="69"/>
  <c r="AG101" i="69"/>
  <c r="AF101" i="69"/>
  <c r="AH100" i="69"/>
  <c r="AG100" i="69"/>
  <c r="AF100" i="69"/>
  <c r="AH99" i="69"/>
  <c r="AG99" i="69"/>
  <c r="AF99" i="69"/>
  <c r="AJ98" i="69"/>
  <c r="AH98" i="69"/>
  <c r="AG98" i="69"/>
  <c r="AF98" i="69"/>
  <c r="AJ97" i="69"/>
  <c r="AG97" i="69"/>
  <c r="AF97" i="69"/>
  <c r="AJ96" i="69"/>
  <c r="AG96" i="69"/>
  <c r="AF96" i="69"/>
  <c r="AJ95" i="69"/>
  <c r="AG95" i="69"/>
  <c r="AF95" i="69"/>
  <c r="AJ94" i="69"/>
  <c r="AF94" i="69"/>
  <c r="AH64" i="69"/>
  <c r="AG64" i="69"/>
  <c r="AF64" i="69"/>
  <c r="AH63" i="69"/>
  <c r="AG63" i="69"/>
  <c r="AF63" i="69"/>
  <c r="AH62" i="69"/>
  <c r="AG62" i="69"/>
  <c r="AF62" i="69"/>
  <c r="AH61" i="69"/>
  <c r="AG61" i="69"/>
  <c r="AF61" i="69"/>
  <c r="AH60" i="69"/>
  <c r="AG60" i="69"/>
  <c r="AF60" i="69"/>
  <c r="AH59" i="69"/>
  <c r="AG59" i="69"/>
  <c r="AF59" i="69"/>
  <c r="AH58" i="69"/>
  <c r="AG58" i="69"/>
  <c r="AF58" i="69"/>
  <c r="AH57" i="69"/>
  <c r="AG57" i="69"/>
  <c r="AF57" i="69"/>
  <c r="AH56" i="69"/>
  <c r="AG56" i="69"/>
  <c r="AF56" i="69"/>
  <c r="AH55" i="69"/>
  <c r="AG55" i="69"/>
  <c r="AF55" i="69"/>
  <c r="AH54" i="69"/>
  <c r="AG54" i="69"/>
  <c r="AF54" i="69"/>
  <c r="AJ53" i="69"/>
  <c r="AG53" i="69"/>
  <c r="AF53" i="69"/>
  <c r="AJ52" i="69"/>
  <c r="AG52" i="69"/>
  <c r="AF52" i="69"/>
  <c r="AJ51" i="69"/>
  <c r="AG51" i="69"/>
  <c r="AF51" i="69"/>
  <c r="AJ50" i="69"/>
  <c r="AF50" i="69"/>
  <c r="AJ49" i="69"/>
  <c r="AF49" i="69"/>
  <c r="G31" i="72"/>
  <c r="A15" i="68"/>
  <c r="A16" i="68" s="1"/>
  <c r="A17" i="68" s="1"/>
  <c r="A18" i="68" s="1"/>
  <c r="A19" i="68" s="1"/>
  <c r="A20" i="68" s="1"/>
  <c r="A21" i="68" s="1"/>
  <c r="A22" i="68" s="1"/>
  <c r="A23" i="68" s="1"/>
  <c r="A24" i="68" s="1"/>
  <c r="A25" i="68" s="1"/>
  <c r="A26" i="68" s="1"/>
  <c r="A27" i="68" s="1"/>
  <c r="A28" i="68" s="1"/>
  <c r="A29" i="68" s="1"/>
  <c r="A30" i="68" s="1"/>
  <c r="A31" i="68" s="1"/>
  <c r="A32" i="68" s="1"/>
  <c r="A33" i="68" s="1"/>
  <c r="A34" i="68" s="1"/>
  <c r="A35" i="68" s="1"/>
  <c r="A36" i="68" s="1"/>
  <c r="A37" i="68" s="1"/>
  <c r="A38" i="68" s="1"/>
  <c r="A39" i="68" s="1"/>
  <c r="A40" i="68" s="1"/>
  <c r="A41" i="68" s="1"/>
  <c r="A42" i="68" s="1"/>
  <c r="E101" i="90"/>
  <c r="AT101" i="90" s="1"/>
  <c r="E146" i="90"/>
  <c r="AT146" i="90" s="1"/>
  <c r="E57" i="90"/>
  <c r="AT57" i="90" s="1"/>
  <c r="H34" i="72"/>
  <c r="H36" i="72"/>
  <c r="H31" i="72"/>
  <c r="H35" i="72"/>
  <c r="AS97" i="84"/>
  <c r="BH97" i="84" s="1"/>
  <c r="I97" i="84"/>
  <c r="AS53" i="84"/>
  <c r="BI53" i="84" s="1"/>
  <c r="I53" i="84"/>
  <c r="AS60" i="84"/>
  <c r="AI64" i="69"/>
  <c r="AI63" i="69"/>
  <c r="AS57" i="70"/>
  <c r="AQ186" i="70"/>
  <c r="AK186" i="70"/>
  <c r="AQ52" i="70"/>
  <c r="AO53" i="70"/>
  <c r="AE186" i="70"/>
  <c r="Y186" i="70"/>
  <c r="AR189" i="87" s="1"/>
  <c r="AE194" i="70"/>
  <c r="Y194" i="70"/>
  <c r="AR197" i="87" s="1"/>
  <c r="AC51" i="70"/>
  <c r="AV54" i="87" s="1"/>
  <c r="AE52" i="70"/>
  <c r="Y63" i="70"/>
  <c r="AR66" i="87" s="1"/>
  <c r="AS61" i="84"/>
  <c r="AQ60" i="70"/>
  <c r="AS152" i="84"/>
  <c r="BG152" i="84" s="1"/>
  <c r="I64" i="84"/>
  <c r="I65" i="84"/>
  <c r="AS154" i="84"/>
  <c r="BI154" i="84" s="1"/>
  <c r="AS64" i="84"/>
  <c r="BH64" i="84" s="1"/>
  <c r="AS109" i="84"/>
  <c r="BH109" i="84" s="1"/>
  <c r="R99" i="71"/>
  <c r="R98" i="71"/>
  <c r="R97" i="71"/>
  <c r="R96" i="71"/>
  <c r="R95" i="71"/>
  <c r="O110" i="84"/>
  <c r="O108" i="84"/>
  <c r="M98" i="84"/>
  <c r="AB98" i="84" s="1"/>
  <c r="O101" i="84"/>
  <c r="AD101" i="84" s="1"/>
  <c r="M97" i="84"/>
  <c r="O109" i="84"/>
  <c r="O112" i="84"/>
  <c r="O100" i="84"/>
  <c r="AD100" i="84" s="1"/>
  <c r="O97" i="84"/>
  <c r="AD97" i="84" s="1"/>
  <c r="O98" i="84"/>
  <c r="AD98" i="84" s="1"/>
  <c r="O111" i="84"/>
  <c r="O99" i="84"/>
  <c r="AD99" i="84" s="1"/>
  <c r="O104" i="84"/>
  <c r="AS65" i="84"/>
  <c r="AI108" i="69"/>
  <c r="AQ101" i="70"/>
  <c r="AK101" i="70"/>
  <c r="AR14" i="70"/>
  <c r="AR101" i="70"/>
  <c r="AS108" i="70"/>
  <c r="AM108" i="70"/>
  <c r="AS103" i="70"/>
  <c r="AI109" i="69"/>
  <c r="AA16" i="70"/>
  <c r="AT19" i="87" s="1"/>
  <c r="AE101" i="70"/>
  <c r="Y101" i="70"/>
  <c r="AR104" i="87" s="1"/>
  <c r="AG108" i="70"/>
  <c r="AA108" i="70"/>
  <c r="AT111" i="87" s="1"/>
  <c r="AA151" i="70"/>
  <c r="AT154" i="87" s="1"/>
  <c r="AL143" i="70"/>
  <c r="AE9" i="70"/>
  <c r="AC6" i="70"/>
  <c r="AV9" i="87" s="1"/>
  <c r="E14" i="69"/>
  <c r="F14" i="69"/>
  <c r="G14" i="69"/>
  <c r="N21" i="88" s="1"/>
  <c r="H14" i="69"/>
  <c r="D14" i="69"/>
  <c r="K11" i="47"/>
  <c r="J6" i="47"/>
  <c r="Y8" i="51"/>
  <c r="X8" i="51"/>
  <c r="W8" i="51"/>
  <c r="V8" i="51"/>
  <c r="U8" i="51"/>
  <c r="T8" i="51"/>
  <c r="S8" i="51"/>
  <c r="Y9" i="51"/>
  <c r="Y10" i="51"/>
  <c r="Y11" i="51"/>
  <c r="Y12" i="51"/>
  <c r="Y13" i="51"/>
  <c r="Y14" i="51"/>
  <c r="X9" i="51"/>
  <c r="X10" i="51"/>
  <c r="X11" i="51"/>
  <c r="X12" i="51"/>
  <c r="X13" i="51"/>
  <c r="X14" i="51"/>
  <c r="W9" i="51"/>
  <c r="W10" i="51"/>
  <c r="W11" i="51"/>
  <c r="W12" i="51"/>
  <c r="W13" i="51"/>
  <c r="W14" i="51"/>
  <c r="V13" i="51"/>
  <c r="V14" i="51"/>
  <c r="V9" i="51"/>
  <c r="V10" i="51"/>
  <c r="V11" i="51"/>
  <c r="V12" i="51"/>
  <c r="U9" i="51"/>
  <c r="U10" i="51"/>
  <c r="U11" i="51"/>
  <c r="U12" i="51"/>
  <c r="U13" i="51"/>
  <c r="U14" i="51"/>
  <c r="T9" i="51"/>
  <c r="T10" i="51"/>
  <c r="T11" i="51"/>
  <c r="T12" i="51"/>
  <c r="T13" i="51"/>
  <c r="T14" i="51"/>
  <c r="S9" i="51"/>
  <c r="S10" i="51"/>
  <c r="S11" i="51"/>
  <c r="S12" i="51"/>
  <c r="S13" i="51"/>
  <c r="S14" i="51"/>
  <c r="D20" i="50"/>
  <c r="AD49" i="50" s="1"/>
  <c r="D21" i="50"/>
  <c r="AC48" i="50" s="1"/>
  <c r="D22" i="50"/>
  <c r="AC74" i="50" s="1"/>
  <c r="D23" i="50"/>
  <c r="AC32" i="50" s="1"/>
  <c r="D24" i="50"/>
  <c r="AB46" i="50" s="1"/>
  <c r="D25" i="50"/>
  <c r="AC14" i="50" s="1"/>
  <c r="D26" i="50"/>
  <c r="D19" i="50"/>
  <c r="AA37" i="50" s="1"/>
  <c r="D13" i="50"/>
  <c r="D12" i="50"/>
  <c r="D11" i="50"/>
  <c r="D10" i="50"/>
  <c r="D9" i="50"/>
  <c r="D8" i="50"/>
  <c r="D7" i="50"/>
  <c r="D6" i="50"/>
  <c r="AC64" i="50"/>
  <c r="AB66" i="50"/>
  <c r="Z72" i="50"/>
  <c r="AB12" i="50"/>
  <c r="Z80" i="50"/>
  <c r="AC76" i="50"/>
  <c r="AD43" i="50"/>
  <c r="AC43" i="50"/>
  <c r="AL70" i="47"/>
  <c r="AL71" i="47"/>
  <c r="AL72" i="47"/>
  <c r="AL73" i="47"/>
  <c r="AL74" i="47"/>
  <c r="AL75" i="47"/>
  <c r="AL76" i="47"/>
  <c r="AL77" i="47"/>
  <c r="AL78" i="47"/>
  <c r="AL79" i="47"/>
  <c r="AL80" i="47"/>
  <c r="AL81" i="47"/>
  <c r="AL82" i="47"/>
  <c r="AL83" i="47"/>
  <c r="AL84" i="47"/>
  <c r="AL85" i="47"/>
  <c r="AL86" i="47"/>
  <c r="AL87" i="47"/>
  <c r="AL88" i="47"/>
  <c r="AL89" i="47"/>
  <c r="AL90" i="47"/>
  <c r="AL91" i="47"/>
  <c r="AL92" i="47"/>
  <c r="AL93" i="47"/>
  <c r="AL94" i="47"/>
  <c r="AL95" i="47"/>
  <c r="AL96" i="47"/>
  <c r="AL97" i="47"/>
  <c r="AL98" i="47"/>
  <c r="AL99" i="47"/>
  <c r="AL100" i="47"/>
  <c r="AL101" i="47"/>
  <c r="AL102" i="47"/>
  <c r="AL103" i="47"/>
  <c r="Q4" i="47"/>
  <c r="Q5" i="47"/>
  <c r="R5" i="47"/>
  <c r="S5" i="47"/>
  <c r="T5" i="47"/>
  <c r="U5" i="47"/>
  <c r="Q6" i="47"/>
  <c r="R6" i="47"/>
  <c r="S6" i="47"/>
  <c r="T6" i="47"/>
  <c r="U6" i="47"/>
  <c r="Q7" i="47"/>
  <c r="R7" i="47"/>
  <c r="S7" i="47"/>
  <c r="T7" i="47"/>
  <c r="U7" i="47"/>
  <c r="Q8" i="47"/>
  <c r="R8" i="47"/>
  <c r="T8" i="47"/>
  <c r="U8" i="47"/>
  <c r="Q9" i="47"/>
  <c r="R9" i="47"/>
  <c r="T9" i="47"/>
  <c r="U9" i="47"/>
  <c r="Q10" i="47"/>
  <c r="R10" i="47"/>
  <c r="T10" i="47"/>
  <c r="U10" i="47"/>
  <c r="R4" i="47"/>
  <c r="S4" i="47"/>
  <c r="T4" i="47"/>
  <c r="U4" i="47"/>
  <c r="J7" i="47"/>
  <c r="K7" i="47"/>
  <c r="L7" i="47"/>
  <c r="M7" i="47"/>
  <c r="N7" i="47"/>
  <c r="J8" i="47"/>
  <c r="K8" i="47"/>
  <c r="L8" i="47"/>
  <c r="M8" i="47"/>
  <c r="N8" i="47"/>
  <c r="J9" i="47"/>
  <c r="K9" i="47"/>
  <c r="L9" i="47"/>
  <c r="M9" i="47"/>
  <c r="N9" i="47"/>
  <c r="J10" i="47"/>
  <c r="K10" i="47"/>
  <c r="L10" i="47"/>
  <c r="M10" i="47"/>
  <c r="N10" i="47"/>
  <c r="J11" i="47"/>
  <c r="L11" i="47"/>
  <c r="M11" i="47"/>
  <c r="N11" i="47"/>
  <c r="J12" i="47"/>
  <c r="K12" i="47"/>
  <c r="L12" i="47"/>
  <c r="M12" i="47"/>
  <c r="N12" i="47"/>
  <c r="J13" i="47"/>
  <c r="K13" i="47"/>
  <c r="L13" i="47"/>
  <c r="M13" i="47"/>
  <c r="N13" i="47"/>
  <c r="J14" i="47"/>
  <c r="K14" i="47"/>
  <c r="L14" i="47"/>
  <c r="M14" i="47"/>
  <c r="N14" i="47"/>
  <c r="J15" i="47"/>
  <c r="K15" i="47"/>
  <c r="L15" i="47"/>
  <c r="M15" i="47"/>
  <c r="N15" i="47"/>
  <c r="J16" i="47"/>
  <c r="K16" i="47"/>
  <c r="L16" i="47"/>
  <c r="AH6" i="47" s="1"/>
  <c r="M16" i="47"/>
  <c r="N16" i="47"/>
  <c r="J17" i="47"/>
  <c r="K17" i="47"/>
  <c r="L17" i="47"/>
  <c r="M17" i="47"/>
  <c r="N17" i="47"/>
  <c r="J18" i="47"/>
  <c r="K18" i="47"/>
  <c r="L18" i="47"/>
  <c r="M18" i="47"/>
  <c r="N18" i="47"/>
  <c r="J19" i="47"/>
  <c r="K19" i="47"/>
  <c r="L19" i="47"/>
  <c r="M19" i="47"/>
  <c r="N19" i="47"/>
  <c r="J20" i="47"/>
  <c r="K20" i="47"/>
  <c r="L20" i="47"/>
  <c r="M20" i="47"/>
  <c r="N20" i="47"/>
  <c r="J21" i="47"/>
  <c r="K21" i="47"/>
  <c r="L21" i="47"/>
  <c r="M21" i="47"/>
  <c r="N21" i="47"/>
  <c r="J22" i="47"/>
  <c r="K22" i="47"/>
  <c r="L22" i="47"/>
  <c r="M22" i="47"/>
  <c r="N22" i="47"/>
  <c r="J23" i="47"/>
  <c r="K23" i="47"/>
  <c r="L23" i="47"/>
  <c r="M23" i="47"/>
  <c r="N23" i="47"/>
  <c r="J24" i="47"/>
  <c r="K24" i="47"/>
  <c r="L24" i="47"/>
  <c r="M24" i="47"/>
  <c r="N24" i="47"/>
  <c r="K25" i="47"/>
  <c r="L25" i="47"/>
  <c r="M25" i="47"/>
  <c r="N25" i="47"/>
  <c r="K26" i="47"/>
  <c r="L26" i="47"/>
  <c r="M26" i="47"/>
  <c r="N26" i="47"/>
  <c r="K27" i="47"/>
  <c r="L27" i="47"/>
  <c r="M27" i="47"/>
  <c r="N27" i="47"/>
  <c r="K28" i="47"/>
  <c r="L28" i="47"/>
  <c r="M28" i="47"/>
  <c r="N28" i="47"/>
  <c r="K29" i="47"/>
  <c r="L29" i="47"/>
  <c r="M29" i="47"/>
  <c r="N29" i="47"/>
  <c r="K30" i="47"/>
  <c r="L30" i="47"/>
  <c r="M30" i="47"/>
  <c r="N30" i="47"/>
  <c r="K31" i="47"/>
  <c r="L31" i="47"/>
  <c r="M31" i="47"/>
  <c r="N31" i="47"/>
  <c r="K32" i="47"/>
  <c r="L32" i="47"/>
  <c r="M32" i="47"/>
  <c r="N32" i="47"/>
  <c r="K33" i="47"/>
  <c r="L33" i="47"/>
  <c r="M33" i="47"/>
  <c r="N33" i="47"/>
  <c r="K34" i="47"/>
  <c r="L34" i="47"/>
  <c r="M34" i="47"/>
  <c r="N34" i="47"/>
  <c r="K35" i="47"/>
  <c r="L35" i="47"/>
  <c r="M35" i="47"/>
  <c r="N35" i="47"/>
  <c r="K36" i="47"/>
  <c r="L36" i="47"/>
  <c r="M36" i="47"/>
  <c r="N36" i="47"/>
  <c r="K37" i="47"/>
  <c r="L37" i="47"/>
  <c r="M37" i="47"/>
  <c r="N37" i="47"/>
  <c r="K38" i="47"/>
  <c r="L38" i="47"/>
  <c r="M38" i="47"/>
  <c r="N38" i="47"/>
  <c r="K39" i="47"/>
  <c r="L39" i="47"/>
  <c r="M39" i="47"/>
  <c r="AH10" i="47"/>
  <c r="N39" i="47"/>
  <c r="K40" i="47"/>
  <c r="L40" i="47"/>
  <c r="M40" i="47"/>
  <c r="N40" i="47"/>
  <c r="K41" i="47"/>
  <c r="L41" i="47"/>
  <c r="M41" i="47"/>
  <c r="N41" i="47"/>
  <c r="K42" i="47"/>
  <c r="L42" i="47"/>
  <c r="M42" i="47"/>
  <c r="N42" i="47"/>
  <c r="K43" i="47"/>
  <c r="L43" i="47"/>
  <c r="M43" i="47"/>
  <c r="N43" i="47"/>
  <c r="K44" i="47"/>
  <c r="L44" i="47"/>
  <c r="M44" i="47"/>
  <c r="AH11" i="47" s="1"/>
  <c r="N44" i="47"/>
  <c r="K45" i="47"/>
  <c r="L45" i="47"/>
  <c r="M45" i="47"/>
  <c r="N45" i="47"/>
  <c r="K46" i="47"/>
  <c r="L46" i="47"/>
  <c r="M46" i="47"/>
  <c r="N46" i="47"/>
  <c r="K47" i="47"/>
  <c r="L47" i="47"/>
  <c r="M47" i="47"/>
  <c r="N47" i="47"/>
  <c r="K48" i="47"/>
  <c r="L48" i="47"/>
  <c r="M48" i="47"/>
  <c r="N48" i="47"/>
  <c r="K49" i="47"/>
  <c r="L49" i="47"/>
  <c r="M49" i="47"/>
  <c r="N49" i="47"/>
  <c r="K50" i="47"/>
  <c r="L50" i="47"/>
  <c r="M50" i="47"/>
  <c r="N50" i="47"/>
  <c r="K51" i="47"/>
  <c r="L51" i="47"/>
  <c r="M51" i="47"/>
  <c r="N51" i="47"/>
  <c r="K52" i="47"/>
  <c r="L52" i="47"/>
  <c r="M52" i="47"/>
  <c r="N52" i="47"/>
  <c r="K53" i="47"/>
  <c r="L53" i="47"/>
  <c r="M53" i="47"/>
  <c r="N53" i="47"/>
  <c r="K54" i="47"/>
  <c r="L54" i="47"/>
  <c r="M54" i="47"/>
  <c r="AH12" i="47" s="1"/>
  <c r="N54" i="47"/>
  <c r="K55" i="47"/>
  <c r="L55" i="47"/>
  <c r="M55" i="47"/>
  <c r="N55" i="47"/>
  <c r="K56" i="47"/>
  <c r="L56" i="47"/>
  <c r="M56" i="47"/>
  <c r="N56" i="47"/>
  <c r="K57" i="47"/>
  <c r="L57" i="47"/>
  <c r="M57" i="47"/>
  <c r="N57" i="47"/>
  <c r="K58" i="47"/>
  <c r="L58" i="47"/>
  <c r="M58" i="47"/>
  <c r="N58" i="47"/>
  <c r="K59" i="47"/>
  <c r="L59" i="47"/>
  <c r="M59" i="47"/>
  <c r="N59" i="47"/>
  <c r="K60" i="47"/>
  <c r="L60" i="47"/>
  <c r="M60" i="47"/>
  <c r="N60" i="47"/>
  <c r="K61" i="47"/>
  <c r="L61" i="47"/>
  <c r="M61" i="47"/>
  <c r="N61" i="47"/>
  <c r="K62" i="47"/>
  <c r="L62" i="47"/>
  <c r="M62" i="47"/>
  <c r="N62" i="47"/>
  <c r="K63" i="47"/>
  <c r="L63" i="47"/>
  <c r="M63" i="47"/>
  <c r="N63" i="47"/>
  <c r="K64" i="47"/>
  <c r="L64" i="47"/>
  <c r="M64" i="47"/>
  <c r="AH13" i="47" s="1"/>
  <c r="N64" i="47"/>
  <c r="K65" i="47"/>
  <c r="L65" i="47"/>
  <c r="M65" i="47"/>
  <c r="N65" i="47"/>
  <c r="K66" i="47"/>
  <c r="L66" i="47"/>
  <c r="M66" i="47"/>
  <c r="N66" i="47"/>
  <c r="K67" i="47"/>
  <c r="L67" i="47"/>
  <c r="M67" i="47"/>
  <c r="N67" i="47"/>
  <c r="K68" i="47"/>
  <c r="L68" i="47"/>
  <c r="M68" i="47"/>
  <c r="N68" i="47"/>
  <c r="K69" i="47"/>
  <c r="L69" i="47"/>
  <c r="M69" i="47"/>
  <c r="N69" i="47"/>
  <c r="K70" i="47"/>
  <c r="L70" i="47"/>
  <c r="M70" i="47"/>
  <c r="N70" i="47"/>
  <c r="K71" i="47"/>
  <c r="L71" i="47"/>
  <c r="M71" i="47"/>
  <c r="N71" i="47"/>
  <c r="K72" i="47"/>
  <c r="L72" i="47"/>
  <c r="M72" i="47"/>
  <c r="N72" i="47"/>
  <c r="K73" i="47"/>
  <c r="L73" i="47"/>
  <c r="M73" i="47"/>
  <c r="N73" i="47"/>
  <c r="K74" i="47"/>
  <c r="L74" i="47"/>
  <c r="M74" i="47"/>
  <c r="AH14" i="47" s="1"/>
  <c r="N74" i="47"/>
  <c r="K75" i="47"/>
  <c r="L75" i="47"/>
  <c r="M75" i="47"/>
  <c r="N75" i="47"/>
  <c r="K76" i="47"/>
  <c r="L76" i="47"/>
  <c r="M76" i="47"/>
  <c r="N76" i="47"/>
  <c r="K77" i="47"/>
  <c r="L77" i="47"/>
  <c r="M77" i="47"/>
  <c r="N77" i="47"/>
  <c r="K78" i="47"/>
  <c r="L78" i="47"/>
  <c r="M78" i="47"/>
  <c r="N78" i="47"/>
  <c r="K79" i="47"/>
  <c r="L79" i="47"/>
  <c r="M79" i="47"/>
  <c r="N79" i="47"/>
  <c r="K80" i="47"/>
  <c r="L80" i="47"/>
  <c r="M80" i="47"/>
  <c r="N80" i="47"/>
  <c r="K81" i="47"/>
  <c r="L81" i="47"/>
  <c r="M81" i="47"/>
  <c r="N81" i="47"/>
  <c r="K82" i="47"/>
  <c r="L82" i="47"/>
  <c r="M82" i="47"/>
  <c r="N82" i="47"/>
  <c r="K83" i="47"/>
  <c r="L83" i="47"/>
  <c r="M83" i="47"/>
  <c r="N83" i="47"/>
  <c r="K84" i="47"/>
  <c r="L84" i="47"/>
  <c r="M84" i="47"/>
  <c r="AH15" i="47" s="1"/>
  <c r="N84" i="47"/>
  <c r="K85" i="47"/>
  <c r="L85" i="47"/>
  <c r="M85" i="47"/>
  <c r="N85" i="47"/>
  <c r="K86" i="47"/>
  <c r="L86" i="47"/>
  <c r="M86" i="47"/>
  <c r="N86" i="47"/>
  <c r="K87" i="47"/>
  <c r="L87" i="47"/>
  <c r="M87" i="47"/>
  <c r="N87" i="47"/>
  <c r="K88" i="47"/>
  <c r="L88" i="47"/>
  <c r="M88" i="47"/>
  <c r="N88" i="47"/>
  <c r="K89" i="47"/>
  <c r="L89" i="47"/>
  <c r="M89" i="47"/>
  <c r="N89" i="47"/>
  <c r="K90" i="47"/>
  <c r="L90" i="47"/>
  <c r="M90" i="47"/>
  <c r="N90" i="47"/>
  <c r="K91" i="47"/>
  <c r="L91" i="47"/>
  <c r="M91" i="47"/>
  <c r="N91" i="47"/>
  <c r="K92" i="47"/>
  <c r="L92" i="47"/>
  <c r="M92" i="47"/>
  <c r="N92" i="47"/>
  <c r="K93" i="47"/>
  <c r="L93" i="47"/>
  <c r="M93" i="47"/>
  <c r="N93" i="47"/>
  <c r="K94" i="47"/>
  <c r="L94" i="47"/>
  <c r="M94" i="47"/>
  <c r="AH16" i="47" s="1"/>
  <c r="N94" i="47"/>
  <c r="K95" i="47"/>
  <c r="L95" i="47"/>
  <c r="M95" i="47"/>
  <c r="N95" i="47"/>
  <c r="K96" i="47"/>
  <c r="L96" i="47"/>
  <c r="M96" i="47"/>
  <c r="N96" i="47"/>
  <c r="K97" i="47"/>
  <c r="L97" i="47"/>
  <c r="M97" i="47"/>
  <c r="N97" i="47"/>
  <c r="K98" i="47"/>
  <c r="L98" i="47"/>
  <c r="M98" i="47"/>
  <c r="N98" i="47"/>
  <c r="K99" i="47"/>
  <c r="L99" i="47"/>
  <c r="M99" i="47"/>
  <c r="N99" i="47"/>
  <c r="K100" i="47"/>
  <c r="L100" i="47"/>
  <c r="M100" i="47"/>
  <c r="N100" i="47"/>
  <c r="K101" i="47"/>
  <c r="L101" i="47"/>
  <c r="M101" i="47"/>
  <c r="N101" i="47"/>
  <c r="K102" i="47"/>
  <c r="L102" i="47"/>
  <c r="M102" i="47"/>
  <c r="N102" i="47"/>
  <c r="K103" i="47"/>
  <c r="L103" i="47"/>
  <c r="M103" i="47"/>
  <c r="N103" i="47"/>
  <c r="K104" i="47"/>
  <c r="L104" i="47"/>
  <c r="M104" i="47"/>
  <c r="AH17" i="47" s="1"/>
  <c r="N104" i="47"/>
  <c r="K6" i="47"/>
  <c r="L6" i="47"/>
  <c r="M6" i="47"/>
  <c r="N6" i="47"/>
  <c r="K5" i="47"/>
  <c r="L5" i="47"/>
  <c r="M5" i="47"/>
  <c r="N5" i="47"/>
  <c r="J5" i="47"/>
  <c r="AH187" i="69"/>
  <c r="AH142" i="69"/>
  <c r="W14" i="50"/>
  <c r="W11" i="50"/>
  <c r="W36" i="50"/>
  <c r="X36" i="50" s="1"/>
  <c r="W51" i="50"/>
  <c r="R9" i="51"/>
  <c r="W12" i="50"/>
  <c r="W34" i="50"/>
  <c r="X34" i="50" s="1"/>
  <c r="W47" i="50"/>
  <c r="BH18" i="90"/>
  <c r="BH62" i="90"/>
  <c r="BH106" i="90"/>
  <c r="BH112" i="90"/>
  <c r="BH146" i="90"/>
  <c r="BH152" i="90"/>
  <c r="BH22" i="90"/>
  <c r="BH63" i="90"/>
  <c r="BH58" i="90"/>
  <c r="BH60" i="90"/>
  <c r="BH57" i="90"/>
  <c r="BH61" i="90"/>
  <c r="BH161" i="90"/>
  <c r="BH113" i="90"/>
  <c r="BH64" i="90"/>
  <c r="BH158" i="90"/>
  <c r="BH107" i="90"/>
  <c r="BH155" i="90"/>
  <c r="BH191" i="90"/>
  <c r="BH147" i="90"/>
  <c r="BH160" i="90"/>
  <c r="BH13" i="90"/>
  <c r="BH59" i="90"/>
  <c r="BH105" i="90"/>
  <c r="BH24" i="90"/>
  <c r="BH21" i="90"/>
  <c r="BH102" i="90"/>
  <c r="BH108" i="90"/>
  <c r="BH114" i="90"/>
  <c r="BH148" i="90"/>
  <c r="BH154" i="90"/>
  <c r="BH156" i="90"/>
  <c r="BH11" i="90"/>
  <c r="BH17" i="90"/>
  <c r="BH23" i="90"/>
  <c r="BH68" i="90"/>
  <c r="BH116" i="90"/>
  <c r="BH110" i="90"/>
  <c r="BH65" i="90"/>
  <c r="BH103" i="90"/>
  <c r="BH109" i="90"/>
  <c r="BH115" i="90"/>
  <c r="BH149" i="90"/>
  <c r="BH15" i="90"/>
  <c r="BH66" i="90"/>
  <c r="BH16" i="90"/>
  <c r="BH25" i="90"/>
  <c r="BH56" i="90"/>
  <c r="BH150" i="90"/>
  <c r="BH104" i="90"/>
  <c r="BH19" i="90"/>
  <c r="BH111" i="90"/>
  <c r="BH151" i="90"/>
  <c r="BH70" i="90"/>
  <c r="BH26" i="90"/>
  <c r="BH71" i="90"/>
  <c r="BH153" i="90"/>
  <c r="BH14" i="90"/>
  <c r="BH69" i="90"/>
  <c r="BH101" i="90"/>
  <c r="BH20" i="90"/>
  <c r="BH67" i="90"/>
  <c r="BH12" i="90"/>
  <c r="BH159" i="90"/>
  <c r="BH157" i="90"/>
  <c r="C105" i="90"/>
  <c r="C14" i="90"/>
  <c r="AC188" i="70"/>
  <c r="AV191" i="87" s="1"/>
  <c r="AU189" i="70"/>
  <c r="AU55" i="70"/>
  <c r="AO100" i="70"/>
  <c r="AI99" i="70"/>
  <c r="AU190" i="70"/>
  <c r="AU143" i="70"/>
  <c r="AD152" i="68"/>
  <c r="AD197" i="68"/>
  <c r="R142" i="71"/>
  <c r="R145" i="71"/>
  <c r="R185" i="71"/>
  <c r="R189" i="71"/>
  <c r="R186" i="71"/>
  <c r="R190" i="71"/>
  <c r="P97" i="71"/>
  <c r="R56" i="71"/>
  <c r="R144" i="71"/>
  <c r="R141" i="71"/>
  <c r="R146" i="71"/>
  <c r="R140" i="71"/>
  <c r="R191" i="71"/>
  <c r="R143" i="71"/>
  <c r="R187" i="71"/>
  <c r="R100" i="71"/>
  <c r="R101" i="71"/>
  <c r="C197" i="90"/>
  <c r="C111" i="90"/>
  <c r="C71" i="90"/>
  <c r="C151" i="90"/>
  <c r="C65" i="90"/>
  <c r="C20" i="90"/>
  <c r="AO54" i="70"/>
  <c r="R55" i="71"/>
  <c r="P9" i="71"/>
  <c r="P54" i="71"/>
  <c r="P52" i="71"/>
  <c r="P10" i="71"/>
  <c r="P53" i="71"/>
  <c r="P98" i="71"/>
  <c r="P8" i="71"/>
  <c r="P7" i="71"/>
  <c r="AA8" i="70"/>
  <c r="AT11" i="87" s="1"/>
  <c r="AG4" i="69"/>
  <c r="Z4" i="69"/>
  <c r="AC185" i="69"/>
  <c r="AC184" i="69"/>
  <c r="AJ142" i="69"/>
  <c r="AJ184" i="69"/>
  <c r="J187" i="89"/>
  <c r="N191" i="90" s="1"/>
  <c r="AJ186" i="69"/>
  <c r="J142" i="89"/>
  <c r="AJ139" i="69"/>
  <c r="J188" i="89"/>
  <c r="N192" i="90" s="1"/>
  <c r="AJ185" i="69"/>
  <c r="J190" i="89"/>
  <c r="N194" i="90" s="1"/>
  <c r="AJ187" i="69"/>
  <c r="AC186" i="69"/>
  <c r="AC139" i="69"/>
  <c r="AC187" i="69"/>
  <c r="AC141" i="69"/>
  <c r="AC140" i="69"/>
  <c r="AC142" i="69"/>
  <c r="J189" i="89"/>
  <c r="AJ140" i="69"/>
  <c r="J145" i="89"/>
  <c r="O145" i="89" s="1"/>
  <c r="J144" i="89"/>
  <c r="O144" i="89" s="1"/>
  <c r="AJ141" i="69"/>
  <c r="J143" i="89"/>
  <c r="O143" i="89" s="1"/>
  <c r="W72" i="50"/>
  <c r="W58" i="50"/>
  <c r="X58" i="50" s="1"/>
  <c r="W43" i="50"/>
  <c r="W27" i="50"/>
  <c r="X27" i="50" s="1"/>
  <c r="AI187" i="70"/>
  <c r="AA50" i="70"/>
  <c r="AT53" i="87" s="1"/>
  <c r="W197" i="68"/>
  <c r="AM140" i="70"/>
  <c r="W152" i="68"/>
  <c r="Q140" i="95" s="1"/>
  <c r="AA186" i="70"/>
  <c r="AT189" i="87" s="1"/>
  <c r="AB197" i="68"/>
  <c r="AB152" i="68"/>
  <c r="R188" i="71"/>
  <c r="P186" i="71"/>
  <c r="P187" i="71"/>
  <c r="P6" i="71"/>
  <c r="P140" i="71"/>
  <c r="P51" i="71"/>
  <c r="P185" i="71"/>
  <c r="P141" i="71"/>
  <c r="P96" i="71"/>
  <c r="P142" i="71"/>
  <c r="AG4" i="18"/>
  <c r="AH4" i="18"/>
  <c r="AB154" i="69"/>
  <c r="AB198" i="69"/>
  <c r="AA141" i="69"/>
  <c r="AA140" i="69"/>
  <c r="AA186" i="69"/>
  <c r="AH185" i="69"/>
  <c r="AG139" i="69"/>
  <c r="AI198" i="69"/>
  <c r="AH140" i="69"/>
  <c r="AI199" i="69"/>
  <c r="AH141" i="69"/>
  <c r="AH184" i="69"/>
  <c r="AH139" i="69"/>
  <c r="AI153" i="69"/>
  <c r="AI154" i="69"/>
  <c r="AH186" i="69"/>
  <c r="AG184" i="69"/>
  <c r="AB199" i="69"/>
  <c r="AB153" i="69"/>
  <c r="Z184" i="69"/>
  <c r="AA184" i="69"/>
  <c r="AA139" i="69"/>
  <c r="Z139" i="69"/>
  <c r="AA185" i="69"/>
  <c r="AF4" i="18"/>
  <c r="AE4" i="18"/>
  <c r="AA50" i="69"/>
  <c r="AH53" i="69"/>
  <c r="AH51" i="69"/>
  <c r="AH50" i="69"/>
  <c r="Z50" i="69"/>
  <c r="AH52" i="69"/>
  <c r="AG50" i="69"/>
  <c r="AA51" i="69"/>
  <c r="AA53" i="69"/>
  <c r="AA52" i="69"/>
  <c r="Z49" i="69"/>
  <c r="AG49" i="69"/>
  <c r="AA97" i="69"/>
  <c r="AA96" i="69"/>
  <c r="AH95" i="69"/>
  <c r="AH97" i="69"/>
  <c r="AH96" i="69"/>
  <c r="AA95" i="69"/>
  <c r="J57" i="89"/>
  <c r="N61" i="90" s="1"/>
  <c r="AC54" i="69"/>
  <c r="AC55" i="69"/>
  <c r="AJ55" i="69"/>
  <c r="J58" i="89"/>
  <c r="O58" i="89" s="1"/>
  <c r="AJ99" i="69"/>
  <c r="AJ54" i="69"/>
  <c r="J13" i="89"/>
  <c r="N17" i="90" s="1"/>
  <c r="J12" i="89"/>
  <c r="N16" i="90" s="1"/>
  <c r="J103" i="89"/>
  <c r="AJ100" i="69"/>
  <c r="AC99" i="69"/>
  <c r="AC100" i="69"/>
  <c r="J102" i="89"/>
  <c r="N106" i="90" s="1"/>
  <c r="J147" i="89"/>
  <c r="N151" i="90" s="1"/>
  <c r="J146" i="89"/>
  <c r="N150" i="90" s="1"/>
  <c r="AJ143" i="69"/>
  <c r="AJ144" i="69"/>
  <c r="J191" i="89"/>
  <c r="N195" i="90" s="1"/>
  <c r="AJ188" i="69"/>
  <c r="AJ189" i="69"/>
  <c r="J192" i="89"/>
  <c r="AC188" i="69"/>
  <c r="AC143" i="69"/>
  <c r="AC144" i="69"/>
  <c r="AC189" i="69"/>
  <c r="R62" i="69"/>
  <c r="AB62" i="69"/>
  <c r="AI62" i="69"/>
  <c r="AG94" i="69"/>
  <c r="R152" i="69"/>
  <c r="R107" i="69"/>
  <c r="Z94" i="69"/>
  <c r="AB152" i="69"/>
  <c r="AB107" i="69"/>
  <c r="AI107" i="69"/>
  <c r="AI152" i="69"/>
  <c r="AC145" i="69"/>
  <c r="R197" i="69"/>
  <c r="AB197" i="69"/>
  <c r="AI197" i="69"/>
  <c r="AJ145" i="69"/>
  <c r="J148" i="89"/>
  <c r="N152" i="90" s="1"/>
  <c r="AJ190" i="69"/>
  <c r="J193" i="89"/>
  <c r="AC190" i="69"/>
  <c r="BW190" i="71"/>
  <c r="BW191" i="71" s="1"/>
  <c r="BW192" i="71" s="1"/>
  <c r="BW193" i="71" s="1"/>
  <c r="BW194" i="71" s="1"/>
  <c r="BW195" i="71" s="1"/>
  <c r="BW196" i="71" s="1"/>
  <c r="BW197" i="71" s="1"/>
  <c r="BW198" i="71" s="1"/>
  <c r="BW199" i="71" s="1"/>
  <c r="BW145" i="71"/>
  <c r="BW146" i="71" s="1"/>
  <c r="BW147" i="71" s="1"/>
  <c r="BW148" i="71" s="1"/>
  <c r="BW149" i="71" s="1"/>
  <c r="BW150" i="71" s="1"/>
  <c r="BW151" i="71" s="1"/>
  <c r="BW152" i="71" s="1"/>
  <c r="BW153" i="71" s="1"/>
  <c r="BW154" i="71" s="1"/>
  <c r="BW55" i="71"/>
  <c r="BW56" i="71" s="1"/>
  <c r="BW57" i="71" s="1"/>
  <c r="BW58" i="71" s="1"/>
  <c r="BW59" i="71" s="1"/>
  <c r="BW60" i="71" s="1"/>
  <c r="BW61" i="71" s="1"/>
  <c r="BW62" i="71" s="1"/>
  <c r="BW63" i="71" s="1"/>
  <c r="BW64" i="71" s="1"/>
  <c r="BW100" i="71"/>
  <c r="BW101" i="71" s="1"/>
  <c r="BW102" i="71" s="1"/>
  <c r="BW103" i="71" s="1"/>
  <c r="BW104" i="71" s="1"/>
  <c r="BW105" i="71" s="1"/>
  <c r="BW106" i="71" s="1"/>
  <c r="BW107" i="71" s="1"/>
  <c r="BW108" i="71" s="1"/>
  <c r="BW109" i="71" s="1"/>
  <c r="BB171" i="95"/>
  <c r="BA172" i="95"/>
  <c r="BA173" i="95" s="1"/>
  <c r="BA174" i="95" s="1"/>
  <c r="BA175" i="95" s="1"/>
  <c r="BB218" i="95"/>
  <c r="AV216" i="95"/>
  <c r="AQ171" i="95"/>
  <c r="AZ124" i="95"/>
  <c r="AQ84" i="95"/>
  <c r="AQ85" i="95" s="1"/>
  <c r="AQ86" i="95" s="1"/>
  <c r="BA34" i="95"/>
  <c r="AW219" i="95"/>
  <c r="AP35" i="95"/>
  <c r="AU175" i="95"/>
  <c r="AV81" i="95"/>
  <c r="BA176" i="95"/>
  <c r="AR171" i="95"/>
  <c r="AR213" i="95"/>
  <c r="AZ79" i="95"/>
  <c r="BA222" i="95"/>
  <c r="AV37" i="95"/>
  <c r="AP127" i="95"/>
  <c r="AQ127" i="95"/>
  <c r="AU125" i="95"/>
  <c r="AQ213" i="95"/>
  <c r="BA79" i="95"/>
  <c r="AV129" i="95"/>
  <c r="AU43" i="95"/>
  <c r="AP215" i="95"/>
  <c r="AZ173" i="95"/>
  <c r="AZ174" i="95" s="1"/>
  <c r="AV171" i="95"/>
  <c r="AV172" i="95" s="1"/>
  <c r="AU84" i="95"/>
  <c r="BA130" i="95"/>
  <c r="BA131" i="95" s="1"/>
  <c r="AZ175" i="95"/>
  <c r="AQ87" i="95"/>
  <c r="AZ214" i="95"/>
  <c r="AU213" i="95"/>
  <c r="AQ36" i="95"/>
  <c r="AQ37" i="95" s="1"/>
  <c r="AP173" i="95"/>
  <c r="AZ37" i="95"/>
  <c r="AW170" i="95"/>
  <c r="BA132" i="95"/>
  <c r="AP79" i="95"/>
  <c r="R197" i="90"/>
  <c r="R193" i="90"/>
  <c r="R192" i="90"/>
  <c r="R194" i="90"/>
  <c r="R196" i="90"/>
  <c r="R195" i="90"/>
  <c r="C31" i="84" l="1"/>
  <c r="K30" i="94" s="1"/>
  <c r="AS201" i="84"/>
  <c r="BH201" i="84" s="1"/>
  <c r="E205" i="90"/>
  <c r="AT205" i="90" s="1"/>
  <c r="AS195" i="84"/>
  <c r="BI195" i="84" s="1"/>
  <c r="E199" i="90"/>
  <c r="AT199" i="90" s="1"/>
  <c r="O189" i="89"/>
  <c r="N193" i="90"/>
  <c r="AS200" i="84"/>
  <c r="BG200" i="84" s="1"/>
  <c r="E204" i="90"/>
  <c r="AT204" i="90" s="1"/>
  <c r="C25" i="90"/>
  <c r="AS193" i="84"/>
  <c r="E197" i="90"/>
  <c r="AT197" i="90" s="1"/>
  <c r="O192" i="89"/>
  <c r="N196" i="90"/>
  <c r="O193" i="89"/>
  <c r="N197" i="90"/>
  <c r="I198" i="84"/>
  <c r="E202" i="90"/>
  <c r="AT202" i="90" s="1"/>
  <c r="AS67" i="84"/>
  <c r="BI67" i="84" s="1"/>
  <c r="E71" i="90"/>
  <c r="I196" i="84"/>
  <c r="E200" i="90"/>
  <c r="AT200" i="90" s="1"/>
  <c r="AS190" i="84"/>
  <c r="BH190" i="84" s="1"/>
  <c r="E194" i="90"/>
  <c r="AT194" i="90" s="1"/>
  <c r="C59" i="90"/>
  <c r="C155" i="90"/>
  <c r="C157" i="90"/>
  <c r="C191" i="90"/>
  <c r="C201" i="90"/>
  <c r="C203" i="90"/>
  <c r="C18" i="90"/>
  <c r="C49" i="90"/>
  <c r="Z50" i="50"/>
  <c r="AD31" i="50"/>
  <c r="AC27" i="50"/>
  <c r="U104" i="72"/>
  <c r="Z34" i="50"/>
  <c r="U194" i="72"/>
  <c r="AH8" i="47"/>
  <c r="Z30" i="50"/>
  <c r="E63" i="90"/>
  <c r="AT63" i="90" s="1"/>
  <c r="AD46" i="50"/>
  <c r="Z47" i="50"/>
  <c r="Z62" i="50"/>
  <c r="O55" i="72"/>
  <c r="P58" i="84" s="1"/>
  <c r="AD27" i="50"/>
  <c r="Z29" i="50"/>
  <c r="AD66" i="50"/>
  <c r="AB29" i="50"/>
  <c r="Z32" i="50"/>
  <c r="AD45" i="50"/>
  <c r="Z33" i="50"/>
  <c r="AH9" i="47"/>
  <c r="AA31" i="50"/>
  <c r="AC44" i="50"/>
  <c r="Z45" i="50"/>
  <c r="AD51" i="50"/>
  <c r="AA32" i="50"/>
  <c r="AB49" i="50"/>
  <c r="X77" i="88"/>
  <c r="S77" i="88" s="1"/>
  <c r="AC51" i="50"/>
  <c r="AB30" i="50"/>
  <c r="AB43" i="50"/>
  <c r="AB44" i="50"/>
  <c r="Z51" i="50"/>
  <c r="AB31" i="50"/>
  <c r="AB9" i="50"/>
  <c r="AA50" i="50"/>
  <c r="AC29" i="50"/>
  <c r="AA34" i="50"/>
  <c r="AA43" i="50"/>
  <c r="AB50" i="50"/>
  <c r="AC30" i="50"/>
  <c r="AC12" i="50"/>
  <c r="C16" i="90"/>
  <c r="AC47" i="50"/>
  <c r="AC28" i="50"/>
  <c r="AB33" i="50"/>
  <c r="AD34" i="50"/>
  <c r="AD47" i="50"/>
  <c r="AD29" i="50"/>
  <c r="AC61" i="50"/>
  <c r="AE28" i="71"/>
  <c r="C68" i="90"/>
  <c r="C108" i="90"/>
  <c r="Z46" i="50"/>
  <c r="Z27" i="50"/>
  <c r="Z31" i="50"/>
  <c r="AA33" i="50"/>
  <c r="AA46" i="50"/>
  <c r="AD28" i="50"/>
  <c r="AD78" i="50"/>
  <c r="O185" i="72"/>
  <c r="P188" i="84" s="1"/>
  <c r="AD44" i="50"/>
  <c r="AB51" i="50"/>
  <c r="AA30" i="50"/>
  <c r="AB32" i="50"/>
  <c r="AC45" i="50"/>
  <c r="Z28" i="50"/>
  <c r="O96" i="72"/>
  <c r="P99" i="84" s="1"/>
  <c r="Z44" i="50"/>
  <c r="AD50" i="50"/>
  <c r="AD30" i="50"/>
  <c r="AA44" i="50"/>
  <c r="AA27" i="50"/>
  <c r="O11" i="72"/>
  <c r="P14" i="84" s="1"/>
  <c r="AB34" i="50"/>
  <c r="AB47" i="50"/>
  <c r="AA51" i="50"/>
  <c r="AA29" i="50"/>
  <c r="Z43" i="50"/>
  <c r="AE43" i="50" s="1"/>
  <c r="AC73" i="50"/>
  <c r="AD32" i="50"/>
  <c r="AC46" i="50"/>
  <c r="AA47" i="50"/>
  <c r="AA28" i="50"/>
  <c r="AD33" i="50"/>
  <c r="AA54" i="50"/>
  <c r="AA45" i="50"/>
  <c r="AB27" i="50"/>
  <c r="AA48" i="50"/>
  <c r="X76" i="88"/>
  <c r="S76" i="88" s="1"/>
  <c r="AA75" i="50"/>
  <c r="AA16" i="50"/>
  <c r="Z77" i="50"/>
  <c r="Z65" i="50"/>
  <c r="AB68" i="50"/>
  <c r="AE30" i="71"/>
  <c r="AB78" i="50"/>
  <c r="Z11" i="50"/>
  <c r="AA80" i="50"/>
  <c r="AD61" i="50"/>
  <c r="Z66" i="50"/>
  <c r="AC54" i="50"/>
  <c r="AC9" i="50"/>
  <c r="AA20" i="50"/>
  <c r="AD64" i="50"/>
  <c r="AB60" i="50"/>
  <c r="AD48" i="50"/>
  <c r="AS192" i="84"/>
  <c r="BH192" i="84" s="1"/>
  <c r="O105" i="72"/>
  <c r="P108" i="84" s="1"/>
  <c r="BN103" i="90"/>
  <c r="BN109" i="90"/>
  <c r="BN115" i="90"/>
  <c r="Z12" i="50"/>
  <c r="AD18" i="50"/>
  <c r="AD60" i="50"/>
  <c r="Z48" i="50"/>
  <c r="I192" i="84"/>
  <c r="C11" i="90"/>
  <c r="C114" i="90"/>
  <c r="C148" i="90"/>
  <c r="C154" i="90"/>
  <c r="C160" i="90"/>
  <c r="C194" i="90"/>
  <c r="C200" i="90"/>
  <c r="C206" i="90"/>
  <c r="AA19" i="50"/>
  <c r="AA15" i="50"/>
  <c r="AD74" i="50"/>
  <c r="AA59" i="50"/>
  <c r="AC15" i="50"/>
  <c r="AD17" i="50"/>
  <c r="AB72" i="50"/>
  <c r="AA64" i="50"/>
  <c r="AB38" i="50"/>
  <c r="AB73" i="50"/>
  <c r="AC11" i="50"/>
  <c r="AD10" i="50"/>
  <c r="AC79" i="50"/>
  <c r="AA60" i="50"/>
  <c r="AD36" i="50"/>
  <c r="O99" i="72"/>
  <c r="P102" i="84" s="1"/>
  <c r="Z75" i="50"/>
  <c r="AA14" i="50"/>
  <c r="AA13" i="50"/>
  <c r="Z74" i="50"/>
  <c r="Z67" i="50"/>
  <c r="AD38" i="50"/>
  <c r="AA18" i="50"/>
  <c r="AC18" i="50"/>
  <c r="AB65" i="50"/>
  <c r="AD39" i="50"/>
  <c r="C22" i="90"/>
  <c r="AA78" i="50"/>
  <c r="AD16" i="50"/>
  <c r="AB16" i="50"/>
  <c r="AB61" i="50"/>
  <c r="AD52" i="50"/>
  <c r="Z14" i="50"/>
  <c r="AB75" i="50"/>
  <c r="AD59" i="50"/>
  <c r="AB53" i="50"/>
  <c r="D94" i="69"/>
  <c r="O188" i="72"/>
  <c r="P191" i="84" s="1"/>
  <c r="U49" i="72"/>
  <c r="AS198" i="84"/>
  <c r="O102" i="72"/>
  <c r="P105" i="84" s="1"/>
  <c r="U94" i="72"/>
  <c r="AB45" i="50"/>
  <c r="AU110" i="84"/>
  <c r="AZ110" i="84" s="1"/>
  <c r="U139" i="72"/>
  <c r="I54" i="84"/>
  <c r="N74" i="88"/>
  <c r="AC50" i="50"/>
  <c r="G33" i="72"/>
  <c r="C68" i="88"/>
  <c r="I99" i="84"/>
  <c r="I144" i="84"/>
  <c r="O61" i="72"/>
  <c r="P64" i="84" s="1"/>
  <c r="BN152" i="90"/>
  <c r="C102" i="90"/>
  <c r="C26" i="90"/>
  <c r="C23" i="90"/>
  <c r="C56" i="90"/>
  <c r="BN158" i="90"/>
  <c r="C24" i="90"/>
  <c r="AG7" i="71"/>
  <c r="AF50" i="71"/>
  <c r="AE51" i="71"/>
  <c r="AE29" i="71"/>
  <c r="AJ51" i="71"/>
  <c r="C62" i="90"/>
  <c r="BB24" i="90"/>
  <c r="AC35" i="50"/>
  <c r="AC37" i="50"/>
  <c r="AD35" i="50"/>
  <c r="AA38" i="50"/>
  <c r="T184" i="70"/>
  <c r="Q185" i="95"/>
  <c r="S4" i="70"/>
  <c r="P5" i="95"/>
  <c r="S94" i="70"/>
  <c r="P95" i="95"/>
  <c r="S139" i="70"/>
  <c r="P140" i="95"/>
  <c r="R94" i="70"/>
  <c r="O95" i="95"/>
  <c r="R4" i="70"/>
  <c r="O5" i="95"/>
  <c r="S49" i="70"/>
  <c r="P50" i="95"/>
  <c r="S184" i="70"/>
  <c r="P185" i="95"/>
  <c r="G70" i="69"/>
  <c r="J70" i="69" s="1"/>
  <c r="AS5" i="89"/>
  <c r="F25" i="72"/>
  <c r="F26" i="72" s="1"/>
  <c r="F27" i="72" s="1"/>
  <c r="F79" i="88"/>
  <c r="BN105" i="90"/>
  <c r="BN111" i="90"/>
  <c r="N75" i="88"/>
  <c r="AI51" i="71"/>
  <c r="BN116" i="90"/>
  <c r="C19" i="90"/>
  <c r="C17" i="90"/>
  <c r="C15" i="90"/>
  <c r="C13" i="90"/>
  <c r="C57" i="90"/>
  <c r="C58" i="90"/>
  <c r="C60" i="90"/>
  <c r="C61" i="90"/>
  <c r="C63" i="90"/>
  <c r="C64" i="90"/>
  <c r="C66" i="90"/>
  <c r="C67" i="90"/>
  <c r="C69" i="90"/>
  <c r="C70" i="90"/>
  <c r="C94" i="90"/>
  <c r="AH95" i="71"/>
  <c r="C103" i="90"/>
  <c r="C104" i="90"/>
  <c r="C106" i="90"/>
  <c r="C107" i="90"/>
  <c r="C109" i="90"/>
  <c r="C110" i="90"/>
  <c r="C112" i="90"/>
  <c r="C113" i="90"/>
  <c r="C115" i="90"/>
  <c r="C116" i="90"/>
  <c r="C146" i="90"/>
  <c r="C147" i="90"/>
  <c r="C149" i="90"/>
  <c r="C150" i="90"/>
  <c r="C152" i="90"/>
  <c r="C153" i="90"/>
  <c r="C156" i="90"/>
  <c r="C158" i="90"/>
  <c r="C159" i="90"/>
  <c r="C161" i="90"/>
  <c r="C192" i="90"/>
  <c r="C193" i="90"/>
  <c r="C195" i="90"/>
  <c r="C196" i="90"/>
  <c r="C198" i="90"/>
  <c r="C199" i="90"/>
  <c r="C202" i="90"/>
  <c r="C204" i="90"/>
  <c r="C205" i="90"/>
  <c r="C229" i="90"/>
  <c r="AD79" i="50"/>
  <c r="O8" i="92"/>
  <c r="O12" i="92" s="1"/>
  <c r="AM139" i="70"/>
  <c r="T139" i="70"/>
  <c r="AO4" i="70"/>
  <c r="V4" i="70"/>
  <c r="AK49" i="70"/>
  <c r="R49" i="70"/>
  <c r="AC49" i="70"/>
  <c r="AV52" i="87" s="1"/>
  <c r="V49" i="70"/>
  <c r="AO94" i="70"/>
  <c r="V94" i="70"/>
  <c r="AK139" i="70"/>
  <c r="R139" i="70"/>
  <c r="AU139" i="70"/>
  <c r="V139" i="70"/>
  <c r="AK184" i="70"/>
  <c r="R184" i="70"/>
  <c r="AU184" i="70"/>
  <c r="V184" i="70"/>
  <c r="O5" i="72"/>
  <c r="P8" i="84" s="1"/>
  <c r="AA74" i="50"/>
  <c r="Z79" i="50"/>
  <c r="AB74" i="50"/>
  <c r="AA79" i="50"/>
  <c r="AB11" i="50"/>
  <c r="Z17" i="50"/>
  <c r="AA12" i="50"/>
  <c r="AC17" i="50"/>
  <c r="AB18" i="50"/>
  <c r="AD11" i="50"/>
  <c r="AC19" i="50"/>
  <c r="AA10" i="50"/>
  <c r="AA11" i="50"/>
  <c r="AA17" i="50"/>
  <c r="AA76" i="50"/>
  <c r="AA72" i="50"/>
  <c r="Z78" i="50"/>
  <c r="Z7" i="50"/>
  <c r="AB63" i="50"/>
  <c r="AC65" i="50"/>
  <c r="Z60" i="50"/>
  <c r="Z61" i="50"/>
  <c r="AA66" i="50"/>
  <c r="AC60" i="50"/>
  <c r="AC67" i="50"/>
  <c r="AA61" i="50"/>
  <c r="AB37" i="50"/>
  <c r="AC36" i="50"/>
  <c r="Z36" i="50"/>
  <c r="Z39" i="50"/>
  <c r="AA39" i="50"/>
  <c r="H79" i="88"/>
  <c r="E151" i="90"/>
  <c r="AT151" i="90" s="1"/>
  <c r="O14" i="72"/>
  <c r="P17" i="84" s="1"/>
  <c r="AF51" i="71"/>
  <c r="AI29" i="71"/>
  <c r="AJ29" i="71"/>
  <c r="AF29" i="71"/>
  <c r="AG29" i="71"/>
  <c r="AH29" i="71"/>
  <c r="BZ44" i="70"/>
  <c r="BZ43" i="70"/>
  <c r="AS110" i="84"/>
  <c r="BG110" i="84" s="1"/>
  <c r="BN106" i="90"/>
  <c r="BN112" i="90"/>
  <c r="BN148" i="90"/>
  <c r="BN154" i="90"/>
  <c r="BN160" i="90"/>
  <c r="R8" i="92"/>
  <c r="R9" i="92" s="1"/>
  <c r="R11" i="92" s="1"/>
  <c r="C21" i="90"/>
  <c r="AC63" i="50"/>
  <c r="AH5" i="47"/>
  <c r="AD75" i="50"/>
  <c r="AC80" i="50"/>
  <c r="Z76" i="50"/>
  <c r="AD72" i="50"/>
  <c r="AB13" i="50"/>
  <c r="AB8" i="50"/>
  <c r="AB20" i="50"/>
  <c r="Z16" i="50"/>
  <c r="AC8" i="50"/>
  <c r="Z13" i="50"/>
  <c r="Z18" i="50"/>
  <c r="Z8" i="50"/>
  <c r="AD20" i="50"/>
  <c r="AD15" i="50"/>
  <c r="AD77" i="50"/>
  <c r="AD7" i="50"/>
  <c r="AA7" i="50"/>
  <c r="AA77" i="50"/>
  <c r="AC75" i="50"/>
  <c r="AD58" i="50"/>
  <c r="Z64" i="50"/>
  <c r="Z58" i="50"/>
  <c r="AB59" i="50"/>
  <c r="AD63" i="50"/>
  <c r="Z59" i="50"/>
  <c r="AA65" i="50"/>
  <c r="AC59" i="50"/>
  <c r="AB39" i="50"/>
  <c r="AC38" i="50"/>
  <c r="Z37" i="50"/>
  <c r="AA35" i="50"/>
  <c r="AC49" i="50"/>
  <c r="I98" i="84"/>
  <c r="U8" i="72"/>
  <c r="AG51" i="71"/>
  <c r="AI28" i="71"/>
  <c r="AJ28" i="71"/>
  <c r="AF28" i="71"/>
  <c r="AG28" i="71"/>
  <c r="AH28" i="71"/>
  <c r="AF74" i="71"/>
  <c r="AG74" i="71"/>
  <c r="AH74" i="71"/>
  <c r="AI74" i="71"/>
  <c r="AJ74" i="71"/>
  <c r="AE74" i="71"/>
  <c r="AC72" i="50"/>
  <c r="AD76" i="50"/>
  <c r="AC7" i="50"/>
  <c r="AD14" i="50"/>
  <c r="Z9" i="50"/>
  <c r="AD19" i="50"/>
  <c r="AB15" i="50"/>
  <c r="AA9" i="50"/>
  <c r="AD13" i="50"/>
  <c r="AB17" i="50"/>
  <c r="AD8" i="50"/>
  <c r="Z20" i="50"/>
  <c r="Z15" i="50"/>
  <c r="AC78" i="50"/>
  <c r="AA73" i="50"/>
  <c r="AB80" i="50"/>
  <c r="AA58" i="50"/>
  <c r="Z68" i="50"/>
  <c r="AA63" i="50"/>
  <c r="AA68" i="50"/>
  <c r="AC58" i="50"/>
  <c r="Z63" i="50"/>
  <c r="AC66" i="50"/>
  <c r="AB64" i="50"/>
  <c r="Z73" i="50"/>
  <c r="AB35" i="50"/>
  <c r="AC39" i="50"/>
  <c r="AD37" i="50"/>
  <c r="AA36" i="50"/>
  <c r="AD54" i="50"/>
  <c r="BN101" i="90"/>
  <c r="BN107" i="90"/>
  <c r="BN113" i="90"/>
  <c r="BN146" i="90"/>
  <c r="BN149" i="90"/>
  <c r="BN150" i="90"/>
  <c r="BN155" i="90"/>
  <c r="BN156" i="90"/>
  <c r="BN161" i="90"/>
  <c r="AH51" i="71"/>
  <c r="AI5" i="71"/>
  <c r="AB77" i="50"/>
  <c r="AB7" i="50"/>
  <c r="AC77" i="50"/>
  <c r="AA8" i="50"/>
  <c r="AC20" i="50"/>
  <c r="AD9" i="50"/>
  <c r="Z19" i="50"/>
  <c r="AD12" i="50"/>
  <c r="AC10" i="50"/>
  <c r="AB14" i="50"/>
  <c r="AC16" i="50"/>
  <c r="Z10" i="50"/>
  <c r="AB19" i="50"/>
  <c r="AD73" i="50"/>
  <c r="AB79" i="50"/>
  <c r="AB76" i="50"/>
  <c r="AB67" i="50"/>
  <c r="AA67" i="50"/>
  <c r="AB62" i="50"/>
  <c r="AD65" i="50"/>
  <c r="AC68" i="50"/>
  <c r="AA62" i="50"/>
  <c r="AB58" i="50"/>
  <c r="AD62" i="50"/>
  <c r="AB36" i="50"/>
  <c r="Z35" i="50"/>
  <c r="Z38" i="50"/>
  <c r="AI30" i="71"/>
  <c r="AJ30" i="71"/>
  <c r="AF30" i="71"/>
  <c r="AG30" i="71"/>
  <c r="AH30" i="71"/>
  <c r="AG73" i="71"/>
  <c r="AH73" i="71"/>
  <c r="AI73" i="71"/>
  <c r="AJ73" i="71"/>
  <c r="AE73" i="71"/>
  <c r="AF73" i="71"/>
  <c r="BF219" i="84"/>
  <c r="BF225" i="84"/>
  <c r="BF212" i="84"/>
  <c r="BF221" i="84"/>
  <c r="BF218" i="84"/>
  <c r="BF222" i="84"/>
  <c r="BF215" i="84"/>
  <c r="BF213" i="84"/>
  <c r="BF224" i="84"/>
  <c r="BF214" i="84"/>
  <c r="BF216" i="84"/>
  <c r="BF223" i="84"/>
  <c r="BF220" i="84"/>
  <c r="BF210" i="84"/>
  <c r="BF211" i="84"/>
  <c r="BF209" i="84"/>
  <c r="BF207" i="84"/>
  <c r="BF205" i="84"/>
  <c r="BF208" i="84"/>
  <c r="BF217" i="84"/>
  <c r="BF206" i="84"/>
  <c r="BF203" i="84"/>
  <c r="BF204" i="84"/>
  <c r="BF166" i="84"/>
  <c r="BF169" i="84"/>
  <c r="BF177" i="84"/>
  <c r="BF179" i="84"/>
  <c r="BF173" i="84"/>
  <c r="BF163" i="84"/>
  <c r="BF167" i="84"/>
  <c r="BF168" i="84"/>
  <c r="BF170" i="84"/>
  <c r="BF171" i="84"/>
  <c r="BF172" i="84"/>
  <c r="BF160" i="84"/>
  <c r="BF164" i="84"/>
  <c r="BF176" i="84"/>
  <c r="BF178" i="84"/>
  <c r="BF180" i="84"/>
  <c r="BF161" i="84"/>
  <c r="BF174" i="84"/>
  <c r="BF175" i="84"/>
  <c r="BF159" i="84"/>
  <c r="BF162" i="84"/>
  <c r="BF165" i="84"/>
  <c r="BF158" i="84"/>
  <c r="AU61" i="84"/>
  <c r="AZ61" i="84" s="1"/>
  <c r="AU67" i="84"/>
  <c r="BF118" i="84"/>
  <c r="BF119" i="84"/>
  <c r="BF124" i="84"/>
  <c r="BF130" i="84"/>
  <c r="BF134" i="84"/>
  <c r="BF117" i="84"/>
  <c r="BF122" i="84"/>
  <c r="BF123" i="84"/>
  <c r="BF129" i="84"/>
  <c r="BF131" i="84"/>
  <c r="BF133" i="84"/>
  <c r="BF128" i="84"/>
  <c r="BF132" i="84"/>
  <c r="BF135" i="84"/>
  <c r="BF127" i="84"/>
  <c r="BF115" i="84"/>
  <c r="BF116" i="84"/>
  <c r="BF126" i="84"/>
  <c r="BF125" i="84"/>
  <c r="BF114" i="84"/>
  <c r="BF121" i="84"/>
  <c r="BF113" i="84"/>
  <c r="BF120" i="84"/>
  <c r="AU55" i="84"/>
  <c r="AZ55" i="84" s="1"/>
  <c r="BF84" i="84"/>
  <c r="BF82" i="84"/>
  <c r="BF81" i="84"/>
  <c r="BF87" i="84"/>
  <c r="BF79" i="84"/>
  <c r="BF89" i="84"/>
  <c r="BF78" i="84"/>
  <c r="BF85" i="84"/>
  <c r="BF68" i="84"/>
  <c r="BF69" i="84"/>
  <c r="BF71" i="84"/>
  <c r="BF90" i="84"/>
  <c r="BF74" i="84"/>
  <c r="BF72" i="84"/>
  <c r="BF88" i="84"/>
  <c r="BF83" i="84"/>
  <c r="BF75" i="84"/>
  <c r="BF77" i="84"/>
  <c r="BF86" i="84"/>
  <c r="BF80" i="84"/>
  <c r="BF73" i="84"/>
  <c r="BF76" i="84"/>
  <c r="BF70" i="84"/>
  <c r="AU66" i="84"/>
  <c r="AZ66" i="84" s="1"/>
  <c r="AU65" i="84"/>
  <c r="AY65" i="84" s="1"/>
  <c r="B45" i="84"/>
  <c r="BF29" i="84"/>
  <c r="BF33" i="84"/>
  <c r="BF30" i="84"/>
  <c r="BF32" i="84"/>
  <c r="BF42" i="84"/>
  <c r="BF23" i="84"/>
  <c r="BF27" i="84"/>
  <c r="BF24" i="84"/>
  <c r="BF26" i="84"/>
  <c r="BF44" i="84"/>
  <c r="BF35" i="84"/>
  <c r="BF39" i="84"/>
  <c r="BF43" i="84"/>
  <c r="BF36" i="84"/>
  <c r="BF38" i="84"/>
  <c r="BF45" i="84"/>
  <c r="BF37" i="84"/>
  <c r="BF31" i="84"/>
  <c r="BF25" i="84"/>
  <c r="BF28" i="84"/>
  <c r="BF40" i="84"/>
  <c r="BF34" i="84"/>
  <c r="BF41" i="84"/>
  <c r="J8" i="87"/>
  <c r="K8" i="87"/>
  <c r="AZ13" i="84"/>
  <c r="AY18" i="84"/>
  <c r="AY7" i="84"/>
  <c r="AU98" i="84"/>
  <c r="AU58" i="84"/>
  <c r="AZ58" i="84" s="1"/>
  <c r="AY15" i="84"/>
  <c r="AU97" i="84"/>
  <c r="AZ97" i="84" s="1"/>
  <c r="J11" i="94"/>
  <c r="BF14" i="84"/>
  <c r="AU52" i="84"/>
  <c r="AY52" i="84" s="1"/>
  <c r="AU142" i="84"/>
  <c r="AU64" i="84"/>
  <c r="AY64" i="84" s="1"/>
  <c r="AU143" i="84"/>
  <c r="AZ10" i="84"/>
  <c r="AU56" i="84"/>
  <c r="AY56" i="84" s="1"/>
  <c r="AZ20" i="84"/>
  <c r="K30" i="87"/>
  <c r="AV148" i="84"/>
  <c r="AU103" i="84"/>
  <c r="AZ103" i="84" s="1"/>
  <c r="AZ53" i="84"/>
  <c r="AV107" i="84"/>
  <c r="AV156" i="84"/>
  <c r="AU111" i="84"/>
  <c r="AZ111" i="84" s="1"/>
  <c r="AY187" i="84"/>
  <c r="AU155" i="84"/>
  <c r="BF60" i="84"/>
  <c r="AZ21" i="84"/>
  <c r="AY150" i="84"/>
  <c r="AU63" i="84"/>
  <c r="AY63" i="84" s="1"/>
  <c r="AY62" i="84"/>
  <c r="AZ62" i="84"/>
  <c r="AV146" i="84"/>
  <c r="AU146" i="84" s="1"/>
  <c r="AY146" i="84" s="1"/>
  <c r="AU101" i="84"/>
  <c r="AZ101" i="84" s="1"/>
  <c r="AU147" i="84"/>
  <c r="AU102" i="84"/>
  <c r="AZ102" i="84" s="1"/>
  <c r="AY14" i="84"/>
  <c r="AY22" i="84"/>
  <c r="AU106" i="84"/>
  <c r="BF58" i="84"/>
  <c r="AU151" i="84"/>
  <c r="BI10" i="84"/>
  <c r="AY105" i="84"/>
  <c r="BG58" i="84"/>
  <c r="AZ11" i="84"/>
  <c r="AY200" i="84"/>
  <c r="M30" i="87"/>
  <c r="AU57" i="84"/>
  <c r="AZ57" i="84" s="1"/>
  <c r="AU188" i="84"/>
  <c r="AY188" i="84" s="1"/>
  <c r="AU109" i="84"/>
  <c r="AV154" i="84"/>
  <c r="AV153" i="84"/>
  <c r="AU108" i="84"/>
  <c r="L28" i="87"/>
  <c r="L28" i="94"/>
  <c r="L25" i="87"/>
  <c r="L25" i="94"/>
  <c r="BF193" i="84"/>
  <c r="M26" i="87"/>
  <c r="M26" i="94"/>
  <c r="M28" i="87"/>
  <c r="M28" i="94"/>
  <c r="L27" i="87"/>
  <c r="L27" i="94"/>
  <c r="BF21" i="84"/>
  <c r="M25" i="87"/>
  <c r="M25" i="94"/>
  <c r="L30" i="87"/>
  <c r="L30" i="94"/>
  <c r="M27" i="87"/>
  <c r="M27" i="94"/>
  <c r="L24" i="87"/>
  <c r="L24" i="94"/>
  <c r="L26" i="87"/>
  <c r="L26" i="94"/>
  <c r="BF16" i="84"/>
  <c r="BF11" i="84"/>
  <c r="K11" i="94"/>
  <c r="BF100" i="84"/>
  <c r="H42" i="72"/>
  <c r="G42" i="72"/>
  <c r="G35" i="72"/>
  <c r="G43" i="72"/>
  <c r="F42" i="72"/>
  <c r="AI7" i="89"/>
  <c r="AJ8" i="89"/>
  <c r="G36" i="72"/>
  <c r="AH6" i="89"/>
  <c r="Y228" i="68"/>
  <c r="Y234" i="68"/>
  <c r="Y182" i="68"/>
  <c r="Y188" i="68"/>
  <c r="Y136" i="68"/>
  <c r="Y142" i="68"/>
  <c r="Y90" i="68"/>
  <c r="Y96" i="68"/>
  <c r="Y223" i="68"/>
  <c r="Y229" i="68"/>
  <c r="Y235" i="68"/>
  <c r="Y183" i="68"/>
  <c r="Y189" i="68"/>
  <c r="Y137" i="68"/>
  <c r="Y143" i="68"/>
  <c r="Y91" i="68"/>
  <c r="Y97" i="68"/>
  <c r="Y224" i="68"/>
  <c r="Y230" i="68"/>
  <c r="Y178" i="68"/>
  <c r="Y184" i="68"/>
  <c r="Y190" i="68"/>
  <c r="Y138" i="68"/>
  <c r="Y144" i="68"/>
  <c r="Y92" i="68"/>
  <c r="Y98" i="68"/>
  <c r="Y225" i="68"/>
  <c r="Y231" i="68"/>
  <c r="Y179" i="68"/>
  <c r="Y185" i="68"/>
  <c r="Y133" i="68"/>
  <c r="Y139" i="68"/>
  <c r="Y145" i="68"/>
  <c r="Y93" i="68"/>
  <c r="Y99" i="68"/>
  <c r="Y226" i="68"/>
  <c r="Y232" i="68"/>
  <c r="Y180" i="68"/>
  <c r="Y186" i="68"/>
  <c r="Y134" i="68"/>
  <c r="Y140" i="68"/>
  <c r="Y88" i="68"/>
  <c r="Y94" i="68"/>
  <c r="Y100" i="68"/>
  <c r="Y233" i="68"/>
  <c r="Y95" i="68"/>
  <c r="Y181" i="68"/>
  <c r="Y187" i="68"/>
  <c r="Y135" i="68"/>
  <c r="Y141" i="68"/>
  <c r="Y227" i="68"/>
  <c r="Y89" i="68"/>
  <c r="Y48" i="68"/>
  <c r="Y54" i="68"/>
  <c r="Y50" i="68"/>
  <c r="Y43" i="68"/>
  <c r="Y49" i="68"/>
  <c r="Y55" i="68"/>
  <c r="Y45" i="68"/>
  <c r="Y51" i="68"/>
  <c r="Y52" i="68"/>
  <c r="Y47" i="68"/>
  <c r="Y53" i="68"/>
  <c r="Y44" i="68"/>
  <c r="Y46" i="68"/>
  <c r="Y213" i="68"/>
  <c r="Y25" i="68"/>
  <c r="Y124" i="68"/>
  <c r="Y34" i="68"/>
  <c r="Y31" i="68"/>
  <c r="Y78" i="68"/>
  <c r="Y79" i="68"/>
  <c r="Y32" i="68"/>
  <c r="Y28" i="68"/>
  <c r="Y214" i="68"/>
  <c r="Y168" i="68"/>
  <c r="Y29" i="68"/>
  <c r="Y33" i="68"/>
  <c r="Y26" i="68"/>
  <c r="Y169" i="68"/>
  <c r="Y30" i="68"/>
  <c r="Y24" i="68"/>
  <c r="Y123" i="68"/>
  <c r="Y27" i="68"/>
  <c r="Y87" i="68"/>
  <c r="Y41" i="68"/>
  <c r="Y40" i="68"/>
  <c r="Y174" i="68"/>
  <c r="Y82" i="68"/>
  <c r="Y36" i="68"/>
  <c r="Y170" i="68"/>
  <c r="Y131" i="68"/>
  <c r="Y38" i="68"/>
  <c r="Y216" i="68"/>
  <c r="Y86" i="68"/>
  <c r="Y37" i="68"/>
  <c r="Y132" i="68"/>
  <c r="Y221" i="68"/>
  <c r="Y219" i="68"/>
  <c r="Y218" i="68"/>
  <c r="Y127" i="68"/>
  <c r="Y126" i="68"/>
  <c r="Y35" i="68"/>
  <c r="Y130" i="68"/>
  <c r="Y125" i="68"/>
  <c r="Y177" i="68"/>
  <c r="Y175" i="68"/>
  <c r="Y84" i="68"/>
  <c r="Y173" i="68"/>
  <c r="Y217" i="68"/>
  <c r="Y171" i="68"/>
  <c r="Y39" i="68"/>
  <c r="Y42" i="68"/>
  <c r="Y176" i="68"/>
  <c r="Y220" i="68"/>
  <c r="Y129" i="68"/>
  <c r="Y128" i="68"/>
  <c r="Y81" i="68"/>
  <c r="Y80" i="68"/>
  <c r="Y222" i="68"/>
  <c r="Y85" i="68"/>
  <c r="Y172" i="68"/>
  <c r="Y215" i="68"/>
  <c r="Y83" i="68"/>
  <c r="X22" i="68"/>
  <c r="X27" i="68"/>
  <c r="X25" i="68"/>
  <c r="X24" i="68"/>
  <c r="X28" i="68"/>
  <c r="X18" i="68"/>
  <c r="X26" i="68"/>
  <c r="X21" i="68"/>
  <c r="X20" i="68"/>
  <c r="X29" i="68"/>
  <c r="X19" i="68"/>
  <c r="X23" i="68"/>
  <c r="CC5" i="70"/>
  <c r="J54" i="70"/>
  <c r="J9" i="70"/>
  <c r="J52" i="70"/>
  <c r="I12" i="70"/>
  <c r="J53" i="70"/>
  <c r="C7" i="70"/>
  <c r="C8" i="70" s="1"/>
  <c r="G94" i="69"/>
  <c r="N114" i="88"/>
  <c r="F94" i="69"/>
  <c r="G147" i="69"/>
  <c r="N112" i="88"/>
  <c r="N19" i="88"/>
  <c r="N105" i="90"/>
  <c r="N89" i="88"/>
  <c r="A43" i="68"/>
  <c r="A44" i="68" s="1"/>
  <c r="A45" i="68" s="1"/>
  <c r="A46" i="68" s="1"/>
  <c r="A47" i="68" s="1"/>
  <c r="A48" i="68" s="1"/>
  <c r="A49" i="68" s="1"/>
  <c r="A50" i="68" s="1"/>
  <c r="A51" i="68" s="1"/>
  <c r="A52" i="68" s="1"/>
  <c r="A53" i="68" s="1"/>
  <c r="A54" i="68" s="1"/>
  <c r="A55" i="68" s="1"/>
  <c r="A56" i="68" s="1"/>
  <c r="A57" i="68" s="1"/>
  <c r="A58" i="68" s="1"/>
  <c r="E105" i="90"/>
  <c r="AT105" i="90" s="1"/>
  <c r="U148" i="72"/>
  <c r="BH19" i="84"/>
  <c r="O142" i="72"/>
  <c r="P145" i="84" s="1"/>
  <c r="BI64" i="84"/>
  <c r="AS55" i="84"/>
  <c r="BI55" i="84" s="1"/>
  <c r="BH103" i="84"/>
  <c r="I200" i="84"/>
  <c r="E161" i="90"/>
  <c r="AT161" i="90" s="1"/>
  <c r="E65" i="90"/>
  <c r="AT65" i="90" s="1"/>
  <c r="BH14" i="84"/>
  <c r="BB26" i="90"/>
  <c r="O145" i="72"/>
  <c r="P148" i="84" s="1"/>
  <c r="F150" i="89"/>
  <c r="O154" i="72"/>
  <c r="P157" i="84" s="1"/>
  <c r="AS99" i="84"/>
  <c r="BF99" i="84" s="1"/>
  <c r="AS144" i="84"/>
  <c r="BI144" i="84" s="1"/>
  <c r="AS105" i="84"/>
  <c r="BI105" i="84" s="1"/>
  <c r="I155" i="84"/>
  <c r="AS155" i="84"/>
  <c r="BG155" i="84" s="1"/>
  <c r="N60" i="90"/>
  <c r="I67" i="84"/>
  <c r="AS202" i="84"/>
  <c r="BH202" i="84" s="1"/>
  <c r="I111" i="84"/>
  <c r="E155" i="90"/>
  <c r="AT155" i="90" s="1"/>
  <c r="BH151" i="84"/>
  <c r="BG151" i="84"/>
  <c r="BI21" i="84"/>
  <c r="AS107" i="84"/>
  <c r="BF107" i="84" s="1"/>
  <c r="AS57" i="84"/>
  <c r="BI57" i="84" s="1"/>
  <c r="I190" i="84"/>
  <c r="BF59" i="84"/>
  <c r="BF150" i="84"/>
  <c r="AS146" i="84"/>
  <c r="BH146" i="84" s="1"/>
  <c r="I195" i="84"/>
  <c r="U54" i="72"/>
  <c r="AS196" i="84"/>
  <c r="BF196" i="84" s="1"/>
  <c r="I151" i="84"/>
  <c r="BH21" i="84"/>
  <c r="I63" i="84"/>
  <c r="E61" i="90"/>
  <c r="AT61" i="90" s="1"/>
  <c r="I107" i="84"/>
  <c r="E67" i="90"/>
  <c r="AT67" i="90" s="1"/>
  <c r="O199" i="72"/>
  <c r="P202" i="84" s="1"/>
  <c r="AS157" i="84"/>
  <c r="BF157" i="84" s="1"/>
  <c r="I101" i="84"/>
  <c r="O98" i="72"/>
  <c r="P101" i="84" s="1"/>
  <c r="O4" i="72"/>
  <c r="P7" i="84" s="1"/>
  <c r="BH150" i="84"/>
  <c r="BH17" i="84"/>
  <c r="O55" i="89"/>
  <c r="O146" i="89"/>
  <c r="BF22" i="84"/>
  <c r="I193" i="84"/>
  <c r="AS104" i="84"/>
  <c r="BH104" i="84" s="1"/>
  <c r="I110" i="84"/>
  <c r="E158" i="90"/>
  <c r="AT158" i="90" s="1"/>
  <c r="E108" i="90"/>
  <c r="AT108" i="90" s="1"/>
  <c r="BH11" i="84"/>
  <c r="Z4" i="70"/>
  <c r="AS7" i="87" s="1"/>
  <c r="AS66" i="84"/>
  <c r="BI66" i="84" s="1"/>
  <c r="AS98" i="84"/>
  <c r="BH98" i="84" s="1"/>
  <c r="AS145" i="84"/>
  <c r="BG145" i="84" s="1"/>
  <c r="I60" i="84"/>
  <c r="BG150" i="84"/>
  <c r="BI11" i="84"/>
  <c r="BI22" i="84"/>
  <c r="BH22" i="84"/>
  <c r="AS54" i="84"/>
  <c r="U10" i="72"/>
  <c r="U152" i="72"/>
  <c r="I100" i="84"/>
  <c r="I66" i="84"/>
  <c r="BF191" i="84"/>
  <c r="AW171" i="95"/>
  <c r="AR214" i="95"/>
  <c r="AU176" i="95"/>
  <c r="AU126" i="95"/>
  <c r="AQ88" i="95"/>
  <c r="AP174" i="95"/>
  <c r="AQ38" i="95"/>
  <c r="AP128" i="95"/>
  <c r="BA223" i="95"/>
  <c r="AZ215" i="95"/>
  <c r="AZ216" i="95" s="1"/>
  <c r="AZ217" i="95" s="1"/>
  <c r="AZ218" i="95" s="1"/>
  <c r="BA35" i="95"/>
  <c r="AW220" i="95"/>
  <c r="AQ128" i="95"/>
  <c r="BB219" i="95"/>
  <c r="AV173" i="95"/>
  <c r="AV82" i="95"/>
  <c r="AP80" i="95"/>
  <c r="AV217" i="95"/>
  <c r="AU85" i="95"/>
  <c r="BB172" i="95"/>
  <c r="AV130" i="95"/>
  <c r="AP216" i="95"/>
  <c r="AP36" i="95"/>
  <c r="AZ38" i="95"/>
  <c r="AQ172" i="95"/>
  <c r="AW172" i="95"/>
  <c r="AV38" i="95"/>
  <c r="AZ219" i="95"/>
  <c r="BA80" i="95"/>
  <c r="BA81" i="95" s="1"/>
  <c r="BA82" i="95" s="1"/>
  <c r="BA83" i="95" s="1"/>
  <c r="AU214" i="95"/>
  <c r="BA177" i="95"/>
  <c r="AZ176" i="95"/>
  <c r="AR172" i="95"/>
  <c r="BA84" i="95"/>
  <c r="AZ80" i="95"/>
  <c r="AZ125" i="95"/>
  <c r="AQ214" i="95"/>
  <c r="BA133" i="95"/>
  <c r="BF190" i="84" l="1"/>
  <c r="AE47" i="50"/>
  <c r="AE27" i="50"/>
  <c r="AE35" i="50"/>
  <c r="AE45" i="50"/>
  <c r="AE32" i="50"/>
  <c r="AE30" i="50"/>
  <c r="AE14" i="50"/>
  <c r="AE74" i="50"/>
  <c r="O9" i="92"/>
  <c r="O11" i="92" s="1"/>
  <c r="AY110" i="84"/>
  <c r="F43" i="72"/>
  <c r="AE66" i="50"/>
  <c r="AE17" i="50"/>
  <c r="AE65" i="50"/>
  <c r="AE16" i="50"/>
  <c r="AE20" i="50"/>
  <c r="AE73" i="50"/>
  <c r="AE37" i="50"/>
  <c r="AE7" i="50"/>
  <c r="AE77" i="50"/>
  <c r="AE36" i="50"/>
  <c r="AE8" i="50"/>
  <c r="AE60" i="50"/>
  <c r="AV191" i="84"/>
  <c r="AU191" i="84" s="1"/>
  <c r="AX191" i="84" s="1"/>
  <c r="AE59" i="50"/>
  <c r="AY66" i="84"/>
  <c r="AX224" i="84"/>
  <c r="AX223" i="84"/>
  <c r="AX221" i="84"/>
  <c r="AX204" i="84"/>
  <c r="AX217" i="84"/>
  <c r="AX219" i="84"/>
  <c r="AX208" i="84"/>
  <c r="AX216" i="84"/>
  <c r="AX210" i="84"/>
  <c r="AX207" i="84"/>
  <c r="AX211" i="84"/>
  <c r="AX218" i="84"/>
  <c r="AX205" i="84"/>
  <c r="AX214" i="84"/>
  <c r="AX215" i="84"/>
  <c r="AX213" i="84"/>
  <c r="AX220" i="84"/>
  <c r="AX206" i="84"/>
  <c r="AX212" i="84"/>
  <c r="AX209" i="84"/>
  <c r="AX203" i="84"/>
  <c r="AX222" i="84"/>
  <c r="AX225" i="84"/>
  <c r="AY61" i="84"/>
  <c r="AX176" i="84"/>
  <c r="AX172" i="84"/>
  <c r="AX159" i="84"/>
  <c r="AX158" i="84"/>
  <c r="AX169" i="84"/>
  <c r="AX164" i="84"/>
  <c r="AX177" i="84"/>
  <c r="AX168" i="84"/>
  <c r="AX162" i="84"/>
  <c r="AX179" i="84"/>
  <c r="AX170" i="84"/>
  <c r="AX161" i="84"/>
  <c r="AX180" i="84"/>
  <c r="AX165" i="84"/>
  <c r="AX160" i="84"/>
  <c r="AX178" i="84"/>
  <c r="AX175" i="84"/>
  <c r="AX167" i="84"/>
  <c r="AX171" i="84"/>
  <c r="AX173" i="84"/>
  <c r="AX163" i="84"/>
  <c r="AX174" i="84"/>
  <c r="AX166" i="84"/>
  <c r="AZ65" i="84"/>
  <c r="AX119" i="84"/>
  <c r="AX121" i="84"/>
  <c r="AX113" i="84"/>
  <c r="AX132" i="84"/>
  <c r="AX116" i="84"/>
  <c r="AX115" i="84"/>
  <c r="AX118" i="84"/>
  <c r="AX125" i="84"/>
  <c r="AX134" i="84"/>
  <c r="AX133" i="84"/>
  <c r="AX135" i="84"/>
  <c r="AX124" i="84"/>
  <c r="AX127" i="84"/>
  <c r="AX129" i="84"/>
  <c r="AX126" i="84"/>
  <c r="AX123" i="84"/>
  <c r="AX128" i="84"/>
  <c r="AX117" i="84"/>
  <c r="AX130" i="84"/>
  <c r="AX122" i="84"/>
  <c r="AX114" i="84"/>
  <c r="AX120" i="84"/>
  <c r="AX131" i="84"/>
  <c r="AX74" i="84"/>
  <c r="AX68" i="84"/>
  <c r="AX71" i="84"/>
  <c r="AX79" i="84"/>
  <c r="AX87" i="84"/>
  <c r="AX76" i="84"/>
  <c r="AX86" i="84"/>
  <c r="AX82" i="84"/>
  <c r="AX73" i="84"/>
  <c r="AX83" i="84"/>
  <c r="AX72" i="84"/>
  <c r="AX81" i="84"/>
  <c r="AX70" i="84"/>
  <c r="AX88" i="84"/>
  <c r="AX77" i="84"/>
  <c r="AX90" i="84"/>
  <c r="AX85" i="84"/>
  <c r="AX75" i="84"/>
  <c r="AX89" i="84"/>
  <c r="AX69" i="84"/>
  <c r="AX78" i="84"/>
  <c r="AX84" i="84"/>
  <c r="AX80" i="84"/>
  <c r="AX61" i="84"/>
  <c r="AX26" i="84"/>
  <c r="AX23" i="84"/>
  <c r="AX37" i="84"/>
  <c r="AX38" i="84"/>
  <c r="AX43" i="84"/>
  <c r="AX31" i="84"/>
  <c r="AX35" i="84"/>
  <c r="AX32" i="84"/>
  <c r="AX41" i="84"/>
  <c r="AX25" i="84"/>
  <c r="AX29" i="84"/>
  <c r="AX42" i="84"/>
  <c r="AX33" i="84"/>
  <c r="AX27" i="84"/>
  <c r="AX30" i="84"/>
  <c r="AX44" i="84"/>
  <c r="AX34" i="84"/>
  <c r="AX28" i="84"/>
  <c r="AX39" i="84"/>
  <c r="AX36" i="84"/>
  <c r="AX45" i="84"/>
  <c r="AX40" i="84"/>
  <c r="AX24" i="84"/>
  <c r="AZ52" i="84"/>
  <c r="AY103" i="84"/>
  <c r="AY58" i="84"/>
  <c r="AZ64" i="84"/>
  <c r="AX57" i="84"/>
  <c r="AZ63" i="84"/>
  <c r="AZ155" i="84"/>
  <c r="AY155" i="84"/>
  <c r="AX108" i="84"/>
  <c r="AY102" i="84"/>
  <c r="AY101" i="84"/>
  <c r="AX109" i="84"/>
  <c r="AZ109" i="84"/>
  <c r="AX67" i="84"/>
  <c r="AX151" i="84"/>
  <c r="AX188" i="84"/>
  <c r="K15" i="94"/>
  <c r="AX53" i="84"/>
  <c r="C27" i="84"/>
  <c r="C25" i="84"/>
  <c r="AX21" i="84"/>
  <c r="AX9" i="84"/>
  <c r="K15" i="87"/>
  <c r="AX64" i="84"/>
  <c r="AX155" i="84"/>
  <c r="AX16" i="84"/>
  <c r="AX12" i="84"/>
  <c r="AX14" i="84"/>
  <c r="AX102" i="84"/>
  <c r="AX106" i="84"/>
  <c r="AX63" i="84"/>
  <c r="C28" i="84"/>
  <c r="AX111" i="84"/>
  <c r="AX62" i="84"/>
  <c r="AX200" i="84"/>
  <c r="AX15" i="84"/>
  <c r="AX11" i="84"/>
  <c r="AX66" i="84"/>
  <c r="AX58" i="84"/>
  <c r="C26" i="84"/>
  <c r="C29" i="84"/>
  <c r="AX7" i="84"/>
  <c r="AX196" i="84"/>
  <c r="AX101" i="84"/>
  <c r="AX13" i="84"/>
  <c r="AX105" i="84"/>
  <c r="AX103" i="84"/>
  <c r="AX52" i="84"/>
  <c r="AX110" i="84"/>
  <c r="AX22" i="84"/>
  <c r="AX10" i="84"/>
  <c r="AX150" i="84"/>
  <c r="AV199" i="84"/>
  <c r="AU154" i="84"/>
  <c r="AZ154" i="84" s="1"/>
  <c r="AI68" i="70"/>
  <c r="AJ68" i="70" s="1"/>
  <c r="AC68" i="70"/>
  <c r="AO68" i="70"/>
  <c r="AP68" i="70" s="1"/>
  <c r="BX23" i="75" s="1"/>
  <c r="AU68" i="70"/>
  <c r="AV68" i="70" s="1"/>
  <c r="CS23" i="75" s="1"/>
  <c r="AU161" i="70"/>
  <c r="AV161" i="70" s="1"/>
  <c r="CU26" i="75" s="1"/>
  <c r="AO161" i="70"/>
  <c r="AP161" i="70" s="1"/>
  <c r="BZ26" i="75" s="1"/>
  <c r="AI161" i="70"/>
  <c r="AJ161" i="70" s="1"/>
  <c r="AC161" i="70"/>
  <c r="AC42" i="70"/>
  <c r="AI42" i="70"/>
  <c r="AJ42" i="70" s="1"/>
  <c r="AO42" i="70"/>
  <c r="AP42" i="70" s="1"/>
  <c r="AU42" i="70"/>
  <c r="AV42" i="70" s="1"/>
  <c r="CR42" i="75" s="1"/>
  <c r="AU177" i="70"/>
  <c r="AV177" i="70" s="1"/>
  <c r="CU42" i="75" s="1"/>
  <c r="AI177" i="70"/>
  <c r="AJ177" i="70" s="1"/>
  <c r="AC177" i="70"/>
  <c r="AO177" i="70"/>
  <c r="AP177" i="70" s="1"/>
  <c r="AC67" i="70"/>
  <c r="AU67" i="70"/>
  <c r="AV67" i="70" s="1"/>
  <c r="CS22" i="75" s="1"/>
  <c r="AI67" i="70"/>
  <c r="AJ67" i="70" s="1"/>
  <c r="AO67" i="70"/>
  <c r="AP67" i="70" s="1"/>
  <c r="BX22" i="75" s="1"/>
  <c r="AI29" i="70"/>
  <c r="AJ29" i="70" s="1"/>
  <c r="AU29" i="70"/>
  <c r="AV29" i="70" s="1"/>
  <c r="CR29" i="75" s="1"/>
  <c r="AO29" i="70"/>
  <c r="AP29" i="70" s="1"/>
  <c r="BW29" i="75" s="1"/>
  <c r="AC29" i="70"/>
  <c r="AU162" i="70"/>
  <c r="AV162" i="70" s="1"/>
  <c r="CU27" i="75" s="1"/>
  <c r="AO162" i="70"/>
  <c r="AP162" i="70" s="1"/>
  <c r="BZ27" i="75" s="1"/>
  <c r="AI162" i="70"/>
  <c r="AJ162" i="70" s="1"/>
  <c r="AC162" i="70"/>
  <c r="AU114" i="70"/>
  <c r="AV114" i="70" s="1"/>
  <c r="CT24" i="75" s="1"/>
  <c r="AI114" i="70"/>
  <c r="AJ114" i="70" s="1"/>
  <c r="AC114" i="70"/>
  <c r="AO114" i="70"/>
  <c r="AP114" i="70" s="1"/>
  <c r="BY24" i="75" s="1"/>
  <c r="AC73" i="70"/>
  <c r="AU73" i="70"/>
  <c r="AV73" i="70" s="1"/>
  <c r="CS28" i="75" s="1"/>
  <c r="AO73" i="70"/>
  <c r="AP73" i="70" s="1"/>
  <c r="BX28" i="75" s="1"/>
  <c r="AI73" i="70"/>
  <c r="AJ73" i="70" s="1"/>
  <c r="AO69" i="70"/>
  <c r="AP69" i="70" s="1"/>
  <c r="BX24" i="75" s="1"/>
  <c r="AC69" i="70"/>
  <c r="AU69" i="70"/>
  <c r="AV69" i="70" s="1"/>
  <c r="CS24" i="75" s="1"/>
  <c r="AI69" i="70"/>
  <c r="AJ69" i="70" s="1"/>
  <c r="AC110" i="70"/>
  <c r="AO110" i="70"/>
  <c r="AP110" i="70" s="1"/>
  <c r="BY20" i="75" s="1"/>
  <c r="AI110" i="70"/>
  <c r="AJ110" i="70" s="1"/>
  <c r="AU110" i="70"/>
  <c r="AV110" i="70" s="1"/>
  <c r="CT20" i="75" s="1"/>
  <c r="AO65" i="70"/>
  <c r="AP65" i="70" s="1"/>
  <c r="BX20" i="75" s="1"/>
  <c r="AI65" i="70"/>
  <c r="AJ65" i="70" s="1"/>
  <c r="AC65" i="70"/>
  <c r="AU65" i="70"/>
  <c r="AV65" i="70" s="1"/>
  <c r="CS20" i="75" s="1"/>
  <c r="AU33" i="70"/>
  <c r="AV33" i="70" s="1"/>
  <c r="CR33" i="75" s="1"/>
  <c r="AI33" i="70"/>
  <c r="AJ33" i="70" s="1"/>
  <c r="AC33" i="70"/>
  <c r="AO33" i="70"/>
  <c r="AP33" i="70" s="1"/>
  <c r="BW33" i="75" s="1"/>
  <c r="AI32" i="70"/>
  <c r="AJ32" i="70" s="1"/>
  <c r="AC32" i="70"/>
  <c r="AO32" i="70"/>
  <c r="AP32" i="70" s="1"/>
  <c r="BW32" i="75" s="1"/>
  <c r="AU32" i="70"/>
  <c r="AV32" i="70" s="1"/>
  <c r="CR32" i="75" s="1"/>
  <c r="AI35" i="70"/>
  <c r="AJ35" i="70" s="1"/>
  <c r="AO35" i="70"/>
  <c r="AP35" i="70" s="1"/>
  <c r="BW35" i="75" s="1"/>
  <c r="AC35" i="70"/>
  <c r="AU35" i="70"/>
  <c r="AV35" i="70" s="1"/>
  <c r="CR35" i="75" s="1"/>
  <c r="AO168" i="70"/>
  <c r="AP168" i="70" s="1"/>
  <c r="BZ33" i="75" s="1"/>
  <c r="AI168" i="70"/>
  <c r="AJ168" i="70" s="1"/>
  <c r="AC168" i="70"/>
  <c r="AU168" i="70"/>
  <c r="AV168" i="70" s="1"/>
  <c r="CU33" i="75" s="1"/>
  <c r="AC127" i="70"/>
  <c r="AI127" i="70"/>
  <c r="AJ127" i="70" s="1"/>
  <c r="AO127" i="70"/>
  <c r="AP127" i="70" s="1"/>
  <c r="BY37" i="75" s="1"/>
  <c r="AU127" i="70"/>
  <c r="AV127" i="70" s="1"/>
  <c r="CT37" i="75" s="1"/>
  <c r="AO86" i="70"/>
  <c r="AP86" i="70" s="1"/>
  <c r="BX41" i="75" s="1"/>
  <c r="AU86" i="70"/>
  <c r="AV86" i="70" s="1"/>
  <c r="CS41" i="75" s="1"/>
  <c r="AC86" i="70"/>
  <c r="AI86" i="70"/>
  <c r="AJ86" i="70" s="1"/>
  <c r="AC166" i="70"/>
  <c r="AO166" i="70"/>
  <c r="AP166" i="70" s="1"/>
  <c r="BZ31" i="75" s="1"/>
  <c r="AU166" i="70"/>
  <c r="AV166" i="70" s="1"/>
  <c r="CU31" i="75" s="1"/>
  <c r="AI166" i="70"/>
  <c r="AJ166" i="70" s="1"/>
  <c r="AO125" i="70"/>
  <c r="AP125" i="70" s="1"/>
  <c r="BY35" i="75" s="1"/>
  <c r="AI125" i="70"/>
  <c r="AJ125" i="70" s="1"/>
  <c r="AC125" i="70"/>
  <c r="AU125" i="70"/>
  <c r="AV125" i="70" s="1"/>
  <c r="CT35" i="75" s="1"/>
  <c r="AO84" i="70"/>
  <c r="AP84" i="70" s="1"/>
  <c r="BX39" i="75" s="1"/>
  <c r="AC84" i="70"/>
  <c r="AI84" i="70"/>
  <c r="AJ84" i="70" s="1"/>
  <c r="AU84" i="70"/>
  <c r="AV84" i="70" s="1"/>
  <c r="CS39" i="75" s="1"/>
  <c r="AI222" i="70"/>
  <c r="AJ222" i="70" s="1"/>
  <c r="AC222" i="70"/>
  <c r="AO222" i="70"/>
  <c r="AP222" i="70" s="1"/>
  <c r="AU222" i="70"/>
  <c r="AV222" i="70" s="1"/>
  <c r="CV42" i="75" s="1"/>
  <c r="AO123" i="70"/>
  <c r="AP123" i="70" s="1"/>
  <c r="BY33" i="75" s="1"/>
  <c r="AC123" i="70"/>
  <c r="AU123" i="70"/>
  <c r="AV123" i="70" s="1"/>
  <c r="CT33" i="75" s="1"/>
  <c r="AI123" i="70"/>
  <c r="AJ123" i="70" s="1"/>
  <c r="AC164" i="70"/>
  <c r="AU164" i="70"/>
  <c r="AV164" i="70" s="1"/>
  <c r="CU29" i="75" s="1"/>
  <c r="AI164" i="70"/>
  <c r="AJ164" i="70" s="1"/>
  <c r="AO164" i="70"/>
  <c r="AP164" i="70" s="1"/>
  <c r="BZ29" i="75" s="1"/>
  <c r="AU31" i="70"/>
  <c r="AV31" i="70" s="1"/>
  <c r="CR31" i="75" s="1"/>
  <c r="AC31" i="70"/>
  <c r="AO31" i="70"/>
  <c r="AP31" i="70" s="1"/>
  <c r="BW31" i="75" s="1"/>
  <c r="AI31" i="70"/>
  <c r="AJ31" i="70" s="1"/>
  <c r="AC121" i="70"/>
  <c r="AI121" i="70"/>
  <c r="AJ121" i="70" s="1"/>
  <c r="AO121" i="70"/>
  <c r="AP121" i="70" s="1"/>
  <c r="BY31" i="75" s="1"/>
  <c r="AU121" i="70"/>
  <c r="AV121" i="70" s="1"/>
  <c r="CT31" i="75" s="1"/>
  <c r="AO175" i="70"/>
  <c r="AP175" i="70" s="1"/>
  <c r="BZ40" i="75" s="1"/>
  <c r="AI175" i="70"/>
  <c r="AJ175" i="70" s="1"/>
  <c r="AC175" i="70"/>
  <c r="AU175" i="70"/>
  <c r="AV175" i="70" s="1"/>
  <c r="CU40" i="75" s="1"/>
  <c r="AU202" i="70"/>
  <c r="AV202" i="70" s="1"/>
  <c r="CV22" i="75" s="1"/>
  <c r="AO202" i="70"/>
  <c r="AP202" i="70" s="1"/>
  <c r="CA22" i="75" s="1"/>
  <c r="AI202" i="70"/>
  <c r="AJ202" i="70" s="1"/>
  <c r="AC202" i="70"/>
  <c r="AC115" i="70"/>
  <c r="AO115" i="70"/>
  <c r="AP115" i="70" s="1"/>
  <c r="BY25" i="75" s="1"/>
  <c r="AU115" i="70"/>
  <c r="AV115" i="70" s="1"/>
  <c r="CT25" i="75" s="1"/>
  <c r="AI115" i="70"/>
  <c r="AJ115" i="70" s="1"/>
  <c r="AO158" i="70"/>
  <c r="AP158" i="70" s="1"/>
  <c r="BZ23" i="75" s="1"/>
  <c r="AI158" i="70"/>
  <c r="AJ158" i="70" s="1"/>
  <c r="AC158" i="70"/>
  <c r="AU158" i="70"/>
  <c r="AV158" i="70" s="1"/>
  <c r="CU23" i="75" s="1"/>
  <c r="AO112" i="70"/>
  <c r="AP112" i="70" s="1"/>
  <c r="BY22" i="75" s="1"/>
  <c r="AC112" i="70"/>
  <c r="AI112" i="70"/>
  <c r="AJ112" i="70" s="1"/>
  <c r="AU112" i="70"/>
  <c r="AV112" i="70" s="1"/>
  <c r="CT22" i="75" s="1"/>
  <c r="AI206" i="70"/>
  <c r="AJ206" i="70" s="1"/>
  <c r="AO206" i="70"/>
  <c r="AP206" i="70" s="1"/>
  <c r="CA26" i="75" s="1"/>
  <c r="AC206" i="70"/>
  <c r="AU206" i="70"/>
  <c r="AV206" i="70" s="1"/>
  <c r="CV26" i="75" s="1"/>
  <c r="AU25" i="70"/>
  <c r="AV25" i="70" s="1"/>
  <c r="CR25" i="75" s="1"/>
  <c r="AI25" i="70"/>
  <c r="AJ25" i="70" s="1"/>
  <c r="AO25" i="70"/>
  <c r="AP25" i="70" s="1"/>
  <c r="BW25" i="75" s="1"/>
  <c r="AC25" i="70"/>
  <c r="AU27" i="70"/>
  <c r="AV27" i="70" s="1"/>
  <c r="CR27" i="75" s="1"/>
  <c r="AI27" i="70"/>
  <c r="AJ27" i="70" s="1"/>
  <c r="AC27" i="70"/>
  <c r="AO27" i="70"/>
  <c r="AP27" i="70" s="1"/>
  <c r="BW27" i="75" s="1"/>
  <c r="AO201" i="70"/>
  <c r="AP201" i="70" s="1"/>
  <c r="CA21" i="75" s="1"/>
  <c r="AI201" i="70"/>
  <c r="AJ201" i="70" s="1"/>
  <c r="AC201" i="70"/>
  <c r="AU201" i="70"/>
  <c r="AV201" i="70" s="1"/>
  <c r="CV21" i="75" s="1"/>
  <c r="AU21" i="70"/>
  <c r="AV21" i="70" s="1"/>
  <c r="CR21" i="75" s="1"/>
  <c r="AI21" i="70"/>
  <c r="AJ21" i="70" s="1"/>
  <c r="AO21" i="70"/>
  <c r="AP21" i="70" s="1"/>
  <c r="BW21" i="75" s="1"/>
  <c r="AC21" i="70"/>
  <c r="AO40" i="70"/>
  <c r="AP40" i="70" s="1"/>
  <c r="BW40" i="75" s="1"/>
  <c r="AU40" i="70"/>
  <c r="AV40" i="70" s="1"/>
  <c r="CR40" i="75" s="1"/>
  <c r="AI40" i="70"/>
  <c r="AJ40" i="70" s="1"/>
  <c r="AC40" i="70"/>
  <c r="AU36" i="70"/>
  <c r="AV36" i="70" s="1"/>
  <c r="CR36" i="75" s="1"/>
  <c r="AI36" i="70"/>
  <c r="AJ36" i="70" s="1"/>
  <c r="AC36" i="70"/>
  <c r="AO36" i="70"/>
  <c r="AP36" i="70" s="1"/>
  <c r="BW36" i="75" s="1"/>
  <c r="AI214" i="70"/>
  <c r="AJ214" i="70" s="1"/>
  <c r="AO214" i="70"/>
  <c r="AP214" i="70" s="1"/>
  <c r="CA34" i="75" s="1"/>
  <c r="AU214" i="70"/>
  <c r="AV214" i="70" s="1"/>
  <c r="CV34" i="75" s="1"/>
  <c r="AC214" i="70"/>
  <c r="AI220" i="70"/>
  <c r="AJ220" i="70" s="1"/>
  <c r="AU220" i="70"/>
  <c r="AV220" i="70" s="1"/>
  <c r="CV40" i="75" s="1"/>
  <c r="AC220" i="70"/>
  <c r="AO220" i="70"/>
  <c r="AP220" i="70" s="1"/>
  <c r="CA40" i="75" s="1"/>
  <c r="AU173" i="70"/>
  <c r="AV173" i="70" s="1"/>
  <c r="CU38" i="75" s="1"/>
  <c r="AO173" i="70"/>
  <c r="AP173" i="70" s="1"/>
  <c r="BZ38" i="75" s="1"/>
  <c r="AI173" i="70"/>
  <c r="AJ173" i="70" s="1"/>
  <c r="AC173" i="70"/>
  <c r="AU132" i="70"/>
  <c r="AV132" i="70" s="1"/>
  <c r="CT42" i="75" s="1"/>
  <c r="AI132" i="70"/>
  <c r="AJ132" i="70" s="1"/>
  <c r="AC132" i="70"/>
  <c r="AO132" i="70"/>
  <c r="AP132" i="70" s="1"/>
  <c r="AU212" i="70"/>
  <c r="AV212" i="70" s="1"/>
  <c r="CV32" i="75" s="1"/>
  <c r="AC212" i="70"/>
  <c r="AO212" i="70"/>
  <c r="AP212" i="70" s="1"/>
  <c r="CA32" i="75" s="1"/>
  <c r="AI212" i="70"/>
  <c r="AJ212" i="70" s="1"/>
  <c r="AU171" i="70"/>
  <c r="AV171" i="70" s="1"/>
  <c r="CU36" i="75" s="1"/>
  <c r="AO171" i="70"/>
  <c r="AP171" i="70" s="1"/>
  <c r="BZ36" i="75" s="1"/>
  <c r="AC171" i="70"/>
  <c r="AI171" i="70"/>
  <c r="AJ171" i="70" s="1"/>
  <c r="AI130" i="70"/>
  <c r="AJ130" i="70" s="1"/>
  <c r="AC130" i="70"/>
  <c r="AU130" i="70"/>
  <c r="AV130" i="70" s="1"/>
  <c r="CT40" i="75" s="1"/>
  <c r="AO130" i="70"/>
  <c r="AP130" i="70" s="1"/>
  <c r="BY40" i="75" s="1"/>
  <c r="AU210" i="70"/>
  <c r="AV210" i="70" s="1"/>
  <c r="CV30" i="75" s="1"/>
  <c r="AO210" i="70"/>
  <c r="AP210" i="70" s="1"/>
  <c r="CA30" i="75" s="1"/>
  <c r="AC210" i="70"/>
  <c r="AI210" i="70"/>
  <c r="AJ210" i="70" s="1"/>
  <c r="AU169" i="70"/>
  <c r="AV169" i="70" s="1"/>
  <c r="CU34" i="75" s="1"/>
  <c r="AO169" i="70"/>
  <c r="AP169" i="70" s="1"/>
  <c r="BZ34" i="75" s="1"/>
  <c r="AI169" i="70"/>
  <c r="AJ169" i="70" s="1"/>
  <c r="AC169" i="70"/>
  <c r="AC203" i="70"/>
  <c r="AU203" i="70"/>
  <c r="AV203" i="70" s="1"/>
  <c r="CV23" i="75" s="1"/>
  <c r="AI203" i="70"/>
  <c r="AJ203" i="70" s="1"/>
  <c r="AO203" i="70"/>
  <c r="AP203" i="70" s="1"/>
  <c r="CA23" i="75" s="1"/>
  <c r="AC82" i="70"/>
  <c r="AI82" i="70"/>
  <c r="AJ82" i="70" s="1"/>
  <c r="AO82" i="70"/>
  <c r="AP82" i="70" s="1"/>
  <c r="BX37" i="75" s="1"/>
  <c r="AU82" i="70"/>
  <c r="AV82" i="70" s="1"/>
  <c r="CS37" i="75" s="1"/>
  <c r="AU216" i="70"/>
  <c r="AV216" i="70" s="1"/>
  <c r="CV36" i="75" s="1"/>
  <c r="AI216" i="70"/>
  <c r="AJ216" i="70" s="1"/>
  <c r="AC216" i="70"/>
  <c r="AO216" i="70"/>
  <c r="AP216" i="70" s="1"/>
  <c r="CA36" i="75" s="1"/>
  <c r="AI159" i="70"/>
  <c r="AJ159" i="70" s="1"/>
  <c r="AU159" i="70"/>
  <c r="AV159" i="70" s="1"/>
  <c r="CU24" i="75" s="1"/>
  <c r="AC159" i="70"/>
  <c r="AO159" i="70"/>
  <c r="AP159" i="70" s="1"/>
  <c r="BZ24" i="75" s="1"/>
  <c r="AU116" i="70"/>
  <c r="AV116" i="70" s="1"/>
  <c r="CT26" i="75" s="1"/>
  <c r="AI116" i="70"/>
  <c r="AJ116" i="70" s="1"/>
  <c r="AC116" i="70"/>
  <c r="AO116" i="70"/>
  <c r="AP116" i="70" s="1"/>
  <c r="BY26" i="75" s="1"/>
  <c r="AI204" i="70"/>
  <c r="AJ204" i="70" s="1"/>
  <c r="AO204" i="70"/>
  <c r="AP204" i="70" s="1"/>
  <c r="CA24" i="75" s="1"/>
  <c r="AC204" i="70"/>
  <c r="AU204" i="70"/>
  <c r="AV204" i="70" s="1"/>
  <c r="CV24" i="75" s="1"/>
  <c r="AO117" i="70"/>
  <c r="AP117" i="70" s="1"/>
  <c r="BY27" i="75" s="1"/>
  <c r="AI117" i="70"/>
  <c r="AJ117" i="70" s="1"/>
  <c r="AU117" i="70"/>
  <c r="AV117" i="70" s="1"/>
  <c r="CT27" i="75" s="1"/>
  <c r="AC117" i="70"/>
  <c r="AU208" i="70"/>
  <c r="AV208" i="70" s="1"/>
  <c r="CV28" i="75" s="1"/>
  <c r="AI208" i="70"/>
  <c r="AJ208" i="70" s="1"/>
  <c r="AC208" i="70"/>
  <c r="AO208" i="70"/>
  <c r="AP208" i="70" s="1"/>
  <c r="CA28" i="75" s="1"/>
  <c r="AU118" i="70"/>
  <c r="AV118" i="70" s="1"/>
  <c r="CT28" i="75" s="1"/>
  <c r="AO118" i="70"/>
  <c r="AP118" i="70" s="1"/>
  <c r="BY28" i="75" s="1"/>
  <c r="AC118" i="70"/>
  <c r="AI118" i="70"/>
  <c r="AJ118" i="70" s="1"/>
  <c r="AU28" i="70"/>
  <c r="AV28" i="70" s="1"/>
  <c r="CR28" i="75" s="1"/>
  <c r="AC28" i="70"/>
  <c r="AO28" i="70"/>
  <c r="AP28" i="70" s="1"/>
  <c r="BW28" i="75" s="1"/>
  <c r="AI28" i="70"/>
  <c r="AJ28" i="70" s="1"/>
  <c r="AU156" i="70"/>
  <c r="AV156" i="70" s="1"/>
  <c r="CU21" i="75" s="1"/>
  <c r="AO156" i="70"/>
  <c r="AP156" i="70" s="1"/>
  <c r="BZ21" i="75" s="1"/>
  <c r="AI156" i="70"/>
  <c r="AJ156" i="70" s="1"/>
  <c r="AC156" i="70"/>
  <c r="AI111" i="70"/>
  <c r="AJ111" i="70" s="1"/>
  <c r="AC111" i="70"/>
  <c r="AO111" i="70"/>
  <c r="AP111" i="70" s="1"/>
  <c r="BY21" i="75" s="1"/>
  <c r="AU111" i="70"/>
  <c r="AV111" i="70" s="1"/>
  <c r="CT21" i="75" s="1"/>
  <c r="AU34" i="70"/>
  <c r="AV34" i="70" s="1"/>
  <c r="CR34" i="75" s="1"/>
  <c r="AI34" i="70"/>
  <c r="AJ34" i="70" s="1"/>
  <c r="AO34" i="70"/>
  <c r="AP34" i="70" s="1"/>
  <c r="BW34" i="75" s="1"/>
  <c r="AC34" i="70"/>
  <c r="AU30" i="70"/>
  <c r="AV30" i="70" s="1"/>
  <c r="CR30" i="75" s="1"/>
  <c r="AI30" i="70"/>
  <c r="AJ30" i="70" s="1"/>
  <c r="AO30" i="70"/>
  <c r="AP30" i="70" s="1"/>
  <c r="BW30" i="75" s="1"/>
  <c r="AC30" i="70"/>
  <c r="AU128" i="70"/>
  <c r="AV128" i="70" s="1"/>
  <c r="CT38" i="75" s="1"/>
  <c r="AO128" i="70"/>
  <c r="AP128" i="70" s="1"/>
  <c r="BY38" i="75" s="1"/>
  <c r="AI128" i="70"/>
  <c r="AJ128" i="70" s="1"/>
  <c r="AC128" i="70"/>
  <c r="AU87" i="70"/>
  <c r="AV87" i="70" s="1"/>
  <c r="CS42" i="75" s="1"/>
  <c r="AC87" i="70"/>
  <c r="AO87" i="70"/>
  <c r="AP87" i="70" s="1"/>
  <c r="AI87" i="70"/>
  <c r="AJ87" i="70" s="1"/>
  <c r="AI167" i="70"/>
  <c r="AJ167" i="70" s="1"/>
  <c r="AC167" i="70"/>
  <c r="AU167" i="70"/>
  <c r="AV167" i="70" s="1"/>
  <c r="CU32" i="75" s="1"/>
  <c r="AO167" i="70"/>
  <c r="AP167" i="70" s="1"/>
  <c r="BZ32" i="75" s="1"/>
  <c r="AU126" i="70"/>
  <c r="AV126" i="70" s="1"/>
  <c r="CT36" i="75" s="1"/>
  <c r="AO126" i="70"/>
  <c r="AP126" i="70" s="1"/>
  <c r="BY36" i="75" s="1"/>
  <c r="AC126" i="70"/>
  <c r="AI126" i="70"/>
  <c r="AJ126" i="70" s="1"/>
  <c r="AU85" i="70"/>
  <c r="AV85" i="70" s="1"/>
  <c r="CS40" i="75" s="1"/>
  <c r="AI85" i="70"/>
  <c r="AJ85" i="70" s="1"/>
  <c r="AC85" i="70"/>
  <c r="AO85" i="70"/>
  <c r="AP85" i="70" s="1"/>
  <c r="BX40" i="75" s="1"/>
  <c r="AC165" i="70"/>
  <c r="AI165" i="70"/>
  <c r="AJ165" i="70" s="1"/>
  <c r="AO165" i="70"/>
  <c r="AP165" i="70" s="1"/>
  <c r="BZ30" i="75" s="1"/>
  <c r="AU165" i="70"/>
  <c r="AV165" i="70" s="1"/>
  <c r="CU30" i="75" s="1"/>
  <c r="AU124" i="70"/>
  <c r="AV124" i="70" s="1"/>
  <c r="CT34" i="75" s="1"/>
  <c r="AI124" i="70"/>
  <c r="AJ124" i="70" s="1"/>
  <c r="AC124" i="70"/>
  <c r="AO124" i="70"/>
  <c r="AP124" i="70" s="1"/>
  <c r="BY34" i="75" s="1"/>
  <c r="AI83" i="70"/>
  <c r="AJ83" i="70" s="1"/>
  <c r="AU83" i="70"/>
  <c r="AV83" i="70" s="1"/>
  <c r="CS38" i="75" s="1"/>
  <c r="AC83" i="70"/>
  <c r="AO83" i="70"/>
  <c r="AP83" i="70" s="1"/>
  <c r="BX38" i="75" s="1"/>
  <c r="AC221" i="70"/>
  <c r="AU221" i="70"/>
  <c r="AV221" i="70" s="1"/>
  <c r="CV41" i="75" s="1"/>
  <c r="AI221" i="70"/>
  <c r="AJ221" i="70" s="1"/>
  <c r="AO221" i="70"/>
  <c r="AP221" i="70" s="1"/>
  <c r="CA41" i="75" s="1"/>
  <c r="AI26" i="70"/>
  <c r="AJ26" i="70" s="1"/>
  <c r="AO26" i="70"/>
  <c r="AP26" i="70" s="1"/>
  <c r="BW26" i="75" s="1"/>
  <c r="AC26" i="70"/>
  <c r="AU26" i="70"/>
  <c r="AV26" i="70" s="1"/>
  <c r="CR26" i="75" s="1"/>
  <c r="AU218" i="70"/>
  <c r="AV218" i="70" s="1"/>
  <c r="CV38" i="75" s="1"/>
  <c r="AI218" i="70"/>
  <c r="AJ218" i="70" s="1"/>
  <c r="AC218" i="70"/>
  <c r="AO218" i="70"/>
  <c r="AP218" i="70" s="1"/>
  <c r="CA38" i="75" s="1"/>
  <c r="AU72" i="70"/>
  <c r="AV72" i="70" s="1"/>
  <c r="CS27" i="75" s="1"/>
  <c r="AC72" i="70"/>
  <c r="AO72" i="70"/>
  <c r="AP72" i="70" s="1"/>
  <c r="BX27" i="75" s="1"/>
  <c r="AI72" i="70"/>
  <c r="AJ72" i="70" s="1"/>
  <c r="AO207" i="70"/>
  <c r="AP207" i="70" s="1"/>
  <c r="CA27" i="75" s="1"/>
  <c r="AC207" i="70"/>
  <c r="AU207" i="70"/>
  <c r="AV207" i="70" s="1"/>
  <c r="CV27" i="75" s="1"/>
  <c r="AI207" i="70"/>
  <c r="AJ207" i="70" s="1"/>
  <c r="AO160" i="70"/>
  <c r="AP160" i="70" s="1"/>
  <c r="BZ25" i="75" s="1"/>
  <c r="AI160" i="70"/>
  <c r="AJ160" i="70" s="1"/>
  <c r="AC160" i="70"/>
  <c r="AU160" i="70"/>
  <c r="AV160" i="70" s="1"/>
  <c r="CU25" i="75" s="1"/>
  <c r="AU22" i="70"/>
  <c r="AV22" i="70" s="1"/>
  <c r="CR22" i="75" s="1"/>
  <c r="AC22" i="70"/>
  <c r="AO22" i="70"/>
  <c r="AP22" i="70" s="1"/>
  <c r="BW22" i="75" s="1"/>
  <c r="AI22" i="70"/>
  <c r="AJ22" i="70" s="1"/>
  <c r="AC119" i="70"/>
  <c r="AU119" i="70"/>
  <c r="AV119" i="70" s="1"/>
  <c r="CT29" i="75" s="1"/>
  <c r="AO119" i="70"/>
  <c r="AP119" i="70" s="1"/>
  <c r="BY29" i="75" s="1"/>
  <c r="AI119" i="70"/>
  <c r="AJ119" i="70" s="1"/>
  <c r="AU157" i="70"/>
  <c r="AV157" i="70" s="1"/>
  <c r="CU22" i="75" s="1"/>
  <c r="AO157" i="70"/>
  <c r="AP157" i="70" s="1"/>
  <c r="BZ22" i="75" s="1"/>
  <c r="AI157" i="70"/>
  <c r="AJ157" i="70" s="1"/>
  <c r="AC157" i="70"/>
  <c r="AC74" i="70"/>
  <c r="AU74" i="70"/>
  <c r="AV74" i="70" s="1"/>
  <c r="CS29" i="75" s="1"/>
  <c r="AO74" i="70"/>
  <c r="AP74" i="70" s="1"/>
  <c r="BX29" i="75" s="1"/>
  <c r="AI74" i="70"/>
  <c r="AJ74" i="70" s="1"/>
  <c r="AO39" i="70"/>
  <c r="AP39" i="70" s="1"/>
  <c r="BW39" i="75" s="1"/>
  <c r="AC39" i="70"/>
  <c r="AU39" i="70"/>
  <c r="AV39" i="70" s="1"/>
  <c r="CR39" i="75" s="1"/>
  <c r="AI39" i="70"/>
  <c r="AJ39" i="70" s="1"/>
  <c r="AC37" i="70"/>
  <c r="AI37" i="70"/>
  <c r="AJ37" i="70" s="1"/>
  <c r="AU37" i="70"/>
  <c r="AV37" i="70" s="1"/>
  <c r="CR37" i="75" s="1"/>
  <c r="AO37" i="70"/>
  <c r="AP37" i="70" s="1"/>
  <c r="BW37" i="75" s="1"/>
  <c r="AI122" i="70"/>
  <c r="AJ122" i="70" s="1"/>
  <c r="AU122" i="70"/>
  <c r="AV122" i="70" s="1"/>
  <c r="CT32" i="75" s="1"/>
  <c r="AO122" i="70"/>
  <c r="AP122" i="70" s="1"/>
  <c r="BY32" i="75" s="1"/>
  <c r="AC122" i="70"/>
  <c r="AI81" i="70"/>
  <c r="AJ81" i="70" s="1"/>
  <c r="AO81" i="70"/>
  <c r="AP81" i="70" s="1"/>
  <c r="BX36" i="75" s="1"/>
  <c r="AU81" i="70"/>
  <c r="AV81" i="70" s="1"/>
  <c r="CS36" i="75" s="1"/>
  <c r="AC81" i="70"/>
  <c r="AO219" i="70"/>
  <c r="AP219" i="70" s="1"/>
  <c r="CA39" i="75" s="1"/>
  <c r="AI219" i="70"/>
  <c r="AJ219" i="70" s="1"/>
  <c r="AU219" i="70"/>
  <c r="AV219" i="70" s="1"/>
  <c r="CV39" i="75" s="1"/>
  <c r="AC219" i="70"/>
  <c r="AI120" i="70"/>
  <c r="AJ120" i="70" s="1"/>
  <c r="AO120" i="70"/>
  <c r="AP120" i="70" s="1"/>
  <c r="BY30" i="75" s="1"/>
  <c r="AU120" i="70"/>
  <c r="AV120" i="70" s="1"/>
  <c r="CT30" i="75" s="1"/>
  <c r="AC120" i="70"/>
  <c r="AU79" i="70"/>
  <c r="AV79" i="70" s="1"/>
  <c r="CS34" i="75" s="1"/>
  <c r="AO79" i="70"/>
  <c r="AP79" i="70" s="1"/>
  <c r="BX34" i="75" s="1"/>
  <c r="AI79" i="70"/>
  <c r="AJ79" i="70" s="1"/>
  <c r="AC79" i="70"/>
  <c r="AI217" i="70"/>
  <c r="AJ217" i="70" s="1"/>
  <c r="AC217" i="70"/>
  <c r="AU217" i="70"/>
  <c r="AV217" i="70" s="1"/>
  <c r="CV37" i="75" s="1"/>
  <c r="AO217" i="70"/>
  <c r="AP217" i="70" s="1"/>
  <c r="CA37" i="75" s="1"/>
  <c r="AC176" i="70"/>
  <c r="AO176" i="70"/>
  <c r="AP176" i="70" s="1"/>
  <c r="BZ41" i="75" s="1"/>
  <c r="AI176" i="70"/>
  <c r="AJ176" i="70" s="1"/>
  <c r="AU176" i="70"/>
  <c r="AV176" i="70" s="1"/>
  <c r="CU41" i="75" s="1"/>
  <c r="AU77" i="70"/>
  <c r="AV77" i="70" s="1"/>
  <c r="CS32" i="75" s="1"/>
  <c r="AI77" i="70"/>
  <c r="AJ77" i="70" s="1"/>
  <c r="AC77" i="70"/>
  <c r="AO77" i="70"/>
  <c r="AP77" i="70" s="1"/>
  <c r="BX32" i="75" s="1"/>
  <c r="AO215" i="70"/>
  <c r="AP215" i="70" s="1"/>
  <c r="CA35" i="75" s="1"/>
  <c r="AC215" i="70"/>
  <c r="AI215" i="70"/>
  <c r="AJ215" i="70" s="1"/>
  <c r="AU215" i="70"/>
  <c r="AV215" i="70" s="1"/>
  <c r="CV35" i="75" s="1"/>
  <c r="AO70" i="70"/>
  <c r="AP70" i="70" s="1"/>
  <c r="BX25" i="75" s="1"/>
  <c r="AC70" i="70"/>
  <c r="AU70" i="70"/>
  <c r="AV70" i="70" s="1"/>
  <c r="CS25" i="75" s="1"/>
  <c r="AI70" i="70"/>
  <c r="AJ70" i="70" s="1"/>
  <c r="AC205" i="70"/>
  <c r="AI205" i="70"/>
  <c r="AJ205" i="70" s="1"/>
  <c r="AO205" i="70"/>
  <c r="AP205" i="70" s="1"/>
  <c r="CA25" i="75" s="1"/>
  <c r="AU205" i="70"/>
  <c r="AV205" i="70" s="1"/>
  <c r="CV25" i="75" s="1"/>
  <c r="AO155" i="70"/>
  <c r="AP155" i="70" s="1"/>
  <c r="BZ20" i="75" s="1"/>
  <c r="AI155" i="70"/>
  <c r="AJ155" i="70" s="1"/>
  <c r="AC155" i="70"/>
  <c r="AU155" i="70"/>
  <c r="AV155" i="70" s="1"/>
  <c r="CU20" i="75" s="1"/>
  <c r="AI76" i="70"/>
  <c r="AJ76" i="70" s="1"/>
  <c r="AU76" i="70"/>
  <c r="AV76" i="70" s="1"/>
  <c r="CS31" i="75" s="1"/>
  <c r="AC76" i="70"/>
  <c r="AO76" i="70"/>
  <c r="AP76" i="70" s="1"/>
  <c r="BX31" i="75" s="1"/>
  <c r="AC80" i="70"/>
  <c r="AU80" i="70"/>
  <c r="AV80" i="70" s="1"/>
  <c r="CS35" i="75" s="1"/>
  <c r="AO80" i="70"/>
  <c r="AP80" i="70" s="1"/>
  <c r="BX35" i="75" s="1"/>
  <c r="AI80" i="70"/>
  <c r="AJ80" i="70" s="1"/>
  <c r="AO78" i="70"/>
  <c r="AP78" i="70" s="1"/>
  <c r="BX33" i="75" s="1"/>
  <c r="AI78" i="70"/>
  <c r="AJ78" i="70" s="1"/>
  <c r="AC78" i="70"/>
  <c r="AU78" i="70"/>
  <c r="AV78" i="70" s="1"/>
  <c r="CS33" i="75" s="1"/>
  <c r="AO209" i="70"/>
  <c r="AP209" i="70" s="1"/>
  <c r="CA29" i="75" s="1"/>
  <c r="AI209" i="70"/>
  <c r="AJ209" i="70" s="1"/>
  <c r="AC209" i="70"/>
  <c r="AU209" i="70"/>
  <c r="AV209" i="70" s="1"/>
  <c r="CV29" i="75" s="1"/>
  <c r="AU163" i="70"/>
  <c r="AV163" i="70" s="1"/>
  <c r="CU28" i="75" s="1"/>
  <c r="AI163" i="70"/>
  <c r="AJ163" i="70" s="1"/>
  <c r="AO163" i="70"/>
  <c r="AP163" i="70" s="1"/>
  <c r="BZ28" i="75" s="1"/>
  <c r="AC163" i="70"/>
  <c r="AO71" i="70"/>
  <c r="AP71" i="70" s="1"/>
  <c r="BX26" i="75" s="1"/>
  <c r="AI71" i="70"/>
  <c r="AJ71" i="70" s="1"/>
  <c r="AC71" i="70"/>
  <c r="AU71" i="70"/>
  <c r="AV71" i="70" s="1"/>
  <c r="CS26" i="75" s="1"/>
  <c r="AU113" i="70"/>
  <c r="AV113" i="70" s="1"/>
  <c r="CT23" i="75" s="1"/>
  <c r="AO113" i="70"/>
  <c r="AP113" i="70" s="1"/>
  <c r="BY23" i="75" s="1"/>
  <c r="AC113" i="70"/>
  <c r="AI113" i="70"/>
  <c r="AJ113" i="70" s="1"/>
  <c r="AU24" i="70"/>
  <c r="AV24" i="70" s="1"/>
  <c r="CR24" i="75" s="1"/>
  <c r="AI24" i="70"/>
  <c r="AJ24" i="70" s="1"/>
  <c r="AC24" i="70"/>
  <c r="AO24" i="70"/>
  <c r="AP24" i="70" s="1"/>
  <c r="BW24" i="75" s="1"/>
  <c r="AI23" i="70"/>
  <c r="AJ23" i="70" s="1"/>
  <c r="AC23" i="70"/>
  <c r="AO23" i="70"/>
  <c r="AP23" i="70" s="1"/>
  <c r="BW23" i="75" s="1"/>
  <c r="AU23" i="70"/>
  <c r="AV23" i="70" s="1"/>
  <c r="CR23" i="75" s="1"/>
  <c r="AI20" i="70"/>
  <c r="AJ20" i="70" s="1"/>
  <c r="AU20" i="70"/>
  <c r="AV20" i="70" s="1"/>
  <c r="CR20" i="75" s="1"/>
  <c r="AC20" i="70"/>
  <c r="AO20" i="70"/>
  <c r="AP20" i="70" s="1"/>
  <c r="BW20" i="75" s="1"/>
  <c r="AU66" i="70"/>
  <c r="AV66" i="70" s="1"/>
  <c r="CS21" i="75" s="1"/>
  <c r="AO66" i="70"/>
  <c r="AP66" i="70" s="1"/>
  <c r="BX21" i="75" s="1"/>
  <c r="AI66" i="70"/>
  <c r="AJ66" i="70" s="1"/>
  <c r="AC66" i="70"/>
  <c r="AU200" i="70"/>
  <c r="AV200" i="70" s="1"/>
  <c r="CV20" i="75" s="1"/>
  <c r="AI200" i="70"/>
  <c r="AJ200" i="70" s="1"/>
  <c r="AC200" i="70"/>
  <c r="AO200" i="70"/>
  <c r="AP200" i="70" s="1"/>
  <c r="CA20" i="75" s="1"/>
  <c r="AC38" i="70"/>
  <c r="AI38" i="70"/>
  <c r="AJ38" i="70" s="1"/>
  <c r="AO38" i="70"/>
  <c r="AP38" i="70" s="1"/>
  <c r="BW38" i="75" s="1"/>
  <c r="AU38" i="70"/>
  <c r="AV38" i="70" s="1"/>
  <c r="CR38" i="75" s="1"/>
  <c r="AC41" i="70"/>
  <c r="AI41" i="70"/>
  <c r="AJ41" i="70" s="1"/>
  <c r="AO41" i="70"/>
  <c r="AP41" i="70" s="1"/>
  <c r="BW41" i="75" s="1"/>
  <c r="AU41" i="70"/>
  <c r="AV41" i="70" s="1"/>
  <c r="CR41" i="75" s="1"/>
  <c r="AO174" i="70"/>
  <c r="AP174" i="70" s="1"/>
  <c r="BZ39" i="75" s="1"/>
  <c r="AC174" i="70"/>
  <c r="AU174" i="70"/>
  <c r="AV174" i="70" s="1"/>
  <c r="CU39" i="75" s="1"/>
  <c r="AI174" i="70"/>
  <c r="AJ174" i="70" s="1"/>
  <c r="AU75" i="70"/>
  <c r="AV75" i="70" s="1"/>
  <c r="CS30" i="75" s="1"/>
  <c r="AI75" i="70"/>
  <c r="AJ75" i="70" s="1"/>
  <c r="AC75" i="70"/>
  <c r="AO75" i="70"/>
  <c r="AP75" i="70" s="1"/>
  <c r="BX30" i="75" s="1"/>
  <c r="AC213" i="70"/>
  <c r="AO213" i="70"/>
  <c r="AP213" i="70" s="1"/>
  <c r="CA33" i="75" s="1"/>
  <c r="AI213" i="70"/>
  <c r="AJ213" i="70" s="1"/>
  <c r="AU213" i="70"/>
  <c r="AV213" i="70" s="1"/>
  <c r="CV33" i="75" s="1"/>
  <c r="AO172" i="70"/>
  <c r="AP172" i="70" s="1"/>
  <c r="BZ37" i="75" s="1"/>
  <c r="AC172" i="70"/>
  <c r="AI172" i="70"/>
  <c r="AJ172" i="70" s="1"/>
  <c r="AU172" i="70"/>
  <c r="AV172" i="70" s="1"/>
  <c r="CU37" i="75" s="1"/>
  <c r="AO131" i="70"/>
  <c r="AP131" i="70" s="1"/>
  <c r="BY41" i="75" s="1"/>
  <c r="AC131" i="70"/>
  <c r="AU131" i="70"/>
  <c r="AV131" i="70" s="1"/>
  <c r="CT41" i="75" s="1"/>
  <c r="AI131" i="70"/>
  <c r="AJ131" i="70" s="1"/>
  <c r="AC211" i="70"/>
  <c r="AI211" i="70"/>
  <c r="AJ211" i="70" s="1"/>
  <c r="AO211" i="70"/>
  <c r="AP211" i="70" s="1"/>
  <c r="CA31" i="75" s="1"/>
  <c r="AU211" i="70"/>
  <c r="AV211" i="70" s="1"/>
  <c r="CV31" i="75" s="1"/>
  <c r="AU170" i="70"/>
  <c r="AV170" i="70" s="1"/>
  <c r="CU35" i="75" s="1"/>
  <c r="AO170" i="70"/>
  <c r="AP170" i="70" s="1"/>
  <c r="BZ35" i="75" s="1"/>
  <c r="AC170" i="70"/>
  <c r="AI170" i="70"/>
  <c r="AJ170" i="70" s="1"/>
  <c r="AC129" i="70"/>
  <c r="AU129" i="70"/>
  <c r="AV129" i="70" s="1"/>
  <c r="CT39" i="75" s="1"/>
  <c r="AI129" i="70"/>
  <c r="AJ129" i="70" s="1"/>
  <c r="AO129" i="70"/>
  <c r="AP129" i="70" s="1"/>
  <c r="BY39" i="75" s="1"/>
  <c r="BH54" i="84"/>
  <c r="BI54" i="84"/>
  <c r="AQ215" i="95"/>
  <c r="AQ216" i="95" s="1"/>
  <c r="AQ217" i="95" s="1"/>
  <c r="AQ218" i="95" s="1"/>
  <c r="AZ81" i="95"/>
  <c r="AU215" i="95"/>
  <c r="BB173" i="95"/>
  <c r="BB174" i="95" s="1"/>
  <c r="BB175" i="95" s="1"/>
  <c r="BB176" i="95" s="1"/>
  <c r="AW173" i="95"/>
  <c r="AU86" i="95"/>
  <c r="BA36" i="95"/>
  <c r="AR215" i="95"/>
  <c r="AR216" i="95" s="1"/>
  <c r="AR217" i="95" s="1"/>
  <c r="AR218" i="95" s="1"/>
  <c r="B3" i="84" l="1"/>
  <c r="BZ42" i="75"/>
  <c r="CA42" i="75"/>
  <c r="BY42" i="75"/>
  <c r="BX42" i="75"/>
  <c r="BW42" i="75"/>
  <c r="AD129" i="70"/>
  <c r="AD170" i="70"/>
  <c r="AD211" i="70"/>
  <c r="AD131" i="70"/>
  <c r="AD172" i="70"/>
  <c r="AD213" i="70"/>
  <c r="AD75" i="70"/>
  <c r="AD174" i="70"/>
  <c r="AD41" i="70"/>
  <c r="AD38" i="70"/>
  <c r="AD200" i="70"/>
  <c r="AD66" i="70"/>
  <c r="AD20" i="70"/>
  <c r="AD23" i="70"/>
  <c r="AD24" i="70"/>
  <c r="AD113" i="70"/>
  <c r="AD71" i="70"/>
  <c r="AD163" i="70"/>
  <c r="AD209" i="70"/>
  <c r="AD78" i="70"/>
  <c r="AD76" i="70"/>
  <c r="AD155" i="70"/>
  <c r="AD205" i="70"/>
  <c r="AD70" i="70"/>
  <c r="AD215" i="70"/>
  <c r="AD77" i="70"/>
  <c r="AD176" i="70"/>
  <c r="AD217" i="70"/>
  <c r="AD79" i="70"/>
  <c r="AD120" i="70"/>
  <c r="AD219" i="70"/>
  <c r="AD81" i="70"/>
  <c r="AD122" i="70"/>
  <c r="AD37" i="70"/>
  <c r="AD39" i="70"/>
  <c r="AD74" i="70"/>
  <c r="AD157" i="70"/>
  <c r="AD119" i="70"/>
  <c r="AD22" i="70"/>
  <c r="AD160" i="70"/>
  <c r="AD207" i="70"/>
  <c r="AD72" i="70"/>
  <c r="AD218" i="70"/>
  <c r="AD26" i="70"/>
  <c r="AD221" i="70"/>
  <c r="AD83" i="70"/>
  <c r="AD124" i="70"/>
  <c r="AD165" i="70"/>
  <c r="AD85" i="70"/>
  <c r="AD126" i="70"/>
  <c r="AD167" i="70"/>
  <c r="AD87" i="70"/>
  <c r="AD128" i="70"/>
  <c r="AD30" i="70"/>
  <c r="AD34" i="70"/>
  <c r="AD111" i="70"/>
  <c r="AD156" i="70"/>
  <c r="AD28" i="70"/>
  <c r="AD118" i="70"/>
  <c r="AD208" i="70"/>
  <c r="AD117" i="70"/>
  <c r="AD204" i="70"/>
  <c r="AD116" i="70"/>
  <c r="AD159" i="70"/>
  <c r="AD216" i="70"/>
  <c r="AD82" i="70"/>
  <c r="AD203" i="70"/>
  <c r="AD169" i="70"/>
  <c r="AD210" i="70"/>
  <c r="AD130" i="70"/>
  <c r="AD171" i="70"/>
  <c r="AD212" i="70"/>
  <c r="AD132" i="70"/>
  <c r="AD173" i="70"/>
  <c r="AD220" i="70"/>
  <c r="AD214" i="70"/>
  <c r="AD36" i="70"/>
  <c r="AD40" i="70"/>
  <c r="AD21" i="70"/>
  <c r="AD201" i="70"/>
  <c r="AD27" i="70"/>
  <c r="AD25" i="70"/>
  <c r="AD206" i="70"/>
  <c r="AD112" i="70"/>
  <c r="AD158" i="70"/>
  <c r="AD115" i="70"/>
  <c r="AD202" i="70"/>
  <c r="AD175" i="70"/>
  <c r="AD121" i="70"/>
  <c r="AD31" i="70"/>
  <c r="AD164" i="70"/>
  <c r="AD123" i="70"/>
  <c r="AD222" i="70"/>
  <c r="AD84" i="70"/>
  <c r="AD125" i="70"/>
  <c r="AD166" i="70"/>
  <c r="AD86" i="70"/>
  <c r="AD127" i="70"/>
  <c r="AD168" i="70"/>
  <c r="AD35" i="70"/>
  <c r="AD32" i="70"/>
  <c r="AD33" i="70"/>
  <c r="AD65" i="70"/>
  <c r="AD110" i="70"/>
  <c r="AD69" i="70"/>
  <c r="AD73" i="70"/>
  <c r="AD114" i="70"/>
  <c r="AD162" i="70"/>
  <c r="AD29" i="70"/>
  <c r="AD67" i="70"/>
  <c r="AD177" i="70"/>
  <c r="AD42" i="70"/>
  <c r="AD161" i="70"/>
  <c r="AD68" i="70"/>
  <c r="AD80" i="70"/>
  <c r="AW221" i="84"/>
  <c r="AW213" i="84"/>
  <c r="AW219" i="84"/>
  <c r="AW207" i="84"/>
  <c r="AW211" i="84"/>
  <c r="AW217" i="84"/>
  <c r="AW208" i="84"/>
  <c r="AW224" i="84"/>
  <c r="AW223" i="84"/>
  <c r="AW205" i="84"/>
  <c r="AW214" i="84"/>
  <c r="AW218" i="84"/>
  <c r="AW216" i="84"/>
  <c r="AW210" i="84"/>
  <c r="AW204" i="84"/>
  <c r="AW203" i="84"/>
  <c r="AW212" i="84"/>
  <c r="AW225" i="84"/>
  <c r="AW220" i="84"/>
  <c r="AW206" i="84"/>
  <c r="AW209" i="84"/>
  <c r="AW222" i="84"/>
  <c r="AW215" i="84"/>
  <c r="AW176" i="84"/>
  <c r="AW178" i="84"/>
  <c r="AW180" i="84"/>
  <c r="AW177" i="84"/>
  <c r="AW179" i="84"/>
  <c r="AW175" i="84"/>
  <c r="AW167" i="84"/>
  <c r="AW159" i="84"/>
  <c r="AW158" i="84"/>
  <c r="AW171" i="84"/>
  <c r="AW161" i="84"/>
  <c r="AW169" i="84"/>
  <c r="AW164" i="84"/>
  <c r="AW163" i="84"/>
  <c r="AW172" i="84"/>
  <c r="AW170" i="84"/>
  <c r="AW162" i="84"/>
  <c r="AW173" i="84"/>
  <c r="AW168" i="84"/>
  <c r="AW166" i="84"/>
  <c r="AW160" i="84"/>
  <c r="AW165" i="84"/>
  <c r="AW174" i="84"/>
  <c r="AW116" i="84"/>
  <c r="AW135" i="84"/>
  <c r="AW132" i="84"/>
  <c r="AW115" i="84"/>
  <c r="AW127" i="84"/>
  <c r="AW121" i="84"/>
  <c r="AW133" i="84"/>
  <c r="AW114" i="84"/>
  <c r="AW125" i="84"/>
  <c r="AW119" i="84"/>
  <c r="AW126" i="84"/>
  <c r="AW118" i="84"/>
  <c r="AW124" i="84"/>
  <c r="AW131" i="84"/>
  <c r="AW134" i="84"/>
  <c r="AW122" i="84"/>
  <c r="AW120" i="84"/>
  <c r="AW113" i="84"/>
  <c r="AW129" i="84"/>
  <c r="AW117" i="84"/>
  <c r="AW123" i="84"/>
  <c r="AW128" i="84"/>
  <c r="AW130" i="84"/>
  <c r="AW73" i="84"/>
  <c r="AW79" i="84"/>
  <c r="AW82" i="84"/>
  <c r="AW74" i="84"/>
  <c r="AW68" i="84"/>
  <c r="AW76" i="84"/>
  <c r="AW71" i="84"/>
  <c r="AW84" i="84"/>
  <c r="AW88" i="84"/>
  <c r="AW75" i="84"/>
  <c r="AW81" i="84"/>
  <c r="AW69" i="84"/>
  <c r="AW86" i="84"/>
  <c r="AW89" i="84"/>
  <c r="AW83" i="84"/>
  <c r="AW90" i="84"/>
  <c r="AW77" i="84"/>
  <c r="AW87" i="84"/>
  <c r="AW85" i="84"/>
  <c r="AW72" i="84"/>
  <c r="AW78" i="84"/>
  <c r="AW70" i="84"/>
  <c r="AW80" i="84"/>
  <c r="J15" i="94"/>
  <c r="AW28" i="84"/>
  <c r="AW37" i="84"/>
  <c r="AW38" i="84"/>
  <c r="AW31" i="84"/>
  <c r="AW40" i="84"/>
  <c r="AW32" i="84"/>
  <c r="AW41" i="84"/>
  <c r="AW45" i="84"/>
  <c r="AW25" i="84"/>
  <c r="AW34" i="84"/>
  <c r="AW42" i="84"/>
  <c r="AW26" i="84"/>
  <c r="AW29" i="84"/>
  <c r="AW30" i="84"/>
  <c r="AW44" i="84"/>
  <c r="AW36" i="84"/>
  <c r="AW24" i="84"/>
  <c r="AW43" i="84"/>
  <c r="AW35" i="84"/>
  <c r="AW39" i="84"/>
  <c r="AW23" i="84"/>
  <c r="AW33" i="84"/>
  <c r="AW27" i="84"/>
  <c r="AY154" i="84"/>
  <c r="AZ191" i="84"/>
  <c r="AY191" i="84"/>
  <c r="AU199" i="84"/>
  <c r="AX199" i="84" s="1"/>
  <c r="K28" i="87"/>
  <c r="K28" i="94"/>
  <c r="K25" i="87"/>
  <c r="K25" i="94"/>
  <c r="K27" i="87"/>
  <c r="K27" i="94"/>
  <c r="K24" i="87"/>
  <c r="K24" i="94"/>
  <c r="K26" i="87"/>
  <c r="K26" i="94"/>
  <c r="BF66" i="84"/>
  <c r="I145" i="84"/>
  <c r="AS106" i="84"/>
  <c r="BH106" i="84" s="1"/>
  <c r="O106" i="72"/>
  <c r="P109" i="84" s="1"/>
  <c r="BI191" i="84"/>
  <c r="U18" i="72"/>
  <c r="F56" i="89"/>
  <c r="F112" i="89"/>
  <c r="F101" i="89"/>
  <c r="F157" i="89"/>
  <c r="F151" i="89"/>
  <c r="F146" i="89"/>
  <c r="F202" i="89"/>
  <c r="F196" i="89"/>
  <c r="F190" i="89"/>
  <c r="F67" i="89"/>
  <c r="F106" i="89"/>
  <c r="F189" i="89"/>
  <c r="BF192" i="84"/>
  <c r="BG56" i="84"/>
  <c r="I189" i="84"/>
  <c r="BG59" i="84"/>
  <c r="BG191" i="84"/>
  <c r="AT71" i="90"/>
  <c r="E150" i="90"/>
  <c r="AT150" i="90" s="1"/>
  <c r="O146" i="72"/>
  <c r="P149" i="84" s="1"/>
  <c r="U56" i="72"/>
  <c r="U62" i="72"/>
  <c r="U143" i="72"/>
  <c r="U149" i="72"/>
  <c r="F66" i="89"/>
  <c r="F60" i="89"/>
  <c r="F54" i="89"/>
  <c r="F110" i="89"/>
  <c r="F105" i="89"/>
  <c r="F99" i="89"/>
  <c r="F155" i="89"/>
  <c r="F144" i="89"/>
  <c r="F200" i="89"/>
  <c r="F55" i="89"/>
  <c r="F100" i="89"/>
  <c r="F145" i="89"/>
  <c r="F195" i="89"/>
  <c r="E104" i="90"/>
  <c r="AT104" i="90" s="1"/>
  <c r="BH110" i="84"/>
  <c r="BG192" i="84"/>
  <c r="AS189" i="84"/>
  <c r="E59" i="90"/>
  <c r="AT59" i="90" s="1"/>
  <c r="BH59" i="84"/>
  <c r="F65" i="89"/>
  <c r="F59" i="89"/>
  <c r="F53" i="89"/>
  <c r="F109" i="89"/>
  <c r="F104" i="89"/>
  <c r="F98" i="89"/>
  <c r="F154" i="89"/>
  <c r="F143" i="89"/>
  <c r="F199" i="89"/>
  <c r="F193" i="89"/>
  <c r="F61" i="89"/>
  <c r="F111" i="89"/>
  <c r="F201" i="89"/>
  <c r="AS111" i="84"/>
  <c r="BI151" i="84"/>
  <c r="BF146" i="84"/>
  <c r="U151" i="72"/>
  <c r="AT107" i="68"/>
  <c r="F64" i="89"/>
  <c r="F58" i="89"/>
  <c r="F97" i="89"/>
  <c r="F103" i="89"/>
  <c r="F142" i="89"/>
  <c r="F153" i="89"/>
  <c r="F148" i="89"/>
  <c r="AS187" i="84"/>
  <c r="F198" i="89"/>
  <c r="F192" i="89"/>
  <c r="BF151" i="84"/>
  <c r="I106" i="84"/>
  <c r="I201" i="84"/>
  <c r="O98" i="89"/>
  <c r="BB21" i="90"/>
  <c r="BN18" i="90"/>
  <c r="O140" i="72"/>
  <c r="P143" i="84" s="1"/>
  <c r="F63" i="89"/>
  <c r="F57" i="89"/>
  <c r="F107" i="89"/>
  <c r="F102" i="89"/>
  <c r="F152" i="89"/>
  <c r="F147" i="89"/>
  <c r="F191" i="89"/>
  <c r="BB70" i="90"/>
  <c r="BN17" i="90"/>
  <c r="BI202" i="84"/>
  <c r="BG60" i="84"/>
  <c r="BF10" i="84"/>
  <c r="BI201" i="84"/>
  <c r="BH60" i="84"/>
  <c r="AU87" i="95"/>
  <c r="AU88" i="95" s="1"/>
  <c r="BA37" i="95"/>
  <c r="AZ82" i="95"/>
  <c r="AZ83" i="95" s="1"/>
  <c r="AZ84" i="95" s="1"/>
  <c r="AZ85" i="95" s="1"/>
  <c r="AZ86" i="95" s="1"/>
  <c r="AW174" i="95"/>
  <c r="AU216" i="95"/>
  <c r="D36" i="84" l="1"/>
  <c r="L35" i="94" s="1"/>
  <c r="D35" i="84"/>
  <c r="L34" i="94" s="1"/>
  <c r="D37" i="84"/>
  <c r="L36" i="94" s="1"/>
  <c r="D38" i="84"/>
  <c r="L37" i="94" s="1"/>
  <c r="D34" i="84"/>
  <c r="AZ199" i="84"/>
  <c r="AY199" i="84"/>
  <c r="AT152" i="68"/>
  <c r="Y9" i="70"/>
  <c r="AR12" i="87" s="1"/>
  <c r="AQ17" i="70"/>
  <c r="BI155" i="84"/>
  <c r="E147" i="90"/>
  <c r="AT147" i="90" s="1"/>
  <c r="AS199" i="84"/>
  <c r="BF199" i="84" s="1"/>
  <c r="BF56" i="84"/>
  <c r="I56" i="84"/>
  <c r="AS142" i="84"/>
  <c r="BG142" i="84" s="1"/>
  <c r="U109" i="72"/>
  <c r="BG11" i="84"/>
  <c r="N13" i="90"/>
  <c r="O53" i="72"/>
  <c r="P56" i="84" s="1"/>
  <c r="AE56" i="84" s="1"/>
  <c r="F194" i="89"/>
  <c r="AK9" i="70"/>
  <c r="BF98" i="84"/>
  <c r="AA147" i="70"/>
  <c r="AT150" i="87" s="1"/>
  <c r="AS194" i="84"/>
  <c r="BI194" i="84" s="1"/>
  <c r="AS153" i="84"/>
  <c r="BG153" i="84" s="1"/>
  <c r="Y59" i="70"/>
  <c r="AR62" i="87" s="1"/>
  <c r="BI56" i="84"/>
  <c r="AI51" i="70"/>
  <c r="AS188" i="84"/>
  <c r="BH188" i="84" s="1"/>
  <c r="E60" i="90"/>
  <c r="AT60" i="90" s="1"/>
  <c r="AS148" i="84"/>
  <c r="BG148" i="84" s="1"/>
  <c r="I148" i="84"/>
  <c r="E152" i="90"/>
  <c r="AT152" i="90" s="1"/>
  <c r="N103" i="90"/>
  <c r="O195" i="72"/>
  <c r="P198" i="84" s="1"/>
  <c r="AE198" i="84" s="1"/>
  <c r="U12" i="72"/>
  <c r="U147" i="72"/>
  <c r="U198" i="72"/>
  <c r="AQ9" i="70"/>
  <c r="I194" i="84"/>
  <c r="O97" i="72"/>
  <c r="P100" i="84" s="1"/>
  <c r="AE100" i="84" s="1"/>
  <c r="O103" i="72"/>
  <c r="P106" i="84" s="1"/>
  <c r="AE106" i="84" s="1"/>
  <c r="I112" i="84"/>
  <c r="BF147" i="84"/>
  <c r="BI14" i="84"/>
  <c r="U50" i="72"/>
  <c r="U6" i="72"/>
  <c r="I143" i="84"/>
  <c r="AK59" i="70"/>
  <c r="AO51" i="70"/>
  <c r="BG147" i="84"/>
  <c r="AS102" i="84"/>
  <c r="I102" i="84"/>
  <c r="I199" i="84"/>
  <c r="E116" i="90"/>
  <c r="AT116" i="90" s="1"/>
  <c r="E157" i="90"/>
  <c r="AT157" i="90" s="1"/>
  <c r="BG14" i="84"/>
  <c r="AS112" i="84"/>
  <c r="BI112" i="84" s="1"/>
  <c r="BH155" i="84"/>
  <c r="AS143" i="84"/>
  <c r="BG143" i="84" s="1"/>
  <c r="AU51" i="70"/>
  <c r="I142" i="84"/>
  <c r="BB18" i="90"/>
  <c r="O9" i="72"/>
  <c r="P12" i="84" s="1"/>
  <c r="AE12" i="84" s="1"/>
  <c r="O189" i="72"/>
  <c r="P192" i="84" s="1"/>
  <c r="AE192" i="84" s="1"/>
  <c r="U15" i="72"/>
  <c r="BH99" i="84"/>
  <c r="BI109" i="84"/>
  <c r="BI60" i="84"/>
  <c r="BH147" i="84"/>
  <c r="BF7" i="84"/>
  <c r="BB67" i="90"/>
  <c r="O16" i="72"/>
  <c r="P19" i="84" s="1"/>
  <c r="AE19" i="84" s="1"/>
  <c r="O187" i="72"/>
  <c r="P190" i="84" s="1"/>
  <c r="AE190" i="84" s="1"/>
  <c r="O148" i="89"/>
  <c r="N147" i="90"/>
  <c r="O191" i="89"/>
  <c r="BG99" i="84"/>
  <c r="BG201" i="84"/>
  <c r="BF15" i="84"/>
  <c r="O196" i="72"/>
  <c r="P199" i="84" s="1"/>
  <c r="AE199" i="84" s="1"/>
  <c r="U193" i="72"/>
  <c r="O190" i="89"/>
  <c r="BG100" i="84"/>
  <c r="BI13" i="84"/>
  <c r="O187" i="89"/>
  <c r="BF201" i="84"/>
  <c r="BG144" i="84"/>
  <c r="BI190" i="84"/>
  <c r="BH58" i="84"/>
  <c r="BF13" i="84"/>
  <c r="BH13" i="84"/>
  <c r="O53" i="89"/>
  <c r="O60" i="72"/>
  <c r="P63" i="84" s="1"/>
  <c r="AE63" i="84" s="1"/>
  <c r="O141" i="72"/>
  <c r="P144" i="84" s="1"/>
  <c r="AE144" i="84" s="1"/>
  <c r="U51" i="72"/>
  <c r="BI99" i="84"/>
  <c r="BG7" i="84"/>
  <c r="BB19" i="90"/>
  <c r="BB13" i="90"/>
  <c r="BH145" i="84"/>
  <c r="BB15" i="90"/>
  <c r="BF145" i="84"/>
  <c r="BF104" i="84"/>
  <c r="BF144" i="84"/>
  <c r="BM68" i="90"/>
  <c r="BN68" i="90" s="1"/>
  <c r="BN24" i="90"/>
  <c r="BN64" i="90"/>
  <c r="BB58" i="90"/>
  <c r="BI100" i="84"/>
  <c r="BF67" i="84"/>
  <c r="BG98" i="84"/>
  <c r="BF154" i="84"/>
  <c r="N15" i="90"/>
  <c r="O153" i="72"/>
  <c r="P156" i="84" s="1"/>
  <c r="AE156" i="84" s="1"/>
  <c r="BF155" i="84"/>
  <c r="BF57" i="84"/>
  <c r="BB56" i="90"/>
  <c r="BM23" i="90"/>
  <c r="BN23" i="90" s="1"/>
  <c r="BG157" i="84"/>
  <c r="BI192" i="84"/>
  <c r="BF55" i="84"/>
  <c r="BI104" i="84"/>
  <c r="BB12" i="90"/>
  <c r="BK58" i="90"/>
  <c r="BN58" i="90" s="1"/>
  <c r="U150" i="72"/>
  <c r="BN15" i="90"/>
  <c r="O100" i="89"/>
  <c r="BB17" i="90"/>
  <c r="BN22" i="90"/>
  <c r="U144" i="72"/>
  <c r="BG67" i="84"/>
  <c r="BI98" i="84"/>
  <c r="BG106" i="84"/>
  <c r="O54" i="89"/>
  <c r="AL4" i="70"/>
  <c r="AF14" i="70"/>
  <c r="AL14" i="70"/>
  <c r="AI53" i="70"/>
  <c r="AS61" i="70"/>
  <c r="AI6" i="70"/>
  <c r="AU53" i="70"/>
  <c r="AS59" i="70"/>
  <c r="AL96" i="70"/>
  <c r="AF4" i="70"/>
  <c r="Z96" i="70"/>
  <c r="AR96" i="70"/>
  <c r="AA61" i="70"/>
  <c r="AT64" i="87" s="1"/>
  <c r="AR4" i="70"/>
  <c r="AF96" i="70"/>
  <c r="Z14" i="70"/>
  <c r="AS17" i="87" s="1"/>
  <c r="AG61" i="70"/>
  <c r="AM61" i="70"/>
  <c r="AH17" i="70"/>
  <c r="AP19" i="94"/>
  <c r="AP46" i="94"/>
  <c r="AP115" i="94"/>
  <c r="AP8" i="94"/>
  <c r="AP10" i="94"/>
  <c r="AP23" i="94"/>
  <c r="AP15" i="94"/>
  <c r="AP69" i="94"/>
  <c r="AP21" i="94"/>
  <c r="AP12" i="94"/>
  <c r="AP13" i="94"/>
  <c r="AP9" i="94"/>
  <c r="AP22" i="94"/>
  <c r="AP16" i="94"/>
  <c r="AP17" i="94"/>
  <c r="AP11" i="94"/>
  <c r="AP20" i="94"/>
  <c r="AP92" i="94"/>
  <c r="AP18" i="94"/>
  <c r="AP7" i="94"/>
  <c r="AP14" i="94"/>
  <c r="AT11" i="94"/>
  <c r="AT31" i="94"/>
  <c r="AT88" i="94"/>
  <c r="AV32" i="94"/>
  <c r="AT16" i="94"/>
  <c r="AS35" i="94"/>
  <c r="AS39" i="94"/>
  <c r="AS46" i="94"/>
  <c r="AR80" i="94"/>
  <c r="AS91" i="94"/>
  <c r="AT43" i="94"/>
  <c r="AT46" i="94"/>
  <c r="AR105" i="94"/>
  <c r="AV103" i="94"/>
  <c r="AT67" i="94"/>
  <c r="AU115" i="94"/>
  <c r="AV56" i="94"/>
  <c r="AS7" i="94"/>
  <c r="AS62" i="94"/>
  <c r="AR60" i="94"/>
  <c r="AR109" i="94"/>
  <c r="AS106" i="94"/>
  <c r="AR82" i="94"/>
  <c r="AT110" i="94"/>
  <c r="AR114" i="94"/>
  <c r="AT101" i="94"/>
  <c r="AT19" i="94"/>
  <c r="AR44" i="94"/>
  <c r="AR101" i="94"/>
  <c r="AV30" i="94"/>
  <c r="AS66" i="94"/>
  <c r="AV9" i="94"/>
  <c r="AT13" i="94"/>
  <c r="AV34" i="94"/>
  <c r="BH187" i="84"/>
  <c r="BG187" i="84"/>
  <c r="BF187" i="84"/>
  <c r="BI187" i="84"/>
  <c r="BM20" i="90"/>
  <c r="BN20" i="90" s="1"/>
  <c r="BB20" i="90"/>
  <c r="AV193" i="84"/>
  <c r="AU148" i="84"/>
  <c r="AY148" i="84" s="1"/>
  <c r="AU59" i="84"/>
  <c r="AY59" i="84" s="1"/>
  <c r="AV104" i="84"/>
  <c r="N146" i="90"/>
  <c r="O142" i="89"/>
  <c r="BG198" i="84"/>
  <c r="BH198" i="84"/>
  <c r="BF198" i="84"/>
  <c r="AX56" i="84"/>
  <c r="AZ56" i="84"/>
  <c r="AD80" i="50"/>
  <c r="AE80" i="50" s="1"/>
  <c r="AC34" i="50"/>
  <c r="AE34" i="50" s="1"/>
  <c r="AC33" i="50"/>
  <c r="AE33" i="50" s="1"/>
  <c r="BM65" i="90"/>
  <c r="BN65" i="90" s="1"/>
  <c r="BB65" i="90"/>
  <c r="F187" i="89"/>
  <c r="E191" i="90"/>
  <c r="AT191" i="90" s="1"/>
  <c r="I187" i="84"/>
  <c r="AY143" i="84"/>
  <c r="AX143" i="84"/>
  <c r="AZ143" i="84"/>
  <c r="F62" i="89"/>
  <c r="I62" i="84"/>
  <c r="AS62" i="84"/>
  <c r="E66" i="90"/>
  <c r="AT66" i="90" s="1"/>
  <c r="F149" i="89"/>
  <c r="AS149" i="84"/>
  <c r="E153" i="90"/>
  <c r="AT153" i="90" s="1"/>
  <c r="AV144" i="84"/>
  <c r="AU99" i="84"/>
  <c r="AX99" i="84" s="1"/>
  <c r="BM61" i="90"/>
  <c r="BN61" i="90" s="1"/>
  <c r="BB61" i="90"/>
  <c r="BH111" i="84"/>
  <c r="BI111" i="84"/>
  <c r="BI193" i="84"/>
  <c r="BH193" i="84"/>
  <c r="BG193" i="84"/>
  <c r="AY19" i="84"/>
  <c r="AX19" i="84"/>
  <c r="AZ19" i="84"/>
  <c r="F188" i="89"/>
  <c r="I188" i="84"/>
  <c r="AV157" i="84"/>
  <c r="AU112" i="84"/>
  <c r="AZ112" i="84" s="1"/>
  <c r="AV145" i="84"/>
  <c r="AU100" i="84"/>
  <c r="AZ100" i="84" s="1"/>
  <c r="F108" i="89"/>
  <c r="E112" i="90"/>
  <c r="AT112" i="90" s="1"/>
  <c r="I108" i="84"/>
  <c r="AS108" i="84"/>
  <c r="BF108" i="84" s="1"/>
  <c r="O12" i="89"/>
  <c r="O103" i="89"/>
  <c r="N107" i="90"/>
  <c r="AE29" i="50"/>
  <c r="AE79" i="50"/>
  <c r="G79" i="88"/>
  <c r="V78" i="88"/>
  <c r="V79" i="88" s="1"/>
  <c r="O97" i="89"/>
  <c r="BM11" i="90"/>
  <c r="BN11" i="90" s="1"/>
  <c r="BB11" i="90"/>
  <c r="U184" i="72"/>
  <c r="O184" i="72"/>
  <c r="P187" i="84" s="1"/>
  <c r="AE187" i="84" s="1"/>
  <c r="U190" i="72"/>
  <c r="O190" i="72"/>
  <c r="P193" i="84" s="1"/>
  <c r="AE193" i="84" s="1"/>
  <c r="U95" i="72"/>
  <c r="O95" i="72"/>
  <c r="P98" i="84" s="1"/>
  <c r="AE98" i="84" s="1"/>
  <c r="U101" i="72"/>
  <c r="O101" i="72"/>
  <c r="P104" i="84" s="1"/>
  <c r="AE104" i="84" s="1"/>
  <c r="U107" i="72"/>
  <c r="O107" i="72"/>
  <c r="P110" i="84" s="1"/>
  <c r="AE110" i="84" s="1"/>
  <c r="U57" i="72"/>
  <c r="O57" i="72"/>
  <c r="P60" i="84" s="1"/>
  <c r="AE60" i="84" s="1"/>
  <c r="O63" i="72"/>
  <c r="P66" i="84" s="1"/>
  <c r="AE66" i="84" s="1"/>
  <c r="U63" i="72"/>
  <c r="O7" i="72"/>
  <c r="P10" i="84" s="1"/>
  <c r="AE10" i="84" s="1"/>
  <c r="U7" i="72"/>
  <c r="U13" i="72"/>
  <c r="O13" i="72"/>
  <c r="P16" i="84" s="1"/>
  <c r="AE16" i="84" s="1"/>
  <c r="U19" i="72"/>
  <c r="O19" i="72"/>
  <c r="P22" i="84" s="1"/>
  <c r="AE22" i="84" s="1"/>
  <c r="AV201" i="84"/>
  <c r="AU156" i="84"/>
  <c r="AX156" i="84" s="1"/>
  <c r="O57" i="89"/>
  <c r="AE50" i="50"/>
  <c r="AJ6" i="71"/>
  <c r="C12" i="90"/>
  <c r="AH6" i="71"/>
  <c r="AI6" i="71"/>
  <c r="AG95" i="71"/>
  <c r="AJ95" i="71"/>
  <c r="AF95" i="71"/>
  <c r="AE95" i="71"/>
  <c r="AI95" i="71"/>
  <c r="C101" i="90"/>
  <c r="F156" i="89"/>
  <c r="I156" i="84"/>
  <c r="AS156" i="84"/>
  <c r="F197" i="89"/>
  <c r="AS197" i="84"/>
  <c r="I197" i="84"/>
  <c r="BK14" i="90"/>
  <c r="BN14" i="90" s="1"/>
  <c r="BB14" i="90"/>
  <c r="AM14" i="70"/>
  <c r="AA14" i="70"/>
  <c r="AT17" i="87" s="1"/>
  <c r="AM103" i="70"/>
  <c r="AG103" i="70"/>
  <c r="AA103" i="70"/>
  <c r="AT106" i="87" s="1"/>
  <c r="AQ146" i="70"/>
  <c r="AK146" i="70"/>
  <c r="AE146" i="70"/>
  <c r="Y146" i="70"/>
  <c r="AR149" i="87" s="1"/>
  <c r="AG188" i="70"/>
  <c r="AA188" i="70"/>
  <c r="AT191" i="87" s="1"/>
  <c r="AS188" i="70"/>
  <c r="AM188" i="70"/>
  <c r="F52" i="89"/>
  <c r="AS52" i="84"/>
  <c r="BH52" i="84" s="1"/>
  <c r="I52" i="84"/>
  <c r="BH101" i="84"/>
  <c r="BI101" i="84"/>
  <c r="BF101" i="84"/>
  <c r="BB25" i="90"/>
  <c r="BK59" i="90"/>
  <c r="BN59" i="90" s="1"/>
  <c r="BB59" i="90"/>
  <c r="O147" i="89"/>
  <c r="AB10" i="50"/>
  <c r="AE10" i="50" s="1"/>
  <c r="AD68" i="50"/>
  <c r="AE68" i="50" s="1"/>
  <c r="AW200" i="84"/>
  <c r="AW66" i="84"/>
  <c r="AW7" i="84"/>
  <c r="AW196" i="84"/>
  <c r="AW146" i="84"/>
  <c r="AW11" i="84"/>
  <c r="AW21" i="84"/>
  <c r="BM16" i="90"/>
  <c r="BN16" i="90" s="1"/>
  <c r="BB16" i="90"/>
  <c r="AV198" i="84"/>
  <c r="AU153" i="84"/>
  <c r="AX153" i="84" s="1"/>
  <c r="BF61" i="84"/>
  <c r="BH61" i="84"/>
  <c r="BG61" i="84"/>
  <c r="BF20" i="84"/>
  <c r="BG20" i="84"/>
  <c r="BH20" i="84"/>
  <c r="BI20" i="84"/>
  <c r="AV152" i="84"/>
  <c r="AU107" i="84"/>
  <c r="AC52" i="50"/>
  <c r="AA49" i="50"/>
  <c r="BH100" i="84"/>
  <c r="BH157" i="84"/>
  <c r="BF109" i="84"/>
  <c r="BF106" i="84"/>
  <c r="BG57" i="84"/>
  <c r="N12" i="90"/>
  <c r="U192" i="72"/>
  <c r="I47" i="70"/>
  <c r="AA53" i="50"/>
  <c r="Z49" i="50"/>
  <c r="BG109" i="84"/>
  <c r="BH152" i="84"/>
  <c r="AZ146" i="84"/>
  <c r="AY109" i="84"/>
  <c r="BF17" i="84"/>
  <c r="BN70" i="90"/>
  <c r="BN56" i="90"/>
  <c r="BN25" i="90"/>
  <c r="BN13" i="90"/>
  <c r="BN69" i="90"/>
  <c r="BN104" i="90"/>
  <c r="BN110" i="90"/>
  <c r="BN151" i="90"/>
  <c r="BN157" i="90"/>
  <c r="BN191" i="90"/>
  <c r="O186" i="72"/>
  <c r="P189" i="84" s="1"/>
  <c r="AE189" i="84" s="1"/>
  <c r="U59" i="72"/>
  <c r="AE9" i="50"/>
  <c r="AE38" i="50"/>
  <c r="Z52" i="50"/>
  <c r="Z54" i="50"/>
  <c r="BH194" i="84"/>
  <c r="BI152" i="84"/>
  <c r="J12" i="70"/>
  <c r="AX146" i="84"/>
  <c r="AX18" i="84"/>
  <c r="AY57" i="84"/>
  <c r="AW64" i="84"/>
  <c r="X78" i="88"/>
  <c r="X79" i="88" s="1"/>
  <c r="BH8" i="84"/>
  <c r="BB63" i="90"/>
  <c r="BB69" i="90"/>
  <c r="AE59" i="84"/>
  <c r="R12" i="92"/>
  <c r="AH7" i="47"/>
  <c r="AY97" i="84"/>
  <c r="AX154" i="84"/>
  <c r="AE11" i="50"/>
  <c r="BG66" i="84"/>
  <c r="AZ192" i="84"/>
  <c r="AX97" i="84"/>
  <c r="BN19" i="90"/>
  <c r="BN67" i="90"/>
  <c r="BN102" i="90"/>
  <c r="BN108" i="90"/>
  <c r="BN114" i="90"/>
  <c r="AE46" i="50"/>
  <c r="AE75" i="50"/>
  <c r="AE12" i="50"/>
  <c r="AE72" i="50"/>
  <c r="AE64" i="50"/>
  <c r="AA52" i="50"/>
  <c r="AB48" i="50"/>
  <c r="AE48" i="50" s="1"/>
  <c r="BH66" i="84"/>
  <c r="AX192" i="84"/>
  <c r="AX20" i="84"/>
  <c r="B26" i="84"/>
  <c r="BI17" i="84"/>
  <c r="I79" i="88"/>
  <c r="BB22" i="90"/>
  <c r="BN57" i="90"/>
  <c r="E49" i="69"/>
  <c r="E95" i="69" s="1"/>
  <c r="AE51" i="50"/>
  <c r="AE76" i="50"/>
  <c r="AE61" i="50"/>
  <c r="AC53" i="50"/>
  <c r="N109" i="88"/>
  <c r="BH67" i="84"/>
  <c r="BG107" i="84"/>
  <c r="BF200" i="84"/>
  <c r="BF54" i="84"/>
  <c r="AZ151" i="84"/>
  <c r="BH15" i="84"/>
  <c r="N14" i="90"/>
  <c r="BB64" i="90"/>
  <c r="P8" i="92"/>
  <c r="N149" i="90"/>
  <c r="AB54" i="50"/>
  <c r="BH107" i="84"/>
  <c r="BH200" i="84"/>
  <c r="BG54" i="84"/>
  <c r="G34" i="72"/>
  <c r="AW61" i="84"/>
  <c r="BI15" i="84"/>
  <c r="BN21" i="90"/>
  <c r="AE65" i="84"/>
  <c r="AE44" i="50"/>
  <c r="AE19" i="50"/>
  <c r="AB52" i="50"/>
  <c r="BI110" i="84"/>
  <c r="BI107" i="84"/>
  <c r="BN63" i="90"/>
  <c r="BN147" i="90"/>
  <c r="BN153" i="90"/>
  <c r="BN159" i="90"/>
  <c r="AE6" i="71"/>
  <c r="AE18" i="50"/>
  <c r="AE63" i="50"/>
  <c r="Z53" i="50"/>
  <c r="AZ188" i="84"/>
  <c r="BN66" i="90"/>
  <c r="BN26" i="90"/>
  <c r="AS99" i="70"/>
  <c r="AG99" i="70"/>
  <c r="AA99" i="70"/>
  <c r="AT102" i="87" s="1"/>
  <c r="AQ18" i="70"/>
  <c r="AK18" i="70"/>
  <c r="AE18" i="70"/>
  <c r="Y18" i="70"/>
  <c r="AR21" i="87" s="1"/>
  <c r="AE13" i="70"/>
  <c r="Y13" i="70"/>
  <c r="AR16" i="87" s="1"/>
  <c r="AQ13" i="70"/>
  <c r="AK13" i="70"/>
  <c r="AC5" i="70"/>
  <c r="AV8" i="87" s="1"/>
  <c r="AU5" i="70"/>
  <c r="AO5" i="70"/>
  <c r="AU50" i="70"/>
  <c r="AO50" i="70"/>
  <c r="AI50" i="70"/>
  <c r="AC50" i="70"/>
  <c r="AV53" i="87" s="1"/>
  <c r="AE55" i="70"/>
  <c r="Y55" i="70"/>
  <c r="AR58" i="87" s="1"/>
  <c r="AM57" i="70"/>
  <c r="AG57" i="70"/>
  <c r="AA57" i="70"/>
  <c r="AT60" i="87" s="1"/>
  <c r="AT62" i="70"/>
  <c r="AH62" i="70"/>
  <c r="AN62" i="70"/>
  <c r="AB62" i="70"/>
  <c r="AU65" i="87" s="1"/>
  <c r="AH64" i="70"/>
  <c r="AT64" i="70"/>
  <c r="AB64" i="70"/>
  <c r="AU67" i="87" s="1"/>
  <c r="AN64" i="70"/>
  <c r="Z147" i="70"/>
  <c r="AS150" i="87" s="1"/>
  <c r="AC184" i="70"/>
  <c r="AV187" i="87" s="1"/>
  <c r="AE105" i="70"/>
  <c r="AQ105" i="70"/>
  <c r="Y105" i="70"/>
  <c r="AR108" i="87" s="1"/>
  <c r="AK105" i="70"/>
  <c r="AR142" i="70"/>
  <c r="AL142" i="70"/>
  <c r="AF142" i="70"/>
  <c r="Z142" i="70"/>
  <c r="AS145" i="87" s="1"/>
  <c r="AK150" i="70"/>
  <c r="Y150" i="70"/>
  <c r="AR153" i="87" s="1"/>
  <c r="AS154" i="70"/>
  <c r="AM154" i="70"/>
  <c r="AG154" i="70"/>
  <c r="AA154" i="70"/>
  <c r="AT157" i="87" s="1"/>
  <c r="AH197" i="70"/>
  <c r="AB197" i="70"/>
  <c r="AU200" i="87" s="1"/>
  <c r="AG107" i="70"/>
  <c r="AS107" i="70"/>
  <c r="AA107" i="70"/>
  <c r="AT110" i="87" s="1"/>
  <c r="AM107" i="70"/>
  <c r="AI184" i="70"/>
  <c r="AO184" i="70"/>
  <c r="AM96" i="70"/>
  <c r="AS96" i="70"/>
  <c r="AG96" i="70"/>
  <c r="AA96" i="70"/>
  <c r="AT99" i="87" s="1"/>
  <c r="AQ150" i="70"/>
  <c r="AE58" i="70"/>
  <c r="AQ10" i="70"/>
  <c r="AW58" i="84"/>
  <c r="AC10" i="70"/>
  <c r="AV13" i="87" s="1"/>
  <c r="Z49" i="70"/>
  <c r="AS52" i="87" s="1"/>
  <c r="Z187" i="70"/>
  <c r="AS190" i="87" s="1"/>
  <c r="N148" i="90"/>
  <c r="AE78" i="50"/>
  <c r="AE15" i="50"/>
  <c r="O102" i="89"/>
  <c r="O188" i="89"/>
  <c r="BI65" i="84"/>
  <c r="BH65" i="84"/>
  <c r="BG65" i="84"/>
  <c r="BF65" i="84"/>
  <c r="BH53" i="84"/>
  <c r="BF53" i="84"/>
  <c r="BG53" i="84"/>
  <c r="BG189" i="84"/>
  <c r="BF189" i="84"/>
  <c r="BI189" i="84"/>
  <c r="BH189" i="84"/>
  <c r="N62" i="90"/>
  <c r="AB28" i="50"/>
  <c r="AE28" i="50" s="1"/>
  <c r="AD53" i="50"/>
  <c r="AC31" i="50"/>
  <c r="AE31" i="50" s="1"/>
  <c r="AZ8" i="84"/>
  <c r="AY8" i="84"/>
  <c r="AX8" i="84"/>
  <c r="O13" i="89"/>
  <c r="AE58" i="50"/>
  <c r="AE39" i="50"/>
  <c r="BI63" i="84"/>
  <c r="BH63" i="84"/>
  <c r="BG63" i="84"/>
  <c r="BF63" i="84"/>
  <c r="AC13" i="50"/>
  <c r="AE13" i="50" s="1"/>
  <c r="AC62" i="50"/>
  <c r="AE62" i="50" s="1"/>
  <c r="N64" i="88"/>
  <c r="N118" i="88"/>
  <c r="BF111" i="84"/>
  <c r="BI157" i="84"/>
  <c r="BF110" i="84"/>
  <c r="BF64" i="84"/>
  <c r="BG154" i="84"/>
  <c r="BF202" i="84"/>
  <c r="BI145" i="84"/>
  <c r="BH144" i="84"/>
  <c r="BI200" i="84"/>
  <c r="BI61" i="84"/>
  <c r="BG105" i="84"/>
  <c r="BG55" i="84"/>
  <c r="BF97" i="84"/>
  <c r="BG104" i="84"/>
  <c r="L11" i="70"/>
  <c r="L12" i="70" s="1"/>
  <c r="K12" i="70"/>
  <c r="BH195" i="84"/>
  <c r="AY195" i="84"/>
  <c r="AX195" i="84"/>
  <c r="AW19" i="84"/>
  <c r="AW187" i="84"/>
  <c r="AX17" i="84"/>
  <c r="AZ17" i="84"/>
  <c r="AD67" i="50"/>
  <c r="AE67" i="50" s="1"/>
  <c r="N67" i="88"/>
  <c r="N86" i="88"/>
  <c r="N96" i="88"/>
  <c r="N22" i="88"/>
  <c r="BG111" i="84"/>
  <c r="BG64" i="84"/>
  <c r="BH154" i="84"/>
  <c r="BG202" i="84"/>
  <c r="BH57" i="84"/>
  <c r="BF105" i="84"/>
  <c r="BH55" i="84"/>
  <c r="BG97" i="84"/>
  <c r="AX147" i="84"/>
  <c r="AY147" i="84"/>
  <c r="AZ147" i="84"/>
  <c r="AY196" i="84"/>
  <c r="AZ196" i="84"/>
  <c r="AZ16" i="84"/>
  <c r="AY16" i="84"/>
  <c r="AY142" i="84"/>
  <c r="AX142" i="84"/>
  <c r="AZ142" i="84"/>
  <c r="AY98" i="84"/>
  <c r="AX98" i="84"/>
  <c r="AZ98" i="84"/>
  <c r="N66" i="88"/>
  <c r="N111" i="88"/>
  <c r="N87" i="88"/>
  <c r="N113" i="88"/>
  <c r="BI106" i="84"/>
  <c r="BH105" i="84"/>
  <c r="BI97" i="84"/>
  <c r="K9" i="70"/>
  <c r="N120" i="88"/>
  <c r="N90" i="88"/>
  <c r="N20" i="88"/>
  <c r="BG103" i="84"/>
  <c r="BF103" i="84"/>
  <c r="BG195" i="84"/>
  <c r="BF195" i="84"/>
  <c r="AZ9" i="84"/>
  <c r="AY9" i="84"/>
  <c r="AX60" i="84"/>
  <c r="AY60" i="84"/>
  <c r="AY67" i="84"/>
  <c r="AZ67" i="84"/>
  <c r="B31" i="84"/>
  <c r="J11" i="87"/>
  <c r="AW60" i="84"/>
  <c r="M34" i="87"/>
  <c r="E36" i="84"/>
  <c r="M35" i="94" s="1"/>
  <c r="N65" i="88"/>
  <c r="N119" i="88"/>
  <c r="N18" i="88"/>
  <c r="N88" i="88"/>
  <c r="BF152" i="84"/>
  <c r="BI146" i="84"/>
  <c r="BG146" i="84"/>
  <c r="BH196" i="84"/>
  <c r="BG196" i="84"/>
  <c r="BI196" i="84"/>
  <c r="AW17" i="84"/>
  <c r="AW151" i="84"/>
  <c r="AW111" i="84"/>
  <c r="AW110" i="84"/>
  <c r="N63" i="88"/>
  <c r="N110" i="88"/>
  <c r="N23" i="88"/>
  <c r="BI198" i="84"/>
  <c r="BG190" i="84"/>
  <c r="AZ106" i="84"/>
  <c r="AY106" i="84"/>
  <c r="AY12" i="84"/>
  <c r="AW53" i="84"/>
  <c r="AX54" i="84"/>
  <c r="AY54" i="84"/>
  <c r="AX55" i="84"/>
  <c r="AY55" i="84"/>
  <c r="BH18" i="84"/>
  <c r="BI18" i="84"/>
  <c r="BF18" i="84"/>
  <c r="BG18" i="84"/>
  <c r="BI8" i="84"/>
  <c r="BF8" i="84"/>
  <c r="I9" i="70"/>
  <c r="AW12" i="84"/>
  <c r="AW22" i="84"/>
  <c r="AX187" i="84"/>
  <c r="AY111" i="84"/>
  <c r="B29" i="84"/>
  <c r="AW52" i="84"/>
  <c r="AW63" i="84"/>
  <c r="AW55" i="84"/>
  <c r="AX65" i="84"/>
  <c r="AW14" i="84"/>
  <c r="AW105" i="84"/>
  <c r="AW192" i="84"/>
  <c r="AW191" i="84"/>
  <c r="AW195" i="84"/>
  <c r="AW20" i="84"/>
  <c r="AW16" i="84"/>
  <c r="AW143" i="84"/>
  <c r="AY151" i="84"/>
  <c r="AW199" i="84"/>
  <c r="AW109" i="84"/>
  <c r="AW108" i="84"/>
  <c r="B27" i="84"/>
  <c r="AW65" i="84"/>
  <c r="AW57" i="84"/>
  <c r="BF19" i="84"/>
  <c r="BI19" i="84"/>
  <c r="BI16" i="84"/>
  <c r="BH16" i="84"/>
  <c r="N11" i="90"/>
  <c r="AW102" i="84"/>
  <c r="AW9" i="84"/>
  <c r="AW150" i="84"/>
  <c r="AZ108" i="84"/>
  <c r="AW98" i="84"/>
  <c r="AY108" i="84"/>
  <c r="AW62" i="84"/>
  <c r="AW54" i="84"/>
  <c r="J15" i="87"/>
  <c r="C46" i="88"/>
  <c r="BH12" i="84"/>
  <c r="BI12" i="84"/>
  <c r="BF12" i="84"/>
  <c r="BL62" i="90"/>
  <c r="BN62" i="90" s="1"/>
  <c r="BB62" i="90"/>
  <c r="AW8" i="84"/>
  <c r="AW142" i="84"/>
  <c r="B25" i="84"/>
  <c r="B28" i="84"/>
  <c r="AW67" i="84"/>
  <c r="AW106" i="84"/>
  <c r="AW103" i="84"/>
  <c r="AW147" i="84"/>
  <c r="AW13" i="84"/>
  <c r="AW101" i="84"/>
  <c r="AW10" i="84"/>
  <c r="AW18" i="84"/>
  <c r="AW15" i="84"/>
  <c r="AW97" i="84"/>
  <c r="AW188" i="84"/>
  <c r="AW154" i="84"/>
  <c r="AW155" i="84"/>
  <c r="AW56" i="84"/>
  <c r="BG16" i="84"/>
  <c r="BG12" i="84"/>
  <c r="BH9" i="84"/>
  <c r="BM71" i="90"/>
  <c r="BN71" i="90" s="1"/>
  <c r="BB71" i="90"/>
  <c r="BN12" i="90"/>
  <c r="BG9" i="84"/>
  <c r="AE55" i="84"/>
  <c r="AJ5" i="71"/>
  <c r="AH5" i="71"/>
  <c r="AF5" i="71"/>
  <c r="AG5" i="71"/>
  <c r="AE5" i="71"/>
  <c r="AJ7" i="71"/>
  <c r="AH7" i="71"/>
  <c r="AE7" i="71"/>
  <c r="AI7" i="71"/>
  <c r="AF7" i="71"/>
  <c r="AE50" i="71"/>
  <c r="AJ50" i="71"/>
  <c r="AI50" i="71"/>
  <c r="AH50" i="71"/>
  <c r="AG50" i="71"/>
  <c r="AF52" i="71"/>
  <c r="AJ52" i="71"/>
  <c r="AG52" i="71"/>
  <c r="AE52" i="71"/>
  <c r="AI52" i="71"/>
  <c r="AH52" i="71"/>
  <c r="AE96" i="71"/>
  <c r="AI96" i="71"/>
  <c r="AF96" i="71"/>
  <c r="AH96" i="71"/>
  <c r="AG96" i="71"/>
  <c r="I44" i="70"/>
  <c r="J43" i="70"/>
  <c r="BI7" i="84"/>
  <c r="BG10" i="84"/>
  <c r="BF9" i="84"/>
  <c r="N56" i="90"/>
  <c r="BB57" i="90"/>
  <c r="BB66" i="90"/>
  <c r="AJ96" i="71"/>
  <c r="BL60" i="90"/>
  <c r="BN60" i="90" s="1"/>
  <c r="BB60" i="90"/>
  <c r="J47" i="70"/>
  <c r="K46" i="70"/>
  <c r="AG6" i="71"/>
  <c r="C9" i="70"/>
  <c r="P12" i="92"/>
  <c r="P9" i="92"/>
  <c r="P11" i="92" s="1"/>
  <c r="D49" i="69"/>
  <c r="AF6" i="71"/>
  <c r="D8" i="70"/>
  <c r="D7" i="70"/>
  <c r="F51" i="69"/>
  <c r="F52" i="69" s="1"/>
  <c r="F53" i="69" s="1"/>
  <c r="F54" i="69" s="1"/>
  <c r="F96" i="69"/>
  <c r="CR5" i="84"/>
  <c r="CS5" i="84" s="1"/>
  <c r="CT5" i="84" s="1"/>
  <c r="CU5" i="84" s="1"/>
  <c r="Q8" i="92"/>
  <c r="F95" i="69"/>
  <c r="G45" i="72"/>
  <c r="G44" i="72"/>
  <c r="H43" i="72"/>
  <c r="CB6" i="70"/>
  <c r="F70" i="69"/>
  <c r="F147" i="69"/>
  <c r="A26" i="70"/>
  <c r="G71" i="69"/>
  <c r="J71" i="69" s="1"/>
  <c r="G148" i="69"/>
  <c r="L33" i="87"/>
  <c r="AU186" i="70"/>
  <c r="AQ16" i="70"/>
  <c r="Y102" i="70"/>
  <c r="AR105" i="87" s="1"/>
  <c r="Y192" i="70"/>
  <c r="AR195" i="87" s="1"/>
  <c r="AE99" i="84"/>
  <c r="AK192" i="70"/>
  <c r="AS10" i="70"/>
  <c r="AC141" i="70"/>
  <c r="AV144" i="87" s="1"/>
  <c r="AS101" i="70"/>
  <c r="AE154" i="84"/>
  <c r="AE67" i="84"/>
  <c r="AE111" i="84"/>
  <c r="AE202" i="84"/>
  <c r="AK57" i="70"/>
  <c r="AI144" i="70"/>
  <c r="AG101" i="70"/>
  <c r="AK107" i="70"/>
  <c r="AQ152" i="70"/>
  <c r="AM18" i="70"/>
  <c r="AF64" i="70"/>
  <c r="AA59" i="70"/>
  <c r="AT62" i="87" s="1"/>
  <c r="AL64" i="70"/>
  <c r="AI186" i="70"/>
  <c r="AO144" i="70"/>
  <c r="R10" i="51"/>
  <c r="Y11" i="70"/>
  <c r="AR14" i="87" s="1"/>
  <c r="Y107" i="70"/>
  <c r="AR110" i="87" s="1"/>
  <c r="AQ107" i="70"/>
  <c r="AL16" i="70"/>
  <c r="AS18" i="70"/>
  <c r="AE58" i="84"/>
  <c r="AG59" i="70"/>
  <c r="AF52" i="70"/>
  <c r="AR64" i="70"/>
  <c r="Z94" i="70"/>
  <c r="AS97" i="87" s="1"/>
  <c r="AU144" i="70"/>
  <c r="AE11" i="70"/>
  <c r="AE107" i="70"/>
  <c r="Z16" i="70"/>
  <c r="AS19" i="87" s="1"/>
  <c r="AR16" i="70"/>
  <c r="AA18" i="70"/>
  <c r="AT21" i="87" s="1"/>
  <c r="AF144" i="70"/>
  <c r="AQ144" i="70"/>
  <c r="AE192" i="70"/>
  <c r="AQ192" i="70"/>
  <c r="AF94" i="70"/>
  <c r="AO186" i="70"/>
  <c r="AK11" i="70"/>
  <c r="AF16" i="70"/>
  <c r="AE152" i="70"/>
  <c r="AG18" i="70"/>
  <c r="Y144" i="70"/>
  <c r="AR147" i="87" s="1"/>
  <c r="AK144" i="70"/>
  <c r="AA101" i="70"/>
  <c r="AT104" i="87" s="1"/>
  <c r="AS5" i="70"/>
  <c r="AL94" i="70"/>
  <c r="AQ11" i="70"/>
  <c r="Y152" i="70"/>
  <c r="AR155" i="87" s="1"/>
  <c r="AE144" i="70"/>
  <c r="AK152" i="70"/>
  <c r="Z64" i="70"/>
  <c r="AS67" i="87" s="1"/>
  <c r="AR94" i="70"/>
  <c r="AC186" i="70"/>
  <c r="AV189" i="87" s="1"/>
  <c r="AM101" i="70"/>
  <c r="AM59" i="70"/>
  <c r="AE150" i="84"/>
  <c r="AE197" i="84"/>
  <c r="AE61" i="84"/>
  <c r="AR12" i="70"/>
  <c r="AF12" i="70"/>
  <c r="Z12" i="70"/>
  <c r="AS15" i="87" s="1"/>
  <c r="AR7" i="70"/>
  <c r="AL7" i="70"/>
  <c r="AF7" i="70"/>
  <c r="Z7" i="70"/>
  <c r="AS10" i="87" s="1"/>
  <c r="AU95" i="70"/>
  <c r="AI95" i="70"/>
  <c r="AQ103" i="70"/>
  <c r="AK103" i="70"/>
  <c r="AE103" i="70"/>
  <c r="Y103" i="70"/>
  <c r="AR106" i="87" s="1"/>
  <c r="AE4" i="70"/>
  <c r="Y4" i="70"/>
  <c r="AR7" i="87" s="1"/>
  <c r="AK4" i="70"/>
  <c r="AQ4" i="70"/>
  <c r="AK61" i="70"/>
  <c r="AE61" i="70"/>
  <c r="AQ98" i="70"/>
  <c r="AE98" i="70"/>
  <c r="AK98" i="70"/>
  <c r="Y98" i="70"/>
  <c r="AR101" i="87" s="1"/>
  <c r="AM150" i="70"/>
  <c r="AR53" i="70"/>
  <c r="AF53" i="70"/>
  <c r="AL53" i="70"/>
  <c r="Z53" i="70"/>
  <c r="AS56" i="87" s="1"/>
  <c r="AK148" i="70"/>
  <c r="AE148" i="70"/>
  <c r="Y148" i="70"/>
  <c r="AR151" i="87" s="1"/>
  <c r="AQ148" i="70"/>
  <c r="Y153" i="70"/>
  <c r="AR156" i="87" s="1"/>
  <c r="AQ188" i="70"/>
  <c r="AE196" i="70"/>
  <c r="Y196" i="70"/>
  <c r="AR199" i="87" s="1"/>
  <c r="AQ15" i="70"/>
  <c r="AK15" i="70"/>
  <c r="AE15" i="70"/>
  <c r="Y15" i="70"/>
  <c r="AR18" i="87" s="1"/>
  <c r="AR63" i="70"/>
  <c r="Z63" i="70"/>
  <c r="AS66" i="87" s="1"/>
  <c r="AL63" i="70"/>
  <c r="AF63" i="70"/>
  <c r="AM105" i="70"/>
  <c r="AG105" i="70"/>
  <c r="AA105" i="70"/>
  <c r="AT108" i="87" s="1"/>
  <c r="AS105" i="70"/>
  <c r="AG19" i="70"/>
  <c r="AA19" i="70"/>
  <c r="AT22" i="87" s="1"/>
  <c r="AS19" i="70"/>
  <c r="AM19" i="70"/>
  <c r="AC142" i="70"/>
  <c r="AV145" i="87" s="1"/>
  <c r="AO142" i="70"/>
  <c r="AS190" i="70"/>
  <c r="AM190" i="70"/>
  <c r="AG190" i="70"/>
  <c r="AA190" i="70"/>
  <c r="AT193" i="87" s="1"/>
  <c r="AE153" i="84"/>
  <c r="AE54" i="84"/>
  <c r="AE112" i="84"/>
  <c r="AE13" i="84"/>
  <c r="AE21" i="84"/>
  <c r="U102" i="88"/>
  <c r="AE142" i="84"/>
  <c r="Y56" i="70"/>
  <c r="AR59" i="87" s="1"/>
  <c r="AE11" i="84"/>
  <c r="AE64" i="84"/>
  <c r="AE18" i="84"/>
  <c r="AE102" i="84"/>
  <c r="AE191" i="84"/>
  <c r="AE57" i="84"/>
  <c r="AE108" i="84"/>
  <c r="AO188" i="70"/>
  <c r="AE17" i="84"/>
  <c r="AE152" i="84"/>
  <c r="AE105" i="84"/>
  <c r="AE200" i="84"/>
  <c r="AE103" i="84"/>
  <c r="V96" i="71"/>
  <c r="W98" i="84" s="1"/>
  <c r="AM7" i="70"/>
  <c r="X146" i="71"/>
  <c r="Y148" i="84" s="1"/>
  <c r="AI148" i="84" s="1"/>
  <c r="X100" i="71"/>
  <c r="Y102" i="84" s="1"/>
  <c r="AI102" i="84" s="1"/>
  <c r="X143" i="71"/>
  <c r="Y145" i="84" s="1"/>
  <c r="AI145" i="84" s="1"/>
  <c r="AE143" i="70"/>
  <c r="AA104" i="70"/>
  <c r="AM104" i="70"/>
  <c r="AG104" i="70"/>
  <c r="AR108" i="70"/>
  <c r="AL108" i="70"/>
  <c r="AF108" i="70"/>
  <c r="Z108" i="70"/>
  <c r="AS111" i="87" s="1"/>
  <c r="AF139" i="70"/>
  <c r="AL139" i="70"/>
  <c r="AR139" i="70"/>
  <c r="Z139" i="70"/>
  <c r="AS142" i="87" s="1"/>
  <c r="AE149" i="70"/>
  <c r="Y149" i="70"/>
  <c r="AR152" i="87" s="1"/>
  <c r="AK149" i="70"/>
  <c r="AT152" i="70"/>
  <c r="AH152" i="70"/>
  <c r="AN152" i="70"/>
  <c r="AB152" i="70"/>
  <c r="AU155" i="87" s="1"/>
  <c r="AG100" i="70"/>
  <c r="AM97" i="70"/>
  <c r="AA97" i="70"/>
  <c r="AT100" i="87" s="1"/>
  <c r="AS97" i="70"/>
  <c r="V7" i="71"/>
  <c r="W9" i="84" s="1"/>
  <c r="V10" i="71"/>
  <c r="W12" i="84" s="1"/>
  <c r="AT18" i="70"/>
  <c r="AL11" i="70"/>
  <c r="AK6" i="70"/>
  <c r="AM51" i="70"/>
  <c r="AS54" i="70"/>
  <c r="AM54" i="70"/>
  <c r="AG54" i="70"/>
  <c r="AA54" i="70"/>
  <c r="AT57" i="87" s="1"/>
  <c r="AG56" i="70"/>
  <c r="AA56" i="70"/>
  <c r="AT59" i="87" s="1"/>
  <c r="AM56" i="70"/>
  <c r="AA58" i="70"/>
  <c r="AT61" i="87" s="1"/>
  <c r="AG58" i="70"/>
  <c r="AM60" i="70"/>
  <c r="AA60" i="70"/>
  <c r="AT63" i="87" s="1"/>
  <c r="AS60" i="70"/>
  <c r="AG60" i="70"/>
  <c r="AM62" i="70"/>
  <c r="AG62" i="70"/>
  <c r="AS62" i="70"/>
  <c r="AQ64" i="70"/>
  <c r="AK64" i="70"/>
  <c r="Y64" i="70"/>
  <c r="AR67" i="87" s="1"/>
  <c r="Z95" i="70"/>
  <c r="AS98" i="87" s="1"/>
  <c r="AR95" i="70"/>
  <c r="AF95" i="70"/>
  <c r="AQ97" i="70"/>
  <c r="AK97" i="70"/>
  <c r="Y97" i="70"/>
  <c r="AR100" i="87" s="1"/>
  <c r="AI98" i="70"/>
  <c r="AU98" i="70"/>
  <c r="AC98" i="70"/>
  <c r="AV101" i="87" s="1"/>
  <c r="AM100" i="70"/>
  <c r="AA100" i="70"/>
  <c r="AT103" i="87" s="1"/>
  <c r="AS106" i="70"/>
  <c r="AM106" i="70"/>
  <c r="AA106" i="70"/>
  <c r="AT109" i="87" s="1"/>
  <c r="AH109" i="70"/>
  <c r="AN109" i="70"/>
  <c r="AB109" i="70"/>
  <c r="AU112" i="87" s="1"/>
  <c r="AT109" i="70"/>
  <c r="AF141" i="70"/>
  <c r="Z141" i="70"/>
  <c r="AS144" i="87" s="1"/>
  <c r="AE147" i="70"/>
  <c r="AQ147" i="70"/>
  <c r="Y147" i="70"/>
  <c r="AR150" i="87" s="1"/>
  <c r="AK147" i="70"/>
  <c r="AQ151" i="70"/>
  <c r="AK151" i="70"/>
  <c r="Y151" i="70"/>
  <c r="AR154" i="87" s="1"/>
  <c r="AA193" i="70"/>
  <c r="AT196" i="87" s="1"/>
  <c r="AS193" i="70"/>
  <c r="AM193" i="70"/>
  <c r="AG193" i="70"/>
  <c r="AS195" i="70"/>
  <c r="AM195" i="70"/>
  <c r="AG195" i="70"/>
  <c r="AM197" i="70"/>
  <c r="W18" i="71"/>
  <c r="X20" i="84" s="1"/>
  <c r="W64" i="71"/>
  <c r="X66" i="84" s="1"/>
  <c r="AL66" i="84" s="1"/>
  <c r="V59" i="71"/>
  <c r="W61" i="84" s="1"/>
  <c r="X53" i="71"/>
  <c r="Y55" i="84" s="1"/>
  <c r="AI55" i="84" s="1"/>
  <c r="W20" i="71"/>
  <c r="X22" i="84" s="1"/>
  <c r="V16" i="71"/>
  <c r="W18" i="84" s="1"/>
  <c r="X7" i="71"/>
  <c r="Y9" i="84" s="1"/>
  <c r="AI9" i="84" s="1"/>
  <c r="W198" i="71"/>
  <c r="X200" i="84" s="1"/>
  <c r="W109" i="71"/>
  <c r="X111" i="84" s="1"/>
  <c r="AL111" i="84" s="1"/>
  <c r="V104" i="71"/>
  <c r="W106" i="84" s="1"/>
  <c r="V99" i="71"/>
  <c r="W101" i="84" s="1"/>
  <c r="W155" i="71"/>
  <c r="X157" i="84" s="1"/>
  <c r="AL157" i="84" s="1"/>
  <c r="V151" i="71"/>
  <c r="W153" i="84" s="1"/>
  <c r="V145" i="71"/>
  <c r="W147" i="84" s="1"/>
  <c r="V200" i="71"/>
  <c r="W202" i="84" s="1"/>
  <c r="V195" i="71"/>
  <c r="W197" i="84" s="1"/>
  <c r="V189" i="71"/>
  <c r="W191" i="84" s="1"/>
  <c r="AF195" i="90" s="1"/>
  <c r="V51" i="71"/>
  <c r="W53" i="84" s="1"/>
  <c r="V185" i="71"/>
  <c r="W187" i="84" s="1"/>
  <c r="V98" i="71"/>
  <c r="W100" i="84" s="1"/>
  <c r="V54" i="71"/>
  <c r="W56" i="84" s="1"/>
  <c r="X191" i="71"/>
  <c r="Y193" i="84" s="1"/>
  <c r="X101" i="71"/>
  <c r="Y103" i="84" s="1"/>
  <c r="AI103" i="84" s="1"/>
  <c r="V97" i="71"/>
  <c r="W99" i="84" s="1"/>
  <c r="AE52" i="84"/>
  <c r="V65" i="71"/>
  <c r="W67" i="84" s="1"/>
  <c r="V60" i="71"/>
  <c r="W62" i="84" s="1"/>
  <c r="X54" i="71"/>
  <c r="Y56" i="84" s="1"/>
  <c r="AI56" i="84" s="1"/>
  <c r="V17" i="71"/>
  <c r="W19" i="84" s="1"/>
  <c r="V11" i="71"/>
  <c r="W13" i="84" s="1"/>
  <c r="W153" i="71"/>
  <c r="X155" i="84" s="1"/>
  <c r="AL155" i="84" s="1"/>
  <c r="V110" i="71"/>
  <c r="W112" i="84" s="1"/>
  <c r="V105" i="71"/>
  <c r="W107" i="84" s="1"/>
  <c r="X99" i="71"/>
  <c r="Y101" i="84" s="1"/>
  <c r="AI101" i="84" s="1"/>
  <c r="V152" i="71"/>
  <c r="W154" i="84" s="1"/>
  <c r="V146" i="71"/>
  <c r="W148" i="84" s="1"/>
  <c r="W200" i="71"/>
  <c r="X202" i="84" s="1"/>
  <c r="V196" i="71"/>
  <c r="W198" i="84" s="1"/>
  <c r="V190" i="71"/>
  <c r="W192" i="84" s="1"/>
  <c r="V140" i="71"/>
  <c r="W142" i="84" s="1"/>
  <c r="V8" i="71"/>
  <c r="W10" i="84" s="1"/>
  <c r="AC144" i="70"/>
  <c r="AV147" i="87" s="1"/>
  <c r="X145" i="71"/>
  <c r="Y147" i="84" s="1"/>
  <c r="AI147" i="84" s="1"/>
  <c r="X189" i="71"/>
  <c r="Y191" i="84" s="1"/>
  <c r="X141" i="71"/>
  <c r="Y143" i="84" s="1"/>
  <c r="AI143" i="84" s="1"/>
  <c r="W63" i="71"/>
  <c r="X65" i="84" s="1"/>
  <c r="AL65" i="84" s="1"/>
  <c r="V64" i="71"/>
  <c r="W66" i="84" s="1"/>
  <c r="V58" i="71"/>
  <c r="W60" i="84" s="1"/>
  <c r="X52" i="71"/>
  <c r="Y54" i="84" s="1"/>
  <c r="AI54" i="84" s="1"/>
  <c r="V20" i="71"/>
  <c r="W22" i="84" s="1"/>
  <c r="V15" i="71"/>
  <c r="W17" i="84" s="1"/>
  <c r="X6" i="71"/>
  <c r="Y8" i="84" s="1"/>
  <c r="AI8" i="84" s="1"/>
  <c r="X95" i="71"/>
  <c r="Y97" i="84" s="1"/>
  <c r="AI97" i="84" s="1"/>
  <c r="V109" i="71"/>
  <c r="W111" i="84" s="1"/>
  <c r="V103" i="71"/>
  <c r="W105" i="84" s="1"/>
  <c r="X98" i="71"/>
  <c r="Y100" i="84" s="1"/>
  <c r="AI100" i="84" s="1"/>
  <c r="V155" i="71"/>
  <c r="W157" i="84" s="1"/>
  <c r="V150" i="71"/>
  <c r="W152" i="84" s="1"/>
  <c r="V144" i="71"/>
  <c r="W146" i="84" s="1"/>
  <c r="W199" i="71"/>
  <c r="X201" i="84" s="1"/>
  <c r="V194" i="71"/>
  <c r="W196" i="84" s="1"/>
  <c r="V188" i="71"/>
  <c r="W190" i="84" s="1"/>
  <c r="X8" i="71"/>
  <c r="Y10" i="84" s="1"/>
  <c r="AI10" i="84" s="1"/>
  <c r="V187" i="71"/>
  <c r="W189" i="84" s="1"/>
  <c r="V52" i="71"/>
  <c r="W54" i="84" s="1"/>
  <c r="X190" i="71"/>
  <c r="Y192" i="84" s="1"/>
  <c r="X185" i="71"/>
  <c r="Y187" i="84" s="1"/>
  <c r="AI187" i="84" s="1"/>
  <c r="X186" i="71"/>
  <c r="Y188" i="84" s="1"/>
  <c r="X11" i="71"/>
  <c r="Y13" i="84" s="1"/>
  <c r="AI13" i="84" s="1"/>
  <c r="V63" i="71"/>
  <c r="W65" i="84" s="1"/>
  <c r="V57" i="71"/>
  <c r="W59" i="84" s="1"/>
  <c r="X51" i="71"/>
  <c r="Y53" i="84" s="1"/>
  <c r="AI53" i="84" s="1"/>
  <c r="W19" i="71"/>
  <c r="X21" i="84" s="1"/>
  <c r="V14" i="71"/>
  <c r="W16" i="84" s="1"/>
  <c r="X5" i="71"/>
  <c r="Y7" i="84" s="1"/>
  <c r="AI7" i="84" s="1"/>
  <c r="V108" i="71"/>
  <c r="W110" i="84" s="1"/>
  <c r="V102" i="71"/>
  <c r="W104" i="84" s="1"/>
  <c r="X97" i="71"/>
  <c r="Y99" i="84" s="1"/>
  <c r="AI99" i="84" s="1"/>
  <c r="W154" i="71"/>
  <c r="X156" i="84" s="1"/>
  <c r="AL156" i="84" s="1"/>
  <c r="V149" i="71"/>
  <c r="W151" i="84" s="1"/>
  <c r="V143" i="71"/>
  <c r="W145" i="84" s="1"/>
  <c r="V199" i="71"/>
  <c r="W201" i="84" s="1"/>
  <c r="V193" i="71"/>
  <c r="W195" i="84" s="1"/>
  <c r="X188" i="71"/>
  <c r="Y190" i="84" s="1"/>
  <c r="V6" i="71"/>
  <c r="W8" i="84" s="1"/>
  <c r="V9" i="71"/>
  <c r="W11" i="84" s="1"/>
  <c r="AI188" i="70"/>
  <c r="X144" i="71"/>
  <c r="Y146" i="84" s="1"/>
  <c r="AI146" i="84" s="1"/>
  <c r="X140" i="71"/>
  <c r="Y142" i="84" s="1"/>
  <c r="AI142" i="84" s="1"/>
  <c r="X142" i="71"/>
  <c r="Y144" i="84" s="1"/>
  <c r="AI144" i="84" s="1"/>
  <c r="X10" i="71"/>
  <c r="Y12" i="84" s="1"/>
  <c r="AI12" i="84" s="1"/>
  <c r="V62" i="71"/>
  <c r="W64" i="84" s="1"/>
  <c r="V56" i="71"/>
  <c r="W58" i="84" s="1"/>
  <c r="X50" i="71"/>
  <c r="Y52" i="84" s="1"/>
  <c r="AI52" i="84" s="1"/>
  <c r="V19" i="71"/>
  <c r="W21" i="84" s="1"/>
  <c r="V13" i="71"/>
  <c r="W15" i="84" s="1"/>
  <c r="V107" i="71"/>
  <c r="W109" i="84" s="1"/>
  <c r="V101" i="71"/>
  <c r="W103" i="84" s="1"/>
  <c r="X96" i="71"/>
  <c r="Y98" i="84" s="1"/>
  <c r="AI98" i="84" s="1"/>
  <c r="V154" i="71"/>
  <c r="W156" i="84" s="1"/>
  <c r="V148" i="71"/>
  <c r="W150" i="84" s="1"/>
  <c r="V198" i="71"/>
  <c r="W200" i="84" s="1"/>
  <c r="V192" i="71"/>
  <c r="W194" i="84" s="1"/>
  <c r="V142" i="71"/>
  <c r="W144" i="84" s="1"/>
  <c r="V141" i="71"/>
  <c r="W143" i="84" s="1"/>
  <c r="V186" i="71"/>
  <c r="W188" i="84" s="1"/>
  <c r="X55" i="71"/>
  <c r="Y57" i="84" s="1"/>
  <c r="AI57" i="84" s="1"/>
  <c r="V53" i="71"/>
  <c r="W55" i="84" s="1"/>
  <c r="AU188" i="70"/>
  <c r="X56" i="71"/>
  <c r="Y58" i="84" s="1"/>
  <c r="AI58" i="84" s="1"/>
  <c r="X187" i="71"/>
  <c r="Y189" i="84" s="1"/>
  <c r="X9" i="71"/>
  <c r="Y11" i="84" s="1"/>
  <c r="AI11" i="84" s="1"/>
  <c r="W65" i="71"/>
  <c r="X67" i="84" s="1"/>
  <c r="AL67" i="84" s="1"/>
  <c r="V61" i="71"/>
  <c r="W63" i="84" s="1"/>
  <c r="V55" i="71"/>
  <c r="W57" i="84" s="1"/>
  <c r="V18" i="71"/>
  <c r="W20" i="84" s="1"/>
  <c r="V12" i="71"/>
  <c r="W14" i="84" s="1"/>
  <c r="W108" i="71"/>
  <c r="X110" i="84" s="1"/>
  <c r="AL110" i="84" s="1"/>
  <c r="W110" i="71"/>
  <c r="X112" i="84" s="1"/>
  <c r="AL112" i="84" s="1"/>
  <c r="V106" i="71"/>
  <c r="W108" i="84" s="1"/>
  <c r="V100" i="71"/>
  <c r="W102" i="84" s="1"/>
  <c r="V153" i="71"/>
  <c r="W155" i="84" s="1"/>
  <c r="V147" i="71"/>
  <c r="W149" i="84" s="1"/>
  <c r="V197" i="71"/>
  <c r="W199" i="84" s="1"/>
  <c r="V191" i="71"/>
  <c r="W193" i="84" s="1"/>
  <c r="AE157" i="84"/>
  <c r="AE20" i="84"/>
  <c r="AE8" i="84"/>
  <c r="AE53" i="84"/>
  <c r="AE151" i="84"/>
  <c r="AE145" i="84"/>
  <c r="AE147" i="84"/>
  <c r="AE101" i="84"/>
  <c r="AE107" i="84"/>
  <c r="AE9" i="84"/>
  <c r="AE146" i="84"/>
  <c r="AE143" i="84"/>
  <c r="AE149" i="84"/>
  <c r="AE14" i="84"/>
  <c r="AE201" i="84"/>
  <c r="AA5" i="70"/>
  <c r="AT8" i="87" s="1"/>
  <c r="AI142" i="70"/>
  <c r="Z6" i="70"/>
  <c r="AS9" i="87" s="1"/>
  <c r="AM5" i="70"/>
  <c r="W8" i="50"/>
  <c r="X8" i="50" s="1"/>
  <c r="W10" i="50"/>
  <c r="X11" i="50" s="1"/>
  <c r="AR100" i="70"/>
  <c r="AG5" i="70"/>
  <c r="AF49" i="70"/>
  <c r="AF102" i="70"/>
  <c r="AN19" i="70"/>
  <c r="AH19" i="70"/>
  <c r="AB19" i="70"/>
  <c r="AU22" i="87" s="1"/>
  <c r="AT19" i="70"/>
  <c r="AG16" i="70"/>
  <c r="AS16" i="70"/>
  <c r="AM16" i="70"/>
  <c r="AS14" i="70"/>
  <c r="AG14" i="70"/>
  <c r="AA12" i="70"/>
  <c r="AT15" i="87" s="1"/>
  <c r="AS12" i="70"/>
  <c r="AM12" i="70"/>
  <c r="AG12" i="70"/>
  <c r="AG10" i="70"/>
  <c r="AM10" i="70"/>
  <c r="AS8" i="70"/>
  <c r="AG8" i="70"/>
  <c r="AM8" i="70"/>
  <c r="AQ7" i="70"/>
  <c r="AE7" i="70"/>
  <c r="Y7" i="70"/>
  <c r="AR10" i="87" s="1"/>
  <c r="AL5" i="70"/>
  <c r="AF5" i="70"/>
  <c r="AF50" i="70"/>
  <c r="AR50" i="70"/>
  <c r="Z50" i="70"/>
  <c r="AS53" i="87" s="1"/>
  <c r="Y52" i="70"/>
  <c r="AR55" i="87" s="1"/>
  <c r="AK52" i="70"/>
  <c r="AG53" i="70"/>
  <c r="AM53" i="70"/>
  <c r="AA53" i="70"/>
  <c r="AT56" i="87" s="1"/>
  <c r="AR55" i="70"/>
  <c r="Z55" i="70"/>
  <c r="AS58" i="87" s="1"/>
  <c r="AL55" i="70"/>
  <c r="AF55" i="70"/>
  <c r="AF61" i="70"/>
  <c r="Y94" i="70"/>
  <c r="AR97" i="87" s="1"/>
  <c r="AK96" i="70"/>
  <c r="AE96" i="70"/>
  <c r="AR99" i="70"/>
  <c r="Z99" i="70"/>
  <c r="AS102" i="87" s="1"/>
  <c r="AF99" i="70"/>
  <c r="AL99" i="70"/>
  <c r="AL101" i="70"/>
  <c r="AF101" i="70"/>
  <c r="Z101" i="70"/>
  <c r="AS104" i="87" s="1"/>
  <c r="AF103" i="70"/>
  <c r="AL103" i="70"/>
  <c r="AR103" i="70"/>
  <c r="AR105" i="70"/>
  <c r="AL105" i="70"/>
  <c r="AF105" i="70"/>
  <c r="Z105" i="70"/>
  <c r="AS108" i="87" s="1"/>
  <c r="AR107" i="70"/>
  <c r="AL107" i="70"/>
  <c r="AF107" i="70"/>
  <c r="AT108" i="70"/>
  <c r="AB108" i="70"/>
  <c r="AU111" i="87" s="1"/>
  <c r="AN108" i="70"/>
  <c r="AH108" i="70"/>
  <c r="AQ140" i="70"/>
  <c r="AE140" i="70"/>
  <c r="AE142" i="70"/>
  <c r="AG147" i="70"/>
  <c r="AM147" i="70"/>
  <c r="AA149" i="70"/>
  <c r="AT152" i="87" s="1"/>
  <c r="AS149" i="70"/>
  <c r="AM149" i="70"/>
  <c r="AG149" i="70"/>
  <c r="AS151" i="70"/>
  <c r="AM151" i="70"/>
  <c r="AG151" i="70"/>
  <c r="Z153" i="70"/>
  <c r="AS156" i="87" s="1"/>
  <c r="AR153" i="70"/>
  <c r="AL153" i="70"/>
  <c r="AF153" i="70"/>
  <c r="AF184" i="70"/>
  <c r="Z184" i="70"/>
  <c r="AS187" i="87" s="1"/>
  <c r="AR184" i="70"/>
  <c r="AL184" i="70"/>
  <c r="AL188" i="70"/>
  <c r="Z188" i="70"/>
  <c r="AS191" i="87" s="1"/>
  <c r="AR190" i="70"/>
  <c r="AL190" i="70"/>
  <c r="AF190" i="70"/>
  <c r="Z190" i="70"/>
  <c r="AS193" i="87" s="1"/>
  <c r="AR192" i="70"/>
  <c r="Z192" i="70"/>
  <c r="AS195" i="87" s="1"/>
  <c r="AL192" i="70"/>
  <c r="AQ198" i="70"/>
  <c r="AK198" i="70"/>
  <c r="Y198" i="70"/>
  <c r="AR201" i="87" s="1"/>
  <c r="AA199" i="70"/>
  <c r="AT202" i="87" s="1"/>
  <c r="AS199" i="70"/>
  <c r="AM199" i="70"/>
  <c r="AG199" i="70"/>
  <c r="AA95" i="70"/>
  <c r="AT98" i="87" s="1"/>
  <c r="AG95" i="70"/>
  <c r="AM95" i="70"/>
  <c r="AS95" i="70"/>
  <c r="AI9" i="70"/>
  <c r="AC9" i="70"/>
  <c r="AV12" i="87" s="1"/>
  <c r="W77" i="50"/>
  <c r="X77" i="50" s="1"/>
  <c r="W64" i="50"/>
  <c r="AC96" i="70"/>
  <c r="AV99" i="87" s="1"/>
  <c r="Y95" i="70"/>
  <c r="AR98" i="87" s="1"/>
  <c r="AU96" i="70"/>
  <c r="AG17" i="70"/>
  <c r="AL193" i="70"/>
  <c r="W17" i="50"/>
  <c r="AE141" i="70"/>
  <c r="AI96" i="70"/>
  <c r="AE95" i="70"/>
  <c r="AQ141" i="70"/>
  <c r="AQ95" i="70"/>
  <c r="AA152" i="70"/>
  <c r="AT155" i="87" s="1"/>
  <c r="AR102" i="70"/>
  <c r="Z62" i="70"/>
  <c r="AS65" i="87" s="1"/>
  <c r="AN198" i="70"/>
  <c r="AR193" i="70"/>
  <c r="AL100" i="70"/>
  <c r="AK95" i="70"/>
  <c r="Z102" i="70"/>
  <c r="AS105" i="87" s="1"/>
  <c r="AG152" i="70"/>
  <c r="Y154" i="70"/>
  <c r="AR157" i="87" s="1"/>
  <c r="AO145" i="70"/>
  <c r="AM98" i="70"/>
  <c r="AS11" i="70"/>
  <c r="AQ154" i="70"/>
  <c r="AS148" i="70"/>
  <c r="AF187" i="70"/>
  <c r="AM184" i="70"/>
  <c r="AS184" i="70"/>
  <c r="AE196" i="84"/>
  <c r="AE62" i="84"/>
  <c r="AE15" i="84"/>
  <c r="AE109" i="84"/>
  <c r="AE155" i="84"/>
  <c r="AE195" i="84"/>
  <c r="AE194" i="84"/>
  <c r="AE97" i="84"/>
  <c r="AS186" i="70"/>
  <c r="AU145" i="70"/>
  <c r="AE188" i="84"/>
  <c r="AE7" i="84"/>
  <c r="AG139" i="70"/>
  <c r="AA140" i="70"/>
  <c r="AT143" i="87" s="1"/>
  <c r="AI140" i="70"/>
  <c r="AE10" i="70"/>
  <c r="AK10" i="70"/>
  <c r="AB17" i="70"/>
  <c r="AU20" i="87" s="1"/>
  <c r="Z109" i="70"/>
  <c r="AS112" i="87" s="1"/>
  <c r="AE16" i="70"/>
  <c r="AK154" i="70"/>
  <c r="AL102" i="70"/>
  <c r="AK16" i="70"/>
  <c r="AS150" i="70"/>
  <c r="AQ102" i="70"/>
  <c r="AS17" i="70"/>
  <c r="AQ19" i="70"/>
  <c r="AB63" i="70"/>
  <c r="AU66" i="87" s="1"/>
  <c r="AF56" i="70"/>
  <c r="AR56" i="70"/>
  <c r="AS63" i="70"/>
  <c r="AS6" i="70"/>
  <c r="Z148" i="70"/>
  <c r="AS151" i="87" s="1"/>
  <c r="AE60" i="70"/>
  <c r="AA139" i="70"/>
  <c r="AT142" i="87" s="1"/>
  <c r="AG6" i="70"/>
  <c r="AR49" i="70"/>
  <c r="AU142" i="70"/>
  <c r="AS98" i="70"/>
  <c r="AE154" i="70"/>
  <c r="AR150" i="70"/>
  <c r="AR148" i="70"/>
  <c r="Y19" i="70"/>
  <c r="AR22" i="87" s="1"/>
  <c r="AF60" i="70"/>
  <c r="AL60" i="70"/>
  <c r="Y62" i="70"/>
  <c r="AR65" i="87" s="1"/>
  <c r="AE49" i="70"/>
  <c r="Z195" i="70"/>
  <c r="AS198" i="87" s="1"/>
  <c r="AL185" i="70"/>
  <c r="AR54" i="70"/>
  <c r="AL195" i="70"/>
  <c r="AS139" i="70"/>
  <c r="AM6" i="70"/>
  <c r="AL49" i="70"/>
  <c r="AA98" i="70"/>
  <c r="AT101" i="87" s="1"/>
  <c r="Z100" i="70"/>
  <c r="AS103" i="87" s="1"/>
  <c r="AN17" i="70"/>
  <c r="AA150" i="70"/>
  <c r="AT153" i="87" s="1"/>
  <c r="AA148" i="70"/>
  <c r="AT151" i="87" s="1"/>
  <c r="AA109" i="70"/>
  <c r="AT112" i="87" s="1"/>
  <c r="Y108" i="70"/>
  <c r="AR111" i="87" s="1"/>
  <c r="AM109" i="70"/>
  <c r="AQ108" i="70"/>
  <c r="AM152" i="70"/>
  <c r="AE19" i="70"/>
  <c r="AR60" i="70"/>
  <c r="AA146" i="70"/>
  <c r="AT149" i="87" s="1"/>
  <c r="Z197" i="70"/>
  <c r="AS200" i="87" s="1"/>
  <c r="AF195" i="70"/>
  <c r="Z193" i="70"/>
  <c r="AS196" i="87" s="1"/>
  <c r="AM144" i="70"/>
  <c r="AQ58" i="70"/>
  <c r="AR195" i="70"/>
  <c r="AL187" i="70"/>
  <c r="AS140" i="70"/>
  <c r="AA6" i="70"/>
  <c r="AT9" i="87" s="1"/>
  <c r="W16" i="50"/>
  <c r="AG98" i="70"/>
  <c r="Y141" i="70"/>
  <c r="AR144" i="87" s="1"/>
  <c r="AF100" i="70"/>
  <c r="Y10" i="70"/>
  <c r="AR13" i="87" s="1"/>
  <c r="AR6" i="70"/>
  <c r="AK141" i="70"/>
  <c r="AO96" i="70"/>
  <c r="AT17" i="70"/>
  <c r="AG150" i="70"/>
  <c r="AG109" i="70"/>
  <c r="AE108" i="70"/>
  <c r="Y16" i="70"/>
  <c r="AR19" i="87" s="1"/>
  <c r="AA17" i="70"/>
  <c r="AT20" i="87" s="1"/>
  <c r="AK108" i="70"/>
  <c r="AM17" i="70"/>
  <c r="AK19" i="70"/>
  <c r="AA63" i="70"/>
  <c r="AT66" i="87" s="1"/>
  <c r="Z56" i="70"/>
  <c r="AS59" i="87" s="1"/>
  <c r="Y195" i="70"/>
  <c r="AR198" i="87" s="1"/>
  <c r="AF193" i="70"/>
  <c r="AL56" i="70"/>
  <c r="AR187" i="70"/>
  <c r="AU100" i="70"/>
  <c r="AC187" i="70"/>
  <c r="AV190" i="87" s="1"/>
  <c r="AC100" i="70"/>
  <c r="AV103" i="87" s="1"/>
  <c r="AU187" i="70"/>
  <c r="AI100" i="70"/>
  <c r="W79" i="88"/>
  <c r="H148" i="69"/>
  <c r="H147" i="69"/>
  <c r="G95" i="69"/>
  <c r="G50" i="69"/>
  <c r="G51" i="69" s="1"/>
  <c r="G52" i="69" s="1"/>
  <c r="G53" i="69" s="1"/>
  <c r="G54" i="69" s="1"/>
  <c r="H94" i="69"/>
  <c r="H51" i="69"/>
  <c r="H52" i="69" s="1"/>
  <c r="H53" i="69" s="1"/>
  <c r="H54" i="69" s="1"/>
  <c r="H95" i="69"/>
  <c r="L36" i="87"/>
  <c r="L37" i="87"/>
  <c r="AC189" i="70"/>
  <c r="AV192" i="87" s="1"/>
  <c r="AC140" i="70"/>
  <c r="AV143" i="87" s="1"/>
  <c r="W15" i="50"/>
  <c r="X15" i="50" s="1"/>
  <c r="AI94" i="70"/>
  <c r="AU94" i="70"/>
  <c r="AF150" i="70"/>
  <c r="AE106" i="70"/>
  <c r="AE104" i="70"/>
  <c r="AL150" i="70"/>
  <c r="AR13" i="70"/>
  <c r="AL148" i="70"/>
  <c r="AK102" i="70"/>
  <c r="AN18" i="70"/>
  <c r="Y60" i="70"/>
  <c r="AR63" i="87" s="1"/>
  <c r="AK60" i="70"/>
  <c r="Y58" i="70"/>
  <c r="AR61" i="87" s="1"/>
  <c r="AF54" i="70"/>
  <c r="Z144" i="70"/>
  <c r="AS147" i="87" s="1"/>
  <c r="AE197" i="70"/>
  <c r="AK58" i="70"/>
  <c r="AL54" i="70"/>
  <c r="AQ189" i="70"/>
  <c r="AM63" i="70"/>
  <c r="AQ197" i="70"/>
  <c r="AS7" i="70"/>
  <c r="AA51" i="70"/>
  <c r="AT54" i="87" s="1"/>
  <c r="AO140" i="70"/>
  <c r="AI10" i="70"/>
  <c r="Z98" i="70"/>
  <c r="AS101" i="87" s="1"/>
  <c r="Z11" i="70"/>
  <c r="AS14" i="87" s="1"/>
  <c r="AQ6" i="70"/>
  <c r="AR11" i="70"/>
  <c r="AF148" i="70"/>
  <c r="AF109" i="70"/>
  <c r="AE102" i="70"/>
  <c r="AK106" i="70"/>
  <c r="AL109" i="70"/>
  <c r="AB18" i="70"/>
  <c r="AU21" i="87" s="1"/>
  <c r="AG63" i="70"/>
  <c r="AE56" i="70"/>
  <c r="AE195" i="70"/>
  <c r="AN199" i="70"/>
  <c r="AK56" i="70"/>
  <c r="AL198" i="70"/>
  <c r="AA7" i="70"/>
  <c r="AT10" i="87" s="1"/>
  <c r="AS51" i="70"/>
  <c r="AA142" i="70"/>
  <c r="AT145" i="87" s="1"/>
  <c r="AS142" i="70"/>
  <c r="AO10" i="70"/>
  <c r="AF98" i="70"/>
  <c r="Z9" i="70"/>
  <c r="AS12" i="87" s="1"/>
  <c r="AF11" i="70"/>
  <c r="AL9" i="70"/>
  <c r="AB153" i="70"/>
  <c r="AU156" i="87" s="1"/>
  <c r="AQ106" i="70"/>
  <c r="AR109" i="70"/>
  <c r="AH18" i="70"/>
  <c r="Y185" i="70"/>
  <c r="AR188" i="87" s="1"/>
  <c r="AT199" i="70"/>
  <c r="AL144" i="70"/>
  <c r="AR198" i="70"/>
  <c r="AG50" i="70"/>
  <c r="AG7" i="70"/>
  <c r="AG51" i="70"/>
  <c r="X14" i="50"/>
  <c r="W35" i="50"/>
  <c r="X35" i="50" s="1"/>
  <c r="AG142" i="70"/>
  <c r="AU10" i="70"/>
  <c r="Y6" i="70"/>
  <c r="AR9" i="87" s="1"/>
  <c r="AF9" i="70"/>
  <c r="AL98" i="70"/>
  <c r="AR9" i="70"/>
  <c r="AH153" i="70"/>
  <c r="Z13" i="70"/>
  <c r="AS16" i="87" s="1"/>
  <c r="AT153" i="70"/>
  <c r="AK104" i="70"/>
  <c r="Y53" i="70"/>
  <c r="AR56" i="87" s="1"/>
  <c r="Y189" i="70"/>
  <c r="AR192" i="87" s="1"/>
  <c r="AB199" i="70"/>
  <c r="AU202" i="87" s="1"/>
  <c r="Z198" i="70"/>
  <c r="AS201" i="87" s="1"/>
  <c r="AR144" i="70"/>
  <c r="AK53" i="70"/>
  <c r="AL146" i="70"/>
  <c r="AK195" i="70"/>
  <c r="AC94" i="70"/>
  <c r="AV97" i="87" s="1"/>
  <c r="AE6" i="70"/>
  <c r="AR98" i="70"/>
  <c r="Z150" i="70"/>
  <c r="AS153" i="87" s="1"/>
  <c r="Y106" i="70"/>
  <c r="AR109" i="87" s="1"/>
  <c r="Y104" i="70"/>
  <c r="AF13" i="70"/>
  <c r="AL13" i="70"/>
  <c r="AN153" i="70"/>
  <c r="AQ104" i="70"/>
  <c r="AE53" i="70"/>
  <c r="AE189" i="70"/>
  <c r="AH199" i="70"/>
  <c r="AF198" i="70"/>
  <c r="Y197" i="70"/>
  <c r="AR200" i="87" s="1"/>
  <c r="AK189" i="70"/>
  <c r="AQ53" i="70"/>
  <c r="AQ195" i="70"/>
  <c r="AK197" i="70"/>
  <c r="X50" i="50"/>
  <c r="X68" i="50"/>
  <c r="X12" i="50"/>
  <c r="X54" i="50"/>
  <c r="X66" i="50"/>
  <c r="Y142" i="70"/>
  <c r="AR145" i="87" s="1"/>
  <c r="Y140" i="70"/>
  <c r="AR143" i="87" s="1"/>
  <c r="AC95" i="70"/>
  <c r="AV98" i="87" s="1"/>
  <c r="AG11" i="70"/>
  <c r="AL6" i="70"/>
  <c r="AM11" i="70"/>
  <c r="AO8" i="70"/>
  <c r="AF154" i="70"/>
  <c r="AL147" i="70"/>
  <c r="AK17" i="70"/>
  <c r="Z61" i="70"/>
  <c r="AS64" i="87" s="1"/>
  <c r="AR61" i="70"/>
  <c r="Y49" i="70"/>
  <c r="AR52" i="87" s="1"/>
  <c r="AF199" i="70"/>
  <c r="AQ49" i="70"/>
  <c r="AS192" i="70"/>
  <c r="AQ63" i="70"/>
  <c r="X20" i="50"/>
  <c r="AG9" i="70"/>
  <c r="AC185" i="70"/>
  <c r="AV188" i="87" s="1"/>
  <c r="AA143" i="70"/>
  <c r="AT146" i="87" s="1"/>
  <c r="Z97" i="70"/>
  <c r="AS100" i="87" s="1"/>
  <c r="AE94" i="70"/>
  <c r="AF6" i="70"/>
  <c r="AL97" i="70"/>
  <c r="AO7" i="70"/>
  <c r="AK140" i="70"/>
  <c r="AF147" i="70"/>
  <c r="AE153" i="70"/>
  <c r="Y17" i="70"/>
  <c r="AR20" i="87" s="1"/>
  <c r="AL154" i="70"/>
  <c r="AA187" i="70"/>
  <c r="AT190" i="87" s="1"/>
  <c r="AM187" i="70"/>
  <c r="AE63" i="70"/>
  <c r="AM64" i="70"/>
  <c r="U79" i="88"/>
  <c r="X62" i="50"/>
  <c r="AS9" i="70"/>
  <c r="AO185" i="70"/>
  <c r="AO189" i="70"/>
  <c r="AC190" i="70"/>
  <c r="AV193" i="87" s="1"/>
  <c r="AI185" i="70"/>
  <c r="AG143" i="70"/>
  <c r="AM143" i="70"/>
  <c r="AF97" i="70"/>
  <c r="AC7" i="70"/>
  <c r="AV10" i="87" s="1"/>
  <c r="AK142" i="70"/>
  <c r="AR97" i="70"/>
  <c r="AU7" i="70"/>
  <c r="AO95" i="70"/>
  <c r="AL149" i="70"/>
  <c r="AR154" i="70"/>
  <c r="Z59" i="70"/>
  <c r="AS62" i="87" s="1"/>
  <c r="AG187" i="70"/>
  <c r="AS187" i="70"/>
  <c r="AA64" i="70"/>
  <c r="AT67" i="87" s="1"/>
  <c r="Z189" i="70"/>
  <c r="AS192" i="87" s="1"/>
  <c r="AL189" i="70"/>
  <c r="AS64" i="70"/>
  <c r="AM141" i="70"/>
  <c r="AA9" i="70"/>
  <c r="AT12" i="87" s="1"/>
  <c r="AI190" i="70"/>
  <c r="AO190" i="70"/>
  <c r="AS143" i="70"/>
  <c r="AA145" i="70"/>
  <c r="AT148" i="87" s="1"/>
  <c r="AI7" i="70"/>
  <c r="AQ142" i="70"/>
  <c r="AK94" i="70"/>
  <c r="AM145" i="70"/>
  <c r="Z151" i="70"/>
  <c r="AS154" i="87" s="1"/>
  <c r="Z149" i="70"/>
  <c r="AS152" i="87" s="1"/>
  <c r="AR149" i="70"/>
  <c r="AL151" i="70"/>
  <c r="AK153" i="70"/>
  <c r="Z19" i="70"/>
  <c r="AS22" i="87" s="1"/>
  <c r="AF59" i="70"/>
  <c r="AL59" i="70"/>
  <c r="AG64" i="70"/>
  <c r="AF189" i="70"/>
  <c r="AR189" i="70"/>
  <c r="AL199" i="70"/>
  <c r="AA141" i="70"/>
  <c r="AT144" i="87" s="1"/>
  <c r="AM9" i="70"/>
  <c r="AG145" i="70"/>
  <c r="AA11" i="70"/>
  <c r="AT14" i="87" s="1"/>
  <c r="AQ94" i="70"/>
  <c r="AF151" i="70"/>
  <c r="AF149" i="70"/>
  <c r="AR147" i="70"/>
  <c r="AR151" i="70"/>
  <c r="AQ153" i="70"/>
  <c r="AR59" i="70"/>
  <c r="AL61" i="70"/>
  <c r="Z199" i="70"/>
  <c r="AS202" i="87" s="1"/>
  <c r="AK63" i="70"/>
  <c r="AR199" i="70"/>
  <c r="X102" i="88"/>
  <c r="AS185" i="70"/>
  <c r="AA185" i="70"/>
  <c r="AT188" i="87" s="1"/>
  <c r="AG185" i="70"/>
  <c r="X43" i="50"/>
  <c r="X44" i="50"/>
  <c r="Y96" i="70"/>
  <c r="AR99" i="87" s="1"/>
  <c r="AU9" i="70"/>
  <c r="AO9" i="70"/>
  <c r="R8" i="51"/>
  <c r="W29" i="50"/>
  <c r="X29" i="50" s="1"/>
  <c r="AF18" i="70"/>
  <c r="Z18" i="70"/>
  <c r="AS21" i="87" s="1"/>
  <c r="AL18" i="70"/>
  <c r="AF15" i="70"/>
  <c r="AR15" i="70"/>
  <c r="Z15" i="70"/>
  <c r="AS18" i="87" s="1"/>
  <c r="AS13" i="70"/>
  <c r="AM13" i="70"/>
  <c r="AG13" i="70"/>
  <c r="AQ12" i="70"/>
  <c r="AK12" i="70"/>
  <c r="AE12" i="70"/>
  <c r="Y12" i="70"/>
  <c r="AR15" i="87" s="1"/>
  <c r="AI141" i="70"/>
  <c r="AO141" i="70"/>
  <c r="AF143" i="70"/>
  <c r="Z143" i="70"/>
  <c r="AS146" i="87" s="1"/>
  <c r="AR143" i="70"/>
  <c r="AR145" i="70"/>
  <c r="AL145" i="70"/>
  <c r="Z145" i="70"/>
  <c r="AS148" i="87" s="1"/>
  <c r="AE54" i="70"/>
  <c r="AK54" i="70"/>
  <c r="Y54" i="70"/>
  <c r="AR57" i="87" s="1"/>
  <c r="AQ54" i="70"/>
  <c r="AR57" i="70"/>
  <c r="Z104" i="70"/>
  <c r="AL104" i="70"/>
  <c r="AF104" i="70"/>
  <c r="AT107" i="70"/>
  <c r="AN107" i="70"/>
  <c r="AH107" i="70"/>
  <c r="AF196" i="70"/>
  <c r="Z196" i="70"/>
  <c r="AS199" i="87" s="1"/>
  <c r="AL196" i="70"/>
  <c r="AF19" i="70"/>
  <c r="AL57" i="70"/>
  <c r="AR51" i="70"/>
  <c r="AF51" i="70"/>
  <c r="Z51" i="70"/>
  <c r="AS54" i="87" s="1"/>
  <c r="AU97" i="70"/>
  <c r="AO97" i="70"/>
  <c r="AI97" i="70"/>
  <c r="AG189" i="70"/>
  <c r="AA189" i="70"/>
  <c r="AT192" i="87" s="1"/>
  <c r="AS189" i="70"/>
  <c r="AL191" i="70"/>
  <c r="AF191" i="70"/>
  <c r="AR191" i="70"/>
  <c r="AG194" i="70"/>
  <c r="AM194" i="70"/>
  <c r="AA194" i="70"/>
  <c r="AT197" i="87" s="1"/>
  <c r="AS194" i="70"/>
  <c r="AA52" i="70"/>
  <c r="AT55" i="87" s="1"/>
  <c r="X61" i="50"/>
  <c r="AC4" i="70"/>
  <c r="AV7" i="87" s="1"/>
  <c r="AU4" i="70"/>
  <c r="AI4" i="70"/>
  <c r="AU49" i="70"/>
  <c r="AO49" i="70"/>
  <c r="AI49" i="70"/>
  <c r="AR186" i="70"/>
  <c r="AL186" i="70"/>
  <c r="Z186" i="70"/>
  <c r="AS189" i="87" s="1"/>
  <c r="AF186" i="70"/>
  <c r="AE188" i="70"/>
  <c r="Y188" i="70"/>
  <c r="AR191" i="87" s="1"/>
  <c r="AK188" i="70"/>
  <c r="AQ190" i="70"/>
  <c r="AK190" i="70"/>
  <c r="AE190" i="70"/>
  <c r="AA191" i="70"/>
  <c r="AT194" i="87" s="1"/>
  <c r="AS191" i="70"/>
  <c r="AG191" i="70"/>
  <c r="AI54" i="70"/>
  <c r="AC54" i="70"/>
  <c r="AV57" i="87" s="1"/>
  <c r="AR19" i="70"/>
  <c r="AS55" i="70"/>
  <c r="AG55" i="70"/>
  <c r="AM55" i="70"/>
  <c r="AA55" i="70"/>
  <c r="AT58" i="87" s="1"/>
  <c r="Y99" i="70"/>
  <c r="AR102" i="87" s="1"/>
  <c r="AK99" i="70"/>
  <c r="AG102" i="70"/>
  <c r="AA102" i="70"/>
  <c r="AT105" i="87" s="1"/>
  <c r="AM102" i="70"/>
  <c r="AF106" i="70"/>
  <c r="Z106" i="70"/>
  <c r="AS109" i="87" s="1"/>
  <c r="AL106" i="70"/>
  <c r="AQ109" i="70"/>
  <c r="AK109" i="70"/>
  <c r="AE109" i="70"/>
  <c r="Y109" i="70"/>
  <c r="AR112" i="87" s="1"/>
  <c r="AQ96" i="70"/>
  <c r="AQ193" i="70"/>
  <c r="AK193" i="70"/>
  <c r="AE193" i="70"/>
  <c r="Y193" i="70"/>
  <c r="AR196" i="87" s="1"/>
  <c r="AI55" i="70"/>
  <c r="AO55" i="70"/>
  <c r="AC55" i="70"/>
  <c r="AV58" i="87" s="1"/>
  <c r="AR106" i="70"/>
  <c r="Z57" i="70"/>
  <c r="AS60" i="87" s="1"/>
  <c r="AR196" i="70"/>
  <c r="AR5" i="70"/>
  <c r="Z5" i="70"/>
  <c r="AS8" i="87" s="1"/>
  <c r="X74" i="50"/>
  <c r="AM52" i="70"/>
  <c r="AG52" i="70"/>
  <c r="AO143" i="70"/>
  <c r="AC145" i="70"/>
  <c r="AV148" i="87" s="1"/>
  <c r="AI145" i="70"/>
  <c r="X76" i="50"/>
  <c r="AB107" i="70"/>
  <c r="AU110" i="87" s="1"/>
  <c r="AQ99" i="70"/>
  <c r="AF57" i="70"/>
  <c r="AU8" i="70"/>
  <c r="AC8" i="70"/>
  <c r="AV11" i="87" s="1"/>
  <c r="W9" i="50"/>
  <c r="R14" i="51"/>
  <c r="W18" i="50"/>
  <c r="Z17" i="70"/>
  <c r="AS20" i="87" s="1"/>
  <c r="AR17" i="70"/>
  <c r="AF17" i="70"/>
  <c r="AM15" i="70"/>
  <c r="AA15" i="70"/>
  <c r="AT18" i="87" s="1"/>
  <c r="AS15" i="70"/>
  <c r="AG15" i="70"/>
  <c r="AQ14" i="70"/>
  <c r="AE14" i="70"/>
  <c r="AK14" i="70"/>
  <c r="Y14" i="70"/>
  <c r="AR17" i="87" s="1"/>
  <c r="AL12" i="70"/>
  <c r="AR10" i="70"/>
  <c r="AL10" i="70"/>
  <c r="Z10" i="70"/>
  <c r="AS13" i="87" s="1"/>
  <c r="Z8" i="70"/>
  <c r="AS11" i="87" s="1"/>
  <c r="AF8" i="70"/>
  <c r="AR8" i="70"/>
  <c r="AU6" i="70"/>
  <c r="AO139" i="70"/>
  <c r="AC139" i="70"/>
  <c r="AV142" i="87" s="1"/>
  <c r="AI139" i="70"/>
  <c r="AR141" i="70"/>
  <c r="AL141" i="70"/>
  <c r="AQ143" i="70"/>
  <c r="AK143" i="70"/>
  <c r="AQ145" i="70"/>
  <c r="AK145" i="70"/>
  <c r="AE145" i="70"/>
  <c r="AM148" i="70"/>
  <c r="AQ57" i="70"/>
  <c r="AG144" i="70"/>
  <c r="AA144" i="70"/>
  <c r="AT147" i="87" s="1"/>
  <c r="AG146" i="70"/>
  <c r="AE184" i="70"/>
  <c r="Y184" i="70"/>
  <c r="AR187" i="87" s="1"/>
  <c r="AQ191" i="70"/>
  <c r="AE191" i="70"/>
  <c r="AK191" i="70"/>
  <c r="Y191" i="70"/>
  <c r="AR194" i="87" s="1"/>
  <c r="AA192" i="70"/>
  <c r="AT195" i="87" s="1"/>
  <c r="Z194" i="70"/>
  <c r="AS197" i="87" s="1"/>
  <c r="AR194" i="70"/>
  <c r="AN197" i="70"/>
  <c r="AT197" i="70"/>
  <c r="AQ199" i="70"/>
  <c r="AK199" i="70"/>
  <c r="AE199" i="70"/>
  <c r="AC99" i="70"/>
  <c r="AV102" i="87" s="1"/>
  <c r="Z60" i="70"/>
  <c r="AS63" i="87" s="1"/>
  <c r="AM99" i="70"/>
  <c r="Y57" i="70"/>
  <c r="AR60" i="87" s="1"/>
  <c r="Z52" i="70"/>
  <c r="AS55" i="87" s="1"/>
  <c r="AF194" i="70"/>
  <c r="AL52" i="70"/>
  <c r="AQ62" i="70"/>
  <c r="AK62" i="70"/>
  <c r="AR188" i="70"/>
  <c r="AF188" i="70"/>
  <c r="X47" i="50"/>
  <c r="AR58" i="70"/>
  <c r="AL58" i="70"/>
  <c r="AR62" i="70"/>
  <c r="AL62" i="70"/>
  <c r="AT63" i="70"/>
  <c r="AN63" i="70"/>
  <c r="AQ185" i="70"/>
  <c r="AK185" i="70"/>
  <c r="AE187" i="70"/>
  <c r="AQ187" i="70"/>
  <c r="Y187" i="70"/>
  <c r="AR190" i="87" s="1"/>
  <c r="AR197" i="70"/>
  <c r="AL197" i="70"/>
  <c r="AS198" i="70"/>
  <c r="AM198" i="70"/>
  <c r="Y61" i="70"/>
  <c r="AR64" i="87" s="1"/>
  <c r="AE59" i="70"/>
  <c r="AQ59" i="70"/>
  <c r="AQ61" i="70"/>
  <c r="AF58" i="70"/>
  <c r="AA198" i="70"/>
  <c r="AT201" i="87" s="1"/>
  <c r="AG192" i="70"/>
  <c r="AE185" i="70"/>
  <c r="AM146" i="70"/>
  <c r="AQ184" i="70"/>
  <c r="AQ51" i="70"/>
  <c r="AK51" i="70"/>
  <c r="AE51" i="70"/>
  <c r="Y51" i="70"/>
  <c r="AR54" i="87" s="1"/>
  <c r="AQ55" i="70"/>
  <c r="AK55" i="70"/>
  <c r="AS56" i="70"/>
  <c r="AS58" i="70"/>
  <c r="AM58" i="70"/>
  <c r="AF146" i="70"/>
  <c r="Z146" i="70"/>
  <c r="AS149" i="87" s="1"/>
  <c r="Z185" i="70"/>
  <c r="AS188" i="87" s="1"/>
  <c r="AR185" i="70"/>
  <c r="AQ194" i="70"/>
  <c r="AK194" i="70"/>
  <c r="AK196" i="70"/>
  <c r="AQ196" i="70"/>
  <c r="AG197" i="70"/>
  <c r="AA197" i="70"/>
  <c r="AT200" i="87" s="1"/>
  <c r="AH198" i="70"/>
  <c r="AB198" i="70"/>
  <c r="AU201" i="87" s="1"/>
  <c r="AT198" i="70"/>
  <c r="X72" i="50"/>
  <c r="X73" i="50"/>
  <c r="AM50" i="70"/>
  <c r="AG141" i="70"/>
  <c r="AM186" i="70"/>
  <c r="AM185" i="70"/>
  <c r="AU54" i="70"/>
  <c r="AO99" i="70"/>
  <c r="AI143" i="70"/>
  <c r="AI189" i="70"/>
  <c r="AC143" i="70"/>
  <c r="AV146" i="87" s="1"/>
  <c r="AG186" i="70"/>
  <c r="AU99" i="70"/>
  <c r="AS50" i="70"/>
  <c r="AG140" i="70"/>
  <c r="AO187" i="70"/>
  <c r="X59" i="50"/>
  <c r="AS141" i="70"/>
  <c r="AQ8" i="70"/>
  <c r="AE8" i="70"/>
  <c r="AK8" i="70"/>
  <c r="Y8" i="70"/>
  <c r="AR11" i="87" s="1"/>
  <c r="AQ5" i="70"/>
  <c r="AE5" i="70"/>
  <c r="AK5" i="70"/>
  <c r="Y5" i="70"/>
  <c r="AR8" i="87" s="1"/>
  <c r="AI52" i="70"/>
  <c r="AC52" i="70"/>
  <c r="AV55" i="87" s="1"/>
  <c r="AU52" i="70"/>
  <c r="AO52" i="70"/>
  <c r="AK100" i="70"/>
  <c r="Y100" i="70"/>
  <c r="AR103" i="87" s="1"/>
  <c r="AQ100" i="70"/>
  <c r="AE100" i="70"/>
  <c r="AE139" i="70"/>
  <c r="Y139" i="70"/>
  <c r="AR142" i="87" s="1"/>
  <c r="AQ139" i="70"/>
  <c r="AL140" i="70"/>
  <c r="Z140" i="70"/>
  <c r="AS143" i="87" s="1"/>
  <c r="AF140" i="70"/>
  <c r="AR140" i="70"/>
  <c r="AL152" i="70"/>
  <c r="Z152" i="70"/>
  <c r="AS155" i="87" s="1"/>
  <c r="AF152" i="70"/>
  <c r="AS153" i="70"/>
  <c r="AM153" i="70"/>
  <c r="AG153" i="70"/>
  <c r="AA153" i="70"/>
  <c r="AT156" i="87" s="1"/>
  <c r="AN154" i="70"/>
  <c r="AH154" i="70"/>
  <c r="AB154" i="70"/>
  <c r="AU157" i="87" s="1"/>
  <c r="AM196" i="70"/>
  <c r="AS196" i="70"/>
  <c r="AG196" i="70"/>
  <c r="AA196" i="70"/>
  <c r="AT199" i="87" s="1"/>
  <c r="AE148" i="84"/>
  <c r="X63" i="50"/>
  <c r="X67" i="50"/>
  <c r="X75" i="50"/>
  <c r="X45" i="50"/>
  <c r="X60" i="50"/>
  <c r="V102" i="88"/>
  <c r="Q101" i="88"/>
  <c r="Q102" i="88" s="1"/>
  <c r="V50" i="72"/>
  <c r="P50" i="72"/>
  <c r="Q53" i="84" s="1"/>
  <c r="AF53" i="84" s="1"/>
  <c r="V186" i="72"/>
  <c r="P186" i="72"/>
  <c r="Q189" i="84" s="1"/>
  <c r="AF189" i="84" s="1"/>
  <c r="V141" i="72"/>
  <c r="P141" i="72"/>
  <c r="Q144" i="84" s="1"/>
  <c r="AF144" i="84" s="1"/>
  <c r="V185" i="72"/>
  <c r="P185" i="72"/>
  <c r="Q188" i="84" s="1"/>
  <c r="AF188" i="84" s="1"/>
  <c r="X187" i="72"/>
  <c r="R187" i="72"/>
  <c r="S190" i="84" s="1"/>
  <c r="V140" i="72"/>
  <c r="P140" i="72"/>
  <c r="Q143" i="84" s="1"/>
  <c r="AF143" i="84" s="1"/>
  <c r="X54" i="72"/>
  <c r="R54" i="72"/>
  <c r="S57" i="84" s="1"/>
  <c r="R99" i="72"/>
  <c r="S102" i="84" s="1"/>
  <c r="X99" i="72"/>
  <c r="R55" i="72"/>
  <c r="S58" i="84" s="1"/>
  <c r="X55" i="72"/>
  <c r="R145" i="72"/>
  <c r="S148" i="84" s="1"/>
  <c r="X145" i="72"/>
  <c r="R189" i="72"/>
  <c r="S192" i="84" s="1"/>
  <c r="X189" i="72"/>
  <c r="R190" i="72"/>
  <c r="S193" i="84" s="1"/>
  <c r="X190" i="72"/>
  <c r="R188" i="72"/>
  <c r="S191" i="84" s="1"/>
  <c r="X188" i="72"/>
  <c r="R100" i="72"/>
  <c r="S103" i="84" s="1"/>
  <c r="X100" i="72"/>
  <c r="X143" i="72"/>
  <c r="R143" i="72"/>
  <c r="S146" i="84" s="1"/>
  <c r="R144" i="72"/>
  <c r="S147" i="84" s="1"/>
  <c r="X144" i="72"/>
  <c r="N87" i="69"/>
  <c r="BJ87" i="69" s="1"/>
  <c r="V153" i="72"/>
  <c r="P153" i="72"/>
  <c r="Q156" i="84" s="1"/>
  <c r="AF156" i="84" s="1"/>
  <c r="J10" i="84"/>
  <c r="B7" i="76"/>
  <c r="AP10" i="87"/>
  <c r="N7" i="72"/>
  <c r="AP7" i="72" s="1"/>
  <c r="M8" i="71"/>
  <c r="BO7" i="71" s="1"/>
  <c r="F14" i="90"/>
  <c r="B7" i="74"/>
  <c r="N7" i="69"/>
  <c r="BJ7" i="69" s="1"/>
  <c r="Q7" i="70"/>
  <c r="N132" i="69"/>
  <c r="R51" i="72"/>
  <c r="S54" i="84" s="1"/>
  <c r="X51" i="72"/>
  <c r="Q107" i="72"/>
  <c r="R110" i="84" s="1"/>
  <c r="W107" i="72"/>
  <c r="AP17" i="87"/>
  <c r="B14" i="74"/>
  <c r="M15" i="71"/>
  <c r="BO14" i="71" s="1"/>
  <c r="J17" i="84"/>
  <c r="B14" i="76"/>
  <c r="Q14" i="70"/>
  <c r="F21" i="90"/>
  <c r="N14" i="72"/>
  <c r="AP14" i="72" s="1"/>
  <c r="N14" i="69"/>
  <c r="BJ14" i="69" s="1"/>
  <c r="P58" i="72"/>
  <c r="Q61" i="84" s="1"/>
  <c r="AF61" i="84" s="1"/>
  <c r="V58" i="72"/>
  <c r="P61" i="72"/>
  <c r="Q64" i="84" s="1"/>
  <c r="AF64" i="84" s="1"/>
  <c r="V61" i="72"/>
  <c r="P102" i="72"/>
  <c r="Q105" i="84" s="1"/>
  <c r="AF105" i="84" s="1"/>
  <c r="V102" i="72"/>
  <c r="B19" i="76"/>
  <c r="F26" i="90"/>
  <c r="B19" i="74"/>
  <c r="J22" i="84"/>
  <c r="N19" i="69"/>
  <c r="BJ19" i="69" s="1"/>
  <c r="N19" i="72"/>
  <c r="AP19" i="72" s="1"/>
  <c r="Q19" i="70"/>
  <c r="M20" i="71"/>
  <c r="BO19" i="71" s="1"/>
  <c r="AP22" i="87"/>
  <c r="X50" i="72"/>
  <c r="R50" i="72"/>
  <c r="S53" i="84" s="1"/>
  <c r="P193" i="72"/>
  <c r="Q196" i="84" s="1"/>
  <c r="AF196" i="84" s="1"/>
  <c r="V193" i="72"/>
  <c r="R142" i="72"/>
  <c r="S145" i="84" s="1"/>
  <c r="X142" i="72"/>
  <c r="R8" i="72"/>
  <c r="S11" i="84" s="1"/>
  <c r="X8" i="72"/>
  <c r="M7" i="71"/>
  <c r="BO6" i="71" s="1"/>
  <c r="AP9" i="87"/>
  <c r="F13" i="90"/>
  <c r="B6" i="76"/>
  <c r="J9" i="84"/>
  <c r="B6" i="74"/>
  <c r="N6" i="72"/>
  <c r="AP6" i="72" s="1"/>
  <c r="Q6" i="70"/>
  <c r="N6" i="69"/>
  <c r="BJ6" i="69" s="1"/>
  <c r="W64" i="72"/>
  <c r="Q64" i="72"/>
  <c r="R67" i="84" s="1"/>
  <c r="V15" i="72"/>
  <c r="P15" i="72"/>
  <c r="Q18" i="84" s="1"/>
  <c r="AF18" i="84" s="1"/>
  <c r="V143" i="72"/>
  <c r="P143" i="72"/>
  <c r="Q146" i="84" s="1"/>
  <c r="AF146" i="84" s="1"/>
  <c r="Q5" i="70"/>
  <c r="AP8" i="87"/>
  <c r="N5" i="69"/>
  <c r="BJ5" i="69" s="1"/>
  <c r="M6" i="71"/>
  <c r="BO5" i="71" s="1"/>
  <c r="N5" i="72"/>
  <c r="AP5" i="72" s="1"/>
  <c r="B5" i="76"/>
  <c r="J8" i="84"/>
  <c r="F12" i="90"/>
  <c r="B5" i="74"/>
  <c r="V98" i="72"/>
  <c r="P98" i="72"/>
  <c r="Q101" i="84" s="1"/>
  <c r="AF101" i="84" s="1"/>
  <c r="V56" i="72"/>
  <c r="P56" i="72"/>
  <c r="Q59" i="84" s="1"/>
  <c r="AF59" i="84" s="1"/>
  <c r="V152" i="72"/>
  <c r="P152" i="72"/>
  <c r="Q155" i="84" s="1"/>
  <c r="AF155" i="84" s="1"/>
  <c r="N18" i="69"/>
  <c r="BJ18" i="69" s="1"/>
  <c r="AP21" i="87"/>
  <c r="B18" i="74"/>
  <c r="J21" i="84"/>
  <c r="F25" i="90"/>
  <c r="M19" i="71"/>
  <c r="BO18" i="71" s="1"/>
  <c r="N18" i="72"/>
  <c r="AP18" i="72" s="1"/>
  <c r="B18" i="76"/>
  <c r="Q18" i="70"/>
  <c r="V59" i="72"/>
  <c r="P59" i="72"/>
  <c r="Q62" i="84" s="1"/>
  <c r="AF62" i="84" s="1"/>
  <c r="W109" i="72"/>
  <c r="Q109" i="72"/>
  <c r="R112" i="84" s="1"/>
  <c r="V150" i="72"/>
  <c r="P150" i="72"/>
  <c r="Q153" i="84" s="1"/>
  <c r="AF153" i="84" s="1"/>
  <c r="B10" i="76"/>
  <c r="N10" i="72"/>
  <c r="AP10" i="72" s="1"/>
  <c r="M11" i="71"/>
  <c r="BO10" i="71" s="1"/>
  <c r="J13" i="84"/>
  <c r="B10" i="74"/>
  <c r="Q10" i="70"/>
  <c r="N10" i="69"/>
  <c r="BJ10" i="69" s="1"/>
  <c r="F17" i="90"/>
  <c r="AP13" i="87"/>
  <c r="P145" i="72"/>
  <c r="Q148" i="84" s="1"/>
  <c r="AF148" i="84" s="1"/>
  <c r="V145" i="72"/>
  <c r="Q63" i="72"/>
  <c r="R66" i="84" s="1"/>
  <c r="W63" i="72"/>
  <c r="Q17" i="72"/>
  <c r="R20" i="84" s="1"/>
  <c r="W17" i="72"/>
  <c r="V194" i="72"/>
  <c r="P194" i="72"/>
  <c r="Q197" i="84" s="1"/>
  <c r="AF197" i="84" s="1"/>
  <c r="Q198" i="72"/>
  <c r="R201" i="84" s="1"/>
  <c r="W198" i="72"/>
  <c r="V103" i="72"/>
  <c r="P103" i="72"/>
  <c r="Q106" i="84" s="1"/>
  <c r="AF106" i="84" s="1"/>
  <c r="P101" i="72"/>
  <c r="Q104" i="84" s="1"/>
  <c r="AF104" i="84" s="1"/>
  <c r="V101" i="72"/>
  <c r="V198" i="72"/>
  <c r="P198" i="72"/>
  <c r="Q201" i="84" s="1"/>
  <c r="AF201" i="84" s="1"/>
  <c r="P192" i="72"/>
  <c r="Q195" i="84" s="1"/>
  <c r="AF195" i="84" s="1"/>
  <c r="V192" i="72"/>
  <c r="P63" i="72"/>
  <c r="Q66" i="84" s="1"/>
  <c r="AF66" i="84" s="1"/>
  <c r="V63" i="72"/>
  <c r="P199" i="72"/>
  <c r="Q202" i="84" s="1"/>
  <c r="AF202" i="84" s="1"/>
  <c r="V199" i="72"/>
  <c r="V195" i="72"/>
  <c r="P195" i="72"/>
  <c r="Q198" i="84" s="1"/>
  <c r="AF198" i="84" s="1"/>
  <c r="X7" i="72"/>
  <c r="R7" i="72"/>
  <c r="S10" i="84" s="1"/>
  <c r="V100" i="72"/>
  <c r="P100" i="72"/>
  <c r="Q103" i="84" s="1"/>
  <c r="AF103" i="84" s="1"/>
  <c r="P11" i="72"/>
  <c r="Q14" i="84" s="1"/>
  <c r="AF14" i="84" s="1"/>
  <c r="V11" i="72"/>
  <c r="X10" i="72"/>
  <c r="R10" i="72"/>
  <c r="S13" i="84" s="1"/>
  <c r="R9" i="72"/>
  <c r="S12" i="84" s="1"/>
  <c r="X9" i="72"/>
  <c r="M17" i="71"/>
  <c r="BO16" i="71" s="1"/>
  <c r="N16" i="69"/>
  <c r="BJ16" i="69" s="1"/>
  <c r="F23" i="90"/>
  <c r="B16" i="74"/>
  <c r="Q16" i="70"/>
  <c r="AP19" i="87"/>
  <c r="J19" i="84"/>
  <c r="N16" i="72"/>
  <c r="AP16" i="72" s="1"/>
  <c r="B16" i="76"/>
  <c r="N17" i="69"/>
  <c r="BJ17" i="69" s="1"/>
  <c r="Q17" i="70"/>
  <c r="B17" i="76"/>
  <c r="M18" i="71"/>
  <c r="BO17" i="71" s="1"/>
  <c r="AP20" i="87"/>
  <c r="J20" i="84"/>
  <c r="F24" i="90"/>
  <c r="B17" i="74"/>
  <c r="N17" i="72"/>
  <c r="AP17" i="72" s="1"/>
  <c r="N13" i="69"/>
  <c r="BJ13" i="69" s="1"/>
  <c r="B13" i="74"/>
  <c r="Q13" i="70"/>
  <c r="F20" i="90"/>
  <c r="N13" i="72"/>
  <c r="AP13" i="72" s="1"/>
  <c r="B13" i="76"/>
  <c r="AP16" i="87"/>
  <c r="M14" i="71"/>
  <c r="BO13" i="71" s="1"/>
  <c r="J16" i="84"/>
  <c r="P51" i="72"/>
  <c r="Q54" i="84" s="1"/>
  <c r="AF54" i="84" s="1"/>
  <c r="V51" i="72"/>
  <c r="P55" i="72"/>
  <c r="Q58" i="84" s="1"/>
  <c r="AF58" i="84" s="1"/>
  <c r="V55" i="72"/>
  <c r="P104" i="72"/>
  <c r="Q107" i="84" s="1"/>
  <c r="AF107" i="84" s="1"/>
  <c r="V104" i="72"/>
  <c r="X96" i="72"/>
  <c r="R96" i="72"/>
  <c r="S99" i="84" s="1"/>
  <c r="P13" i="72"/>
  <c r="Q16" i="84" s="1"/>
  <c r="AF16" i="84" s="1"/>
  <c r="V13" i="72"/>
  <c r="R97" i="72"/>
  <c r="S100" i="84" s="1"/>
  <c r="X97" i="72"/>
  <c r="X141" i="72"/>
  <c r="R141" i="72"/>
  <c r="S144" i="84" s="1"/>
  <c r="V188" i="72"/>
  <c r="P188" i="72"/>
  <c r="Q191" i="84" s="1"/>
  <c r="AF191" i="84" s="1"/>
  <c r="P14" i="72"/>
  <c r="Q17" i="84" s="1"/>
  <c r="AF17" i="84" s="1"/>
  <c r="V14" i="72"/>
  <c r="R98" i="72"/>
  <c r="S101" i="84" s="1"/>
  <c r="X98" i="72"/>
  <c r="V149" i="72"/>
  <c r="P149" i="72"/>
  <c r="Q152" i="84" s="1"/>
  <c r="AF152" i="84" s="1"/>
  <c r="W197" i="72"/>
  <c r="Q197" i="72"/>
  <c r="R200" i="84" s="1"/>
  <c r="V12" i="72"/>
  <c r="P12" i="72"/>
  <c r="Q15" i="84" s="1"/>
  <c r="AF15" i="84" s="1"/>
  <c r="V64" i="72"/>
  <c r="P64" i="72"/>
  <c r="Q67" i="84" s="1"/>
  <c r="AF67" i="84" s="1"/>
  <c r="X5" i="72"/>
  <c r="R5" i="72"/>
  <c r="S8" i="84" s="1"/>
  <c r="V10" i="72"/>
  <c r="P10" i="72"/>
  <c r="Q13" i="84" s="1"/>
  <c r="AF13" i="84" s="1"/>
  <c r="M9" i="71"/>
  <c r="BO8" i="71" s="1"/>
  <c r="N8" i="72"/>
  <c r="AP8" i="72" s="1"/>
  <c r="B8" i="74"/>
  <c r="N8" i="69"/>
  <c r="BJ8" i="69" s="1"/>
  <c r="B8" i="76"/>
  <c r="J11" i="84"/>
  <c r="F15" i="90"/>
  <c r="AP11" i="87"/>
  <c r="Q8" i="70"/>
  <c r="Q11" i="70"/>
  <c r="F18" i="90"/>
  <c r="B11" i="74"/>
  <c r="B11" i="76"/>
  <c r="N11" i="72"/>
  <c r="AP11" i="72" s="1"/>
  <c r="AP14" i="87"/>
  <c r="J14" i="84"/>
  <c r="N11" i="69"/>
  <c r="BJ11" i="69" s="1"/>
  <c r="M12" i="71"/>
  <c r="BO11" i="71" s="1"/>
  <c r="V17" i="72"/>
  <c r="P17" i="72"/>
  <c r="Q20" i="84" s="1"/>
  <c r="AF20" i="84" s="1"/>
  <c r="Q199" i="72"/>
  <c r="R202" i="84" s="1"/>
  <c r="W199" i="72"/>
  <c r="X95" i="72"/>
  <c r="R95" i="72"/>
  <c r="S98" i="84" s="1"/>
  <c r="P146" i="72"/>
  <c r="Q149" i="84" s="1"/>
  <c r="AF149" i="84" s="1"/>
  <c r="V146" i="72"/>
  <c r="V16" i="72"/>
  <c r="P16" i="72"/>
  <c r="Q19" i="84" s="1"/>
  <c r="AF19" i="84" s="1"/>
  <c r="V108" i="72"/>
  <c r="P108" i="72"/>
  <c r="Q111" i="84" s="1"/>
  <c r="AF111" i="84" s="1"/>
  <c r="P190" i="72"/>
  <c r="Q193" i="84" s="1"/>
  <c r="AF193" i="84" s="1"/>
  <c r="V190" i="72"/>
  <c r="V189" i="72"/>
  <c r="P189" i="72"/>
  <c r="Q192" i="84" s="1"/>
  <c r="AF192" i="84" s="1"/>
  <c r="P142" i="72"/>
  <c r="Q145" i="84" s="1"/>
  <c r="AF145" i="84" s="1"/>
  <c r="V142" i="72"/>
  <c r="V148" i="72"/>
  <c r="P148" i="72"/>
  <c r="Q151" i="84" s="1"/>
  <c r="AF151" i="84" s="1"/>
  <c r="P147" i="72"/>
  <c r="Q150" i="84" s="1"/>
  <c r="AF150" i="84" s="1"/>
  <c r="V147" i="72"/>
  <c r="W154" i="72"/>
  <c r="Q154" i="72"/>
  <c r="R157" i="84" s="1"/>
  <c r="W152" i="72"/>
  <c r="Q152" i="72"/>
  <c r="R155" i="84" s="1"/>
  <c r="R52" i="72"/>
  <c r="S55" i="84" s="1"/>
  <c r="X52" i="72"/>
  <c r="P52" i="72"/>
  <c r="Q55" i="84" s="1"/>
  <c r="AF55" i="84" s="1"/>
  <c r="V52" i="72"/>
  <c r="V18" i="72"/>
  <c r="P18" i="72"/>
  <c r="Q21" i="84" s="1"/>
  <c r="AF21" i="84" s="1"/>
  <c r="W18" i="72"/>
  <c r="Q18" i="72"/>
  <c r="R21" i="84" s="1"/>
  <c r="P5" i="72"/>
  <c r="Q8" i="84" s="1"/>
  <c r="AF8" i="84" s="1"/>
  <c r="V5" i="72"/>
  <c r="N15" i="72"/>
  <c r="AP15" i="72" s="1"/>
  <c r="M16" i="71"/>
  <c r="BO15" i="71" s="1"/>
  <c r="N15" i="69"/>
  <c r="BJ15" i="69" s="1"/>
  <c r="J18" i="84"/>
  <c r="Q15" i="70"/>
  <c r="F22" i="90"/>
  <c r="B15" i="76"/>
  <c r="AP18" i="87"/>
  <c r="B15" i="74"/>
  <c r="AP12" i="87"/>
  <c r="N9" i="72"/>
  <c r="AP9" i="72" s="1"/>
  <c r="B9" i="74"/>
  <c r="F16" i="90"/>
  <c r="M10" i="71"/>
  <c r="BO9" i="71" s="1"/>
  <c r="Q9" i="70"/>
  <c r="N9" i="69"/>
  <c r="BJ9" i="69" s="1"/>
  <c r="B9" i="76"/>
  <c r="J12" i="84"/>
  <c r="V151" i="72"/>
  <c r="P151" i="72"/>
  <c r="Q154" i="84" s="1"/>
  <c r="AF154" i="84" s="1"/>
  <c r="V109" i="72"/>
  <c r="P109" i="72"/>
  <c r="Q112" i="84" s="1"/>
  <c r="AF112" i="84" s="1"/>
  <c r="R186" i="72"/>
  <c r="S189" i="84" s="1"/>
  <c r="X186" i="72"/>
  <c r="V105" i="72"/>
  <c r="P105" i="72"/>
  <c r="Q108" i="84" s="1"/>
  <c r="AF108" i="84" s="1"/>
  <c r="Q153" i="72"/>
  <c r="R156" i="84" s="1"/>
  <c r="W153" i="72"/>
  <c r="V191" i="72"/>
  <c r="P191" i="72"/>
  <c r="Q194" i="84" s="1"/>
  <c r="AF194" i="84" s="1"/>
  <c r="Q62" i="72"/>
  <c r="R65" i="84" s="1"/>
  <c r="W62" i="72"/>
  <c r="P196" i="72"/>
  <c r="Q199" i="84" s="1"/>
  <c r="AF199" i="84" s="1"/>
  <c r="V196" i="72"/>
  <c r="V9" i="72"/>
  <c r="P9" i="72"/>
  <c r="Q12" i="84" s="1"/>
  <c r="AF12" i="84" s="1"/>
  <c r="W108" i="72"/>
  <c r="Q108" i="72"/>
  <c r="R111" i="84" s="1"/>
  <c r="V62" i="72"/>
  <c r="P62" i="72"/>
  <c r="Q65" i="84" s="1"/>
  <c r="AF65" i="84" s="1"/>
  <c r="V6" i="72"/>
  <c r="P6" i="72"/>
  <c r="Q9" i="84" s="1"/>
  <c r="AF9" i="84" s="1"/>
  <c r="V107" i="72"/>
  <c r="P107" i="72"/>
  <c r="Q110" i="84" s="1"/>
  <c r="AF110" i="84" s="1"/>
  <c r="V19" i="72"/>
  <c r="P19" i="72"/>
  <c r="Q22" i="84" s="1"/>
  <c r="AF22" i="84" s="1"/>
  <c r="V187" i="72"/>
  <c r="P187" i="72"/>
  <c r="Q190" i="84" s="1"/>
  <c r="AF190" i="84" s="1"/>
  <c r="M13" i="71"/>
  <c r="BO12" i="71" s="1"/>
  <c r="F19" i="90"/>
  <c r="Q12" i="70"/>
  <c r="N12" i="69"/>
  <c r="BJ12" i="69" s="1"/>
  <c r="N12" i="72"/>
  <c r="AP12" i="72" s="1"/>
  <c r="B12" i="74"/>
  <c r="AP15" i="87"/>
  <c r="J15" i="84"/>
  <c r="B12" i="76"/>
  <c r="X17" i="68"/>
  <c r="W17" i="68"/>
  <c r="B4" i="75"/>
  <c r="EC4" i="75" s="1"/>
  <c r="M5" i="71"/>
  <c r="B4" i="74"/>
  <c r="N4" i="72"/>
  <c r="AP4" i="72" s="1"/>
  <c r="F11" i="90"/>
  <c r="N4" i="69"/>
  <c r="BJ4" i="69" s="1"/>
  <c r="AP7" i="87"/>
  <c r="J7" i="84"/>
  <c r="Q4" i="70"/>
  <c r="B4" i="76"/>
  <c r="R140" i="72"/>
  <c r="S143" i="84" s="1"/>
  <c r="X140" i="72"/>
  <c r="P144" i="72"/>
  <c r="Q147" i="84" s="1"/>
  <c r="AF147" i="84" s="1"/>
  <c r="V144" i="72"/>
  <c r="X6" i="72"/>
  <c r="R6" i="72"/>
  <c r="S9" i="84" s="1"/>
  <c r="P57" i="72"/>
  <c r="Q60" i="84" s="1"/>
  <c r="AF60" i="84" s="1"/>
  <c r="V57" i="72"/>
  <c r="V7" i="72"/>
  <c r="P7" i="72"/>
  <c r="Q10" i="84" s="1"/>
  <c r="AF10" i="84" s="1"/>
  <c r="P154" i="72"/>
  <c r="Q157" i="84" s="1"/>
  <c r="AF157" i="84" s="1"/>
  <c r="V154" i="72"/>
  <c r="V53" i="72"/>
  <c r="P53" i="72"/>
  <c r="Q56" i="84" s="1"/>
  <c r="AF56" i="84" s="1"/>
  <c r="R185" i="72"/>
  <c r="S188" i="84" s="1"/>
  <c r="X185" i="72"/>
  <c r="X53" i="72"/>
  <c r="R53" i="72"/>
  <c r="S56" i="84" s="1"/>
  <c r="P99" i="72"/>
  <c r="Q102" i="84" s="1"/>
  <c r="AF102" i="84" s="1"/>
  <c r="V99" i="72"/>
  <c r="V197" i="72"/>
  <c r="P197" i="72"/>
  <c r="Q200" i="84" s="1"/>
  <c r="AF200" i="84" s="1"/>
  <c r="V54" i="72"/>
  <c r="P54" i="72"/>
  <c r="Q57" i="84" s="1"/>
  <c r="AF57" i="84" s="1"/>
  <c r="Q19" i="72"/>
  <c r="R22" i="84" s="1"/>
  <c r="W19" i="72"/>
  <c r="V106" i="72"/>
  <c r="P106" i="72"/>
  <c r="Q109" i="84" s="1"/>
  <c r="AF109" i="84" s="1"/>
  <c r="V8" i="72"/>
  <c r="P8" i="72"/>
  <c r="Q11" i="84" s="1"/>
  <c r="AF11" i="84" s="1"/>
  <c r="V60" i="72"/>
  <c r="P60" i="72"/>
  <c r="Q63" i="84" s="1"/>
  <c r="AF63" i="84" s="1"/>
  <c r="P97" i="72"/>
  <c r="Q100" i="84" s="1"/>
  <c r="AF100" i="84" s="1"/>
  <c r="V97" i="72"/>
  <c r="V95" i="72"/>
  <c r="P95" i="72"/>
  <c r="Q98" i="84" s="1"/>
  <c r="AF98" i="84" s="1"/>
  <c r="P96" i="72"/>
  <c r="Q99" i="84" s="1"/>
  <c r="AF99" i="84" s="1"/>
  <c r="V96" i="72"/>
  <c r="AA184" i="70"/>
  <c r="AG184" i="70"/>
  <c r="X80" i="50"/>
  <c r="X79" i="50"/>
  <c r="X48" i="50"/>
  <c r="X53" i="50"/>
  <c r="X52" i="50"/>
  <c r="X49" i="50"/>
  <c r="X51" i="50"/>
  <c r="X13" i="50"/>
  <c r="X46" i="50"/>
  <c r="AQ50" i="70"/>
  <c r="AK50" i="70"/>
  <c r="AE50" i="70"/>
  <c r="Y50" i="70"/>
  <c r="R101" i="88"/>
  <c r="R102" i="88" s="1"/>
  <c r="W102" i="88"/>
  <c r="AU217" i="95"/>
  <c r="BA38" i="95"/>
  <c r="BA39" i="95" s="1"/>
  <c r="BA40" i="95" s="1"/>
  <c r="L33" i="94" l="1"/>
  <c r="C34" i="84"/>
  <c r="AI188" i="84"/>
  <c r="AI190" i="84"/>
  <c r="AL201" i="84"/>
  <c r="AI191" i="84"/>
  <c r="AL200" i="84"/>
  <c r="AI189" i="84"/>
  <c r="AI193" i="84"/>
  <c r="AI192" i="84"/>
  <c r="AL202" i="84"/>
  <c r="AE53" i="50"/>
  <c r="D50" i="69"/>
  <c r="D51" i="69" s="1"/>
  <c r="D52" i="69" s="1"/>
  <c r="D53" i="69" s="1"/>
  <c r="D54" i="69" s="1"/>
  <c r="G72" i="69"/>
  <c r="J72" i="69" s="1"/>
  <c r="AR31" i="94"/>
  <c r="AR53" i="87"/>
  <c r="AT99" i="94"/>
  <c r="AT187" i="87"/>
  <c r="AS55" i="94"/>
  <c r="AS99" i="87"/>
  <c r="AE54" i="50"/>
  <c r="AE49" i="50"/>
  <c r="S78" i="88"/>
  <c r="S79" i="88" s="1"/>
  <c r="BZ46" i="70"/>
  <c r="BZ45" i="70"/>
  <c r="AX148" i="84"/>
  <c r="AZ148" i="84"/>
  <c r="BO4" i="71"/>
  <c r="AW59" i="84"/>
  <c r="CS41" i="84"/>
  <c r="AZ59" i="84"/>
  <c r="AW112" i="84"/>
  <c r="AY112" i="84"/>
  <c r="CQ41" i="84"/>
  <c r="BH153" i="84"/>
  <c r="BF194" i="84"/>
  <c r="AY99" i="84"/>
  <c r="AX59" i="84"/>
  <c r="AW100" i="84"/>
  <c r="BI153" i="84"/>
  <c r="BF153" i="84"/>
  <c r="CU41" i="84"/>
  <c r="CR41" i="84"/>
  <c r="CQ42" i="84"/>
  <c r="BG188" i="84"/>
  <c r="BI188" i="84"/>
  <c r="AW99" i="84"/>
  <c r="AX112" i="84"/>
  <c r="AY100" i="84"/>
  <c r="J27" i="87"/>
  <c r="J27" i="94"/>
  <c r="J24" i="87"/>
  <c r="J24" i="94"/>
  <c r="J26" i="87"/>
  <c r="J26" i="94"/>
  <c r="J28" i="87"/>
  <c r="J28" i="94"/>
  <c r="J30" i="87"/>
  <c r="J30" i="94"/>
  <c r="J1" i="87"/>
  <c r="J1" i="94"/>
  <c r="J25" i="87"/>
  <c r="J25" i="94"/>
  <c r="J2" i="87"/>
  <c r="J2" i="94"/>
  <c r="H44" i="72"/>
  <c r="BJ132" i="69"/>
  <c r="AU46" i="94"/>
  <c r="BI142" i="84"/>
  <c r="BH148" i="84"/>
  <c r="BF148" i="84"/>
  <c r="BF188" i="84"/>
  <c r="BH142" i="84"/>
  <c r="BF142" i="84"/>
  <c r="BI148" i="84"/>
  <c r="AS17" i="94"/>
  <c r="BF112" i="84"/>
  <c r="BH112" i="84"/>
  <c r="BG112" i="84"/>
  <c r="BI143" i="84"/>
  <c r="AT197" i="68"/>
  <c r="AR12" i="94"/>
  <c r="AR40" i="94"/>
  <c r="AT42" i="94"/>
  <c r="BI52" i="84"/>
  <c r="BF52" i="84"/>
  <c r="BG52" i="84"/>
  <c r="BF143" i="84"/>
  <c r="BH199" i="84"/>
  <c r="AT84" i="94"/>
  <c r="BG194" i="84"/>
  <c r="BH143" i="84"/>
  <c r="BI199" i="84"/>
  <c r="BH102" i="84"/>
  <c r="BG102" i="84"/>
  <c r="BF102" i="84"/>
  <c r="BI102" i="84"/>
  <c r="BG199" i="84"/>
  <c r="AU218" i="95"/>
  <c r="AW175" i="95"/>
  <c r="AD63" i="51"/>
  <c r="AI37" i="50"/>
  <c r="AI85" i="50"/>
  <c r="BA178" i="95"/>
  <c r="AH38" i="50"/>
  <c r="AI12" i="50"/>
  <c r="AJ95" i="50"/>
  <c r="AI27" i="50"/>
  <c r="AF15" i="51"/>
  <c r="AB15" i="51"/>
  <c r="AE39" i="51"/>
  <c r="AL4" i="47"/>
  <c r="AC83" i="51"/>
  <c r="AL29" i="50"/>
  <c r="AF101" i="51"/>
  <c r="AD43" i="51"/>
  <c r="AL49" i="50"/>
  <c r="AK40" i="47"/>
  <c r="AL106" i="50"/>
  <c r="AK71" i="47"/>
  <c r="AH42" i="50"/>
  <c r="T142" i="89"/>
  <c r="AH71" i="50"/>
  <c r="AC61" i="51"/>
  <c r="AJ104" i="50"/>
  <c r="AD84" i="51"/>
  <c r="AI43" i="50"/>
  <c r="AH33" i="50"/>
  <c r="AJ28" i="50"/>
  <c r="AF13" i="51"/>
  <c r="AK56" i="47"/>
  <c r="AC78" i="51"/>
  <c r="AE33" i="51"/>
  <c r="AI100" i="50"/>
  <c r="AH88" i="50"/>
  <c r="AK56" i="50"/>
  <c r="AL60" i="50"/>
  <c r="AC23" i="51"/>
  <c r="AK73" i="50"/>
  <c r="AK26" i="47"/>
  <c r="AB6" i="51"/>
  <c r="AK46" i="50"/>
  <c r="AK79" i="47"/>
  <c r="AH47" i="50"/>
  <c r="AF32" i="51"/>
  <c r="AC45" i="51"/>
  <c r="T97" i="89"/>
  <c r="AJ59" i="50"/>
  <c r="AL41" i="47"/>
  <c r="AF66" i="51"/>
  <c r="AE83" i="51"/>
  <c r="AD17" i="51"/>
  <c r="AD10" i="51"/>
  <c r="AL48" i="47"/>
  <c r="AF62" i="51"/>
  <c r="AK22" i="47"/>
  <c r="AJ39" i="50"/>
  <c r="AL15" i="50"/>
  <c r="AK82" i="47"/>
  <c r="AF82" i="51"/>
  <c r="AH22" i="50"/>
  <c r="AF92" i="51"/>
  <c r="AC34" i="51"/>
  <c r="T9" i="89"/>
  <c r="AZ87" i="95"/>
  <c r="AJ19" i="50"/>
  <c r="AL30" i="50"/>
  <c r="AD92" i="51"/>
  <c r="AB51" i="51"/>
  <c r="AF64" i="51"/>
  <c r="AL67" i="47"/>
  <c r="AJ34" i="50"/>
  <c r="AH76" i="50"/>
  <c r="AD79" i="51"/>
  <c r="AK39" i="50"/>
  <c r="AL72" i="50"/>
  <c r="AD11" i="51"/>
  <c r="AL28" i="50"/>
  <c r="AK85" i="50"/>
  <c r="AC73" i="51"/>
  <c r="AK97" i="50"/>
  <c r="AI46" i="50"/>
  <c r="AE53" i="51"/>
  <c r="AE55" i="51"/>
  <c r="AK98" i="50"/>
  <c r="AC96" i="51"/>
  <c r="AB40" i="51"/>
  <c r="AE79" i="51"/>
  <c r="AV83" i="95"/>
  <c r="AE91" i="51"/>
  <c r="AD83" i="51"/>
  <c r="AJ67" i="50"/>
  <c r="AP175" i="95"/>
  <c r="AE70" i="51"/>
  <c r="AF41" i="51"/>
  <c r="AF46" i="51"/>
  <c r="AK57" i="50"/>
  <c r="AK19" i="50"/>
  <c r="AK81" i="47"/>
  <c r="AF22" i="51"/>
  <c r="AH55" i="50"/>
  <c r="AB73" i="51"/>
  <c r="AL16" i="47"/>
  <c r="AI45" i="50"/>
  <c r="AK58" i="47"/>
  <c r="AK40" i="50"/>
  <c r="AK26" i="50"/>
  <c r="AI32" i="50"/>
  <c r="AK49" i="47"/>
  <c r="AL11" i="47"/>
  <c r="CD5" i="70"/>
  <c r="AK31" i="50"/>
  <c r="AL78" i="50"/>
  <c r="AB90" i="51"/>
  <c r="AF24" i="51"/>
  <c r="AJ53" i="50"/>
  <c r="AE76" i="51"/>
  <c r="AI72" i="50"/>
  <c r="AL58" i="50"/>
  <c r="T10" i="89"/>
  <c r="AB92" i="51"/>
  <c r="AD78" i="51"/>
  <c r="AC70" i="51"/>
  <c r="AD8" i="51"/>
  <c r="AK91" i="47"/>
  <c r="AL39" i="47"/>
  <c r="AD37" i="51"/>
  <c r="AL53" i="47"/>
  <c r="AI26" i="50"/>
  <c r="AL47" i="50"/>
  <c r="AD32" i="51"/>
  <c r="AK102" i="47"/>
  <c r="AL101" i="50"/>
  <c r="AI59" i="50"/>
  <c r="AI15" i="50"/>
  <c r="AK74" i="47"/>
  <c r="AH53" i="50"/>
  <c r="AH25" i="50"/>
  <c r="AL63" i="47"/>
  <c r="AF5" i="51"/>
  <c r="AK30" i="47"/>
  <c r="AB18" i="51"/>
  <c r="AL68" i="47"/>
  <c r="AF7" i="51"/>
  <c r="AI20" i="50"/>
  <c r="AV131" i="95"/>
  <c r="AI56" i="50"/>
  <c r="AK37" i="50"/>
  <c r="AC94" i="51"/>
  <c r="AJ83" i="50"/>
  <c r="AH34" i="50"/>
  <c r="AL20" i="47"/>
  <c r="AH11" i="50"/>
  <c r="AF8" i="51"/>
  <c r="T12" i="89"/>
  <c r="AJ33" i="50"/>
  <c r="AH58" i="50"/>
  <c r="AE61" i="51"/>
  <c r="AC5" i="51"/>
  <c r="AB88" i="51"/>
  <c r="AE63" i="51"/>
  <c r="AL74" i="50"/>
  <c r="AL25" i="50"/>
  <c r="AC29" i="51"/>
  <c r="AK101" i="50"/>
  <c r="AJ35" i="50"/>
  <c r="AK55" i="50"/>
  <c r="AF65" i="51"/>
  <c r="AL103" i="50"/>
  <c r="AC86" i="51"/>
  <c r="AL79" i="50"/>
  <c r="AL7" i="50"/>
  <c r="AK14" i="50"/>
  <c r="AJ36" i="50"/>
  <c r="AJ87" i="50"/>
  <c r="AK69" i="50"/>
  <c r="AK74" i="50"/>
  <c r="AI77" i="50"/>
  <c r="AJ75" i="50"/>
  <c r="AZ177" i="95"/>
  <c r="AD91" i="51"/>
  <c r="AB31" i="51"/>
  <c r="AI49" i="50"/>
  <c r="AH61" i="50"/>
  <c r="AF59" i="51"/>
  <c r="AK77" i="47"/>
  <c r="AC90" i="51"/>
  <c r="AB50" i="51"/>
  <c r="AK12" i="47"/>
  <c r="AK103" i="50"/>
  <c r="AI55" i="50"/>
  <c r="AD81" i="51"/>
  <c r="AK54" i="47"/>
  <c r="AK13" i="47"/>
  <c r="AL63" i="50"/>
  <c r="AD23" i="51"/>
  <c r="AK48" i="50"/>
  <c r="AL10" i="50"/>
  <c r="AE80" i="51"/>
  <c r="AE9" i="51"/>
  <c r="AD42" i="51"/>
  <c r="AJ64" i="50"/>
  <c r="AB14" i="51"/>
  <c r="AH78" i="50"/>
  <c r="AE64" i="51"/>
  <c r="AD101" i="51"/>
  <c r="AL37" i="47"/>
  <c r="AK50" i="47"/>
  <c r="AJ42" i="50"/>
  <c r="AC87" i="51"/>
  <c r="AL19" i="47"/>
  <c r="AL40" i="50"/>
  <c r="AB10" i="51"/>
  <c r="AD16" i="51"/>
  <c r="AC80" i="51"/>
  <c r="AH96" i="50"/>
  <c r="AJ103" i="50"/>
  <c r="AI38" i="50"/>
  <c r="AK7" i="47"/>
  <c r="AD82" i="51"/>
  <c r="AJ47" i="50"/>
  <c r="AC89" i="51"/>
  <c r="AZ220" i="95"/>
  <c r="AH48" i="50"/>
  <c r="AJ44" i="50"/>
  <c r="AE69" i="51"/>
  <c r="AK76" i="47"/>
  <c r="AI11" i="50"/>
  <c r="AF17" i="51"/>
  <c r="AL14" i="47"/>
  <c r="AH63" i="50"/>
  <c r="AB34" i="51"/>
  <c r="AL59" i="50"/>
  <c r="AI106" i="50"/>
  <c r="AC74" i="51"/>
  <c r="AL54" i="50"/>
  <c r="AB75" i="51"/>
  <c r="AC102" i="51"/>
  <c r="AL65" i="50"/>
  <c r="AK87" i="50"/>
  <c r="AE54" i="51"/>
  <c r="AL22" i="50"/>
  <c r="AK38" i="50"/>
  <c r="AB85" i="51"/>
  <c r="AH97" i="50"/>
  <c r="AC26" i="51"/>
  <c r="AL29" i="47"/>
  <c r="AL95" i="50"/>
  <c r="AE66" i="51"/>
  <c r="AE75" i="51"/>
  <c r="AI80" i="50"/>
  <c r="AL27" i="50"/>
  <c r="AF57" i="51"/>
  <c r="AH15" i="50"/>
  <c r="AJ52" i="50"/>
  <c r="AL69" i="47"/>
  <c r="AL55" i="47"/>
  <c r="AL100" i="50"/>
  <c r="AI73" i="50"/>
  <c r="AC93" i="51"/>
  <c r="AJ97" i="50"/>
  <c r="AB94" i="51"/>
  <c r="AJ101" i="50"/>
  <c r="AK52" i="50"/>
  <c r="AD19" i="51"/>
  <c r="AB49" i="51"/>
  <c r="AK43" i="50"/>
  <c r="AI40" i="50"/>
  <c r="AD25" i="51"/>
  <c r="AI60" i="50"/>
  <c r="AC51" i="51"/>
  <c r="AC31" i="51"/>
  <c r="AE58" i="51"/>
  <c r="AH8" i="50"/>
  <c r="AK66" i="50"/>
  <c r="AE96" i="51"/>
  <c r="AH65" i="50"/>
  <c r="AC55" i="51"/>
  <c r="AC95" i="51"/>
  <c r="AH32" i="50"/>
  <c r="AI87" i="50"/>
  <c r="AF23" i="51"/>
  <c r="AI86" i="50"/>
  <c r="AE72" i="51"/>
  <c r="AK14" i="47"/>
  <c r="AC65" i="51"/>
  <c r="AC99" i="51"/>
  <c r="AC12" i="51"/>
  <c r="AE86" i="51"/>
  <c r="AL8" i="50"/>
  <c r="AL73" i="50"/>
  <c r="AH35" i="50"/>
  <c r="AK34" i="50"/>
  <c r="AI89" i="50"/>
  <c r="AF10" i="51"/>
  <c r="AK8" i="50"/>
  <c r="AK72" i="47"/>
  <c r="AB98" i="51"/>
  <c r="AL67" i="50"/>
  <c r="AF102" i="51"/>
  <c r="AJ105" i="50"/>
  <c r="AE40" i="51"/>
  <c r="AE94" i="51"/>
  <c r="AB17" i="51"/>
  <c r="AI14" i="50"/>
  <c r="AL96" i="50"/>
  <c r="AF30" i="51"/>
  <c r="AQ129" i="95"/>
  <c r="AK35" i="50"/>
  <c r="AC43" i="51"/>
  <c r="AL80" i="50"/>
  <c r="AJ55" i="50"/>
  <c r="AJ85" i="50"/>
  <c r="AD30" i="51"/>
  <c r="AD95" i="51"/>
  <c r="AB25" i="51"/>
  <c r="AH69" i="50"/>
  <c r="AD31" i="51"/>
  <c r="AF49" i="51"/>
  <c r="AE71" i="51"/>
  <c r="AL64" i="50"/>
  <c r="AE29" i="51"/>
  <c r="AU177" i="95"/>
  <c r="AE45" i="51"/>
  <c r="AI90" i="50"/>
  <c r="AE59" i="51"/>
  <c r="AJ66" i="50"/>
  <c r="AH105" i="50"/>
  <c r="AF94" i="51"/>
  <c r="AE18" i="51"/>
  <c r="AI103" i="50"/>
  <c r="AK29" i="47"/>
  <c r="AC15" i="51"/>
  <c r="AC60" i="51"/>
  <c r="AB81" i="51"/>
  <c r="AC52" i="51"/>
  <c r="AK68" i="50"/>
  <c r="AL70" i="50"/>
  <c r="AD48" i="51"/>
  <c r="T146" i="89"/>
  <c r="AK78" i="47"/>
  <c r="AL34" i="47"/>
  <c r="AI34" i="50"/>
  <c r="AK67" i="50"/>
  <c r="AL41" i="50"/>
  <c r="AB87" i="51"/>
  <c r="AF96" i="51"/>
  <c r="AL44" i="50"/>
  <c r="AH40" i="50"/>
  <c r="AE62" i="51"/>
  <c r="T58" i="89"/>
  <c r="AE85" i="51"/>
  <c r="AF56" i="51"/>
  <c r="AF90" i="51"/>
  <c r="AK83" i="47"/>
  <c r="AK24" i="50"/>
  <c r="AK12" i="50"/>
  <c r="AE10" i="51"/>
  <c r="AK20" i="50"/>
  <c r="AB93" i="51"/>
  <c r="AL45" i="47"/>
  <c r="AJ57" i="50"/>
  <c r="AI50" i="50"/>
  <c r="AI36" i="50"/>
  <c r="AK9" i="50"/>
  <c r="AF11" i="51"/>
  <c r="AB28" i="51"/>
  <c r="AB44" i="51"/>
  <c r="AL55" i="50"/>
  <c r="AE57" i="51"/>
  <c r="AJ7" i="50"/>
  <c r="AD34" i="51"/>
  <c r="AK41" i="47"/>
  <c r="AB45" i="51"/>
  <c r="AB46" i="51"/>
  <c r="AE49" i="51"/>
  <c r="AK10" i="47"/>
  <c r="AB70" i="51"/>
  <c r="AB71" i="51"/>
  <c r="AK17" i="50"/>
  <c r="AL35" i="50"/>
  <c r="AF76" i="51"/>
  <c r="AF75" i="51"/>
  <c r="AH81" i="50"/>
  <c r="AF26" i="51"/>
  <c r="AI16" i="50"/>
  <c r="AE46" i="51"/>
  <c r="AH56" i="50"/>
  <c r="AD77" i="51"/>
  <c r="AL38" i="47"/>
  <c r="AK72" i="50"/>
  <c r="AV39" i="95"/>
  <c r="AK96" i="47"/>
  <c r="AL15" i="47"/>
  <c r="AC59" i="51"/>
  <c r="AJ46" i="50"/>
  <c r="AD27" i="51"/>
  <c r="AJ13" i="50"/>
  <c r="AK33" i="47"/>
  <c r="AC75" i="51"/>
  <c r="AB83" i="51"/>
  <c r="AB84" i="51"/>
  <c r="AC22" i="51"/>
  <c r="AB59" i="51"/>
  <c r="AK62" i="47"/>
  <c r="AK25" i="50"/>
  <c r="AH89" i="50"/>
  <c r="AE67" i="51"/>
  <c r="AL40" i="47"/>
  <c r="AF34" i="51"/>
  <c r="AE48" i="51"/>
  <c r="AI68" i="50"/>
  <c r="AC9" i="51"/>
  <c r="AE65" i="51"/>
  <c r="AC62" i="51"/>
  <c r="AI91" i="50"/>
  <c r="AD87" i="51"/>
  <c r="AD5" i="51"/>
  <c r="AC84" i="51"/>
  <c r="AK99" i="50"/>
  <c r="T99" i="89"/>
  <c r="AL90" i="50"/>
  <c r="AD53" i="51"/>
  <c r="AL43" i="47"/>
  <c r="AK58" i="50"/>
  <c r="AB68" i="51"/>
  <c r="AB86" i="51"/>
  <c r="AB33" i="51"/>
  <c r="AK77" i="50"/>
  <c r="AV40" i="95"/>
  <c r="AH91" i="50"/>
  <c r="AK88" i="47"/>
  <c r="AL45" i="50"/>
  <c r="AD89" i="51"/>
  <c r="AD88" i="51"/>
  <c r="AP37" i="95"/>
  <c r="AF44" i="51"/>
  <c r="AL17" i="47"/>
  <c r="T7" i="89"/>
  <c r="AJ29" i="50"/>
  <c r="AL42" i="50"/>
  <c r="AL98" i="50"/>
  <c r="AE88" i="51"/>
  <c r="AE101" i="51"/>
  <c r="AK64" i="47"/>
  <c r="AC28" i="51"/>
  <c r="AL5" i="47"/>
  <c r="AD44" i="51"/>
  <c r="T192" i="89"/>
  <c r="AJ72" i="50"/>
  <c r="AE60" i="51"/>
  <c r="AC44" i="51"/>
  <c r="AD36" i="51"/>
  <c r="AJ68" i="50"/>
  <c r="AH44" i="50"/>
  <c r="AK65" i="50"/>
  <c r="AB8" i="51"/>
  <c r="AH92" i="50"/>
  <c r="AB56" i="51"/>
  <c r="AL9" i="50"/>
  <c r="AI64" i="50"/>
  <c r="AH30" i="50"/>
  <c r="AJ78" i="50"/>
  <c r="AH14" i="50"/>
  <c r="AQ173" i="95"/>
  <c r="AB7" i="51"/>
  <c r="AC53" i="51"/>
  <c r="AH72" i="50"/>
  <c r="AI99" i="50"/>
  <c r="AL87" i="50"/>
  <c r="AE82" i="51"/>
  <c r="AK65" i="47"/>
  <c r="AH98" i="50"/>
  <c r="AD54" i="51"/>
  <c r="AH93" i="50"/>
  <c r="AE97" i="51"/>
  <c r="AK94" i="50"/>
  <c r="T11" i="89"/>
  <c r="AD21" i="51"/>
  <c r="AB91" i="51"/>
  <c r="AK101" i="47"/>
  <c r="AV218" i="95"/>
  <c r="AB36" i="51"/>
  <c r="T8" i="89"/>
  <c r="AI39" i="50"/>
  <c r="AL66" i="50"/>
  <c r="AC81" i="51"/>
  <c r="AK25" i="47"/>
  <c r="AK90" i="47"/>
  <c r="AK17" i="47"/>
  <c r="AL26" i="50"/>
  <c r="AK78" i="50"/>
  <c r="AD103" i="51"/>
  <c r="AL38" i="50"/>
  <c r="AE74" i="51"/>
  <c r="AK18" i="47"/>
  <c r="AE98" i="51"/>
  <c r="T101" i="89"/>
  <c r="AB21" i="51"/>
  <c r="AK28" i="50"/>
  <c r="AK64" i="50"/>
  <c r="AF91" i="51"/>
  <c r="AF80" i="51"/>
  <c r="AB65" i="51"/>
  <c r="AH68" i="50"/>
  <c r="AK36" i="47"/>
  <c r="AH20" i="50"/>
  <c r="AE22" i="51"/>
  <c r="AK89" i="50"/>
  <c r="AE11" i="51"/>
  <c r="AE95" i="51"/>
  <c r="AC6" i="51"/>
  <c r="AK86" i="47"/>
  <c r="AL54" i="47"/>
  <c r="AL102" i="50"/>
  <c r="AI57" i="50"/>
  <c r="AD90" i="51"/>
  <c r="AE102" i="51"/>
  <c r="AE73" i="51"/>
  <c r="AL94" i="50"/>
  <c r="AD70" i="51"/>
  <c r="AH83" i="50"/>
  <c r="T144" i="89"/>
  <c r="AC35" i="51"/>
  <c r="AK98" i="47"/>
  <c r="AL17" i="50"/>
  <c r="AE34" i="51"/>
  <c r="AL10" i="47"/>
  <c r="AF95" i="51"/>
  <c r="AK63" i="47"/>
  <c r="AF85" i="51"/>
  <c r="AB62" i="51"/>
  <c r="AK54" i="50"/>
  <c r="AD69" i="51"/>
  <c r="AF48" i="51"/>
  <c r="AJ76" i="50"/>
  <c r="AF79" i="51"/>
  <c r="AK21" i="50"/>
  <c r="AB74" i="51"/>
  <c r="AL83" i="50"/>
  <c r="AK44" i="47"/>
  <c r="AE6" i="51"/>
  <c r="AH49" i="50"/>
  <c r="AK76" i="50"/>
  <c r="AL62" i="47"/>
  <c r="AK80" i="47"/>
  <c r="AF98" i="51"/>
  <c r="AC42" i="51"/>
  <c r="AK59" i="50"/>
  <c r="AK70" i="50"/>
  <c r="AL86" i="50"/>
  <c r="AK8" i="47"/>
  <c r="BB220" i="95"/>
  <c r="AE24" i="51"/>
  <c r="AE43" i="51"/>
  <c r="AE28" i="51"/>
  <c r="AK15" i="47"/>
  <c r="AF12" i="51"/>
  <c r="AL46" i="47"/>
  <c r="AH27" i="50"/>
  <c r="AE8" i="51"/>
  <c r="AD104" i="51"/>
  <c r="AF40" i="51"/>
  <c r="AH70" i="50"/>
  <c r="AE38" i="51"/>
  <c r="AF53" i="51"/>
  <c r="AL66" i="47"/>
  <c r="AF6" i="51"/>
  <c r="AC16" i="51"/>
  <c r="AK66" i="47"/>
  <c r="AI83" i="50"/>
  <c r="AK95" i="50"/>
  <c r="AL32" i="50"/>
  <c r="AL28" i="47"/>
  <c r="AB54" i="51"/>
  <c r="AD33" i="51"/>
  <c r="AB77" i="51"/>
  <c r="AB48" i="51"/>
  <c r="AF20" i="51"/>
  <c r="AE100" i="51"/>
  <c r="AJ10" i="50"/>
  <c r="AD35" i="51"/>
  <c r="AF84" i="51"/>
  <c r="T98" i="89"/>
  <c r="AB72" i="51"/>
  <c r="AH43" i="50"/>
  <c r="AC38" i="51"/>
  <c r="AH26" i="50"/>
  <c r="AC92" i="51"/>
  <c r="AE104" i="51"/>
  <c r="AH86" i="50"/>
  <c r="AB43" i="51"/>
  <c r="AB79" i="51"/>
  <c r="AI66" i="50"/>
  <c r="T52" i="89"/>
  <c r="AD15" i="51"/>
  <c r="AD6" i="51"/>
  <c r="AD9" i="51"/>
  <c r="AC63" i="51"/>
  <c r="AJ54" i="50"/>
  <c r="AH28" i="50"/>
  <c r="AI78" i="50"/>
  <c r="AF18" i="51"/>
  <c r="AC72" i="51"/>
  <c r="AJ12" i="50"/>
  <c r="AH12" i="50"/>
  <c r="AF43" i="51"/>
  <c r="AF86" i="51"/>
  <c r="AK16" i="50"/>
  <c r="AJ8" i="50"/>
  <c r="AI71" i="50"/>
  <c r="AD65" i="51"/>
  <c r="AJ80" i="50"/>
  <c r="AB23" i="51"/>
  <c r="AK32" i="47"/>
  <c r="T54" i="89"/>
  <c r="AF45" i="51"/>
  <c r="AH73" i="50"/>
  <c r="AC21" i="51"/>
  <c r="AC40" i="51"/>
  <c r="AC69" i="51"/>
  <c r="AJ102" i="50"/>
  <c r="AD98" i="51"/>
  <c r="AI81" i="50"/>
  <c r="AV174" i="95"/>
  <c r="AV175" i="95" s="1"/>
  <c r="AE17" i="51"/>
  <c r="AC49" i="51"/>
  <c r="AJ23" i="50"/>
  <c r="AI104" i="50"/>
  <c r="AF103" i="51"/>
  <c r="AK9" i="47"/>
  <c r="AJ24" i="50"/>
  <c r="AJ43" i="50"/>
  <c r="AD97" i="51"/>
  <c r="AH99" i="50"/>
  <c r="AK60" i="50"/>
  <c r="AE12" i="51"/>
  <c r="AB99" i="51"/>
  <c r="AK34" i="47"/>
  <c r="AW221" i="95"/>
  <c r="AB80" i="51"/>
  <c r="AE93" i="51"/>
  <c r="AJ106" i="50"/>
  <c r="AI61" i="50"/>
  <c r="AE31" i="51"/>
  <c r="AD96" i="51"/>
  <c r="AJ70" i="50"/>
  <c r="AH41" i="50"/>
  <c r="AL89" i="50"/>
  <c r="AK31" i="47"/>
  <c r="AL36" i="50"/>
  <c r="AC104" i="51"/>
  <c r="AK42" i="47"/>
  <c r="AC97" i="51"/>
  <c r="AK52" i="47"/>
  <c r="AK90" i="50"/>
  <c r="AI96" i="50"/>
  <c r="AL7" i="47"/>
  <c r="CD4" i="70"/>
  <c r="AH60" i="50"/>
  <c r="AI70" i="50"/>
  <c r="AK106" i="50"/>
  <c r="AI24" i="50"/>
  <c r="AK91" i="50"/>
  <c r="AH36" i="50"/>
  <c r="AD64" i="51"/>
  <c r="AK62" i="50"/>
  <c r="AK48" i="47"/>
  <c r="AL81" i="50"/>
  <c r="T190" i="89"/>
  <c r="AZ126" i="95"/>
  <c r="AK100" i="50"/>
  <c r="AF99" i="51"/>
  <c r="AE52" i="51"/>
  <c r="AI41" i="50"/>
  <c r="AF25" i="51"/>
  <c r="AB12" i="51"/>
  <c r="AH85" i="50"/>
  <c r="AK21" i="47"/>
  <c r="AL52" i="47"/>
  <c r="AB35" i="51"/>
  <c r="T193" i="89"/>
  <c r="AC14" i="51"/>
  <c r="AD49" i="51"/>
  <c r="AD55" i="51"/>
  <c r="AD85" i="51"/>
  <c r="AC24" i="51"/>
  <c r="AE35" i="51"/>
  <c r="AJ18" i="50"/>
  <c r="AI79" i="50"/>
  <c r="AF63" i="51"/>
  <c r="AL12" i="50"/>
  <c r="AK79" i="50"/>
  <c r="AK29" i="50"/>
  <c r="AI88" i="50"/>
  <c r="AJ51" i="50"/>
  <c r="AI98" i="50"/>
  <c r="AH17" i="50"/>
  <c r="AE50" i="51"/>
  <c r="AF97" i="51"/>
  <c r="AK20" i="47"/>
  <c r="AF47" i="51"/>
  <c r="T100" i="89"/>
  <c r="T188" i="89"/>
  <c r="AL25" i="47"/>
  <c r="AL11" i="50"/>
  <c r="AJ98" i="50"/>
  <c r="AE32" i="51"/>
  <c r="AK67" i="47"/>
  <c r="AK61" i="50"/>
  <c r="AF16" i="51"/>
  <c r="AJ9" i="50"/>
  <c r="AD74" i="51"/>
  <c r="AI52" i="50"/>
  <c r="AD99" i="51"/>
  <c r="AK59" i="47"/>
  <c r="AK27" i="47"/>
  <c r="AF35" i="51"/>
  <c r="AK96" i="50"/>
  <c r="AL58" i="47"/>
  <c r="AC71" i="51"/>
  <c r="AD57" i="51"/>
  <c r="AC58" i="51"/>
  <c r="AC67" i="51"/>
  <c r="AJ16" i="50"/>
  <c r="AB64" i="51"/>
  <c r="AE78" i="51"/>
  <c r="AI17" i="50"/>
  <c r="AC88" i="51"/>
  <c r="AB97" i="51"/>
  <c r="AD102" i="51"/>
  <c r="AD62" i="51"/>
  <c r="AB66" i="51"/>
  <c r="AH51" i="50"/>
  <c r="AJ30" i="50"/>
  <c r="AI102" i="50"/>
  <c r="T191" i="89"/>
  <c r="AH31" i="50"/>
  <c r="AK104" i="50"/>
  <c r="AL22" i="47"/>
  <c r="AL51" i="47"/>
  <c r="AL61" i="50"/>
  <c r="AB32" i="51"/>
  <c r="AL57" i="50"/>
  <c r="AE51" i="51"/>
  <c r="AI47" i="50"/>
  <c r="AF28" i="51"/>
  <c r="AB55" i="51"/>
  <c r="AL91" i="50"/>
  <c r="AJ22" i="50"/>
  <c r="AD58" i="51"/>
  <c r="AB52" i="51"/>
  <c r="AK24" i="47"/>
  <c r="AP129" i="95"/>
  <c r="AF39" i="51"/>
  <c r="AH13" i="50"/>
  <c r="AL88" i="50"/>
  <c r="AD12" i="51"/>
  <c r="AJ84" i="50"/>
  <c r="AL82" i="50"/>
  <c r="AK93" i="50"/>
  <c r="AC91" i="51"/>
  <c r="AE14" i="51"/>
  <c r="AL21" i="47"/>
  <c r="AD75" i="51"/>
  <c r="AK60" i="47"/>
  <c r="AZ178" i="95"/>
  <c r="AC100" i="51"/>
  <c r="BA85" i="95"/>
  <c r="AJ38" i="50"/>
  <c r="AH18" i="50"/>
  <c r="AL33" i="50"/>
  <c r="AB13" i="51"/>
  <c r="AB24" i="51"/>
  <c r="AK18" i="50"/>
  <c r="AD38" i="51"/>
  <c r="AB39" i="51"/>
  <c r="AL6" i="47"/>
  <c r="AC68" i="51"/>
  <c r="AF58" i="51"/>
  <c r="T13" i="89"/>
  <c r="AK73" i="47"/>
  <c r="AC13" i="51"/>
  <c r="AJ15" i="50"/>
  <c r="T55" i="89"/>
  <c r="AJ48" i="50"/>
  <c r="AK51" i="50"/>
  <c r="AD66" i="51"/>
  <c r="AV84" i="95"/>
  <c r="AJ20" i="50"/>
  <c r="T53" i="89"/>
  <c r="AK97" i="47"/>
  <c r="AL27" i="47"/>
  <c r="AK82" i="50"/>
  <c r="AC57" i="51"/>
  <c r="AJ100" i="50"/>
  <c r="AF38" i="51"/>
  <c r="AJ62" i="50"/>
  <c r="AI19" i="50"/>
  <c r="AE47" i="51"/>
  <c r="AP176" i="95"/>
  <c r="AL23" i="50"/>
  <c r="AH100" i="50"/>
  <c r="AF51" i="51"/>
  <c r="AK55" i="47"/>
  <c r="AL18" i="50"/>
  <c r="AC85" i="51"/>
  <c r="AF74" i="51"/>
  <c r="AF42" i="51"/>
  <c r="AK53" i="47"/>
  <c r="AK47" i="47"/>
  <c r="AK4" i="47"/>
  <c r="AJ60" i="50"/>
  <c r="AP38" i="95"/>
  <c r="AL75" i="50"/>
  <c r="AB96" i="51"/>
  <c r="AE41" i="51"/>
  <c r="AV41" i="95"/>
  <c r="AD39" i="51"/>
  <c r="AU127" i="95"/>
  <c r="AL18" i="47"/>
  <c r="AD40" i="51"/>
  <c r="AL104" i="50"/>
  <c r="AI18" i="50"/>
  <c r="AK37" i="47"/>
  <c r="AD47" i="51"/>
  <c r="AF55" i="51"/>
  <c r="AJ96" i="50"/>
  <c r="AJ81" i="50"/>
  <c r="AI31" i="50"/>
  <c r="AF31" i="51"/>
  <c r="AL37" i="50"/>
  <c r="AJ14" i="50"/>
  <c r="AK87" i="47"/>
  <c r="T102" i="89"/>
  <c r="AL26" i="47"/>
  <c r="AE81" i="51"/>
  <c r="AD20" i="51"/>
  <c r="AF67" i="51"/>
  <c r="AD52" i="51"/>
  <c r="T103" i="89"/>
  <c r="AJ79" i="50"/>
  <c r="AF78" i="51"/>
  <c r="AD59" i="51"/>
  <c r="AB63" i="51"/>
  <c r="AJ61" i="50"/>
  <c r="AL30" i="47"/>
  <c r="T147" i="89"/>
  <c r="AJ77" i="50"/>
  <c r="AI63" i="50"/>
  <c r="AL56" i="47"/>
  <c r="AD68" i="51"/>
  <c r="AL64" i="47"/>
  <c r="AI13" i="50"/>
  <c r="AD71" i="51"/>
  <c r="AH77" i="50"/>
  <c r="AZ221" i="95"/>
  <c r="AI48" i="50"/>
  <c r="AB29" i="51"/>
  <c r="AC20" i="51"/>
  <c r="AD72" i="51"/>
  <c r="AI65" i="50"/>
  <c r="AK83" i="50"/>
  <c r="AE42" i="51"/>
  <c r="AB16" i="51"/>
  <c r="AC39" i="51"/>
  <c r="AI69" i="50"/>
  <c r="AL71" i="50"/>
  <c r="AC11" i="51"/>
  <c r="AC50" i="51"/>
  <c r="AJ50" i="50"/>
  <c r="AB67" i="51"/>
  <c r="AK75" i="47"/>
  <c r="AD29" i="51"/>
  <c r="AF72" i="51"/>
  <c r="AJ91" i="50"/>
  <c r="AB104" i="51"/>
  <c r="AB47" i="51"/>
  <c r="AJ49" i="50"/>
  <c r="AL31" i="50"/>
  <c r="T56" i="89"/>
  <c r="AI42" i="50"/>
  <c r="AF33" i="51"/>
  <c r="AJ41" i="50"/>
  <c r="AK39" i="47"/>
  <c r="AC37" i="51"/>
  <c r="AK41" i="50"/>
  <c r="AE26" i="51"/>
  <c r="AK11" i="50"/>
  <c r="AK19" i="47"/>
  <c r="AH21" i="50"/>
  <c r="AL97" i="50"/>
  <c r="AL77" i="50"/>
  <c r="AL60" i="47"/>
  <c r="AH87" i="50"/>
  <c r="AL13" i="47"/>
  <c r="BB177" i="95"/>
  <c r="AL61" i="47"/>
  <c r="AI95" i="50"/>
  <c r="AL57" i="47"/>
  <c r="AI75" i="50"/>
  <c r="AJ58" i="50"/>
  <c r="AE25" i="51"/>
  <c r="BB178" i="95"/>
  <c r="AC32" i="51"/>
  <c r="AJ37" i="50"/>
  <c r="AF70" i="51"/>
  <c r="AC48" i="51"/>
  <c r="AD56" i="51"/>
  <c r="AK68" i="47"/>
  <c r="AI82" i="50"/>
  <c r="AJ21" i="50"/>
  <c r="AL12" i="47"/>
  <c r="AQ219" i="95"/>
  <c r="AL93" i="50"/>
  <c r="AP130" i="95"/>
  <c r="AZ127" i="95"/>
  <c r="AZ222" i="95"/>
  <c r="AL47" i="47"/>
  <c r="AE20" i="51"/>
  <c r="AI97" i="50"/>
  <c r="AK86" i="50"/>
  <c r="AI67" i="50"/>
  <c r="AK84" i="47"/>
  <c r="AF73" i="51"/>
  <c r="AH9" i="50"/>
  <c r="AC46" i="51"/>
  <c r="AK93" i="47"/>
  <c r="AH102" i="50"/>
  <c r="AB76" i="51"/>
  <c r="AK85" i="47"/>
  <c r="AI101" i="50"/>
  <c r="AC98" i="51"/>
  <c r="AL50" i="47"/>
  <c r="AL9" i="47"/>
  <c r="AB30" i="51"/>
  <c r="AL14" i="50"/>
  <c r="AK22" i="50"/>
  <c r="AL16" i="50"/>
  <c r="AI84" i="50"/>
  <c r="AD80" i="51"/>
  <c r="AE5" i="51"/>
  <c r="AB69" i="51"/>
  <c r="AJ73" i="50"/>
  <c r="AH19" i="50"/>
  <c r="AJ63" i="50"/>
  <c r="AK11" i="47"/>
  <c r="AL53" i="50"/>
  <c r="AL24" i="47"/>
  <c r="AL76" i="50"/>
  <c r="T189" i="89"/>
  <c r="AJ71" i="50"/>
  <c r="AH37" i="50"/>
  <c r="AB57" i="51"/>
  <c r="AK81" i="50"/>
  <c r="AE77" i="51"/>
  <c r="AI51" i="50"/>
  <c r="AV132" i="95"/>
  <c r="AV133" i="95" s="1"/>
  <c r="AL52" i="50"/>
  <c r="AD7" i="51"/>
  <c r="AK46" i="47"/>
  <c r="AE13" i="51"/>
  <c r="AH46" i="50"/>
  <c r="AE16" i="51"/>
  <c r="AB26" i="51"/>
  <c r="AH75" i="50"/>
  <c r="AC82" i="51"/>
  <c r="AB19" i="51"/>
  <c r="AD60" i="51"/>
  <c r="AU178" i="95"/>
  <c r="AL46" i="50"/>
  <c r="AK102" i="50"/>
  <c r="AD28" i="51"/>
  <c r="AK69" i="47"/>
  <c r="AK15" i="50"/>
  <c r="AB82" i="51"/>
  <c r="AH80" i="50"/>
  <c r="AB103" i="51"/>
  <c r="AK36" i="50"/>
  <c r="AK71" i="50"/>
  <c r="AL59" i="47"/>
  <c r="AE7" i="51"/>
  <c r="AK61" i="47"/>
  <c r="AR219" i="95"/>
  <c r="AB100" i="51"/>
  <c r="AH104" i="50"/>
  <c r="AH62" i="50"/>
  <c r="AI105" i="50"/>
  <c r="AL85" i="50"/>
  <c r="AK45" i="47"/>
  <c r="AB61" i="51"/>
  <c r="AH10" i="50"/>
  <c r="AK10" i="50"/>
  <c r="AC66" i="51"/>
  <c r="AJ92" i="50"/>
  <c r="AJ89" i="50"/>
  <c r="AH95" i="50"/>
  <c r="AD76" i="51"/>
  <c r="AC19" i="51"/>
  <c r="AL23" i="47"/>
  <c r="AL50" i="50"/>
  <c r="AK95" i="47"/>
  <c r="AI74" i="50"/>
  <c r="AH52" i="50"/>
  <c r="AF83" i="51"/>
  <c r="AK27" i="50"/>
  <c r="AB20" i="51"/>
  <c r="AL39" i="50"/>
  <c r="T187" i="89"/>
  <c r="AL99" i="50"/>
  <c r="AH67" i="50"/>
  <c r="AZ39" i="95"/>
  <c r="AH82" i="50"/>
  <c r="AE37" i="51"/>
  <c r="AC17" i="51"/>
  <c r="AW222" i="95"/>
  <c r="AK100" i="47"/>
  <c r="AW223" i="95"/>
  <c r="AD26" i="51"/>
  <c r="AB5" i="51"/>
  <c r="AD93" i="51"/>
  <c r="AF88" i="51"/>
  <c r="AH106" i="50"/>
  <c r="AL20" i="50"/>
  <c r="AD50" i="51"/>
  <c r="AQ130" i="95"/>
  <c r="AQ131" i="95" s="1"/>
  <c r="AF104" i="51"/>
  <c r="AU128" i="95"/>
  <c r="AU129" i="95" s="1"/>
  <c r="AK103" i="47"/>
  <c r="AK45" i="50"/>
  <c r="AH101" i="50"/>
  <c r="AB60" i="51"/>
  <c r="AD41" i="51"/>
  <c r="AE99" i="51"/>
  <c r="AH57" i="50"/>
  <c r="AB78" i="51"/>
  <c r="AB37" i="51"/>
  <c r="AK42" i="50"/>
  <c r="AD45" i="51"/>
  <c r="AJ93" i="50"/>
  <c r="AL84" i="50"/>
  <c r="AJ65" i="50"/>
  <c r="AK49" i="50"/>
  <c r="AL68" i="50"/>
  <c r="AK47" i="50"/>
  <c r="AE21" i="51"/>
  <c r="AC54" i="51"/>
  <c r="AJ11" i="50"/>
  <c r="AL13" i="50"/>
  <c r="AQ39" i="95"/>
  <c r="AQ40" i="95" s="1"/>
  <c r="AB101" i="51"/>
  <c r="AC33" i="51"/>
  <c r="AC47" i="51"/>
  <c r="AK7" i="50"/>
  <c r="AK51" i="47"/>
  <c r="AK57" i="47"/>
  <c r="T148" i="89"/>
  <c r="AI10" i="50"/>
  <c r="AF71" i="51"/>
  <c r="AK70" i="47"/>
  <c r="AI28" i="50"/>
  <c r="AD24" i="51"/>
  <c r="AD94" i="51"/>
  <c r="AC27" i="51"/>
  <c r="AK92" i="47"/>
  <c r="AL34" i="50"/>
  <c r="AD46" i="51"/>
  <c r="AC56" i="51"/>
  <c r="AF37" i="51"/>
  <c r="AI9" i="50"/>
  <c r="AB95" i="51"/>
  <c r="AB58" i="51"/>
  <c r="AE56" i="51"/>
  <c r="T57" i="89"/>
  <c r="AE87" i="51"/>
  <c r="AJ90" i="50"/>
  <c r="AD86" i="51"/>
  <c r="AJ40" i="50"/>
  <c r="AL36" i="47"/>
  <c r="AI93" i="50"/>
  <c r="AJ88" i="50"/>
  <c r="AF89" i="51"/>
  <c r="AH79" i="50"/>
  <c r="T145" i="89"/>
  <c r="AK92" i="50"/>
  <c r="AF50" i="51"/>
  <c r="AK50" i="50"/>
  <c r="AH59" i="50"/>
  <c r="BB221" i="95"/>
  <c r="BB222" i="95" s="1"/>
  <c r="AH74" i="50"/>
  <c r="AC79" i="51"/>
  <c r="AB38" i="51"/>
  <c r="AL105" i="50"/>
  <c r="AI22" i="50"/>
  <c r="AL33" i="47"/>
  <c r="AH54" i="50"/>
  <c r="AC25" i="51"/>
  <c r="AE19" i="51"/>
  <c r="AK16" i="47"/>
  <c r="AL43" i="50"/>
  <c r="AP217" i="95"/>
  <c r="AB9" i="51"/>
  <c r="AK6" i="47"/>
  <c r="AL21" i="50"/>
  <c r="AF27" i="51"/>
  <c r="AK75" i="50"/>
  <c r="AF14" i="51"/>
  <c r="AI30" i="50"/>
  <c r="AI76" i="50"/>
  <c r="AI94" i="50"/>
  <c r="AI54" i="50"/>
  <c r="AQ174" i="95"/>
  <c r="AF69" i="51"/>
  <c r="AC76" i="51"/>
  <c r="AJ86" i="50"/>
  <c r="AH29" i="50"/>
  <c r="AL19" i="50"/>
  <c r="AK88" i="50"/>
  <c r="AI8" i="50"/>
  <c r="AI44" i="50"/>
  <c r="AH50" i="50"/>
  <c r="AC8" i="51"/>
  <c r="AC41" i="51"/>
  <c r="AP39" i="95"/>
  <c r="AP40" i="95" s="1"/>
  <c r="AF93" i="51"/>
  <c r="AV176" i="95"/>
  <c r="AQ175" i="95"/>
  <c r="AQ41" i="95"/>
  <c r="AB102" i="51"/>
  <c r="AR173" i="95"/>
  <c r="AR174" i="95" s="1"/>
  <c r="AR175" i="95" s="1"/>
  <c r="AH94" i="50"/>
  <c r="AL65" i="47"/>
  <c r="AE92" i="51"/>
  <c r="AE84" i="51"/>
  <c r="AK105" i="50"/>
  <c r="AP81" i="95"/>
  <c r="AC103" i="51"/>
  <c r="AL24" i="50"/>
  <c r="AK13" i="50"/>
  <c r="AK94" i="47"/>
  <c r="AD18" i="51"/>
  <c r="AC36" i="51"/>
  <c r="AD22" i="51"/>
  <c r="AJ32" i="50"/>
  <c r="AD67" i="51"/>
  <c r="AC77" i="51"/>
  <c r="AK38" i="47"/>
  <c r="AD73" i="51"/>
  <c r="AK53" i="50"/>
  <c r="AH45" i="50"/>
  <c r="AJ45" i="50"/>
  <c r="AL44" i="47"/>
  <c r="AK35" i="47"/>
  <c r="AL92" i="50"/>
  <c r="AH24" i="50"/>
  <c r="BA41" i="95"/>
  <c r="BA42" i="95" s="1"/>
  <c r="BA43" i="95" s="1"/>
  <c r="AH90" i="50"/>
  <c r="AE15" i="51"/>
  <c r="AE103" i="51"/>
  <c r="AF81" i="51"/>
  <c r="AF77" i="51"/>
  <c r="AK23" i="47"/>
  <c r="AI62" i="50"/>
  <c r="AL62" i="50"/>
  <c r="AL48" i="50"/>
  <c r="AJ27" i="50"/>
  <c r="AH7" i="50"/>
  <c r="AF68" i="51"/>
  <c r="AE30" i="51"/>
  <c r="AF54" i="51"/>
  <c r="AJ31" i="50"/>
  <c r="AE90" i="51"/>
  <c r="AH103" i="50"/>
  <c r="AL56" i="50"/>
  <c r="AI92" i="50"/>
  <c r="AF61" i="51"/>
  <c r="AJ25" i="50"/>
  <c r="T143" i="89"/>
  <c r="AI33" i="50"/>
  <c r="AJ17" i="50"/>
  <c r="AL8" i="47"/>
  <c r="AF60" i="51"/>
  <c r="AL31" i="47"/>
  <c r="AK99" i="47"/>
  <c r="AE44" i="51"/>
  <c r="AB53" i="51"/>
  <c r="AK84" i="50"/>
  <c r="AI7" i="50"/>
  <c r="AJ82" i="50"/>
  <c r="AI29" i="50"/>
  <c r="AB27" i="51"/>
  <c r="AC18" i="51"/>
  <c r="AK32" i="50"/>
  <c r="AJ56" i="50"/>
  <c r="AK63" i="50"/>
  <c r="AI58" i="50"/>
  <c r="AF21" i="51"/>
  <c r="AI21" i="50"/>
  <c r="AJ69" i="50"/>
  <c r="AE36" i="51"/>
  <c r="AZ88" i="95"/>
  <c r="AK43" i="47"/>
  <c r="AI23" i="50"/>
  <c r="AJ99" i="50"/>
  <c r="AD51" i="51"/>
  <c r="AK30" i="50"/>
  <c r="AB22" i="51"/>
  <c r="AK44" i="50"/>
  <c r="AF36" i="51"/>
  <c r="AL35" i="47"/>
  <c r="AK23" i="50"/>
  <c r="AB42" i="51"/>
  <c r="AR220" i="95"/>
  <c r="AH16" i="50"/>
  <c r="AE89" i="51"/>
  <c r="AB41" i="51"/>
  <c r="AF19" i="51"/>
  <c r="AD61" i="51"/>
  <c r="AC7" i="51"/>
  <c r="AD14" i="51"/>
  <c r="AI53" i="50"/>
  <c r="AH23" i="50"/>
  <c r="AE27" i="51"/>
  <c r="AI25" i="50"/>
  <c r="AV219" i="95"/>
  <c r="AV220" i="95" s="1"/>
  <c r="AE23" i="51"/>
  <c r="AC64" i="51"/>
  <c r="AL32" i="47"/>
  <c r="AH84" i="50"/>
  <c r="AF87" i="51"/>
  <c r="AF9" i="51"/>
  <c r="AB11" i="51"/>
  <c r="AC10" i="51"/>
  <c r="AH39" i="50"/>
  <c r="AL69" i="50"/>
  <c r="AL49" i="47"/>
  <c r="AV85" i="95"/>
  <c r="AI35" i="50"/>
  <c r="AV86" i="95"/>
  <c r="AP218" i="95"/>
  <c r="AR221" i="95"/>
  <c r="AL42" i="47"/>
  <c r="AH66" i="50"/>
  <c r="AJ74" i="50"/>
  <c r="AK89" i="47"/>
  <c r="AF29" i="51"/>
  <c r="AJ94" i="50"/>
  <c r="AL51" i="50"/>
  <c r="AK28" i="47"/>
  <c r="AD100" i="51"/>
  <c r="AC30" i="51"/>
  <c r="AC101" i="51"/>
  <c r="AH64" i="50"/>
  <c r="AD13" i="51"/>
  <c r="AE68" i="51"/>
  <c r="AF100" i="51"/>
  <c r="AB89" i="51"/>
  <c r="AK5" i="47"/>
  <c r="AK33" i="50"/>
  <c r="AJ26" i="50"/>
  <c r="AF52" i="51"/>
  <c r="AK80" i="50"/>
  <c r="R151" i="90"/>
  <c r="R14" i="90"/>
  <c r="R152" i="90"/>
  <c r="DB6" i="84"/>
  <c r="R149" i="90"/>
  <c r="R59" i="90"/>
  <c r="R106" i="90"/>
  <c r="R16" i="90"/>
  <c r="R105" i="90"/>
  <c r="R57" i="90"/>
  <c r="R11" i="90"/>
  <c r="R58" i="90"/>
  <c r="R61" i="90"/>
  <c r="R101" i="90"/>
  <c r="R13" i="90"/>
  <c r="R147" i="90"/>
  <c r="R150" i="90"/>
  <c r="R107" i="90"/>
  <c r="R56" i="90"/>
  <c r="R12" i="90"/>
  <c r="R103" i="90"/>
  <c r="R62" i="90"/>
  <c r="R15" i="90"/>
  <c r="R17" i="90"/>
  <c r="R191" i="90"/>
  <c r="R146" i="90"/>
  <c r="R104" i="90"/>
  <c r="R102" i="90"/>
  <c r="CX12" i="84"/>
  <c r="R148" i="90"/>
  <c r="R60" i="90"/>
  <c r="T55" i="68"/>
  <c r="BC107" i="70"/>
  <c r="T227" i="68"/>
  <c r="T48" i="68"/>
  <c r="AD86" i="68"/>
  <c r="T137" i="68"/>
  <c r="T217" i="68"/>
  <c r="T96" i="68"/>
  <c r="T31" i="68"/>
  <c r="V12" i="70"/>
  <c r="BD154" i="70"/>
  <c r="T52" i="68"/>
  <c r="S27" i="68"/>
  <c r="T181" i="68"/>
  <c r="X176" i="71"/>
  <c r="T177" i="68"/>
  <c r="BD14" i="70"/>
  <c r="U9" i="70"/>
  <c r="T129" i="68"/>
  <c r="X81" i="71"/>
  <c r="T35" i="68"/>
  <c r="BB150" i="70"/>
  <c r="T225" i="68"/>
  <c r="T41" i="68"/>
  <c r="BD194" i="70"/>
  <c r="BB63" i="70"/>
  <c r="T219" i="68"/>
  <c r="X126" i="71"/>
  <c r="S29" i="68"/>
  <c r="BD60" i="70"/>
  <c r="BB149" i="70"/>
  <c r="BD64" i="70"/>
  <c r="X221" i="71"/>
  <c r="X174" i="71"/>
  <c r="T79" i="68"/>
  <c r="V14" i="70"/>
  <c r="T144" i="68"/>
  <c r="BD150" i="70"/>
  <c r="BB13" i="70"/>
  <c r="BB18" i="70"/>
  <c r="X212" i="71"/>
  <c r="BC152" i="70"/>
  <c r="BC193" i="70"/>
  <c r="T169" i="68"/>
  <c r="T174" i="68"/>
  <c r="T93" i="68"/>
  <c r="U6" i="70"/>
  <c r="T140" i="68"/>
  <c r="U15" i="70"/>
  <c r="X82" i="71"/>
  <c r="T188" i="68"/>
  <c r="X166" i="71"/>
  <c r="T47" i="68"/>
  <c r="BC105" i="70"/>
  <c r="D162" i="68"/>
  <c r="S19" i="68"/>
  <c r="BB19" i="70"/>
  <c r="T178" i="68"/>
  <c r="AD85" i="68"/>
  <c r="S20" i="68"/>
  <c r="U14" i="70"/>
  <c r="BB151" i="70"/>
  <c r="U10" i="70"/>
  <c r="BB154" i="70"/>
  <c r="V11" i="70"/>
  <c r="BD58" i="70"/>
  <c r="X172" i="71"/>
  <c r="S22" i="68"/>
  <c r="X168" i="71"/>
  <c r="T168" i="68"/>
  <c r="D152" i="68"/>
  <c r="T38" i="68"/>
  <c r="BB58" i="70"/>
  <c r="T36" i="68"/>
  <c r="BD12" i="70"/>
  <c r="D207" i="68"/>
  <c r="T42" i="68"/>
  <c r="X40" i="71"/>
  <c r="BC64" i="70"/>
  <c r="T172" i="68"/>
  <c r="X34" i="71"/>
  <c r="D62" i="68"/>
  <c r="X215" i="71"/>
  <c r="T44" i="68"/>
  <c r="BB61" i="70"/>
  <c r="BC108" i="70"/>
  <c r="X216" i="71"/>
  <c r="U12" i="70"/>
  <c r="AD87" i="68"/>
  <c r="T84" i="68"/>
  <c r="T232" i="68"/>
  <c r="BC62" i="70"/>
  <c r="BB17" i="70"/>
  <c r="BB198" i="70"/>
  <c r="BC148" i="70"/>
  <c r="T43" i="68"/>
  <c r="T98" i="68"/>
  <c r="T94" i="68"/>
  <c r="BB194" i="70"/>
  <c r="T97" i="68"/>
  <c r="X43" i="71"/>
  <c r="T182" i="68"/>
  <c r="X31" i="71"/>
  <c r="BD63" i="70"/>
  <c r="X167" i="71"/>
  <c r="T37" i="68"/>
  <c r="BD193" i="70"/>
  <c r="X28" i="71"/>
  <c r="BC109" i="70"/>
  <c r="T123" i="68"/>
  <c r="BB16" i="70"/>
  <c r="T186" i="68"/>
  <c r="T222" i="68"/>
  <c r="T131" i="68"/>
  <c r="T127" i="68"/>
  <c r="S25" i="68"/>
  <c r="BB64" i="70"/>
  <c r="BD15" i="70"/>
  <c r="T136" i="68"/>
  <c r="T85" i="68"/>
  <c r="T185" i="68"/>
  <c r="X87" i="71"/>
  <c r="D112" i="68"/>
  <c r="BD61" i="70"/>
  <c r="T221" i="68"/>
  <c r="BC104" i="70"/>
  <c r="T80" i="68"/>
  <c r="BC154" i="70"/>
  <c r="T45" i="68"/>
  <c r="T231" i="68"/>
  <c r="BB199" i="70"/>
  <c r="X25" i="71"/>
  <c r="BD197" i="70"/>
  <c r="S26" i="68"/>
  <c r="T135" i="68"/>
  <c r="X36" i="71"/>
  <c r="T92" i="68"/>
  <c r="T173" i="68"/>
  <c r="T90" i="68"/>
  <c r="T216" i="68"/>
  <c r="T235" i="68"/>
  <c r="BB195" i="70"/>
  <c r="T53" i="68"/>
  <c r="T51" i="68"/>
  <c r="BB59" i="70"/>
  <c r="BB153" i="70"/>
  <c r="T95" i="68"/>
  <c r="D202" i="68"/>
  <c r="BC150" i="70"/>
  <c r="D197" i="68"/>
  <c r="X132" i="71"/>
  <c r="D163" i="68"/>
  <c r="BD62" i="70"/>
  <c r="X220" i="71"/>
  <c r="BC12" i="70"/>
  <c r="BC63" i="70"/>
  <c r="U16" i="70"/>
  <c r="T190" i="68"/>
  <c r="T170" i="68"/>
  <c r="T39" i="68"/>
  <c r="D74" i="68"/>
  <c r="BB14" i="70"/>
  <c r="T83" i="68"/>
  <c r="T30" i="68"/>
  <c r="T26" i="68"/>
  <c r="T40" i="68"/>
  <c r="T213" i="68"/>
  <c r="X131" i="71"/>
  <c r="BB60" i="70"/>
  <c r="T130" i="68"/>
  <c r="X223" i="71"/>
  <c r="S18" i="68"/>
  <c r="BC198" i="70"/>
  <c r="T233" i="68"/>
  <c r="BB104" i="70"/>
  <c r="BC17" i="70"/>
  <c r="T49" i="68"/>
  <c r="BD19" i="70"/>
  <c r="BC19" i="70"/>
  <c r="AD84" i="68"/>
  <c r="X76" i="71"/>
  <c r="BD105" i="70"/>
  <c r="D208" i="68"/>
  <c r="X33" i="71"/>
  <c r="X218" i="71"/>
  <c r="T187" i="68"/>
  <c r="BC18" i="70"/>
  <c r="T34" i="68"/>
  <c r="T81" i="68"/>
  <c r="X41" i="71"/>
  <c r="BD195" i="70"/>
  <c r="T224" i="68"/>
  <c r="D73" i="68"/>
  <c r="X22" i="71"/>
  <c r="BB62" i="70"/>
  <c r="T125" i="68"/>
  <c r="D118" i="68"/>
  <c r="T139" i="68"/>
  <c r="X86" i="71"/>
  <c r="BB105" i="70"/>
  <c r="BC13" i="70"/>
  <c r="BD103" i="70"/>
  <c r="BB193" i="70"/>
  <c r="T226" i="68"/>
  <c r="BC103" i="70"/>
  <c r="X127" i="71"/>
  <c r="T228" i="68"/>
  <c r="X88" i="71"/>
  <c r="BC16" i="70"/>
  <c r="T29" i="68"/>
  <c r="S23" i="68"/>
  <c r="S24" i="68"/>
  <c r="BC61" i="70"/>
  <c r="X133" i="71"/>
  <c r="D201" i="68"/>
  <c r="BC14" i="70"/>
  <c r="T46" i="68"/>
  <c r="BB196" i="70"/>
  <c r="BD152" i="70"/>
  <c r="BB15" i="70"/>
  <c r="T99" i="68"/>
  <c r="X85" i="71"/>
  <c r="X39" i="71"/>
  <c r="U7" i="70"/>
  <c r="T220" i="68"/>
  <c r="V15" i="70"/>
  <c r="T124" i="68"/>
  <c r="BC196" i="70"/>
  <c r="T223" i="68"/>
  <c r="T132" i="68"/>
  <c r="T184" i="68"/>
  <c r="X130" i="71"/>
  <c r="BC149" i="70"/>
  <c r="BD17" i="70"/>
  <c r="X80" i="71"/>
  <c r="BC199" i="70"/>
  <c r="X38" i="71"/>
  <c r="T32" i="68"/>
  <c r="BD151" i="70"/>
  <c r="T141" i="68"/>
  <c r="BD18" i="70"/>
  <c r="X83" i="71"/>
  <c r="X217" i="71"/>
  <c r="X79" i="71"/>
  <c r="BC59" i="70"/>
  <c r="BD196" i="70"/>
  <c r="X173" i="71"/>
  <c r="X37" i="71"/>
  <c r="BD148" i="70"/>
  <c r="T234" i="68"/>
  <c r="T25" i="68"/>
  <c r="X27" i="71"/>
  <c r="BB12" i="70"/>
  <c r="X78" i="71"/>
  <c r="BD198" i="70"/>
  <c r="D68" i="68"/>
  <c r="X26" i="71"/>
  <c r="X30" i="71"/>
  <c r="T138" i="68"/>
  <c r="BD59" i="70"/>
  <c r="T189" i="68"/>
  <c r="X222" i="71"/>
  <c r="BC60" i="70"/>
  <c r="BD16" i="70"/>
  <c r="BB197" i="70"/>
  <c r="T183" i="68"/>
  <c r="BD106" i="70"/>
  <c r="BC195" i="70"/>
  <c r="T24" i="68"/>
  <c r="S28" i="68"/>
  <c r="T100" i="68"/>
  <c r="X125" i="71"/>
  <c r="X178" i="71"/>
  <c r="BD149" i="70"/>
  <c r="BB106" i="70"/>
  <c r="T171" i="68"/>
  <c r="BC194" i="70"/>
  <c r="X21" i="71"/>
  <c r="X77" i="71"/>
  <c r="T142" i="68"/>
  <c r="X122" i="71"/>
  <c r="T229" i="68"/>
  <c r="X124" i="71"/>
  <c r="T230" i="68"/>
  <c r="V13" i="70"/>
  <c r="U8" i="70"/>
  <c r="T145" i="68"/>
  <c r="T54" i="68"/>
  <c r="D158" i="68"/>
  <c r="T133" i="68"/>
  <c r="T82" i="68"/>
  <c r="BC58" i="70"/>
  <c r="X171" i="71"/>
  <c r="X129" i="71"/>
  <c r="T89" i="68"/>
  <c r="X213" i="71"/>
  <c r="X177" i="71"/>
  <c r="U13" i="70"/>
  <c r="T50" i="68"/>
  <c r="X214" i="71"/>
  <c r="BC15" i="70"/>
  <c r="T215" i="68"/>
  <c r="T179" i="68"/>
  <c r="BB152" i="70"/>
  <c r="X24" i="71"/>
  <c r="T128" i="68"/>
  <c r="X29" i="71"/>
  <c r="BC151" i="70"/>
  <c r="U5" i="70"/>
  <c r="S21" i="68"/>
  <c r="T143" i="68"/>
  <c r="X23" i="71"/>
  <c r="T86" i="68"/>
  <c r="X121" i="71"/>
  <c r="T218" i="68"/>
  <c r="T134" i="68"/>
  <c r="T214" i="68"/>
  <c r="D107" i="68"/>
  <c r="T88" i="68"/>
  <c r="BB107" i="70"/>
  <c r="U11" i="70"/>
  <c r="BD108" i="70"/>
  <c r="BD109" i="70"/>
  <c r="D157" i="68"/>
  <c r="T28" i="68"/>
  <c r="T27" i="68"/>
  <c r="BD199" i="70"/>
  <c r="X35" i="71"/>
  <c r="BC153" i="70"/>
  <c r="X128" i="71"/>
  <c r="X42" i="71"/>
  <c r="D113" i="68"/>
  <c r="BB103" i="70"/>
  <c r="BD153" i="70"/>
  <c r="T33" i="68"/>
  <c r="T176" i="68"/>
  <c r="X175" i="71"/>
  <c r="T175" i="68"/>
  <c r="X219" i="71"/>
  <c r="BC106" i="70"/>
  <c r="X123" i="71"/>
  <c r="X211" i="71"/>
  <c r="BB109" i="70"/>
  <c r="BD13" i="70"/>
  <c r="BD104" i="70"/>
  <c r="X84" i="71"/>
  <c r="X170" i="71"/>
  <c r="T91" i="68"/>
  <c r="T87" i="68"/>
  <c r="BD107" i="70"/>
  <c r="D67" i="68"/>
  <c r="BB148" i="70"/>
  <c r="T78" i="68"/>
  <c r="BC197" i="70"/>
  <c r="T126" i="68"/>
  <c r="T180" i="68"/>
  <c r="BB108" i="70"/>
  <c r="X32" i="71"/>
  <c r="X169" i="71"/>
  <c r="V16" i="70"/>
  <c r="K33" i="87" l="1"/>
  <c r="K33" i="94"/>
  <c r="AP7" i="89"/>
  <c r="AP5" i="89"/>
  <c r="AP8" i="89"/>
  <c r="AP6" i="89"/>
  <c r="CR49" i="99"/>
  <c r="CR105" i="99"/>
  <c r="CR194" i="99"/>
  <c r="CR61" i="99"/>
  <c r="CR60" i="99"/>
  <c r="CR188" i="99"/>
  <c r="CR100" i="99"/>
  <c r="CR99" i="99"/>
  <c r="CR139" i="99"/>
  <c r="CR150" i="99"/>
  <c r="CR55" i="99"/>
  <c r="CR144" i="99"/>
  <c r="CR195" i="99"/>
  <c r="CR189" i="99"/>
  <c r="CR184" i="99"/>
  <c r="CR145" i="99"/>
  <c r="CR149" i="99"/>
  <c r="CR94" i="99"/>
  <c r="CR54" i="99"/>
  <c r="S213" i="90"/>
  <c r="T213" i="90" s="1"/>
  <c r="U213" i="90" s="1"/>
  <c r="S181" i="90"/>
  <c r="T181" i="90" s="1"/>
  <c r="W181" i="90" s="1"/>
  <c r="S228" i="90"/>
  <c r="T228" i="90" s="1"/>
  <c r="U228" i="90" s="1"/>
  <c r="S134" i="90"/>
  <c r="T134" i="90" s="1"/>
  <c r="U134" i="90" s="1"/>
  <c r="S165" i="90"/>
  <c r="T165" i="90" s="1"/>
  <c r="U165" i="90" s="1"/>
  <c r="S172" i="90"/>
  <c r="T172" i="90" s="1"/>
  <c r="W172" i="90" s="1"/>
  <c r="S164" i="90"/>
  <c r="T164" i="90" s="1"/>
  <c r="W164" i="90" s="1"/>
  <c r="S178" i="90"/>
  <c r="T178" i="90" s="1"/>
  <c r="U178" i="90" s="1"/>
  <c r="S89" i="90"/>
  <c r="T89" i="90" s="1"/>
  <c r="U89" i="90" s="1"/>
  <c r="S117" i="90"/>
  <c r="T117" i="90" s="1"/>
  <c r="U117" i="90" s="1"/>
  <c r="S88" i="90"/>
  <c r="T88" i="90" s="1"/>
  <c r="W88" i="90" s="1"/>
  <c r="S184" i="90"/>
  <c r="T184" i="90" s="1"/>
  <c r="U184" i="90" s="1"/>
  <c r="S34" i="90"/>
  <c r="T34" i="90" s="1"/>
  <c r="U34" i="90" s="1"/>
  <c r="S39" i="90"/>
  <c r="T39" i="90" s="1"/>
  <c r="W39" i="90" s="1"/>
  <c r="S73" i="90"/>
  <c r="T73" i="90" s="1"/>
  <c r="W73" i="90" s="1"/>
  <c r="S82" i="90"/>
  <c r="T82" i="90" s="1"/>
  <c r="U82" i="90" s="1"/>
  <c r="S83" i="90"/>
  <c r="T83" i="90" s="1"/>
  <c r="W83" i="90" s="1"/>
  <c r="S28" i="90"/>
  <c r="T28" i="90" s="1"/>
  <c r="W28" i="90" s="1"/>
  <c r="S131" i="90"/>
  <c r="T131" i="90" s="1"/>
  <c r="U131" i="90" s="1"/>
  <c r="S74" i="90"/>
  <c r="T74" i="90" s="1"/>
  <c r="W74" i="90" s="1"/>
  <c r="S93" i="90"/>
  <c r="T93" i="90" s="1"/>
  <c r="W93" i="90" s="1"/>
  <c r="S221" i="90"/>
  <c r="T221" i="90" s="1"/>
  <c r="W221" i="90" s="1"/>
  <c r="F195" i="90"/>
  <c r="S168" i="90"/>
  <c r="T168" i="90" s="1"/>
  <c r="U168" i="90" s="1"/>
  <c r="S211" i="90"/>
  <c r="T211" i="90" s="1"/>
  <c r="U211" i="90" s="1"/>
  <c r="S210" i="90"/>
  <c r="T210" i="90" s="1"/>
  <c r="U210" i="90" s="1"/>
  <c r="S212" i="90"/>
  <c r="T212" i="90" s="1"/>
  <c r="U212" i="90" s="1"/>
  <c r="S33" i="90"/>
  <c r="T33" i="90" s="1"/>
  <c r="U33" i="90" s="1"/>
  <c r="S77" i="90"/>
  <c r="T77" i="90" s="1"/>
  <c r="U77" i="90" s="1"/>
  <c r="S163" i="90"/>
  <c r="T163" i="90" s="1"/>
  <c r="U163" i="90" s="1"/>
  <c r="S94" i="90"/>
  <c r="T94" i="90" s="1"/>
  <c r="U94" i="90" s="1"/>
  <c r="S175" i="90"/>
  <c r="T175" i="90" s="1"/>
  <c r="U175" i="90" s="1"/>
  <c r="S27" i="90"/>
  <c r="T27" i="90" s="1"/>
  <c r="W27" i="90" s="1"/>
  <c r="S128" i="90"/>
  <c r="T128" i="90" s="1"/>
  <c r="U128" i="90" s="1"/>
  <c r="S49" i="90"/>
  <c r="T49" i="90" s="1"/>
  <c r="W49" i="90" s="1"/>
  <c r="S29" i="90"/>
  <c r="T29" i="90" s="1"/>
  <c r="W29" i="90" s="1"/>
  <c r="S222" i="90"/>
  <c r="T222" i="90" s="1"/>
  <c r="W222" i="90" s="1"/>
  <c r="S226" i="90"/>
  <c r="T226" i="90" s="1"/>
  <c r="W226" i="90" s="1"/>
  <c r="S75" i="90"/>
  <c r="T75" i="90" s="1"/>
  <c r="U75" i="90" s="1"/>
  <c r="S32" i="90"/>
  <c r="T32" i="90" s="1"/>
  <c r="U32" i="90" s="1"/>
  <c r="S129" i="90"/>
  <c r="T129" i="90" s="1"/>
  <c r="W129" i="90" s="1"/>
  <c r="S177" i="90"/>
  <c r="T177" i="90" s="1"/>
  <c r="U177" i="90" s="1"/>
  <c r="S138" i="90"/>
  <c r="T138" i="90" s="1"/>
  <c r="U138" i="90" s="1"/>
  <c r="S123" i="90"/>
  <c r="T123" i="90" s="1"/>
  <c r="W123" i="90" s="1"/>
  <c r="S208" i="90"/>
  <c r="T208" i="90" s="1"/>
  <c r="W208" i="90" s="1"/>
  <c r="S118" i="90"/>
  <c r="T118" i="90" s="1"/>
  <c r="U118" i="90" s="1"/>
  <c r="S169" i="90"/>
  <c r="T169" i="90" s="1"/>
  <c r="U169" i="90" s="1"/>
  <c r="S176" i="90"/>
  <c r="T176" i="90" s="1"/>
  <c r="U176" i="90" s="1"/>
  <c r="S214" i="90"/>
  <c r="T214" i="90" s="1"/>
  <c r="W214" i="90" s="1"/>
  <c r="S46" i="90"/>
  <c r="T46" i="90" s="1"/>
  <c r="U46" i="90" s="1"/>
  <c r="S45" i="90"/>
  <c r="T45" i="90" s="1"/>
  <c r="U45" i="90" s="1"/>
  <c r="F202" i="90"/>
  <c r="S173" i="90"/>
  <c r="T173" i="90" s="1"/>
  <c r="W173" i="90" s="1"/>
  <c r="S41" i="90"/>
  <c r="T41" i="90" s="1"/>
  <c r="W41" i="90" s="1"/>
  <c r="S121" i="90"/>
  <c r="T121" i="90" s="1"/>
  <c r="U121" i="90" s="1"/>
  <c r="S132" i="90"/>
  <c r="T132" i="90" s="1"/>
  <c r="U132" i="90" s="1"/>
  <c r="S179" i="90"/>
  <c r="T179" i="90" s="1"/>
  <c r="W179" i="90" s="1"/>
  <c r="S207" i="90"/>
  <c r="T207" i="90" s="1"/>
  <c r="W207" i="90" s="1"/>
  <c r="S224" i="90"/>
  <c r="T224" i="90" s="1"/>
  <c r="W224" i="90" s="1"/>
  <c r="S37" i="90"/>
  <c r="T37" i="90" s="1"/>
  <c r="U37" i="90" s="1"/>
  <c r="S124" i="90"/>
  <c r="T124" i="90" s="1"/>
  <c r="W124" i="90" s="1"/>
  <c r="S85" i="90"/>
  <c r="T85" i="90" s="1"/>
  <c r="U85" i="90" s="1"/>
  <c r="S87" i="90"/>
  <c r="T87" i="90" s="1"/>
  <c r="W87" i="90" s="1"/>
  <c r="S183" i="90"/>
  <c r="T183" i="90" s="1"/>
  <c r="W183" i="90" s="1"/>
  <c r="S217" i="90"/>
  <c r="T217" i="90" s="1"/>
  <c r="W217" i="90" s="1"/>
  <c r="S38" i="90"/>
  <c r="T38" i="90" s="1"/>
  <c r="U38" i="90" s="1"/>
  <c r="S220" i="90"/>
  <c r="T220" i="90" s="1"/>
  <c r="U220" i="90" s="1"/>
  <c r="S86" i="90"/>
  <c r="T86" i="90" s="1"/>
  <c r="W86" i="90" s="1"/>
  <c r="S174" i="90"/>
  <c r="T174" i="90" s="1"/>
  <c r="W174" i="90" s="1"/>
  <c r="S30" i="90"/>
  <c r="T30" i="90" s="1"/>
  <c r="U30" i="90" s="1"/>
  <c r="S81" i="90"/>
  <c r="T81" i="90" s="1"/>
  <c r="W81" i="90" s="1"/>
  <c r="S42" i="90"/>
  <c r="T42" i="90" s="1"/>
  <c r="U42" i="90" s="1"/>
  <c r="S130" i="90"/>
  <c r="T130" i="90" s="1"/>
  <c r="U130" i="90" s="1"/>
  <c r="S44" i="90"/>
  <c r="T44" i="90" s="1"/>
  <c r="U44" i="90" s="1"/>
  <c r="F201" i="90"/>
  <c r="S125" i="90"/>
  <c r="T125" i="90" s="1"/>
  <c r="U125" i="90" s="1"/>
  <c r="S84" i="90"/>
  <c r="T84" i="90" s="1"/>
  <c r="W84" i="90" s="1"/>
  <c r="S136" i="90"/>
  <c r="T136" i="90" s="1"/>
  <c r="W136" i="90" s="1"/>
  <c r="S223" i="90"/>
  <c r="T223" i="90" s="1"/>
  <c r="U223" i="90" s="1"/>
  <c r="S180" i="90"/>
  <c r="T180" i="90" s="1"/>
  <c r="W180" i="90" s="1"/>
  <c r="S40" i="90"/>
  <c r="T40" i="90" s="1"/>
  <c r="U40" i="90" s="1"/>
  <c r="S170" i="90"/>
  <c r="T170" i="90" s="1"/>
  <c r="U170" i="90" s="1"/>
  <c r="S229" i="90"/>
  <c r="T229" i="90" s="1"/>
  <c r="U229" i="90" s="1"/>
  <c r="S76" i="90"/>
  <c r="T76" i="90" s="1"/>
  <c r="U76" i="90" s="1"/>
  <c r="S126" i="90"/>
  <c r="T126" i="90" s="1"/>
  <c r="W126" i="90" s="1"/>
  <c r="S48" i="90"/>
  <c r="T48" i="90" s="1"/>
  <c r="W48" i="90" s="1"/>
  <c r="S120" i="90"/>
  <c r="T120" i="90" s="1"/>
  <c r="U120" i="90" s="1"/>
  <c r="S90" i="90"/>
  <c r="T90" i="90" s="1"/>
  <c r="U90" i="90" s="1"/>
  <c r="S182" i="90"/>
  <c r="T182" i="90" s="1"/>
  <c r="U182" i="90" s="1"/>
  <c r="S80" i="90"/>
  <c r="T80" i="90" s="1"/>
  <c r="W80" i="90" s="1"/>
  <c r="S167" i="90"/>
  <c r="T167" i="90" s="1"/>
  <c r="U167" i="90" s="1"/>
  <c r="S218" i="90"/>
  <c r="T218" i="90" s="1"/>
  <c r="U218" i="90" s="1"/>
  <c r="S79" i="90"/>
  <c r="T79" i="90" s="1"/>
  <c r="W79" i="90" s="1"/>
  <c r="S215" i="90"/>
  <c r="T215" i="90" s="1"/>
  <c r="W215" i="90" s="1"/>
  <c r="S91" i="90"/>
  <c r="T91" i="90" s="1"/>
  <c r="U91" i="90" s="1"/>
  <c r="S209" i="90"/>
  <c r="T209" i="90" s="1"/>
  <c r="U209" i="90" s="1"/>
  <c r="S216" i="90"/>
  <c r="T216" i="90" s="1"/>
  <c r="W216" i="90" s="1"/>
  <c r="S139" i="90"/>
  <c r="T139" i="90" s="1"/>
  <c r="U139" i="90" s="1"/>
  <c r="S35" i="90"/>
  <c r="T35" i="90" s="1"/>
  <c r="W35" i="90" s="1"/>
  <c r="S127" i="90"/>
  <c r="T127" i="90" s="1"/>
  <c r="W127" i="90" s="1"/>
  <c r="S137" i="90"/>
  <c r="T137" i="90" s="1"/>
  <c r="W137" i="90" s="1"/>
  <c r="S47" i="90"/>
  <c r="T47" i="90" s="1"/>
  <c r="U47" i="90" s="1"/>
  <c r="S78" i="90"/>
  <c r="T78" i="90" s="1"/>
  <c r="U78" i="90" s="1"/>
  <c r="S119" i="90"/>
  <c r="T119" i="90" s="1"/>
  <c r="U119" i="90" s="1"/>
  <c r="S135" i="90"/>
  <c r="T135" i="90" s="1"/>
  <c r="U135" i="90" s="1"/>
  <c r="S166" i="90"/>
  <c r="T166" i="90" s="1"/>
  <c r="W166" i="90" s="1"/>
  <c r="S36" i="90"/>
  <c r="T36" i="90" s="1"/>
  <c r="W36" i="90" s="1"/>
  <c r="S225" i="90"/>
  <c r="T225" i="90" s="1"/>
  <c r="W225" i="90" s="1"/>
  <c r="S171" i="90"/>
  <c r="T171" i="90" s="1"/>
  <c r="U171" i="90" s="1"/>
  <c r="S122" i="90"/>
  <c r="T122" i="90" s="1"/>
  <c r="W122" i="90" s="1"/>
  <c r="S219" i="90"/>
  <c r="T219" i="90" s="1"/>
  <c r="U219" i="90" s="1"/>
  <c r="F196" i="90"/>
  <c r="S227" i="90"/>
  <c r="T227" i="90" s="1"/>
  <c r="U227" i="90" s="1"/>
  <c r="S72" i="90"/>
  <c r="T72" i="90" s="1"/>
  <c r="W72" i="90" s="1"/>
  <c r="S92" i="90"/>
  <c r="T92" i="90" s="1"/>
  <c r="U92" i="90" s="1"/>
  <c r="S43" i="90"/>
  <c r="T43" i="90" s="1"/>
  <c r="W43" i="90" s="1"/>
  <c r="S31" i="90"/>
  <c r="T31" i="90" s="1"/>
  <c r="W31" i="90" s="1"/>
  <c r="S133" i="90"/>
  <c r="T133" i="90" s="1"/>
  <c r="W133" i="90" s="1"/>
  <c r="S162" i="90"/>
  <c r="T162" i="90" s="1"/>
  <c r="W162" i="90" s="1"/>
  <c r="Y131" i="84"/>
  <c r="AH135" i="90" s="1"/>
  <c r="AP59" i="94"/>
  <c r="J103" i="84"/>
  <c r="F107" i="90"/>
  <c r="D10" i="75"/>
  <c r="EE10" i="75" s="1"/>
  <c r="M101" i="71"/>
  <c r="BO100" i="71" s="1"/>
  <c r="D10" i="76"/>
  <c r="D10" i="74"/>
  <c r="Q100" i="70"/>
  <c r="BO100" i="70" s="1"/>
  <c r="AP103" i="87"/>
  <c r="N101" i="95"/>
  <c r="AO101" i="95" s="1"/>
  <c r="N100" i="72"/>
  <c r="AP100" i="72" s="1"/>
  <c r="N100" i="69"/>
  <c r="BJ100" i="69" s="1"/>
  <c r="X113" i="68"/>
  <c r="Y128" i="84"/>
  <c r="AH132" i="90" s="1"/>
  <c r="Y213" i="84"/>
  <c r="AH217" i="90" s="1"/>
  <c r="Y78" i="84"/>
  <c r="AH82" i="90" s="1"/>
  <c r="Y134" i="84"/>
  <c r="AH138" i="90" s="1"/>
  <c r="M100" i="71"/>
  <c r="BO99" i="71" s="1"/>
  <c r="D9" i="74"/>
  <c r="D9" i="75"/>
  <c r="CO9" i="75" s="1"/>
  <c r="D9" i="76"/>
  <c r="N99" i="72"/>
  <c r="AP99" i="72" s="1"/>
  <c r="AP58" i="94"/>
  <c r="N100" i="95"/>
  <c r="AO100" i="95" s="1"/>
  <c r="N99" i="69"/>
  <c r="BJ99" i="69" s="1"/>
  <c r="Q99" i="70"/>
  <c r="BO99" i="70" s="1"/>
  <c r="F106" i="90"/>
  <c r="J102" i="84"/>
  <c r="AP102" i="87"/>
  <c r="X112" i="68"/>
  <c r="Y127" i="84"/>
  <c r="AH131" i="90" s="1"/>
  <c r="R75" i="71"/>
  <c r="Y75" i="71"/>
  <c r="Z75" i="71"/>
  <c r="AA75" i="71"/>
  <c r="AB75" i="71"/>
  <c r="AC75" i="71"/>
  <c r="AD75" i="71"/>
  <c r="Y43" i="84"/>
  <c r="AH47" i="90" s="1"/>
  <c r="Y79" i="84"/>
  <c r="AH83" i="90" s="1"/>
  <c r="Y85" i="84"/>
  <c r="AH89" i="90" s="1"/>
  <c r="AC72" i="71"/>
  <c r="AD72" i="71"/>
  <c r="R72" i="71"/>
  <c r="Y72" i="71"/>
  <c r="Z72" i="71"/>
  <c r="AA72" i="71"/>
  <c r="AB72" i="71"/>
  <c r="Y217" i="84"/>
  <c r="AH221" i="90" s="1"/>
  <c r="Y176" i="84"/>
  <c r="AH180" i="90" s="1"/>
  <c r="Y170" i="84"/>
  <c r="AH174" i="90" s="1"/>
  <c r="Y44" i="84"/>
  <c r="AH48" i="90" s="1"/>
  <c r="AM100" i="47"/>
  <c r="AM93" i="47"/>
  <c r="E15" i="76"/>
  <c r="F157" i="90"/>
  <c r="AP153" i="87"/>
  <c r="E15" i="75"/>
  <c r="DK15" i="75" s="1"/>
  <c r="M151" i="71"/>
  <c r="BO150" i="71" s="1"/>
  <c r="E15" i="74"/>
  <c r="N150" i="69"/>
  <c r="BJ150" i="69" s="1"/>
  <c r="N150" i="72"/>
  <c r="AP150" i="72" s="1"/>
  <c r="N151" i="95"/>
  <c r="AO151" i="95" s="1"/>
  <c r="J153" i="84"/>
  <c r="Q150" i="70"/>
  <c r="BO150" i="70" s="1"/>
  <c r="Y163" i="68"/>
  <c r="AP87" i="94"/>
  <c r="X163" i="68"/>
  <c r="Y38" i="84"/>
  <c r="AH42" i="90" s="1"/>
  <c r="Y219" i="84"/>
  <c r="AH223" i="90" s="1"/>
  <c r="Y129" i="84"/>
  <c r="AH133" i="90" s="1"/>
  <c r="Y125" i="84"/>
  <c r="AH129" i="90" s="1"/>
  <c r="Y130" i="84"/>
  <c r="AH134" i="90" s="1"/>
  <c r="Y35" i="84"/>
  <c r="AH39" i="90" s="1"/>
  <c r="X208" i="68"/>
  <c r="M196" i="71"/>
  <c r="BO195" i="71" s="1"/>
  <c r="F15" i="74"/>
  <c r="F15" i="76"/>
  <c r="Y208" i="68"/>
  <c r="Q195" i="70"/>
  <c r="BO195" i="70" s="1"/>
  <c r="AP110" i="94"/>
  <c r="N195" i="72"/>
  <c r="AP195" i="72" s="1"/>
  <c r="J198" i="84"/>
  <c r="F15" i="75"/>
  <c r="EG15" i="75" s="1"/>
  <c r="N196" i="95"/>
  <c r="AO196" i="95" s="1"/>
  <c r="N195" i="69"/>
  <c r="BJ195" i="69" s="1"/>
  <c r="AP198" i="87"/>
  <c r="Y223" i="84"/>
  <c r="AH227" i="90" s="1"/>
  <c r="Y86" i="84"/>
  <c r="AH90" i="90" s="1"/>
  <c r="Y175" i="84"/>
  <c r="AH179" i="90" s="1"/>
  <c r="Y224" i="84"/>
  <c r="AH228" i="90" s="1"/>
  <c r="Y225" i="84"/>
  <c r="AH229" i="90" s="1"/>
  <c r="Q54" i="70"/>
  <c r="BO54" i="70" s="1"/>
  <c r="M55" i="71"/>
  <c r="BO54" i="71" s="1"/>
  <c r="N55" i="95"/>
  <c r="AO55" i="95" s="1"/>
  <c r="AP35" i="94"/>
  <c r="J57" i="84"/>
  <c r="C9" i="76"/>
  <c r="N54" i="69"/>
  <c r="BJ54" i="69" s="1"/>
  <c r="X67" i="68"/>
  <c r="N54" i="72"/>
  <c r="AP54" i="72" s="1"/>
  <c r="F61" i="90"/>
  <c r="C9" i="75"/>
  <c r="DI9" i="75" s="1"/>
  <c r="C9" i="74"/>
  <c r="AP57" i="87"/>
  <c r="Y28" i="84"/>
  <c r="AH32" i="90" s="1"/>
  <c r="AM38" i="47"/>
  <c r="AM4" i="47"/>
  <c r="AM47" i="47"/>
  <c r="AM53" i="47"/>
  <c r="AM68" i="47"/>
  <c r="AM37" i="47"/>
  <c r="AM55" i="47"/>
  <c r="Y216" i="84"/>
  <c r="AH220" i="90" s="1"/>
  <c r="F14" i="75"/>
  <c r="EG14" i="75" s="1"/>
  <c r="Q194" i="70"/>
  <c r="BO194" i="70" s="1"/>
  <c r="J197" i="84"/>
  <c r="AP197" i="87"/>
  <c r="M195" i="71"/>
  <c r="BO194" i="71" s="1"/>
  <c r="X207" i="68"/>
  <c r="N194" i="69"/>
  <c r="BJ194" i="69" s="1"/>
  <c r="F14" i="74"/>
  <c r="N195" i="95"/>
  <c r="AO195" i="95" s="1"/>
  <c r="Y207" i="68"/>
  <c r="F14" i="76"/>
  <c r="AP109" i="94"/>
  <c r="N194" i="72"/>
  <c r="AP194" i="72" s="1"/>
  <c r="Y31" i="84"/>
  <c r="AH35" i="90" s="1"/>
  <c r="Y168" i="84"/>
  <c r="AH172" i="90" s="1"/>
  <c r="R73" i="71"/>
  <c r="Y73" i="71"/>
  <c r="Z73" i="71"/>
  <c r="AA73" i="71"/>
  <c r="AB73" i="71"/>
  <c r="AD73" i="71"/>
  <c r="AC73" i="71"/>
  <c r="Y23" i="84"/>
  <c r="AH27" i="90" s="1"/>
  <c r="Y214" i="84"/>
  <c r="AH218" i="90" s="1"/>
  <c r="N61" i="69"/>
  <c r="BJ61" i="69" s="1"/>
  <c r="C16" i="76"/>
  <c r="Q61" i="70"/>
  <c r="BO61" i="70" s="1"/>
  <c r="N62" i="95"/>
  <c r="AO62" i="95" s="1"/>
  <c r="Y74" i="68"/>
  <c r="M62" i="71"/>
  <c r="BO61" i="71" s="1"/>
  <c r="N61" i="72"/>
  <c r="AP61" i="72" s="1"/>
  <c r="C16" i="75"/>
  <c r="DI16" i="75" s="1"/>
  <c r="AP64" i="87"/>
  <c r="J64" i="84"/>
  <c r="F68" i="90"/>
  <c r="AP42" i="94"/>
  <c r="C16" i="74"/>
  <c r="X74" i="68"/>
  <c r="Y135" i="84"/>
  <c r="AH139" i="90" s="1"/>
  <c r="Y215" i="84"/>
  <c r="AH219" i="90" s="1"/>
  <c r="Y34" i="84"/>
  <c r="AH38" i="90" s="1"/>
  <c r="Y133" i="84"/>
  <c r="AH137" i="90" s="1"/>
  <c r="Y88" i="84"/>
  <c r="AH92" i="90" s="1"/>
  <c r="AM95" i="47"/>
  <c r="AM5" i="47"/>
  <c r="AM6" i="47"/>
  <c r="AM84" i="47"/>
  <c r="AM97" i="47"/>
  <c r="M106" i="71"/>
  <c r="BO105" i="71" s="1"/>
  <c r="N105" i="69"/>
  <c r="BJ105" i="69" s="1"/>
  <c r="AP64" i="94"/>
  <c r="D15" i="75"/>
  <c r="EE15" i="75" s="1"/>
  <c r="J108" i="84"/>
  <c r="N105" i="72"/>
  <c r="AP105" i="72" s="1"/>
  <c r="X118" i="68"/>
  <c r="F112" i="90"/>
  <c r="AP108" i="87"/>
  <c r="Q105" i="70"/>
  <c r="BO105" i="70" s="1"/>
  <c r="D15" i="74"/>
  <c r="Y118" i="68"/>
  <c r="D15" i="76"/>
  <c r="N106" i="95"/>
  <c r="AO106" i="95" s="1"/>
  <c r="Y39" i="84"/>
  <c r="AH43" i="90" s="1"/>
  <c r="Y178" i="84"/>
  <c r="AH182" i="90" s="1"/>
  <c r="Y80" i="84"/>
  <c r="AH84" i="90" s="1"/>
  <c r="Y123" i="84"/>
  <c r="AH127" i="90" s="1"/>
  <c r="Y126" i="84"/>
  <c r="AH130" i="90" s="1"/>
  <c r="N189" i="72"/>
  <c r="AP189" i="72" s="1"/>
  <c r="F9" i="75"/>
  <c r="BV9" i="75" s="1"/>
  <c r="F9" i="76"/>
  <c r="Q189" i="70"/>
  <c r="BO189" i="70" s="1"/>
  <c r="AP104" i="94"/>
  <c r="AP192" i="87"/>
  <c r="X202" i="68"/>
  <c r="N189" i="69"/>
  <c r="BJ189" i="69" s="1"/>
  <c r="F9" i="74"/>
  <c r="M190" i="71"/>
  <c r="BO189" i="71" s="1"/>
  <c r="J192" i="84"/>
  <c r="N190" i="95"/>
  <c r="AO190" i="95" s="1"/>
  <c r="Y45" i="84"/>
  <c r="AH49" i="90" s="1"/>
  <c r="Y179" i="84"/>
  <c r="AH183" i="90" s="1"/>
  <c r="AM16" i="47"/>
  <c r="AM19" i="47"/>
  <c r="AM45" i="47"/>
  <c r="AM103" i="47"/>
  <c r="AM39" i="47"/>
  <c r="AM73" i="47"/>
  <c r="AM43" i="47"/>
  <c r="AM61" i="47"/>
  <c r="Y27" i="84"/>
  <c r="AH31" i="90" s="1"/>
  <c r="C10" i="76"/>
  <c r="N55" i="69"/>
  <c r="BJ55" i="69" s="1"/>
  <c r="X68" i="68"/>
  <c r="C10" i="74"/>
  <c r="AP58" i="87"/>
  <c r="Q55" i="70"/>
  <c r="BO55" i="70" s="1"/>
  <c r="C10" i="75"/>
  <c r="ED10" i="75" s="1"/>
  <c r="N55" i="72"/>
  <c r="AP55" i="72" s="1"/>
  <c r="M56" i="71"/>
  <c r="BO55" i="71" s="1"/>
  <c r="F62" i="90"/>
  <c r="AP36" i="94"/>
  <c r="J58" i="84"/>
  <c r="N56" i="95"/>
  <c r="AO56" i="95" s="1"/>
  <c r="Y218" i="84"/>
  <c r="AH222" i="90" s="1"/>
  <c r="AA74" i="71"/>
  <c r="AB74" i="71"/>
  <c r="AD74" i="71"/>
  <c r="AC74" i="71"/>
  <c r="Y74" i="71"/>
  <c r="Z74" i="71"/>
  <c r="R74" i="71"/>
  <c r="X157" i="68"/>
  <c r="N144" i="72"/>
  <c r="AP144" i="72" s="1"/>
  <c r="AP147" i="87"/>
  <c r="N145" i="95"/>
  <c r="AO145" i="95" s="1"/>
  <c r="N144" i="69"/>
  <c r="BJ144" i="69" s="1"/>
  <c r="Q144" i="70"/>
  <c r="BO144" i="70" s="1"/>
  <c r="M145" i="71"/>
  <c r="BO144" i="71" s="1"/>
  <c r="J147" i="84"/>
  <c r="E9" i="76"/>
  <c r="AP81" i="94"/>
  <c r="E9" i="74"/>
  <c r="E9" i="75"/>
  <c r="DK9" i="75" s="1"/>
  <c r="F151" i="90"/>
  <c r="Y132" i="84"/>
  <c r="AH136" i="90" s="1"/>
  <c r="Y222" i="84"/>
  <c r="AH226" i="90" s="1"/>
  <c r="Y173" i="84"/>
  <c r="AH177" i="90" s="1"/>
  <c r="Y124" i="84"/>
  <c r="AH128" i="90" s="1"/>
  <c r="AM94" i="47"/>
  <c r="AM75" i="47"/>
  <c r="AM69" i="47"/>
  <c r="AP53" i="94"/>
  <c r="Q94" i="70"/>
  <c r="BO94" i="70" s="1"/>
  <c r="F101" i="90"/>
  <c r="N94" i="72"/>
  <c r="AP94" i="72" s="1"/>
  <c r="J97" i="84"/>
  <c r="N94" i="69"/>
  <c r="BJ94" i="69" s="1"/>
  <c r="D4" i="74"/>
  <c r="D4" i="75"/>
  <c r="EE4" i="75" s="1"/>
  <c r="M95" i="71"/>
  <c r="BO94" i="71" s="1"/>
  <c r="W107" i="68"/>
  <c r="X107" i="68"/>
  <c r="AP97" i="87"/>
  <c r="N95" i="95"/>
  <c r="AO95" i="95" s="1"/>
  <c r="D4" i="76"/>
  <c r="M189" i="71"/>
  <c r="BO188" i="71" s="1"/>
  <c r="X201" i="68"/>
  <c r="F8" i="76"/>
  <c r="F8" i="74"/>
  <c r="AP191" i="87"/>
  <c r="AP103" i="94"/>
  <c r="F8" i="75"/>
  <c r="EG8" i="75" s="1"/>
  <c r="N188" i="69"/>
  <c r="BJ188" i="69" s="1"/>
  <c r="J191" i="84"/>
  <c r="Q188" i="70"/>
  <c r="BO188" i="70" s="1"/>
  <c r="N188" i="72"/>
  <c r="AP188" i="72" s="1"/>
  <c r="N189" i="95"/>
  <c r="AO189" i="95" s="1"/>
  <c r="Y24" i="84"/>
  <c r="AH28" i="90" s="1"/>
  <c r="Y33" i="84"/>
  <c r="AH37" i="90" s="1"/>
  <c r="Y37" i="84"/>
  <c r="AH41" i="90" s="1"/>
  <c r="Y26" i="84"/>
  <c r="AH30" i="90" s="1"/>
  <c r="Q49" i="70"/>
  <c r="BO49" i="70" s="1"/>
  <c r="N49" i="72"/>
  <c r="AP49" i="72" s="1"/>
  <c r="W62" i="68"/>
  <c r="M50" i="71"/>
  <c r="BO49" i="71" s="1"/>
  <c r="J52" i="84"/>
  <c r="C4" i="76"/>
  <c r="F56" i="90"/>
  <c r="N50" i="95"/>
  <c r="AO50" i="95" s="1"/>
  <c r="C4" i="74"/>
  <c r="AP52" i="87"/>
  <c r="AP30" i="94"/>
  <c r="N49" i="69"/>
  <c r="BJ49" i="69" s="1"/>
  <c r="X62" i="68"/>
  <c r="C4" i="75"/>
  <c r="ED4" i="75" s="1"/>
  <c r="Y220" i="84"/>
  <c r="AH224" i="90" s="1"/>
  <c r="Y177" i="84"/>
  <c r="AH181" i="90" s="1"/>
  <c r="Y41" i="84"/>
  <c r="AH45" i="90" s="1"/>
  <c r="M150" i="71"/>
  <c r="BO149" i="71" s="1"/>
  <c r="N149" i="69"/>
  <c r="BJ149" i="69" s="1"/>
  <c r="E14" i="74"/>
  <c r="Y162" i="68"/>
  <c r="J152" i="84"/>
  <c r="N149" i="72"/>
  <c r="AP149" i="72" s="1"/>
  <c r="Q149" i="70"/>
  <c r="BO149" i="70" s="1"/>
  <c r="F156" i="90"/>
  <c r="E14" i="75"/>
  <c r="BU14" i="75" s="1"/>
  <c r="N150" i="95"/>
  <c r="AO150" i="95" s="1"/>
  <c r="AP152" i="87"/>
  <c r="AP86" i="94"/>
  <c r="E14" i="76"/>
  <c r="X162" i="68"/>
  <c r="Y171" i="84"/>
  <c r="AH175" i="90" s="1"/>
  <c r="Y42" i="84"/>
  <c r="AH46" i="90" s="1"/>
  <c r="Y83" i="84"/>
  <c r="AH87" i="90" s="1"/>
  <c r="Y25" i="84"/>
  <c r="AH29" i="90" s="1"/>
  <c r="AM60" i="47"/>
  <c r="AM28" i="47"/>
  <c r="AM99" i="47"/>
  <c r="AM46" i="47"/>
  <c r="AM92" i="47"/>
  <c r="Y221" i="84"/>
  <c r="AH225" i="90" s="1"/>
  <c r="Y40" i="84"/>
  <c r="AH44" i="90" s="1"/>
  <c r="Y169" i="84"/>
  <c r="AH173" i="90" s="1"/>
  <c r="Y87" i="84"/>
  <c r="AH91" i="90" s="1"/>
  <c r="Y30" i="84"/>
  <c r="AH34" i="90" s="1"/>
  <c r="AP142" i="87"/>
  <c r="J142" i="84"/>
  <c r="X152" i="68"/>
  <c r="AP76" i="94"/>
  <c r="N139" i="69"/>
  <c r="BJ139" i="69" s="1"/>
  <c r="E4" i="75"/>
  <c r="EF4" i="75" s="1"/>
  <c r="E4" i="74"/>
  <c r="N139" i="72"/>
  <c r="AP139" i="72" s="1"/>
  <c r="Q139" i="70"/>
  <c r="BO139" i="70" s="1"/>
  <c r="E4" i="76"/>
  <c r="N140" i="95"/>
  <c r="AO140" i="95" s="1"/>
  <c r="F146" i="90"/>
  <c r="M140" i="71"/>
  <c r="BO139" i="71" s="1"/>
  <c r="X158" i="68"/>
  <c r="E10" i="74"/>
  <c r="Q145" i="70"/>
  <c r="BO145" i="70" s="1"/>
  <c r="N145" i="69"/>
  <c r="BJ145" i="69" s="1"/>
  <c r="M146" i="71"/>
  <c r="BO145" i="71" s="1"/>
  <c r="N146" i="95"/>
  <c r="AO146" i="95" s="1"/>
  <c r="AP148" i="87"/>
  <c r="AP82" i="94"/>
  <c r="F152" i="90"/>
  <c r="N145" i="72"/>
  <c r="AP145" i="72" s="1"/>
  <c r="E10" i="75"/>
  <c r="EF10" i="75" s="1"/>
  <c r="J148" i="84"/>
  <c r="E10" i="76"/>
  <c r="Y174" i="84"/>
  <c r="AH178" i="90" s="1"/>
  <c r="Y82" i="84"/>
  <c r="AH86" i="90" s="1"/>
  <c r="Y90" i="84"/>
  <c r="AH94" i="90" s="1"/>
  <c r="AM24" i="47"/>
  <c r="AM89" i="47"/>
  <c r="AM30" i="47"/>
  <c r="AM14" i="47"/>
  <c r="AM88" i="47"/>
  <c r="AM70" i="47"/>
  <c r="Y29" i="84"/>
  <c r="AH33" i="90" s="1"/>
  <c r="Y172" i="84"/>
  <c r="AH176" i="90" s="1"/>
  <c r="Y180" i="84"/>
  <c r="AH184" i="90" s="1"/>
  <c r="Y32" i="84"/>
  <c r="AH36" i="90" s="1"/>
  <c r="Y84" i="84"/>
  <c r="AH88" i="90" s="1"/>
  <c r="AP41" i="94"/>
  <c r="N61" i="95"/>
  <c r="AO61" i="95" s="1"/>
  <c r="Q60" i="70"/>
  <c r="BO60" i="70" s="1"/>
  <c r="AP63" i="87"/>
  <c r="N60" i="69"/>
  <c r="BJ60" i="69" s="1"/>
  <c r="M61" i="71"/>
  <c r="BO60" i="71" s="1"/>
  <c r="F67" i="90"/>
  <c r="C15" i="75"/>
  <c r="ED15" i="75" s="1"/>
  <c r="Y73" i="68"/>
  <c r="N60" i="72"/>
  <c r="AP60" i="72" s="1"/>
  <c r="X73" i="68"/>
  <c r="C15" i="74"/>
  <c r="J63" i="84"/>
  <c r="C15" i="76"/>
  <c r="Y36" i="84"/>
  <c r="AH40" i="90" s="1"/>
  <c r="Y89" i="84"/>
  <c r="AH93" i="90" s="1"/>
  <c r="F4" i="76"/>
  <c r="F4" i="74"/>
  <c r="N185" i="95"/>
  <c r="AO185" i="95" s="1"/>
  <c r="N184" i="69"/>
  <c r="BJ184" i="69" s="1"/>
  <c r="Q184" i="70"/>
  <c r="BO184" i="70" s="1"/>
  <c r="AP99" i="94"/>
  <c r="N184" i="72"/>
  <c r="AP184" i="72" s="1"/>
  <c r="X197" i="68"/>
  <c r="F191" i="90"/>
  <c r="J187" i="84"/>
  <c r="F4" i="75"/>
  <c r="EG4" i="75" s="1"/>
  <c r="M185" i="71"/>
  <c r="BO184" i="71" s="1"/>
  <c r="AP187" i="87"/>
  <c r="Y81" i="84"/>
  <c r="AH85" i="90" s="1"/>
  <c r="AM74" i="47"/>
  <c r="AM102" i="47"/>
  <c r="AM66" i="47"/>
  <c r="AM91" i="47"/>
  <c r="AM67" i="47"/>
  <c r="AM57" i="47"/>
  <c r="AM15" i="47"/>
  <c r="AM51" i="47"/>
  <c r="AM20" i="47"/>
  <c r="AM8" i="47"/>
  <c r="AM62" i="47"/>
  <c r="AM11" i="47"/>
  <c r="AM49" i="47"/>
  <c r="AM80" i="47"/>
  <c r="AM33" i="47"/>
  <c r="AM58" i="47"/>
  <c r="AM44" i="47"/>
  <c r="AM96" i="47"/>
  <c r="AM81" i="47"/>
  <c r="AM21" i="47"/>
  <c r="AM63" i="47"/>
  <c r="AM23" i="47"/>
  <c r="AM98" i="47"/>
  <c r="AM10" i="47"/>
  <c r="AM48" i="47"/>
  <c r="AM76" i="47"/>
  <c r="AM41" i="47"/>
  <c r="AM86" i="47"/>
  <c r="AM7" i="47"/>
  <c r="AM52" i="47"/>
  <c r="AM42" i="47"/>
  <c r="AM36" i="47"/>
  <c r="AM31" i="47"/>
  <c r="AM83" i="47"/>
  <c r="AM50" i="47"/>
  <c r="AM82" i="47"/>
  <c r="AM18" i="47"/>
  <c r="AM22" i="47"/>
  <c r="AM34" i="47"/>
  <c r="AM17" i="47"/>
  <c r="AM90" i="47"/>
  <c r="AM25" i="47"/>
  <c r="AM78" i="47"/>
  <c r="AM13" i="47"/>
  <c r="AM54" i="47"/>
  <c r="AM9" i="47"/>
  <c r="AM12" i="47"/>
  <c r="AM79" i="47"/>
  <c r="AM101" i="47"/>
  <c r="AM77" i="47"/>
  <c r="AM26" i="47"/>
  <c r="AM29" i="47"/>
  <c r="AM87" i="47"/>
  <c r="AM27" i="47"/>
  <c r="AM35" i="47"/>
  <c r="AM65" i="47"/>
  <c r="AM56" i="47"/>
  <c r="AM32" i="47"/>
  <c r="AM59" i="47"/>
  <c r="AM71" i="47"/>
  <c r="AM40" i="47"/>
  <c r="AM85" i="47"/>
  <c r="AM64" i="47"/>
  <c r="AM72" i="47"/>
  <c r="D97" i="69"/>
  <c r="K42" i="94"/>
  <c r="J42" i="94"/>
  <c r="L42" i="94"/>
  <c r="BG108" i="84"/>
  <c r="BH108" i="84"/>
  <c r="BI108" i="84"/>
  <c r="AZ40" i="95"/>
  <c r="AZ41" i="95" s="1"/>
  <c r="AW176" i="95"/>
  <c r="AZ42" i="95"/>
  <c r="AU130" i="95"/>
  <c r="AV221" i="95"/>
  <c r="AZ128" i="95"/>
  <c r="AZ129" i="95" s="1"/>
  <c r="AU219" i="95"/>
  <c r="AP41" i="95"/>
  <c r="AV87" i="95"/>
  <c r="AQ176" i="95"/>
  <c r="BB223" i="95"/>
  <c r="AP82" i="95"/>
  <c r="AR176" i="95"/>
  <c r="AP131" i="95"/>
  <c r="AP132" i="95" s="1"/>
  <c r="AV42" i="95"/>
  <c r="AQ132" i="95"/>
  <c r="AP133" i="95"/>
  <c r="AR222" i="95"/>
  <c r="AQ220" i="95"/>
  <c r="AQ221" i="95" s="1"/>
  <c r="AV177" i="95"/>
  <c r="AQ222" i="95"/>
  <c r="AZ130" i="95"/>
  <c r="AP177" i="95"/>
  <c r="AP178" i="95" s="1"/>
  <c r="AQ42" i="95"/>
  <c r="BA86" i="95"/>
  <c r="BA87" i="95" s="1"/>
  <c r="BA88" i="95" s="1"/>
  <c r="AP219" i="95"/>
  <c r="AZ223" i="95"/>
  <c r="CY6" i="84"/>
  <c r="CX11" i="84"/>
  <c r="CY5" i="84"/>
  <c r="CZ6" i="84"/>
  <c r="CX5" i="84"/>
  <c r="DB7" i="84"/>
  <c r="CX6" i="84"/>
  <c r="CX10" i="84"/>
  <c r="CY4" i="84"/>
  <c r="CZ4" i="84"/>
  <c r="CZ5" i="84"/>
  <c r="CX8" i="84"/>
  <c r="CX9" i="84"/>
  <c r="CY7" i="84"/>
  <c r="DB5" i="84"/>
  <c r="CX7" i="84"/>
  <c r="DB4" i="84"/>
  <c r="CZ7" i="84"/>
  <c r="CX4" i="84"/>
  <c r="AC201" i="90"/>
  <c r="AD196" i="90"/>
  <c r="AC196" i="90"/>
  <c r="AD195" i="90"/>
  <c r="AB201" i="90"/>
  <c r="AC195" i="90"/>
  <c r="AC202" i="90"/>
  <c r="AB196" i="90"/>
  <c r="AD201" i="90"/>
  <c r="AD202" i="90"/>
  <c r="AB202" i="90"/>
  <c r="U39" i="90" l="1"/>
  <c r="V39" i="90" s="1"/>
  <c r="U164" i="90"/>
  <c r="X164" i="90" s="1"/>
  <c r="W163" i="90"/>
  <c r="U129" i="90"/>
  <c r="X129" i="90" s="1"/>
  <c r="U83" i="90"/>
  <c r="X83" i="90" s="1"/>
  <c r="W213" i="90"/>
  <c r="U215" i="90"/>
  <c r="V215" i="90" s="1"/>
  <c r="W131" i="90"/>
  <c r="U217" i="90"/>
  <c r="V217" i="90" s="1"/>
  <c r="U27" i="90"/>
  <c r="V27" i="90" s="1"/>
  <c r="U179" i="90"/>
  <c r="X179" i="90" s="1"/>
  <c r="W227" i="90"/>
  <c r="W130" i="90"/>
  <c r="W89" i="90"/>
  <c r="U136" i="90"/>
  <c r="V136" i="90" s="1"/>
  <c r="W211" i="90"/>
  <c r="W182" i="90"/>
  <c r="U216" i="90"/>
  <c r="V216" i="90" s="1"/>
  <c r="U214" i="90"/>
  <c r="X214" i="90" s="1"/>
  <c r="W40" i="90"/>
  <c r="W75" i="90"/>
  <c r="W184" i="90"/>
  <c r="W128" i="90"/>
  <c r="W46" i="90"/>
  <c r="U49" i="90"/>
  <c r="V49" i="90" s="1"/>
  <c r="U48" i="90"/>
  <c r="V48" i="90" s="1"/>
  <c r="U172" i="90"/>
  <c r="V172" i="90" s="1"/>
  <c r="W135" i="90"/>
  <c r="W220" i="90"/>
  <c r="U36" i="90"/>
  <c r="V36" i="90" s="1"/>
  <c r="U133" i="90"/>
  <c r="V133" i="90" s="1"/>
  <c r="W212" i="90"/>
  <c r="W229" i="90"/>
  <c r="U181" i="90"/>
  <c r="V181" i="90" s="1"/>
  <c r="W45" i="90"/>
  <c r="U35" i="90"/>
  <c r="V35" i="90" s="1"/>
  <c r="U88" i="90"/>
  <c r="X88" i="90" s="1"/>
  <c r="W92" i="90"/>
  <c r="W228" i="90"/>
  <c r="W167" i="90"/>
  <c r="U224" i="90"/>
  <c r="X224" i="90" s="1"/>
  <c r="W138" i="90"/>
  <c r="U28" i="90"/>
  <c r="X28" i="90" s="1"/>
  <c r="W47" i="90"/>
  <c r="U226" i="90"/>
  <c r="X226" i="90" s="1"/>
  <c r="W85" i="90"/>
  <c r="U221" i="90"/>
  <c r="X221" i="90" s="1"/>
  <c r="U122" i="90"/>
  <c r="V122" i="90" s="1"/>
  <c r="W118" i="90"/>
  <c r="W139" i="90"/>
  <c r="U41" i="90"/>
  <c r="X41" i="90" s="1"/>
  <c r="W32" i="90"/>
  <c r="U222" i="90"/>
  <c r="X222" i="90" s="1"/>
  <c r="U74" i="90"/>
  <c r="X74" i="90" s="1"/>
  <c r="W134" i="90"/>
  <c r="W30" i="90"/>
  <c r="U174" i="90"/>
  <c r="X174" i="90" s="1"/>
  <c r="W171" i="90"/>
  <c r="W34" i="90"/>
  <c r="W165" i="90"/>
  <c r="U31" i="90"/>
  <c r="X31" i="90" s="1"/>
  <c r="U225" i="90"/>
  <c r="V225" i="90" s="1"/>
  <c r="U84" i="90"/>
  <c r="X84" i="90" s="1"/>
  <c r="U173" i="90"/>
  <c r="V173" i="90" s="1"/>
  <c r="U208" i="90"/>
  <c r="X208" i="90" s="1"/>
  <c r="U137" i="90"/>
  <c r="V137" i="90" s="1"/>
  <c r="U29" i="90"/>
  <c r="X29" i="90" s="1"/>
  <c r="W77" i="90"/>
  <c r="U79" i="90"/>
  <c r="V79" i="90" s="1"/>
  <c r="U124" i="90"/>
  <c r="V124" i="90" s="1"/>
  <c r="U126" i="90"/>
  <c r="V126" i="90" s="1"/>
  <c r="W223" i="90"/>
  <c r="U123" i="90"/>
  <c r="X123" i="90" s="1"/>
  <c r="W78" i="90"/>
  <c r="W33" i="90"/>
  <c r="U93" i="90"/>
  <c r="V93" i="90" s="1"/>
  <c r="W218" i="90"/>
  <c r="U162" i="90"/>
  <c r="V162" i="90" s="1"/>
  <c r="U87" i="90"/>
  <c r="X87" i="90" s="1"/>
  <c r="U81" i="90"/>
  <c r="X81" i="90" s="1"/>
  <c r="W121" i="90"/>
  <c r="U80" i="90"/>
  <c r="X80" i="90" s="1"/>
  <c r="U166" i="90"/>
  <c r="V166" i="90" s="1"/>
  <c r="W177" i="90"/>
  <c r="W91" i="90"/>
  <c r="W219" i="90"/>
  <c r="W94" i="90"/>
  <c r="U73" i="90"/>
  <c r="V73" i="90" s="1"/>
  <c r="W44" i="90"/>
  <c r="U207" i="90"/>
  <c r="X207" i="90" s="1"/>
  <c r="W120" i="90"/>
  <c r="W210" i="90"/>
  <c r="W117" i="90"/>
  <c r="U72" i="90"/>
  <c r="V72" i="90" s="1"/>
  <c r="W170" i="90"/>
  <c r="W38" i="90"/>
  <c r="U43" i="90"/>
  <c r="V43" i="90" s="1"/>
  <c r="W76" i="90"/>
  <c r="W169" i="90"/>
  <c r="U127" i="90"/>
  <c r="X127" i="90" s="1"/>
  <c r="U86" i="90"/>
  <c r="V86" i="90" s="1"/>
  <c r="AF196" i="90"/>
  <c r="AH196" i="90"/>
  <c r="AM196" i="90" s="1"/>
  <c r="AH195" i="90"/>
  <c r="AM195" i="90" s="1"/>
  <c r="AF202" i="90"/>
  <c r="AF201" i="90"/>
  <c r="AU196" i="90"/>
  <c r="W175" i="90"/>
  <c r="W168" i="90"/>
  <c r="W90" i="90"/>
  <c r="W119" i="90"/>
  <c r="AU195" i="90"/>
  <c r="W209" i="90"/>
  <c r="W82" i="90"/>
  <c r="W178" i="90"/>
  <c r="W42" i="90"/>
  <c r="U183" i="90"/>
  <c r="X183" i="90" s="1"/>
  <c r="W176" i="90"/>
  <c r="AU202" i="90"/>
  <c r="U180" i="90"/>
  <c r="V180" i="90" s="1"/>
  <c r="W125" i="90"/>
  <c r="W37" i="90"/>
  <c r="W132" i="90"/>
  <c r="AU201" i="90"/>
  <c r="V34" i="90"/>
  <c r="X34" i="90"/>
  <c r="X89" i="90"/>
  <c r="V89" i="90"/>
  <c r="V175" i="90"/>
  <c r="X175" i="90"/>
  <c r="X33" i="90"/>
  <c r="V33" i="90"/>
  <c r="X168" i="90"/>
  <c r="V168" i="90"/>
  <c r="V90" i="90"/>
  <c r="X90" i="90"/>
  <c r="X165" i="90"/>
  <c r="V165" i="90"/>
  <c r="V182" i="90"/>
  <c r="X182" i="90"/>
  <c r="X229" i="90"/>
  <c r="V229" i="90"/>
  <c r="X219" i="90"/>
  <c r="V219" i="90"/>
  <c r="V47" i="90"/>
  <c r="X47" i="90"/>
  <c r="X119" i="90"/>
  <c r="V119" i="90"/>
  <c r="V167" i="90"/>
  <c r="X167" i="90"/>
  <c r="V213" i="90"/>
  <c r="X213" i="90"/>
  <c r="X130" i="90"/>
  <c r="V130" i="90"/>
  <c r="X40" i="90"/>
  <c r="V40" i="90"/>
  <c r="V92" i="90"/>
  <c r="X92" i="90"/>
  <c r="X139" i="90"/>
  <c r="V139" i="90"/>
  <c r="X131" i="90"/>
  <c r="V131" i="90"/>
  <c r="X94" i="90"/>
  <c r="V94" i="90"/>
  <c r="X212" i="90"/>
  <c r="V212" i="90"/>
  <c r="X209" i="90"/>
  <c r="V209" i="90"/>
  <c r="V82" i="90"/>
  <c r="X82" i="90"/>
  <c r="V184" i="90"/>
  <c r="X184" i="90"/>
  <c r="X178" i="90"/>
  <c r="V178" i="90"/>
  <c r="V75" i="90"/>
  <c r="X75" i="90"/>
  <c r="X85" i="90"/>
  <c r="V85" i="90"/>
  <c r="V120" i="90"/>
  <c r="X120" i="90"/>
  <c r="V42" i="90"/>
  <c r="X42" i="90"/>
  <c r="X176" i="90"/>
  <c r="V176" i="90"/>
  <c r="X220" i="90"/>
  <c r="V220" i="90"/>
  <c r="X228" i="90"/>
  <c r="V228" i="90"/>
  <c r="X135" i="90"/>
  <c r="V135" i="90"/>
  <c r="X128" i="90"/>
  <c r="V128" i="90"/>
  <c r="X163" i="90"/>
  <c r="V163" i="90"/>
  <c r="X210" i="90"/>
  <c r="V210" i="90"/>
  <c r="V91" i="90"/>
  <c r="X91" i="90"/>
  <c r="V171" i="90"/>
  <c r="X171" i="90"/>
  <c r="V170" i="90"/>
  <c r="X170" i="90"/>
  <c r="X125" i="90"/>
  <c r="V125" i="90"/>
  <c r="V37" i="90"/>
  <c r="X37" i="90"/>
  <c r="X132" i="90"/>
  <c r="V132" i="90"/>
  <c r="V45" i="90"/>
  <c r="X45" i="90"/>
  <c r="X169" i="90"/>
  <c r="V169" i="90"/>
  <c r="V138" i="90"/>
  <c r="X138" i="90"/>
  <c r="V227" i="90"/>
  <c r="X227" i="90"/>
  <c r="X32" i="90"/>
  <c r="V32" i="90"/>
  <c r="X76" i="90"/>
  <c r="V76" i="90"/>
  <c r="V30" i="90"/>
  <c r="X30" i="90"/>
  <c r="X46" i="90"/>
  <c r="V46" i="90"/>
  <c r="X77" i="90"/>
  <c r="V77" i="90"/>
  <c r="V211" i="90"/>
  <c r="X211" i="90"/>
  <c r="X218" i="90"/>
  <c r="V218" i="90"/>
  <c r="V117" i="90"/>
  <c r="X117" i="90"/>
  <c r="X78" i="90"/>
  <c r="V78" i="90"/>
  <c r="X223" i="90"/>
  <c r="V223" i="90"/>
  <c r="X134" i="90"/>
  <c r="V134" i="90"/>
  <c r="V44" i="90"/>
  <c r="X44" i="90"/>
  <c r="X38" i="90"/>
  <c r="V38" i="90"/>
  <c r="X121" i="90"/>
  <c r="V121" i="90"/>
  <c r="V118" i="90"/>
  <c r="X118" i="90"/>
  <c r="X177" i="90"/>
  <c r="V177" i="90"/>
  <c r="BV8" i="75"/>
  <c r="DI10" i="75"/>
  <c r="EF14" i="75"/>
  <c r="BU15" i="75"/>
  <c r="CN9" i="75"/>
  <c r="BS9" i="75"/>
  <c r="CP9" i="75"/>
  <c r="BT15" i="75"/>
  <c r="CO15" i="75"/>
  <c r="DK14" i="75"/>
  <c r="CQ8" i="75"/>
  <c r="BS10" i="75"/>
  <c r="DL8" i="75"/>
  <c r="CN10" i="75"/>
  <c r="BV15" i="75"/>
  <c r="DJ15" i="75"/>
  <c r="DL15" i="75"/>
  <c r="CQ15" i="75"/>
  <c r="EF9" i="75"/>
  <c r="ED9" i="75"/>
  <c r="BU9" i="75"/>
  <c r="CP14" i="75"/>
  <c r="DL9" i="75"/>
  <c r="EG9" i="75"/>
  <c r="CP15" i="75"/>
  <c r="EF15" i="75"/>
  <c r="CQ9" i="75"/>
  <c r="DJ9" i="75"/>
  <c r="BV14" i="75"/>
  <c r="CN16" i="75"/>
  <c r="DK10" i="75"/>
  <c r="CN15" i="75"/>
  <c r="DJ10" i="75"/>
  <c r="CP10" i="75"/>
  <c r="CO10" i="75"/>
  <c r="ED16" i="75"/>
  <c r="BU10" i="75"/>
  <c r="DI15" i="75"/>
  <c r="DL14" i="75"/>
  <c r="CQ14" i="75"/>
  <c r="BT9" i="75"/>
  <c r="BS15" i="75"/>
  <c r="EE9" i="75"/>
  <c r="BS16" i="75"/>
  <c r="BT10" i="75"/>
  <c r="L45" i="94"/>
  <c r="L44" i="94"/>
  <c r="J45" i="94"/>
  <c r="J44" i="94"/>
  <c r="K45" i="94"/>
  <c r="K44" i="94"/>
  <c r="Q78" i="88"/>
  <c r="Q79" i="88" s="1"/>
  <c r="X78" i="50"/>
  <c r="R19" i="71"/>
  <c r="AB19" i="71"/>
  <c r="Z19" i="71"/>
  <c r="Y19" i="71"/>
  <c r="AD19" i="71"/>
  <c r="AC19" i="71"/>
  <c r="AA19" i="71"/>
  <c r="Q13" i="71"/>
  <c r="AV76" i="94"/>
  <c r="AS8" i="94"/>
  <c r="AT33" i="94"/>
  <c r="AR55" i="94"/>
  <c r="AT23" i="94"/>
  <c r="AT12" i="94"/>
  <c r="AV100" i="94"/>
  <c r="AS37" i="94"/>
  <c r="AV55" i="94"/>
  <c r="AR84" i="94"/>
  <c r="AT35" i="94"/>
  <c r="AR92" i="94"/>
  <c r="AR81" i="94"/>
  <c r="AR87" i="94"/>
  <c r="AR83" i="94"/>
  <c r="AT90" i="94"/>
  <c r="AS41" i="94"/>
  <c r="AR99" i="94"/>
  <c r="AT36" i="94"/>
  <c r="AR15" i="94"/>
  <c r="AS86" i="94"/>
  <c r="AR20" i="94"/>
  <c r="AR30" i="94"/>
  <c r="AS14" i="94"/>
  <c r="AT44" i="94"/>
  <c r="AR67" i="94"/>
  <c r="AT89" i="94"/>
  <c r="AT114" i="94"/>
  <c r="AR53" i="94"/>
  <c r="AT15" i="94"/>
  <c r="AT8" i="94"/>
  <c r="AV79" i="94"/>
  <c r="AV101" i="94"/>
  <c r="AS19" i="94"/>
  <c r="AR66" i="94"/>
  <c r="AT66" i="94"/>
  <c r="AV99" i="94"/>
  <c r="AV33" i="94"/>
  <c r="AR42" i="94"/>
  <c r="AV58" i="94"/>
  <c r="AU66" i="94"/>
  <c r="AR108" i="94"/>
  <c r="AT106" i="94"/>
  <c r="AT109" i="94"/>
  <c r="AS63" i="94"/>
  <c r="AS88" i="94"/>
  <c r="AV54" i="94"/>
  <c r="AS12" i="94"/>
  <c r="AS57" i="94"/>
  <c r="AT68" i="94"/>
  <c r="AS90" i="94"/>
  <c r="AS60" i="94"/>
  <c r="AR14" i="94"/>
  <c r="AR107" i="94"/>
  <c r="AS84" i="94"/>
  <c r="AT38" i="94"/>
  <c r="AR76" i="94"/>
  <c r="AS115" i="94"/>
  <c r="AR17" i="94"/>
  <c r="AS65" i="94"/>
  <c r="AS42" i="94"/>
  <c r="AR77" i="94"/>
  <c r="AS113" i="94"/>
  <c r="AR9" i="94"/>
  <c r="AU21" i="94"/>
  <c r="AS81" i="94"/>
  <c r="AV59" i="94"/>
  <c r="AT85" i="94"/>
  <c r="AT92" i="94"/>
  <c r="AR115" i="94"/>
  <c r="AV12" i="94"/>
  <c r="AR113" i="94"/>
  <c r="AR33" i="94"/>
  <c r="AT108" i="94"/>
  <c r="AT59" i="94"/>
  <c r="AR86" i="94"/>
  <c r="AS44" i="94"/>
  <c r="AR90" i="94"/>
  <c r="AS45" i="94"/>
  <c r="AR61" i="94"/>
  <c r="AS79" i="94"/>
  <c r="AV8" i="94"/>
  <c r="AT111" i="94"/>
  <c r="AR8" i="94"/>
  <c r="AS109" i="94"/>
  <c r="AS20" i="94"/>
  <c r="AS80" i="94"/>
  <c r="AS21" i="94"/>
  <c r="AT100" i="94"/>
  <c r="AR79" i="94"/>
  <c r="AR63" i="94"/>
  <c r="AU114" i="94"/>
  <c r="AR100" i="94"/>
  <c r="AV102" i="94"/>
  <c r="AU23" i="94"/>
  <c r="AR13" i="94"/>
  <c r="AS108" i="94"/>
  <c r="AT87" i="94"/>
  <c r="AS68" i="94"/>
  <c r="AR91" i="94"/>
  <c r="AS103" i="94"/>
  <c r="AS78" i="94"/>
  <c r="AS54" i="94"/>
  <c r="AT41" i="94"/>
  <c r="AR62" i="94"/>
  <c r="AS15" i="94"/>
  <c r="AS102" i="94"/>
  <c r="AT55" i="94"/>
  <c r="AS100" i="94"/>
  <c r="AV82" i="94"/>
  <c r="AT115" i="94"/>
  <c r="AR65" i="94"/>
  <c r="AR104" i="94"/>
  <c r="AT32" i="94"/>
  <c r="AR39" i="94"/>
  <c r="AU44" i="94"/>
  <c r="AU20" i="94"/>
  <c r="AS64" i="94"/>
  <c r="AS31" i="94"/>
  <c r="AT56" i="94"/>
  <c r="AT22" i="94"/>
  <c r="AR69" i="94"/>
  <c r="AS53" i="94"/>
  <c r="AU112" i="94"/>
  <c r="AU45" i="94"/>
  <c r="AR23" i="94"/>
  <c r="AS89" i="94"/>
  <c r="AU113" i="94"/>
  <c r="AT81" i="94"/>
  <c r="AS32" i="94"/>
  <c r="AS111" i="94"/>
  <c r="AS104" i="94"/>
  <c r="AV10" i="94"/>
  <c r="AR112" i="94"/>
  <c r="AS87" i="94"/>
  <c r="AR34" i="94"/>
  <c r="AT79" i="94"/>
  <c r="AR78" i="94"/>
  <c r="AS112" i="94"/>
  <c r="AS110" i="94"/>
  <c r="AS61" i="94"/>
  <c r="AV57" i="94"/>
  <c r="AR45" i="94"/>
  <c r="AS76" i="94"/>
  <c r="AT63" i="94"/>
  <c r="AR18" i="94"/>
  <c r="AR85" i="94"/>
  <c r="AR89" i="94"/>
  <c r="AS30" i="94"/>
  <c r="AR36" i="94"/>
  <c r="AT69" i="94"/>
  <c r="AS83" i="94"/>
  <c r="AT107" i="94"/>
  <c r="AS11" i="94"/>
  <c r="AS38" i="94"/>
  <c r="AR35" i="94"/>
  <c r="AT45" i="94"/>
  <c r="AT20" i="94"/>
  <c r="AT83" i="94"/>
  <c r="AS59" i="94"/>
  <c r="AS36" i="94"/>
  <c r="AR88" i="94"/>
  <c r="AU68" i="94"/>
  <c r="AT105" i="94"/>
  <c r="AT40" i="94"/>
  <c r="AT91" i="94"/>
  <c r="AR16" i="94"/>
  <c r="AT58" i="94"/>
  <c r="AT62" i="94"/>
  <c r="AR59" i="94"/>
  <c r="AT112" i="94"/>
  <c r="AT113" i="94"/>
  <c r="AR102" i="94"/>
  <c r="AR106" i="94"/>
  <c r="AT61" i="94"/>
  <c r="AV35" i="94"/>
  <c r="AR103" i="94"/>
  <c r="AT14" i="94"/>
  <c r="AT82" i="94"/>
  <c r="AU90" i="94"/>
  <c r="AT10" i="94"/>
  <c r="AR41" i="94"/>
  <c r="AR19" i="94"/>
  <c r="AT57" i="94"/>
  <c r="AR43" i="94"/>
  <c r="AT76" i="94"/>
  <c r="AS107" i="94"/>
  <c r="AS99" i="94"/>
  <c r="AS58" i="94"/>
  <c r="AT39" i="94"/>
  <c r="AR37" i="94"/>
  <c r="AR7" i="94"/>
  <c r="AV13" i="94"/>
  <c r="AV31" i="94"/>
  <c r="AU91" i="94"/>
  <c r="AR11" i="94"/>
  <c r="AS13" i="94"/>
  <c r="AV11" i="94"/>
  <c r="AR68" i="94"/>
  <c r="AV7" i="94"/>
  <c r="AS114" i="94"/>
  <c r="AS22" i="94"/>
  <c r="AU92" i="94"/>
  <c r="AV53" i="94"/>
  <c r="AS16" i="94"/>
  <c r="AV77" i="94"/>
  <c r="AT9" i="94"/>
  <c r="AT77" i="94"/>
  <c r="AT54" i="94"/>
  <c r="AU89" i="94"/>
  <c r="AT64" i="94"/>
  <c r="AR64" i="94"/>
  <c r="AU43" i="94"/>
  <c r="AT103" i="94"/>
  <c r="AR32" i="94"/>
  <c r="AS33" i="94"/>
  <c r="AV36" i="94"/>
  <c r="AT104" i="94"/>
  <c r="AS23" i="94"/>
  <c r="AS18" i="94"/>
  <c r="AS40" i="94"/>
  <c r="AT102" i="94"/>
  <c r="AS56" i="94"/>
  <c r="AU69" i="94"/>
  <c r="AV104" i="94"/>
  <c r="AS85" i="94"/>
  <c r="AT34" i="94"/>
  <c r="AV81" i="94"/>
  <c r="AR56" i="94"/>
  <c r="AT37" i="94"/>
  <c r="AS34" i="94"/>
  <c r="AR57" i="94"/>
  <c r="AT60" i="94"/>
  <c r="AV78" i="94"/>
  <c r="AR21" i="94"/>
  <c r="AS77" i="94"/>
  <c r="AV80" i="94"/>
  <c r="AR38" i="94"/>
  <c r="AT18" i="94"/>
  <c r="AR58" i="94"/>
  <c r="AS101" i="94"/>
  <c r="AS82" i="94"/>
  <c r="AS69" i="94"/>
  <c r="AT78" i="94"/>
  <c r="AV105" i="94"/>
  <c r="AT80" i="94"/>
  <c r="AR46" i="94"/>
  <c r="AS92" i="94"/>
  <c r="AR110" i="94"/>
  <c r="AR22" i="94"/>
  <c r="AS43" i="94"/>
  <c r="AR54" i="94"/>
  <c r="AS105" i="94"/>
  <c r="AT86" i="94"/>
  <c r="AU67" i="94"/>
  <c r="AR10" i="94"/>
  <c r="AU22" i="94"/>
  <c r="AS9" i="94"/>
  <c r="AT65" i="94"/>
  <c r="AS67" i="94"/>
  <c r="AR111" i="94"/>
  <c r="AS10" i="94"/>
  <c r="AT21" i="94"/>
  <c r="AT17" i="94"/>
  <c r="R12" i="71"/>
  <c r="D96" i="69"/>
  <c r="AV197" i="84"/>
  <c r="AU152" i="84"/>
  <c r="AW152" i="84" s="1"/>
  <c r="AY153" i="84"/>
  <c r="AU201" i="84"/>
  <c r="AX201" i="84" s="1"/>
  <c r="AW148" i="84"/>
  <c r="AU198" i="84"/>
  <c r="AW198" i="84" s="1"/>
  <c r="F100" i="69"/>
  <c r="BI197" i="84"/>
  <c r="BH197" i="84"/>
  <c r="BG197" i="84"/>
  <c r="BF197" i="84"/>
  <c r="AX100" i="84"/>
  <c r="AZ99" i="84"/>
  <c r="AU193" i="84"/>
  <c r="AY193" i="84" s="1"/>
  <c r="F97" i="69"/>
  <c r="AZ153" i="84"/>
  <c r="AV190" i="84"/>
  <c r="AU145" i="84"/>
  <c r="AW145" i="84" s="1"/>
  <c r="AV189" i="84"/>
  <c r="AU144" i="84"/>
  <c r="AY144" i="84" s="1"/>
  <c r="AV202" i="84"/>
  <c r="AU157" i="84"/>
  <c r="AX157" i="84" s="1"/>
  <c r="AY156" i="84"/>
  <c r="BF156" i="84"/>
  <c r="BI156" i="84"/>
  <c r="BH156" i="84"/>
  <c r="BG156" i="84"/>
  <c r="AX107" i="84"/>
  <c r="AY107" i="84"/>
  <c r="AZ107" i="84"/>
  <c r="AZ156" i="84"/>
  <c r="AE52" i="50"/>
  <c r="BH149" i="84"/>
  <c r="BG149" i="84"/>
  <c r="BF149" i="84"/>
  <c r="BI149" i="84"/>
  <c r="AV149" i="84"/>
  <c r="AU104" i="84"/>
  <c r="AZ104" i="84" s="1"/>
  <c r="H45" i="72"/>
  <c r="AW107" i="84"/>
  <c r="AW153" i="84"/>
  <c r="E50" i="69"/>
  <c r="AW156" i="84"/>
  <c r="BH62" i="84"/>
  <c r="BI62" i="84"/>
  <c r="BG62" i="84"/>
  <c r="BF62" i="84"/>
  <c r="X65" i="50"/>
  <c r="X64" i="50"/>
  <c r="AA20" i="71"/>
  <c r="R20" i="71"/>
  <c r="AB20" i="71"/>
  <c r="Y20" i="71"/>
  <c r="Z20" i="71"/>
  <c r="AC20" i="71"/>
  <c r="AD20" i="71"/>
  <c r="Q16" i="71"/>
  <c r="R17" i="71"/>
  <c r="Y13" i="71"/>
  <c r="AA13" i="71"/>
  <c r="Z13" i="71"/>
  <c r="AB13" i="71"/>
  <c r="R13" i="71"/>
  <c r="AD13" i="71"/>
  <c r="AC13" i="71"/>
  <c r="F71" i="69"/>
  <c r="F148" i="69"/>
  <c r="D100" i="69"/>
  <c r="K47" i="70"/>
  <c r="L46" i="70"/>
  <c r="L47" i="70" s="1"/>
  <c r="CR6" i="84"/>
  <c r="D95" i="69"/>
  <c r="N42" i="88"/>
  <c r="N44" i="88"/>
  <c r="N43" i="88"/>
  <c r="N40" i="88"/>
  <c r="N41" i="88"/>
  <c r="M35" i="87"/>
  <c r="E37" i="84"/>
  <c r="M36" i="94" s="1"/>
  <c r="CT41" i="84"/>
  <c r="F44" i="72"/>
  <c r="D9" i="70"/>
  <c r="D99" i="69"/>
  <c r="F45" i="72"/>
  <c r="CC6" i="70"/>
  <c r="G149" i="69"/>
  <c r="G73" i="69"/>
  <c r="J73" i="69" s="1"/>
  <c r="F98" i="69"/>
  <c r="K43" i="70"/>
  <c r="J44" i="70"/>
  <c r="F99" i="69"/>
  <c r="Q12" i="92"/>
  <c r="Q9" i="92"/>
  <c r="Q11" i="92" s="1"/>
  <c r="D98" i="69"/>
  <c r="A27" i="70"/>
  <c r="CB7" i="70"/>
  <c r="C10" i="70"/>
  <c r="Z10" i="71"/>
  <c r="Q10" i="71"/>
  <c r="AC10" i="71"/>
  <c r="AA10" i="71"/>
  <c r="Y10" i="71"/>
  <c r="AD10" i="71"/>
  <c r="AB10" i="71"/>
  <c r="AD6" i="71"/>
  <c r="Z6" i="71"/>
  <c r="AC6" i="71"/>
  <c r="Q6" i="71"/>
  <c r="AA6" i="71"/>
  <c r="AB6" i="71"/>
  <c r="Y6" i="71"/>
  <c r="AB12" i="71"/>
  <c r="AC12" i="71"/>
  <c r="AD12" i="71"/>
  <c r="Y12" i="71"/>
  <c r="Z12" i="71"/>
  <c r="AA12" i="71"/>
  <c r="Q12" i="71"/>
  <c r="Q14" i="71"/>
  <c r="AD16" i="71"/>
  <c r="AA16" i="71"/>
  <c r="Y16" i="71"/>
  <c r="AB16" i="71"/>
  <c r="Z16" i="71"/>
  <c r="R16" i="71"/>
  <c r="AC16" i="71"/>
  <c r="Q17" i="71"/>
  <c r="Y17" i="71"/>
  <c r="Z17" i="71"/>
  <c r="AC17" i="71"/>
  <c r="AA17" i="71"/>
  <c r="AD17" i="71"/>
  <c r="AB17" i="71"/>
  <c r="AC11" i="71"/>
  <c r="Z11" i="71"/>
  <c r="AA11" i="71"/>
  <c r="Y11" i="71"/>
  <c r="Q11" i="71"/>
  <c r="AD11" i="71"/>
  <c r="AB11" i="71"/>
  <c r="X17" i="50"/>
  <c r="X18" i="50"/>
  <c r="AG110" i="84"/>
  <c r="AD18" i="71"/>
  <c r="AC18" i="71"/>
  <c r="R18" i="71"/>
  <c r="AA18" i="71"/>
  <c r="Z18" i="71"/>
  <c r="AB18" i="71"/>
  <c r="Y18" i="71"/>
  <c r="R15" i="71"/>
  <c r="AB8" i="71"/>
  <c r="Q8" i="71"/>
  <c r="AD8" i="71"/>
  <c r="AC8" i="71"/>
  <c r="Y8" i="71"/>
  <c r="AA8" i="71"/>
  <c r="Z8" i="71"/>
  <c r="AG201" i="84"/>
  <c r="AC7" i="71"/>
  <c r="AB7" i="71"/>
  <c r="Y7" i="71"/>
  <c r="Z7" i="71"/>
  <c r="AA7" i="71"/>
  <c r="AD7" i="71"/>
  <c r="Q7" i="71"/>
  <c r="AG202" i="84"/>
  <c r="AG112" i="84"/>
  <c r="AG155" i="84"/>
  <c r="AG200" i="84"/>
  <c r="AG66" i="84"/>
  <c r="AG65" i="84"/>
  <c r="AG157" i="84"/>
  <c r="AG22" i="84"/>
  <c r="AG111" i="84"/>
  <c r="AG21" i="84"/>
  <c r="AG20" i="84"/>
  <c r="AG67" i="84"/>
  <c r="AG156" i="84"/>
  <c r="X9" i="50"/>
  <c r="X10" i="50"/>
  <c r="BO13" i="70"/>
  <c r="BO6" i="70"/>
  <c r="BO11" i="70"/>
  <c r="BO17" i="70"/>
  <c r="BO18" i="70"/>
  <c r="BO15" i="70"/>
  <c r="BO16" i="70"/>
  <c r="BO19" i="70"/>
  <c r="BO4" i="70"/>
  <c r="BO12" i="70"/>
  <c r="BO9" i="70"/>
  <c r="BO5" i="70"/>
  <c r="BO10" i="70"/>
  <c r="BO8" i="70"/>
  <c r="BO14" i="70"/>
  <c r="BO7" i="70"/>
  <c r="R14" i="71"/>
  <c r="AA14" i="71"/>
  <c r="AB14" i="71"/>
  <c r="AC14" i="71"/>
  <c r="AD14" i="71"/>
  <c r="Y14" i="71"/>
  <c r="Z14" i="71"/>
  <c r="Z9" i="71"/>
  <c r="Y9" i="71"/>
  <c r="AA9" i="71"/>
  <c r="AB9" i="71"/>
  <c r="AD9" i="71"/>
  <c r="AC9" i="71"/>
  <c r="Q9" i="71"/>
  <c r="AD15" i="71"/>
  <c r="AB15" i="71"/>
  <c r="Z15" i="71"/>
  <c r="AA15" i="71"/>
  <c r="AC15" i="71"/>
  <c r="Y15" i="71"/>
  <c r="Q15" i="71"/>
  <c r="X16" i="50"/>
  <c r="H149" i="69"/>
  <c r="G97" i="69"/>
  <c r="G96" i="69"/>
  <c r="G100" i="69"/>
  <c r="G98" i="69"/>
  <c r="G99" i="69"/>
  <c r="H98" i="69"/>
  <c r="H96" i="69"/>
  <c r="H100" i="69"/>
  <c r="H97" i="69"/>
  <c r="H99" i="69"/>
  <c r="L42" i="87"/>
  <c r="J42" i="87"/>
  <c r="K42" i="87"/>
  <c r="L35" i="87"/>
  <c r="C36" i="84"/>
  <c r="C35" i="84"/>
  <c r="L34" i="87"/>
  <c r="X19" i="50"/>
  <c r="S19" i="90"/>
  <c r="T19" i="90" s="1"/>
  <c r="W19" i="90" s="1"/>
  <c r="S16" i="90"/>
  <c r="T16" i="90" s="1"/>
  <c r="U16" i="90" s="1"/>
  <c r="S22" i="90"/>
  <c r="T22" i="90" s="1"/>
  <c r="U22" i="90" s="1"/>
  <c r="S18" i="90"/>
  <c r="T18" i="90" s="1"/>
  <c r="U18" i="90" s="1"/>
  <c r="S15" i="90"/>
  <c r="T15" i="90" s="1"/>
  <c r="U15" i="90" s="1"/>
  <c r="S20" i="90"/>
  <c r="T20" i="90" s="1"/>
  <c r="U20" i="90" s="1"/>
  <c r="S24" i="90"/>
  <c r="T24" i="90" s="1"/>
  <c r="U24" i="90" s="1"/>
  <c r="S23" i="90"/>
  <c r="T23" i="90" s="1"/>
  <c r="U23" i="90" s="1"/>
  <c r="S17" i="90"/>
  <c r="T17" i="90" s="1"/>
  <c r="W17" i="90" s="1"/>
  <c r="S25" i="90"/>
  <c r="T25" i="90" s="1"/>
  <c r="W25" i="90" s="1"/>
  <c r="S12" i="90"/>
  <c r="T12" i="90" s="1"/>
  <c r="W12" i="90" s="1"/>
  <c r="S13" i="90"/>
  <c r="T13" i="90" s="1"/>
  <c r="U13" i="90" s="1"/>
  <c r="S26" i="90"/>
  <c r="T26" i="90" s="1"/>
  <c r="U26" i="90" s="1"/>
  <c r="S21" i="90"/>
  <c r="T21" i="90" s="1"/>
  <c r="W21" i="90" s="1"/>
  <c r="S14" i="90"/>
  <c r="T14" i="90" s="1"/>
  <c r="U14" i="90" s="1"/>
  <c r="AU11" i="90"/>
  <c r="CM4" i="75"/>
  <c r="AU4" i="75"/>
  <c r="BR4" i="75"/>
  <c r="DH4" i="75"/>
  <c r="Z4" i="75"/>
  <c r="AG4" i="70"/>
  <c r="AM4" i="70"/>
  <c r="AS4" i="70"/>
  <c r="AA4" i="70"/>
  <c r="AN4" i="70"/>
  <c r="AB4" i="70"/>
  <c r="AT4" i="70"/>
  <c r="AH4" i="70"/>
  <c r="Z12" i="75"/>
  <c r="AU12" i="75"/>
  <c r="AU19" i="90"/>
  <c r="AT12" i="70"/>
  <c r="AH12" i="70"/>
  <c r="AB12" i="70"/>
  <c r="AN12" i="70"/>
  <c r="AU12" i="70"/>
  <c r="AI12" i="70"/>
  <c r="AC12" i="70"/>
  <c r="AO12" i="70"/>
  <c r="Z9" i="75"/>
  <c r="AU9" i="75"/>
  <c r="AU16" i="90"/>
  <c r="AN9" i="70"/>
  <c r="AP9" i="70" s="1"/>
  <c r="BW9" i="75" s="1"/>
  <c r="AB9" i="70"/>
  <c r="AT9" i="70"/>
  <c r="AV9" i="70" s="1"/>
  <c r="CR9" i="75" s="1"/>
  <c r="AH9" i="70"/>
  <c r="AJ9" i="70" s="1"/>
  <c r="AU22" i="90"/>
  <c r="Z15" i="75"/>
  <c r="AU15" i="75"/>
  <c r="AU15" i="70"/>
  <c r="AC15" i="70"/>
  <c r="AO15" i="70"/>
  <c r="AI15" i="70"/>
  <c r="AB15" i="70"/>
  <c r="AT15" i="70"/>
  <c r="AN15" i="70"/>
  <c r="AH15" i="70"/>
  <c r="AU11" i="75"/>
  <c r="Z11" i="75"/>
  <c r="AU18" i="90"/>
  <c r="AU11" i="70"/>
  <c r="AO11" i="70"/>
  <c r="AC11" i="70"/>
  <c r="AI11" i="70"/>
  <c r="AN11" i="70"/>
  <c r="AB11" i="70"/>
  <c r="AH11" i="70"/>
  <c r="AT11" i="70"/>
  <c r="AU8" i="75"/>
  <c r="Z8" i="75"/>
  <c r="AU15" i="90"/>
  <c r="AT8" i="70"/>
  <c r="AV8" i="70" s="1"/>
  <c r="CR8" i="75" s="1"/>
  <c r="AN8" i="70"/>
  <c r="AP8" i="70" s="1"/>
  <c r="AB8" i="70"/>
  <c r="AH8" i="70"/>
  <c r="AJ8" i="70" s="1"/>
  <c r="Z13" i="75"/>
  <c r="AU13" i="75"/>
  <c r="AU20" i="90"/>
  <c r="AO13" i="70"/>
  <c r="AU13" i="70"/>
  <c r="AC13" i="70"/>
  <c r="AI13" i="70"/>
  <c r="AN13" i="70"/>
  <c r="AH13" i="70"/>
  <c r="AT13" i="70"/>
  <c r="AB13" i="70"/>
  <c r="AU24" i="90"/>
  <c r="AU17" i="75"/>
  <c r="Z17" i="75"/>
  <c r="AC17" i="70"/>
  <c r="AU17" i="70"/>
  <c r="AV17" i="70" s="1"/>
  <c r="CR17" i="75" s="1"/>
  <c r="AI17" i="70"/>
  <c r="AJ17" i="70" s="1"/>
  <c r="AO17" i="70"/>
  <c r="AP17" i="70" s="1"/>
  <c r="AU23" i="90"/>
  <c r="Z16" i="75"/>
  <c r="AU16" i="75"/>
  <c r="AC16" i="70"/>
  <c r="AU16" i="70"/>
  <c r="AI16" i="70"/>
  <c r="AO16" i="70"/>
  <c r="AN16" i="70"/>
  <c r="AH16" i="70"/>
  <c r="AB16" i="70"/>
  <c r="AT16" i="70"/>
  <c r="AU17" i="90"/>
  <c r="AU10" i="75"/>
  <c r="Z10" i="75"/>
  <c r="AN10" i="70"/>
  <c r="AP10" i="70" s="1"/>
  <c r="AB10" i="70"/>
  <c r="AH10" i="70"/>
  <c r="AJ10" i="70" s="1"/>
  <c r="AT10" i="70"/>
  <c r="AV10" i="70" s="1"/>
  <c r="CR10" i="75" s="1"/>
  <c r="AU25" i="90"/>
  <c r="AU18" i="75"/>
  <c r="Z18" i="75"/>
  <c r="AO18" i="70"/>
  <c r="AP18" i="70" s="1"/>
  <c r="BW18" i="75" s="1"/>
  <c r="AI18" i="70"/>
  <c r="AJ18" i="70" s="1"/>
  <c r="AC18" i="70"/>
  <c r="AU18" i="70"/>
  <c r="AV18" i="70" s="1"/>
  <c r="CR18" i="75" s="1"/>
  <c r="AU12" i="90"/>
  <c r="Z5" i="75"/>
  <c r="AU5" i="75"/>
  <c r="AN5" i="70"/>
  <c r="AP5" i="70" s="1"/>
  <c r="BW5" i="75" s="1"/>
  <c r="AB5" i="70"/>
  <c r="AH5" i="70"/>
  <c r="AJ5" i="70" s="1"/>
  <c r="AT5" i="70"/>
  <c r="AV5" i="70" s="1"/>
  <c r="CR5" i="75" s="1"/>
  <c r="AU13" i="90"/>
  <c r="AU6" i="75"/>
  <c r="Z6" i="75"/>
  <c r="AN6" i="70"/>
  <c r="AP6" i="70" s="1"/>
  <c r="AB6" i="70"/>
  <c r="AH6" i="70"/>
  <c r="AJ6" i="70" s="1"/>
  <c r="AT6" i="70"/>
  <c r="AV6" i="70" s="1"/>
  <c r="CR6" i="75" s="1"/>
  <c r="AU19" i="75"/>
  <c r="Z19" i="75"/>
  <c r="AU26" i="90"/>
  <c r="AU19" i="70"/>
  <c r="AV19" i="70" s="1"/>
  <c r="CR19" i="75" s="1"/>
  <c r="AC19" i="70"/>
  <c r="AI19" i="70"/>
  <c r="AJ19" i="70" s="1"/>
  <c r="AO19" i="70"/>
  <c r="AP19" i="70" s="1"/>
  <c r="BW19" i="75" s="1"/>
  <c r="Z14" i="75"/>
  <c r="AU14" i="75"/>
  <c r="AU21" i="90"/>
  <c r="AO14" i="70"/>
  <c r="AC14" i="70"/>
  <c r="AU14" i="70"/>
  <c r="AI14" i="70"/>
  <c r="AN14" i="70"/>
  <c r="AB14" i="70"/>
  <c r="AT14" i="70"/>
  <c r="AH14" i="70"/>
  <c r="AU152" i="90"/>
  <c r="AH145" i="70"/>
  <c r="AJ145" i="70" s="1"/>
  <c r="AN145" i="70"/>
  <c r="AP145" i="70" s="1"/>
  <c r="BZ10" i="75" s="1"/>
  <c r="AB145" i="70"/>
  <c r="AT145" i="70"/>
  <c r="AV145" i="70" s="1"/>
  <c r="CU10" i="75" s="1"/>
  <c r="AX10" i="75"/>
  <c r="AC10" i="75"/>
  <c r="AB10" i="75"/>
  <c r="AW10" i="75"/>
  <c r="AU107" i="90"/>
  <c r="AN100" i="70"/>
  <c r="AP100" i="70" s="1"/>
  <c r="BY10" i="75" s="1"/>
  <c r="AB100" i="70"/>
  <c r="AT100" i="70"/>
  <c r="AV100" i="70" s="1"/>
  <c r="CT10" i="75" s="1"/>
  <c r="AH100" i="70"/>
  <c r="AJ100" i="70" s="1"/>
  <c r="AX9" i="75"/>
  <c r="AC9" i="75"/>
  <c r="AU151" i="90"/>
  <c r="AN144" i="70"/>
  <c r="AP144" i="70" s="1"/>
  <c r="BZ9" i="75" s="1"/>
  <c r="AT144" i="70"/>
  <c r="AV144" i="70" s="1"/>
  <c r="CU9" i="75" s="1"/>
  <c r="AH144" i="70"/>
  <c r="AJ144" i="70" s="1"/>
  <c r="AB144" i="70"/>
  <c r="AU14" i="90"/>
  <c r="Z7" i="75"/>
  <c r="AU7" i="75"/>
  <c r="AH7" i="70"/>
  <c r="AJ7" i="70" s="1"/>
  <c r="AT7" i="70"/>
  <c r="AV7" i="70" s="1"/>
  <c r="CR7" i="75" s="1"/>
  <c r="AN7" i="70"/>
  <c r="AP7" i="70" s="1"/>
  <c r="BW7" i="75" s="1"/>
  <c r="AB7" i="70"/>
  <c r="AD9" i="75"/>
  <c r="AY9" i="75"/>
  <c r="AT189" i="70"/>
  <c r="AV189" i="70" s="1"/>
  <c r="CV9" i="75" s="1"/>
  <c r="AH189" i="70"/>
  <c r="AJ189" i="70" s="1"/>
  <c r="AB189" i="70"/>
  <c r="AN189" i="70"/>
  <c r="AP189" i="70" s="1"/>
  <c r="CA9" i="75" s="1"/>
  <c r="AB194" i="70"/>
  <c r="AN194" i="70"/>
  <c r="AH194" i="70"/>
  <c r="AT194" i="70"/>
  <c r="AY14" i="75"/>
  <c r="AD14" i="75"/>
  <c r="AI194" i="70"/>
  <c r="AO194" i="70"/>
  <c r="AU194" i="70"/>
  <c r="AC194" i="70"/>
  <c r="AC15" i="75"/>
  <c r="AX15" i="75"/>
  <c r="AC150" i="70"/>
  <c r="AU150" i="70"/>
  <c r="AO150" i="70"/>
  <c r="AI150" i="70"/>
  <c r="AU157" i="90"/>
  <c r="AH150" i="70"/>
  <c r="AN150" i="70"/>
  <c r="AT150" i="70"/>
  <c r="AB150" i="70"/>
  <c r="AT188" i="70"/>
  <c r="AV188" i="70" s="1"/>
  <c r="CV8" i="75" s="1"/>
  <c r="AH188" i="70"/>
  <c r="AJ188" i="70" s="1"/>
  <c r="AB188" i="70"/>
  <c r="AN188" i="70"/>
  <c r="AP188" i="70" s="1"/>
  <c r="CA8" i="75" s="1"/>
  <c r="AY8" i="75"/>
  <c r="AD8" i="75"/>
  <c r="AO105" i="70"/>
  <c r="AU105" i="70"/>
  <c r="AI105" i="70"/>
  <c r="AC105" i="70"/>
  <c r="AU112" i="90"/>
  <c r="AN105" i="70"/>
  <c r="AB105" i="70"/>
  <c r="AT105" i="70"/>
  <c r="AH105" i="70"/>
  <c r="AB15" i="75"/>
  <c r="AW15" i="75"/>
  <c r="AU62" i="90"/>
  <c r="AA10" i="75"/>
  <c r="AV10" i="75"/>
  <c r="AT55" i="70"/>
  <c r="AV55" i="70" s="1"/>
  <c r="CS10" i="75" s="1"/>
  <c r="AH55" i="70"/>
  <c r="AJ55" i="70" s="1"/>
  <c r="AN55" i="70"/>
  <c r="AP55" i="70" s="1"/>
  <c r="BX10" i="75" s="1"/>
  <c r="AB55" i="70"/>
  <c r="AD15" i="75"/>
  <c r="AY15" i="75"/>
  <c r="AO195" i="70"/>
  <c r="AU195" i="70"/>
  <c r="AC195" i="70"/>
  <c r="AI195" i="70"/>
  <c r="AH195" i="70"/>
  <c r="AB195" i="70"/>
  <c r="AT195" i="70"/>
  <c r="AN195" i="70"/>
  <c r="AH149" i="70"/>
  <c r="AB149" i="70"/>
  <c r="AT149" i="70"/>
  <c r="AN149" i="70"/>
  <c r="AC149" i="70"/>
  <c r="AI149" i="70"/>
  <c r="AU149" i="70"/>
  <c r="AO149" i="70"/>
  <c r="AU156" i="90"/>
  <c r="AC14" i="75"/>
  <c r="AX14" i="75"/>
  <c r="AB9" i="75"/>
  <c r="AW9" i="75"/>
  <c r="AU106" i="90"/>
  <c r="AT99" i="70"/>
  <c r="AV99" i="70" s="1"/>
  <c r="CT9" i="75" s="1"/>
  <c r="AB99" i="70"/>
  <c r="AN99" i="70"/>
  <c r="AP99" i="70" s="1"/>
  <c r="BY9" i="75" s="1"/>
  <c r="AH99" i="70"/>
  <c r="AJ99" i="70" s="1"/>
  <c r="AV9" i="75"/>
  <c r="AA9" i="75"/>
  <c r="AB54" i="70"/>
  <c r="AH54" i="70"/>
  <c r="AJ54" i="70" s="1"/>
  <c r="AT54" i="70"/>
  <c r="AV54" i="70" s="1"/>
  <c r="CS9" i="75" s="1"/>
  <c r="AN54" i="70"/>
  <c r="AP54" i="70" s="1"/>
  <c r="BX9" i="75" s="1"/>
  <c r="AU61" i="90"/>
  <c r="AA15" i="75"/>
  <c r="AV15" i="75"/>
  <c r="AU67" i="90"/>
  <c r="AC60" i="70"/>
  <c r="AI60" i="70"/>
  <c r="AO60" i="70"/>
  <c r="AU60" i="70"/>
  <c r="AB60" i="70"/>
  <c r="AN60" i="70"/>
  <c r="AH60" i="70"/>
  <c r="AT60" i="70"/>
  <c r="AN61" i="70"/>
  <c r="AB61" i="70"/>
  <c r="AH61" i="70"/>
  <c r="AT61" i="70"/>
  <c r="AV16" i="75"/>
  <c r="AA16" i="75"/>
  <c r="AU61" i="70"/>
  <c r="AO61" i="70"/>
  <c r="AC61" i="70"/>
  <c r="AI61" i="70"/>
  <c r="AU68" i="90"/>
  <c r="AM49" i="70"/>
  <c r="AG49" i="70"/>
  <c r="AS49" i="70"/>
  <c r="AA49" i="70"/>
  <c r="AA4" i="75"/>
  <c r="BS4" i="75"/>
  <c r="DI4" i="75"/>
  <c r="AV4" i="75"/>
  <c r="CN4" i="75"/>
  <c r="AT49" i="70"/>
  <c r="AB49" i="70"/>
  <c r="AN49" i="70"/>
  <c r="AH49" i="70"/>
  <c r="AU56" i="90"/>
  <c r="AT94" i="70"/>
  <c r="AB94" i="70"/>
  <c r="AN94" i="70"/>
  <c r="AH94" i="70"/>
  <c r="AW4" i="75"/>
  <c r="CO4" i="75"/>
  <c r="BT4" i="75"/>
  <c r="DJ4" i="75"/>
  <c r="AB4" i="75"/>
  <c r="AU101" i="90"/>
  <c r="AA94" i="70"/>
  <c r="AM94" i="70"/>
  <c r="AG94" i="70"/>
  <c r="AS94" i="70"/>
  <c r="AD4" i="75"/>
  <c r="BV4" i="75"/>
  <c r="DL4" i="75"/>
  <c r="AY4" i="75"/>
  <c r="CQ4" i="75"/>
  <c r="AU191" i="90"/>
  <c r="AB184" i="70"/>
  <c r="AT184" i="70"/>
  <c r="AV184" i="70" s="1"/>
  <c r="CV4" i="75" s="1"/>
  <c r="AN184" i="70"/>
  <c r="AP184" i="70" s="1"/>
  <c r="AH184" i="70"/>
  <c r="AJ184" i="70" s="1"/>
  <c r="AU146" i="90"/>
  <c r="BU4" i="75"/>
  <c r="CP4" i="75"/>
  <c r="AC4" i="75"/>
  <c r="DK4" i="75"/>
  <c r="AX4" i="75"/>
  <c r="AB139" i="70"/>
  <c r="AN139" i="70"/>
  <c r="AP139" i="70" s="1"/>
  <c r="AH139" i="70"/>
  <c r="AJ139" i="70" s="1"/>
  <c r="AT139" i="70"/>
  <c r="AV139" i="70" s="1"/>
  <c r="CU4" i="75" s="1"/>
  <c r="AP83" i="95"/>
  <c r="AQ133" i="95"/>
  <c r="AV222" i="95"/>
  <c r="AQ223" i="95"/>
  <c r="AV178" i="95"/>
  <c r="AU220" i="95"/>
  <c r="AU221" i="95" s="1"/>
  <c r="AV43" i="95"/>
  <c r="AQ177" i="95"/>
  <c r="AU131" i="95"/>
  <c r="AR177" i="95"/>
  <c r="AP220" i="95"/>
  <c r="AW177" i="95"/>
  <c r="AW178" i="95" s="1"/>
  <c r="AZ131" i="95"/>
  <c r="AR223" i="95"/>
  <c r="AP42" i="95"/>
  <c r="AZ43" i="95"/>
  <c r="AQ43" i="95"/>
  <c r="AV88" i="95"/>
  <c r="BD6" i="70"/>
  <c r="BC7" i="70"/>
  <c r="BD11" i="70"/>
  <c r="BC6" i="70"/>
  <c r="BD7" i="70"/>
  <c r="BC11" i="70"/>
  <c r="X39" i="90" l="1"/>
  <c r="V164" i="90"/>
  <c r="V129" i="90"/>
  <c r="X215" i="90"/>
  <c r="V83" i="90"/>
  <c r="X136" i="90"/>
  <c r="X172" i="90"/>
  <c r="V31" i="90"/>
  <c r="V226" i="90"/>
  <c r="X102" i="87"/>
  <c r="AF102" i="87" s="1"/>
  <c r="X98" i="87"/>
  <c r="AF98" i="87" s="1"/>
  <c r="X100" i="87"/>
  <c r="AF100" i="87" s="1"/>
  <c r="X95" i="87"/>
  <c r="AF95" i="87" s="1"/>
  <c r="X96" i="87"/>
  <c r="AF96" i="87" s="1"/>
  <c r="X94" i="87"/>
  <c r="AF94" i="87" s="1"/>
  <c r="X101" i="87"/>
  <c r="AF101" i="87" s="1"/>
  <c r="X97" i="87"/>
  <c r="AF97" i="87" s="1"/>
  <c r="V222" i="90"/>
  <c r="V88" i="90"/>
  <c r="X79" i="90"/>
  <c r="X217" i="90"/>
  <c r="X27" i="90"/>
  <c r="X216" i="90"/>
  <c r="V41" i="90"/>
  <c r="X49" i="90"/>
  <c r="V214" i="90"/>
  <c r="V179" i="90"/>
  <c r="V28" i="90"/>
  <c r="V224" i="90"/>
  <c r="X133" i="90"/>
  <c r="X122" i="90"/>
  <c r="X180" i="90"/>
  <c r="V74" i="90"/>
  <c r="X36" i="90"/>
  <c r="X48" i="90"/>
  <c r="X35" i="90"/>
  <c r="X72" i="90"/>
  <c r="X137" i="90"/>
  <c r="X181" i="90"/>
  <c r="X124" i="90"/>
  <c r="V81" i="90"/>
  <c r="V87" i="90"/>
  <c r="X73" i="90"/>
  <c r="X173" i="90"/>
  <c r="X126" i="90"/>
  <c r="X93" i="90"/>
  <c r="V221" i="90"/>
  <c r="V174" i="90"/>
  <c r="V123" i="90"/>
  <c r="V208" i="90"/>
  <c r="V207" i="90"/>
  <c r="X225" i="90"/>
  <c r="X162" i="90"/>
  <c r="V29" i="90"/>
  <c r="X166" i="90"/>
  <c r="V80" i="90"/>
  <c r="V84" i="90"/>
  <c r="X86" i="90"/>
  <c r="V183" i="90"/>
  <c r="V127" i="90"/>
  <c r="X43" i="90"/>
  <c r="E51" i="69"/>
  <c r="E52" i="69" s="1"/>
  <c r="AW157" i="84"/>
  <c r="BW10" i="75"/>
  <c r="BW6" i="75"/>
  <c r="BW8" i="75"/>
  <c r="CA4" i="75"/>
  <c r="BW17" i="75"/>
  <c r="BZ47" i="70"/>
  <c r="BZ48" i="70"/>
  <c r="AP84" i="95"/>
  <c r="AP85" i="95" s="1"/>
  <c r="AP86" i="95" s="1"/>
  <c r="AR178" i="95"/>
  <c r="AZ132" i="95"/>
  <c r="AP87" i="95"/>
  <c r="AU222" i="95"/>
  <c r="AU223" i="95" s="1"/>
  <c r="AP221" i="95"/>
  <c r="AV223" i="95"/>
  <c r="CD6" i="70"/>
  <c r="AQ178" i="95"/>
  <c r="AP43" i="95"/>
  <c r="AU132" i="95"/>
  <c r="DA7" i="84"/>
  <c r="DA5" i="84"/>
  <c r="DA6" i="84"/>
  <c r="DA4" i="84"/>
  <c r="AX152" i="84" l="1"/>
  <c r="AZ157" i="84"/>
  <c r="AY157" i="84"/>
  <c r="AZ144" i="84"/>
  <c r="AZ193" i="84"/>
  <c r="AW144" i="84"/>
  <c r="AZ198" i="84"/>
  <c r="AX144" i="84"/>
  <c r="AX198" i="84"/>
  <c r="AZ152" i="84"/>
  <c r="K34" i="87"/>
  <c r="K34" i="94"/>
  <c r="K35" i="87"/>
  <c r="M42" i="87" s="1"/>
  <c r="K35" i="94"/>
  <c r="M42" i="94" s="1"/>
  <c r="W26" i="90"/>
  <c r="CB8" i="70"/>
  <c r="CB9" i="70" s="1"/>
  <c r="CB10" i="70" s="1"/>
  <c r="CB11" i="70" s="1"/>
  <c r="CB12" i="70" s="1"/>
  <c r="CB13" i="70" s="1"/>
  <c r="CB14" i="70" s="1"/>
  <c r="CB15" i="70" s="1"/>
  <c r="CB16" i="70" s="1"/>
  <c r="CB17" i="70" s="1"/>
  <c r="CB18" i="70" s="1"/>
  <c r="CB19" i="70" s="1"/>
  <c r="CB20" i="70" s="1"/>
  <c r="CB21" i="70" s="1"/>
  <c r="CB22" i="70" s="1"/>
  <c r="CB23" i="70" s="1"/>
  <c r="CB24" i="70" s="1"/>
  <c r="CB25" i="70" s="1"/>
  <c r="CB26" i="70" s="1"/>
  <c r="CB27" i="70" s="1"/>
  <c r="CB28" i="70" s="1"/>
  <c r="CB29" i="70" s="1"/>
  <c r="CB30" i="70" s="1"/>
  <c r="CB31" i="70" s="1"/>
  <c r="CB32" i="70" s="1"/>
  <c r="CB33" i="70" s="1"/>
  <c r="CB34" i="70" s="1"/>
  <c r="CB35" i="70" s="1"/>
  <c r="CB36" i="70" s="1"/>
  <c r="CB37" i="70" s="1"/>
  <c r="CB38" i="70" s="1"/>
  <c r="CB39" i="70" s="1"/>
  <c r="CB40" i="70" s="1"/>
  <c r="CB41" i="70" s="1"/>
  <c r="CB42" i="70" s="1"/>
  <c r="CB43" i="70" s="1"/>
  <c r="CB44" i="70" s="1"/>
  <c r="CB45" i="70" s="1"/>
  <c r="U19" i="90"/>
  <c r="V19" i="90" s="1"/>
  <c r="W23" i="90"/>
  <c r="W15" i="90"/>
  <c r="AY201" i="84"/>
  <c r="AW201" i="84"/>
  <c r="AX104" i="84"/>
  <c r="AY104" i="84"/>
  <c r="AU189" i="84"/>
  <c r="AY189" i="84" s="1"/>
  <c r="AW104" i="84"/>
  <c r="AY145" i="84"/>
  <c r="AZ201" i="84"/>
  <c r="AV194" i="84"/>
  <c r="AU149" i="84"/>
  <c r="AX149" i="84" s="1"/>
  <c r="AZ145" i="84"/>
  <c r="AU190" i="84"/>
  <c r="AZ190" i="84" s="1"/>
  <c r="E97" i="69"/>
  <c r="E96" i="69"/>
  <c r="AX145" i="84"/>
  <c r="AY152" i="84"/>
  <c r="AU202" i="84"/>
  <c r="AY202" i="84" s="1"/>
  <c r="AU197" i="84"/>
  <c r="AX197" i="84" s="1"/>
  <c r="AX193" i="84"/>
  <c r="AW193" i="84"/>
  <c r="AY198" i="84"/>
  <c r="U17" i="90"/>
  <c r="V17" i="90" s="1"/>
  <c r="Y17" i="90" s="1"/>
  <c r="W18" i="90"/>
  <c r="L43" i="70"/>
  <c r="L44" i="70" s="1"/>
  <c r="K44" i="70"/>
  <c r="G150" i="69"/>
  <c r="G74" i="69"/>
  <c r="J74" i="69" s="1"/>
  <c r="AS7" i="89"/>
  <c r="E38" i="84"/>
  <c r="M37" i="94" s="1"/>
  <c r="M36" i="87"/>
  <c r="C37" i="84"/>
  <c r="D10" i="70"/>
  <c r="A28" i="70"/>
  <c r="CC7" i="70"/>
  <c r="CR7" i="84"/>
  <c r="CQ43" i="84"/>
  <c r="F72" i="69"/>
  <c r="AS6" i="89"/>
  <c r="E53" i="69"/>
  <c r="CS6" i="84"/>
  <c r="CR42" i="84"/>
  <c r="C11" i="70"/>
  <c r="D11" i="70" s="1"/>
  <c r="E98" i="69"/>
  <c r="W24" i="90"/>
  <c r="W22" i="90"/>
  <c r="AV105" i="70"/>
  <c r="CT15" i="75" s="1"/>
  <c r="W14" i="90"/>
  <c r="U21" i="90"/>
  <c r="V21" i="90" s="1"/>
  <c r="U12" i="90"/>
  <c r="V12" i="90" s="1"/>
  <c r="Y12" i="90" s="1"/>
  <c r="H150" i="69"/>
  <c r="K45" i="87"/>
  <c r="K44" i="87"/>
  <c r="J45" i="87"/>
  <c r="J44" i="87"/>
  <c r="L45" i="87"/>
  <c r="L44" i="87"/>
  <c r="AV15" i="70"/>
  <c r="CR15" i="75" s="1"/>
  <c r="AJ14" i="70"/>
  <c r="AV94" i="70"/>
  <c r="CT4" i="75" s="1"/>
  <c r="AJ60" i="70"/>
  <c r="AV195" i="70"/>
  <c r="CV15" i="75" s="1"/>
  <c r="AP16" i="70"/>
  <c r="BW16" i="75" s="1"/>
  <c r="AV60" i="70"/>
  <c r="CS15" i="75" s="1"/>
  <c r="AJ195" i="70"/>
  <c r="AP150" i="70"/>
  <c r="BZ15" i="75" s="1"/>
  <c r="W16" i="90"/>
  <c r="W20" i="90"/>
  <c r="U25" i="90"/>
  <c r="V25" i="90" s="1"/>
  <c r="W13" i="90"/>
  <c r="AP194" i="70"/>
  <c r="CA14" i="75" s="1"/>
  <c r="AJ16" i="70"/>
  <c r="AP13" i="70"/>
  <c r="BW13" i="75" s="1"/>
  <c r="AJ149" i="70"/>
  <c r="AD184" i="70"/>
  <c r="AJ61" i="70"/>
  <c r="AP60" i="70"/>
  <c r="BX15" i="75" s="1"/>
  <c r="AV150" i="70"/>
  <c r="CU15" i="75" s="1"/>
  <c r="AV194" i="70"/>
  <c r="CV14" i="75" s="1"/>
  <c r="AP94" i="70"/>
  <c r="AP61" i="70"/>
  <c r="BX16" i="75" s="1"/>
  <c r="AJ105" i="70"/>
  <c r="AJ150" i="70"/>
  <c r="AV14" i="70"/>
  <c r="CR14" i="75" s="1"/>
  <c r="BZ4" i="75"/>
  <c r="AJ49" i="70"/>
  <c r="AV61" i="70"/>
  <c r="CS16" i="75" s="1"/>
  <c r="AP149" i="70"/>
  <c r="BZ14" i="75" s="1"/>
  <c r="AP14" i="70"/>
  <c r="AP49" i="70"/>
  <c r="AV149" i="70"/>
  <c r="CU14" i="75" s="1"/>
  <c r="AP11" i="70"/>
  <c r="AV4" i="70"/>
  <c r="CR4" i="75" s="1"/>
  <c r="AP12" i="70"/>
  <c r="AP4" i="70"/>
  <c r="AJ13" i="70"/>
  <c r="AD5" i="70"/>
  <c r="AV16" i="70"/>
  <c r="CR16" i="75" s="1"/>
  <c r="AV11" i="70"/>
  <c r="CR11" i="75" s="1"/>
  <c r="AJ12" i="70"/>
  <c r="AD139" i="70"/>
  <c r="AD94" i="70"/>
  <c r="AD49" i="70"/>
  <c r="AD61" i="70"/>
  <c r="AD60" i="70"/>
  <c r="AD54" i="70"/>
  <c r="AD99" i="70"/>
  <c r="AD149" i="70"/>
  <c r="AD195" i="70"/>
  <c r="AD55" i="70"/>
  <c r="AD105" i="70"/>
  <c r="AD188" i="70"/>
  <c r="AD150" i="70"/>
  <c r="AD194" i="70"/>
  <c r="AD189" i="70"/>
  <c r="AD7" i="70"/>
  <c r="AD144" i="70"/>
  <c r="AD100" i="70"/>
  <c r="AD145" i="70"/>
  <c r="AD14" i="70"/>
  <c r="AD19" i="70"/>
  <c r="AD6" i="70"/>
  <c r="V22" i="90"/>
  <c r="AD18" i="70"/>
  <c r="AD10" i="70"/>
  <c r="V18" i="90"/>
  <c r="AD16" i="70"/>
  <c r="AD17" i="70"/>
  <c r="AD13" i="70"/>
  <c r="V20" i="90"/>
  <c r="AD8" i="70"/>
  <c r="AD11" i="70"/>
  <c r="V24" i="90"/>
  <c r="X24" i="90"/>
  <c r="V23" i="90"/>
  <c r="AD15" i="70"/>
  <c r="AD9" i="70"/>
  <c r="V16" i="90"/>
  <c r="Y16" i="90" s="1"/>
  <c r="V13" i="90"/>
  <c r="Y13" i="90" s="1"/>
  <c r="V26" i="90"/>
  <c r="X26" i="90"/>
  <c r="AD12" i="70"/>
  <c r="AD4" i="70"/>
  <c r="V14" i="90"/>
  <c r="Y14" i="90" s="1"/>
  <c r="V15" i="90"/>
  <c r="Y15" i="90" s="1"/>
  <c r="AP222" i="95"/>
  <c r="AU133" i="95"/>
  <c r="CD7" i="70"/>
  <c r="AZ133" i="95"/>
  <c r="AP88" i="95"/>
  <c r="CY8" i="84"/>
  <c r="CY12" i="84"/>
  <c r="CX14" i="84"/>
  <c r="CX13" i="84"/>
  <c r="CY9" i="84"/>
  <c r="CY10" i="84"/>
  <c r="CX15" i="84"/>
  <c r="CX17" i="84"/>
  <c r="CY11" i="84"/>
  <c r="CX16" i="84"/>
  <c r="M45" i="87" l="1"/>
  <c r="X105" i="87"/>
  <c r="AF105" i="87" s="1"/>
  <c r="E54" i="69"/>
  <c r="E100" i="69" s="1"/>
  <c r="BW11" i="75"/>
  <c r="BW14" i="75"/>
  <c r="BW12" i="75"/>
  <c r="CC10" i="70"/>
  <c r="CC9" i="70"/>
  <c r="CC16" i="70"/>
  <c r="CC15" i="70"/>
  <c r="CC33" i="70"/>
  <c r="CC26" i="70"/>
  <c r="M44" i="87"/>
  <c r="CC32" i="70"/>
  <c r="CC11" i="70"/>
  <c r="CC27" i="70"/>
  <c r="CC13" i="70"/>
  <c r="CC44" i="70"/>
  <c r="CC8" i="70"/>
  <c r="CC22" i="70"/>
  <c r="CC31" i="70"/>
  <c r="CC29" i="70"/>
  <c r="CC14" i="70"/>
  <c r="CC35" i="70"/>
  <c r="CC21" i="70"/>
  <c r="CC39" i="70"/>
  <c r="CC18" i="70"/>
  <c r="CC36" i="70"/>
  <c r="CC17" i="70"/>
  <c r="CC37" i="70"/>
  <c r="CC38" i="70"/>
  <c r="CC12" i="70"/>
  <c r="CC25" i="70"/>
  <c r="CC19" i="70"/>
  <c r="CC28" i="70"/>
  <c r="CC24" i="70"/>
  <c r="CC41" i="70"/>
  <c r="CC30" i="70"/>
  <c r="CC20" i="70"/>
  <c r="BZ50" i="70"/>
  <c r="BZ49" i="70"/>
  <c r="CC40" i="70"/>
  <c r="CC43" i="70"/>
  <c r="AY197" i="84"/>
  <c r="AZ197" i="84"/>
  <c r="AW197" i="84"/>
  <c r="AX202" i="84"/>
  <c r="AW189" i="84"/>
  <c r="AZ149" i="84"/>
  <c r="AZ202" i="84"/>
  <c r="AZ189" i="84"/>
  <c r="K36" i="87"/>
  <c r="K36" i="94"/>
  <c r="M44" i="94"/>
  <c r="M45" i="94"/>
  <c r="CC42" i="70"/>
  <c r="CC34" i="70"/>
  <c r="CC23" i="70"/>
  <c r="E99" i="69"/>
  <c r="AW202" i="84"/>
  <c r="AY149" i="84"/>
  <c r="AX189" i="84"/>
  <c r="AW149" i="84"/>
  <c r="AX190" i="84"/>
  <c r="AW190" i="84"/>
  <c r="AU194" i="84"/>
  <c r="AZ194" i="84" s="1"/>
  <c r="AY190" i="84"/>
  <c r="CC45" i="70"/>
  <c r="M37" i="87"/>
  <c r="C38" i="84"/>
  <c r="CS7" i="84"/>
  <c r="CR43" i="84"/>
  <c r="F73" i="69"/>
  <c r="F149" i="69"/>
  <c r="CR8" i="84"/>
  <c r="CQ44" i="84"/>
  <c r="G75" i="69"/>
  <c r="J75" i="69" s="1"/>
  <c r="G151" i="69"/>
  <c r="C12" i="70"/>
  <c r="D12" i="70" s="1"/>
  <c r="A29" i="70"/>
  <c r="CB46" i="70"/>
  <c r="CT6" i="84"/>
  <c r="CS42" i="84"/>
  <c r="X25" i="90"/>
  <c r="H151" i="69"/>
  <c r="AP195" i="70"/>
  <c r="CA15" i="75" s="1"/>
  <c r="AP105" i="70"/>
  <c r="BY15" i="75" s="1"/>
  <c r="AJ194" i="70"/>
  <c r="AV13" i="70"/>
  <c r="CR13" i="75" s="1"/>
  <c r="AJ4" i="70"/>
  <c r="AJ15" i="70"/>
  <c r="AJ94" i="70"/>
  <c r="AV49" i="70"/>
  <c r="CS4" i="75" s="1"/>
  <c r="AP15" i="70"/>
  <c r="AJ11" i="70"/>
  <c r="AV12" i="70"/>
  <c r="CR12" i="75" s="1"/>
  <c r="BW4" i="75"/>
  <c r="BX4" i="75"/>
  <c r="BY4" i="75"/>
  <c r="CD13" i="70"/>
  <c r="CD20" i="70"/>
  <c r="CD27" i="70"/>
  <c r="CD35" i="70"/>
  <c r="CD15" i="70"/>
  <c r="CD36" i="70"/>
  <c r="CD21" i="70"/>
  <c r="CD41" i="70"/>
  <c r="CD44" i="70"/>
  <c r="CD16" i="70"/>
  <c r="CD40" i="70"/>
  <c r="CD24" i="70"/>
  <c r="CD34" i="70"/>
  <c r="CD45" i="70"/>
  <c r="CD19" i="70"/>
  <c r="CD42" i="70"/>
  <c r="CD11" i="70"/>
  <c r="CD23" i="70"/>
  <c r="CD26" i="70"/>
  <c r="CD30" i="70"/>
  <c r="CD18" i="70"/>
  <c r="CD10" i="70"/>
  <c r="CD8" i="70"/>
  <c r="CD38" i="70"/>
  <c r="CD43" i="70"/>
  <c r="CD37" i="70"/>
  <c r="CD39" i="70"/>
  <c r="CD28" i="70"/>
  <c r="CD33" i="70"/>
  <c r="CD31" i="70"/>
  <c r="AP223" i="95"/>
  <c r="CD12" i="70"/>
  <c r="CD22" i="70"/>
  <c r="CD25" i="70"/>
  <c r="CD17" i="70"/>
  <c r="CD29" i="70"/>
  <c r="CD14" i="70"/>
  <c r="CD32" i="70"/>
  <c r="CD9" i="70"/>
  <c r="CY17" i="84"/>
  <c r="CY14" i="84"/>
  <c r="CY13" i="84"/>
  <c r="CY15" i="84"/>
  <c r="CZ10" i="84"/>
  <c r="CZ9" i="84"/>
  <c r="CX19" i="84"/>
  <c r="CX21" i="84"/>
  <c r="CX20" i="84"/>
  <c r="CX22" i="84"/>
  <c r="CZ12" i="84"/>
  <c r="CX18" i="84"/>
  <c r="CZ8" i="84"/>
  <c r="CY16" i="84"/>
  <c r="CZ11" i="84"/>
  <c r="BW15" i="75" l="1"/>
  <c r="BZ52" i="70"/>
  <c r="BZ51" i="70"/>
  <c r="AY194" i="84"/>
  <c r="AW194" i="84"/>
  <c r="AX194" i="84"/>
  <c r="K37" i="87"/>
  <c r="K37" i="94"/>
  <c r="CB47" i="70"/>
  <c r="CT7" i="84"/>
  <c r="CS43" i="84"/>
  <c r="CU6" i="84"/>
  <c r="CU42" i="84" s="1"/>
  <c r="CT42" i="84"/>
  <c r="A30" i="70"/>
  <c r="C13" i="70"/>
  <c r="CR9" i="84"/>
  <c r="CQ45" i="84"/>
  <c r="G76" i="69"/>
  <c r="J76" i="69" s="1"/>
  <c r="G152" i="69"/>
  <c r="CS8" i="84"/>
  <c r="CR44" i="84"/>
  <c r="F150" i="69"/>
  <c r="F74" i="69"/>
  <c r="CC46" i="70"/>
  <c r="H152" i="69"/>
  <c r="H153" i="69"/>
  <c r="CD46" i="70"/>
  <c r="DA10" i="84"/>
  <c r="DA8" i="84"/>
  <c r="CX23" i="84"/>
  <c r="DB12" i="84"/>
  <c r="CZ14" i="84"/>
  <c r="CZ13" i="84"/>
  <c r="CX24" i="84"/>
  <c r="DB10" i="84"/>
  <c r="DB11" i="84"/>
  <c r="CY19" i="84"/>
  <c r="CY18" i="84"/>
  <c r="CY22" i="84"/>
  <c r="CZ16" i="84"/>
  <c r="CX25" i="84"/>
  <c r="CZ17" i="84"/>
  <c r="CY20" i="84"/>
  <c r="DA11" i="84"/>
  <c r="DA12" i="84"/>
  <c r="DA9" i="84"/>
  <c r="CY21" i="84"/>
  <c r="CX26" i="84"/>
  <c r="DB8" i="84"/>
  <c r="DB9" i="84"/>
  <c r="CX27" i="84"/>
  <c r="CZ15" i="84"/>
  <c r="G153" i="69" l="1"/>
  <c r="BZ53" i="70"/>
  <c r="BZ54" i="70"/>
  <c r="CC47" i="70"/>
  <c r="CB48" i="70"/>
  <c r="CB49" i="70" s="1"/>
  <c r="CC49" i="70" s="1"/>
  <c r="CS9" i="84"/>
  <c r="CR45" i="84"/>
  <c r="CR10" i="84"/>
  <c r="CQ46" i="84"/>
  <c r="A31" i="70"/>
  <c r="F151" i="69"/>
  <c r="F75" i="69"/>
  <c r="CU7" i="84"/>
  <c r="CU43" i="84" s="1"/>
  <c r="CT43" i="84"/>
  <c r="C14" i="70"/>
  <c r="D14" i="70" s="1"/>
  <c r="D13" i="70"/>
  <c r="CT8" i="84"/>
  <c r="CS44" i="84"/>
  <c r="CD47" i="70"/>
  <c r="CD49" i="70"/>
  <c r="DA17" i="84"/>
  <c r="CY26" i="84"/>
  <c r="DA14" i="84"/>
  <c r="DB16" i="84"/>
  <c r="CZ20" i="84"/>
  <c r="CX30" i="84"/>
  <c r="CY24" i="84"/>
  <c r="DA13" i="84"/>
  <c r="CX31" i="84"/>
  <c r="CX28" i="84"/>
  <c r="CY27" i="84"/>
  <c r="DA16" i="84"/>
  <c r="CX32" i="84"/>
  <c r="DB14" i="84"/>
  <c r="DB15" i="84"/>
  <c r="CY25" i="84"/>
  <c r="CX29" i="84"/>
  <c r="CZ19" i="84"/>
  <c r="CZ22" i="84"/>
  <c r="DA15" i="84"/>
  <c r="CZ18" i="84"/>
  <c r="CZ21" i="84"/>
  <c r="DB17" i="84"/>
  <c r="DB13" i="84"/>
  <c r="CY23" i="84"/>
  <c r="BZ56" i="70" l="1"/>
  <c r="BZ55" i="70"/>
  <c r="CC48" i="70"/>
  <c r="CR11" i="84"/>
  <c r="CQ47" i="84"/>
  <c r="CT9" i="84"/>
  <c r="CS45" i="84"/>
  <c r="CS10" i="84"/>
  <c r="CR46" i="84"/>
  <c r="A32" i="70"/>
  <c r="CU8" i="84"/>
  <c r="CU44" i="84" s="1"/>
  <c r="CT44" i="84"/>
  <c r="C15" i="70"/>
  <c r="F152" i="69"/>
  <c r="F76" i="69"/>
  <c r="F153" i="69" s="1"/>
  <c r="CB50" i="70"/>
  <c r="CD48" i="70"/>
  <c r="DA18" i="84"/>
  <c r="CZ24" i="84"/>
  <c r="DB18" i="84"/>
  <c r="CY31" i="84"/>
  <c r="DB21" i="84"/>
  <c r="DA22" i="84"/>
  <c r="DA20" i="84"/>
  <c r="DA19" i="84"/>
  <c r="CZ26" i="84"/>
  <c r="CZ27" i="84"/>
  <c r="DA21" i="84"/>
  <c r="CX35" i="84"/>
  <c r="CX36" i="84"/>
  <c r="DB19" i="84"/>
  <c r="CX33" i="84"/>
  <c r="CY29" i="84"/>
  <c r="CY32" i="84"/>
  <c r="CX34" i="84"/>
  <c r="DB22" i="84"/>
  <c r="CZ23" i="84"/>
  <c r="CY28" i="84"/>
  <c r="CX37" i="84"/>
  <c r="CZ25" i="84"/>
  <c r="DB20" i="84"/>
  <c r="CY30" i="84"/>
  <c r="BZ58" i="70" l="1"/>
  <c r="BZ57" i="70"/>
  <c r="CB51" i="70"/>
  <c r="CS11" i="84"/>
  <c r="CR47" i="84"/>
  <c r="CU9" i="84"/>
  <c r="CU45" i="84" s="1"/>
  <c r="CT45" i="84"/>
  <c r="CT10" i="84"/>
  <c r="CS46" i="84"/>
  <c r="CR12" i="84"/>
  <c r="CQ48" i="84"/>
  <c r="CC50" i="70"/>
  <c r="C16" i="70"/>
  <c r="D15" i="70"/>
  <c r="A33" i="70"/>
  <c r="CD50" i="70"/>
  <c r="DA24" i="84"/>
  <c r="CZ30" i="84"/>
  <c r="CZ28" i="84"/>
  <c r="CX38" i="84"/>
  <c r="CY35" i="84"/>
  <c r="DB23" i="84"/>
  <c r="DB27" i="84"/>
  <c r="CY37" i="84"/>
  <c r="CY33" i="84"/>
  <c r="DB26" i="84"/>
  <c r="DA27" i="84"/>
  <c r="CX41" i="84"/>
  <c r="CZ29" i="84"/>
  <c r="CZ32" i="84"/>
  <c r="DB24" i="84"/>
  <c r="CY34" i="84"/>
  <c r="DA26" i="84"/>
  <c r="DA25" i="84"/>
  <c r="DB25" i="84"/>
  <c r="DA23" i="84"/>
  <c r="CX42" i="84"/>
  <c r="CY36" i="84"/>
  <c r="CX40" i="84"/>
  <c r="CX39" i="84"/>
  <c r="CZ31" i="84"/>
  <c r="BZ59" i="70" l="1"/>
  <c r="BZ60" i="70"/>
  <c r="CU10" i="84"/>
  <c r="CU46" i="84" s="1"/>
  <c r="CT46" i="84"/>
  <c r="A34" i="70"/>
  <c r="CT11" i="84"/>
  <c r="CS47" i="84"/>
  <c r="C17" i="70"/>
  <c r="D16" i="70"/>
  <c r="CR13" i="84"/>
  <c r="CQ49" i="84"/>
  <c r="CS12" i="84"/>
  <c r="CR48" i="84"/>
  <c r="CC51" i="70"/>
  <c r="CB52" i="70"/>
  <c r="BZ61" i="70" l="1"/>
  <c r="BZ62" i="70"/>
  <c r="CU11" i="84"/>
  <c r="CU47" i="84" s="1"/>
  <c r="CT47" i="84"/>
  <c r="CR14" i="84"/>
  <c r="CQ50" i="84"/>
  <c r="CC52" i="70"/>
  <c r="CB53" i="70"/>
  <c r="CS13" i="84"/>
  <c r="CR49" i="84"/>
  <c r="A35" i="70"/>
  <c r="CT12" i="84"/>
  <c r="CS48" i="84"/>
  <c r="C18" i="70"/>
  <c r="D17" i="70"/>
  <c r="CD51" i="70"/>
  <c r="CD52" i="70"/>
  <c r="CY40" i="84"/>
  <c r="CX52" i="84"/>
  <c r="CY44" i="84"/>
  <c r="DA31" i="84"/>
  <c r="DA33" i="84"/>
  <c r="DA36" i="84"/>
  <c r="CY47" i="84"/>
  <c r="CZ35" i="84"/>
  <c r="CX44" i="84"/>
  <c r="DB36" i="84"/>
  <c r="CZ34" i="84"/>
  <c r="CY45" i="84"/>
  <c r="CZ42" i="84"/>
  <c r="CY42" i="84"/>
  <c r="CZ40" i="84"/>
  <c r="DA35" i="84"/>
  <c r="CY41" i="84"/>
  <c r="CY46" i="84"/>
  <c r="CZ33" i="84"/>
  <c r="DB29" i="84"/>
  <c r="DB28" i="84"/>
  <c r="CZ41" i="84"/>
  <c r="CX50" i="84"/>
  <c r="DA28" i="84"/>
  <c r="DA37" i="84"/>
  <c r="DA30" i="84"/>
  <c r="CY43" i="84"/>
  <c r="CX48" i="84"/>
  <c r="CY38" i="84"/>
  <c r="DA34" i="84"/>
  <c r="CZ37" i="84"/>
  <c r="CY39" i="84"/>
  <c r="CX51" i="84"/>
  <c r="CX49" i="84"/>
  <c r="DB32" i="84"/>
  <c r="CZ38" i="84"/>
  <c r="DB34" i="84"/>
  <c r="DB35" i="84"/>
  <c r="DA32" i="84"/>
  <c r="DA29" i="84"/>
  <c r="DB31" i="84"/>
  <c r="CX45" i="84"/>
  <c r="CX43" i="84"/>
  <c r="DB37" i="84"/>
  <c r="DB33" i="84"/>
  <c r="CZ36" i="84"/>
  <c r="CX47" i="84"/>
  <c r="CX46" i="84"/>
  <c r="CZ39" i="84"/>
  <c r="DB30" i="84"/>
  <c r="BZ64" i="70" l="1"/>
  <c r="BZ63" i="70"/>
  <c r="C19" i="70"/>
  <c r="D18" i="70"/>
  <c r="CT13" i="84"/>
  <c r="CS49" i="84"/>
  <c r="CB54" i="70"/>
  <c r="CC53" i="70"/>
  <c r="A36" i="70"/>
  <c r="CU12" i="84"/>
  <c r="CU48" i="84" s="1"/>
  <c r="CT48" i="84"/>
  <c r="CR15" i="84"/>
  <c r="CQ51" i="84"/>
  <c r="CS14" i="84"/>
  <c r="CR50" i="84"/>
  <c r="CD53" i="70"/>
  <c r="CX54" i="84"/>
  <c r="DB38" i="84"/>
  <c r="CX57" i="84"/>
  <c r="CY49" i="84"/>
  <c r="DA42" i="84"/>
  <c r="CY50" i="84"/>
  <c r="DA38" i="84"/>
  <c r="DB39" i="84"/>
  <c r="CX55" i="84"/>
  <c r="CY51" i="84"/>
  <c r="CZ46" i="84"/>
  <c r="CY52" i="84"/>
  <c r="CZ45" i="84"/>
  <c r="DA39" i="84"/>
  <c r="DB41" i="84"/>
  <c r="CZ47" i="84"/>
  <c r="CY48" i="84"/>
  <c r="DA40" i="84"/>
  <c r="DB42" i="84"/>
  <c r="CX53" i="84"/>
  <c r="DA41" i="84"/>
  <c r="CZ44" i="84"/>
  <c r="CZ43" i="84"/>
  <c r="DB40" i="84"/>
  <c r="CX56" i="84"/>
  <c r="BZ65" i="70" l="1"/>
  <c r="BZ66" i="70"/>
  <c r="CT14" i="84"/>
  <c r="CS50" i="84"/>
  <c r="CU13" i="84"/>
  <c r="CU49" i="84" s="1"/>
  <c r="CT49" i="84"/>
  <c r="A37" i="70"/>
  <c r="CR16" i="84"/>
  <c r="CQ52" i="84"/>
  <c r="CS15" i="84"/>
  <c r="CR51" i="84"/>
  <c r="CC54" i="70"/>
  <c r="CB55" i="70"/>
  <c r="C20" i="70"/>
  <c r="D19" i="70"/>
  <c r="CD54" i="70"/>
  <c r="CZ48" i="84"/>
  <c r="DB43" i="84"/>
  <c r="CY56" i="84"/>
  <c r="CX61" i="84"/>
  <c r="CY57" i="84"/>
  <c r="CY53" i="84"/>
  <c r="CZ49" i="84"/>
  <c r="DA45" i="84"/>
  <c r="CX58" i="84"/>
  <c r="CX62" i="84"/>
  <c r="CZ50" i="84"/>
  <c r="DB47" i="84"/>
  <c r="DA43" i="84"/>
  <c r="CX60" i="84"/>
  <c r="DA44" i="84"/>
  <c r="CY55" i="84"/>
  <c r="DA46" i="84"/>
  <c r="DB44" i="84"/>
  <c r="CZ51" i="84"/>
  <c r="CY54" i="84"/>
  <c r="DB45" i="84"/>
  <c r="CZ52" i="84"/>
  <c r="DB46" i="84"/>
  <c r="CX59" i="84"/>
  <c r="DA47" i="84"/>
  <c r="BZ67" i="70" l="1"/>
  <c r="BZ68" i="70"/>
  <c r="A38" i="70"/>
  <c r="CT15" i="84"/>
  <c r="CS51" i="84"/>
  <c r="CS16" i="84"/>
  <c r="CR52" i="84"/>
  <c r="CR17" i="84"/>
  <c r="CQ53" i="84"/>
  <c r="C21" i="70"/>
  <c r="D20" i="70"/>
  <c r="CC55" i="70"/>
  <c r="CB56" i="70"/>
  <c r="CU14" i="84"/>
  <c r="CU50" i="84" s="1"/>
  <c r="CT50" i="84"/>
  <c r="CD55" i="70"/>
  <c r="DA52" i="84"/>
  <c r="CY59" i="84"/>
  <c r="CY61" i="84"/>
  <c r="CZ55" i="84"/>
  <c r="CZ56" i="84"/>
  <c r="CX67" i="84"/>
  <c r="DA51" i="84"/>
  <c r="CZ54" i="84"/>
  <c r="CX65" i="84"/>
  <c r="CZ53" i="84"/>
  <c r="CZ57" i="84"/>
  <c r="CX63" i="84"/>
  <c r="DA49" i="84"/>
  <c r="CX64" i="84"/>
  <c r="CY60" i="84"/>
  <c r="DA50" i="84"/>
  <c r="DB49" i="84"/>
  <c r="DB50" i="84"/>
  <c r="CY58" i="84"/>
  <c r="DA48" i="84"/>
  <c r="CX66" i="84"/>
  <c r="DB52" i="84"/>
  <c r="DB51" i="84"/>
  <c r="CY62" i="84"/>
  <c r="DB48" i="84"/>
  <c r="BZ70" i="70" l="1"/>
  <c r="BZ69" i="70"/>
  <c r="CT16" i="84"/>
  <c r="CS52" i="84"/>
  <c r="CU15" i="84"/>
  <c r="CU51" i="84" s="1"/>
  <c r="CT51" i="84"/>
  <c r="CC56" i="70"/>
  <c r="CB57" i="70"/>
  <c r="C22" i="70"/>
  <c r="D21" i="70"/>
  <c r="CS17" i="84"/>
  <c r="CR53" i="84"/>
  <c r="A39" i="70"/>
  <c r="CR18" i="84"/>
  <c r="CQ54" i="84"/>
  <c r="BZ71" i="70" l="1"/>
  <c r="BZ72" i="70"/>
  <c r="C23" i="70"/>
  <c r="D22" i="70"/>
  <c r="CC57" i="70"/>
  <c r="CB58" i="70"/>
  <c r="A40" i="70"/>
  <c r="CT17" i="84"/>
  <c r="CS53" i="84"/>
  <c r="CS18" i="84"/>
  <c r="CR54" i="84"/>
  <c r="CR19" i="84"/>
  <c r="CQ55" i="84"/>
  <c r="CU16" i="84"/>
  <c r="CU52" i="84" s="1"/>
  <c r="CT52" i="84"/>
  <c r="CD56" i="70"/>
  <c r="CD57" i="70"/>
  <c r="DB61" i="84"/>
  <c r="DB55" i="84"/>
  <c r="CX75" i="84"/>
  <c r="CX74" i="84"/>
  <c r="DB60" i="84"/>
  <c r="CX70" i="84"/>
  <c r="CZ65" i="84"/>
  <c r="DB62" i="84"/>
  <c r="CZ61" i="84"/>
  <c r="CY63" i="84"/>
  <c r="DB59" i="84"/>
  <c r="DA54" i="84"/>
  <c r="CY67" i="84"/>
  <c r="DB58" i="84"/>
  <c r="CZ59" i="84"/>
  <c r="CZ62" i="84"/>
  <c r="CZ66" i="84"/>
  <c r="CX71" i="84"/>
  <c r="CY68" i="84"/>
  <c r="CX77" i="84"/>
  <c r="CZ63" i="84"/>
  <c r="DA58" i="84"/>
  <c r="CY69" i="84"/>
  <c r="CY71" i="84"/>
  <c r="DA57" i="84"/>
  <c r="DB53" i="84"/>
  <c r="CY65" i="84"/>
  <c r="CY66" i="84"/>
  <c r="DA61" i="84"/>
  <c r="CX72" i="84"/>
  <c r="DA53" i="84"/>
  <c r="CZ60" i="84"/>
  <c r="CZ67" i="84"/>
  <c r="CX76" i="84"/>
  <c r="DA62" i="84"/>
  <c r="CX69" i="84"/>
  <c r="DA60" i="84"/>
  <c r="CZ58" i="84"/>
  <c r="CX68" i="84"/>
  <c r="CY64" i="84"/>
  <c r="DB56" i="84"/>
  <c r="CY70" i="84"/>
  <c r="CY72" i="84"/>
  <c r="CZ64" i="84"/>
  <c r="CX73" i="84"/>
  <c r="DA56" i="84"/>
  <c r="DA55" i="84"/>
  <c r="DA59" i="84"/>
  <c r="DB54" i="84"/>
  <c r="DB57" i="84"/>
  <c r="BZ74" i="70" l="1"/>
  <c r="BZ73" i="70"/>
  <c r="CT18" i="84"/>
  <c r="CS54" i="84"/>
  <c r="CC58" i="70"/>
  <c r="CB59" i="70"/>
  <c r="CR20" i="84"/>
  <c r="CQ56" i="84"/>
  <c r="CU17" i="84"/>
  <c r="CU53" i="84" s="1"/>
  <c r="CT53" i="84"/>
  <c r="A41" i="70"/>
  <c r="CS19" i="84"/>
  <c r="CR55" i="84"/>
  <c r="C24" i="70"/>
  <c r="D23" i="70"/>
  <c r="BZ76" i="70" l="1"/>
  <c r="BZ75" i="70"/>
  <c r="CD58" i="70"/>
  <c r="CX80" i="84"/>
  <c r="DA64" i="84"/>
  <c r="CZ68" i="84"/>
  <c r="CX78" i="84"/>
  <c r="CZ69" i="84"/>
  <c r="CX79" i="84"/>
  <c r="DB65" i="84"/>
  <c r="DA66" i="84"/>
  <c r="DA67" i="84"/>
  <c r="CX82" i="84"/>
  <c r="CY74" i="84"/>
  <c r="DA65" i="84"/>
  <c r="CY73" i="84"/>
  <c r="DB63" i="84"/>
  <c r="CY76" i="84"/>
  <c r="CZ71" i="84"/>
  <c r="CY77" i="84"/>
  <c r="DA63" i="84"/>
  <c r="CZ70" i="84"/>
  <c r="DB66" i="84"/>
  <c r="CY75" i="84"/>
  <c r="DB67" i="84"/>
  <c r="CX81" i="84"/>
  <c r="DB64" i="84"/>
  <c r="CZ72" i="84"/>
  <c r="CT19" i="84" l="1"/>
  <c r="CS55" i="84"/>
  <c r="CS20" i="84"/>
  <c r="CR56" i="84"/>
  <c r="CR21" i="84"/>
  <c r="CQ57" i="84"/>
  <c r="CC59" i="70"/>
  <c r="CB60" i="70"/>
  <c r="C25" i="70"/>
  <c r="D24" i="70"/>
  <c r="A42" i="70"/>
  <c r="CU18" i="84"/>
  <c r="CU54" i="84" s="1"/>
  <c r="CT54" i="84"/>
  <c r="CD59" i="70"/>
  <c r="DB72" i="84"/>
  <c r="DA69" i="84"/>
  <c r="CY82" i="84"/>
  <c r="CZ76" i="84"/>
  <c r="CX85" i="84"/>
  <c r="DB69" i="84"/>
  <c r="DA72" i="84"/>
  <c r="CY79" i="84"/>
  <c r="DB68" i="84"/>
  <c r="CZ73" i="84"/>
  <c r="CY78" i="84"/>
  <c r="CZ77" i="84"/>
  <c r="DA71" i="84"/>
  <c r="DB71" i="84"/>
  <c r="CY80" i="84"/>
  <c r="CX87" i="84"/>
  <c r="CY81" i="84"/>
  <c r="DA68" i="84"/>
  <c r="CZ75" i="84"/>
  <c r="CX84" i="84"/>
  <c r="CX83" i="84"/>
  <c r="CZ74" i="84"/>
  <c r="DB70" i="84"/>
  <c r="DA70" i="84"/>
  <c r="CX86" i="84"/>
  <c r="BZ77" i="70" l="1"/>
  <c r="BZ78" i="70"/>
  <c r="CR23" i="84"/>
  <c r="CQ59" i="84"/>
  <c r="AE21" i="71" l="1"/>
  <c r="AG21" i="71"/>
  <c r="AH21" i="71"/>
  <c r="AI21" i="71"/>
  <c r="AF21" i="71"/>
  <c r="AJ21" i="71"/>
  <c r="AG168" i="71"/>
  <c r="AG190" i="71"/>
  <c r="AF168" i="71"/>
  <c r="AH190" i="71"/>
  <c r="AI168" i="71"/>
  <c r="AJ190" i="71"/>
  <c r="AF190" i="71"/>
  <c r="AI190" i="71"/>
  <c r="AE190" i="71"/>
  <c r="AJ168" i="71"/>
  <c r="AH168" i="71"/>
  <c r="AE168" i="71"/>
  <c r="AI111" i="71"/>
  <c r="AG111" i="71"/>
  <c r="AH111" i="71"/>
  <c r="AF111" i="71"/>
  <c r="AE111" i="71"/>
  <c r="AJ111" i="71"/>
  <c r="AJ174" i="71"/>
  <c r="AG196" i="71"/>
  <c r="AF174" i="71"/>
  <c r="AI196" i="71"/>
  <c r="AG174" i="71"/>
  <c r="AJ196" i="71"/>
  <c r="AH174" i="71"/>
  <c r="AF196" i="71"/>
  <c r="AE196" i="71"/>
  <c r="AI174" i="71"/>
  <c r="AH196" i="71"/>
  <c r="AE174" i="71"/>
  <c r="AF201" i="71"/>
  <c r="AG201" i="71"/>
  <c r="AI201" i="71"/>
  <c r="AE201" i="71"/>
  <c r="AJ201" i="71"/>
  <c r="AH201" i="71"/>
  <c r="AI167" i="71"/>
  <c r="AJ189" i="71"/>
  <c r="AF167" i="71"/>
  <c r="AH167" i="71"/>
  <c r="AH189" i="71"/>
  <c r="AF189" i="71"/>
  <c r="AE167" i="71"/>
  <c r="AE189" i="71"/>
  <c r="AJ167" i="71"/>
  <c r="AG167" i="71"/>
  <c r="AI189" i="71"/>
  <c r="AG189" i="71"/>
  <c r="AH173" i="71"/>
  <c r="AH195" i="71"/>
  <c r="AG195" i="71"/>
  <c r="AF195" i="71"/>
  <c r="AI195" i="71"/>
  <c r="AE195" i="71"/>
  <c r="AF173" i="71"/>
  <c r="AG173" i="71"/>
  <c r="AE173" i="71"/>
  <c r="AJ195" i="71"/>
  <c r="AI173" i="71"/>
  <c r="AJ173" i="71"/>
  <c r="AI156" i="71"/>
  <c r="AJ156" i="71"/>
  <c r="AH156" i="71"/>
  <c r="AF156" i="71"/>
  <c r="AE156" i="71"/>
  <c r="AG156" i="71"/>
  <c r="AF66" i="71"/>
  <c r="AG66" i="71"/>
  <c r="AH66" i="71"/>
  <c r="AI66" i="71"/>
  <c r="AJ66" i="71"/>
  <c r="AE66" i="71"/>
  <c r="CR24" i="84"/>
  <c r="CQ60" i="84"/>
  <c r="CS23" i="84"/>
  <c r="CR59" i="84"/>
  <c r="CT23" i="84" l="1"/>
  <c r="CS59" i="84"/>
  <c r="CR25" i="84"/>
  <c r="CQ61" i="84"/>
  <c r="CS24" i="84"/>
  <c r="CR60" i="84"/>
  <c r="CT24" i="84" l="1"/>
  <c r="CS60" i="84"/>
  <c r="CQ62" i="84"/>
  <c r="CR26" i="84"/>
  <c r="CS25" i="84"/>
  <c r="CR61" i="84"/>
  <c r="CU23" i="84"/>
  <c r="CU59" i="84" s="1"/>
  <c r="CT59" i="84"/>
  <c r="A43" i="70"/>
  <c r="CR22" i="84"/>
  <c r="CQ58" i="84"/>
  <c r="CS21" i="84"/>
  <c r="CR57" i="84"/>
  <c r="C26" i="70"/>
  <c r="D25" i="70"/>
  <c r="CC60" i="70"/>
  <c r="CB61" i="70"/>
  <c r="CT20" i="84"/>
  <c r="CS56" i="84"/>
  <c r="CU19" i="84"/>
  <c r="CU55" i="84" s="1"/>
  <c r="CT55" i="84"/>
  <c r="CD60" i="70"/>
  <c r="CZ78" i="84"/>
  <c r="DB74" i="84"/>
  <c r="CX90" i="84"/>
  <c r="CY84" i="84"/>
  <c r="DB76" i="84"/>
  <c r="CZ80" i="84"/>
  <c r="CZ82" i="84"/>
  <c r="CY87" i="84"/>
  <c r="DB77" i="84"/>
  <c r="CX89" i="84"/>
  <c r="CY86" i="84"/>
  <c r="DB75" i="84"/>
  <c r="CY83" i="84"/>
  <c r="DA75" i="84"/>
  <c r="CZ79" i="84"/>
  <c r="CZ81" i="84"/>
  <c r="CX91" i="84"/>
  <c r="DA76" i="84"/>
  <c r="DB73" i="84"/>
  <c r="DA74" i="84"/>
  <c r="CX88" i="84"/>
  <c r="DA73" i="84"/>
  <c r="CX92" i="84"/>
  <c r="CY85" i="84"/>
  <c r="DA77" i="84"/>
  <c r="BZ80" i="70" l="1"/>
  <c r="BZ79" i="70"/>
  <c r="CT25" i="84"/>
  <c r="CS61" i="84"/>
  <c r="CQ63" i="84"/>
  <c r="CR27" i="84"/>
  <c r="CS26" i="84"/>
  <c r="CR62" i="84"/>
  <c r="CU24" i="84"/>
  <c r="CU60" i="84" s="1"/>
  <c r="CT60" i="84"/>
  <c r="W5" i="70"/>
  <c r="CT26" i="84" l="1"/>
  <c r="CS62" i="84"/>
  <c r="CQ64" i="84"/>
  <c r="CR28" i="84"/>
  <c r="CS27" i="84"/>
  <c r="CR63" i="84"/>
  <c r="CU25" i="84"/>
  <c r="CU61" i="84" s="1"/>
  <c r="CT61" i="84"/>
  <c r="G5" i="76"/>
  <c r="CT27" i="84" l="1"/>
  <c r="CS63" i="84"/>
  <c r="CQ65" i="84"/>
  <c r="CR29" i="84"/>
  <c r="CS28" i="84"/>
  <c r="CR64" i="84"/>
  <c r="CU26" i="84"/>
  <c r="CU62" i="84" s="1"/>
  <c r="CT62" i="84"/>
  <c r="CC61" i="70"/>
  <c r="CB62" i="70"/>
  <c r="CT21" i="84"/>
  <c r="CS57" i="84"/>
  <c r="CS22" i="84"/>
  <c r="CR58" i="84"/>
  <c r="D26" i="70"/>
  <c r="C27" i="70"/>
  <c r="CU20" i="84"/>
  <c r="CU56" i="84" s="1"/>
  <c r="CT56" i="84"/>
  <c r="A44" i="70"/>
  <c r="CD61" i="70"/>
  <c r="DA79" i="84"/>
  <c r="DB78" i="84"/>
  <c r="CZ83" i="84"/>
  <c r="CX94" i="84"/>
  <c r="CY92" i="84"/>
  <c r="CZ86" i="84"/>
  <c r="CY89" i="84"/>
  <c r="DB81" i="84"/>
  <c r="DA81" i="84"/>
  <c r="CY91" i="84"/>
  <c r="CX93" i="84"/>
  <c r="CY90" i="84"/>
  <c r="DB82" i="84"/>
  <c r="CX96" i="84"/>
  <c r="DB80" i="84"/>
  <c r="CZ85" i="84"/>
  <c r="CY88" i="84"/>
  <c r="CZ87" i="84"/>
  <c r="CX95" i="84"/>
  <c r="DA78" i="84"/>
  <c r="DA82" i="84"/>
  <c r="DB79" i="84"/>
  <c r="CZ84" i="84"/>
  <c r="CX97" i="84"/>
  <c r="DA80" i="84"/>
  <c r="BZ82" i="70" l="1"/>
  <c r="BZ81" i="70"/>
  <c r="CT28" i="84"/>
  <c r="CS64" i="84"/>
  <c r="CQ66" i="84"/>
  <c r="CR30" i="84"/>
  <c r="CS29" i="84"/>
  <c r="CR65" i="84"/>
  <c r="CU27" i="84"/>
  <c r="CU63" i="84" s="1"/>
  <c r="CT63" i="84"/>
  <c r="CT22" i="84"/>
  <c r="CS58" i="84"/>
  <c r="CU21" i="84"/>
  <c r="CU57" i="84" s="1"/>
  <c r="CT57" i="84"/>
  <c r="A45" i="70"/>
  <c r="C28" i="70"/>
  <c r="D27" i="70"/>
  <c r="CC62" i="70"/>
  <c r="CB63" i="70"/>
  <c r="CD62" i="70"/>
  <c r="CX103" i="84"/>
  <c r="CX102" i="84"/>
  <c r="CX99" i="84"/>
  <c r="CX98" i="84"/>
  <c r="CX101" i="84"/>
  <c r="CX100" i="84"/>
  <c r="BZ83" i="70" l="1"/>
  <c r="BZ84" i="70"/>
  <c r="CT29" i="84"/>
  <c r="CS65" i="84"/>
  <c r="CS30" i="84"/>
  <c r="CR66" i="84"/>
  <c r="CQ67" i="84"/>
  <c r="CR31" i="84"/>
  <c r="CU28" i="84"/>
  <c r="CU64" i="84" s="1"/>
  <c r="CT64" i="84"/>
  <c r="CC63" i="70"/>
  <c r="CB64" i="70"/>
  <c r="A46" i="70"/>
  <c r="C29" i="70"/>
  <c r="D28" i="70"/>
  <c r="CU22" i="84"/>
  <c r="CU58" i="84" s="1"/>
  <c r="CT58" i="84"/>
  <c r="CD63" i="70"/>
  <c r="CZ97" i="84"/>
  <c r="CY99" i="84"/>
  <c r="CY94" i="84"/>
  <c r="CY96" i="84"/>
  <c r="DB84" i="84"/>
  <c r="CY102" i="84"/>
  <c r="DA85" i="84"/>
  <c r="DA92" i="84"/>
  <c r="DB87" i="84"/>
  <c r="CZ91" i="84"/>
  <c r="DA87" i="84"/>
  <c r="CY101" i="84"/>
  <c r="CZ95" i="84"/>
  <c r="CZ88" i="84"/>
  <c r="DA84" i="84"/>
  <c r="CZ92" i="84"/>
  <c r="DB89" i="84"/>
  <c r="CY103" i="84"/>
  <c r="CZ89" i="84"/>
  <c r="CZ93" i="84"/>
  <c r="CZ94" i="84"/>
  <c r="CY93" i="84"/>
  <c r="DB85" i="84"/>
  <c r="DA88" i="84"/>
  <c r="DB91" i="84"/>
  <c r="CY97" i="84"/>
  <c r="DB88" i="84"/>
  <c r="DB86" i="84"/>
  <c r="DB83" i="84"/>
  <c r="CY95" i="84"/>
  <c r="DA86" i="84"/>
  <c r="DB90" i="84"/>
  <c r="DA90" i="84"/>
  <c r="CY100" i="84"/>
  <c r="CZ90" i="84"/>
  <c r="DB92" i="84"/>
  <c r="DA89" i="84"/>
  <c r="DA83" i="84"/>
  <c r="DA91" i="84"/>
  <c r="CY98" i="84"/>
  <c r="CZ96" i="84"/>
  <c r="BZ86" i="70" l="1"/>
  <c r="BZ85" i="70"/>
  <c r="CQ68" i="84"/>
  <c r="CR32" i="84"/>
  <c r="CS31" i="84"/>
  <c r="CR67" i="84"/>
  <c r="CT30" i="84"/>
  <c r="CS66" i="84"/>
  <c r="CU29" i="84"/>
  <c r="CU65" i="84" s="1"/>
  <c r="CT65" i="84"/>
  <c r="A47" i="70"/>
  <c r="D29" i="70"/>
  <c r="C30" i="70"/>
  <c r="CC64" i="70"/>
  <c r="CB65" i="70"/>
  <c r="CD64" i="70"/>
  <c r="DA94" i="84"/>
  <c r="CZ99" i="84"/>
  <c r="CZ102" i="84"/>
  <c r="CZ103" i="84"/>
  <c r="DA97" i="84"/>
  <c r="DA96" i="84"/>
  <c r="CZ101" i="84"/>
  <c r="DA93" i="84"/>
  <c r="CZ98" i="84"/>
  <c r="CZ100" i="84"/>
  <c r="DA95" i="84"/>
  <c r="BZ88" i="70" l="1"/>
  <c r="BZ87" i="70"/>
  <c r="CU30" i="84"/>
  <c r="CT66" i="84"/>
  <c r="CT31" i="84"/>
  <c r="CS67" i="84"/>
  <c r="CQ69" i="84"/>
  <c r="CR33" i="84"/>
  <c r="CS32" i="84"/>
  <c r="CR68" i="84"/>
  <c r="DB99" i="84"/>
  <c r="DB93" i="84"/>
  <c r="DB97" i="84"/>
  <c r="DB95" i="84"/>
  <c r="DA103" i="84"/>
  <c r="DB94" i="84"/>
  <c r="DB103" i="84"/>
  <c r="DA102" i="84"/>
  <c r="DA101" i="84"/>
  <c r="DB101" i="84"/>
  <c r="DA100" i="84"/>
  <c r="DB98" i="84"/>
  <c r="DA99" i="84"/>
  <c r="DA98" i="84"/>
  <c r="DB102" i="84"/>
  <c r="DB100" i="84"/>
  <c r="DB96" i="84"/>
  <c r="CU66" i="84" l="1"/>
  <c r="CT32" i="84"/>
  <c r="CS68" i="84"/>
  <c r="CQ70" i="84"/>
  <c r="CR34" i="84"/>
  <c r="CS33" i="84"/>
  <c r="CR69" i="84"/>
  <c r="CU31" i="84"/>
  <c r="CT67" i="84"/>
  <c r="CC65" i="70"/>
  <c r="CB66" i="70"/>
  <c r="C31" i="70"/>
  <c r="D30" i="70"/>
  <c r="A48" i="70"/>
  <c r="CD65" i="70"/>
  <c r="BZ89" i="70" l="1"/>
  <c r="BZ90" i="70"/>
  <c r="CU67" i="84"/>
  <c r="CT33" i="84"/>
  <c r="CS69" i="84"/>
  <c r="CQ71" i="84"/>
  <c r="CR35" i="84"/>
  <c r="CS34" i="84"/>
  <c r="CR70" i="84"/>
  <c r="CU32" i="84"/>
  <c r="CT68" i="84"/>
  <c r="C32" i="70"/>
  <c r="D31" i="70"/>
  <c r="CC66" i="70"/>
  <c r="CB67" i="70"/>
  <c r="A49" i="70"/>
  <c r="BZ91" i="70" l="1"/>
  <c r="BZ92" i="70"/>
  <c r="CU68" i="84"/>
  <c r="CT34" i="84"/>
  <c r="CS70" i="84"/>
  <c r="CR36" i="84"/>
  <c r="CQ72" i="84"/>
  <c r="CS35" i="84"/>
  <c r="CR71" i="84"/>
  <c r="CU33" i="84"/>
  <c r="CT69" i="84"/>
  <c r="A50" i="70"/>
  <c r="CC67" i="70"/>
  <c r="CB68" i="70"/>
  <c r="C33" i="70"/>
  <c r="D32" i="70"/>
  <c r="BZ94" i="70" l="1"/>
  <c r="BZ93" i="70"/>
  <c r="CU69" i="84"/>
  <c r="CT35" i="84"/>
  <c r="CS71" i="84"/>
  <c r="CS36" i="84"/>
  <c r="CR72" i="84"/>
  <c r="CU34" i="84"/>
  <c r="CT70" i="84"/>
  <c r="CU70" i="84" l="1"/>
  <c r="CT36" i="84"/>
  <c r="CS72" i="84"/>
  <c r="CU35" i="84"/>
  <c r="CT71" i="84"/>
  <c r="CC68" i="70"/>
  <c r="CB69" i="70"/>
  <c r="A51" i="70"/>
  <c r="D33" i="70"/>
  <c r="C34" i="70"/>
  <c r="CD66" i="70"/>
  <c r="CD68" i="70"/>
  <c r="CD67" i="70"/>
  <c r="AD106" i="90"/>
  <c r="CD149" i="75"/>
  <c r="X173" i="72"/>
  <c r="AV69" i="71"/>
  <c r="DC126" i="75"/>
  <c r="AO14" i="71"/>
  <c r="DB113" i="75"/>
  <c r="AM71" i="71"/>
  <c r="DC137" i="75"/>
  <c r="X207" i="72"/>
  <c r="AW163" i="71"/>
  <c r="W9" i="71"/>
  <c r="CZ128" i="75"/>
  <c r="CY125" i="75"/>
  <c r="AC73" i="68"/>
  <c r="AN69" i="71"/>
  <c r="DA160" i="75"/>
  <c r="DC153" i="75"/>
  <c r="BY16" i="70"/>
  <c r="CD126" i="75"/>
  <c r="AU163" i="71"/>
  <c r="DB112" i="75"/>
  <c r="AB191" i="90"/>
  <c r="AP19" i="71"/>
  <c r="DB126" i="75"/>
  <c r="AQ18" i="71"/>
  <c r="DB119" i="75"/>
  <c r="DB108" i="75"/>
  <c r="U150" i="70"/>
  <c r="R168" i="72"/>
  <c r="CD113" i="75"/>
  <c r="AP15" i="71"/>
  <c r="AX112" i="71"/>
  <c r="CG106" i="75"/>
  <c r="DC121" i="75"/>
  <c r="CZ156" i="75"/>
  <c r="X73" i="72"/>
  <c r="AC68" i="90"/>
  <c r="AM13" i="71"/>
  <c r="CZ124" i="75"/>
  <c r="D116" i="68"/>
  <c r="CD158" i="75"/>
  <c r="DC151" i="75"/>
  <c r="AU158" i="71"/>
  <c r="AW23" i="71"/>
  <c r="DC139" i="75"/>
  <c r="CZ158" i="75"/>
  <c r="CZ137" i="75"/>
  <c r="AC15" i="90"/>
  <c r="AD67" i="90"/>
  <c r="D44" i="88"/>
  <c r="AM7" i="71"/>
  <c r="S157" i="68"/>
  <c r="CF154" i="75"/>
  <c r="CZ106" i="75"/>
  <c r="X169" i="72"/>
  <c r="X35" i="72"/>
  <c r="CY160" i="75"/>
  <c r="AM14" i="71"/>
  <c r="DA159" i="75"/>
  <c r="CE126" i="75"/>
  <c r="T74" i="68"/>
  <c r="CD153" i="75"/>
  <c r="AC19" i="90"/>
  <c r="AP18" i="71"/>
  <c r="D64" i="88"/>
  <c r="CD154" i="75"/>
  <c r="X30" i="72"/>
  <c r="R124" i="72"/>
  <c r="AD125" i="68"/>
  <c r="DB115" i="75"/>
  <c r="AR69" i="71"/>
  <c r="U61" i="70"/>
  <c r="AQ71" i="71"/>
  <c r="R197" i="68"/>
  <c r="DA151" i="75"/>
  <c r="CG124" i="75"/>
  <c r="AC156" i="90"/>
  <c r="AS158" i="71"/>
  <c r="AS68" i="71"/>
  <c r="AB146" i="90"/>
  <c r="CH104" i="75"/>
  <c r="D117" i="68"/>
  <c r="DB143" i="75"/>
  <c r="X172" i="72"/>
  <c r="CF127" i="75"/>
  <c r="D53" i="88"/>
  <c r="AD17" i="90"/>
  <c r="D113" i="88"/>
  <c r="CH137" i="75"/>
  <c r="R67" i="72"/>
  <c r="X67" i="72"/>
  <c r="AC146" i="90"/>
  <c r="CH135" i="75"/>
  <c r="W12" i="71"/>
  <c r="AT22" i="71"/>
  <c r="BB6" i="70"/>
  <c r="CY117" i="75"/>
  <c r="CG118" i="75"/>
  <c r="AU112" i="71"/>
  <c r="CY138" i="75"/>
  <c r="AS157" i="71"/>
  <c r="D70" i="68"/>
  <c r="X80" i="72"/>
  <c r="AC201" i="68"/>
  <c r="AX23" i="71"/>
  <c r="AX67" i="71"/>
  <c r="AD169" i="68"/>
  <c r="CZ112" i="75"/>
  <c r="W8" i="71"/>
  <c r="AC17" i="68"/>
  <c r="CD118" i="75"/>
  <c r="CY136" i="75"/>
  <c r="DB145" i="75"/>
  <c r="DB152" i="75"/>
  <c r="AP16" i="71"/>
  <c r="R27" i="72"/>
  <c r="DA115" i="75"/>
  <c r="AO19" i="71"/>
  <c r="DB123" i="75"/>
  <c r="R114" i="72"/>
  <c r="AR20" i="71"/>
  <c r="AS112" i="71"/>
  <c r="T17" i="68"/>
  <c r="AO11" i="71"/>
  <c r="AQ9" i="71"/>
  <c r="AB68" i="90"/>
  <c r="D46" i="88"/>
  <c r="CY122" i="75"/>
  <c r="DB110" i="75"/>
  <c r="AC17" i="90"/>
  <c r="AC11" i="90"/>
  <c r="D153" i="68"/>
  <c r="X42" i="72"/>
  <c r="AS23" i="71"/>
  <c r="CD136" i="75"/>
  <c r="R77" i="72"/>
  <c r="AQ12" i="71"/>
  <c r="D125" i="88"/>
  <c r="CZ161" i="75"/>
  <c r="CG146" i="75"/>
  <c r="AP8" i="71"/>
  <c r="D115" i="88"/>
  <c r="CE153" i="75"/>
  <c r="DC122" i="75"/>
  <c r="V195" i="70"/>
  <c r="AV21" i="71"/>
  <c r="S17" i="68"/>
  <c r="AD25" i="90"/>
  <c r="X175" i="72"/>
  <c r="S67" i="68"/>
  <c r="S197" i="68"/>
  <c r="CH109" i="75"/>
  <c r="DB139" i="75"/>
  <c r="AD129" i="68"/>
  <c r="CZ126" i="75"/>
  <c r="AX22" i="71"/>
  <c r="CE157" i="75"/>
  <c r="DB120" i="75"/>
  <c r="CF107" i="75"/>
  <c r="D211" i="68"/>
  <c r="D115" i="68"/>
  <c r="CF114" i="75"/>
  <c r="CY132" i="75"/>
  <c r="X212" i="72"/>
  <c r="CY107" i="75"/>
  <c r="CE131" i="75"/>
  <c r="CZ134" i="75"/>
  <c r="X38" i="72"/>
  <c r="R35" i="72"/>
  <c r="DA150" i="75"/>
  <c r="BY9" i="70"/>
  <c r="CY154" i="75"/>
  <c r="X163" i="72"/>
  <c r="CZ160" i="75"/>
  <c r="CZ127" i="75"/>
  <c r="CH116" i="75"/>
  <c r="X25" i="72"/>
  <c r="D21" i="88"/>
  <c r="R110" i="72"/>
  <c r="CE108" i="75"/>
  <c r="AQ8" i="71"/>
  <c r="AV163" i="71"/>
  <c r="AB151" i="90"/>
  <c r="DC145" i="75"/>
  <c r="AD22" i="90"/>
  <c r="D65" i="68"/>
  <c r="AC116" i="68"/>
  <c r="CY161" i="75"/>
  <c r="AB61" i="90"/>
  <c r="AD107" i="90"/>
  <c r="AC26" i="90"/>
  <c r="CG159" i="75"/>
  <c r="CG147" i="75"/>
  <c r="X110" i="72"/>
  <c r="X162" i="72"/>
  <c r="CY134" i="75"/>
  <c r="CF105" i="75"/>
  <c r="AC208" i="68"/>
  <c r="V194" i="70"/>
  <c r="CZ162" i="75"/>
  <c r="CH113" i="75"/>
  <c r="R41" i="72"/>
  <c r="DC138" i="75"/>
  <c r="DA107" i="75"/>
  <c r="D66" i="68"/>
  <c r="AT21" i="71"/>
  <c r="D124" i="88"/>
  <c r="X203" i="72"/>
  <c r="D116" i="88"/>
  <c r="X217" i="72"/>
  <c r="CH149" i="75"/>
  <c r="X202" i="72"/>
  <c r="R113" i="72"/>
  <c r="X75" i="71"/>
  <c r="AD80" i="68"/>
  <c r="BD9" i="70"/>
  <c r="CG162" i="75"/>
  <c r="DA141" i="75"/>
  <c r="DB159" i="75"/>
  <c r="AD217" i="68"/>
  <c r="X75" i="72"/>
  <c r="CD132" i="75"/>
  <c r="D33" i="88"/>
  <c r="CE106" i="75"/>
  <c r="X41" i="72"/>
  <c r="CD156" i="75"/>
  <c r="S207" i="68"/>
  <c r="AV67" i="71"/>
  <c r="CF138" i="75"/>
  <c r="R200" i="72"/>
  <c r="D72" i="68"/>
  <c r="BY13" i="70"/>
  <c r="CE130" i="75"/>
  <c r="D89" i="88"/>
  <c r="CZ129" i="75"/>
  <c r="CY149" i="75"/>
  <c r="T118" i="68"/>
  <c r="CE132" i="75"/>
  <c r="CZ144" i="75"/>
  <c r="R165" i="72"/>
  <c r="CG141" i="75"/>
  <c r="R152" i="68"/>
  <c r="DC129" i="75"/>
  <c r="X214" i="72"/>
  <c r="X15" i="71"/>
  <c r="DC142" i="75"/>
  <c r="X32" i="72"/>
  <c r="DA132" i="75"/>
  <c r="BB7" i="70"/>
  <c r="AR18" i="71"/>
  <c r="AW113" i="71"/>
  <c r="CZ122" i="75"/>
  <c r="AD152" i="90"/>
  <c r="AB17" i="90"/>
  <c r="CF139" i="75"/>
  <c r="AN9" i="71"/>
  <c r="CH147" i="75"/>
  <c r="DA124" i="75"/>
  <c r="R107" i="68"/>
  <c r="X23" i="72"/>
  <c r="CE154" i="75"/>
  <c r="BY11" i="70"/>
  <c r="BY4" i="70"/>
  <c r="DA161" i="75"/>
  <c r="CG119" i="75"/>
  <c r="X34" i="72"/>
  <c r="R164" i="72"/>
  <c r="S68" i="68"/>
  <c r="X114" i="72"/>
  <c r="R123" i="72"/>
  <c r="U94" i="70"/>
  <c r="AC14" i="90"/>
  <c r="AM12" i="71"/>
  <c r="CY150" i="75"/>
  <c r="CG115" i="75"/>
  <c r="D123" i="88"/>
  <c r="U149" i="70"/>
  <c r="DC148" i="75"/>
  <c r="AQ69" i="71"/>
  <c r="AD131" i="68"/>
  <c r="CD131" i="75"/>
  <c r="BB8" i="70"/>
  <c r="AD12" i="90"/>
  <c r="CG105" i="75"/>
  <c r="CE134" i="75"/>
  <c r="AN19" i="71"/>
  <c r="CG127" i="75"/>
  <c r="R155" i="72"/>
  <c r="R34" i="72"/>
  <c r="AT112" i="71"/>
  <c r="AD130" i="68"/>
  <c r="R115" i="72"/>
  <c r="R126" i="72"/>
  <c r="CH118" i="75"/>
  <c r="AD172" i="68"/>
  <c r="AS24" i="71"/>
  <c r="R22" i="72"/>
  <c r="X68" i="72"/>
  <c r="R156" i="72"/>
  <c r="D112" i="88"/>
  <c r="X14" i="71"/>
  <c r="CY106" i="75"/>
  <c r="DC116" i="75"/>
  <c r="AX68" i="71"/>
  <c r="CZ146" i="75"/>
  <c r="X73" i="71"/>
  <c r="AD74" i="68"/>
  <c r="CF135" i="75"/>
  <c r="T163" i="68"/>
  <c r="CH115" i="75"/>
  <c r="CH131" i="75"/>
  <c r="V61" i="70"/>
  <c r="X208" i="72"/>
  <c r="D118" i="88"/>
  <c r="X83" i="72"/>
  <c r="X117" i="72"/>
  <c r="D121" i="88"/>
  <c r="D25" i="88"/>
  <c r="DA130" i="75"/>
  <c r="T162" i="68"/>
  <c r="AB23" i="90"/>
  <c r="CG130" i="75"/>
  <c r="AV23" i="71"/>
  <c r="CY163" i="75"/>
  <c r="T62" i="68"/>
  <c r="AV25" i="71"/>
  <c r="X111" i="72"/>
  <c r="CZ125" i="75"/>
  <c r="AD68" i="90"/>
  <c r="AC202" i="68"/>
  <c r="X129" i="72"/>
  <c r="D110" i="88"/>
  <c r="CG110" i="75"/>
  <c r="CD161" i="75"/>
  <c r="AR17" i="71"/>
  <c r="CH162" i="75"/>
  <c r="CD160" i="75"/>
  <c r="R201" i="72"/>
  <c r="CZ148" i="75"/>
  <c r="AP21" i="71"/>
  <c r="DC146" i="75"/>
  <c r="AO7" i="71"/>
  <c r="D50" i="88"/>
  <c r="R120" i="72"/>
  <c r="CE144" i="75"/>
  <c r="BY20" i="70"/>
  <c r="U100" i="70"/>
  <c r="AQ13" i="71"/>
  <c r="DC127" i="75"/>
  <c r="CZ149" i="75"/>
  <c r="AD126" i="68"/>
  <c r="CZ109" i="75"/>
  <c r="R157" i="72"/>
  <c r="X177" i="72"/>
  <c r="R173" i="72"/>
  <c r="AC162" i="68"/>
  <c r="CE107" i="75"/>
  <c r="CH132" i="75"/>
  <c r="CZ135" i="75"/>
  <c r="CE116" i="75"/>
  <c r="AR12" i="71"/>
  <c r="CH108" i="75"/>
  <c r="CY120" i="75"/>
  <c r="R218" i="72"/>
  <c r="CE136" i="75"/>
  <c r="X20" i="71"/>
  <c r="CZ147" i="75"/>
  <c r="AS67" i="71"/>
  <c r="DB104" i="75"/>
  <c r="AU167" i="71"/>
  <c r="AB18" i="90"/>
  <c r="AP7" i="71"/>
  <c r="CY159" i="75"/>
  <c r="CZ114" i="75"/>
  <c r="CZ139" i="75"/>
  <c r="X164" i="72"/>
  <c r="AT25" i="71"/>
  <c r="R211" i="72"/>
  <c r="AM17" i="71"/>
  <c r="X74" i="71"/>
  <c r="CD134" i="75"/>
  <c r="AQ19" i="71"/>
  <c r="AV193" i="72"/>
  <c r="D27" i="88"/>
  <c r="AO21" i="71"/>
  <c r="CH154" i="75"/>
  <c r="X167" i="72"/>
  <c r="D200" i="68"/>
  <c r="AD24" i="90"/>
  <c r="BY10" i="70"/>
  <c r="CZ154" i="75"/>
  <c r="CH157" i="75"/>
  <c r="AO17" i="71"/>
  <c r="R32" i="72"/>
  <c r="X209" i="72"/>
  <c r="CZ142" i="75"/>
  <c r="D117" i="88"/>
  <c r="CG122" i="75"/>
  <c r="DB144" i="75"/>
  <c r="R216" i="72"/>
  <c r="AD170" i="68"/>
  <c r="AD61" i="90"/>
  <c r="DC119" i="75"/>
  <c r="AB14" i="90"/>
  <c r="DC120" i="75"/>
  <c r="DC113" i="75"/>
  <c r="R125" i="72"/>
  <c r="CZ118" i="75"/>
  <c r="CD121" i="75"/>
  <c r="AX163" i="71"/>
  <c r="CY126" i="75"/>
  <c r="AU70" i="71"/>
  <c r="AN14" i="71"/>
  <c r="CZ155" i="75"/>
  <c r="R40" i="72"/>
  <c r="DB158" i="75"/>
  <c r="AR8" i="71"/>
  <c r="CE159" i="75"/>
  <c r="CG155" i="75"/>
  <c r="CY130" i="75"/>
  <c r="D101" i="88"/>
  <c r="CH146" i="75"/>
  <c r="DB127" i="75"/>
  <c r="R84" i="72"/>
  <c r="X166" i="72"/>
  <c r="DA110" i="75"/>
  <c r="CF156" i="75"/>
  <c r="DB134" i="75"/>
  <c r="T208" i="68"/>
  <c r="CE109" i="75"/>
  <c r="CD122" i="75"/>
  <c r="T152" i="68"/>
  <c r="DC159" i="75"/>
  <c r="CD138" i="75"/>
  <c r="CY118" i="75"/>
  <c r="CF144" i="75"/>
  <c r="DC156" i="75"/>
  <c r="AT68" i="71"/>
  <c r="X27" i="72"/>
  <c r="AB62" i="90"/>
  <c r="U60" i="70"/>
  <c r="DB142" i="75"/>
  <c r="CD141" i="75"/>
  <c r="X17" i="71"/>
  <c r="DA116" i="75"/>
  <c r="CG161" i="75"/>
  <c r="D88" i="88"/>
  <c r="X221" i="72"/>
  <c r="AD132" i="68"/>
  <c r="AT113" i="71"/>
  <c r="CD109" i="75"/>
  <c r="X174" i="72"/>
  <c r="DB153" i="75"/>
  <c r="X12" i="71"/>
  <c r="DC107" i="75"/>
  <c r="X79" i="72"/>
  <c r="DA119" i="75"/>
  <c r="D40" i="88"/>
  <c r="CG132" i="75"/>
  <c r="D72" i="88"/>
  <c r="D161" i="68"/>
  <c r="D77" i="88"/>
  <c r="R177" i="72"/>
  <c r="DB124" i="75"/>
  <c r="BY14" i="70"/>
  <c r="AD222" i="68"/>
  <c r="X165" i="72"/>
  <c r="R81" i="72"/>
  <c r="BB10" i="70"/>
  <c r="CF163" i="75"/>
  <c r="DA111" i="75"/>
  <c r="D67" i="88"/>
  <c r="D86" i="88"/>
  <c r="CD133" i="75"/>
  <c r="AD219" i="68"/>
  <c r="D77" i="68"/>
  <c r="CZ117" i="75"/>
  <c r="X18" i="71"/>
  <c r="CF155" i="75"/>
  <c r="X121" i="72"/>
  <c r="R72" i="72"/>
  <c r="R174" i="72"/>
  <c r="CE127" i="75"/>
  <c r="AO12" i="71"/>
  <c r="AC107" i="68"/>
  <c r="DC110" i="75"/>
  <c r="CH105" i="75"/>
  <c r="DA122" i="75"/>
  <c r="AW67" i="71"/>
  <c r="DC161" i="75"/>
  <c r="AP70" i="71"/>
  <c r="DC125" i="75"/>
  <c r="CE160" i="75"/>
  <c r="AD168" i="68"/>
  <c r="CE133" i="75"/>
  <c r="D76" i="68"/>
  <c r="X26" i="72"/>
  <c r="X119" i="72"/>
  <c r="AC24" i="90"/>
  <c r="R75" i="72"/>
  <c r="AD214" i="68"/>
  <c r="CY121" i="75"/>
  <c r="AM15" i="71"/>
  <c r="AW112" i="71"/>
  <c r="CY105" i="75"/>
  <c r="R213" i="72"/>
  <c r="DC158" i="75"/>
  <c r="CH145" i="75"/>
  <c r="DB105" i="75"/>
  <c r="D63" i="68"/>
  <c r="X120" i="72"/>
  <c r="DB117" i="75"/>
  <c r="AD220" i="68"/>
  <c r="CF152" i="75"/>
  <c r="R175" i="72"/>
  <c r="CF111" i="75"/>
  <c r="AC16" i="90"/>
  <c r="AC62" i="68"/>
  <c r="CG123" i="75"/>
  <c r="CZ121" i="75"/>
  <c r="DA114" i="75"/>
  <c r="CF160" i="75"/>
  <c r="CH134" i="75"/>
  <c r="BY12" i="70"/>
  <c r="R29" i="72"/>
  <c r="R212" i="72"/>
  <c r="DC123" i="75"/>
  <c r="CG114" i="75"/>
  <c r="CH124" i="75"/>
  <c r="X122" i="72"/>
  <c r="R70" i="72"/>
  <c r="R130" i="72"/>
  <c r="AD20" i="90"/>
  <c r="AB62" i="68"/>
  <c r="AC113" i="68"/>
  <c r="AD11" i="90"/>
  <c r="AD191" i="90"/>
  <c r="D42" i="88"/>
  <c r="CE158" i="75"/>
  <c r="CG150" i="75"/>
  <c r="X21" i="72"/>
  <c r="DB150" i="75"/>
  <c r="D96" i="88"/>
  <c r="S201" i="68"/>
  <c r="AD123" i="68"/>
  <c r="AU67" i="71"/>
  <c r="DC162" i="75"/>
  <c r="R158" i="72"/>
  <c r="AB107" i="68"/>
  <c r="W6" i="71"/>
  <c r="W7" i="71"/>
  <c r="CF121" i="75"/>
  <c r="AD13" i="90"/>
  <c r="R79" i="72"/>
  <c r="D55" i="88"/>
  <c r="U195" i="70"/>
  <c r="AD151" i="90"/>
  <c r="S118" i="68"/>
  <c r="DA128" i="75"/>
  <c r="DB138" i="75"/>
  <c r="AD16" i="90"/>
  <c r="X131" i="72"/>
  <c r="CY129" i="75"/>
  <c r="CE148" i="75"/>
  <c r="X86" i="72"/>
  <c r="DA123" i="75"/>
  <c r="D94" i="88"/>
  <c r="R221" i="72"/>
  <c r="DB137" i="75"/>
  <c r="DC149" i="75"/>
  <c r="R167" i="72"/>
  <c r="AN70" i="71"/>
  <c r="DB111" i="75"/>
  <c r="CE113" i="75"/>
  <c r="AM11" i="71"/>
  <c r="X115" i="72"/>
  <c r="CF133" i="75"/>
  <c r="AU69" i="71"/>
  <c r="AN17" i="71"/>
  <c r="CF120" i="75"/>
  <c r="X201" i="72"/>
  <c r="D66" i="88"/>
  <c r="DB156" i="75"/>
  <c r="R85" i="72"/>
  <c r="U105" i="70"/>
  <c r="R17" i="68"/>
  <c r="U144" i="70"/>
  <c r="CZ111" i="75"/>
  <c r="CE155" i="75"/>
  <c r="CF116" i="75"/>
  <c r="CG148" i="75"/>
  <c r="DC128" i="75"/>
  <c r="CH110" i="75"/>
  <c r="CG131" i="75"/>
  <c r="AD19" i="90"/>
  <c r="DB132" i="75"/>
  <c r="CY135" i="75"/>
  <c r="AC25" i="90"/>
  <c r="X168" i="72"/>
  <c r="CF149" i="75"/>
  <c r="CH143" i="75"/>
  <c r="R39" i="72"/>
  <c r="AV148" i="72"/>
  <c r="CG128" i="75"/>
  <c r="DB131" i="75"/>
  <c r="AU113" i="71"/>
  <c r="CD146" i="75"/>
  <c r="AD112" i="90"/>
  <c r="R76" i="72"/>
  <c r="X84" i="72"/>
  <c r="CE137" i="75"/>
  <c r="CG111" i="75"/>
  <c r="AU157" i="71"/>
  <c r="CG125" i="75"/>
  <c r="AV158" i="71"/>
  <c r="AS69" i="71"/>
  <c r="R176" i="72"/>
  <c r="D26" i="88"/>
  <c r="CG126" i="75"/>
  <c r="CD159" i="75"/>
  <c r="CZ131" i="75"/>
  <c r="DB106" i="75"/>
  <c r="D70" i="88"/>
  <c r="CY155" i="75"/>
  <c r="X176" i="72"/>
  <c r="R31" i="72"/>
  <c r="D122" i="88"/>
  <c r="BY18" i="70"/>
  <c r="CZ119" i="75"/>
  <c r="R208" i="72"/>
  <c r="CY124" i="75"/>
  <c r="AB17" i="68"/>
  <c r="AR9" i="71"/>
  <c r="CD114" i="75"/>
  <c r="AP9" i="71"/>
  <c r="AS22" i="71"/>
  <c r="CZ163" i="75"/>
  <c r="X71" i="72"/>
  <c r="CF124" i="75"/>
  <c r="R172" i="72"/>
  <c r="CG163" i="75"/>
  <c r="AD218" i="68"/>
  <c r="CG136" i="75"/>
  <c r="AM10" i="71"/>
  <c r="DC140" i="75"/>
  <c r="DA148" i="75"/>
  <c r="AD26" i="90"/>
  <c r="R205" i="72"/>
  <c r="AU25" i="71"/>
  <c r="AD73" i="68"/>
  <c r="DA146" i="75"/>
  <c r="X124" i="72"/>
  <c r="D98" i="88"/>
  <c r="D159" i="68"/>
  <c r="AU22" i="71"/>
  <c r="S113" i="68"/>
  <c r="CF137" i="75"/>
  <c r="CF151" i="75"/>
  <c r="CF125" i="75"/>
  <c r="DB140" i="75"/>
  <c r="DA154" i="75"/>
  <c r="CY108" i="75"/>
  <c r="CD137" i="75"/>
  <c r="AD146" i="90"/>
  <c r="X171" i="72"/>
  <c r="S73" i="68"/>
  <c r="X66" i="72"/>
  <c r="CD115" i="75"/>
  <c r="R121" i="72"/>
  <c r="AO13" i="71"/>
  <c r="R86" i="72"/>
  <c r="CD111" i="75"/>
  <c r="CH155" i="75"/>
  <c r="CZ150" i="75"/>
  <c r="CZ130" i="75"/>
  <c r="AR21" i="71"/>
  <c r="D23" i="88"/>
  <c r="AX25" i="71"/>
  <c r="BC10" i="70"/>
  <c r="DC130" i="75"/>
  <c r="R116" i="72"/>
  <c r="CE143" i="75"/>
  <c r="AV68" i="71"/>
  <c r="D30" i="88"/>
  <c r="X204" i="72"/>
  <c r="CD163" i="75"/>
  <c r="X157" i="72"/>
  <c r="D17" i="88"/>
  <c r="S208" i="68"/>
  <c r="CD142" i="75"/>
  <c r="CH158" i="75"/>
  <c r="CZ136" i="75"/>
  <c r="AC20" i="90"/>
  <c r="X19" i="71"/>
  <c r="CE121" i="75"/>
  <c r="R78" i="72"/>
  <c r="AQ11" i="71"/>
  <c r="AC158" i="68"/>
  <c r="D69" i="68"/>
  <c r="T4" i="70"/>
  <c r="CE138" i="75"/>
  <c r="CG144" i="75"/>
  <c r="BB11" i="70"/>
  <c r="DC104" i="75"/>
  <c r="AB24" i="90"/>
  <c r="T94" i="70"/>
  <c r="AO71" i="71"/>
  <c r="CG149" i="75"/>
  <c r="R42" i="72"/>
  <c r="CG107" i="75"/>
  <c r="X200" i="72"/>
  <c r="R118" i="72"/>
  <c r="AT158" i="71"/>
  <c r="CZ138" i="75"/>
  <c r="CH114" i="75"/>
  <c r="D210" i="68"/>
  <c r="AM18" i="71"/>
  <c r="R80" i="72"/>
  <c r="AD173" i="68"/>
  <c r="D164" i="68"/>
  <c r="CE151" i="75"/>
  <c r="DA126" i="75"/>
  <c r="AN71" i="71"/>
  <c r="R112" i="72"/>
  <c r="R87" i="72"/>
  <c r="CF150" i="75"/>
  <c r="CD104" i="75"/>
  <c r="CY131" i="75"/>
  <c r="CZ104" i="75"/>
  <c r="AT69" i="71"/>
  <c r="AD101" i="90"/>
  <c r="AC107" i="90"/>
  <c r="CY140" i="75"/>
  <c r="AB12" i="90"/>
  <c r="X222" i="72"/>
  <c r="AV22" i="71"/>
  <c r="U99" i="70"/>
  <c r="DC150" i="75"/>
  <c r="CY112" i="75"/>
  <c r="AX157" i="71"/>
  <c r="DB118" i="75"/>
  <c r="CF141" i="75"/>
  <c r="DA143" i="75"/>
  <c r="DA162" i="75"/>
  <c r="R30" i="72"/>
  <c r="CE112" i="75"/>
  <c r="S163" i="68"/>
  <c r="CE147" i="75"/>
  <c r="CE135" i="75"/>
  <c r="X218" i="72"/>
  <c r="AD162" i="68"/>
  <c r="X39" i="72"/>
  <c r="AD177" i="68"/>
  <c r="CF136" i="75"/>
  <c r="CG157" i="75"/>
  <c r="AC152" i="68"/>
  <c r="CD145" i="75"/>
  <c r="AD207" i="68"/>
  <c r="R163" i="72"/>
  <c r="CG112" i="75"/>
  <c r="R129" i="72"/>
  <c r="D95" i="88"/>
  <c r="AB106" i="90"/>
  <c r="DB122" i="75"/>
  <c r="CD128" i="75"/>
  <c r="CY144" i="75"/>
  <c r="D160" i="68"/>
  <c r="S74" i="68"/>
  <c r="D22" i="88"/>
  <c r="R23" i="72"/>
  <c r="AX113" i="71"/>
  <c r="X13" i="71"/>
  <c r="CY148" i="75"/>
  <c r="AD78" i="68"/>
  <c r="CZ120" i="75"/>
  <c r="CY127" i="75"/>
  <c r="AD216" i="68"/>
  <c r="AD163" i="68"/>
  <c r="CF140" i="75"/>
  <c r="CG140" i="75"/>
  <c r="AC157" i="68"/>
  <c r="AN12" i="71"/>
  <c r="DB121" i="75"/>
  <c r="AS113" i="71"/>
  <c r="AT163" i="71"/>
  <c r="AC21" i="90"/>
  <c r="R222" i="72"/>
  <c r="BY7" i="70"/>
  <c r="CE105" i="75"/>
  <c r="CH151" i="75"/>
  <c r="DC143" i="75"/>
  <c r="AR71" i="71"/>
  <c r="CE125" i="75"/>
  <c r="X128" i="72"/>
  <c r="DB133" i="75"/>
  <c r="AX21" i="71"/>
  <c r="DC112" i="75"/>
  <c r="AB56" i="90"/>
  <c r="CH130" i="75"/>
  <c r="D205" i="68"/>
  <c r="CZ108" i="75"/>
  <c r="AN10" i="71"/>
  <c r="AC207" i="68"/>
  <c r="CF104" i="75"/>
  <c r="X155" i="72"/>
  <c r="X216" i="72"/>
  <c r="CF162" i="75"/>
  <c r="X78" i="72"/>
  <c r="DA157" i="75"/>
  <c r="CY111" i="75"/>
  <c r="AC68" i="68"/>
  <c r="CG117" i="75"/>
  <c r="W14" i="71"/>
  <c r="CF157" i="75"/>
  <c r="AB13" i="90"/>
  <c r="CY157" i="75"/>
  <c r="S112" i="68"/>
  <c r="D165" i="68"/>
  <c r="AX24" i="71"/>
  <c r="CZ113" i="75"/>
  <c r="CF106" i="75"/>
  <c r="CF132" i="75"/>
  <c r="D45" i="88"/>
  <c r="AD208" i="68"/>
  <c r="DA145" i="75"/>
  <c r="X16" i="71"/>
  <c r="CF145" i="75"/>
  <c r="AW70" i="71"/>
  <c r="CF109" i="75"/>
  <c r="D43" i="88"/>
  <c r="AN16" i="71"/>
  <c r="R38" i="72"/>
  <c r="D64" i="68"/>
  <c r="X113" i="72"/>
  <c r="R162" i="72"/>
  <c r="AT70" i="71"/>
  <c r="AR15" i="71"/>
  <c r="DB135" i="75"/>
  <c r="D71" i="68"/>
  <c r="X126" i="72"/>
  <c r="AM19" i="71"/>
  <c r="U55" i="70"/>
  <c r="CH142" i="75"/>
  <c r="CD107" i="75"/>
  <c r="X82" i="72"/>
  <c r="AQ15" i="71"/>
  <c r="DC147" i="75"/>
  <c r="CD117" i="75"/>
  <c r="D32" i="88"/>
  <c r="D73" i="88"/>
  <c r="CE128" i="75"/>
  <c r="AD175" i="68"/>
  <c r="CF146" i="75"/>
  <c r="DC133" i="75"/>
  <c r="D156" i="68"/>
  <c r="AB15" i="90"/>
  <c r="AC151" i="90"/>
  <c r="DA120" i="75"/>
  <c r="CH123" i="75"/>
  <c r="DC108" i="75"/>
  <c r="W16" i="71"/>
  <c r="CY162" i="75"/>
  <c r="AC191" i="90"/>
  <c r="X72" i="72"/>
  <c r="R73" i="72"/>
  <c r="AD171" i="68"/>
  <c r="CE150" i="75"/>
  <c r="AX70" i="71"/>
  <c r="CE152" i="75"/>
  <c r="CY141" i="75"/>
  <c r="CF112" i="75"/>
  <c r="CH119" i="75"/>
  <c r="CD155" i="75"/>
  <c r="X220" i="72"/>
  <c r="BC9" i="70"/>
  <c r="AS25" i="71"/>
  <c r="DC115" i="75"/>
  <c r="AB107" i="90"/>
  <c r="D71" i="88"/>
  <c r="CF130" i="75"/>
  <c r="CZ115" i="75"/>
  <c r="DA153" i="75"/>
  <c r="AD81" i="68"/>
  <c r="X81" i="72"/>
  <c r="DB114" i="75"/>
  <c r="V60" i="70"/>
  <c r="D51" i="88"/>
  <c r="D24" i="88"/>
  <c r="BY15" i="70"/>
  <c r="CD157" i="75"/>
  <c r="CY115" i="75"/>
  <c r="CF159" i="75"/>
  <c r="X206" i="72"/>
  <c r="CF131" i="75"/>
  <c r="DA133" i="75"/>
  <c r="CD125" i="75"/>
  <c r="DA140" i="75"/>
  <c r="X29" i="72"/>
  <c r="D209" i="68"/>
  <c r="AW24" i="71"/>
  <c r="AW69" i="71"/>
  <c r="D49" i="88"/>
  <c r="DC152" i="75"/>
  <c r="AB21" i="90"/>
  <c r="AV167" i="71"/>
  <c r="X170" i="72"/>
  <c r="AU21" i="71"/>
  <c r="AW167" i="71"/>
  <c r="CD148" i="75"/>
  <c r="CG151" i="75"/>
  <c r="AX158" i="71"/>
  <c r="DA108" i="75"/>
  <c r="CG129" i="75"/>
  <c r="DB107" i="75"/>
  <c r="AR7" i="71"/>
  <c r="CG160" i="75"/>
  <c r="T197" i="68"/>
  <c r="CD139" i="75"/>
  <c r="CF153" i="75"/>
  <c r="CF115" i="75"/>
  <c r="T73" i="68"/>
  <c r="CZ159" i="75"/>
  <c r="D91" i="88"/>
  <c r="CD106" i="75"/>
  <c r="D109" i="68"/>
  <c r="CE140" i="75"/>
  <c r="CY153" i="75"/>
  <c r="DC155" i="75"/>
  <c r="AB20" i="90"/>
  <c r="DA163" i="75"/>
  <c r="X33" i="72"/>
  <c r="D203" i="68"/>
  <c r="AV58" i="72"/>
  <c r="CF128" i="75"/>
  <c r="AO16" i="71"/>
  <c r="R220" i="72"/>
  <c r="DA149" i="75"/>
  <c r="DB147" i="75"/>
  <c r="AN11" i="71"/>
  <c r="DC157" i="75"/>
  <c r="AQ21" i="71"/>
  <c r="CH111" i="75"/>
  <c r="R83" i="72"/>
  <c r="CG154" i="75"/>
  <c r="CH121" i="75"/>
  <c r="CF119" i="75"/>
  <c r="D198" i="68"/>
  <c r="R82" i="72"/>
  <c r="DC136" i="75"/>
  <c r="AN18" i="71"/>
  <c r="D69" i="88"/>
  <c r="DC163" i="75"/>
  <c r="D99" i="88"/>
  <c r="AQ10" i="71"/>
  <c r="D199" i="68"/>
  <c r="AQ70" i="71"/>
  <c r="AB26" i="90"/>
  <c r="DC117" i="75"/>
  <c r="CG152" i="75"/>
  <c r="X28" i="72"/>
  <c r="CE110" i="75"/>
  <c r="CY116" i="75"/>
  <c r="W11" i="71"/>
  <c r="CD120" i="75"/>
  <c r="AN7" i="71"/>
  <c r="R217" i="72"/>
  <c r="R210" i="72"/>
  <c r="AC22" i="90"/>
  <c r="S202" i="68"/>
  <c r="X127" i="72"/>
  <c r="D28" i="88"/>
  <c r="CY137" i="75"/>
  <c r="DA138" i="75"/>
  <c r="X125" i="72"/>
  <c r="CD108" i="75"/>
  <c r="AD156" i="90"/>
  <c r="W15" i="71"/>
  <c r="DB160" i="75"/>
  <c r="CH129" i="75"/>
  <c r="R26" i="72"/>
  <c r="R127" i="72"/>
  <c r="DB146" i="75"/>
  <c r="D111" i="68"/>
  <c r="DC118" i="75"/>
  <c r="CE145" i="75"/>
  <c r="CH150" i="75"/>
  <c r="CE114" i="75"/>
  <c r="DA129" i="75"/>
  <c r="AC62" i="90"/>
  <c r="AB67" i="90"/>
  <c r="AB19" i="90"/>
  <c r="CE161" i="75"/>
  <c r="R122" i="72"/>
  <c r="CG158" i="75"/>
  <c r="AO18" i="71"/>
  <c r="D154" i="68"/>
  <c r="AT24" i="71"/>
  <c r="R160" i="72"/>
  <c r="CE146" i="75"/>
  <c r="AX167" i="71"/>
  <c r="CY146" i="75"/>
  <c r="R68" i="72"/>
  <c r="CH127" i="75"/>
  <c r="DA156" i="75"/>
  <c r="CH163" i="75"/>
  <c r="AT167" i="71"/>
  <c r="AD18" i="90"/>
  <c r="CG113" i="75"/>
  <c r="AW25" i="71"/>
  <c r="AQ7" i="71"/>
  <c r="AP14" i="71"/>
  <c r="CD112" i="75"/>
  <c r="AB11" i="90"/>
  <c r="CG121" i="75"/>
  <c r="DA147" i="75"/>
  <c r="AC67" i="90"/>
  <c r="DB128" i="75"/>
  <c r="AW21" i="71"/>
  <c r="D90" i="88"/>
  <c r="R62" i="68"/>
  <c r="AW22" i="71"/>
  <c r="D108" i="68"/>
  <c r="DA105" i="75"/>
  <c r="DB116" i="75"/>
  <c r="R159" i="72"/>
  <c r="AD117" i="68"/>
  <c r="D119" i="68"/>
  <c r="D20" i="88"/>
  <c r="AU24" i="71"/>
  <c r="AS70" i="71"/>
  <c r="AD62" i="90"/>
  <c r="AD161" i="68"/>
  <c r="X132" i="72"/>
  <c r="CZ143" i="75"/>
  <c r="CD129" i="75"/>
  <c r="CY109" i="75"/>
  <c r="DC124" i="75"/>
  <c r="AM70" i="71"/>
  <c r="CZ123" i="75"/>
  <c r="AC67" i="68"/>
  <c r="AR70" i="71"/>
  <c r="AV157" i="71"/>
  <c r="CH144" i="75"/>
  <c r="DA135" i="75"/>
  <c r="AD176" i="68"/>
  <c r="AM20" i="71"/>
  <c r="U49" i="70"/>
  <c r="X69" i="72"/>
  <c r="AC61" i="90"/>
  <c r="CF147" i="75"/>
  <c r="AP20" i="71"/>
  <c r="CH107" i="75"/>
  <c r="DB125" i="75"/>
  <c r="DA139" i="75"/>
  <c r="AP71" i="71"/>
  <c r="S62" i="68"/>
  <c r="R171" i="72"/>
  <c r="CH106" i="75"/>
  <c r="DA121" i="75"/>
  <c r="AC161" i="68"/>
  <c r="CE115" i="75"/>
  <c r="CY143" i="75"/>
  <c r="DA109" i="75"/>
  <c r="CF117" i="75"/>
  <c r="DB154" i="75"/>
  <c r="X85" i="72"/>
  <c r="AT157" i="71"/>
  <c r="CE123" i="75"/>
  <c r="BY8" i="70"/>
  <c r="AD76" i="68"/>
  <c r="X20" i="72"/>
  <c r="BC8" i="70"/>
  <c r="AB112" i="90"/>
  <c r="D54" i="88"/>
  <c r="CD110" i="75"/>
  <c r="D47" i="88"/>
  <c r="AN21" i="71"/>
  <c r="CY128" i="75"/>
  <c r="AD72" i="68"/>
  <c r="D65" i="88"/>
  <c r="CY114" i="75"/>
  <c r="D41" i="88"/>
  <c r="CH112" i="75"/>
  <c r="DA134" i="75"/>
  <c r="R161" i="72"/>
  <c r="R209" i="72"/>
  <c r="CE122" i="75"/>
  <c r="CF108" i="75"/>
  <c r="T49" i="70"/>
  <c r="CD105" i="75"/>
  <c r="D111" i="88"/>
  <c r="CG133" i="75"/>
  <c r="CG135" i="75"/>
  <c r="CY104" i="75"/>
  <c r="AD83" i="68"/>
  <c r="DA113" i="75"/>
  <c r="AD205" i="68"/>
  <c r="DB151" i="75"/>
  <c r="CD140" i="75"/>
  <c r="AD159" i="68"/>
  <c r="X210" i="72"/>
  <c r="CF110" i="75"/>
  <c r="CG137" i="75"/>
  <c r="DC132" i="75"/>
  <c r="R25" i="72"/>
  <c r="D93" i="88"/>
  <c r="CY156" i="75"/>
  <c r="V150" i="70"/>
  <c r="AD23" i="90"/>
  <c r="CH141" i="75"/>
  <c r="AB157" i="90"/>
  <c r="AD124" i="68"/>
  <c r="CF158" i="75"/>
  <c r="BY6" i="70"/>
  <c r="AR10" i="71"/>
  <c r="DA158" i="75"/>
  <c r="CH161" i="75"/>
  <c r="R71" i="72"/>
  <c r="D122" i="68"/>
  <c r="CE104" i="75"/>
  <c r="D166" i="68"/>
  <c r="DA127" i="75"/>
  <c r="CF161" i="75"/>
  <c r="AC199" i="68"/>
  <c r="X123" i="72"/>
  <c r="CG156" i="75"/>
  <c r="AC66" i="68"/>
  <c r="D18" i="88"/>
  <c r="X87" i="72"/>
  <c r="X159" i="72"/>
  <c r="AN15" i="71"/>
  <c r="CZ151" i="75"/>
  <c r="AQ14" i="71"/>
  <c r="AO70" i="71"/>
  <c r="X31" i="72"/>
  <c r="R207" i="72"/>
  <c r="AD15" i="90"/>
  <c r="DA152" i="75"/>
  <c r="DB141" i="75"/>
  <c r="S107" i="68"/>
  <c r="DA117" i="75"/>
  <c r="AO9" i="71"/>
  <c r="R169" i="72"/>
  <c r="CD143" i="75"/>
  <c r="CF134" i="75"/>
  <c r="CG120" i="75"/>
  <c r="CE124" i="75"/>
  <c r="AQ17" i="71"/>
  <c r="CG153" i="75"/>
  <c r="CD119" i="75"/>
  <c r="CZ110" i="75"/>
  <c r="W17" i="71"/>
  <c r="AC23" i="90"/>
  <c r="CD123" i="75"/>
  <c r="AC198" i="68"/>
  <c r="D75" i="68"/>
  <c r="CZ153" i="75"/>
  <c r="CH126" i="75"/>
  <c r="R204" i="72"/>
  <c r="AD128" i="68"/>
  <c r="W13" i="71"/>
  <c r="CH153" i="75"/>
  <c r="AN20" i="71"/>
  <c r="CZ116" i="75"/>
  <c r="AD118" i="68"/>
  <c r="AX69" i="71"/>
  <c r="CY152" i="75"/>
  <c r="AD215" i="68"/>
  <c r="X160" i="72"/>
  <c r="CH125" i="75"/>
  <c r="CG104" i="75"/>
  <c r="AC154" i="68"/>
  <c r="AU23" i="71"/>
  <c r="CF122" i="75"/>
  <c r="AD221" i="68"/>
  <c r="DC144" i="75"/>
  <c r="AC72" i="68"/>
  <c r="AO20" i="71"/>
  <c r="CH128" i="75"/>
  <c r="CY119" i="75"/>
  <c r="CH152" i="75"/>
  <c r="CE139" i="75"/>
  <c r="DC135" i="75"/>
  <c r="X72" i="71"/>
  <c r="AV103" i="72"/>
  <c r="R66" i="72"/>
  <c r="AR13" i="71"/>
  <c r="R33" i="72"/>
  <c r="AN8" i="71"/>
  <c r="D119" i="88"/>
  <c r="X211" i="72"/>
  <c r="CE119" i="75"/>
  <c r="R20" i="72"/>
  <c r="D121" i="68"/>
  <c r="CZ133" i="75"/>
  <c r="X76" i="72"/>
  <c r="AQ16" i="71"/>
  <c r="CE117" i="75"/>
  <c r="R215" i="72"/>
  <c r="D92" i="88"/>
  <c r="CH140" i="75"/>
  <c r="CD162" i="75"/>
  <c r="AD121" i="68"/>
  <c r="CF142" i="75"/>
  <c r="D114" i="68"/>
  <c r="CH148" i="75"/>
  <c r="CY110" i="75"/>
  <c r="D68" i="88"/>
  <c r="U184" i="70"/>
  <c r="AS21" i="71"/>
  <c r="BY17" i="70"/>
  <c r="D97" i="88"/>
  <c r="R131" i="72"/>
  <c r="CE141" i="75"/>
  <c r="AV70" i="71"/>
  <c r="DB148" i="75"/>
  <c r="CE142" i="75"/>
  <c r="DA137" i="75"/>
  <c r="D114" i="88"/>
  <c r="AC63" i="68"/>
  <c r="AC101" i="90"/>
  <c r="CF148" i="75"/>
  <c r="AC153" i="68"/>
  <c r="S162" i="68"/>
  <c r="CH159" i="75"/>
  <c r="AO10" i="71"/>
  <c r="CH136" i="75"/>
  <c r="CE156" i="75"/>
  <c r="CY133" i="75"/>
  <c r="U139" i="70"/>
  <c r="AU68" i="71"/>
  <c r="X205" i="72"/>
  <c r="AB16" i="90"/>
  <c r="CD151" i="75"/>
  <c r="CF113" i="75"/>
  <c r="CD144" i="75"/>
  <c r="AC74" i="68"/>
  <c r="U145" i="70"/>
  <c r="CG145" i="75"/>
  <c r="AC115" i="68"/>
  <c r="R28" i="72"/>
  <c r="CE118" i="75"/>
  <c r="AC70" i="68"/>
  <c r="CD150" i="75"/>
  <c r="X22" i="72"/>
  <c r="DC111" i="75"/>
  <c r="CZ132" i="75"/>
  <c r="CH117" i="75"/>
  <c r="CZ140" i="75"/>
  <c r="DC131" i="75"/>
  <c r="X158" i="72"/>
  <c r="X215" i="72"/>
  <c r="T207" i="68"/>
  <c r="AO69" i="71"/>
  <c r="W10" i="71"/>
  <c r="D167" i="68"/>
  <c r="AC160" i="68"/>
  <c r="CG139" i="75"/>
  <c r="D109" i="88"/>
  <c r="AN13" i="71"/>
  <c r="AD157" i="90"/>
  <c r="D48" i="88"/>
  <c r="DA131" i="75"/>
  <c r="DB163" i="75"/>
  <c r="CF126" i="75"/>
  <c r="AC119" i="68"/>
  <c r="AD209" i="68"/>
  <c r="U188" i="70"/>
  <c r="R21" i="72"/>
  <c r="AD115" i="68"/>
  <c r="AD119" i="68"/>
  <c r="CD147" i="75"/>
  <c r="CY145" i="75"/>
  <c r="D56" i="88"/>
  <c r="CY113" i="75"/>
  <c r="X37" i="72"/>
  <c r="D110" i="68"/>
  <c r="D204" i="68"/>
  <c r="DC109" i="75"/>
  <c r="AD165" i="68"/>
  <c r="DA104" i="75"/>
  <c r="DB136" i="75"/>
  <c r="R202" i="72"/>
  <c r="AP13" i="71"/>
  <c r="AC112" i="90"/>
  <c r="AD160" i="68"/>
  <c r="CY139" i="75"/>
  <c r="T107" i="68"/>
  <c r="DC114" i="75"/>
  <c r="CG108" i="75"/>
  <c r="D52" i="88"/>
  <c r="D74" i="88"/>
  <c r="AT23" i="71"/>
  <c r="CD127" i="75"/>
  <c r="AM16" i="71"/>
  <c r="CH120" i="75"/>
  <c r="CD130" i="75"/>
  <c r="CH133" i="75"/>
  <c r="AD14" i="90"/>
  <c r="S152" i="68"/>
  <c r="AW157" i="71"/>
  <c r="X161" i="72"/>
  <c r="R128" i="72"/>
  <c r="DC105" i="75"/>
  <c r="DA144" i="75"/>
  <c r="X112" i="72"/>
  <c r="R36" i="72"/>
  <c r="AC56" i="90"/>
  <c r="AD82" i="68"/>
  <c r="AC106" i="90"/>
  <c r="X24" i="72"/>
  <c r="DB129" i="75"/>
  <c r="AV113" i="71"/>
  <c r="R166" i="72"/>
  <c r="CH139" i="75"/>
  <c r="AC69" i="68"/>
  <c r="DC141" i="75"/>
  <c r="AP69" i="71"/>
  <c r="CZ152" i="75"/>
  <c r="AD127" i="68"/>
  <c r="D19" i="88"/>
  <c r="AC112" i="68"/>
  <c r="AB47" i="89"/>
  <c r="DA136" i="75"/>
  <c r="DC134" i="75"/>
  <c r="AC109" i="68"/>
  <c r="U54" i="70"/>
  <c r="R214" i="72"/>
  <c r="AS167" i="71"/>
  <c r="X70" i="72"/>
  <c r="CF143" i="75"/>
  <c r="D212" i="68"/>
  <c r="CE129" i="75"/>
  <c r="CY123" i="75"/>
  <c r="AC12" i="90"/>
  <c r="AD56" i="90"/>
  <c r="AC209" i="68"/>
  <c r="AC114" i="68"/>
  <c r="AC71" i="68"/>
  <c r="AD166" i="68"/>
  <c r="AC200" i="68"/>
  <c r="DB162" i="75"/>
  <c r="DB149" i="75"/>
  <c r="CD116" i="75"/>
  <c r="DA112" i="75"/>
  <c r="AB156" i="90"/>
  <c r="D100" i="88"/>
  <c r="CH122" i="75"/>
  <c r="S158" i="68"/>
  <c r="R132" i="72"/>
  <c r="AD77" i="68"/>
  <c r="X65" i="72"/>
  <c r="AO15" i="71"/>
  <c r="BY19" i="70"/>
  <c r="AR14" i="71"/>
  <c r="CG138" i="75"/>
  <c r="BD10" i="70"/>
  <c r="AM8" i="71"/>
  <c r="CH156" i="75"/>
  <c r="AD211" i="68"/>
  <c r="DC154" i="75"/>
  <c r="CD152" i="75"/>
  <c r="CH160" i="75"/>
  <c r="AM21" i="71"/>
  <c r="R65" i="72"/>
  <c r="CY151" i="75"/>
  <c r="X77" i="72"/>
  <c r="AD21" i="90"/>
  <c r="D31" i="88"/>
  <c r="CZ141" i="75"/>
  <c r="CD124" i="75"/>
  <c r="CE163" i="75"/>
  <c r="BY5" i="70"/>
  <c r="CE111" i="75"/>
  <c r="AC205" i="68"/>
  <c r="AC65" i="68"/>
  <c r="AP17" i="71"/>
  <c r="AC13" i="90"/>
  <c r="CF129" i="75"/>
  <c r="AC64" i="68"/>
  <c r="D87" i="88"/>
  <c r="D155" i="68"/>
  <c r="AP12" i="71"/>
  <c r="BD8" i="70"/>
  <c r="D63" i="88"/>
  <c r="X36" i="72"/>
  <c r="AT67" i="71"/>
  <c r="AB22" i="90"/>
  <c r="CF123" i="75"/>
  <c r="AQ20" i="71"/>
  <c r="AD69" i="68"/>
  <c r="X40" i="72"/>
  <c r="U4" i="70"/>
  <c r="R119" i="72"/>
  <c r="CE149" i="75"/>
  <c r="CE162" i="75"/>
  <c r="CF118" i="75"/>
  <c r="AC117" i="68"/>
  <c r="AP10" i="71"/>
  <c r="R203" i="72"/>
  <c r="R206" i="72"/>
  <c r="CY158" i="75"/>
  <c r="CG134" i="75"/>
  <c r="AV112" i="71"/>
  <c r="AW68" i="71"/>
  <c r="AC157" i="90"/>
  <c r="CZ105" i="75"/>
  <c r="CG109" i="75"/>
  <c r="AP11" i="71"/>
  <c r="AC110" i="68"/>
  <c r="AD71" i="68"/>
  <c r="AD167" i="68"/>
  <c r="DA142" i="75"/>
  <c r="AC111" i="68"/>
  <c r="DC106" i="75"/>
  <c r="CE120" i="75"/>
  <c r="AC197" i="68"/>
  <c r="X74" i="72"/>
  <c r="DA125" i="75"/>
  <c r="DB130" i="75"/>
  <c r="R219" i="72"/>
  <c r="DB155" i="75"/>
  <c r="AM69" i="71"/>
  <c r="DC160" i="75"/>
  <c r="AS163" i="71"/>
  <c r="R117" i="72"/>
  <c r="AR11" i="71"/>
  <c r="V105" i="70"/>
  <c r="AD79" i="68"/>
  <c r="CG143" i="75"/>
  <c r="DB161" i="75"/>
  <c r="X213" i="72"/>
  <c r="CZ107" i="75"/>
  <c r="CZ145" i="75"/>
  <c r="CG142" i="75"/>
  <c r="U194" i="70"/>
  <c r="X116" i="72"/>
  <c r="CZ157" i="75"/>
  <c r="D29" i="88"/>
  <c r="X130" i="72"/>
  <c r="AD70" i="68"/>
  <c r="D120" i="68"/>
  <c r="D75" i="88"/>
  <c r="AR19" i="71"/>
  <c r="AW158" i="71"/>
  <c r="U189" i="70"/>
  <c r="AC159" i="68"/>
  <c r="R111" i="72"/>
  <c r="R74" i="72"/>
  <c r="AD164" i="68"/>
  <c r="DA106" i="75"/>
  <c r="AD116" i="68"/>
  <c r="AC152" i="90"/>
  <c r="AC164" i="68"/>
  <c r="D120" i="88"/>
  <c r="DA155" i="75"/>
  <c r="X118" i="72"/>
  <c r="CY142" i="75"/>
  <c r="AV24" i="71"/>
  <c r="V149" i="70"/>
  <c r="R37" i="72"/>
  <c r="AM9" i="71"/>
  <c r="X156" i="72"/>
  <c r="CG116" i="75"/>
  <c r="AB152" i="90"/>
  <c r="AC163" i="68"/>
  <c r="AB101" i="90"/>
  <c r="AD213" i="68"/>
  <c r="AO8" i="71"/>
  <c r="AB25" i="90"/>
  <c r="D78" i="88"/>
  <c r="AC118" i="68"/>
  <c r="AR16" i="71"/>
  <c r="R170" i="72"/>
  <c r="DB109" i="75"/>
  <c r="D206" i="68"/>
  <c r="AD174" i="68"/>
  <c r="CY147" i="75"/>
  <c r="AC204" i="68"/>
  <c r="CH138" i="75"/>
  <c r="X219" i="72"/>
  <c r="AC108" i="68"/>
  <c r="AD210" i="68"/>
  <c r="AD204" i="68"/>
  <c r="R24" i="72"/>
  <c r="DA118" i="75"/>
  <c r="CD135" i="75"/>
  <c r="D76" i="88"/>
  <c r="BB9" i="70"/>
  <c r="R69" i="72"/>
  <c r="DB157" i="75"/>
  <c r="AD120" i="68"/>
  <c r="AC156" i="68"/>
  <c r="AC203" i="68"/>
  <c r="AD122" i="68"/>
  <c r="AD75" i="68"/>
  <c r="AD114" i="68"/>
  <c r="AD212" i="68"/>
  <c r="AC155" i="68"/>
  <c r="AD206" i="68"/>
  <c r="AC206" i="68"/>
  <c r="AA194" i="71" l="1"/>
  <c r="AD194" i="71"/>
  <c r="AB194" i="71"/>
  <c r="Y194" i="71"/>
  <c r="Z194" i="71"/>
  <c r="Q194" i="71"/>
  <c r="AC194" i="71"/>
  <c r="R194" i="71"/>
  <c r="AD143" i="71"/>
  <c r="AC143" i="71"/>
  <c r="Q143" i="71"/>
  <c r="AA143" i="71"/>
  <c r="Z143" i="71"/>
  <c r="Y143" i="71"/>
  <c r="AB143" i="71"/>
  <c r="AB200" i="71"/>
  <c r="AD200" i="71"/>
  <c r="Y200" i="71"/>
  <c r="AA200" i="71"/>
  <c r="Z200" i="71"/>
  <c r="AC200" i="71"/>
  <c r="R200" i="71"/>
  <c r="R102" i="71"/>
  <c r="Z63" i="71"/>
  <c r="AB63" i="71"/>
  <c r="AD63" i="71"/>
  <c r="AA63" i="71"/>
  <c r="AC63" i="71"/>
  <c r="Y63" i="71"/>
  <c r="R63" i="71"/>
  <c r="Y110" i="71"/>
  <c r="AC110" i="71"/>
  <c r="R110" i="71"/>
  <c r="AD110" i="71"/>
  <c r="AA110" i="71"/>
  <c r="AB110" i="71"/>
  <c r="Z110" i="71"/>
  <c r="AB191" i="71"/>
  <c r="Z191" i="71"/>
  <c r="AD191" i="71"/>
  <c r="Y191" i="71"/>
  <c r="AA191" i="71"/>
  <c r="AC191" i="71"/>
  <c r="Q191" i="71"/>
  <c r="AC144" i="71"/>
  <c r="AA144" i="71"/>
  <c r="AD144" i="71"/>
  <c r="AB144" i="71"/>
  <c r="Q144" i="71"/>
  <c r="Z144" i="71"/>
  <c r="Y144" i="71"/>
  <c r="R108" i="71"/>
  <c r="Y108" i="71"/>
  <c r="Z108" i="71"/>
  <c r="AA108" i="71"/>
  <c r="AD108" i="71"/>
  <c r="AB108" i="71"/>
  <c r="AC108" i="71"/>
  <c r="S72" i="84"/>
  <c r="AH72" i="84" s="1"/>
  <c r="Y76" i="88"/>
  <c r="T76" i="88" s="1"/>
  <c r="S27" i="84"/>
  <c r="R192" i="71"/>
  <c r="AA198" i="71"/>
  <c r="AD198" i="71"/>
  <c r="AC198" i="71"/>
  <c r="R198" i="71"/>
  <c r="Y198" i="71"/>
  <c r="AB198" i="71"/>
  <c r="Z198" i="71"/>
  <c r="Y96" i="71"/>
  <c r="AD96" i="71"/>
  <c r="AA96" i="71"/>
  <c r="Z96" i="71"/>
  <c r="AB96" i="71"/>
  <c r="AC96" i="71"/>
  <c r="Q96" i="71"/>
  <c r="Q192" i="71"/>
  <c r="AC192" i="71"/>
  <c r="AA192" i="71"/>
  <c r="AD192" i="71"/>
  <c r="AB192" i="71"/>
  <c r="Y192" i="71"/>
  <c r="Z192" i="71"/>
  <c r="Z162" i="71"/>
  <c r="AA162" i="71"/>
  <c r="AC162" i="71"/>
  <c r="AD162" i="71"/>
  <c r="AB162" i="71"/>
  <c r="Y162" i="71"/>
  <c r="R162" i="71"/>
  <c r="F13" i="76"/>
  <c r="CR193" i="99"/>
  <c r="M194" i="71"/>
  <c r="BO193" i="71" s="1"/>
  <c r="F13" i="75"/>
  <c r="X206" i="68"/>
  <c r="AN193" i="70" s="1"/>
  <c r="F200" i="90"/>
  <c r="AU200" i="90" s="1"/>
  <c r="Q193" i="70"/>
  <c r="J196" i="84"/>
  <c r="N193" i="69"/>
  <c r="BJ193" i="69" s="1"/>
  <c r="AP108" i="94"/>
  <c r="Y206" i="68"/>
  <c r="N194" i="95"/>
  <c r="AO194" i="95" s="1"/>
  <c r="AP196" i="87"/>
  <c r="F13" i="74"/>
  <c r="N193" i="72"/>
  <c r="AP193" i="72" s="1"/>
  <c r="S173" i="84"/>
  <c r="AC106" i="71"/>
  <c r="AB106" i="71"/>
  <c r="AA106" i="71"/>
  <c r="Y106" i="71"/>
  <c r="AD106" i="71"/>
  <c r="Q106" i="71"/>
  <c r="Z106" i="71"/>
  <c r="Y78" i="88"/>
  <c r="D79" i="88"/>
  <c r="AF25" i="90"/>
  <c r="AG19" i="71"/>
  <c r="AJ19" i="71"/>
  <c r="AH19" i="71"/>
  <c r="AI19" i="71"/>
  <c r="AF19" i="71"/>
  <c r="AE19" i="71"/>
  <c r="R201" i="71"/>
  <c r="AA201" i="71"/>
  <c r="AB201" i="71"/>
  <c r="AD201" i="71"/>
  <c r="Y201" i="71"/>
  <c r="AC201" i="71"/>
  <c r="Z201" i="71"/>
  <c r="AC151" i="71"/>
  <c r="AD151" i="71"/>
  <c r="Y151" i="71"/>
  <c r="AA151" i="71"/>
  <c r="AB151" i="71"/>
  <c r="Q151" i="71"/>
  <c r="Z151" i="71"/>
  <c r="AH146" i="71"/>
  <c r="AI124" i="71"/>
  <c r="AJ124" i="71"/>
  <c r="AG124" i="71"/>
  <c r="AF146" i="71"/>
  <c r="AE124" i="71"/>
  <c r="AG146" i="71"/>
  <c r="AE146" i="71"/>
  <c r="AI146" i="71"/>
  <c r="AH124" i="71"/>
  <c r="AJ146" i="71"/>
  <c r="AF152" i="90"/>
  <c r="AF124" i="71"/>
  <c r="S40" i="84"/>
  <c r="Y120" i="88"/>
  <c r="T120" i="88" s="1"/>
  <c r="X120" i="88"/>
  <c r="S120" i="88" s="1"/>
  <c r="AB152" i="71"/>
  <c r="Q152" i="71"/>
  <c r="Z152" i="71"/>
  <c r="AD152" i="71"/>
  <c r="AC152" i="71"/>
  <c r="AA152" i="71"/>
  <c r="Y152" i="71"/>
  <c r="R104" i="71"/>
  <c r="R152" i="71"/>
  <c r="S77" i="84"/>
  <c r="S114" i="84"/>
  <c r="AD147" i="71"/>
  <c r="Q147" i="71"/>
  <c r="Y147" i="71"/>
  <c r="AB147" i="71"/>
  <c r="AA147" i="71"/>
  <c r="Z147" i="71"/>
  <c r="AC147" i="71"/>
  <c r="Y75" i="88"/>
  <c r="T75" i="88" s="1"/>
  <c r="J110" i="84"/>
  <c r="AP110" i="87"/>
  <c r="D17" i="75"/>
  <c r="N108" i="95"/>
  <c r="AO108" i="95" s="1"/>
  <c r="N107" i="69"/>
  <c r="BJ107" i="69" s="1"/>
  <c r="F114" i="90"/>
  <c r="D17" i="74"/>
  <c r="Y120" i="68"/>
  <c r="M108" i="71"/>
  <c r="BO107" i="71" s="1"/>
  <c r="D17" i="76"/>
  <c r="CR107" i="99"/>
  <c r="AP66" i="94"/>
  <c r="Q107" i="70"/>
  <c r="BO107" i="70" s="1"/>
  <c r="N107" i="72"/>
  <c r="AP107" i="72" s="1"/>
  <c r="R58" i="71"/>
  <c r="Y29" i="88"/>
  <c r="T29" i="88" s="1"/>
  <c r="AC67" i="71"/>
  <c r="AD67" i="71"/>
  <c r="Z67" i="71"/>
  <c r="AA67" i="71"/>
  <c r="AB67" i="71"/>
  <c r="Y67" i="71"/>
  <c r="R67" i="71"/>
  <c r="S120" i="84"/>
  <c r="AY163" i="71"/>
  <c r="AY69" i="71"/>
  <c r="S222" i="84"/>
  <c r="Q185" i="71"/>
  <c r="S185" i="71" s="1"/>
  <c r="AA185" i="71"/>
  <c r="Z185" i="71"/>
  <c r="AB185" i="71"/>
  <c r="AC185" i="71"/>
  <c r="AD185" i="71"/>
  <c r="Y185" i="71"/>
  <c r="AC99" i="71"/>
  <c r="AD99" i="71"/>
  <c r="AB99" i="71"/>
  <c r="Z99" i="71"/>
  <c r="AA99" i="71"/>
  <c r="Q99" i="71"/>
  <c r="Y99" i="71"/>
  <c r="AD155" i="71"/>
  <c r="Y155" i="71"/>
  <c r="AC155" i="71"/>
  <c r="AB155" i="71"/>
  <c r="R155" i="71"/>
  <c r="Z155" i="71"/>
  <c r="AA155" i="71"/>
  <c r="R59" i="71"/>
  <c r="Q98" i="71"/>
  <c r="AD98" i="71"/>
  <c r="Y98" i="71"/>
  <c r="AB98" i="71"/>
  <c r="AC98" i="71"/>
  <c r="Z98" i="71"/>
  <c r="AA98" i="71"/>
  <c r="S209" i="84"/>
  <c r="S206" i="84"/>
  <c r="Y105" i="71"/>
  <c r="AD105" i="71"/>
  <c r="AA105" i="71"/>
  <c r="AC105" i="71"/>
  <c r="Z105" i="71"/>
  <c r="AB105" i="71"/>
  <c r="Q105" i="71"/>
  <c r="S122" i="84"/>
  <c r="R57" i="71"/>
  <c r="AJ16" i="71"/>
  <c r="AH16" i="71"/>
  <c r="AE16" i="71"/>
  <c r="AI16" i="71"/>
  <c r="AF16" i="71"/>
  <c r="AF22" i="90"/>
  <c r="AG16" i="71"/>
  <c r="X63" i="88"/>
  <c r="S63" i="88" s="1"/>
  <c r="W63" i="88"/>
  <c r="R63" i="88" s="1"/>
  <c r="V63" i="88"/>
  <c r="Q63" i="88" s="1"/>
  <c r="F149" i="90"/>
  <c r="Q142" i="70"/>
  <c r="BO142" i="70" s="1"/>
  <c r="E7" i="76"/>
  <c r="AP79" i="94"/>
  <c r="N143" i="95"/>
  <c r="AO143" i="95" s="1"/>
  <c r="N142" i="69"/>
  <c r="BJ142" i="69" s="1"/>
  <c r="J145" i="84"/>
  <c r="E7" i="75"/>
  <c r="N142" i="72"/>
  <c r="AP142" i="72" s="1"/>
  <c r="X155" i="68"/>
  <c r="CR142" i="99"/>
  <c r="AP145" i="87"/>
  <c r="E7" i="74"/>
  <c r="M143" i="71"/>
  <c r="BO142" i="71" s="1"/>
  <c r="W87" i="88"/>
  <c r="R87" i="88" s="1"/>
  <c r="X87" i="88"/>
  <c r="S87" i="88" s="1"/>
  <c r="Y87" i="88"/>
  <c r="T87" i="88" s="1"/>
  <c r="AB52" i="71"/>
  <c r="Z52" i="71"/>
  <c r="AC52" i="71"/>
  <c r="AD52" i="71"/>
  <c r="Y52" i="71"/>
  <c r="Q52" i="71"/>
  <c r="AA52" i="71"/>
  <c r="Q53" i="71"/>
  <c r="AD53" i="71"/>
  <c r="AA53" i="71"/>
  <c r="AC53" i="71"/>
  <c r="AB53" i="71"/>
  <c r="Y53" i="71"/>
  <c r="Z53" i="71"/>
  <c r="AA193" i="71"/>
  <c r="Z193" i="71"/>
  <c r="AB193" i="71"/>
  <c r="AD193" i="71"/>
  <c r="AC193" i="71"/>
  <c r="Y193" i="71"/>
  <c r="Q193" i="71"/>
  <c r="Y31" i="88"/>
  <c r="T31" i="88" s="1"/>
  <c r="S68" i="84"/>
  <c r="AY21" i="71"/>
  <c r="AC199" i="71"/>
  <c r="AA199" i="71"/>
  <c r="AD199" i="71"/>
  <c r="AB199" i="71"/>
  <c r="Y199" i="71"/>
  <c r="Z199" i="71"/>
  <c r="R199" i="71"/>
  <c r="R65" i="71"/>
  <c r="Y65" i="71"/>
  <c r="AA65" i="71"/>
  <c r="AB65" i="71"/>
  <c r="Z65" i="71"/>
  <c r="AD65" i="71"/>
  <c r="AC65" i="71"/>
  <c r="S135" i="84"/>
  <c r="S152" i="90"/>
  <c r="T152" i="90" s="1"/>
  <c r="Y100" i="88"/>
  <c r="T100" i="88" s="1"/>
  <c r="AH150" i="71"/>
  <c r="AE128" i="71"/>
  <c r="AF156" i="90"/>
  <c r="AI128" i="71"/>
  <c r="AF128" i="71"/>
  <c r="AF150" i="71"/>
  <c r="AG128" i="71"/>
  <c r="AJ150" i="71"/>
  <c r="AE150" i="71"/>
  <c r="AH128" i="71"/>
  <c r="AJ128" i="71"/>
  <c r="AI150" i="71"/>
  <c r="AG150" i="71"/>
  <c r="Z188" i="71"/>
  <c r="AD188" i="71"/>
  <c r="AA188" i="71"/>
  <c r="Y188" i="71"/>
  <c r="AB188" i="71"/>
  <c r="Q188" i="71"/>
  <c r="AC188" i="71"/>
  <c r="Y154" i="71"/>
  <c r="AC154" i="71"/>
  <c r="AD154" i="71"/>
  <c r="Z154" i="71"/>
  <c r="AA154" i="71"/>
  <c r="AB154" i="71"/>
  <c r="R154" i="71"/>
  <c r="AA59" i="71"/>
  <c r="Y59" i="71"/>
  <c r="AD59" i="71"/>
  <c r="AB59" i="71"/>
  <c r="AC59" i="71"/>
  <c r="Z59" i="71"/>
  <c r="Q59" i="71"/>
  <c r="Y102" i="71"/>
  <c r="AB102" i="71"/>
  <c r="Q102" i="71"/>
  <c r="Z102" i="71"/>
  <c r="AA102" i="71"/>
  <c r="AD102" i="71"/>
  <c r="AC102" i="71"/>
  <c r="AB197" i="71"/>
  <c r="AC197" i="71"/>
  <c r="AA197" i="71"/>
  <c r="Q197" i="71"/>
  <c r="Y197" i="71"/>
  <c r="Z197" i="71"/>
  <c r="AD197" i="71"/>
  <c r="AH56" i="90"/>
  <c r="AM56" i="90" s="1"/>
  <c r="N199" i="72"/>
  <c r="AP199" i="72" s="1"/>
  <c r="AP114" i="94"/>
  <c r="F206" i="90"/>
  <c r="N200" i="95"/>
  <c r="AO200" i="95" s="1"/>
  <c r="F19" i="75"/>
  <c r="AD19" i="75" s="1"/>
  <c r="CR199" i="99"/>
  <c r="Y212" i="68"/>
  <c r="M200" i="71"/>
  <c r="BO199" i="71" s="1"/>
  <c r="Q199" i="70"/>
  <c r="BO199" i="70" s="1"/>
  <c r="AP202" i="87"/>
  <c r="J202" i="84"/>
  <c r="N199" i="69"/>
  <c r="BJ199" i="69" s="1"/>
  <c r="F19" i="74"/>
  <c r="F19" i="76"/>
  <c r="AY167" i="71"/>
  <c r="S217" i="84"/>
  <c r="AD97" i="71"/>
  <c r="AC97" i="71"/>
  <c r="AA97" i="71"/>
  <c r="AB97" i="71"/>
  <c r="Y97" i="71"/>
  <c r="Z97" i="71"/>
  <c r="Q97" i="71"/>
  <c r="Z100" i="71"/>
  <c r="AD100" i="71"/>
  <c r="AC100" i="71"/>
  <c r="Q100" i="71"/>
  <c r="Y100" i="71"/>
  <c r="AB100" i="71"/>
  <c r="AA100" i="71"/>
  <c r="X19" i="88"/>
  <c r="S19" i="88" s="1"/>
  <c r="W19" i="88"/>
  <c r="R19" i="88" s="1"/>
  <c r="AD115" i="71"/>
  <c r="AC115" i="71"/>
  <c r="Z115" i="71"/>
  <c r="AB115" i="71"/>
  <c r="AA115" i="71"/>
  <c r="Y115" i="71"/>
  <c r="R115" i="71"/>
  <c r="Z57" i="71"/>
  <c r="AD57" i="71"/>
  <c r="Q57" i="71"/>
  <c r="AA57" i="71"/>
  <c r="Y57" i="71"/>
  <c r="AC57" i="71"/>
  <c r="AB57" i="71"/>
  <c r="S169" i="84"/>
  <c r="R70" i="71"/>
  <c r="AD70" i="71"/>
  <c r="AC70" i="71"/>
  <c r="AA70" i="71"/>
  <c r="AB70" i="71"/>
  <c r="Y70" i="71"/>
  <c r="Z70" i="71"/>
  <c r="S39" i="84"/>
  <c r="S131" i="84"/>
  <c r="AH14" i="90"/>
  <c r="AM14" i="90" s="1"/>
  <c r="Y74" i="88"/>
  <c r="T74" i="88" s="1"/>
  <c r="Y52" i="88"/>
  <c r="T52" i="88" s="1"/>
  <c r="R94" i="72"/>
  <c r="S97" i="84" s="1"/>
  <c r="X94" i="72"/>
  <c r="R148" i="71"/>
  <c r="S205" i="84"/>
  <c r="Y153" i="71"/>
  <c r="Z153" i="71"/>
  <c r="AB153" i="71"/>
  <c r="AA153" i="71"/>
  <c r="R153" i="71"/>
  <c r="AD153" i="71"/>
  <c r="AC153" i="71"/>
  <c r="CR191" i="99"/>
  <c r="N192" i="95"/>
  <c r="AO192" i="95" s="1"/>
  <c r="N191" i="69"/>
  <c r="BJ191" i="69" s="1"/>
  <c r="Y204" i="68"/>
  <c r="F198" i="90"/>
  <c r="M192" i="71"/>
  <c r="BO191" i="71" s="1"/>
  <c r="N191" i="72"/>
  <c r="AP191" i="72" s="1"/>
  <c r="Q191" i="70"/>
  <c r="BO191" i="70" s="1"/>
  <c r="F11" i="76"/>
  <c r="J194" i="84"/>
  <c r="F11" i="75"/>
  <c r="AY11" i="75" s="1"/>
  <c r="X204" i="68"/>
  <c r="F11" i="74"/>
  <c r="AP106" i="94"/>
  <c r="AP194" i="87"/>
  <c r="N97" i="72"/>
  <c r="AP97" i="72" s="1"/>
  <c r="AP100" i="87"/>
  <c r="N97" i="69"/>
  <c r="BJ97" i="69" s="1"/>
  <c r="D7" i="76"/>
  <c r="AP56" i="94"/>
  <c r="N98" i="95"/>
  <c r="AO98" i="95" s="1"/>
  <c r="F104" i="90"/>
  <c r="AU104" i="90" s="1"/>
  <c r="D7" i="74"/>
  <c r="X110" i="68"/>
  <c r="Q97" i="70"/>
  <c r="BO97" i="70" s="1"/>
  <c r="M98" i="71"/>
  <c r="BO97" i="71" s="1"/>
  <c r="D7" i="75"/>
  <c r="J100" i="84"/>
  <c r="CR97" i="99"/>
  <c r="Y56" i="88"/>
  <c r="T56" i="88" s="1"/>
  <c r="R107" i="71"/>
  <c r="R103" i="71"/>
  <c r="S24" i="84"/>
  <c r="R197" i="71"/>
  <c r="Q107" i="71"/>
  <c r="AC107" i="71"/>
  <c r="Y107" i="71"/>
  <c r="AA107" i="71"/>
  <c r="Z107" i="71"/>
  <c r="AD107" i="71"/>
  <c r="AB107" i="71"/>
  <c r="Y48" i="88"/>
  <c r="T48" i="88" s="1"/>
  <c r="X48" i="88"/>
  <c r="S48" i="88" s="1"/>
  <c r="W109" i="88"/>
  <c r="R109" i="88" s="1"/>
  <c r="Y109" i="88"/>
  <c r="T109" i="88" s="1"/>
  <c r="V109" i="88"/>
  <c r="Q109" i="88" s="1"/>
  <c r="X109" i="88"/>
  <c r="S109" i="88" s="1"/>
  <c r="AD148" i="71"/>
  <c r="AC148" i="71"/>
  <c r="AB148" i="71"/>
  <c r="AA148" i="71"/>
  <c r="Z148" i="71"/>
  <c r="Y148" i="71"/>
  <c r="Q148" i="71"/>
  <c r="N154" i="69"/>
  <c r="BJ154" i="69" s="1"/>
  <c r="E19" i="75"/>
  <c r="E19" i="74"/>
  <c r="N154" i="72"/>
  <c r="AP154" i="72" s="1"/>
  <c r="Q154" i="70"/>
  <c r="BO154" i="70" s="1"/>
  <c r="AP91" i="94"/>
  <c r="N155" i="95"/>
  <c r="AO155" i="95" s="1"/>
  <c r="J157" i="84"/>
  <c r="CR154" i="99"/>
  <c r="E19" i="76"/>
  <c r="AP157" i="87"/>
  <c r="Y167" i="68"/>
  <c r="M155" i="71"/>
  <c r="BO154" i="71" s="1"/>
  <c r="F161" i="90"/>
  <c r="X12" i="84"/>
  <c r="AG16" i="90" s="1"/>
  <c r="Q58" i="71"/>
  <c r="AB58" i="71"/>
  <c r="Z58" i="71"/>
  <c r="AC58" i="71"/>
  <c r="Y58" i="71"/>
  <c r="AD58" i="71"/>
  <c r="AA58" i="71"/>
  <c r="S31" i="84"/>
  <c r="Q103" i="71"/>
  <c r="AB103" i="71"/>
  <c r="AD103" i="71"/>
  <c r="AA103" i="71"/>
  <c r="Y103" i="71"/>
  <c r="AC103" i="71"/>
  <c r="Z103" i="71"/>
  <c r="AD62" i="71"/>
  <c r="AB62" i="71"/>
  <c r="AA62" i="71"/>
  <c r="Y62" i="71"/>
  <c r="Q62" i="71"/>
  <c r="AC62" i="71"/>
  <c r="Z62" i="71"/>
  <c r="AJ10" i="71"/>
  <c r="AE10" i="71"/>
  <c r="AF16" i="90"/>
  <c r="AG10" i="71"/>
  <c r="AH10" i="71"/>
  <c r="AI10" i="71"/>
  <c r="AF10" i="71"/>
  <c r="W139" i="70"/>
  <c r="S156" i="90"/>
  <c r="T156" i="90" s="1"/>
  <c r="Y141" i="71"/>
  <c r="AD141" i="71"/>
  <c r="Z141" i="71"/>
  <c r="AC141" i="71"/>
  <c r="AA141" i="71"/>
  <c r="Q141" i="71"/>
  <c r="AB141" i="71"/>
  <c r="AC51" i="71"/>
  <c r="Z51" i="71"/>
  <c r="AA51" i="71"/>
  <c r="AB51" i="71"/>
  <c r="AD51" i="71"/>
  <c r="Y51" i="71"/>
  <c r="Q51" i="71"/>
  <c r="Y114" i="88"/>
  <c r="T114" i="88" s="1"/>
  <c r="X114" i="88"/>
  <c r="S114" i="88" s="1"/>
  <c r="S134" i="84"/>
  <c r="Y97" i="88"/>
  <c r="T97" i="88" s="1"/>
  <c r="W184" i="70"/>
  <c r="X68" i="88"/>
  <c r="S68" i="88" s="1"/>
  <c r="F108" i="90"/>
  <c r="AU108" i="90" s="1"/>
  <c r="D11" i="75"/>
  <c r="X114" i="68"/>
  <c r="N101" i="69"/>
  <c r="BJ101" i="69" s="1"/>
  <c r="D11" i="74"/>
  <c r="N102" i="95"/>
  <c r="AO102" i="95" s="1"/>
  <c r="N101" i="72"/>
  <c r="AP101" i="72" s="1"/>
  <c r="M102" i="71"/>
  <c r="BO101" i="71" s="1"/>
  <c r="Q101" i="70"/>
  <c r="BO101" i="70" s="1"/>
  <c r="AP60" i="94"/>
  <c r="J104" i="84"/>
  <c r="AP104" i="87"/>
  <c r="Y114" i="68"/>
  <c r="CR101" i="99"/>
  <c r="D11" i="76"/>
  <c r="Z109" i="71"/>
  <c r="Y109" i="71"/>
  <c r="R109" i="71"/>
  <c r="AB109" i="71"/>
  <c r="AC109" i="71"/>
  <c r="AD109" i="71"/>
  <c r="AA109" i="71"/>
  <c r="Y92" i="88"/>
  <c r="T92" i="88" s="1"/>
  <c r="X92" i="88"/>
  <c r="S92" i="88" s="1"/>
  <c r="S218" i="84"/>
  <c r="N108" i="72"/>
  <c r="AP108" i="72" s="1"/>
  <c r="N108" i="69"/>
  <c r="BJ108" i="69" s="1"/>
  <c r="D18" i="75"/>
  <c r="D18" i="76"/>
  <c r="M109" i="71"/>
  <c r="BO108" i="71" s="1"/>
  <c r="Q108" i="70"/>
  <c r="BO108" i="70" s="1"/>
  <c r="Y121" i="68"/>
  <c r="N109" i="95"/>
  <c r="AO109" i="95" s="1"/>
  <c r="D18" i="74"/>
  <c r="AP111" i="87"/>
  <c r="J111" i="84"/>
  <c r="AP67" i="94"/>
  <c r="F115" i="90"/>
  <c r="AU115" i="90" s="1"/>
  <c r="CR108" i="99"/>
  <c r="S23" i="84"/>
  <c r="X119" i="88"/>
  <c r="S119" i="88" s="1"/>
  <c r="Y119" i="88"/>
  <c r="T119" i="88" s="1"/>
  <c r="S36" i="84"/>
  <c r="S69" i="84"/>
  <c r="Y74" i="84"/>
  <c r="AH78" i="90" s="1"/>
  <c r="AA60" i="71"/>
  <c r="Q60" i="71"/>
  <c r="AC60" i="71"/>
  <c r="Z60" i="71"/>
  <c r="Y60" i="71"/>
  <c r="AD60" i="71"/>
  <c r="AB60" i="71"/>
  <c r="AC209" i="71"/>
  <c r="AD209" i="71"/>
  <c r="AA209" i="71"/>
  <c r="Y209" i="71"/>
  <c r="R209" i="71"/>
  <c r="Z209" i="71"/>
  <c r="AB209" i="71"/>
  <c r="Z142" i="71"/>
  <c r="Y142" i="71"/>
  <c r="AA142" i="71"/>
  <c r="AC142" i="71"/>
  <c r="AD142" i="71"/>
  <c r="AB142" i="71"/>
  <c r="Q142" i="71"/>
  <c r="AC203" i="71"/>
  <c r="R203" i="71"/>
  <c r="Y203" i="71"/>
  <c r="AD203" i="71"/>
  <c r="AB203" i="71"/>
  <c r="AA203" i="71"/>
  <c r="Z203" i="71"/>
  <c r="R106" i="71"/>
  <c r="X15" i="84"/>
  <c r="AG19" i="90" s="1"/>
  <c r="R116" i="71"/>
  <c r="Y116" i="71"/>
  <c r="Z116" i="71"/>
  <c r="AB116" i="71"/>
  <c r="AA116" i="71"/>
  <c r="AD116" i="71"/>
  <c r="AC116" i="71"/>
  <c r="S207" i="84"/>
  <c r="J65" i="84"/>
  <c r="Q62" i="70"/>
  <c r="BO62" i="70" s="1"/>
  <c r="M63" i="71"/>
  <c r="BO62" i="71" s="1"/>
  <c r="C17" i="76"/>
  <c r="Y75" i="68"/>
  <c r="C17" i="74"/>
  <c r="N62" i="72"/>
  <c r="AP62" i="72" s="1"/>
  <c r="AP43" i="94"/>
  <c r="N62" i="69"/>
  <c r="BJ62" i="69" s="1"/>
  <c r="N63" i="95"/>
  <c r="AO63" i="95" s="1"/>
  <c r="AP65" i="87"/>
  <c r="C17" i="75"/>
  <c r="CN17" i="75" s="1"/>
  <c r="F69" i="90"/>
  <c r="CR62" i="99"/>
  <c r="AB186" i="71"/>
  <c r="AD186" i="71"/>
  <c r="Y186" i="71"/>
  <c r="AA186" i="71"/>
  <c r="AC186" i="71"/>
  <c r="Q186" i="71"/>
  <c r="S186" i="71" s="1"/>
  <c r="AL6" i="74" s="1"/>
  <c r="Z186" i="71"/>
  <c r="X19" i="84"/>
  <c r="AG23" i="90" s="1"/>
  <c r="S172" i="84"/>
  <c r="AH15" i="90"/>
  <c r="AM15" i="90" s="1"/>
  <c r="S210" i="84"/>
  <c r="V18" i="88"/>
  <c r="Q18" i="88" s="1"/>
  <c r="X18" i="88"/>
  <c r="S18" i="88" s="1"/>
  <c r="W18" i="88"/>
  <c r="R18" i="88" s="1"/>
  <c r="AB54" i="71"/>
  <c r="Z54" i="71"/>
  <c r="Y54" i="71"/>
  <c r="AC54" i="71"/>
  <c r="Q54" i="71"/>
  <c r="AA54" i="71"/>
  <c r="AD54" i="71"/>
  <c r="Q187" i="71"/>
  <c r="AC187" i="71"/>
  <c r="AA187" i="71"/>
  <c r="Y187" i="71"/>
  <c r="Z187" i="71"/>
  <c r="AB187" i="71"/>
  <c r="AD187" i="71"/>
  <c r="F160" i="90"/>
  <c r="AU160" i="90" s="1"/>
  <c r="N153" i="69"/>
  <c r="BJ153" i="69" s="1"/>
  <c r="AP90" i="94"/>
  <c r="E18" i="74"/>
  <c r="N154" i="95"/>
  <c r="AO154" i="95" s="1"/>
  <c r="AP156" i="87"/>
  <c r="N153" i="72"/>
  <c r="AP153" i="72" s="1"/>
  <c r="CR153" i="99"/>
  <c r="Q153" i="70"/>
  <c r="BO153" i="70" s="1"/>
  <c r="Y166" i="68"/>
  <c r="AO153" i="70" s="1"/>
  <c r="AP153" i="70" s="1"/>
  <c r="E18" i="75"/>
  <c r="J156" i="84"/>
  <c r="E18" i="76"/>
  <c r="M154" i="71"/>
  <c r="BO153" i="71" s="1"/>
  <c r="D19" i="76"/>
  <c r="AP68" i="94"/>
  <c r="CR109" i="99"/>
  <c r="N109" i="69"/>
  <c r="BJ109" i="69" s="1"/>
  <c r="Y122" i="68"/>
  <c r="D19" i="74"/>
  <c r="M110" i="71"/>
  <c r="BO109" i="71" s="1"/>
  <c r="AP112" i="87"/>
  <c r="N110" i="95"/>
  <c r="AO110" i="95" s="1"/>
  <c r="F116" i="90"/>
  <c r="Q109" i="70"/>
  <c r="BO109" i="70" s="1"/>
  <c r="D19" i="75"/>
  <c r="J112" i="84"/>
  <c r="N109" i="72"/>
  <c r="AP109" i="72" s="1"/>
  <c r="S74" i="84"/>
  <c r="Z112" i="71"/>
  <c r="AC112" i="71"/>
  <c r="AB112" i="71"/>
  <c r="AD112" i="71"/>
  <c r="AA112" i="71"/>
  <c r="R112" i="71"/>
  <c r="Y112" i="71"/>
  <c r="AI129" i="71"/>
  <c r="AE151" i="71"/>
  <c r="AH151" i="71"/>
  <c r="AF157" i="90"/>
  <c r="AH129" i="71"/>
  <c r="AJ129" i="71"/>
  <c r="AF151" i="71"/>
  <c r="AJ151" i="71"/>
  <c r="AG151" i="71"/>
  <c r="AE129" i="71"/>
  <c r="AI151" i="71"/>
  <c r="AG129" i="71"/>
  <c r="AF129" i="71"/>
  <c r="X93" i="88"/>
  <c r="S93" i="88" s="1"/>
  <c r="Y93" i="88"/>
  <c r="T93" i="88" s="1"/>
  <c r="S28" i="84"/>
  <c r="R147" i="71"/>
  <c r="R193" i="71"/>
  <c r="AD71" i="71"/>
  <c r="AC71" i="71"/>
  <c r="AA71" i="71"/>
  <c r="Z71" i="71"/>
  <c r="Y71" i="71"/>
  <c r="R71" i="71"/>
  <c r="AB71" i="71"/>
  <c r="W111" i="88"/>
  <c r="R111" i="88" s="1"/>
  <c r="Y111" i="88"/>
  <c r="T111" i="88" s="1"/>
  <c r="X111" i="88"/>
  <c r="S111" i="88" s="1"/>
  <c r="W49" i="70"/>
  <c r="S212" i="84"/>
  <c r="S164" i="84"/>
  <c r="X41" i="88"/>
  <c r="S41" i="88" s="1"/>
  <c r="V41" i="88"/>
  <c r="Q41" i="88" s="1"/>
  <c r="W41" i="88"/>
  <c r="R41" i="88" s="1"/>
  <c r="W65" i="88"/>
  <c r="R65" i="88" s="1"/>
  <c r="X65" i="88"/>
  <c r="S65" i="88" s="1"/>
  <c r="R60" i="71"/>
  <c r="X47" i="88"/>
  <c r="S47" i="88" s="1"/>
  <c r="Y47" i="88"/>
  <c r="T47" i="88" s="1"/>
  <c r="Y54" i="88"/>
  <c r="T54" i="88" s="1"/>
  <c r="AG84" i="71"/>
  <c r="AG106" i="71"/>
  <c r="AF112" i="90"/>
  <c r="AH84" i="71"/>
  <c r="AH106" i="71"/>
  <c r="AJ84" i="71"/>
  <c r="AF106" i="71"/>
  <c r="AJ106" i="71"/>
  <c r="AE84" i="71"/>
  <c r="AI84" i="71"/>
  <c r="AI106" i="71"/>
  <c r="AE106" i="71"/>
  <c r="AF84" i="71"/>
  <c r="R64" i="71"/>
  <c r="AB64" i="71"/>
  <c r="AD64" i="71"/>
  <c r="AC64" i="71"/>
  <c r="Y64" i="71"/>
  <c r="AA64" i="71"/>
  <c r="Z64" i="71"/>
  <c r="AA149" i="71"/>
  <c r="AD149" i="71"/>
  <c r="Y149" i="71"/>
  <c r="Z149" i="71"/>
  <c r="Q149" i="71"/>
  <c r="AB149" i="71"/>
  <c r="AC149" i="71"/>
  <c r="S174" i="84"/>
  <c r="AA164" i="71"/>
  <c r="Y164" i="71"/>
  <c r="Z164" i="71"/>
  <c r="R164" i="71"/>
  <c r="AC164" i="71"/>
  <c r="AB164" i="71"/>
  <c r="AD164" i="71"/>
  <c r="Z55" i="71"/>
  <c r="Q55" i="71"/>
  <c r="AC55" i="71"/>
  <c r="Y55" i="71"/>
  <c r="AA55" i="71"/>
  <c r="AD55" i="71"/>
  <c r="AB55" i="71"/>
  <c r="AY70" i="71"/>
  <c r="R149" i="71"/>
  <c r="AH62" i="90"/>
  <c r="AM62" i="90" s="1"/>
  <c r="W20" i="88"/>
  <c r="R20" i="88" s="1"/>
  <c r="X20" i="88"/>
  <c r="S20" i="88" s="1"/>
  <c r="AP109" i="87"/>
  <c r="M107" i="71"/>
  <c r="BO106" i="71" s="1"/>
  <c r="N107" i="95"/>
  <c r="AO107" i="95" s="1"/>
  <c r="AP65" i="94"/>
  <c r="Y119" i="68"/>
  <c r="CR106" i="99"/>
  <c r="X119" i="68"/>
  <c r="AH106" i="70" s="1"/>
  <c r="D16" i="75"/>
  <c r="J109" i="84"/>
  <c r="F113" i="90"/>
  <c r="D16" i="76"/>
  <c r="N106" i="72"/>
  <c r="AP106" i="72" s="1"/>
  <c r="N106" i="69"/>
  <c r="BJ106" i="69" s="1"/>
  <c r="D16" i="74"/>
  <c r="Q106" i="70"/>
  <c r="BO106" i="70" s="1"/>
  <c r="R105" i="71"/>
  <c r="S162" i="84"/>
  <c r="AP54" i="94"/>
  <c r="D5" i="75"/>
  <c r="J98" i="84"/>
  <c r="D5" i="74"/>
  <c r="F102" i="90"/>
  <c r="AU102" i="90" s="1"/>
  <c r="X108" i="68"/>
  <c r="Q95" i="70"/>
  <c r="BO95" i="70" s="1"/>
  <c r="D5" i="76"/>
  <c r="M96" i="71"/>
  <c r="BO95" i="71" s="1"/>
  <c r="N96" i="95"/>
  <c r="AO96" i="95" s="1"/>
  <c r="N95" i="69"/>
  <c r="BJ95" i="69" s="1"/>
  <c r="CR95" i="99"/>
  <c r="N95" i="72"/>
  <c r="AP95" i="72" s="1"/>
  <c r="AP98" i="87"/>
  <c r="S56" i="90"/>
  <c r="T56" i="90" s="1"/>
  <c r="U56" i="90" s="1"/>
  <c r="V56" i="90" s="1"/>
  <c r="Y90" i="88"/>
  <c r="T90" i="88" s="1"/>
  <c r="X90" i="88"/>
  <c r="S90" i="88" s="1"/>
  <c r="S71" i="84"/>
  <c r="S163" i="84"/>
  <c r="X154" i="68"/>
  <c r="N141" i="69"/>
  <c r="BJ141" i="69" s="1"/>
  <c r="N142" i="95"/>
  <c r="AO142" i="95" s="1"/>
  <c r="J144" i="84"/>
  <c r="E6" i="75"/>
  <c r="E6" i="74"/>
  <c r="M142" i="71"/>
  <c r="BO141" i="71" s="1"/>
  <c r="AP78" i="94"/>
  <c r="Q141" i="70"/>
  <c r="BO141" i="70" s="1"/>
  <c r="E6" i="76"/>
  <c r="N141" i="72"/>
  <c r="AP141" i="72" s="1"/>
  <c r="CR141" i="99"/>
  <c r="F148" i="90"/>
  <c r="AP144" i="87"/>
  <c r="S125" i="84"/>
  <c r="AG13" i="71"/>
  <c r="AE13" i="71"/>
  <c r="AF13" i="71"/>
  <c r="AF19" i="90"/>
  <c r="AI13" i="71"/>
  <c r="AJ13" i="71"/>
  <c r="AH13" i="71"/>
  <c r="AG61" i="71"/>
  <c r="AG39" i="71"/>
  <c r="AJ61" i="71"/>
  <c r="AJ39" i="71"/>
  <c r="AF61" i="71"/>
  <c r="AH39" i="71"/>
  <c r="AF39" i="71"/>
  <c r="AE39" i="71"/>
  <c r="AE61" i="71"/>
  <c r="AI39" i="71"/>
  <c r="AI61" i="71"/>
  <c r="AF67" i="90"/>
  <c r="AH61" i="71"/>
  <c r="CR98" i="99"/>
  <c r="D8" i="74"/>
  <c r="D8" i="76"/>
  <c r="N99" i="95"/>
  <c r="AO99" i="95" s="1"/>
  <c r="AP101" i="87"/>
  <c r="N98" i="72"/>
  <c r="AP98" i="72" s="1"/>
  <c r="Q98" i="70"/>
  <c r="BO98" i="70" s="1"/>
  <c r="D8" i="75"/>
  <c r="X111" i="68"/>
  <c r="AP57" i="94"/>
  <c r="M99" i="71"/>
  <c r="BO98" i="71" s="1"/>
  <c r="N98" i="69"/>
  <c r="BJ98" i="69" s="1"/>
  <c r="J101" i="84"/>
  <c r="F105" i="90"/>
  <c r="S130" i="84"/>
  <c r="S29" i="84"/>
  <c r="X17" i="84"/>
  <c r="AG21" i="90" s="1"/>
  <c r="Y28" i="88"/>
  <c r="T28" i="88" s="1"/>
  <c r="X28" i="88"/>
  <c r="S28" i="88" s="1"/>
  <c r="S196" i="90"/>
  <c r="T196" i="90" s="1"/>
  <c r="S213" i="84"/>
  <c r="S220" i="84"/>
  <c r="X13" i="84"/>
  <c r="AG17" i="90" s="1"/>
  <c r="AF20" i="71"/>
  <c r="AI20" i="71"/>
  <c r="AE20" i="71"/>
  <c r="AF26" i="90"/>
  <c r="AJ20" i="71"/>
  <c r="AG20" i="71"/>
  <c r="AH20" i="71"/>
  <c r="F6" i="76"/>
  <c r="AP189" i="87"/>
  <c r="N186" i="69"/>
  <c r="BJ186" i="69" s="1"/>
  <c r="CR186" i="99"/>
  <c r="F193" i="90"/>
  <c r="F6" i="74"/>
  <c r="N187" i="95"/>
  <c r="AO187" i="95" s="1"/>
  <c r="F6" i="75"/>
  <c r="AP101" i="94"/>
  <c r="Q186" i="70"/>
  <c r="BO186" i="70" s="1"/>
  <c r="J189" i="84"/>
  <c r="X199" i="68"/>
  <c r="N186" i="72"/>
  <c r="AP186" i="72" s="1"/>
  <c r="M187" i="71"/>
  <c r="BO186" i="71" s="1"/>
  <c r="Y99" i="88"/>
  <c r="T99" i="88" s="1"/>
  <c r="X69" i="88"/>
  <c r="S69" i="88" s="1"/>
  <c r="Y69" i="88"/>
  <c r="T69" i="88" s="1"/>
  <c r="S85" i="84"/>
  <c r="CR185" i="99"/>
  <c r="N186" i="95"/>
  <c r="AO186" i="95" s="1"/>
  <c r="F5" i="76"/>
  <c r="Q185" i="70"/>
  <c r="BO185" i="70" s="1"/>
  <c r="N185" i="69"/>
  <c r="BJ185" i="69" s="1"/>
  <c r="F5" i="75"/>
  <c r="X198" i="68"/>
  <c r="AT185" i="70" s="1"/>
  <c r="AV185" i="70" s="1"/>
  <c r="CV5" i="75" s="1"/>
  <c r="F5" i="74"/>
  <c r="M186" i="71"/>
  <c r="BO185" i="71" s="1"/>
  <c r="AP100" i="94"/>
  <c r="AP188" i="87"/>
  <c r="N185" i="72"/>
  <c r="AP185" i="72" s="1"/>
  <c r="J188" i="84"/>
  <c r="F192" i="90"/>
  <c r="S86" i="84"/>
  <c r="S223" i="84"/>
  <c r="J193" i="84"/>
  <c r="AP193" i="87"/>
  <c r="X203" i="68"/>
  <c r="N190" i="72"/>
  <c r="AP190" i="72" s="1"/>
  <c r="CR190" i="99"/>
  <c r="N191" i="95"/>
  <c r="AO191" i="95" s="1"/>
  <c r="AP105" i="94"/>
  <c r="M191" i="71"/>
  <c r="BO190" i="71" s="1"/>
  <c r="F10" i="76"/>
  <c r="F10" i="75"/>
  <c r="N190" i="69"/>
  <c r="BJ190" i="69" s="1"/>
  <c r="F10" i="74"/>
  <c r="F197" i="90"/>
  <c r="AU197" i="90" s="1"/>
  <c r="Q190" i="70"/>
  <c r="BO190" i="70" s="1"/>
  <c r="AJ14" i="71"/>
  <c r="AG14" i="71"/>
  <c r="AF20" i="90"/>
  <c r="AI14" i="71"/>
  <c r="AE14" i="71"/>
  <c r="AH14" i="71"/>
  <c r="AF14" i="71"/>
  <c r="J99" i="84"/>
  <c r="AP99" i="87"/>
  <c r="CR96" i="99"/>
  <c r="D6" i="75"/>
  <c r="Q96" i="70"/>
  <c r="BO96" i="70" s="1"/>
  <c r="M97" i="71"/>
  <c r="BO96" i="71" s="1"/>
  <c r="N97" i="95"/>
  <c r="AO97" i="95" s="1"/>
  <c r="N96" i="72"/>
  <c r="AP96" i="72" s="1"/>
  <c r="AP55" i="94"/>
  <c r="D6" i="76"/>
  <c r="X109" i="68"/>
  <c r="F103" i="90"/>
  <c r="N96" i="69"/>
  <c r="BJ96" i="69" s="1"/>
  <c r="D6" i="74"/>
  <c r="Y91" i="88"/>
  <c r="T91" i="88" s="1"/>
  <c r="X91" i="88"/>
  <c r="S91" i="88" s="1"/>
  <c r="X184" i="72"/>
  <c r="R184" i="72"/>
  <c r="S187" i="84" s="1"/>
  <c r="AE15" i="71"/>
  <c r="AI15" i="71"/>
  <c r="AJ15" i="71"/>
  <c r="AF21" i="90"/>
  <c r="AF15" i="71"/>
  <c r="AG15" i="71"/>
  <c r="AH15" i="71"/>
  <c r="Y49" i="88"/>
  <c r="T49" i="88" s="1"/>
  <c r="X49" i="88"/>
  <c r="S49" i="88" s="1"/>
  <c r="F203" i="90"/>
  <c r="J199" i="84"/>
  <c r="M197" i="71"/>
  <c r="BO196" i="71" s="1"/>
  <c r="Q196" i="70"/>
  <c r="BO196" i="70" s="1"/>
  <c r="X209" i="68"/>
  <c r="F16" i="76"/>
  <c r="N197" i="95"/>
  <c r="AO197" i="95" s="1"/>
  <c r="N196" i="72"/>
  <c r="AP196" i="72" s="1"/>
  <c r="F16" i="75"/>
  <c r="CR196" i="99"/>
  <c r="N196" i="69"/>
  <c r="BJ196" i="69" s="1"/>
  <c r="F16" i="74"/>
  <c r="AP111" i="94"/>
  <c r="Y209" i="68"/>
  <c r="AP199" i="87"/>
  <c r="Y24" i="88"/>
  <c r="T24" i="88" s="1"/>
  <c r="X24" i="88"/>
  <c r="S24" i="88" s="1"/>
  <c r="X51" i="88"/>
  <c r="S51" i="88" s="1"/>
  <c r="Y51" i="88"/>
  <c r="T51" i="88" s="1"/>
  <c r="R69" i="71"/>
  <c r="Z69" i="71"/>
  <c r="AB69" i="71"/>
  <c r="AA69" i="71"/>
  <c r="AD69" i="71"/>
  <c r="Y69" i="71"/>
  <c r="AC69" i="71"/>
  <c r="X71" i="88"/>
  <c r="S71" i="88" s="1"/>
  <c r="Y71" i="88"/>
  <c r="T71" i="88" s="1"/>
  <c r="AF107" i="90"/>
  <c r="AF101" i="71"/>
  <c r="AI101" i="71"/>
  <c r="AH79" i="71"/>
  <c r="AH101" i="71"/>
  <c r="AJ79" i="71"/>
  <c r="AG79" i="71"/>
  <c r="AE79" i="71"/>
  <c r="AF79" i="71"/>
  <c r="AJ101" i="71"/>
  <c r="AG101" i="71"/>
  <c r="AE101" i="71"/>
  <c r="AI79" i="71"/>
  <c r="AY25" i="71"/>
  <c r="AC159" i="71"/>
  <c r="R159" i="71"/>
  <c r="AA159" i="71"/>
  <c r="AB159" i="71"/>
  <c r="Z159" i="71"/>
  <c r="AD159" i="71"/>
  <c r="Y159" i="71"/>
  <c r="S76" i="84"/>
  <c r="X18" i="84"/>
  <c r="AG22" i="90" s="1"/>
  <c r="AH9" i="71"/>
  <c r="AG9" i="71"/>
  <c r="AJ9" i="71"/>
  <c r="AF15" i="90"/>
  <c r="AI9" i="71"/>
  <c r="AE9" i="71"/>
  <c r="AF9" i="71"/>
  <c r="N144" i="95"/>
  <c r="AO144" i="95" s="1"/>
  <c r="M144" i="71"/>
  <c r="BO143" i="71" s="1"/>
  <c r="N143" i="69"/>
  <c r="BJ143" i="69" s="1"/>
  <c r="J146" i="84"/>
  <c r="F150" i="90"/>
  <c r="AU150" i="90" s="1"/>
  <c r="E8" i="74"/>
  <c r="Q143" i="70"/>
  <c r="BO143" i="70" s="1"/>
  <c r="AP80" i="94"/>
  <c r="E8" i="75"/>
  <c r="CP8" i="75" s="1"/>
  <c r="CR143" i="99"/>
  <c r="X156" i="68"/>
  <c r="N143" i="72"/>
  <c r="AP143" i="72" s="1"/>
  <c r="AP146" i="87"/>
  <c r="E8" i="76"/>
  <c r="Y163" i="71"/>
  <c r="AD163" i="71"/>
  <c r="AC163" i="71"/>
  <c r="AA163" i="71"/>
  <c r="AB163" i="71"/>
  <c r="Z163" i="71"/>
  <c r="R163" i="71"/>
  <c r="X73" i="88"/>
  <c r="S73" i="88" s="1"/>
  <c r="Y73" i="88"/>
  <c r="T73" i="88" s="1"/>
  <c r="Y32" i="88"/>
  <c r="T32" i="88" s="1"/>
  <c r="J61" i="84"/>
  <c r="F65" i="90"/>
  <c r="CR58" i="99"/>
  <c r="C13" i="76"/>
  <c r="C13" i="75"/>
  <c r="AA13" i="75" s="1"/>
  <c r="C13" i="74"/>
  <c r="AP39" i="94"/>
  <c r="N58" i="72"/>
  <c r="AP58" i="72" s="1"/>
  <c r="Y71" i="68"/>
  <c r="Q58" i="70"/>
  <c r="AP61" i="87"/>
  <c r="X71" i="68"/>
  <c r="M59" i="71"/>
  <c r="BO58" i="71" s="1"/>
  <c r="N59" i="95"/>
  <c r="AO59" i="95" s="1"/>
  <c r="N58" i="69"/>
  <c r="BJ58" i="69" s="1"/>
  <c r="S165" i="84"/>
  <c r="Y169" i="90" s="1"/>
  <c r="F58" i="90"/>
  <c r="J54" i="84"/>
  <c r="N52" i="95"/>
  <c r="AO52" i="95" s="1"/>
  <c r="C6" i="74"/>
  <c r="AP54" i="87"/>
  <c r="C6" i="75"/>
  <c r="X64" i="68"/>
  <c r="Q51" i="70"/>
  <c r="BO51" i="70" s="1"/>
  <c r="M52" i="71"/>
  <c r="BO51" i="71" s="1"/>
  <c r="C6" i="76"/>
  <c r="N51" i="69"/>
  <c r="BJ51" i="69" s="1"/>
  <c r="N51" i="72"/>
  <c r="AP51" i="72" s="1"/>
  <c r="CR51" i="99"/>
  <c r="AP32" i="94"/>
  <c r="S41" i="84"/>
  <c r="W43" i="88"/>
  <c r="R43" i="88" s="1"/>
  <c r="X43" i="88"/>
  <c r="S43" i="88" s="1"/>
  <c r="Y18" i="84"/>
  <c r="AH22" i="90" s="1"/>
  <c r="R196" i="71"/>
  <c r="X45" i="88"/>
  <c r="S45" i="88" s="1"/>
  <c r="F159" i="90"/>
  <c r="AU159" i="90" s="1"/>
  <c r="N152" i="69"/>
  <c r="BJ152" i="69" s="1"/>
  <c r="Y165" i="68"/>
  <c r="AI152" i="70" s="1"/>
  <c r="AJ152" i="70" s="1"/>
  <c r="E17" i="74"/>
  <c r="E17" i="76"/>
  <c r="J155" i="84"/>
  <c r="AP89" i="94"/>
  <c r="CR152" i="99"/>
  <c r="E17" i="75"/>
  <c r="N153" i="95"/>
  <c r="AO153" i="95" s="1"/>
  <c r="AP155" i="87"/>
  <c r="Q152" i="70"/>
  <c r="BO152" i="70" s="1"/>
  <c r="M153" i="71"/>
  <c r="BO152" i="71" s="1"/>
  <c r="N152" i="72"/>
  <c r="AP152" i="72" s="1"/>
  <c r="S106" i="90"/>
  <c r="T106" i="90" s="1"/>
  <c r="AF13" i="90"/>
  <c r="X16" i="84"/>
  <c r="AG20" i="90" s="1"/>
  <c r="AA56" i="71"/>
  <c r="Z56" i="71"/>
  <c r="AC56" i="71"/>
  <c r="AB56" i="71"/>
  <c r="Y56" i="71"/>
  <c r="AD56" i="71"/>
  <c r="Q56" i="71"/>
  <c r="AC195" i="71"/>
  <c r="AB195" i="71"/>
  <c r="Q195" i="71"/>
  <c r="Y195" i="71"/>
  <c r="AA195" i="71"/>
  <c r="AD195" i="71"/>
  <c r="Z195" i="71"/>
  <c r="X205" i="68"/>
  <c r="AP107" i="94"/>
  <c r="F12" i="76"/>
  <c r="AP195" i="87"/>
  <c r="Y205" i="68"/>
  <c r="F12" i="74"/>
  <c r="CR192" i="99"/>
  <c r="J195" i="84"/>
  <c r="Q192" i="70"/>
  <c r="BO192" i="70" s="1"/>
  <c r="F12" i="75"/>
  <c r="M193" i="71"/>
  <c r="BO192" i="71" s="1"/>
  <c r="N192" i="72"/>
  <c r="AP192" i="72" s="1"/>
  <c r="F199" i="90"/>
  <c r="N193" i="95"/>
  <c r="AO193" i="95" s="1"/>
  <c r="N192" i="69"/>
  <c r="BJ192" i="69" s="1"/>
  <c r="S225" i="84"/>
  <c r="AC145" i="71"/>
  <c r="Y145" i="71"/>
  <c r="Z145" i="71"/>
  <c r="AB145" i="71"/>
  <c r="AD145" i="71"/>
  <c r="Q145" i="71"/>
  <c r="AA145" i="71"/>
  <c r="R151" i="71"/>
  <c r="Z204" i="71"/>
  <c r="AA204" i="71"/>
  <c r="AD204" i="71"/>
  <c r="Y204" i="71"/>
  <c r="AC204" i="71"/>
  <c r="R204" i="71"/>
  <c r="AB204" i="71"/>
  <c r="Y66" i="71"/>
  <c r="AA66" i="71"/>
  <c r="Z66" i="71"/>
  <c r="AB66" i="71"/>
  <c r="AD66" i="71"/>
  <c r="AC66" i="71"/>
  <c r="R66" i="71"/>
  <c r="Y15" i="84"/>
  <c r="AH19" i="90" s="1"/>
  <c r="S26" i="84"/>
  <c r="W22" i="88"/>
  <c r="R22" i="88" s="1"/>
  <c r="X22" i="88"/>
  <c r="S22" i="88" s="1"/>
  <c r="S68" i="90"/>
  <c r="T68" i="90" s="1"/>
  <c r="N148" i="95"/>
  <c r="AO148" i="95" s="1"/>
  <c r="X160" i="68"/>
  <c r="J150" i="84"/>
  <c r="E12" i="74"/>
  <c r="CR147" i="99"/>
  <c r="F154" i="90"/>
  <c r="E12" i="75"/>
  <c r="AX12" i="75" s="1"/>
  <c r="N147" i="69"/>
  <c r="BJ147" i="69" s="1"/>
  <c r="AP150" i="87"/>
  <c r="E12" i="76"/>
  <c r="M148" i="71"/>
  <c r="BO147" i="71" s="1"/>
  <c r="N147" i="72"/>
  <c r="AP147" i="72" s="1"/>
  <c r="Q147" i="70"/>
  <c r="BO147" i="70" s="1"/>
  <c r="Y160" i="68"/>
  <c r="AP84" i="94"/>
  <c r="AJ78" i="71"/>
  <c r="AI100" i="71"/>
  <c r="AE100" i="71"/>
  <c r="AF106" i="90"/>
  <c r="AI78" i="71"/>
  <c r="AG78" i="71"/>
  <c r="AG100" i="71"/>
  <c r="AH78" i="71"/>
  <c r="AE78" i="71"/>
  <c r="AF78" i="71"/>
  <c r="AH100" i="71"/>
  <c r="AF100" i="71"/>
  <c r="AJ100" i="71"/>
  <c r="X95" i="88"/>
  <c r="S95" i="88" s="1"/>
  <c r="Y95" i="88"/>
  <c r="T95" i="88" s="1"/>
  <c r="S132" i="84"/>
  <c r="S166" i="84"/>
  <c r="R195" i="71"/>
  <c r="AB140" i="71"/>
  <c r="Q140" i="71"/>
  <c r="S140" i="71" s="1"/>
  <c r="AA140" i="71"/>
  <c r="AC140" i="71"/>
  <c r="AD140" i="71"/>
  <c r="Z140" i="71"/>
  <c r="Y140" i="71"/>
  <c r="R165" i="71"/>
  <c r="AA165" i="71"/>
  <c r="AD165" i="71"/>
  <c r="Y165" i="71"/>
  <c r="AC165" i="71"/>
  <c r="AB165" i="71"/>
  <c r="Z165" i="71"/>
  <c r="R150" i="71"/>
  <c r="S157" i="90"/>
  <c r="T157" i="90" s="1"/>
  <c r="S33" i="84"/>
  <c r="AF12" i="90"/>
  <c r="AH101" i="90"/>
  <c r="AM101" i="90" s="1"/>
  <c r="S90" i="84"/>
  <c r="S115" i="84"/>
  <c r="AP88" i="94"/>
  <c r="X164" i="68"/>
  <c r="AB151" i="70" s="1"/>
  <c r="M152" i="71"/>
  <c r="BO151" i="71" s="1"/>
  <c r="E16" i="76"/>
  <c r="Y164" i="68"/>
  <c r="AP154" i="87"/>
  <c r="F158" i="90"/>
  <c r="CR151" i="99"/>
  <c r="N151" i="69"/>
  <c r="BJ151" i="69" s="1"/>
  <c r="E16" i="75"/>
  <c r="EF16" i="75" s="1"/>
  <c r="E16" i="74"/>
  <c r="J154" i="84"/>
  <c r="Q151" i="70"/>
  <c r="BO151" i="70" s="1"/>
  <c r="N152" i="95"/>
  <c r="AO152" i="95" s="1"/>
  <c r="N151" i="72"/>
  <c r="AP151" i="72" s="1"/>
  <c r="AB161" i="71"/>
  <c r="R161" i="71"/>
  <c r="AC161" i="71"/>
  <c r="Z161" i="71"/>
  <c r="Y161" i="71"/>
  <c r="AD161" i="71"/>
  <c r="AA161" i="71"/>
  <c r="S83" i="84"/>
  <c r="AP200" i="87"/>
  <c r="F17" i="75"/>
  <c r="AD17" i="75" s="1"/>
  <c r="F204" i="90"/>
  <c r="AU204" i="90" s="1"/>
  <c r="Y210" i="68"/>
  <c r="J200" i="84"/>
  <c r="F17" i="76"/>
  <c r="M198" i="71"/>
  <c r="BO197" i="71" s="1"/>
  <c r="N197" i="72"/>
  <c r="AP197" i="72" s="1"/>
  <c r="N198" i="95"/>
  <c r="AO198" i="95" s="1"/>
  <c r="F17" i="74"/>
  <c r="N197" i="69"/>
  <c r="BJ197" i="69" s="1"/>
  <c r="Q197" i="70"/>
  <c r="BO197" i="70" s="1"/>
  <c r="AP112" i="94"/>
  <c r="CR197" i="99"/>
  <c r="S121" i="84"/>
  <c r="S45" i="84"/>
  <c r="W94" i="70"/>
  <c r="AE18" i="71"/>
  <c r="AI18" i="71"/>
  <c r="AJ18" i="71"/>
  <c r="AF24" i="90"/>
  <c r="AG18" i="71"/>
  <c r="AF18" i="71"/>
  <c r="AH18" i="71"/>
  <c r="W4" i="70"/>
  <c r="AP37" i="94"/>
  <c r="N56" i="72"/>
  <c r="AP56" i="72" s="1"/>
  <c r="Q56" i="70"/>
  <c r="BO56" i="70" s="1"/>
  <c r="C11" i="74"/>
  <c r="F63" i="90"/>
  <c r="C11" i="75"/>
  <c r="M57" i="71"/>
  <c r="BO56" i="71" s="1"/>
  <c r="J59" i="84"/>
  <c r="N57" i="95"/>
  <c r="AO57" i="95" s="1"/>
  <c r="N56" i="69"/>
  <c r="BJ56" i="69" s="1"/>
  <c r="X69" i="68"/>
  <c r="C11" i="76"/>
  <c r="AP59" i="87"/>
  <c r="Y69" i="68"/>
  <c r="CR56" i="99"/>
  <c r="Z146" i="71"/>
  <c r="AA146" i="71"/>
  <c r="Y146" i="71"/>
  <c r="Q146" i="71"/>
  <c r="AB146" i="71"/>
  <c r="AD146" i="71"/>
  <c r="AC146" i="71"/>
  <c r="S81" i="84"/>
  <c r="Y21" i="84"/>
  <c r="AH25" i="90" s="1"/>
  <c r="S202" i="90"/>
  <c r="T202" i="90" s="1"/>
  <c r="V17" i="88"/>
  <c r="Q17" i="88" s="1"/>
  <c r="W17" i="88"/>
  <c r="R17" i="88" s="1"/>
  <c r="Y30" i="88"/>
  <c r="T30" i="88" s="1"/>
  <c r="S119" i="84"/>
  <c r="X23" i="88"/>
  <c r="S23" i="88" s="1"/>
  <c r="S89" i="84"/>
  <c r="S124" i="84"/>
  <c r="S67" i="90"/>
  <c r="T67" i="90" s="1"/>
  <c r="AH146" i="90"/>
  <c r="AM146" i="90" s="1"/>
  <c r="S107" i="90"/>
  <c r="T107" i="90" s="1"/>
  <c r="CR146" i="99"/>
  <c r="N146" i="72"/>
  <c r="AP146" i="72" s="1"/>
  <c r="X159" i="68"/>
  <c r="F153" i="90"/>
  <c r="E11" i="74"/>
  <c r="AP83" i="94"/>
  <c r="E11" i="76"/>
  <c r="AP149" i="87"/>
  <c r="N146" i="69"/>
  <c r="BJ146" i="69" s="1"/>
  <c r="N147" i="95"/>
  <c r="AO147" i="95" s="1"/>
  <c r="Y159" i="68"/>
  <c r="Q146" i="70"/>
  <c r="BO146" i="70" s="1"/>
  <c r="M147" i="71"/>
  <c r="BO146" i="71" s="1"/>
  <c r="J149" i="84"/>
  <c r="E11" i="75"/>
  <c r="Y98" i="88"/>
  <c r="T98" i="88" s="1"/>
  <c r="R61" i="71"/>
  <c r="S208" i="84"/>
  <c r="AD206" i="71"/>
  <c r="R206" i="71"/>
  <c r="AA206" i="71"/>
  <c r="Y206" i="71"/>
  <c r="AC206" i="71"/>
  <c r="Z206" i="71"/>
  <c r="AB206" i="71"/>
  <c r="S175" i="84"/>
  <c r="AY22" i="71"/>
  <c r="AA5" i="71"/>
  <c r="P5" i="71"/>
  <c r="Z5" i="71"/>
  <c r="AC5" i="71"/>
  <c r="AB5" i="71"/>
  <c r="AD5" i="71"/>
  <c r="Y5" i="71"/>
  <c r="S211" i="84"/>
  <c r="Y122" i="88"/>
  <c r="T122" i="88" s="1"/>
  <c r="S34" i="84"/>
  <c r="X70" i="88"/>
  <c r="S70" i="88" s="1"/>
  <c r="Y70" i="88"/>
  <c r="T70" i="88" s="1"/>
  <c r="Y26" i="88"/>
  <c r="T26" i="88" s="1"/>
  <c r="X26" i="88"/>
  <c r="S26" i="88" s="1"/>
  <c r="S179" i="84"/>
  <c r="S79" i="84"/>
  <c r="S42" i="84"/>
  <c r="AG25" i="90"/>
  <c r="S11" i="90"/>
  <c r="T11" i="90" s="1"/>
  <c r="U11" i="90" s="1"/>
  <c r="V11" i="90" s="1"/>
  <c r="S88" i="84"/>
  <c r="X66" i="88"/>
  <c r="S66" i="88" s="1"/>
  <c r="W66" i="88"/>
  <c r="R66" i="88" s="1"/>
  <c r="S170" i="84"/>
  <c r="S224" i="84"/>
  <c r="Y94" i="88"/>
  <c r="T94" i="88" s="1"/>
  <c r="X94" i="88"/>
  <c r="S94" i="88" s="1"/>
  <c r="AH16" i="90"/>
  <c r="AM16" i="90" s="1"/>
  <c r="S112" i="90"/>
  <c r="T112" i="90" s="1"/>
  <c r="AH151" i="90"/>
  <c r="AM151" i="90" s="1"/>
  <c r="Y55" i="88"/>
  <c r="T55" i="88" s="1"/>
  <c r="S82" i="84"/>
  <c r="AH13" i="90"/>
  <c r="AM13" i="90" s="1"/>
  <c r="X9" i="84"/>
  <c r="AG13" i="90" s="1"/>
  <c r="X8" i="84"/>
  <c r="AG12" i="90" s="1"/>
  <c r="AD95" i="71"/>
  <c r="AA95" i="71"/>
  <c r="Y95" i="71"/>
  <c r="AB95" i="71"/>
  <c r="Z95" i="71"/>
  <c r="AC95" i="71"/>
  <c r="P95" i="71"/>
  <c r="S161" i="84"/>
  <c r="Z111" i="71"/>
  <c r="AA111" i="71"/>
  <c r="AC111" i="71"/>
  <c r="R111" i="71"/>
  <c r="AD111" i="71"/>
  <c r="AB111" i="71"/>
  <c r="Y111" i="71"/>
  <c r="S195" i="90"/>
  <c r="T195" i="90" s="1"/>
  <c r="X96" i="88"/>
  <c r="S96" i="88" s="1"/>
  <c r="Y96" i="88"/>
  <c r="T96" i="88" s="1"/>
  <c r="W42" i="88"/>
  <c r="R42" i="88" s="1"/>
  <c r="X42" i="88"/>
  <c r="S42" i="88" s="1"/>
  <c r="AH191" i="90"/>
  <c r="AM191" i="90" s="1"/>
  <c r="AH11" i="90"/>
  <c r="AM11" i="90" s="1"/>
  <c r="AB101" i="71"/>
  <c r="AC101" i="71"/>
  <c r="Z101" i="71"/>
  <c r="AA101" i="71"/>
  <c r="AD101" i="71"/>
  <c r="Q101" i="71"/>
  <c r="Y101" i="71"/>
  <c r="Y50" i="71"/>
  <c r="AB50" i="71"/>
  <c r="AD50" i="71"/>
  <c r="Z50" i="71"/>
  <c r="AC50" i="71"/>
  <c r="P50" i="71"/>
  <c r="AA50" i="71"/>
  <c r="S133" i="84"/>
  <c r="S73" i="84"/>
  <c r="S215" i="84"/>
  <c r="S32" i="84"/>
  <c r="Q50" i="71"/>
  <c r="S178" i="84"/>
  <c r="AD208" i="71"/>
  <c r="Z208" i="71"/>
  <c r="AA208" i="71"/>
  <c r="AB208" i="71"/>
  <c r="R208" i="71"/>
  <c r="AC208" i="71"/>
  <c r="Y208" i="71"/>
  <c r="F57" i="90"/>
  <c r="AU57" i="90" s="1"/>
  <c r="N50" i="69"/>
  <c r="BJ50" i="69" s="1"/>
  <c r="N50" i="72"/>
  <c r="AP50" i="72" s="1"/>
  <c r="M51" i="71"/>
  <c r="BO50" i="71" s="1"/>
  <c r="C5" i="74"/>
  <c r="C5" i="75"/>
  <c r="X63" i="68"/>
  <c r="N51" i="95"/>
  <c r="AO51" i="95" s="1"/>
  <c r="CR50" i="99"/>
  <c r="AP31" i="94"/>
  <c r="AP53" i="87"/>
  <c r="Q50" i="70"/>
  <c r="BO50" i="70" s="1"/>
  <c r="C5" i="76"/>
  <c r="J53" i="84"/>
  <c r="S216" i="84"/>
  <c r="AA202" i="71"/>
  <c r="AB202" i="71"/>
  <c r="Y202" i="71"/>
  <c r="AC202" i="71"/>
  <c r="R202" i="71"/>
  <c r="Z202" i="71"/>
  <c r="AD202" i="71"/>
  <c r="S78" i="84"/>
  <c r="AG24" i="90"/>
  <c r="AP66" i="87"/>
  <c r="AP44" i="94"/>
  <c r="C18" i="75"/>
  <c r="F70" i="90"/>
  <c r="N64" i="95"/>
  <c r="AO64" i="95" s="1"/>
  <c r="N63" i="72"/>
  <c r="AP63" i="72" s="1"/>
  <c r="J66" i="84"/>
  <c r="N63" i="69"/>
  <c r="BJ63" i="69" s="1"/>
  <c r="C18" i="74"/>
  <c r="CR63" i="99"/>
  <c r="Q63" i="70"/>
  <c r="BO63" i="70" s="1"/>
  <c r="C18" i="76"/>
  <c r="M64" i="71"/>
  <c r="BO63" i="71" s="1"/>
  <c r="Y76" i="68"/>
  <c r="AA156" i="71"/>
  <c r="Y156" i="71"/>
  <c r="R156" i="71"/>
  <c r="AD156" i="71"/>
  <c r="AB156" i="71"/>
  <c r="AC156" i="71"/>
  <c r="Z156" i="71"/>
  <c r="Q95" i="71"/>
  <c r="S177" i="84"/>
  <c r="S75" i="84"/>
  <c r="Y20" i="84"/>
  <c r="AH24" i="90" s="1"/>
  <c r="N65" i="95"/>
  <c r="AO65" i="95" s="1"/>
  <c r="C19" i="75"/>
  <c r="CR64" i="99"/>
  <c r="N64" i="72"/>
  <c r="AP64" i="72" s="1"/>
  <c r="Q64" i="70"/>
  <c r="BO64" i="70" s="1"/>
  <c r="M65" i="71"/>
  <c r="BO64" i="71" s="1"/>
  <c r="Y77" i="68"/>
  <c r="AP67" i="87"/>
  <c r="C19" i="76"/>
  <c r="AP45" i="94"/>
  <c r="N64" i="69"/>
  <c r="BJ64" i="69" s="1"/>
  <c r="J67" i="84"/>
  <c r="F71" i="90"/>
  <c r="C19" i="74"/>
  <c r="AA207" i="71"/>
  <c r="AD207" i="71"/>
  <c r="AC207" i="71"/>
  <c r="AB207" i="71"/>
  <c r="Z207" i="71"/>
  <c r="R207" i="71"/>
  <c r="Y207" i="71"/>
  <c r="W86" i="88"/>
  <c r="R86" i="88" s="1"/>
  <c r="X86" i="88"/>
  <c r="S86" i="88" s="1"/>
  <c r="V86" i="88"/>
  <c r="Q86" i="88" s="1"/>
  <c r="Y86" i="88"/>
  <c r="T86" i="88" s="1"/>
  <c r="X67" i="88"/>
  <c r="S67" i="88" s="1"/>
  <c r="S84" i="84"/>
  <c r="AA210" i="71"/>
  <c r="Y210" i="71"/>
  <c r="AC210" i="71"/>
  <c r="AB210" i="71"/>
  <c r="AD210" i="71"/>
  <c r="Z210" i="71"/>
  <c r="R210" i="71"/>
  <c r="S180" i="84"/>
  <c r="Y77" i="88"/>
  <c r="T77" i="88" s="1"/>
  <c r="CR148" i="99"/>
  <c r="E13" i="76"/>
  <c r="X161" i="68"/>
  <c r="E13" i="74"/>
  <c r="N149" i="95"/>
  <c r="AO149" i="95" s="1"/>
  <c r="E13" i="75"/>
  <c r="Y161" i="68"/>
  <c r="AP85" i="94"/>
  <c r="M149" i="71"/>
  <c r="BO148" i="71" s="1"/>
  <c r="Q148" i="70"/>
  <c r="N148" i="72"/>
  <c r="AP148" i="72" s="1"/>
  <c r="J151" i="84"/>
  <c r="F155" i="90"/>
  <c r="N148" i="69"/>
  <c r="BJ148" i="69" s="1"/>
  <c r="AP151" i="87"/>
  <c r="Y72" i="88"/>
  <c r="T72" i="88" s="1"/>
  <c r="X72" i="88"/>
  <c r="S72" i="88" s="1"/>
  <c r="X40" i="88"/>
  <c r="S40" i="88" s="1"/>
  <c r="W40" i="88"/>
  <c r="R40" i="88" s="1"/>
  <c r="V40" i="88"/>
  <c r="Q40" i="88" s="1"/>
  <c r="Y14" i="84"/>
  <c r="AH18" i="90" s="1"/>
  <c r="AA120" i="71"/>
  <c r="AB120" i="71"/>
  <c r="AC120" i="71"/>
  <c r="AD120" i="71"/>
  <c r="Z120" i="71"/>
  <c r="Y120" i="71"/>
  <c r="R120" i="71"/>
  <c r="X88" i="88"/>
  <c r="S88" i="88" s="1"/>
  <c r="Y88" i="88"/>
  <c r="T88" i="88" s="1"/>
  <c r="W88" i="88"/>
  <c r="R88" i="88" s="1"/>
  <c r="Y19" i="84"/>
  <c r="AH23" i="90" s="1"/>
  <c r="AE56" i="71"/>
  <c r="AH34" i="71"/>
  <c r="AI56" i="71"/>
  <c r="AH56" i="71"/>
  <c r="AJ34" i="71"/>
  <c r="AJ56" i="71"/>
  <c r="AE34" i="71"/>
  <c r="AF34" i="71"/>
  <c r="AF56" i="71"/>
  <c r="AG34" i="71"/>
  <c r="AF62" i="90"/>
  <c r="AI34" i="71"/>
  <c r="AG56" i="71"/>
  <c r="X139" i="72"/>
  <c r="R139" i="72"/>
  <c r="S142" i="84" s="1"/>
  <c r="S87" i="84"/>
  <c r="Y101" i="88"/>
  <c r="D102" i="88"/>
  <c r="S43" i="84"/>
  <c r="S128" i="84"/>
  <c r="AF14" i="90"/>
  <c r="AI8" i="71"/>
  <c r="AH8" i="71"/>
  <c r="AJ8" i="71"/>
  <c r="AF8" i="71"/>
  <c r="AG8" i="71"/>
  <c r="AE8" i="71"/>
  <c r="AH61" i="90"/>
  <c r="AM61" i="90" s="1"/>
  <c r="AD158" i="71"/>
  <c r="Z158" i="71"/>
  <c r="AA158" i="71"/>
  <c r="Y158" i="71"/>
  <c r="R158" i="71"/>
  <c r="AC158" i="71"/>
  <c r="AB158" i="71"/>
  <c r="S219" i="84"/>
  <c r="X117" i="88"/>
  <c r="S117" i="88" s="1"/>
  <c r="Y117" i="88"/>
  <c r="T117" i="88" s="1"/>
  <c r="S35" i="84"/>
  <c r="F7" i="75"/>
  <c r="M188" i="71"/>
  <c r="BO187" i="71" s="1"/>
  <c r="F7" i="76"/>
  <c r="J190" i="84"/>
  <c r="N187" i="72"/>
  <c r="AP187" i="72" s="1"/>
  <c r="AP190" i="87"/>
  <c r="CR187" i="99"/>
  <c r="AP102" i="94"/>
  <c r="N187" i="69"/>
  <c r="BJ187" i="69" s="1"/>
  <c r="F194" i="90"/>
  <c r="AU194" i="90" s="1"/>
  <c r="F7" i="74"/>
  <c r="Q187" i="70"/>
  <c r="BO187" i="70" s="1"/>
  <c r="N188" i="95"/>
  <c r="AO188" i="95" s="1"/>
  <c r="X200" i="68"/>
  <c r="Y27" i="88"/>
  <c r="T27" i="88" s="1"/>
  <c r="X27" i="88"/>
  <c r="S27" i="88" s="1"/>
  <c r="Y76" i="84"/>
  <c r="AH80" i="90" s="1"/>
  <c r="S214" i="84"/>
  <c r="Y218" i="90" s="1"/>
  <c r="AI12" i="71"/>
  <c r="AJ12" i="71"/>
  <c r="AG12" i="71"/>
  <c r="AH12" i="71"/>
  <c r="AE12" i="71"/>
  <c r="AF12" i="71"/>
  <c r="AF18" i="90"/>
  <c r="Y22" i="84"/>
  <c r="AH26" i="90" s="1"/>
  <c r="S221" i="84"/>
  <c r="Z150" i="71"/>
  <c r="Y150" i="71"/>
  <c r="Q150" i="71"/>
  <c r="AA150" i="71"/>
  <c r="AC150" i="71"/>
  <c r="AD150" i="71"/>
  <c r="AB150" i="71"/>
  <c r="S176" i="84"/>
  <c r="S160" i="84"/>
  <c r="AB114" i="71"/>
  <c r="AD114" i="71"/>
  <c r="AC114" i="71"/>
  <c r="Y114" i="71"/>
  <c r="AA114" i="71"/>
  <c r="Z114" i="71"/>
  <c r="R114" i="71"/>
  <c r="S123" i="84"/>
  <c r="AH123" i="84" s="1"/>
  <c r="X50" i="88"/>
  <c r="S50" i="88" s="1"/>
  <c r="Y50" i="88"/>
  <c r="T50" i="88" s="1"/>
  <c r="S204" i="84"/>
  <c r="Y110" i="88"/>
  <c r="T110" i="88" s="1"/>
  <c r="W110" i="88"/>
  <c r="R110" i="88" s="1"/>
  <c r="X110" i="88"/>
  <c r="S110" i="88" s="1"/>
  <c r="Z190" i="71"/>
  <c r="AD190" i="71"/>
  <c r="AC190" i="71"/>
  <c r="AB190" i="71"/>
  <c r="Q190" i="71"/>
  <c r="Y190" i="71"/>
  <c r="AA190" i="71"/>
  <c r="R49" i="72"/>
  <c r="S52" i="84" s="1"/>
  <c r="Y56" i="90" s="1"/>
  <c r="X49" i="72"/>
  <c r="AI17" i="71"/>
  <c r="AE17" i="71"/>
  <c r="AJ17" i="71"/>
  <c r="AH17" i="71"/>
  <c r="AF17" i="71"/>
  <c r="AF23" i="90"/>
  <c r="AG17" i="71"/>
  <c r="X25" i="88"/>
  <c r="S25" i="88" s="1"/>
  <c r="Y25" i="88"/>
  <c r="T25" i="88" s="1"/>
  <c r="Y121" i="88"/>
  <c r="T121" i="88" s="1"/>
  <c r="X118" i="88"/>
  <c r="S118" i="88" s="1"/>
  <c r="Y118" i="88"/>
  <c r="T118" i="88" s="1"/>
  <c r="R62" i="71"/>
  <c r="Y75" i="84"/>
  <c r="AH79" i="90" s="1"/>
  <c r="Y16" i="84"/>
  <c r="AH20" i="90" s="1"/>
  <c r="Y112" i="88"/>
  <c r="T112" i="88" s="1"/>
  <c r="X112" i="88"/>
  <c r="S112" i="88" s="1"/>
  <c r="S159" i="84"/>
  <c r="S25" i="84"/>
  <c r="AY24" i="71"/>
  <c r="Z160" i="71"/>
  <c r="AB160" i="71"/>
  <c r="Y160" i="71"/>
  <c r="AD160" i="71"/>
  <c r="AC160" i="71"/>
  <c r="R160" i="71"/>
  <c r="AA160" i="71"/>
  <c r="S129" i="84"/>
  <c r="S118" i="84"/>
  <c r="Z118" i="71"/>
  <c r="R118" i="71"/>
  <c r="AD118" i="71"/>
  <c r="AC118" i="71"/>
  <c r="Y118" i="71"/>
  <c r="AB118" i="71"/>
  <c r="AA118" i="71"/>
  <c r="S37" i="84"/>
  <c r="S158" i="84"/>
  <c r="AH12" i="90"/>
  <c r="AM12" i="90" s="1"/>
  <c r="Y119" i="71"/>
  <c r="Z119" i="71"/>
  <c r="AC119" i="71"/>
  <c r="AB119" i="71"/>
  <c r="AD119" i="71"/>
  <c r="R119" i="71"/>
  <c r="AA119" i="71"/>
  <c r="Y123" i="88"/>
  <c r="T123" i="88" s="1"/>
  <c r="S126" i="84"/>
  <c r="S62" i="90"/>
  <c r="T62" i="90" s="1"/>
  <c r="S167" i="84"/>
  <c r="S101" i="90"/>
  <c r="T101" i="90" s="1"/>
  <c r="U101" i="90" s="1"/>
  <c r="V101" i="90" s="1"/>
  <c r="AH11" i="71"/>
  <c r="AJ11" i="71"/>
  <c r="AI11" i="71"/>
  <c r="AF11" i="71"/>
  <c r="AF17" i="90"/>
  <c r="AE11" i="71"/>
  <c r="AG11" i="71"/>
  <c r="AH152" i="90"/>
  <c r="AM152" i="90" s="1"/>
  <c r="Y17" i="84"/>
  <c r="AH21" i="90" s="1"/>
  <c r="S146" i="90"/>
  <c r="T146" i="90" s="1"/>
  <c r="P139" i="72"/>
  <c r="Q142" i="84" s="1"/>
  <c r="AF142" i="84" s="1"/>
  <c r="V139" i="72"/>
  <c r="S168" i="84"/>
  <c r="X89" i="88"/>
  <c r="S89" i="88" s="1"/>
  <c r="Y89" i="88"/>
  <c r="T89" i="88" s="1"/>
  <c r="N59" i="69"/>
  <c r="BJ59" i="69" s="1"/>
  <c r="Q59" i="70"/>
  <c r="BO59" i="70" s="1"/>
  <c r="J62" i="84"/>
  <c r="M60" i="71"/>
  <c r="BO59" i="71" s="1"/>
  <c r="C14" i="74"/>
  <c r="AP62" i="87"/>
  <c r="C14" i="75"/>
  <c r="CN14" i="75" s="1"/>
  <c r="N59" i="72"/>
  <c r="AP59" i="72" s="1"/>
  <c r="CR59" i="99"/>
  <c r="Y72" i="68"/>
  <c r="C14" i="76"/>
  <c r="N60" i="95"/>
  <c r="AO60" i="95" s="1"/>
  <c r="AP40" i="94"/>
  <c r="X72" i="68"/>
  <c r="F66" i="90"/>
  <c r="AU66" i="90" s="1"/>
  <c r="S203" i="84"/>
  <c r="S201" i="90"/>
  <c r="T201" i="90" s="1"/>
  <c r="Y33" i="88"/>
  <c r="T33" i="88" s="1"/>
  <c r="AA205" i="71"/>
  <c r="Y205" i="71"/>
  <c r="R205" i="71"/>
  <c r="Z205" i="71"/>
  <c r="AC205" i="71"/>
  <c r="AD205" i="71"/>
  <c r="AB205" i="71"/>
  <c r="Z68" i="71"/>
  <c r="AA68" i="71"/>
  <c r="AB68" i="71"/>
  <c r="AD68" i="71"/>
  <c r="AC68" i="71"/>
  <c r="Y68" i="71"/>
  <c r="R68" i="71"/>
  <c r="Y77" i="84"/>
  <c r="AH81" i="90" s="1"/>
  <c r="S116" i="84"/>
  <c r="Y116" i="88"/>
  <c r="T116" i="88" s="1"/>
  <c r="X116" i="88"/>
  <c r="S116" i="88" s="1"/>
  <c r="Y124" i="88"/>
  <c r="T124" i="88" s="1"/>
  <c r="C8" i="76"/>
  <c r="M54" i="71"/>
  <c r="BO53" i="71" s="1"/>
  <c r="AP34" i="94"/>
  <c r="C8" i="74"/>
  <c r="C8" i="75"/>
  <c r="CR53" i="99"/>
  <c r="AP56" i="87"/>
  <c r="N54" i="95"/>
  <c r="AO54" i="95" s="1"/>
  <c r="J56" i="84"/>
  <c r="Q53" i="70"/>
  <c r="BO53" i="70" s="1"/>
  <c r="X66" i="68"/>
  <c r="AB53" i="70" s="1"/>
  <c r="AD53" i="70" s="1"/>
  <c r="F60" i="90"/>
  <c r="N53" i="72"/>
  <c r="AP53" i="72" s="1"/>
  <c r="N53" i="69"/>
  <c r="BJ53" i="69" s="1"/>
  <c r="S44" i="84"/>
  <c r="Z196" i="71"/>
  <c r="Q196" i="71"/>
  <c r="Y196" i="71"/>
  <c r="AB196" i="71"/>
  <c r="AC196" i="71"/>
  <c r="AA196" i="71"/>
  <c r="AD196" i="71"/>
  <c r="AG26" i="90"/>
  <c r="AH107" i="90"/>
  <c r="AM107" i="90" s="1"/>
  <c r="AF55" i="71"/>
  <c r="AE55" i="71"/>
  <c r="AF33" i="71"/>
  <c r="AJ33" i="71"/>
  <c r="AI33" i="71"/>
  <c r="AG33" i="71"/>
  <c r="AH55" i="71"/>
  <c r="AF61" i="90"/>
  <c r="AG55" i="71"/>
  <c r="AJ55" i="71"/>
  <c r="AE33" i="71"/>
  <c r="AI55" i="71"/>
  <c r="AH33" i="71"/>
  <c r="Q104" i="71"/>
  <c r="Y104" i="71"/>
  <c r="AB104" i="71"/>
  <c r="AC104" i="71"/>
  <c r="AA104" i="71"/>
  <c r="Z104" i="71"/>
  <c r="AD104" i="71"/>
  <c r="AP55" i="87"/>
  <c r="N52" i="72"/>
  <c r="AP52" i="72" s="1"/>
  <c r="F59" i="90"/>
  <c r="C7" i="75"/>
  <c r="N53" i="95"/>
  <c r="AO53" i="95" s="1"/>
  <c r="AP33" i="94"/>
  <c r="Q52" i="70"/>
  <c r="BO52" i="70" s="1"/>
  <c r="CR52" i="99"/>
  <c r="N52" i="69"/>
  <c r="BJ52" i="69" s="1"/>
  <c r="C7" i="76"/>
  <c r="C7" i="74"/>
  <c r="M53" i="71"/>
  <c r="BO52" i="71" s="1"/>
  <c r="X65" i="68"/>
  <c r="J55" i="84"/>
  <c r="AJ123" i="71"/>
  <c r="AI145" i="71"/>
  <c r="AE145" i="71"/>
  <c r="AI123" i="71"/>
  <c r="AF145" i="71"/>
  <c r="AJ145" i="71"/>
  <c r="AF151" i="90"/>
  <c r="AE123" i="71"/>
  <c r="AG123" i="71"/>
  <c r="AH145" i="71"/>
  <c r="AG145" i="71"/>
  <c r="AF123" i="71"/>
  <c r="AH123" i="71"/>
  <c r="S113" i="84"/>
  <c r="W21" i="88"/>
  <c r="R21" i="88" s="1"/>
  <c r="X21" i="88"/>
  <c r="S21" i="88" s="1"/>
  <c r="S38" i="84"/>
  <c r="N102" i="72"/>
  <c r="AP102" i="72" s="1"/>
  <c r="N103" i="95"/>
  <c r="AO103" i="95" s="1"/>
  <c r="X115" i="68"/>
  <c r="AP105" i="87"/>
  <c r="J105" i="84"/>
  <c r="F109" i="90"/>
  <c r="AP61" i="94"/>
  <c r="D12" i="74"/>
  <c r="Q102" i="70"/>
  <c r="BO102" i="70" s="1"/>
  <c r="Y115" i="68"/>
  <c r="D12" i="75"/>
  <c r="M103" i="71"/>
  <c r="BO102" i="71" s="1"/>
  <c r="N102" i="69"/>
  <c r="BJ102" i="69" s="1"/>
  <c r="D12" i="76"/>
  <c r="CR102" i="99"/>
  <c r="M199" i="71"/>
  <c r="BO198" i="71" s="1"/>
  <c r="N198" i="72"/>
  <c r="AP198" i="72" s="1"/>
  <c r="F18" i="76"/>
  <c r="F18" i="75"/>
  <c r="AP113" i="94"/>
  <c r="J201" i="84"/>
  <c r="CR198" i="99"/>
  <c r="AP201" i="87"/>
  <c r="Q198" i="70"/>
  <c r="BO198" i="70" s="1"/>
  <c r="Y211" i="68"/>
  <c r="F18" i="74"/>
  <c r="N199" i="95"/>
  <c r="AO199" i="95" s="1"/>
  <c r="F205" i="90"/>
  <c r="AU205" i="90" s="1"/>
  <c r="N198" i="69"/>
  <c r="BJ198" i="69" s="1"/>
  <c r="R117" i="71"/>
  <c r="AB117" i="71"/>
  <c r="Y117" i="71"/>
  <c r="AA117" i="71"/>
  <c r="AC117" i="71"/>
  <c r="AD117" i="71"/>
  <c r="Z117" i="71"/>
  <c r="S61" i="90"/>
  <c r="T61" i="90" s="1"/>
  <c r="X115" i="88"/>
  <c r="S115" i="88" s="1"/>
  <c r="Y115" i="88"/>
  <c r="T115" i="88" s="1"/>
  <c r="Y125" i="88"/>
  <c r="T125" i="88" s="1"/>
  <c r="S80" i="84"/>
  <c r="AY23" i="71"/>
  <c r="X153" i="68"/>
  <c r="E5" i="75"/>
  <c r="E5" i="74"/>
  <c r="N140" i="72"/>
  <c r="AP140" i="72" s="1"/>
  <c r="J143" i="84"/>
  <c r="CR140" i="99"/>
  <c r="N141" i="95"/>
  <c r="AO141" i="95" s="1"/>
  <c r="M141" i="71"/>
  <c r="BO140" i="71" s="1"/>
  <c r="AP77" i="94"/>
  <c r="E5" i="76"/>
  <c r="AP143" i="87"/>
  <c r="Q140" i="70"/>
  <c r="BO140" i="70" s="1"/>
  <c r="N140" i="69"/>
  <c r="BJ140" i="69" s="1"/>
  <c r="F147" i="90"/>
  <c r="AU147" i="90" s="1"/>
  <c r="X46" i="88"/>
  <c r="S46" i="88" s="1"/>
  <c r="AF68" i="90"/>
  <c r="AH40" i="71"/>
  <c r="AJ40" i="71"/>
  <c r="AI62" i="71"/>
  <c r="AJ62" i="71"/>
  <c r="AI40" i="71"/>
  <c r="AF62" i="71"/>
  <c r="AE40" i="71"/>
  <c r="AF40" i="71"/>
  <c r="AH62" i="71"/>
  <c r="AG62" i="71"/>
  <c r="AE62" i="71"/>
  <c r="AG40" i="71"/>
  <c r="R4" i="72"/>
  <c r="S7" i="84" s="1"/>
  <c r="X4" i="72"/>
  <c r="S117" i="84"/>
  <c r="S30" i="84"/>
  <c r="Q5" i="71"/>
  <c r="S5" i="71" s="1"/>
  <c r="X10" i="84"/>
  <c r="AG14" i="90" s="1"/>
  <c r="AD157" i="71"/>
  <c r="Y157" i="71"/>
  <c r="AA157" i="71"/>
  <c r="Z157" i="71"/>
  <c r="R157" i="71"/>
  <c r="AB157" i="71"/>
  <c r="AC157" i="71"/>
  <c r="Z189" i="71"/>
  <c r="AD189" i="71"/>
  <c r="AC189" i="71"/>
  <c r="AB189" i="71"/>
  <c r="AA189" i="71"/>
  <c r="Q189" i="71"/>
  <c r="Y189" i="71"/>
  <c r="J60" i="84"/>
  <c r="AP38" i="94"/>
  <c r="CR57" i="99"/>
  <c r="F64" i="90"/>
  <c r="AU64" i="90" s="1"/>
  <c r="N57" i="69"/>
  <c r="BJ57" i="69" s="1"/>
  <c r="C12" i="76"/>
  <c r="C12" i="74"/>
  <c r="AP60" i="87"/>
  <c r="C12" i="75"/>
  <c r="M58" i="71"/>
  <c r="BO57" i="71" s="1"/>
  <c r="N57" i="72"/>
  <c r="AP57" i="72" s="1"/>
  <c r="Y70" i="68"/>
  <c r="X70" i="68"/>
  <c r="AH57" i="70" s="1"/>
  <c r="Q57" i="70"/>
  <c r="BO57" i="70" s="1"/>
  <c r="N58" i="95"/>
  <c r="AO58" i="95" s="1"/>
  <c r="X14" i="84"/>
  <c r="AG18" i="90" s="1"/>
  <c r="S70" i="84"/>
  <c r="Y113" i="88"/>
  <c r="T113" i="88" s="1"/>
  <c r="X113" i="88"/>
  <c r="S113" i="88" s="1"/>
  <c r="AH17" i="90"/>
  <c r="AM17" i="90" s="1"/>
  <c r="Y53" i="88"/>
  <c r="T53" i="88" s="1"/>
  <c r="M105" i="71"/>
  <c r="BO104" i="71" s="1"/>
  <c r="CR104" i="99"/>
  <c r="N104" i="72"/>
  <c r="AP104" i="72" s="1"/>
  <c r="AP107" i="87"/>
  <c r="D14" i="76"/>
  <c r="D14" i="74"/>
  <c r="N105" i="95"/>
  <c r="AO105" i="95" s="1"/>
  <c r="N104" i="69"/>
  <c r="BJ104" i="69" s="1"/>
  <c r="D14" i="75"/>
  <c r="X117" i="68"/>
  <c r="AP63" i="94"/>
  <c r="F111" i="90"/>
  <c r="AU111" i="90" s="1"/>
  <c r="Q104" i="70"/>
  <c r="BO104" i="70" s="1"/>
  <c r="Y117" i="68"/>
  <c r="AO104" i="70" s="1"/>
  <c r="J107" i="84"/>
  <c r="AJ140" i="71"/>
  <c r="AG118" i="71"/>
  <c r="AE140" i="71"/>
  <c r="AI118" i="71"/>
  <c r="AG140" i="71"/>
  <c r="AE118" i="71"/>
  <c r="AF140" i="71"/>
  <c r="AI140" i="71"/>
  <c r="AJ118" i="71"/>
  <c r="AH118" i="71"/>
  <c r="AF118" i="71"/>
  <c r="AF146" i="90"/>
  <c r="AH140" i="71"/>
  <c r="P184" i="72"/>
  <c r="Q187" i="84" s="1"/>
  <c r="AF187" i="84" s="1"/>
  <c r="V184" i="72"/>
  <c r="S191" i="90"/>
  <c r="T191" i="90" s="1"/>
  <c r="U191" i="90" s="1"/>
  <c r="V191" i="90" s="1"/>
  <c r="AA113" i="71"/>
  <c r="AC113" i="71"/>
  <c r="AD113" i="71"/>
  <c r="AB113" i="71"/>
  <c r="R113" i="71"/>
  <c r="Y113" i="71"/>
  <c r="Z113" i="71"/>
  <c r="S127" i="84"/>
  <c r="W64" i="88"/>
  <c r="R64" i="88" s="1"/>
  <c r="X64" i="88"/>
  <c r="S64" i="88" s="1"/>
  <c r="S151" i="90"/>
  <c r="T151" i="90" s="1"/>
  <c r="X44" i="88"/>
  <c r="S44" i="88" s="1"/>
  <c r="W44" i="88"/>
  <c r="R44" i="88" s="1"/>
  <c r="X116" i="68"/>
  <c r="AP106" i="87"/>
  <c r="Y116" i="68"/>
  <c r="AC103" i="70" s="1"/>
  <c r="J106" i="84"/>
  <c r="D13" i="75"/>
  <c r="AB13" i="75" s="1"/>
  <c r="M104" i="71"/>
  <c r="Q103" i="70"/>
  <c r="CR103" i="99"/>
  <c r="N103" i="69"/>
  <c r="BJ103" i="69" s="1"/>
  <c r="N104" i="95"/>
  <c r="AO104" i="95" s="1"/>
  <c r="D13" i="76"/>
  <c r="AP62" i="94"/>
  <c r="N103" i="72"/>
  <c r="AP103" i="72" s="1"/>
  <c r="D13" i="74"/>
  <c r="F110" i="90"/>
  <c r="S171" i="84"/>
  <c r="AI163" i="71"/>
  <c r="AF191" i="90"/>
  <c r="AE185" i="71"/>
  <c r="AI185" i="71"/>
  <c r="AE163" i="71"/>
  <c r="AH185" i="71"/>
  <c r="AF163" i="71"/>
  <c r="AJ185" i="71"/>
  <c r="AG163" i="71"/>
  <c r="AJ163" i="71"/>
  <c r="AG185" i="71"/>
  <c r="AH163" i="71"/>
  <c r="AF185" i="71"/>
  <c r="Q61" i="71"/>
  <c r="AA61" i="71"/>
  <c r="Z61" i="71"/>
  <c r="AB61" i="71"/>
  <c r="AC61" i="71"/>
  <c r="Y61" i="71"/>
  <c r="AD61" i="71"/>
  <c r="X11" i="84"/>
  <c r="AG15" i="90" s="1"/>
  <c r="AH106" i="90"/>
  <c r="AM106" i="90" s="1"/>
  <c r="AU192" i="70"/>
  <c r="AO192" i="70"/>
  <c r="AA11" i="75"/>
  <c r="CN11" i="75"/>
  <c r="ED11" i="75"/>
  <c r="DI11" i="75"/>
  <c r="AV11" i="75"/>
  <c r="BS11" i="75"/>
  <c r="AU63" i="90"/>
  <c r="EF8" i="75"/>
  <c r="AB5" i="75"/>
  <c r="BT5" i="75"/>
  <c r="AW5" i="75"/>
  <c r="CO5" i="75"/>
  <c r="EE5" i="75"/>
  <c r="DJ5" i="75"/>
  <c r="AI62" i="70"/>
  <c r="AJ62" i="70" s="1"/>
  <c r="AO62" i="70"/>
  <c r="AP62" i="70" s="1"/>
  <c r="BX17" i="75" s="1"/>
  <c r="AU113" i="90"/>
  <c r="AU149" i="90"/>
  <c r="AU154" i="90"/>
  <c r="AY16" i="75"/>
  <c r="CQ16" i="75"/>
  <c r="EE6" i="75"/>
  <c r="CO6" i="75"/>
  <c r="AI103" i="70"/>
  <c r="AN52" i="70"/>
  <c r="AP52" i="70" s="1"/>
  <c r="AU192" i="90"/>
  <c r="AY6" i="75"/>
  <c r="AD6" i="75"/>
  <c r="AU60" i="90"/>
  <c r="AU155" i="90"/>
  <c r="AN58" i="70"/>
  <c r="AT58" i="70"/>
  <c r="AB58" i="70"/>
  <c r="AH58" i="70"/>
  <c r="AB16" i="75"/>
  <c r="EE16" i="75"/>
  <c r="AU199" i="70"/>
  <c r="AV199" i="70" s="1"/>
  <c r="CV19" i="75" s="1"/>
  <c r="AI199" i="70"/>
  <c r="AJ199" i="70" s="1"/>
  <c r="AC199" i="70"/>
  <c r="AD199" i="70" s="1"/>
  <c r="AO199" i="70"/>
  <c r="AP199" i="70" s="1"/>
  <c r="CA19" i="75" s="1"/>
  <c r="BO193" i="70"/>
  <c r="BU5" i="75"/>
  <c r="AC5" i="75"/>
  <c r="EF5" i="75"/>
  <c r="DK5" i="75"/>
  <c r="AX5" i="75"/>
  <c r="CP5" i="75"/>
  <c r="AB140" i="70"/>
  <c r="AD140" i="70" s="1"/>
  <c r="AH140" i="70"/>
  <c r="AJ140" i="70" s="1"/>
  <c r="AT146" i="70"/>
  <c r="AB146" i="70"/>
  <c r="AH146" i="70"/>
  <c r="AN146" i="70"/>
  <c r="AB192" i="70"/>
  <c r="BO148" i="70"/>
  <c r="AN104" i="70"/>
  <c r="AT104" i="70"/>
  <c r="AH104" i="70"/>
  <c r="AB104" i="70"/>
  <c r="AH98" i="70"/>
  <c r="AJ98" i="70" s="1"/>
  <c r="BU6" i="75"/>
  <c r="EF6" i="75"/>
  <c r="AT101" i="70"/>
  <c r="AH101" i="70"/>
  <c r="AB191" i="70"/>
  <c r="BV13" i="75"/>
  <c r="CQ13" i="75"/>
  <c r="EG13" i="75"/>
  <c r="DL13" i="75"/>
  <c r="EE12" i="75"/>
  <c r="BT12" i="75"/>
  <c r="AU110" i="90"/>
  <c r="AU193" i="90"/>
  <c r="AB51" i="70"/>
  <c r="AD51" i="70" s="1"/>
  <c r="BO58" i="70"/>
  <c r="AO58" i="70"/>
  <c r="AU58" i="70"/>
  <c r="AU69" i="90"/>
  <c r="EF19" i="75"/>
  <c r="BU19" i="75"/>
  <c r="EG11" i="75"/>
  <c r="AU206" i="90"/>
  <c r="AN187" i="70"/>
  <c r="AP187" i="70" s="1"/>
  <c r="CA7" i="75" s="1"/>
  <c r="AH187" i="70"/>
  <c r="AJ187" i="70" s="1"/>
  <c r="AO198" i="70"/>
  <c r="AP198" i="70" s="1"/>
  <c r="AU199" i="90"/>
  <c r="AB190" i="70"/>
  <c r="AD190" i="70" s="1"/>
  <c r="AN190" i="70"/>
  <c r="AP190" i="70" s="1"/>
  <c r="AH190" i="70"/>
  <c r="AJ190" i="70" s="1"/>
  <c r="AT190" i="70"/>
  <c r="AV190" i="70" s="1"/>
  <c r="CV10" i="75" s="1"/>
  <c r="AU56" i="70"/>
  <c r="AO56" i="70"/>
  <c r="AC56" i="70"/>
  <c r="AI56" i="70"/>
  <c r="AH165" i="84"/>
  <c r="AO148" i="70"/>
  <c r="AU148" i="70"/>
  <c r="AN141" i="70"/>
  <c r="AP141" i="70" s="1"/>
  <c r="AI107" i="70"/>
  <c r="AJ107" i="70" s="1"/>
  <c r="AO107" i="70"/>
  <c r="AP107" i="70" s="1"/>
  <c r="AB142" i="70"/>
  <c r="AD142" i="70" s="1"/>
  <c r="AT142" i="70"/>
  <c r="AV142" i="70" s="1"/>
  <c r="CU7" i="75" s="1"/>
  <c r="AU116" i="90"/>
  <c r="Y76" i="90"/>
  <c r="AC147" i="70"/>
  <c r="AU147" i="70"/>
  <c r="AI147" i="70"/>
  <c r="AO147" i="70"/>
  <c r="AU203" i="90"/>
  <c r="AU103" i="90"/>
  <c r="BS8" i="75"/>
  <c r="AA8" i="75"/>
  <c r="ED8" i="75"/>
  <c r="AV8" i="75"/>
  <c r="DI8" i="75"/>
  <c r="CN8" i="75"/>
  <c r="AU197" i="70"/>
  <c r="AV197" i="70" s="1"/>
  <c r="CV17" i="75" s="1"/>
  <c r="AC197" i="70"/>
  <c r="AD197" i="70" s="1"/>
  <c r="AU148" i="90"/>
  <c r="AV18" i="75"/>
  <c r="BS18" i="75"/>
  <c r="AI101" i="70"/>
  <c r="AT97" i="70"/>
  <c r="AV97" i="70" s="1"/>
  <c r="CT7" i="75" s="1"/>
  <c r="AX18" i="75"/>
  <c r="CP18" i="75"/>
  <c r="DK18" i="75"/>
  <c r="EF18" i="75"/>
  <c r="BU18" i="75"/>
  <c r="AC18" i="75"/>
  <c r="AU161" i="90"/>
  <c r="AB50" i="70"/>
  <c r="AD50" i="70" s="1"/>
  <c r="AH50" i="70"/>
  <c r="AJ50" i="70" s="1"/>
  <c r="AO196" i="70"/>
  <c r="AU196" i="70"/>
  <c r="AI196" i="70"/>
  <c r="AC196" i="70"/>
  <c r="AC146" i="70"/>
  <c r="AU146" i="70"/>
  <c r="AU109" i="90"/>
  <c r="AU152" i="70"/>
  <c r="AV152" i="70" s="1"/>
  <c r="CU17" i="75" s="1"/>
  <c r="AU59" i="90"/>
  <c r="CQ5" i="75"/>
  <c r="AY5" i="75"/>
  <c r="EG5" i="75"/>
  <c r="DL5" i="75"/>
  <c r="AU58" i="90"/>
  <c r="AU158" i="90"/>
  <c r="AU71" i="90"/>
  <c r="AU114" i="90"/>
  <c r="AI154" i="70"/>
  <c r="AJ154" i="70" s="1"/>
  <c r="AU154" i="70"/>
  <c r="AV154" i="70" s="1"/>
  <c r="CU19" i="75" s="1"/>
  <c r="AO154" i="70"/>
  <c r="AP154" i="70" s="1"/>
  <c r="BZ19" i="75" s="1"/>
  <c r="AC154" i="70"/>
  <c r="AD154" i="70" s="1"/>
  <c r="AU198" i="90"/>
  <c r="AC191" i="70"/>
  <c r="AI191" i="70"/>
  <c r="AO191" i="70"/>
  <c r="AU191" i="70"/>
  <c r="CN5" i="75"/>
  <c r="DI5" i="75"/>
  <c r="AV5" i="75"/>
  <c r="BS5" i="75"/>
  <c r="ED5" i="75"/>
  <c r="AA5" i="75"/>
  <c r="AB102" i="70"/>
  <c r="AT102" i="70"/>
  <c r="AH102" i="70"/>
  <c r="AN102" i="70"/>
  <c r="U195" i="90"/>
  <c r="V195" i="90" s="1"/>
  <c r="Y195" i="90" s="1"/>
  <c r="W195" i="90"/>
  <c r="BO103" i="70"/>
  <c r="BO103" i="71"/>
  <c r="AB186" i="70"/>
  <c r="AD186" i="70" s="1"/>
  <c r="AH186" i="70"/>
  <c r="AJ186" i="70" s="1"/>
  <c r="AT186" i="70"/>
  <c r="AV186" i="70" s="1"/>
  <c r="CV6" i="75" s="1"/>
  <c r="AN186" i="70"/>
  <c r="AP186" i="70" s="1"/>
  <c r="AU65" i="90"/>
  <c r="AI151" i="70"/>
  <c r="AU151" i="70"/>
  <c r="AB143" i="70"/>
  <c r="AD143" i="70" s="1"/>
  <c r="AU105" i="90"/>
  <c r="AC63" i="70"/>
  <c r="AD63" i="70" s="1"/>
  <c r="AO63" i="70"/>
  <c r="AP63" i="70" s="1"/>
  <c r="AU63" i="70"/>
  <c r="AV63" i="70" s="1"/>
  <c r="CS18" i="75" s="1"/>
  <c r="AW17" i="75"/>
  <c r="AB17" i="75"/>
  <c r="CO17" i="75"/>
  <c r="AO109" i="70"/>
  <c r="AP109" i="70" s="1"/>
  <c r="BY19" i="75" s="1"/>
  <c r="AO193" i="70"/>
  <c r="BZ95" i="70"/>
  <c r="BZ96" i="70"/>
  <c r="CU71" i="84"/>
  <c r="CU36" i="84"/>
  <c r="CT72" i="84"/>
  <c r="W6" i="70"/>
  <c r="X192" i="71"/>
  <c r="X198" i="71"/>
  <c r="W192" i="71"/>
  <c r="X162" i="71"/>
  <c r="W106" i="71"/>
  <c r="T120" i="68"/>
  <c r="X58" i="71"/>
  <c r="AN194" i="71"/>
  <c r="AN200" i="71"/>
  <c r="AN198" i="71"/>
  <c r="AN189" i="71"/>
  <c r="AN190" i="71"/>
  <c r="AN193" i="71"/>
  <c r="AN188" i="71"/>
  <c r="AN201" i="71"/>
  <c r="AN195" i="71"/>
  <c r="AN185" i="71"/>
  <c r="AN187" i="71"/>
  <c r="AN196" i="71"/>
  <c r="AN186" i="71"/>
  <c r="AN197" i="71"/>
  <c r="AN199" i="71"/>
  <c r="AN192" i="71"/>
  <c r="AN191" i="71"/>
  <c r="S155" i="68"/>
  <c r="AX122" i="71"/>
  <c r="AN113" i="71"/>
  <c r="AR68" i="71"/>
  <c r="X153" i="71"/>
  <c r="S110" i="68"/>
  <c r="X107" i="71"/>
  <c r="X109" i="71"/>
  <c r="W60" i="71"/>
  <c r="X209" i="71"/>
  <c r="W142" i="71"/>
  <c r="X203" i="71"/>
  <c r="X147" i="71"/>
  <c r="X164" i="71"/>
  <c r="W55" i="71"/>
  <c r="AD113" i="90"/>
  <c r="AC113" i="90"/>
  <c r="AB113" i="90"/>
  <c r="AB148" i="90"/>
  <c r="AD148" i="90"/>
  <c r="AC148" i="90"/>
  <c r="S199" i="68"/>
  <c r="AQ67" i="71"/>
  <c r="AM157" i="71"/>
  <c r="X163" i="71"/>
  <c r="AT66" i="71"/>
  <c r="AU66" i="71"/>
  <c r="AX66" i="71"/>
  <c r="AW66" i="71"/>
  <c r="AS66" i="71"/>
  <c r="AV66" i="71"/>
  <c r="AQ202" i="71"/>
  <c r="AN154" i="71"/>
  <c r="AN144" i="71"/>
  <c r="AN140" i="71"/>
  <c r="AN153" i="71"/>
  <c r="AN147" i="71"/>
  <c r="AN155" i="71"/>
  <c r="AN156" i="71"/>
  <c r="AN148" i="71"/>
  <c r="AN149" i="71"/>
  <c r="AN150" i="71"/>
  <c r="AN145" i="71"/>
  <c r="AN143" i="71"/>
  <c r="AN152" i="71"/>
  <c r="AN141" i="71"/>
  <c r="AN142" i="71"/>
  <c r="AN151" i="71"/>
  <c r="AN146" i="71"/>
  <c r="AP161" i="71"/>
  <c r="AB63" i="90"/>
  <c r="AC63" i="90"/>
  <c r="AD63" i="90"/>
  <c r="AQ5" i="71"/>
  <c r="AQ6" i="71"/>
  <c r="AR107" i="71"/>
  <c r="AR111" i="71"/>
  <c r="AR99" i="71"/>
  <c r="AR101" i="71"/>
  <c r="AR95" i="71"/>
  <c r="AR109" i="71"/>
  <c r="AR108" i="71"/>
  <c r="AR110" i="71"/>
  <c r="AR98" i="71"/>
  <c r="AR105" i="71"/>
  <c r="AR104" i="71"/>
  <c r="AR102" i="71"/>
  <c r="AR106" i="71"/>
  <c r="AR96" i="71"/>
  <c r="AR103" i="71"/>
  <c r="AR97" i="71"/>
  <c r="AR100" i="71"/>
  <c r="X111" i="71"/>
  <c r="AM61" i="71"/>
  <c r="AM59" i="71"/>
  <c r="AM63" i="71"/>
  <c r="AM55" i="71"/>
  <c r="AM58" i="71"/>
  <c r="AM51" i="71"/>
  <c r="AM52" i="71"/>
  <c r="AM57" i="71"/>
  <c r="AM66" i="71"/>
  <c r="AM60" i="71"/>
  <c r="AM62" i="71"/>
  <c r="AM53" i="71"/>
  <c r="AM64" i="71"/>
  <c r="AM50" i="71"/>
  <c r="AM56" i="71"/>
  <c r="AM54" i="71"/>
  <c r="AM65" i="71"/>
  <c r="AN205" i="71"/>
  <c r="X207" i="71"/>
  <c r="AQ116" i="71"/>
  <c r="AR112" i="71"/>
  <c r="AR158" i="71"/>
  <c r="AO203" i="71"/>
  <c r="AB60" i="90"/>
  <c r="AC60" i="90"/>
  <c r="AD60" i="90"/>
  <c r="AP114" i="71"/>
  <c r="AD111" i="90"/>
  <c r="AC111" i="90"/>
  <c r="AB111" i="90"/>
  <c r="AU156" i="71"/>
  <c r="AU159" i="71"/>
  <c r="AV159" i="71"/>
  <c r="AV156" i="71"/>
  <c r="BB102" i="70"/>
  <c r="BC102" i="70"/>
  <c r="BD102" i="70"/>
  <c r="AB110" i="90"/>
  <c r="AD110" i="90"/>
  <c r="AC110" i="90"/>
  <c r="V59" i="70"/>
  <c r="AC153" i="90"/>
  <c r="AB153" i="90"/>
  <c r="AD153" i="90"/>
  <c r="AB194" i="90"/>
  <c r="AD194" i="90"/>
  <c r="AC194" i="90"/>
  <c r="W196" i="71"/>
  <c r="X113" i="71"/>
  <c r="X194" i="71"/>
  <c r="AN159" i="71"/>
  <c r="X201" i="71"/>
  <c r="W151" i="71"/>
  <c r="W152" i="71"/>
  <c r="X67" i="71"/>
  <c r="AP186" i="71"/>
  <c r="AP192" i="71"/>
  <c r="AP187" i="71"/>
  <c r="AP191" i="71"/>
  <c r="AP193" i="71"/>
  <c r="AP196" i="71"/>
  <c r="AP185" i="71"/>
  <c r="AP198" i="71"/>
  <c r="AP199" i="71"/>
  <c r="AP194" i="71"/>
  <c r="AP190" i="71"/>
  <c r="AP197" i="71"/>
  <c r="AP195" i="71"/>
  <c r="AP200" i="71"/>
  <c r="AP189" i="71"/>
  <c r="AP188" i="71"/>
  <c r="AP201" i="71"/>
  <c r="W98" i="71"/>
  <c r="W105" i="71"/>
  <c r="AW122" i="71"/>
  <c r="AP113" i="71"/>
  <c r="AQ68" i="71"/>
  <c r="AB161" i="90"/>
  <c r="AC161" i="90"/>
  <c r="AD161" i="90"/>
  <c r="AB115" i="90"/>
  <c r="AD115" i="90"/>
  <c r="AC115" i="90"/>
  <c r="AQ206" i="71"/>
  <c r="T75" i="68"/>
  <c r="AD69" i="90"/>
  <c r="AB69" i="90"/>
  <c r="AC69" i="90"/>
  <c r="W54" i="71"/>
  <c r="W187" i="71"/>
  <c r="AB116" i="90"/>
  <c r="AC116" i="90"/>
  <c r="AD116" i="90"/>
  <c r="AD193" i="90"/>
  <c r="AB193" i="90"/>
  <c r="AC193" i="90"/>
  <c r="S203" i="68"/>
  <c r="X69" i="71"/>
  <c r="X159" i="71"/>
  <c r="AM160" i="71"/>
  <c r="AD159" i="90"/>
  <c r="AC159" i="90"/>
  <c r="AB159" i="90"/>
  <c r="W56" i="71"/>
  <c r="W195" i="71"/>
  <c r="W145" i="71"/>
  <c r="AM150" i="71"/>
  <c r="AM147" i="71"/>
  <c r="AM146" i="71"/>
  <c r="AM142" i="71"/>
  <c r="AM140" i="71"/>
  <c r="AM154" i="71"/>
  <c r="AM156" i="71"/>
  <c r="AM144" i="71"/>
  <c r="AM149" i="71"/>
  <c r="AM155" i="71"/>
  <c r="AM153" i="71"/>
  <c r="AM151" i="71"/>
  <c r="AM145" i="71"/>
  <c r="AM148" i="71"/>
  <c r="AM152" i="71"/>
  <c r="AM141" i="71"/>
  <c r="AM143" i="71"/>
  <c r="AN161" i="71"/>
  <c r="AC158" i="90"/>
  <c r="AD158" i="90"/>
  <c r="AB158" i="90"/>
  <c r="X161" i="71"/>
  <c r="T69" i="68"/>
  <c r="X61" i="71"/>
  <c r="AP6" i="71"/>
  <c r="AP5" i="71"/>
  <c r="AO103" i="71"/>
  <c r="AO98" i="71"/>
  <c r="AO99" i="71"/>
  <c r="AO95" i="71"/>
  <c r="AO107" i="71"/>
  <c r="AO106" i="71"/>
  <c r="AO102" i="71"/>
  <c r="AO108" i="71"/>
  <c r="AO101" i="71"/>
  <c r="AO104" i="71"/>
  <c r="AO105" i="71"/>
  <c r="AO110" i="71"/>
  <c r="AO96" i="71"/>
  <c r="AO100" i="71"/>
  <c r="AO109" i="71"/>
  <c r="AO111" i="71"/>
  <c r="AO97" i="71"/>
  <c r="AP53" i="71"/>
  <c r="AP59" i="71"/>
  <c r="AP63" i="71"/>
  <c r="AP55" i="71"/>
  <c r="AP66" i="71"/>
  <c r="AP52" i="71"/>
  <c r="AP61" i="71"/>
  <c r="AP54" i="71"/>
  <c r="AP62" i="71"/>
  <c r="AP51" i="71"/>
  <c r="AP60" i="71"/>
  <c r="AP64" i="71"/>
  <c r="AP58" i="71"/>
  <c r="AP50" i="71"/>
  <c r="AP56" i="71"/>
  <c r="AP65" i="71"/>
  <c r="AP57" i="71"/>
  <c r="AO205" i="71"/>
  <c r="T77" i="68"/>
  <c r="AO204" i="71"/>
  <c r="AR116" i="71"/>
  <c r="AQ112" i="71"/>
  <c r="AQ158" i="71"/>
  <c r="AR115" i="71"/>
  <c r="X119" i="71"/>
  <c r="AM203" i="71"/>
  <c r="AM114" i="71"/>
  <c r="AS114" i="71"/>
  <c r="AX201" i="71"/>
  <c r="U51" i="70"/>
  <c r="V196" i="70"/>
  <c r="U146" i="70"/>
  <c r="BD186" i="70"/>
  <c r="U53" i="70"/>
  <c r="U141" i="70"/>
  <c r="T166" i="68"/>
  <c r="AV49" i="72"/>
  <c r="AV53" i="72"/>
  <c r="AV57" i="72"/>
  <c r="AV54" i="72"/>
  <c r="AV52" i="72"/>
  <c r="AV50" i="72"/>
  <c r="AV55" i="72"/>
  <c r="AV56" i="72"/>
  <c r="AV51" i="72"/>
  <c r="X204" i="71"/>
  <c r="AP142" i="71"/>
  <c r="AP152" i="71"/>
  <c r="AP150" i="71"/>
  <c r="AP140" i="71"/>
  <c r="AP141" i="71"/>
  <c r="AP156" i="71"/>
  <c r="AP148" i="71"/>
  <c r="AP143" i="71"/>
  <c r="AP155" i="71"/>
  <c r="AP154" i="71"/>
  <c r="AP144" i="71"/>
  <c r="AP151" i="71"/>
  <c r="AP146" i="71"/>
  <c r="AP145" i="71"/>
  <c r="AP149" i="71"/>
  <c r="AP147" i="71"/>
  <c r="AP153" i="71"/>
  <c r="AM6" i="71"/>
  <c r="AM5" i="71"/>
  <c r="AD70" i="90"/>
  <c r="AC70" i="90"/>
  <c r="AB70" i="90"/>
  <c r="AQ204" i="71"/>
  <c r="AM115" i="71"/>
  <c r="AN203" i="71"/>
  <c r="U56" i="70"/>
  <c r="U96" i="70"/>
  <c r="W143" i="71"/>
  <c r="X108" i="71"/>
  <c r="AO159" i="71"/>
  <c r="AQ198" i="71"/>
  <c r="AQ192" i="71"/>
  <c r="AQ189" i="71"/>
  <c r="AQ187" i="71"/>
  <c r="AQ196" i="71"/>
  <c r="AQ200" i="71"/>
  <c r="AQ190" i="71"/>
  <c r="AQ194" i="71"/>
  <c r="AQ185" i="71"/>
  <c r="AQ201" i="71"/>
  <c r="AQ199" i="71"/>
  <c r="AQ197" i="71"/>
  <c r="AQ193" i="71"/>
  <c r="AQ188" i="71"/>
  <c r="AQ191" i="71"/>
  <c r="AQ186" i="71"/>
  <c r="AQ195" i="71"/>
  <c r="X199" i="71"/>
  <c r="X65" i="71"/>
  <c r="AT122" i="71"/>
  <c r="W188" i="71"/>
  <c r="X154" i="71"/>
  <c r="W59" i="71"/>
  <c r="W102" i="71"/>
  <c r="W197" i="71"/>
  <c r="T212" i="68"/>
  <c r="AO113" i="71"/>
  <c r="AO68" i="71"/>
  <c r="X103" i="71"/>
  <c r="W58" i="71"/>
  <c r="W103" i="71"/>
  <c r="AR206" i="71"/>
  <c r="X106" i="71"/>
  <c r="W186" i="71"/>
  <c r="AB160" i="90"/>
  <c r="AC160" i="90"/>
  <c r="AD160" i="90"/>
  <c r="X193" i="71"/>
  <c r="X71" i="71"/>
  <c r="AQ157" i="71"/>
  <c r="AR160" i="71"/>
  <c r="S64" i="68"/>
  <c r="S205" i="68"/>
  <c r="AP202" i="71"/>
  <c r="S160" i="68"/>
  <c r="X195" i="71"/>
  <c r="W140" i="71"/>
  <c r="X165" i="71"/>
  <c r="W146" i="71"/>
  <c r="S159" i="68"/>
  <c r="T159" i="68"/>
  <c r="X206" i="71"/>
  <c r="AR5" i="71"/>
  <c r="AR6" i="71"/>
  <c r="AM105" i="71"/>
  <c r="AM110" i="71"/>
  <c r="AM108" i="71"/>
  <c r="AM95" i="71"/>
  <c r="AM96" i="71"/>
  <c r="AM97" i="71"/>
  <c r="AM104" i="71"/>
  <c r="AM107" i="71"/>
  <c r="AM101" i="71"/>
  <c r="AM109" i="71"/>
  <c r="AM111" i="71"/>
  <c r="AM98" i="71"/>
  <c r="AM102" i="71"/>
  <c r="AM100" i="71"/>
  <c r="AM103" i="71"/>
  <c r="AM99" i="71"/>
  <c r="AM106" i="71"/>
  <c r="AR52" i="71"/>
  <c r="AR61" i="71"/>
  <c r="AR60" i="71"/>
  <c r="AR59" i="71"/>
  <c r="AR65" i="71"/>
  <c r="AR58" i="71"/>
  <c r="AR56" i="71"/>
  <c r="AR51" i="71"/>
  <c r="AR53" i="71"/>
  <c r="AR64" i="71"/>
  <c r="AR66" i="71"/>
  <c r="AR54" i="71"/>
  <c r="AR50" i="71"/>
  <c r="AR63" i="71"/>
  <c r="AR55" i="71"/>
  <c r="AR57" i="71"/>
  <c r="AR62" i="71"/>
  <c r="AP205" i="71"/>
  <c r="AR204" i="71"/>
  <c r="BD145" i="70"/>
  <c r="BB145" i="70"/>
  <c r="BB147" i="70"/>
  <c r="BC147" i="70"/>
  <c r="BC145" i="70"/>
  <c r="BD147" i="70"/>
  <c r="AN116" i="71"/>
  <c r="AM112" i="71"/>
  <c r="AQ115" i="71"/>
  <c r="W104" i="71"/>
  <c r="T211" i="68"/>
  <c r="AO114" i="71"/>
  <c r="AB147" i="90"/>
  <c r="AC147" i="90"/>
  <c r="AD147" i="90"/>
  <c r="T117" i="68"/>
  <c r="AT159" i="71"/>
  <c r="AT156" i="71"/>
  <c r="S116" i="68"/>
  <c r="U95" i="70"/>
  <c r="U98" i="70"/>
  <c r="AQ160" i="71"/>
  <c r="T165" i="68"/>
  <c r="X66" i="71"/>
  <c r="AC64" i="90"/>
  <c r="AD64" i="90"/>
  <c r="AB64" i="90"/>
  <c r="X102" i="71"/>
  <c r="X63" i="71"/>
  <c r="X110" i="71"/>
  <c r="W191" i="71"/>
  <c r="W144" i="71"/>
  <c r="AQ159" i="71"/>
  <c r="T206" i="68"/>
  <c r="X104" i="71"/>
  <c r="AR186" i="71"/>
  <c r="AR185" i="71"/>
  <c r="AR197" i="71"/>
  <c r="AR192" i="71"/>
  <c r="AR191" i="71"/>
  <c r="AR190" i="71"/>
  <c r="AR193" i="71"/>
  <c r="AR196" i="71"/>
  <c r="AR198" i="71"/>
  <c r="AR195" i="71"/>
  <c r="AR200" i="71"/>
  <c r="AR194" i="71"/>
  <c r="AR188" i="71"/>
  <c r="AR187" i="71"/>
  <c r="AR199" i="71"/>
  <c r="AR189" i="71"/>
  <c r="AR201" i="71"/>
  <c r="W97" i="71"/>
  <c r="W100" i="71"/>
  <c r="AM113" i="71"/>
  <c r="AP68" i="71"/>
  <c r="W148" i="71"/>
  <c r="W62" i="71"/>
  <c r="AC108" i="90"/>
  <c r="AD108" i="90"/>
  <c r="AB108" i="90"/>
  <c r="T121" i="68"/>
  <c r="AO206" i="71"/>
  <c r="X116" i="71"/>
  <c r="X149" i="71"/>
  <c r="T119" i="68"/>
  <c r="AC197" i="90"/>
  <c r="AB197" i="90"/>
  <c r="AD197" i="90"/>
  <c r="S209" i="68"/>
  <c r="AN67" i="71"/>
  <c r="X151" i="71"/>
  <c r="AN60" i="71"/>
  <c r="AN53" i="71"/>
  <c r="AN66" i="71"/>
  <c r="AN51" i="71"/>
  <c r="AN61" i="71"/>
  <c r="AN54" i="71"/>
  <c r="AN56" i="71"/>
  <c r="AN55" i="71"/>
  <c r="AN57" i="71"/>
  <c r="AN58" i="71"/>
  <c r="AN59" i="71"/>
  <c r="AN63" i="71"/>
  <c r="AN50" i="71"/>
  <c r="AN52" i="71"/>
  <c r="AN64" i="71"/>
  <c r="AN62" i="71"/>
  <c r="AN65" i="71"/>
  <c r="AR159" i="71"/>
  <c r="AM196" i="71"/>
  <c r="AM189" i="71"/>
  <c r="AM190" i="71"/>
  <c r="AM192" i="71"/>
  <c r="AM200" i="71"/>
  <c r="AM195" i="71"/>
  <c r="AM193" i="71"/>
  <c r="AM197" i="71"/>
  <c r="AM201" i="71"/>
  <c r="AM188" i="71"/>
  <c r="AM194" i="71"/>
  <c r="AM198" i="71"/>
  <c r="AM187" i="71"/>
  <c r="AM185" i="71"/>
  <c r="AM199" i="71"/>
  <c r="AM186" i="71"/>
  <c r="AM191" i="71"/>
  <c r="X57" i="71"/>
  <c r="AU122" i="71"/>
  <c r="AM68" i="71"/>
  <c r="T204" i="68"/>
  <c r="S204" i="68"/>
  <c r="W141" i="71"/>
  <c r="W51" i="71"/>
  <c r="AM206" i="71"/>
  <c r="T122" i="68"/>
  <c r="S154" i="68"/>
  <c r="AC105" i="90"/>
  <c r="AD105" i="90"/>
  <c r="AB105" i="90"/>
  <c r="AD192" i="90"/>
  <c r="AB192" i="90"/>
  <c r="AC192" i="90"/>
  <c r="T209" i="68"/>
  <c r="AP67" i="71"/>
  <c r="AO157" i="71"/>
  <c r="AO160" i="71"/>
  <c r="T71" i="68"/>
  <c r="AD58" i="90"/>
  <c r="AB58" i="90"/>
  <c r="AC58" i="90"/>
  <c r="AN202" i="71"/>
  <c r="AO161" i="71"/>
  <c r="X150" i="71"/>
  <c r="S164" i="68"/>
  <c r="V5" i="71"/>
  <c r="AN107" i="71"/>
  <c r="AN95" i="71"/>
  <c r="AN103" i="71"/>
  <c r="AN102" i="71"/>
  <c r="AN97" i="71"/>
  <c r="AN110" i="71"/>
  <c r="AN100" i="71"/>
  <c r="AN96" i="71"/>
  <c r="AN106" i="71"/>
  <c r="AN105" i="71"/>
  <c r="AN99" i="71"/>
  <c r="AN109" i="71"/>
  <c r="AN108" i="71"/>
  <c r="AN98" i="71"/>
  <c r="AN101" i="71"/>
  <c r="AN104" i="71"/>
  <c r="AN111" i="71"/>
  <c r="AQ66" i="71"/>
  <c r="AQ53" i="71"/>
  <c r="AQ55" i="71"/>
  <c r="AQ58" i="71"/>
  <c r="AQ60" i="71"/>
  <c r="AQ65" i="71"/>
  <c r="AQ64" i="71"/>
  <c r="AQ51" i="71"/>
  <c r="AQ57" i="71"/>
  <c r="AQ50" i="71"/>
  <c r="AQ52" i="71"/>
  <c r="AQ61" i="71"/>
  <c r="AQ62" i="71"/>
  <c r="AQ59" i="71"/>
  <c r="AQ54" i="71"/>
  <c r="AQ63" i="71"/>
  <c r="AQ56" i="71"/>
  <c r="AQ205" i="71"/>
  <c r="AP204" i="71"/>
  <c r="W150" i="71"/>
  <c r="AN112" i="71"/>
  <c r="X160" i="71"/>
  <c r="AP115" i="71"/>
  <c r="AC66" i="90"/>
  <c r="AD66" i="90"/>
  <c r="AB66" i="90"/>
  <c r="AQ203" i="71"/>
  <c r="S115" i="68"/>
  <c r="AR114" i="71"/>
  <c r="S70" i="68"/>
  <c r="AX156" i="71"/>
  <c r="AX159" i="71"/>
  <c r="AX114" i="71"/>
  <c r="T116" i="68"/>
  <c r="AS201" i="71"/>
  <c r="AU201" i="71"/>
  <c r="U186" i="70"/>
  <c r="U50" i="70"/>
  <c r="U187" i="70"/>
  <c r="BB142" i="70"/>
  <c r="AV142" i="72"/>
  <c r="AV145" i="72"/>
  <c r="AV139" i="72"/>
  <c r="AV141" i="72"/>
  <c r="AV146" i="72"/>
  <c r="AV147" i="72"/>
  <c r="AV143" i="72"/>
  <c r="AV140" i="72"/>
  <c r="AV144" i="72"/>
  <c r="U104" i="70"/>
  <c r="U52" i="70"/>
  <c r="AP159" i="71"/>
  <c r="S206" i="68"/>
  <c r="X152" i="71"/>
  <c r="W185" i="71"/>
  <c r="W99" i="71"/>
  <c r="X155" i="71"/>
  <c r="X115" i="71"/>
  <c r="W57" i="71"/>
  <c r="AN68" i="71"/>
  <c r="AC198" i="90"/>
  <c r="AB198" i="90"/>
  <c r="AD198" i="90"/>
  <c r="X197" i="71"/>
  <c r="W107" i="71"/>
  <c r="S114" i="68"/>
  <c r="S119" i="68"/>
  <c r="AD102" i="90"/>
  <c r="AC102" i="90"/>
  <c r="AB102" i="90"/>
  <c r="S198" i="68"/>
  <c r="AO67" i="71"/>
  <c r="AP157" i="71"/>
  <c r="S156" i="68"/>
  <c r="AP160" i="71"/>
  <c r="AD65" i="90"/>
  <c r="AB65" i="90"/>
  <c r="AC65" i="90"/>
  <c r="BD57" i="70"/>
  <c r="BC57" i="70"/>
  <c r="BB57" i="70"/>
  <c r="AO202" i="71"/>
  <c r="AO144" i="71"/>
  <c r="AO151" i="71"/>
  <c r="AO140" i="71"/>
  <c r="AO150" i="71"/>
  <c r="AO148" i="71"/>
  <c r="AO143" i="71"/>
  <c r="AO155" i="71"/>
  <c r="AO149" i="71"/>
  <c r="AO153" i="71"/>
  <c r="AO147" i="71"/>
  <c r="AO154" i="71"/>
  <c r="AO156" i="71"/>
  <c r="AO145" i="71"/>
  <c r="AO141" i="71"/>
  <c r="AO146" i="71"/>
  <c r="AO142" i="71"/>
  <c r="AO152" i="71"/>
  <c r="AR161" i="71"/>
  <c r="AD204" i="90"/>
  <c r="AB204" i="90"/>
  <c r="AC204" i="90"/>
  <c r="AO6" i="71"/>
  <c r="AO5" i="71"/>
  <c r="AQ99" i="71"/>
  <c r="AQ97" i="71"/>
  <c r="AQ100" i="71"/>
  <c r="AQ102" i="71"/>
  <c r="AQ104" i="71"/>
  <c r="AQ95" i="71"/>
  <c r="AQ98" i="71"/>
  <c r="AQ109" i="71"/>
  <c r="AQ111" i="71"/>
  <c r="AQ107" i="71"/>
  <c r="AQ108" i="71"/>
  <c r="AQ96" i="71"/>
  <c r="AQ103" i="71"/>
  <c r="AQ101" i="71"/>
  <c r="AQ105" i="71"/>
  <c r="AQ110" i="71"/>
  <c r="AQ106" i="71"/>
  <c r="W50" i="71"/>
  <c r="AM205" i="71"/>
  <c r="S63" i="68"/>
  <c r="X202" i="71"/>
  <c r="T76" i="68"/>
  <c r="X156" i="71"/>
  <c r="AN204" i="71"/>
  <c r="AD155" i="90"/>
  <c r="AC155" i="90"/>
  <c r="AB155" i="90"/>
  <c r="X120" i="71"/>
  <c r="X158" i="71"/>
  <c r="W190" i="71"/>
  <c r="X62" i="71"/>
  <c r="AN158" i="71"/>
  <c r="AO115" i="71"/>
  <c r="AR203" i="71"/>
  <c r="AD59" i="90"/>
  <c r="AB59" i="90"/>
  <c r="AC59" i="90"/>
  <c r="AC205" i="90"/>
  <c r="AD205" i="90"/>
  <c r="AB205" i="90"/>
  <c r="AN114" i="71"/>
  <c r="S153" i="68"/>
  <c r="AU114" i="71"/>
  <c r="AV114" i="71"/>
  <c r="AW201" i="71"/>
  <c r="U185" i="70"/>
  <c r="U191" i="70"/>
  <c r="V151" i="70"/>
  <c r="V191" i="70"/>
  <c r="V192" i="70"/>
  <c r="V146" i="70"/>
  <c r="U190" i="70"/>
  <c r="BC97" i="70"/>
  <c r="U58" i="70"/>
  <c r="U193" i="70"/>
  <c r="U147" i="70"/>
  <c r="AM116" i="71"/>
  <c r="AO112" i="71"/>
  <c r="AO158" i="71"/>
  <c r="T115" i="68"/>
  <c r="V102" i="70"/>
  <c r="AM159" i="71"/>
  <c r="AC200" i="90"/>
  <c r="AB200" i="90"/>
  <c r="AD200" i="90"/>
  <c r="AC114" i="90"/>
  <c r="AD114" i="90"/>
  <c r="AB114" i="90"/>
  <c r="AD206" i="90"/>
  <c r="AB206" i="90"/>
  <c r="AC206" i="90"/>
  <c r="AR113" i="71"/>
  <c r="X70" i="71"/>
  <c r="AD104" i="90"/>
  <c r="AB104" i="90"/>
  <c r="AC104" i="90"/>
  <c r="AN206" i="71"/>
  <c r="X112" i="71"/>
  <c r="S108" i="68"/>
  <c r="S109" i="68"/>
  <c r="AR67" i="71"/>
  <c r="AN157" i="71"/>
  <c r="AN160" i="71"/>
  <c r="T205" i="68"/>
  <c r="AD199" i="90"/>
  <c r="AB199" i="90"/>
  <c r="AC199" i="90"/>
  <c r="AR202" i="71"/>
  <c r="AD154" i="90"/>
  <c r="AC154" i="90"/>
  <c r="AB154" i="90"/>
  <c r="T160" i="68"/>
  <c r="AQ147" i="71"/>
  <c r="AQ152" i="71"/>
  <c r="AQ155" i="71"/>
  <c r="AQ156" i="71"/>
  <c r="AQ144" i="71"/>
  <c r="AQ142" i="71"/>
  <c r="AQ153" i="71"/>
  <c r="AQ143" i="71"/>
  <c r="AQ146" i="71"/>
  <c r="AQ140" i="71"/>
  <c r="AQ154" i="71"/>
  <c r="AQ150" i="71"/>
  <c r="AQ145" i="71"/>
  <c r="AQ148" i="71"/>
  <c r="AQ141" i="71"/>
  <c r="AQ151" i="71"/>
  <c r="AQ149" i="71"/>
  <c r="AM161" i="71"/>
  <c r="T210" i="68"/>
  <c r="S69" i="68"/>
  <c r="AO53" i="71"/>
  <c r="AO63" i="71"/>
  <c r="AO66" i="71"/>
  <c r="AO51" i="71"/>
  <c r="AO61" i="71"/>
  <c r="AO52" i="71"/>
  <c r="AO58" i="71"/>
  <c r="AO54" i="71"/>
  <c r="AO60" i="71"/>
  <c r="AO56" i="71"/>
  <c r="AO62" i="71"/>
  <c r="AO59" i="71"/>
  <c r="AO64" i="71"/>
  <c r="AO65" i="71"/>
  <c r="AO57" i="71"/>
  <c r="AO55" i="71"/>
  <c r="AO50" i="71"/>
  <c r="X208" i="71"/>
  <c r="X210" i="71"/>
  <c r="AO116" i="71"/>
  <c r="X114" i="71"/>
  <c r="AP158" i="71"/>
  <c r="X118" i="71"/>
  <c r="AP203" i="71"/>
  <c r="X117" i="71"/>
  <c r="W5" i="71"/>
  <c r="S117" i="68"/>
  <c r="AS159" i="71"/>
  <c r="AS156" i="71"/>
  <c r="AT114" i="71"/>
  <c r="AV97" i="72"/>
  <c r="AV94" i="72"/>
  <c r="AV102" i="72"/>
  <c r="AV96" i="72"/>
  <c r="AV98" i="72"/>
  <c r="AV99" i="72"/>
  <c r="AV95" i="72"/>
  <c r="AV100" i="72"/>
  <c r="AV101" i="72"/>
  <c r="AT201" i="71"/>
  <c r="W61" i="71"/>
  <c r="U140" i="70"/>
  <c r="U97" i="70"/>
  <c r="U102" i="70"/>
  <c r="V104" i="70"/>
  <c r="BC186" i="70"/>
  <c r="U101" i="70"/>
  <c r="U151" i="70"/>
  <c r="V101" i="70"/>
  <c r="V56" i="70"/>
  <c r="U192" i="70"/>
  <c r="S72" i="68"/>
  <c r="AQ114" i="71"/>
  <c r="T70" i="68"/>
  <c r="AW156" i="71"/>
  <c r="AW159" i="71"/>
  <c r="V147" i="70"/>
  <c r="W194" i="71"/>
  <c r="X200" i="71"/>
  <c r="W96" i="71"/>
  <c r="BD192" i="70"/>
  <c r="BC187" i="70"/>
  <c r="BD187" i="70"/>
  <c r="BB190" i="70"/>
  <c r="BC192" i="70"/>
  <c r="BC190" i="70"/>
  <c r="BB192" i="70"/>
  <c r="BD190" i="70"/>
  <c r="BB187" i="70"/>
  <c r="AV190" i="72"/>
  <c r="AV192" i="72"/>
  <c r="AV184" i="72"/>
  <c r="AV188" i="72"/>
  <c r="AV186" i="72"/>
  <c r="AV191" i="72"/>
  <c r="AV187" i="72"/>
  <c r="AV189" i="72"/>
  <c r="AV185" i="72"/>
  <c r="W147" i="71"/>
  <c r="AO193" i="71"/>
  <c r="AO192" i="71"/>
  <c r="AO200" i="71"/>
  <c r="AO198" i="71"/>
  <c r="AO197" i="71"/>
  <c r="AO188" i="71"/>
  <c r="AO201" i="71"/>
  <c r="AO194" i="71"/>
  <c r="AO191" i="71"/>
  <c r="AO195" i="71"/>
  <c r="AO196" i="71"/>
  <c r="AO190" i="71"/>
  <c r="AO199" i="71"/>
  <c r="AO186" i="71"/>
  <c r="AO189" i="71"/>
  <c r="AO185" i="71"/>
  <c r="AO187" i="71"/>
  <c r="X59" i="71"/>
  <c r="AC149" i="90"/>
  <c r="AB149" i="90"/>
  <c r="AD149" i="90"/>
  <c r="W52" i="71"/>
  <c r="W53" i="71"/>
  <c r="W193" i="71"/>
  <c r="AS122" i="71"/>
  <c r="AV122" i="71"/>
  <c r="AQ113" i="71"/>
  <c r="X148" i="71"/>
  <c r="T167" i="68"/>
  <c r="T114" i="68"/>
  <c r="AP206" i="71"/>
  <c r="X60" i="71"/>
  <c r="X64" i="71"/>
  <c r="W149" i="71"/>
  <c r="X105" i="71"/>
  <c r="S111" i="68"/>
  <c r="AC103" i="90"/>
  <c r="AB103" i="90"/>
  <c r="AD103" i="90"/>
  <c r="AB203" i="90"/>
  <c r="AD203" i="90"/>
  <c r="AC203" i="90"/>
  <c r="AM67" i="71"/>
  <c r="AR157" i="71"/>
  <c r="AD150" i="90"/>
  <c r="AB150" i="90"/>
  <c r="AC150" i="90"/>
  <c r="S71" i="68"/>
  <c r="X196" i="71"/>
  <c r="AM202" i="71"/>
  <c r="AR142" i="71"/>
  <c r="AR140" i="71"/>
  <c r="AR146" i="71"/>
  <c r="AR152" i="71"/>
  <c r="AR148" i="71"/>
  <c r="AR147" i="71"/>
  <c r="AR156" i="71"/>
  <c r="AR153" i="71"/>
  <c r="AR154" i="71"/>
  <c r="AR145" i="71"/>
  <c r="AR149" i="71"/>
  <c r="AR144" i="71"/>
  <c r="AR150" i="71"/>
  <c r="AR155" i="71"/>
  <c r="AR141" i="71"/>
  <c r="AR143" i="71"/>
  <c r="AR151" i="71"/>
  <c r="AQ161" i="71"/>
  <c r="T164" i="68"/>
  <c r="AN6" i="71"/>
  <c r="AN5" i="71"/>
  <c r="V95" i="71"/>
  <c r="W101" i="71"/>
  <c r="V50" i="71"/>
  <c r="AR205" i="71"/>
  <c r="AD57" i="90"/>
  <c r="AC57" i="90"/>
  <c r="AB57" i="90"/>
  <c r="W95" i="71"/>
  <c r="AD71" i="90"/>
  <c r="AB71" i="90"/>
  <c r="AC71" i="90"/>
  <c r="AM204" i="71"/>
  <c r="T161" i="68"/>
  <c r="AP116" i="71"/>
  <c r="S200" i="68"/>
  <c r="AP112" i="71"/>
  <c r="AM158" i="71"/>
  <c r="AN115" i="71"/>
  <c r="T72" i="68"/>
  <c r="X205" i="71"/>
  <c r="X68" i="71"/>
  <c r="S66" i="68"/>
  <c r="S65" i="68"/>
  <c r="AB109" i="90"/>
  <c r="AD109" i="90"/>
  <c r="AC109" i="90"/>
  <c r="X157" i="71"/>
  <c r="W189" i="71"/>
  <c r="AW114" i="71"/>
  <c r="AX111" i="71"/>
  <c r="AV111" i="71"/>
  <c r="AT111" i="71"/>
  <c r="AU111" i="71"/>
  <c r="AS111" i="71"/>
  <c r="AW111" i="71"/>
  <c r="AV201" i="71"/>
  <c r="U103" i="70"/>
  <c r="BD146" i="70"/>
  <c r="U57" i="70"/>
  <c r="U143" i="70"/>
  <c r="BD191" i="70"/>
  <c r="U106" i="70"/>
  <c r="BB52" i="70"/>
  <c r="AP105" i="71"/>
  <c r="AP101" i="71"/>
  <c r="AP104" i="71"/>
  <c r="AP102" i="71"/>
  <c r="AP98" i="71"/>
  <c r="AP95" i="71"/>
  <c r="AP109" i="71"/>
  <c r="AP96" i="71"/>
  <c r="AP106" i="71"/>
  <c r="AP99" i="71"/>
  <c r="AP100" i="71"/>
  <c r="AP110" i="71"/>
  <c r="AP108" i="71"/>
  <c r="AP97" i="71"/>
  <c r="AP103" i="71"/>
  <c r="AP107" i="71"/>
  <c r="AP111" i="71"/>
  <c r="S161" i="68"/>
  <c r="V193" i="70"/>
  <c r="V106" i="70"/>
  <c r="BS14" i="75" l="1"/>
  <c r="ED14" i="75"/>
  <c r="AY17" i="75"/>
  <c r="AH185" i="70"/>
  <c r="AJ185" i="70" s="1"/>
  <c r="EG17" i="75"/>
  <c r="BS13" i="75"/>
  <c r="EF12" i="75"/>
  <c r="S187" i="71"/>
  <c r="BP186" i="71" s="1"/>
  <c r="EE13" i="75"/>
  <c r="AV14" i="75"/>
  <c r="AC12" i="75"/>
  <c r="Y191" i="90"/>
  <c r="DI14" i="75"/>
  <c r="CP12" i="75"/>
  <c r="CQ17" i="75"/>
  <c r="AA14" i="75"/>
  <c r="DK12" i="75"/>
  <c r="DL17" i="75"/>
  <c r="AN151" i="70"/>
  <c r="BU12" i="75"/>
  <c r="BV17" i="75"/>
  <c r="Y127" i="90"/>
  <c r="Y101" i="90"/>
  <c r="CP16" i="75"/>
  <c r="ED17" i="75"/>
  <c r="BU16" i="75"/>
  <c r="AV17" i="75"/>
  <c r="BP185" i="71"/>
  <c r="AX16" i="75"/>
  <c r="AN53" i="70"/>
  <c r="AP53" i="70" s="1"/>
  <c r="DJ13" i="75"/>
  <c r="AC16" i="75"/>
  <c r="CQ19" i="75"/>
  <c r="AH53" i="70"/>
  <c r="AJ53" i="70" s="1"/>
  <c r="AW13" i="75"/>
  <c r="DK16" i="75"/>
  <c r="BV19" i="75"/>
  <c r="CO13" i="75"/>
  <c r="DL19" i="75"/>
  <c r="AT151" i="70"/>
  <c r="AV151" i="70" s="1"/>
  <c r="CU16" i="75" s="1"/>
  <c r="BT13" i="75"/>
  <c r="S155" i="90"/>
  <c r="T155" i="90" s="1"/>
  <c r="X191" i="84"/>
  <c r="AG195" i="90" s="1"/>
  <c r="Y159" i="84"/>
  <c r="AH163" i="90" s="1"/>
  <c r="AI81" i="71"/>
  <c r="AG103" i="71"/>
  <c r="AH103" i="71"/>
  <c r="AF109" i="90"/>
  <c r="AJ81" i="71"/>
  <c r="AF81" i="71"/>
  <c r="AF103" i="71"/>
  <c r="AE81" i="71"/>
  <c r="AJ103" i="71"/>
  <c r="AI103" i="71"/>
  <c r="AH81" i="71"/>
  <c r="AE103" i="71"/>
  <c r="AG81" i="71"/>
  <c r="S59" i="90"/>
  <c r="T59" i="90" s="1"/>
  <c r="S60" i="90"/>
  <c r="T60" i="90" s="1"/>
  <c r="Y70" i="84"/>
  <c r="AH74" i="90" s="1"/>
  <c r="Y207" i="84"/>
  <c r="AH211" i="90" s="1"/>
  <c r="AY158" i="71"/>
  <c r="S194" i="90"/>
  <c r="T194" i="90" s="1"/>
  <c r="AY204" i="71"/>
  <c r="AG71" i="90"/>
  <c r="AF65" i="71"/>
  <c r="AJ43" i="71"/>
  <c r="AG65" i="71"/>
  <c r="AI65" i="71"/>
  <c r="AJ65" i="71"/>
  <c r="AG43" i="71"/>
  <c r="AH65" i="71"/>
  <c r="AF43" i="71"/>
  <c r="AF71" i="90"/>
  <c r="AE43" i="71"/>
  <c r="AE65" i="71"/>
  <c r="AH43" i="71"/>
  <c r="AI43" i="71"/>
  <c r="X97" i="84"/>
  <c r="AG101" i="90" s="1"/>
  <c r="AF57" i="90"/>
  <c r="AH57" i="90"/>
  <c r="AM57" i="90" s="1"/>
  <c r="W52" i="84"/>
  <c r="AF56" i="90" s="1"/>
  <c r="X103" i="84"/>
  <c r="AG107" i="90" s="1"/>
  <c r="W97" i="84"/>
  <c r="AF101" i="90" s="1"/>
  <c r="AY202" i="71"/>
  <c r="Y198" i="84"/>
  <c r="AH202" i="90" s="1"/>
  <c r="S65" i="90"/>
  <c r="T65" i="90" s="1"/>
  <c r="AI122" i="71"/>
  <c r="AF122" i="71"/>
  <c r="AH144" i="71"/>
  <c r="AE144" i="71"/>
  <c r="AF144" i="71"/>
  <c r="AF150" i="90"/>
  <c r="AH122" i="71"/>
  <c r="AJ122" i="71"/>
  <c r="AG144" i="71"/>
  <c r="AE122" i="71"/>
  <c r="AG122" i="71"/>
  <c r="AI144" i="71"/>
  <c r="AJ144" i="71"/>
  <c r="AH150" i="90"/>
  <c r="AM150" i="90" s="1"/>
  <c r="AY67" i="71"/>
  <c r="AJ197" i="71"/>
  <c r="AI175" i="71"/>
  <c r="AF175" i="71"/>
  <c r="AH197" i="71"/>
  <c r="AG197" i="71"/>
  <c r="AF197" i="71"/>
  <c r="AJ175" i="71"/>
  <c r="AE175" i="71"/>
  <c r="AG175" i="71"/>
  <c r="AE197" i="71"/>
  <c r="AH175" i="71"/>
  <c r="AI197" i="71"/>
  <c r="AF203" i="90"/>
  <c r="AH103" i="90"/>
  <c r="AM103" i="90" s="1"/>
  <c r="AH97" i="71"/>
  <c r="AI75" i="71"/>
  <c r="AE75" i="71"/>
  <c r="AG75" i="71"/>
  <c r="AI97" i="71"/>
  <c r="AF103" i="90"/>
  <c r="AF97" i="71"/>
  <c r="AJ75" i="71"/>
  <c r="AJ97" i="71"/>
  <c r="AG97" i="71"/>
  <c r="AE97" i="71"/>
  <c r="AH75" i="71"/>
  <c r="AF75" i="71"/>
  <c r="S105" i="90"/>
  <c r="T105" i="90" s="1"/>
  <c r="Y107" i="84"/>
  <c r="AH111" i="90" s="1"/>
  <c r="X151" i="84"/>
  <c r="AG155" i="90" s="1"/>
  <c r="Y66" i="84"/>
  <c r="AH70" i="90" s="1"/>
  <c r="Y62" i="84"/>
  <c r="AH66" i="90" s="1"/>
  <c r="S161" i="90"/>
  <c r="T161" i="90" s="1"/>
  <c r="Y150" i="84"/>
  <c r="AH154" i="90" s="1"/>
  <c r="AY122" i="71"/>
  <c r="X195" i="84"/>
  <c r="AG199" i="90" s="1"/>
  <c r="X55" i="84"/>
  <c r="AG59" i="90" s="1"/>
  <c r="X54" i="84"/>
  <c r="AG58" i="90" s="1"/>
  <c r="AH149" i="90"/>
  <c r="AM149" i="90" s="1"/>
  <c r="AG121" i="71"/>
  <c r="AF121" i="71"/>
  <c r="AJ143" i="71"/>
  <c r="AH121" i="71"/>
  <c r="AE121" i="71"/>
  <c r="AI121" i="71"/>
  <c r="AF143" i="71"/>
  <c r="AG143" i="71"/>
  <c r="AE143" i="71"/>
  <c r="AF149" i="90"/>
  <c r="AJ121" i="71"/>
  <c r="AI143" i="71"/>
  <c r="AH143" i="71"/>
  <c r="Y61" i="84"/>
  <c r="AH65" i="90" s="1"/>
  <c r="X149" i="84"/>
  <c r="AG153" i="90" s="1"/>
  <c r="X98" i="84"/>
  <c r="AG102" i="90" s="1"/>
  <c r="Y202" i="84"/>
  <c r="AH206" i="90" s="1"/>
  <c r="X196" i="84"/>
  <c r="AG200" i="90" s="1"/>
  <c r="S66" i="90"/>
  <c r="T66" i="90" s="1"/>
  <c r="X63" i="84"/>
  <c r="AG67" i="90" s="1"/>
  <c r="S111" i="90"/>
  <c r="T111" i="90" s="1"/>
  <c r="X7" i="84"/>
  <c r="AG11" i="90" s="1"/>
  <c r="Y119" i="84"/>
  <c r="AH123" i="90" s="1"/>
  <c r="Y120" i="84"/>
  <c r="AH124" i="90" s="1"/>
  <c r="Y116" i="84"/>
  <c r="AH120" i="90" s="1"/>
  <c r="Y212" i="84"/>
  <c r="AH216" i="90" s="1"/>
  <c r="Y210" i="84"/>
  <c r="AH214" i="90" s="1"/>
  <c r="S63" i="90"/>
  <c r="T63" i="90" s="1"/>
  <c r="S204" i="90"/>
  <c r="T204" i="90" s="1"/>
  <c r="AG148" i="71"/>
  <c r="AI148" i="71"/>
  <c r="AJ126" i="71"/>
  <c r="AH148" i="71"/>
  <c r="AJ148" i="71"/>
  <c r="AH126" i="71"/>
  <c r="AF126" i="71"/>
  <c r="AE126" i="71"/>
  <c r="AI126" i="71"/>
  <c r="AF154" i="90"/>
  <c r="AF148" i="71"/>
  <c r="AG126" i="71"/>
  <c r="AE148" i="71"/>
  <c r="AF193" i="71"/>
  <c r="AF171" i="71"/>
  <c r="AG193" i="71"/>
  <c r="AG171" i="71"/>
  <c r="AJ193" i="71"/>
  <c r="AH193" i="71"/>
  <c r="AJ171" i="71"/>
  <c r="AI193" i="71"/>
  <c r="AE193" i="71"/>
  <c r="AH171" i="71"/>
  <c r="AI171" i="71"/>
  <c r="AE171" i="71"/>
  <c r="AF199" i="90"/>
  <c r="S103" i="90"/>
  <c r="T103" i="90" s="1"/>
  <c r="S102" i="90"/>
  <c r="T102" i="90" s="1"/>
  <c r="Y114" i="84"/>
  <c r="AH118" i="90" s="1"/>
  <c r="AJ98" i="71"/>
  <c r="AJ76" i="71"/>
  <c r="AG76" i="71"/>
  <c r="AH76" i="71"/>
  <c r="AF98" i="71"/>
  <c r="AF76" i="71"/>
  <c r="AI76" i="71"/>
  <c r="AF104" i="90"/>
  <c r="AE98" i="71"/>
  <c r="AI98" i="71"/>
  <c r="AG98" i="71"/>
  <c r="AE76" i="71"/>
  <c r="AH98" i="71"/>
  <c r="AH104" i="90"/>
  <c r="AM104" i="90" s="1"/>
  <c r="Y72" i="84"/>
  <c r="AH76" i="90" s="1"/>
  <c r="AG200" i="71"/>
  <c r="AG206" i="90"/>
  <c r="AI200" i="71"/>
  <c r="AJ178" i="71"/>
  <c r="AE178" i="71"/>
  <c r="AE200" i="71"/>
  <c r="AI178" i="71"/>
  <c r="AG178" i="71"/>
  <c r="AH200" i="71"/>
  <c r="AF178" i="71"/>
  <c r="AJ200" i="71"/>
  <c r="AH178" i="71"/>
  <c r="AF200" i="71"/>
  <c r="AF206" i="90"/>
  <c r="AE86" i="71"/>
  <c r="AI86" i="71"/>
  <c r="AF86" i="71"/>
  <c r="AI108" i="71"/>
  <c r="AH108" i="71"/>
  <c r="AG108" i="71"/>
  <c r="AJ108" i="71"/>
  <c r="AF114" i="90"/>
  <c r="AE108" i="71"/>
  <c r="AJ86" i="71"/>
  <c r="AF108" i="71"/>
  <c r="AH86" i="71"/>
  <c r="AG86" i="71"/>
  <c r="AG114" i="90"/>
  <c r="AF200" i="90"/>
  <c r="AH194" i="71"/>
  <c r="AJ172" i="71"/>
  <c r="AE194" i="71"/>
  <c r="AE172" i="71"/>
  <c r="AG172" i="71"/>
  <c r="AJ194" i="71"/>
  <c r="AF172" i="71"/>
  <c r="AF194" i="71"/>
  <c r="AH172" i="71"/>
  <c r="AG194" i="71"/>
  <c r="AI194" i="71"/>
  <c r="AI172" i="71"/>
  <c r="AY159" i="71"/>
  <c r="S147" i="90"/>
  <c r="T147" i="90" s="1"/>
  <c r="AF205" i="90"/>
  <c r="AI177" i="71"/>
  <c r="AG177" i="71"/>
  <c r="AE199" i="71"/>
  <c r="AF199" i="71"/>
  <c r="AF177" i="71"/>
  <c r="AJ177" i="71"/>
  <c r="AJ199" i="71"/>
  <c r="AG205" i="90"/>
  <c r="AE177" i="71"/>
  <c r="AH177" i="71"/>
  <c r="AI199" i="71"/>
  <c r="AH199" i="71"/>
  <c r="AG199" i="71"/>
  <c r="AE31" i="71"/>
  <c r="AF31" i="71"/>
  <c r="AI53" i="71"/>
  <c r="AI31" i="71"/>
  <c r="AJ53" i="71"/>
  <c r="AE53" i="71"/>
  <c r="AF59" i="90"/>
  <c r="AJ31" i="71"/>
  <c r="AG53" i="71"/>
  <c r="AH53" i="71"/>
  <c r="AG31" i="71"/>
  <c r="AF53" i="71"/>
  <c r="AH31" i="71"/>
  <c r="AH59" i="90"/>
  <c r="AM59" i="90" s="1"/>
  <c r="Y64" i="84"/>
  <c r="AH68" i="90" s="1"/>
  <c r="X192" i="84"/>
  <c r="AG196" i="90" s="1"/>
  <c r="Y160" i="84"/>
  <c r="AH164" i="90" s="1"/>
  <c r="Y122" i="84"/>
  <c r="AH126" i="90" s="1"/>
  <c r="AF149" i="71"/>
  <c r="AE149" i="71"/>
  <c r="AG127" i="71"/>
  <c r="AJ149" i="71"/>
  <c r="AF155" i="90"/>
  <c r="AI127" i="71"/>
  <c r="AH149" i="71"/>
  <c r="AI149" i="71"/>
  <c r="AJ127" i="71"/>
  <c r="AF127" i="71"/>
  <c r="AH127" i="71"/>
  <c r="AG149" i="71"/>
  <c r="AE127" i="71"/>
  <c r="Y158" i="84"/>
  <c r="AH162" i="90" s="1"/>
  <c r="S70" i="90"/>
  <c r="T70" i="90" s="1"/>
  <c r="Y204" i="84"/>
  <c r="AH208" i="90" s="1"/>
  <c r="S57" i="90"/>
  <c r="T57" i="90" s="1"/>
  <c r="AY205" i="71"/>
  <c r="X52" i="84"/>
  <c r="AG56" i="90" s="1"/>
  <c r="AI176" i="71"/>
  <c r="AE198" i="71"/>
  <c r="AH198" i="71"/>
  <c r="AF198" i="71"/>
  <c r="AG204" i="90"/>
  <c r="AE176" i="71"/>
  <c r="AG198" i="71"/>
  <c r="AF176" i="71"/>
  <c r="AJ176" i="71"/>
  <c r="AH176" i="71"/>
  <c r="AJ198" i="71"/>
  <c r="AG176" i="71"/>
  <c r="AI198" i="71"/>
  <c r="AF204" i="90"/>
  <c r="AH37" i="71"/>
  <c r="AE37" i="71"/>
  <c r="AE59" i="71"/>
  <c r="AJ37" i="71"/>
  <c r="AJ59" i="71"/>
  <c r="AI59" i="71"/>
  <c r="AF65" i="90"/>
  <c r="AF59" i="71"/>
  <c r="AG59" i="71"/>
  <c r="AF37" i="71"/>
  <c r="AG37" i="71"/>
  <c r="AI37" i="71"/>
  <c r="AH59" i="71"/>
  <c r="S150" i="90"/>
  <c r="T150" i="90" s="1"/>
  <c r="S192" i="90"/>
  <c r="T192" i="90" s="1"/>
  <c r="AF102" i="90"/>
  <c r="AH102" i="90"/>
  <c r="AM102" i="90" s="1"/>
  <c r="S113" i="90"/>
  <c r="T113" i="90" s="1"/>
  <c r="S108" i="90"/>
  <c r="T108" i="90" s="1"/>
  <c r="X109" i="84"/>
  <c r="AG113" i="90" s="1"/>
  <c r="Y199" i="84"/>
  <c r="AH203" i="90" s="1"/>
  <c r="AH192" i="71"/>
  <c r="AE170" i="71"/>
  <c r="AJ192" i="71"/>
  <c r="AJ170" i="71"/>
  <c r="AH170" i="71"/>
  <c r="AI170" i="71"/>
  <c r="AI192" i="71"/>
  <c r="AG170" i="71"/>
  <c r="AF170" i="71"/>
  <c r="AE192" i="71"/>
  <c r="AG192" i="71"/>
  <c r="AF192" i="71"/>
  <c r="AF198" i="90"/>
  <c r="X59" i="84"/>
  <c r="AG63" i="90" s="1"/>
  <c r="Y117" i="84"/>
  <c r="AH121" i="90" s="1"/>
  <c r="Y157" i="84"/>
  <c r="AH161" i="90" s="1"/>
  <c r="X101" i="84"/>
  <c r="AG105" i="90" s="1"/>
  <c r="X187" i="84"/>
  <c r="AG191" i="90" s="1"/>
  <c r="Y154" i="84"/>
  <c r="AH158" i="90" s="1"/>
  <c r="S200" i="90"/>
  <c r="T200" i="90" s="1"/>
  <c r="S64" i="90"/>
  <c r="T64" i="90" s="1"/>
  <c r="S109" i="90"/>
  <c r="T109" i="90" s="1"/>
  <c r="AH38" i="71"/>
  <c r="AF38" i="71"/>
  <c r="AG60" i="71"/>
  <c r="AG38" i="71"/>
  <c r="AE60" i="71"/>
  <c r="AH60" i="71"/>
  <c r="AF66" i="90"/>
  <c r="AI38" i="71"/>
  <c r="AE38" i="71"/>
  <c r="AJ60" i="71"/>
  <c r="AF60" i="71"/>
  <c r="AI60" i="71"/>
  <c r="AJ38" i="71"/>
  <c r="Y162" i="84"/>
  <c r="AH166" i="90" s="1"/>
  <c r="X152" i="84"/>
  <c r="AG156" i="90" s="1"/>
  <c r="W7" i="84"/>
  <c r="AF11" i="90" s="1"/>
  <c r="S158" i="90"/>
  <c r="T158" i="90" s="1"/>
  <c r="Y152" i="84"/>
  <c r="AH156" i="90" s="1"/>
  <c r="AF58" i="90"/>
  <c r="AH58" i="90"/>
  <c r="AM58" i="90" s="1"/>
  <c r="AI164" i="71"/>
  <c r="AJ186" i="71"/>
  <c r="AF186" i="71"/>
  <c r="AE164" i="71"/>
  <c r="AE186" i="71"/>
  <c r="AJ164" i="71"/>
  <c r="AF164" i="71"/>
  <c r="AF192" i="90"/>
  <c r="AH164" i="71"/>
  <c r="AH186" i="71"/>
  <c r="AG164" i="71"/>
  <c r="AG186" i="71"/>
  <c r="AI186" i="71"/>
  <c r="AH192" i="90"/>
  <c r="AM192" i="90" s="1"/>
  <c r="AE99" i="71"/>
  <c r="AI77" i="71"/>
  <c r="AI99" i="71"/>
  <c r="AJ77" i="71"/>
  <c r="AH99" i="71"/>
  <c r="AG77" i="71"/>
  <c r="AF99" i="71"/>
  <c r="AF77" i="71"/>
  <c r="AH77" i="71"/>
  <c r="AJ99" i="71"/>
  <c r="AF105" i="90"/>
  <c r="AE77" i="71"/>
  <c r="AG99" i="71"/>
  <c r="AH105" i="90"/>
  <c r="AM105" i="90" s="1"/>
  <c r="S148" i="90"/>
  <c r="T148" i="90" s="1"/>
  <c r="S116" i="90"/>
  <c r="T116" i="90" s="1"/>
  <c r="W116" i="90" s="1"/>
  <c r="AY206" i="71"/>
  <c r="X53" i="84"/>
  <c r="AG57" i="90" s="1"/>
  <c r="X143" i="84"/>
  <c r="AG147" i="90" s="1"/>
  <c r="S198" i="90"/>
  <c r="T198" i="90" s="1"/>
  <c r="AY68" i="71"/>
  <c r="Y59" i="84"/>
  <c r="AH63" i="90" s="1"/>
  <c r="AY201" i="71"/>
  <c r="Y153" i="84"/>
  <c r="AH157" i="90" s="1"/>
  <c r="S203" i="90"/>
  <c r="T203" i="90" s="1"/>
  <c r="AH197" i="90"/>
  <c r="AM197" i="90" s="1"/>
  <c r="AH191" i="71"/>
  <c r="AG191" i="71"/>
  <c r="AE191" i="71"/>
  <c r="AI169" i="71"/>
  <c r="AJ169" i="71"/>
  <c r="AH169" i="71"/>
  <c r="AG169" i="71"/>
  <c r="AJ191" i="71"/>
  <c r="AI191" i="71"/>
  <c r="AE169" i="71"/>
  <c r="AF169" i="71"/>
  <c r="AF197" i="90"/>
  <c r="AF191" i="71"/>
  <c r="Y151" i="84"/>
  <c r="AH155" i="90" s="1"/>
  <c r="Y118" i="84"/>
  <c r="AH122" i="90" s="1"/>
  <c r="S115" i="90"/>
  <c r="T115" i="90" s="1"/>
  <c r="AH102" i="71"/>
  <c r="AE102" i="71"/>
  <c r="AI80" i="71"/>
  <c r="AF102" i="71"/>
  <c r="AE80" i="71"/>
  <c r="AH80" i="71"/>
  <c r="AF80" i="71"/>
  <c r="AG102" i="71"/>
  <c r="AI102" i="71"/>
  <c r="AJ102" i="71"/>
  <c r="AJ80" i="71"/>
  <c r="AF108" i="90"/>
  <c r="AG80" i="71"/>
  <c r="X64" i="84"/>
  <c r="AG68" i="90" s="1"/>
  <c r="X150" i="84"/>
  <c r="AG154" i="90" s="1"/>
  <c r="AY113" i="71"/>
  <c r="X102" i="84"/>
  <c r="AG106" i="90" s="1"/>
  <c r="X99" i="84"/>
  <c r="AG103" i="90" s="1"/>
  <c r="Y106" i="84"/>
  <c r="AH110" i="90" s="1"/>
  <c r="X146" i="84"/>
  <c r="AG150" i="90" s="1"/>
  <c r="X193" i="84"/>
  <c r="AG197" i="90" s="1"/>
  <c r="Y112" i="84"/>
  <c r="AH116" i="90" s="1"/>
  <c r="Y65" i="84"/>
  <c r="AH69" i="90" s="1"/>
  <c r="Y104" i="84"/>
  <c r="AH108" i="90" s="1"/>
  <c r="AG36" i="71"/>
  <c r="AF58" i="71"/>
  <c r="AJ36" i="71"/>
  <c r="AF64" i="90"/>
  <c r="AH36" i="71"/>
  <c r="AG58" i="71"/>
  <c r="AF36" i="71"/>
  <c r="AJ58" i="71"/>
  <c r="AH58" i="71"/>
  <c r="AI58" i="71"/>
  <c r="AE58" i="71"/>
  <c r="AI36" i="71"/>
  <c r="AE36" i="71"/>
  <c r="Y68" i="84"/>
  <c r="AH72" i="90" s="1"/>
  <c r="S159" i="90"/>
  <c r="T159" i="90" s="1"/>
  <c r="S110" i="90"/>
  <c r="T110" i="90" s="1"/>
  <c r="AH147" i="90"/>
  <c r="AM147" i="90" s="1"/>
  <c r="AE119" i="71"/>
  <c r="AJ119" i="71"/>
  <c r="AI141" i="71"/>
  <c r="AG141" i="71"/>
  <c r="AF119" i="71"/>
  <c r="AG119" i="71"/>
  <c r="AF147" i="90"/>
  <c r="AH141" i="71"/>
  <c r="AF141" i="71"/>
  <c r="AJ141" i="71"/>
  <c r="AH119" i="71"/>
  <c r="AE141" i="71"/>
  <c r="AI119" i="71"/>
  <c r="S205" i="90"/>
  <c r="T205" i="90" s="1"/>
  <c r="X106" i="84"/>
  <c r="AG110" i="90" s="1"/>
  <c r="AY112" i="71"/>
  <c r="AY111" i="71"/>
  <c r="Y208" i="84"/>
  <c r="AH212" i="90" s="1"/>
  <c r="S153" i="90"/>
  <c r="T153" i="90" s="1"/>
  <c r="X148" i="84"/>
  <c r="AG152" i="90" s="1"/>
  <c r="Y167" i="84"/>
  <c r="AH171" i="90" s="1"/>
  <c r="X142" i="84"/>
  <c r="AG146" i="90" s="1"/>
  <c r="Y197" i="84"/>
  <c r="AH201" i="90" s="1"/>
  <c r="S154" i="90"/>
  <c r="T154" i="90" s="1"/>
  <c r="S199" i="90"/>
  <c r="T199" i="90" s="1"/>
  <c r="S58" i="90"/>
  <c r="T58" i="90" s="1"/>
  <c r="Y73" i="84"/>
  <c r="AH77" i="90" s="1"/>
  <c r="Y195" i="84"/>
  <c r="AH199" i="90" s="1"/>
  <c r="AJ154" i="71"/>
  <c r="AG160" i="90"/>
  <c r="AF154" i="71"/>
  <c r="AE154" i="71"/>
  <c r="AI132" i="71"/>
  <c r="AH132" i="71"/>
  <c r="AF132" i="71"/>
  <c r="AH154" i="71"/>
  <c r="AE132" i="71"/>
  <c r="AG154" i="71"/>
  <c r="AI154" i="71"/>
  <c r="AG132" i="71"/>
  <c r="AJ132" i="71"/>
  <c r="AF160" i="90"/>
  <c r="X188" i="84"/>
  <c r="AG192" i="90" s="1"/>
  <c r="Y108" i="84"/>
  <c r="AH112" i="90" s="1"/>
  <c r="X105" i="84"/>
  <c r="AG109" i="90" s="1"/>
  <c r="X60" i="84"/>
  <c r="AG64" i="90" s="1"/>
  <c r="Y105" i="84"/>
  <c r="AH109" i="90" s="1"/>
  <c r="S206" i="90"/>
  <c r="T206" i="90" s="1"/>
  <c r="X199" i="84"/>
  <c r="AG203" i="90" s="1"/>
  <c r="X104" i="84"/>
  <c r="AG108" i="90" s="1"/>
  <c r="X61" i="84"/>
  <c r="AG65" i="90" s="1"/>
  <c r="Y156" i="84"/>
  <c r="AH160" i="90" s="1"/>
  <c r="X190" i="84"/>
  <c r="AG194" i="90" s="1"/>
  <c r="Y67" i="84"/>
  <c r="AH71" i="90" s="1"/>
  <c r="Y201" i="84"/>
  <c r="AH205" i="90" s="1"/>
  <c r="Y110" i="84"/>
  <c r="AH114" i="90" s="1"/>
  <c r="X145" i="84"/>
  <c r="AG149" i="90" s="1"/>
  <c r="AG64" i="71"/>
  <c r="AE42" i="71"/>
  <c r="AJ64" i="71"/>
  <c r="AG42" i="71"/>
  <c r="AF42" i="71"/>
  <c r="AH42" i="71"/>
  <c r="AI64" i="71"/>
  <c r="AI42" i="71"/>
  <c r="AF64" i="71"/>
  <c r="AH64" i="71"/>
  <c r="AE64" i="71"/>
  <c r="AF70" i="90"/>
  <c r="AJ42" i="71"/>
  <c r="AG70" i="90"/>
  <c r="Y206" i="84"/>
  <c r="AH210" i="90" s="1"/>
  <c r="S160" i="90"/>
  <c r="T160" i="90" s="1"/>
  <c r="AY114" i="71"/>
  <c r="AY203" i="71"/>
  <c r="Y121" i="84"/>
  <c r="AH125" i="90" s="1"/>
  <c r="S71" i="90"/>
  <c r="T71" i="90" s="1"/>
  <c r="W71" i="90" s="1"/>
  <c r="Y63" i="84"/>
  <c r="AH67" i="90" s="1"/>
  <c r="Y163" i="84"/>
  <c r="AH167" i="90" s="1"/>
  <c r="AF158" i="90"/>
  <c r="AH152" i="71"/>
  <c r="AI152" i="71"/>
  <c r="AJ152" i="71"/>
  <c r="AF152" i="71"/>
  <c r="AF130" i="71"/>
  <c r="AE130" i="71"/>
  <c r="AE152" i="71"/>
  <c r="AH130" i="71"/>
  <c r="AG130" i="71"/>
  <c r="AG152" i="71"/>
  <c r="AI130" i="71"/>
  <c r="AJ130" i="71"/>
  <c r="AY156" i="71"/>
  <c r="X147" i="84"/>
  <c r="AG151" i="90" s="1"/>
  <c r="X197" i="84"/>
  <c r="AG201" i="90" s="1"/>
  <c r="X58" i="84"/>
  <c r="AG62" i="90" s="1"/>
  <c r="AF159" i="90"/>
  <c r="AG159" i="90"/>
  <c r="AG131" i="71"/>
  <c r="AI131" i="71"/>
  <c r="AF131" i="71"/>
  <c r="AJ153" i="71"/>
  <c r="AH153" i="71"/>
  <c r="AE153" i="71"/>
  <c r="AI153" i="71"/>
  <c r="AG153" i="71"/>
  <c r="AE131" i="71"/>
  <c r="AH131" i="71"/>
  <c r="AJ131" i="71"/>
  <c r="AF153" i="71"/>
  <c r="Y161" i="84"/>
  <c r="AH165" i="90" s="1"/>
  <c r="Y71" i="84"/>
  <c r="AH75" i="90" s="1"/>
  <c r="S197" i="90"/>
  <c r="T197" i="90" s="1"/>
  <c r="AH187" i="71"/>
  <c r="AF187" i="71"/>
  <c r="AG165" i="71"/>
  <c r="AF165" i="71"/>
  <c r="AG187" i="71"/>
  <c r="AI187" i="71"/>
  <c r="AE165" i="71"/>
  <c r="AH165" i="71"/>
  <c r="AJ187" i="71"/>
  <c r="AE187" i="71"/>
  <c r="AI165" i="71"/>
  <c r="AF193" i="90"/>
  <c r="AJ165" i="71"/>
  <c r="AH193" i="90"/>
  <c r="AM193" i="90" s="1"/>
  <c r="AG116" i="90"/>
  <c r="AI88" i="71"/>
  <c r="AG110" i="71"/>
  <c r="AE88" i="71"/>
  <c r="AF110" i="71"/>
  <c r="AH110" i="71"/>
  <c r="AG88" i="71"/>
  <c r="AI110" i="71"/>
  <c r="AE110" i="71"/>
  <c r="AF116" i="90"/>
  <c r="AF88" i="71"/>
  <c r="AJ88" i="71"/>
  <c r="AH88" i="71"/>
  <c r="AJ110" i="71"/>
  <c r="X189" i="84"/>
  <c r="AG193" i="90" s="1"/>
  <c r="X56" i="84"/>
  <c r="AG60" i="90" s="1"/>
  <c r="AG69" i="90"/>
  <c r="AH41" i="71"/>
  <c r="AI41" i="71"/>
  <c r="AF63" i="71"/>
  <c r="AE41" i="71"/>
  <c r="AG63" i="71"/>
  <c r="AJ41" i="71"/>
  <c r="AG41" i="71"/>
  <c r="AJ63" i="71"/>
  <c r="AI63" i="71"/>
  <c r="AF69" i="90"/>
  <c r="AE63" i="71"/>
  <c r="AF41" i="71"/>
  <c r="AH63" i="71"/>
  <c r="S69" i="90"/>
  <c r="T69" i="90" s="1"/>
  <c r="AG115" i="90"/>
  <c r="AJ109" i="71"/>
  <c r="AG109" i="71"/>
  <c r="AE87" i="71"/>
  <c r="AE109" i="71"/>
  <c r="AH109" i="71"/>
  <c r="AH87" i="71"/>
  <c r="AF87" i="71"/>
  <c r="AI87" i="71"/>
  <c r="AJ87" i="71"/>
  <c r="AF115" i="90"/>
  <c r="AI109" i="71"/>
  <c r="AF109" i="71"/>
  <c r="AG87" i="71"/>
  <c r="AI155" i="71"/>
  <c r="AI133" i="71"/>
  <c r="AJ133" i="71"/>
  <c r="AF133" i="71"/>
  <c r="AJ155" i="71"/>
  <c r="AF155" i="71"/>
  <c r="AE133" i="71"/>
  <c r="AH155" i="71"/>
  <c r="AG161" i="90"/>
  <c r="AG133" i="71"/>
  <c r="AE155" i="71"/>
  <c r="AH133" i="71"/>
  <c r="AG155" i="71"/>
  <c r="AF161" i="90"/>
  <c r="X107" i="84"/>
  <c r="AG111" i="90" s="1"/>
  <c r="X100" i="84"/>
  <c r="AG104" i="90" s="1"/>
  <c r="Y69" i="84"/>
  <c r="AH73" i="90" s="1"/>
  <c r="X154" i="84"/>
  <c r="AG158" i="90" s="1"/>
  <c r="X153" i="84"/>
  <c r="AG157" i="90" s="1"/>
  <c r="Y203" i="84"/>
  <c r="AH207" i="90" s="1"/>
  <c r="Y196" i="84"/>
  <c r="AH200" i="90" s="1"/>
  <c r="Y115" i="84"/>
  <c r="AH119" i="90" s="1"/>
  <c r="X198" i="84"/>
  <c r="AG202" i="90" s="1"/>
  <c r="AH194" i="90"/>
  <c r="AM194" i="90" s="1"/>
  <c r="AJ188" i="71"/>
  <c r="AJ166" i="71"/>
  <c r="AH188" i="71"/>
  <c r="AI166" i="71"/>
  <c r="AH166" i="71"/>
  <c r="AG188" i="71"/>
  <c r="AG166" i="71"/>
  <c r="AF188" i="71"/>
  <c r="AF194" i="90"/>
  <c r="AF166" i="71"/>
  <c r="AE166" i="71"/>
  <c r="AI188" i="71"/>
  <c r="AE188" i="71"/>
  <c r="AJ125" i="71"/>
  <c r="AF153" i="90"/>
  <c r="AE147" i="71"/>
  <c r="AI147" i="71"/>
  <c r="AH125" i="71"/>
  <c r="AI125" i="71"/>
  <c r="AG125" i="71"/>
  <c r="AJ147" i="71"/>
  <c r="AF125" i="71"/>
  <c r="AH147" i="71"/>
  <c r="AE125" i="71"/>
  <c r="AF147" i="71"/>
  <c r="AG147" i="71"/>
  <c r="AI82" i="71"/>
  <c r="AI104" i="71"/>
  <c r="AG82" i="71"/>
  <c r="AE82" i="71"/>
  <c r="AG104" i="71"/>
  <c r="AJ82" i="71"/>
  <c r="AJ104" i="71"/>
  <c r="AF104" i="71"/>
  <c r="AE104" i="71"/>
  <c r="AF82" i="71"/>
  <c r="AF110" i="90"/>
  <c r="AH82" i="71"/>
  <c r="AH104" i="71"/>
  <c r="AI83" i="71"/>
  <c r="AH105" i="71"/>
  <c r="AG83" i="71"/>
  <c r="AI105" i="71"/>
  <c r="AE105" i="71"/>
  <c r="AE83" i="71"/>
  <c r="AF83" i="71"/>
  <c r="AG105" i="71"/>
  <c r="AF111" i="90"/>
  <c r="AJ83" i="71"/>
  <c r="AJ105" i="71"/>
  <c r="AF105" i="71"/>
  <c r="AH83" i="71"/>
  <c r="AH60" i="90"/>
  <c r="AM60" i="90" s="1"/>
  <c r="AI54" i="71"/>
  <c r="AF32" i="71"/>
  <c r="AH32" i="71"/>
  <c r="AF54" i="71"/>
  <c r="AG32" i="71"/>
  <c r="AG54" i="71"/>
  <c r="AF60" i="90"/>
  <c r="AH54" i="71"/>
  <c r="AJ54" i="71"/>
  <c r="AE32" i="71"/>
  <c r="AJ32" i="71"/>
  <c r="AE54" i="71"/>
  <c r="AI32" i="71"/>
  <c r="Y209" i="84"/>
  <c r="AH213" i="90" s="1"/>
  <c r="AY66" i="71"/>
  <c r="Y113" i="84"/>
  <c r="AH117" i="90" s="1"/>
  <c r="AG35" i="71"/>
  <c r="AJ57" i="71"/>
  <c r="AF63" i="90"/>
  <c r="AI35" i="71"/>
  <c r="AH57" i="71"/>
  <c r="AI57" i="71"/>
  <c r="AF57" i="71"/>
  <c r="AE57" i="71"/>
  <c r="AF35" i="71"/>
  <c r="AE35" i="71"/>
  <c r="AH35" i="71"/>
  <c r="AJ35" i="71"/>
  <c r="AG57" i="71"/>
  <c r="Y165" i="84"/>
  <c r="AH169" i="90" s="1"/>
  <c r="AY157" i="71"/>
  <c r="S193" i="90"/>
  <c r="T193" i="90" s="1"/>
  <c r="AH148" i="90"/>
  <c r="AM148" i="90" s="1"/>
  <c r="AJ120" i="71"/>
  <c r="AF142" i="71"/>
  <c r="AG142" i="71"/>
  <c r="AI120" i="71"/>
  <c r="AG120" i="71"/>
  <c r="AF120" i="71"/>
  <c r="AJ142" i="71"/>
  <c r="AE142" i="71"/>
  <c r="AF148" i="90"/>
  <c r="AI142" i="71"/>
  <c r="AH120" i="71"/>
  <c r="AH142" i="71"/>
  <c r="AE120" i="71"/>
  <c r="AE85" i="71"/>
  <c r="AF107" i="71"/>
  <c r="AI85" i="71"/>
  <c r="AH85" i="71"/>
  <c r="AE107" i="71"/>
  <c r="AI107" i="71"/>
  <c r="AF113" i="90"/>
  <c r="AG107" i="71"/>
  <c r="AH107" i="71"/>
  <c r="AG85" i="71"/>
  <c r="AJ107" i="71"/>
  <c r="AF85" i="71"/>
  <c r="AJ85" i="71"/>
  <c r="X57" i="84"/>
  <c r="AG61" i="90" s="1"/>
  <c r="Y166" i="84"/>
  <c r="AH170" i="90" s="1"/>
  <c r="Y149" i="84"/>
  <c r="AH153" i="90" s="1"/>
  <c r="Y205" i="84"/>
  <c r="AH209" i="90" s="1"/>
  <c r="X144" i="84"/>
  <c r="AG148" i="90" s="1"/>
  <c r="Y211" i="84"/>
  <c r="AH215" i="90" s="1"/>
  <c r="X62" i="84"/>
  <c r="AG66" i="90" s="1"/>
  <c r="Y111" i="84"/>
  <c r="AH115" i="90" s="1"/>
  <c r="Y109" i="84"/>
  <c r="AH113" i="90" s="1"/>
  <c r="S104" i="90"/>
  <c r="T104" i="90" s="1"/>
  <c r="W104" i="90" s="1"/>
  <c r="Y155" i="84"/>
  <c r="AH159" i="90" s="1"/>
  <c r="S149" i="90"/>
  <c r="T149" i="90" s="1"/>
  <c r="Y60" i="84"/>
  <c r="AH64" i="90" s="1"/>
  <c r="S114" i="90"/>
  <c r="T114" i="90" s="1"/>
  <c r="X108" i="84"/>
  <c r="AG112" i="90" s="1"/>
  <c r="Y164" i="84"/>
  <c r="AH168" i="90" s="1"/>
  <c r="X194" i="84"/>
  <c r="AG198" i="90" s="1"/>
  <c r="Y200" i="84"/>
  <c r="AH204" i="90" s="1"/>
  <c r="Y194" i="84"/>
  <c r="AH198" i="90" s="1"/>
  <c r="AT148" i="70"/>
  <c r="AB148" i="70"/>
  <c r="W151" i="90"/>
  <c r="U151" i="90"/>
  <c r="V151" i="90" s="1"/>
  <c r="Y151" i="90" s="1"/>
  <c r="W61" i="90"/>
  <c r="U61" i="90"/>
  <c r="V61" i="90" s="1"/>
  <c r="Y61" i="90" s="1"/>
  <c r="AH52" i="70"/>
  <c r="AJ52" i="70" s="1"/>
  <c r="AT52" i="70"/>
  <c r="AV52" i="70" s="1"/>
  <c r="CS7" i="75" s="1"/>
  <c r="AB52" i="70"/>
  <c r="AD52" i="70" s="1"/>
  <c r="AT53" i="70"/>
  <c r="AV53" i="70" s="1"/>
  <c r="CS8" i="75" s="1"/>
  <c r="AU59" i="70"/>
  <c r="AO59" i="70"/>
  <c r="AC59" i="70"/>
  <c r="AI59" i="70"/>
  <c r="AH37" i="84"/>
  <c r="Y41" i="90"/>
  <c r="AB187" i="70"/>
  <c r="AD187" i="70" s="1"/>
  <c r="AT187" i="70"/>
  <c r="AV187" i="70" s="1"/>
  <c r="CV7" i="75" s="1"/>
  <c r="AC148" i="70"/>
  <c r="AI148" i="70"/>
  <c r="AH180" i="84"/>
  <c r="Y184" i="90"/>
  <c r="AH34" i="84"/>
  <c r="Y38" i="90"/>
  <c r="W107" i="90"/>
  <c r="U107" i="90"/>
  <c r="V107" i="90" s="1"/>
  <c r="Y107" i="90" s="1"/>
  <c r="AO151" i="70"/>
  <c r="AC151" i="70"/>
  <c r="AD151" i="70" s="1"/>
  <c r="Y136" i="90"/>
  <c r="AH132" i="84"/>
  <c r="U106" i="90"/>
  <c r="V106" i="90" s="1"/>
  <c r="Y106" i="90" s="1"/>
  <c r="W106" i="90"/>
  <c r="AD16" i="75"/>
  <c r="DL16" i="75"/>
  <c r="EG16" i="75"/>
  <c r="BV16" i="75"/>
  <c r="AB6" i="75"/>
  <c r="AW6" i="75"/>
  <c r="DJ6" i="75"/>
  <c r="BT6" i="75"/>
  <c r="AB98" i="70"/>
  <c r="AD98" i="70" s="1"/>
  <c r="AN98" i="70"/>
  <c r="AP98" i="70" s="1"/>
  <c r="AT98" i="70"/>
  <c r="AV98" i="70" s="1"/>
  <c r="CT8" i="75" s="1"/>
  <c r="Y216" i="90"/>
  <c r="AH212" i="84"/>
  <c r="AH69" i="84"/>
  <c r="Y73" i="90"/>
  <c r="EE18" i="75"/>
  <c r="CO18" i="75"/>
  <c r="AB18" i="75"/>
  <c r="DJ18" i="75"/>
  <c r="BT18" i="75"/>
  <c r="AW18" i="75"/>
  <c r="AU101" i="70"/>
  <c r="AV101" i="70" s="1"/>
  <c r="CT11" i="75" s="1"/>
  <c r="AO101" i="70"/>
  <c r="AC101" i="70"/>
  <c r="Y138" i="90"/>
  <c r="AH134" i="84"/>
  <c r="AH39" i="84"/>
  <c r="Y43" i="90"/>
  <c r="AH114" i="84"/>
  <c r="Y118" i="90"/>
  <c r="Y44" i="90"/>
  <c r="AH40" i="84"/>
  <c r="AC57" i="70"/>
  <c r="AU57" i="70"/>
  <c r="AI57" i="70"/>
  <c r="AJ57" i="70" s="1"/>
  <c r="AO57" i="70"/>
  <c r="AN59" i="70"/>
  <c r="AT59" i="70"/>
  <c r="AH213" i="84"/>
  <c r="Y217" i="90"/>
  <c r="W191" i="90"/>
  <c r="AH148" i="70"/>
  <c r="AC152" i="70"/>
  <c r="AD152" i="70" s="1"/>
  <c r="AV148" i="70"/>
  <c r="CU13" i="75" s="1"/>
  <c r="DK8" i="75"/>
  <c r="Y117" i="90"/>
  <c r="AH113" i="84"/>
  <c r="BS7" i="75"/>
  <c r="AV7" i="75"/>
  <c r="ED7" i="75"/>
  <c r="CN7" i="75"/>
  <c r="DI7" i="75"/>
  <c r="AA7" i="75"/>
  <c r="U201" i="90"/>
  <c r="V201" i="90" s="1"/>
  <c r="W201" i="90"/>
  <c r="AH118" i="84"/>
  <c r="Y122" i="90"/>
  <c r="AH160" i="84"/>
  <c r="Y164" i="90"/>
  <c r="AH219" i="84"/>
  <c r="Y223" i="90"/>
  <c r="AX13" i="75"/>
  <c r="CP13" i="75"/>
  <c r="AC13" i="75"/>
  <c r="EF13" i="75"/>
  <c r="DK13" i="75"/>
  <c r="BU13" i="75"/>
  <c r="Y88" i="90"/>
  <c r="AH84" i="84"/>
  <c r="AH78" i="84"/>
  <c r="Y82" i="90"/>
  <c r="Y182" i="90"/>
  <c r="AH178" i="84"/>
  <c r="S95" i="71"/>
  <c r="AH42" i="84"/>
  <c r="Y46" i="90"/>
  <c r="DK11" i="75"/>
  <c r="EF11" i="75"/>
  <c r="AC11" i="75"/>
  <c r="BU11" i="75"/>
  <c r="CP11" i="75"/>
  <c r="AX11" i="75"/>
  <c r="AH56" i="70"/>
  <c r="AJ56" i="70" s="1"/>
  <c r="AT56" i="70"/>
  <c r="AV56" i="70" s="1"/>
  <c r="CS11" i="75" s="1"/>
  <c r="AN56" i="70"/>
  <c r="AP56" i="70" s="1"/>
  <c r="BX11" i="75" s="1"/>
  <c r="AB56" i="70"/>
  <c r="AD56" i="70" s="1"/>
  <c r="AO197" i="70"/>
  <c r="AP197" i="70" s="1"/>
  <c r="CA17" i="75" s="1"/>
  <c r="AI197" i="70"/>
  <c r="AJ197" i="70" s="1"/>
  <c r="Y37" i="90"/>
  <c r="AH33" i="84"/>
  <c r="AC192" i="70"/>
  <c r="AD192" i="70" s="1"/>
  <c r="AI192" i="70"/>
  <c r="AN96" i="70"/>
  <c r="AP96" i="70" s="1"/>
  <c r="AT96" i="70"/>
  <c r="AV96" i="70" s="1"/>
  <c r="CT6" i="75" s="1"/>
  <c r="AB96" i="70"/>
  <c r="AD96" i="70" s="1"/>
  <c r="AH96" i="70"/>
  <c r="AJ96" i="70" s="1"/>
  <c r="AH223" i="84"/>
  <c r="Y227" i="90"/>
  <c r="Y89" i="90"/>
  <c r="AH85" i="84"/>
  <c r="Y33" i="90"/>
  <c r="AH29" i="84"/>
  <c r="AB8" i="75"/>
  <c r="AW8" i="75"/>
  <c r="DJ8" i="75"/>
  <c r="BT8" i="75"/>
  <c r="EE8" i="75"/>
  <c r="CO8" i="75"/>
  <c r="AT95" i="70"/>
  <c r="AV95" i="70" s="1"/>
  <c r="CT5" i="75" s="1"/>
  <c r="AB95" i="70"/>
  <c r="AD95" i="70" s="1"/>
  <c r="AN95" i="70"/>
  <c r="AP95" i="70" s="1"/>
  <c r="BY5" i="75" s="1"/>
  <c r="AH95" i="70"/>
  <c r="AJ95" i="70" s="1"/>
  <c r="DJ16" i="75"/>
  <c r="CO16" i="75"/>
  <c r="BT16" i="75"/>
  <c r="AW16" i="75"/>
  <c r="H4" i="76"/>
  <c r="BP49" i="70"/>
  <c r="AH28" i="84"/>
  <c r="Y32" i="90"/>
  <c r="Y78" i="90"/>
  <c r="AH74" i="84"/>
  <c r="Y214" i="90"/>
  <c r="AH210" i="84"/>
  <c r="Y40" i="90"/>
  <c r="AH36" i="84"/>
  <c r="Y173" i="90"/>
  <c r="AH169" i="84"/>
  <c r="BU7" i="75"/>
  <c r="CP7" i="75"/>
  <c r="AX7" i="75"/>
  <c r="AC7" i="75"/>
  <c r="DK7" i="75"/>
  <c r="EF7" i="75"/>
  <c r="BP184" i="71"/>
  <c r="BQ184" i="71" s="1"/>
  <c r="AL5" i="74"/>
  <c r="Y81" i="90"/>
  <c r="AH77" i="84"/>
  <c r="Y31" i="90"/>
  <c r="AH27" i="84"/>
  <c r="AC102" i="70"/>
  <c r="AD102" i="70" s="1"/>
  <c r="AI102" i="70"/>
  <c r="AJ102" i="70" s="1"/>
  <c r="AU102" i="70"/>
  <c r="AV102" i="70" s="1"/>
  <c r="CT12" i="75" s="1"/>
  <c r="AO102" i="70"/>
  <c r="AH175" i="84"/>
  <c r="Y179" i="90"/>
  <c r="AI153" i="70"/>
  <c r="AJ153" i="70" s="1"/>
  <c r="AN148" i="70"/>
  <c r="AP148" i="70" s="1"/>
  <c r="BZ13" i="75" s="1"/>
  <c r="AO152" i="70"/>
  <c r="AP152" i="70" s="1"/>
  <c r="BZ17" i="75" s="1"/>
  <c r="AI106" i="70"/>
  <c r="AJ106" i="70" s="1"/>
  <c r="AH59" i="70"/>
  <c r="AJ59" i="70" s="1"/>
  <c r="AC8" i="75"/>
  <c r="BT14" i="75"/>
  <c r="AW14" i="75"/>
  <c r="EE14" i="75"/>
  <c r="CO14" i="75"/>
  <c r="AB14" i="75"/>
  <c r="DJ14" i="75"/>
  <c r="AH5" i="74"/>
  <c r="S6" i="71"/>
  <c r="BP4" i="71"/>
  <c r="BQ4" i="71" s="1"/>
  <c r="AT140" i="70"/>
  <c r="AV140" i="70" s="1"/>
  <c r="CU5" i="75" s="1"/>
  <c r="AN140" i="70"/>
  <c r="AP140" i="70" s="1"/>
  <c r="BZ5" i="75" s="1"/>
  <c r="AH203" i="84"/>
  <c r="Y207" i="90"/>
  <c r="AH167" i="84"/>
  <c r="Y171" i="90"/>
  <c r="AH129" i="84"/>
  <c r="Y133" i="90"/>
  <c r="AH176" i="84"/>
  <c r="Y180" i="90"/>
  <c r="Y132" i="90"/>
  <c r="AH128" i="84"/>
  <c r="AI63" i="70"/>
  <c r="AJ63" i="70" s="1"/>
  <c r="Y220" i="90"/>
  <c r="AH216" i="84"/>
  <c r="AN50" i="70"/>
  <c r="AP50" i="70" s="1"/>
  <c r="BX5" i="75" s="1"/>
  <c r="AT50" i="70"/>
  <c r="AV50" i="70" s="1"/>
  <c r="CS5" i="75" s="1"/>
  <c r="S50" i="71"/>
  <c r="AH224" i="84"/>
  <c r="Y228" i="90"/>
  <c r="AH79" i="84"/>
  <c r="Y83" i="90"/>
  <c r="Y215" i="90"/>
  <c r="AH211" i="84"/>
  <c r="W67" i="90"/>
  <c r="U67" i="90"/>
  <c r="V67" i="90" s="1"/>
  <c r="W202" i="90"/>
  <c r="U202" i="90"/>
  <c r="V202" i="90" s="1"/>
  <c r="W157" i="90"/>
  <c r="U157" i="90"/>
  <c r="V157" i="90" s="1"/>
  <c r="AH26" i="84"/>
  <c r="Y30" i="90"/>
  <c r="AN143" i="70"/>
  <c r="AP143" i="70" s="1"/>
  <c r="AH143" i="70"/>
  <c r="AJ143" i="70" s="1"/>
  <c r="AT143" i="70"/>
  <c r="AV143" i="70" s="1"/>
  <c r="CU8" i="75" s="1"/>
  <c r="Y90" i="90"/>
  <c r="AH86" i="84"/>
  <c r="AB185" i="70"/>
  <c r="AD185" i="70" s="1"/>
  <c r="AN185" i="70"/>
  <c r="AP185" i="70" s="1"/>
  <c r="CA5" i="75" s="1"/>
  <c r="Y134" i="90"/>
  <c r="AH130" i="84"/>
  <c r="AT106" i="70"/>
  <c r="AN106" i="70"/>
  <c r="AB106" i="70"/>
  <c r="AN101" i="70"/>
  <c r="AB101" i="70"/>
  <c r="AC19" i="75"/>
  <c r="CP19" i="75"/>
  <c r="AX19" i="75"/>
  <c r="DK19" i="75"/>
  <c r="AH222" i="84"/>
  <c r="Y226" i="90"/>
  <c r="AB193" i="70"/>
  <c r="AH193" i="70"/>
  <c r="AT193" i="70"/>
  <c r="AB59" i="70"/>
  <c r="AX8" i="75"/>
  <c r="AO103" i="70"/>
  <c r="AU103" i="70"/>
  <c r="AH127" i="84"/>
  <c r="Y131" i="90"/>
  <c r="AT57" i="70"/>
  <c r="AV57" i="70" s="1"/>
  <c r="CS12" i="75" s="1"/>
  <c r="AB57" i="70"/>
  <c r="AD57" i="70" s="1"/>
  <c r="AN57" i="70"/>
  <c r="AH30" i="84"/>
  <c r="Y34" i="90"/>
  <c r="BV18" i="75"/>
  <c r="EG18" i="75"/>
  <c r="CQ18" i="75"/>
  <c r="AD18" i="75"/>
  <c r="DL18" i="75"/>
  <c r="AY18" i="75"/>
  <c r="AB12" i="75"/>
  <c r="DJ12" i="75"/>
  <c r="AW12" i="75"/>
  <c r="CO12" i="75"/>
  <c r="U62" i="90"/>
  <c r="V62" i="90" s="1"/>
  <c r="Y62" i="90" s="1"/>
  <c r="W62" i="90"/>
  <c r="Y225" i="90"/>
  <c r="AH221" i="84"/>
  <c r="Y47" i="90"/>
  <c r="AH43" i="84"/>
  <c r="DI19" i="75"/>
  <c r="CN19" i="75"/>
  <c r="AA19" i="75"/>
  <c r="AV19" i="75"/>
  <c r="ED19" i="75"/>
  <c r="BS19" i="75"/>
  <c r="Y86" i="90"/>
  <c r="AH82" i="84"/>
  <c r="Y174" i="90"/>
  <c r="AH170" i="84"/>
  <c r="AH179" i="84"/>
  <c r="Y183" i="90"/>
  <c r="Y128" i="90"/>
  <c r="AH124" i="84"/>
  <c r="AH151" i="70"/>
  <c r="AJ151" i="70" s="1"/>
  <c r="BP139" i="71"/>
  <c r="BQ139" i="71" s="1"/>
  <c r="AK5" i="74"/>
  <c r="AC58" i="70"/>
  <c r="AD58" i="70" s="1"/>
  <c r="AI58" i="70"/>
  <c r="AJ58" i="70" s="1"/>
  <c r="AD5" i="75"/>
  <c r="BV5" i="75"/>
  <c r="EG6" i="75"/>
  <c r="CQ6" i="75"/>
  <c r="DL6" i="75"/>
  <c r="BV6" i="75"/>
  <c r="AH220" i="84"/>
  <c r="Y224" i="90"/>
  <c r="AH141" i="70"/>
  <c r="AJ141" i="70" s="1"/>
  <c r="AT141" i="70"/>
  <c r="AV141" i="70" s="1"/>
  <c r="CU6" i="75" s="1"/>
  <c r="AB141" i="70"/>
  <c r="AD141" i="70" s="1"/>
  <c r="AU109" i="70"/>
  <c r="AV109" i="70" s="1"/>
  <c r="CT19" i="75" s="1"/>
  <c r="AI109" i="70"/>
  <c r="AJ109" i="70" s="1"/>
  <c r="AC109" i="70"/>
  <c r="AD109" i="70" s="1"/>
  <c r="Y176" i="90"/>
  <c r="AH172" i="84"/>
  <c r="AH207" i="84"/>
  <c r="Y211" i="90"/>
  <c r="Y222" i="90"/>
  <c r="AH218" i="84"/>
  <c r="AW11" i="75"/>
  <c r="BT11" i="75"/>
  <c r="EE11" i="75"/>
  <c r="AB11" i="75"/>
  <c r="DJ11" i="75"/>
  <c r="CO11" i="75"/>
  <c r="W156" i="90"/>
  <c r="U156" i="90"/>
  <c r="V156" i="90" s="1"/>
  <c r="AT191" i="70"/>
  <c r="AV191" i="70" s="1"/>
  <c r="CV11" i="75" s="1"/>
  <c r="AN191" i="70"/>
  <c r="AP191" i="70" s="1"/>
  <c r="AH191" i="70"/>
  <c r="AJ191" i="70" s="1"/>
  <c r="U152" i="90"/>
  <c r="V152" i="90" s="1"/>
  <c r="Y152" i="90" s="1"/>
  <c r="W152" i="90"/>
  <c r="AD13" i="75"/>
  <c r="AY13" i="75"/>
  <c r="Y121" i="90"/>
  <c r="AH117" i="84"/>
  <c r="AH44" i="84"/>
  <c r="Y48" i="90"/>
  <c r="AH126" i="84"/>
  <c r="Y130" i="90"/>
  <c r="AH89" i="84"/>
  <c r="Y93" i="90"/>
  <c r="BP5" i="70"/>
  <c r="BP4" i="70"/>
  <c r="G4" i="76"/>
  <c r="AB196" i="70"/>
  <c r="AD196" i="70" s="1"/>
  <c r="AN196" i="70"/>
  <c r="AP196" i="70" s="1"/>
  <c r="CA16" i="75" s="1"/>
  <c r="Y167" i="90"/>
  <c r="AH163" i="84"/>
  <c r="AU106" i="70"/>
  <c r="AC106" i="70"/>
  <c r="AO106" i="70"/>
  <c r="AW19" i="75"/>
  <c r="AB19" i="75"/>
  <c r="CO19" i="75"/>
  <c r="EE19" i="75"/>
  <c r="DJ19" i="75"/>
  <c r="BT19" i="75"/>
  <c r="Y27" i="90"/>
  <c r="AH23" i="84"/>
  <c r="AU108" i="70"/>
  <c r="AV108" i="70" s="1"/>
  <c r="CT18" i="75" s="1"/>
  <c r="AI108" i="70"/>
  <c r="AJ108" i="70" s="1"/>
  <c r="AC108" i="70"/>
  <c r="AD108" i="70" s="1"/>
  <c r="AO108" i="70"/>
  <c r="AP108" i="70" s="1"/>
  <c r="BP139" i="70"/>
  <c r="J4" i="76"/>
  <c r="AH31" i="84"/>
  <c r="Y35" i="90"/>
  <c r="Y28" i="90"/>
  <c r="AH24" i="84"/>
  <c r="BT7" i="75"/>
  <c r="AW7" i="75"/>
  <c r="CO7" i="75"/>
  <c r="AB7" i="75"/>
  <c r="EE7" i="75"/>
  <c r="DJ7" i="75"/>
  <c r="BV11" i="75"/>
  <c r="DL11" i="75"/>
  <c r="AD11" i="75"/>
  <c r="CQ11" i="75"/>
  <c r="Y221" i="90"/>
  <c r="AH217" i="84"/>
  <c r="AH135" i="84"/>
  <c r="Y139" i="90"/>
  <c r="EE17" i="75"/>
  <c r="BT17" i="75"/>
  <c r="DJ17" i="75"/>
  <c r="AC193" i="70"/>
  <c r="AI193" i="70"/>
  <c r="AU193" i="70"/>
  <c r="AH80" i="84"/>
  <c r="Y84" i="90"/>
  <c r="Y36" i="90"/>
  <c r="AH32" i="84"/>
  <c r="AH81" i="84"/>
  <c r="Y85" i="90"/>
  <c r="AP102" i="70"/>
  <c r="BY12" i="75" s="1"/>
  <c r="AT196" i="70"/>
  <c r="AV196" i="70" s="1"/>
  <c r="CV16" i="75" s="1"/>
  <c r="AH214" i="84"/>
  <c r="AP104" i="70"/>
  <c r="BU8" i="75"/>
  <c r="AN103" i="70"/>
  <c r="AP103" i="70" s="1"/>
  <c r="BY13" i="75" s="1"/>
  <c r="AB103" i="70"/>
  <c r="AD103" i="70" s="1"/>
  <c r="AT103" i="70"/>
  <c r="AH103" i="70"/>
  <c r="AJ103" i="70" s="1"/>
  <c r="AC104" i="70"/>
  <c r="AD104" i="70" s="1"/>
  <c r="AU104" i="70"/>
  <c r="AV104" i="70" s="1"/>
  <c r="CT14" i="75" s="1"/>
  <c r="AI104" i="70"/>
  <c r="AJ104" i="70" s="1"/>
  <c r="AC198" i="70"/>
  <c r="AD198" i="70" s="1"/>
  <c r="AU198" i="70"/>
  <c r="AV198" i="70" s="1"/>
  <c r="CV18" i="75" s="1"/>
  <c r="AI198" i="70"/>
  <c r="AJ198" i="70" s="1"/>
  <c r="Y163" i="90"/>
  <c r="AH159" i="84"/>
  <c r="Y208" i="90"/>
  <c r="AH204" i="84"/>
  <c r="DL7" i="75"/>
  <c r="CQ7" i="75"/>
  <c r="BV7" i="75"/>
  <c r="AY7" i="75"/>
  <c r="AD7" i="75"/>
  <c r="EG7" i="75"/>
  <c r="Y102" i="88"/>
  <c r="T101" i="88"/>
  <c r="T102" i="88" s="1"/>
  <c r="CN18" i="75"/>
  <c r="DI18" i="75"/>
  <c r="ED18" i="75"/>
  <c r="AA18" i="75"/>
  <c r="Y219" i="90"/>
  <c r="AH215" i="84"/>
  <c r="Y212" i="90"/>
  <c r="AH208" i="84"/>
  <c r="AI146" i="70"/>
  <c r="AJ146" i="70" s="1"/>
  <c r="AO146" i="70"/>
  <c r="AP146" i="70" s="1"/>
  <c r="AH45" i="84"/>
  <c r="Y49" i="90"/>
  <c r="Y87" i="90"/>
  <c r="AH83" i="84"/>
  <c r="Y119" i="90"/>
  <c r="AH115" i="84"/>
  <c r="AH147" i="70"/>
  <c r="AJ147" i="70" s="1"/>
  <c r="AN147" i="70"/>
  <c r="AP147" i="70" s="1"/>
  <c r="BZ12" i="75" s="1"/>
  <c r="AT147" i="70"/>
  <c r="AV147" i="70" s="1"/>
  <c r="CU12" i="75" s="1"/>
  <c r="AB147" i="70"/>
  <c r="AD147" i="70" s="1"/>
  <c r="AN192" i="70"/>
  <c r="AP192" i="70" s="1"/>
  <c r="CA12" i="75" s="1"/>
  <c r="AT192" i="70"/>
  <c r="AV192" i="70" s="1"/>
  <c r="CV12" i="75" s="1"/>
  <c r="AH192" i="70"/>
  <c r="AH41" i="84"/>
  <c r="Y45" i="90"/>
  <c r="AT51" i="70"/>
  <c r="AV51" i="70" s="1"/>
  <c r="CS6" i="75" s="1"/>
  <c r="AH51" i="70"/>
  <c r="AJ51" i="70" s="1"/>
  <c r="AN51" i="70"/>
  <c r="AP51" i="70" s="1"/>
  <c r="Y80" i="90"/>
  <c r="AH76" i="84"/>
  <c r="W196" i="90"/>
  <c r="U196" i="90"/>
  <c r="V196" i="90" s="1"/>
  <c r="Y196" i="90" s="1"/>
  <c r="AH125" i="84"/>
  <c r="Y129" i="90"/>
  <c r="AH71" i="84"/>
  <c r="Y75" i="90"/>
  <c r="S141" i="71"/>
  <c r="Y126" i="90"/>
  <c r="AH122" i="84"/>
  <c r="AH120" i="84"/>
  <c r="Y124" i="90"/>
  <c r="Y29" i="90"/>
  <c r="AH25" i="84"/>
  <c r="I4" i="76"/>
  <c r="BP94" i="70"/>
  <c r="BV12" i="75"/>
  <c r="CQ12" i="75"/>
  <c r="EG12" i="75"/>
  <c r="AY12" i="75"/>
  <c r="AD12" i="75"/>
  <c r="DL12" i="75"/>
  <c r="AC153" i="70"/>
  <c r="AD153" i="70" s="1"/>
  <c r="AU153" i="70"/>
  <c r="AV153" i="70" s="1"/>
  <c r="CU18" i="75" s="1"/>
  <c r="AU70" i="90"/>
  <c r="AH196" i="70"/>
  <c r="AJ196" i="70" s="1"/>
  <c r="AV146" i="70"/>
  <c r="CU11" i="75" s="1"/>
  <c r="Y175" i="90"/>
  <c r="AH171" i="84"/>
  <c r="Y42" i="90"/>
  <c r="AH38" i="84"/>
  <c r="Y120" i="90"/>
  <c r="AH116" i="84"/>
  <c r="Y39" i="90"/>
  <c r="AH35" i="84"/>
  <c r="AH87" i="84"/>
  <c r="Y91" i="90"/>
  <c r="AU64" i="70"/>
  <c r="AV64" i="70" s="1"/>
  <c r="CS19" i="75" s="1"/>
  <c r="AC64" i="70"/>
  <c r="AD64" i="70" s="1"/>
  <c r="AI64" i="70"/>
  <c r="AJ64" i="70" s="1"/>
  <c r="AO64" i="70"/>
  <c r="AP64" i="70" s="1"/>
  <c r="AH75" i="84"/>
  <c r="Y79" i="90"/>
  <c r="AH73" i="84"/>
  <c r="Y77" i="90"/>
  <c r="U112" i="90"/>
  <c r="V112" i="90" s="1"/>
  <c r="W112" i="90"/>
  <c r="AH88" i="84"/>
  <c r="Y92" i="90"/>
  <c r="AH119" i="84"/>
  <c r="Y123" i="90"/>
  <c r="Y125" i="90"/>
  <c r="AH121" i="84"/>
  <c r="Y94" i="90"/>
  <c r="AH90" i="84"/>
  <c r="Y229" i="90"/>
  <c r="AH225" i="84"/>
  <c r="CP17" i="75"/>
  <c r="DK17" i="75"/>
  <c r="AC17" i="75"/>
  <c r="EF17" i="75"/>
  <c r="BU17" i="75"/>
  <c r="AX17" i="75"/>
  <c r="BS6" i="75"/>
  <c r="ED6" i="75"/>
  <c r="AV6" i="75"/>
  <c r="DI6" i="75"/>
  <c r="CN6" i="75"/>
  <c r="AA6" i="75"/>
  <c r="AU62" i="70"/>
  <c r="AV62" i="70" s="1"/>
  <c r="CS17" i="75" s="1"/>
  <c r="AC62" i="70"/>
  <c r="AD62" i="70" s="1"/>
  <c r="BP184" i="70"/>
  <c r="K4" i="76"/>
  <c r="AH68" i="84"/>
  <c r="Y72" i="90"/>
  <c r="Y210" i="90"/>
  <c r="AH206" i="84"/>
  <c r="Y79" i="88"/>
  <c r="T78" i="88"/>
  <c r="T79" i="88" s="1"/>
  <c r="AH168" i="84"/>
  <c r="Y172" i="90"/>
  <c r="AU153" i="90"/>
  <c r="AP151" i="70"/>
  <c r="BZ16" i="75" s="1"/>
  <c r="AH70" i="84"/>
  <c r="Y74" i="90"/>
  <c r="CN12" i="75"/>
  <c r="BS12" i="75"/>
  <c r="DI12" i="75"/>
  <c r="AV12" i="75"/>
  <c r="AA12" i="75"/>
  <c r="ED12" i="75"/>
  <c r="U146" i="90"/>
  <c r="V146" i="90" s="1"/>
  <c r="Y146" i="90" s="1"/>
  <c r="W146" i="90"/>
  <c r="AH158" i="84"/>
  <c r="Y162" i="90"/>
  <c r="AH177" i="84"/>
  <c r="Y181" i="90"/>
  <c r="Y137" i="90"/>
  <c r="AH133" i="84"/>
  <c r="AH161" i="84"/>
  <c r="Y165" i="90"/>
  <c r="Y11" i="90"/>
  <c r="Y170" i="90"/>
  <c r="AH166" i="84"/>
  <c r="U68" i="90"/>
  <c r="V68" i="90" s="1"/>
  <c r="W68" i="90"/>
  <c r="ED13" i="75"/>
  <c r="DI13" i="75"/>
  <c r="AV13" i="75"/>
  <c r="CN13" i="75"/>
  <c r="AY10" i="75"/>
  <c r="CQ10" i="75"/>
  <c r="BV10" i="75"/>
  <c r="EG10" i="75"/>
  <c r="AD10" i="75"/>
  <c r="DL10" i="75"/>
  <c r="DK6" i="75"/>
  <c r="AC6" i="75"/>
  <c r="AX6" i="75"/>
  <c r="CP6" i="75"/>
  <c r="Y166" i="90"/>
  <c r="AH162" i="84"/>
  <c r="Y178" i="90"/>
  <c r="AH174" i="84"/>
  <c r="AH164" i="84"/>
  <c r="Y168" i="90"/>
  <c r="AA17" i="75"/>
  <c r="DI17" i="75"/>
  <c r="BS17" i="75"/>
  <c r="AN97" i="70"/>
  <c r="AP97" i="70" s="1"/>
  <c r="BY7" i="75" s="1"/>
  <c r="AH97" i="70"/>
  <c r="AJ97" i="70" s="1"/>
  <c r="AB97" i="70"/>
  <c r="AD97" i="70" s="1"/>
  <c r="AH205" i="84"/>
  <c r="Y209" i="90"/>
  <c r="Y135" i="90"/>
  <c r="AH131" i="84"/>
  <c r="AY19" i="75"/>
  <c r="EG19" i="75"/>
  <c r="AN142" i="70"/>
  <c r="AP142" i="70" s="1"/>
  <c r="AH142" i="70"/>
  <c r="AJ142" i="70" s="1"/>
  <c r="AH209" i="84"/>
  <c r="Y213" i="90"/>
  <c r="AU107" i="70"/>
  <c r="AV107" i="70" s="1"/>
  <c r="CT17" i="75" s="1"/>
  <c r="AC107" i="70"/>
  <c r="AD107" i="70" s="1"/>
  <c r="Y177" i="90"/>
  <c r="AH173" i="84"/>
  <c r="W96" i="70"/>
  <c r="W141" i="70"/>
  <c r="W50" i="70"/>
  <c r="W186" i="70"/>
  <c r="W185" i="70"/>
  <c r="W95" i="70"/>
  <c r="W51" i="70"/>
  <c r="W140" i="70"/>
  <c r="BY17" i="75"/>
  <c r="AV58" i="70"/>
  <c r="CS13" i="75" s="1"/>
  <c r="U200" i="90"/>
  <c r="V200" i="90" s="1"/>
  <c r="W200" i="90"/>
  <c r="U64" i="90"/>
  <c r="V64" i="90" s="1"/>
  <c r="W64" i="90"/>
  <c r="BX18" i="75"/>
  <c r="AP193" i="70"/>
  <c r="BX7" i="75"/>
  <c r="CA6" i="75"/>
  <c r="CA18" i="75"/>
  <c r="BX8" i="75"/>
  <c r="AD146" i="70"/>
  <c r="AP58" i="70"/>
  <c r="U104" i="90"/>
  <c r="V104" i="90" s="1"/>
  <c r="Y104" i="90" s="1"/>
  <c r="AJ101" i="70"/>
  <c r="W148" i="90"/>
  <c r="U148" i="90"/>
  <c r="V148" i="90" s="1"/>
  <c r="Y148" i="90" s="1"/>
  <c r="W155" i="90"/>
  <c r="U155" i="90"/>
  <c r="V155" i="90" s="1"/>
  <c r="W204" i="90"/>
  <c r="U204" i="90"/>
  <c r="W59" i="90"/>
  <c r="U59" i="90"/>
  <c r="V59" i="90" s="1"/>
  <c r="Y59" i="90" s="1"/>
  <c r="CA10" i="75"/>
  <c r="BZ18" i="75"/>
  <c r="BZ6" i="75"/>
  <c r="AD191" i="70"/>
  <c r="W114" i="90"/>
  <c r="U114" i="90"/>
  <c r="U60" i="90"/>
  <c r="V60" i="90" s="1"/>
  <c r="Y60" i="90" s="1"/>
  <c r="W60" i="90"/>
  <c r="CU72" i="84"/>
  <c r="G6" i="76"/>
  <c r="BP6" i="70"/>
  <c r="BC52" i="70"/>
  <c r="BD52" i="70"/>
  <c r="AU118" i="71"/>
  <c r="AS117" i="71"/>
  <c r="AU72" i="71"/>
  <c r="AX171" i="71"/>
  <c r="AX178" i="71"/>
  <c r="AX172" i="71"/>
  <c r="AX173" i="71"/>
  <c r="AX174" i="71"/>
  <c r="AX169" i="71"/>
  <c r="AX176" i="71"/>
  <c r="AX177" i="71"/>
  <c r="AX170" i="71"/>
  <c r="AX175" i="71"/>
  <c r="AV172" i="71"/>
  <c r="AV171" i="71"/>
  <c r="AV169" i="71"/>
  <c r="AV173" i="71"/>
  <c r="AV175" i="71"/>
  <c r="AV174" i="71"/>
  <c r="AV178" i="71"/>
  <c r="AV177" i="71"/>
  <c r="AV176" i="71"/>
  <c r="AV170" i="71"/>
  <c r="AT166" i="71"/>
  <c r="AU27" i="71"/>
  <c r="AU26" i="71"/>
  <c r="AX121" i="71"/>
  <c r="AX32" i="71"/>
  <c r="AW160" i="71"/>
  <c r="AV160" i="71"/>
  <c r="AU124" i="71"/>
  <c r="AV123" i="71"/>
  <c r="AS161" i="71"/>
  <c r="AX79" i="71"/>
  <c r="AT131" i="71"/>
  <c r="AT130" i="71"/>
  <c r="AT129" i="71"/>
  <c r="AT128" i="71"/>
  <c r="AT126" i="71"/>
  <c r="AT133" i="71"/>
  <c r="AT125" i="71"/>
  <c r="AT127" i="71"/>
  <c r="AT132" i="71"/>
  <c r="AV128" i="71"/>
  <c r="AV131" i="71"/>
  <c r="AV127" i="71"/>
  <c r="AV133" i="71"/>
  <c r="AV130" i="71"/>
  <c r="AV129" i="71"/>
  <c r="AV132" i="71"/>
  <c r="AV125" i="71"/>
  <c r="AV126" i="71"/>
  <c r="AW162" i="71"/>
  <c r="AU120" i="71"/>
  <c r="AU119" i="71"/>
  <c r="AT76" i="71"/>
  <c r="AV77" i="71"/>
  <c r="AT116" i="71"/>
  <c r="AS78" i="71"/>
  <c r="BB97" i="70"/>
  <c r="BB141" i="70"/>
  <c r="U59" i="70"/>
  <c r="BB191" i="70"/>
  <c r="AX38" i="71"/>
  <c r="AX37" i="71"/>
  <c r="AX40" i="71"/>
  <c r="AX42" i="71"/>
  <c r="AX39" i="71"/>
  <c r="AX36" i="71"/>
  <c r="AX41" i="71"/>
  <c r="AX43" i="71"/>
  <c r="AX35" i="71"/>
  <c r="AS36" i="71"/>
  <c r="AS43" i="71"/>
  <c r="AS35" i="71"/>
  <c r="AS38" i="71"/>
  <c r="AS40" i="71"/>
  <c r="AS39" i="71"/>
  <c r="AS37" i="71"/>
  <c r="AS41" i="71"/>
  <c r="AS42" i="71"/>
  <c r="AW117" i="71"/>
  <c r="AV72" i="71"/>
  <c r="AS72" i="71"/>
  <c r="AS171" i="71"/>
  <c r="AS177" i="71"/>
  <c r="AS173" i="71"/>
  <c r="AS174" i="71"/>
  <c r="AS178" i="71"/>
  <c r="AS176" i="71"/>
  <c r="AS175" i="71"/>
  <c r="AS170" i="71"/>
  <c r="AS172" i="71"/>
  <c r="AS169" i="71"/>
  <c r="AW27" i="71"/>
  <c r="AW26" i="71"/>
  <c r="AT121" i="71"/>
  <c r="AV31" i="71"/>
  <c r="AX165" i="71"/>
  <c r="AX73" i="71"/>
  <c r="AS73" i="71"/>
  <c r="AS164" i="71"/>
  <c r="AS115" i="71"/>
  <c r="AW124" i="71"/>
  <c r="AX124" i="71"/>
  <c r="AU123" i="71"/>
  <c r="AV161" i="71"/>
  <c r="AW88" i="71"/>
  <c r="AW84" i="71"/>
  <c r="AW87" i="71"/>
  <c r="AW86" i="71"/>
  <c r="AW82" i="71"/>
  <c r="AW83" i="71"/>
  <c r="AW80" i="71"/>
  <c r="AW85" i="71"/>
  <c r="AW81" i="71"/>
  <c r="AV33" i="71"/>
  <c r="AV34" i="71"/>
  <c r="AV162" i="71"/>
  <c r="AU76" i="71"/>
  <c r="AS77" i="71"/>
  <c r="AU78" i="71"/>
  <c r="BD97" i="70"/>
  <c r="BD53" i="70"/>
  <c r="BD96" i="70"/>
  <c r="BC146" i="70"/>
  <c r="BD99" i="70"/>
  <c r="BC51" i="70"/>
  <c r="BB53" i="70"/>
  <c r="BD56" i="70"/>
  <c r="BB188" i="70"/>
  <c r="BD189" i="70"/>
  <c r="AX71" i="71"/>
  <c r="AV166" i="71"/>
  <c r="AV26" i="71"/>
  <c r="AV27" i="71"/>
  <c r="AU121" i="71"/>
  <c r="AV121" i="71"/>
  <c r="AS31" i="71"/>
  <c r="AT31" i="71"/>
  <c r="AV165" i="71"/>
  <c r="AU160" i="71"/>
  <c r="AT164" i="71"/>
  <c r="AW75" i="71"/>
  <c r="AW74" i="71"/>
  <c r="AX75" i="71"/>
  <c r="AX74" i="71"/>
  <c r="AX115" i="71"/>
  <c r="AV124" i="71"/>
  <c r="AT82" i="71"/>
  <c r="AT83" i="71"/>
  <c r="AT85" i="71"/>
  <c r="AT86" i="71"/>
  <c r="AT87" i="71"/>
  <c r="AT88" i="71"/>
  <c r="AT80" i="71"/>
  <c r="AT81" i="71"/>
  <c r="AT84" i="71"/>
  <c r="AW34" i="71"/>
  <c r="AW33" i="71"/>
  <c r="AS79" i="71"/>
  <c r="AX120" i="71"/>
  <c r="AX119" i="71"/>
  <c r="AT119" i="71"/>
  <c r="AT120" i="71"/>
  <c r="AS76" i="71"/>
  <c r="AV76" i="71"/>
  <c r="AT77" i="71"/>
  <c r="AU29" i="71"/>
  <c r="AU30" i="71"/>
  <c r="AT30" i="71"/>
  <c r="AT29" i="71"/>
  <c r="AW78" i="71"/>
  <c r="U148" i="70"/>
  <c r="V103" i="70"/>
  <c r="BQ4" i="70"/>
  <c r="BD144" i="70"/>
  <c r="BC191" i="70"/>
  <c r="BD51" i="70"/>
  <c r="BB56" i="70"/>
  <c r="AV38" i="71"/>
  <c r="AV37" i="71"/>
  <c r="AV40" i="71"/>
  <c r="AV36" i="71"/>
  <c r="AV43" i="71"/>
  <c r="AV39" i="71"/>
  <c r="AV42" i="71"/>
  <c r="AV35" i="71"/>
  <c r="AV41" i="71"/>
  <c r="AX168" i="71"/>
  <c r="AT72" i="71"/>
  <c r="AW171" i="71"/>
  <c r="AW177" i="71"/>
  <c r="AW169" i="71"/>
  <c r="AW170" i="71"/>
  <c r="AW173" i="71"/>
  <c r="AW172" i="71"/>
  <c r="AW178" i="71"/>
  <c r="AW175" i="71"/>
  <c r="AW174" i="71"/>
  <c r="AW176" i="71"/>
  <c r="AX166" i="71"/>
  <c r="AU31" i="71"/>
  <c r="AW165" i="71"/>
  <c r="AW32" i="71"/>
  <c r="AS160" i="71"/>
  <c r="AU73" i="71"/>
  <c r="AW164" i="71"/>
  <c r="AV115" i="71"/>
  <c r="AT124" i="71"/>
  <c r="AW123" i="71"/>
  <c r="AS81" i="71"/>
  <c r="AS80" i="71"/>
  <c r="AS85" i="71"/>
  <c r="AS84" i="71"/>
  <c r="AS82" i="71"/>
  <c r="AS86" i="71"/>
  <c r="AS83" i="71"/>
  <c r="AS88" i="71"/>
  <c r="AS87" i="71"/>
  <c r="AX82" i="71"/>
  <c r="AX84" i="71"/>
  <c r="AX81" i="71"/>
  <c r="AX85" i="71"/>
  <c r="AX80" i="71"/>
  <c r="AX86" i="71"/>
  <c r="AX88" i="71"/>
  <c r="AX83" i="71"/>
  <c r="AX87" i="71"/>
  <c r="AS126" i="71"/>
  <c r="AS127" i="71"/>
  <c r="AS131" i="71"/>
  <c r="AS128" i="71"/>
  <c r="AS129" i="71"/>
  <c r="AS130" i="71"/>
  <c r="AS125" i="71"/>
  <c r="AS132" i="71"/>
  <c r="AS133" i="71"/>
  <c r="AU162" i="71"/>
  <c r="AT28" i="71"/>
  <c r="AS28" i="71"/>
  <c r="AS30" i="71"/>
  <c r="AS29" i="71"/>
  <c r="AX116" i="71"/>
  <c r="AV78" i="71"/>
  <c r="AT78" i="71"/>
  <c r="V148" i="70"/>
  <c r="BC54" i="70"/>
  <c r="BB96" i="70"/>
  <c r="BD142" i="70"/>
  <c r="BB146" i="70"/>
  <c r="BB101" i="70"/>
  <c r="AW40" i="71"/>
  <c r="AW39" i="71"/>
  <c r="AW41" i="71"/>
  <c r="AW38" i="71"/>
  <c r="AW43" i="71"/>
  <c r="AW37" i="71"/>
  <c r="AW35" i="71"/>
  <c r="AW36" i="71"/>
  <c r="AW42" i="71"/>
  <c r="AV118" i="71"/>
  <c r="AS168" i="71"/>
  <c r="AW71" i="71"/>
  <c r="AU117" i="71"/>
  <c r="AW72" i="71"/>
  <c r="AU176" i="71"/>
  <c r="AU174" i="71"/>
  <c r="AU178" i="71"/>
  <c r="AU175" i="71"/>
  <c r="AU173" i="71"/>
  <c r="AU172" i="71"/>
  <c r="AU177" i="71"/>
  <c r="AU170" i="71"/>
  <c r="AU171" i="71"/>
  <c r="AU169" i="71"/>
  <c r="AS121" i="71"/>
  <c r="AX31" i="71"/>
  <c r="AW31" i="71"/>
  <c r="AV32" i="71"/>
  <c r="AS32" i="71"/>
  <c r="AX164" i="71"/>
  <c r="AS75" i="71"/>
  <c r="AS74" i="71"/>
  <c r="AU75" i="71"/>
  <c r="AU74" i="71"/>
  <c r="AX123" i="71"/>
  <c r="AU161" i="71"/>
  <c r="AW161" i="71"/>
  <c r="AV81" i="71"/>
  <c r="AV83" i="71"/>
  <c r="AV86" i="71"/>
  <c r="AV84" i="71"/>
  <c r="AV87" i="71"/>
  <c r="AV85" i="71"/>
  <c r="AV88" i="71"/>
  <c r="AV82" i="71"/>
  <c r="AV80" i="71"/>
  <c r="AS34" i="71"/>
  <c r="AS33" i="71"/>
  <c r="AT33" i="71"/>
  <c r="AT34" i="71"/>
  <c r="AU79" i="71"/>
  <c r="AS120" i="71"/>
  <c r="AS119" i="71"/>
  <c r="AX76" i="71"/>
  <c r="AW77" i="71"/>
  <c r="AV28" i="71"/>
  <c r="AX28" i="71"/>
  <c r="AV30" i="71"/>
  <c r="AV29" i="71"/>
  <c r="AX78" i="71"/>
  <c r="BC96" i="70"/>
  <c r="BC142" i="70"/>
  <c r="BC101" i="70"/>
  <c r="BC55" i="70"/>
  <c r="V57" i="70"/>
  <c r="AU42" i="71"/>
  <c r="AU37" i="71"/>
  <c r="AU43" i="71"/>
  <c r="AU39" i="71"/>
  <c r="AU35" i="71"/>
  <c r="AU41" i="71"/>
  <c r="AU38" i="71"/>
  <c r="AU40" i="71"/>
  <c r="AU36" i="71"/>
  <c r="AX118" i="71"/>
  <c r="AU168" i="71"/>
  <c r="AS71" i="71"/>
  <c r="AT117" i="71"/>
  <c r="AS166" i="71"/>
  <c r="AW166" i="71"/>
  <c r="AX26" i="71"/>
  <c r="AX27" i="71"/>
  <c r="AW121" i="71"/>
  <c r="AU165" i="71"/>
  <c r="AT32" i="71"/>
  <c r="AX160" i="71"/>
  <c r="AT73" i="71"/>
  <c r="AV164" i="71"/>
  <c r="AV74" i="71"/>
  <c r="AV75" i="71"/>
  <c r="AT115" i="71"/>
  <c r="AW115" i="71"/>
  <c r="AS124" i="71"/>
  <c r="AT123" i="71"/>
  <c r="AT161" i="71"/>
  <c r="AV79" i="71"/>
  <c r="AX77" i="71"/>
  <c r="AW29" i="71"/>
  <c r="AW30" i="71"/>
  <c r="AX30" i="71"/>
  <c r="AX29" i="71"/>
  <c r="AV116" i="71"/>
  <c r="V58" i="70"/>
  <c r="U196" i="70"/>
  <c r="BD141" i="70"/>
  <c r="BC98" i="70"/>
  <c r="BB143" i="70"/>
  <c r="BB51" i="70"/>
  <c r="AW118" i="71"/>
  <c r="AW168" i="71"/>
  <c r="AU71" i="71"/>
  <c r="AV71" i="71"/>
  <c r="AX117" i="71"/>
  <c r="AT175" i="71"/>
  <c r="AT173" i="71"/>
  <c r="AT178" i="71"/>
  <c r="AT169" i="71"/>
  <c r="AT174" i="71"/>
  <c r="AT172" i="71"/>
  <c r="AT176" i="71"/>
  <c r="AT170" i="71"/>
  <c r="AT171" i="71"/>
  <c r="AT177" i="71"/>
  <c r="AU166" i="71"/>
  <c r="AS27" i="71"/>
  <c r="AS26" i="71"/>
  <c r="AT165" i="71"/>
  <c r="AT160" i="71"/>
  <c r="AV73" i="71"/>
  <c r="AU164" i="71"/>
  <c r="AT74" i="71"/>
  <c r="AT75" i="71"/>
  <c r="AU115" i="71"/>
  <c r="AS123" i="71"/>
  <c r="AX161" i="71"/>
  <c r="AU80" i="71"/>
  <c r="AU82" i="71"/>
  <c r="AU88" i="71"/>
  <c r="AU84" i="71"/>
  <c r="AU83" i="71"/>
  <c r="AU81" i="71"/>
  <c r="AU85" i="71"/>
  <c r="AU87" i="71"/>
  <c r="AU86" i="71"/>
  <c r="AX34" i="71"/>
  <c r="AX33" i="71"/>
  <c r="AT79" i="71"/>
  <c r="AW133" i="71"/>
  <c r="AW131" i="71"/>
  <c r="AW129" i="71"/>
  <c r="AW127" i="71"/>
  <c r="AW125" i="71"/>
  <c r="AW126" i="71"/>
  <c r="AW128" i="71"/>
  <c r="AW132" i="71"/>
  <c r="AW130" i="71"/>
  <c r="AU128" i="71"/>
  <c r="AU127" i="71"/>
  <c r="AU131" i="71"/>
  <c r="AU132" i="71"/>
  <c r="AU125" i="71"/>
  <c r="AU126" i="71"/>
  <c r="AU133" i="71"/>
  <c r="AU129" i="71"/>
  <c r="AU130" i="71"/>
  <c r="AX162" i="71"/>
  <c r="AT162" i="71"/>
  <c r="AV119" i="71"/>
  <c r="AV120" i="71"/>
  <c r="AU77" i="71"/>
  <c r="AU28" i="71"/>
  <c r="AW28" i="71"/>
  <c r="AW116" i="71"/>
  <c r="BB54" i="70"/>
  <c r="BC141" i="70"/>
  <c r="BD101" i="70"/>
  <c r="BD100" i="70"/>
  <c r="BC99" i="70"/>
  <c r="U142" i="70"/>
  <c r="AT43" i="71"/>
  <c r="AT40" i="71"/>
  <c r="AT35" i="71"/>
  <c r="AT36" i="71"/>
  <c r="AT39" i="71"/>
  <c r="AT38" i="71"/>
  <c r="AT42" i="71"/>
  <c r="AT41" i="71"/>
  <c r="AT37" i="71"/>
  <c r="AT118" i="71"/>
  <c r="AS118" i="71"/>
  <c r="AT168" i="71"/>
  <c r="AV168" i="71"/>
  <c r="AT71" i="71"/>
  <c r="AV117" i="71"/>
  <c r="AX72" i="71"/>
  <c r="AT26" i="71"/>
  <c r="AT27" i="71"/>
  <c r="AS165" i="71"/>
  <c r="AU32" i="71"/>
  <c r="AW73" i="71"/>
  <c r="AU33" i="71"/>
  <c r="AU34" i="71"/>
  <c r="AW79" i="71"/>
  <c r="AX126" i="71"/>
  <c r="AX130" i="71"/>
  <c r="AX127" i="71"/>
  <c r="AX131" i="71"/>
  <c r="AX125" i="71"/>
  <c r="AX133" i="71"/>
  <c r="AX128" i="71"/>
  <c r="AX129" i="71"/>
  <c r="AX132" i="71"/>
  <c r="AS162" i="71"/>
  <c r="AW120" i="71"/>
  <c r="AW119" i="71"/>
  <c r="AW76" i="71"/>
  <c r="AU116" i="71"/>
  <c r="AS116" i="71"/>
  <c r="BB186" i="70"/>
  <c r="BC56" i="70"/>
  <c r="BC53" i="70"/>
  <c r="BB99" i="70"/>
  <c r="BD188" i="70"/>
  <c r="BC188" i="70"/>
  <c r="BC100" i="70"/>
  <c r="BC143" i="70"/>
  <c r="BB100" i="70"/>
  <c r="BD143" i="70"/>
  <c r="AL7" i="74" l="1"/>
  <c r="S188" i="71"/>
  <c r="AP101" i="70"/>
  <c r="BY11" i="75" s="1"/>
  <c r="AJ192" i="70"/>
  <c r="AP57" i="70"/>
  <c r="AP59" i="70"/>
  <c r="BX14" i="75" s="1"/>
  <c r="U116" i="90"/>
  <c r="AV106" i="70"/>
  <c r="CT16" i="75" s="1"/>
  <c r="AV103" i="70"/>
  <c r="CT13" i="75" s="1"/>
  <c r="AD59" i="70"/>
  <c r="U71" i="90"/>
  <c r="V71" i="90" s="1"/>
  <c r="AD193" i="70"/>
  <c r="AY116" i="71"/>
  <c r="AY162" i="71"/>
  <c r="AY165" i="71"/>
  <c r="AY118" i="71"/>
  <c r="AY123" i="71"/>
  <c r="AY26" i="71"/>
  <c r="AY27" i="71"/>
  <c r="AY124" i="71"/>
  <c r="AY166" i="71"/>
  <c r="AY71" i="71"/>
  <c r="AY119" i="71"/>
  <c r="AY120" i="71"/>
  <c r="AY33" i="71"/>
  <c r="AY34" i="71"/>
  <c r="AY74" i="71"/>
  <c r="AY75" i="71"/>
  <c r="AY32" i="71"/>
  <c r="AY121" i="71"/>
  <c r="AY168" i="71"/>
  <c r="AY29" i="71"/>
  <c r="AY30" i="71"/>
  <c r="AY28" i="71"/>
  <c r="AY133" i="71"/>
  <c r="AY132" i="71"/>
  <c r="AY125" i="71"/>
  <c r="AY130" i="71"/>
  <c r="AY129" i="71"/>
  <c r="AY128" i="71"/>
  <c r="AY131" i="71"/>
  <c r="AY127" i="71"/>
  <c r="AY126" i="71"/>
  <c r="AY87" i="71"/>
  <c r="AY88" i="71"/>
  <c r="AY83" i="71"/>
  <c r="AY86" i="71"/>
  <c r="AY82" i="71"/>
  <c r="AY84" i="71"/>
  <c r="AY85" i="71"/>
  <c r="AY80" i="71"/>
  <c r="AY81" i="71"/>
  <c r="AY160" i="71"/>
  <c r="AY76" i="71"/>
  <c r="AY79" i="71"/>
  <c r="AY31" i="71"/>
  <c r="AY77" i="71"/>
  <c r="AY115" i="71"/>
  <c r="AY164" i="71"/>
  <c r="AY73" i="71"/>
  <c r="AY169" i="71"/>
  <c r="AY172" i="71"/>
  <c r="AY170" i="71"/>
  <c r="AY175" i="71"/>
  <c r="AY176" i="71"/>
  <c r="AY178" i="71"/>
  <c r="AY174" i="71"/>
  <c r="AY173" i="71"/>
  <c r="AY177" i="71"/>
  <c r="AY171" i="71"/>
  <c r="AY72" i="71"/>
  <c r="AY42" i="71"/>
  <c r="AY41" i="71"/>
  <c r="AY37" i="71"/>
  <c r="AY39" i="71"/>
  <c r="AY40" i="71"/>
  <c r="AY38" i="71"/>
  <c r="AY35" i="71"/>
  <c r="AY43" i="71"/>
  <c r="AY36" i="71"/>
  <c r="AY78" i="71"/>
  <c r="AY161" i="71"/>
  <c r="AY117" i="71"/>
  <c r="BZ11" i="75"/>
  <c r="CA11" i="75"/>
  <c r="U110" i="90"/>
  <c r="V110" i="90" s="1"/>
  <c r="W110" i="90"/>
  <c r="W115" i="90"/>
  <c r="U115" i="90"/>
  <c r="U192" i="90"/>
  <c r="V192" i="90" s="1"/>
  <c r="Y192" i="90" s="1"/>
  <c r="W192" i="90"/>
  <c r="W147" i="90"/>
  <c r="U147" i="90"/>
  <c r="V147" i="90" s="1"/>
  <c r="Y147" i="90" s="1"/>
  <c r="U63" i="90"/>
  <c r="V63" i="90" s="1"/>
  <c r="W63" i="90"/>
  <c r="BY14" i="75"/>
  <c r="BY18" i="75"/>
  <c r="AD106" i="70"/>
  <c r="BP94" i="71"/>
  <c r="BQ94" i="71" s="1"/>
  <c r="S96" i="71"/>
  <c r="AJ5" i="74"/>
  <c r="U69" i="90"/>
  <c r="W69" i="90"/>
  <c r="U205" i="90"/>
  <c r="W205" i="90"/>
  <c r="W159" i="90"/>
  <c r="U159" i="90"/>
  <c r="W203" i="90"/>
  <c r="U203" i="90"/>
  <c r="V203" i="90" s="1"/>
  <c r="W150" i="90"/>
  <c r="U150" i="90"/>
  <c r="V150" i="90" s="1"/>
  <c r="Y150" i="90" s="1"/>
  <c r="W70" i="90"/>
  <c r="U70" i="90"/>
  <c r="U66" i="90"/>
  <c r="V66" i="90" s="1"/>
  <c r="W66" i="90"/>
  <c r="BZ7" i="75"/>
  <c r="AP106" i="70"/>
  <c r="BY16" i="75" s="1"/>
  <c r="AJ148" i="70"/>
  <c r="U161" i="90"/>
  <c r="W161" i="90"/>
  <c r="W65" i="90"/>
  <c r="U65" i="90"/>
  <c r="V65" i="90" s="1"/>
  <c r="U194" i="90"/>
  <c r="V194" i="90" s="1"/>
  <c r="Y194" i="90" s="1"/>
  <c r="W194" i="90"/>
  <c r="AI5" i="74"/>
  <c r="BP49" i="71"/>
  <c r="BQ49" i="71" s="1"/>
  <c r="W158" i="90"/>
  <c r="U158" i="90"/>
  <c r="V158" i="90" s="1"/>
  <c r="W102" i="90"/>
  <c r="U102" i="90"/>
  <c r="V102" i="90" s="1"/>
  <c r="Y102" i="90" s="1"/>
  <c r="BP140" i="71"/>
  <c r="BQ140" i="71" s="1"/>
  <c r="AK6" i="74"/>
  <c r="S142" i="71"/>
  <c r="BZ8" i="75"/>
  <c r="AD148" i="70"/>
  <c r="U153" i="90"/>
  <c r="V153" i="90" s="1"/>
  <c r="W153" i="90"/>
  <c r="U109" i="90"/>
  <c r="V109" i="90" s="1"/>
  <c r="W109" i="90"/>
  <c r="U108" i="90"/>
  <c r="V108" i="90" s="1"/>
  <c r="W108" i="90"/>
  <c r="W103" i="90"/>
  <c r="U103" i="90"/>
  <c r="V103" i="90" s="1"/>
  <c r="Y103" i="90" s="1"/>
  <c r="BX6" i="75"/>
  <c r="U58" i="90"/>
  <c r="V58" i="90" s="1"/>
  <c r="Y58" i="90" s="1"/>
  <c r="W58" i="90"/>
  <c r="W113" i="90"/>
  <c r="U113" i="90"/>
  <c r="V113" i="90" s="1"/>
  <c r="BX19" i="75"/>
  <c r="AV193" i="70"/>
  <c r="CV13" i="75" s="1"/>
  <c r="BP5" i="71"/>
  <c r="BQ5" i="71" s="1"/>
  <c r="S7" i="71"/>
  <c r="AH6" i="74"/>
  <c r="BY6" i="75"/>
  <c r="BQ185" i="71"/>
  <c r="BQ186" i="71" s="1"/>
  <c r="BY8" i="75"/>
  <c r="AV59" i="70"/>
  <c r="CS14" i="75" s="1"/>
  <c r="U193" i="90"/>
  <c r="V193" i="90" s="1"/>
  <c r="Y193" i="90" s="1"/>
  <c r="W193" i="90"/>
  <c r="W197" i="90"/>
  <c r="U197" i="90"/>
  <c r="V197" i="90" s="1"/>
  <c r="Y197" i="90" s="1"/>
  <c r="W160" i="90"/>
  <c r="U160" i="90"/>
  <c r="U199" i="90"/>
  <c r="V199" i="90" s="1"/>
  <c r="W199" i="90"/>
  <c r="U198" i="90"/>
  <c r="V198" i="90" s="1"/>
  <c r="W198" i="90"/>
  <c r="AJ193" i="70"/>
  <c r="AD101" i="70"/>
  <c r="S51" i="71"/>
  <c r="W149" i="90"/>
  <c r="U149" i="90"/>
  <c r="V149" i="90" s="1"/>
  <c r="Y149" i="90" s="1"/>
  <c r="W206" i="90"/>
  <c r="U206" i="90"/>
  <c r="U154" i="90"/>
  <c r="V154" i="90" s="1"/>
  <c r="W154" i="90"/>
  <c r="U57" i="90"/>
  <c r="V57" i="90" s="1"/>
  <c r="Y57" i="90" s="1"/>
  <c r="W57" i="90"/>
  <c r="W111" i="90"/>
  <c r="U111" i="90"/>
  <c r="V111" i="90" s="1"/>
  <c r="W105" i="90"/>
  <c r="U105" i="90"/>
  <c r="V105" i="90" s="1"/>
  <c r="Y105" i="90" s="1"/>
  <c r="BP140" i="70"/>
  <c r="J5" i="76"/>
  <c r="X114" i="90"/>
  <c r="V114" i="90"/>
  <c r="BX13" i="75"/>
  <c r="CA13" i="75"/>
  <c r="BP51" i="70"/>
  <c r="H6" i="76"/>
  <c r="I5" i="76"/>
  <c r="BP95" i="70"/>
  <c r="K5" i="76"/>
  <c r="BP185" i="70"/>
  <c r="BP186" i="70"/>
  <c r="K6" i="76"/>
  <c r="BP50" i="70"/>
  <c r="H5" i="76"/>
  <c r="V204" i="90"/>
  <c r="X204" i="90"/>
  <c r="BP141" i="70"/>
  <c r="J6" i="76"/>
  <c r="X71" i="90"/>
  <c r="X116" i="90"/>
  <c r="V116" i="90"/>
  <c r="BP96" i="70"/>
  <c r="I6" i="76"/>
  <c r="S189" i="71"/>
  <c r="BP187" i="71"/>
  <c r="AL8" i="74"/>
  <c r="A52" i="70"/>
  <c r="D34" i="70"/>
  <c r="C35" i="70"/>
  <c r="CC69" i="70"/>
  <c r="CB70" i="70"/>
  <c r="CD69" i="70"/>
  <c r="BD98" i="70"/>
  <c r="BD54" i="70"/>
  <c r="BD55" i="70"/>
  <c r="BB55" i="70"/>
  <c r="BB189" i="70"/>
  <c r="BB144" i="70"/>
  <c r="BC189" i="70"/>
  <c r="BC144" i="70"/>
  <c r="BB98" i="70"/>
  <c r="BX12" i="75" l="1"/>
  <c r="V206" i="90"/>
  <c r="X206" i="90"/>
  <c r="S97" i="71"/>
  <c r="AJ6" i="74"/>
  <c r="BP95" i="71"/>
  <c r="BQ95" i="71" s="1"/>
  <c r="BQ187" i="71"/>
  <c r="X159" i="90"/>
  <c r="V159" i="90"/>
  <c r="V161" i="90"/>
  <c r="X161" i="90"/>
  <c r="S143" i="71"/>
  <c r="AK7" i="74"/>
  <c r="BP141" i="71"/>
  <c r="BQ141" i="71" s="1"/>
  <c r="X69" i="90"/>
  <c r="V69" i="90"/>
  <c r="AH7" i="74"/>
  <c r="S8" i="71"/>
  <c r="BP6" i="71"/>
  <c r="BQ6" i="71" s="1"/>
  <c r="X70" i="90"/>
  <c r="V70" i="90"/>
  <c r="V115" i="90"/>
  <c r="X115" i="90"/>
  <c r="X205" i="90"/>
  <c r="V205" i="90"/>
  <c r="BP50" i="71"/>
  <c r="BQ50" i="71" s="1"/>
  <c r="AI6" i="74"/>
  <c r="S52" i="71"/>
  <c r="X160" i="90"/>
  <c r="V160" i="90"/>
  <c r="BP188" i="71"/>
  <c r="BQ188" i="71" s="1"/>
  <c r="AL9" i="74"/>
  <c r="S190" i="71"/>
  <c r="BZ98" i="70"/>
  <c r="BZ97" i="70"/>
  <c r="CC70" i="70"/>
  <c r="CB71" i="70"/>
  <c r="A53" i="70"/>
  <c r="D35" i="70"/>
  <c r="C36" i="70"/>
  <c r="CD70" i="70"/>
  <c r="AH8" i="74" l="1"/>
  <c r="BP7" i="71"/>
  <c r="BQ7" i="71" s="1"/>
  <c r="S9" i="71"/>
  <c r="BP51" i="71"/>
  <c r="BQ51" i="71" s="1"/>
  <c r="S53" i="71"/>
  <c r="AI7" i="74"/>
  <c r="S144" i="71"/>
  <c r="BP142" i="71"/>
  <c r="BQ142" i="71" s="1"/>
  <c r="AK8" i="74"/>
  <c r="BP96" i="71"/>
  <c r="BQ96" i="71" s="1"/>
  <c r="AJ7" i="74"/>
  <c r="S98" i="71"/>
  <c r="AL10" i="74"/>
  <c r="S191" i="71"/>
  <c r="BP189" i="71"/>
  <c r="BQ189" i="71" s="1"/>
  <c r="BZ100" i="70"/>
  <c r="BZ99" i="70"/>
  <c r="A54" i="70"/>
  <c r="D36" i="70"/>
  <c r="C37" i="70"/>
  <c r="CC71" i="70"/>
  <c r="CB72" i="70"/>
  <c r="CD71" i="70"/>
  <c r="AJ8" i="74" l="1"/>
  <c r="BP97" i="71"/>
  <c r="BQ97" i="71" s="1"/>
  <c r="S99" i="71"/>
  <c r="AK9" i="74"/>
  <c r="BP143" i="71"/>
  <c r="BQ143" i="71" s="1"/>
  <c r="S145" i="71"/>
  <c r="BP52" i="71"/>
  <c r="BQ52" i="71" s="1"/>
  <c r="AI8" i="74"/>
  <c r="S54" i="71"/>
  <c r="S10" i="71"/>
  <c r="AH9" i="74"/>
  <c r="BP8" i="71"/>
  <c r="BQ8" i="71" s="1"/>
  <c r="S192" i="71"/>
  <c r="AL11" i="74"/>
  <c r="BP190" i="71"/>
  <c r="BQ190" i="71" s="1"/>
  <c r="BZ101" i="70"/>
  <c r="BZ102" i="70"/>
  <c r="CC72" i="70"/>
  <c r="CB73" i="70"/>
  <c r="A55" i="70"/>
  <c r="D37" i="70"/>
  <c r="C38" i="70"/>
  <c r="CD72" i="70"/>
  <c r="AI9" i="74" l="1"/>
  <c r="S55" i="71"/>
  <c r="BP53" i="71"/>
  <c r="BQ53" i="71" s="1"/>
  <c r="S146" i="71"/>
  <c r="BP144" i="71"/>
  <c r="BQ144" i="71" s="1"/>
  <c r="AK10" i="74"/>
  <c r="BP98" i="71"/>
  <c r="BQ98" i="71" s="1"/>
  <c r="S100" i="71"/>
  <c r="AJ9" i="74"/>
  <c r="AH10" i="74"/>
  <c r="BP9" i="71"/>
  <c r="BQ9" i="71" s="1"/>
  <c r="S11" i="71"/>
  <c r="AL12" i="74"/>
  <c r="S193" i="71"/>
  <c r="BP191" i="71"/>
  <c r="BQ191" i="71" s="1"/>
  <c r="BZ104" i="70"/>
  <c r="BZ103" i="70"/>
  <c r="A56" i="70"/>
  <c r="D38" i="70"/>
  <c r="C39" i="70"/>
  <c r="CC73" i="70"/>
  <c r="CB74" i="70"/>
  <c r="CD73" i="70"/>
  <c r="S12" i="71" l="1"/>
  <c r="BP10" i="71"/>
  <c r="BQ10" i="71" s="1"/>
  <c r="AH11" i="74"/>
  <c r="S56" i="71"/>
  <c r="AI10" i="74"/>
  <c r="BP54" i="71"/>
  <c r="BQ54" i="71" s="1"/>
  <c r="AJ10" i="74"/>
  <c r="S101" i="71"/>
  <c r="BP99" i="71"/>
  <c r="BQ99" i="71" s="1"/>
  <c r="BP145" i="71"/>
  <c r="BQ145" i="71" s="1"/>
  <c r="S147" i="71"/>
  <c r="AK11" i="74"/>
  <c r="AL13" i="74"/>
  <c r="BP192" i="71"/>
  <c r="BQ192" i="71" s="1"/>
  <c r="S194" i="71"/>
  <c r="BZ106" i="70"/>
  <c r="BZ105" i="70"/>
  <c r="W142" i="70"/>
  <c r="W187" i="70"/>
  <c r="D39" i="70"/>
  <c r="C40" i="70"/>
  <c r="CC74" i="70"/>
  <c r="CB75" i="70"/>
  <c r="A57" i="70"/>
  <c r="CD74" i="70"/>
  <c r="BV52" i="71"/>
  <c r="BY52" i="71" l="1"/>
  <c r="BP146" i="71"/>
  <c r="BQ146" i="71" s="1"/>
  <c r="AK12" i="74"/>
  <c r="S148" i="71"/>
  <c r="AJ11" i="74"/>
  <c r="S102" i="71"/>
  <c r="BP100" i="71"/>
  <c r="BQ100" i="71" s="1"/>
  <c r="BP55" i="71"/>
  <c r="BQ55" i="71" s="1"/>
  <c r="S57" i="71"/>
  <c r="AI11" i="74"/>
  <c r="AH12" i="74"/>
  <c r="BP11" i="71"/>
  <c r="BQ11" i="71" s="1"/>
  <c r="S13" i="71"/>
  <c r="BP193" i="71"/>
  <c r="BQ193" i="71" s="1"/>
  <c r="AL14" i="74"/>
  <c r="S195" i="71"/>
  <c r="BZ107" i="70"/>
  <c r="BZ108" i="70"/>
  <c r="W97" i="70"/>
  <c r="W7" i="70"/>
  <c r="W52" i="70"/>
  <c r="K7" i="76"/>
  <c r="BP187" i="70"/>
  <c r="J7" i="76"/>
  <c r="BP142" i="70"/>
  <c r="A58" i="70"/>
  <c r="CC75" i="70"/>
  <c r="CB76" i="70"/>
  <c r="D40" i="70"/>
  <c r="C41" i="70"/>
  <c r="CD75" i="70"/>
  <c r="DC13" i="75"/>
  <c r="CD51" i="75"/>
  <c r="AW194" i="71"/>
  <c r="Q10" i="72"/>
  <c r="AT8" i="71"/>
  <c r="AX12" i="71"/>
  <c r="CG73" i="75"/>
  <c r="AV14" i="71"/>
  <c r="AZ40" i="74"/>
  <c r="DA35" i="75"/>
  <c r="AS54" i="71"/>
  <c r="DA37" i="75"/>
  <c r="AB67" i="89"/>
  <c r="BB23" i="74"/>
  <c r="CG103" i="75"/>
  <c r="AU65" i="71"/>
  <c r="AV195" i="71"/>
  <c r="CE98" i="75"/>
  <c r="AZ33" i="74"/>
  <c r="CF14" i="75"/>
  <c r="CG56" i="75"/>
  <c r="CD40" i="75"/>
  <c r="AX98" i="71"/>
  <c r="DA84" i="75"/>
  <c r="Q51" i="72"/>
  <c r="AU97" i="71"/>
  <c r="CY68" i="75"/>
  <c r="AS50" i="71"/>
  <c r="DC89" i="75"/>
  <c r="DC65" i="75"/>
  <c r="AS193" i="71"/>
  <c r="N15" i="76"/>
  <c r="W59" i="72"/>
  <c r="CZ102" i="75"/>
  <c r="CY99" i="75"/>
  <c r="CD39" i="75"/>
  <c r="BC140" i="70"/>
  <c r="BC44" i="74"/>
  <c r="CH25" i="75"/>
  <c r="CD65" i="75"/>
  <c r="DC36" i="75"/>
  <c r="Q191" i="72"/>
  <c r="DB42" i="75"/>
  <c r="AS58" i="71"/>
  <c r="AZ44" i="74"/>
  <c r="BB18" i="74"/>
  <c r="CD99" i="75"/>
  <c r="DB71" i="75"/>
  <c r="DB24" i="75"/>
  <c r="CY60" i="75"/>
  <c r="AV16" i="71"/>
  <c r="CD31" i="75"/>
  <c r="DC49" i="75"/>
  <c r="BC4" i="74"/>
  <c r="AS106" i="71"/>
  <c r="AX13" i="71"/>
  <c r="DA100" i="75"/>
  <c r="CZ25" i="75"/>
  <c r="DB84" i="75"/>
  <c r="DA32" i="75"/>
  <c r="W99" i="72"/>
  <c r="CZ33" i="75"/>
  <c r="AU197" i="71"/>
  <c r="DB55" i="75"/>
  <c r="AT195" i="71"/>
  <c r="BC4" i="70"/>
  <c r="CH53" i="75"/>
  <c r="Q14" i="72"/>
  <c r="DA77" i="75"/>
  <c r="DC91" i="75"/>
  <c r="CH90" i="75"/>
  <c r="CG50" i="75"/>
  <c r="AY46" i="74"/>
  <c r="DB41" i="75"/>
  <c r="CY64" i="75"/>
  <c r="BV6" i="71"/>
  <c r="CD81" i="75"/>
  <c r="BB49" i="74"/>
  <c r="CZ58" i="75"/>
  <c r="R104" i="72"/>
  <c r="DA86" i="75"/>
  <c r="CZ43" i="75"/>
  <c r="CH21" i="75"/>
  <c r="DC38" i="75"/>
  <c r="R197" i="72"/>
  <c r="CZ53" i="75"/>
  <c r="N27" i="76"/>
  <c r="AU10" i="71"/>
  <c r="AB49" i="89"/>
  <c r="AS12" i="71"/>
  <c r="R148" i="72"/>
  <c r="AU54" i="71"/>
  <c r="DA68" i="75"/>
  <c r="BB4" i="70"/>
  <c r="AX59" i="71"/>
  <c r="CE35" i="75"/>
  <c r="CE77" i="75"/>
  <c r="CG48" i="75"/>
  <c r="Q195" i="72"/>
  <c r="BC49" i="70"/>
  <c r="CY36" i="75"/>
  <c r="CG29" i="75"/>
  <c r="DA72" i="75"/>
  <c r="BB37" i="74"/>
  <c r="AV100" i="71"/>
  <c r="BC18" i="74"/>
  <c r="CD35" i="75"/>
  <c r="DB22" i="75"/>
  <c r="AX101" i="71"/>
  <c r="BB29" i="74"/>
  <c r="AW197" i="71"/>
  <c r="AS144" i="71"/>
  <c r="O10" i="76"/>
  <c r="CG28" i="75"/>
  <c r="CF29" i="75"/>
  <c r="DC59" i="75"/>
  <c r="CE102" i="75"/>
  <c r="AS16" i="71"/>
  <c r="AT64" i="71"/>
  <c r="AS104" i="71"/>
  <c r="N18" i="76"/>
  <c r="DC58" i="75"/>
  <c r="AS200" i="71"/>
  <c r="P15" i="76"/>
  <c r="AX144" i="71"/>
  <c r="AW57" i="71"/>
  <c r="Q149" i="72"/>
  <c r="CG36" i="75"/>
  <c r="DB21" i="75"/>
  <c r="AZ52" i="74"/>
  <c r="W190" i="72"/>
  <c r="CH69" i="75"/>
  <c r="CH58" i="75"/>
  <c r="CF101" i="75"/>
  <c r="AU199" i="71"/>
  <c r="CY59" i="75"/>
  <c r="CE85" i="75"/>
  <c r="BC48" i="74"/>
  <c r="CH66" i="75"/>
  <c r="AT97" i="71"/>
  <c r="AS57" i="71"/>
  <c r="CF28" i="75"/>
  <c r="CG60" i="75"/>
  <c r="AZ14" i="74"/>
  <c r="CZ95" i="75"/>
  <c r="CG15" i="75"/>
  <c r="CE37" i="75"/>
  <c r="AS188" i="71"/>
  <c r="DB101" i="75"/>
  <c r="CZ41" i="75"/>
  <c r="DC75" i="75"/>
  <c r="CF92" i="75"/>
  <c r="AS191" i="71"/>
  <c r="CD78" i="75"/>
  <c r="AS20" i="71"/>
  <c r="BC58" i="74"/>
  <c r="CE61" i="75"/>
  <c r="CY14" i="75"/>
  <c r="DC72" i="75"/>
  <c r="AT144" i="71"/>
  <c r="CZ38" i="75"/>
  <c r="BB49" i="70"/>
  <c r="AB72" i="89"/>
  <c r="CY51" i="75"/>
  <c r="CF96" i="75"/>
  <c r="CH100" i="75"/>
  <c r="AT106" i="71"/>
  <c r="DC78" i="75"/>
  <c r="BC17" i="74"/>
  <c r="CY62" i="75"/>
  <c r="AS19" i="71"/>
  <c r="DB48" i="75"/>
  <c r="AU151" i="71"/>
  <c r="AS151" i="71"/>
  <c r="DA6" i="75"/>
  <c r="DC99" i="75"/>
  <c r="CH102" i="75"/>
  <c r="AX56" i="71"/>
  <c r="BV8" i="71"/>
  <c r="Q95" i="72"/>
  <c r="CY97" i="75"/>
  <c r="R26" i="76"/>
  <c r="CH54" i="75"/>
  <c r="AX196" i="71"/>
  <c r="CH83" i="75"/>
  <c r="AU193" i="71"/>
  <c r="CG17" i="75"/>
  <c r="DC15" i="75"/>
  <c r="DB80" i="75"/>
  <c r="P16" i="76"/>
  <c r="BC5" i="74"/>
  <c r="AW192" i="71"/>
  <c r="AV17" i="71"/>
  <c r="CH43" i="75"/>
  <c r="DA62" i="75"/>
  <c r="AY51" i="74"/>
  <c r="AX109" i="71"/>
  <c r="R24" i="76"/>
  <c r="DA29" i="75"/>
  <c r="Q12" i="72"/>
  <c r="CF23" i="75"/>
  <c r="CE48" i="75"/>
  <c r="AY52" i="74"/>
  <c r="BB13" i="74"/>
  <c r="CH40" i="75"/>
  <c r="AY39" i="74"/>
  <c r="AU98" i="71"/>
  <c r="AV56" i="71"/>
  <c r="CD98" i="75"/>
  <c r="DA52" i="75"/>
  <c r="CE40" i="75"/>
  <c r="CF26" i="75"/>
  <c r="AT149" i="71"/>
  <c r="BC13" i="74"/>
  <c r="AB32" i="89"/>
  <c r="CZ101" i="75"/>
  <c r="BA10" i="74"/>
  <c r="AU100" i="71"/>
  <c r="R14" i="76"/>
  <c r="AV102" i="71"/>
  <c r="CD34" i="75"/>
  <c r="CZ90" i="75"/>
  <c r="AX194" i="71"/>
  <c r="BA16" i="74"/>
  <c r="CY75" i="75"/>
  <c r="CH28" i="75"/>
  <c r="AV11" i="71"/>
  <c r="DC71" i="75"/>
  <c r="AT105" i="71"/>
  <c r="CF41" i="75"/>
  <c r="AV196" i="71"/>
  <c r="CH47" i="75"/>
  <c r="AW189" i="71"/>
  <c r="AV18" i="71"/>
  <c r="AY21" i="74"/>
  <c r="AT20" i="71"/>
  <c r="R193" i="72"/>
  <c r="CZ99" i="75"/>
  <c r="AX60" i="71"/>
  <c r="BQ184" i="70"/>
  <c r="AB41" i="89"/>
  <c r="AY4" i="74"/>
  <c r="BC56" i="74"/>
  <c r="AV96" i="71"/>
  <c r="BA49" i="74"/>
  <c r="AU149" i="71"/>
  <c r="DC37" i="75"/>
  <c r="Q192" i="72"/>
  <c r="BD139" i="70"/>
  <c r="DA99" i="75"/>
  <c r="DC28" i="75"/>
  <c r="N11" i="76"/>
  <c r="AS152" i="71"/>
  <c r="AW193" i="71"/>
  <c r="CH91" i="75"/>
  <c r="AZ7" i="74"/>
  <c r="AT140" i="71"/>
  <c r="CH84" i="75"/>
  <c r="CH44" i="75"/>
  <c r="BC45" i="74"/>
  <c r="AB62" i="89"/>
  <c r="CG23" i="75"/>
  <c r="Q147" i="72"/>
  <c r="CH87" i="75"/>
  <c r="BA19" i="74"/>
  <c r="W195" i="72"/>
  <c r="X198" i="72"/>
  <c r="AV107" i="71"/>
  <c r="BA37" i="74"/>
  <c r="AV155" i="71"/>
  <c r="Q31" i="76"/>
  <c r="R32" i="76"/>
  <c r="Q33" i="76"/>
  <c r="CH50" i="75"/>
  <c r="W105" i="72"/>
  <c r="AY31" i="74"/>
  <c r="N12" i="76"/>
  <c r="BV94" i="71"/>
  <c r="AS10" i="71"/>
  <c r="CE19" i="75"/>
  <c r="CG94" i="75"/>
  <c r="Q96" i="72"/>
  <c r="DA81" i="75"/>
  <c r="DC88" i="75"/>
  <c r="CZ44" i="75"/>
  <c r="AT59" i="71"/>
  <c r="AW108" i="71"/>
  <c r="CH74" i="75"/>
  <c r="BC15" i="74"/>
  <c r="AX62" i="71"/>
  <c r="CD27" i="75"/>
  <c r="CZ23" i="75"/>
  <c r="DC32" i="75"/>
  <c r="AB69" i="89"/>
  <c r="CE58" i="75"/>
  <c r="N21" i="76"/>
  <c r="CH45" i="75"/>
  <c r="DC52" i="75"/>
  <c r="DB19" i="75"/>
  <c r="Q60" i="72"/>
  <c r="DB87" i="75"/>
  <c r="CE23" i="75"/>
  <c r="CY71" i="75"/>
  <c r="CZ56" i="75"/>
  <c r="DB52" i="75"/>
  <c r="AV101" i="71"/>
  <c r="DA41" i="75"/>
  <c r="CY80" i="75"/>
  <c r="CD32" i="75"/>
  <c r="CZ11" i="75"/>
  <c r="BC61" i="74"/>
  <c r="CG65" i="75"/>
  <c r="W5" i="72"/>
  <c r="CZ32" i="75"/>
  <c r="R22" i="76"/>
  <c r="AS17" i="71"/>
  <c r="AW142" i="71"/>
  <c r="CG99" i="75"/>
  <c r="DA11" i="75"/>
  <c r="V49" i="72"/>
  <c r="CD21" i="75"/>
  <c r="DB67" i="75"/>
  <c r="CE43" i="75"/>
  <c r="CH85" i="75"/>
  <c r="BC23" i="74"/>
  <c r="CY12" i="75"/>
  <c r="CD37" i="75"/>
  <c r="AY44" i="74"/>
  <c r="DA38" i="75"/>
  <c r="DA4" i="75"/>
  <c r="AU6" i="71"/>
  <c r="CD49" i="75"/>
  <c r="CG98" i="75"/>
  <c r="AV58" i="71"/>
  <c r="P7" i="76"/>
  <c r="CY45" i="75"/>
  <c r="AX16" i="71"/>
  <c r="CY39" i="75"/>
  <c r="CH86" i="75"/>
  <c r="DC10" i="75"/>
  <c r="AS5" i="71"/>
  <c r="DC11" i="75"/>
  <c r="Q24" i="76"/>
  <c r="AU58" i="71"/>
  <c r="Q98" i="72"/>
  <c r="CY74" i="75"/>
  <c r="AZ5" i="74"/>
  <c r="AX15" i="71"/>
  <c r="CZ10" i="75"/>
  <c r="CH39" i="75"/>
  <c r="BC47" i="74"/>
  <c r="CG52" i="75"/>
  <c r="AX195" i="71"/>
  <c r="Q194" i="72"/>
  <c r="AW95" i="71"/>
  <c r="AT100" i="71"/>
  <c r="CY67" i="75"/>
  <c r="BC32" i="74"/>
  <c r="DA63" i="75"/>
  <c r="CH99" i="75"/>
  <c r="R5" i="76"/>
  <c r="AT57" i="71"/>
  <c r="R19" i="72"/>
  <c r="CZ75" i="75"/>
  <c r="CG101" i="75"/>
  <c r="CZ36" i="75"/>
  <c r="DA70" i="75"/>
  <c r="R146" i="72"/>
  <c r="CY37" i="75"/>
  <c r="O23" i="76"/>
  <c r="R27" i="76"/>
  <c r="CH38" i="75"/>
  <c r="CG31" i="75"/>
  <c r="AV109" i="71"/>
  <c r="AY30" i="74"/>
  <c r="W191" i="72"/>
  <c r="CH37" i="75"/>
  <c r="BA17" i="74"/>
  <c r="Q190" i="72"/>
  <c r="AT101" i="71"/>
  <c r="AV19" i="71"/>
  <c r="Q8" i="72"/>
  <c r="P17" i="76"/>
  <c r="AX102" i="71"/>
  <c r="AW110" i="71"/>
  <c r="DC41" i="75"/>
  <c r="CG64" i="75"/>
  <c r="P23" i="76"/>
  <c r="X17" i="72"/>
  <c r="DB100" i="75"/>
  <c r="BC29" i="74"/>
  <c r="AV199" i="71"/>
  <c r="W54" i="72"/>
  <c r="AX57" i="71"/>
  <c r="DA88" i="75"/>
  <c r="O25" i="76"/>
  <c r="X58" i="72"/>
  <c r="W147" i="72"/>
  <c r="AS107" i="71"/>
  <c r="AS146" i="71"/>
  <c r="AT192" i="71"/>
  <c r="AW195" i="71"/>
  <c r="R28" i="76"/>
  <c r="AW155" i="71"/>
  <c r="AZ29" i="74"/>
  <c r="AW5" i="71"/>
  <c r="AW10" i="71"/>
  <c r="CH64" i="75"/>
  <c r="BA35" i="74"/>
  <c r="DA22" i="75"/>
  <c r="CZ76" i="75"/>
  <c r="BB51" i="74"/>
  <c r="DB78" i="75"/>
  <c r="CF98" i="75"/>
  <c r="R11" i="76"/>
  <c r="DA53" i="75"/>
  <c r="BC55" i="74"/>
  <c r="AS102" i="71"/>
  <c r="AX155" i="71"/>
  <c r="AT55" i="71"/>
  <c r="AB73" i="89"/>
  <c r="CZ87" i="75"/>
  <c r="CG79" i="75"/>
  <c r="AB61" i="89"/>
  <c r="CD73" i="75"/>
  <c r="O9" i="76"/>
  <c r="N19" i="76"/>
  <c r="CY65" i="75"/>
  <c r="AW9" i="71"/>
  <c r="BD5" i="70"/>
  <c r="W97" i="72"/>
  <c r="CG32" i="75"/>
  <c r="DC93" i="75"/>
  <c r="CZ13" i="75"/>
  <c r="O16" i="76"/>
  <c r="CY31" i="75"/>
  <c r="BC50" i="70"/>
  <c r="AY7" i="74"/>
  <c r="CH80" i="75"/>
  <c r="BB50" i="74"/>
  <c r="W184" i="72"/>
  <c r="AV53" i="71"/>
  <c r="CF50" i="75"/>
  <c r="CE27" i="75"/>
  <c r="BA13" i="74"/>
  <c r="DC23" i="75"/>
  <c r="CE34" i="75"/>
  <c r="CG38" i="75"/>
  <c r="AT18" i="71"/>
  <c r="AW55" i="71"/>
  <c r="O8" i="76"/>
  <c r="AY17" i="74"/>
  <c r="AZ46" i="74"/>
  <c r="DC25" i="75"/>
  <c r="AZ11" i="74"/>
  <c r="Q59" i="72"/>
  <c r="DC87" i="75"/>
  <c r="AX154" i="71"/>
  <c r="DB73" i="75"/>
  <c r="O26" i="76"/>
  <c r="AZ6" i="74"/>
  <c r="AW11" i="71"/>
  <c r="CH42" i="75"/>
  <c r="AW19" i="71"/>
  <c r="CZ68" i="75"/>
  <c r="AS145" i="71"/>
  <c r="BA50" i="74"/>
  <c r="CZ57" i="75"/>
  <c r="P14" i="76"/>
  <c r="CY101" i="75"/>
  <c r="CY46" i="75"/>
  <c r="W14" i="72"/>
  <c r="CZ74" i="75"/>
  <c r="CD15" i="75"/>
  <c r="CY76" i="75"/>
  <c r="N31" i="76"/>
  <c r="CE47" i="75"/>
  <c r="CE91" i="75"/>
  <c r="DC74" i="75"/>
  <c r="AT52" i="71"/>
  <c r="DA103" i="75"/>
  <c r="R60" i="72"/>
  <c r="DB17" i="75"/>
  <c r="AV189" i="71"/>
  <c r="AT189" i="71"/>
  <c r="AU63" i="71"/>
  <c r="CH32" i="75"/>
  <c r="DB47" i="75"/>
  <c r="CD72" i="75"/>
  <c r="AW148" i="71"/>
  <c r="CE32" i="75"/>
  <c r="CH59" i="75"/>
  <c r="CY20" i="75"/>
  <c r="AT7" i="71"/>
  <c r="R21" i="76"/>
  <c r="AW53" i="71"/>
  <c r="CG55" i="75"/>
  <c r="CH76" i="75"/>
  <c r="AT107" i="71"/>
  <c r="BC184" i="70"/>
  <c r="Q142" i="72"/>
  <c r="AV153" i="71"/>
  <c r="CF91" i="75"/>
  <c r="CZ55" i="75"/>
  <c r="DA66" i="75"/>
  <c r="CY85" i="75"/>
  <c r="DC5" i="75"/>
  <c r="CE76" i="75"/>
  <c r="Q103" i="72"/>
  <c r="BA12" i="74"/>
  <c r="AV62" i="71"/>
  <c r="DB103" i="75"/>
  <c r="CD58" i="75"/>
  <c r="CZ50" i="75"/>
  <c r="CH95" i="75"/>
  <c r="R16" i="72"/>
  <c r="AT109" i="71"/>
  <c r="CZ47" i="75"/>
  <c r="AX148" i="71"/>
  <c r="DB99" i="75"/>
  <c r="BC9" i="74"/>
  <c r="CZ7" i="75"/>
  <c r="R103" i="72"/>
  <c r="AX95" i="71"/>
  <c r="DA14" i="75"/>
  <c r="BB16" i="74"/>
  <c r="AZ17" i="74"/>
  <c r="AZ26" i="74"/>
  <c r="AX50" i="71"/>
  <c r="DB98" i="75"/>
  <c r="CY5" i="75"/>
  <c r="BC52" i="74"/>
  <c r="O4" i="76"/>
  <c r="CZ17" i="75"/>
  <c r="CZ79" i="75"/>
  <c r="BA25" i="74"/>
  <c r="BC59" i="74"/>
  <c r="CH48" i="75"/>
  <c r="AT143" i="71"/>
  <c r="AZ12" i="74"/>
  <c r="AW12" i="71"/>
  <c r="AU187" i="71"/>
  <c r="AY27" i="74"/>
  <c r="CY42" i="75"/>
  <c r="CF94" i="75"/>
  <c r="AB77" i="89"/>
  <c r="BA48" i="74"/>
  <c r="CY83" i="75"/>
  <c r="CH78" i="75"/>
  <c r="BV186" i="71"/>
  <c r="Q36" i="76"/>
  <c r="BV187" i="71"/>
  <c r="Q35" i="76"/>
  <c r="CG69" i="75"/>
  <c r="AX191" i="71"/>
  <c r="P5" i="76"/>
  <c r="AW17" i="71"/>
  <c r="DA58" i="75"/>
  <c r="AX146" i="71"/>
  <c r="CD76" i="75"/>
  <c r="AS51" i="71"/>
  <c r="BB5" i="74"/>
  <c r="R107" i="72"/>
  <c r="CG75" i="75"/>
  <c r="CD61" i="75"/>
  <c r="AV57" i="71"/>
  <c r="BA15" i="74"/>
  <c r="BD94" i="70"/>
  <c r="BB22" i="74"/>
  <c r="BV143" i="71"/>
  <c r="CD26" i="75"/>
  <c r="DC42" i="75"/>
  <c r="AW150" i="71"/>
  <c r="CD42" i="75"/>
  <c r="CF93" i="75"/>
  <c r="CY63" i="75"/>
  <c r="AU196" i="71"/>
  <c r="CH62" i="75"/>
  <c r="CH67" i="75"/>
  <c r="CD50" i="75"/>
  <c r="AW191" i="71"/>
  <c r="AX105" i="71"/>
  <c r="BC50" i="74"/>
  <c r="Q49" i="72"/>
  <c r="CF64" i="75"/>
  <c r="CE45" i="75"/>
  <c r="AV152" i="71"/>
  <c r="V4" i="72"/>
  <c r="AV198" i="71"/>
  <c r="W192" i="72"/>
  <c r="CE87" i="75"/>
  <c r="CY54" i="75"/>
  <c r="CE29" i="75"/>
  <c r="Q15" i="76"/>
  <c r="AX10" i="71"/>
  <c r="X108" i="72"/>
  <c r="P28" i="76"/>
  <c r="X149" i="72"/>
  <c r="W60" i="72"/>
  <c r="AT186" i="71"/>
  <c r="CY24" i="75"/>
  <c r="DA69" i="75"/>
  <c r="BC185" i="70"/>
  <c r="AS52" i="71"/>
  <c r="CZ9" i="75"/>
  <c r="DB63" i="75"/>
  <c r="CF55" i="75"/>
  <c r="AX108" i="71"/>
  <c r="CZ28" i="75"/>
  <c r="N22" i="76"/>
  <c r="AU146" i="71"/>
  <c r="DC85" i="75"/>
  <c r="Q145" i="72"/>
  <c r="CH16" i="75"/>
  <c r="R6" i="76"/>
  <c r="BC19" i="74"/>
  <c r="CZ20" i="75"/>
  <c r="AT146" i="71"/>
  <c r="CZ63" i="75"/>
  <c r="N26" i="76"/>
  <c r="AY25" i="74"/>
  <c r="CH18" i="75"/>
  <c r="DC51" i="75"/>
  <c r="CZ73" i="75"/>
  <c r="BC33" i="74"/>
  <c r="CD64" i="75"/>
  <c r="CY57" i="75"/>
  <c r="BC10" i="74"/>
  <c r="CG61" i="75"/>
  <c r="Q54" i="72"/>
  <c r="AZ20" i="74"/>
  <c r="AX104" i="71"/>
  <c r="CZ48" i="75"/>
  <c r="CY47" i="75"/>
  <c r="CZ81" i="75"/>
  <c r="CE90" i="75"/>
  <c r="CF79" i="75"/>
  <c r="CH75" i="75"/>
  <c r="Q105" i="72"/>
  <c r="CF82" i="75"/>
  <c r="W50" i="72"/>
  <c r="CD92" i="75"/>
  <c r="AY54" i="74"/>
  <c r="CE17" i="75"/>
  <c r="Q4" i="76"/>
  <c r="CF65" i="75"/>
  <c r="CG33" i="75"/>
  <c r="BV5" i="71"/>
  <c r="CE82" i="75"/>
  <c r="CG77" i="75"/>
  <c r="W61" i="72"/>
  <c r="CZ66" i="75"/>
  <c r="DB61" i="75"/>
  <c r="R8" i="76"/>
  <c r="CE28" i="75"/>
  <c r="AB33" i="89"/>
  <c r="AX185" i="71"/>
  <c r="DC84" i="75"/>
  <c r="DC95" i="75"/>
  <c r="BC95" i="70"/>
  <c r="AY47" i="74"/>
  <c r="CY11" i="75"/>
  <c r="BB95" i="70"/>
  <c r="CF30" i="75"/>
  <c r="DB45" i="75"/>
  <c r="DC66" i="75"/>
  <c r="BA33" i="74"/>
  <c r="AW185" i="71"/>
  <c r="DB69" i="75"/>
  <c r="CZ24" i="75"/>
  <c r="CF88" i="75"/>
  <c r="AZ24" i="74"/>
  <c r="X11" i="72"/>
  <c r="CY53" i="75"/>
  <c r="AW14" i="71"/>
  <c r="CE88" i="75"/>
  <c r="CY17" i="75"/>
  <c r="AZ39" i="74"/>
  <c r="DB62" i="75"/>
  <c r="AZ18" i="74"/>
  <c r="AY23" i="74"/>
  <c r="AV150" i="71"/>
  <c r="CE64" i="75"/>
  <c r="BC94" i="70"/>
  <c r="X14" i="72"/>
  <c r="CZ5" i="75"/>
  <c r="DB92" i="75"/>
  <c r="AT154" i="71"/>
  <c r="BB53" i="74"/>
  <c r="CD57" i="75"/>
  <c r="W101" i="72"/>
  <c r="DC14" i="75"/>
  <c r="Q185" i="72"/>
  <c r="Q141" i="72"/>
  <c r="R195" i="72"/>
  <c r="AS192" i="71"/>
  <c r="CZ39" i="75"/>
  <c r="AU110" i="71"/>
  <c r="AV187" i="71"/>
  <c r="AS61" i="71"/>
  <c r="Q13" i="76"/>
  <c r="N7" i="76"/>
  <c r="CF31" i="75"/>
  <c r="BB30" i="74"/>
  <c r="CY32" i="75"/>
  <c r="AZ36" i="74"/>
  <c r="CY87" i="75"/>
  <c r="AV7" i="71"/>
  <c r="DA33" i="75"/>
  <c r="DC92" i="75"/>
  <c r="BA52" i="74"/>
  <c r="CE66" i="75"/>
  <c r="BA34" i="74"/>
  <c r="BB28" i="74"/>
  <c r="CG37" i="75"/>
  <c r="DB9" i="75"/>
  <c r="R17" i="72"/>
  <c r="AW98" i="71"/>
  <c r="AU19" i="71"/>
  <c r="CE92" i="75"/>
  <c r="AS95" i="71"/>
  <c r="AB53" i="89"/>
  <c r="AB40" i="89"/>
  <c r="CE93" i="75"/>
  <c r="AV51" i="71"/>
  <c r="AU59" i="71"/>
  <c r="P49" i="72"/>
  <c r="R147" i="72"/>
  <c r="CY35" i="75"/>
  <c r="DC6" i="75"/>
  <c r="AX106" i="71"/>
  <c r="CZ94" i="75"/>
  <c r="AW141" i="71"/>
  <c r="R199" i="72"/>
  <c r="DA44" i="75"/>
  <c r="AW198" i="71"/>
  <c r="AS14" i="71"/>
  <c r="CE100" i="75"/>
  <c r="Q106" i="72"/>
  <c r="CD47" i="75"/>
  <c r="BB54" i="74"/>
  <c r="DA30" i="75"/>
  <c r="DA75" i="75"/>
  <c r="AU53" i="71"/>
  <c r="W139" i="72"/>
  <c r="AS55" i="71"/>
  <c r="O29" i="76"/>
  <c r="CD55" i="75"/>
  <c r="CE75" i="75"/>
  <c r="CF73" i="75"/>
  <c r="CG57" i="75"/>
  <c r="CD97" i="75"/>
  <c r="X64" i="72"/>
  <c r="AX188" i="71"/>
  <c r="BB46" i="74"/>
  <c r="BC26" i="74"/>
  <c r="DC90" i="75"/>
  <c r="AT50" i="71"/>
  <c r="CH65" i="75"/>
  <c r="DB83" i="75"/>
  <c r="R196" i="72"/>
  <c r="R30" i="76"/>
  <c r="O13" i="76"/>
  <c r="DB13" i="75"/>
  <c r="DA98" i="75"/>
  <c r="DC62" i="75"/>
  <c r="BB17" i="74"/>
  <c r="AW199" i="71"/>
  <c r="AW145" i="71"/>
  <c r="DA95" i="75"/>
  <c r="BV142" i="71"/>
  <c r="CY102" i="75"/>
  <c r="W149" i="72"/>
  <c r="CY9" i="75"/>
  <c r="CH96" i="75"/>
  <c r="CF60" i="75"/>
  <c r="AU20" i="71"/>
  <c r="Q14" i="76"/>
  <c r="AX149" i="71"/>
  <c r="Q17" i="76"/>
  <c r="DC48" i="75"/>
  <c r="CE42" i="75"/>
  <c r="AU143" i="71"/>
  <c r="CG71" i="75"/>
  <c r="CE80" i="75"/>
  <c r="Q7" i="72"/>
  <c r="AU17" i="71"/>
  <c r="W11" i="72"/>
  <c r="DB72" i="75"/>
  <c r="Q16" i="72"/>
  <c r="X109" i="72"/>
  <c r="W6" i="72"/>
  <c r="AU144" i="71"/>
  <c r="AT51" i="71"/>
  <c r="DB4" i="75"/>
  <c r="CG70" i="75"/>
  <c r="CY19" i="75"/>
  <c r="AZ31" i="74"/>
  <c r="DB91" i="75"/>
  <c r="Q28" i="76"/>
  <c r="CD24" i="75"/>
  <c r="O18" i="76"/>
  <c r="CY15" i="75"/>
  <c r="CD75" i="75"/>
  <c r="AT9" i="71"/>
  <c r="V94" i="72"/>
  <c r="CZ98" i="75"/>
  <c r="BC30" i="74"/>
  <c r="CE86" i="75"/>
  <c r="AZ35" i="74"/>
  <c r="AS60" i="71"/>
  <c r="AS56" i="71"/>
  <c r="CE95" i="75"/>
  <c r="R17" i="76"/>
  <c r="AX150" i="71"/>
  <c r="AS99" i="71"/>
  <c r="DB102" i="75"/>
  <c r="AT12" i="71"/>
  <c r="CE49" i="75"/>
  <c r="BC12" i="74"/>
  <c r="DA17" i="75"/>
  <c r="R153" i="72"/>
  <c r="CF75" i="75"/>
  <c r="DB15" i="75"/>
  <c r="DC61" i="75"/>
  <c r="BC51" i="74"/>
  <c r="CG24" i="75"/>
  <c r="DB29" i="75"/>
  <c r="BB94" i="70"/>
  <c r="Q32" i="76"/>
  <c r="R35" i="76"/>
  <c r="BC63" i="74"/>
  <c r="BC62" i="74"/>
  <c r="Q7" i="76"/>
  <c r="Q6" i="72"/>
  <c r="AY13" i="74"/>
  <c r="X152" i="72"/>
  <c r="CG58" i="75"/>
  <c r="AY9" i="74"/>
  <c r="BC36" i="74"/>
  <c r="CF89" i="75"/>
  <c r="DB36" i="75"/>
  <c r="AU9" i="71"/>
  <c r="R15" i="72"/>
  <c r="DA47" i="75"/>
  <c r="DC27" i="75"/>
  <c r="DC30" i="75"/>
  <c r="AW97" i="71"/>
  <c r="AU11" i="71"/>
  <c r="Q99" i="72"/>
  <c r="CE38" i="75"/>
  <c r="AU191" i="71"/>
  <c r="AY55" i="74"/>
  <c r="AT98" i="71"/>
  <c r="CF99" i="75"/>
  <c r="AU140" i="71"/>
  <c r="AX100" i="71"/>
  <c r="AU104" i="71"/>
  <c r="AV98" i="71"/>
  <c r="AT17" i="71"/>
  <c r="AT104" i="71"/>
  <c r="BC40" i="74"/>
  <c r="DC101" i="75"/>
  <c r="AT194" i="71"/>
  <c r="AW52" i="71"/>
  <c r="Q104" i="72"/>
  <c r="O15" i="76"/>
  <c r="AW146" i="71"/>
  <c r="AT150" i="71"/>
  <c r="AS53" i="71"/>
  <c r="P21" i="76"/>
  <c r="X151" i="72"/>
  <c r="Q22" i="76"/>
  <c r="DC54" i="75"/>
  <c r="CY61" i="75"/>
  <c r="CZ72" i="75"/>
  <c r="CY89" i="75"/>
  <c r="CF43" i="75"/>
  <c r="CY25" i="75"/>
  <c r="AX193" i="71"/>
  <c r="DC81" i="75"/>
  <c r="CD43" i="75"/>
  <c r="CF80" i="75"/>
  <c r="AW143" i="71"/>
  <c r="AU50" i="71"/>
  <c r="CE41" i="75"/>
  <c r="AZ4" i="74"/>
  <c r="CZ35" i="75"/>
  <c r="DA46" i="75"/>
  <c r="P22" i="76"/>
  <c r="Q150" i="72"/>
  <c r="CD94" i="75"/>
  <c r="AZ25" i="74"/>
  <c r="CY18" i="75"/>
  <c r="CE52" i="75"/>
  <c r="AU56" i="71"/>
  <c r="AV143" i="71"/>
  <c r="AU16" i="71"/>
  <c r="DA97" i="75"/>
  <c r="CG83" i="75"/>
  <c r="R13" i="76"/>
  <c r="AS194" i="71"/>
  <c r="AZ49" i="74"/>
  <c r="BA26" i="74"/>
  <c r="AV110" i="71"/>
  <c r="N20" i="76"/>
  <c r="AX199" i="71"/>
  <c r="CE33" i="75"/>
  <c r="R16" i="76"/>
  <c r="CG97" i="75"/>
  <c r="AX53" i="71"/>
  <c r="AS96" i="71"/>
  <c r="Q15" i="72"/>
  <c r="R18" i="72"/>
  <c r="CZ103" i="75"/>
  <c r="CZ46" i="75"/>
  <c r="X193" i="72"/>
  <c r="DB89" i="75"/>
  <c r="DB28" i="75"/>
  <c r="AS13" i="71"/>
  <c r="R4" i="76"/>
  <c r="CF49" i="75"/>
  <c r="AZ43" i="74"/>
  <c r="DB75" i="75"/>
  <c r="W16" i="72"/>
  <c r="DB97" i="75"/>
  <c r="AU185" i="71"/>
  <c r="BC14" i="74"/>
  <c r="CF59" i="75"/>
  <c r="CH15" i="75"/>
  <c r="AT14" i="71"/>
  <c r="X57" i="72"/>
  <c r="AB59" i="89"/>
  <c r="BB47" i="74"/>
  <c r="AX142" i="71"/>
  <c r="CH30" i="75"/>
  <c r="CY27" i="75"/>
  <c r="AB66" i="89"/>
  <c r="AW149" i="71"/>
  <c r="AB65" i="89"/>
  <c r="DB94" i="75"/>
  <c r="X13" i="72"/>
  <c r="P6" i="76"/>
  <c r="CD90" i="75"/>
  <c r="AY41" i="74"/>
  <c r="CZ83" i="75"/>
  <c r="AZ37" i="74"/>
  <c r="AX186" i="71"/>
  <c r="AY42" i="74"/>
  <c r="Q5" i="72"/>
  <c r="CZ19" i="75"/>
  <c r="AV50" i="71"/>
  <c r="DB82" i="75"/>
  <c r="AB30" i="89"/>
  <c r="W144" i="72"/>
  <c r="P24" i="76"/>
  <c r="BC38" i="74"/>
  <c r="CD69" i="75"/>
  <c r="DA40" i="75"/>
  <c r="DC55" i="75"/>
  <c r="N4" i="76"/>
  <c r="AW103" i="71"/>
  <c r="CF83" i="75"/>
  <c r="X197" i="72"/>
  <c r="CE72" i="75"/>
  <c r="X195" i="72"/>
  <c r="CD66" i="75"/>
  <c r="DC31" i="75"/>
  <c r="AU101" i="71"/>
  <c r="W13" i="72"/>
  <c r="AT145" i="71"/>
  <c r="AT108" i="71"/>
  <c r="DC83" i="75"/>
  <c r="AX198" i="71"/>
  <c r="CG74" i="75"/>
  <c r="AT141" i="71"/>
  <c r="CD56" i="75"/>
  <c r="DC4" i="75"/>
  <c r="BD184" i="70"/>
  <c r="DA83" i="75"/>
  <c r="AT103" i="71"/>
  <c r="AS108" i="71"/>
  <c r="CE65" i="75"/>
  <c r="AW102" i="71"/>
  <c r="CZ70" i="75"/>
  <c r="DB8" i="75"/>
  <c r="DC68" i="75"/>
  <c r="AV13" i="71"/>
  <c r="W140" i="72"/>
  <c r="AS101" i="71"/>
  <c r="AB29" i="89"/>
  <c r="DA45" i="75"/>
  <c r="AT147" i="71"/>
  <c r="CG92" i="75"/>
  <c r="AV60" i="71"/>
  <c r="AB58" i="89"/>
  <c r="AU200" i="71"/>
  <c r="AU155" i="71"/>
  <c r="AX19" i="71"/>
  <c r="R23" i="76"/>
  <c r="AV59" i="71"/>
  <c r="X106" i="72"/>
  <c r="Q148" i="72"/>
  <c r="AU108" i="71"/>
  <c r="R12" i="76"/>
  <c r="CG46" i="75"/>
  <c r="Q20" i="76"/>
  <c r="DC29" i="75"/>
  <c r="CH23" i="75"/>
  <c r="DC70" i="75"/>
  <c r="DC12" i="75"/>
  <c r="BC6" i="74"/>
  <c r="CH68" i="75"/>
  <c r="Q4" i="72"/>
  <c r="DB86" i="75"/>
  <c r="DB70" i="75"/>
  <c r="AY6" i="74"/>
  <c r="BD50" i="70"/>
  <c r="AV99" i="71"/>
  <c r="CY82" i="75"/>
  <c r="CG16" i="75"/>
  <c r="AT65" i="71"/>
  <c r="N14" i="76"/>
  <c r="AS15" i="71"/>
  <c r="AV149" i="71"/>
  <c r="AV147" i="71"/>
  <c r="CD77" i="75"/>
  <c r="AW56" i="71"/>
  <c r="CY98" i="75"/>
  <c r="CE89" i="75"/>
  <c r="W95" i="72"/>
  <c r="X191" i="72"/>
  <c r="AW100" i="71"/>
  <c r="DB85" i="75"/>
  <c r="DA55" i="75"/>
  <c r="BB8" i="74"/>
  <c r="CD70" i="75"/>
  <c r="DB51" i="75"/>
  <c r="AY38" i="74"/>
  <c r="AU154" i="71"/>
  <c r="CE97" i="75"/>
  <c r="BD185" i="70"/>
  <c r="CZ27" i="75"/>
  <c r="AY48" i="74"/>
  <c r="CG40" i="75"/>
  <c r="CG53" i="75"/>
  <c r="AS149" i="71"/>
  <c r="CG45" i="75"/>
  <c r="DA15" i="75"/>
  <c r="W100" i="72"/>
  <c r="CD23" i="75"/>
  <c r="AS7" i="71"/>
  <c r="W49" i="72"/>
  <c r="CY16" i="75"/>
  <c r="Q12" i="76"/>
  <c r="R102" i="72"/>
  <c r="CZ80" i="75"/>
  <c r="CY13" i="75"/>
  <c r="CF100" i="75"/>
  <c r="CF24" i="75"/>
  <c r="DA60" i="75"/>
  <c r="DA67" i="75"/>
  <c r="AY11" i="74"/>
  <c r="P8" i="76"/>
  <c r="CF87" i="75"/>
  <c r="R109" i="72"/>
  <c r="CD13" i="75"/>
  <c r="R14" i="72"/>
  <c r="AW106" i="71"/>
  <c r="CH27" i="75"/>
  <c r="CY70" i="75"/>
  <c r="CF62" i="75"/>
  <c r="BB34" i="74"/>
  <c r="CZ59" i="75"/>
  <c r="CY73" i="75"/>
  <c r="O19" i="76"/>
  <c r="AW99" i="71"/>
  <c r="CH26" i="75"/>
  <c r="CG76" i="75"/>
  <c r="AX197" i="71"/>
  <c r="BB184" i="70"/>
  <c r="DA12" i="75"/>
  <c r="AV95" i="71"/>
  <c r="P20" i="76"/>
  <c r="CY103" i="75"/>
  <c r="CG95" i="75"/>
  <c r="AY53" i="74"/>
  <c r="O11" i="76"/>
  <c r="AT188" i="71"/>
  <c r="CZ49" i="75"/>
  <c r="DB12" i="75"/>
  <c r="AY43" i="74"/>
  <c r="BA47" i="74"/>
  <c r="W102" i="72"/>
  <c r="CD18" i="75"/>
  <c r="DA16" i="75"/>
  <c r="BB185" i="70"/>
  <c r="CH35" i="75"/>
  <c r="W143" i="72"/>
  <c r="DC53" i="75"/>
  <c r="BA43" i="74"/>
  <c r="AB57" i="89"/>
  <c r="BV49" i="71"/>
  <c r="AX58" i="71"/>
  <c r="CH20" i="75"/>
  <c r="AY15" i="74"/>
  <c r="CD67" i="75"/>
  <c r="CF16" i="75"/>
  <c r="W96" i="72"/>
  <c r="R33" i="76"/>
  <c r="BV184" i="71"/>
  <c r="BV189" i="71"/>
  <c r="Q34" i="76"/>
  <c r="CD80" i="75"/>
  <c r="CZ64" i="75"/>
  <c r="CG82" i="75"/>
  <c r="AT197" i="71"/>
  <c r="CF20" i="75"/>
  <c r="AT191" i="71"/>
  <c r="CF68" i="75"/>
  <c r="CE51" i="75"/>
  <c r="CY58" i="75"/>
  <c r="DB26" i="75"/>
  <c r="BV97" i="71"/>
  <c r="W52" i="72"/>
  <c r="AW151" i="71"/>
  <c r="AV52" i="71"/>
  <c r="CG59" i="75"/>
  <c r="Q5" i="76"/>
  <c r="DA93" i="75"/>
  <c r="CD59" i="75"/>
  <c r="CF32" i="75"/>
  <c r="CD41" i="75"/>
  <c r="AU64" i="71"/>
  <c r="AT61" i="71"/>
  <c r="BA23" i="74"/>
  <c r="CF36" i="75"/>
  <c r="CE16" i="75"/>
  <c r="DB93" i="75"/>
  <c r="BQ5" i="70"/>
  <c r="Q100" i="72"/>
  <c r="Q8" i="76"/>
  <c r="CZ37" i="75"/>
  <c r="CE39" i="75"/>
  <c r="BQ49" i="70"/>
  <c r="BA27" i="74"/>
  <c r="DC19" i="75"/>
  <c r="CF77" i="75"/>
  <c r="DA19" i="75"/>
  <c r="AY12" i="74"/>
  <c r="DB81" i="75"/>
  <c r="CE62" i="75"/>
  <c r="BD95" i="70"/>
  <c r="CE18" i="75"/>
  <c r="W151" i="72"/>
  <c r="W141" i="72"/>
  <c r="AB45" i="89"/>
  <c r="CZ42" i="75"/>
  <c r="AW15" i="71"/>
  <c r="CH63" i="75"/>
  <c r="DB53" i="75"/>
  <c r="CF56" i="75"/>
  <c r="AV8" i="71"/>
  <c r="DB66" i="75"/>
  <c r="AW147" i="71"/>
  <c r="BA51" i="74"/>
  <c r="R20" i="76"/>
  <c r="AB38" i="89"/>
  <c r="CG20" i="75"/>
  <c r="CF78" i="75"/>
  <c r="R152" i="72"/>
  <c r="P27" i="76"/>
  <c r="DB27" i="75"/>
  <c r="W58" i="72"/>
  <c r="DC100" i="75"/>
  <c r="AV6" i="71"/>
  <c r="AB48" i="89"/>
  <c r="DA73" i="75"/>
  <c r="AV154" i="71"/>
  <c r="CD16" i="75"/>
  <c r="AZ41" i="74"/>
  <c r="W150" i="72"/>
  <c r="AV145" i="71"/>
  <c r="O7" i="76"/>
  <c r="BC54" i="74"/>
  <c r="AW8" i="71"/>
  <c r="DA59" i="75"/>
  <c r="W188" i="72"/>
  <c r="AX103" i="71"/>
  <c r="CY95" i="75"/>
  <c r="AT95" i="71"/>
  <c r="AX5" i="71"/>
  <c r="X12" i="72"/>
  <c r="BC57" i="74"/>
  <c r="CY81" i="75"/>
  <c r="AU147" i="71"/>
  <c r="R101" i="72"/>
  <c r="N23" i="76"/>
  <c r="CY7" i="75"/>
  <c r="AS109" i="71"/>
  <c r="CF58" i="75"/>
  <c r="BB44" i="74"/>
  <c r="DA10" i="75"/>
  <c r="AV9" i="71"/>
  <c r="CY93" i="75"/>
  <c r="O21" i="76"/>
  <c r="CD91" i="75"/>
  <c r="AU99" i="71"/>
  <c r="CF33" i="75"/>
  <c r="CY88" i="75"/>
  <c r="BB12" i="74"/>
  <c r="CG63" i="75"/>
  <c r="DB11" i="75"/>
  <c r="CE26" i="75"/>
  <c r="CH22" i="75"/>
  <c r="BA7" i="74"/>
  <c r="CD52" i="75"/>
  <c r="CE53" i="75"/>
  <c r="BQ139" i="70"/>
  <c r="CY29" i="75"/>
  <c r="BC53" i="74"/>
  <c r="Q16" i="76"/>
  <c r="AW109" i="71"/>
  <c r="AW186" i="71"/>
  <c r="BB41" i="74"/>
  <c r="CH33" i="75"/>
  <c r="W4" i="72"/>
  <c r="BC11" i="74"/>
  <c r="W56" i="72"/>
  <c r="BB14" i="74"/>
  <c r="AS186" i="71"/>
  <c r="CD30" i="75"/>
  <c r="CY38" i="75"/>
  <c r="AU198" i="71"/>
  <c r="CF54" i="75"/>
  <c r="AU190" i="71"/>
  <c r="N29" i="76"/>
  <c r="AU5" i="71"/>
  <c r="AX140" i="71"/>
  <c r="AX11" i="71"/>
  <c r="X107" i="72"/>
  <c r="AS147" i="71"/>
  <c r="CD89" i="75"/>
  <c r="CE24" i="75"/>
  <c r="CD68" i="75"/>
  <c r="CG81" i="75"/>
  <c r="DC76" i="75"/>
  <c r="CG44" i="75"/>
  <c r="AV188" i="71"/>
  <c r="Q184" i="72"/>
  <c r="DC44" i="75"/>
  <c r="AT11" i="71"/>
  <c r="AX6" i="71"/>
  <c r="N30" i="76"/>
  <c r="AT110" i="71"/>
  <c r="AV103" i="71"/>
  <c r="AU106" i="71"/>
  <c r="DA90" i="75"/>
  <c r="AX52" i="71"/>
  <c r="DB38" i="75"/>
  <c r="BV140" i="71"/>
  <c r="AV61" i="71"/>
  <c r="Q186" i="72"/>
  <c r="CZ85" i="75"/>
  <c r="AB51" i="89"/>
  <c r="CH98" i="75"/>
  <c r="DA61" i="75"/>
  <c r="CH81" i="75"/>
  <c r="AV194" i="71"/>
  <c r="BB9" i="74"/>
  <c r="DA74" i="75"/>
  <c r="BB50" i="70"/>
  <c r="AB34" i="89"/>
  <c r="CH72" i="75"/>
  <c r="CE20" i="75"/>
  <c r="AX99" i="71"/>
  <c r="AY36" i="74"/>
  <c r="DC46" i="75"/>
  <c r="Q27" i="76"/>
  <c r="DB54" i="75"/>
  <c r="BC37" i="74"/>
  <c r="W9" i="72"/>
  <c r="AW7" i="71"/>
  <c r="DA18" i="75"/>
  <c r="R64" i="72"/>
  <c r="CH82" i="75"/>
  <c r="AZ19" i="74"/>
  <c r="X148" i="72"/>
  <c r="AT96" i="71"/>
  <c r="DB20" i="75"/>
  <c r="X60" i="72"/>
  <c r="R58" i="72"/>
  <c r="BA6" i="74"/>
  <c r="AX18" i="71"/>
  <c r="DA25" i="75"/>
  <c r="N24" i="76"/>
  <c r="AT99" i="71"/>
  <c r="CY43" i="75"/>
  <c r="AT153" i="71"/>
  <c r="AB50" i="89"/>
  <c r="AV197" i="71"/>
  <c r="DC63" i="75"/>
  <c r="CG62" i="75"/>
  <c r="CF35" i="75"/>
  <c r="CF97" i="75"/>
  <c r="R105" i="72"/>
  <c r="AB54" i="89"/>
  <c r="CG78" i="75"/>
  <c r="AX143" i="71"/>
  <c r="AT193" i="71"/>
  <c r="W196" i="72"/>
  <c r="Q6" i="76"/>
  <c r="BB32" i="74"/>
  <c r="W10" i="72"/>
  <c r="DC21" i="75"/>
  <c r="BB25" i="74"/>
  <c r="BB40" i="74"/>
  <c r="CD95" i="75"/>
  <c r="CZ92" i="75"/>
  <c r="P12" i="76"/>
  <c r="CF46" i="75"/>
  <c r="BV141" i="71"/>
  <c r="AY40" i="74"/>
  <c r="CE36" i="75"/>
  <c r="AZ47" i="74"/>
  <c r="CF71" i="75"/>
  <c r="BB7" i="74"/>
  <c r="AU12" i="71"/>
  <c r="AU189" i="71"/>
  <c r="CH31" i="75"/>
  <c r="AY24" i="74"/>
  <c r="CD33" i="75"/>
  <c r="BC25" i="74"/>
  <c r="X59" i="72"/>
  <c r="AV55" i="71"/>
  <c r="DB90" i="75"/>
  <c r="AV64" i="71"/>
  <c r="CZ82" i="75"/>
  <c r="W145" i="72"/>
  <c r="AZ10" i="74"/>
  <c r="R151" i="72"/>
  <c r="AW152" i="71"/>
  <c r="AX54" i="71"/>
  <c r="CH14" i="75"/>
  <c r="AB46" i="89"/>
  <c r="DB76" i="75"/>
  <c r="DB37" i="75"/>
  <c r="CY48" i="75"/>
  <c r="BB10" i="74"/>
  <c r="AB63" i="89"/>
  <c r="AV151" i="71"/>
  <c r="AU109" i="71"/>
  <c r="CD28" i="75"/>
  <c r="DA8" i="75"/>
  <c r="DB88" i="75"/>
  <c r="CD85" i="75"/>
  <c r="BB140" i="70"/>
  <c r="BV7" i="71"/>
  <c r="AS141" i="71"/>
  <c r="AX187" i="71"/>
  <c r="CF84" i="75"/>
  <c r="CZ67" i="75"/>
  <c r="AT53" i="71"/>
  <c r="CE96" i="75"/>
  <c r="R57" i="72"/>
  <c r="CE56" i="75"/>
  <c r="CD88" i="75"/>
  <c r="R19" i="76"/>
  <c r="BQ94" i="70"/>
  <c r="BC21" i="74"/>
  <c r="AT15" i="71"/>
  <c r="DB30" i="75"/>
  <c r="DC73" i="75"/>
  <c r="AT13" i="71"/>
  <c r="DC9" i="75"/>
  <c r="AT185" i="71"/>
  <c r="AS11" i="71"/>
  <c r="BA30" i="74"/>
  <c r="CE54" i="75"/>
  <c r="CD83" i="75"/>
  <c r="AY8" i="74"/>
  <c r="BA9" i="74"/>
  <c r="AT62" i="71"/>
  <c r="Q52" i="72"/>
  <c r="BB33" i="74"/>
  <c r="AX189" i="71"/>
  <c r="W194" i="72"/>
  <c r="X18" i="72"/>
  <c r="BV4" i="71"/>
  <c r="AV142" i="71"/>
  <c r="P30" i="76"/>
  <c r="AV108" i="71"/>
  <c r="CD71" i="75"/>
  <c r="Q26" i="76"/>
  <c r="BB6" i="74"/>
  <c r="BA42" i="74"/>
  <c r="AX97" i="71"/>
  <c r="AU18" i="71"/>
  <c r="Q61" i="72"/>
  <c r="CZ91" i="75"/>
  <c r="W189" i="72"/>
  <c r="DC20" i="75"/>
  <c r="R7" i="76"/>
  <c r="R191" i="72"/>
  <c r="CG30" i="75"/>
  <c r="DA50" i="75"/>
  <c r="AU142" i="71"/>
  <c r="Q50" i="72"/>
  <c r="BA11" i="74"/>
  <c r="CG80" i="75"/>
  <c r="R194" i="72"/>
  <c r="AT60" i="71"/>
  <c r="AY32" i="74"/>
  <c r="AV200" i="71"/>
  <c r="DA54" i="75"/>
  <c r="CF34" i="75"/>
  <c r="AX14" i="71"/>
  <c r="CD79" i="75"/>
  <c r="AS100" i="71"/>
  <c r="DC26" i="75"/>
  <c r="CG13" i="75"/>
  <c r="BC60" i="74"/>
  <c r="DB31" i="75"/>
  <c r="CE83" i="75"/>
  <c r="DA78" i="75"/>
  <c r="DA64" i="75"/>
  <c r="BA14" i="74"/>
  <c r="AV141" i="71"/>
  <c r="O5" i="76"/>
  <c r="BC22" i="74"/>
  <c r="R198" i="72"/>
  <c r="DA13" i="75"/>
  <c r="DC47" i="75"/>
  <c r="CH41" i="75"/>
  <c r="AZ34" i="74"/>
  <c r="CH71" i="75"/>
  <c r="AB42" i="89"/>
  <c r="AS148" i="71"/>
  <c r="BA44" i="74"/>
  <c r="AY19" i="74"/>
  <c r="DC56" i="75"/>
  <c r="DA65" i="75"/>
  <c r="CY21" i="75"/>
  <c r="W57" i="72"/>
  <c r="CG96" i="75"/>
  <c r="W148" i="72"/>
  <c r="CD82" i="75"/>
  <c r="DA57" i="75"/>
  <c r="CF48" i="75"/>
  <c r="CE103" i="75"/>
  <c r="O6" i="76"/>
  <c r="CY92" i="75"/>
  <c r="R13" i="72"/>
  <c r="BB45" i="74"/>
  <c r="CE13" i="75"/>
  <c r="CZ31" i="75"/>
  <c r="CF22" i="75"/>
  <c r="AY35" i="74"/>
  <c r="AS196" i="71"/>
  <c r="AS110" i="71"/>
  <c r="DB77" i="75"/>
  <c r="CZ12" i="75"/>
  <c r="DC43" i="75"/>
  <c r="CZ78" i="75"/>
  <c r="AT142" i="71"/>
  <c r="AX17" i="71"/>
  <c r="BB42" i="74"/>
  <c r="P4" i="76"/>
  <c r="X153" i="72"/>
  <c r="BB43" i="74"/>
  <c r="CE25" i="75"/>
  <c r="DA80" i="75"/>
  <c r="AU186" i="71"/>
  <c r="AX153" i="71"/>
  <c r="X102" i="72"/>
  <c r="CH92" i="75"/>
  <c r="DC17" i="75"/>
  <c r="BC7" i="74"/>
  <c r="CZ4" i="75"/>
  <c r="AB31" i="89"/>
  <c r="AS143" i="71"/>
  <c r="CG25" i="75"/>
  <c r="CH36" i="75"/>
  <c r="AT152" i="71"/>
  <c r="AW65" i="71"/>
  <c r="CF90" i="75"/>
  <c r="CY30" i="75"/>
  <c r="O27" i="76"/>
  <c r="O14" i="76"/>
  <c r="P13" i="76"/>
  <c r="BB15" i="74"/>
  <c r="DA56" i="75"/>
  <c r="DA82" i="75"/>
  <c r="AU102" i="71"/>
  <c r="CH77" i="75"/>
  <c r="BA46" i="74"/>
  <c r="DC33" i="75"/>
  <c r="AX96" i="71"/>
  <c r="R106" i="72"/>
  <c r="P11" i="76"/>
  <c r="AY28" i="74"/>
  <c r="Q10" i="76"/>
  <c r="AW16" i="71"/>
  <c r="CF66" i="75"/>
  <c r="CG43" i="75"/>
  <c r="CE94" i="75"/>
  <c r="DC22" i="75"/>
  <c r="BA40" i="74"/>
  <c r="X103" i="72"/>
  <c r="AB64" i="89"/>
  <c r="AY22" i="74"/>
  <c r="CF86" i="75"/>
  <c r="AS98" i="71"/>
  <c r="AX20" i="71"/>
  <c r="DC39" i="75"/>
  <c r="AU152" i="71"/>
  <c r="AS153" i="71"/>
  <c r="BA21" i="74"/>
  <c r="Q97" i="72"/>
  <c r="AU95" i="71"/>
  <c r="AB43" i="89"/>
  <c r="CY40" i="75"/>
  <c r="CD17" i="75"/>
  <c r="AX9" i="71"/>
  <c r="CF63" i="75"/>
  <c r="X104" i="72"/>
  <c r="CG85" i="75"/>
  <c r="CG67" i="75"/>
  <c r="W146" i="72"/>
  <c r="AY5" i="74"/>
  <c r="Q11" i="76"/>
  <c r="AY50" i="74"/>
  <c r="CG19" i="75"/>
  <c r="AV106" i="71"/>
  <c r="AU194" i="71"/>
  <c r="AW101" i="71"/>
  <c r="CY79" i="75"/>
  <c r="BA41" i="74"/>
  <c r="Q29" i="76"/>
  <c r="CD19" i="75"/>
  <c r="CY55" i="75"/>
  <c r="CZ18" i="75"/>
  <c r="AB36" i="89"/>
  <c r="AU192" i="71"/>
  <c r="CD22" i="75"/>
  <c r="CF47" i="75"/>
  <c r="CH73" i="75"/>
  <c r="AV15" i="71"/>
  <c r="CZ52" i="75"/>
  <c r="Q23" i="76"/>
  <c r="DA24" i="75"/>
  <c r="AS197" i="71"/>
  <c r="CE57" i="75"/>
  <c r="BB20" i="74"/>
  <c r="CF45" i="75"/>
  <c r="AU103" i="71"/>
  <c r="DB58" i="75"/>
  <c r="AX51" i="71"/>
  <c r="DC50" i="75"/>
  <c r="BB4" i="74"/>
  <c r="CG35" i="75"/>
  <c r="X150" i="72"/>
  <c r="AB35" i="89"/>
  <c r="CH101" i="75"/>
  <c r="BV51" i="71"/>
  <c r="CY8" i="75"/>
  <c r="CG89" i="75"/>
  <c r="X16" i="72"/>
  <c r="DB18" i="75"/>
  <c r="DA51" i="75"/>
  <c r="CG87" i="75"/>
  <c r="AT10" i="71"/>
  <c r="O30" i="76"/>
  <c r="CG14" i="75"/>
  <c r="W106" i="72"/>
  <c r="DC67" i="75"/>
  <c r="R108" i="72"/>
  <c r="BD49" i="70"/>
  <c r="CE55" i="75"/>
  <c r="W103" i="72"/>
  <c r="DC57" i="75"/>
  <c r="DC24" i="75"/>
  <c r="AV191" i="71"/>
  <c r="BA22" i="74"/>
  <c r="AY56" i="74"/>
  <c r="DB68" i="75"/>
  <c r="CE99" i="75"/>
  <c r="W51" i="72"/>
  <c r="AW107" i="71"/>
  <c r="DB95" i="75"/>
  <c r="AZ15" i="74"/>
  <c r="CH13" i="75"/>
  <c r="CD87" i="75"/>
  <c r="AU14" i="71"/>
  <c r="CH29" i="75"/>
  <c r="BB26" i="74"/>
  <c r="AS150" i="71"/>
  <c r="Q140" i="72"/>
  <c r="AW187" i="71"/>
  <c r="AU62" i="71"/>
  <c r="CE71" i="75"/>
  <c r="W185" i="72"/>
  <c r="CD86" i="75"/>
  <c r="AS97" i="71"/>
  <c r="CF69" i="75"/>
  <c r="CD96" i="75"/>
  <c r="CE60" i="75"/>
  <c r="AS187" i="71"/>
  <c r="CF17" i="75"/>
  <c r="CY86" i="75"/>
  <c r="AW50" i="71"/>
  <c r="DA27" i="75"/>
  <c r="AT151" i="71"/>
  <c r="CF61" i="75"/>
  <c r="R31" i="76"/>
  <c r="R34" i="76"/>
  <c r="BC65" i="74"/>
  <c r="X62" i="72"/>
  <c r="DB44" i="75"/>
  <c r="N9" i="76"/>
  <c r="BC39" i="74"/>
  <c r="CY84" i="75"/>
  <c r="CD44" i="75"/>
  <c r="N10" i="76"/>
  <c r="CH89" i="75"/>
  <c r="AZ23" i="74"/>
  <c r="AU188" i="71"/>
  <c r="CF42" i="75"/>
  <c r="W98" i="72"/>
  <c r="AS65" i="71"/>
  <c r="CZ84" i="75"/>
  <c r="CG42" i="75"/>
  <c r="CF53" i="75"/>
  <c r="X15" i="72"/>
  <c r="AY45" i="74"/>
  <c r="DC69" i="75"/>
  <c r="AT58" i="71"/>
  <c r="AT155" i="71"/>
  <c r="AY14" i="74"/>
  <c r="CF21" i="75"/>
  <c r="AS155" i="71"/>
  <c r="Q143" i="72"/>
  <c r="X199" i="72"/>
  <c r="AV190" i="71"/>
  <c r="AX151" i="71"/>
  <c r="AU51" i="71"/>
  <c r="N5" i="76"/>
  <c r="CZ21" i="75"/>
  <c r="BB36" i="74"/>
  <c r="DC80" i="75"/>
  <c r="AV146" i="71"/>
  <c r="CG49" i="75"/>
  <c r="AW62" i="71"/>
  <c r="CF81" i="75"/>
  <c r="CG21" i="75"/>
  <c r="CE21" i="75"/>
  <c r="AV10" i="71"/>
  <c r="Q9" i="76"/>
  <c r="BB31" i="74"/>
  <c r="AZ50" i="74"/>
  <c r="Q13" i="72"/>
  <c r="AV20" i="71"/>
  <c r="DB16" i="75"/>
  <c r="CY26" i="75"/>
  <c r="AW190" i="71"/>
  <c r="CF103" i="75"/>
  <c r="CZ29" i="75"/>
  <c r="BA8" i="74"/>
  <c r="CE30" i="75"/>
  <c r="AB74" i="89"/>
  <c r="AU195" i="71"/>
  <c r="AS18" i="71"/>
  <c r="AU55" i="71"/>
  <c r="AW188" i="71"/>
  <c r="AZ9" i="74"/>
  <c r="DB74" i="75"/>
  <c r="BA20" i="74"/>
  <c r="CH55" i="75"/>
  <c r="AY29" i="74"/>
  <c r="AY18" i="74"/>
  <c r="CE81" i="75"/>
  <c r="CF18" i="75"/>
  <c r="CD48" i="75"/>
  <c r="R192" i="72"/>
  <c r="DA101" i="75"/>
  <c r="DA94" i="75"/>
  <c r="AX110" i="71"/>
  <c r="DA49" i="75"/>
  <c r="AZ8" i="74"/>
  <c r="Q189" i="72"/>
  <c r="CH19" i="75"/>
  <c r="Q9" i="72"/>
  <c r="AB56" i="89"/>
  <c r="CH56" i="75"/>
  <c r="R150" i="72"/>
  <c r="CG18" i="75"/>
  <c r="CZ40" i="75"/>
  <c r="CH57" i="75"/>
  <c r="AX141" i="71"/>
  <c r="N16" i="76"/>
  <c r="AS142" i="71"/>
  <c r="DC64" i="75"/>
  <c r="CD103" i="75"/>
  <c r="CD102" i="75"/>
  <c r="Q25" i="76"/>
  <c r="CZ71" i="75"/>
  <c r="W12" i="72"/>
  <c r="DC18" i="75"/>
  <c r="CG100" i="75"/>
  <c r="AW54" i="71"/>
  <c r="CF13" i="75"/>
  <c r="CZ14" i="75"/>
  <c r="AB71" i="89"/>
  <c r="CG102" i="75"/>
  <c r="DB23" i="75"/>
  <c r="CY44" i="75"/>
  <c r="BC34" i="74"/>
  <c r="DA79" i="75"/>
  <c r="BA4" i="74"/>
  <c r="CD63" i="75"/>
  <c r="AU57" i="71"/>
  <c r="CD38" i="75"/>
  <c r="AZ13" i="74"/>
  <c r="X196" i="72"/>
  <c r="CY69" i="75"/>
  <c r="BC8" i="74"/>
  <c r="CY50" i="75"/>
  <c r="CF44" i="75"/>
  <c r="AW105" i="71"/>
  <c r="R18" i="76"/>
  <c r="AT16" i="71"/>
  <c r="AB68" i="89"/>
  <c r="BA18" i="74"/>
  <c r="DC77" i="75"/>
  <c r="CZ34" i="75"/>
  <c r="P94" i="72"/>
  <c r="CD53" i="75"/>
  <c r="AZ28" i="74"/>
  <c r="O28" i="76"/>
  <c r="DC82" i="75"/>
  <c r="AX145" i="71"/>
  <c r="CZ69" i="75"/>
  <c r="Q144" i="72"/>
  <c r="CH60" i="75"/>
  <c r="BC43" i="74"/>
  <c r="AS185" i="71"/>
  <c r="AW140" i="71"/>
  <c r="AT19" i="71"/>
  <c r="DA21" i="75"/>
  <c r="CF38" i="75"/>
  <c r="DA85" i="75"/>
  <c r="CH49" i="75"/>
  <c r="AV63" i="71"/>
  <c r="R149" i="72"/>
  <c r="CH93" i="75"/>
  <c r="CZ89" i="75"/>
  <c r="AZ30" i="74"/>
  <c r="CY4" i="75"/>
  <c r="R11" i="72"/>
  <c r="CE78" i="75"/>
  <c r="DA23" i="75"/>
  <c r="AS9" i="71"/>
  <c r="CY78" i="75"/>
  <c r="DB43" i="75"/>
  <c r="AU150" i="71"/>
  <c r="X63" i="72"/>
  <c r="AZ16" i="74"/>
  <c r="DC86" i="75"/>
  <c r="AT148" i="71"/>
  <c r="AU7" i="71"/>
  <c r="Q57" i="72"/>
  <c r="DA26" i="75"/>
  <c r="AU13" i="71"/>
  <c r="CG39" i="75"/>
  <c r="BB52" i="74"/>
  <c r="AB55" i="89"/>
  <c r="AB44" i="89"/>
  <c r="CZ60" i="75"/>
  <c r="CY77" i="75"/>
  <c r="AV65" i="71"/>
  <c r="CG66" i="75"/>
  <c r="CG90" i="75"/>
  <c r="DA31" i="75"/>
  <c r="W104" i="72"/>
  <c r="CG68" i="75"/>
  <c r="AT199" i="71"/>
  <c r="Q55" i="72"/>
  <c r="BC20" i="74"/>
  <c r="CY56" i="75"/>
  <c r="Q30" i="76"/>
  <c r="BA31" i="74"/>
  <c r="DC102" i="75"/>
  <c r="AU148" i="71"/>
  <c r="CF40" i="75"/>
  <c r="N13" i="76"/>
  <c r="BB5" i="70"/>
  <c r="CF25" i="75"/>
  <c r="Q58" i="72"/>
  <c r="AZ51" i="74"/>
  <c r="CF19" i="75"/>
  <c r="CH103" i="75"/>
  <c r="Q19" i="76"/>
  <c r="AU107" i="71"/>
  <c r="DB7" i="75"/>
  <c r="CZ16" i="75"/>
  <c r="BC41" i="74"/>
  <c r="DA20" i="75"/>
  <c r="R56" i="72"/>
  <c r="DB60" i="75"/>
  <c r="AZ42" i="74"/>
  <c r="DB5" i="75"/>
  <c r="DA76" i="75"/>
  <c r="X154" i="72"/>
  <c r="BB35" i="74"/>
  <c r="AX8" i="71"/>
  <c r="DB32" i="75"/>
  <c r="CZ15" i="75"/>
  <c r="N25" i="76"/>
  <c r="BC27" i="74"/>
  <c r="R29" i="76"/>
  <c r="CF67" i="75"/>
  <c r="W7" i="72"/>
  <c r="DC98" i="75"/>
  <c r="O17" i="76"/>
  <c r="Q56" i="72"/>
  <c r="BA32" i="74"/>
  <c r="BC139" i="70"/>
  <c r="CZ6" i="75"/>
  <c r="CZ22" i="75"/>
  <c r="CD36" i="75"/>
  <c r="CY49" i="75"/>
  <c r="AY10" i="74"/>
  <c r="AX147" i="71"/>
  <c r="AX64" i="71"/>
  <c r="BC5" i="70"/>
  <c r="AX55" i="71"/>
  <c r="BB39" i="74"/>
  <c r="AS154" i="71"/>
  <c r="AV12" i="71"/>
  <c r="AB70" i="89"/>
  <c r="DB49" i="75"/>
  <c r="BV50" i="71"/>
  <c r="R59" i="72"/>
  <c r="BV96" i="71"/>
  <c r="AZ32" i="74"/>
  <c r="Q18" i="76"/>
  <c r="AT56" i="71"/>
  <c r="BA5" i="74"/>
  <c r="CE68" i="75"/>
  <c r="CE22" i="75"/>
  <c r="AW104" i="71"/>
  <c r="BB19" i="74"/>
  <c r="Q193" i="72"/>
  <c r="CH46" i="75"/>
  <c r="P9" i="76"/>
  <c r="CH79" i="75"/>
  <c r="CF52" i="75"/>
  <c r="BC31" i="74"/>
  <c r="CF74" i="75"/>
  <c r="AW200" i="71"/>
  <c r="AS59" i="71"/>
  <c r="AS6" i="71"/>
  <c r="Q101" i="72"/>
  <c r="CZ61" i="75"/>
  <c r="CZ62" i="75"/>
  <c r="AW63" i="71"/>
  <c r="CG41" i="75"/>
  <c r="AZ27" i="74"/>
  <c r="CZ45" i="75"/>
  <c r="P10" i="76"/>
  <c r="CF37" i="75"/>
  <c r="DA71" i="75"/>
  <c r="BD140" i="70"/>
  <c r="AV144" i="71"/>
  <c r="AY34" i="74"/>
  <c r="AW58" i="71"/>
  <c r="X194" i="72"/>
  <c r="AT63" i="71"/>
  <c r="Q139" i="72"/>
  <c r="AW51" i="71"/>
  <c r="CY100" i="75"/>
  <c r="Q196" i="72"/>
  <c r="CH24" i="75"/>
  <c r="X147" i="72"/>
  <c r="DC34" i="75"/>
  <c r="CY72" i="75"/>
  <c r="CD84" i="75"/>
  <c r="CE69" i="75"/>
  <c r="CY34" i="75"/>
  <c r="DA9" i="75"/>
  <c r="CF72" i="75"/>
  <c r="AU60" i="71"/>
  <c r="AS62" i="71"/>
  <c r="BC64" i="74"/>
  <c r="BC67" i="74"/>
  <c r="BV188" i="71"/>
  <c r="CY66" i="75"/>
  <c r="Q11" i="72"/>
  <c r="CZ100" i="75"/>
  <c r="CY91" i="75"/>
  <c r="DA102" i="75"/>
  <c r="CZ65" i="75"/>
  <c r="CG27" i="75"/>
  <c r="AV148" i="71"/>
  <c r="CZ30" i="75"/>
  <c r="CE73" i="75"/>
  <c r="R61" i="72"/>
  <c r="DA48" i="75"/>
  <c r="O20" i="76"/>
  <c r="R25" i="76"/>
  <c r="AZ21" i="74"/>
  <c r="AY16" i="74"/>
  <c r="AV5" i="71"/>
  <c r="CZ51" i="75"/>
  <c r="AW60" i="71"/>
  <c r="BB48" i="74"/>
  <c r="AB39" i="89"/>
  <c r="AU145" i="71"/>
  <c r="CF39" i="75"/>
  <c r="AW64" i="71"/>
  <c r="DA96" i="75"/>
  <c r="AS140" i="71"/>
  <c r="DA39" i="75"/>
  <c r="AY20" i="74"/>
  <c r="AU153" i="71"/>
  <c r="CY28" i="75"/>
  <c r="DC94" i="75"/>
  <c r="AU105" i="71"/>
  <c r="DA28" i="75"/>
  <c r="CE50" i="75"/>
  <c r="DB46" i="75"/>
  <c r="W193" i="72"/>
  <c r="CZ93" i="75"/>
  <c r="O22" i="76"/>
  <c r="AS63" i="71"/>
  <c r="W55" i="72"/>
  <c r="CH94" i="75"/>
  <c r="CY94" i="75"/>
  <c r="DC103" i="75"/>
  <c r="CD54" i="75"/>
  <c r="X56" i="72"/>
  <c r="X19" i="72"/>
  <c r="DC7" i="75"/>
  <c r="CZ96" i="75"/>
  <c r="CG86" i="75"/>
  <c r="AZ48" i="74"/>
  <c r="DC16" i="75"/>
  <c r="AU141" i="71"/>
  <c r="DB65" i="75"/>
  <c r="AB37" i="89"/>
  <c r="BV139" i="71"/>
  <c r="CF85" i="75"/>
  <c r="R62" i="72"/>
  <c r="DB34" i="75"/>
  <c r="AX107" i="71"/>
  <c r="AX65" i="71"/>
  <c r="CY23" i="75"/>
  <c r="CD29" i="75"/>
  <c r="CF27" i="75"/>
  <c r="CE67" i="75"/>
  <c r="DB96" i="75"/>
  <c r="AW144" i="71"/>
  <c r="CH97" i="75"/>
  <c r="DC60" i="75"/>
  <c r="N17" i="76"/>
  <c r="CH51" i="75"/>
  <c r="DA7" i="75"/>
  <c r="W142" i="72"/>
  <c r="CH88" i="75"/>
  <c r="O24" i="76"/>
  <c r="DC45" i="75"/>
  <c r="BB21" i="74"/>
  <c r="P19" i="76"/>
  <c r="AW196" i="71"/>
  <c r="AW20" i="71"/>
  <c r="AV193" i="71"/>
  <c r="CD60" i="75"/>
  <c r="W187" i="72"/>
  <c r="BB24" i="74"/>
  <c r="N6" i="76"/>
  <c r="AU61" i="71"/>
  <c r="AS198" i="71"/>
  <c r="AS199" i="71"/>
  <c r="DA36" i="75"/>
  <c r="BB139" i="70"/>
  <c r="CD93" i="75"/>
  <c r="CZ54" i="75"/>
  <c r="CF70" i="75"/>
  <c r="DC35" i="75"/>
  <c r="CY6" i="75"/>
  <c r="CG34" i="75"/>
  <c r="BA36" i="74"/>
  <c r="CG22" i="75"/>
  <c r="AT198" i="71"/>
  <c r="DB39" i="75"/>
  <c r="X101" i="72"/>
  <c r="AX200" i="71"/>
  <c r="CY10" i="75"/>
  <c r="DC40" i="75"/>
  <c r="DA92" i="75"/>
  <c r="R15" i="76"/>
  <c r="BA39" i="74"/>
  <c r="CD100" i="75"/>
  <c r="BD4" i="70"/>
  <c r="CD62" i="75"/>
  <c r="CG51" i="75"/>
  <c r="CD74" i="75"/>
  <c r="W186" i="72"/>
  <c r="CY33" i="75"/>
  <c r="BA38" i="74"/>
  <c r="CH17" i="75"/>
  <c r="Q146" i="72"/>
  <c r="CH70" i="75"/>
  <c r="DB6" i="75"/>
  <c r="AZ38" i="74"/>
  <c r="CE31" i="75"/>
  <c r="CD25" i="75"/>
  <c r="DB59" i="75"/>
  <c r="AV97" i="71"/>
  <c r="W8" i="72"/>
  <c r="AW13" i="71"/>
  <c r="DC79" i="75"/>
  <c r="AZ22" i="74"/>
  <c r="X146" i="72"/>
  <c r="AB76" i="89"/>
  <c r="AW153" i="71"/>
  <c r="AV105" i="71"/>
  <c r="DA89" i="75"/>
  <c r="AW96" i="71"/>
  <c r="CZ26" i="75"/>
  <c r="CE84" i="75"/>
  <c r="CE46" i="75"/>
  <c r="DA43" i="75"/>
  <c r="BB27" i="74"/>
  <c r="R63" i="72"/>
  <c r="Q151" i="72"/>
  <c r="CH52" i="75"/>
  <c r="DC97" i="75"/>
  <c r="CH61" i="75"/>
  <c r="CZ97" i="75"/>
  <c r="BC28" i="74"/>
  <c r="AU8" i="71"/>
  <c r="BC49" i="74"/>
  <c r="W94" i="72"/>
  <c r="CF102" i="75"/>
  <c r="BC35" i="74"/>
  <c r="N8" i="76"/>
  <c r="AT196" i="71"/>
  <c r="AT200" i="71"/>
  <c r="AX192" i="71"/>
  <c r="AS195" i="71"/>
  <c r="W15" i="72"/>
  <c r="AV192" i="71"/>
  <c r="BC42" i="74"/>
  <c r="AT187" i="71"/>
  <c r="AT54" i="71"/>
  <c r="AY49" i="74"/>
  <c r="CH34" i="75"/>
  <c r="CF57" i="75"/>
  <c r="DB35" i="75"/>
  <c r="BB38" i="74"/>
  <c r="AX63" i="71"/>
  <c r="AT6" i="71"/>
  <c r="AY37" i="74"/>
  <c r="CE79" i="75"/>
  <c r="CD14" i="75"/>
  <c r="DB56" i="75"/>
  <c r="CG93" i="75"/>
  <c r="AT5" i="71"/>
  <c r="AB75" i="89"/>
  <c r="AU96" i="71"/>
  <c r="DB33" i="75"/>
  <c r="AX190" i="71"/>
  <c r="X61" i="72"/>
  <c r="DB40" i="75"/>
  <c r="BB55" i="74"/>
  <c r="DC96" i="75"/>
  <c r="CG72" i="75"/>
  <c r="AV104" i="71"/>
  <c r="AU52" i="71"/>
  <c r="AV186" i="71"/>
  <c r="R9" i="76"/>
  <c r="AS64" i="71"/>
  <c r="DA91" i="75"/>
  <c r="AS189" i="71"/>
  <c r="BC16" i="74"/>
  <c r="AS105" i="71"/>
  <c r="CE14" i="75"/>
  <c r="BA29" i="74"/>
  <c r="AS8" i="71"/>
  <c r="DB64" i="75"/>
  <c r="Q102" i="72"/>
  <c r="CY41" i="75"/>
  <c r="CE63" i="75"/>
  <c r="Q187" i="72"/>
  <c r="AV140" i="71"/>
  <c r="CF95" i="75"/>
  <c r="DA87" i="75"/>
  <c r="CG26" i="75"/>
  <c r="CG88" i="75"/>
  <c r="BV95" i="71"/>
  <c r="R10" i="76"/>
  <c r="DA34" i="75"/>
  <c r="AW18" i="71"/>
  <c r="CY96" i="75"/>
  <c r="CE15" i="75"/>
  <c r="P25" i="76"/>
  <c r="CF15" i="75"/>
  <c r="CD45" i="75"/>
  <c r="AV185" i="71"/>
  <c r="W53" i="72"/>
  <c r="CF76" i="75"/>
  <c r="BA28" i="74"/>
  <c r="AX61" i="71"/>
  <c r="AB60" i="89"/>
  <c r="CD46" i="75"/>
  <c r="CY52" i="75"/>
  <c r="X105" i="72"/>
  <c r="CE74" i="75"/>
  <c r="P26" i="76"/>
  <c r="AZ45" i="74"/>
  <c r="DB14" i="75"/>
  <c r="Q188" i="72"/>
  <c r="Q21" i="76"/>
  <c r="DB10" i="75"/>
  <c r="DB25" i="75"/>
  <c r="DC8" i="75"/>
  <c r="O12" i="76"/>
  <c r="CZ77" i="75"/>
  <c r="CG84" i="75"/>
  <c r="CG91" i="75"/>
  <c r="AS190" i="71"/>
  <c r="BA45" i="74"/>
  <c r="R12" i="72"/>
  <c r="CG47" i="75"/>
  <c r="BC46" i="74"/>
  <c r="AW6" i="71"/>
  <c r="Q94" i="72"/>
  <c r="BC24" i="74"/>
  <c r="AW154" i="71"/>
  <c r="P18" i="76"/>
  <c r="CY22" i="75"/>
  <c r="BB11" i="74"/>
  <c r="CG54" i="75"/>
  <c r="AY26" i="74"/>
  <c r="Q53" i="72"/>
  <c r="AW59" i="71"/>
  <c r="AU15" i="71"/>
  <c r="DB57" i="75"/>
  <c r="AX7" i="71"/>
  <c r="CZ86" i="75"/>
  <c r="CE70" i="75"/>
  <c r="AV54" i="71"/>
  <c r="AS103" i="71"/>
  <c r="CE101" i="75"/>
  <c r="X192" i="72"/>
  <c r="CZ88" i="75"/>
  <c r="AX152" i="71"/>
  <c r="DB50" i="75"/>
  <c r="DB79" i="75"/>
  <c r="P4" i="72"/>
  <c r="CD101" i="75"/>
  <c r="CF51" i="75"/>
  <c r="CY90" i="75"/>
  <c r="AT190" i="71"/>
  <c r="CE59" i="75"/>
  <c r="DA42" i="75"/>
  <c r="R154" i="72"/>
  <c r="N28" i="76"/>
  <c r="AY33" i="74"/>
  <c r="CE44" i="75"/>
  <c r="DA5" i="75"/>
  <c r="BA24" i="74"/>
  <c r="AT102" i="71"/>
  <c r="AW61" i="71"/>
  <c r="BV185" i="71"/>
  <c r="BC66" i="74"/>
  <c r="P29" i="76"/>
  <c r="CZ8" i="75"/>
  <c r="CD20" i="75"/>
  <c r="AB52" i="89"/>
  <c r="R36" i="76"/>
  <c r="BT94" i="70"/>
  <c r="AJ12" i="74" l="1"/>
  <c r="BP101" i="71"/>
  <c r="BQ101" i="71" s="1"/>
  <c r="S103" i="71"/>
  <c r="BP12" i="71"/>
  <c r="BQ12" i="71" s="1"/>
  <c r="S14" i="71"/>
  <c r="AH13" i="74"/>
  <c r="AK13" i="74"/>
  <c r="S149" i="71"/>
  <c r="BP147" i="71"/>
  <c r="BQ147" i="71" s="1"/>
  <c r="AI12" i="74"/>
  <c r="S58" i="71"/>
  <c r="BP56" i="71"/>
  <c r="BQ56" i="71" s="1"/>
  <c r="AY62" i="71"/>
  <c r="S110" i="84"/>
  <c r="AH110" i="84" s="1"/>
  <c r="AY187" i="71"/>
  <c r="BY49" i="71"/>
  <c r="R150" i="84"/>
  <c r="S157" i="84"/>
  <c r="AH157" i="84" s="1"/>
  <c r="S156" i="84"/>
  <c r="AH156" i="84" s="1"/>
  <c r="AY97" i="71"/>
  <c r="R199" i="84"/>
  <c r="X203" i="90" s="1"/>
  <c r="AY99" i="71"/>
  <c r="Q7" i="84"/>
  <c r="AF7" i="84" s="1"/>
  <c r="R142" i="84"/>
  <c r="AG142" i="84" s="1"/>
  <c r="R143" i="84"/>
  <c r="AY152" i="71"/>
  <c r="AY150" i="71"/>
  <c r="AY51" i="71"/>
  <c r="AY56" i="71"/>
  <c r="AY60" i="71"/>
  <c r="AY103" i="71"/>
  <c r="R195" i="84"/>
  <c r="AG195" i="84" s="1"/>
  <c r="CH5" i="75"/>
  <c r="CH6" i="75" s="1"/>
  <c r="CH7" i="75" s="1"/>
  <c r="CH8" i="75" s="1"/>
  <c r="CH9" i="75" s="1"/>
  <c r="CH10" i="75" s="1"/>
  <c r="CH11" i="75" s="1"/>
  <c r="CH12" i="75" s="1"/>
  <c r="Y94" i="72"/>
  <c r="AR94" i="72" s="1"/>
  <c r="AS94" i="72" s="1"/>
  <c r="S106" i="84"/>
  <c r="Y110" i="90" s="1"/>
  <c r="R56" i="84"/>
  <c r="R104" i="84"/>
  <c r="R9" i="84"/>
  <c r="AG9" i="84" s="1"/>
  <c r="AY6" i="71"/>
  <c r="R14" i="84"/>
  <c r="AG14" i="84" s="1"/>
  <c r="AY59" i="71"/>
  <c r="S19" i="84"/>
  <c r="Y23" i="90" s="1"/>
  <c r="S196" i="84"/>
  <c r="Y200" i="90" s="1"/>
  <c r="R97" i="84"/>
  <c r="X101" i="90" s="1"/>
  <c r="S111" i="84"/>
  <c r="AH111" i="84" s="1"/>
  <c r="R19" i="84"/>
  <c r="X23" i="90" s="1"/>
  <c r="R106" i="84"/>
  <c r="AG106" i="84" s="1"/>
  <c r="R196" i="84"/>
  <c r="AG196" i="84" s="1"/>
  <c r="S154" i="84"/>
  <c r="Y158" i="90" s="1"/>
  <c r="S15" i="84"/>
  <c r="Y19" i="90" s="1"/>
  <c r="S17" i="84"/>
  <c r="Y21" i="90" s="1"/>
  <c r="AY190" i="71"/>
  <c r="CD5" i="75"/>
  <c r="CD6" i="75" s="1"/>
  <c r="CD7" i="75" s="1"/>
  <c r="CD8" i="75" s="1"/>
  <c r="CD9" i="75" s="1"/>
  <c r="CD10" i="75" s="1"/>
  <c r="CD11" i="75" s="1"/>
  <c r="S112" i="84"/>
  <c r="R10" i="84"/>
  <c r="X14" i="90" s="1"/>
  <c r="R145" i="84"/>
  <c r="X149" i="90" s="1"/>
  <c r="BY96" i="71"/>
  <c r="S62" i="84"/>
  <c r="Y66" i="90" s="1"/>
  <c r="BY51" i="71"/>
  <c r="BY50" i="71"/>
  <c r="R191" i="84"/>
  <c r="AG191" i="84" s="1"/>
  <c r="AY154" i="71"/>
  <c r="S105" i="84"/>
  <c r="Y109" i="90" s="1"/>
  <c r="AY7" i="71"/>
  <c r="BY142" i="71"/>
  <c r="AY197" i="71"/>
  <c r="AY149" i="71"/>
  <c r="BY141" i="71"/>
  <c r="S63" i="84"/>
  <c r="Y67" i="90" s="1"/>
  <c r="R59" i="84"/>
  <c r="AG59" i="84" s="1"/>
  <c r="S199" i="84"/>
  <c r="Y203" i="90" s="1"/>
  <c r="R15" i="84"/>
  <c r="X19" i="90" s="1"/>
  <c r="BY95" i="71"/>
  <c r="R190" i="84"/>
  <c r="AG190" i="84" s="1"/>
  <c r="R105" i="84"/>
  <c r="S108" i="84"/>
  <c r="Y112" i="90" s="1"/>
  <c r="AY145" i="71"/>
  <c r="AY8" i="71"/>
  <c r="S59" i="84"/>
  <c r="Y63" i="90" s="1"/>
  <c r="AY55" i="71"/>
  <c r="AY15" i="71"/>
  <c r="Y139" i="72"/>
  <c r="AF5" i="74" s="1"/>
  <c r="AY105" i="71"/>
  <c r="AY189" i="71"/>
  <c r="R98" i="84"/>
  <c r="X102" i="90" s="1"/>
  <c r="AY64" i="71"/>
  <c r="BY8" i="71"/>
  <c r="R109" i="84"/>
  <c r="X113" i="90" s="1"/>
  <c r="R62" i="84"/>
  <c r="AY14" i="71"/>
  <c r="R61" i="84"/>
  <c r="S61" i="84"/>
  <c r="Y65" i="90" s="1"/>
  <c r="R7" i="84"/>
  <c r="X11" i="90" s="1"/>
  <c r="AY151" i="71"/>
  <c r="S202" i="84"/>
  <c r="Y206" i="90" s="1"/>
  <c r="R100" i="84"/>
  <c r="X104" i="90" s="1"/>
  <c r="AY19" i="71"/>
  <c r="AY153" i="71"/>
  <c r="S150" i="84"/>
  <c r="Y154" i="90" s="1"/>
  <c r="AY98" i="71"/>
  <c r="S67" i="84"/>
  <c r="AH67" i="84" s="1"/>
  <c r="Q52" i="84"/>
  <c r="AF52" i="84" s="1"/>
  <c r="R58" i="84"/>
  <c r="AG58" i="84" s="1"/>
  <c r="R151" i="84"/>
  <c r="AG151" i="84" s="1"/>
  <c r="Y184" i="72"/>
  <c r="AY95" i="71"/>
  <c r="S20" i="84"/>
  <c r="Y24" i="90" s="1"/>
  <c r="AY20" i="71"/>
  <c r="AY191" i="71"/>
  <c r="S109" i="84"/>
  <c r="Y113" i="90" s="1"/>
  <c r="AY101" i="71"/>
  <c r="R60" i="84"/>
  <c r="AG60" i="84" s="1"/>
  <c r="AY188" i="71"/>
  <c r="AY195" i="71"/>
  <c r="R189" i="84"/>
  <c r="AG189" i="84" s="1"/>
  <c r="BY140" i="71"/>
  <c r="AY108" i="71"/>
  <c r="AY57" i="71"/>
  <c r="AY102" i="71"/>
  <c r="AY9" i="71"/>
  <c r="AY61" i="71"/>
  <c r="S14" i="84"/>
  <c r="Y18" i="90" s="1"/>
  <c r="AY143" i="71"/>
  <c r="AY192" i="71"/>
  <c r="S198" i="84"/>
  <c r="Y202" i="90" s="1"/>
  <c r="R154" i="84"/>
  <c r="X158" i="90" s="1"/>
  <c r="R144" i="84"/>
  <c r="AG144" i="84" s="1"/>
  <c r="S66" i="84"/>
  <c r="Y70" i="90" s="1"/>
  <c r="S152" i="84"/>
  <c r="Y156" i="90" s="1"/>
  <c r="R187" i="84"/>
  <c r="AG187" i="84" s="1"/>
  <c r="R188" i="84"/>
  <c r="AG188" i="84" s="1"/>
  <c r="R152" i="84"/>
  <c r="AG152" i="84" s="1"/>
  <c r="AY185" i="71"/>
  <c r="AY200" i="71"/>
  <c r="AY147" i="71"/>
  <c r="AY146" i="71"/>
  <c r="AY107" i="71"/>
  <c r="R147" i="84"/>
  <c r="AG147" i="84" s="1"/>
  <c r="AY104" i="71"/>
  <c r="AY16" i="71"/>
  <c r="Q97" i="84"/>
  <c r="AY110" i="71"/>
  <c r="AY196" i="71"/>
  <c r="AY186" i="71"/>
  <c r="AY144" i="71"/>
  <c r="R8" i="84"/>
  <c r="AG8" i="84" s="1"/>
  <c r="R149" i="84"/>
  <c r="AG149" i="84" s="1"/>
  <c r="CE5" i="75"/>
  <c r="CE6" i="75" s="1"/>
  <c r="CE7" i="75" s="1"/>
  <c r="CE8" i="75" s="1"/>
  <c r="CE9" i="75" s="1"/>
  <c r="CE10" i="75" s="1"/>
  <c r="CE11" i="75" s="1"/>
  <c r="CE12" i="75" s="1"/>
  <c r="S16" i="84"/>
  <c r="Y20" i="90" s="1"/>
  <c r="R11" i="84"/>
  <c r="X15" i="90" s="1"/>
  <c r="R193" i="84"/>
  <c r="X197" i="90" s="1"/>
  <c r="R198" i="84"/>
  <c r="AG198" i="84" s="1"/>
  <c r="AY148" i="71"/>
  <c r="S149" i="84"/>
  <c r="Y153" i="90" s="1"/>
  <c r="S151" i="84"/>
  <c r="Y155" i="90" s="1"/>
  <c r="AY12" i="71"/>
  <c r="CF5" i="75"/>
  <c r="CF6" i="75" s="1"/>
  <c r="CF7" i="75" s="1"/>
  <c r="CF8" i="75" s="1"/>
  <c r="CF9" i="75" s="1"/>
  <c r="CF10" i="75" s="1"/>
  <c r="CF11" i="75" s="1"/>
  <c r="S22" i="84"/>
  <c r="Y26" i="90" s="1"/>
  <c r="S201" i="84"/>
  <c r="AH201" i="84" s="1"/>
  <c r="BY5" i="71"/>
  <c r="S200" i="84"/>
  <c r="AY109" i="71"/>
  <c r="AY199" i="71"/>
  <c r="AY13" i="71"/>
  <c r="S107" i="84"/>
  <c r="Y111" i="90" s="1"/>
  <c r="AY198" i="71"/>
  <c r="AY142" i="71"/>
  <c r="S104" i="84"/>
  <c r="Y108" i="90" s="1"/>
  <c r="R197" i="84"/>
  <c r="BY6" i="71"/>
  <c r="CG5" i="75"/>
  <c r="CG6" i="75" s="1"/>
  <c r="CG7" i="75" s="1"/>
  <c r="CG8" i="75" s="1"/>
  <c r="CG9" i="75" s="1"/>
  <c r="CG10" i="75" s="1"/>
  <c r="CG11" i="75" s="1"/>
  <c r="CG12" i="75" s="1"/>
  <c r="R108" i="84"/>
  <c r="X112" i="90" s="1"/>
  <c r="S21" i="84"/>
  <c r="Y25" i="90" s="1"/>
  <c r="S153" i="84"/>
  <c r="Y157" i="90" s="1"/>
  <c r="AY100" i="71"/>
  <c r="R18" i="84"/>
  <c r="X22" i="90" s="1"/>
  <c r="AY96" i="71"/>
  <c r="R12" i="84"/>
  <c r="X16" i="90" s="1"/>
  <c r="R192" i="84"/>
  <c r="X196" i="90" s="1"/>
  <c r="R101" i="84"/>
  <c r="AG101" i="84" s="1"/>
  <c r="R17" i="84"/>
  <c r="AG17" i="84" s="1"/>
  <c r="R57" i="84"/>
  <c r="AG57" i="84" s="1"/>
  <c r="S197" i="84"/>
  <c r="Y201" i="90" s="1"/>
  <c r="AY5" i="71"/>
  <c r="S195" i="84"/>
  <c r="Y199" i="90" s="1"/>
  <c r="R53" i="84"/>
  <c r="X57" i="90" s="1"/>
  <c r="AY194" i="71"/>
  <c r="S194" i="84"/>
  <c r="Y198" i="90" s="1"/>
  <c r="AY106" i="71"/>
  <c r="R64" i="84"/>
  <c r="AG64" i="84" s="1"/>
  <c r="S155" i="84"/>
  <c r="AH155" i="84" s="1"/>
  <c r="R153" i="84"/>
  <c r="X157" i="90" s="1"/>
  <c r="AY18" i="71"/>
  <c r="S65" i="84"/>
  <c r="AH65" i="84" s="1"/>
  <c r="R148" i="84"/>
  <c r="AG148" i="84" s="1"/>
  <c r="BY139" i="71"/>
  <c r="Y49" i="72"/>
  <c r="AD5" i="74" s="1"/>
  <c r="AY58" i="71"/>
  <c r="BY4" i="71"/>
  <c r="R194" i="84"/>
  <c r="X198" i="90" s="1"/>
  <c r="AY52" i="71"/>
  <c r="R16" i="84"/>
  <c r="X20" i="90" s="1"/>
  <c r="AY17" i="71"/>
  <c r="R55" i="84"/>
  <c r="X59" i="90" s="1"/>
  <c r="AY63" i="71"/>
  <c r="AY11" i="71"/>
  <c r="AY53" i="71"/>
  <c r="AY193" i="71"/>
  <c r="AY50" i="71"/>
  <c r="R107" i="84"/>
  <c r="AG107" i="84" s="1"/>
  <c r="Y4" i="72"/>
  <c r="AC5" i="74" s="1"/>
  <c r="R54" i="84"/>
  <c r="X58" i="90" s="1"/>
  <c r="R63" i="84"/>
  <c r="X67" i="90" s="1"/>
  <c r="R103" i="84"/>
  <c r="AG103" i="84" s="1"/>
  <c r="R52" i="84"/>
  <c r="X56" i="90" s="1"/>
  <c r="R146" i="84"/>
  <c r="X150" i="90" s="1"/>
  <c r="AY140" i="71"/>
  <c r="S60" i="84"/>
  <c r="Y64" i="90" s="1"/>
  <c r="AY155" i="71"/>
  <c r="AY141" i="71"/>
  <c r="BY7" i="71"/>
  <c r="R102" i="84"/>
  <c r="AG102" i="84" s="1"/>
  <c r="AY54" i="71"/>
  <c r="BY143" i="71"/>
  <c r="AY65" i="71"/>
  <c r="S18" i="84"/>
  <c r="Y22" i="90" s="1"/>
  <c r="S64" i="84"/>
  <c r="Y68" i="90" s="1"/>
  <c r="BY97" i="71"/>
  <c r="R99" i="84"/>
  <c r="X103" i="90" s="1"/>
  <c r="R13" i="84"/>
  <c r="X17" i="90" s="1"/>
  <c r="AY10" i="71"/>
  <c r="BY94" i="71"/>
  <c r="S104" i="71"/>
  <c r="Y50" i="72"/>
  <c r="Y51" i="72" s="1"/>
  <c r="Y95" i="72"/>
  <c r="AE6" i="74" s="1"/>
  <c r="Y160" i="90"/>
  <c r="AL15" i="74"/>
  <c r="S196" i="71"/>
  <c r="BP194" i="71"/>
  <c r="BQ194" i="71" s="1"/>
  <c r="AG199" i="84"/>
  <c r="Y71" i="90"/>
  <c r="AE5" i="74"/>
  <c r="X63" i="90"/>
  <c r="X195" i="90"/>
  <c r="AG99" i="84"/>
  <c r="X201" i="90"/>
  <c r="AG197" i="84"/>
  <c r="AR139" i="72"/>
  <c r="AS139" i="72" s="1"/>
  <c r="AH21" i="84"/>
  <c r="AG19" i="84"/>
  <c r="AG62" i="84"/>
  <c r="X66" i="90"/>
  <c r="AG98" i="84"/>
  <c r="X154" i="90"/>
  <c r="AG150" i="84"/>
  <c r="X153" i="90"/>
  <c r="Y204" i="90"/>
  <c r="AH200" i="84"/>
  <c r="AG61" i="84"/>
  <c r="X65" i="90"/>
  <c r="X156" i="90"/>
  <c r="AG143" i="84"/>
  <c r="X147" i="90"/>
  <c r="Y161" i="90"/>
  <c r="AH112" i="84"/>
  <c r="Y116" i="90"/>
  <c r="X12" i="90"/>
  <c r="X21" i="90"/>
  <c r="AR184" i="72"/>
  <c r="AS184" i="72" s="1"/>
  <c r="AG5" i="74"/>
  <c r="X60" i="90"/>
  <c r="AG56" i="84"/>
  <c r="Y185" i="72"/>
  <c r="W101" i="90"/>
  <c r="AF97" i="84"/>
  <c r="X105" i="90"/>
  <c r="CD12" i="75"/>
  <c r="CF12" i="75"/>
  <c r="BZ110" i="70"/>
  <c r="BZ109" i="70"/>
  <c r="BY184" i="71"/>
  <c r="BY186" i="71"/>
  <c r="BY187" i="71"/>
  <c r="BY189" i="71"/>
  <c r="BY188" i="71"/>
  <c r="BY185" i="71"/>
  <c r="H7" i="76"/>
  <c r="BP52" i="70"/>
  <c r="G7" i="76"/>
  <c r="BP7" i="70"/>
  <c r="I7" i="76"/>
  <c r="BP97" i="70"/>
  <c r="CC76" i="70"/>
  <c r="CB77" i="70"/>
  <c r="D41" i="70"/>
  <c r="C42" i="70"/>
  <c r="A59" i="70"/>
  <c r="CD76" i="70"/>
  <c r="BQ95" i="70"/>
  <c r="BV53" i="71"/>
  <c r="AU11" i="74"/>
  <c r="AV8" i="74"/>
  <c r="O31" i="76"/>
  <c r="P34" i="76"/>
  <c r="AW6" i="74"/>
  <c r="AX4" i="74"/>
  <c r="AV15" i="74"/>
  <c r="AW9" i="74"/>
  <c r="AW10" i="74"/>
  <c r="BC68" i="74"/>
  <c r="AW94" i="72"/>
  <c r="AV7" i="74"/>
  <c r="AW13" i="74"/>
  <c r="AT5" i="74"/>
  <c r="AV21" i="74"/>
  <c r="AW5" i="74"/>
  <c r="O33" i="76"/>
  <c r="AX13" i="74"/>
  <c r="BQ140" i="70"/>
  <c r="AU8" i="74"/>
  <c r="P37" i="76"/>
  <c r="BC71" i="74"/>
  <c r="AV11" i="74"/>
  <c r="AX12" i="74"/>
  <c r="BQ50" i="70"/>
  <c r="AY57" i="74"/>
  <c r="AY60" i="74"/>
  <c r="AY58" i="74"/>
  <c r="AY59" i="74"/>
  <c r="AY62" i="74"/>
  <c r="AY61" i="74"/>
  <c r="AU7" i="74"/>
  <c r="BT184" i="70"/>
  <c r="AV13" i="74"/>
  <c r="N34" i="76"/>
  <c r="O35" i="76"/>
  <c r="BT4" i="70"/>
  <c r="AV18" i="74"/>
  <c r="O36" i="76"/>
  <c r="BQ6" i="70"/>
  <c r="BB61" i="74"/>
  <c r="BB59" i="74"/>
  <c r="BB56" i="74"/>
  <c r="BB60" i="74"/>
  <c r="BB58" i="74"/>
  <c r="BB57" i="74"/>
  <c r="AU12" i="74"/>
  <c r="O34" i="76"/>
  <c r="BT139" i="70"/>
  <c r="AW8" i="74"/>
  <c r="AV20" i="74"/>
  <c r="P35" i="76"/>
  <c r="AW4" i="74"/>
  <c r="BQ185" i="70"/>
  <c r="AU9" i="74"/>
  <c r="N36" i="76"/>
  <c r="AV6" i="74"/>
  <c r="AV22" i="74"/>
  <c r="AV9" i="74"/>
  <c r="AT7" i="74"/>
  <c r="AT4" i="74"/>
  <c r="AT12" i="74"/>
  <c r="AV10" i="74"/>
  <c r="N32" i="76"/>
  <c r="AX10" i="74"/>
  <c r="AW139" i="72"/>
  <c r="AT8" i="74"/>
  <c r="AV12" i="74"/>
  <c r="BC69" i="74"/>
  <c r="AX11" i="74"/>
  <c r="AX5" i="74"/>
  <c r="AX6" i="74"/>
  <c r="AW12" i="74"/>
  <c r="AV5" i="74"/>
  <c r="P32" i="76"/>
  <c r="BA55" i="74"/>
  <c r="BA53" i="74"/>
  <c r="BA56" i="74"/>
  <c r="BA54" i="74"/>
  <c r="AU6" i="74"/>
  <c r="BC70" i="74"/>
  <c r="BV98" i="71"/>
  <c r="AZ54" i="74"/>
  <c r="AZ55" i="74"/>
  <c r="AZ56" i="74"/>
  <c r="AZ53" i="74"/>
  <c r="AU10" i="74"/>
  <c r="AT11" i="74"/>
  <c r="AX8" i="74"/>
  <c r="AV17" i="74"/>
  <c r="AW11" i="74"/>
  <c r="AX7" i="74"/>
  <c r="N33" i="76"/>
  <c r="O32" i="76"/>
  <c r="P31" i="76"/>
  <c r="AT9" i="74"/>
  <c r="AU4" i="74"/>
  <c r="AU5" i="74"/>
  <c r="N35" i="76"/>
  <c r="AT10" i="74"/>
  <c r="N37" i="76"/>
  <c r="P33" i="76"/>
  <c r="AX9" i="74"/>
  <c r="P36" i="76"/>
  <c r="AW184" i="72"/>
  <c r="AW7" i="74"/>
  <c r="AV16" i="74"/>
  <c r="AV14" i="74"/>
  <c r="O37" i="76"/>
  <c r="AV19" i="74"/>
  <c r="AT6" i="74"/>
  <c r="AV4" i="74"/>
  <c r="BT49" i="70"/>
  <c r="BT5" i="70"/>
  <c r="X152" i="90" l="1"/>
  <c r="Y69" i="90"/>
  <c r="AH20" i="84"/>
  <c r="AG192" i="84"/>
  <c r="X193" i="90"/>
  <c r="X151" i="90"/>
  <c r="AG54" i="84"/>
  <c r="Y140" i="72"/>
  <c r="X192" i="90"/>
  <c r="Y5" i="72"/>
  <c r="AR5" i="72" s="1"/>
  <c r="AG12" i="84"/>
  <c r="AR4" i="72"/>
  <c r="AS4" i="72" s="1"/>
  <c r="AG55" i="84"/>
  <c r="AG11" i="84"/>
  <c r="X111" i="90"/>
  <c r="X191" i="90"/>
  <c r="AG108" i="84"/>
  <c r="AR50" i="72"/>
  <c r="X194" i="90"/>
  <c r="X200" i="90"/>
  <c r="X148" i="90"/>
  <c r="X61" i="90"/>
  <c r="X13" i="90"/>
  <c r="Y114" i="90"/>
  <c r="AG13" i="84"/>
  <c r="AR49" i="72"/>
  <c r="AS49" i="72" s="1"/>
  <c r="W56" i="90"/>
  <c r="AG16" i="84"/>
  <c r="X107" i="90"/>
  <c r="AG154" i="84"/>
  <c r="AG100" i="84"/>
  <c r="AH22" i="84"/>
  <c r="X106" i="90"/>
  <c r="Y205" i="90"/>
  <c r="AG193" i="84"/>
  <c r="Y115" i="90"/>
  <c r="AG53" i="84"/>
  <c r="X155" i="90"/>
  <c r="AG18" i="84"/>
  <c r="AH202" i="84"/>
  <c r="Y159" i="90"/>
  <c r="X146" i="90"/>
  <c r="AG146" i="84"/>
  <c r="AH66" i="84"/>
  <c r="AG10" i="84"/>
  <c r="X110" i="90"/>
  <c r="AG145" i="84"/>
  <c r="X62" i="90"/>
  <c r="X199" i="90"/>
  <c r="AG194" i="84"/>
  <c r="X18" i="90"/>
  <c r="W11" i="90"/>
  <c r="X202" i="90"/>
  <c r="X64" i="90"/>
  <c r="AG15" i="84"/>
  <c r="AG109" i="84"/>
  <c r="BY98" i="71"/>
  <c r="BY53" i="71"/>
  <c r="AI13" i="74"/>
  <c r="BP57" i="71"/>
  <c r="BQ57" i="71" s="1"/>
  <c r="S59" i="71"/>
  <c r="BP102" i="71"/>
  <c r="BQ102" i="71" s="1"/>
  <c r="AJ13" i="74"/>
  <c r="S150" i="71"/>
  <c r="BP148" i="71"/>
  <c r="BQ148" i="71" s="1"/>
  <c r="AK14" i="74"/>
  <c r="AH14" i="74"/>
  <c r="BP13" i="71"/>
  <c r="BQ13" i="71" s="1"/>
  <c r="S15" i="71"/>
  <c r="AG63" i="84"/>
  <c r="AJ14" i="74"/>
  <c r="S105" i="71"/>
  <c r="BP103" i="71"/>
  <c r="AG153" i="84"/>
  <c r="X68" i="90"/>
  <c r="AG105" i="84"/>
  <c r="X109" i="90"/>
  <c r="X108" i="90"/>
  <c r="AG104" i="84"/>
  <c r="AD6" i="74"/>
  <c r="AR95" i="72"/>
  <c r="AS95" i="72" s="1"/>
  <c r="Y96" i="72"/>
  <c r="Y97" i="72" s="1"/>
  <c r="AR97" i="72" s="1"/>
  <c r="AL16" i="74"/>
  <c r="S197" i="71"/>
  <c r="BP195" i="71"/>
  <c r="BQ195" i="71" s="1"/>
  <c r="AC6" i="74"/>
  <c r="AG6" i="74"/>
  <c r="Y186" i="72"/>
  <c r="AR185" i="72"/>
  <c r="AS185" i="72" s="1"/>
  <c r="AF6" i="74"/>
  <c r="AR140" i="72"/>
  <c r="AS140" i="72" s="1"/>
  <c r="Y141" i="72"/>
  <c r="AR51" i="72"/>
  <c r="AD7" i="74"/>
  <c r="Y52" i="72"/>
  <c r="BZ112" i="70"/>
  <c r="BZ111" i="70"/>
  <c r="A60" i="70"/>
  <c r="D42" i="70"/>
  <c r="C43" i="70"/>
  <c r="CC77" i="70"/>
  <c r="CB78" i="70"/>
  <c r="CD77" i="70"/>
  <c r="BV9" i="71"/>
  <c r="AX20" i="74"/>
  <c r="AU26" i="74"/>
  <c r="AU23" i="74"/>
  <c r="AW14" i="74"/>
  <c r="AU20" i="74"/>
  <c r="AT14" i="74"/>
  <c r="BA65" i="74"/>
  <c r="AW17" i="74"/>
  <c r="AX21" i="74"/>
  <c r="AW19" i="74"/>
  <c r="AT17" i="74"/>
  <c r="AU16" i="74"/>
  <c r="BQ186" i="70"/>
  <c r="AX19" i="74"/>
  <c r="AU28" i="74"/>
  <c r="AX15" i="74"/>
  <c r="AU30" i="74"/>
  <c r="AX17" i="74"/>
  <c r="AU14" i="74"/>
  <c r="AU22" i="74"/>
  <c r="BC74" i="74"/>
  <c r="BQ7" i="70"/>
  <c r="AW15" i="74"/>
  <c r="AW16" i="74"/>
  <c r="AU25" i="74"/>
  <c r="AX18" i="74"/>
  <c r="BC72" i="74"/>
  <c r="BA63" i="74"/>
  <c r="AU19" i="74"/>
  <c r="AU21" i="74"/>
  <c r="AT16" i="74"/>
  <c r="BQ51" i="70"/>
  <c r="BA60" i="74"/>
  <c r="BA59" i="74"/>
  <c r="BA61" i="74"/>
  <c r="BA57" i="74"/>
  <c r="BA62" i="74"/>
  <c r="BA58" i="74"/>
  <c r="AU18" i="74"/>
  <c r="BQ141" i="70"/>
  <c r="BC73" i="74"/>
  <c r="AU29" i="74"/>
  <c r="BV190" i="71"/>
  <c r="AW20" i="74"/>
  <c r="AT21" i="74"/>
  <c r="AW21" i="74"/>
  <c r="BA66" i="74"/>
  <c r="AU13" i="74"/>
  <c r="AX22" i="74"/>
  <c r="BV144" i="71"/>
  <c r="BT6" i="70"/>
  <c r="AT22" i="74"/>
  <c r="AU27" i="74"/>
  <c r="AT18" i="74"/>
  <c r="BA67" i="74"/>
  <c r="AU15" i="74"/>
  <c r="AT13" i="74"/>
  <c r="BQ96" i="70"/>
  <c r="BB62" i="74"/>
  <c r="BB65" i="74"/>
  <c r="BB63" i="74"/>
  <c r="BB67" i="74"/>
  <c r="BB66" i="74"/>
  <c r="BB64" i="74"/>
  <c r="AT19" i="74"/>
  <c r="AT20" i="74"/>
  <c r="AT15" i="74"/>
  <c r="AX14" i="74"/>
  <c r="BA64" i="74"/>
  <c r="AU17" i="74"/>
  <c r="AW18" i="74"/>
  <c r="AZ61" i="74"/>
  <c r="AZ57" i="74"/>
  <c r="AZ62" i="74"/>
  <c r="AZ59" i="74"/>
  <c r="AZ60" i="74"/>
  <c r="AZ58" i="74"/>
  <c r="AY65" i="74"/>
  <c r="AY67" i="74"/>
  <c r="AY68" i="74"/>
  <c r="AY64" i="74"/>
  <c r="AY66" i="74"/>
  <c r="AY63" i="74"/>
  <c r="AW22" i="74"/>
  <c r="AU24" i="74"/>
  <c r="AX16" i="74"/>
  <c r="BT185" i="70"/>
  <c r="BT50" i="70"/>
  <c r="BT140" i="70"/>
  <c r="BT95" i="70"/>
  <c r="Y6" i="72" l="1"/>
  <c r="AS5" i="72"/>
  <c r="AS50" i="72"/>
  <c r="AS51" i="72" s="1"/>
  <c r="BY144" i="71"/>
  <c r="BY9" i="71"/>
  <c r="BQ103" i="71"/>
  <c r="S151" i="71"/>
  <c r="BP149" i="71"/>
  <c r="BQ149" i="71" s="1"/>
  <c r="AK15" i="74"/>
  <c r="S16" i="71"/>
  <c r="BP14" i="71"/>
  <c r="BQ14" i="71" s="1"/>
  <c r="AH15" i="74"/>
  <c r="BP58" i="71"/>
  <c r="BQ58" i="71" s="1"/>
  <c r="S60" i="71"/>
  <c r="AI14" i="74"/>
  <c r="BP104" i="71"/>
  <c r="AJ15" i="74"/>
  <c r="S106" i="71"/>
  <c r="AE7" i="74"/>
  <c r="AR96" i="72"/>
  <c r="AS96" i="72" s="1"/>
  <c r="AS97" i="72" s="1"/>
  <c r="Y98" i="72"/>
  <c r="Y99" i="72" s="1"/>
  <c r="AE10" i="74" s="1"/>
  <c r="AE8" i="74"/>
  <c r="BY190" i="71"/>
  <c r="AL17" i="74"/>
  <c r="BP196" i="71"/>
  <c r="BQ196" i="71" s="1"/>
  <c r="S198" i="71"/>
  <c r="AF7" i="74"/>
  <c r="AR141" i="72"/>
  <c r="AS141" i="72" s="1"/>
  <c r="Y142" i="72"/>
  <c r="Y187" i="72"/>
  <c r="AG7" i="74"/>
  <c r="AR186" i="72"/>
  <c r="AS186" i="72" s="1"/>
  <c r="Y7" i="72"/>
  <c r="AR6" i="72"/>
  <c r="AS6" i="72" s="1"/>
  <c r="AC7" i="74"/>
  <c r="AD8" i="74"/>
  <c r="AR52" i="72"/>
  <c r="Y53" i="72"/>
  <c r="BZ113" i="70"/>
  <c r="BZ114" i="70"/>
  <c r="CC78" i="70"/>
  <c r="CB79" i="70"/>
  <c r="D43" i="70"/>
  <c r="C44" i="70"/>
  <c r="A61" i="70"/>
  <c r="CD78" i="70"/>
  <c r="AW4" i="72"/>
  <c r="AW49" i="72"/>
  <c r="BQ97" i="70"/>
  <c r="BT96" i="70" s="1"/>
  <c r="BC77" i="74"/>
  <c r="AW27" i="74"/>
  <c r="AX28" i="74"/>
  <c r="AT24" i="74"/>
  <c r="AW185" i="72"/>
  <c r="BA69" i="74"/>
  <c r="AV26" i="74"/>
  <c r="AX26" i="74"/>
  <c r="AW140" i="72"/>
  <c r="AW96" i="72"/>
  <c r="AT23" i="74"/>
  <c r="BA72" i="74"/>
  <c r="AU33" i="74"/>
  <c r="BB68" i="74"/>
  <c r="BB70" i="74"/>
  <c r="BB69" i="74"/>
  <c r="BB71" i="74"/>
  <c r="AX29" i="74"/>
  <c r="AV24" i="74"/>
  <c r="BA68" i="74"/>
  <c r="AV35" i="74"/>
  <c r="AV32" i="74"/>
  <c r="AV33" i="74"/>
  <c r="AV25" i="74"/>
  <c r="BQ142" i="70"/>
  <c r="BT141" i="70" s="1"/>
  <c r="AU37" i="74"/>
  <c r="AV31" i="74"/>
  <c r="AX25" i="74"/>
  <c r="AV30" i="74"/>
  <c r="BA70" i="74"/>
  <c r="AW50" i="72"/>
  <c r="BQ52" i="70"/>
  <c r="BT51" i="70" s="1"/>
  <c r="AW5" i="72"/>
  <c r="BQ187" i="70"/>
  <c r="BT186" i="70" s="1"/>
  <c r="AY72" i="74"/>
  <c r="AY71" i="74"/>
  <c r="AY69" i="74"/>
  <c r="AY70" i="74"/>
  <c r="AX27" i="74"/>
  <c r="AW23" i="74"/>
  <c r="AV36" i="74"/>
  <c r="AU36" i="74"/>
  <c r="BA71" i="74"/>
  <c r="AT29" i="74"/>
  <c r="AW95" i="72"/>
  <c r="BV54" i="71"/>
  <c r="AV34" i="74"/>
  <c r="AX23" i="74"/>
  <c r="AX30" i="74"/>
  <c r="AT30" i="74"/>
  <c r="AV23" i="74"/>
  <c r="AV29" i="74"/>
  <c r="AT31" i="74"/>
  <c r="BV99" i="71"/>
  <c r="AV27" i="74"/>
  <c r="AW24" i="74"/>
  <c r="BC75" i="74"/>
  <c r="BC76" i="74"/>
  <c r="AX24" i="74"/>
  <c r="AT27" i="74"/>
  <c r="AU34" i="74"/>
  <c r="AT25" i="74"/>
  <c r="AW29" i="74"/>
  <c r="AW25" i="74"/>
  <c r="AW30" i="74"/>
  <c r="AU32" i="74"/>
  <c r="AT26" i="74"/>
  <c r="AU35" i="74"/>
  <c r="AU31" i="74"/>
  <c r="AZ65" i="74"/>
  <c r="AZ63" i="74"/>
  <c r="AZ66" i="74"/>
  <c r="AZ67" i="74"/>
  <c r="AZ64" i="74"/>
  <c r="AV37" i="74"/>
  <c r="AV28" i="74"/>
  <c r="AT28" i="74"/>
  <c r="AW26" i="74"/>
  <c r="AW28" i="74"/>
  <c r="AE9" i="74" l="1"/>
  <c r="BY99" i="71"/>
  <c r="BY54" i="71"/>
  <c r="BP150" i="71"/>
  <c r="BQ150" i="71" s="1"/>
  <c r="AK16" i="74"/>
  <c r="S152" i="71"/>
  <c r="BP59" i="71"/>
  <c r="BQ59" i="71" s="1"/>
  <c r="S61" i="71"/>
  <c r="AI15" i="74"/>
  <c r="AH16" i="74"/>
  <c r="S17" i="71"/>
  <c r="BP15" i="71"/>
  <c r="BQ15" i="71" s="1"/>
  <c r="BQ104" i="71"/>
  <c r="AJ16" i="74"/>
  <c r="S107" i="71"/>
  <c r="BP105" i="71"/>
  <c r="Y100" i="72"/>
  <c r="AE11" i="74" s="1"/>
  <c r="AR98" i="72"/>
  <c r="AS98" i="72" s="1"/>
  <c r="AR99" i="72"/>
  <c r="AS52" i="72"/>
  <c r="BP197" i="71"/>
  <c r="BQ197" i="71" s="1"/>
  <c r="S199" i="71"/>
  <c r="AL18" i="74"/>
  <c r="AR7" i="72"/>
  <c r="AS7" i="72" s="1"/>
  <c r="Y8" i="72"/>
  <c r="AC8" i="74"/>
  <c r="Y188" i="72"/>
  <c r="AR187" i="72"/>
  <c r="AS187" i="72" s="1"/>
  <c r="AG8" i="74"/>
  <c r="AF8" i="74"/>
  <c r="Y143" i="72"/>
  <c r="AR142" i="72"/>
  <c r="AS142" i="72" s="1"/>
  <c r="AD9" i="74"/>
  <c r="Y54" i="72"/>
  <c r="AR53" i="72"/>
  <c r="BZ115" i="70"/>
  <c r="BZ116" i="70"/>
  <c r="W188" i="70"/>
  <c r="CC79" i="70"/>
  <c r="CB80" i="70"/>
  <c r="A62" i="70"/>
  <c r="D44" i="70"/>
  <c r="C45" i="70"/>
  <c r="CD79" i="70"/>
  <c r="AV40" i="74"/>
  <c r="AV41" i="74"/>
  <c r="AV44" i="74"/>
  <c r="AV38" i="74"/>
  <c r="AV42" i="74"/>
  <c r="AV39" i="74"/>
  <c r="AV46" i="74"/>
  <c r="AV45" i="74"/>
  <c r="AV43" i="74"/>
  <c r="AW6" i="72"/>
  <c r="AU38" i="74"/>
  <c r="AV52" i="74"/>
  <c r="AV47" i="74"/>
  <c r="AT32" i="74"/>
  <c r="AW186" i="72"/>
  <c r="AX32" i="74"/>
  <c r="AT33" i="74"/>
  <c r="AW31" i="74"/>
  <c r="BB73" i="74"/>
  <c r="BB74" i="74"/>
  <c r="BB72" i="74"/>
  <c r="AX36" i="74"/>
  <c r="AX33" i="74"/>
  <c r="AU40" i="74"/>
  <c r="AV51" i="74"/>
  <c r="BA74" i="74"/>
  <c r="AW33" i="74"/>
  <c r="AV48" i="74"/>
  <c r="AY73" i="74"/>
  <c r="AY75" i="74"/>
  <c r="AY74" i="74"/>
  <c r="AT35" i="74"/>
  <c r="AW51" i="72"/>
  <c r="AV50" i="74"/>
  <c r="BC80" i="74"/>
  <c r="AU41" i="74"/>
  <c r="AX34" i="74"/>
  <c r="AU39" i="74"/>
  <c r="AT34" i="74"/>
  <c r="BV145" i="71"/>
  <c r="BC78" i="74"/>
  <c r="AX35" i="74"/>
  <c r="AZ68" i="74"/>
  <c r="AZ71" i="74"/>
  <c r="AZ69" i="74"/>
  <c r="AZ70" i="74"/>
  <c r="AW141" i="72"/>
  <c r="AU42" i="74"/>
  <c r="AW36" i="74"/>
  <c r="BA75" i="74"/>
  <c r="AX31" i="74"/>
  <c r="AW34" i="74"/>
  <c r="AT36" i="74"/>
  <c r="BA73" i="74"/>
  <c r="AW35" i="74"/>
  <c r="AV49" i="74"/>
  <c r="BV10" i="71"/>
  <c r="BC79" i="74"/>
  <c r="AW32" i="74"/>
  <c r="AT37" i="74"/>
  <c r="BY10" i="71" l="1"/>
  <c r="BY145" i="71"/>
  <c r="S18" i="71"/>
  <c r="BP16" i="71"/>
  <c r="BQ16" i="71" s="1"/>
  <c r="AH17" i="74"/>
  <c r="BP60" i="71"/>
  <c r="BQ60" i="71" s="1"/>
  <c r="AI16" i="74"/>
  <c r="S62" i="71"/>
  <c r="BP151" i="71"/>
  <c r="BQ151" i="71" s="1"/>
  <c r="S153" i="71"/>
  <c r="AK17" i="74"/>
  <c r="AJ17" i="74"/>
  <c r="S108" i="71"/>
  <c r="BP106" i="71"/>
  <c r="Y101" i="72"/>
  <c r="AE12" i="74" s="1"/>
  <c r="AR100" i="72"/>
  <c r="AS99" i="72"/>
  <c r="AS53" i="72"/>
  <c r="S200" i="71"/>
  <c r="BP198" i="71"/>
  <c r="BQ198" i="71" s="1"/>
  <c r="AL19" i="74"/>
  <c r="Y9" i="72"/>
  <c r="AC9" i="74"/>
  <c r="AR8" i="72"/>
  <c r="AS8" i="72" s="1"/>
  <c r="AF9" i="74"/>
  <c r="AR143" i="72"/>
  <c r="AS143" i="72" s="1"/>
  <c r="Y144" i="72"/>
  <c r="Y189" i="72"/>
  <c r="AG9" i="74"/>
  <c r="AR188" i="72"/>
  <c r="AS188" i="72" s="1"/>
  <c r="AR54" i="72"/>
  <c r="Y55" i="72"/>
  <c r="AD10" i="74"/>
  <c r="BZ118" i="70"/>
  <c r="BZ117" i="70"/>
  <c r="W143" i="70"/>
  <c r="W98" i="70"/>
  <c r="W53" i="70"/>
  <c r="K8" i="76"/>
  <c r="BP188" i="70"/>
  <c r="D45" i="70"/>
  <c r="C46" i="70"/>
  <c r="A63" i="70"/>
  <c r="CC80" i="70"/>
  <c r="CB81" i="70"/>
  <c r="CD80" i="70"/>
  <c r="AW42" i="74"/>
  <c r="AT42" i="74"/>
  <c r="AV54" i="74"/>
  <c r="R40" i="76"/>
  <c r="AV56" i="74"/>
  <c r="AT39" i="74"/>
  <c r="AU43" i="74"/>
  <c r="AT41" i="74"/>
  <c r="R37" i="76"/>
  <c r="AZ74" i="74"/>
  <c r="AZ73" i="74"/>
  <c r="AZ75" i="74"/>
  <c r="AZ72" i="74"/>
  <c r="BQ188" i="70"/>
  <c r="AU46" i="74"/>
  <c r="AW97" i="72"/>
  <c r="AU44" i="74"/>
  <c r="AT38" i="74"/>
  <c r="AW40" i="74"/>
  <c r="AT40" i="74"/>
  <c r="AX38" i="74"/>
  <c r="BB76" i="74"/>
  <c r="BB77" i="74"/>
  <c r="BB75" i="74"/>
  <c r="AW41" i="74"/>
  <c r="AW38" i="74"/>
  <c r="AV53" i="74"/>
  <c r="AX39" i="74"/>
  <c r="BA76" i="74"/>
  <c r="BC81" i="74"/>
  <c r="BC82" i="74"/>
  <c r="BA77" i="74"/>
  <c r="AY76" i="74"/>
  <c r="AY77" i="74"/>
  <c r="R41" i="76"/>
  <c r="R39" i="76"/>
  <c r="AX37" i="74"/>
  <c r="AV55" i="74"/>
  <c r="AW39" i="74"/>
  <c r="BV55" i="71"/>
  <c r="AW37" i="74"/>
  <c r="R38" i="76"/>
  <c r="AU45" i="74"/>
  <c r="AX40" i="74"/>
  <c r="AX41" i="74"/>
  <c r="AS54" i="72" l="1"/>
  <c r="BY55" i="71"/>
  <c r="AI17" i="74"/>
  <c r="S63" i="71"/>
  <c r="BP61" i="71"/>
  <c r="BQ61" i="71" s="1"/>
  <c r="S19" i="71"/>
  <c r="BP17" i="71"/>
  <c r="BQ17" i="71" s="1"/>
  <c r="AH18" i="74"/>
  <c r="S154" i="71"/>
  <c r="AK18" i="74"/>
  <c r="BP152" i="71"/>
  <c r="BQ152" i="71" s="1"/>
  <c r="BP107" i="71"/>
  <c r="AJ18" i="74"/>
  <c r="S109" i="71"/>
  <c r="AR101" i="72"/>
  <c r="Y102" i="72"/>
  <c r="Y103" i="72" s="1"/>
  <c r="AE14" i="74" s="1"/>
  <c r="AS100" i="72"/>
  <c r="BP199" i="71"/>
  <c r="BQ199" i="71" s="1"/>
  <c r="S201" i="71"/>
  <c r="AL20" i="74"/>
  <c r="AR189" i="72"/>
  <c r="AS189" i="72" s="1"/>
  <c r="Y190" i="72"/>
  <c r="AG10" i="74"/>
  <c r="Y10" i="72"/>
  <c r="AR9" i="72"/>
  <c r="AS9" i="72" s="1"/>
  <c r="AC10" i="74"/>
  <c r="AR144" i="72"/>
  <c r="AS144" i="72" s="1"/>
  <c r="AF10" i="74"/>
  <c r="Y145" i="72"/>
  <c r="AD11" i="74"/>
  <c r="Y56" i="72"/>
  <c r="AR55" i="72"/>
  <c r="BZ119" i="70"/>
  <c r="BZ120" i="70"/>
  <c r="W8" i="70"/>
  <c r="H8" i="76"/>
  <c r="BP53" i="70"/>
  <c r="BP98" i="70"/>
  <c r="I8" i="76"/>
  <c r="J8" i="76"/>
  <c r="BP143" i="70"/>
  <c r="A64" i="70"/>
  <c r="CC81" i="70"/>
  <c r="CB82" i="70"/>
  <c r="D46" i="70"/>
  <c r="C47" i="70"/>
  <c r="CD81" i="70"/>
  <c r="AW52" i="72"/>
  <c r="BB78" i="74"/>
  <c r="BB79" i="74"/>
  <c r="BB80" i="74"/>
  <c r="AT46" i="74"/>
  <c r="AW142" i="72"/>
  <c r="O38" i="76"/>
  <c r="AW45" i="74"/>
  <c r="O39" i="76"/>
  <c r="Q40" i="76"/>
  <c r="BQ98" i="70"/>
  <c r="AU51" i="74"/>
  <c r="BV191" i="71"/>
  <c r="AZ77" i="74"/>
  <c r="AZ76" i="74"/>
  <c r="AW43" i="74"/>
  <c r="AU52" i="74"/>
  <c r="AX44" i="74"/>
  <c r="P42" i="76"/>
  <c r="P40" i="76"/>
  <c r="Q41" i="76"/>
  <c r="AT45" i="74"/>
  <c r="AU49" i="74"/>
  <c r="AU48" i="74"/>
  <c r="Q39" i="76"/>
  <c r="P41" i="76"/>
  <c r="AU50" i="74"/>
  <c r="BC84" i="74"/>
  <c r="BA80" i="74"/>
  <c r="Q38" i="76"/>
  <c r="P39" i="76"/>
  <c r="AU47" i="74"/>
  <c r="AW7" i="72"/>
  <c r="BA79" i="74"/>
  <c r="AY78" i="74"/>
  <c r="AY79" i="74"/>
  <c r="AY80" i="74"/>
  <c r="Q37" i="76"/>
  <c r="AT44" i="74"/>
  <c r="BA78" i="74"/>
  <c r="P38" i="76"/>
  <c r="O40" i="76"/>
  <c r="AX43" i="74"/>
  <c r="AW44" i="74"/>
  <c r="BC83" i="74"/>
  <c r="AW187" i="72"/>
  <c r="AX45" i="74"/>
  <c r="Q42" i="76"/>
  <c r="BQ53" i="70"/>
  <c r="AX42" i="74"/>
  <c r="O42" i="76"/>
  <c r="O41" i="76"/>
  <c r="AT43" i="74"/>
  <c r="BQ143" i="70"/>
  <c r="AS55" i="72" l="1"/>
  <c r="AK19" i="74"/>
  <c r="BP153" i="71"/>
  <c r="BQ153" i="71" s="1"/>
  <c r="S155" i="71"/>
  <c r="S20" i="71"/>
  <c r="BP18" i="71"/>
  <c r="BQ18" i="71" s="1"/>
  <c r="AH19" i="74"/>
  <c r="S64" i="71"/>
  <c r="BP62" i="71"/>
  <c r="BQ62" i="71" s="1"/>
  <c r="AI18" i="74"/>
  <c r="S110" i="71"/>
  <c r="AJ19" i="74"/>
  <c r="BP108" i="71"/>
  <c r="AR102" i="72"/>
  <c r="AE13" i="74"/>
  <c r="AR103" i="72"/>
  <c r="Y104" i="72"/>
  <c r="Y105" i="72" s="1"/>
  <c r="AS101" i="72"/>
  <c r="BY191" i="71"/>
  <c r="AL21" i="74"/>
  <c r="S202" i="71"/>
  <c r="BP200" i="71"/>
  <c r="BQ200" i="71" s="1"/>
  <c r="AR145" i="72"/>
  <c r="AS145" i="72" s="1"/>
  <c r="AF11" i="74"/>
  <c r="Y146" i="72"/>
  <c r="AG11" i="74"/>
  <c r="Y191" i="72"/>
  <c r="AR190" i="72"/>
  <c r="AS190" i="72" s="1"/>
  <c r="Y11" i="72"/>
  <c r="AR10" i="72"/>
  <c r="AS10" i="72" s="1"/>
  <c r="AC11" i="74"/>
  <c r="Y57" i="72"/>
  <c r="AR56" i="72"/>
  <c r="AS56" i="72" s="1"/>
  <c r="AD12" i="74"/>
  <c r="BZ122" i="70"/>
  <c r="BZ121" i="70"/>
  <c r="G8" i="76"/>
  <c r="BP8" i="70"/>
  <c r="CC82" i="70"/>
  <c r="CB83" i="70"/>
  <c r="A65" i="70"/>
  <c r="D47" i="70"/>
  <c r="C48" i="70"/>
  <c r="CD82" i="70"/>
  <c r="N39" i="76"/>
  <c r="AW48" i="74"/>
  <c r="AX50" i="74"/>
  <c r="AT48" i="74"/>
  <c r="AW50" i="74"/>
  <c r="N40" i="76"/>
  <c r="BA82" i="74"/>
  <c r="AV61" i="74"/>
  <c r="AV59" i="74"/>
  <c r="AT52" i="74"/>
  <c r="BA83" i="74"/>
  <c r="AX46" i="74"/>
  <c r="AU55" i="74"/>
  <c r="BQ8" i="70"/>
  <c r="BV11" i="71"/>
  <c r="AW51" i="74"/>
  <c r="AW47" i="74"/>
  <c r="AU53" i="74"/>
  <c r="BC86" i="74"/>
  <c r="AV58" i="74"/>
  <c r="AV57" i="74"/>
  <c r="AX49" i="74"/>
  <c r="AW49" i="74"/>
  <c r="AV64" i="74"/>
  <c r="AV66" i="74"/>
  <c r="AZ80" i="74"/>
  <c r="AZ79" i="74"/>
  <c r="AZ78" i="74"/>
  <c r="AX48" i="74"/>
  <c r="AW53" i="72"/>
  <c r="AT49" i="74"/>
  <c r="AV63" i="74"/>
  <c r="BA81" i="74"/>
  <c r="AY82" i="74"/>
  <c r="AY83" i="74"/>
  <c r="AY81" i="74"/>
  <c r="AV65" i="74"/>
  <c r="BC85" i="74"/>
  <c r="AU54" i="74"/>
  <c r="AV67" i="74"/>
  <c r="AU56" i="74"/>
  <c r="AV62" i="74"/>
  <c r="N41" i="76"/>
  <c r="AW98" i="72"/>
  <c r="AX51" i="74"/>
  <c r="AX47" i="74"/>
  <c r="AT47" i="74"/>
  <c r="AW46" i="74"/>
  <c r="AT50" i="74"/>
  <c r="BB81" i="74"/>
  <c r="BB82" i="74"/>
  <c r="N38" i="76"/>
  <c r="AT51" i="74"/>
  <c r="AV60" i="74"/>
  <c r="N42" i="76"/>
  <c r="AE15" i="74" l="1"/>
  <c r="BY11" i="71"/>
  <c r="S65" i="71"/>
  <c r="BP63" i="71"/>
  <c r="BQ63" i="71" s="1"/>
  <c r="AI19" i="74"/>
  <c r="S21" i="71"/>
  <c r="BP19" i="71"/>
  <c r="BQ19" i="71" s="1"/>
  <c r="AH20" i="74"/>
  <c r="AR104" i="72"/>
  <c r="S156" i="71"/>
  <c r="BP154" i="71"/>
  <c r="BQ154" i="71" s="1"/>
  <c r="AK20" i="74"/>
  <c r="S111" i="71"/>
  <c r="BP109" i="71"/>
  <c r="AJ20" i="74"/>
  <c r="AS102" i="72"/>
  <c r="S203" i="71"/>
  <c r="AL22" i="74"/>
  <c r="BP201" i="71"/>
  <c r="BQ201" i="71" s="1"/>
  <c r="AC12" i="74"/>
  <c r="AR11" i="72"/>
  <c r="AS11" i="72" s="1"/>
  <c r="Y12" i="72"/>
  <c r="Y192" i="72"/>
  <c r="AR191" i="72"/>
  <c r="AS191" i="72" s="1"/>
  <c r="AG12" i="74"/>
  <c r="AF12" i="74"/>
  <c r="Y147" i="72"/>
  <c r="AR146" i="72"/>
  <c r="AS146" i="72" s="1"/>
  <c r="AD13" i="74"/>
  <c r="Y58" i="72"/>
  <c r="AR57" i="72"/>
  <c r="AS57" i="72" s="1"/>
  <c r="AE16" i="74"/>
  <c r="AR105" i="72"/>
  <c r="Y106" i="72"/>
  <c r="BZ124" i="70"/>
  <c r="BZ123" i="70"/>
  <c r="W189" i="70"/>
  <c r="W144" i="70"/>
  <c r="D48" i="70"/>
  <c r="C49" i="70"/>
  <c r="A66" i="70"/>
  <c r="CC83" i="70"/>
  <c r="CB84" i="70"/>
  <c r="CD83" i="70"/>
  <c r="AV69" i="74"/>
  <c r="AV70" i="74"/>
  <c r="AV72" i="74"/>
  <c r="AV71" i="74"/>
  <c r="AV68" i="74"/>
  <c r="AX55" i="74"/>
  <c r="BC89" i="74"/>
  <c r="AT56" i="74"/>
  <c r="AU62" i="74"/>
  <c r="AW55" i="74"/>
  <c r="BV146" i="71"/>
  <c r="BC88" i="74"/>
  <c r="AU59" i="74"/>
  <c r="AW53" i="74"/>
  <c r="AW52" i="74"/>
  <c r="AU60" i="74"/>
  <c r="AU57" i="74"/>
  <c r="BC87" i="74"/>
  <c r="BB83" i="74"/>
  <c r="BB84" i="74"/>
  <c r="AU61" i="74"/>
  <c r="AX52" i="74"/>
  <c r="AY84" i="74"/>
  <c r="AY85" i="74"/>
  <c r="AU58" i="74"/>
  <c r="AT53" i="74"/>
  <c r="AV74" i="74"/>
  <c r="AZ81" i="74"/>
  <c r="AZ82" i="74"/>
  <c r="AX53" i="74"/>
  <c r="AV73" i="74"/>
  <c r="BA84" i="74"/>
  <c r="AT54" i="74"/>
  <c r="AW188" i="72"/>
  <c r="AW54" i="74"/>
  <c r="AX54" i="74"/>
  <c r="AV75" i="74"/>
  <c r="BA85" i="74"/>
  <c r="AT55" i="74"/>
  <c r="AW143" i="72"/>
  <c r="AW8" i="72"/>
  <c r="BY146" i="71" l="1"/>
  <c r="BP20" i="71"/>
  <c r="BQ20" i="71" s="1"/>
  <c r="AH21" i="74"/>
  <c r="S22" i="71"/>
  <c r="S66" i="71"/>
  <c r="BP64" i="71"/>
  <c r="BQ64" i="71" s="1"/>
  <c r="AI20" i="74"/>
  <c r="S157" i="71"/>
  <c r="AK21" i="74"/>
  <c r="BP155" i="71"/>
  <c r="BQ155" i="71" s="1"/>
  <c r="AS103" i="72"/>
  <c r="AJ21" i="74"/>
  <c r="S112" i="71"/>
  <c r="BP110" i="71"/>
  <c r="AL23" i="74"/>
  <c r="S204" i="71"/>
  <c r="BP202" i="71"/>
  <c r="BQ202" i="71" s="1"/>
  <c r="AF13" i="74"/>
  <c r="Y148" i="72"/>
  <c r="AR147" i="72"/>
  <c r="AS147" i="72" s="1"/>
  <c r="AR192" i="72"/>
  <c r="AS192" i="72" s="1"/>
  <c r="Y193" i="72"/>
  <c r="AG13" i="74"/>
  <c r="AC13" i="74"/>
  <c r="Y13" i="72"/>
  <c r="AR12" i="72"/>
  <c r="AS12" i="72" s="1"/>
  <c r="Y59" i="72"/>
  <c r="AD14" i="74"/>
  <c r="AR58" i="72"/>
  <c r="AS58" i="72" s="1"/>
  <c r="AE17" i="74"/>
  <c r="Y107" i="72"/>
  <c r="AR106" i="72"/>
  <c r="BZ125" i="70"/>
  <c r="BZ126" i="70"/>
  <c r="W54" i="70"/>
  <c r="W99" i="70"/>
  <c r="W9" i="70"/>
  <c r="BP144" i="70"/>
  <c r="J9" i="76"/>
  <c r="BP189" i="70"/>
  <c r="K9" i="76"/>
  <c r="A67" i="70"/>
  <c r="D49" i="70"/>
  <c r="C50" i="70"/>
  <c r="CC84" i="70"/>
  <c r="CB85" i="70"/>
  <c r="CD84" i="70"/>
  <c r="BB85" i="74"/>
  <c r="BB86" i="74"/>
  <c r="AT58" i="74"/>
  <c r="BV192" i="71"/>
  <c r="AV76" i="74"/>
  <c r="AW54" i="72"/>
  <c r="BC90" i="74"/>
  <c r="AT61" i="74"/>
  <c r="AW57" i="74"/>
  <c r="Q45" i="76"/>
  <c r="BC93" i="74"/>
  <c r="AW99" i="72"/>
  <c r="AT62" i="74"/>
  <c r="AX57" i="74"/>
  <c r="AY86" i="74"/>
  <c r="AY87" i="74"/>
  <c r="BC91" i="74"/>
  <c r="AV77" i="74"/>
  <c r="AX58" i="74"/>
  <c r="AX60" i="74"/>
  <c r="AW59" i="74"/>
  <c r="AT59" i="74"/>
  <c r="AU65" i="74"/>
  <c r="AW58" i="74"/>
  <c r="BA87" i="74"/>
  <c r="AT60" i="74"/>
  <c r="R43" i="76"/>
  <c r="BC92" i="74"/>
  <c r="AW56" i="74"/>
  <c r="AW60" i="74"/>
  <c r="AU64" i="74"/>
  <c r="AU63" i="74"/>
  <c r="AX59" i="74"/>
  <c r="BA86" i="74"/>
  <c r="R45" i="76"/>
  <c r="Q44" i="76"/>
  <c r="BV56" i="71"/>
  <c r="R42" i="76"/>
  <c r="AX61" i="74"/>
  <c r="BQ189" i="70"/>
  <c r="R44" i="76"/>
  <c r="Q43" i="76"/>
  <c r="AZ83" i="74"/>
  <c r="AZ84" i="74"/>
  <c r="AZ85" i="74"/>
  <c r="AU66" i="74"/>
  <c r="AW61" i="74"/>
  <c r="AT57" i="74"/>
  <c r="AX56" i="74"/>
  <c r="AU67" i="74"/>
  <c r="BQ144" i="70"/>
  <c r="BY56" i="71" l="1"/>
  <c r="S67" i="71"/>
  <c r="AI21" i="74"/>
  <c r="BP65" i="71"/>
  <c r="BQ65" i="71" s="1"/>
  <c r="AH22" i="74"/>
  <c r="S23" i="71"/>
  <c r="BP21" i="71"/>
  <c r="BQ21" i="71" s="1"/>
  <c r="AK22" i="74"/>
  <c r="S158" i="71"/>
  <c r="BP156" i="71"/>
  <c r="BQ156" i="71" s="1"/>
  <c r="AJ22" i="74"/>
  <c r="BP111" i="71"/>
  <c r="S113" i="71"/>
  <c r="AS104" i="72"/>
  <c r="BY192" i="71"/>
  <c r="AL24" i="74"/>
  <c r="S205" i="71"/>
  <c r="BP203" i="71"/>
  <c r="BQ203" i="71" s="1"/>
  <c r="AF14" i="74"/>
  <c r="AR148" i="72"/>
  <c r="AS148" i="72" s="1"/>
  <c r="Y149" i="72"/>
  <c r="Y14" i="72"/>
  <c r="AC14" i="74"/>
  <c r="AR13" i="72"/>
  <c r="AS13" i="72" s="1"/>
  <c r="Y194" i="72"/>
  <c r="AG14" i="74"/>
  <c r="AR193" i="72"/>
  <c r="AS193" i="72" s="1"/>
  <c r="AD15" i="74"/>
  <c r="AR59" i="72"/>
  <c r="AS59" i="72" s="1"/>
  <c r="Y60" i="72"/>
  <c r="AR107" i="72"/>
  <c r="Y108" i="72"/>
  <c r="AE18" i="74"/>
  <c r="BZ128" i="70"/>
  <c r="BZ127" i="70"/>
  <c r="G9" i="76"/>
  <c r="BP9" i="70"/>
  <c r="I9" i="76"/>
  <c r="BP99" i="70"/>
  <c r="BP54" i="70"/>
  <c r="H9" i="76"/>
  <c r="D50" i="70"/>
  <c r="C51" i="70"/>
  <c r="CC85" i="70"/>
  <c r="CB86" i="70"/>
  <c r="A68" i="70"/>
  <c r="CD85" i="70"/>
  <c r="AX64" i="74"/>
  <c r="BC95" i="74"/>
  <c r="AU69" i="74"/>
  <c r="AW67" i="74"/>
  <c r="AU71" i="74"/>
  <c r="AT65" i="74"/>
  <c r="AV79" i="74"/>
  <c r="AW63" i="74"/>
  <c r="AX62" i="74"/>
  <c r="AT68" i="74"/>
  <c r="N45" i="76"/>
  <c r="BB89" i="74"/>
  <c r="BB87" i="74"/>
  <c r="BB88" i="74"/>
  <c r="P46" i="76"/>
  <c r="O46" i="76"/>
  <c r="O44" i="76"/>
  <c r="AX63" i="74"/>
  <c r="AW66" i="74"/>
  <c r="BC94" i="74"/>
  <c r="BT187" i="70"/>
  <c r="AZ86" i="74"/>
  <c r="BC96" i="74"/>
  <c r="BQ99" i="70"/>
  <c r="AW62" i="74"/>
  <c r="BT142" i="70"/>
  <c r="AV78" i="74"/>
  <c r="P44" i="76"/>
  <c r="N43" i="76"/>
  <c r="BA88" i="74"/>
  <c r="O43" i="76"/>
  <c r="P43" i="76"/>
  <c r="AW144" i="72"/>
  <c r="AY88" i="74"/>
  <c r="AY89" i="74"/>
  <c r="AT66" i="74"/>
  <c r="BA89" i="74"/>
  <c r="AT63" i="74"/>
  <c r="N44" i="76"/>
  <c r="AW9" i="72"/>
  <c r="O45" i="76"/>
  <c r="AX66" i="74"/>
  <c r="AW65" i="74"/>
  <c r="AU68" i="74"/>
  <c r="AW189" i="72"/>
  <c r="AX65" i="74"/>
  <c r="AW64" i="74"/>
  <c r="AV80" i="74"/>
  <c r="AX67" i="74"/>
  <c r="AT67" i="74"/>
  <c r="BQ54" i="70"/>
  <c r="AT64" i="74"/>
  <c r="P45" i="76"/>
  <c r="N46" i="76"/>
  <c r="AU70" i="74"/>
  <c r="BQ9" i="70"/>
  <c r="AH23" i="74" l="1"/>
  <c r="BP22" i="71"/>
  <c r="BQ22" i="71" s="1"/>
  <c r="S24" i="71"/>
  <c r="BP66" i="71"/>
  <c r="BQ66" i="71" s="1"/>
  <c r="S68" i="71"/>
  <c r="AI22" i="74"/>
  <c r="S159" i="71"/>
  <c r="AK23" i="74"/>
  <c r="BP157" i="71"/>
  <c r="BQ157" i="71" s="1"/>
  <c r="AJ23" i="74"/>
  <c r="BP112" i="71"/>
  <c r="S114" i="71"/>
  <c r="S206" i="71"/>
  <c r="BP204" i="71"/>
  <c r="BQ204" i="71" s="1"/>
  <c r="AL25" i="74"/>
  <c r="AG15" i="74"/>
  <c r="Y195" i="72"/>
  <c r="AR194" i="72"/>
  <c r="AS194" i="72" s="1"/>
  <c r="Y15" i="72"/>
  <c r="AC15" i="74"/>
  <c r="AR14" i="72"/>
  <c r="AS14" i="72" s="1"/>
  <c r="AF15" i="74"/>
  <c r="Y150" i="72"/>
  <c r="AR149" i="72"/>
  <c r="AS149" i="72" s="1"/>
  <c r="AD16" i="74"/>
  <c r="Y61" i="72"/>
  <c r="AR60" i="72"/>
  <c r="AS60" i="72" s="1"/>
  <c r="AE19" i="74"/>
  <c r="AR108" i="72"/>
  <c r="Y109" i="72"/>
  <c r="BZ130" i="70"/>
  <c r="BZ129" i="70"/>
  <c r="CC86" i="70"/>
  <c r="CB87" i="70"/>
  <c r="D51" i="70"/>
  <c r="C52" i="70"/>
  <c r="A69" i="70"/>
  <c r="CD86" i="70"/>
  <c r="AY92" i="74"/>
  <c r="AY90" i="74"/>
  <c r="AY91" i="74"/>
  <c r="AY93" i="74"/>
  <c r="BV147" i="71"/>
  <c r="BV12" i="71"/>
  <c r="AT70" i="74"/>
  <c r="BC97" i="74"/>
  <c r="AV81" i="74"/>
  <c r="BA90" i="74"/>
  <c r="AW70" i="74"/>
  <c r="AX71" i="74"/>
  <c r="AT69" i="74"/>
  <c r="BT52" i="70"/>
  <c r="BA92" i="74"/>
  <c r="AW71" i="74"/>
  <c r="AU73" i="74"/>
  <c r="AV82" i="74"/>
  <c r="AW68" i="74"/>
  <c r="AV83" i="74"/>
  <c r="AU75" i="74"/>
  <c r="AW69" i="74"/>
  <c r="AU74" i="74"/>
  <c r="BT97" i="70"/>
  <c r="AX68" i="74"/>
  <c r="BA91" i="74"/>
  <c r="BC98" i="74"/>
  <c r="BC99" i="74"/>
  <c r="AZ87" i="74"/>
  <c r="AZ89" i="74"/>
  <c r="AZ88" i="74"/>
  <c r="AX69" i="74"/>
  <c r="AW55" i="72"/>
  <c r="BC100" i="74"/>
  <c r="AX70" i="74"/>
  <c r="BB91" i="74"/>
  <c r="BB90" i="74"/>
  <c r="BB92" i="74"/>
  <c r="BB93" i="74"/>
  <c r="AU72" i="74"/>
  <c r="AT71" i="74"/>
  <c r="BA93" i="74"/>
  <c r="AT72" i="74"/>
  <c r="BT7" i="70"/>
  <c r="BY12" i="71" l="1"/>
  <c r="BY147" i="71"/>
  <c r="BP158" i="71"/>
  <c r="BQ158" i="71" s="1"/>
  <c r="AK24" i="74"/>
  <c r="S160" i="71"/>
  <c r="BP67" i="71"/>
  <c r="BQ67" i="71" s="1"/>
  <c r="AI23" i="74"/>
  <c r="S69" i="71"/>
  <c r="BP23" i="71"/>
  <c r="BQ23" i="71" s="1"/>
  <c r="S25" i="71"/>
  <c r="AH24" i="74"/>
  <c r="S115" i="71"/>
  <c r="AJ24" i="74"/>
  <c r="BP113" i="71"/>
  <c r="AL26" i="74"/>
  <c r="S207" i="71"/>
  <c r="BP205" i="71"/>
  <c r="BQ205" i="71" s="1"/>
  <c r="Y151" i="72"/>
  <c r="AF16" i="74"/>
  <c r="AR150" i="72"/>
  <c r="AS150" i="72" s="1"/>
  <c r="Y196" i="72"/>
  <c r="AR195" i="72"/>
  <c r="AS195" i="72" s="1"/>
  <c r="AG16" i="74"/>
  <c r="AR15" i="72"/>
  <c r="AS15" i="72" s="1"/>
  <c r="AC16" i="74"/>
  <c r="Y16" i="72"/>
  <c r="Y62" i="72"/>
  <c r="AD17" i="74"/>
  <c r="AR61" i="72"/>
  <c r="AS61" i="72" s="1"/>
  <c r="AR109" i="72"/>
  <c r="Y110" i="72"/>
  <c r="AE20" i="74"/>
  <c r="BZ131" i="70"/>
  <c r="BZ132" i="70"/>
  <c r="A70" i="70"/>
  <c r="D52" i="70"/>
  <c r="C53" i="70"/>
  <c r="CC87" i="70"/>
  <c r="CB88" i="70"/>
  <c r="CD87" i="70"/>
  <c r="AU77" i="74"/>
  <c r="BV193" i="71"/>
  <c r="AW190" i="72"/>
  <c r="AY96" i="74"/>
  <c r="AY94" i="74"/>
  <c r="AY95" i="74"/>
  <c r="AX72" i="74"/>
  <c r="AX74" i="74"/>
  <c r="BC102" i="74"/>
  <c r="AT73" i="74"/>
  <c r="BB94" i="74"/>
  <c r="BB96" i="74"/>
  <c r="BB95" i="74"/>
  <c r="AV85" i="74"/>
  <c r="BA94" i="74"/>
  <c r="AW10" i="72"/>
  <c r="BV57" i="71"/>
  <c r="AW74" i="74"/>
  <c r="BA95" i="74"/>
  <c r="AW145" i="72"/>
  <c r="AV84" i="74"/>
  <c r="AW72" i="74"/>
  <c r="BA96" i="74"/>
  <c r="AT74" i="74"/>
  <c r="AZ93" i="74"/>
  <c r="AZ91" i="74"/>
  <c r="AZ90" i="74"/>
  <c r="AZ92" i="74"/>
  <c r="BC101" i="74"/>
  <c r="AW73" i="74"/>
  <c r="AU76" i="74"/>
  <c r="BC103" i="74"/>
  <c r="AT75" i="74"/>
  <c r="AX73" i="74"/>
  <c r="BY57" i="71" l="1"/>
  <c r="BP68" i="71"/>
  <c r="BQ68" i="71" s="1"/>
  <c r="AI24" i="74"/>
  <c r="S70" i="71"/>
  <c r="AK25" i="74"/>
  <c r="BP159" i="71"/>
  <c r="BQ159" i="71" s="1"/>
  <c r="S161" i="71"/>
  <c r="BP24" i="71"/>
  <c r="BQ24" i="71" s="1"/>
  <c r="S26" i="71"/>
  <c r="AH25" i="74"/>
  <c r="AJ25" i="74"/>
  <c r="BP114" i="71"/>
  <c r="S116" i="71"/>
  <c r="BY193" i="71"/>
  <c r="S208" i="71"/>
  <c r="AL27" i="74"/>
  <c r="BP206" i="71"/>
  <c r="BQ206" i="71" s="1"/>
  <c r="AG17" i="74"/>
  <c r="AR196" i="72"/>
  <c r="AS196" i="72" s="1"/>
  <c r="Y197" i="72"/>
  <c r="AR16" i="72"/>
  <c r="AS16" i="72" s="1"/>
  <c r="AC17" i="74"/>
  <c r="Y17" i="72"/>
  <c r="AR151" i="72"/>
  <c r="AS151" i="72" s="1"/>
  <c r="AF17" i="74"/>
  <c r="Y152" i="72"/>
  <c r="Y63" i="72"/>
  <c r="AD18" i="74"/>
  <c r="AR62" i="72"/>
  <c r="AS62" i="72" s="1"/>
  <c r="Y111" i="72"/>
  <c r="AE21" i="74"/>
  <c r="AR110" i="72"/>
  <c r="BZ133" i="70"/>
  <c r="BZ134" i="70"/>
  <c r="D53" i="70"/>
  <c r="C54" i="70"/>
  <c r="CC88" i="70"/>
  <c r="CB89" i="70"/>
  <c r="A71" i="70"/>
  <c r="CD88" i="70"/>
  <c r="AY99" i="74"/>
  <c r="AY98" i="74"/>
  <c r="AY97" i="74"/>
  <c r="BA98" i="74"/>
  <c r="AZ95" i="74"/>
  <c r="AZ94" i="74"/>
  <c r="AZ96" i="74"/>
  <c r="AU79" i="74"/>
  <c r="BC107" i="74"/>
  <c r="AX75" i="74"/>
  <c r="AT76" i="74"/>
  <c r="AX76" i="74"/>
  <c r="AW75" i="74"/>
  <c r="AT77" i="74"/>
  <c r="BB99" i="74"/>
  <c r="BB100" i="74"/>
  <c r="BB98" i="74"/>
  <c r="BB97" i="74"/>
  <c r="AU80" i="74"/>
  <c r="BC105" i="74"/>
  <c r="AX77" i="74"/>
  <c r="AW76" i="74"/>
  <c r="BA100" i="74"/>
  <c r="AW77" i="74"/>
  <c r="BA99" i="74"/>
  <c r="BC104" i="74"/>
  <c r="AU78" i="74"/>
  <c r="BC106" i="74"/>
  <c r="BA97" i="74"/>
  <c r="AH26" i="74" l="1"/>
  <c r="BP25" i="71"/>
  <c r="BQ25" i="71" s="1"/>
  <c r="S27" i="71"/>
  <c r="AK26" i="74"/>
  <c r="BP160" i="71"/>
  <c r="BQ160" i="71" s="1"/>
  <c r="S162" i="71"/>
  <c r="S71" i="71"/>
  <c r="AI25" i="74"/>
  <c r="BP69" i="71"/>
  <c r="BQ69" i="71" s="1"/>
  <c r="AJ26" i="74"/>
  <c r="S117" i="71"/>
  <c r="BP115" i="71"/>
  <c r="AL28" i="74"/>
  <c r="BP207" i="71"/>
  <c r="BQ207" i="71" s="1"/>
  <c r="S209" i="71"/>
  <c r="Y153" i="72"/>
  <c r="AF18" i="74"/>
  <c r="AR152" i="72"/>
  <c r="AS152" i="72" s="1"/>
  <c r="Y198" i="72"/>
  <c r="AR197" i="72"/>
  <c r="AS197" i="72" s="1"/>
  <c r="AG18" i="74"/>
  <c r="Y18" i="72"/>
  <c r="AC18" i="74"/>
  <c r="AR17" i="72"/>
  <c r="AS17" i="72" s="1"/>
  <c r="Y64" i="72"/>
  <c r="AD19" i="74"/>
  <c r="AR63" i="72"/>
  <c r="AS63" i="72" s="1"/>
  <c r="Y112" i="72"/>
  <c r="AR111" i="72"/>
  <c r="AE22" i="74"/>
  <c r="BZ136" i="70"/>
  <c r="BZ135" i="70"/>
  <c r="W190" i="70"/>
  <c r="W145" i="70"/>
  <c r="CC89" i="70"/>
  <c r="CB90" i="70"/>
  <c r="A72" i="70"/>
  <c r="D54" i="70"/>
  <c r="C55" i="70"/>
  <c r="CD89" i="70"/>
  <c r="BV13" i="71"/>
  <c r="BC111" i="74"/>
  <c r="AX78" i="74"/>
  <c r="AU81" i="74"/>
  <c r="BB101" i="74"/>
  <c r="BB102" i="74"/>
  <c r="BB103" i="74"/>
  <c r="AT79" i="74"/>
  <c r="BA101" i="74"/>
  <c r="BV148" i="71"/>
  <c r="BC110" i="74"/>
  <c r="AX79" i="74"/>
  <c r="BA103" i="74"/>
  <c r="AW78" i="74"/>
  <c r="BA102" i="74"/>
  <c r="AT80" i="74"/>
  <c r="AW79" i="74"/>
  <c r="AX80" i="74"/>
  <c r="AZ97" i="74"/>
  <c r="AZ98" i="74"/>
  <c r="AZ99" i="74"/>
  <c r="BC109" i="74"/>
  <c r="AW80" i="74"/>
  <c r="AT78" i="74"/>
  <c r="BC108" i="74"/>
  <c r="AY101" i="74"/>
  <c r="AY103" i="74"/>
  <c r="AY100" i="74"/>
  <c r="AY102" i="74"/>
  <c r="AU82" i="74"/>
  <c r="BY148" i="71" l="1"/>
  <c r="BY13" i="71"/>
  <c r="BP70" i="71"/>
  <c r="BQ70" i="71" s="1"/>
  <c r="S72" i="71"/>
  <c r="AI26" i="74"/>
  <c r="AK27" i="74"/>
  <c r="BP161" i="71"/>
  <c r="BQ161" i="71" s="1"/>
  <c r="S163" i="71"/>
  <c r="BP26" i="71"/>
  <c r="BQ26" i="71" s="1"/>
  <c r="AH27" i="74"/>
  <c r="S28" i="71"/>
  <c r="BP116" i="71"/>
  <c r="AJ27" i="74"/>
  <c r="S118" i="71"/>
  <c r="S210" i="71"/>
  <c r="BP208" i="71"/>
  <c r="BQ208" i="71" s="1"/>
  <c r="AL29" i="74"/>
  <c r="Y154" i="72"/>
  <c r="AF19" i="74"/>
  <c r="AR153" i="72"/>
  <c r="AS153" i="72" s="1"/>
  <c r="AR18" i="72"/>
  <c r="AS18" i="72" s="1"/>
  <c r="Y19" i="72"/>
  <c r="AC19" i="74"/>
  <c r="Y199" i="72"/>
  <c r="AG19" i="74"/>
  <c r="AR198" i="72"/>
  <c r="AS198" i="72" s="1"/>
  <c r="Y65" i="72"/>
  <c r="AD20" i="74"/>
  <c r="AR64" i="72"/>
  <c r="AS64" i="72" s="1"/>
  <c r="AE23" i="74"/>
  <c r="Y113" i="72"/>
  <c r="AR112" i="72"/>
  <c r="BZ137" i="70"/>
  <c r="BZ138" i="70"/>
  <c r="W10" i="70"/>
  <c r="W55" i="70"/>
  <c r="W100" i="70"/>
  <c r="BP145" i="70"/>
  <c r="J10" i="76"/>
  <c r="K10" i="76"/>
  <c r="BP190" i="70"/>
  <c r="A73" i="70"/>
  <c r="CC90" i="70"/>
  <c r="CB91" i="70"/>
  <c r="D55" i="70"/>
  <c r="C56" i="70"/>
  <c r="CD90" i="70"/>
  <c r="AY106" i="74"/>
  <c r="AY105" i="74"/>
  <c r="AY107" i="74"/>
  <c r="AY104" i="74"/>
  <c r="AU85" i="74"/>
  <c r="Q47" i="76"/>
  <c r="AT81" i="74"/>
  <c r="BA104" i="74"/>
  <c r="BV58" i="71"/>
  <c r="R46" i="76"/>
  <c r="AW56" i="72"/>
  <c r="AU84" i="74"/>
  <c r="BC113" i="74"/>
  <c r="BC114" i="74"/>
  <c r="BQ190" i="70"/>
  <c r="R51" i="76"/>
  <c r="AW11" i="72"/>
  <c r="AW82" i="74"/>
  <c r="Q48" i="76"/>
  <c r="AT82" i="74"/>
  <c r="BA107" i="74"/>
  <c r="Q51" i="76"/>
  <c r="AT83" i="74"/>
  <c r="BV194" i="71"/>
  <c r="BA106" i="74"/>
  <c r="AZ101" i="74"/>
  <c r="AZ103" i="74"/>
  <c r="AZ102" i="74"/>
  <c r="AZ100" i="74"/>
  <c r="Q46" i="76"/>
  <c r="R50" i="76"/>
  <c r="AW81" i="74"/>
  <c r="BB106" i="74"/>
  <c r="BB104" i="74"/>
  <c r="BB107" i="74"/>
  <c r="BB105" i="74"/>
  <c r="AX81" i="74"/>
  <c r="Q50" i="76"/>
  <c r="AX82" i="74"/>
  <c r="Q49" i="76"/>
  <c r="AU83" i="74"/>
  <c r="R49" i="76"/>
  <c r="R48" i="76"/>
  <c r="BA105" i="74"/>
  <c r="R47" i="76"/>
  <c r="BC112" i="74"/>
  <c r="BQ145" i="70"/>
  <c r="BY58" i="71" l="1"/>
  <c r="AK28" i="74"/>
  <c r="BP162" i="71"/>
  <c r="BQ162" i="71" s="1"/>
  <c r="S164" i="71"/>
  <c r="AI27" i="74"/>
  <c r="BP71" i="71"/>
  <c r="BQ71" i="71" s="1"/>
  <c r="S73" i="71"/>
  <c r="AH28" i="74"/>
  <c r="BP27" i="71"/>
  <c r="BQ27" i="71" s="1"/>
  <c r="S29" i="71"/>
  <c r="BP117" i="71"/>
  <c r="AJ28" i="74"/>
  <c r="S119" i="71"/>
  <c r="BY194" i="71"/>
  <c r="BP209" i="71"/>
  <c r="BQ209" i="71" s="1"/>
  <c r="S211" i="71"/>
  <c r="AL30" i="74"/>
  <c r="AR19" i="72"/>
  <c r="AS19" i="72" s="1"/>
  <c r="AC20" i="74"/>
  <c r="Y20" i="72"/>
  <c r="AF20" i="74"/>
  <c r="AR154" i="72"/>
  <c r="AS154" i="72" s="1"/>
  <c r="Y155" i="72"/>
  <c r="Y200" i="72"/>
  <c r="AR199" i="72"/>
  <c r="AS199" i="72" s="1"/>
  <c r="AG20" i="74"/>
  <c r="AR65" i="72"/>
  <c r="AS65" i="72" s="1"/>
  <c r="Y66" i="72"/>
  <c r="AD21" i="74"/>
  <c r="AE24" i="74"/>
  <c r="Y114" i="72"/>
  <c r="AR113" i="72"/>
  <c r="BZ140" i="70"/>
  <c r="BZ139" i="70"/>
  <c r="I10" i="76"/>
  <c r="BP100" i="70"/>
  <c r="H10" i="76"/>
  <c r="BP55" i="70"/>
  <c r="G10" i="76"/>
  <c r="BP10" i="70"/>
  <c r="CC91" i="70"/>
  <c r="CB92" i="70"/>
  <c r="D56" i="70"/>
  <c r="C57" i="70"/>
  <c r="A74" i="70"/>
  <c r="CD91" i="70"/>
  <c r="N52" i="76"/>
  <c r="BA108" i="74"/>
  <c r="BC117" i="74"/>
  <c r="AW84" i="74"/>
  <c r="N49" i="76"/>
  <c r="BB108" i="74"/>
  <c r="BB110" i="74"/>
  <c r="BB109" i="74"/>
  <c r="BC115" i="74"/>
  <c r="P52" i="76"/>
  <c r="AW146" i="72"/>
  <c r="O49" i="76"/>
  <c r="BC118" i="74"/>
  <c r="P50" i="76"/>
  <c r="AW83" i="74"/>
  <c r="AX83" i="74"/>
  <c r="O52" i="76"/>
  <c r="P47" i="76"/>
  <c r="P48" i="76"/>
  <c r="O50" i="76"/>
  <c r="AZ104" i="74"/>
  <c r="AZ105" i="74"/>
  <c r="AZ107" i="74"/>
  <c r="AZ106" i="74"/>
  <c r="BC116" i="74"/>
  <c r="O48" i="76"/>
  <c r="N47" i="76"/>
  <c r="P49" i="76"/>
  <c r="O51" i="76"/>
  <c r="BA110" i="74"/>
  <c r="AX84" i="74"/>
  <c r="N48" i="76"/>
  <c r="AT84" i="74"/>
  <c r="AY110" i="74"/>
  <c r="AY108" i="74"/>
  <c r="AY109" i="74"/>
  <c r="P51" i="76"/>
  <c r="N51" i="76"/>
  <c r="AW191" i="72"/>
  <c r="O47" i="76"/>
  <c r="BA109" i="74"/>
  <c r="BQ55" i="70"/>
  <c r="BQ10" i="70"/>
  <c r="N50" i="76"/>
  <c r="AT85" i="74"/>
  <c r="BQ100" i="70"/>
  <c r="BP72" i="71" l="1"/>
  <c r="BQ72" i="71" s="1"/>
  <c r="S74" i="71"/>
  <c r="AI28" i="74"/>
  <c r="BP163" i="71"/>
  <c r="BQ163" i="71" s="1"/>
  <c r="AK29" i="74"/>
  <c r="S165" i="71"/>
  <c r="S30" i="71"/>
  <c r="BP28" i="71"/>
  <c r="BQ28" i="71" s="1"/>
  <c r="AH29" i="74"/>
  <c r="S120" i="71"/>
  <c r="AJ29" i="74"/>
  <c r="BP118" i="71"/>
  <c r="BP210" i="71"/>
  <c r="BQ210" i="71" s="1"/>
  <c r="AL31" i="74"/>
  <c r="S212" i="71"/>
  <c r="AR200" i="72"/>
  <c r="AS200" i="72" s="1"/>
  <c r="Y201" i="72"/>
  <c r="AG21" i="74"/>
  <c r="AR155" i="72"/>
  <c r="AS155" i="72" s="1"/>
  <c r="Y156" i="72"/>
  <c r="AF21" i="74"/>
  <c r="Y21" i="72"/>
  <c r="AC21" i="74"/>
  <c r="AR20" i="72"/>
  <c r="AS20" i="72" s="1"/>
  <c r="Y67" i="72"/>
  <c r="AD22" i="74"/>
  <c r="AR66" i="72"/>
  <c r="AS66" i="72" s="1"/>
  <c r="Y115" i="72"/>
  <c r="AE25" i="74"/>
  <c r="AR114" i="72"/>
  <c r="BZ142" i="70"/>
  <c r="BZ141" i="70"/>
  <c r="D57" i="70"/>
  <c r="C58" i="70"/>
  <c r="A75" i="70"/>
  <c r="CC92" i="70"/>
  <c r="CB93" i="70"/>
  <c r="CD92" i="70"/>
  <c r="AV88" i="74"/>
  <c r="AV99" i="74"/>
  <c r="AV98" i="74"/>
  <c r="AW86" i="74"/>
  <c r="AZ108" i="74"/>
  <c r="AZ110" i="74"/>
  <c r="AZ109" i="74"/>
  <c r="AV90" i="74"/>
  <c r="BA112" i="74"/>
  <c r="AU87" i="74"/>
  <c r="BV149" i="71"/>
  <c r="BA114" i="74"/>
  <c r="BC119" i="74"/>
  <c r="AV95" i="74"/>
  <c r="AV94" i="74"/>
  <c r="AV96" i="74"/>
  <c r="BC121" i="74"/>
  <c r="AV92" i="74"/>
  <c r="AV87" i="74"/>
  <c r="AV93" i="74"/>
  <c r="AU88" i="74"/>
  <c r="AU86" i="74"/>
  <c r="BA113" i="74"/>
  <c r="BV14" i="71"/>
  <c r="BC120" i="74"/>
  <c r="AV100" i="74"/>
  <c r="AW85" i="74"/>
  <c r="AY114" i="74"/>
  <c r="AY113" i="74"/>
  <c r="AY112" i="74"/>
  <c r="AY111" i="74"/>
  <c r="AV86" i="74"/>
  <c r="AV97" i="74"/>
  <c r="AU89" i="74"/>
  <c r="BB114" i="74"/>
  <c r="BB111" i="74"/>
  <c r="BB112" i="74"/>
  <c r="BB113" i="74"/>
  <c r="BA111" i="74"/>
  <c r="AV91" i="74"/>
  <c r="AV89" i="74"/>
  <c r="BY14" i="71" l="1"/>
  <c r="BY149" i="71"/>
  <c r="S166" i="71"/>
  <c r="BP164" i="71"/>
  <c r="BQ164" i="71" s="1"/>
  <c r="AK30" i="74"/>
  <c r="BP29" i="71"/>
  <c r="BQ29" i="71" s="1"/>
  <c r="S31" i="71"/>
  <c r="AH30" i="74"/>
  <c r="AI29" i="74"/>
  <c r="BP73" i="71"/>
  <c r="BQ73" i="71" s="1"/>
  <c r="S75" i="71"/>
  <c r="BP119" i="71"/>
  <c r="S121" i="71"/>
  <c r="AJ30" i="74"/>
  <c r="S213" i="71"/>
  <c r="AL32" i="74"/>
  <c r="BP211" i="71"/>
  <c r="BQ211" i="71" s="1"/>
  <c r="AC22" i="74"/>
  <c r="Y22" i="72"/>
  <c r="AR21" i="72"/>
  <c r="AS21" i="72" s="1"/>
  <c r="AF22" i="74"/>
  <c r="AR156" i="72"/>
  <c r="AS156" i="72" s="1"/>
  <c r="Y157" i="72"/>
  <c r="AR201" i="72"/>
  <c r="AS201" i="72" s="1"/>
  <c r="AG22" i="74"/>
  <c r="Y202" i="72"/>
  <c r="Y68" i="72"/>
  <c r="AR67" i="72"/>
  <c r="AS67" i="72" s="1"/>
  <c r="AD23" i="74"/>
  <c r="AE26" i="74"/>
  <c r="AR115" i="72"/>
  <c r="Y116" i="72"/>
  <c r="BZ143" i="70"/>
  <c r="BZ144" i="70"/>
  <c r="W191" i="70"/>
  <c r="W146" i="70"/>
  <c r="A76" i="70"/>
  <c r="D58" i="70"/>
  <c r="C59" i="70"/>
  <c r="CC93" i="70"/>
  <c r="CB94" i="70"/>
  <c r="CD93" i="70"/>
  <c r="BV59" i="71"/>
  <c r="BC125" i="74"/>
  <c r="BA115" i="74"/>
  <c r="BC124" i="74"/>
  <c r="BV195" i="71"/>
  <c r="AT88" i="74"/>
  <c r="BA116" i="74"/>
  <c r="AT89" i="74"/>
  <c r="AW87" i="74"/>
  <c r="AX88" i="74"/>
  <c r="BA117" i="74"/>
  <c r="BB115" i="74"/>
  <c r="BB117" i="74"/>
  <c r="BB116" i="74"/>
  <c r="AX87" i="74"/>
  <c r="AV102" i="74"/>
  <c r="AX86" i="74"/>
  <c r="AX85" i="74"/>
  <c r="AV103" i="74"/>
  <c r="AU92" i="74"/>
  <c r="AU93" i="74"/>
  <c r="AU91" i="74"/>
  <c r="AY117" i="74"/>
  <c r="AY115" i="74"/>
  <c r="AY116" i="74"/>
  <c r="AW89" i="74"/>
  <c r="AU90" i="74"/>
  <c r="AV101" i="74"/>
  <c r="AX89" i="74"/>
  <c r="BC122" i="74"/>
  <c r="AT87" i="74"/>
  <c r="BC123" i="74"/>
  <c r="AW57" i="72"/>
  <c r="AW88" i="74"/>
  <c r="AZ112" i="74"/>
  <c r="AZ114" i="74"/>
  <c r="AZ113" i="74"/>
  <c r="AZ111" i="74"/>
  <c r="AT86" i="74"/>
  <c r="BY59" i="71" l="1"/>
  <c r="S32" i="71"/>
  <c r="BP30" i="71"/>
  <c r="BQ30" i="71" s="1"/>
  <c r="AH31" i="74"/>
  <c r="BP74" i="71"/>
  <c r="BQ74" i="71" s="1"/>
  <c r="S76" i="71"/>
  <c r="AI30" i="74"/>
  <c r="S167" i="71"/>
  <c r="AK31" i="74"/>
  <c r="BP165" i="71"/>
  <c r="BP120" i="71"/>
  <c r="S122" i="71"/>
  <c r="AJ31" i="74"/>
  <c r="BY195" i="71"/>
  <c r="BP212" i="71"/>
  <c r="BQ212" i="71" s="1"/>
  <c r="AL33" i="74"/>
  <c r="S214" i="71"/>
  <c r="AF23" i="74"/>
  <c r="AR157" i="72"/>
  <c r="AS157" i="72" s="1"/>
  <c r="Y158" i="72"/>
  <c r="AC23" i="74"/>
  <c r="AR22" i="72"/>
  <c r="AS22" i="72" s="1"/>
  <c r="Y23" i="72"/>
  <c r="Y203" i="72"/>
  <c r="AR202" i="72"/>
  <c r="AS202" i="72" s="1"/>
  <c r="AG23" i="74"/>
  <c r="AD24" i="74"/>
  <c r="Y69" i="72"/>
  <c r="AR68" i="72"/>
  <c r="AS68" i="72" s="1"/>
  <c r="AE27" i="74"/>
  <c r="AR116" i="72"/>
  <c r="Y117" i="72"/>
  <c r="BZ146" i="70"/>
  <c r="BZ145" i="70"/>
  <c r="W56" i="70"/>
  <c r="W101" i="70"/>
  <c r="W11" i="70"/>
  <c r="J11" i="76"/>
  <c r="BP146" i="70"/>
  <c r="K11" i="76"/>
  <c r="BP191" i="70"/>
  <c r="CC94" i="70"/>
  <c r="CB95" i="70"/>
  <c r="A77" i="70"/>
  <c r="D59" i="70"/>
  <c r="C60" i="70"/>
  <c r="CD94" i="70"/>
  <c r="BB121" i="74"/>
  <c r="BB118" i="74"/>
  <c r="BB120" i="74"/>
  <c r="BB119" i="74"/>
  <c r="AX91" i="74"/>
  <c r="AV105" i="74"/>
  <c r="R53" i="76"/>
  <c r="AV107" i="74"/>
  <c r="AV106" i="74"/>
  <c r="AU96" i="74"/>
  <c r="BQ191" i="70"/>
  <c r="AX92" i="74"/>
  <c r="R54" i="76"/>
  <c r="BC126" i="74"/>
  <c r="AT90" i="74"/>
  <c r="AT91" i="74"/>
  <c r="AY121" i="74"/>
  <c r="AY120" i="74"/>
  <c r="AY119" i="74"/>
  <c r="AY118" i="74"/>
  <c r="AW192" i="72"/>
  <c r="BA120" i="74"/>
  <c r="AW90" i="74"/>
  <c r="AV104" i="74"/>
  <c r="AT92" i="74"/>
  <c r="AW12" i="72"/>
  <c r="AW92" i="74"/>
  <c r="BA118" i="74"/>
  <c r="Q52" i="76"/>
  <c r="AU95" i="74"/>
  <c r="AW93" i="74"/>
  <c r="Q55" i="76"/>
  <c r="BA119" i="74"/>
  <c r="AW147" i="72"/>
  <c r="Q54" i="76"/>
  <c r="BA121" i="74"/>
  <c r="AU94" i="74"/>
  <c r="Q53" i="76"/>
  <c r="AW91" i="74"/>
  <c r="AX93" i="74"/>
  <c r="AX90" i="74"/>
  <c r="AT93" i="74"/>
  <c r="AZ117" i="74"/>
  <c r="AZ116" i="74"/>
  <c r="AZ115" i="74"/>
  <c r="BC127" i="74"/>
  <c r="BC128" i="74"/>
  <c r="BQ146" i="70"/>
  <c r="R52" i="76"/>
  <c r="BP166" i="71" l="1"/>
  <c r="S168" i="71"/>
  <c r="AK32" i="74"/>
  <c r="BP75" i="71"/>
  <c r="BQ75" i="71" s="1"/>
  <c r="AI31" i="74"/>
  <c r="S77" i="71"/>
  <c r="BQ105" i="71"/>
  <c r="BQ165" i="71"/>
  <c r="S33" i="71"/>
  <c r="AH32" i="74"/>
  <c r="BP31" i="71"/>
  <c r="BQ31" i="71" s="1"/>
  <c r="AJ32" i="74"/>
  <c r="S123" i="71"/>
  <c r="BP121" i="71"/>
  <c r="S215" i="71"/>
  <c r="AL34" i="74"/>
  <c r="BP213" i="71"/>
  <c r="BQ213" i="71" s="1"/>
  <c r="AR203" i="72"/>
  <c r="AS203" i="72" s="1"/>
  <c r="Y204" i="72"/>
  <c r="AG24" i="74"/>
  <c r="AC24" i="74"/>
  <c r="Y24" i="72"/>
  <c r="AR23" i="72"/>
  <c r="AS23" i="72" s="1"/>
  <c r="AR158" i="72"/>
  <c r="AS158" i="72" s="1"/>
  <c r="AF24" i="74"/>
  <c r="Y159" i="72"/>
  <c r="AR69" i="72"/>
  <c r="AS69" i="72" s="1"/>
  <c r="AD25" i="74"/>
  <c r="Y70" i="72"/>
  <c r="Y118" i="72"/>
  <c r="AE28" i="74"/>
  <c r="AR117" i="72"/>
  <c r="BZ148" i="70"/>
  <c r="BZ147" i="70"/>
  <c r="BP11" i="70"/>
  <c r="G11" i="76"/>
  <c r="BP101" i="70"/>
  <c r="I11" i="76"/>
  <c r="BP56" i="70"/>
  <c r="H11" i="76"/>
  <c r="A78" i="70"/>
  <c r="CC95" i="70"/>
  <c r="CB96" i="70"/>
  <c r="D60" i="70"/>
  <c r="C61" i="70"/>
  <c r="CD95" i="70"/>
  <c r="AU97" i="74"/>
  <c r="AX96" i="74"/>
  <c r="AT95" i="74"/>
  <c r="BC130" i="74"/>
  <c r="AU99" i="74"/>
  <c r="AX95" i="74"/>
  <c r="AZ118" i="74"/>
  <c r="AZ119" i="74"/>
  <c r="AZ120" i="74"/>
  <c r="AZ121" i="74"/>
  <c r="BC131" i="74"/>
  <c r="N56" i="76"/>
  <c r="O55" i="76"/>
  <c r="AV110" i="74"/>
  <c r="BT188" i="70"/>
  <c r="AV108" i="74"/>
  <c r="AT96" i="74"/>
  <c r="N53" i="76"/>
  <c r="BB123" i="74"/>
  <c r="BB122" i="74"/>
  <c r="BB124" i="74"/>
  <c r="AY123" i="74"/>
  <c r="AY122" i="74"/>
  <c r="AY124" i="74"/>
  <c r="AV109" i="74"/>
  <c r="O53" i="76"/>
  <c r="P55" i="76"/>
  <c r="BT143" i="70"/>
  <c r="P53" i="76"/>
  <c r="AX94" i="74"/>
  <c r="N55" i="76"/>
  <c r="AW96" i="74"/>
  <c r="AW94" i="74"/>
  <c r="BV15" i="71"/>
  <c r="BA123" i="74"/>
  <c r="N54" i="76"/>
  <c r="O56" i="76"/>
  <c r="BA124" i="74"/>
  <c r="BQ56" i="70"/>
  <c r="AU98" i="74"/>
  <c r="BC132" i="74"/>
  <c r="AW95" i="74"/>
  <c r="BA122" i="74"/>
  <c r="O54" i="76"/>
  <c r="BQ101" i="70"/>
  <c r="BC129" i="74"/>
  <c r="P54" i="76"/>
  <c r="AT94" i="74"/>
  <c r="BV100" i="71"/>
  <c r="BQ11" i="70"/>
  <c r="BY100" i="71" l="1"/>
  <c r="BY15" i="71"/>
  <c r="S78" i="71"/>
  <c r="BP76" i="71"/>
  <c r="BQ76" i="71" s="1"/>
  <c r="AI32" i="74"/>
  <c r="AH33" i="74"/>
  <c r="S34" i="71"/>
  <c r="BP32" i="71"/>
  <c r="BQ32" i="71" s="1"/>
  <c r="BP167" i="71"/>
  <c r="AK33" i="74"/>
  <c r="S169" i="71"/>
  <c r="BQ106" i="71"/>
  <c r="BQ107" i="71" s="1"/>
  <c r="BQ166" i="71"/>
  <c r="S124" i="71"/>
  <c r="BP122" i="71"/>
  <c r="AJ33" i="74"/>
  <c r="AL35" i="74"/>
  <c r="BP214" i="71"/>
  <c r="BQ214" i="71" s="1"/>
  <c r="S216" i="71"/>
  <c r="AC25" i="74"/>
  <c r="Y25" i="72"/>
  <c r="AR24" i="72"/>
  <c r="AS24" i="72" s="1"/>
  <c r="Y205" i="72"/>
  <c r="AR204" i="72"/>
  <c r="AS204" i="72" s="1"/>
  <c r="AG25" i="74"/>
  <c r="AF25" i="74"/>
  <c r="Y160" i="72"/>
  <c r="AR159" i="72"/>
  <c r="AS159" i="72" s="1"/>
  <c r="AR70" i="72"/>
  <c r="AS70" i="72" s="1"/>
  <c r="AD26" i="74"/>
  <c r="Y71" i="72"/>
  <c r="Y119" i="72"/>
  <c r="AR118" i="72"/>
  <c r="AE29" i="74"/>
  <c r="BZ149" i="70"/>
  <c r="BZ150" i="70"/>
  <c r="CC96" i="70"/>
  <c r="CB97" i="70"/>
  <c r="D61" i="70"/>
  <c r="C62" i="70"/>
  <c r="A79" i="70"/>
  <c r="CD96" i="70"/>
  <c r="BB128" i="74"/>
  <c r="BB127" i="74"/>
  <c r="BB126" i="74"/>
  <c r="BB125" i="74"/>
  <c r="AX100" i="74"/>
  <c r="BA126" i="74"/>
  <c r="BT98" i="70"/>
  <c r="BT8" i="70"/>
  <c r="BA128" i="74"/>
  <c r="AU100" i="74"/>
  <c r="BV60" i="71"/>
  <c r="AT99" i="74"/>
  <c r="BA127" i="74"/>
  <c r="BV196" i="71"/>
  <c r="AU103" i="74"/>
  <c r="AZ122" i="74"/>
  <c r="AZ124" i="74"/>
  <c r="AZ123" i="74"/>
  <c r="BV150" i="71"/>
  <c r="BT53" i="70"/>
  <c r="BA125" i="74"/>
  <c r="BC135" i="74"/>
  <c r="AU101" i="74"/>
  <c r="BC134" i="74"/>
  <c r="AV113" i="74"/>
  <c r="AY127" i="74"/>
  <c r="AY128" i="74"/>
  <c r="AY126" i="74"/>
  <c r="AY125" i="74"/>
  <c r="BC136" i="74"/>
  <c r="AX99" i="74"/>
  <c r="AT97" i="74"/>
  <c r="AV111" i="74"/>
  <c r="AX98" i="74"/>
  <c r="AW97" i="74"/>
  <c r="AW58" i="72"/>
  <c r="AW99" i="74"/>
  <c r="AV112" i="74"/>
  <c r="AT98" i="74"/>
  <c r="AW100" i="74"/>
  <c r="BC133" i="74"/>
  <c r="AV114" i="74"/>
  <c r="AX97" i="74"/>
  <c r="AW98" i="74"/>
  <c r="AU102" i="74"/>
  <c r="BQ167" i="71" l="1"/>
  <c r="BY150" i="71"/>
  <c r="BY60" i="71"/>
  <c r="BP33" i="71"/>
  <c r="BQ33" i="71" s="1"/>
  <c r="AH34" i="74"/>
  <c r="S35" i="71"/>
  <c r="AK34" i="74"/>
  <c r="BP168" i="71"/>
  <c r="S170" i="71"/>
  <c r="BQ108" i="71"/>
  <c r="AI33" i="74"/>
  <c r="S79" i="71"/>
  <c r="BP77" i="71"/>
  <c r="BQ77" i="71" s="1"/>
  <c r="AJ34" i="74"/>
  <c r="S125" i="71"/>
  <c r="BP123" i="71"/>
  <c r="BY196" i="71"/>
  <c r="AL36" i="74"/>
  <c r="BP215" i="71"/>
  <c r="BQ215" i="71" s="1"/>
  <c r="S217" i="71"/>
  <c r="AC26" i="74"/>
  <c r="AR25" i="72"/>
  <c r="AS25" i="72" s="1"/>
  <c r="Y26" i="72"/>
  <c r="AR160" i="72"/>
  <c r="AS160" i="72" s="1"/>
  <c r="Y161" i="72"/>
  <c r="AF26" i="74"/>
  <c r="Y206" i="72"/>
  <c r="AR205" i="72"/>
  <c r="AS205" i="72" s="1"/>
  <c r="AG26" i="74"/>
  <c r="Y72" i="72"/>
  <c r="AR71" i="72"/>
  <c r="AS71" i="72" s="1"/>
  <c r="AD27" i="74"/>
  <c r="Y120" i="72"/>
  <c r="AE30" i="74"/>
  <c r="AR119" i="72"/>
  <c r="A80" i="70"/>
  <c r="A81" i="70" s="1"/>
  <c r="A82" i="70" s="1"/>
  <c r="A83" i="70" s="1"/>
  <c r="A84" i="70" s="1"/>
  <c r="A85" i="70" s="1"/>
  <c r="A86" i="70" s="1"/>
  <c r="A87" i="70" s="1"/>
  <c r="A88" i="70" s="1"/>
  <c r="A89" i="70" s="1"/>
  <c r="A90" i="70" s="1"/>
  <c r="A91" i="70" s="1"/>
  <c r="A92" i="70" s="1"/>
  <c r="A93" i="70" s="1"/>
  <c r="A94" i="70" s="1"/>
  <c r="A95" i="70" s="1"/>
  <c r="A96" i="70" s="1"/>
  <c r="A97" i="70" s="1"/>
  <c r="A98" i="70" s="1"/>
  <c r="A99" i="70" s="1"/>
  <c r="A100" i="70" s="1"/>
  <c r="A101" i="70" s="1"/>
  <c r="A102" i="70" s="1"/>
  <c r="A103" i="70" s="1"/>
  <c r="A104" i="70" s="1"/>
  <c r="A105" i="70" s="1"/>
  <c r="A106" i="70" s="1"/>
  <c r="A107" i="70" s="1"/>
  <c r="A108" i="70" s="1"/>
  <c r="A109" i="70" s="1"/>
  <c r="A110" i="70" s="1"/>
  <c r="A111" i="70" s="1"/>
  <c r="A112" i="70" s="1"/>
  <c r="A113" i="70" s="1"/>
  <c r="A114" i="70" s="1"/>
  <c r="A115" i="70" s="1"/>
  <c r="A116" i="70" s="1"/>
  <c r="A117" i="70" s="1"/>
  <c r="A118" i="70" s="1"/>
  <c r="A119" i="70" s="1"/>
  <c r="A120" i="70" s="1"/>
  <c r="A121" i="70" s="1"/>
  <c r="A122" i="70" s="1"/>
  <c r="A123" i="70" s="1"/>
  <c r="A124" i="70" s="1"/>
  <c r="A125" i="70" s="1"/>
  <c r="A126" i="70" s="1"/>
  <c r="A127" i="70" s="1"/>
  <c r="A128" i="70" s="1"/>
  <c r="A129" i="70" s="1"/>
  <c r="A130" i="70" s="1"/>
  <c r="A131" i="70" s="1"/>
  <c r="A132" i="70" s="1"/>
  <c r="A133" i="70" s="1"/>
  <c r="A134" i="70" s="1"/>
  <c r="A135" i="70" s="1"/>
  <c r="A136" i="70" s="1"/>
  <c r="A137" i="70" s="1"/>
  <c r="A138" i="70" s="1"/>
  <c r="A139" i="70" s="1"/>
  <c r="A140" i="70" s="1"/>
  <c r="A141" i="70" s="1"/>
  <c r="A142" i="70" s="1"/>
  <c r="A143" i="70" s="1"/>
  <c r="A144" i="70" s="1"/>
  <c r="A145" i="70" s="1"/>
  <c r="A146" i="70" s="1"/>
  <c r="A147" i="70" s="1"/>
  <c r="A148" i="70" s="1"/>
  <c r="A149" i="70" s="1"/>
  <c r="A150" i="70" s="1"/>
  <c r="A151" i="70" s="1"/>
  <c r="A152" i="70" s="1"/>
  <c r="A153" i="70" s="1"/>
  <c r="A154" i="70" s="1"/>
  <c r="BZ152" i="70"/>
  <c r="BZ151" i="70"/>
  <c r="D62" i="70"/>
  <c r="C63" i="70"/>
  <c r="CC97" i="70"/>
  <c r="CB98" i="70"/>
  <c r="CD97" i="70"/>
  <c r="BV101" i="71"/>
  <c r="BA131" i="74"/>
  <c r="AV117" i="74"/>
  <c r="BC138" i="74"/>
  <c r="AU106" i="74"/>
  <c r="AX101" i="74"/>
  <c r="AT101" i="74"/>
  <c r="AZ128" i="74"/>
  <c r="AZ126" i="74"/>
  <c r="AZ125" i="74"/>
  <c r="AZ127" i="74"/>
  <c r="AU104" i="74"/>
  <c r="BA130" i="74"/>
  <c r="AW148" i="72"/>
  <c r="AX103" i="74"/>
  <c r="AW193" i="72"/>
  <c r="AT100" i="74"/>
  <c r="AW102" i="74"/>
  <c r="BA132" i="74"/>
  <c r="AY129" i="74"/>
  <c r="AY131" i="74"/>
  <c r="AY130" i="74"/>
  <c r="BC139" i="74"/>
  <c r="AT103" i="74"/>
  <c r="AU105" i="74"/>
  <c r="AU107" i="74"/>
  <c r="AV115" i="74"/>
  <c r="AV116" i="74"/>
  <c r="AT102" i="74"/>
  <c r="AW103" i="74"/>
  <c r="AX102" i="74"/>
  <c r="BC137" i="74"/>
  <c r="BA129" i="74"/>
  <c r="AW13" i="72"/>
  <c r="BB131" i="74"/>
  <c r="BB129" i="74"/>
  <c r="BB130" i="74"/>
  <c r="BB132" i="74"/>
  <c r="AW101" i="74"/>
  <c r="BQ168" i="71" l="1"/>
  <c r="BY101" i="71"/>
  <c r="AK35" i="74"/>
  <c r="S171" i="71"/>
  <c r="BP169" i="71"/>
  <c r="S36" i="71"/>
  <c r="AH35" i="74"/>
  <c r="BP34" i="71"/>
  <c r="BQ34" i="71" s="1"/>
  <c r="S80" i="71"/>
  <c r="AI34" i="74"/>
  <c r="BP78" i="71"/>
  <c r="BQ78" i="71" s="1"/>
  <c r="BQ109" i="71"/>
  <c r="BQ110" i="71" s="1"/>
  <c r="BQ111" i="71" s="1"/>
  <c r="S126" i="71"/>
  <c r="AJ35" i="74"/>
  <c r="BP124" i="71"/>
  <c r="S218" i="71"/>
  <c r="BP216" i="71"/>
  <c r="BQ216" i="71" s="1"/>
  <c r="AL37" i="74"/>
  <c r="Y27" i="72"/>
  <c r="AC27" i="74"/>
  <c r="AR26" i="72"/>
  <c r="AS26" i="72" s="1"/>
  <c r="AR206" i="72"/>
  <c r="AS206" i="72" s="1"/>
  <c r="AG27" i="74"/>
  <c r="Y207" i="72"/>
  <c r="AR161" i="72"/>
  <c r="AS161" i="72" s="1"/>
  <c r="Y162" i="72"/>
  <c r="AF27" i="74"/>
  <c r="Y73" i="72"/>
  <c r="AD28" i="74"/>
  <c r="AR72" i="72"/>
  <c r="AS72" i="72" s="1"/>
  <c r="AE31" i="74"/>
  <c r="AR120" i="72"/>
  <c r="Y121" i="72"/>
  <c r="BZ154" i="70"/>
  <c r="BZ153" i="70"/>
  <c r="CC98" i="70"/>
  <c r="CB99" i="70"/>
  <c r="D63" i="70"/>
  <c r="C64" i="70"/>
  <c r="CD98" i="70"/>
  <c r="AZ130" i="74"/>
  <c r="AZ131" i="74"/>
  <c r="AZ129" i="74"/>
  <c r="AT104" i="74"/>
  <c r="AX106" i="74"/>
  <c r="AX104" i="74"/>
  <c r="BB133" i="74"/>
  <c r="BB134" i="74"/>
  <c r="BB135" i="74"/>
  <c r="BC140" i="74"/>
  <c r="BC142" i="74"/>
  <c r="AU109" i="74"/>
  <c r="AX105" i="74"/>
  <c r="BC143" i="74"/>
  <c r="AT106" i="74"/>
  <c r="BA134" i="74"/>
  <c r="AT107" i="74"/>
  <c r="AT105" i="74"/>
  <c r="AV120" i="74"/>
  <c r="AX107" i="74"/>
  <c r="AU108" i="74"/>
  <c r="BC141" i="74"/>
  <c r="AW104" i="74"/>
  <c r="AV121" i="74"/>
  <c r="AW107" i="74"/>
  <c r="AU110" i="74"/>
  <c r="AW105" i="74"/>
  <c r="AV118" i="74"/>
  <c r="AY135" i="74"/>
  <c r="AY133" i="74"/>
  <c r="AY134" i="74"/>
  <c r="AY132" i="74"/>
  <c r="BA133" i="74"/>
  <c r="BV197" i="71"/>
  <c r="AW106" i="74"/>
  <c r="AV119" i="74"/>
  <c r="BV16" i="71"/>
  <c r="BA135" i="74"/>
  <c r="BQ169" i="71" l="1"/>
  <c r="BY16" i="71"/>
  <c r="BP35" i="71"/>
  <c r="BQ35" i="71" s="1"/>
  <c r="AH36" i="74"/>
  <c r="S37" i="71"/>
  <c r="S81" i="71"/>
  <c r="BP79" i="71"/>
  <c r="BQ79" i="71" s="1"/>
  <c r="AI35" i="74"/>
  <c r="BQ112" i="71"/>
  <c r="S172" i="71"/>
  <c r="AK36" i="74"/>
  <c r="BP170" i="71"/>
  <c r="BP125" i="71"/>
  <c r="S127" i="71"/>
  <c r="AJ36" i="74"/>
  <c r="BY197" i="71"/>
  <c r="S219" i="71"/>
  <c r="AL38" i="74"/>
  <c r="BP217" i="71"/>
  <c r="BQ217" i="71" s="1"/>
  <c r="Y163" i="72"/>
  <c r="AR162" i="72"/>
  <c r="AS162" i="72" s="1"/>
  <c r="AF28" i="74"/>
  <c r="AR27" i="72"/>
  <c r="AS27" i="72" s="1"/>
  <c r="AC28" i="74"/>
  <c r="Y28" i="72"/>
  <c r="Y208" i="72"/>
  <c r="AR207" i="72"/>
  <c r="AS207" i="72" s="1"/>
  <c r="AG28" i="74"/>
  <c r="AD29" i="74"/>
  <c r="Y74" i="72"/>
  <c r="AR73" i="72"/>
  <c r="AS73" i="72" s="1"/>
  <c r="AE32" i="74"/>
  <c r="Y122" i="72"/>
  <c r="AR121" i="72"/>
  <c r="BZ155" i="70"/>
  <c r="BZ156" i="70"/>
  <c r="W192" i="70"/>
  <c r="W147" i="70"/>
  <c r="CC99" i="70"/>
  <c r="CB100" i="70"/>
  <c r="D64" i="70"/>
  <c r="C65" i="70"/>
  <c r="CD99" i="70"/>
  <c r="BV151" i="71"/>
  <c r="BV102" i="71"/>
  <c r="AU112" i="74"/>
  <c r="AX111" i="74"/>
  <c r="AV123" i="74"/>
  <c r="AX109" i="74"/>
  <c r="AV122" i="74"/>
  <c r="AX108" i="74"/>
  <c r="BC146" i="74"/>
  <c r="AT110" i="74"/>
  <c r="AT109" i="74"/>
  <c r="BB136" i="74"/>
  <c r="BB139" i="74"/>
  <c r="BB137" i="74"/>
  <c r="BB138" i="74"/>
  <c r="AW109" i="74"/>
  <c r="BC144" i="74"/>
  <c r="AY136" i="74"/>
  <c r="AY137" i="74"/>
  <c r="AY138" i="74"/>
  <c r="AW59" i="72"/>
  <c r="BA137" i="74"/>
  <c r="AU114" i="74"/>
  <c r="AW108" i="74"/>
  <c r="AU113" i="74"/>
  <c r="BA138" i="74"/>
  <c r="AT108" i="74"/>
  <c r="BC145" i="74"/>
  <c r="AV124" i="74"/>
  <c r="BV61" i="71"/>
  <c r="BA136" i="74"/>
  <c r="AX110" i="74"/>
  <c r="AZ134" i="74"/>
  <c r="AZ133" i="74"/>
  <c r="AZ135" i="74"/>
  <c r="AZ132" i="74"/>
  <c r="BA139" i="74"/>
  <c r="AW110" i="74"/>
  <c r="AU111" i="74"/>
  <c r="BY151" i="71" l="1"/>
  <c r="BQ170" i="71"/>
  <c r="BY61" i="71"/>
  <c r="BY102" i="71"/>
  <c r="AI36" i="74"/>
  <c r="BP80" i="71"/>
  <c r="BQ80" i="71" s="1"/>
  <c r="S82" i="71"/>
  <c r="AH37" i="74"/>
  <c r="BP36" i="71"/>
  <c r="BQ36" i="71" s="1"/>
  <c r="S38" i="71"/>
  <c r="S173" i="71"/>
  <c r="AK37" i="74"/>
  <c r="BP171" i="71"/>
  <c r="BQ113" i="71"/>
  <c r="BQ114" i="71" s="1"/>
  <c r="BP126" i="71"/>
  <c r="S128" i="71"/>
  <c r="AJ37" i="74"/>
  <c r="BP218" i="71"/>
  <c r="BQ218" i="71" s="1"/>
  <c r="S220" i="71"/>
  <c r="AL39" i="74"/>
  <c r="Y164" i="72"/>
  <c r="AR163" i="72"/>
  <c r="AS163" i="72" s="1"/>
  <c r="AF29" i="74"/>
  <c r="AR208" i="72"/>
  <c r="AS208" i="72" s="1"/>
  <c r="AG29" i="74"/>
  <c r="Y209" i="72"/>
  <c r="Y29" i="72"/>
  <c r="AR28" i="72"/>
  <c r="AS28" i="72" s="1"/>
  <c r="AC29" i="74"/>
  <c r="Y75" i="72"/>
  <c r="AD30" i="74"/>
  <c r="AR74" i="72"/>
  <c r="AS74" i="72" s="1"/>
  <c r="AE33" i="74"/>
  <c r="Y123" i="72"/>
  <c r="AR122" i="72"/>
  <c r="BZ157" i="70"/>
  <c r="BZ158" i="70"/>
  <c r="W57" i="70"/>
  <c r="W12" i="70"/>
  <c r="W102" i="70"/>
  <c r="K12" i="76"/>
  <c r="BP192" i="70"/>
  <c r="J12" i="76"/>
  <c r="BP147" i="70"/>
  <c r="D65" i="70"/>
  <c r="C66" i="70"/>
  <c r="CC100" i="70"/>
  <c r="CB101" i="70"/>
  <c r="CD100" i="70"/>
  <c r="BB141" i="74"/>
  <c r="BB142" i="74"/>
  <c r="BB140" i="74"/>
  <c r="AU115" i="74"/>
  <c r="R55" i="76"/>
  <c r="Q61" i="76"/>
  <c r="Q58" i="76"/>
  <c r="AZ136" i="74"/>
  <c r="AZ138" i="74"/>
  <c r="AZ137" i="74"/>
  <c r="AV126" i="74"/>
  <c r="R59" i="76"/>
  <c r="BA142" i="74"/>
  <c r="AW14" i="72"/>
  <c r="R60" i="76"/>
  <c r="AT113" i="74"/>
  <c r="AW112" i="74"/>
  <c r="BC147" i="74"/>
  <c r="Q57" i="76"/>
  <c r="BA140" i="74"/>
  <c r="AY141" i="74"/>
  <c r="AY139" i="74"/>
  <c r="AY142" i="74"/>
  <c r="AY140" i="74"/>
  <c r="R57" i="76"/>
  <c r="R61" i="76"/>
  <c r="AV127" i="74"/>
  <c r="AU116" i="74"/>
  <c r="AX113" i="74"/>
  <c r="BC148" i="74"/>
  <c r="BC149" i="74"/>
  <c r="AV128" i="74"/>
  <c r="AW149" i="72"/>
  <c r="Q60" i="76"/>
  <c r="AW114" i="74"/>
  <c r="AW194" i="72"/>
  <c r="AT111" i="74"/>
  <c r="AV125" i="74"/>
  <c r="AX112" i="74"/>
  <c r="R56" i="76"/>
  <c r="AW113" i="74"/>
  <c r="BC150" i="74"/>
  <c r="Q59" i="76"/>
  <c r="AU117" i="74"/>
  <c r="AT114" i="74"/>
  <c r="R58" i="76"/>
  <c r="AT112" i="74"/>
  <c r="Q56" i="76"/>
  <c r="AX114" i="74"/>
  <c r="AW111" i="74"/>
  <c r="BA141" i="74"/>
  <c r="BQ147" i="70"/>
  <c r="BQ192" i="70"/>
  <c r="BQ171" i="71" l="1"/>
  <c r="S83" i="71"/>
  <c r="AI37" i="74"/>
  <c r="BP81" i="71"/>
  <c r="BQ81" i="71" s="1"/>
  <c r="AK38" i="74"/>
  <c r="S174" i="71"/>
  <c r="BP172" i="71"/>
  <c r="AH38" i="74"/>
  <c r="S39" i="71"/>
  <c r="BP37" i="71"/>
  <c r="BQ37" i="71" s="1"/>
  <c r="BQ115" i="71"/>
  <c r="AJ38" i="74"/>
  <c r="BP127" i="71"/>
  <c r="S129" i="71"/>
  <c r="S221" i="71"/>
  <c r="AL40" i="74"/>
  <c r="BP219" i="71"/>
  <c r="BQ219" i="71" s="1"/>
  <c r="AF30" i="74"/>
  <c r="Y165" i="72"/>
  <c r="AR164" i="72"/>
  <c r="AS164" i="72" s="1"/>
  <c r="Y30" i="72"/>
  <c r="AR29" i="72"/>
  <c r="AS29" i="72" s="1"/>
  <c r="AC30" i="74"/>
  <c r="AR209" i="72"/>
  <c r="AS209" i="72" s="1"/>
  <c r="AG30" i="74"/>
  <c r="Y210" i="72"/>
  <c r="AR75" i="72"/>
  <c r="AS75" i="72" s="1"/>
  <c r="AD31" i="74"/>
  <c r="Y76" i="72"/>
  <c r="AE34" i="74"/>
  <c r="Y124" i="72"/>
  <c r="AR123" i="72"/>
  <c r="BZ160" i="70"/>
  <c r="BZ159" i="70"/>
  <c r="G12" i="76"/>
  <c r="BP12" i="70"/>
  <c r="I12" i="76"/>
  <c r="BP102" i="70"/>
  <c r="H12" i="76"/>
  <c r="BP57" i="70"/>
  <c r="D66" i="70"/>
  <c r="C67" i="70"/>
  <c r="CC101" i="70"/>
  <c r="CB102" i="70"/>
  <c r="CD101" i="70"/>
  <c r="AZ140" i="74"/>
  <c r="AZ139" i="74"/>
  <c r="AZ142" i="74"/>
  <c r="AZ141" i="74"/>
  <c r="BV103" i="71"/>
  <c r="AV129" i="74"/>
  <c r="P60" i="76"/>
  <c r="AX117" i="74"/>
  <c r="O58" i="76"/>
  <c r="P58" i="76"/>
  <c r="BV198" i="71"/>
  <c r="BA144" i="74"/>
  <c r="BC152" i="74"/>
  <c r="AX118" i="74"/>
  <c r="O62" i="76"/>
  <c r="AU120" i="74"/>
  <c r="AT117" i="74"/>
  <c r="N62" i="76"/>
  <c r="O57" i="76"/>
  <c r="O60" i="76"/>
  <c r="AV130" i="74"/>
  <c r="AV131" i="74"/>
  <c r="AW116" i="74"/>
  <c r="AY143" i="74"/>
  <c r="AY144" i="74"/>
  <c r="AY145" i="74"/>
  <c r="AW117" i="74"/>
  <c r="P62" i="76"/>
  <c r="AV132" i="74"/>
  <c r="O59" i="76"/>
  <c r="BA146" i="74"/>
  <c r="N59" i="76"/>
  <c r="BQ102" i="70"/>
  <c r="BV17" i="71"/>
  <c r="AT115" i="74"/>
  <c r="N58" i="76"/>
  <c r="P59" i="76"/>
  <c r="BA145" i="74"/>
  <c r="O61" i="76"/>
  <c r="AU119" i="74"/>
  <c r="BC151" i="74"/>
  <c r="P57" i="76"/>
  <c r="P56" i="76"/>
  <c r="AT116" i="74"/>
  <c r="N60" i="76"/>
  <c r="AU118" i="74"/>
  <c r="AW115" i="74"/>
  <c r="AX116" i="74"/>
  <c r="AU121" i="74"/>
  <c r="N61" i="76"/>
  <c r="BA143" i="74"/>
  <c r="AX115" i="74"/>
  <c r="N57" i="76"/>
  <c r="BB146" i="74"/>
  <c r="BB145" i="74"/>
  <c r="BB144" i="74"/>
  <c r="BB143" i="74"/>
  <c r="BQ12" i="70"/>
  <c r="BQ57" i="70"/>
  <c r="P61" i="76"/>
  <c r="BC153" i="74"/>
  <c r="BQ172" i="71" l="1"/>
  <c r="BY17" i="71"/>
  <c r="BY103" i="71"/>
  <c r="BP82" i="71"/>
  <c r="BQ82" i="71" s="1"/>
  <c r="S84" i="71"/>
  <c r="AI38" i="74"/>
  <c r="S40" i="71"/>
  <c r="BP38" i="71"/>
  <c r="BQ38" i="71" s="1"/>
  <c r="AH39" i="74"/>
  <c r="AK39" i="74"/>
  <c r="S175" i="71"/>
  <c r="BP173" i="71"/>
  <c r="BQ173" i="71" s="1"/>
  <c r="BQ116" i="71"/>
  <c r="BQ117" i="71" s="1"/>
  <c r="S130" i="71"/>
  <c r="AJ39" i="74"/>
  <c r="BP128" i="71"/>
  <c r="BY198" i="71"/>
  <c r="S222" i="71"/>
  <c r="AL41" i="74"/>
  <c r="BP220" i="71"/>
  <c r="BQ220" i="71" s="1"/>
  <c r="AC31" i="74"/>
  <c r="AR30" i="72"/>
  <c r="AS30" i="72" s="1"/>
  <c r="Y31" i="72"/>
  <c r="AG31" i="74"/>
  <c r="Y211" i="72"/>
  <c r="AR210" i="72"/>
  <c r="AS210" i="72" s="1"/>
  <c r="AR165" i="72"/>
  <c r="Y166" i="72"/>
  <c r="AF31" i="74"/>
  <c r="Y77" i="72"/>
  <c r="AD32" i="74"/>
  <c r="AR76" i="72"/>
  <c r="AS76" i="72" s="1"/>
  <c r="Y125" i="72"/>
  <c r="AE35" i="74"/>
  <c r="AR124" i="72"/>
  <c r="BZ161" i="70"/>
  <c r="BZ162" i="70"/>
  <c r="D67" i="70"/>
  <c r="C68" i="70"/>
  <c r="CC102" i="70"/>
  <c r="CB103" i="70"/>
  <c r="CD102" i="70"/>
  <c r="BV152" i="71"/>
  <c r="AY147" i="74"/>
  <c r="AY148" i="74"/>
  <c r="AY149" i="74"/>
  <c r="AY146" i="74"/>
  <c r="AX119" i="74"/>
  <c r="BB149" i="74"/>
  <c r="BB147" i="74"/>
  <c r="BB148" i="74"/>
  <c r="BC154" i="74"/>
  <c r="AU122" i="74"/>
  <c r="AV135" i="74"/>
  <c r="AW121" i="74"/>
  <c r="AU123" i="74"/>
  <c r="AZ145" i="74"/>
  <c r="AZ144" i="74"/>
  <c r="AZ143" i="74"/>
  <c r="AU124" i="74"/>
  <c r="BA149" i="74"/>
  <c r="AW120" i="74"/>
  <c r="BV62" i="71"/>
  <c r="AX121" i="74"/>
  <c r="BA147" i="74"/>
  <c r="AW60" i="72"/>
  <c r="AW119" i="74"/>
  <c r="AV134" i="74"/>
  <c r="BA148" i="74"/>
  <c r="AT120" i="74"/>
  <c r="AT118" i="74"/>
  <c r="AX120" i="74"/>
  <c r="AV133" i="74"/>
  <c r="AW118" i="74"/>
  <c r="AT119" i="74"/>
  <c r="AT121" i="74"/>
  <c r="BY152" i="71" l="1"/>
  <c r="BY62" i="71"/>
  <c r="BQ118" i="71"/>
  <c r="S41" i="71"/>
  <c r="BP39" i="71"/>
  <c r="BQ39" i="71" s="1"/>
  <c r="AH40" i="74"/>
  <c r="AK40" i="74"/>
  <c r="BP174" i="71"/>
  <c r="BQ174" i="71" s="1"/>
  <c r="S176" i="71"/>
  <c r="S85" i="71"/>
  <c r="AI39" i="74"/>
  <c r="BP83" i="71"/>
  <c r="BQ83" i="71" s="1"/>
  <c r="BP129" i="71"/>
  <c r="S131" i="71"/>
  <c r="AJ40" i="74"/>
  <c r="S223" i="71"/>
  <c r="BP222" i="71" s="1"/>
  <c r="AL42" i="74"/>
  <c r="BP221" i="71"/>
  <c r="BQ221" i="71" s="1"/>
  <c r="Y167" i="72"/>
  <c r="AF32" i="74"/>
  <c r="AR166" i="72"/>
  <c r="AS165" i="72"/>
  <c r="AS105" i="72"/>
  <c r="AG32" i="74"/>
  <c r="Y212" i="72"/>
  <c r="AR211" i="72"/>
  <c r="AS211" i="72" s="1"/>
  <c r="AC32" i="74"/>
  <c r="AR31" i="72"/>
  <c r="AS31" i="72" s="1"/>
  <c r="Y32" i="72"/>
  <c r="AR77" i="72"/>
  <c r="AS77" i="72" s="1"/>
  <c r="AD33" i="74"/>
  <c r="Y78" i="72"/>
  <c r="Y126" i="72"/>
  <c r="AR125" i="72"/>
  <c r="AE36" i="74"/>
  <c r="BZ164" i="70"/>
  <c r="BZ163" i="70"/>
  <c r="D68" i="70"/>
  <c r="C69" i="70"/>
  <c r="CC103" i="70"/>
  <c r="CB104" i="70"/>
  <c r="CD103" i="70"/>
  <c r="BV104" i="71"/>
  <c r="AZ146" i="74"/>
  <c r="AZ148" i="74"/>
  <c r="AZ149" i="74"/>
  <c r="AZ147" i="74"/>
  <c r="AV137" i="74"/>
  <c r="AV136" i="74"/>
  <c r="AV139" i="74"/>
  <c r="AT124" i="74"/>
  <c r="BA152" i="74"/>
  <c r="AW100" i="72"/>
  <c r="BB150" i="74"/>
  <c r="BB153" i="74"/>
  <c r="BB152" i="74"/>
  <c r="BB151" i="74"/>
  <c r="AW15" i="72"/>
  <c r="AW122" i="74"/>
  <c r="AX125" i="74"/>
  <c r="AW124" i="74"/>
  <c r="BA150" i="74"/>
  <c r="AT122" i="74"/>
  <c r="AX122" i="74"/>
  <c r="AU125" i="74"/>
  <c r="AY152" i="74"/>
  <c r="AY151" i="74"/>
  <c r="AY150" i="74"/>
  <c r="AX124" i="74"/>
  <c r="AU126" i="74"/>
  <c r="AW123" i="74"/>
  <c r="BA153" i="74"/>
  <c r="BV153" i="71"/>
  <c r="AU127" i="74"/>
  <c r="AU128" i="74"/>
  <c r="BC155" i="74"/>
  <c r="AT123" i="74"/>
  <c r="BA151" i="74"/>
  <c r="AV138" i="74"/>
  <c r="AW195" i="72"/>
  <c r="AX123" i="74"/>
  <c r="BY153" i="71" l="1"/>
  <c r="BY104" i="71"/>
  <c r="AI40" i="74"/>
  <c r="BP84" i="71"/>
  <c r="BQ84" i="71" s="1"/>
  <c r="S86" i="71"/>
  <c r="BP175" i="71"/>
  <c r="BQ175" i="71" s="1"/>
  <c r="S177" i="71"/>
  <c r="AK41" i="74"/>
  <c r="S42" i="71"/>
  <c r="AH41" i="74"/>
  <c r="BP40" i="71"/>
  <c r="BQ40" i="71" s="1"/>
  <c r="BQ119" i="71"/>
  <c r="BQ120" i="71" s="1"/>
  <c r="AJ41" i="74"/>
  <c r="BP130" i="71"/>
  <c r="S132" i="71"/>
  <c r="BQ222" i="71"/>
  <c r="AS106" i="72"/>
  <c r="AS107" i="72" s="1"/>
  <c r="AS166" i="72"/>
  <c r="AR212" i="72"/>
  <c r="AS212" i="72" s="1"/>
  <c r="Y213" i="72"/>
  <c r="AG33" i="74"/>
  <c r="Y33" i="72"/>
  <c r="AC33" i="74"/>
  <c r="AR32" i="72"/>
  <c r="AS32" i="72" s="1"/>
  <c r="AR167" i="72"/>
  <c r="AF33" i="74"/>
  <c r="Y168" i="72"/>
  <c r="AR78" i="72"/>
  <c r="AS78" i="72" s="1"/>
  <c r="Y79" i="72"/>
  <c r="AD34" i="74"/>
  <c r="AR126" i="72"/>
  <c r="AE37" i="74"/>
  <c r="Y127" i="72"/>
  <c r="BZ166" i="70"/>
  <c r="BZ165" i="70"/>
  <c r="CC104" i="70"/>
  <c r="CB105" i="70"/>
  <c r="D69" i="70"/>
  <c r="C70" i="70"/>
  <c r="CD104" i="70"/>
  <c r="AY154" i="74"/>
  <c r="AY155" i="74"/>
  <c r="AY156" i="74"/>
  <c r="AY153" i="74"/>
  <c r="AV140" i="74"/>
  <c r="AW127" i="74"/>
  <c r="AV141" i="74"/>
  <c r="AZ151" i="74"/>
  <c r="AZ152" i="74"/>
  <c r="AZ150" i="74"/>
  <c r="BV18" i="71"/>
  <c r="AT126" i="74"/>
  <c r="AT127" i="74"/>
  <c r="AW125" i="74"/>
  <c r="AT125" i="74"/>
  <c r="AX127" i="74"/>
  <c r="AX128" i="74"/>
  <c r="BA156" i="74"/>
  <c r="AX126" i="74"/>
  <c r="AV142" i="74"/>
  <c r="BB154" i="74"/>
  <c r="BB155" i="74"/>
  <c r="AU131" i="74"/>
  <c r="BA154" i="74"/>
  <c r="AT128" i="74"/>
  <c r="BV199" i="71"/>
  <c r="AW150" i="72"/>
  <c r="AU130" i="74"/>
  <c r="AW128" i="74"/>
  <c r="AU129" i="74"/>
  <c r="BA155" i="74"/>
  <c r="AW126" i="74"/>
  <c r="BY18" i="71" l="1"/>
  <c r="BP85" i="71"/>
  <c r="BQ85" i="71" s="1"/>
  <c r="S87" i="71"/>
  <c r="AI41" i="74"/>
  <c r="S178" i="71"/>
  <c r="BP177" i="71" s="1"/>
  <c r="BP176" i="71"/>
  <c r="BQ176" i="71" s="1"/>
  <c r="AK42" i="74"/>
  <c r="S43" i="71"/>
  <c r="BP42" i="71" s="1"/>
  <c r="AH42" i="74"/>
  <c r="BP41" i="71"/>
  <c r="BQ41" i="71" s="1"/>
  <c r="BQ121" i="71"/>
  <c r="S133" i="71"/>
  <c r="BP132" i="71" s="1"/>
  <c r="AJ42" i="74"/>
  <c r="BP131" i="71"/>
  <c r="BY199" i="71"/>
  <c r="AS167" i="72"/>
  <c r="AG34" i="74"/>
  <c r="Y214" i="72"/>
  <c r="AR213" i="72"/>
  <c r="AS213" i="72" s="1"/>
  <c r="AF34" i="74"/>
  <c r="Y169" i="72"/>
  <c r="AR168" i="72"/>
  <c r="AS108" i="72"/>
  <c r="AC34" i="74"/>
  <c r="Y34" i="72"/>
  <c r="AR33" i="72"/>
  <c r="AS33" i="72" s="1"/>
  <c r="AR79" i="72"/>
  <c r="AS79" i="72" s="1"/>
  <c r="AD35" i="74"/>
  <c r="Y80" i="72"/>
  <c r="Y128" i="72"/>
  <c r="AR127" i="72"/>
  <c r="AE38" i="74"/>
  <c r="BZ167" i="70"/>
  <c r="BZ168" i="70"/>
  <c r="W193" i="70"/>
  <c r="W148" i="70"/>
  <c r="W58" i="70"/>
  <c r="W103" i="70"/>
  <c r="D70" i="70"/>
  <c r="C71" i="70"/>
  <c r="CC105" i="70"/>
  <c r="CB106" i="70"/>
  <c r="CD105" i="70"/>
  <c r="BV63" i="71"/>
  <c r="BA157" i="74"/>
  <c r="AU135" i="74"/>
  <c r="BV105" i="71"/>
  <c r="AV144" i="74"/>
  <c r="BA158" i="74"/>
  <c r="AX130" i="74"/>
  <c r="AZ154" i="74"/>
  <c r="AZ153" i="74"/>
  <c r="AZ156" i="74"/>
  <c r="AZ155" i="74"/>
  <c r="AX129" i="74"/>
  <c r="AT130" i="74"/>
  <c r="AX131" i="74"/>
  <c r="AW129" i="74"/>
  <c r="AU132" i="74"/>
  <c r="AX132" i="74"/>
  <c r="AY159" i="74"/>
  <c r="AY158" i="74"/>
  <c r="AY157" i="74"/>
  <c r="AY162" i="74"/>
  <c r="AY161" i="74"/>
  <c r="AY160" i="74"/>
  <c r="AW132" i="74"/>
  <c r="AU134" i="74"/>
  <c r="BB156" i="74"/>
  <c r="AW131" i="74"/>
  <c r="AV143" i="74"/>
  <c r="AV145" i="74"/>
  <c r="AT131" i="74"/>
  <c r="AV146" i="74"/>
  <c r="AW61" i="72"/>
  <c r="AW130" i="74"/>
  <c r="AU133" i="74"/>
  <c r="AW101" i="72"/>
  <c r="AT129" i="74"/>
  <c r="BQ42" i="71" l="1"/>
  <c r="BQ177" i="71"/>
  <c r="BY105" i="71"/>
  <c r="BY63" i="71"/>
  <c r="BQ122" i="71"/>
  <c r="BQ123" i="71" s="1"/>
  <c r="AI42" i="74"/>
  <c r="BP86" i="71"/>
  <c r="BQ86" i="71" s="1"/>
  <c r="S88" i="71"/>
  <c r="BP87" i="71" s="1"/>
  <c r="BQ87" i="71" s="1"/>
  <c r="AS109" i="72"/>
  <c r="AS110" i="72" s="1"/>
  <c r="AS111" i="72" s="1"/>
  <c r="AS168" i="72"/>
  <c r="AR214" i="72"/>
  <c r="AS214" i="72" s="1"/>
  <c r="Y215" i="72"/>
  <c r="AG35" i="74"/>
  <c r="Y35" i="72"/>
  <c r="AR34" i="72"/>
  <c r="AS34" i="72" s="1"/>
  <c r="AC35" i="74"/>
  <c r="Y170" i="72"/>
  <c r="AR169" i="72"/>
  <c r="AF35" i="74"/>
  <c r="AR80" i="72"/>
  <c r="AS80" i="72" s="1"/>
  <c r="Y81" i="72"/>
  <c r="AD36" i="74"/>
  <c r="AE39" i="74"/>
  <c r="Y129" i="72"/>
  <c r="AR128" i="72"/>
  <c r="BZ170" i="70"/>
  <c r="BZ169" i="70"/>
  <c r="W13" i="70"/>
  <c r="BP103" i="70"/>
  <c r="I13" i="76"/>
  <c r="H13" i="76"/>
  <c r="BP58" i="70"/>
  <c r="J13" i="76"/>
  <c r="BP148" i="70"/>
  <c r="K13" i="76"/>
  <c r="BP193" i="70"/>
  <c r="D71" i="70"/>
  <c r="C72" i="70"/>
  <c r="CC106" i="70"/>
  <c r="CB107" i="70"/>
  <c r="CD106" i="70"/>
  <c r="BV19" i="71"/>
  <c r="BV154" i="71"/>
  <c r="AT134" i="74"/>
  <c r="R64" i="76"/>
  <c r="AV147" i="74"/>
  <c r="P63" i="76"/>
  <c r="AV148" i="74"/>
  <c r="AW196" i="72"/>
  <c r="R66" i="76"/>
  <c r="O63" i="76"/>
  <c r="BQ193" i="70"/>
  <c r="AW135" i="74"/>
  <c r="O66" i="76"/>
  <c r="AW16" i="72"/>
  <c r="AU138" i="74"/>
  <c r="P67" i="76"/>
  <c r="AT132" i="74"/>
  <c r="AZ157" i="74"/>
  <c r="AZ160" i="74"/>
  <c r="AZ158" i="74"/>
  <c r="AZ159" i="74"/>
  <c r="R63" i="76"/>
  <c r="O67" i="76"/>
  <c r="O65" i="76"/>
  <c r="AW133" i="74"/>
  <c r="AV149" i="74"/>
  <c r="AX133" i="74"/>
  <c r="P65" i="76"/>
  <c r="BV64" i="71"/>
  <c r="AU136" i="74"/>
  <c r="Q65" i="76"/>
  <c r="R62" i="76"/>
  <c r="AU137" i="74"/>
  <c r="Q67" i="76"/>
  <c r="Q66" i="76"/>
  <c r="R67" i="76"/>
  <c r="AX136" i="74"/>
  <c r="AW134" i="74"/>
  <c r="P64" i="76"/>
  <c r="Q64" i="76"/>
  <c r="P66" i="76"/>
  <c r="AT135" i="74"/>
  <c r="O64" i="76"/>
  <c r="AT133" i="74"/>
  <c r="Q62" i="76"/>
  <c r="BQ58" i="70"/>
  <c r="AX134" i="74"/>
  <c r="BQ103" i="70"/>
  <c r="AX135" i="74"/>
  <c r="Q63" i="76"/>
  <c r="R65" i="76"/>
  <c r="BQ148" i="70"/>
  <c r="BY19" i="71" l="1"/>
  <c r="BY154" i="71"/>
  <c r="BY64" i="71"/>
  <c r="BQ124" i="71"/>
  <c r="AS169" i="72"/>
  <c r="AR215" i="72"/>
  <c r="AS215" i="72" s="1"/>
  <c r="Y216" i="72"/>
  <c r="AG36" i="74"/>
  <c r="Y171" i="72"/>
  <c r="AF36" i="74"/>
  <c r="AR170" i="72"/>
  <c r="AS112" i="72"/>
  <c r="AR35" i="72"/>
  <c r="AS35" i="72" s="1"/>
  <c r="Y36" i="72"/>
  <c r="AC36" i="74"/>
  <c r="Y82" i="72"/>
  <c r="AR81" i="72"/>
  <c r="AS81" i="72" s="1"/>
  <c r="AD37" i="74"/>
  <c r="AE40" i="74"/>
  <c r="Y130" i="72"/>
  <c r="AR129" i="72"/>
  <c r="BZ172" i="70"/>
  <c r="BZ171" i="70"/>
  <c r="G13" i="76"/>
  <c r="BP13" i="70"/>
  <c r="CC107" i="70"/>
  <c r="CB108" i="70"/>
  <c r="D72" i="70"/>
  <c r="C73" i="70"/>
  <c r="CD107" i="70"/>
  <c r="BV106" i="71"/>
  <c r="AU141" i="74"/>
  <c r="BT144" i="70"/>
  <c r="N68" i="76"/>
  <c r="AU139" i="74"/>
  <c r="N67" i="76"/>
  <c r="BT54" i="70"/>
  <c r="AV152" i="74"/>
  <c r="AW136" i="74"/>
  <c r="AV150" i="74"/>
  <c r="AV151" i="74"/>
  <c r="AW137" i="74"/>
  <c r="AX139" i="74"/>
  <c r="AT136" i="74"/>
  <c r="N66" i="76"/>
  <c r="AV153" i="74"/>
  <c r="AW102" i="72"/>
  <c r="BT189" i="70"/>
  <c r="AU142" i="74"/>
  <c r="AW138" i="74"/>
  <c r="AW139" i="74"/>
  <c r="AU140" i="74"/>
  <c r="BT99" i="70"/>
  <c r="AT137" i="74"/>
  <c r="N64" i="76"/>
  <c r="N65" i="76"/>
  <c r="AW151" i="72"/>
  <c r="AX138" i="74"/>
  <c r="AX137" i="74"/>
  <c r="N63" i="76"/>
  <c r="AT138" i="74"/>
  <c r="BQ13" i="70"/>
  <c r="BY106" i="71" l="1"/>
  <c r="BQ125" i="71"/>
  <c r="BQ126" i="71" s="1"/>
  <c r="AS170" i="72"/>
  <c r="AR36" i="72"/>
  <c r="AS36" i="72" s="1"/>
  <c r="AC37" i="74"/>
  <c r="Y37" i="72"/>
  <c r="AR216" i="72"/>
  <c r="AS216" i="72" s="1"/>
  <c r="Y217" i="72"/>
  <c r="AG37" i="74"/>
  <c r="AS113" i="72"/>
  <c r="AS114" i="72" s="1"/>
  <c r="Y172" i="72"/>
  <c r="AF37" i="74"/>
  <c r="AR171" i="72"/>
  <c r="AD38" i="74"/>
  <c r="Y83" i="72"/>
  <c r="AR82" i="72"/>
  <c r="AS82" i="72" s="1"/>
  <c r="AR130" i="72"/>
  <c r="Y131" i="72"/>
  <c r="AE41" i="74"/>
  <c r="BZ173" i="70"/>
  <c r="BZ174" i="70"/>
  <c r="D73" i="70"/>
  <c r="C74" i="70"/>
  <c r="CC108" i="70"/>
  <c r="CB109" i="70"/>
  <c r="CD108" i="70"/>
  <c r="AU144" i="74"/>
  <c r="AV156" i="74"/>
  <c r="AV155" i="74"/>
  <c r="AX142" i="74"/>
  <c r="AV154" i="74"/>
  <c r="AW142" i="74"/>
  <c r="AW62" i="72"/>
  <c r="AU143" i="74"/>
  <c r="AX140" i="74"/>
  <c r="AW140" i="74"/>
  <c r="AT142" i="74"/>
  <c r="AT141" i="74"/>
  <c r="AW141" i="74"/>
  <c r="BT9" i="70"/>
  <c r="AW197" i="72"/>
  <c r="AT140" i="74"/>
  <c r="AT139" i="74"/>
  <c r="AU145" i="74"/>
  <c r="AX141" i="74"/>
  <c r="AX143" i="74"/>
  <c r="BQ127" i="71" l="1"/>
  <c r="AS171" i="72"/>
  <c r="Y38" i="72"/>
  <c r="AC38" i="74"/>
  <c r="AR37" i="72"/>
  <c r="AS37" i="72" s="1"/>
  <c r="AS115" i="72"/>
  <c r="AG38" i="74"/>
  <c r="AR217" i="72"/>
  <c r="AS217" i="72" s="1"/>
  <c r="Y218" i="72"/>
  <c r="AR172" i="72"/>
  <c r="Y173" i="72"/>
  <c r="AF38" i="74"/>
  <c r="Y84" i="72"/>
  <c r="AD39" i="74"/>
  <c r="AR83" i="72"/>
  <c r="AS83" i="72" s="1"/>
  <c r="AE42" i="74"/>
  <c r="Y132" i="72"/>
  <c r="AR132" i="72" s="1"/>
  <c r="AR131" i="72"/>
  <c r="BZ176" i="70"/>
  <c r="BZ175" i="70"/>
  <c r="W194" i="70"/>
  <c r="W149" i="70"/>
  <c r="W59" i="70"/>
  <c r="CC109" i="70"/>
  <c r="CB110" i="70"/>
  <c r="D74" i="70"/>
  <c r="C75" i="70"/>
  <c r="CD109" i="70"/>
  <c r="BV107" i="71"/>
  <c r="AV158" i="74"/>
  <c r="AV157" i="74"/>
  <c r="AU148" i="74"/>
  <c r="AX146" i="74"/>
  <c r="AW103" i="72"/>
  <c r="AW145" i="74"/>
  <c r="AT144" i="74"/>
  <c r="AU147" i="74"/>
  <c r="AX144" i="74"/>
  <c r="AT143" i="74"/>
  <c r="AT145" i="74"/>
  <c r="AU149" i="74"/>
  <c r="AX145" i="74"/>
  <c r="AW143" i="74"/>
  <c r="AW146" i="74"/>
  <c r="AW17" i="72"/>
  <c r="AW144" i="74"/>
  <c r="AU146" i="74"/>
  <c r="BY107" i="71" l="1"/>
  <c r="BQ128" i="71"/>
  <c r="AS172" i="72"/>
  <c r="AR173" i="72"/>
  <c r="Y174" i="72"/>
  <c r="AF39" i="74"/>
  <c r="AG39" i="74"/>
  <c r="AR218" i="72"/>
  <c r="AS218" i="72" s="1"/>
  <c r="Y219" i="72"/>
  <c r="AS116" i="72"/>
  <c r="AS117" i="72" s="1"/>
  <c r="AC39" i="74"/>
  <c r="AR38" i="72"/>
  <c r="AS38" i="72" s="1"/>
  <c r="Y39" i="72"/>
  <c r="AD40" i="74"/>
  <c r="AR84" i="72"/>
  <c r="AS84" i="72" s="1"/>
  <c r="Y85" i="72"/>
  <c r="BZ178" i="70"/>
  <c r="BZ177" i="70"/>
  <c r="W14" i="70"/>
  <c r="W104" i="70"/>
  <c r="H14" i="76"/>
  <c r="BP59" i="70"/>
  <c r="BP149" i="70"/>
  <c r="J14" i="76"/>
  <c r="K14" i="76"/>
  <c r="BP194" i="70"/>
  <c r="CC110" i="70"/>
  <c r="CB111" i="70"/>
  <c r="D75" i="70"/>
  <c r="C76" i="70"/>
  <c r="CD110" i="70"/>
  <c r="AT146" i="74"/>
  <c r="AW149" i="74"/>
  <c r="Q70" i="76"/>
  <c r="R70" i="76"/>
  <c r="R68" i="76"/>
  <c r="R71" i="76"/>
  <c r="Q71" i="76"/>
  <c r="O69" i="76"/>
  <c r="AT147" i="74"/>
  <c r="O70" i="76"/>
  <c r="AU150" i="74"/>
  <c r="AT148" i="74"/>
  <c r="O68" i="76"/>
  <c r="O71" i="76"/>
  <c r="AW147" i="74"/>
  <c r="BQ59" i="70"/>
  <c r="AX150" i="74"/>
  <c r="AU151" i="74"/>
  <c r="AW152" i="72"/>
  <c r="AT149" i="74"/>
  <c r="AX148" i="74"/>
  <c r="AX147" i="74"/>
  <c r="AU152" i="74"/>
  <c r="Q69" i="76"/>
  <c r="AW148" i="74"/>
  <c r="Q68" i="76"/>
  <c r="AX149" i="74"/>
  <c r="R69" i="76"/>
  <c r="BQ194" i="70"/>
  <c r="BQ149" i="70"/>
  <c r="BQ129" i="71" l="1"/>
  <c r="AS173" i="72"/>
  <c r="Y40" i="72"/>
  <c r="AR39" i="72"/>
  <c r="AS39" i="72" s="1"/>
  <c r="AC40" i="74"/>
  <c r="AS118" i="72"/>
  <c r="AF40" i="74"/>
  <c r="AR174" i="72"/>
  <c r="Y175" i="72"/>
  <c r="AG40" i="74"/>
  <c r="Y220" i="72"/>
  <c r="AR219" i="72"/>
  <c r="AS219" i="72" s="1"/>
  <c r="Y86" i="72"/>
  <c r="AD41" i="74"/>
  <c r="AR85" i="72"/>
  <c r="AS85" i="72" s="1"/>
  <c r="BZ179" i="70"/>
  <c r="BZ180" i="70"/>
  <c r="BP104" i="70"/>
  <c r="I14" i="76"/>
  <c r="G14" i="76"/>
  <c r="BP14" i="70"/>
  <c r="CC111" i="70"/>
  <c r="CB112" i="70"/>
  <c r="D76" i="70"/>
  <c r="C77" i="70"/>
  <c r="CD111" i="70"/>
  <c r="P72" i="76"/>
  <c r="N72" i="76"/>
  <c r="AU156" i="74"/>
  <c r="P70" i="76"/>
  <c r="AX153" i="74"/>
  <c r="AT150" i="74"/>
  <c r="AW63" i="72"/>
  <c r="AW152" i="74"/>
  <c r="P69" i="76"/>
  <c r="P68" i="76"/>
  <c r="P71" i="76"/>
  <c r="AW151" i="74"/>
  <c r="N70" i="76"/>
  <c r="AX152" i="74"/>
  <c r="AT151" i="74"/>
  <c r="BQ104" i="70"/>
  <c r="AW104" i="72"/>
  <c r="AU155" i="74"/>
  <c r="AW198" i="72"/>
  <c r="AT152" i="74"/>
  <c r="BV108" i="71"/>
  <c r="AU154" i="74"/>
  <c r="N69" i="76"/>
  <c r="AW153" i="74"/>
  <c r="AU153" i="74"/>
  <c r="AX151" i="74"/>
  <c r="N71" i="76"/>
  <c r="AW150" i="74"/>
  <c r="BQ14" i="70"/>
  <c r="BY108" i="71" l="1"/>
  <c r="BQ130" i="71"/>
  <c r="BQ131" i="71" s="1"/>
  <c r="BQ132" i="71" s="1"/>
  <c r="AS174" i="72"/>
  <c r="AC41" i="74"/>
  <c r="Y41" i="72"/>
  <c r="AR40" i="72"/>
  <c r="AS40" i="72" s="1"/>
  <c r="AF41" i="74"/>
  <c r="AR175" i="72"/>
  <c r="Y176" i="72"/>
  <c r="AR220" i="72"/>
  <c r="AS220" i="72" s="1"/>
  <c r="AG41" i="74"/>
  <c r="Y221" i="72"/>
  <c r="AS119" i="72"/>
  <c r="AS120" i="72" s="1"/>
  <c r="AD42" i="74"/>
  <c r="AR86" i="72"/>
  <c r="AS86" i="72" s="1"/>
  <c r="Y87" i="72"/>
  <c r="AR87" i="72" s="1"/>
  <c r="BZ181" i="70"/>
  <c r="BZ182" i="70"/>
  <c r="W195" i="70"/>
  <c r="W150" i="70"/>
  <c r="D77" i="70"/>
  <c r="C78" i="70"/>
  <c r="CC112" i="70"/>
  <c r="CB113" i="70"/>
  <c r="CD112" i="70"/>
  <c r="BV109" i="71"/>
  <c r="AT154" i="74"/>
  <c r="AU157" i="74"/>
  <c r="AX154" i="74"/>
  <c r="AW153" i="72"/>
  <c r="AW18" i="72"/>
  <c r="AT155" i="74"/>
  <c r="AU160" i="74"/>
  <c r="AT153" i="74"/>
  <c r="AT156" i="74"/>
  <c r="AU158" i="74"/>
  <c r="AW154" i="74"/>
  <c r="AU159" i="74"/>
  <c r="AW155" i="74"/>
  <c r="BY109" i="71" l="1"/>
  <c r="AS175" i="72"/>
  <c r="Y42" i="72"/>
  <c r="AR42" i="72" s="1"/>
  <c r="AR41" i="72"/>
  <c r="AS41" i="72" s="1"/>
  <c r="AC42" i="74"/>
  <c r="Y222" i="72"/>
  <c r="AR222" i="72" s="1"/>
  <c r="AR221" i="72"/>
  <c r="AS221" i="72" s="1"/>
  <c r="AG42" i="74"/>
  <c r="AS121" i="72"/>
  <c r="AR176" i="72"/>
  <c r="Y177" i="72"/>
  <c r="AR177" i="72" s="1"/>
  <c r="AF42" i="74"/>
  <c r="AS87" i="72"/>
  <c r="BZ184" i="70"/>
  <c r="BZ183" i="70"/>
  <c r="W60" i="70"/>
  <c r="W105" i="70"/>
  <c r="W15" i="70"/>
  <c r="J15" i="76"/>
  <c r="BP150" i="70"/>
  <c r="K15" i="76"/>
  <c r="BP195" i="70"/>
  <c r="D78" i="70"/>
  <c r="C79" i="70"/>
  <c r="CC113" i="70"/>
  <c r="CB114" i="70"/>
  <c r="CD113" i="70"/>
  <c r="R72" i="76"/>
  <c r="AX155" i="74"/>
  <c r="AT159" i="74"/>
  <c r="R74" i="76"/>
  <c r="AT162" i="74"/>
  <c r="AT158" i="74"/>
  <c r="BQ195" i="70"/>
  <c r="Q72" i="76"/>
  <c r="AT160" i="74"/>
  <c r="AT161" i="74"/>
  <c r="AT157" i="74"/>
  <c r="Q74" i="76"/>
  <c r="AW105" i="72"/>
  <c r="AW156" i="74"/>
  <c r="Q73" i="76"/>
  <c r="AW64" i="72"/>
  <c r="R73" i="76"/>
  <c r="BQ150" i="70"/>
  <c r="AS176" i="72" l="1"/>
  <c r="AS177" i="72" s="1"/>
  <c r="AS222" i="72"/>
  <c r="AS122" i="72"/>
  <c r="AS123" i="72" s="1"/>
  <c r="AS42" i="72"/>
  <c r="BZ185" i="70"/>
  <c r="BZ186" i="70"/>
  <c r="BP60" i="70"/>
  <c r="H15" i="76"/>
  <c r="BP15" i="70"/>
  <c r="G15" i="76"/>
  <c r="BP105" i="70"/>
  <c r="I15" i="76"/>
  <c r="CC114" i="70"/>
  <c r="CB115" i="70"/>
  <c r="D79" i="70"/>
  <c r="C80" i="70"/>
  <c r="CD114" i="70"/>
  <c r="O75" i="76"/>
  <c r="BT145" i="70"/>
  <c r="BQ15" i="70"/>
  <c r="BQ105" i="70"/>
  <c r="N75" i="76"/>
  <c r="N73" i="76"/>
  <c r="P73" i="76"/>
  <c r="O73" i="76"/>
  <c r="AW154" i="72"/>
  <c r="AW19" i="72"/>
  <c r="BT190" i="70"/>
  <c r="N74" i="76"/>
  <c r="O74" i="76"/>
  <c r="P75" i="76"/>
  <c r="AW199" i="72"/>
  <c r="BQ60" i="70"/>
  <c r="P74" i="76"/>
  <c r="O72" i="76"/>
  <c r="AS124" i="72" l="1"/>
  <c r="BZ187" i="70"/>
  <c r="BZ188" i="70"/>
  <c r="W61" i="70"/>
  <c r="W151" i="70"/>
  <c r="W16" i="70"/>
  <c r="W106" i="70"/>
  <c r="W196" i="70"/>
  <c r="D80" i="70"/>
  <c r="C81" i="70"/>
  <c r="CC115" i="70"/>
  <c r="CB116" i="70"/>
  <c r="CD115" i="70"/>
  <c r="BT10" i="70"/>
  <c r="BT55" i="70"/>
  <c r="BT100" i="70"/>
  <c r="AW106" i="72"/>
  <c r="AS125" i="72" l="1"/>
  <c r="AS126" i="72" s="1"/>
  <c r="BZ190" i="70"/>
  <c r="BZ189" i="70"/>
  <c r="BP196" i="70"/>
  <c r="K16" i="76"/>
  <c r="BP106" i="70"/>
  <c r="I16" i="76"/>
  <c r="G16" i="76"/>
  <c r="BP16" i="70"/>
  <c r="BP151" i="70"/>
  <c r="J16" i="76"/>
  <c r="H16" i="76"/>
  <c r="BP61" i="70"/>
  <c r="CC116" i="70"/>
  <c r="CB117" i="70"/>
  <c r="D81" i="70"/>
  <c r="C82" i="70"/>
  <c r="CD116" i="70"/>
  <c r="BQ16" i="70"/>
  <c r="BQ196" i="70"/>
  <c r="P77" i="76"/>
  <c r="BQ61" i="70"/>
  <c r="P76" i="76"/>
  <c r="N77" i="76"/>
  <c r="N76" i="76"/>
  <c r="R75" i="76"/>
  <c r="Q76" i="76"/>
  <c r="R76" i="76"/>
  <c r="O76" i="76"/>
  <c r="Q75" i="76"/>
  <c r="BQ151" i="70"/>
  <c r="O77" i="76"/>
  <c r="BQ106" i="70"/>
  <c r="AS127" i="72" l="1"/>
  <c r="BZ191" i="70"/>
  <c r="BZ192" i="70"/>
  <c r="CC117" i="70"/>
  <c r="CB118" i="70"/>
  <c r="D82" i="70"/>
  <c r="C83" i="70"/>
  <c r="CD117" i="70"/>
  <c r="V152" i="70"/>
  <c r="V197" i="70"/>
  <c r="V17" i="70"/>
  <c r="AW107" i="72"/>
  <c r="V62" i="70"/>
  <c r="V107" i="70"/>
  <c r="AS128" i="72" l="1"/>
  <c r="BZ194" i="70"/>
  <c r="BZ193" i="70"/>
  <c r="W152" i="70"/>
  <c r="W107" i="70"/>
  <c r="W197" i="70"/>
  <c r="W17" i="70"/>
  <c r="W62" i="70"/>
  <c r="CC118" i="70"/>
  <c r="CB119" i="70"/>
  <c r="D83" i="70"/>
  <c r="C84" i="70"/>
  <c r="CD118" i="70"/>
  <c r="AS129" i="72" l="1"/>
  <c r="BZ196" i="70"/>
  <c r="BZ195" i="70"/>
  <c r="J17" i="76"/>
  <c r="BP152" i="70"/>
  <c r="BP62" i="70"/>
  <c r="H17" i="76"/>
  <c r="G17" i="76"/>
  <c r="BP17" i="70"/>
  <c r="K17" i="76"/>
  <c r="BP197" i="70"/>
  <c r="I17" i="76"/>
  <c r="BP107" i="70"/>
  <c r="CC119" i="70"/>
  <c r="CB120" i="70"/>
  <c r="D84" i="70"/>
  <c r="C85" i="70"/>
  <c r="CD119" i="70"/>
  <c r="O80" i="76"/>
  <c r="P79" i="76"/>
  <c r="N80" i="76"/>
  <c r="Q79" i="76"/>
  <c r="N78" i="76"/>
  <c r="N79" i="76"/>
  <c r="O78" i="76"/>
  <c r="Q80" i="76"/>
  <c r="BQ62" i="70"/>
  <c r="R80" i="76"/>
  <c r="V63" i="70"/>
  <c r="AW108" i="72"/>
  <c r="BQ197" i="70"/>
  <c r="R78" i="76"/>
  <c r="V153" i="70"/>
  <c r="P78" i="76"/>
  <c r="P80" i="76"/>
  <c r="R79" i="76"/>
  <c r="BQ152" i="70"/>
  <c r="O79" i="76"/>
  <c r="BQ17" i="70"/>
  <c r="R77" i="76"/>
  <c r="BQ107" i="70"/>
  <c r="Q77" i="76"/>
  <c r="V198" i="70"/>
  <c r="Q78" i="76"/>
  <c r="AS130" i="72" l="1"/>
  <c r="AS131" i="72" s="1"/>
  <c r="AS132" i="72" s="1"/>
  <c r="BZ197" i="70"/>
  <c r="BZ198" i="70"/>
  <c r="W153" i="70"/>
  <c r="W198" i="70"/>
  <c r="W63" i="70"/>
  <c r="D85" i="70"/>
  <c r="C86" i="70"/>
  <c r="CC120" i="70"/>
  <c r="CB121" i="70"/>
  <c r="CD120" i="70"/>
  <c r="V18" i="70"/>
  <c r="V108" i="70"/>
  <c r="AW109" i="72"/>
  <c r="BZ200" i="70" l="1"/>
  <c r="BZ199" i="70"/>
  <c r="W18" i="70"/>
  <c r="W108" i="70"/>
  <c r="BP198" i="70"/>
  <c r="K18" i="76"/>
  <c r="H18" i="76"/>
  <c r="BP63" i="70"/>
  <c r="J18" i="76"/>
  <c r="BP153" i="70"/>
  <c r="D86" i="70"/>
  <c r="C87" i="70"/>
  <c r="CC121" i="70"/>
  <c r="CB122" i="70"/>
  <c r="CD121" i="70"/>
  <c r="Q82" i="76"/>
  <c r="R81" i="76"/>
  <c r="R82" i="76"/>
  <c r="Q81" i="76"/>
  <c r="V154" i="70"/>
  <c r="BQ63" i="70"/>
  <c r="V199" i="70"/>
  <c r="O81" i="76"/>
  <c r="BQ153" i="70"/>
  <c r="BQ198" i="70"/>
  <c r="O82" i="76"/>
  <c r="BZ202" i="70" l="1"/>
  <c r="BZ201" i="70"/>
  <c r="W199" i="70"/>
  <c r="W154" i="70"/>
  <c r="G18" i="76"/>
  <c r="BP18" i="70"/>
  <c r="I18" i="76"/>
  <c r="BP108" i="70"/>
  <c r="CC122" i="70"/>
  <c r="CB123" i="70"/>
  <c r="D87" i="70"/>
  <c r="C88" i="70"/>
  <c r="CD122" i="70"/>
  <c r="V109" i="70"/>
  <c r="N81" i="76"/>
  <c r="N82" i="76"/>
  <c r="V19" i="70"/>
  <c r="P81" i="76"/>
  <c r="P82" i="76"/>
  <c r="N83" i="76"/>
  <c r="P83" i="76"/>
  <c r="V64" i="70"/>
  <c r="BQ18" i="70"/>
  <c r="BQ108" i="70"/>
  <c r="BZ203" i="70" l="1"/>
  <c r="BZ204" i="70"/>
  <c r="W64" i="70"/>
  <c r="W19" i="70"/>
  <c r="W109" i="70"/>
  <c r="J19" i="76"/>
  <c r="BP154" i="70"/>
  <c r="BP199" i="70"/>
  <c r="K19" i="76"/>
  <c r="CC123" i="70"/>
  <c r="CB124" i="70"/>
  <c r="D88" i="70"/>
  <c r="C89" i="70"/>
  <c r="CD123" i="70"/>
  <c r="R83" i="76"/>
  <c r="BT101" i="70"/>
  <c r="V200" i="70"/>
  <c r="V65" i="70"/>
  <c r="Q83" i="76"/>
  <c r="R84" i="76"/>
  <c r="Q84" i="76"/>
  <c r="BT11" i="70"/>
  <c r="V155" i="70"/>
  <c r="BQ154" i="70"/>
  <c r="BQ199" i="70"/>
  <c r="W65" i="70" l="1"/>
  <c r="W200" i="70"/>
  <c r="W155" i="70"/>
  <c r="BZ206" i="70"/>
  <c r="BZ205" i="70"/>
  <c r="BP109" i="70"/>
  <c r="I19" i="76"/>
  <c r="G19" i="76"/>
  <c r="BP19" i="70"/>
  <c r="BP64" i="70"/>
  <c r="H19" i="76"/>
  <c r="D89" i="70"/>
  <c r="C90" i="70"/>
  <c r="CC124" i="70"/>
  <c r="CB125" i="70"/>
  <c r="CD124" i="70"/>
  <c r="O83" i="76"/>
  <c r="V20" i="70"/>
  <c r="BT191" i="70"/>
  <c r="BQ19" i="70"/>
  <c r="BT146" i="70"/>
  <c r="P84" i="76"/>
  <c r="N84" i="76"/>
  <c r="N85" i="76"/>
  <c r="P85" i="76"/>
  <c r="V110" i="70"/>
  <c r="O84" i="76"/>
  <c r="BQ64" i="70"/>
  <c r="BQ109" i="70"/>
  <c r="W20" i="70" l="1"/>
  <c r="W110" i="70"/>
  <c r="BP155" i="70"/>
  <c r="J20" i="76"/>
  <c r="BP200" i="70"/>
  <c r="K20" i="76"/>
  <c r="BP65" i="70"/>
  <c r="H20" i="76"/>
  <c r="BZ208" i="70"/>
  <c r="BZ207" i="70"/>
  <c r="CC125" i="70"/>
  <c r="CB126" i="70"/>
  <c r="D90" i="70"/>
  <c r="C91" i="70"/>
  <c r="CD125" i="70"/>
  <c r="BT56" i="70"/>
  <c r="BQ155" i="70"/>
  <c r="Q85" i="76"/>
  <c r="BQ200" i="70"/>
  <c r="O86" i="76"/>
  <c r="O85" i="76"/>
  <c r="Q86" i="76"/>
  <c r="R86" i="76"/>
  <c r="R85" i="76"/>
  <c r="BQ65" i="70"/>
  <c r="I20" i="76" l="1"/>
  <c r="BP110" i="70"/>
  <c r="G20" i="76"/>
  <c r="BP20" i="70"/>
  <c r="BZ209" i="70"/>
  <c r="BZ210" i="70"/>
  <c r="D91" i="70"/>
  <c r="C92" i="70"/>
  <c r="CC126" i="70"/>
  <c r="CB127" i="70"/>
  <c r="CD126" i="70"/>
  <c r="V21" i="70"/>
  <c r="V201" i="70"/>
  <c r="BQ110" i="70"/>
  <c r="P86" i="76"/>
  <c r="V156" i="70"/>
  <c r="V66" i="70"/>
  <c r="P87" i="76"/>
  <c r="N86" i="76"/>
  <c r="V111" i="70"/>
  <c r="N87" i="76"/>
  <c r="BQ20" i="70"/>
  <c r="W201" i="70" l="1"/>
  <c r="W111" i="70"/>
  <c r="W156" i="70"/>
  <c r="W66" i="70"/>
  <c r="W21" i="70"/>
  <c r="BZ211" i="70"/>
  <c r="BZ212" i="70"/>
  <c r="CC127" i="70"/>
  <c r="CB128" i="70"/>
  <c r="D92" i="70"/>
  <c r="C93" i="70"/>
  <c r="CD127" i="70"/>
  <c r="G21" i="76" l="1"/>
  <c r="BP21" i="70"/>
  <c r="BP156" i="70"/>
  <c r="J21" i="76"/>
  <c r="H21" i="76"/>
  <c r="BP66" i="70"/>
  <c r="BP111" i="70"/>
  <c r="I21" i="76"/>
  <c r="K21" i="76"/>
  <c r="BP201" i="70"/>
  <c r="BZ214" i="70"/>
  <c r="BZ213" i="70"/>
  <c r="D93" i="70"/>
  <c r="C94" i="70"/>
  <c r="CC128" i="70"/>
  <c r="CB129" i="70"/>
  <c r="CD128" i="70"/>
  <c r="N89" i="76"/>
  <c r="BQ201" i="70"/>
  <c r="R88" i="76"/>
  <c r="N88" i="76"/>
  <c r="O88" i="76"/>
  <c r="O89" i="76"/>
  <c r="P88" i="76"/>
  <c r="R87" i="76"/>
  <c r="Q87" i="76"/>
  <c r="O87" i="76"/>
  <c r="P89" i="76"/>
  <c r="BQ156" i="70"/>
  <c r="BQ21" i="70"/>
  <c r="Q88" i="76"/>
  <c r="BQ111" i="70"/>
  <c r="BQ66" i="70"/>
  <c r="BZ215" i="70" l="1"/>
  <c r="BZ216" i="70"/>
  <c r="CC129" i="70"/>
  <c r="CB130" i="70"/>
  <c r="D94" i="70"/>
  <c r="C95" i="70"/>
  <c r="CD129" i="70"/>
  <c r="BZ218" i="70" l="1"/>
  <c r="BZ217" i="70"/>
  <c r="CC130" i="70"/>
  <c r="CB131" i="70"/>
  <c r="D95" i="70"/>
  <c r="C96" i="70"/>
  <c r="CD130" i="70"/>
  <c r="V112" i="70"/>
  <c r="V202" i="70"/>
  <c r="V67" i="70"/>
  <c r="V22" i="70"/>
  <c r="V157" i="70"/>
  <c r="W157" i="70" l="1"/>
  <c r="W22" i="70"/>
  <c r="W67" i="70"/>
  <c r="W202" i="70"/>
  <c r="W112" i="70"/>
  <c r="BZ220" i="70"/>
  <c r="BZ219" i="70"/>
  <c r="D96" i="70"/>
  <c r="C97" i="70"/>
  <c r="CC131" i="70"/>
  <c r="CB132" i="70"/>
  <c r="CD131" i="70"/>
  <c r="J22" i="76" l="1"/>
  <c r="BP157" i="70"/>
  <c r="K22" i="76"/>
  <c r="BP202" i="70"/>
  <c r="I22" i="76"/>
  <c r="BP112" i="70"/>
  <c r="BP67" i="70"/>
  <c r="H22" i="76"/>
  <c r="BP22" i="70"/>
  <c r="G22" i="76"/>
  <c r="BZ221" i="70"/>
  <c r="BZ222" i="70"/>
  <c r="D97" i="70"/>
  <c r="C98" i="70"/>
  <c r="CC132" i="70"/>
  <c r="CB133" i="70"/>
  <c r="CD132" i="70"/>
  <c r="Q89" i="76"/>
  <c r="N92" i="76"/>
  <c r="R89" i="76"/>
  <c r="N90" i="76"/>
  <c r="N91" i="76"/>
  <c r="P92" i="76"/>
  <c r="BQ157" i="70"/>
  <c r="BQ67" i="70"/>
  <c r="N93" i="76"/>
  <c r="O91" i="76"/>
  <c r="O90" i="76"/>
  <c r="BQ202" i="70"/>
  <c r="Q91" i="76"/>
  <c r="Q90" i="76"/>
  <c r="BQ112" i="70"/>
  <c r="P90" i="76"/>
  <c r="O92" i="76"/>
  <c r="P91" i="76"/>
  <c r="BQ22" i="70"/>
  <c r="BZ224" i="70" l="1"/>
  <c r="BZ223" i="70"/>
  <c r="D98" i="70"/>
  <c r="C99" i="70"/>
  <c r="CC133" i="70"/>
  <c r="CB134" i="70"/>
  <c r="CD133" i="70"/>
  <c r="V113" i="70"/>
  <c r="V203" i="70"/>
  <c r="V158" i="70"/>
  <c r="V23" i="70"/>
  <c r="V68" i="70"/>
  <c r="W113" i="70" l="1"/>
  <c r="W23" i="70"/>
  <c r="W203" i="70"/>
  <c r="W158" i="70"/>
  <c r="W68" i="70"/>
  <c r="BZ226" i="70"/>
  <c r="BZ225" i="70"/>
  <c r="D99" i="70"/>
  <c r="C100" i="70"/>
  <c r="CC134" i="70"/>
  <c r="CB135" i="70"/>
  <c r="CD134" i="70"/>
  <c r="H23" i="76" l="1"/>
  <c r="BP68" i="70"/>
  <c r="BP158" i="70"/>
  <c r="J23" i="76"/>
  <c r="BP23" i="70"/>
  <c r="G23" i="76"/>
  <c r="BP203" i="70"/>
  <c r="K23" i="76"/>
  <c r="BP113" i="70"/>
  <c r="I23" i="76"/>
  <c r="BZ227" i="70"/>
  <c r="BZ228" i="70"/>
  <c r="CC135" i="70"/>
  <c r="CB136" i="70"/>
  <c r="D100" i="70"/>
  <c r="C101" i="70"/>
  <c r="CD135" i="70"/>
  <c r="O93" i="76"/>
  <c r="P93" i="76"/>
  <c r="BQ68" i="70"/>
  <c r="N94" i="76"/>
  <c r="N96" i="76"/>
  <c r="BQ158" i="70"/>
  <c r="N95" i="76"/>
  <c r="R90" i="76"/>
  <c r="O94" i="76"/>
  <c r="BQ23" i="70"/>
  <c r="BQ113" i="70"/>
  <c r="BQ203" i="70"/>
  <c r="BZ230" i="70" l="1"/>
  <c r="BZ229" i="70"/>
  <c r="D101" i="70"/>
  <c r="C102" i="70"/>
  <c r="CC136" i="70"/>
  <c r="CB137" i="70"/>
  <c r="CD136" i="70"/>
  <c r="V69" i="70"/>
  <c r="V24" i="70"/>
  <c r="W24" i="70" l="1"/>
  <c r="W69" i="70"/>
  <c r="BZ232" i="70"/>
  <c r="BZ231" i="70"/>
  <c r="D102" i="70"/>
  <c r="C103" i="70"/>
  <c r="CC137" i="70"/>
  <c r="CB138" i="70"/>
  <c r="CD137" i="70"/>
  <c r="V159" i="70"/>
  <c r="V114" i="70"/>
  <c r="V204" i="70"/>
  <c r="W159" i="70" l="1"/>
  <c r="W204" i="70"/>
  <c r="W114" i="70"/>
  <c r="BP69" i="70"/>
  <c r="H24" i="76"/>
  <c r="G24" i="76"/>
  <c r="BP24" i="70"/>
  <c r="BZ233" i="70"/>
  <c r="BZ234" i="70"/>
  <c r="C104" i="70"/>
  <c r="D104" i="70" s="1"/>
  <c r="D103" i="70"/>
  <c r="CC138" i="70"/>
  <c r="CB139" i="70"/>
  <c r="CD138" i="70"/>
  <c r="O96" i="76"/>
  <c r="N99" i="76"/>
  <c r="N97" i="76"/>
  <c r="BQ69" i="70"/>
  <c r="O97" i="76"/>
  <c r="O95" i="76"/>
  <c r="N98" i="76"/>
  <c r="BQ24" i="70"/>
  <c r="BP114" i="70" l="1"/>
  <c r="I24" i="76"/>
  <c r="BP204" i="70"/>
  <c r="K24" i="76"/>
  <c r="BP159" i="70"/>
  <c r="J24" i="76"/>
  <c r="BZ236" i="70"/>
  <c r="BZ235" i="70"/>
  <c r="C105" i="70"/>
  <c r="CC139" i="70"/>
  <c r="CB140" i="70"/>
  <c r="CD139" i="70"/>
  <c r="Q92" i="76"/>
  <c r="P94" i="76"/>
  <c r="BQ204" i="70"/>
  <c r="BQ159" i="70"/>
  <c r="BQ114" i="70"/>
  <c r="BZ238" i="70" l="1"/>
  <c r="BZ237" i="70"/>
  <c r="C106" i="70"/>
  <c r="D105" i="70"/>
  <c r="CC140" i="70"/>
  <c r="CB141" i="70"/>
  <c r="CD140" i="70"/>
  <c r="V160" i="70"/>
  <c r="V25" i="70"/>
  <c r="V70" i="70"/>
  <c r="V205" i="70"/>
  <c r="V115" i="70"/>
  <c r="W160" i="70" l="1"/>
  <c r="W70" i="70"/>
  <c r="W25" i="70"/>
  <c r="W115" i="70"/>
  <c r="W205" i="70"/>
  <c r="BZ239" i="70"/>
  <c r="BZ240" i="70"/>
  <c r="C107" i="70"/>
  <c r="D106" i="70"/>
  <c r="BT57" i="70"/>
  <c r="BT102" i="70"/>
  <c r="BP205" i="70" l="1"/>
  <c r="K25" i="76"/>
  <c r="BP115" i="70"/>
  <c r="I25" i="76"/>
  <c r="G25" i="76"/>
  <c r="BP25" i="70"/>
  <c r="BP70" i="70"/>
  <c r="H25" i="76"/>
  <c r="BP160" i="70"/>
  <c r="J25" i="76"/>
  <c r="BZ241" i="70"/>
  <c r="BZ242" i="70"/>
  <c r="C108" i="70"/>
  <c r="D107" i="70"/>
  <c r="CC141" i="70"/>
  <c r="CB142" i="70"/>
  <c r="CD141" i="70"/>
  <c r="Q93" i="76"/>
  <c r="N101" i="76"/>
  <c r="BQ205" i="70"/>
  <c r="BT12" i="70"/>
  <c r="BQ115" i="70"/>
  <c r="O99" i="76"/>
  <c r="R91" i="76"/>
  <c r="O100" i="76"/>
  <c r="P97" i="76"/>
  <c r="P95" i="76"/>
  <c r="Q94" i="76"/>
  <c r="BQ25" i="70"/>
  <c r="O101" i="76"/>
  <c r="P98" i="76"/>
  <c r="P96" i="76"/>
  <c r="BQ160" i="70"/>
  <c r="N100" i="76"/>
  <c r="N102" i="76"/>
  <c r="O98" i="76"/>
  <c r="N103" i="76"/>
  <c r="BQ70" i="70"/>
  <c r="BZ244" i="70" l="1"/>
  <c r="BZ243" i="70"/>
  <c r="C109" i="70"/>
  <c r="D108" i="70"/>
  <c r="CC142" i="70"/>
  <c r="CB143" i="70"/>
  <c r="CD142" i="70"/>
  <c r="BT147" i="70"/>
  <c r="BT13" i="70"/>
  <c r="BZ245" i="70" l="1"/>
  <c r="BZ246" i="70"/>
  <c r="C110" i="70"/>
  <c r="D109" i="70"/>
  <c r="CC143" i="70"/>
  <c r="CB144" i="70"/>
  <c r="CD143" i="70"/>
  <c r="V206" i="70"/>
  <c r="V161" i="70"/>
  <c r="V116" i="70"/>
  <c r="V26" i="70"/>
  <c r="V71" i="70"/>
  <c r="W71" i="70" l="1"/>
  <c r="W161" i="70"/>
  <c r="W26" i="70"/>
  <c r="W116" i="70"/>
  <c r="W206" i="70"/>
  <c r="BZ247" i="70"/>
  <c r="BZ248" i="70"/>
  <c r="C111" i="70"/>
  <c r="D110" i="70"/>
  <c r="CC144" i="70"/>
  <c r="CB145" i="70"/>
  <c r="CD144" i="70"/>
  <c r="K26" i="76" l="1"/>
  <c r="BP206" i="70"/>
  <c r="BP116" i="70"/>
  <c r="I26" i="76"/>
  <c r="BP26" i="70"/>
  <c r="G26" i="76"/>
  <c r="BP161" i="70"/>
  <c r="J26" i="76"/>
  <c r="H26" i="76"/>
  <c r="BP71" i="70"/>
  <c r="BZ250" i="70"/>
  <c r="BZ249" i="70"/>
  <c r="C112" i="70"/>
  <c r="D111" i="70"/>
  <c r="CC145" i="70"/>
  <c r="CB146" i="70"/>
  <c r="CD145" i="70"/>
  <c r="O102" i="76"/>
  <c r="Q97" i="76"/>
  <c r="N106" i="76"/>
  <c r="R92" i="76"/>
  <c r="P99" i="76"/>
  <c r="P100" i="76"/>
  <c r="O103" i="76"/>
  <c r="P101" i="76"/>
  <c r="N105" i="76"/>
  <c r="BQ71" i="70"/>
  <c r="Q96" i="76"/>
  <c r="Q95" i="76"/>
  <c r="BQ206" i="70"/>
  <c r="N107" i="76"/>
  <c r="N104" i="76"/>
  <c r="BQ161" i="70"/>
  <c r="O104" i="76"/>
  <c r="BQ116" i="70"/>
  <c r="BQ26" i="70"/>
  <c r="BZ251" i="70" l="1"/>
  <c r="BZ252" i="70"/>
  <c r="C113" i="70"/>
  <c r="D112" i="70"/>
  <c r="CC146" i="70"/>
  <c r="CB147" i="70"/>
  <c r="CD146" i="70"/>
  <c r="V162" i="70"/>
  <c r="V27" i="70"/>
  <c r="V72" i="70"/>
  <c r="BT58" i="70"/>
  <c r="V117" i="70"/>
  <c r="W27" i="70" l="1"/>
  <c r="W117" i="70"/>
  <c r="W72" i="70"/>
  <c r="W162" i="70"/>
  <c r="BZ254" i="70"/>
  <c r="BZ253" i="70"/>
  <c r="C114" i="70"/>
  <c r="D113" i="70"/>
  <c r="CC147" i="70"/>
  <c r="CB148" i="70"/>
  <c r="CD147" i="70"/>
  <c r="V207" i="70"/>
  <c r="W207" i="70" l="1"/>
  <c r="J27" i="76"/>
  <c r="BP162" i="70"/>
  <c r="H27" i="76"/>
  <c r="BP72" i="70"/>
  <c r="BP117" i="70"/>
  <c r="I27" i="76"/>
  <c r="G27" i="76"/>
  <c r="BP27" i="70"/>
  <c r="BZ256" i="70"/>
  <c r="BZ255" i="70"/>
  <c r="C115" i="70"/>
  <c r="D114" i="70"/>
  <c r="CC148" i="70"/>
  <c r="CB149" i="70"/>
  <c r="CD148" i="70"/>
  <c r="N110" i="76"/>
  <c r="O105" i="76"/>
  <c r="P105" i="76"/>
  <c r="Q100" i="76"/>
  <c r="BQ162" i="70"/>
  <c r="BQ27" i="70"/>
  <c r="P103" i="76"/>
  <c r="BQ72" i="70"/>
  <c r="O106" i="76"/>
  <c r="N109" i="76"/>
  <c r="Q99" i="76"/>
  <c r="P102" i="76"/>
  <c r="BQ117" i="70"/>
  <c r="N108" i="76"/>
  <c r="O107" i="76"/>
  <c r="O108" i="76"/>
  <c r="Q98" i="76"/>
  <c r="P104" i="76"/>
  <c r="BP207" i="70" l="1"/>
  <c r="K27" i="76"/>
  <c r="BZ257" i="70"/>
  <c r="BZ258" i="70"/>
  <c r="C116" i="70"/>
  <c r="D115" i="70"/>
  <c r="CC149" i="70"/>
  <c r="CB150" i="70"/>
  <c r="CD149" i="70"/>
  <c r="R93" i="76"/>
  <c r="BQ207" i="70"/>
  <c r="BT103" i="70"/>
  <c r="BZ260" i="70" l="1"/>
  <c r="BZ259" i="70"/>
  <c r="C117" i="70"/>
  <c r="D116" i="70"/>
  <c r="CC150" i="70"/>
  <c r="CB151" i="70"/>
  <c r="CD150" i="70"/>
  <c r="V208" i="70"/>
  <c r="BT192" i="70"/>
  <c r="V163" i="70"/>
  <c r="V118" i="70"/>
  <c r="V28" i="70"/>
  <c r="V73" i="70"/>
  <c r="W28" i="70" l="1"/>
  <c r="W118" i="70"/>
  <c r="W208" i="70"/>
  <c r="W73" i="70"/>
  <c r="W163" i="70"/>
  <c r="BZ262" i="70"/>
  <c r="BZ261" i="70"/>
  <c r="C118" i="70"/>
  <c r="D117" i="70"/>
  <c r="CC151" i="70"/>
  <c r="CB152" i="70"/>
  <c r="CD151" i="70"/>
  <c r="BP163" i="70" l="1"/>
  <c r="J28" i="76"/>
  <c r="BP208" i="70"/>
  <c r="K28" i="76"/>
  <c r="H28" i="76"/>
  <c r="BP73" i="70"/>
  <c r="I28" i="76"/>
  <c r="BP118" i="70"/>
  <c r="G28" i="76"/>
  <c r="BP28" i="70"/>
  <c r="BZ263" i="70"/>
  <c r="BZ264" i="70"/>
  <c r="C119" i="70"/>
  <c r="D118" i="70"/>
  <c r="CC152" i="70"/>
  <c r="CB153" i="70"/>
  <c r="CD152" i="70"/>
  <c r="BQ163" i="70"/>
  <c r="N111" i="76"/>
  <c r="Q102" i="76"/>
  <c r="O109" i="76"/>
  <c r="Q101" i="76"/>
  <c r="Q103" i="76"/>
  <c r="BQ28" i="70"/>
  <c r="P106" i="76"/>
  <c r="P108" i="76"/>
  <c r="N114" i="76"/>
  <c r="O110" i="76"/>
  <c r="P107" i="76"/>
  <c r="N112" i="76"/>
  <c r="BQ208" i="70"/>
  <c r="O111" i="76"/>
  <c r="R94" i="76"/>
  <c r="N113" i="76"/>
  <c r="R95" i="76"/>
  <c r="BQ73" i="70"/>
  <c r="BQ118" i="70"/>
  <c r="BZ266" i="70" l="1"/>
  <c r="BZ265" i="70"/>
  <c r="C120" i="70"/>
  <c r="D119" i="70"/>
  <c r="CC153" i="70"/>
  <c r="CB154" i="70"/>
  <c r="CD153" i="70"/>
  <c r="V119" i="70"/>
  <c r="V74" i="70"/>
  <c r="V164" i="70"/>
  <c r="BT14" i="70"/>
  <c r="BT148" i="70"/>
  <c r="V29" i="70"/>
  <c r="W29" i="70" l="1"/>
  <c r="W119" i="70"/>
  <c r="W74" i="70"/>
  <c r="W164" i="70"/>
  <c r="BZ268" i="70"/>
  <c r="BZ267" i="70"/>
  <c r="C121" i="70"/>
  <c r="D120" i="70"/>
  <c r="CC154" i="70"/>
  <c r="CB155" i="70"/>
  <c r="CD154" i="70"/>
  <c r="V209" i="70"/>
  <c r="W209" i="70" l="1"/>
  <c r="BP164" i="70"/>
  <c r="J29" i="76"/>
  <c r="H29" i="76"/>
  <c r="BP74" i="70"/>
  <c r="I29" i="76"/>
  <c r="BP119" i="70"/>
  <c r="G29" i="76"/>
  <c r="BP29" i="70"/>
  <c r="BZ269" i="70"/>
  <c r="BZ270" i="70"/>
  <c r="C122" i="70"/>
  <c r="D121" i="70"/>
  <c r="CC155" i="70"/>
  <c r="CB156" i="70"/>
  <c r="CD155" i="70"/>
  <c r="N116" i="76"/>
  <c r="O114" i="76"/>
  <c r="P112" i="76"/>
  <c r="Q107" i="76"/>
  <c r="N117" i="76"/>
  <c r="O116" i="76"/>
  <c r="P109" i="76"/>
  <c r="Q105" i="76"/>
  <c r="BQ164" i="70"/>
  <c r="N115" i="76"/>
  <c r="O115" i="76"/>
  <c r="P110" i="76"/>
  <c r="O113" i="76"/>
  <c r="BQ29" i="70"/>
  <c r="BQ74" i="70"/>
  <c r="Q104" i="76"/>
  <c r="O117" i="76"/>
  <c r="O112" i="76"/>
  <c r="Q106" i="76"/>
  <c r="P111" i="76"/>
  <c r="BQ119" i="70"/>
  <c r="BP209" i="70" l="1"/>
  <c r="K29" i="76"/>
  <c r="BZ271" i="70"/>
  <c r="BZ272" i="70"/>
  <c r="C123" i="70"/>
  <c r="D122" i="70"/>
  <c r="CC156" i="70"/>
  <c r="CB157" i="70"/>
  <c r="CD156" i="70"/>
  <c r="BT59" i="70"/>
  <c r="R96" i="76"/>
  <c r="R98" i="76"/>
  <c r="BQ209" i="70"/>
  <c r="R97" i="76"/>
  <c r="BZ274" i="70" l="1"/>
  <c r="BZ273" i="70"/>
  <c r="C124" i="70"/>
  <c r="D123" i="70"/>
  <c r="CC157" i="70"/>
  <c r="CB158" i="70"/>
  <c r="CD157" i="70"/>
  <c r="V75" i="70"/>
  <c r="V210" i="70"/>
  <c r="V165" i="70"/>
  <c r="V120" i="70"/>
  <c r="V30" i="70"/>
  <c r="W75" i="70" l="1"/>
  <c r="W165" i="70"/>
  <c r="W30" i="70"/>
  <c r="W120" i="70"/>
  <c r="W210" i="70"/>
  <c r="BZ275" i="70"/>
  <c r="BZ276" i="70"/>
  <c r="C125" i="70"/>
  <c r="D124" i="70"/>
  <c r="CC158" i="70"/>
  <c r="CB159" i="70"/>
  <c r="CD158" i="70"/>
  <c r="H30" i="76" l="1"/>
  <c r="BP75" i="70"/>
  <c r="BP210" i="70"/>
  <c r="K30" i="76"/>
  <c r="BP120" i="70"/>
  <c r="I30" i="76"/>
  <c r="G30" i="76"/>
  <c r="BP30" i="70"/>
  <c r="J30" i="76"/>
  <c r="BP165" i="70"/>
  <c r="BZ277" i="70"/>
  <c r="BZ278" i="70"/>
  <c r="C126" i="70"/>
  <c r="D125" i="70"/>
  <c r="CC159" i="70"/>
  <c r="CB160" i="70"/>
  <c r="CD159" i="70"/>
  <c r="N119" i="76"/>
  <c r="Q111" i="76"/>
  <c r="P119" i="76"/>
  <c r="P116" i="76"/>
  <c r="R99" i="76"/>
  <c r="P120" i="76"/>
  <c r="O121" i="76"/>
  <c r="R102" i="76"/>
  <c r="N120" i="76"/>
  <c r="P117" i="76"/>
  <c r="N121" i="76"/>
  <c r="P114" i="76"/>
  <c r="BQ210" i="70"/>
  <c r="P115" i="76"/>
  <c r="N118" i="76"/>
  <c r="Q110" i="76"/>
  <c r="P118" i="76"/>
  <c r="P113" i="76"/>
  <c r="BQ75" i="70"/>
  <c r="R101" i="76"/>
  <c r="R100" i="76"/>
  <c r="O119" i="76"/>
  <c r="O120" i="76"/>
  <c r="BQ120" i="70"/>
  <c r="Q109" i="76"/>
  <c r="P121" i="76"/>
  <c r="O118" i="76"/>
  <c r="BQ165" i="70"/>
  <c r="Q108" i="76"/>
  <c r="BQ30" i="70"/>
  <c r="BZ280" i="70" l="1"/>
  <c r="BZ279" i="70"/>
  <c r="C127" i="70"/>
  <c r="D126" i="70"/>
  <c r="CC160" i="70"/>
  <c r="CB161" i="70"/>
  <c r="CD160" i="70"/>
  <c r="V76" i="70"/>
  <c r="V31" i="70"/>
  <c r="V121" i="70"/>
  <c r="BT104" i="70"/>
  <c r="W76" i="70" l="1"/>
  <c r="W31" i="70"/>
  <c r="W121" i="70"/>
  <c r="BZ281" i="70"/>
  <c r="BZ282" i="70"/>
  <c r="C128" i="70"/>
  <c r="D127" i="70"/>
  <c r="CC161" i="70"/>
  <c r="CB162" i="70"/>
  <c r="CD161" i="70"/>
  <c r="V166" i="70"/>
  <c r="V211" i="70"/>
  <c r="W166" i="70" l="1"/>
  <c r="W211" i="70"/>
  <c r="BP121" i="70"/>
  <c r="I31" i="76"/>
  <c r="G31" i="76"/>
  <c r="BP31" i="70"/>
  <c r="H31" i="76"/>
  <c r="BP76" i="70"/>
  <c r="BZ283" i="70"/>
  <c r="BZ284" i="70"/>
  <c r="C129" i="70"/>
  <c r="D128" i="70"/>
  <c r="CC162" i="70"/>
  <c r="CB163" i="70"/>
  <c r="CD162" i="70"/>
  <c r="O124" i="76"/>
  <c r="BQ121" i="70"/>
  <c r="N123" i="76"/>
  <c r="P124" i="76"/>
  <c r="N122" i="76"/>
  <c r="O123" i="76"/>
  <c r="P123" i="76"/>
  <c r="P122" i="76"/>
  <c r="O122" i="76"/>
  <c r="N124" i="76"/>
  <c r="BQ31" i="70"/>
  <c r="BQ76" i="70"/>
  <c r="BP166" i="70" l="1"/>
  <c r="J31" i="76"/>
  <c r="BP211" i="70"/>
  <c r="K31" i="76"/>
  <c r="BZ286" i="70"/>
  <c r="BZ285" i="70"/>
  <c r="C130" i="70"/>
  <c r="D129" i="70"/>
  <c r="CC163" i="70"/>
  <c r="CB164" i="70"/>
  <c r="CD163" i="70"/>
  <c r="R103" i="76"/>
  <c r="Q118" i="76"/>
  <c r="R109" i="76"/>
  <c r="Q124" i="76"/>
  <c r="R113" i="76"/>
  <c r="BT60" i="70"/>
  <c r="Q116" i="76"/>
  <c r="BT105" i="70"/>
  <c r="R104" i="76"/>
  <c r="R106" i="76"/>
  <c r="R105" i="76"/>
  <c r="Q120" i="76"/>
  <c r="R118" i="76"/>
  <c r="BT194" i="70"/>
  <c r="R116" i="76"/>
  <c r="R110" i="76"/>
  <c r="R125" i="76"/>
  <c r="Q114" i="76"/>
  <c r="R122" i="76"/>
  <c r="R124" i="76"/>
  <c r="Q122" i="76"/>
  <c r="Q113" i="76"/>
  <c r="R115" i="76"/>
  <c r="R114" i="76"/>
  <c r="BT15" i="70"/>
  <c r="Q119" i="76"/>
  <c r="R108" i="76"/>
  <c r="R123" i="76"/>
  <c r="R117" i="76"/>
  <c r="Q117" i="76"/>
  <c r="Q123" i="76"/>
  <c r="R107" i="76"/>
  <c r="R111" i="76"/>
  <c r="R120" i="76"/>
  <c r="BQ166" i="70"/>
  <c r="R121" i="76"/>
  <c r="BT193" i="70"/>
  <c r="R119" i="76"/>
  <c r="R112" i="76"/>
  <c r="Q121" i="76"/>
  <c r="Q112" i="76"/>
  <c r="Q115" i="76"/>
  <c r="BQ211" i="70"/>
  <c r="BZ287" i="70" l="1"/>
  <c r="BZ288" i="70"/>
  <c r="C131" i="70"/>
  <c r="D130" i="70"/>
  <c r="CC164" i="70"/>
  <c r="CB165" i="70"/>
  <c r="CD164" i="70"/>
  <c r="V32" i="70"/>
  <c r="V122" i="70"/>
  <c r="BT150" i="70"/>
  <c r="V212" i="70"/>
  <c r="V77" i="70"/>
  <c r="BT195" i="70"/>
  <c r="BT149" i="70"/>
  <c r="V167" i="70"/>
  <c r="W77" i="70" l="1"/>
  <c r="W167" i="70"/>
  <c r="W32" i="70"/>
  <c r="W122" i="70"/>
  <c r="W212" i="70"/>
  <c r="BZ289" i="70"/>
  <c r="BZ290" i="70"/>
  <c r="C132" i="70"/>
  <c r="D131" i="70"/>
  <c r="CC165" i="70"/>
  <c r="CB166" i="70"/>
  <c r="CD165" i="70"/>
  <c r="K32" i="76" l="1"/>
  <c r="BP212" i="70"/>
  <c r="BP122" i="70"/>
  <c r="I32" i="76"/>
  <c r="G32" i="76"/>
  <c r="BP32" i="70"/>
  <c r="BP167" i="70"/>
  <c r="J32" i="76"/>
  <c r="BP77" i="70"/>
  <c r="H32" i="76"/>
  <c r="BZ292" i="70"/>
  <c r="BZ291" i="70"/>
  <c r="C133" i="70"/>
  <c r="D132" i="70"/>
  <c r="CC166" i="70"/>
  <c r="CB167" i="70"/>
  <c r="CD166" i="70"/>
  <c r="N127" i="76"/>
  <c r="R128" i="76"/>
  <c r="BQ77" i="70"/>
  <c r="R126" i="76"/>
  <c r="N128" i="76"/>
  <c r="O128" i="76"/>
  <c r="Q125" i="76"/>
  <c r="N125" i="76"/>
  <c r="P128" i="76"/>
  <c r="P125" i="76"/>
  <c r="BQ212" i="70"/>
  <c r="Q127" i="76"/>
  <c r="Q126" i="76"/>
  <c r="Q128" i="76"/>
  <c r="P126" i="76"/>
  <c r="BQ122" i="70"/>
  <c r="P127" i="76"/>
  <c r="N126" i="76"/>
  <c r="O126" i="76"/>
  <c r="R127" i="76"/>
  <c r="O127" i="76"/>
  <c r="O125" i="76"/>
  <c r="BQ32" i="70"/>
  <c r="BQ167" i="70"/>
  <c r="BZ293" i="70" l="1"/>
  <c r="BZ294" i="70"/>
  <c r="C134" i="70"/>
  <c r="D133" i="70"/>
  <c r="CC167" i="70"/>
  <c r="CB168" i="70"/>
  <c r="CD167" i="70"/>
  <c r="V78" i="70"/>
  <c r="V33" i="70"/>
  <c r="W33" i="70" l="1"/>
  <c r="W78" i="70"/>
  <c r="BZ295" i="70"/>
  <c r="BZ296" i="70"/>
  <c r="C135" i="70"/>
  <c r="D134" i="70"/>
  <c r="CC168" i="70"/>
  <c r="CB169" i="70"/>
  <c r="CD168" i="70"/>
  <c r="V123" i="70"/>
  <c r="V213" i="70"/>
  <c r="V168" i="70"/>
  <c r="W123" i="70" l="1"/>
  <c r="W213" i="70"/>
  <c r="W168" i="70"/>
  <c r="G33" i="76"/>
  <c r="BP33" i="70"/>
  <c r="H33" i="76"/>
  <c r="BP78" i="70"/>
  <c r="BZ298" i="70"/>
  <c r="BZ297" i="70"/>
  <c r="C136" i="70"/>
  <c r="D135" i="70"/>
  <c r="CC169" i="70"/>
  <c r="CB170" i="70"/>
  <c r="CD169" i="70"/>
  <c r="N131" i="76"/>
  <c r="O129" i="76"/>
  <c r="N130" i="76"/>
  <c r="O131" i="76"/>
  <c r="O130" i="76"/>
  <c r="N129" i="76"/>
  <c r="BQ33" i="70"/>
  <c r="BQ78" i="70"/>
  <c r="J33" i="76" l="1"/>
  <c r="BP168" i="70"/>
  <c r="BP213" i="70"/>
  <c r="K33" i="76"/>
  <c r="I33" i="76"/>
  <c r="BP123" i="70"/>
  <c r="BZ299" i="70"/>
  <c r="BZ300" i="70"/>
  <c r="C137" i="70"/>
  <c r="D136" i="70"/>
  <c r="CC170" i="70"/>
  <c r="CB171" i="70"/>
  <c r="CD170" i="70"/>
  <c r="Q129" i="76"/>
  <c r="BQ168" i="70"/>
  <c r="P131" i="76"/>
  <c r="P130" i="76"/>
  <c r="P129" i="76"/>
  <c r="BQ213" i="70"/>
  <c r="Q131" i="76"/>
  <c r="R129" i="76"/>
  <c r="P132" i="76"/>
  <c r="R131" i="76"/>
  <c r="Q132" i="76"/>
  <c r="R130" i="76"/>
  <c r="R132" i="76"/>
  <c r="Q130" i="76"/>
  <c r="BQ123" i="70"/>
  <c r="BZ301" i="70" l="1"/>
  <c r="BZ302" i="70"/>
  <c r="C138" i="70"/>
  <c r="D137" i="70"/>
  <c r="CC171" i="70"/>
  <c r="CB172" i="70"/>
  <c r="CD171" i="70"/>
  <c r="V124" i="70"/>
  <c r="V79" i="70"/>
  <c r="V34" i="70"/>
  <c r="V169" i="70"/>
  <c r="W34" i="70" l="1"/>
  <c r="W124" i="70"/>
  <c r="W79" i="70"/>
  <c r="W169" i="70"/>
  <c r="C139" i="70"/>
  <c r="C140" i="70" s="1"/>
  <c r="C141" i="70" s="1"/>
  <c r="C142" i="70" s="1"/>
  <c r="C143" i="70" s="1"/>
  <c r="C144" i="70" s="1"/>
  <c r="C145" i="70" s="1"/>
  <c r="C146" i="70" s="1"/>
  <c r="C147" i="70" s="1"/>
  <c r="C148" i="70" s="1"/>
  <c r="C149" i="70" s="1"/>
  <c r="C150" i="70" s="1"/>
  <c r="C151" i="70" s="1"/>
  <c r="C152" i="70" s="1"/>
  <c r="C153" i="70" s="1"/>
  <c r="C154" i="70" s="1"/>
  <c r="D154" i="70" s="1"/>
  <c r="D138" i="70"/>
  <c r="CC172" i="70"/>
  <c r="CB173" i="70"/>
  <c r="CD172" i="70"/>
  <c r="V130" i="70"/>
  <c r="V132" i="70"/>
  <c r="V86" i="70"/>
  <c r="V222" i="70"/>
  <c r="V175" i="70"/>
  <c r="V85" i="70"/>
  <c r="V219" i="70"/>
  <c r="V42" i="70"/>
  <c r="V177" i="70"/>
  <c r="V129" i="70"/>
  <c r="V87" i="70"/>
  <c r="V131" i="70"/>
  <c r="V221" i="70"/>
  <c r="V214" i="70"/>
  <c r="V41" i="70"/>
  <c r="V220" i="70"/>
  <c r="V174" i="70"/>
  <c r="V40" i="70"/>
  <c r="V176" i="70"/>
  <c r="D153" i="70" l="1"/>
  <c r="W214" i="70"/>
  <c r="W222" i="70"/>
  <c r="W174" i="70"/>
  <c r="W132" i="70"/>
  <c r="W42" i="70"/>
  <c r="W175" i="70"/>
  <c r="W85" i="70"/>
  <c r="W220" i="70"/>
  <c r="W176" i="70"/>
  <c r="W86" i="70"/>
  <c r="W219" i="70"/>
  <c r="W177" i="70"/>
  <c r="W129" i="70"/>
  <c r="W87" i="70"/>
  <c r="W130" i="70"/>
  <c r="W40" i="70"/>
  <c r="W221" i="70"/>
  <c r="W131" i="70"/>
  <c r="W41" i="70"/>
  <c r="BP169" i="70"/>
  <c r="J34" i="76"/>
  <c r="G34" i="76"/>
  <c r="BP34" i="70"/>
  <c r="BP79" i="70"/>
  <c r="H34" i="76"/>
  <c r="BP124" i="70"/>
  <c r="I34" i="76"/>
  <c r="D143" i="70"/>
  <c r="D152" i="70"/>
  <c r="D151" i="70"/>
  <c r="D149" i="70"/>
  <c r="D139" i="70"/>
  <c r="D140" i="70"/>
  <c r="D142" i="70"/>
  <c r="D145" i="70"/>
  <c r="D150" i="70"/>
  <c r="D147" i="70"/>
  <c r="D144" i="70"/>
  <c r="D146" i="70"/>
  <c r="D141" i="70"/>
  <c r="D148" i="70"/>
  <c r="CC173" i="70"/>
  <c r="CB174" i="70"/>
  <c r="CD173" i="70"/>
  <c r="N133" i="76"/>
  <c r="V38" i="70"/>
  <c r="Q133" i="76"/>
  <c r="N134" i="76"/>
  <c r="V126" i="70"/>
  <c r="V35" i="70"/>
  <c r="V82" i="70"/>
  <c r="V37" i="70"/>
  <c r="V80" i="70"/>
  <c r="Q135" i="76"/>
  <c r="BQ124" i="70"/>
  <c r="V172" i="70"/>
  <c r="V173" i="70"/>
  <c r="BQ79" i="70"/>
  <c r="V83" i="70"/>
  <c r="V171" i="70"/>
  <c r="O133" i="76"/>
  <c r="V81" i="70"/>
  <c r="V217" i="70"/>
  <c r="V218" i="70"/>
  <c r="V216" i="70"/>
  <c r="P133" i="76"/>
  <c r="O132" i="76"/>
  <c r="V127" i="70"/>
  <c r="N135" i="76"/>
  <c r="P135" i="76"/>
  <c r="BQ169" i="70"/>
  <c r="Q134" i="76"/>
  <c r="V170" i="70"/>
  <c r="V215" i="70"/>
  <c r="V128" i="70"/>
  <c r="V36" i="70"/>
  <c r="P134" i="76"/>
  <c r="O134" i="76"/>
  <c r="N132" i="76"/>
  <c r="V39" i="70"/>
  <c r="V125" i="70"/>
  <c r="O135" i="76"/>
  <c r="V84" i="70"/>
  <c r="BQ34" i="70"/>
  <c r="W39" i="70" l="1"/>
  <c r="G39" i="76" s="1"/>
  <c r="W84" i="70"/>
  <c r="BP84" i="70" s="1"/>
  <c r="W128" i="70"/>
  <c r="W38" i="70"/>
  <c r="W173" i="70"/>
  <c r="W83" i="70"/>
  <c r="W37" i="70"/>
  <c r="W82" i="70"/>
  <c r="W170" i="70"/>
  <c r="W215" i="70"/>
  <c r="W125" i="70"/>
  <c r="W217" i="70"/>
  <c r="W127" i="70"/>
  <c r="W172" i="70"/>
  <c r="W126" i="70"/>
  <c r="W36" i="70"/>
  <c r="W171" i="70"/>
  <c r="W81" i="70"/>
  <c r="W216" i="70"/>
  <c r="W80" i="70"/>
  <c r="W35" i="70"/>
  <c r="W218" i="70"/>
  <c r="BP176" i="70"/>
  <c r="J41" i="76"/>
  <c r="BP177" i="70"/>
  <c r="J42" i="76"/>
  <c r="BP221" i="70"/>
  <c r="K41" i="76"/>
  <c r="BP219" i="70"/>
  <c r="K39" i="76"/>
  <c r="G42" i="76"/>
  <c r="BP42" i="70"/>
  <c r="I40" i="76"/>
  <c r="BP130" i="70"/>
  <c r="BP174" i="70"/>
  <c r="J39" i="76"/>
  <c r="BP131" i="70"/>
  <c r="I41" i="76"/>
  <c r="BP175" i="70"/>
  <c r="J40" i="76"/>
  <c r="G40" i="76"/>
  <c r="BP86" i="70"/>
  <c r="H41" i="76"/>
  <c r="BP132" i="70"/>
  <c r="I42" i="76"/>
  <c r="BP87" i="70"/>
  <c r="H42" i="76"/>
  <c r="BP220" i="70"/>
  <c r="K40" i="76"/>
  <c r="BP222" i="70"/>
  <c r="K42" i="76"/>
  <c r="G41" i="76"/>
  <c r="BP41" i="70"/>
  <c r="BP129" i="70"/>
  <c r="I39" i="76"/>
  <c r="BP85" i="70"/>
  <c r="H40" i="76"/>
  <c r="BP214" i="70"/>
  <c r="K34" i="76"/>
  <c r="CC174" i="70"/>
  <c r="CB175" i="70"/>
  <c r="CD174" i="70"/>
  <c r="O159" i="76"/>
  <c r="P160" i="76"/>
  <c r="P155" i="76"/>
  <c r="Q159" i="76"/>
  <c r="N158" i="76"/>
  <c r="N153" i="76"/>
  <c r="O161" i="76"/>
  <c r="Q156" i="76"/>
  <c r="P162" i="76"/>
  <c r="N160" i="76"/>
  <c r="R162" i="76"/>
  <c r="BT61" i="70"/>
  <c r="BT16" i="70"/>
  <c r="R135" i="76"/>
  <c r="P158" i="76"/>
  <c r="O160" i="76"/>
  <c r="Q154" i="76"/>
  <c r="R161" i="76"/>
  <c r="Q160" i="76"/>
  <c r="Q158" i="76"/>
  <c r="R155" i="76"/>
  <c r="P156" i="76"/>
  <c r="N156" i="76"/>
  <c r="N161" i="76"/>
  <c r="R136" i="76"/>
  <c r="BQ214" i="70"/>
  <c r="O163" i="76"/>
  <c r="R156" i="76"/>
  <c r="Q157" i="76"/>
  <c r="Q162" i="76"/>
  <c r="O158" i="76"/>
  <c r="P161" i="76"/>
  <c r="R163" i="76"/>
  <c r="R134" i="76"/>
  <c r="R159" i="76"/>
  <c r="R158" i="76"/>
  <c r="N154" i="76"/>
  <c r="Q155" i="76"/>
  <c r="R160" i="76"/>
  <c r="P157" i="76"/>
  <c r="P154" i="76"/>
  <c r="N157" i="76"/>
  <c r="R133" i="76"/>
  <c r="BT106" i="70"/>
  <c r="Q163" i="76"/>
  <c r="N159" i="76"/>
  <c r="Q161" i="76"/>
  <c r="R157" i="76"/>
  <c r="N162" i="76"/>
  <c r="O162" i="76"/>
  <c r="P159" i="76"/>
  <c r="R154" i="76"/>
  <c r="N155" i="76"/>
  <c r="O157" i="76"/>
  <c r="P163" i="76"/>
  <c r="BT151" i="70"/>
  <c r="N163" i="76"/>
  <c r="BP40" i="70" l="1"/>
  <c r="H39" i="76"/>
  <c r="BP125" i="70"/>
  <c r="I35" i="76"/>
  <c r="BP218" i="70"/>
  <c r="K38" i="76"/>
  <c r="K35" i="76"/>
  <c r="BP215" i="70"/>
  <c r="G35" i="76"/>
  <c r="BP35" i="70"/>
  <c r="I36" i="76"/>
  <c r="BP126" i="70"/>
  <c r="BP170" i="70"/>
  <c r="J35" i="76"/>
  <c r="BP128" i="70"/>
  <c r="I38" i="76"/>
  <c r="BP80" i="70"/>
  <c r="H35" i="76"/>
  <c r="J37" i="76"/>
  <c r="BP172" i="70"/>
  <c r="BP82" i="70"/>
  <c r="H37" i="76"/>
  <c r="BP171" i="70"/>
  <c r="J36" i="76"/>
  <c r="J38" i="76"/>
  <c r="BP173" i="70"/>
  <c r="G36" i="76"/>
  <c r="BP36" i="70"/>
  <c r="G38" i="76"/>
  <c r="BP38" i="70"/>
  <c r="K36" i="76"/>
  <c r="BP216" i="70"/>
  <c r="BP127" i="70"/>
  <c r="I37" i="76"/>
  <c r="G37" i="76"/>
  <c r="BP37" i="70"/>
  <c r="BP39" i="70"/>
  <c r="H36" i="76"/>
  <c r="BP81" i="70"/>
  <c r="BP217" i="70"/>
  <c r="K37" i="76"/>
  <c r="BP83" i="70"/>
  <c r="H38" i="76"/>
  <c r="CC175" i="70"/>
  <c r="CB176" i="70"/>
  <c r="CD175" i="70"/>
  <c r="O136" i="76"/>
  <c r="N137" i="76"/>
  <c r="P149" i="76"/>
  <c r="BQ80" i="70"/>
  <c r="R138" i="76"/>
  <c r="R152" i="76"/>
  <c r="P151" i="76"/>
  <c r="R142" i="76"/>
  <c r="N143" i="76"/>
  <c r="R151" i="76"/>
  <c r="Q152" i="76"/>
  <c r="Q147" i="76"/>
  <c r="Q144" i="76"/>
  <c r="O149" i="76"/>
  <c r="BT196" i="70"/>
  <c r="N142" i="76"/>
  <c r="N151" i="76"/>
  <c r="P139" i="76"/>
  <c r="P146" i="76"/>
  <c r="P144" i="76"/>
  <c r="N138" i="76"/>
  <c r="N147" i="76"/>
  <c r="Q151" i="76"/>
  <c r="P147" i="76"/>
  <c r="O154" i="76"/>
  <c r="N136" i="76"/>
  <c r="N140" i="76"/>
  <c r="O145" i="76"/>
  <c r="O144" i="76"/>
  <c r="N149" i="76"/>
  <c r="P142" i="76"/>
  <c r="O139" i="76"/>
  <c r="O141" i="76"/>
  <c r="R146" i="76"/>
  <c r="R144" i="76"/>
  <c r="P136" i="76"/>
  <c r="Q137" i="76"/>
  <c r="R148" i="76"/>
  <c r="N144" i="76"/>
  <c r="O148" i="76"/>
  <c r="N148" i="76"/>
  <c r="Q142" i="76"/>
  <c r="P138" i="76"/>
  <c r="P153" i="76"/>
  <c r="Q143" i="76"/>
  <c r="O155" i="76"/>
  <c r="Q153" i="76"/>
  <c r="N139" i="76"/>
  <c r="Q138" i="76"/>
  <c r="P152" i="76"/>
  <c r="N145" i="76"/>
  <c r="Q150" i="76"/>
  <c r="O140" i="76"/>
  <c r="Q140" i="76"/>
  <c r="N141" i="76"/>
  <c r="O137" i="76"/>
  <c r="O147" i="76"/>
  <c r="P137" i="76"/>
  <c r="O156" i="76"/>
  <c r="P145" i="76"/>
  <c r="BQ35" i="70"/>
  <c r="R145" i="76"/>
  <c r="P148" i="76"/>
  <c r="N150" i="76"/>
  <c r="R137" i="76"/>
  <c r="O151" i="76"/>
  <c r="O152" i="76"/>
  <c r="N146" i="76"/>
  <c r="Q146" i="76"/>
  <c r="Q148" i="76"/>
  <c r="R153" i="76"/>
  <c r="R143" i="76"/>
  <c r="O138" i="76"/>
  <c r="Q139" i="76"/>
  <c r="Q145" i="76"/>
  <c r="BQ125" i="70"/>
  <c r="P150" i="76"/>
  <c r="R140" i="76"/>
  <c r="O153" i="76"/>
  <c r="O142" i="76"/>
  <c r="Q149" i="76"/>
  <c r="R149" i="76"/>
  <c r="R141" i="76"/>
  <c r="O143" i="76"/>
  <c r="O146" i="76"/>
  <c r="N152" i="76"/>
  <c r="R147" i="76"/>
  <c r="P140" i="76"/>
  <c r="O150" i="76"/>
  <c r="Q141" i="76"/>
  <c r="Q136" i="76"/>
  <c r="R150" i="76"/>
  <c r="BQ170" i="70"/>
  <c r="P141" i="76"/>
  <c r="R139" i="76"/>
  <c r="P143" i="76"/>
  <c r="BQ215" i="70"/>
  <c r="CC176" i="70" l="1"/>
  <c r="CB177" i="70"/>
  <c r="CD176" i="70"/>
  <c r="BQ216" i="70"/>
  <c r="BQ36" i="70"/>
  <c r="BQ126" i="70"/>
  <c r="BQ171" i="70"/>
  <c r="BQ81" i="70"/>
  <c r="CC177" i="70" l="1"/>
  <c r="CB178" i="70"/>
  <c r="CD177" i="70"/>
  <c r="BQ172" i="70"/>
  <c r="BQ217" i="70"/>
  <c r="BT197" i="70"/>
  <c r="BQ127" i="70"/>
  <c r="BQ37" i="70"/>
  <c r="BQ82" i="70"/>
  <c r="CC178" i="70" l="1"/>
  <c r="CB179" i="70"/>
  <c r="CD178" i="70"/>
  <c r="BT62" i="70"/>
  <c r="BT17" i="70"/>
  <c r="BT107" i="70"/>
  <c r="BQ38" i="70"/>
  <c r="BQ218" i="70"/>
  <c r="BQ83" i="70"/>
  <c r="BT152" i="70"/>
  <c r="BQ173" i="70"/>
  <c r="BQ128" i="70"/>
  <c r="CC179" i="70" l="1"/>
  <c r="CB180" i="70"/>
  <c r="CD179" i="70"/>
  <c r="BQ39" i="70"/>
  <c r="BQ174" i="70"/>
  <c r="BQ219" i="70"/>
  <c r="BQ84" i="70"/>
  <c r="BQ129" i="70"/>
  <c r="CC180" i="70" l="1"/>
  <c r="CB181" i="70"/>
  <c r="CD180" i="70"/>
  <c r="BQ85" i="70"/>
  <c r="BT108" i="70"/>
  <c r="BT153" i="70"/>
  <c r="BQ220" i="70"/>
  <c r="BQ175" i="70"/>
  <c r="BQ40" i="70"/>
  <c r="BT198" i="70"/>
  <c r="BQ130" i="70"/>
  <c r="CC181" i="70" l="1"/>
  <c r="CB182" i="70"/>
  <c r="CD181" i="70"/>
  <c r="BQ221" i="70"/>
  <c r="BQ41" i="70"/>
  <c r="BQ131" i="70"/>
  <c r="BT18" i="70"/>
  <c r="BQ86" i="70"/>
  <c r="BT63" i="70"/>
  <c r="BQ176" i="70"/>
  <c r="CC182" i="70" l="1"/>
  <c r="CB183" i="70"/>
  <c r="CD182" i="70"/>
  <c r="BQ87" i="70"/>
  <c r="BQ42" i="70"/>
  <c r="BQ222" i="70"/>
  <c r="BQ132" i="70"/>
  <c r="BQ177" i="70"/>
  <c r="CC183" i="70" l="1"/>
  <c r="CB184" i="70"/>
  <c r="CD183" i="70"/>
  <c r="BT154" i="70"/>
  <c r="BT64" i="70"/>
  <c r="BT199" i="70"/>
  <c r="BT109" i="70"/>
  <c r="BT19" i="70"/>
  <c r="CC184" i="70" l="1"/>
  <c r="CB185" i="70"/>
  <c r="CD184" i="70"/>
  <c r="CC185" i="70" l="1"/>
  <c r="CB186" i="70"/>
  <c r="CD185" i="70"/>
  <c r="CC186" i="70" l="1"/>
  <c r="CB187" i="70"/>
  <c r="CD186" i="70"/>
  <c r="CC187" i="70" l="1"/>
  <c r="CB188" i="70"/>
  <c r="CD187" i="70"/>
  <c r="CC188" i="70" l="1"/>
  <c r="CB189" i="70"/>
  <c r="CD188" i="70"/>
  <c r="CC189" i="70" l="1"/>
  <c r="CB190" i="70"/>
  <c r="CD189" i="70"/>
  <c r="CC190" i="70" l="1"/>
  <c r="CB191" i="70"/>
  <c r="CD190" i="70"/>
  <c r="CC191" i="70" l="1"/>
  <c r="CB192" i="70"/>
  <c r="CD191" i="70"/>
  <c r="CC192" i="70" l="1"/>
  <c r="CB193" i="70"/>
  <c r="CD192" i="70"/>
  <c r="CC193" i="70" l="1"/>
  <c r="CB194" i="70"/>
  <c r="CD193" i="70"/>
  <c r="CC194" i="70" l="1"/>
  <c r="CB195" i="70"/>
  <c r="CD194" i="70"/>
  <c r="CC195" i="70" l="1"/>
  <c r="CB196" i="70"/>
  <c r="CD195" i="70"/>
  <c r="CC196" i="70" l="1"/>
  <c r="CB197" i="70"/>
  <c r="CD196" i="70"/>
  <c r="CC197" i="70" l="1"/>
  <c r="CB198" i="70"/>
  <c r="CD197" i="70"/>
  <c r="CC198" i="70" l="1"/>
  <c r="CB199" i="70"/>
  <c r="CD198" i="70"/>
  <c r="CC199" i="70" l="1"/>
  <c r="CB200" i="70"/>
  <c r="CD199" i="70"/>
  <c r="CC200" i="70" l="1"/>
  <c r="CB201" i="70"/>
  <c r="CD200" i="70"/>
  <c r="CC201" i="70" l="1"/>
  <c r="CB202" i="70"/>
  <c r="CB203" i="70" s="1"/>
  <c r="CB204" i="70" s="1"/>
  <c r="CD201" i="70"/>
  <c r="CB205" i="70" l="1"/>
  <c r="CC204" i="70"/>
  <c r="CC203" i="70"/>
  <c r="CC202" i="70"/>
  <c r="CD204" i="70"/>
  <c r="CD203" i="70"/>
  <c r="CD202" i="70"/>
  <c r="CB206" i="70" l="1"/>
  <c r="CC205" i="70"/>
  <c r="CD205" i="70"/>
  <c r="CB207" i="70" l="1"/>
  <c r="CC206" i="70"/>
  <c r="CD206" i="70"/>
  <c r="CB208" i="70" l="1"/>
  <c r="CC207" i="70"/>
  <c r="CD207" i="70"/>
  <c r="CB209" i="70" l="1"/>
  <c r="CC208" i="70"/>
  <c r="CD208" i="70"/>
  <c r="CB210" i="70" l="1"/>
  <c r="CC209" i="70"/>
  <c r="CD209" i="70"/>
  <c r="CB211" i="70" l="1"/>
  <c r="CC210" i="70"/>
  <c r="CD210" i="70"/>
  <c r="CB212" i="70" l="1"/>
  <c r="CC211" i="70"/>
  <c r="CD211" i="70"/>
  <c r="CB213" i="70" l="1"/>
  <c r="CC212" i="70"/>
  <c r="CD212" i="70"/>
  <c r="CB214" i="70" l="1"/>
  <c r="CC213" i="70"/>
  <c r="CD213" i="70"/>
  <c r="CB215" i="70" l="1"/>
  <c r="CC214" i="70"/>
  <c r="CD214" i="70"/>
  <c r="CB216" i="70" l="1"/>
  <c r="CC215" i="70"/>
  <c r="CD215" i="70"/>
  <c r="CB217" i="70" l="1"/>
  <c r="CC216" i="70"/>
  <c r="CD216" i="70"/>
  <c r="CB218" i="70" l="1"/>
  <c r="CC217" i="70"/>
  <c r="CD217" i="70"/>
  <c r="CB219" i="70" l="1"/>
  <c r="CC218" i="70"/>
  <c r="CD218" i="70"/>
  <c r="CB220" i="70" l="1"/>
  <c r="CC219" i="70"/>
  <c r="CD219" i="70"/>
  <c r="CB221" i="70" l="1"/>
  <c r="CC220" i="70"/>
  <c r="CD220" i="70"/>
  <c r="CB222" i="70" l="1"/>
  <c r="CC221" i="70"/>
  <c r="CD221" i="70"/>
  <c r="CB223" i="70" l="1"/>
  <c r="CC222" i="70"/>
  <c r="CD222" i="70"/>
  <c r="CB224" i="70" l="1"/>
  <c r="CC223" i="70"/>
  <c r="CD223" i="70"/>
  <c r="CB225" i="70" l="1"/>
  <c r="CC224" i="70"/>
  <c r="CD224" i="70"/>
  <c r="CB226" i="70" l="1"/>
  <c r="CC225" i="70"/>
  <c r="CD225" i="70"/>
  <c r="CB227" i="70" l="1"/>
  <c r="CC226" i="70"/>
  <c r="CD226" i="70"/>
  <c r="CB228" i="70" l="1"/>
  <c r="CC227" i="70"/>
  <c r="CD227" i="70"/>
  <c r="CB229" i="70" l="1"/>
  <c r="CC228" i="70"/>
  <c r="CD228" i="70"/>
  <c r="CB230" i="70" l="1"/>
  <c r="CC229" i="70"/>
  <c r="CD229" i="70"/>
  <c r="CB231" i="70" l="1"/>
  <c r="CC230" i="70"/>
  <c r="CD230" i="70"/>
  <c r="CB232" i="70" l="1"/>
  <c r="CC231" i="70"/>
  <c r="CD231" i="70"/>
  <c r="CB233" i="70" l="1"/>
  <c r="CC232" i="70"/>
  <c r="CD232" i="70"/>
  <c r="CB234" i="70" l="1"/>
  <c r="CC233" i="70"/>
  <c r="CD233" i="70"/>
  <c r="CB235" i="70" l="1"/>
  <c r="CC234" i="70"/>
  <c r="CD234" i="70"/>
  <c r="CB236" i="70" l="1"/>
  <c r="CC235" i="70"/>
  <c r="CD235" i="70"/>
  <c r="CB237" i="70" l="1"/>
  <c r="CC236" i="70"/>
  <c r="CD236" i="70"/>
  <c r="CB238" i="70" l="1"/>
  <c r="CC237" i="70"/>
  <c r="CD237" i="70"/>
  <c r="CB239" i="70" l="1"/>
  <c r="CC238" i="70"/>
  <c r="CD238" i="70"/>
  <c r="CB240" i="70" l="1"/>
  <c r="CC239" i="70"/>
  <c r="CD239" i="70"/>
  <c r="CB241" i="70" l="1"/>
  <c r="CC240" i="70"/>
  <c r="CD240" i="70"/>
  <c r="CB242" i="70" l="1"/>
  <c r="CC241" i="70"/>
  <c r="CD241" i="70"/>
  <c r="CB243" i="70" l="1"/>
  <c r="CC242" i="70"/>
  <c r="CD242" i="70"/>
  <c r="CB244" i="70" l="1"/>
  <c r="CC243" i="70"/>
  <c r="CD243" i="70"/>
  <c r="CB245" i="70" l="1"/>
  <c r="CC244" i="70"/>
  <c r="CD244" i="70"/>
  <c r="CB246" i="70" l="1"/>
  <c r="CC245" i="70"/>
  <c r="CD245" i="70"/>
  <c r="CB247" i="70" l="1"/>
  <c r="CC246" i="70"/>
  <c r="CD246" i="70"/>
  <c r="CB248" i="70" l="1"/>
  <c r="CC247" i="70"/>
  <c r="CD247" i="70"/>
  <c r="CB249" i="70" l="1"/>
  <c r="CC248" i="70"/>
  <c r="CD248" i="70"/>
  <c r="CB250" i="70" l="1"/>
  <c r="CC249" i="70"/>
  <c r="CD249" i="70"/>
  <c r="CB251" i="70" l="1"/>
  <c r="CC250" i="70"/>
  <c r="CD250" i="70"/>
  <c r="CB252" i="70" l="1"/>
  <c r="CC251" i="70"/>
  <c r="CD251" i="70"/>
  <c r="CB253" i="70" l="1"/>
  <c r="CC252" i="70"/>
  <c r="CD252" i="70"/>
  <c r="CB254" i="70" l="1"/>
  <c r="CC253" i="70"/>
  <c r="CD253" i="70"/>
  <c r="CB255" i="70" l="1"/>
  <c r="CC254" i="70"/>
  <c r="CD254" i="70"/>
  <c r="CB256" i="70" l="1"/>
  <c r="CC255" i="70"/>
  <c r="CD255" i="70"/>
  <c r="CB257" i="70" l="1"/>
  <c r="CC256" i="70"/>
  <c r="CD256" i="70"/>
  <c r="CB258" i="70" l="1"/>
  <c r="CC257" i="70"/>
  <c r="CD257" i="70"/>
  <c r="CB259" i="70" l="1"/>
  <c r="CC258" i="70"/>
  <c r="CD258" i="70"/>
  <c r="CB260" i="70" l="1"/>
  <c r="CC259" i="70"/>
  <c r="CD259" i="70"/>
  <c r="CB261" i="70" l="1"/>
  <c r="CC260" i="70"/>
  <c r="CD260" i="70"/>
  <c r="CB262" i="70" l="1"/>
  <c r="CC261" i="70"/>
  <c r="CD261" i="70"/>
  <c r="CB263" i="70" l="1"/>
  <c r="CC262" i="70"/>
  <c r="CD262" i="70"/>
  <c r="CB264" i="70" l="1"/>
  <c r="CC263" i="70"/>
  <c r="CD263" i="70"/>
  <c r="CB265" i="70" l="1"/>
  <c r="CC264" i="70"/>
  <c r="CD264" i="70"/>
  <c r="CB266" i="70" l="1"/>
  <c r="CC265" i="70"/>
  <c r="CD265" i="70"/>
  <c r="CB267" i="70" l="1"/>
  <c r="CC266" i="70"/>
  <c r="CD266" i="70"/>
  <c r="CB268" i="70" l="1"/>
  <c r="CC267" i="70"/>
  <c r="CD267" i="70"/>
  <c r="CB269" i="70" l="1"/>
  <c r="CC268" i="70"/>
  <c r="CD268" i="70"/>
  <c r="CB270" i="70" l="1"/>
  <c r="CC269" i="70"/>
  <c r="CD269" i="70"/>
  <c r="CB271" i="70" l="1"/>
  <c r="CC270" i="70"/>
  <c r="AP62" i="18"/>
  <c r="AP69" i="18"/>
  <c r="AO75" i="18"/>
  <c r="AN81" i="18"/>
  <c r="AO64" i="18"/>
  <c r="AQ67" i="18"/>
  <c r="AP68" i="18"/>
  <c r="AQ70" i="18"/>
  <c r="AQ71" i="18"/>
  <c r="AP75" i="18"/>
  <c r="AN54" i="18"/>
  <c r="AQ56" i="18"/>
  <c r="AO57" i="18"/>
  <c r="AN58" i="18"/>
  <c r="AQ60" i="18"/>
  <c r="AO61" i="18"/>
  <c r="AQ63" i="18"/>
  <c r="CD270" i="70"/>
  <c r="CB272" i="70" l="1"/>
  <c r="CC271" i="70"/>
  <c r="AN70" i="18"/>
  <c r="AP67" i="18"/>
  <c r="AN63" i="18"/>
  <c r="AP60" i="18"/>
  <c r="AO73" i="18"/>
  <c r="AN62" i="18"/>
  <c r="AQ54" i="18"/>
  <c r="AP76" i="18"/>
  <c r="AP64" i="18"/>
  <c r="AP57" i="18"/>
  <c r="AP81" i="18"/>
  <c r="AN76" i="18"/>
  <c r="J62" i="18"/>
  <c r="AO62" i="18"/>
  <c r="J61" i="18"/>
  <c r="J60" i="18"/>
  <c r="J59" i="18"/>
  <c r="AN59" i="18"/>
  <c r="J58" i="18"/>
  <c r="AO58" i="18"/>
  <c r="J57" i="18"/>
  <c r="J56" i="18"/>
  <c r="J55" i="18"/>
  <c r="AN55" i="18"/>
  <c r="J54" i="18"/>
  <c r="J53" i="18"/>
  <c r="AQ78" i="18"/>
  <c r="J77" i="18"/>
  <c r="J76" i="18"/>
  <c r="AO76" i="18"/>
  <c r="J75" i="18"/>
  <c r="AQ75" i="18"/>
  <c r="J74" i="18"/>
  <c r="J73" i="18"/>
  <c r="AN73" i="18"/>
  <c r="J72" i="18"/>
  <c r="AP72" i="18"/>
  <c r="J71" i="18"/>
  <c r="J70" i="18"/>
  <c r="J69" i="18"/>
  <c r="AO69" i="18"/>
  <c r="J68" i="18"/>
  <c r="AQ68" i="18"/>
  <c r="J67" i="18"/>
  <c r="AN67" i="18"/>
  <c r="J66" i="18"/>
  <c r="AN66" i="18"/>
  <c r="J65" i="18"/>
  <c r="AP65" i="18"/>
  <c r="J64" i="18"/>
  <c r="AQ64" i="18"/>
  <c r="J63" i="18"/>
  <c r="J82" i="18"/>
  <c r="J81" i="18"/>
  <c r="AO81" i="18"/>
  <c r="J80" i="18"/>
  <c r="J79" i="18"/>
  <c r="AN79" i="18"/>
  <c r="J78" i="18"/>
  <c r="AO83" i="18"/>
  <c r="AN83" i="18"/>
  <c r="AQ82" i="18"/>
  <c r="AM81" i="18"/>
  <c r="AM79" i="18"/>
  <c r="AM77" i="18"/>
  <c r="AM76" i="18"/>
  <c r="AM73" i="18"/>
  <c r="AN69" i="18"/>
  <c r="AM69" i="18"/>
  <c r="AM67" i="18"/>
  <c r="AO65" i="18"/>
  <c r="AM62" i="18"/>
  <c r="AM60" i="18"/>
  <c r="AM55" i="18"/>
  <c r="AO80" i="18"/>
  <c r="AQ73" i="18"/>
  <c r="AO71" i="18"/>
  <c r="AO67" i="18"/>
  <c r="AQ66" i="18"/>
  <c r="AO60" i="18"/>
  <c r="AP54" i="18"/>
  <c r="AQ80" i="18"/>
  <c r="AO72" i="18"/>
  <c r="AP80" i="18"/>
  <c r="AO78" i="18"/>
  <c r="AP79" i="18"/>
  <c r="AP77" i="18"/>
  <c r="AO74" i="18"/>
  <c r="AO63" i="18"/>
  <c r="AQ58" i="18"/>
  <c r="AO56" i="18"/>
  <c r="AP55" i="18"/>
  <c r="AO54" i="18"/>
  <c r="AO66" i="18"/>
  <c r="AQ61" i="18"/>
  <c r="CD271" i="70"/>
  <c r="CB273" i="70" l="1"/>
  <c r="CC272" i="70"/>
  <c r="AN56" i="18"/>
  <c r="AQ83" i="18"/>
  <c r="AU57" i="18"/>
  <c r="AW61" i="18"/>
  <c r="AU63" i="18"/>
  <c r="AU66" i="18"/>
  <c r="AW76" i="18"/>
  <c r="AW82" i="18"/>
  <c r="AU55" i="18"/>
  <c r="AW77" i="18"/>
  <c r="AW68" i="18"/>
  <c r="AW65" i="18"/>
  <c r="AV58" i="18"/>
  <c r="AT63" i="18"/>
  <c r="AX71" i="18"/>
  <c r="AV76" i="18"/>
  <c r="AX68" i="18"/>
  <c r="AT74" i="18"/>
  <c r="AU67" i="18"/>
  <c r="AT55" i="18"/>
  <c r="AX64" i="18"/>
  <c r="AT81" i="18"/>
  <c r="AT71" i="18"/>
  <c r="AT77" i="18"/>
  <c r="AT70" i="18"/>
  <c r="AT80" i="18"/>
  <c r="AU59" i="18"/>
  <c r="AV62" i="18"/>
  <c r="AW69" i="18"/>
  <c r="AU56" i="18"/>
  <c r="AV65" i="18"/>
  <c r="AU70" i="18"/>
  <c r="AX83" i="18"/>
  <c r="AO55" i="18"/>
  <c r="AP58" i="18"/>
  <c r="AO59" i="18"/>
  <c r="AQ65" i="18"/>
  <c r="AQ72" i="18"/>
  <c r="AN74" i="18"/>
  <c r="AO77" i="18"/>
  <c r="AO79" i="18"/>
  <c r="AP78" i="18"/>
  <c r="AM57" i="18"/>
  <c r="AP59" i="18"/>
  <c r="AQ62" i="18"/>
  <c r="AM64" i="18"/>
  <c r="AP66" i="18"/>
  <c r="AM68" i="18"/>
  <c r="AQ69" i="18"/>
  <c r="AO70" i="18"/>
  <c r="AN71" i="18"/>
  <c r="AP73" i="18"/>
  <c r="AM75" i="18"/>
  <c r="AQ76" i="18"/>
  <c r="AM78" i="18"/>
  <c r="AN80" i="18"/>
  <c r="AQ81" i="18"/>
  <c r="AN82" i="18"/>
  <c r="AM58" i="18"/>
  <c r="AN61" i="18"/>
  <c r="AN65" i="18"/>
  <c r="AP71" i="18"/>
  <c r="AQ74" i="18"/>
  <c r="AM59" i="18"/>
  <c r="AQ55" i="18"/>
  <c r="AP56" i="18"/>
  <c r="AN57" i="18"/>
  <c r="AQ59" i="18"/>
  <c r="AM61" i="18"/>
  <c r="AP63" i="18"/>
  <c r="AN64" i="18"/>
  <c r="AM65" i="18"/>
  <c r="AN68" i="18"/>
  <c r="AP70" i="18"/>
  <c r="AM72" i="18"/>
  <c r="AP74" i="18"/>
  <c r="AN75" i="18"/>
  <c r="AQ77" i="18"/>
  <c r="AN78" i="18"/>
  <c r="AQ79" i="18"/>
  <c r="AO82" i="18"/>
  <c r="AM83" i="18"/>
  <c r="AO68" i="18"/>
  <c r="AN72" i="18"/>
  <c r="AP82" i="18"/>
  <c r="AM66" i="18"/>
  <c r="AM80" i="18"/>
  <c r="AM82" i="18"/>
  <c r="AP83" i="18"/>
  <c r="AM70" i="18"/>
  <c r="AM71" i="18"/>
  <c r="AM74" i="18"/>
  <c r="AN77" i="18"/>
  <c r="AM54" i="18"/>
  <c r="AM56" i="18"/>
  <c r="AQ57" i="18"/>
  <c r="AN60" i="18"/>
  <c r="AP61" i="18"/>
  <c r="AM63" i="18"/>
  <c r="CD272" i="70"/>
  <c r="CB274" i="70" l="1"/>
  <c r="CC273" i="70"/>
  <c r="AU62" i="18"/>
  <c r="AV71" i="18"/>
  <c r="AX61" i="18"/>
  <c r="AX62" i="18"/>
  <c r="AU72" i="18"/>
  <c r="AT79" i="18"/>
  <c r="AX73" i="18"/>
  <c r="AX74" i="18"/>
  <c r="AX80" i="18"/>
  <c r="AT72" i="18"/>
  <c r="AV81" i="18"/>
  <c r="AX77" i="18"/>
  <c r="AW71" i="18"/>
  <c r="AT59" i="18"/>
  <c r="AT60" i="18"/>
  <c r="AT58" i="18"/>
  <c r="AV60" i="18"/>
  <c r="AV61" i="18"/>
  <c r="AV57" i="18"/>
  <c r="AV56" i="18"/>
  <c r="AV72" i="18"/>
  <c r="AV73" i="18"/>
  <c r="AU81" i="18"/>
  <c r="AT62" i="18"/>
  <c r="AW81" i="18"/>
  <c r="AW80" i="18"/>
  <c r="AX81" i="18"/>
  <c r="AT68" i="18"/>
  <c r="AT69" i="18"/>
  <c r="AX58" i="18"/>
  <c r="AX59" i="18"/>
  <c r="AX67" i="18"/>
  <c r="AX66" i="18"/>
  <c r="AV83" i="18"/>
  <c r="AV68" i="18"/>
  <c r="AV78" i="18"/>
  <c r="AV75" i="18"/>
  <c r="AV74" i="18"/>
  <c r="AV66" i="18"/>
  <c r="AV67" i="18"/>
  <c r="AW55" i="18"/>
  <c r="AT65" i="18"/>
  <c r="AT66" i="18"/>
  <c r="AV63" i="18"/>
  <c r="AV64" i="18"/>
  <c r="AU83" i="18"/>
  <c r="AT83" i="18"/>
  <c r="AV80" i="18"/>
  <c r="AW56" i="18"/>
  <c r="AX70" i="18"/>
  <c r="AT75" i="18"/>
  <c r="AU69" i="18"/>
  <c r="AW58" i="18"/>
  <c r="AW67" i="18"/>
  <c r="AW73" i="18"/>
  <c r="AX56" i="18"/>
  <c r="AW79" i="18"/>
  <c r="AW64" i="18"/>
  <c r="AU78" i="18"/>
  <c r="AU75" i="18"/>
  <c r="AW62" i="18"/>
  <c r="AU60" i="18"/>
  <c r="AX57" i="18"/>
  <c r="AT56" i="18"/>
  <c r="AU77" i="18"/>
  <c r="AT82" i="18"/>
  <c r="AT67" i="18"/>
  <c r="AW83" i="18"/>
  <c r="AU73" i="18"/>
  <c r="AV69" i="18"/>
  <c r="AV82" i="18"/>
  <c r="AX79" i="18"/>
  <c r="AU79" i="18"/>
  <c r="AX78" i="18"/>
  <c r="AU76" i="18"/>
  <c r="AW75" i="18"/>
  <c r="AT73" i="18"/>
  <c r="AW70" i="18"/>
  <c r="AU68" i="18"/>
  <c r="AU64" i="18"/>
  <c r="AW63" i="18"/>
  <c r="AT61" i="18"/>
  <c r="AX60" i="18"/>
  <c r="AU58" i="18"/>
  <c r="AW57" i="18"/>
  <c r="AX55" i="18"/>
  <c r="AX75" i="18"/>
  <c r="AW72" i="18"/>
  <c r="AU65" i="18"/>
  <c r="AU61" i="18"/>
  <c r="AU82" i="18"/>
  <c r="AX82" i="18"/>
  <c r="AU80" i="18"/>
  <c r="AT78" i="18"/>
  <c r="AX76" i="18"/>
  <c r="AT76" i="18"/>
  <c r="AW74" i="18"/>
  <c r="AU71" i="18"/>
  <c r="AV70" i="18"/>
  <c r="AX69" i="18"/>
  <c r="AW66" i="18"/>
  <c r="AT64" i="18"/>
  <c r="AX63" i="18"/>
  <c r="AW60" i="18"/>
  <c r="AT57" i="18"/>
  <c r="AW78" i="18"/>
  <c r="AV79" i="18"/>
  <c r="AV77" i="18"/>
  <c r="AU74" i="18"/>
  <c r="AX72" i="18"/>
  <c r="AX65" i="18"/>
  <c r="AV59" i="18"/>
  <c r="AW59" i="18"/>
  <c r="AV55" i="18"/>
  <c r="CD273" i="70"/>
  <c r="CB275" i="70" l="1"/>
  <c r="CC274" i="70"/>
  <c r="J38" i="18"/>
  <c r="J39" i="18"/>
  <c r="J40" i="18"/>
  <c r="J44" i="18"/>
  <c r="J50" i="18"/>
  <c r="J52" i="18"/>
  <c r="AQ44" i="18"/>
  <c r="AO49" i="18"/>
  <c r="AN49" i="18"/>
  <c r="AM50" i="18"/>
  <c r="CD274" i="70"/>
  <c r="CB276" i="70" l="1"/>
  <c r="CC275" i="70"/>
  <c r="AP52" i="18"/>
  <c r="J51" i="18"/>
  <c r="AN50" i="18"/>
  <c r="J49" i="18"/>
  <c r="AP49" i="18"/>
  <c r="J48" i="18"/>
  <c r="AM48" i="18"/>
  <c r="J47" i="18"/>
  <c r="AQ47" i="18"/>
  <c r="J46" i="18"/>
  <c r="AQ46" i="18"/>
  <c r="J45" i="18"/>
  <c r="AM44" i="18"/>
  <c r="J43" i="18"/>
  <c r="J42" i="18"/>
  <c r="AM42" i="18"/>
  <c r="J41" i="18"/>
  <c r="AN44" i="18"/>
  <c r="AO44" i="18"/>
  <c r="AP44" i="18"/>
  <c r="AQ50" i="18"/>
  <c r="AT43" i="18"/>
  <c r="AN53" i="18"/>
  <c r="AO53" i="18"/>
  <c r="AP53" i="18"/>
  <c r="AQ53" i="18"/>
  <c r="AO47" i="18"/>
  <c r="AO41" i="18"/>
  <c r="AP41" i="18"/>
  <c r="AN41" i="18"/>
  <c r="AP42" i="18"/>
  <c r="AQ42" i="18"/>
  <c r="AN42" i="18"/>
  <c r="AO42" i="18"/>
  <c r="AO51" i="18"/>
  <c r="AN45" i="18"/>
  <c r="AQ45" i="18"/>
  <c r="AN39" i="18"/>
  <c r="AP51" i="18"/>
  <c r="AN47" i="18"/>
  <c r="AP47" i="18"/>
  <c r="AM47" i="18"/>
  <c r="AM41" i="18"/>
  <c r="AQ41" i="18"/>
  <c r="AQ52" i="18"/>
  <c r="AO52" i="18"/>
  <c r="AN40" i="18"/>
  <c r="AO40" i="18"/>
  <c r="AU42" i="18"/>
  <c r="AN48" i="18"/>
  <c r="AT48" i="18"/>
  <c r="AT42" i="18"/>
  <c r="AX47" i="18"/>
  <c r="AX44" i="18"/>
  <c r="AX43" i="18"/>
  <c r="AP46" i="18"/>
  <c r="CD275" i="70"/>
  <c r="CB277" i="70" l="1"/>
  <c r="CC276" i="70"/>
  <c r="AQ43" i="18"/>
  <c r="AM43" i="18"/>
  <c r="AP43" i="18"/>
  <c r="AN43" i="18"/>
  <c r="AO43" i="18"/>
  <c r="AV46" i="18"/>
  <c r="AO46" i="18"/>
  <c r="AU46" i="18"/>
  <c r="AN46" i="18"/>
  <c r="AT46" i="18"/>
  <c r="AM46" i="18"/>
  <c r="AU50" i="18"/>
  <c r="AX49" i="18"/>
  <c r="AQ48" i="18"/>
  <c r="AW48" i="18"/>
  <c r="AP48" i="18"/>
  <c r="AV48" i="18"/>
  <c r="AO48" i="18"/>
  <c r="AT49" i="18"/>
  <c r="AQ40" i="18"/>
  <c r="AW41" i="18"/>
  <c r="AP40" i="18"/>
  <c r="AT40" i="18"/>
  <c r="AM40" i="18"/>
  <c r="AT52" i="18"/>
  <c r="AM52" i="18"/>
  <c r="AU52" i="18"/>
  <c r="AN52" i="18"/>
  <c r="AT39" i="18"/>
  <c r="AM39" i="18"/>
  <c r="AP39" i="18"/>
  <c r="AQ39" i="18"/>
  <c r="AV39" i="18"/>
  <c r="AO39" i="18"/>
  <c r="AT45" i="18"/>
  <c r="AM45" i="18"/>
  <c r="AW45" i="18"/>
  <c r="AP45" i="18"/>
  <c r="AV45" i="18"/>
  <c r="AO45" i="18"/>
  <c r="AX51" i="18"/>
  <c r="AQ51" i="18"/>
  <c r="AU51" i="18"/>
  <c r="AN51" i="18"/>
  <c r="AT51" i="18"/>
  <c r="AM51" i="18"/>
  <c r="AM53" i="18"/>
  <c r="AP50" i="18"/>
  <c r="AV50" i="18"/>
  <c r="AO50" i="18"/>
  <c r="AX50" i="18"/>
  <c r="AQ49" i="18"/>
  <c r="AM49" i="18"/>
  <c r="AT44" i="18"/>
  <c r="AV43" i="18"/>
  <c r="AV51" i="18"/>
  <c r="AU39" i="18"/>
  <c r="AU45" i="18"/>
  <c r="AT41" i="18"/>
  <c r="AU41" i="18"/>
  <c r="AW42" i="18"/>
  <c r="AX40" i="18"/>
  <c r="AW52" i="18"/>
  <c r="AW51" i="18"/>
  <c r="AX45" i="18"/>
  <c r="AX46" i="18"/>
  <c r="AU40" i="18"/>
  <c r="AV40" i="18"/>
  <c r="AV41" i="18"/>
  <c r="AX52" i="18"/>
  <c r="AU49" i="18"/>
  <c r="AU48" i="18"/>
  <c r="AW49" i="18"/>
  <c r="AV49" i="18"/>
  <c r="AW47" i="18"/>
  <c r="AW46" i="18"/>
  <c r="AU47" i="18"/>
  <c r="AT47" i="18"/>
  <c r="AW44" i="18"/>
  <c r="AW43" i="18"/>
  <c r="AV47" i="18"/>
  <c r="AU43" i="18"/>
  <c r="AU44" i="18"/>
  <c r="CD276" i="70"/>
  <c r="CB278" i="70" l="1"/>
  <c r="CC277" i="70"/>
  <c r="AX39" i="18"/>
  <c r="AV53" i="18"/>
  <c r="AV54" i="18"/>
  <c r="AW53" i="18"/>
  <c r="AW54" i="18"/>
  <c r="AX53" i="18"/>
  <c r="AX54" i="18"/>
  <c r="AT54" i="18"/>
  <c r="AT53" i="18"/>
  <c r="AU54" i="18"/>
  <c r="AU53" i="18"/>
  <c r="AX42" i="18"/>
  <c r="AV42" i="18"/>
  <c r="AX48" i="18"/>
  <c r="AW40" i="18"/>
  <c r="AV52" i="18"/>
  <c r="AV44" i="18"/>
  <c r="AT50" i="18"/>
  <c r="AW50" i="18"/>
  <c r="AW39" i="18"/>
  <c r="AX41" i="18"/>
  <c r="CD277" i="70"/>
  <c r="CB279" i="70" l="1"/>
  <c r="CC278" i="70"/>
  <c r="BD4" i="18"/>
  <c r="BD41" i="18"/>
  <c r="BA33" i="18"/>
  <c r="BC18" i="18"/>
  <c r="BD48" i="18"/>
  <c r="BC53" i="18"/>
  <c r="BA28" i="18"/>
  <c r="BC49" i="18"/>
  <c r="BB9" i="18"/>
  <c r="BA44" i="18"/>
  <c r="BD47" i="18"/>
  <c r="BB39" i="18"/>
  <c r="BB17" i="18"/>
  <c r="BC14" i="18"/>
  <c r="BE27" i="18"/>
  <c r="BD26" i="18"/>
  <c r="BD53" i="18"/>
  <c r="BC38" i="18"/>
  <c r="BC21" i="18"/>
  <c r="BB28" i="18"/>
  <c r="BD33" i="18"/>
  <c r="BA23" i="18"/>
  <c r="BE7" i="18"/>
  <c r="BC4" i="18"/>
  <c r="BE41" i="18"/>
  <c r="BD42" i="18"/>
  <c r="BD23" i="18"/>
  <c r="BC37" i="18"/>
  <c r="BD36" i="18"/>
  <c r="BC42" i="18"/>
  <c r="BD6" i="18"/>
  <c r="BD51" i="18"/>
  <c r="BE35" i="18"/>
  <c r="BD16" i="18"/>
  <c r="BB21" i="18"/>
  <c r="BB12" i="18"/>
  <c r="BE9" i="18"/>
  <c r="BD27" i="18"/>
  <c r="BC16" i="18"/>
  <c r="BA16" i="18"/>
  <c r="BC25" i="18"/>
  <c r="BE18" i="18"/>
  <c r="BD12" i="18"/>
  <c r="BA52" i="18"/>
  <c r="BD25" i="18"/>
  <c r="BA22" i="18"/>
  <c r="BE30" i="18"/>
  <c r="BB7" i="18"/>
  <c r="BC20" i="18"/>
  <c r="BB45" i="18"/>
  <c r="BB30" i="18"/>
  <c r="BC6" i="18"/>
  <c r="BE16" i="18"/>
  <c r="BB48" i="18"/>
  <c r="BA38" i="18"/>
  <c r="BA11" i="18"/>
  <c r="BE15" i="18"/>
  <c r="BA24" i="18"/>
  <c r="BB40" i="18"/>
  <c r="BE34" i="18"/>
  <c r="BC15" i="18"/>
  <c r="BE52" i="18"/>
  <c r="BA6" i="18"/>
  <c r="BE14" i="18"/>
  <c r="BB16" i="18"/>
  <c r="BC30" i="18"/>
  <c r="BE42" i="18"/>
  <c r="BE50" i="18"/>
  <c r="BD8" i="18"/>
  <c r="BC9" i="18"/>
  <c r="BC24" i="18"/>
  <c r="BC44" i="18"/>
  <c r="BA41" i="18"/>
  <c r="BA17" i="18"/>
  <c r="BD15" i="18"/>
  <c r="BA40" i="18"/>
  <c r="BE4" i="18"/>
  <c r="BE46" i="18"/>
  <c r="BE29" i="18"/>
  <c r="BE47" i="18"/>
  <c r="BC41" i="18"/>
  <c r="BE45" i="18"/>
  <c r="BB36" i="18"/>
  <c r="BB26" i="18"/>
  <c r="BE49" i="18"/>
  <c r="BC39" i="18"/>
  <c r="BA50" i="18"/>
  <c r="BB27" i="18"/>
  <c r="BD46" i="18"/>
  <c r="BC27" i="18"/>
  <c r="BC40" i="18"/>
  <c r="BA42" i="18"/>
  <c r="BE20" i="18"/>
  <c r="BE23" i="18"/>
  <c r="BB8" i="18"/>
  <c r="BC32" i="18"/>
  <c r="BD24" i="18"/>
  <c r="BD45" i="18"/>
  <c r="BD14" i="18"/>
  <c r="BC28" i="18"/>
  <c r="BB50" i="18"/>
  <c r="BC19" i="18"/>
  <c r="BB37" i="18"/>
  <c r="BB22" i="18"/>
  <c r="BD22" i="18"/>
  <c r="BB18" i="18"/>
  <c r="BC12" i="18"/>
  <c r="BE36" i="18"/>
  <c r="BE5" i="18"/>
  <c r="BE25" i="18"/>
  <c r="BB38" i="18"/>
  <c r="BC10" i="18"/>
  <c r="BC45" i="18"/>
  <c r="BD52" i="18"/>
  <c r="BA25" i="18"/>
  <c r="BA46" i="18"/>
  <c r="BB13" i="18"/>
  <c r="BB19" i="18"/>
  <c r="BA12" i="18"/>
  <c r="BC35" i="18"/>
  <c r="BA14" i="18"/>
  <c r="BB49" i="18"/>
  <c r="BA10" i="18"/>
  <c r="BA30" i="18"/>
  <c r="BD11" i="18"/>
  <c r="BD38" i="18"/>
  <c r="BA21" i="18"/>
  <c r="BB25" i="18"/>
  <c r="BD10" i="18"/>
  <c r="BE39" i="18"/>
  <c r="BA43" i="18"/>
  <c r="BB46" i="18"/>
  <c r="BE21" i="18"/>
  <c r="BE32" i="18"/>
  <c r="BD34" i="18"/>
  <c r="BE24" i="18"/>
  <c r="BE26" i="18"/>
  <c r="BD17" i="18"/>
  <c r="BD39" i="18"/>
  <c r="BD35" i="18"/>
  <c r="BD44" i="18"/>
  <c r="BD37" i="18"/>
  <c r="BE17" i="18"/>
  <c r="BA15" i="18"/>
  <c r="BC17" i="18"/>
  <c r="BC29" i="18"/>
  <c r="BD50" i="18"/>
  <c r="BB42" i="18"/>
  <c r="BA13" i="18"/>
  <c r="BA32" i="18"/>
  <c r="BE11" i="18"/>
  <c r="BC26" i="18"/>
  <c r="BB53" i="18"/>
  <c r="BB44" i="18"/>
  <c r="BD18" i="18"/>
  <c r="BA47" i="18"/>
  <c r="BC43" i="18"/>
  <c r="BC31" i="18"/>
  <c r="BD28" i="18"/>
  <c r="BB14" i="18"/>
  <c r="BB31" i="18"/>
  <c r="BC11" i="18"/>
  <c r="BA26" i="18"/>
  <c r="BA39" i="18"/>
  <c r="BD9" i="18"/>
  <c r="BA53" i="18"/>
  <c r="BA29" i="18"/>
  <c r="BA49" i="18"/>
  <c r="BD49" i="18"/>
  <c r="BA19" i="18"/>
  <c r="BC23" i="18"/>
  <c r="BB10" i="18"/>
  <c r="BE6" i="18"/>
  <c r="BC36" i="18"/>
  <c r="BA51" i="18"/>
  <c r="BB41" i="18"/>
  <c r="BA34" i="18"/>
  <c r="BA37" i="18"/>
  <c r="BC52" i="18"/>
  <c r="BE48" i="18"/>
  <c r="BD29" i="18"/>
  <c r="BC13" i="18"/>
  <c r="BE22" i="18"/>
  <c r="BE13" i="18"/>
  <c r="BE10" i="18"/>
  <c r="BE43" i="18"/>
  <c r="BD40" i="18"/>
  <c r="BE8" i="18"/>
  <c r="BB5" i="18"/>
  <c r="BA18" i="18"/>
  <c r="BE28" i="18"/>
  <c r="BA36" i="18"/>
  <c r="BA20" i="18"/>
  <c r="BB15" i="18"/>
  <c r="BB47" i="18"/>
  <c r="BC22" i="18"/>
  <c r="BD21" i="18"/>
  <c r="BC5" i="18"/>
  <c r="BC7" i="18"/>
  <c r="BB51" i="18"/>
  <c r="BD19" i="18"/>
  <c r="BA45" i="18"/>
  <c r="BE33" i="18"/>
  <c r="BB11" i="18"/>
  <c r="BA8" i="18"/>
  <c r="BD5" i="18"/>
  <c r="BE40" i="18"/>
  <c r="BC50" i="18"/>
  <c r="BA9" i="18"/>
  <c r="BC46" i="18"/>
  <c r="BA31" i="18"/>
  <c r="BD32" i="18"/>
  <c r="BB43" i="18"/>
  <c r="BB24" i="18"/>
  <c r="BB6" i="18"/>
  <c r="BE31" i="18"/>
  <c r="BC8" i="18"/>
  <c r="BB32" i="18"/>
  <c r="BE37" i="18"/>
  <c r="BB52" i="18"/>
  <c r="BD43" i="18"/>
  <c r="BA27" i="18"/>
  <c r="BB4" i="18"/>
  <c r="BD31" i="18"/>
  <c r="BD13" i="18"/>
  <c r="BA7" i="18"/>
  <c r="BA5" i="18"/>
  <c r="BB33" i="18"/>
  <c r="BB23" i="18"/>
  <c r="BC33" i="18"/>
  <c r="BE19" i="18"/>
  <c r="BE12" i="18"/>
  <c r="BA35" i="18"/>
  <c r="BD20" i="18"/>
  <c r="BE44" i="18"/>
  <c r="BC48" i="18"/>
  <c r="BE53" i="18"/>
  <c r="BB20" i="18"/>
  <c r="BA48" i="18"/>
  <c r="BE38" i="18"/>
  <c r="BB34" i="18"/>
  <c r="BC47" i="18"/>
  <c r="BE51" i="18"/>
  <c r="BD7" i="18"/>
  <c r="BB29" i="18"/>
  <c r="BA4" i="18"/>
  <c r="BD30" i="18"/>
  <c r="BC51" i="18"/>
  <c r="BB35" i="18"/>
  <c r="BC34" i="18"/>
  <c r="CD278" i="70"/>
  <c r="CB280" i="70" l="1"/>
  <c r="CC279" i="70"/>
  <c r="CD279" i="70"/>
  <c r="CB281" i="70" l="1"/>
  <c r="CC280" i="70"/>
  <c r="CD280" i="70"/>
  <c r="CB282" i="70" l="1"/>
  <c r="CC281" i="70"/>
  <c r="CD281" i="70"/>
  <c r="CB283" i="70" l="1"/>
  <c r="CC282" i="70"/>
  <c r="CD282" i="70"/>
  <c r="CB284" i="70" l="1"/>
  <c r="CC283" i="70"/>
  <c r="CD283" i="70"/>
  <c r="CB285" i="70" l="1"/>
  <c r="CC284" i="70"/>
  <c r="CD284" i="70"/>
  <c r="CB286" i="70" l="1"/>
  <c r="CC285" i="70"/>
  <c r="CD285" i="70"/>
  <c r="CB287" i="70" l="1"/>
  <c r="CC286" i="70"/>
  <c r="CD286" i="70"/>
  <c r="CB288" i="70" l="1"/>
  <c r="CC287" i="70"/>
  <c r="CD287" i="70"/>
  <c r="CB289" i="70" l="1"/>
  <c r="CC288" i="70"/>
  <c r="CD288" i="70"/>
  <c r="CB290" i="70" l="1"/>
  <c r="CC289" i="70"/>
  <c r="CD289" i="70"/>
  <c r="CB291" i="70" l="1"/>
  <c r="CC290" i="70"/>
  <c r="CD290" i="70"/>
  <c r="CB292" i="70" l="1"/>
  <c r="CC291" i="70"/>
  <c r="CD291" i="70"/>
  <c r="CB293" i="70" l="1"/>
  <c r="CC292" i="70"/>
  <c r="CD292" i="70"/>
  <c r="CB294" i="70" l="1"/>
  <c r="CC293" i="70"/>
  <c r="CD293" i="70"/>
  <c r="CB295" i="70" l="1"/>
  <c r="CC294" i="70"/>
  <c r="CD294" i="70"/>
  <c r="CB296" i="70" l="1"/>
  <c r="CC295" i="70"/>
  <c r="CD295" i="70"/>
  <c r="CB297" i="70" l="1"/>
  <c r="CC296" i="70"/>
  <c r="CD296" i="70"/>
  <c r="CB298" i="70" l="1"/>
  <c r="CC297" i="70"/>
  <c r="CD297" i="70"/>
  <c r="CB299" i="70" l="1"/>
  <c r="CC298" i="70"/>
  <c r="CD298" i="70"/>
  <c r="CB300" i="70" l="1"/>
  <c r="CC299" i="70"/>
  <c r="CD299" i="70"/>
  <c r="CB301" i="70" l="1"/>
  <c r="CC300" i="70"/>
  <c r="CD300" i="70"/>
  <c r="CB302" i="70" l="1"/>
  <c r="CC301" i="70"/>
  <c r="CD301" i="70"/>
  <c r="CC302" i="70" l="1"/>
  <c r="CD302" i="70"/>
  <c r="J8" i="91" l="1"/>
  <c r="J22" i="91"/>
  <c r="J24" i="91"/>
  <c r="J5" i="91"/>
  <c r="J9" i="91"/>
  <c r="J6" i="91"/>
  <c r="J7" i="91"/>
  <c r="J4" i="91"/>
  <c r="J78" i="91"/>
  <c r="J86" i="91"/>
  <c r="J211" i="91"/>
  <c r="J224" i="91"/>
  <c r="J222" i="91"/>
  <c r="J210" i="91"/>
  <c r="J198" i="91"/>
  <c r="J208" i="91"/>
  <c r="J218" i="91"/>
  <c r="J197" i="91"/>
  <c r="J200" i="91"/>
  <c r="J207" i="91"/>
  <c r="J213" i="91"/>
  <c r="J205" i="91"/>
  <c r="J217" i="91"/>
  <c r="J214" i="91"/>
  <c r="J223" i="91"/>
  <c r="J202" i="91"/>
  <c r="J215" i="91"/>
  <c r="J206" i="91"/>
  <c r="J204" i="91"/>
  <c r="J221" i="91"/>
  <c r="J219" i="91"/>
  <c r="J212" i="91"/>
  <c r="J16" i="91"/>
  <c r="J17" i="91"/>
  <c r="J20" i="91"/>
  <c r="J21" i="91"/>
  <c r="J155" i="91"/>
  <c r="J157" i="91"/>
  <c r="J148" i="91"/>
  <c r="J147" i="91"/>
  <c r="J154" i="91"/>
  <c r="J150" i="91"/>
  <c r="J152" i="91"/>
  <c r="J151" i="91"/>
  <c r="J158" i="91"/>
  <c r="J140" i="91"/>
  <c r="J145" i="91"/>
  <c r="J159" i="91"/>
  <c r="J149" i="91"/>
  <c r="J143" i="91"/>
  <c r="J153" i="91"/>
  <c r="J325" i="91"/>
  <c r="J321" i="91"/>
  <c r="J327" i="91"/>
  <c r="J332" i="91"/>
  <c r="J328" i="91"/>
  <c r="J326" i="91"/>
  <c r="J104" i="91"/>
  <c r="J101" i="91"/>
  <c r="J98" i="91"/>
  <c r="J105" i="91"/>
  <c r="J102" i="91"/>
  <c r="J103" i="91"/>
  <c r="J100" i="91"/>
  <c r="J94" i="91"/>
  <c r="J50" i="91"/>
  <c r="J48" i="91"/>
  <c r="J49" i="91"/>
  <c r="J46" i="91"/>
  <c r="J123" i="91"/>
  <c r="J128" i="91"/>
  <c r="J129" i="91"/>
  <c r="J124" i="91"/>
  <c r="J122" i="91"/>
  <c r="J127" i="91"/>
  <c r="J125" i="91"/>
  <c r="J184" i="91"/>
  <c r="J193" i="91"/>
  <c r="J190" i="91"/>
  <c r="J192" i="91"/>
  <c r="J187" i="91"/>
  <c r="J195" i="91"/>
  <c r="J194" i="91"/>
  <c r="J196" i="91"/>
  <c r="J191" i="91"/>
  <c r="J186" i="91"/>
  <c r="J176" i="91"/>
  <c r="J178" i="91"/>
  <c r="J188" i="91"/>
  <c r="J185" i="91"/>
  <c r="J182" i="91"/>
  <c r="J175" i="91"/>
  <c r="J174" i="91"/>
  <c r="J180" i="91"/>
  <c r="J40" i="91"/>
  <c r="J41" i="91"/>
  <c r="J37" i="91"/>
  <c r="J32" i="91"/>
  <c r="J31" i="91"/>
  <c r="J33" i="91"/>
  <c r="J30" i="91"/>
  <c r="J117" i="91"/>
  <c r="J119" i="91"/>
  <c r="J112" i="91"/>
  <c r="J110" i="91"/>
  <c r="J107" i="91"/>
  <c r="J106" i="91"/>
  <c r="J115" i="91"/>
  <c r="J120" i="91"/>
  <c r="J118" i="91"/>
  <c r="J116" i="91"/>
  <c r="J121" i="91"/>
  <c r="J47" i="91"/>
  <c r="J45" i="91"/>
  <c r="J44" i="91"/>
  <c r="J42" i="91"/>
  <c r="J18" i="91"/>
  <c r="J19" i="91"/>
  <c r="J66" i="91"/>
  <c r="J68" i="91"/>
  <c r="J70" i="91"/>
  <c r="J73" i="91"/>
  <c r="J69" i="91"/>
  <c r="J71" i="91"/>
  <c r="J67" i="91"/>
  <c r="J74" i="91"/>
  <c r="J72" i="91"/>
  <c r="J278" i="91"/>
  <c r="J290" i="91"/>
  <c r="J294" i="91"/>
  <c r="J293" i="91"/>
  <c r="J267" i="91"/>
  <c r="J282" i="91"/>
  <c r="J281" i="91"/>
  <c r="J292" i="91"/>
  <c r="J275" i="91"/>
  <c r="J295" i="91"/>
  <c r="J287" i="91"/>
  <c r="J266" i="91"/>
  <c r="J288" i="91"/>
  <c r="J279" i="91"/>
  <c r="J284" i="91"/>
  <c r="J260" i="91"/>
  <c r="J280" i="91"/>
  <c r="J34" i="91"/>
  <c r="J35" i="91"/>
  <c r="J36" i="91"/>
  <c r="J28" i="91"/>
  <c r="J29" i="91"/>
  <c r="J301" i="91"/>
  <c r="J312" i="91"/>
  <c r="J308" i="91"/>
  <c r="J311" i="91"/>
  <c r="J300" i="91"/>
  <c r="J313" i="91"/>
  <c r="J316" i="91"/>
  <c r="J299" i="91"/>
  <c r="J304" i="91"/>
  <c r="J306" i="91"/>
  <c r="J163" i="91"/>
  <c r="J170" i="91"/>
  <c r="J173" i="91"/>
  <c r="J179" i="91"/>
  <c r="J160" i="91"/>
  <c r="J171" i="91"/>
  <c r="J164" i="91"/>
  <c r="J177" i="91"/>
  <c r="J183" i="91"/>
  <c r="J95" i="91"/>
  <c r="J96" i="91"/>
  <c r="J87" i="91"/>
  <c r="J88" i="91"/>
  <c r="J93" i="91"/>
  <c r="J89" i="91"/>
  <c r="J92" i="91"/>
  <c r="J90" i="91"/>
  <c r="J134" i="91"/>
  <c r="J137" i="91"/>
  <c r="J133" i="91"/>
  <c r="J139" i="91"/>
  <c r="J337" i="91"/>
  <c r="J320" i="91"/>
  <c r="J334" i="91"/>
  <c r="J318" i="91"/>
  <c r="J330" i="91"/>
  <c r="J329" i="91"/>
  <c r="J322" i="91"/>
  <c r="J336" i="91"/>
  <c r="J324" i="91"/>
  <c r="J323" i="91"/>
  <c r="J333" i="91"/>
  <c r="J335" i="91"/>
  <c r="J331" i="91"/>
  <c r="J339" i="91"/>
  <c r="J229" i="91"/>
  <c r="J232" i="91"/>
  <c r="J59" i="91"/>
  <c r="J57" i="91"/>
  <c r="J276" i="91"/>
  <c r="J271" i="91"/>
  <c r="J263" i="91"/>
  <c r="J268" i="91"/>
  <c r="J259" i="91"/>
  <c r="J253" i="91"/>
  <c r="J245" i="91"/>
  <c r="J261" i="91"/>
  <c r="J64" i="91"/>
  <c r="J63" i="91"/>
  <c r="J209" i="91"/>
  <c r="J203" i="91"/>
  <c r="J146" i="91"/>
  <c r="J141" i="91"/>
  <c r="J144" i="91"/>
  <c r="J254" i="91"/>
  <c r="J246" i="91"/>
  <c r="J241" i="91"/>
  <c r="J108" i="91"/>
  <c r="J113" i="91"/>
  <c r="J165" i="91"/>
  <c r="J216" i="91"/>
  <c r="J199" i="91"/>
  <c r="J319" i="91"/>
  <c r="J338" i="91"/>
  <c r="J97" i="91"/>
  <c r="J53" i="91"/>
  <c r="J76" i="91"/>
  <c r="J226" i="91"/>
  <c r="J26" i="91"/>
  <c r="J56" i="91"/>
  <c r="J201" i="91"/>
  <c r="J189" i="91"/>
  <c r="J277" i="91"/>
  <c r="J272" i="91"/>
  <c r="J99" i="91"/>
  <c r="J274" i="91"/>
  <c r="J249" i="91"/>
  <c r="J114" i="91"/>
  <c r="J181" i="91"/>
  <c r="J132" i="91"/>
  <c r="J75" i="91"/>
  <c r="J220" i="91"/>
  <c r="J258" i="91"/>
  <c r="J13" i="91"/>
  <c r="J142" i="91"/>
  <c r="J23" i="91"/>
  <c r="J302" i="91"/>
  <c r="J269" i="91"/>
  <c r="J111" i="91"/>
  <c r="J156" i="91"/>
  <c r="J62" i="91"/>
  <c r="J264" i="91"/>
  <c r="J310" i="91"/>
  <c r="J248" i="91"/>
  <c r="J297" i="91"/>
  <c r="J27" i="91"/>
  <c r="J307" i="91"/>
  <c r="J240" i="91"/>
  <c r="J296" i="91"/>
  <c r="J262" i="91"/>
  <c r="J172" i="91"/>
  <c r="J231" i="91"/>
  <c r="J39" i="91"/>
  <c r="J126" i="91"/>
  <c r="J309" i="91"/>
  <c r="J255" i="91"/>
  <c r="J298" i="91"/>
  <c r="J10" i="91"/>
  <c r="J317" i="91"/>
  <c r="J38" i="91"/>
  <c r="J12" i="91"/>
  <c r="J51" i="91"/>
  <c r="J25" i="91"/>
  <c r="J270" i="91"/>
  <c r="J256" i="91"/>
  <c r="J135" i="91"/>
  <c r="J161" i="91"/>
  <c r="J77" i="91"/>
  <c r="J252" i="91"/>
  <c r="J109" i="91"/>
  <c r="J305" i="91"/>
  <c r="J251" i="91"/>
  <c r="J14" i="91"/>
  <c r="J315" i="91"/>
  <c r="J168" i="91"/>
  <c r="J84" i="91"/>
  <c r="J91" i="91"/>
  <c r="J80" i="91"/>
  <c r="J235" i="91"/>
  <c r="J236" i="91"/>
  <c r="J43" i="91"/>
  <c r="J55" i="91"/>
  <c r="J291" i="91"/>
  <c r="J283" i="91"/>
  <c r="J273" i="91"/>
  <c r="J265" i="91"/>
  <c r="J242" i="91"/>
  <c r="J230" i="91"/>
  <c r="J247" i="91"/>
  <c r="J52" i="91"/>
  <c r="J233" i="91"/>
  <c r="J250" i="91"/>
  <c r="J130" i="91"/>
  <c r="J303" i="91"/>
  <c r="J243" i="91"/>
  <c r="J289" i="91"/>
  <c r="J257" i="91"/>
  <c r="J65" i="91"/>
  <c r="J85" i="91"/>
  <c r="J167" i="91"/>
  <c r="J285" i="91"/>
  <c r="J237" i="91"/>
  <c r="J136" i="91"/>
  <c r="J286" i="91"/>
  <c r="J244" i="91"/>
  <c r="J314" i="91"/>
  <c r="J166" i="91"/>
  <c r="J162" i="91"/>
  <c r="J228" i="91"/>
  <c r="J82" i="91"/>
  <c r="J227" i="91"/>
  <c r="J15" i="91"/>
  <c r="J169" i="91"/>
  <c r="J79" i="91"/>
  <c r="J238" i="91"/>
  <c r="J234" i="91"/>
  <c r="J54" i="91"/>
  <c r="J138" i="91"/>
  <c r="J131" i="91"/>
  <c r="J58" i="91"/>
  <c r="J225" i="91"/>
  <c r="J61" i="91"/>
  <c r="J11" i="91"/>
  <c r="J239" i="91"/>
  <c r="J60" i="91"/>
  <c r="J83" i="91"/>
  <c r="J81" i="91"/>
  <c r="CE81" i="84"/>
  <c r="BX81" i="84"/>
  <c r="C80" i="91"/>
  <c r="CE13" i="84"/>
  <c r="C12" i="91"/>
  <c r="BX13" i="84"/>
  <c r="CE18" i="84"/>
  <c r="BX18" i="84"/>
  <c r="C17" i="91"/>
  <c r="CE43" i="84"/>
  <c r="BX43" i="84"/>
  <c r="C42" i="91"/>
  <c r="C45" i="91"/>
  <c r="BX46" i="84"/>
  <c r="CE46" i="84"/>
  <c r="C75" i="91"/>
  <c r="BX76" i="84"/>
  <c r="CE76" i="84"/>
  <c r="CE30" i="84"/>
  <c r="C29" i="91"/>
  <c r="BX30" i="84"/>
  <c r="BX23" i="84"/>
  <c r="CE23" i="84"/>
  <c r="C22" i="91"/>
  <c r="BX47" i="84"/>
  <c r="C46" i="91"/>
  <c r="CE47" i="84"/>
  <c r="BX88" i="84"/>
  <c r="CE88" i="84"/>
  <c r="C87" i="91"/>
  <c r="BX70" i="84"/>
  <c r="CE70" i="84"/>
  <c r="C69" i="91"/>
  <c r="BX21" i="84"/>
  <c r="C20" i="91"/>
  <c r="CE21" i="84"/>
  <c r="CE59" i="84"/>
  <c r="C58" i="91"/>
  <c r="BX59" i="84"/>
  <c r="CE48" i="84"/>
  <c r="BX48" i="84"/>
  <c r="C47" i="91"/>
  <c r="C72" i="91"/>
  <c r="CE73" i="84"/>
  <c r="BX73" i="84"/>
  <c r="C18" i="91"/>
  <c r="BX19" i="84"/>
  <c r="CE19" i="84"/>
  <c r="CE79" i="84"/>
  <c r="BX79" i="84"/>
  <c r="C78" i="91"/>
  <c r="BX56" i="84"/>
  <c r="C55" i="91"/>
  <c r="CE56" i="84"/>
  <c r="CE33" i="84"/>
  <c r="BX33" i="84"/>
  <c r="C32" i="91"/>
  <c r="CE24" i="84"/>
  <c r="C23" i="91"/>
  <c r="BX24" i="84"/>
  <c r="CE37" i="84"/>
  <c r="BX37" i="84"/>
  <c r="C36" i="91"/>
  <c r="BX53" i="84"/>
  <c r="CE53" i="84"/>
  <c r="C52" i="91"/>
  <c r="C71" i="91"/>
  <c r="CE72" i="84"/>
  <c r="BX72" i="84"/>
  <c r="CE26" i="84"/>
  <c r="BX26" i="84"/>
  <c r="C25" i="91"/>
  <c r="CE58" i="84"/>
  <c r="C57" i="91"/>
  <c r="BX58" i="84"/>
  <c r="BX44" i="84"/>
  <c r="CE44" i="84"/>
  <c r="C43" i="91"/>
  <c r="C49" i="91"/>
  <c r="BX50" i="84"/>
  <c r="CE50" i="84"/>
  <c r="BX27" i="84"/>
  <c r="C26" i="91"/>
  <c r="CE27" i="84"/>
  <c r="BX39" i="84"/>
  <c r="CE39" i="84"/>
  <c r="C38" i="91"/>
  <c r="C64" i="91"/>
  <c r="CE65" i="84"/>
  <c r="BX65" i="84"/>
  <c r="C59" i="91"/>
  <c r="CE60" i="84"/>
  <c r="BX60" i="84"/>
  <c r="BX49" i="84"/>
  <c r="C48" i="91"/>
  <c r="CE49" i="84"/>
  <c r="CE14" i="84"/>
  <c r="C13" i="91"/>
  <c r="BX14" i="84"/>
  <c r="BX85" i="84"/>
  <c r="CE85" i="84"/>
  <c r="C84" i="91"/>
  <c r="CE54" i="84"/>
  <c r="C53" i="91"/>
  <c r="BX54" i="84"/>
  <c r="C50" i="91"/>
  <c r="CE51" i="84"/>
  <c r="BX51" i="84"/>
  <c r="BX8" i="84"/>
  <c r="C7" i="91"/>
  <c r="CE8" i="84"/>
  <c r="BX16" i="84"/>
  <c r="C15" i="91"/>
  <c r="CE16" i="84"/>
  <c r="BX86" i="84"/>
  <c r="C85" i="91"/>
  <c r="CE86" i="84"/>
  <c r="BX7" i="84"/>
  <c r="CE7" i="84"/>
  <c r="C6" i="91"/>
  <c r="CE78" i="84"/>
  <c r="BX78" i="84"/>
  <c r="C77" i="91"/>
  <c r="C65" i="91"/>
  <c r="BX66" i="84"/>
  <c r="CE66" i="84"/>
  <c r="BX57" i="84"/>
  <c r="C56" i="91"/>
  <c r="CE57" i="84"/>
  <c r="C5" i="91"/>
  <c r="CE6" i="84"/>
  <c r="BX6" i="84"/>
  <c r="BX34" i="84"/>
  <c r="C33" i="91"/>
  <c r="CE34" i="84"/>
  <c r="CE20" i="84"/>
  <c r="C19" i="91"/>
  <c r="BX20" i="84"/>
  <c r="BX69" i="84"/>
  <c r="C68" i="91"/>
  <c r="CE69" i="84"/>
  <c r="BX55" i="84"/>
  <c r="CE55" i="84"/>
  <c r="C54" i="91"/>
  <c r="BX74" i="84"/>
  <c r="CE74" i="84"/>
  <c r="C73" i="91"/>
  <c r="CE28" i="84"/>
  <c r="C27" i="91"/>
  <c r="BX28" i="84"/>
  <c r="BX87" i="84"/>
  <c r="CE87" i="84"/>
  <c r="C86" i="91"/>
  <c r="C44" i="91"/>
  <c r="BX45" i="84"/>
  <c r="CE45" i="84"/>
  <c r="CE82" i="84"/>
  <c r="BX82" i="84"/>
  <c r="C81" i="91"/>
  <c r="C61" i="91"/>
  <c r="CE62" i="84"/>
  <c r="BX62" i="84"/>
  <c r="BX9" i="84"/>
  <c r="CE9" i="84"/>
  <c r="C8" i="91"/>
  <c r="CE11" i="84"/>
  <c r="BX11" i="84"/>
  <c r="C10" i="91"/>
  <c r="C83" i="91"/>
  <c r="CE84" i="84"/>
  <c r="BX84" i="84"/>
  <c r="CE25" i="84"/>
  <c r="BX25" i="84"/>
  <c r="C24" i="91"/>
  <c r="CE63" i="84"/>
  <c r="BX63" i="84"/>
  <c r="C62" i="91"/>
  <c r="C51" i="91"/>
  <c r="CE52" i="84"/>
  <c r="BX52" i="84"/>
  <c r="BX12" i="84"/>
  <c r="C11" i="91"/>
  <c r="CE12" i="84"/>
  <c r="CE35" i="84"/>
  <c r="C34" i="91"/>
  <c r="BX35" i="84"/>
  <c r="CE67" i="84"/>
  <c r="BX67" i="84"/>
  <c r="C66" i="91"/>
  <c r="CE32" i="84"/>
  <c r="BX32" i="84"/>
  <c r="C31" i="91"/>
  <c r="BX40" i="84"/>
  <c r="C39" i="91"/>
  <c r="CE40" i="84"/>
  <c r="BX15" i="84"/>
  <c r="C14" i="91"/>
  <c r="CE15" i="84"/>
  <c r="C79" i="91"/>
  <c r="CE80" i="84"/>
  <c r="BX80" i="84"/>
  <c r="BX75" i="84"/>
  <c r="CE75" i="84"/>
  <c r="C74" i="91"/>
  <c r="C30" i="91"/>
  <c r="CE31" i="84"/>
  <c r="BX31" i="84"/>
  <c r="C40" i="91"/>
  <c r="CE41" i="84"/>
  <c r="BX41" i="84"/>
  <c r="C4" i="91"/>
  <c r="CE5" i="84"/>
  <c r="BX5" i="84"/>
  <c r="BX83" i="84"/>
  <c r="CE83" i="84"/>
  <c r="C82" i="91"/>
  <c r="C60" i="91"/>
  <c r="CE61" i="84"/>
  <c r="BX61" i="84"/>
  <c r="CE71" i="84"/>
  <c r="BX71" i="84"/>
  <c r="C70" i="91"/>
  <c r="CE68" i="84"/>
  <c r="C67" i="91"/>
  <c r="BX68" i="84"/>
  <c r="C21" i="91"/>
  <c r="CE22" i="84"/>
  <c r="BX22" i="84"/>
  <c r="BX38" i="84"/>
  <c r="C37" i="91"/>
  <c r="CE38" i="84"/>
  <c r="BX10" i="84"/>
  <c r="CE10" i="84"/>
  <c r="C9" i="91"/>
  <c r="BX42" i="84"/>
  <c r="C41" i="91"/>
  <c r="CE42" i="84"/>
  <c r="C16" i="91"/>
  <c r="CE17" i="84"/>
  <c r="BX17" i="84"/>
  <c r="CE29" i="84"/>
  <c r="C28" i="91"/>
  <c r="BX29" i="84"/>
  <c r="BX36" i="84"/>
  <c r="C35" i="91"/>
  <c r="CE36" i="84"/>
  <c r="BX64" i="84"/>
  <c r="C63" i="91"/>
  <c r="CE64" i="84"/>
  <c r="BX77" i="84"/>
  <c r="CE77" i="84"/>
  <c r="C76" i="91"/>
  <c r="AQ21" i="94"/>
  <c r="AQ20" i="87"/>
  <c r="AQ14" i="87"/>
  <c r="AQ22" i="87"/>
  <c r="AQ20" i="94"/>
  <c r="AQ9" i="94"/>
  <c r="AQ16" i="87"/>
  <c r="AQ21" i="87"/>
  <c r="AQ10" i="87"/>
  <c r="AQ12" i="94"/>
  <c r="AQ14" i="94"/>
  <c r="AQ9" i="87"/>
  <c r="AQ22" i="94"/>
  <c r="AQ13" i="94"/>
  <c r="AQ18" i="94"/>
  <c r="AQ11" i="94"/>
  <c r="AQ11" i="87"/>
  <c r="AQ17" i="87"/>
  <c r="AQ8" i="94"/>
  <c r="AQ17" i="94"/>
  <c r="AQ18" i="87"/>
  <c r="AQ19" i="87"/>
  <c r="AQ10" i="94"/>
  <c r="AQ7" i="94"/>
  <c r="AQ19" i="94"/>
  <c r="AQ7" i="87"/>
  <c r="AQ12" i="87"/>
  <c r="AQ15" i="87"/>
  <c r="AQ16" i="94"/>
  <c r="AQ8" i="87"/>
  <c r="AQ13" i="87"/>
  <c r="AQ15" i="94"/>
  <c r="K7" i="91" l="1"/>
  <c r="K11" i="91"/>
  <c r="K10" i="91"/>
  <c r="K31" i="91"/>
  <c r="K18" i="91"/>
  <c r="K16" i="91"/>
  <c r="K13" i="91"/>
  <c r="K6" i="91"/>
  <c r="K21" i="91"/>
  <c r="K26" i="91"/>
  <c r="K9" i="91"/>
  <c r="K339" i="91"/>
  <c r="K353" i="91"/>
  <c r="K356" i="91"/>
  <c r="K342" i="91"/>
  <c r="K320" i="91"/>
  <c r="K345" i="91"/>
  <c r="K334" i="91"/>
  <c r="K317" i="91"/>
  <c r="K354" i="91"/>
  <c r="K347" i="91"/>
  <c r="K352" i="91"/>
  <c r="K360" i="91"/>
  <c r="K325" i="91"/>
  <c r="K344" i="91"/>
  <c r="K340" i="91"/>
  <c r="K327" i="91"/>
  <c r="K346" i="91"/>
  <c r="K343" i="91"/>
  <c r="K361" i="91"/>
  <c r="K336" i="91"/>
  <c r="K358" i="91"/>
  <c r="K316" i="91"/>
  <c r="K329" i="91"/>
  <c r="K348" i="91"/>
  <c r="K341" i="91"/>
  <c r="K323" i="91"/>
  <c r="K333" i="91"/>
  <c r="K349" i="91"/>
  <c r="K351" i="91"/>
  <c r="K315" i="91"/>
  <c r="K335" i="91"/>
  <c r="K332" i="91"/>
  <c r="K355" i="91"/>
  <c r="K359" i="91"/>
  <c r="K331" i="91"/>
  <c r="K350" i="91"/>
  <c r="K318" i="91"/>
  <c r="K165" i="91"/>
  <c r="K159" i="91"/>
  <c r="K155" i="91"/>
  <c r="K158" i="91"/>
  <c r="K152" i="91"/>
  <c r="K169" i="91"/>
  <c r="K151" i="91"/>
  <c r="K167" i="91"/>
  <c r="K168" i="91"/>
  <c r="K154" i="91"/>
  <c r="K149" i="91"/>
  <c r="K161" i="91"/>
  <c r="K162" i="91"/>
  <c r="K164" i="91"/>
  <c r="K153" i="91"/>
  <c r="K160" i="91"/>
  <c r="K150" i="91"/>
  <c r="K157" i="91"/>
  <c r="K163" i="91"/>
  <c r="K166" i="91"/>
  <c r="K117" i="91"/>
  <c r="K115" i="91"/>
  <c r="K110" i="91"/>
  <c r="K114" i="91"/>
  <c r="K116" i="91"/>
  <c r="K107" i="91"/>
  <c r="K112" i="91"/>
  <c r="K119" i="91"/>
  <c r="K118" i="91"/>
  <c r="K111" i="91"/>
  <c r="K108" i="91"/>
  <c r="K109" i="91"/>
  <c r="K282" i="91"/>
  <c r="K283" i="91"/>
  <c r="K287" i="91"/>
  <c r="K292" i="91"/>
  <c r="K288" i="91"/>
  <c r="K277" i="91"/>
  <c r="K281" i="91"/>
  <c r="K293" i="91"/>
  <c r="K291" i="91"/>
  <c r="K278" i="91"/>
  <c r="K284" i="91"/>
  <c r="K280" i="91"/>
  <c r="K275" i="91"/>
  <c r="K294" i="91"/>
  <c r="K285" i="91"/>
  <c r="K290" i="91"/>
  <c r="K267" i="91"/>
  <c r="K276" i="91"/>
  <c r="K262" i="91"/>
  <c r="K268" i="91"/>
  <c r="K59" i="91"/>
  <c r="K60" i="91"/>
  <c r="K61" i="91"/>
  <c r="K57" i="91"/>
  <c r="K56" i="91"/>
  <c r="K58" i="91"/>
  <c r="K89" i="91"/>
  <c r="K90" i="91"/>
  <c r="K91" i="91"/>
  <c r="K84" i="91"/>
  <c r="K86" i="91"/>
  <c r="K85" i="91"/>
  <c r="K212" i="91"/>
  <c r="K233" i="91"/>
  <c r="K224" i="91"/>
  <c r="K238" i="91"/>
  <c r="K218" i="91"/>
  <c r="K239" i="91"/>
  <c r="K225" i="91"/>
  <c r="K235" i="91"/>
  <c r="K234" i="91"/>
  <c r="K236" i="91"/>
  <c r="K221" i="91"/>
  <c r="K229" i="91"/>
  <c r="K237" i="91"/>
  <c r="K214" i="91"/>
  <c r="K213" i="91"/>
  <c r="K211" i="91"/>
  <c r="K216" i="91"/>
  <c r="K227" i="91"/>
  <c r="K228" i="91"/>
  <c r="K232" i="91"/>
  <c r="K122" i="91"/>
  <c r="K128" i="91"/>
  <c r="K123" i="91"/>
  <c r="K124" i="91"/>
  <c r="K125" i="91"/>
  <c r="K129" i="91"/>
  <c r="K127" i="91"/>
  <c r="K126" i="91"/>
  <c r="K30" i="91"/>
  <c r="K29" i="91"/>
  <c r="K28" i="91"/>
  <c r="K51" i="91"/>
  <c r="K50" i="91"/>
  <c r="K48" i="91"/>
  <c r="K52" i="91"/>
  <c r="K80" i="91"/>
  <c r="K78" i="91"/>
  <c r="K77" i="91"/>
  <c r="K76" i="91"/>
  <c r="K35" i="91"/>
  <c r="K36" i="91"/>
  <c r="K32" i="91"/>
  <c r="K269" i="91"/>
  <c r="K271" i="91"/>
  <c r="K244" i="91"/>
  <c r="K254" i="91"/>
  <c r="K257" i="91"/>
  <c r="K245" i="91"/>
  <c r="K264" i="91"/>
  <c r="K256" i="91"/>
  <c r="K266" i="91"/>
  <c r="K260" i="91"/>
  <c r="K272" i="91"/>
  <c r="K242" i="91"/>
  <c r="K252" i="91"/>
  <c r="K261" i="91"/>
  <c r="K273" i="91"/>
  <c r="K250" i="91"/>
  <c r="K249" i="91"/>
  <c r="K270" i="91"/>
  <c r="K54" i="91"/>
  <c r="K55" i="91"/>
  <c r="K38" i="91"/>
  <c r="K41" i="91"/>
  <c r="K39" i="91"/>
  <c r="K40" i="91"/>
  <c r="K23" i="91"/>
  <c r="K22" i="91"/>
  <c r="K45" i="91"/>
  <c r="K46" i="91"/>
  <c r="K94" i="91"/>
  <c r="K95" i="91"/>
  <c r="K93" i="91"/>
  <c r="K96" i="91"/>
  <c r="K67" i="91"/>
  <c r="K65" i="91"/>
  <c r="K70" i="91"/>
  <c r="K20" i="91"/>
  <c r="K19" i="91"/>
  <c r="K74" i="91"/>
  <c r="K72" i="91"/>
  <c r="K73" i="91"/>
  <c r="K71" i="91"/>
  <c r="K83" i="91"/>
  <c r="K81" i="91"/>
  <c r="K99" i="91"/>
  <c r="K101" i="91"/>
  <c r="K100" i="91"/>
  <c r="K137" i="91"/>
  <c r="K130" i="91"/>
  <c r="K132" i="91"/>
  <c r="K131" i="91"/>
  <c r="K135" i="91"/>
  <c r="K133" i="91"/>
  <c r="K63" i="91"/>
  <c r="K62" i="91"/>
  <c r="K44" i="91"/>
  <c r="K42" i="91"/>
  <c r="K202" i="91"/>
  <c r="K208" i="91"/>
  <c r="K199" i="91"/>
  <c r="K185" i="91"/>
  <c r="K209" i="91"/>
  <c r="K200" i="91"/>
  <c r="K189" i="91"/>
  <c r="K187" i="91"/>
  <c r="K191" i="91"/>
  <c r="K192" i="91"/>
  <c r="K142" i="91"/>
  <c r="K144" i="91"/>
  <c r="K322" i="91"/>
  <c r="K328" i="91"/>
  <c r="K337" i="91"/>
  <c r="K312" i="91"/>
  <c r="K251" i="91"/>
  <c r="K241" i="91"/>
  <c r="K243" i="91"/>
  <c r="K248" i="91"/>
  <c r="K319" i="91"/>
  <c r="K230" i="91"/>
  <c r="K274" i="91"/>
  <c r="K326" i="91"/>
  <c r="K219" i="91"/>
  <c r="K136" i="91"/>
  <c r="K171" i="91"/>
  <c r="K92" i="91"/>
  <c r="K215" i="91"/>
  <c r="K37" i="91"/>
  <c r="K12" i="91"/>
  <c r="K198" i="91"/>
  <c r="K178" i="91"/>
  <c r="K182" i="91"/>
  <c r="K357" i="91"/>
  <c r="K330" i="91"/>
  <c r="K324" i="91"/>
  <c r="K338" i="91"/>
  <c r="K87" i="91"/>
  <c r="K88" i="91"/>
  <c r="K82" i="91"/>
  <c r="K156" i="91"/>
  <c r="K217" i="91"/>
  <c r="K210" i="91"/>
  <c r="K222" i="91"/>
  <c r="K49" i="91"/>
  <c r="K64" i="91"/>
  <c r="K113" i="91"/>
  <c r="K265" i="91"/>
  <c r="K259" i="91"/>
  <c r="K253" i="91"/>
  <c r="K43" i="91"/>
  <c r="K106" i="91"/>
  <c r="K279" i="91"/>
  <c r="K289" i="91"/>
  <c r="K139" i="91"/>
  <c r="K103" i="91"/>
  <c r="K321" i="91"/>
  <c r="K5" i="91"/>
  <c r="K145" i="91"/>
  <c r="K201" i="91"/>
  <c r="K258" i="91"/>
  <c r="K240" i="91"/>
  <c r="K66" i="91"/>
  <c r="K121" i="91"/>
  <c r="K193" i="91"/>
  <c r="K263" i="91"/>
  <c r="K17" i="91"/>
  <c r="K120" i="91"/>
  <c r="K301" i="91"/>
  <c r="K246" i="91"/>
  <c r="K146" i="91"/>
  <c r="K286" i="91"/>
  <c r="J347" i="91"/>
  <c r="K206" i="91"/>
  <c r="J345" i="91"/>
  <c r="K297" i="91"/>
  <c r="J354" i="91"/>
  <c r="J351" i="91"/>
  <c r="J342" i="91"/>
  <c r="K231" i="91"/>
  <c r="K4" i="91"/>
  <c r="K205" i="91"/>
  <c r="K177" i="91"/>
  <c r="K98" i="91"/>
  <c r="K79" i="91"/>
  <c r="K220" i="91"/>
  <c r="K223" i="91"/>
  <c r="K226" i="91"/>
  <c r="K47" i="91"/>
  <c r="K255" i="91"/>
  <c r="K27" i="91"/>
  <c r="K194" i="91"/>
  <c r="K53" i="91"/>
  <c r="K104" i="91"/>
  <c r="K34" i="91"/>
  <c r="K176" i="91"/>
  <c r="K300" i="91"/>
  <c r="K247" i="91"/>
  <c r="K75" i="91"/>
  <c r="J341" i="91"/>
  <c r="K204" i="91"/>
  <c r="K105" i="91"/>
  <c r="K302" i="91"/>
  <c r="K14" i="91"/>
  <c r="K195" i="91"/>
  <c r="J343" i="91"/>
  <c r="K306" i="91"/>
  <c r="J364" i="91"/>
  <c r="K309" i="91"/>
  <c r="J348" i="91"/>
  <c r="K174" i="91"/>
  <c r="J359" i="91"/>
  <c r="K196" i="91"/>
  <c r="K69" i="91"/>
  <c r="J352" i="91"/>
  <c r="J356" i="91"/>
  <c r="K308" i="91"/>
  <c r="K311" i="91"/>
  <c r="K305" i="91"/>
  <c r="K180" i="91"/>
  <c r="K173" i="91"/>
  <c r="K97" i="91"/>
  <c r="K186" i="91"/>
  <c r="K140" i="91"/>
  <c r="K314" i="91"/>
  <c r="J363" i="91"/>
  <c r="K102" i="91"/>
  <c r="K313" i="91"/>
  <c r="K68" i="91"/>
  <c r="J362" i="91"/>
  <c r="K147" i="91"/>
  <c r="J353" i="91"/>
  <c r="K203" i="91"/>
  <c r="J361" i="91"/>
  <c r="K304" i="91"/>
  <c r="J360" i="91"/>
  <c r="K190" i="91"/>
  <c r="K197" i="91"/>
  <c r="K134" i="91"/>
  <c r="K298" i="91"/>
  <c r="J340" i="91"/>
  <c r="J346" i="91"/>
  <c r="K310" i="91"/>
  <c r="K138" i="91"/>
  <c r="K188" i="91"/>
  <c r="K143" i="91"/>
  <c r="K296" i="91"/>
  <c r="K207" i="91"/>
  <c r="K183" i="91"/>
  <c r="K141" i="91"/>
  <c r="K184" i="91"/>
  <c r="J355" i="91"/>
  <c r="K295" i="91"/>
  <c r="K148" i="91"/>
  <c r="K181" i="91"/>
  <c r="K299" i="91"/>
  <c r="K172" i="91"/>
  <c r="K8" i="91"/>
  <c r="K170" i="91"/>
  <c r="K307" i="91"/>
  <c r="K303" i="91"/>
  <c r="J349" i="91"/>
  <c r="J344" i="91"/>
  <c r="K179" i="91"/>
  <c r="K175" i="91"/>
  <c r="J350" i="91"/>
  <c r="J358" i="91"/>
  <c r="J357" i="91"/>
  <c r="BY90" i="84"/>
  <c r="D89" i="91"/>
  <c r="CF90" i="84"/>
  <c r="BY29" i="84"/>
  <c r="CF29" i="84"/>
  <c r="D28" i="91"/>
  <c r="BY79" i="84"/>
  <c r="D78" i="91"/>
  <c r="CF79" i="84"/>
  <c r="D27" i="91"/>
  <c r="CF28" i="84"/>
  <c r="BY28" i="84"/>
  <c r="D73" i="91"/>
  <c r="BY74" i="84"/>
  <c r="CF74" i="84"/>
  <c r="D86" i="91"/>
  <c r="CF87" i="84"/>
  <c r="BY87" i="84"/>
  <c r="D90" i="91"/>
  <c r="CF91" i="84"/>
  <c r="BY91" i="84"/>
  <c r="BY64" i="84"/>
  <c r="D63" i="91"/>
  <c r="CF64" i="84"/>
  <c r="BY70" i="84"/>
  <c r="D69" i="91"/>
  <c r="CF70" i="84"/>
  <c r="D36" i="91"/>
  <c r="BY37" i="84"/>
  <c r="CF37" i="84"/>
  <c r="D35" i="91"/>
  <c r="BY36" i="84"/>
  <c r="CF36" i="84"/>
  <c r="CF84" i="84"/>
  <c r="BY84" i="84"/>
  <c r="D83" i="91"/>
  <c r="D23" i="91"/>
  <c r="CF24" i="84"/>
  <c r="BY24" i="84"/>
  <c r="BY75" i="84"/>
  <c r="D74" i="91"/>
  <c r="CF75" i="84"/>
  <c r="CF38" i="84"/>
  <c r="BY38" i="84"/>
  <c r="D37" i="91"/>
  <c r="CF42" i="84"/>
  <c r="BY42" i="84"/>
  <c r="D41" i="91"/>
  <c r="BY53" i="84"/>
  <c r="D52" i="91"/>
  <c r="CF53" i="84"/>
  <c r="D61" i="91"/>
  <c r="CF62" i="84"/>
  <c r="BY62" i="84"/>
  <c r="D53" i="91"/>
  <c r="BY54" i="84"/>
  <c r="CF54" i="84"/>
  <c r="D67" i="91"/>
  <c r="BY68" i="84"/>
  <c r="CF68" i="84"/>
  <c r="CF56" i="84"/>
  <c r="BY56" i="84"/>
  <c r="D55" i="91"/>
  <c r="CF86" i="84"/>
  <c r="D85" i="91"/>
  <c r="BY86" i="84"/>
  <c r="BY63" i="84"/>
  <c r="D62" i="91"/>
  <c r="CF63" i="84"/>
  <c r="D57" i="91"/>
  <c r="CF58" i="84"/>
  <c r="BY58" i="84"/>
  <c r="BY5" i="84"/>
  <c r="D4" i="91"/>
  <c r="CF5" i="84"/>
  <c r="CF50" i="84"/>
  <c r="BY50" i="84"/>
  <c r="D49" i="91"/>
  <c r="D9" i="91"/>
  <c r="CF10" i="84"/>
  <c r="BY10" i="84"/>
  <c r="BY45" i="84"/>
  <c r="D44" i="91"/>
  <c r="CF45" i="84"/>
  <c r="D54" i="91"/>
  <c r="CF55" i="84"/>
  <c r="BY55" i="84"/>
  <c r="D59" i="91"/>
  <c r="BY60" i="84"/>
  <c r="CF60" i="84"/>
  <c r="D38" i="91"/>
  <c r="CF39" i="84"/>
  <c r="BY39" i="84"/>
  <c r="CF44" i="84"/>
  <c r="BY44" i="84"/>
  <c r="D43" i="91"/>
  <c r="D70" i="91"/>
  <c r="CF71" i="84"/>
  <c r="BY71" i="84"/>
  <c r="CF41" i="84"/>
  <c r="D40" i="91"/>
  <c r="BY41" i="84"/>
  <c r="D65" i="91"/>
  <c r="CF66" i="84"/>
  <c r="BY66" i="84"/>
  <c r="CF47" i="84"/>
  <c r="BY47" i="84"/>
  <c r="D46" i="91"/>
  <c r="D66" i="91"/>
  <c r="BY67" i="84"/>
  <c r="CF67" i="84"/>
  <c r="BY25" i="84"/>
  <c r="D24" i="91"/>
  <c r="CF25" i="84"/>
  <c r="CF22" i="84"/>
  <c r="BY22" i="84"/>
  <c r="D21" i="91"/>
  <c r="BY14" i="84"/>
  <c r="CF14" i="84"/>
  <c r="D13" i="91"/>
  <c r="CF12" i="84"/>
  <c r="D11" i="91"/>
  <c r="BY12" i="84"/>
  <c r="BY48" i="84"/>
  <c r="CF48" i="84"/>
  <c r="D47" i="91"/>
  <c r="CF69" i="84"/>
  <c r="D68" i="91"/>
  <c r="BY69" i="84"/>
  <c r="D60" i="91"/>
  <c r="BY61" i="84"/>
  <c r="CF61" i="84"/>
  <c r="CF57" i="84"/>
  <c r="D56" i="91"/>
  <c r="BY57" i="84"/>
  <c r="BY8" i="84"/>
  <c r="D7" i="91"/>
  <c r="CF8" i="84"/>
  <c r="D51" i="91"/>
  <c r="CF52" i="84"/>
  <c r="BY52" i="84"/>
  <c r="CF7" i="84"/>
  <c r="D6" i="91"/>
  <c r="BY7" i="84"/>
  <c r="D45" i="91"/>
  <c r="CF46" i="84"/>
  <c r="BY46" i="84"/>
  <c r="BY16" i="84"/>
  <c r="CF16" i="84"/>
  <c r="D15" i="91"/>
  <c r="D71" i="91"/>
  <c r="CF72" i="84"/>
  <c r="BY72" i="84"/>
  <c r="BY17" i="84"/>
  <c r="D16" i="91"/>
  <c r="CF17" i="84"/>
  <c r="CF76" i="84"/>
  <c r="D75" i="91"/>
  <c r="BY76" i="84"/>
  <c r="D34" i="91"/>
  <c r="CF35" i="84"/>
  <c r="BY35" i="84"/>
  <c r="D10" i="91"/>
  <c r="CF11" i="84"/>
  <c r="BY11" i="84"/>
  <c r="BY6" i="84"/>
  <c r="D5" i="91"/>
  <c r="CF6" i="84"/>
  <c r="CF51" i="84"/>
  <c r="BY51" i="84"/>
  <c r="D50" i="91"/>
  <c r="D64" i="91"/>
  <c r="CF65" i="84"/>
  <c r="BY65" i="84"/>
  <c r="D58" i="91"/>
  <c r="BY59" i="84"/>
  <c r="CF59" i="84"/>
  <c r="D25" i="91"/>
  <c r="BY26" i="84"/>
  <c r="CF26" i="84"/>
  <c r="CF34" i="84"/>
  <c r="D33" i="91"/>
  <c r="BY34" i="84"/>
  <c r="CF27" i="84"/>
  <c r="D26" i="91"/>
  <c r="BY27" i="84"/>
  <c r="CF30" i="84"/>
  <c r="D29" i="91"/>
  <c r="BY30" i="84"/>
  <c r="CF82" i="84"/>
  <c r="BY82" i="84"/>
  <c r="D81" i="91"/>
  <c r="BY19" i="84"/>
  <c r="D18" i="91"/>
  <c r="CF19" i="84"/>
  <c r="D76" i="91"/>
  <c r="CF77" i="84"/>
  <c r="BY77" i="84"/>
  <c r="CF23" i="84"/>
  <c r="D22" i="91"/>
  <c r="BY23" i="84"/>
  <c r="D14" i="91"/>
  <c r="BY15" i="84"/>
  <c r="CF15" i="84"/>
  <c r="BY9" i="84"/>
  <c r="CF9" i="84"/>
  <c r="D8" i="91"/>
  <c r="BY49" i="84"/>
  <c r="CF49" i="84"/>
  <c r="D48" i="91"/>
  <c r="CF32" i="84"/>
  <c r="D31" i="91"/>
  <c r="BY32" i="84"/>
  <c r="CF73" i="84"/>
  <c r="D72" i="91"/>
  <c r="BY73" i="84"/>
  <c r="D32" i="91"/>
  <c r="CF33" i="84"/>
  <c r="BY33" i="84"/>
  <c r="BY78" i="84"/>
  <c r="CF78" i="84"/>
  <c r="D77" i="91"/>
  <c r="D88" i="91"/>
  <c r="BY89" i="84"/>
  <c r="CF89" i="84"/>
  <c r="BY85" i="84"/>
  <c r="D84" i="91"/>
  <c r="CF85" i="84"/>
  <c r="CF88" i="84"/>
  <c r="BY88" i="84"/>
  <c r="D87" i="91"/>
  <c r="CF31" i="84"/>
  <c r="BY31" i="84"/>
  <c r="D30" i="91"/>
  <c r="D79" i="91"/>
  <c r="CF80" i="84"/>
  <c r="BY80" i="84"/>
  <c r="CF21" i="84"/>
  <c r="BY21" i="84"/>
  <c r="D20" i="91"/>
  <c r="CF13" i="84"/>
  <c r="D12" i="91"/>
  <c r="BY13" i="84"/>
  <c r="CF18" i="84"/>
  <c r="D17" i="91"/>
  <c r="BY18" i="84"/>
  <c r="CF81" i="84"/>
  <c r="BY81" i="84"/>
  <c r="D80" i="91"/>
  <c r="BY20" i="84"/>
  <c r="CF20" i="84"/>
  <c r="D19" i="91"/>
  <c r="CF40" i="84"/>
  <c r="D39" i="91"/>
  <c r="BY40" i="84"/>
  <c r="CF43" i="84"/>
  <c r="D42" i="91"/>
  <c r="BY43" i="84"/>
  <c r="CF83" i="84"/>
  <c r="D82" i="91"/>
  <c r="BY83" i="84"/>
  <c r="C88" i="91"/>
  <c r="CE89" i="84"/>
  <c r="BX89" i="84"/>
  <c r="AK73" i="94"/>
  <c r="AK69" i="87"/>
  <c r="AK34" i="94"/>
  <c r="AK16" i="94"/>
  <c r="AQ32" i="94"/>
  <c r="AK51" i="87"/>
  <c r="AK25" i="94"/>
  <c r="AQ68" i="87"/>
  <c r="AQ44" i="94"/>
  <c r="AK21" i="94"/>
  <c r="AK49" i="87"/>
  <c r="AQ40" i="94"/>
  <c r="AK67" i="94"/>
  <c r="AQ42" i="94"/>
  <c r="AK42" i="87"/>
  <c r="AK37" i="94"/>
  <c r="AK47" i="87"/>
  <c r="AK52" i="87"/>
  <c r="AK80" i="87"/>
  <c r="AQ53" i="87"/>
  <c r="AK66" i="94"/>
  <c r="AT67" i="84"/>
  <c r="AK64" i="87"/>
  <c r="AT56" i="84"/>
  <c r="AK48" i="87"/>
  <c r="AK93" i="87"/>
  <c r="AK7" i="94"/>
  <c r="AK27" i="94"/>
  <c r="AK93" i="94"/>
  <c r="AK65" i="94"/>
  <c r="AK41" i="94"/>
  <c r="AK29" i="87"/>
  <c r="AT54" i="84"/>
  <c r="AK68" i="87"/>
  <c r="AK34" i="87"/>
  <c r="AK91" i="87"/>
  <c r="AK54" i="87"/>
  <c r="AK66" i="87"/>
  <c r="AK43" i="87"/>
  <c r="AK49" i="94"/>
  <c r="AK31" i="87"/>
  <c r="AK23" i="94"/>
  <c r="AK91" i="94"/>
  <c r="AK19" i="87"/>
  <c r="AK46" i="87"/>
  <c r="AK8" i="87"/>
  <c r="AK21" i="87"/>
  <c r="AK86" i="87"/>
  <c r="AK47" i="94"/>
  <c r="AT68" i="84"/>
  <c r="AT60" i="84"/>
  <c r="AQ66" i="87"/>
  <c r="AK81" i="94"/>
  <c r="AK88" i="87"/>
  <c r="AK82" i="94"/>
  <c r="AK35" i="87"/>
  <c r="AK57" i="87"/>
  <c r="AK29" i="94"/>
  <c r="AK10" i="94"/>
  <c r="AK38" i="94"/>
  <c r="AT59" i="84"/>
  <c r="AT61" i="84"/>
  <c r="AK36" i="94"/>
  <c r="AQ61" i="87"/>
  <c r="AK82" i="87"/>
  <c r="AK9" i="94"/>
  <c r="AK58" i="94"/>
  <c r="AK46" i="94"/>
  <c r="AK52" i="94"/>
  <c r="AK73" i="87"/>
  <c r="AK76" i="94"/>
  <c r="AK55" i="94"/>
  <c r="AQ45" i="94"/>
  <c r="AK40" i="87"/>
  <c r="AK13" i="87"/>
  <c r="AK20" i="87"/>
  <c r="AQ33" i="94"/>
  <c r="AQ54" i="87"/>
  <c r="AK12" i="87"/>
  <c r="AK16" i="87"/>
  <c r="AQ67" i="87"/>
  <c r="AK59" i="94"/>
  <c r="AT62" i="84"/>
  <c r="AK68" i="94"/>
  <c r="AQ41" i="94"/>
  <c r="AK7" i="87"/>
  <c r="AK85" i="94"/>
  <c r="AK39" i="94"/>
  <c r="AK92" i="87"/>
  <c r="AK31" i="94"/>
  <c r="AK8" i="94"/>
  <c r="AK11" i="87"/>
  <c r="AK83" i="94"/>
  <c r="AK53" i="94"/>
  <c r="AK81" i="87"/>
  <c r="AK92" i="94"/>
  <c r="AK18" i="94"/>
  <c r="AK23" i="87"/>
  <c r="AK6" i="94"/>
  <c r="AK74" i="94"/>
  <c r="AK54" i="94"/>
  <c r="AK60" i="94"/>
  <c r="AK65" i="87"/>
  <c r="AK13" i="94"/>
  <c r="AK22" i="87"/>
  <c r="AT69" i="84"/>
  <c r="AQ56" i="87"/>
  <c r="AK26" i="87"/>
  <c r="AK56" i="87"/>
  <c r="AQ31" i="94"/>
  <c r="AK51" i="94"/>
  <c r="AK24" i="94"/>
  <c r="AK50" i="87"/>
  <c r="AK89" i="94"/>
  <c r="AK24" i="87"/>
  <c r="AK76" i="87"/>
  <c r="AK5" i="94"/>
  <c r="AK15" i="87"/>
  <c r="AK57" i="94"/>
  <c r="AK19" i="94"/>
  <c r="AK45" i="94"/>
  <c r="AK87" i="87"/>
  <c r="AK11" i="94"/>
  <c r="AK90" i="87"/>
  <c r="AK94" i="94"/>
  <c r="AK14" i="94"/>
  <c r="AK22" i="94"/>
  <c r="AQ60" i="87"/>
  <c r="AT63" i="84"/>
  <c r="AK59" i="87"/>
  <c r="AK88" i="94"/>
  <c r="AK12" i="94"/>
  <c r="AT57" i="84"/>
  <c r="AK84" i="94"/>
  <c r="AK50" i="94"/>
  <c r="AK62" i="87"/>
  <c r="AK5" i="87"/>
  <c r="AK43" i="94"/>
  <c r="AK89" i="87"/>
  <c r="AK83" i="87"/>
  <c r="AK36" i="87"/>
  <c r="AQ59" i="87"/>
  <c r="AK86" i="94"/>
  <c r="AQ65" i="87"/>
  <c r="AQ35" i="94"/>
  <c r="AK56" i="94"/>
  <c r="AK17" i="87"/>
  <c r="AK69" i="94"/>
  <c r="AK79" i="94"/>
  <c r="AK70" i="87"/>
  <c r="AK58" i="87"/>
  <c r="AK77" i="87"/>
  <c r="AK63" i="94"/>
  <c r="AK33" i="94"/>
  <c r="AK45" i="87"/>
  <c r="AK41" i="87"/>
  <c r="AK37" i="87"/>
  <c r="AK77" i="94"/>
  <c r="AK28" i="94"/>
  <c r="AK72" i="94"/>
  <c r="AQ30" i="94"/>
  <c r="AK84" i="87"/>
  <c r="AK44" i="94"/>
  <c r="AK27" i="87"/>
  <c r="AK40" i="94"/>
  <c r="AT58" i="84"/>
  <c r="AK61" i="94"/>
  <c r="AQ37" i="94"/>
  <c r="AK32" i="94"/>
  <c r="AK26" i="94"/>
  <c r="AK71" i="94"/>
  <c r="AK53" i="87"/>
  <c r="AT66" i="84"/>
  <c r="AK85" i="87"/>
  <c r="AQ38" i="94"/>
  <c r="AK62" i="94"/>
  <c r="AK87" i="94"/>
  <c r="AK63" i="87"/>
  <c r="AK78" i="94"/>
  <c r="AQ57" i="87"/>
  <c r="AK30" i="94"/>
  <c r="AK60" i="87"/>
  <c r="AK9" i="87"/>
  <c r="AK35" i="94"/>
  <c r="AK30" i="87"/>
  <c r="AQ36" i="94"/>
  <c r="AQ63" i="87"/>
  <c r="AK75" i="87"/>
  <c r="AK64" i="94"/>
  <c r="AK75" i="94"/>
  <c r="AT65" i="84"/>
  <c r="AK20" i="94"/>
  <c r="AQ58" i="87"/>
  <c r="AK79" i="87"/>
  <c r="AK67" i="87"/>
  <c r="AK17" i="94"/>
  <c r="AK42" i="94"/>
  <c r="AK39" i="87"/>
  <c r="AQ23" i="87"/>
  <c r="AT52" i="84"/>
  <c r="AQ43" i="94"/>
  <c r="AK33" i="87"/>
  <c r="AQ64" i="87"/>
  <c r="AK44" i="87"/>
  <c r="AK72" i="87"/>
  <c r="AQ52" i="87"/>
  <c r="AK48" i="94"/>
  <c r="AK78" i="87"/>
  <c r="AK15" i="94"/>
  <c r="AK74" i="87"/>
  <c r="AT55" i="84"/>
  <c r="AK94" i="87"/>
  <c r="AQ55" i="87"/>
  <c r="AK6" i="87"/>
  <c r="AK55" i="87"/>
  <c r="AK18" i="87"/>
  <c r="AK80" i="94"/>
  <c r="AK71" i="87"/>
  <c r="AK90" i="94"/>
  <c r="AQ69" i="87"/>
  <c r="AK70" i="94"/>
  <c r="AK25" i="87"/>
  <c r="AK10" i="87"/>
  <c r="AK32" i="87"/>
  <c r="AK61" i="87"/>
  <c r="AT53" i="84"/>
  <c r="AT64" i="84"/>
  <c r="AK28" i="87"/>
  <c r="AQ39" i="94"/>
  <c r="AQ62" i="87"/>
  <c r="AK14" i="87"/>
  <c r="AK38" i="87"/>
  <c r="AJ75" i="94" l="1"/>
  <c r="AJ75" i="87"/>
  <c r="L15" i="91"/>
  <c r="AJ45" i="94"/>
  <c r="AJ45" i="87"/>
  <c r="AJ13" i="87"/>
  <c r="AJ13" i="94"/>
  <c r="AJ66" i="87"/>
  <c r="AJ66" i="94"/>
  <c r="AJ77" i="87"/>
  <c r="AJ77" i="94"/>
  <c r="L16" i="91"/>
  <c r="AJ46" i="87"/>
  <c r="AJ46" i="94"/>
  <c r="AJ7" i="94"/>
  <c r="AJ7" i="87"/>
  <c r="AJ15" i="87"/>
  <c r="AJ15" i="94"/>
  <c r="AJ57" i="94"/>
  <c r="AJ57" i="87"/>
  <c r="AJ89" i="94"/>
  <c r="AJ89" i="87"/>
  <c r="AJ19" i="87"/>
  <c r="AJ19" i="94"/>
  <c r="AJ48" i="87"/>
  <c r="AJ48" i="94"/>
  <c r="AJ14" i="87"/>
  <c r="AJ14" i="94"/>
  <c r="AJ73" i="87"/>
  <c r="AJ73" i="94"/>
  <c r="AJ55" i="87"/>
  <c r="AJ55" i="94"/>
  <c r="AJ35" i="87"/>
  <c r="AJ35" i="94"/>
  <c r="AJ22" i="87"/>
  <c r="AJ22" i="94"/>
  <c r="AJ50" i="94"/>
  <c r="AJ50" i="87"/>
  <c r="AJ82" i="87"/>
  <c r="AJ82" i="94"/>
  <c r="AJ47" i="94"/>
  <c r="AJ47" i="87"/>
  <c r="AJ37" i="87"/>
  <c r="AJ37" i="94"/>
  <c r="AJ88" i="87"/>
  <c r="AJ88" i="94"/>
  <c r="L5" i="91"/>
  <c r="AJ23" i="87"/>
  <c r="AJ23" i="94"/>
  <c r="AJ9" i="94"/>
  <c r="AJ9" i="87"/>
  <c r="AJ68" i="87"/>
  <c r="AJ68" i="94"/>
  <c r="AJ85" i="87"/>
  <c r="AJ85" i="94"/>
  <c r="L10" i="91"/>
  <c r="AJ38" i="87"/>
  <c r="AJ38" i="94"/>
  <c r="AJ90" i="87"/>
  <c r="AJ90" i="94"/>
  <c r="L8" i="91"/>
  <c r="AJ34" i="87"/>
  <c r="AJ34" i="94"/>
  <c r="AJ64" i="87"/>
  <c r="AJ64" i="94"/>
  <c r="AJ49" i="94"/>
  <c r="AJ49" i="87"/>
  <c r="L73" i="91"/>
  <c r="AJ70" i="87"/>
  <c r="AJ70" i="94"/>
  <c r="AJ92" i="87"/>
  <c r="AJ92" i="94"/>
  <c r="AJ17" i="87"/>
  <c r="AJ17" i="94"/>
  <c r="AJ30" i="87"/>
  <c r="AJ30" i="94"/>
  <c r="AJ69" i="87"/>
  <c r="AJ69" i="94"/>
  <c r="AJ74" i="94"/>
  <c r="AJ74" i="87"/>
  <c r="L13" i="91"/>
  <c r="AJ42" i="94"/>
  <c r="AJ42" i="87"/>
  <c r="AJ29" i="94"/>
  <c r="AJ29" i="87"/>
  <c r="AJ78" i="87"/>
  <c r="AJ78" i="94"/>
  <c r="AJ44" i="94"/>
  <c r="AJ44" i="87"/>
  <c r="AJ25" i="94"/>
  <c r="AJ25" i="87"/>
  <c r="AJ62" i="87"/>
  <c r="AJ62" i="94"/>
  <c r="AJ5" i="87"/>
  <c r="AJ5" i="94"/>
  <c r="L34" i="91"/>
  <c r="AJ58" i="87"/>
  <c r="AJ58" i="94"/>
  <c r="AJ8" i="87"/>
  <c r="AJ8" i="94"/>
  <c r="AJ79" i="94"/>
  <c r="AJ79" i="87"/>
  <c r="AJ41" i="94"/>
  <c r="AJ41" i="87"/>
  <c r="AJ86" i="94"/>
  <c r="AJ86" i="87"/>
  <c r="AJ18" i="87"/>
  <c r="AJ18" i="94"/>
  <c r="AJ16" i="87"/>
  <c r="AJ16" i="94"/>
  <c r="AJ76" i="87"/>
  <c r="AJ76" i="94"/>
  <c r="AJ56" i="87"/>
  <c r="AJ56" i="94"/>
  <c r="AJ11" i="87"/>
  <c r="AJ11" i="94"/>
  <c r="AJ71" i="94"/>
  <c r="AJ71" i="87"/>
  <c r="AJ10" i="87"/>
  <c r="AJ10" i="94"/>
  <c r="L21" i="91"/>
  <c r="AJ52" i="87"/>
  <c r="AJ52" i="94"/>
  <c r="AJ87" i="87"/>
  <c r="AJ87" i="94"/>
  <c r="AJ24" i="94"/>
  <c r="AJ24" i="87"/>
  <c r="AJ21" i="94"/>
  <c r="AJ21" i="87"/>
  <c r="L24" i="91"/>
  <c r="AJ53" i="94"/>
  <c r="AJ53" i="87"/>
  <c r="AJ51" i="87"/>
  <c r="AJ51" i="94"/>
  <c r="AJ33" i="87"/>
  <c r="AJ33" i="94"/>
  <c r="AJ60" i="94"/>
  <c r="AJ60" i="87"/>
  <c r="AJ12" i="87"/>
  <c r="AJ12" i="94"/>
  <c r="AJ93" i="94"/>
  <c r="AJ93" i="87"/>
  <c r="AJ32" i="94"/>
  <c r="AJ32" i="87"/>
  <c r="AJ67" i="94"/>
  <c r="AJ67" i="87"/>
  <c r="AJ80" i="87"/>
  <c r="AJ80" i="94"/>
  <c r="AJ39" i="87"/>
  <c r="AJ39" i="94"/>
  <c r="AJ91" i="87"/>
  <c r="AJ91" i="94"/>
  <c r="AJ20" i="87"/>
  <c r="AJ20" i="94"/>
  <c r="AJ72" i="87"/>
  <c r="AJ72" i="94"/>
  <c r="AJ65" i="94"/>
  <c r="AJ65" i="87"/>
  <c r="AJ84" i="87"/>
  <c r="AJ84" i="94"/>
  <c r="AJ31" i="94"/>
  <c r="AJ31" i="87"/>
  <c r="AJ6" i="87"/>
  <c r="AJ6" i="94"/>
  <c r="AJ94" i="87"/>
  <c r="AJ94" i="94"/>
  <c r="AJ36" i="94"/>
  <c r="AJ36" i="87"/>
  <c r="AJ61" i="94"/>
  <c r="AJ61" i="87"/>
  <c r="AJ54" i="87"/>
  <c r="AJ54" i="94"/>
  <c r="AJ81" i="87"/>
  <c r="AJ81" i="94"/>
  <c r="AJ40" i="94"/>
  <c r="AJ40" i="87"/>
  <c r="AJ26" i="87"/>
  <c r="AJ26" i="94"/>
  <c r="AJ63" i="94"/>
  <c r="AJ63" i="87"/>
  <c r="AJ59" i="87"/>
  <c r="AJ59" i="94"/>
  <c r="AJ83" i="87"/>
  <c r="AJ83" i="94"/>
  <c r="AJ43" i="94"/>
  <c r="AJ43" i="87"/>
  <c r="AJ27" i="87"/>
  <c r="AJ27" i="94"/>
  <c r="AJ28" i="87"/>
  <c r="AJ28" i="94"/>
  <c r="L103" i="91"/>
  <c r="L105" i="91"/>
  <c r="L102" i="91"/>
  <c r="L100" i="91"/>
  <c r="L94" i="91"/>
  <c r="L104" i="91"/>
  <c r="L98" i="91"/>
  <c r="L101" i="91"/>
  <c r="L95" i="91"/>
  <c r="L53" i="91"/>
  <c r="L54" i="91"/>
  <c r="L57" i="91"/>
  <c r="L58" i="91"/>
  <c r="L52" i="91"/>
  <c r="L51" i="91"/>
  <c r="L55" i="91"/>
  <c r="L121" i="91"/>
  <c r="L119" i="91"/>
  <c r="L107" i="91"/>
  <c r="L116" i="91"/>
  <c r="L120" i="91"/>
  <c r="L114" i="91"/>
  <c r="L109" i="91"/>
  <c r="L108" i="91"/>
  <c r="L115" i="91"/>
  <c r="L29" i="91"/>
  <c r="L30" i="91"/>
  <c r="L31" i="91"/>
  <c r="L266" i="91"/>
  <c r="L257" i="91"/>
  <c r="L262" i="91"/>
  <c r="L270" i="91"/>
  <c r="L261" i="91"/>
  <c r="L275" i="91"/>
  <c r="L273" i="91"/>
  <c r="L259" i="91"/>
  <c r="L258" i="91"/>
  <c r="L264" i="91"/>
  <c r="L269" i="91"/>
  <c r="L272" i="91"/>
  <c r="L263" i="91"/>
  <c r="L260" i="91"/>
  <c r="L268" i="91"/>
  <c r="L271" i="91"/>
  <c r="L249" i="91"/>
  <c r="L265" i="91"/>
  <c r="L255" i="91"/>
  <c r="L247" i="91"/>
  <c r="L251" i="91"/>
  <c r="L267" i="91"/>
  <c r="L245" i="91"/>
  <c r="L252" i="91"/>
  <c r="L88" i="91"/>
  <c r="L89" i="91"/>
  <c r="L92" i="91"/>
  <c r="L84" i="91"/>
  <c r="L91" i="91"/>
  <c r="L90" i="91"/>
  <c r="L28" i="91"/>
  <c r="L27" i="91"/>
  <c r="L19" i="91"/>
  <c r="L20" i="91"/>
  <c r="L168" i="91"/>
  <c r="L166" i="91"/>
  <c r="L157" i="91"/>
  <c r="L153" i="91"/>
  <c r="L164" i="91"/>
  <c r="L163" i="91"/>
  <c r="L167" i="91"/>
  <c r="L152" i="91"/>
  <c r="L165" i="91"/>
  <c r="L161" i="91"/>
  <c r="L169" i="91"/>
  <c r="L151" i="91"/>
  <c r="L159" i="91"/>
  <c r="L155" i="91"/>
  <c r="L154" i="91"/>
  <c r="L171" i="91"/>
  <c r="L158" i="91"/>
  <c r="L243" i="91"/>
  <c r="L248" i="91"/>
  <c r="L241" i="91"/>
  <c r="L253" i="91"/>
  <c r="L256" i="91"/>
  <c r="L254" i="91"/>
  <c r="L228" i="91"/>
  <c r="L244" i="91"/>
  <c r="L242" i="91"/>
  <c r="L239" i="91"/>
  <c r="L230" i="91"/>
  <c r="L238" i="91"/>
  <c r="L246" i="91"/>
  <c r="L60" i="91"/>
  <c r="L61" i="91"/>
  <c r="L65" i="91"/>
  <c r="L207" i="91"/>
  <c r="L198" i="91"/>
  <c r="L201" i="91"/>
  <c r="L203" i="91"/>
  <c r="L200" i="91"/>
  <c r="L209" i="91"/>
  <c r="L196" i="91"/>
  <c r="L206" i="91"/>
  <c r="L190" i="91"/>
  <c r="L194" i="91"/>
  <c r="L191" i="91"/>
  <c r="L204" i="91"/>
  <c r="L193" i="91"/>
  <c r="L188" i="91"/>
  <c r="L208" i="91"/>
  <c r="L288" i="91"/>
  <c r="L286" i="91"/>
  <c r="L281" i="91"/>
  <c r="L295" i="91"/>
  <c r="L282" i="91"/>
  <c r="L287" i="91"/>
  <c r="L289" i="91"/>
  <c r="L290" i="91"/>
  <c r="L280" i="91"/>
  <c r="L49" i="91"/>
  <c r="L47" i="91"/>
  <c r="L331" i="91"/>
  <c r="L324" i="91"/>
  <c r="L333" i="91"/>
  <c r="L327" i="91"/>
  <c r="L308" i="91"/>
  <c r="L319" i="91"/>
  <c r="L298" i="91"/>
  <c r="L335" i="91"/>
  <c r="L317" i="91"/>
  <c r="L297" i="91"/>
  <c r="L332" i="91"/>
  <c r="L305" i="91"/>
  <c r="L323" i="91"/>
  <c r="L316" i="91"/>
  <c r="L320" i="91"/>
  <c r="L69" i="91"/>
  <c r="L71" i="91"/>
  <c r="L68" i="91"/>
  <c r="L67" i="91"/>
  <c r="L96" i="91"/>
  <c r="L97" i="91"/>
  <c r="L99" i="91"/>
  <c r="L123" i="91"/>
  <c r="L126" i="91"/>
  <c r="L129" i="91"/>
  <c r="L44" i="91"/>
  <c r="L43" i="91"/>
  <c r="L42" i="91"/>
  <c r="L132" i="91"/>
  <c r="L138" i="91"/>
  <c r="L131" i="91"/>
  <c r="L223" i="91"/>
  <c r="L224" i="91"/>
  <c r="L211" i="91"/>
  <c r="L220" i="91"/>
  <c r="L213" i="91"/>
  <c r="L218" i="91"/>
  <c r="L113" i="91"/>
  <c r="L110" i="91"/>
  <c r="L111" i="91"/>
  <c r="L225" i="91"/>
  <c r="L229" i="91"/>
  <c r="L226" i="91"/>
  <c r="L237" i="91"/>
  <c r="L240" i="91"/>
  <c r="L350" i="91"/>
  <c r="L349" i="91"/>
  <c r="L143" i="91"/>
  <c r="L144" i="91"/>
  <c r="L310" i="91"/>
  <c r="L302" i="91"/>
  <c r="L296" i="91"/>
  <c r="L86" i="91"/>
  <c r="L83" i="91"/>
  <c r="L72" i="91"/>
  <c r="L217" i="91"/>
  <c r="L141" i="91"/>
  <c r="L7" i="91"/>
  <c r="L346" i="91"/>
  <c r="L342" i="91"/>
  <c r="L334" i="91"/>
  <c r="L106" i="91"/>
  <c r="L17" i="91"/>
  <c r="L14" i="91"/>
  <c r="L250" i="91"/>
  <c r="L322" i="91"/>
  <c r="L318" i="91"/>
  <c r="L314" i="91"/>
  <c r="L130" i="91"/>
  <c r="L62" i="91"/>
  <c r="L215" i="91"/>
  <c r="L219" i="91"/>
  <c r="L232" i="91"/>
  <c r="L145" i="91"/>
  <c r="L87" i="91"/>
  <c r="L292" i="91"/>
  <c r="L303" i="91"/>
  <c r="L150" i="91"/>
  <c r="L64" i="91"/>
  <c r="L187" i="91"/>
  <c r="L112" i="91"/>
  <c r="L274" i="91"/>
  <c r="L294" i="91"/>
  <c r="L170" i="91"/>
  <c r="L222" i="91"/>
  <c r="L285" i="91"/>
  <c r="L236" i="91"/>
  <c r="L139" i="91"/>
  <c r="L48" i="91"/>
  <c r="K25" i="91"/>
  <c r="L205" i="91"/>
  <c r="L233" i="91"/>
  <c r="L117" i="91"/>
  <c r="L38" i="91"/>
  <c r="J365" i="91"/>
  <c r="L199" i="91"/>
  <c r="L177" i="91"/>
  <c r="L50" i="91"/>
  <c r="K373" i="91"/>
  <c r="L189" i="91"/>
  <c r="L118" i="91"/>
  <c r="L192" i="91"/>
  <c r="L80" i="91"/>
  <c r="J383" i="91"/>
  <c r="L162" i="91"/>
  <c r="J385" i="91"/>
  <c r="K382" i="91"/>
  <c r="J381" i="91"/>
  <c r="L343" i="91"/>
  <c r="L124" i="91"/>
  <c r="L304" i="91"/>
  <c r="L9" i="91"/>
  <c r="L352" i="91"/>
  <c r="L344" i="91"/>
  <c r="L329" i="91"/>
  <c r="L18" i="91"/>
  <c r="L330" i="91"/>
  <c r="L328" i="91"/>
  <c r="L301" i="91"/>
  <c r="L137" i="91"/>
  <c r="L221" i="91"/>
  <c r="L227" i="91"/>
  <c r="L235" i="91"/>
  <c r="L146" i="91"/>
  <c r="L82" i="91"/>
  <c r="L278" i="91"/>
  <c r="L299" i="91"/>
  <c r="L66" i="91"/>
  <c r="L195" i="91"/>
  <c r="L79" i="91"/>
  <c r="L291" i="91"/>
  <c r="L174" i="91"/>
  <c r="L216" i="91"/>
  <c r="L186" i="91"/>
  <c r="L160" i="91"/>
  <c r="L148" i="91"/>
  <c r="L76" i="91"/>
  <c r="K367" i="91"/>
  <c r="L283" i="91"/>
  <c r="L156" i="91"/>
  <c r="J375" i="91"/>
  <c r="L276" i="91"/>
  <c r="L175" i="91"/>
  <c r="L93" i="91"/>
  <c r="K376" i="91"/>
  <c r="L185" i="91"/>
  <c r="K375" i="91"/>
  <c r="L184" i="91"/>
  <c r="L35" i="91"/>
  <c r="J369" i="91"/>
  <c r="L33" i="91"/>
  <c r="J370" i="91"/>
  <c r="K378" i="91"/>
  <c r="L351" i="91"/>
  <c r="L135" i="91"/>
  <c r="L315" i="91"/>
  <c r="L12" i="91"/>
  <c r="L348" i="91"/>
  <c r="L338" i="91"/>
  <c r="L337" i="91"/>
  <c r="L75" i="91"/>
  <c r="L325" i="91"/>
  <c r="L321" i="91"/>
  <c r="L133" i="91"/>
  <c r="L125" i="91"/>
  <c r="L41" i="91"/>
  <c r="L197" i="91"/>
  <c r="L234" i="91"/>
  <c r="L231" i="91"/>
  <c r="L300" i="91"/>
  <c r="L311" i="91"/>
  <c r="L63" i="91"/>
  <c r="L202" i="91"/>
  <c r="L78" i="91"/>
  <c r="L277" i="91"/>
  <c r="L284" i="91"/>
  <c r="L182" i="91"/>
  <c r="L312" i="91"/>
  <c r="K24" i="91"/>
  <c r="K371" i="91"/>
  <c r="L279" i="91"/>
  <c r="L128" i="91"/>
  <c r="J371" i="91"/>
  <c r="L293" i="91"/>
  <c r="L46" i="91"/>
  <c r="J373" i="91"/>
  <c r="K386" i="91"/>
  <c r="J380" i="91"/>
  <c r="J382" i="91"/>
  <c r="K377" i="91"/>
  <c r="K387" i="91"/>
  <c r="L210" i="91"/>
  <c r="L340" i="91"/>
  <c r="L355" i="91"/>
  <c r="L347" i="91"/>
  <c r="L74" i="91"/>
  <c r="L326" i="91"/>
  <c r="L306" i="91"/>
  <c r="L136" i="91"/>
  <c r="L134" i="91"/>
  <c r="L37" i="91"/>
  <c r="L142" i="91"/>
  <c r="L313" i="91"/>
  <c r="L309" i="91"/>
  <c r="L81" i="91"/>
  <c r="L127" i="91"/>
  <c r="L336" i="91"/>
  <c r="L307" i="91"/>
  <c r="L122" i="91"/>
  <c r="L70" i="91"/>
  <c r="K363" i="91"/>
  <c r="L214" i="91"/>
  <c r="L183" i="91"/>
  <c r="L22" i="91"/>
  <c r="J372" i="91"/>
  <c r="L147" i="91"/>
  <c r="J390" i="91"/>
  <c r="L77" i="91"/>
  <c r="K374" i="91"/>
  <c r="K364" i="91"/>
  <c r="L341" i="91"/>
  <c r="L179" i="91"/>
  <c r="L39" i="91"/>
  <c r="K15" i="91"/>
  <c r="L212" i="91"/>
  <c r="L172" i="91"/>
  <c r="K33" i="91"/>
  <c r="J368" i="91"/>
  <c r="J388" i="91"/>
  <c r="L173" i="91"/>
  <c r="K368" i="91"/>
  <c r="K380" i="91"/>
  <c r="L180" i="91"/>
  <c r="J387" i="91"/>
  <c r="K381" i="91"/>
  <c r="L353" i="91"/>
  <c r="L339" i="91"/>
  <c r="L23" i="91"/>
  <c r="L140" i="91"/>
  <c r="L354" i="91"/>
  <c r="L181" i="91"/>
  <c r="L25" i="91"/>
  <c r="L11" i="91"/>
  <c r="J379" i="91"/>
  <c r="K366" i="91"/>
  <c r="J389" i="91"/>
  <c r="L176" i="91"/>
  <c r="J377" i="91"/>
  <c r="K365" i="91"/>
  <c r="K383" i="91"/>
  <c r="J366" i="91"/>
  <c r="L345" i="91"/>
  <c r="L356" i="91"/>
  <c r="L149" i="91"/>
  <c r="J384" i="91"/>
  <c r="K372" i="91"/>
  <c r="J376" i="91"/>
  <c r="K369" i="91"/>
  <c r="L178" i="91"/>
  <c r="K379" i="91"/>
  <c r="J374" i="91"/>
  <c r="J367" i="91"/>
  <c r="L6" i="91"/>
  <c r="J378" i="91"/>
  <c r="K385" i="91"/>
  <c r="K384" i="91"/>
  <c r="K362" i="91"/>
  <c r="K370" i="91"/>
  <c r="J386" i="91"/>
  <c r="BK63" i="69"/>
  <c r="BA66" i="84"/>
  <c r="BK53" i="69"/>
  <c r="BA56" i="84"/>
  <c r="BA65" i="84"/>
  <c r="BK62" i="69"/>
  <c r="BK49" i="69"/>
  <c r="BA52" i="84"/>
  <c r="BK51" i="69"/>
  <c r="BA54" i="84"/>
  <c r="BK61" i="69"/>
  <c r="BA64" i="84"/>
  <c r="BA53" i="84"/>
  <c r="BK50" i="69"/>
  <c r="BK60" i="69"/>
  <c r="BA63" i="84"/>
  <c r="BA62" i="84"/>
  <c r="BK59" i="69"/>
  <c r="BA59" i="84"/>
  <c r="BK56" i="69"/>
  <c r="BK54" i="69"/>
  <c r="BA57" i="84"/>
  <c r="BK57" i="69"/>
  <c r="BA60" i="84"/>
  <c r="BK64" i="69"/>
  <c r="BA67" i="84"/>
  <c r="BK58" i="69"/>
  <c r="BA61" i="84"/>
  <c r="BA58" i="84"/>
  <c r="BK55" i="69"/>
  <c r="BK52" i="69"/>
  <c r="BA55" i="84"/>
  <c r="BK65" i="69"/>
  <c r="BA68" i="84"/>
  <c r="BA69" i="84"/>
  <c r="BK66" i="69"/>
  <c r="CG75" i="84"/>
  <c r="BZ75" i="84"/>
  <c r="E74" i="91"/>
  <c r="E44" i="91"/>
  <c r="BZ45" i="84"/>
  <c r="CG45" i="84"/>
  <c r="CG13" i="84"/>
  <c r="BZ13" i="84"/>
  <c r="E12" i="91"/>
  <c r="E65" i="91"/>
  <c r="BZ66" i="84"/>
  <c r="CG66" i="84"/>
  <c r="E76" i="91"/>
  <c r="BZ77" i="84"/>
  <c r="CG77" i="84"/>
  <c r="E45" i="91"/>
  <c r="BZ46" i="84"/>
  <c r="CG46" i="84"/>
  <c r="CG7" i="84"/>
  <c r="E6" i="91"/>
  <c r="BZ7" i="84"/>
  <c r="E14" i="91"/>
  <c r="BZ15" i="84"/>
  <c r="CG15" i="84"/>
  <c r="BZ57" i="84"/>
  <c r="CG57" i="84"/>
  <c r="E56" i="91"/>
  <c r="BZ89" i="84"/>
  <c r="CG89" i="84"/>
  <c r="E88" i="91"/>
  <c r="BZ19" i="84"/>
  <c r="CG19" i="84"/>
  <c r="E18" i="91"/>
  <c r="BZ48" i="84"/>
  <c r="E47" i="91"/>
  <c r="CG48" i="84"/>
  <c r="CG14" i="84"/>
  <c r="BZ14" i="84"/>
  <c r="E13" i="91"/>
  <c r="BZ73" i="84"/>
  <c r="CG73" i="84"/>
  <c r="E72" i="91"/>
  <c r="CG55" i="84"/>
  <c r="E54" i="91"/>
  <c r="BZ55" i="84"/>
  <c r="CG35" i="84"/>
  <c r="E34" i="91"/>
  <c r="BZ35" i="84"/>
  <c r="CG22" i="84"/>
  <c r="E21" i="91"/>
  <c r="BZ22" i="84"/>
  <c r="E49" i="91"/>
  <c r="CG50" i="84"/>
  <c r="BZ50" i="84"/>
  <c r="CG82" i="84"/>
  <c r="E81" i="91"/>
  <c r="BZ82" i="84"/>
  <c r="E46" i="91"/>
  <c r="CG47" i="84"/>
  <c r="BZ47" i="84"/>
  <c r="CG37" i="84"/>
  <c r="E36" i="91"/>
  <c r="BZ37" i="84"/>
  <c r="BZ88" i="84"/>
  <c r="E87" i="91"/>
  <c r="CG88" i="84"/>
  <c r="CG23" i="84"/>
  <c r="E22" i="91"/>
  <c r="BZ23" i="84"/>
  <c r="E8" i="91"/>
  <c r="CG9" i="84"/>
  <c r="BZ9" i="84"/>
  <c r="E67" i="91"/>
  <c r="CG68" i="84"/>
  <c r="BZ68" i="84"/>
  <c r="E84" i="91"/>
  <c r="CG85" i="84"/>
  <c r="BZ85" i="84"/>
  <c r="CG38" i="84"/>
  <c r="BZ38" i="84"/>
  <c r="E37" i="91"/>
  <c r="BZ90" i="84"/>
  <c r="CG90" i="84"/>
  <c r="E89" i="91"/>
  <c r="E33" i="91"/>
  <c r="BZ34" i="84"/>
  <c r="CG34" i="84"/>
  <c r="E63" i="91"/>
  <c r="CG64" i="84"/>
  <c r="BZ64" i="84"/>
  <c r="BZ49" i="84"/>
  <c r="CG49" i="84"/>
  <c r="E48" i="91"/>
  <c r="BZ70" i="84"/>
  <c r="CG70" i="84"/>
  <c r="E69" i="91"/>
  <c r="CG92" i="84"/>
  <c r="BZ92" i="84"/>
  <c r="E91" i="91"/>
  <c r="CG17" i="84"/>
  <c r="BZ17" i="84"/>
  <c r="E16" i="91"/>
  <c r="CG30" i="84"/>
  <c r="E29" i="91"/>
  <c r="BZ30" i="84"/>
  <c r="BZ69" i="84"/>
  <c r="E68" i="91"/>
  <c r="CG69" i="84"/>
  <c r="BZ74" i="84"/>
  <c r="CG74" i="84"/>
  <c r="E73" i="91"/>
  <c r="CG42" i="84"/>
  <c r="BZ42" i="84"/>
  <c r="E41" i="91"/>
  <c r="BZ29" i="84"/>
  <c r="CG29" i="84"/>
  <c r="E28" i="91"/>
  <c r="E77" i="91"/>
  <c r="CG78" i="84"/>
  <c r="BZ78" i="84"/>
  <c r="CG44" i="84"/>
  <c r="E43" i="91"/>
  <c r="BZ44" i="84"/>
  <c r="E24" i="91"/>
  <c r="CG25" i="84"/>
  <c r="BZ25" i="84"/>
  <c r="E61" i="91"/>
  <c r="BZ62" i="84"/>
  <c r="CG62" i="84"/>
  <c r="BZ5" i="84"/>
  <c r="CG5" i="84"/>
  <c r="E4" i="91"/>
  <c r="CG58" i="84"/>
  <c r="BZ58" i="84"/>
  <c r="E57" i="91"/>
  <c r="CG8" i="84"/>
  <c r="BZ8" i="84"/>
  <c r="E7" i="91"/>
  <c r="CG79" i="84"/>
  <c r="BZ79" i="84"/>
  <c r="E78" i="91"/>
  <c r="BZ41" i="84"/>
  <c r="CG41" i="84"/>
  <c r="E40" i="91"/>
  <c r="E85" i="91"/>
  <c r="BZ86" i="84"/>
  <c r="CG86" i="84"/>
  <c r="BZ18" i="84"/>
  <c r="CG18" i="84"/>
  <c r="E17" i="91"/>
  <c r="CG16" i="84"/>
  <c r="E15" i="91"/>
  <c r="BZ16" i="84"/>
  <c r="BZ76" i="84"/>
  <c r="CG76" i="84"/>
  <c r="E75" i="91"/>
  <c r="E55" i="91"/>
  <c r="CG56" i="84"/>
  <c r="BZ56" i="84"/>
  <c r="BZ11" i="84"/>
  <c r="E10" i="91"/>
  <c r="CG11" i="84"/>
  <c r="CG71" i="84"/>
  <c r="E70" i="91"/>
  <c r="BZ71" i="84"/>
  <c r="E9" i="91"/>
  <c r="CG10" i="84"/>
  <c r="BZ10" i="84"/>
  <c r="CG52" i="84"/>
  <c r="E51" i="91"/>
  <c r="BZ52" i="84"/>
  <c r="E86" i="91"/>
  <c r="CG87" i="84"/>
  <c r="BZ87" i="84"/>
  <c r="CG24" i="84"/>
  <c r="E23" i="91"/>
  <c r="BZ24" i="84"/>
  <c r="CG21" i="84"/>
  <c r="E20" i="91"/>
  <c r="BZ21" i="84"/>
  <c r="E52" i="91"/>
  <c r="CG53" i="84"/>
  <c r="BZ53" i="84"/>
  <c r="CG51" i="84"/>
  <c r="E50" i="91"/>
  <c r="BZ51" i="84"/>
  <c r="E32" i="91"/>
  <c r="CG33" i="84"/>
  <c r="BZ33" i="84"/>
  <c r="CG60" i="84"/>
  <c r="E59" i="91"/>
  <c r="BZ60" i="84"/>
  <c r="CG12" i="84"/>
  <c r="BZ12" i="84"/>
  <c r="E11" i="91"/>
  <c r="E92" i="91"/>
  <c r="BZ93" i="84"/>
  <c r="CG93" i="84"/>
  <c r="BZ32" i="84"/>
  <c r="E31" i="91"/>
  <c r="CG32" i="84"/>
  <c r="CG67" i="84"/>
  <c r="BZ67" i="84"/>
  <c r="E66" i="91"/>
  <c r="BZ80" i="84"/>
  <c r="E79" i="91"/>
  <c r="CG80" i="84"/>
  <c r="BZ39" i="84"/>
  <c r="CG39" i="84"/>
  <c r="E38" i="91"/>
  <c r="BZ91" i="84"/>
  <c r="E90" i="91"/>
  <c r="CG91" i="84"/>
  <c r="BZ20" i="84"/>
  <c r="CG20" i="84"/>
  <c r="E19" i="91"/>
  <c r="BZ72" i="84"/>
  <c r="CG72" i="84"/>
  <c r="E71" i="91"/>
  <c r="E64" i="91"/>
  <c r="BZ65" i="84"/>
  <c r="CG65" i="84"/>
  <c r="E83" i="91"/>
  <c r="BZ84" i="84"/>
  <c r="CG84" i="84"/>
  <c r="CG31" i="84"/>
  <c r="BZ31" i="84"/>
  <c r="E30" i="91"/>
  <c r="E5" i="91"/>
  <c r="BZ6" i="84"/>
  <c r="CG6" i="84"/>
  <c r="CG94" i="84"/>
  <c r="BZ94" i="84"/>
  <c r="E93" i="91"/>
  <c r="CG36" i="84"/>
  <c r="BZ36" i="84"/>
  <c r="E35" i="91"/>
  <c r="CG61" i="84"/>
  <c r="E60" i="91"/>
  <c r="BZ61" i="84"/>
  <c r="CG54" i="84"/>
  <c r="E53" i="91"/>
  <c r="BZ54" i="84"/>
  <c r="BZ81" i="84"/>
  <c r="E80" i="91"/>
  <c r="CG81" i="84"/>
  <c r="CG40" i="84"/>
  <c r="E39" i="91"/>
  <c r="BZ40" i="84"/>
  <c r="BZ26" i="84"/>
  <c r="E25" i="91"/>
  <c r="CG26" i="84"/>
  <c r="E62" i="91"/>
  <c r="CG63" i="84"/>
  <c r="BZ63" i="84"/>
  <c r="BZ59" i="84"/>
  <c r="E58" i="91"/>
  <c r="CG59" i="84"/>
  <c r="CG83" i="84"/>
  <c r="E82" i="91"/>
  <c r="BZ83" i="84"/>
  <c r="CG43" i="84"/>
  <c r="E42" i="91"/>
  <c r="BZ43" i="84"/>
  <c r="E26" i="91"/>
  <c r="CG27" i="84"/>
  <c r="BZ27" i="84"/>
  <c r="BZ28" i="84"/>
  <c r="E27" i="91"/>
  <c r="CG28" i="84"/>
  <c r="C89" i="91"/>
  <c r="CE90" i="84"/>
  <c r="BX90" i="84"/>
  <c r="CF92" i="84"/>
  <c r="BY92" i="84"/>
  <c r="D91" i="91"/>
  <c r="BO55" i="69"/>
  <c r="AT108" i="84"/>
  <c r="AQ113" i="87"/>
  <c r="AT111" i="84"/>
  <c r="AQ105" i="87"/>
  <c r="BO56" i="69"/>
  <c r="AQ109" i="87"/>
  <c r="BO54" i="69"/>
  <c r="AT101" i="84"/>
  <c r="AQ108" i="87"/>
  <c r="AT113" i="84"/>
  <c r="AT109" i="84"/>
  <c r="AT102" i="84"/>
  <c r="AT100" i="84"/>
  <c r="AT97" i="84"/>
  <c r="AT105" i="84"/>
  <c r="AQ111" i="87"/>
  <c r="BO52" i="69"/>
  <c r="AQ99" i="87"/>
  <c r="AT112" i="84"/>
  <c r="AT106" i="84"/>
  <c r="AQ106" i="87"/>
  <c r="AQ114" i="87"/>
  <c r="AQ101" i="87"/>
  <c r="AK95" i="94"/>
  <c r="AT107" i="84"/>
  <c r="AQ103" i="87"/>
  <c r="AQ112" i="87"/>
  <c r="AT104" i="84"/>
  <c r="BO51" i="69"/>
  <c r="AQ100" i="87"/>
  <c r="AK95" i="87"/>
  <c r="BO49" i="69"/>
  <c r="AQ104" i="87"/>
  <c r="AQ102" i="87"/>
  <c r="AT98" i="84"/>
  <c r="BO53" i="69"/>
  <c r="AQ98" i="87"/>
  <c r="AQ107" i="87"/>
  <c r="AQ110" i="87"/>
  <c r="AQ34" i="94"/>
  <c r="AT110" i="84"/>
  <c r="BO50" i="69"/>
  <c r="AT103" i="84"/>
  <c r="AT99" i="84"/>
  <c r="AT114" i="84"/>
  <c r="AQ97" i="87"/>
  <c r="BC67" i="84" l="1"/>
  <c r="BB67" i="84"/>
  <c r="BD67" i="84"/>
  <c r="BE67" i="84"/>
  <c r="BC52" i="84"/>
  <c r="BB52" i="84"/>
  <c r="BE52" i="84"/>
  <c r="BD52" i="84"/>
  <c r="BD60" i="84"/>
  <c r="BC60" i="84"/>
  <c r="BE60" i="84"/>
  <c r="BB60" i="84"/>
  <c r="BC64" i="84"/>
  <c r="BB64" i="84"/>
  <c r="BE64" i="84"/>
  <c r="BD64" i="84"/>
  <c r="BD69" i="84"/>
  <c r="BC69" i="84"/>
  <c r="BB69" i="84"/>
  <c r="BE69" i="84"/>
  <c r="BC58" i="84"/>
  <c r="BB58" i="84"/>
  <c r="BD58" i="84"/>
  <c r="BE58" i="84"/>
  <c r="BE62" i="84"/>
  <c r="BD62" i="84"/>
  <c r="BC62" i="84"/>
  <c r="BB62" i="84"/>
  <c r="BE65" i="84"/>
  <c r="BD65" i="84"/>
  <c r="BB65" i="84"/>
  <c r="BC65" i="84"/>
  <c r="BC55" i="84"/>
  <c r="BB55" i="84"/>
  <c r="BE55" i="84"/>
  <c r="BD55" i="84"/>
  <c r="BE66" i="84"/>
  <c r="BD66" i="84"/>
  <c r="BC66" i="84"/>
  <c r="BB66" i="84"/>
  <c r="BE53" i="84"/>
  <c r="BD53" i="84"/>
  <c r="BC53" i="84"/>
  <c r="BB53" i="84"/>
  <c r="BE68" i="84"/>
  <c r="BD68" i="84"/>
  <c r="BC68" i="84"/>
  <c r="BB68" i="84"/>
  <c r="BC61" i="84"/>
  <c r="BB61" i="84"/>
  <c r="BE61" i="84"/>
  <c r="BD61" i="84"/>
  <c r="BE57" i="84"/>
  <c r="BD57" i="84"/>
  <c r="BC57" i="84"/>
  <c r="BB57" i="84"/>
  <c r="BB63" i="84"/>
  <c r="BE63" i="84"/>
  <c r="BD63" i="84"/>
  <c r="BC63" i="84"/>
  <c r="BB54" i="84"/>
  <c r="BC54" i="84"/>
  <c r="BE54" i="84"/>
  <c r="BD54" i="84"/>
  <c r="BE56" i="84"/>
  <c r="BD56" i="84"/>
  <c r="BB56" i="84"/>
  <c r="BC56" i="84"/>
  <c r="BE59" i="84"/>
  <c r="BD59" i="84"/>
  <c r="BC59" i="84"/>
  <c r="BB59" i="84"/>
  <c r="M8" i="91"/>
  <c r="N15" i="91"/>
  <c r="N5" i="91"/>
  <c r="N7" i="91"/>
  <c r="N16" i="91"/>
  <c r="N22" i="91"/>
  <c r="N10" i="91"/>
  <c r="M13" i="91"/>
  <c r="M4" i="91"/>
  <c r="M11" i="91"/>
  <c r="M9" i="91"/>
  <c r="M17" i="91"/>
  <c r="M27" i="91"/>
  <c r="M5" i="91"/>
  <c r="N18" i="91"/>
  <c r="M32" i="91"/>
  <c r="N8" i="91"/>
  <c r="M7" i="91"/>
  <c r="N102" i="91"/>
  <c r="M127" i="91"/>
  <c r="M70" i="91"/>
  <c r="N12" i="91"/>
  <c r="AJ95" i="87"/>
  <c r="AJ95" i="94"/>
  <c r="M215" i="91"/>
  <c r="M223" i="91"/>
  <c r="M225" i="91"/>
  <c r="M213" i="91"/>
  <c r="M210" i="91"/>
  <c r="M229" i="91"/>
  <c r="M212" i="91"/>
  <c r="M214" i="91"/>
  <c r="M218" i="91"/>
  <c r="M216" i="91"/>
  <c r="M209" i="91"/>
  <c r="M228" i="91"/>
  <c r="M219" i="91"/>
  <c r="M211" i="91"/>
  <c r="M220" i="91"/>
  <c r="M206" i="91"/>
  <c r="M221" i="91"/>
  <c r="M208" i="91"/>
  <c r="M217" i="91"/>
  <c r="M203" i="91"/>
  <c r="M227" i="91"/>
  <c r="M204" i="91"/>
  <c r="M207" i="91"/>
  <c r="M222" i="91"/>
  <c r="M23" i="91"/>
  <c r="M22" i="91"/>
  <c r="M21" i="91"/>
  <c r="M144" i="91"/>
  <c r="M153" i="91"/>
  <c r="M150" i="91"/>
  <c r="M163" i="91"/>
  <c r="M148" i="91"/>
  <c r="M145" i="91"/>
  <c r="M155" i="91"/>
  <c r="M151" i="91"/>
  <c r="M159" i="91"/>
  <c r="M161" i="91"/>
  <c r="M152" i="91"/>
  <c r="M147" i="91"/>
  <c r="M154" i="91"/>
  <c r="M164" i="91"/>
  <c r="M156" i="91"/>
  <c r="M149" i="91"/>
  <c r="M160" i="91"/>
  <c r="M158" i="91"/>
  <c r="M146" i="91"/>
  <c r="M157" i="91"/>
  <c r="M80" i="91"/>
  <c r="M82" i="91"/>
  <c r="M81" i="91"/>
  <c r="M79" i="91"/>
  <c r="M77" i="91"/>
  <c r="M76" i="91"/>
  <c r="M74" i="91"/>
  <c r="M83" i="91"/>
  <c r="M78" i="91"/>
  <c r="M65" i="91"/>
  <c r="M62" i="91"/>
  <c r="M68" i="91"/>
  <c r="M63" i="91"/>
  <c r="M67" i="91"/>
  <c r="M61" i="91"/>
  <c r="M66" i="91"/>
  <c r="N53" i="91"/>
  <c r="N54" i="91"/>
  <c r="N52" i="91"/>
  <c r="N48" i="91"/>
  <c r="M295" i="91"/>
  <c r="M304" i="91"/>
  <c r="M300" i="91"/>
  <c r="M303" i="91"/>
  <c r="M307" i="91"/>
  <c r="M309" i="91"/>
  <c r="M308" i="91"/>
  <c r="M305" i="91"/>
  <c r="M314" i="91"/>
  <c r="M310" i="91"/>
  <c r="M313" i="91"/>
  <c r="M312" i="91"/>
  <c r="M298" i="91"/>
  <c r="M306" i="91"/>
  <c r="M301" i="91"/>
  <c r="M299" i="91"/>
  <c r="M296" i="91"/>
  <c r="M291" i="91"/>
  <c r="M297" i="91"/>
  <c r="M284" i="91"/>
  <c r="M311" i="91"/>
  <c r="N30" i="91"/>
  <c r="N28" i="91"/>
  <c r="M60" i="91"/>
  <c r="M59" i="91"/>
  <c r="M56" i="91"/>
  <c r="N39" i="91"/>
  <c r="N38" i="91"/>
  <c r="N35" i="91"/>
  <c r="M47" i="91"/>
  <c r="M48" i="91"/>
  <c r="M44" i="91"/>
  <c r="M49" i="91"/>
  <c r="M46" i="91"/>
  <c r="N50" i="91"/>
  <c r="N51" i="91"/>
  <c r="N46" i="91"/>
  <c r="M25" i="91"/>
  <c r="M26" i="91"/>
  <c r="M100" i="91"/>
  <c r="M99" i="91"/>
  <c r="M102" i="91"/>
  <c r="M97" i="91"/>
  <c r="M101" i="91"/>
  <c r="M98" i="91"/>
  <c r="M122" i="91"/>
  <c r="M115" i="91"/>
  <c r="M113" i="91"/>
  <c r="M120" i="91"/>
  <c r="M121" i="91"/>
  <c r="M111" i="91"/>
  <c r="M119" i="91"/>
  <c r="M123" i="91"/>
  <c r="M36" i="91"/>
  <c r="M38" i="91"/>
  <c r="M39" i="91"/>
  <c r="N152" i="91"/>
  <c r="N154" i="91"/>
  <c r="N156" i="91"/>
  <c r="N155" i="91"/>
  <c r="N160" i="91"/>
  <c r="N148" i="91"/>
  <c r="N144" i="91"/>
  <c r="N150" i="91"/>
  <c r="N158" i="91"/>
  <c r="N146" i="91"/>
  <c r="N159" i="91"/>
  <c r="N153" i="91"/>
  <c r="N149" i="91"/>
  <c r="N151" i="91"/>
  <c r="M276" i="91"/>
  <c r="M281" i="91"/>
  <c r="M289" i="91"/>
  <c r="M288" i="91"/>
  <c r="M282" i="91"/>
  <c r="M290" i="91"/>
  <c r="M285" i="91"/>
  <c r="M287" i="91"/>
  <c r="M279" i="91"/>
  <c r="M278" i="91"/>
  <c r="M280" i="91"/>
  <c r="M258" i="91"/>
  <c r="M262" i="91"/>
  <c r="M286" i="91"/>
  <c r="M263" i="91"/>
  <c r="M274" i="91"/>
  <c r="M259" i="91"/>
  <c r="N40" i="91"/>
  <c r="N42" i="91"/>
  <c r="M20" i="91"/>
  <c r="M19" i="91"/>
  <c r="M84" i="91"/>
  <c r="M89" i="91"/>
  <c r="M87" i="91"/>
  <c r="M85" i="91"/>
  <c r="N36" i="91"/>
  <c r="N37" i="91"/>
  <c r="N34" i="91"/>
  <c r="M91" i="91"/>
  <c r="M90" i="91"/>
  <c r="M95" i="91"/>
  <c r="M92" i="91"/>
  <c r="M94" i="91"/>
  <c r="N120" i="91"/>
  <c r="N124" i="91"/>
  <c r="N126" i="91"/>
  <c r="N121" i="91"/>
  <c r="N112" i="91"/>
  <c r="N113" i="91"/>
  <c r="N47" i="91"/>
  <c r="N44" i="91"/>
  <c r="N45" i="91"/>
  <c r="N43" i="91"/>
  <c r="M347" i="91"/>
  <c r="M349" i="91"/>
  <c r="N63" i="91"/>
  <c r="N60" i="91"/>
  <c r="N62" i="91"/>
  <c r="M245" i="91"/>
  <c r="M252" i="91"/>
  <c r="M246" i="91"/>
  <c r="M264" i="91"/>
  <c r="M247" i="91"/>
  <c r="M271" i="91"/>
  <c r="M275" i="91"/>
  <c r="M260" i="91"/>
  <c r="M251" i="91"/>
  <c r="M270" i="91"/>
  <c r="M272" i="91"/>
  <c r="M248" i="91"/>
  <c r="M255" i="91"/>
  <c r="M273" i="91"/>
  <c r="M254" i="91"/>
  <c r="M267" i="91"/>
  <c r="M244" i="91"/>
  <c r="M250" i="91"/>
  <c r="N26" i="91"/>
  <c r="N27" i="91"/>
  <c r="N229" i="91"/>
  <c r="N234" i="91"/>
  <c r="N231" i="91"/>
  <c r="N230" i="91"/>
  <c r="N242" i="91"/>
  <c r="N241" i="91"/>
  <c r="N227" i="91"/>
  <c r="N233" i="91"/>
  <c r="N235" i="91"/>
  <c r="N232" i="91"/>
  <c r="N236" i="91"/>
  <c r="N212" i="91"/>
  <c r="N243" i="91"/>
  <c r="N240" i="91"/>
  <c r="N228" i="91"/>
  <c r="N239" i="91"/>
  <c r="N211" i="91"/>
  <c r="N90" i="91"/>
  <c r="N89" i="91"/>
  <c r="N87" i="91"/>
  <c r="N81" i="91"/>
  <c r="N91" i="91"/>
  <c r="N85" i="91"/>
  <c r="M168" i="91"/>
  <c r="M175" i="91"/>
  <c r="M167" i="91"/>
  <c r="M171" i="91"/>
  <c r="M169" i="91"/>
  <c r="M166" i="91"/>
  <c r="M165" i="91"/>
  <c r="M173" i="91"/>
  <c r="M170" i="91"/>
  <c r="N129" i="91"/>
  <c r="N132" i="91"/>
  <c r="N128" i="91"/>
  <c r="M105" i="91"/>
  <c r="M104" i="91"/>
  <c r="M110" i="91"/>
  <c r="N31" i="91"/>
  <c r="N32" i="91"/>
  <c r="N111" i="91"/>
  <c r="N117" i="91"/>
  <c r="N107" i="91"/>
  <c r="N118" i="91"/>
  <c r="N116" i="91"/>
  <c r="N110" i="91"/>
  <c r="N56" i="91"/>
  <c r="N55" i="91"/>
  <c r="M238" i="91"/>
  <c r="M241" i="91"/>
  <c r="M240" i="91"/>
  <c r="M239" i="91"/>
  <c r="M235" i="91"/>
  <c r="M232" i="91"/>
  <c r="M233" i="91"/>
  <c r="M234" i="91"/>
  <c r="N80" i="91"/>
  <c r="N76" i="91"/>
  <c r="N73" i="91"/>
  <c r="N77" i="91"/>
  <c r="M53" i="91"/>
  <c r="M51" i="91"/>
  <c r="N176" i="91"/>
  <c r="N177" i="91"/>
  <c r="N172" i="91"/>
  <c r="N173" i="91"/>
  <c r="N178" i="91"/>
  <c r="N175" i="91"/>
  <c r="N182" i="91"/>
  <c r="N179" i="91"/>
  <c r="N180" i="91"/>
  <c r="M315" i="91"/>
  <c r="M335" i="91"/>
  <c r="M330" i="91"/>
  <c r="M323" i="91"/>
  <c r="M325" i="91"/>
  <c r="M334" i="91"/>
  <c r="M328" i="91"/>
  <c r="M319" i="91"/>
  <c r="M321" i="91"/>
  <c r="M332" i="91"/>
  <c r="M324" i="91"/>
  <c r="M333" i="91"/>
  <c r="N256" i="91"/>
  <c r="N260" i="91"/>
  <c r="N245" i="91"/>
  <c r="N251" i="91"/>
  <c r="N252" i="91"/>
  <c r="N258" i="91"/>
  <c r="N248" i="91"/>
  <c r="M350" i="91"/>
  <c r="M351" i="91"/>
  <c r="M342" i="91"/>
  <c r="M343" i="91"/>
  <c r="M339" i="91"/>
  <c r="M340" i="91"/>
  <c r="M336" i="91"/>
  <c r="N273" i="91"/>
  <c r="N276" i="91"/>
  <c r="N272" i="91"/>
  <c r="N267" i="91"/>
  <c r="N268" i="91"/>
  <c r="N261" i="91"/>
  <c r="N265" i="91"/>
  <c r="N274" i="91"/>
  <c r="N275" i="91"/>
  <c r="N163" i="91"/>
  <c r="N165" i="91"/>
  <c r="N164" i="91"/>
  <c r="N162" i="91"/>
  <c r="N168" i="91"/>
  <c r="N220" i="91"/>
  <c r="N223" i="91"/>
  <c r="N219" i="91"/>
  <c r="N222" i="91"/>
  <c r="N199" i="91"/>
  <c r="N203" i="91"/>
  <c r="N221" i="91"/>
  <c r="N225" i="91"/>
  <c r="N196" i="91"/>
  <c r="N200" i="91"/>
  <c r="N206" i="91"/>
  <c r="N217" i="91"/>
  <c r="N198" i="91"/>
  <c r="N207" i="91"/>
  <c r="N68" i="91"/>
  <c r="N71" i="91"/>
  <c r="N147" i="91"/>
  <c r="N139" i="91"/>
  <c r="N143" i="91"/>
  <c r="M176" i="91"/>
  <c r="M183" i="91"/>
  <c r="M55" i="91"/>
  <c r="M54" i="91"/>
  <c r="N72" i="91"/>
  <c r="N75" i="91"/>
  <c r="N201" i="91"/>
  <c r="N202" i="91"/>
  <c r="N313" i="91"/>
  <c r="N325" i="91"/>
  <c r="N318" i="91"/>
  <c r="N308" i="91"/>
  <c r="M197" i="91"/>
  <c r="M194" i="91"/>
  <c r="N183" i="91"/>
  <c r="N188" i="91"/>
  <c r="M112" i="91"/>
  <c r="M117" i="91"/>
  <c r="M331" i="91"/>
  <c r="N21" i="91"/>
  <c r="N41" i="91"/>
  <c r="N29" i="91"/>
  <c r="M125" i="91"/>
  <c r="M137" i="91"/>
  <c r="M224" i="91"/>
  <c r="M226" i="91"/>
  <c r="N122" i="91"/>
  <c r="N114" i="91"/>
  <c r="N49" i="91"/>
  <c r="N270" i="91"/>
  <c r="N244" i="91"/>
  <c r="N249" i="91"/>
  <c r="N253" i="91"/>
  <c r="M71" i="91"/>
  <c r="M24" i="91"/>
  <c r="M162" i="91"/>
  <c r="M103" i="91"/>
  <c r="M338" i="91"/>
  <c r="M345" i="91"/>
  <c r="N169" i="91"/>
  <c r="N103" i="91"/>
  <c r="N66" i="91"/>
  <c r="N209" i="91"/>
  <c r="N191" i="91"/>
  <c r="M75" i="91"/>
  <c r="M124" i="91"/>
  <c r="M126" i="91"/>
  <c r="M257" i="91"/>
  <c r="M253" i="91"/>
  <c r="M230" i="91"/>
  <c r="N145" i="91"/>
  <c r="N136" i="91"/>
  <c r="M15" i="91"/>
  <c r="N301" i="91"/>
  <c r="N330" i="91"/>
  <c r="N283" i="91"/>
  <c r="N291" i="91"/>
  <c r="M40" i="91"/>
  <c r="M182" i="91"/>
  <c r="M191" i="91"/>
  <c r="M205" i="91"/>
  <c r="N161" i="91"/>
  <c r="N11" i="91"/>
  <c r="N216" i="91"/>
  <c r="M64" i="91"/>
  <c r="M31" i="91"/>
  <c r="M302" i="91"/>
  <c r="M283" i="91"/>
  <c r="N83" i="91"/>
  <c r="N213" i="91"/>
  <c r="M317" i="91"/>
  <c r="N70" i="91"/>
  <c r="M58" i="91"/>
  <c r="N247" i="91"/>
  <c r="M172" i="91"/>
  <c r="M198" i="91"/>
  <c r="M341" i="91"/>
  <c r="M293" i="91"/>
  <c r="N192" i="91"/>
  <c r="N95" i="91"/>
  <c r="N329" i="91"/>
  <c r="N309" i="91"/>
  <c r="N279" i="91"/>
  <c r="M96" i="91"/>
  <c r="J406" i="91"/>
  <c r="K391" i="91"/>
  <c r="M114" i="91"/>
  <c r="M329" i="91"/>
  <c r="M294" i="91"/>
  <c r="N187" i="91"/>
  <c r="N88" i="91"/>
  <c r="N210" i="91"/>
  <c r="M57" i="91"/>
  <c r="L378" i="91"/>
  <c r="M108" i="91"/>
  <c r="M320" i="91"/>
  <c r="N142" i="91"/>
  <c r="N13" i="91"/>
  <c r="N296" i="91"/>
  <c r="N33" i="91"/>
  <c r="L367" i="91"/>
  <c r="M106" i="91"/>
  <c r="M277" i="91"/>
  <c r="M45" i="91"/>
  <c r="J395" i="91"/>
  <c r="K389" i="91"/>
  <c r="L26" i="91"/>
  <c r="M292" i="91"/>
  <c r="J402" i="91"/>
  <c r="M14" i="91"/>
  <c r="L372" i="91"/>
  <c r="J401" i="91"/>
  <c r="K406" i="91"/>
  <c r="L375" i="91"/>
  <c r="N181" i="91"/>
  <c r="N4" i="91"/>
  <c r="N17" i="91"/>
  <c r="M10" i="91"/>
  <c r="M129" i="91"/>
  <c r="M139" i="91"/>
  <c r="N123" i="91"/>
  <c r="N106" i="91"/>
  <c r="N277" i="91"/>
  <c r="N254" i="91"/>
  <c r="N259" i="91"/>
  <c r="N255" i="91"/>
  <c r="M93" i="91"/>
  <c r="M337" i="91"/>
  <c r="M344" i="91"/>
  <c r="N157" i="91"/>
  <c r="N100" i="91"/>
  <c r="N65" i="91"/>
  <c r="N205" i="91"/>
  <c r="N197" i="91"/>
  <c r="M116" i="91"/>
  <c r="M265" i="91"/>
  <c r="M269" i="91"/>
  <c r="M261" i="91"/>
  <c r="M236" i="91"/>
  <c r="N141" i="91"/>
  <c r="N131" i="91"/>
  <c r="M16" i="91"/>
  <c r="N324" i="91"/>
  <c r="N322" i="91"/>
  <c r="N295" i="91"/>
  <c r="N289" i="91"/>
  <c r="M29" i="91"/>
  <c r="M179" i="91"/>
  <c r="M199" i="91"/>
  <c r="N94" i="91"/>
  <c r="N238" i="91"/>
  <c r="N218" i="91"/>
  <c r="M30" i="91"/>
  <c r="N92" i="91"/>
  <c r="N215" i="91"/>
  <c r="M318" i="91"/>
  <c r="N59" i="91"/>
  <c r="M86" i="91"/>
  <c r="M133" i="91"/>
  <c r="M118" i="91"/>
  <c r="N9" i="91"/>
  <c r="N130" i="91"/>
  <c r="N67" i="91"/>
  <c r="N321" i="91"/>
  <c r="N302" i="91"/>
  <c r="N288" i="91"/>
  <c r="J411" i="91"/>
  <c r="K393" i="91"/>
  <c r="M266" i="91"/>
  <c r="M327" i="91"/>
  <c r="N133" i="91"/>
  <c r="N224" i="91"/>
  <c r="M37" i="91"/>
  <c r="J398" i="91"/>
  <c r="M268" i="91"/>
  <c r="M249" i="91"/>
  <c r="N127" i="91"/>
  <c r="N331" i="91"/>
  <c r="N299" i="91"/>
  <c r="L373" i="91"/>
  <c r="M192" i="91"/>
  <c r="N174" i="91"/>
  <c r="M34" i="91"/>
  <c r="K402" i="91"/>
  <c r="M109" i="91"/>
  <c r="M6" i="91"/>
  <c r="J399" i="91"/>
  <c r="K401" i="91"/>
  <c r="M88" i="91"/>
  <c r="L380" i="91"/>
  <c r="L4" i="91"/>
  <c r="K398" i="91"/>
  <c r="L36" i="91"/>
  <c r="L358" i="91"/>
  <c r="N214" i="91"/>
  <c r="M12" i="91"/>
  <c r="N25" i="91"/>
  <c r="M33" i="91"/>
  <c r="M143" i="91"/>
  <c r="N125" i="91"/>
  <c r="N115" i="91"/>
  <c r="N263" i="91"/>
  <c r="N269" i="91"/>
  <c r="N266" i="91"/>
  <c r="M41" i="91"/>
  <c r="M346" i="91"/>
  <c r="M348" i="91"/>
  <c r="N167" i="91"/>
  <c r="N105" i="91"/>
  <c r="N64" i="91"/>
  <c r="N208" i="91"/>
  <c r="N204" i="91"/>
  <c r="M237" i="91"/>
  <c r="N134" i="91"/>
  <c r="N78" i="91"/>
  <c r="N319" i="91"/>
  <c r="N338" i="91"/>
  <c r="N300" i="91"/>
  <c r="N278" i="91"/>
  <c r="N281" i="91"/>
  <c r="M28" i="91"/>
  <c r="M201" i="91"/>
  <c r="N98" i="91"/>
  <c r="N237" i="91"/>
  <c r="N226" i="91"/>
  <c r="N84" i="91"/>
  <c r="M174" i="91"/>
  <c r="M326" i="91"/>
  <c r="N61" i="91"/>
  <c r="M107" i="91"/>
  <c r="N119" i="91"/>
  <c r="N109" i="91"/>
  <c r="N82" i="91"/>
  <c r="N335" i="91"/>
  <c r="N246" i="91"/>
  <c r="M52" i="91"/>
  <c r="N23" i="91"/>
  <c r="K394" i="91"/>
  <c r="M322" i="91"/>
  <c r="N99" i="91"/>
  <c r="N14" i="91"/>
  <c r="N298" i="91"/>
  <c r="J397" i="91"/>
  <c r="K392" i="91"/>
  <c r="M256" i="91"/>
  <c r="N137" i="91"/>
  <c r="N316" i="91"/>
  <c r="N290" i="91"/>
  <c r="J413" i="91"/>
  <c r="M200" i="91"/>
  <c r="N86" i="91"/>
  <c r="L381" i="91"/>
  <c r="N69" i="91"/>
  <c r="J409" i="91"/>
  <c r="K410" i="91"/>
  <c r="L45" i="91"/>
  <c r="J391" i="91"/>
  <c r="K399" i="91"/>
  <c r="J415" i="91"/>
  <c r="M132" i="91"/>
  <c r="M128" i="91"/>
  <c r="M138" i="91"/>
  <c r="N108" i="91"/>
  <c r="N250" i="91"/>
  <c r="N262" i="91"/>
  <c r="N264" i="91"/>
  <c r="M43" i="91"/>
  <c r="N171" i="91"/>
  <c r="N93" i="91"/>
  <c r="N57" i="91"/>
  <c r="N185" i="91"/>
  <c r="N194" i="91"/>
  <c r="M242" i="91"/>
  <c r="N74" i="91"/>
  <c r="N332" i="91"/>
  <c r="N327" i="91"/>
  <c r="N311" i="91"/>
  <c r="N285" i="91"/>
  <c r="N292" i="91"/>
  <c r="M185" i="91"/>
  <c r="M195" i="91"/>
  <c r="N97" i="91"/>
  <c r="N20" i="91"/>
  <c r="N184" i="91"/>
  <c r="N305" i="91"/>
  <c r="M142" i="91"/>
  <c r="M316" i="91"/>
  <c r="M231" i="91"/>
  <c r="N170" i="91"/>
  <c r="N58" i="91"/>
  <c r="N257" i="91"/>
  <c r="L40" i="91"/>
  <c r="M184" i="91"/>
  <c r="N166" i="91"/>
  <c r="N138" i="91"/>
  <c r="N334" i="91"/>
  <c r="N303" i="91"/>
  <c r="J405" i="91"/>
  <c r="K395" i="91"/>
  <c r="M243" i="91"/>
  <c r="N79" i="91"/>
  <c r="N323" i="91"/>
  <c r="M50" i="91"/>
  <c r="J393" i="91"/>
  <c r="K414" i="91"/>
  <c r="L368" i="91"/>
  <c r="K396" i="91"/>
  <c r="J403" i="91"/>
  <c r="K407" i="91"/>
  <c r="L376" i="91"/>
  <c r="J392" i="91"/>
  <c r="K411" i="91"/>
  <c r="N284" i="91"/>
  <c r="N6" i="91"/>
  <c r="M130" i="91"/>
  <c r="M140" i="91"/>
  <c r="M73" i="91"/>
  <c r="N101" i="91"/>
  <c r="N186" i="91"/>
  <c r="N189" i="91"/>
  <c r="N135" i="91"/>
  <c r="N328" i="91"/>
  <c r="N314" i="91"/>
  <c r="N315" i="91"/>
  <c r="N293" i="91"/>
  <c r="M181" i="91"/>
  <c r="M190" i="91"/>
  <c r="N96" i="91"/>
  <c r="N19" i="91"/>
  <c r="N193" i="91"/>
  <c r="N306" i="91"/>
  <c r="M188" i="91"/>
  <c r="N104" i="91"/>
  <c r="N271" i="91"/>
  <c r="M42" i="91"/>
  <c r="L379" i="91"/>
  <c r="M186" i="91"/>
  <c r="M196" i="91"/>
  <c r="N326" i="91"/>
  <c r="N297" i="91"/>
  <c r="K404" i="91"/>
  <c r="M180" i="91"/>
  <c r="M189" i="91"/>
  <c r="M35" i="91"/>
  <c r="J400" i="91"/>
  <c r="K409" i="91"/>
  <c r="L85" i="91"/>
  <c r="M18" i="91"/>
  <c r="L366" i="91"/>
  <c r="L361" i="91"/>
  <c r="J396" i="91"/>
  <c r="K408" i="91"/>
  <c r="L374" i="91"/>
  <c r="J404" i="91"/>
  <c r="K388" i="91"/>
  <c r="N280" i="91"/>
  <c r="M134" i="91"/>
  <c r="M135" i="91"/>
  <c r="M69" i="91"/>
  <c r="N333" i="91"/>
  <c r="N304" i="91"/>
  <c r="N320" i="91"/>
  <c r="N286" i="91"/>
  <c r="M202" i="91"/>
  <c r="N195" i="91"/>
  <c r="N312" i="91"/>
  <c r="M187" i="91"/>
  <c r="N140" i="91"/>
  <c r="L369" i="91"/>
  <c r="N337" i="91"/>
  <c r="N24" i="91"/>
  <c r="L32" i="91"/>
  <c r="M178" i="91"/>
  <c r="K412" i="91"/>
  <c r="M177" i="91"/>
  <c r="J394" i="91"/>
  <c r="L360" i="91"/>
  <c r="J417" i="91"/>
  <c r="K405" i="91"/>
  <c r="L359" i="91"/>
  <c r="L59" i="91"/>
  <c r="K400" i="91"/>
  <c r="N282" i="91"/>
  <c r="M131" i="91"/>
  <c r="M141" i="91"/>
  <c r="M72" i="91"/>
  <c r="N336" i="91"/>
  <c r="N310" i="91"/>
  <c r="N317" i="91"/>
  <c r="N287" i="91"/>
  <c r="M193" i="91"/>
  <c r="N190" i="91"/>
  <c r="N307" i="91"/>
  <c r="L363" i="91"/>
  <c r="L357" i="91"/>
  <c r="L370" i="91"/>
  <c r="J416" i="91"/>
  <c r="L364" i="91"/>
  <c r="K413" i="91"/>
  <c r="J407" i="91"/>
  <c r="K403" i="91"/>
  <c r="M136" i="91"/>
  <c r="N294" i="91"/>
  <c r="J414" i="91"/>
  <c r="L377" i="91"/>
  <c r="L371" i="91"/>
  <c r="J412" i="91"/>
  <c r="K390" i="91"/>
  <c r="J410" i="91"/>
  <c r="L362" i="91"/>
  <c r="J408" i="91"/>
  <c r="K397" i="91"/>
  <c r="L56" i="91"/>
  <c r="L365" i="91"/>
  <c r="BA101" i="84"/>
  <c r="BK98" i="69"/>
  <c r="BK102" i="69"/>
  <c r="BA105" i="84"/>
  <c r="BA110" i="84"/>
  <c r="BK107" i="69"/>
  <c r="BK96" i="69"/>
  <c r="BA99" i="84"/>
  <c r="BK108" i="69"/>
  <c r="BA111" i="84"/>
  <c r="BK100" i="69"/>
  <c r="BA103" i="84"/>
  <c r="BK105" i="69"/>
  <c r="BA108" i="84"/>
  <c r="BA112" i="84"/>
  <c r="BK109" i="69"/>
  <c r="BK106" i="69"/>
  <c r="BA109" i="84"/>
  <c r="BA114" i="84"/>
  <c r="BK111" i="69"/>
  <c r="BK97" i="69"/>
  <c r="BA100" i="84"/>
  <c r="BK103" i="69"/>
  <c r="BA106" i="84"/>
  <c r="BK95" i="69"/>
  <c r="BA98" i="84"/>
  <c r="BA113" i="84"/>
  <c r="BK110" i="69"/>
  <c r="BA102" i="84"/>
  <c r="BK99" i="69"/>
  <c r="BK104" i="69"/>
  <c r="BA107" i="84"/>
  <c r="BA97" i="84"/>
  <c r="BK94" i="69"/>
  <c r="BA104" i="84"/>
  <c r="BK101" i="69"/>
  <c r="CH91" i="84"/>
  <c r="CA91" i="84"/>
  <c r="F90" i="91"/>
  <c r="F37" i="91"/>
  <c r="CH38" i="84"/>
  <c r="CA38" i="84"/>
  <c r="CA56" i="84"/>
  <c r="CH56" i="84"/>
  <c r="F55" i="91"/>
  <c r="CH86" i="84"/>
  <c r="F85" i="91"/>
  <c r="CA86" i="84"/>
  <c r="CB36" i="84"/>
  <c r="CI36" i="84"/>
  <c r="G35" i="91"/>
  <c r="CA21" i="84"/>
  <c r="F20" i="91"/>
  <c r="CH21" i="84"/>
  <c r="CH76" i="84"/>
  <c r="CA76" i="84"/>
  <c r="F75" i="91"/>
  <c r="CI30" i="84"/>
  <c r="G29" i="91"/>
  <c r="CB30" i="84"/>
  <c r="CH36" i="84"/>
  <c r="F35" i="91"/>
  <c r="CA36" i="84"/>
  <c r="CH73" i="84"/>
  <c r="F72" i="91"/>
  <c r="CA73" i="84"/>
  <c r="G16" i="91"/>
  <c r="CB17" i="84"/>
  <c r="CI17" i="84"/>
  <c r="CI78" i="84"/>
  <c r="G77" i="91"/>
  <c r="CB78" i="84"/>
  <c r="CA96" i="84"/>
  <c r="F95" i="91"/>
  <c r="CH96" i="84"/>
  <c r="CH24" i="84"/>
  <c r="F23" i="91"/>
  <c r="CA24" i="84"/>
  <c r="CI58" i="84"/>
  <c r="CB58" i="84"/>
  <c r="G57" i="91"/>
  <c r="CI69" i="84"/>
  <c r="CB69" i="84"/>
  <c r="G68" i="91"/>
  <c r="CB34" i="84"/>
  <c r="CI34" i="84"/>
  <c r="G33" i="91"/>
  <c r="F5" i="91"/>
  <c r="CH6" i="84"/>
  <c r="CA6" i="84"/>
  <c r="CH71" i="84"/>
  <c r="F70" i="91"/>
  <c r="CA71" i="84"/>
  <c r="CB24" i="84"/>
  <c r="CI24" i="84"/>
  <c r="G23" i="91"/>
  <c r="CI73" i="84"/>
  <c r="G72" i="91"/>
  <c r="CB73" i="84"/>
  <c r="CA57" i="84"/>
  <c r="F56" i="91"/>
  <c r="CH57" i="84"/>
  <c r="CB43" i="84"/>
  <c r="CI43" i="84"/>
  <c r="G42" i="91"/>
  <c r="CA5" i="84"/>
  <c r="CH5" i="84"/>
  <c r="F4" i="91"/>
  <c r="CH68" i="84"/>
  <c r="F67" i="91"/>
  <c r="CA68" i="84"/>
  <c r="CB20" i="84"/>
  <c r="G19" i="91"/>
  <c r="CI20" i="84"/>
  <c r="G76" i="91"/>
  <c r="CB77" i="84"/>
  <c r="CI77" i="84"/>
  <c r="F57" i="91"/>
  <c r="CA58" i="84"/>
  <c r="CH58" i="84"/>
  <c r="CA79" i="84"/>
  <c r="CH79" i="84"/>
  <c r="F78" i="91"/>
  <c r="CA28" i="84"/>
  <c r="F27" i="91"/>
  <c r="CH28" i="84"/>
  <c r="CI59" i="84"/>
  <c r="G58" i="91"/>
  <c r="CB59" i="84"/>
  <c r="CI64" i="84"/>
  <c r="CB64" i="84"/>
  <c r="G63" i="91"/>
  <c r="CA82" i="84"/>
  <c r="F81" i="91"/>
  <c r="CH82" i="84"/>
  <c r="CI50" i="84"/>
  <c r="CB50" i="84"/>
  <c r="G49" i="91"/>
  <c r="CA23" i="84"/>
  <c r="F22" i="91"/>
  <c r="CH23" i="84"/>
  <c r="F64" i="91"/>
  <c r="CA65" i="84"/>
  <c r="CH65" i="84"/>
  <c r="CI9" i="84"/>
  <c r="CB9" i="84"/>
  <c r="G8" i="91"/>
  <c r="G94" i="91"/>
  <c r="CB95" i="84"/>
  <c r="CI95" i="84"/>
  <c r="F46" i="91"/>
  <c r="CA47" i="84"/>
  <c r="CH47" i="84"/>
  <c r="F94" i="91"/>
  <c r="CH95" i="84"/>
  <c r="CA95" i="84"/>
  <c r="G73" i="91"/>
  <c r="CB74" i="84"/>
  <c r="CI74" i="84"/>
  <c r="CH54" i="84"/>
  <c r="CA54" i="84"/>
  <c r="F53" i="91"/>
  <c r="CB49" i="84"/>
  <c r="G48" i="91"/>
  <c r="CI49" i="84"/>
  <c r="F24" i="91"/>
  <c r="CH25" i="84"/>
  <c r="CA25" i="84"/>
  <c r="CA77" i="84"/>
  <c r="CH77" i="84"/>
  <c r="F76" i="91"/>
  <c r="CI5" i="84"/>
  <c r="CB5" i="84"/>
  <c r="G4" i="91"/>
  <c r="CI72" i="84"/>
  <c r="CB72" i="84"/>
  <c r="G71" i="91"/>
  <c r="CI27" i="84"/>
  <c r="CB27" i="84"/>
  <c r="G26" i="91"/>
  <c r="F19" i="91"/>
  <c r="CA20" i="84"/>
  <c r="CH20" i="84"/>
  <c r="F77" i="91"/>
  <c r="CH78" i="84"/>
  <c r="CA78" i="84"/>
  <c r="CI23" i="84"/>
  <c r="CB23" i="84"/>
  <c r="G22" i="91"/>
  <c r="CB91" i="84"/>
  <c r="CI91" i="84"/>
  <c r="G90" i="91"/>
  <c r="CB76" i="84"/>
  <c r="CI76" i="84"/>
  <c r="G75" i="91"/>
  <c r="CH99" i="84"/>
  <c r="CA99" i="84"/>
  <c r="F98" i="91"/>
  <c r="CB81" i="84"/>
  <c r="CI81" i="84"/>
  <c r="G80" i="91"/>
  <c r="CH55" i="84"/>
  <c r="CA55" i="84"/>
  <c r="F54" i="91"/>
  <c r="CA94" i="84"/>
  <c r="CH94" i="84"/>
  <c r="F93" i="91"/>
  <c r="F28" i="91"/>
  <c r="CH29" i="84"/>
  <c r="CA29" i="84"/>
  <c r="G59" i="91"/>
  <c r="CB60" i="84"/>
  <c r="CI60" i="84"/>
  <c r="CB67" i="84"/>
  <c r="CI67" i="84"/>
  <c r="G66" i="91"/>
  <c r="CI42" i="84"/>
  <c r="CB42" i="84"/>
  <c r="G41" i="91"/>
  <c r="F10" i="91"/>
  <c r="CA11" i="84"/>
  <c r="CH11" i="84"/>
  <c r="G100" i="91"/>
  <c r="CB101" i="84"/>
  <c r="CI101" i="84"/>
  <c r="CB10" i="84"/>
  <c r="CI10" i="84"/>
  <c r="G9" i="91"/>
  <c r="G85" i="91"/>
  <c r="CB86" i="84"/>
  <c r="CI86" i="84"/>
  <c r="CH87" i="84"/>
  <c r="F86" i="91"/>
  <c r="CA87" i="84"/>
  <c r="F41" i="91"/>
  <c r="CH42" i="84"/>
  <c r="CA42" i="84"/>
  <c r="G56" i="91"/>
  <c r="CI57" i="84"/>
  <c r="CB57" i="84"/>
  <c r="G67" i="91"/>
  <c r="CI68" i="84"/>
  <c r="CB68" i="84"/>
  <c r="CB16" i="84"/>
  <c r="G15" i="91"/>
  <c r="CI16" i="84"/>
  <c r="G91" i="91"/>
  <c r="CI92" i="84"/>
  <c r="CB92" i="84"/>
  <c r="CH43" i="84"/>
  <c r="F42" i="91"/>
  <c r="CA43" i="84"/>
  <c r="CA80" i="84"/>
  <c r="F79" i="91"/>
  <c r="CH80" i="84"/>
  <c r="CA41" i="84"/>
  <c r="F40" i="91"/>
  <c r="CH41" i="84"/>
  <c r="CI52" i="84"/>
  <c r="CB52" i="84"/>
  <c r="G51" i="91"/>
  <c r="CI70" i="84"/>
  <c r="G69" i="91"/>
  <c r="CB70" i="84"/>
  <c r="CI7" i="84"/>
  <c r="G6" i="91"/>
  <c r="CB7" i="84"/>
  <c r="CI90" i="84"/>
  <c r="CB90" i="84"/>
  <c r="G89" i="91"/>
  <c r="CH51" i="84"/>
  <c r="CA51" i="84"/>
  <c r="F50" i="91"/>
  <c r="CI6" i="84"/>
  <c r="CB6" i="84"/>
  <c r="G5" i="91"/>
  <c r="CI79" i="84"/>
  <c r="CB79" i="84"/>
  <c r="G78" i="91"/>
  <c r="F58" i="91"/>
  <c r="CA59" i="84"/>
  <c r="CH59" i="84"/>
  <c r="CH92" i="84"/>
  <c r="CA92" i="84"/>
  <c r="F91" i="91"/>
  <c r="CI84" i="84"/>
  <c r="CB84" i="84"/>
  <c r="G83" i="91"/>
  <c r="F59" i="91"/>
  <c r="CH60" i="84"/>
  <c r="CA60" i="84"/>
  <c r="G46" i="91"/>
  <c r="CB47" i="84"/>
  <c r="CI47" i="84"/>
  <c r="CH17" i="84"/>
  <c r="CA17" i="84"/>
  <c r="F16" i="91"/>
  <c r="CA69" i="84"/>
  <c r="F68" i="91"/>
  <c r="CH69" i="84"/>
  <c r="G14" i="91"/>
  <c r="CB15" i="84"/>
  <c r="CI15" i="84"/>
  <c r="G96" i="91"/>
  <c r="CB97" i="84"/>
  <c r="CI97" i="84"/>
  <c r="CH46" i="84"/>
  <c r="CA46" i="84"/>
  <c r="F45" i="91"/>
  <c r="CH97" i="84"/>
  <c r="F96" i="91"/>
  <c r="CA97" i="84"/>
  <c r="CA27" i="84"/>
  <c r="F26" i="91"/>
  <c r="CH27" i="84"/>
  <c r="G60" i="91"/>
  <c r="CB61" i="84"/>
  <c r="CI61" i="84"/>
  <c r="CB40" i="84"/>
  <c r="CI40" i="84"/>
  <c r="G39" i="91"/>
  <c r="F17" i="91"/>
  <c r="CA18" i="84"/>
  <c r="CH18" i="84"/>
  <c r="CI102" i="84"/>
  <c r="CB102" i="84"/>
  <c r="G101" i="91"/>
  <c r="CH98" i="84"/>
  <c r="CA98" i="84"/>
  <c r="F97" i="91"/>
  <c r="F25" i="91"/>
  <c r="CH26" i="84"/>
  <c r="CA26" i="84"/>
  <c r="CA62" i="84"/>
  <c r="F61" i="91"/>
  <c r="CH62" i="84"/>
  <c r="G44" i="91"/>
  <c r="CI45" i="84"/>
  <c r="CB45" i="84"/>
  <c r="CA16" i="84"/>
  <c r="CH16" i="84"/>
  <c r="F15" i="91"/>
  <c r="CI103" i="84"/>
  <c r="CB103" i="84"/>
  <c r="G102" i="91"/>
  <c r="G7" i="91"/>
  <c r="CI8" i="84"/>
  <c r="CB8" i="84"/>
  <c r="CI96" i="84"/>
  <c r="G95" i="91"/>
  <c r="CB96" i="84"/>
  <c r="CA45" i="84"/>
  <c r="F44" i="91"/>
  <c r="CH45" i="84"/>
  <c r="CI11" i="84"/>
  <c r="G10" i="91"/>
  <c r="CB11" i="84"/>
  <c r="CI75" i="84"/>
  <c r="G74" i="91"/>
  <c r="CB75" i="84"/>
  <c r="G38" i="91"/>
  <c r="CI39" i="84"/>
  <c r="CB39" i="84"/>
  <c r="F34" i="91"/>
  <c r="CH35" i="84"/>
  <c r="CA35" i="84"/>
  <c r="CH72" i="84"/>
  <c r="CA72" i="84"/>
  <c r="F71" i="91"/>
  <c r="CI32" i="84"/>
  <c r="G31" i="91"/>
  <c r="CB32" i="84"/>
  <c r="CA15" i="84"/>
  <c r="F14" i="91"/>
  <c r="CH15" i="84"/>
  <c r="G99" i="91"/>
  <c r="CB100" i="84"/>
  <c r="CI100" i="84"/>
  <c r="G20" i="91"/>
  <c r="CB21" i="84"/>
  <c r="CI21" i="84"/>
  <c r="G81" i="91"/>
  <c r="CB82" i="84"/>
  <c r="CI82" i="84"/>
  <c r="CA53" i="84"/>
  <c r="CH53" i="84"/>
  <c r="F52" i="91"/>
  <c r="G40" i="91"/>
  <c r="CB41" i="84"/>
  <c r="CI41" i="84"/>
  <c r="CH9" i="84"/>
  <c r="CA9" i="84"/>
  <c r="F8" i="91"/>
  <c r="CH63" i="84"/>
  <c r="F62" i="91"/>
  <c r="CA63" i="84"/>
  <c r="CB19" i="84"/>
  <c r="G18" i="91"/>
  <c r="CI19" i="84"/>
  <c r="G84" i="91"/>
  <c r="CB85" i="84"/>
  <c r="CI85" i="84"/>
  <c r="CA52" i="84"/>
  <c r="F51" i="91"/>
  <c r="CH52" i="84"/>
  <c r="G43" i="91"/>
  <c r="CB44" i="84"/>
  <c r="CI44" i="84"/>
  <c r="CH12" i="84"/>
  <c r="CA12" i="84"/>
  <c r="F11" i="91"/>
  <c r="F65" i="91"/>
  <c r="CA66" i="84"/>
  <c r="CH66" i="84"/>
  <c r="CI18" i="84"/>
  <c r="CB18" i="84"/>
  <c r="G17" i="91"/>
  <c r="G87" i="91"/>
  <c r="CB88" i="84"/>
  <c r="CI88" i="84"/>
  <c r="F43" i="91"/>
  <c r="CA44" i="84"/>
  <c r="CH44" i="84"/>
  <c r="CI14" i="84"/>
  <c r="CB14" i="84"/>
  <c r="G13" i="91"/>
  <c r="CB94" i="84"/>
  <c r="G93" i="91"/>
  <c r="CI94" i="84"/>
  <c r="CA50" i="84"/>
  <c r="F49" i="91"/>
  <c r="CH50" i="84"/>
  <c r="CA88" i="84"/>
  <c r="CH88" i="84"/>
  <c r="F87" i="91"/>
  <c r="CH34" i="84"/>
  <c r="CA34" i="84"/>
  <c r="F33" i="91"/>
  <c r="CB56" i="84"/>
  <c r="CI56" i="84"/>
  <c r="G55" i="91"/>
  <c r="G61" i="91"/>
  <c r="CB62" i="84"/>
  <c r="CI62" i="84"/>
  <c r="CB28" i="84"/>
  <c r="CI28" i="84"/>
  <c r="G27" i="91"/>
  <c r="CA14" i="84"/>
  <c r="F13" i="91"/>
  <c r="CH14" i="84"/>
  <c r="F66" i="91"/>
  <c r="CA67" i="84"/>
  <c r="CH67" i="84"/>
  <c r="CB25" i="84"/>
  <c r="G24" i="91"/>
  <c r="CI25" i="84"/>
  <c r="CI80" i="84"/>
  <c r="G79" i="91"/>
  <c r="CB80" i="84"/>
  <c r="CI46" i="84"/>
  <c r="CB46" i="84"/>
  <c r="G45" i="91"/>
  <c r="F30" i="91"/>
  <c r="CA31" i="84"/>
  <c r="CH31" i="84"/>
  <c r="CH70" i="84"/>
  <c r="F69" i="91"/>
  <c r="CA70" i="84"/>
  <c r="G21" i="91"/>
  <c r="CB22" i="84"/>
  <c r="CI22" i="84"/>
  <c r="CB83" i="84"/>
  <c r="CI83" i="84"/>
  <c r="G82" i="91"/>
  <c r="CH83" i="84"/>
  <c r="CA83" i="84"/>
  <c r="F82" i="91"/>
  <c r="G36" i="91"/>
  <c r="CI37" i="84"/>
  <c r="CB37" i="84"/>
  <c r="CA37" i="84"/>
  <c r="F36" i="91"/>
  <c r="CH37" i="84"/>
  <c r="CA74" i="84"/>
  <c r="F73" i="91"/>
  <c r="CH74" i="84"/>
  <c r="CB31" i="84"/>
  <c r="CI31" i="84"/>
  <c r="G30" i="91"/>
  <c r="CA8" i="84"/>
  <c r="F7" i="91"/>
  <c r="CH8" i="84"/>
  <c r="G98" i="91"/>
  <c r="CI99" i="84"/>
  <c r="CB99" i="84"/>
  <c r="G47" i="91"/>
  <c r="CB48" i="84"/>
  <c r="CI48" i="84"/>
  <c r="CB93" i="84"/>
  <c r="CI93" i="84"/>
  <c r="G92" i="91"/>
  <c r="CI106" i="84"/>
  <c r="CB106" i="84"/>
  <c r="G105" i="91"/>
  <c r="CH89" i="84"/>
  <c r="CA89" i="84"/>
  <c r="F88" i="91"/>
  <c r="CH40" i="84"/>
  <c r="F39" i="91"/>
  <c r="CA40" i="84"/>
  <c r="G52" i="91"/>
  <c r="CI53" i="84"/>
  <c r="CB53" i="84"/>
  <c r="CB71" i="84"/>
  <c r="CI71" i="84"/>
  <c r="G70" i="91"/>
  <c r="G28" i="91"/>
  <c r="CB29" i="84"/>
  <c r="CI29" i="84"/>
  <c r="CH39" i="84"/>
  <c r="F38" i="91"/>
  <c r="CA39" i="84"/>
  <c r="CA64" i="84"/>
  <c r="CH64" i="84"/>
  <c r="F63" i="91"/>
  <c r="CI13" i="84"/>
  <c r="CB13" i="84"/>
  <c r="G12" i="91"/>
  <c r="CI98" i="84"/>
  <c r="CB98" i="84"/>
  <c r="G97" i="91"/>
  <c r="CH48" i="84"/>
  <c r="F47" i="91"/>
  <c r="CA48" i="84"/>
  <c r="F80" i="91"/>
  <c r="CH81" i="84"/>
  <c r="CA81" i="84"/>
  <c r="CA32" i="84"/>
  <c r="F31" i="91"/>
  <c r="CH32" i="84"/>
  <c r="G50" i="91"/>
  <c r="CB51" i="84"/>
  <c r="CI51" i="84"/>
  <c r="CB66" i="84"/>
  <c r="CI66" i="84"/>
  <c r="G65" i="91"/>
  <c r="CI12" i="84"/>
  <c r="G11" i="91"/>
  <c r="CB12" i="84"/>
  <c r="G88" i="91"/>
  <c r="CB89" i="84"/>
  <c r="CI89" i="84"/>
  <c r="CH49" i="84"/>
  <c r="CA49" i="84"/>
  <c r="F48" i="91"/>
  <c r="F83" i="91"/>
  <c r="CA84" i="84"/>
  <c r="CH84" i="84"/>
  <c r="CH22" i="84"/>
  <c r="CA22" i="84"/>
  <c r="F21" i="91"/>
  <c r="CI54" i="84"/>
  <c r="G53" i="91"/>
  <c r="CB54" i="84"/>
  <c r="CB63" i="84"/>
  <c r="G62" i="91"/>
  <c r="CI63" i="84"/>
  <c r="G25" i="91"/>
  <c r="CI26" i="84"/>
  <c r="CB26" i="84"/>
  <c r="F6" i="91"/>
  <c r="CH7" i="84"/>
  <c r="CA7" i="84"/>
  <c r="F74" i="91"/>
  <c r="CH75" i="84"/>
  <c r="CA75" i="84"/>
  <c r="CI35" i="84"/>
  <c r="G34" i="91"/>
  <c r="CB35" i="84"/>
  <c r="CA19" i="84"/>
  <c r="CH19" i="84"/>
  <c r="F18" i="91"/>
  <c r="G103" i="91"/>
  <c r="CB104" i="84"/>
  <c r="CI104" i="84"/>
  <c r="CA90" i="84"/>
  <c r="CH90" i="84"/>
  <c r="F89" i="91"/>
  <c r="G86" i="91"/>
  <c r="CB87" i="84"/>
  <c r="CI87" i="84"/>
  <c r="CH61" i="84"/>
  <c r="CA61" i="84"/>
  <c r="F60" i="91"/>
  <c r="F84" i="91"/>
  <c r="CA85" i="84"/>
  <c r="CH85" i="84"/>
  <c r="CH33" i="84"/>
  <c r="F32" i="91"/>
  <c r="CA33" i="84"/>
  <c r="CB55" i="84"/>
  <c r="CI55" i="84"/>
  <c r="G54" i="91"/>
  <c r="CI65" i="84"/>
  <c r="G64" i="91"/>
  <c r="CB65" i="84"/>
  <c r="CI33" i="84"/>
  <c r="CB33" i="84"/>
  <c r="G32" i="91"/>
  <c r="F9" i="91"/>
  <c r="CH10" i="84"/>
  <c r="CA10" i="84"/>
  <c r="CI105" i="84"/>
  <c r="G104" i="91"/>
  <c r="CB105" i="84"/>
  <c r="F92" i="91"/>
  <c r="CH93" i="84"/>
  <c r="CA93" i="84"/>
  <c r="CH30" i="84"/>
  <c r="CA30" i="84"/>
  <c r="F29" i="91"/>
  <c r="CB38" i="84"/>
  <c r="G37" i="91"/>
  <c r="CI38" i="84"/>
  <c r="CH13" i="84"/>
  <c r="CA13" i="84"/>
  <c r="F12" i="91"/>
  <c r="CB107" i="84"/>
  <c r="CI107" i="84"/>
  <c r="G106" i="91"/>
  <c r="CF93" i="84"/>
  <c r="D92" i="91"/>
  <c r="BY93" i="84"/>
  <c r="C90" i="91"/>
  <c r="BX91" i="84"/>
  <c r="CE91" i="84"/>
  <c r="BZ95" i="84"/>
  <c r="E94" i="91"/>
  <c r="CG95" i="84"/>
  <c r="AR69" i="84"/>
  <c r="BR69" i="84"/>
  <c r="BT69" i="84" s="1"/>
  <c r="AR68" i="84"/>
  <c r="BR68" i="84"/>
  <c r="BT68" i="84" s="1"/>
  <c r="BR55" i="84"/>
  <c r="BT55" i="84" s="1"/>
  <c r="AR55" i="84"/>
  <c r="BR58" i="84"/>
  <c r="BT58" i="84" s="1"/>
  <c r="AR58" i="84"/>
  <c r="BR61" i="84"/>
  <c r="BT61" i="84" s="1"/>
  <c r="AR61" i="84"/>
  <c r="BR67" i="84"/>
  <c r="BT67" i="84" s="1"/>
  <c r="AR67" i="84"/>
  <c r="AR60" i="84"/>
  <c r="BR60" i="84"/>
  <c r="BT60" i="84" s="1"/>
  <c r="BR57" i="84"/>
  <c r="BT57" i="84" s="1"/>
  <c r="AR57" i="84"/>
  <c r="BR59" i="84"/>
  <c r="BT59" i="84" s="1"/>
  <c r="AR59" i="84"/>
  <c r="BR62" i="84"/>
  <c r="BT62" i="84" s="1"/>
  <c r="AR62" i="84"/>
  <c r="BR63" i="84"/>
  <c r="BT63" i="84" s="1"/>
  <c r="AR63" i="84"/>
  <c r="BR53" i="84"/>
  <c r="BT53" i="84" s="1"/>
  <c r="AR53" i="84"/>
  <c r="AR64" i="84"/>
  <c r="BR64" i="84"/>
  <c r="BT64" i="84" s="1"/>
  <c r="AR54" i="84"/>
  <c r="BR54" i="84"/>
  <c r="BT54" i="84" s="1"/>
  <c r="AR52" i="84"/>
  <c r="BR52" i="84"/>
  <c r="BT52" i="84" s="1"/>
  <c r="BR65" i="84"/>
  <c r="BT65" i="84" s="1"/>
  <c r="AR65" i="84"/>
  <c r="BR56" i="84"/>
  <c r="BT56" i="84" s="1"/>
  <c r="AR56" i="84"/>
  <c r="AR66" i="84"/>
  <c r="BR66" i="84"/>
  <c r="BT66" i="84" s="1"/>
  <c r="AT199" i="84"/>
  <c r="AT206" i="84"/>
  <c r="AT161" i="84"/>
  <c r="AQ204" i="87"/>
  <c r="AQ202" i="87"/>
  <c r="AT202" i="84"/>
  <c r="AQ200" i="87"/>
  <c r="AT158" i="84"/>
  <c r="AQ101" i="94"/>
  <c r="AT205" i="84"/>
  <c r="AT194" i="84"/>
  <c r="AT191" i="84"/>
  <c r="AQ78" i="94"/>
  <c r="AQ100" i="94"/>
  <c r="AQ103" i="94"/>
  <c r="AQ108" i="94"/>
  <c r="AQ109" i="94"/>
  <c r="AQ152" i="87"/>
  <c r="BO97" i="69"/>
  <c r="AT200" i="84"/>
  <c r="AT192" i="84"/>
  <c r="AQ197" i="87"/>
  <c r="AT195" i="84"/>
  <c r="AQ110" i="94"/>
  <c r="BO94" i="69"/>
  <c r="AQ54" i="94"/>
  <c r="AT149" i="84"/>
  <c r="AT152" i="84"/>
  <c r="AQ107" i="94"/>
  <c r="AQ156" i="87"/>
  <c r="AQ193" i="87"/>
  <c r="AQ91" i="94"/>
  <c r="AQ87" i="94"/>
  <c r="AQ62" i="94"/>
  <c r="AT207" i="84"/>
  <c r="AT203" i="84"/>
  <c r="AQ198" i="87"/>
  <c r="AQ55" i="94"/>
  <c r="AT204" i="84"/>
  <c r="AT153" i="84"/>
  <c r="AQ199" i="87"/>
  <c r="AQ83" i="94"/>
  <c r="AQ65" i="94"/>
  <c r="AQ188" i="87"/>
  <c r="AQ194" i="87"/>
  <c r="AT144" i="84"/>
  <c r="AQ111" i="94"/>
  <c r="AQ88" i="94"/>
  <c r="AQ112" i="94"/>
  <c r="AT187" i="84"/>
  <c r="AT150" i="84"/>
  <c r="AQ90" i="94"/>
  <c r="AQ89" i="94"/>
  <c r="AQ206" i="87"/>
  <c r="BO101" i="69"/>
  <c r="AQ113" i="94"/>
  <c r="AQ64" i="94"/>
  <c r="AQ195" i="87"/>
  <c r="AQ102" i="94"/>
  <c r="AQ24" i="87"/>
  <c r="BO95" i="69"/>
  <c r="AT156" i="84"/>
  <c r="AT143" i="84"/>
  <c r="AT193" i="84"/>
  <c r="AQ68" i="94"/>
  <c r="AQ76" i="94"/>
  <c r="AQ160" i="87"/>
  <c r="AQ196" i="87"/>
  <c r="AT189" i="84"/>
  <c r="BO99" i="69"/>
  <c r="AQ154" i="87"/>
  <c r="AQ189" i="87"/>
  <c r="AQ207" i="87"/>
  <c r="AQ147" i="87"/>
  <c r="AQ104" i="94"/>
  <c r="AQ142" i="87"/>
  <c r="AQ82" i="94"/>
  <c r="AQ203" i="87"/>
  <c r="AQ58" i="94"/>
  <c r="AQ56" i="94"/>
  <c r="BO100" i="69"/>
  <c r="AQ143" i="87"/>
  <c r="BO98" i="69"/>
  <c r="AQ114" i="94"/>
  <c r="AQ59" i="94"/>
  <c r="AQ99" i="94"/>
  <c r="AQ149" i="87"/>
  <c r="AQ208" i="87"/>
  <c r="AQ105" i="94"/>
  <c r="AK96" i="94"/>
  <c r="AQ191" i="87"/>
  <c r="AQ63" i="94"/>
  <c r="AT188" i="84"/>
  <c r="AT190" i="84"/>
  <c r="AQ77" i="94"/>
  <c r="AT196" i="84"/>
  <c r="AQ187" i="87"/>
  <c r="AQ192" i="87"/>
  <c r="AT157" i="84"/>
  <c r="AQ79" i="94"/>
  <c r="AQ148" i="87"/>
  <c r="AQ67" i="94"/>
  <c r="AK96" i="87"/>
  <c r="AT145" i="84"/>
  <c r="AT146" i="84"/>
  <c r="AQ161" i="87"/>
  <c r="AT115" i="84"/>
  <c r="AT154" i="84"/>
  <c r="AQ150" i="87"/>
  <c r="AQ146" i="87"/>
  <c r="AT142" i="84"/>
  <c r="AQ66" i="94"/>
  <c r="AT198" i="84"/>
  <c r="AT151" i="84"/>
  <c r="BO96" i="69"/>
  <c r="AQ85" i="94"/>
  <c r="AQ158" i="87"/>
  <c r="AT147" i="84"/>
  <c r="AQ153" i="87"/>
  <c r="AT148" i="84"/>
  <c r="AT201" i="84"/>
  <c r="AQ106" i="94"/>
  <c r="AQ57" i="94"/>
  <c r="AQ190" i="87"/>
  <c r="AQ80" i="94"/>
  <c r="AQ53" i="94"/>
  <c r="AQ201" i="87"/>
  <c r="AQ157" i="87"/>
  <c r="AQ145" i="87"/>
  <c r="AQ61" i="94"/>
  <c r="AQ205" i="87"/>
  <c r="AQ151" i="87"/>
  <c r="AT155" i="84"/>
  <c r="AT159" i="84"/>
  <c r="AQ144" i="87"/>
  <c r="AQ86" i="94"/>
  <c r="AQ81" i="94"/>
  <c r="AQ115" i="87"/>
  <c r="AT208" i="84"/>
  <c r="AQ60" i="94"/>
  <c r="AT160" i="84"/>
  <c r="AT197" i="84"/>
  <c r="AQ159" i="87"/>
  <c r="AQ84" i="94"/>
  <c r="AQ155" i="87"/>
  <c r="BC109" i="84" l="1"/>
  <c r="BB109" i="84"/>
  <c r="BE109" i="84"/>
  <c r="BD109" i="84"/>
  <c r="BC100" i="84"/>
  <c r="BB100" i="84"/>
  <c r="BE100" i="84"/>
  <c r="BD100" i="84"/>
  <c r="BE111" i="84"/>
  <c r="BD111" i="84"/>
  <c r="BC111" i="84"/>
  <c r="BB111" i="84"/>
  <c r="BE105" i="84"/>
  <c r="BD105" i="84"/>
  <c r="BC105" i="84"/>
  <c r="BB105" i="84"/>
  <c r="BC106" i="84"/>
  <c r="BB106" i="84"/>
  <c r="BE106" i="84"/>
  <c r="BD106" i="84"/>
  <c r="BE110" i="84"/>
  <c r="BD110" i="84"/>
  <c r="BC110" i="84"/>
  <c r="BB110" i="84"/>
  <c r="BC97" i="84"/>
  <c r="BB97" i="84"/>
  <c r="BE97" i="84"/>
  <c r="BD97" i="84"/>
  <c r="BE113" i="84"/>
  <c r="BD113" i="84"/>
  <c r="BC113" i="84"/>
  <c r="BB113" i="84"/>
  <c r="BC112" i="84"/>
  <c r="BB112" i="84"/>
  <c r="BE112" i="84"/>
  <c r="BD112" i="84"/>
  <c r="BE102" i="84"/>
  <c r="BD102" i="84"/>
  <c r="BC102" i="84"/>
  <c r="BB102" i="84"/>
  <c r="BE107" i="84"/>
  <c r="BD107" i="84"/>
  <c r="BC107" i="84"/>
  <c r="BB107" i="84"/>
  <c r="BE98" i="84"/>
  <c r="BD98" i="84"/>
  <c r="BC98" i="84"/>
  <c r="BB98" i="84"/>
  <c r="BE108" i="84"/>
  <c r="BD108" i="84"/>
  <c r="BC108" i="84"/>
  <c r="BB108" i="84"/>
  <c r="BE99" i="84"/>
  <c r="BD99" i="84"/>
  <c r="BB99" i="84"/>
  <c r="BC99" i="84"/>
  <c r="BC103" i="84"/>
  <c r="BB103" i="84"/>
  <c r="BD103" i="84"/>
  <c r="BE103" i="84"/>
  <c r="BE104" i="84"/>
  <c r="BD104" i="84"/>
  <c r="BC104" i="84"/>
  <c r="BB104" i="84"/>
  <c r="BE114" i="84"/>
  <c r="BD114" i="84"/>
  <c r="BC114" i="84"/>
  <c r="BB114" i="84"/>
  <c r="BE101" i="84"/>
  <c r="BD101" i="84"/>
  <c r="BC101" i="84"/>
  <c r="BB101" i="84"/>
  <c r="AJ96" i="87"/>
  <c r="AJ96" i="94"/>
  <c r="N348" i="91"/>
  <c r="J428" i="91"/>
  <c r="K419" i="91"/>
  <c r="L384" i="91"/>
  <c r="K427" i="91"/>
  <c r="L388" i="91"/>
  <c r="K429" i="91"/>
  <c r="L395" i="91"/>
  <c r="K421" i="91"/>
  <c r="L408" i="91"/>
  <c r="M373" i="91"/>
  <c r="N339" i="91"/>
  <c r="M379" i="91"/>
  <c r="N358" i="91"/>
  <c r="M381" i="91"/>
  <c r="N362" i="91"/>
  <c r="J444" i="91"/>
  <c r="M356" i="91"/>
  <c r="N350" i="91"/>
  <c r="J423" i="91"/>
  <c r="K437" i="91"/>
  <c r="J442" i="91"/>
  <c r="K428" i="91"/>
  <c r="L389" i="91"/>
  <c r="K435" i="91"/>
  <c r="J446" i="91"/>
  <c r="K439" i="91"/>
  <c r="L401" i="91"/>
  <c r="K424" i="91"/>
  <c r="L391" i="91"/>
  <c r="M378" i="91"/>
  <c r="L387" i="91"/>
  <c r="M363" i="91"/>
  <c r="N356" i="91"/>
  <c r="M365" i="91"/>
  <c r="M353" i="91"/>
  <c r="K438" i="91"/>
  <c r="J433" i="91"/>
  <c r="K418" i="91"/>
  <c r="J429" i="91"/>
  <c r="K440" i="91"/>
  <c r="L403" i="91"/>
  <c r="M364" i="91"/>
  <c r="L385" i="91"/>
  <c r="M377" i="91"/>
  <c r="L406" i="91"/>
  <c r="M374" i="91"/>
  <c r="M357" i="91"/>
  <c r="K420" i="91"/>
  <c r="N351" i="91"/>
  <c r="J425" i="91"/>
  <c r="N361" i="91"/>
  <c r="J435" i="91"/>
  <c r="N344" i="91"/>
  <c r="J439" i="91"/>
  <c r="K432" i="91"/>
  <c r="J430" i="91"/>
  <c r="K436" i="91"/>
  <c r="J443" i="91"/>
  <c r="K433" i="91"/>
  <c r="L392" i="91"/>
  <c r="K417" i="91"/>
  <c r="L402" i="91"/>
  <c r="K426" i="91"/>
  <c r="L393" i="91"/>
  <c r="M366" i="91"/>
  <c r="M358" i="91"/>
  <c r="N343" i="91"/>
  <c r="L400" i="91"/>
  <c r="M382" i="91"/>
  <c r="N352" i="91"/>
  <c r="M372" i="91"/>
  <c r="N347" i="91"/>
  <c r="J419" i="91"/>
  <c r="N357" i="91"/>
  <c r="J441" i="91"/>
  <c r="N349" i="91"/>
  <c r="J432" i="91"/>
  <c r="K441" i="91"/>
  <c r="J426" i="91"/>
  <c r="K430" i="91"/>
  <c r="J438" i="91"/>
  <c r="K416" i="91"/>
  <c r="L394" i="91"/>
  <c r="K422" i="91"/>
  <c r="M355" i="91"/>
  <c r="J427" i="91"/>
  <c r="L396" i="91"/>
  <c r="M371" i="91"/>
  <c r="L405" i="91"/>
  <c r="M383" i="91"/>
  <c r="N353" i="91"/>
  <c r="M361" i="91"/>
  <c r="N355" i="91"/>
  <c r="M375" i="91"/>
  <c r="N341" i="91"/>
  <c r="J437" i="91"/>
  <c r="N359" i="91"/>
  <c r="J447" i="91"/>
  <c r="K425" i="91"/>
  <c r="J431" i="91"/>
  <c r="K415" i="91"/>
  <c r="J421" i="91"/>
  <c r="K434" i="91"/>
  <c r="M352" i="91"/>
  <c r="J418" i="91"/>
  <c r="L386" i="91"/>
  <c r="M360" i="91"/>
  <c r="L390" i="91"/>
  <c r="M367" i="91"/>
  <c r="L398" i="91"/>
  <c r="M376" i="91"/>
  <c r="L407" i="91"/>
  <c r="M370" i="91"/>
  <c r="N340" i="91"/>
  <c r="M369" i="91"/>
  <c r="N360" i="91"/>
  <c r="J445" i="91"/>
  <c r="N354" i="91"/>
  <c r="J436" i="91"/>
  <c r="N346" i="91"/>
  <c r="J434" i="91"/>
  <c r="K423" i="91"/>
  <c r="J424" i="91"/>
  <c r="L399" i="91"/>
  <c r="K431" i="91"/>
  <c r="L397" i="91"/>
  <c r="M368" i="91"/>
  <c r="L383" i="91"/>
  <c r="M362" i="91"/>
  <c r="L404" i="91"/>
  <c r="M359" i="91"/>
  <c r="L382" i="91"/>
  <c r="M380" i="91"/>
  <c r="N363" i="91"/>
  <c r="J420" i="91"/>
  <c r="N345" i="91"/>
  <c r="J422" i="91"/>
  <c r="N342" i="91"/>
  <c r="J440" i="91"/>
  <c r="M354" i="91"/>
  <c r="BK112" i="69"/>
  <c r="BA115" i="84"/>
  <c r="BL59" i="84"/>
  <c r="BK154" i="69"/>
  <c r="BA157" i="84"/>
  <c r="BK200" i="69"/>
  <c r="BA203" i="84"/>
  <c r="BA159" i="84"/>
  <c r="BK156" i="69"/>
  <c r="BK205" i="69"/>
  <c r="BA208" i="84"/>
  <c r="BK150" i="69"/>
  <c r="BA153" i="84"/>
  <c r="BA155" i="84"/>
  <c r="BK152" i="69"/>
  <c r="BA189" i="84"/>
  <c r="BK186" i="69"/>
  <c r="BA145" i="84"/>
  <c r="BK142" i="69"/>
  <c r="BK187" i="69"/>
  <c r="BA190" i="84"/>
  <c r="BK153" i="69"/>
  <c r="BA156" i="84"/>
  <c r="BA201" i="84"/>
  <c r="BK198" i="69"/>
  <c r="BA144" i="84"/>
  <c r="BK141" i="69"/>
  <c r="BK189" i="69"/>
  <c r="BA192" i="84"/>
  <c r="BA142" i="84"/>
  <c r="BK139" i="69"/>
  <c r="BA195" i="84"/>
  <c r="BK192" i="69"/>
  <c r="BK191" i="69"/>
  <c r="BA194" i="84"/>
  <c r="BK202" i="69"/>
  <c r="BA205" i="84"/>
  <c r="BA187" i="84"/>
  <c r="BK184" i="69"/>
  <c r="BK145" i="69"/>
  <c r="BA148" i="84"/>
  <c r="BA202" i="84"/>
  <c r="BK199" i="69"/>
  <c r="BK149" i="69"/>
  <c r="BA152" i="84"/>
  <c r="BA198" i="84"/>
  <c r="BK195" i="69"/>
  <c r="BA150" i="84"/>
  <c r="BK147" i="69"/>
  <c r="BA161" i="84"/>
  <c r="BK158" i="69"/>
  <c r="BK144" i="69"/>
  <c r="BA147" i="84"/>
  <c r="BK203" i="69"/>
  <c r="BA206" i="84"/>
  <c r="BK201" i="69"/>
  <c r="BA204" i="84"/>
  <c r="BK190" i="69"/>
  <c r="BA193" i="84"/>
  <c r="BK143" i="69"/>
  <c r="BA146" i="84"/>
  <c r="BA196" i="84"/>
  <c r="BK193" i="69"/>
  <c r="BK155" i="69"/>
  <c r="BA158" i="84"/>
  <c r="BA207" i="84"/>
  <c r="BK204" i="69"/>
  <c r="BA191" i="84"/>
  <c r="BK188" i="69"/>
  <c r="BA160" i="84"/>
  <c r="BK157" i="69"/>
  <c r="BK197" i="69"/>
  <c r="BA200" i="84"/>
  <c r="BA188" i="84"/>
  <c r="BK185" i="69"/>
  <c r="BK151" i="69"/>
  <c r="BA154" i="84"/>
  <c r="BK194" i="69"/>
  <c r="BA197" i="84"/>
  <c r="BA143" i="84"/>
  <c r="BK140" i="69"/>
  <c r="BK148" i="69"/>
  <c r="BA151" i="84"/>
  <c r="BK196" i="69"/>
  <c r="BA199" i="84"/>
  <c r="BK146" i="69"/>
  <c r="BA149" i="84"/>
  <c r="CF94" i="84"/>
  <c r="D93" i="91"/>
  <c r="BY94" i="84"/>
  <c r="E95" i="91"/>
  <c r="BZ96" i="84"/>
  <c r="CG96" i="84"/>
  <c r="CE92" i="84"/>
  <c r="BX92" i="84"/>
  <c r="C91" i="91"/>
  <c r="CB108" i="84"/>
  <c r="G107" i="91"/>
  <c r="CI108" i="84"/>
  <c r="CH100" i="84"/>
  <c r="F99" i="91"/>
  <c r="CA100" i="84"/>
  <c r="BM57" i="84"/>
  <c r="BM54" i="84"/>
  <c r="BM55" i="84"/>
  <c r="BM56" i="84"/>
  <c r="BM53" i="84"/>
  <c r="BM52" i="84"/>
  <c r="BM58" i="84"/>
  <c r="BM65" i="84"/>
  <c r="BM68" i="84"/>
  <c r="BM69" i="84"/>
  <c r="BM67" i="84"/>
  <c r="BM60" i="84"/>
  <c r="BM61" i="84"/>
  <c r="BM59" i="84"/>
  <c r="BM64" i="84"/>
  <c r="BM63" i="84"/>
  <c r="BM62" i="84"/>
  <c r="BM66" i="84"/>
  <c r="BK57" i="84"/>
  <c r="BK55" i="84"/>
  <c r="BK54" i="84"/>
  <c r="BK52" i="84"/>
  <c r="BK53" i="84"/>
  <c r="BK56" i="84"/>
  <c r="BK58" i="84"/>
  <c r="BK64" i="84"/>
  <c r="BK60" i="84"/>
  <c r="BK69" i="84"/>
  <c r="BK67" i="84"/>
  <c r="BK68" i="84"/>
  <c r="BK63" i="84"/>
  <c r="BK59" i="84"/>
  <c r="BK62" i="84"/>
  <c r="BK66" i="84"/>
  <c r="BK65" i="84"/>
  <c r="BK61" i="84"/>
  <c r="BJ57" i="84"/>
  <c r="BJ54" i="84"/>
  <c r="BJ55" i="84"/>
  <c r="BJ53" i="84"/>
  <c r="BJ56" i="84"/>
  <c r="BJ58" i="84"/>
  <c r="BJ52" i="84"/>
  <c r="BJ64" i="84"/>
  <c r="BJ66" i="84"/>
  <c r="BJ67" i="84"/>
  <c r="BJ60" i="84"/>
  <c r="BJ61" i="84"/>
  <c r="BJ68" i="84"/>
  <c r="BJ69" i="84"/>
  <c r="BJ65" i="84"/>
  <c r="BJ63" i="84"/>
  <c r="BJ59" i="84"/>
  <c r="BJ62" i="84"/>
  <c r="BN56" i="84"/>
  <c r="BN58" i="84"/>
  <c r="BN53" i="84"/>
  <c r="BN55" i="84"/>
  <c r="BN54" i="84"/>
  <c r="BN52" i="84"/>
  <c r="BN57" i="84"/>
  <c r="BN66" i="84"/>
  <c r="BN62" i="84"/>
  <c r="BN60" i="84"/>
  <c r="BN61" i="84"/>
  <c r="BN64" i="84"/>
  <c r="BN69" i="84"/>
  <c r="BN67" i="84"/>
  <c r="BN63" i="84"/>
  <c r="BN65" i="84"/>
  <c r="BN59" i="84"/>
  <c r="BN68" i="84"/>
  <c r="BL57" i="84"/>
  <c r="BL55" i="84"/>
  <c r="BL56" i="84"/>
  <c r="BL53" i="84"/>
  <c r="BL54" i="84"/>
  <c r="BL52" i="84"/>
  <c r="BL58" i="84"/>
  <c r="BL67" i="84"/>
  <c r="BL69" i="84"/>
  <c r="BL61" i="84"/>
  <c r="BL60" i="84"/>
  <c r="BL63" i="84"/>
  <c r="BL62" i="84"/>
  <c r="BL68" i="84"/>
  <c r="BL65" i="84"/>
  <c r="BL64" i="84"/>
  <c r="BL66" i="84"/>
  <c r="BR104" i="84"/>
  <c r="BT104" i="84" s="1"/>
  <c r="AR104" i="84"/>
  <c r="BR97" i="84"/>
  <c r="BT97" i="84" s="1"/>
  <c r="AR97" i="84"/>
  <c r="AR107" i="84"/>
  <c r="BR107" i="84"/>
  <c r="BT107" i="84" s="1"/>
  <c r="AR102" i="84"/>
  <c r="BR102" i="84"/>
  <c r="BT102" i="84" s="1"/>
  <c r="BR113" i="84"/>
  <c r="BT113" i="84" s="1"/>
  <c r="AR113" i="84"/>
  <c r="AR98" i="84"/>
  <c r="BR98" i="84"/>
  <c r="BT98" i="84" s="1"/>
  <c r="AR106" i="84"/>
  <c r="BR106" i="84"/>
  <c r="BT106" i="84" s="1"/>
  <c r="BR100" i="84"/>
  <c r="BT100" i="84" s="1"/>
  <c r="AR100" i="84"/>
  <c r="BR114" i="84"/>
  <c r="BT114" i="84" s="1"/>
  <c r="AR114" i="84"/>
  <c r="BR109" i="84"/>
  <c r="BT109" i="84" s="1"/>
  <c r="AR109" i="84"/>
  <c r="BR112" i="84"/>
  <c r="BT112" i="84" s="1"/>
  <c r="AR112" i="84"/>
  <c r="AR108" i="84"/>
  <c r="BR108" i="84"/>
  <c r="BT108" i="84" s="1"/>
  <c r="AR103" i="84"/>
  <c r="BR103" i="84"/>
  <c r="BT103" i="84" s="1"/>
  <c r="AR111" i="84"/>
  <c r="BR111" i="84"/>
  <c r="BT111" i="84" s="1"/>
  <c r="BR99" i="84"/>
  <c r="BT99" i="84" s="1"/>
  <c r="AR99" i="84"/>
  <c r="BR110" i="84"/>
  <c r="BT110" i="84" s="1"/>
  <c r="AR110" i="84"/>
  <c r="BR105" i="84"/>
  <c r="BT105" i="84" s="1"/>
  <c r="AR105" i="84"/>
  <c r="AR101" i="84"/>
  <c r="BR101" i="84"/>
  <c r="BT101" i="84" s="1"/>
  <c r="AL68" i="100"/>
  <c r="BO191" i="69"/>
  <c r="O78" i="68"/>
  <c r="G56" i="89"/>
  <c r="G68" i="89"/>
  <c r="BO143" i="69"/>
  <c r="H54" i="89"/>
  <c r="BO142" i="69"/>
  <c r="H65" i="89"/>
  <c r="G64" i="89"/>
  <c r="H60" i="89"/>
  <c r="AK97" i="87"/>
  <c r="H55" i="89"/>
  <c r="BO140" i="69"/>
  <c r="G57" i="89"/>
  <c r="H62" i="89"/>
  <c r="H56" i="89"/>
  <c r="AL63" i="100"/>
  <c r="BO188" i="69"/>
  <c r="G65" i="89"/>
  <c r="AL60" i="100"/>
  <c r="BO187" i="69"/>
  <c r="H59" i="89"/>
  <c r="G61" i="89"/>
  <c r="BO141" i="69"/>
  <c r="G53" i="89"/>
  <c r="BO189" i="69"/>
  <c r="H67" i="89"/>
  <c r="BO144" i="69"/>
  <c r="G55" i="89"/>
  <c r="BO102" i="69"/>
  <c r="AL52" i="100"/>
  <c r="BO147" i="69"/>
  <c r="BO146" i="69"/>
  <c r="AL53" i="100"/>
  <c r="BO139" i="69"/>
  <c r="G60" i="89"/>
  <c r="G59" i="89"/>
  <c r="H57" i="89"/>
  <c r="AL56" i="100"/>
  <c r="G69" i="89"/>
  <c r="G66" i="89"/>
  <c r="AL61" i="100"/>
  <c r="AL58" i="100"/>
  <c r="O75" i="68"/>
  <c r="BO192" i="69"/>
  <c r="H63" i="89"/>
  <c r="AL59" i="100"/>
  <c r="I65" i="89"/>
  <c r="H61" i="89"/>
  <c r="BO145" i="69"/>
  <c r="BO186" i="69"/>
  <c r="I57" i="89"/>
  <c r="BO184" i="69"/>
  <c r="BO190" i="69"/>
  <c r="AK97" i="94"/>
  <c r="G62" i="89"/>
  <c r="H53" i="89"/>
  <c r="AL64" i="100"/>
  <c r="G67" i="89"/>
  <c r="BO185" i="69"/>
  <c r="G63" i="89"/>
  <c r="AL54" i="100"/>
  <c r="O79" i="68"/>
  <c r="AL66" i="100"/>
  <c r="H64" i="89"/>
  <c r="H66" i="89"/>
  <c r="G58" i="89"/>
  <c r="I64" i="89"/>
  <c r="AL55" i="100"/>
  <c r="G52" i="89"/>
  <c r="H52" i="89"/>
  <c r="G54" i="89"/>
  <c r="AL62" i="100"/>
  <c r="H58" i="89"/>
  <c r="I54" i="89"/>
  <c r="H69" i="89"/>
  <c r="AL57" i="100"/>
  <c r="AL67" i="100"/>
  <c r="BV58" i="84" l="1"/>
  <c r="BV68" i="84"/>
  <c r="BV66" i="84"/>
  <c r="BV62" i="84"/>
  <c r="BV54" i="84"/>
  <c r="BV59" i="84"/>
  <c r="BV69" i="84"/>
  <c r="BV64" i="84"/>
  <c r="BV65" i="84"/>
  <c r="BV63" i="84"/>
  <c r="BV53" i="84"/>
  <c r="BV67" i="84"/>
  <c r="BV60" i="84"/>
  <c r="BV56" i="84"/>
  <c r="BV57" i="84"/>
  <c r="BV61" i="84"/>
  <c r="BV55" i="84"/>
  <c r="BE150" i="84"/>
  <c r="BD150" i="84"/>
  <c r="BC150" i="84"/>
  <c r="BB150" i="84"/>
  <c r="BC145" i="84"/>
  <c r="BB145" i="84"/>
  <c r="BE145" i="84"/>
  <c r="BD145" i="84"/>
  <c r="BE156" i="84"/>
  <c r="BD156" i="84"/>
  <c r="BC156" i="84"/>
  <c r="BB156" i="84"/>
  <c r="BC160" i="84"/>
  <c r="BB160" i="84"/>
  <c r="BE160" i="84"/>
  <c r="BD160" i="84"/>
  <c r="BE198" i="84"/>
  <c r="BD198" i="84"/>
  <c r="BB198" i="84"/>
  <c r="BC198" i="84"/>
  <c r="BE189" i="84"/>
  <c r="BD189" i="84"/>
  <c r="BC189" i="84"/>
  <c r="BB189" i="84"/>
  <c r="BB202" i="84"/>
  <c r="BD202" i="84"/>
  <c r="BC202" i="84"/>
  <c r="BE202" i="84"/>
  <c r="BE201" i="84"/>
  <c r="BD201" i="84"/>
  <c r="BB201" i="84"/>
  <c r="BC201" i="84"/>
  <c r="BB193" i="84"/>
  <c r="BD193" i="84"/>
  <c r="BC193" i="84"/>
  <c r="BE193" i="84"/>
  <c r="BD194" i="84"/>
  <c r="BC194" i="84"/>
  <c r="BB194" i="84"/>
  <c r="BE194" i="84"/>
  <c r="BC157" i="84"/>
  <c r="BB157" i="84"/>
  <c r="BE157" i="84"/>
  <c r="BD157" i="84"/>
  <c r="BE149" i="84"/>
  <c r="BD149" i="84"/>
  <c r="BC149" i="84"/>
  <c r="BB149" i="84"/>
  <c r="BE204" i="84"/>
  <c r="BD204" i="84"/>
  <c r="BB204" i="84"/>
  <c r="BC204" i="84"/>
  <c r="BE152" i="84"/>
  <c r="BD152" i="84"/>
  <c r="BC152" i="84"/>
  <c r="BB152" i="84"/>
  <c r="BB190" i="84"/>
  <c r="BC190" i="84"/>
  <c r="BE190" i="84"/>
  <c r="BD190" i="84"/>
  <c r="BC115" i="84"/>
  <c r="BK115" i="84" s="1"/>
  <c r="BB115" i="84"/>
  <c r="BJ115" i="84" s="1"/>
  <c r="BE115" i="84"/>
  <c r="BM115" i="84" s="1"/>
  <c r="BD115" i="84"/>
  <c r="BL115" i="84" s="1"/>
  <c r="BE207" i="84"/>
  <c r="BD207" i="84"/>
  <c r="BB207" i="84"/>
  <c r="BC207" i="84"/>
  <c r="BC151" i="84"/>
  <c r="BB151" i="84"/>
  <c r="BE151" i="84"/>
  <c r="BD151" i="84"/>
  <c r="BE158" i="84"/>
  <c r="BD158" i="84"/>
  <c r="BC158" i="84"/>
  <c r="BB158" i="84"/>
  <c r="BC148" i="84"/>
  <c r="BB148" i="84"/>
  <c r="BE148" i="84"/>
  <c r="BD148" i="84"/>
  <c r="BB208" i="84"/>
  <c r="BD208" i="84"/>
  <c r="BE208" i="84"/>
  <c r="BC208" i="84"/>
  <c r="BE143" i="84"/>
  <c r="BD143" i="84"/>
  <c r="BC143" i="84"/>
  <c r="BB143" i="84"/>
  <c r="BD188" i="84"/>
  <c r="BC188" i="84"/>
  <c r="BB188" i="84"/>
  <c r="BE188" i="84"/>
  <c r="BD191" i="84"/>
  <c r="BC191" i="84"/>
  <c r="BB191" i="84"/>
  <c r="BE191" i="84"/>
  <c r="BB196" i="84"/>
  <c r="BD196" i="84"/>
  <c r="BE196" i="84"/>
  <c r="BC196" i="84"/>
  <c r="BE161" i="84"/>
  <c r="BD161" i="84"/>
  <c r="BC161" i="84"/>
  <c r="BB161" i="84"/>
  <c r="BB187" i="84"/>
  <c r="BC187" i="84"/>
  <c r="BE187" i="84"/>
  <c r="BD187" i="84"/>
  <c r="BE195" i="84"/>
  <c r="BD195" i="84"/>
  <c r="BB195" i="84"/>
  <c r="BC195" i="84"/>
  <c r="BE144" i="84"/>
  <c r="BD144" i="84"/>
  <c r="BC144" i="84"/>
  <c r="BB144" i="84"/>
  <c r="BE155" i="84"/>
  <c r="BD155" i="84"/>
  <c r="BC155" i="84"/>
  <c r="BB155" i="84"/>
  <c r="BE159" i="84"/>
  <c r="BD159" i="84"/>
  <c r="BC159" i="84"/>
  <c r="BB159" i="84"/>
  <c r="BC142" i="84"/>
  <c r="BB142" i="84"/>
  <c r="BE142" i="84"/>
  <c r="BD142" i="84"/>
  <c r="BC154" i="84"/>
  <c r="BB154" i="84"/>
  <c r="BE154" i="84"/>
  <c r="BD154" i="84"/>
  <c r="BE147" i="84"/>
  <c r="BD147" i="84"/>
  <c r="BC147" i="84"/>
  <c r="BB147" i="84"/>
  <c r="BE192" i="84"/>
  <c r="BD192" i="84"/>
  <c r="BC192" i="84"/>
  <c r="BB192" i="84"/>
  <c r="BB199" i="84"/>
  <c r="BD199" i="84"/>
  <c r="BE199" i="84"/>
  <c r="BC199" i="84"/>
  <c r="BD197" i="84"/>
  <c r="BC197" i="84"/>
  <c r="BB197" i="84"/>
  <c r="BE197" i="84"/>
  <c r="BD200" i="84"/>
  <c r="BC200" i="84"/>
  <c r="BB200" i="84"/>
  <c r="BE200" i="84"/>
  <c r="BE146" i="84"/>
  <c r="BD146" i="84"/>
  <c r="BC146" i="84"/>
  <c r="BB146" i="84"/>
  <c r="BD206" i="84"/>
  <c r="BC206" i="84"/>
  <c r="BB206" i="84"/>
  <c r="BE206" i="84"/>
  <c r="BB205" i="84"/>
  <c r="BD205" i="84"/>
  <c r="BE205" i="84"/>
  <c r="BC205" i="84"/>
  <c r="BE153" i="84"/>
  <c r="BD153" i="84"/>
  <c r="BC153" i="84"/>
  <c r="BB153" i="84"/>
  <c r="BD203" i="84"/>
  <c r="BC203" i="84"/>
  <c r="BB203" i="84"/>
  <c r="BE203" i="84"/>
  <c r="AQ72" i="90"/>
  <c r="AP72" i="90"/>
  <c r="AQ73" i="90"/>
  <c r="AP73" i="90"/>
  <c r="AO73" i="90"/>
  <c r="AO72" i="90"/>
  <c r="K72" i="90"/>
  <c r="BR72" i="90" s="1"/>
  <c r="K73" i="90"/>
  <c r="BR73" i="90" s="1"/>
  <c r="L73" i="90"/>
  <c r="AR73" i="90"/>
  <c r="AR72" i="90"/>
  <c r="AQ63" i="90"/>
  <c r="AR115" i="84"/>
  <c r="BR115" i="84"/>
  <c r="BT115" i="84" s="1"/>
  <c r="BN115" i="84" s="1"/>
  <c r="AJ97" i="94"/>
  <c r="AJ97" i="87"/>
  <c r="N382" i="91"/>
  <c r="L411" i="91"/>
  <c r="L418" i="91"/>
  <c r="N368" i="91"/>
  <c r="N367" i="91"/>
  <c r="J472" i="91"/>
  <c r="M392" i="91"/>
  <c r="J474" i="91"/>
  <c r="J465" i="91"/>
  <c r="K458" i="91"/>
  <c r="M403" i="91"/>
  <c r="K453" i="91"/>
  <c r="L429" i="91"/>
  <c r="N370" i="91"/>
  <c r="M407" i="91"/>
  <c r="J462" i="91"/>
  <c r="M399" i="91"/>
  <c r="J460" i="91"/>
  <c r="J464" i="91"/>
  <c r="N372" i="91"/>
  <c r="L425" i="91"/>
  <c r="J452" i="91"/>
  <c r="K450" i="91"/>
  <c r="K465" i="91"/>
  <c r="N385" i="91"/>
  <c r="M390" i="91"/>
  <c r="N366" i="91"/>
  <c r="N386" i="91"/>
  <c r="M395" i="91"/>
  <c r="L427" i="91"/>
  <c r="K470" i="91"/>
  <c r="L409" i="91"/>
  <c r="K445" i="91"/>
  <c r="M389" i="91"/>
  <c r="N381" i="91"/>
  <c r="M386" i="91"/>
  <c r="J466" i="91"/>
  <c r="M402" i="91"/>
  <c r="K461" i="91"/>
  <c r="L422" i="91"/>
  <c r="K468" i="91"/>
  <c r="L428" i="91"/>
  <c r="N378" i="91"/>
  <c r="L417" i="91"/>
  <c r="N374" i="91"/>
  <c r="M409" i="91"/>
  <c r="L424" i="91"/>
  <c r="N364" i="91"/>
  <c r="K443" i="91"/>
  <c r="K451" i="91"/>
  <c r="M385" i="91"/>
  <c r="M398" i="91"/>
  <c r="K467" i="91"/>
  <c r="L415" i="91"/>
  <c r="N389" i="91"/>
  <c r="M393" i="91"/>
  <c r="J457" i="91"/>
  <c r="J476" i="91"/>
  <c r="M388" i="91"/>
  <c r="J473" i="91"/>
  <c r="M410" i="91"/>
  <c r="L436" i="91"/>
  <c r="K447" i="91"/>
  <c r="L416" i="91"/>
  <c r="N384" i="91"/>
  <c r="J470" i="91"/>
  <c r="K464" i="91"/>
  <c r="K449" i="91"/>
  <c r="J455" i="91"/>
  <c r="M406" i="91"/>
  <c r="L432" i="91"/>
  <c r="M391" i="91"/>
  <c r="K442" i="91"/>
  <c r="L420" i="91"/>
  <c r="K452" i="91"/>
  <c r="L421" i="91"/>
  <c r="N380" i="91"/>
  <c r="N388" i="91"/>
  <c r="M405" i="91"/>
  <c r="J449" i="91"/>
  <c r="L413" i="91"/>
  <c r="L435" i="91"/>
  <c r="K462" i="91"/>
  <c r="L410" i="91"/>
  <c r="N373" i="91"/>
  <c r="J459" i="91"/>
  <c r="K460" i="91"/>
  <c r="M397" i="91"/>
  <c r="K448" i="91"/>
  <c r="L426" i="91"/>
  <c r="J478" i="91"/>
  <c r="L431" i="91"/>
  <c r="K466" i="91"/>
  <c r="J471" i="91"/>
  <c r="M408" i="91"/>
  <c r="J451" i="91"/>
  <c r="K471" i="91"/>
  <c r="N376" i="91"/>
  <c r="M400" i="91"/>
  <c r="J469" i="91"/>
  <c r="N375" i="91"/>
  <c r="J477" i="91"/>
  <c r="K457" i="91"/>
  <c r="L412" i="91"/>
  <c r="L433" i="91"/>
  <c r="K456" i="91"/>
  <c r="M394" i="91"/>
  <c r="J453" i="91"/>
  <c r="K455" i="91"/>
  <c r="J454" i="91"/>
  <c r="J479" i="91"/>
  <c r="L434" i="91"/>
  <c r="M412" i="91"/>
  <c r="J468" i="91"/>
  <c r="L423" i="91"/>
  <c r="N387" i="91"/>
  <c r="K454" i="91"/>
  <c r="K444" i="91"/>
  <c r="M396" i="91"/>
  <c r="N371" i="91"/>
  <c r="K446" i="91"/>
  <c r="J467" i="91"/>
  <c r="K463" i="91"/>
  <c r="J448" i="91"/>
  <c r="K469" i="91"/>
  <c r="M401" i="91"/>
  <c r="L430" i="91"/>
  <c r="N365" i="91"/>
  <c r="J475" i="91"/>
  <c r="N369" i="91"/>
  <c r="J463" i="91"/>
  <c r="M387" i="91"/>
  <c r="J456" i="91"/>
  <c r="J458" i="91"/>
  <c r="N379" i="91"/>
  <c r="M384" i="91"/>
  <c r="K472" i="91"/>
  <c r="L414" i="91"/>
  <c r="N377" i="91"/>
  <c r="K459" i="91"/>
  <c r="J450" i="91"/>
  <c r="M404" i="91"/>
  <c r="J461" i="91"/>
  <c r="M411" i="91"/>
  <c r="L419" i="91"/>
  <c r="N383" i="91"/>
  <c r="M68" i="90"/>
  <c r="N64" i="89"/>
  <c r="M69" i="90"/>
  <c r="BT69" i="90" s="1"/>
  <c r="N65" i="89"/>
  <c r="M58" i="90"/>
  <c r="N54" i="89"/>
  <c r="N57" i="89"/>
  <c r="M61" i="90"/>
  <c r="L62" i="89"/>
  <c r="K66" i="90"/>
  <c r="BR66" i="90" s="1"/>
  <c r="K63" i="90"/>
  <c r="BR63" i="90" s="1"/>
  <c r="L59" i="89"/>
  <c r="L63" i="89"/>
  <c r="K67" i="90"/>
  <c r="BR67" i="90" s="1"/>
  <c r="L65" i="89"/>
  <c r="K69" i="90"/>
  <c r="BR69" i="90" s="1"/>
  <c r="L61" i="89"/>
  <c r="K65" i="90"/>
  <c r="BR65" i="90" s="1"/>
  <c r="L60" i="89"/>
  <c r="K64" i="90"/>
  <c r="BR64" i="90" s="1"/>
  <c r="K71" i="90"/>
  <c r="BR71" i="90" s="1"/>
  <c r="L67" i="89"/>
  <c r="L66" i="89"/>
  <c r="K70" i="90"/>
  <c r="BR70" i="90" s="1"/>
  <c r="L64" i="89"/>
  <c r="K68" i="90"/>
  <c r="BR68" i="90" s="1"/>
  <c r="K56" i="90"/>
  <c r="L52" i="89"/>
  <c r="K62" i="90"/>
  <c r="BR62" i="90" s="1"/>
  <c r="L58" i="89"/>
  <c r="K60" i="90"/>
  <c r="BR60" i="90" s="1"/>
  <c r="L56" i="89"/>
  <c r="K57" i="90"/>
  <c r="L53" i="89"/>
  <c r="L55" i="89"/>
  <c r="K59" i="90"/>
  <c r="BR59" i="90" s="1"/>
  <c r="L54" i="89"/>
  <c r="K58" i="90"/>
  <c r="BR58" i="90" s="1"/>
  <c r="K61" i="90"/>
  <c r="BR61" i="90" s="1"/>
  <c r="L57" i="89"/>
  <c r="M61" i="89"/>
  <c r="L65" i="90"/>
  <c r="BS65" i="90" s="1"/>
  <c r="L69" i="90"/>
  <c r="BS69" i="90" s="1"/>
  <c r="M65" i="89"/>
  <c r="M66" i="89"/>
  <c r="L70" i="90"/>
  <c r="BS70" i="90" s="1"/>
  <c r="L66" i="90"/>
  <c r="BS66" i="90" s="1"/>
  <c r="M62" i="89"/>
  <c r="M59" i="89"/>
  <c r="L63" i="90"/>
  <c r="BS63" i="90" s="1"/>
  <c r="L67" i="90"/>
  <c r="BS67" i="90" s="1"/>
  <c r="M63" i="89"/>
  <c r="L71" i="90"/>
  <c r="BS71" i="90" s="1"/>
  <c r="M67" i="89"/>
  <c r="M69" i="89"/>
  <c r="M60" i="89"/>
  <c r="L64" i="90"/>
  <c r="BS64" i="90" s="1"/>
  <c r="M64" i="89"/>
  <c r="L68" i="90"/>
  <c r="BS68" i="90" s="1"/>
  <c r="M58" i="89"/>
  <c r="L62" i="90"/>
  <c r="BS62" i="90" s="1"/>
  <c r="M56" i="89"/>
  <c r="L60" i="90"/>
  <c r="BS60" i="90" s="1"/>
  <c r="M53" i="89"/>
  <c r="L57" i="90"/>
  <c r="M52" i="89"/>
  <c r="L56" i="90"/>
  <c r="M54" i="89"/>
  <c r="L58" i="90"/>
  <c r="BS58" i="90" s="1"/>
  <c r="M55" i="89"/>
  <c r="L59" i="90"/>
  <c r="BS59" i="90" s="1"/>
  <c r="L61" i="90"/>
  <c r="BS61" i="90" s="1"/>
  <c r="M57" i="89"/>
  <c r="AJ66" i="69"/>
  <c r="J69" i="89"/>
  <c r="N73" i="90" s="1"/>
  <c r="AJ62" i="69"/>
  <c r="J65" i="89"/>
  <c r="D94" i="91"/>
  <c r="CF95" i="84"/>
  <c r="BY95" i="84"/>
  <c r="CA101" i="84"/>
  <c r="CH101" i="84"/>
  <c r="F100" i="91"/>
  <c r="C92" i="91"/>
  <c r="CE93" i="84"/>
  <c r="BX93" i="84"/>
  <c r="E96" i="91"/>
  <c r="BZ97" i="84"/>
  <c r="CG97" i="84"/>
  <c r="CB109" i="84"/>
  <c r="CI109" i="84"/>
  <c r="G108" i="91"/>
  <c r="BN110" i="84"/>
  <c r="BN109" i="84"/>
  <c r="BN99" i="84"/>
  <c r="BN98" i="84"/>
  <c r="BN103" i="84"/>
  <c r="BN107" i="84"/>
  <c r="BN97" i="84"/>
  <c r="BN111" i="84"/>
  <c r="BN102" i="84"/>
  <c r="BN113" i="84"/>
  <c r="BN114" i="84"/>
  <c r="BN101" i="84"/>
  <c r="BN108" i="84"/>
  <c r="BN112" i="84"/>
  <c r="BN106" i="84"/>
  <c r="BN105" i="84"/>
  <c r="BN100" i="84"/>
  <c r="BN104" i="84"/>
  <c r="BJ109" i="84"/>
  <c r="BJ114" i="84"/>
  <c r="BJ99" i="84"/>
  <c r="BJ113" i="84"/>
  <c r="BJ112" i="84"/>
  <c r="BJ103" i="84"/>
  <c r="BJ105" i="84"/>
  <c r="BJ102" i="84"/>
  <c r="BJ100" i="84"/>
  <c r="BJ108" i="84"/>
  <c r="BJ97" i="84"/>
  <c r="BJ107" i="84"/>
  <c r="BJ111" i="84"/>
  <c r="BJ106" i="84"/>
  <c r="BJ101" i="84"/>
  <c r="BJ110" i="84"/>
  <c r="BJ104" i="84"/>
  <c r="BJ98" i="84"/>
  <c r="BK97" i="84"/>
  <c r="BK98" i="84"/>
  <c r="BK110" i="84"/>
  <c r="BK99" i="84"/>
  <c r="BK107" i="84"/>
  <c r="BK102" i="84"/>
  <c r="BK103" i="84"/>
  <c r="BK104" i="84"/>
  <c r="BK114" i="84"/>
  <c r="BK105" i="84"/>
  <c r="BK112" i="84"/>
  <c r="BK111" i="84"/>
  <c r="BK109" i="84"/>
  <c r="BK101" i="84"/>
  <c r="BK100" i="84"/>
  <c r="BK113" i="84"/>
  <c r="BK108" i="84"/>
  <c r="BK106" i="84"/>
  <c r="BL97" i="84"/>
  <c r="BL106" i="84"/>
  <c r="BL105" i="84"/>
  <c r="BL101" i="84"/>
  <c r="BL102" i="84"/>
  <c r="BL113" i="84"/>
  <c r="BL109" i="84"/>
  <c r="BL112" i="84"/>
  <c r="BL114" i="84"/>
  <c r="BL111" i="84"/>
  <c r="BL110" i="84"/>
  <c r="BL104" i="84"/>
  <c r="BL99" i="84"/>
  <c r="BL107" i="84"/>
  <c r="BL98" i="84"/>
  <c r="BL103" i="84"/>
  <c r="BL108" i="84"/>
  <c r="BL100" i="84"/>
  <c r="BM114" i="84"/>
  <c r="BM108" i="84"/>
  <c r="BM103" i="84"/>
  <c r="BM98" i="84"/>
  <c r="BM111" i="84"/>
  <c r="BM106" i="84"/>
  <c r="BM107" i="84"/>
  <c r="BM100" i="84"/>
  <c r="BM110" i="84"/>
  <c r="BM97" i="84"/>
  <c r="BM104" i="84"/>
  <c r="BM113" i="84"/>
  <c r="BM101" i="84"/>
  <c r="BM105" i="84"/>
  <c r="BM112" i="84"/>
  <c r="BM109" i="84"/>
  <c r="BM99" i="84"/>
  <c r="BM102" i="84"/>
  <c r="BP66" i="84"/>
  <c r="AQ70" i="90"/>
  <c r="AQ68" i="90"/>
  <c r="BP65" i="84"/>
  <c r="AQ69" i="90"/>
  <c r="BP68" i="84"/>
  <c r="AQ66" i="90"/>
  <c r="AQ67" i="90"/>
  <c r="AQ64" i="90"/>
  <c r="AQ65" i="90"/>
  <c r="BP69" i="84"/>
  <c r="BP67" i="84"/>
  <c r="AQ71" i="90"/>
  <c r="AQ62" i="90"/>
  <c r="BV52" i="84"/>
  <c r="AQ56" i="90"/>
  <c r="AQ58" i="90"/>
  <c r="AQ57" i="90"/>
  <c r="AQ60" i="90"/>
  <c r="AQ59" i="90"/>
  <c r="AQ61" i="90"/>
  <c r="AO66" i="90"/>
  <c r="AO63" i="90"/>
  <c r="AO67" i="90"/>
  <c r="AO69" i="90"/>
  <c r="L69" i="89"/>
  <c r="L68" i="89"/>
  <c r="AO65" i="90"/>
  <c r="AO64" i="90"/>
  <c r="AO71" i="90"/>
  <c r="AO70" i="90"/>
  <c r="AO68" i="90"/>
  <c r="AO56" i="90"/>
  <c r="AO62" i="90"/>
  <c r="AO60" i="90"/>
  <c r="AO57" i="90"/>
  <c r="AO59" i="90"/>
  <c r="AO58" i="90"/>
  <c r="AO61" i="90"/>
  <c r="BO61" i="84"/>
  <c r="AP65" i="90"/>
  <c r="BO65" i="84"/>
  <c r="AP69" i="90"/>
  <c r="AP70" i="90"/>
  <c r="BO66" i="84"/>
  <c r="AP66" i="90"/>
  <c r="BO62" i="84"/>
  <c r="BO59" i="84"/>
  <c r="AP63" i="90"/>
  <c r="BO63" i="84"/>
  <c r="AP67" i="90"/>
  <c r="BO68" i="84"/>
  <c r="BO67" i="84"/>
  <c r="AP71" i="90"/>
  <c r="BO69" i="84"/>
  <c r="BO60" i="84"/>
  <c r="AP64" i="90"/>
  <c r="BO64" i="84"/>
  <c r="AP68" i="90"/>
  <c r="BO58" i="84"/>
  <c r="AP62" i="90"/>
  <c r="AP60" i="90"/>
  <c r="BO56" i="84"/>
  <c r="BO53" i="84"/>
  <c r="AP57" i="90"/>
  <c r="AP56" i="90"/>
  <c r="BO54" i="84"/>
  <c r="AP58" i="90"/>
  <c r="BO55" i="84"/>
  <c r="AP59" i="90"/>
  <c r="BO57" i="84"/>
  <c r="AP61" i="90"/>
  <c r="AR70" i="90"/>
  <c r="AR66" i="90"/>
  <c r="AR67" i="90"/>
  <c r="AR68" i="90"/>
  <c r="AR63" i="90"/>
  <c r="AR65" i="90"/>
  <c r="AR64" i="90"/>
  <c r="AR71" i="90"/>
  <c r="BQ69" i="84"/>
  <c r="AJ65" i="69"/>
  <c r="J68" i="89"/>
  <c r="N72" i="90" s="1"/>
  <c r="AR69" i="90"/>
  <c r="AR62" i="90"/>
  <c r="BQ58" i="84"/>
  <c r="AR56" i="90"/>
  <c r="BQ52" i="84"/>
  <c r="AR57" i="90"/>
  <c r="BQ53" i="84"/>
  <c r="AR60" i="90"/>
  <c r="BQ56" i="84"/>
  <c r="AR59" i="90"/>
  <c r="BQ55" i="84"/>
  <c r="BQ54" i="84"/>
  <c r="AR58" i="90"/>
  <c r="BQ57" i="84"/>
  <c r="AR61" i="90"/>
  <c r="AR149" i="84"/>
  <c r="BR149" i="84"/>
  <c r="BT149" i="84" s="1"/>
  <c r="AR199" i="84"/>
  <c r="BR199" i="84"/>
  <c r="BT199" i="84" s="1"/>
  <c r="AR151" i="84"/>
  <c r="BR151" i="84"/>
  <c r="BT151" i="84" s="1"/>
  <c r="AR143" i="84"/>
  <c r="BR143" i="84"/>
  <c r="BT143" i="84" s="1"/>
  <c r="BR197" i="84"/>
  <c r="BT197" i="84" s="1"/>
  <c r="AR197" i="84"/>
  <c r="BR154" i="84"/>
  <c r="BT154" i="84" s="1"/>
  <c r="AR154" i="84"/>
  <c r="AR188" i="84"/>
  <c r="BR188" i="84"/>
  <c r="BT188" i="84" s="1"/>
  <c r="AR200" i="84"/>
  <c r="BR200" i="84"/>
  <c r="BT200" i="84" s="1"/>
  <c r="AR160" i="84"/>
  <c r="BR160" i="84"/>
  <c r="BT160" i="84" s="1"/>
  <c r="BR191" i="84"/>
  <c r="BT191" i="84" s="1"/>
  <c r="AR191" i="84"/>
  <c r="BR207" i="84"/>
  <c r="BT207" i="84" s="1"/>
  <c r="AR207" i="84"/>
  <c r="BR158" i="84"/>
  <c r="BT158" i="84" s="1"/>
  <c r="AR158" i="84"/>
  <c r="BR196" i="84"/>
  <c r="BT196" i="84" s="1"/>
  <c r="AR196" i="84"/>
  <c r="AR146" i="84"/>
  <c r="BR146" i="84"/>
  <c r="BT146" i="84" s="1"/>
  <c r="AR193" i="84"/>
  <c r="BR193" i="84"/>
  <c r="BT193" i="84" s="1"/>
  <c r="AR204" i="84"/>
  <c r="BR204" i="84"/>
  <c r="BT204" i="84" s="1"/>
  <c r="AR206" i="84"/>
  <c r="BR206" i="84"/>
  <c r="BT206" i="84" s="1"/>
  <c r="BR147" i="84"/>
  <c r="BT147" i="84" s="1"/>
  <c r="AR147" i="84"/>
  <c r="BR161" i="84"/>
  <c r="BT161" i="84" s="1"/>
  <c r="AR161" i="84"/>
  <c r="BR150" i="84"/>
  <c r="BT150" i="84" s="1"/>
  <c r="AR150" i="84"/>
  <c r="BR198" i="84"/>
  <c r="BT198" i="84" s="1"/>
  <c r="AR198" i="84"/>
  <c r="AR152" i="84"/>
  <c r="BR152" i="84"/>
  <c r="BT152" i="84" s="1"/>
  <c r="BR202" i="84"/>
  <c r="BT202" i="84" s="1"/>
  <c r="AR202" i="84"/>
  <c r="BR148" i="84"/>
  <c r="BT148" i="84" s="1"/>
  <c r="AR148" i="84"/>
  <c r="AR187" i="84"/>
  <c r="BR187" i="84"/>
  <c r="BT187" i="84" s="1"/>
  <c r="BR205" i="84"/>
  <c r="BT205" i="84" s="1"/>
  <c r="AR205" i="84"/>
  <c r="AR194" i="84"/>
  <c r="BR194" i="84"/>
  <c r="BT194" i="84" s="1"/>
  <c r="BR195" i="84"/>
  <c r="BT195" i="84" s="1"/>
  <c r="AR195" i="84"/>
  <c r="BR142" i="84"/>
  <c r="BT142" i="84" s="1"/>
  <c r="AR142" i="84"/>
  <c r="BR192" i="84"/>
  <c r="BT192" i="84" s="1"/>
  <c r="AR192" i="84"/>
  <c r="BR144" i="84"/>
  <c r="BT144" i="84" s="1"/>
  <c r="AR144" i="84"/>
  <c r="AR201" i="84"/>
  <c r="BR201" i="84"/>
  <c r="BT201" i="84" s="1"/>
  <c r="AR156" i="84"/>
  <c r="BR156" i="84"/>
  <c r="BT156" i="84" s="1"/>
  <c r="AR190" i="84"/>
  <c r="BR190" i="84"/>
  <c r="BT190" i="84" s="1"/>
  <c r="AR145" i="84"/>
  <c r="BR145" i="84"/>
  <c r="BT145" i="84" s="1"/>
  <c r="AR189" i="84"/>
  <c r="BR189" i="84"/>
  <c r="BT189" i="84" s="1"/>
  <c r="BR155" i="84"/>
  <c r="BT155" i="84" s="1"/>
  <c r="AR155" i="84"/>
  <c r="AR153" i="84"/>
  <c r="BR153" i="84"/>
  <c r="BT153" i="84" s="1"/>
  <c r="BR208" i="84"/>
  <c r="BT208" i="84" s="1"/>
  <c r="AR208" i="84"/>
  <c r="AR159" i="84"/>
  <c r="BR159" i="84"/>
  <c r="BT159" i="84" s="1"/>
  <c r="BR203" i="84"/>
  <c r="BT203" i="84" s="1"/>
  <c r="AR203" i="84"/>
  <c r="AR157" i="84"/>
  <c r="BR157" i="84"/>
  <c r="BT157" i="84" s="1"/>
  <c r="W66" i="69"/>
  <c r="Z78" i="89"/>
  <c r="AL100" i="100"/>
  <c r="AA74" i="89"/>
  <c r="R53" i="89"/>
  <c r="AA92" i="89"/>
  <c r="Z90" i="89"/>
  <c r="P59" i="90"/>
  <c r="N67" i="68"/>
  <c r="X66" i="69"/>
  <c r="Z94" i="89"/>
  <c r="Y79" i="89"/>
  <c r="Q60" i="89"/>
  <c r="H115" i="89"/>
  <c r="Y80" i="89"/>
  <c r="O72" i="68"/>
  <c r="Y65" i="89"/>
  <c r="Z76" i="89"/>
  <c r="Y59" i="89"/>
  <c r="AA103" i="89"/>
  <c r="AL98" i="100"/>
  <c r="Z72" i="89"/>
  <c r="Z45" i="89"/>
  <c r="AA40" i="89"/>
  <c r="Y116" i="89"/>
  <c r="Z36" i="89"/>
  <c r="Z39" i="89"/>
  <c r="Y34" i="89"/>
  <c r="AP65" i="69"/>
  <c r="AA61" i="89"/>
  <c r="Z48" i="89"/>
  <c r="Z102" i="89"/>
  <c r="Y86" i="89"/>
  <c r="R57" i="89"/>
  <c r="Z84" i="89"/>
  <c r="Z38" i="89"/>
  <c r="AA115" i="89"/>
  <c r="O64" i="90"/>
  <c r="Z86" i="89"/>
  <c r="AA49" i="89"/>
  <c r="Y117" i="89"/>
  <c r="Q66" i="89"/>
  <c r="Y68" i="89"/>
  <c r="Z91" i="89"/>
  <c r="Y62" i="89"/>
  <c r="Z64" i="89"/>
  <c r="P69" i="90"/>
  <c r="AL111" i="100"/>
  <c r="Z115" i="89"/>
  <c r="H106" i="89"/>
  <c r="Z83" i="89"/>
  <c r="Y43" i="89"/>
  <c r="Q63" i="89"/>
  <c r="Y95" i="89"/>
  <c r="AA76" i="89"/>
  <c r="Z88" i="89"/>
  <c r="N73" i="68"/>
  <c r="G98" i="89"/>
  <c r="O74" i="68"/>
  <c r="AA32" i="89"/>
  <c r="AV66" i="69"/>
  <c r="G97" i="89"/>
  <c r="P58" i="90"/>
  <c r="AA66" i="89"/>
  <c r="Z42" i="89"/>
  <c r="H102" i="89"/>
  <c r="Z66" i="89"/>
  <c r="AA107" i="89"/>
  <c r="AC62" i="69"/>
  <c r="Y39" i="89"/>
  <c r="AA100" i="89"/>
  <c r="AA62" i="89"/>
  <c r="T68" i="89"/>
  <c r="Z110" i="89"/>
  <c r="AA59" i="89"/>
  <c r="Y54" i="89"/>
  <c r="O77" i="68"/>
  <c r="N72" i="68"/>
  <c r="Z60" i="89"/>
  <c r="Y72" i="89"/>
  <c r="Z111" i="89"/>
  <c r="Z33" i="89"/>
  <c r="Z108" i="89"/>
  <c r="Z52" i="89"/>
  <c r="AA39" i="89"/>
  <c r="P62" i="90"/>
  <c r="S66" i="69"/>
  <c r="AA41" i="89"/>
  <c r="AA65" i="89"/>
  <c r="AA73" i="89"/>
  <c r="Z65" i="89"/>
  <c r="P57" i="90"/>
  <c r="G115" i="89"/>
  <c r="N66" i="68"/>
  <c r="AA34" i="89"/>
  <c r="Y37" i="89"/>
  <c r="AA53" i="89"/>
  <c r="Y29" i="89"/>
  <c r="H111" i="89"/>
  <c r="Y47" i="89"/>
  <c r="I61" i="89"/>
  <c r="AA56" i="89"/>
  <c r="O62" i="90"/>
  <c r="M107" i="68"/>
  <c r="N65" i="68"/>
  <c r="Y38" i="89"/>
  <c r="AA110" i="89"/>
  <c r="X62" i="69"/>
  <c r="O66" i="90"/>
  <c r="O56" i="90"/>
  <c r="AA80" i="89"/>
  <c r="S67" i="95"/>
  <c r="R62" i="89"/>
  <c r="S57" i="89"/>
  <c r="Z96" i="89"/>
  <c r="Z89" i="89"/>
  <c r="O61" i="90"/>
  <c r="O120" i="68"/>
  <c r="H110" i="89"/>
  <c r="Z101" i="89"/>
  <c r="Z106" i="89"/>
  <c r="Z104" i="89"/>
  <c r="Y106" i="89"/>
  <c r="AA82" i="89"/>
  <c r="Z55" i="89"/>
  <c r="I56" i="89"/>
  <c r="G114" i="89"/>
  <c r="Y35" i="89"/>
  <c r="AT70" i="84"/>
  <c r="I68" i="89"/>
  <c r="AK98" i="87"/>
  <c r="Z109" i="89"/>
  <c r="AA51" i="89"/>
  <c r="H107" i="89"/>
  <c r="Z97" i="89"/>
  <c r="Y87" i="89"/>
  <c r="Q55" i="89"/>
  <c r="P73" i="90"/>
  <c r="H112" i="89"/>
  <c r="S65" i="69"/>
  <c r="AQ209" i="87"/>
  <c r="AA105" i="89"/>
  <c r="R61" i="89"/>
  <c r="AA83" i="89"/>
  <c r="O63" i="90"/>
  <c r="AA84" i="89"/>
  <c r="AA68" i="89"/>
  <c r="Y81" i="89"/>
  <c r="Y108" i="89"/>
  <c r="Y94" i="89"/>
  <c r="Y44" i="89"/>
  <c r="Z53" i="89"/>
  <c r="Z81" i="89"/>
  <c r="Q68" i="89"/>
  <c r="Q54" i="89"/>
  <c r="I62" i="89"/>
  <c r="Y74" i="89"/>
  <c r="P66" i="90"/>
  <c r="R67" i="89"/>
  <c r="Y100" i="89"/>
  <c r="Y41" i="89"/>
  <c r="N64" i="68"/>
  <c r="AA57" i="89"/>
  <c r="Z49" i="89"/>
  <c r="AA58" i="89"/>
  <c r="Z98" i="89"/>
  <c r="H104" i="89"/>
  <c r="AA89" i="89"/>
  <c r="H101" i="89"/>
  <c r="R69" i="89"/>
  <c r="G112" i="89"/>
  <c r="M62" i="68"/>
  <c r="AA99" i="89"/>
  <c r="AA117" i="89"/>
  <c r="Z114" i="89"/>
  <c r="G102" i="89"/>
  <c r="AA97" i="89"/>
  <c r="Z57" i="89"/>
  <c r="Z71" i="89"/>
  <c r="AL104" i="100"/>
  <c r="Y118" i="89"/>
  <c r="Q65" i="89"/>
  <c r="AA75" i="89"/>
  <c r="R64" i="89"/>
  <c r="Q58" i="89"/>
  <c r="AA55" i="89"/>
  <c r="Y110" i="89"/>
  <c r="AA113" i="89"/>
  <c r="X65" i="69"/>
  <c r="Y97" i="89"/>
  <c r="I66" i="89"/>
  <c r="Z50" i="89"/>
  <c r="I55" i="89"/>
  <c r="N71" i="68"/>
  <c r="S64" i="89"/>
  <c r="Z87" i="89"/>
  <c r="AA108" i="89"/>
  <c r="P68" i="90"/>
  <c r="O69" i="68"/>
  <c r="S56" i="69" s="1"/>
  <c r="Y48" i="89"/>
  <c r="Z75" i="89"/>
  <c r="AA31" i="89"/>
  <c r="Y52" i="89"/>
  <c r="Y45" i="89"/>
  <c r="AA81" i="89"/>
  <c r="Z63" i="89"/>
  <c r="Q53" i="89"/>
  <c r="G110" i="89"/>
  <c r="G109" i="89"/>
  <c r="G100" i="89"/>
  <c r="AA48" i="89"/>
  <c r="S54" i="89"/>
  <c r="Y63" i="89"/>
  <c r="AA37" i="89"/>
  <c r="Y96" i="89"/>
  <c r="Z61" i="89"/>
  <c r="Z100" i="89"/>
  <c r="Y57" i="89"/>
  <c r="Y107" i="89"/>
  <c r="AL115" i="100"/>
  <c r="Z73" i="89"/>
  <c r="AA36" i="89"/>
  <c r="Z67" i="89"/>
  <c r="Z93" i="89"/>
  <c r="AY57" i="95"/>
  <c r="AA87" i="89"/>
  <c r="Z29" i="89"/>
  <c r="Y32" i="89"/>
  <c r="O58" i="90"/>
  <c r="AA43" i="89"/>
  <c r="H108" i="89"/>
  <c r="N74" i="68"/>
  <c r="AA114" i="89"/>
  <c r="Z35" i="89"/>
  <c r="R56" i="89"/>
  <c r="AA95" i="89"/>
  <c r="O67" i="90"/>
  <c r="Y91" i="89"/>
  <c r="AA42" i="89"/>
  <c r="I97" i="89"/>
  <c r="Z59" i="89"/>
  <c r="AA101" i="89"/>
  <c r="AA85" i="89"/>
  <c r="AA50" i="89"/>
  <c r="Y73" i="89"/>
  <c r="I69" i="89"/>
  <c r="H100" i="89"/>
  <c r="W52" i="69"/>
  <c r="X61" i="69"/>
  <c r="AA54" i="89"/>
  <c r="G99" i="89"/>
  <c r="Z51" i="89"/>
  <c r="Z43" i="89"/>
  <c r="S66" i="95"/>
  <c r="N70" i="68"/>
  <c r="R66" i="89"/>
  <c r="AT57" i="95"/>
  <c r="Z41" i="89"/>
  <c r="Y33" i="89"/>
  <c r="O76" i="68"/>
  <c r="Y93" i="89"/>
  <c r="H114" i="89"/>
  <c r="Z44" i="89"/>
  <c r="Y60" i="89"/>
  <c r="G113" i="89"/>
  <c r="Y49" i="89"/>
  <c r="O122" i="68"/>
  <c r="P60" i="90"/>
  <c r="O59" i="90"/>
  <c r="O119" i="68"/>
  <c r="X106" i="69" s="1"/>
  <c r="Y84" i="89"/>
  <c r="AA33" i="89"/>
  <c r="AA71" i="89"/>
  <c r="R60" i="89"/>
  <c r="AA78" i="89"/>
  <c r="AA109" i="89"/>
  <c r="H99" i="89"/>
  <c r="R59" i="89"/>
  <c r="Z80" i="89"/>
  <c r="Z79" i="89"/>
  <c r="Z77" i="89"/>
  <c r="Q61" i="89"/>
  <c r="R65" i="89"/>
  <c r="AL102" i="100"/>
  <c r="AA60" i="89"/>
  <c r="G111" i="89"/>
  <c r="AL65" i="100"/>
  <c r="Q94" i="69"/>
  <c r="Y89" i="89"/>
  <c r="Z37" i="89"/>
  <c r="O60" i="90"/>
  <c r="AA72" i="89"/>
  <c r="AA96" i="89"/>
  <c r="AP62" i="69"/>
  <c r="Z103" i="89"/>
  <c r="R52" i="89"/>
  <c r="AA47" i="89"/>
  <c r="AA98" i="89"/>
  <c r="Y66" i="89"/>
  <c r="AC66" i="69"/>
  <c r="Y46" i="89"/>
  <c r="AA38" i="89"/>
  <c r="Y51" i="89"/>
  <c r="AL99" i="100"/>
  <c r="AL106" i="100"/>
  <c r="I115" i="89"/>
  <c r="O68" i="90"/>
  <c r="Z105" i="89"/>
  <c r="Y70" i="89"/>
  <c r="AA118" i="89"/>
  <c r="Y103" i="89"/>
  <c r="Z31" i="89"/>
  <c r="Q69" i="90"/>
  <c r="R53" i="95"/>
  <c r="Y88" i="89"/>
  <c r="G106" i="89"/>
  <c r="Z92" i="89"/>
  <c r="AA90" i="89"/>
  <c r="Y42" i="89"/>
  <c r="AC65" i="69"/>
  <c r="S107" i="69"/>
  <c r="AA63" i="89"/>
  <c r="AA93" i="89"/>
  <c r="Y112" i="89"/>
  <c r="Q67" i="89"/>
  <c r="O73" i="68"/>
  <c r="Z116" i="89"/>
  <c r="W62" i="69"/>
  <c r="AA67" i="89"/>
  <c r="O70" i="90"/>
  <c r="AA111" i="89"/>
  <c r="G103" i="89"/>
  <c r="Y40" i="89"/>
  <c r="Y78" i="89"/>
  <c r="AT209" i="84"/>
  <c r="I67" i="89"/>
  <c r="Z32" i="89"/>
  <c r="Y82" i="89"/>
  <c r="Z112" i="89"/>
  <c r="AA44" i="89"/>
  <c r="Y64" i="89"/>
  <c r="Y58" i="89"/>
  <c r="T65" i="89"/>
  <c r="O117" i="68"/>
  <c r="AA29" i="89"/>
  <c r="Z70" i="89"/>
  <c r="Z68" i="89"/>
  <c r="O71" i="90"/>
  <c r="Y71" i="89"/>
  <c r="Y61" i="89"/>
  <c r="Z54" i="89"/>
  <c r="I58" i="89"/>
  <c r="I60" i="89"/>
  <c r="Z69" i="89"/>
  <c r="P63" i="90"/>
  <c r="R55" i="89"/>
  <c r="Y90" i="89"/>
  <c r="Y98" i="89"/>
  <c r="Z40" i="89"/>
  <c r="G108" i="89"/>
  <c r="Y56" i="89"/>
  <c r="O65" i="90"/>
  <c r="AV65" i="69"/>
  <c r="Q59" i="89"/>
  <c r="AL69" i="100"/>
  <c r="Z62" i="89"/>
  <c r="AL105" i="100"/>
  <c r="AK98" i="94"/>
  <c r="O69" i="90"/>
  <c r="P71" i="90"/>
  <c r="Z99" i="89"/>
  <c r="Y92" i="89"/>
  <c r="O57" i="90"/>
  <c r="Z113" i="89"/>
  <c r="O73" i="90"/>
  <c r="O123" i="68"/>
  <c r="AA94" i="89"/>
  <c r="Y55" i="89"/>
  <c r="P65" i="90"/>
  <c r="AB104" i="89"/>
  <c r="N63" i="68"/>
  <c r="AA88" i="89"/>
  <c r="Y76" i="89"/>
  <c r="AA79" i="89"/>
  <c r="AL103" i="100"/>
  <c r="Y101" i="89"/>
  <c r="Y115" i="89"/>
  <c r="AB105" i="89"/>
  <c r="Q52" i="89"/>
  <c r="H68" i="89"/>
  <c r="AA35" i="89"/>
  <c r="Y53" i="89"/>
  <c r="P70" i="90"/>
  <c r="AA77" i="89"/>
  <c r="AA69" i="89"/>
  <c r="AA46" i="89"/>
  <c r="Z82" i="89"/>
  <c r="O72" i="90"/>
  <c r="I59" i="89"/>
  <c r="AA52" i="89"/>
  <c r="S57" i="95"/>
  <c r="AA106" i="89"/>
  <c r="Y69" i="89"/>
  <c r="N69" i="68"/>
  <c r="Q56" i="89"/>
  <c r="N62" i="68"/>
  <c r="Z30" i="89"/>
  <c r="Y111" i="89"/>
  <c r="G105" i="89"/>
  <c r="Y31" i="89"/>
  <c r="Q69" i="89"/>
  <c r="AA104" i="89"/>
  <c r="R58" i="89"/>
  <c r="AA112" i="89"/>
  <c r="W65" i="69"/>
  <c r="Y102" i="89"/>
  <c r="AA91" i="89"/>
  <c r="R63" i="89"/>
  <c r="Y83" i="89"/>
  <c r="I63" i="89"/>
  <c r="T69" i="89"/>
  <c r="P61" i="90"/>
  <c r="O70" i="68"/>
  <c r="Z58" i="89"/>
  <c r="AQ70" i="87"/>
  <c r="Z118" i="89"/>
  <c r="I53" i="89"/>
  <c r="AW95" i="95"/>
  <c r="Y104" i="89"/>
  <c r="AA70" i="89"/>
  <c r="G104" i="89"/>
  <c r="Z117" i="89"/>
  <c r="P64" i="90"/>
  <c r="G101" i="89"/>
  <c r="S62" i="69"/>
  <c r="Y50" i="89"/>
  <c r="H113" i="89"/>
  <c r="AA64" i="89"/>
  <c r="Y36" i="89"/>
  <c r="I52" i="89"/>
  <c r="BD57" i="95"/>
  <c r="Y77" i="89"/>
  <c r="AA86" i="89"/>
  <c r="Y30" i="89"/>
  <c r="S65" i="89"/>
  <c r="Y113" i="89"/>
  <c r="O124" i="68"/>
  <c r="AA102" i="89"/>
  <c r="Z34" i="89"/>
  <c r="Q62" i="89"/>
  <c r="BB95" i="95"/>
  <c r="AA30" i="89"/>
  <c r="Y105" i="89"/>
  <c r="Y85" i="89"/>
  <c r="Q64" i="89"/>
  <c r="N68" i="68"/>
  <c r="Y99" i="89"/>
  <c r="H109" i="89"/>
  <c r="H103" i="89"/>
  <c r="W49" i="69"/>
  <c r="S106" i="69"/>
  <c r="Y67" i="89"/>
  <c r="Z95" i="89"/>
  <c r="Z47" i="89"/>
  <c r="Y75" i="89"/>
  <c r="Z85" i="89"/>
  <c r="P67" i="90"/>
  <c r="AP66" i="69"/>
  <c r="Y109" i="89"/>
  <c r="Z107" i="89"/>
  <c r="AA116" i="89"/>
  <c r="R52" i="69"/>
  <c r="AV62" i="69"/>
  <c r="Z46" i="89"/>
  <c r="Q57" i="89"/>
  <c r="O71" i="68"/>
  <c r="S58" i="69" s="1"/>
  <c r="Z56" i="89"/>
  <c r="AA45" i="89"/>
  <c r="S63" i="95"/>
  <c r="Z74" i="89"/>
  <c r="R54" i="89"/>
  <c r="Y114" i="89"/>
  <c r="AL97" i="100"/>
  <c r="O121" i="68"/>
  <c r="AB108" i="89" s="1"/>
  <c r="H105" i="89"/>
  <c r="O118" i="68"/>
  <c r="I107" i="89"/>
  <c r="AL101" i="100"/>
  <c r="H98" i="89"/>
  <c r="G107" i="89"/>
  <c r="V49" i="69"/>
  <c r="X60" i="69"/>
  <c r="S61" i="95"/>
  <c r="AB98" i="89"/>
  <c r="AB100" i="89"/>
  <c r="AX50" i="95"/>
  <c r="AS50" i="95"/>
  <c r="R49" i="69"/>
  <c r="BQ106" i="95"/>
  <c r="S105" i="69"/>
  <c r="AB102" i="89"/>
  <c r="S106" i="95"/>
  <c r="BV103" i="84" l="1"/>
  <c r="BV107" i="84"/>
  <c r="BV113" i="84"/>
  <c r="BV115" i="84"/>
  <c r="BV112" i="84"/>
  <c r="BV99" i="84"/>
  <c r="BV102" i="84"/>
  <c r="BV98" i="84"/>
  <c r="BV104" i="84"/>
  <c r="BV101" i="84"/>
  <c r="BV108" i="84"/>
  <c r="BV109" i="84"/>
  <c r="BV110" i="84"/>
  <c r="BV105" i="84"/>
  <c r="BV114" i="84"/>
  <c r="BV100" i="84"/>
  <c r="BV111" i="84"/>
  <c r="BV106" i="84"/>
  <c r="AI52" i="69"/>
  <c r="N56" i="89"/>
  <c r="M60" i="90"/>
  <c r="M73" i="90"/>
  <c r="N69" i="89"/>
  <c r="J64" i="89"/>
  <c r="N68" i="90" s="1"/>
  <c r="AJ61" i="69"/>
  <c r="AI55" i="69"/>
  <c r="M67" i="90"/>
  <c r="N63" i="89"/>
  <c r="AJ58" i="69"/>
  <c r="J61" i="89"/>
  <c r="N65" i="90" s="1"/>
  <c r="AJ60" i="69"/>
  <c r="J63" i="89"/>
  <c r="N67" i="90" s="1"/>
  <c r="AI49" i="69"/>
  <c r="M71" i="90"/>
  <c r="N67" i="89"/>
  <c r="BS57" i="90"/>
  <c r="BR57" i="90"/>
  <c r="J62" i="89"/>
  <c r="AJ59" i="69"/>
  <c r="J66" i="89"/>
  <c r="N70" i="90" s="1"/>
  <c r="AJ63" i="69"/>
  <c r="M70" i="90"/>
  <c r="N66" i="89"/>
  <c r="M63" i="90"/>
  <c r="N59" i="89"/>
  <c r="AO119" i="90"/>
  <c r="AQ119" i="90"/>
  <c r="AQ118" i="90"/>
  <c r="AO117" i="90"/>
  <c r="AP118" i="90"/>
  <c r="AQ117" i="90"/>
  <c r="AP117" i="90"/>
  <c r="AO118" i="90"/>
  <c r="AP119" i="90"/>
  <c r="Z72" i="90"/>
  <c r="BU72" i="90" s="1"/>
  <c r="M119" i="90"/>
  <c r="BT119" i="90" s="1"/>
  <c r="M72" i="90"/>
  <c r="N68" i="89"/>
  <c r="K117" i="90"/>
  <c r="BR117" i="90" s="1"/>
  <c r="J67" i="89"/>
  <c r="N71" i="90" s="1"/>
  <c r="AJ64" i="69"/>
  <c r="L117" i="90"/>
  <c r="BS117" i="90" s="1"/>
  <c r="L72" i="90"/>
  <c r="M68" i="89"/>
  <c r="AJ73" i="90"/>
  <c r="AJ56" i="69"/>
  <c r="J59" i="89"/>
  <c r="O59" i="89" s="1"/>
  <c r="K119" i="90"/>
  <c r="BR119" i="90" s="1"/>
  <c r="K118" i="90"/>
  <c r="BR118" i="90" s="1"/>
  <c r="AJ57" i="69"/>
  <c r="J60" i="89"/>
  <c r="N64" i="90" s="1"/>
  <c r="AJ72" i="90"/>
  <c r="L119" i="90"/>
  <c r="BS119" i="90" s="1"/>
  <c r="L118" i="90"/>
  <c r="Z73" i="90"/>
  <c r="BU73" i="90" s="1"/>
  <c r="AK73" i="90"/>
  <c r="BS73" i="90"/>
  <c r="AR119" i="90"/>
  <c r="AR118" i="90"/>
  <c r="AR117" i="90"/>
  <c r="M57" i="90"/>
  <c r="N53" i="89"/>
  <c r="AI57" i="69"/>
  <c r="AH49" i="69"/>
  <c r="N62" i="89"/>
  <c r="M66" i="90"/>
  <c r="N60" i="89"/>
  <c r="M64" i="90"/>
  <c r="AI51" i="69"/>
  <c r="AI56" i="69"/>
  <c r="AI59" i="69"/>
  <c r="AI54" i="69"/>
  <c r="AI50" i="69"/>
  <c r="M65" i="90"/>
  <c r="N61" i="89"/>
  <c r="AI60" i="69"/>
  <c r="AI58" i="69"/>
  <c r="N58" i="89"/>
  <c r="M62" i="90"/>
  <c r="M59" i="90"/>
  <c r="BT59" i="90" s="1"/>
  <c r="N55" i="89"/>
  <c r="AI61" i="69"/>
  <c r="M56" i="90"/>
  <c r="N52" i="89"/>
  <c r="AI53" i="69"/>
  <c r="AJ98" i="94"/>
  <c r="AJ98" i="87"/>
  <c r="J480" i="91"/>
  <c r="J496" i="91"/>
  <c r="M441" i="91"/>
  <c r="N413" i="91"/>
  <c r="L440" i="91"/>
  <c r="J494" i="91"/>
  <c r="L455" i="91"/>
  <c r="J489" i="91"/>
  <c r="M414" i="91"/>
  <c r="N411" i="91"/>
  <c r="N391" i="91"/>
  <c r="N395" i="91"/>
  <c r="K502" i="91"/>
  <c r="N404" i="91"/>
  <c r="N394" i="91"/>
  <c r="K489" i="91"/>
  <c r="L457" i="91"/>
  <c r="K497" i="91"/>
  <c r="L445" i="91"/>
  <c r="M435" i="91"/>
  <c r="N412" i="91"/>
  <c r="L437" i="91"/>
  <c r="K503" i="91"/>
  <c r="N398" i="91"/>
  <c r="M428" i="91"/>
  <c r="J482" i="91"/>
  <c r="M440" i="91"/>
  <c r="N390" i="91"/>
  <c r="K478" i="91"/>
  <c r="N400" i="91"/>
  <c r="M438" i="91"/>
  <c r="N401" i="91"/>
  <c r="K498" i="91"/>
  <c r="L442" i="91"/>
  <c r="M432" i="91"/>
  <c r="J483" i="91"/>
  <c r="L448" i="91"/>
  <c r="K501" i="91"/>
  <c r="L449" i="91"/>
  <c r="K475" i="91"/>
  <c r="K483" i="91"/>
  <c r="J493" i="91"/>
  <c r="M418" i="91"/>
  <c r="M417" i="91"/>
  <c r="L447" i="91"/>
  <c r="M444" i="91"/>
  <c r="K496" i="91"/>
  <c r="N409" i="91"/>
  <c r="M426" i="91"/>
  <c r="J492" i="91"/>
  <c r="K494" i="91"/>
  <c r="L459" i="91"/>
  <c r="K486" i="91"/>
  <c r="N408" i="91"/>
  <c r="M413" i="91"/>
  <c r="L456" i="91"/>
  <c r="K492" i="91"/>
  <c r="L460" i="91"/>
  <c r="M431" i="91"/>
  <c r="J485" i="91"/>
  <c r="M421" i="91"/>
  <c r="J501" i="91"/>
  <c r="L441" i="91"/>
  <c r="L458" i="91"/>
  <c r="M425" i="91"/>
  <c r="J488" i="91"/>
  <c r="K499" i="91"/>
  <c r="L439" i="91"/>
  <c r="M430" i="91"/>
  <c r="N393" i="91"/>
  <c r="N396" i="91"/>
  <c r="L453" i="91"/>
  <c r="K493" i="91"/>
  <c r="L450" i="91"/>
  <c r="K474" i="91"/>
  <c r="M423" i="91"/>
  <c r="J487" i="91"/>
  <c r="L452" i="91"/>
  <c r="M443" i="91"/>
  <c r="J499" i="91"/>
  <c r="M424" i="91"/>
  <c r="J497" i="91"/>
  <c r="K482" i="91"/>
  <c r="L454" i="91"/>
  <c r="K479" i="91"/>
  <c r="M422" i="91"/>
  <c r="J490" i="91"/>
  <c r="M439" i="91"/>
  <c r="K476" i="91"/>
  <c r="N414" i="91"/>
  <c r="M420" i="91"/>
  <c r="N392" i="91"/>
  <c r="M437" i="91"/>
  <c r="L451" i="91"/>
  <c r="J484" i="91"/>
  <c r="L443" i="91"/>
  <c r="J486" i="91"/>
  <c r="M442" i="91"/>
  <c r="J503" i="91"/>
  <c r="M419" i="91"/>
  <c r="K480" i="91"/>
  <c r="N405" i="91"/>
  <c r="M427" i="91"/>
  <c r="M416" i="91"/>
  <c r="J481" i="91"/>
  <c r="K490" i="91"/>
  <c r="J491" i="91"/>
  <c r="M415" i="91"/>
  <c r="N399" i="91"/>
  <c r="K491" i="91"/>
  <c r="K477" i="91"/>
  <c r="N403" i="91"/>
  <c r="K485" i="91"/>
  <c r="N407" i="91"/>
  <c r="L444" i="91"/>
  <c r="N415" i="91"/>
  <c r="M434" i="91"/>
  <c r="N397" i="91"/>
  <c r="K481" i="91"/>
  <c r="M429" i="91"/>
  <c r="M433" i="91"/>
  <c r="J500" i="91"/>
  <c r="K500" i="91"/>
  <c r="K487" i="91"/>
  <c r="L446" i="91"/>
  <c r="K488" i="91"/>
  <c r="M436" i="91"/>
  <c r="J502" i="91"/>
  <c r="J498" i="91"/>
  <c r="N410" i="91"/>
  <c r="K473" i="91"/>
  <c r="N402" i="91"/>
  <c r="J495" i="91"/>
  <c r="K495" i="91"/>
  <c r="L438" i="91"/>
  <c r="K484" i="91"/>
  <c r="N406" i="91"/>
  <c r="BA70" i="84"/>
  <c r="BK67" i="69"/>
  <c r="BK206" i="69"/>
  <c r="BA209" i="84"/>
  <c r="AJ106" i="69"/>
  <c r="J109" i="89"/>
  <c r="J112" i="89"/>
  <c r="AJ109" i="69"/>
  <c r="AJ107" i="69"/>
  <c r="J110" i="89"/>
  <c r="J107" i="89"/>
  <c r="AJ104" i="69"/>
  <c r="J111" i="89"/>
  <c r="AJ108" i="69"/>
  <c r="AJ105" i="69"/>
  <c r="J108" i="89"/>
  <c r="J114" i="89"/>
  <c r="N118" i="90" s="1"/>
  <c r="AJ111" i="69"/>
  <c r="M111" i="90"/>
  <c r="N107" i="89"/>
  <c r="N115" i="89"/>
  <c r="M101" i="90"/>
  <c r="N97" i="89"/>
  <c r="M106" i="89"/>
  <c r="L110" i="90"/>
  <c r="BS110" i="90" s="1"/>
  <c r="L112" i="90"/>
  <c r="BS112" i="90" s="1"/>
  <c r="M108" i="89"/>
  <c r="M113" i="89"/>
  <c r="L104" i="90"/>
  <c r="BS104" i="90" s="1"/>
  <c r="M100" i="89"/>
  <c r="M101" i="89"/>
  <c r="L105" i="90"/>
  <c r="BS105" i="90" s="1"/>
  <c r="L113" i="90"/>
  <c r="BS113" i="90" s="1"/>
  <c r="M109" i="89"/>
  <c r="M111" i="89"/>
  <c r="L115" i="90"/>
  <c r="BS115" i="90" s="1"/>
  <c r="M112" i="89"/>
  <c r="L116" i="90"/>
  <c r="BS116" i="90" s="1"/>
  <c r="M105" i="89"/>
  <c r="L109" i="90"/>
  <c r="BS109" i="90" s="1"/>
  <c r="M114" i="89"/>
  <c r="L108" i="90"/>
  <c r="BS108" i="90" s="1"/>
  <c r="M104" i="89"/>
  <c r="L107" i="90"/>
  <c r="BS107" i="90" s="1"/>
  <c r="M103" i="89"/>
  <c r="M102" i="89"/>
  <c r="L106" i="90"/>
  <c r="BS106" i="90" s="1"/>
  <c r="M115" i="89"/>
  <c r="M107" i="89"/>
  <c r="L111" i="90"/>
  <c r="BS111" i="90" s="1"/>
  <c r="M99" i="89"/>
  <c r="L103" i="90"/>
  <c r="M110" i="89"/>
  <c r="L114" i="90"/>
  <c r="BS114" i="90" s="1"/>
  <c r="M98" i="89"/>
  <c r="L102" i="90"/>
  <c r="BS102" i="90" s="1"/>
  <c r="AH94" i="69"/>
  <c r="L98" i="89"/>
  <c r="K102" i="90"/>
  <c r="BR102" i="90" s="1"/>
  <c r="L104" i="89"/>
  <c r="K108" i="90"/>
  <c r="BR108" i="90" s="1"/>
  <c r="K114" i="90"/>
  <c r="BR114" i="90" s="1"/>
  <c r="L110" i="89"/>
  <c r="K105" i="90"/>
  <c r="BR105" i="90" s="1"/>
  <c r="L101" i="89"/>
  <c r="L106" i="89"/>
  <c r="K110" i="90"/>
  <c r="BR110" i="90" s="1"/>
  <c r="L111" i="89"/>
  <c r="K115" i="90"/>
  <c r="BR115" i="90" s="1"/>
  <c r="K111" i="90"/>
  <c r="BR111" i="90" s="1"/>
  <c r="L107" i="89"/>
  <c r="L97" i="89"/>
  <c r="K101" i="90"/>
  <c r="L108" i="89"/>
  <c r="K112" i="90"/>
  <c r="BR112" i="90" s="1"/>
  <c r="L100" i="89"/>
  <c r="K104" i="90"/>
  <c r="BR104" i="90" s="1"/>
  <c r="K106" i="90"/>
  <c r="BR106" i="90" s="1"/>
  <c r="L102" i="89"/>
  <c r="L105" i="89"/>
  <c r="K109" i="90"/>
  <c r="BR109" i="90" s="1"/>
  <c r="L103" i="89"/>
  <c r="K107" i="90"/>
  <c r="BR107" i="90" s="1"/>
  <c r="L112" i="89"/>
  <c r="K116" i="90"/>
  <c r="BR116" i="90" s="1"/>
  <c r="L113" i="89"/>
  <c r="L115" i="89"/>
  <c r="L99" i="89"/>
  <c r="K103" i="90"/>
  <c r="L114" i="89"/>
  <c r="K113" i="90"/>
  <c r="BR113" i="90" s="1"/>
  <c r="L109" i="89"/>
  <c r="CI110" i="84"/>
  <c r="G109" i="91"/>
  <c r="CB110" i="84"/>
  <c r="CE94" i="84"/>
  <c r="BX94" i="84"/>
  <c r="C93" i="91"/>
  <c r="E97" i="91"/>
  <c r="BZ98" i="84"/>
  <c r="CG98" i="84"/>
  <c r="CH102" i="84"/>
  <c r="CA102" i="84"/>
  <c r="F101" i="91"/>
  <c r="CF96" i="84"/>
  <c r="BY96" i="84"/>
  <c r="D95" i="91"/>
  <c r="BM149" i="84"/>
  <c r="BM157" i="84"/>
  <c r="BM143" i="84"/>
  <c r="BM158" i="84"/>
  <c r="BM144" i="84"/>
  <c r="BM148" i="84"/>
  <c r="BM154" i="84"/>
  <c r="BM147" i="84"/>
  <c r="BM152" i="84"/>
  <c r="BM153" i="84"/>
  <c r="BM151" i="84"/>
  <c r="BM161" i="84"/>
  <c r="BM160" i="84"/>
  <c r="BM142" i="84"/>
  <c r="BM156" i="84"/>
  <c r="BM155" i="84"/>
  <c r="BM145" i="84"/>
  <c r="BM159" i="84"/>
  <c r="BM150" i="84"/>
  <c r="BM146" i="84"/>
  <c r="BJ155" i="84"/>
  <c r="BJ157" i="84"/>
  <c r="BJ146" i="84"/>
  <c r="BJ153" i="84"/>
  <c r="BJ149" i="84"/>
  <c r="BJ150" i="84"/>
  <c r="BJ143" i="84"/>
  <c r="BJ159" i="84"/>
  <c r="BJ154" i="84"/>
  <c r="BJ145" i="84"/>
  <c r="BJ142" i="84"/>
  <c r="BJ147" i="84"/>
  <c r="BJ148" i="84"/>
  <c r="BJ160" i="84"/>
  <c r="BJ151" i="84"/>
  <c r="BJ158" i="84"/>
  <c r="BJ144" i="84"/>
  <c r="BJ161" i="84"/>
  <c r="BJ152" i="84"/>
  <c r="BJ156" i="84"/>
  <c r="BK149" i="84"/>
  <c r="BK161" i="84"/>
  <c r="BK158" i="84"/>
  <c r="BK157" i="84"/>
  <c r="BK152" i="84"/>
  <c r="BK159" i="84"/>
  <c r="BK143" i="84"/>
  <c r="BK145" i="84"/>
  <c r="BK151" i="84"/>
  <c r="BK148" i="84"/>
  <c r="BK160" i="84"/>
  <c r="BK154" i="84"/>
  <c r="BK150" i="84"/>
  <c r="BK146" i="84"/>
  <c r="BK156" i="84"/>
  <c r="BK147" i="84"/>
  <c r="BK144" i="84"/>
  <c r="BK155" i="84"/>
  <c r="BK142" i="84"/>
  <c r="BK153" i="84"/>
  <c r="BN143" i="84"/>
  <c r="BN148" i="84"/>
  <c r="BN159" i="84"/>
  <c r="BN153" i="84"/>
  <c r="BN145" i="84"/>
  <c r="BN161" i="84"/>
  <c r="BN146" i="84"/>
  <c r="BN142" i="84"/>
  <c r="BN157" i="84"/>
  <c r="BN147" i="84"/>
  <c r="BN144" i="84"/>
  <c r="BN149" i="84"/>
  <c r="BN151" i="84"/>
  <c r="BN150" i="84"/>
  <c r="BN154" i="84"/>
  <c r="BN158" i="84"/>
  <c r="BN152" i="84"/>
  <c r="BN160" i="84"/>
  <c r="BN156" i="84"/>
  <c r="BN155" i="84"/>
  <c r="BL157" i="84"/>
  <c r="BL145" i="84"/>
  <c r="BL155" i="84"/>
  <c r="BL149" i="84"/>
  <c r="BL143" i="84"/>
  <c r="BL150" i="84"/>
  <c r="BL147" i="84"/>
  <c r="BL159" i="84"/>
  <c r="BL153" i="84"/>
  <c r="BL158" i="84"/>
  <c r="BL152" i="84"/>
  <c r="BL160" i="84"/>
  <c r="BL146" i="84"/>
  <c r="BL144" i="84"/>
  <c r="BL154" i="84"/>
  <c r="BL156" i="84"/>
  <c r="BL161" i="84"/>
  <c r="BL148" i="84"/>
  <c r="BL142" i="84"/>
  <c r="BL151" i="84"/>
  <c r="BL201" i="84"/>
  <c r="BL208" i="84"/>
  <c r="BL206" i="84"/>
  <c r="BL195" i="84"/>
  <c r="BL189" i="84"/>
  <c r="BL188" i="84"/>
  <c r="BL194" i="84"/>
  <c r="BL204" i="84"/>
  <c r="BL197" i="84"/>
  <c r="BL193" i="84"/>
  <c r="BL203" i="84"/>
  <c r="BL190" i="84"/>
  <c r="BL205" i="84"/>
  <c r="BL192" i="84"/>
  <c r="BL198" i="84"/>
  <c r="BL202" i="84"/>
  <c r="BL191" i="84"/>
  <c r="BL200" i="84"/>
  <c r="BL207" i="84"/>
  <c r="BL187" i="84"/>
  <c r="BL196" i="84"/>
  <c r="BL199" i="84"/>
  <c r="BK202" i="84"/>
  <c r="BK187" i="84"/>
  <c r="BK192" i="84"/>
  <c r="BK189" i="84"/>
  <c r="BK203" i="84"/>
  <c r="BK201" i="84"/>
  <c r="BK195" i="84"/>
  <c r="BK199" i="84"/>
  <c r="BK208" i="84"/>
  <c r="BK197" i="84"/>
  <c r="BK191" i="84"/>
  <c r="BK196" i="84"/>
  <c r="BK204" i="84"/>
  <c r="BK194" i="84"/>
  <c r="BK190" i="84"/>
  <c r="BK193" i="84"/>
  <c r="BK205" i="84"/>
  <c r="BK206" i="84"/>
  <c r="BK207" i="84"/>
  <c r="BK198" i="84"/>
  <c r="BK200" i="84"/>
  <c r="BK188" i="84"/>
  <c r="BJ190" i="84"/>
  <c r="BJ207" i="84"/>
  <c r="BJ189" i="84"/>
  <c r="BJ187" i="84"/>
  <c r="BJ188" i="84"/>
  <c r="BJ194" i="84"/>
  <c r="BJ199" i="84"/>
  <c r="BJ206" i="84"/>
  <c r="BJ200" i="84"/>
  <c r="BJ196" i="84"/>
  <c r="BJ195" i="84"/>
  <c r="BJ205" i="84"/>
  <c r="BJ197" i="84"/>
  <c r="BJ204" i="84"/>
  <c r="BJ202" i="84"/>
  <c r="BJ203" i="84"/>
  <c r="BJ191" i="84"/>
  <c r="BJ193" i="84"/>
  <c r="BJ192" i="84"/>
  <c r="BJ208" i="84"/>
  <c r="BJ201" i="84"/>
  <c r="BJ198" i="84"/>
  <c r="BN201" i="84"/>
  <c r="BN208" i="84"/>
  <c r="BN193" i="84"/>
  <c r="BN196" i="84"/>
  <c r="BN194" i="84"/>
  <c r="BN203" i="84"/>
  <c r="BN204" i="84"/>
  <c r="BN202" i="84"/>
  <c r="BN195" i="84"/>
  <c r="BN200" i="84"/>
  <c r="BN198" i="84"/>
  <c r="BN187" i="84"/>
  <c r="BN199" i="84"/>
  <c r="BN188" i="84"/>
  <c r="BN192" i="84"/>
  <c r="BN190" i="84"/>
  <c r="BN206" i="84"/>
  <c r="BN205" i="84"/>
  <c r="BN197" i="84"/>
  <c r="BN191" i="84"/>
  <c r="BN189" i="84"/>
  <c r="BN207" i="84"/>
  <c r="BM190" i="84"/>
  <c r="BM202" i="84"/>
  <c r="BM204" i="84"/>
  <c r="BM194" i="84"/>
  <c r="BM189" i="84"/>
  <c r="BM205" i="84"/>
  <c r="BM195" i="84"/>
  <c r="BM200" i="84"/>
  <c r="BM198" i="84"/>
  <c r="BM201" i="84"/>
  <c r="BM203" i="84"/>
  <c r="BM206" i="84"/>
  <c r="BM199" i="84"/>
  <c r="BM192" i="84"/>
  <c r="BM188" i="84"/>
  <c r="BM191" i="84"/>
  <c r="BM196" i="84"/>
  <c r="BM193" i="84"/>
  <c r="BM187" i="84"/>
  <c r="BM208" i="84"/>
  <c r="BM207" i="84"/>
  <c r="BM197" i="84"/>
  <c r="O68" i="89"/>
  <c r="BQ102" i="84"/>
  <c r="AR106" i="90"/>
  <c r="AR103" i="90"/>
  <c r="BQ99" i="84"/>
  <c r="AR113" i="90"/>
  <c r="AR116" i="90"/>
  <c r="AR109" i="90"/>
  <c r="AR105" i="90"/>
  <c r="BQ101" i="84"/>
  <c r="J113" i="89"/>
  <c r="N117" i="90" s="1"/>
  <c r="AJ110" i="69"/>
  <c r="AR108" i="90"/>
  <c r="BQ97" i="84"/>
  <c r="AR101" i="90"/>
  <c r="AR114" i="90"/>
  <c r="AR104" i="90"/>
  <c r="BQ100" i="84"/>
  <c r="AR111" i="90"/>
  <c r="AR110" i="90"/>
  <c r="AR115" i="90"/>
  <c r="AR102" i="90"/>
  <c r="BQ98" i="84"/>
  <c r="AR107" i="90"/>
  <c r="BQ103" i="84"/>
  <c r="BQ115" i="84"/>
  <c r="AR112" i="90"/>
  <c r="BQ114" i="84"/>
  <c r="AQ104" i="90"/>
  <c r="AQ112" i="90"/>
  <c r="AQ107" i="90"/>
  <c r="AQ102" i="90"/>
  <c r="AQ111" i="90"/>
  <c r="AQ103" i="90"/>
  <c r="AQ108" i="90"/>
  <c r="BP110" i="84"/>
  <c r="AQ114" i="90"/>
  <c r="BP115" i="84"/>
  <c r="AQ115" i="90"/>
  <c r="BP111" i="84"/>
  <c r="BP114" i="84"/>
  <c r="BP112" i="84"/>
  <c r="AQ116" i="90"/>
  <c r="AQ113" i="90"/>
  <c r="BP113" i="84"/>
  <c r="AQ106" i="90"/>
  <c r="AQ105" i="90"/>
  <c r="AQ109" i="90"/>
  <c r="AQ110" i="90"/>
  <c r="AQ101" i="90"/>
  <c r="BV97" i="84"/>
  <c r="BO106" i="84"/>
  <c r="AP110" i="90"/>
  <c r="AP112" i="90"/>
  <c r="BO108" i="84"/>
  <c r="BO113" i="84"/>
  <c r="AP104" i="90"/>
  <c r="BO100" i="84"/>
  <c r="BO101" i="84"/>
  <c r="AP105" i="90"/>
  <c r="BO109" i="84"/>
  <c r="AP113" i="90"/>
  <c r="AP115" i="90"/>
  <c r="BO111" i="84"/>
  <c r="AP116" i="90"/>
  <c r="BO112" i="84"/>
  <c r="BO105" i="84"/>
  <c r="AP109" i="90"/>
  <c r="BO114" i="84"/>
  <c r="AP108" i="90"/>
  <c r="BO104" i="84"/>
  <c r="AP107" i="90"/>
  <c r="BO103" i="84"/>
  <c r="BO102" i="84"/>
  <c r="AP106" i="90"/>
  <c r="BO115" i="84"/>
  <c r="AP111" i="90"/>
  <c r="BO107" i="84"/>
  <c r="AP103" i="90"/>
  <c r="BO99" i="84"/>
  <c r="AP114" i="90"/>
  <c r="BO110" i="84"/>
  <c r="BO98" i="84"/>
  <c r="AP102" i="90"/>
  <c r="AP101" i="90"/>
  <c r="AO102" i="90"/>
  <c r="AO108" i="90"/>
  <c r="AO114" i="90"/>
  <c r="AO105" i="90"/>
  <c r="AO110" i="90"/>
  <c r="AO115" i="90"/>
  <c r="AO111" i="90"/>
  <c r="AO101" i="90"/>
  <c r="AO112" i="90"/>
  <c r="AO104" i="90"/>
  <c r="AO106" i="90"/>
  <c r="AO109" i="90"/>
  <c r="AO107" i="90"/>
  <c r="AO116" i="90"/>
  <c r="AO103" i="90"/>
  <c r="AO113" i="90"/>
  <c r="O65" i="89"/>
  <c r="N69" i="90"/>
  <c r="O69" i="89"/>
  <c r="AK61" i="90"/>
  <c r="AK59" i="90"/>
  <c r="AK58" i="90"/>
  <c r="AK57" i="90"/>
  <c r="AK60" i="90"/>
  <c r="AK62" i="90"/>
  <c r="AK68" i="90"/>
  <c r="AK64" i="90"/>
  <c r="AK71" i="90"/>
  <c r="AK67" i="90"/>
  <c r="AK63" i="90"/>
  <c r="AK66" i="90"/>
  <c r="AK70" i="90"/>
  <c r="AK69" i="90"/>
  <c r="AK65" i="90"/>
  <c r="AJ61" i="90"/>
  <c r="Z61" i="90"/>
  <c r="BU61" i="90" s="1"/>
  <c r="AJ58" i="90"/>
  <c r="Z58" i="90"/>
  <c r="BU58" i="90" s="1"/>
  <c r="Z59" i="90"/>
  <c r="BU59" i="90" s="1"/>
  <c r="AJ59" i="90"/>
  <c r="Z57" i="90"/>
  <c r="BU57" i="90" s="1"/>
  <c r="AJ57" i="90"/>
  <c r="Z60" i="90"/>
  <c r="BU60" i="90" s="1"/>
  <c r="AJ60" i="90"/>
  <c r="Z62" i="90"/>
  <c r="BU62" i="90" s="1"/>
  <c r="AJ62" i="90"/>
  <c r="Z56" i="90"/>
  <c r="BU56" i="90" s="1"/>
  <c r="AJ56" i="90"/>
  <c r="BR56" i="90"/>
  <c r="Z68" i="90"/>
  <c r="AJ68" i="90"/>
  <c r="Z70" i="90"/>
  <c r="AJ70" i="90"/>
  <c r="AJ71" i="90"/>
  <c r="Z71" i="90"/>
  <c r="Z64" i="90"/>
  <c r="AJ64" i="90"/>
  <c r="AJ65" i="90"/>
  <c r="Z65" i="90"/>
  <c r="Z69" i="90"/>
  <c r="AJ69" i="90"/>
  <c r="Z67" i="90"/>
  <c r="AJ67" i="90"/>
  <c r="AJ63" i="90"/>
  <c r="Z63" i="90"/>
  <c r="AJ66" i="90"/>
  <c r="Z66" i="90"/>
  <c r="AL69" i="90"/>
  <c r="W55" i="69"/>
  <c r="N113" i="68"/>
  <c r="AU56" i="69"/>
  <c r="G146" i="89"/>
  <c r="O167" i="68"/>
  <c r="G191" i="89"/>
  <c r="N118" i="68"/>
  <c r="S111" i="69"/>
  <c r="AB61" i="69"/>
  <c r="I103" i="89"/>
  <c r="BQ109" i="95"/>
  <c r="AL107" i="100"/>
  <c r="AO53" i="69"/>
  <c r="AL146" i="100"/>
  <c r="AB60" i="69"/>
  <c r="R50" i="95"/>
  <c r="H142" i="89"/>
  <c r="H146" i="89"/>
  <c r="H153" i="89"/>
  <c r="N111" i="68"/>
  <c r="AC104" i="69"/>
  <c r="R59" i="95"/>
  <c r="O215" i="68"/>
  <c r="W107" i="69"/>
  <c r="AQ46" i="94"/>
  <c r="G194" i="89"/>
  <c r="AU49" i="69"/>
  <c r="O105" i="90"/>
  <c r="S107" i="95"/>
  <c r="AN94" i="69"/>
  <c r="X56" i="69"/>
  <c r="G205" i="89"/>
  <c r="AV61" i="69"/>
  <c r="AV110" i="69"/>
  <c r="AB50" i="69"/>
  <c r="X58" i="69"/>
  <c r="AC55" i="84"/>
  <c r="S111" i="95"/>
  <c r="N112" i="68"/>
  <c r="S58" i="95"/>
  <c r="O208" i="68"/>
  <c r="AP109" i="69"/>
  <c r="S104" i="69"/>
  <c r="H191" i="89"/>
  <c r="H208" i="89"/>
  <c r="AL113" i="100"/>
  <c r="AL159" i="100"/>
  <c r="P104" i="90"/>
  <c r="G145" i="89"/>
  <c r="AQ116" i="87"/>
  <c r="Q100" i="89"/>
  <c r="N114" i="68"/>
  <c r="W59" i="69"/>
  <c r="H201" i="89"/>
  <c r="AL154" i="100"/>
  <c r="AU59" i="69"/>
  <c r="X59" i="69"/>
  <c r="W50" i="69"/>
  <c r="W61" i="69"/>
  <c r="AA49" i="69"/>
  <c r="P117" i="90"/>
  <c r="AL188" i="100"/>
  <c r="G208" i="89"/>
  <c r="X107" i="69"/>
  <c r="T59" i="89"/>
  <c r="P109" i="90"/>
  <c r="H188" i="89"/>
  <c r="G188" i="89"/>
  <c r="S67" i="89"/>
  <c r="H187" i="89"/>
  <c r="R113" i="89"/>
  <c r="AV108" i="69"/>
  <c r="AV64" i="69"/>
  <c r="G187" i="89"/>
  <c r="AV59" i="69"/>
  <c r="AK99" i="94"/>
  <c r="AP108" i="69"/>
  <c r="S62" i="89"/>
  <c r="H147" i="89"/>
  <c r="AC58" i="69"/>
  <c r="S60" i="95"/>
  <c r="BQ108" i="95"/>
  <c r="AB52" i="69"/>
  <c r="O114" i="68"/>
  <c r="AL143" i="100"/>
  <c r="H149" i="89"/>
  <c r="AO54" i="69"/>
  <c r="O165" i="68"/>
  <c r="AL203" i="100"/>
  <c r="V94" i="69"/>
  <c r="O109" i="90"/>
  <c r="P118" i="90"/>
  <c r="Q107" i="89"/>
  <c r="T114" i="89"/>
  <c r="P114" i="90"/>
  <c r="R53" i="69"/>
  <c r="R99" i="89"/>
  <c r="H204" i="89"/>
  <c r="R105" i="89"/>
  <c r="AB49" i="69"/>
  <c r="R109" i="89"/>
  <c r="Q108" i="89"/>
  <c r="Q49" i="69"/>
  <c r="AP57" i="69"/>
  <c r="AL193" i="100"/>
  <c r="R57" i="95"/>
  <c r="AO51" i="69"/>
  <c r="AU53" i="69"/>
  <c r="AL192" i="100"/>
  <c r="BD102" i="95"/>
  <c r="R106" i="89"/>
  <c r="Q73" i="90"/>
  <c r="S61" i="89"/>
  <c r="N110" i="68"/>
  <c r="S112" i="95"/>
  <c r="Q97" i="89"/>
  <c r="AQ23" i="94"/>
  <c r="S102" i="95"/>
  <c r="AL200" i="100"/>
  <c r="H203" i="89"/>
  <c r="I105" i="89"/>
  <c r="AB99" i="89"/>
  <c r="W63" i="69"/>
  <c r="T67" i="89"/>
  <c r="AP104" i="69"/>
  <c r="T63" i="89"/>
  <c r="O119" i="90"/>
  <c r="AL142" i="100"/>
  <c r="AR50" i="95"/>
  <c r="AU58" i="69"/>
  <c r="O218" i="68"/>
  <c r="W108" i="69"/>
  <c r="X110" i="69"/>
  <c r="N115" i="68"/>
  <c r="R102" i="69" s="1"/>
  <c r="O106" i="90"/>
  <c r="AL109" i="100"/>
  <c r="T113" i="89"/>
  <c r="O111" i="90"/>
  <c r="AT49" i="69"/>
  <c r="AP106" i="69"/>
  <c r="W110" i="69"/>
  <c r="P110" i="90"/>
  <c r="AV58" i="69"/>
  <c r="O117" i="90"/>
  <c r="Q72" i="90"/>
  <c r="I104" i="89"/>
  <c r="W60" i="69"/>
  <c r="Q112" i="89"/>
  <c r="S52" i="89"/>
  <c r="I112" i="89"/>
  <c r="H205" i="89"/>
  <c r="AO50" i="69"/>
  <c r="AC105" i="69"/>
  <c r="G153" i="89"/>
  <c r="R55" i="69"/>
  <c r="AP107" i="69"/>
  <c r="AB110" i="89"/>
  <c r="O166" i="68"/>
  <c r="AA94" i="69"/>
  <c r="AD68" i="84"/>
  <c r="H192" i="89"/>
  <c r="AC64" i="69"/>
  <c r="R112" i="89"/>
  <c r="R59" i="69"/>
  <c r="G190" i="89"/>
  <c r="Q103" i="89"/>
  <c r="N117" i="68"/>
  <c r="W104" i="69" s="1"/>
  <c r="BQ102" i="95"/>
  <c r="AO60" i="69"/>
  <c r="R107" i="89"/>
  <c r="O125" i="68"/>
  <c r="AP60" i="69"/>
  <c r="S66" i="89"/>
  <c r="AL190" i="100"/>
  <c r="AO56" i="69"/>
  <c r="X101" i="69"/>
  <c r="AC107" i="69"/>
  <c r="AU54" i="69"/>
  <c r="I197" i="89"/>
  <c r="S110" i="69"/>
  <c r="AC56" i="69"/>
  <c r="S112" i="69"/>
  <c r="N116" i="68"/>
  <c r="P113" i="90"/>
  <c r="X108" i="69"/>
  <c r="P72" i="90"/>
  <c r="BB96" i="95"/>
  <c r="G142" i="89"/>
  <c r="S61" i="69"/>
  <c r="AD64" i="84" s="1"/>
  <c r="AL151" i="100"/>
  <c r="AB116" i="89"/>
  <c r="AW50" i="95"/>
  <c r="AC109" i="69"/>
  <c r="H206" i="89"/>
  <c r="R68" i="89"/>
  <c r="AO49" i="69"/>
  <c r="AC106" i="69"/>
  <c r="I202" i="89"/>
  <c r="AB103" i="89"/>
  <c r="AB112" i="89"/>
  <c r="W105" i="69"/>
  <c r="S60" i="69"/>
  <c r="H199" i="89"/>
  <c r="R51" i="69"/>
  <c r="I152" i="89"/>
  <c r="I102" i="89"/>
  <c r="AC108" i="69"/>
  <c r="AV63" i="69"/>
  <c r="H151" i="89"/>
  <c r="W57" i="69"/>
  <c r="N119" i="68"/>
  <c r="T111" i="89"/>
  <c r="R103" i="95"/>
  <c r="AB114" i="89"/>
  <c r="S69" i="89"/>
  <c r="G195" i="89"/>
  <c r="AV56" i="69"/>
  <c r="AB101" i="89"/>
  <c r="H156" i="89"/>
  <c r="AO59" i="69"/>
  <c r="P116" i="90"/>
  <c r="I155" i="89"/>
  <c r="S68" i="89"/>
  <c r="O118" i="90"/>
  <c r="O116" i="90"/>
  <c r="H158" i="89"/>
  <c r="S58" i="89"/>
  <c r="H193" i="89"/>
  <c r="S57" i="69"/>
  <c r="AS51" i="95"/>
  <c r="P102" i="90"/>
  <c r="BD58" i="95"/>
  <c r="Q106" i="89"/>
  <c r="S64" i="69"/>
  <c r="H196" i="89"/>
  <c r="H190" i="89"/>
  <c r="N155" i="68"/>
  <c r="O113" i="90"/>
  <c r="AL148" i="100"/>
  <c r="X109" i="69"/>
  <c r="Q119" i="90"/>
  <c r="H143" i="89"/>
  <c r="R100" i="89"/>
  <c r="AB79" i="89"/>
  <c r="G206" i="89"/>
  <c r="AB51" i="69"/>
  <c r="O108" i="90"/>
  <c r="AL112" i="100"/>
  <c r="O104" i="90"/>
  <c r="AL191" i="100"/>
  <c r="S65" i="95"/>
  <c r="Q109" i="89"/>
  <c r="P112" i="90"/>
  <c r="P105" i="90"/>
  <c r="AB117" i="89"/>
  <c r="G207" i="89"/>
  <c r="AL160" i="100"/>
  <c r="I161" i="89"/>
  <c r="W51" i="69"/>
  <c r="AB107" i="89"/>
  <c r="X105" i="69"/>
  <c r="AC57" i="69"/>
  <c r="BQ110" i="95"/>
  <c r="BQ107" i="95"/>
  <c r="R56" i="95"/>
  <c r="AP56" i="69"/>
  <c r="AL199" i="100"/>
  <c r="S63" i="89"/>
  <c r="R61" i="95"/>
  <c r="AP111" i="69"/>
  <c r="S109" i="69"/>
  <c r="Q99" i="89"/>
  <c r="AV109" i="69"/>
  <c r="R60" i="95"/>
  <c r="G198" i="89"/>
  <c r="O206" i="68"/>
  <c r="BC50" i="95"/>
  <c r="BC51" i="95" s="1"/>
  <c r="BO95" i="95"/>
  <c r="R58" i="69"/>
  <c r="AD63" i="84"/>
  <c r="P107" i="90"/>
  <c r="R102" i="89"/>
  <c r="G151" i="89"/>
  <c r="O107" i="90"/>
  <c r="G149" i="89"/>
  <c r="O205" i="68"/>
  <c r="X111" i="69"/>
  <c r="AB57" i="69"/>
  <c r="P119" i="90"/>
  <c r="H194" i="89"/>
  <c r="G204" i="89"/>
  <c r="O168" i="68"/>
  <c r="T107" i="89"/>
  <c r="AL201" i="100"/>
  <c r="AK99" i="87"/>
  <c r="W58" i="69"/>
  <c r="R54" i="69"/>
  <c r="O212" i="68"/>
  <c r="AL189" i="100"/>
  <c r="S63" i="69"/>
  <c r="AL206" i="100"/>
  <c r="R60" i="69"/>
  <c r="AU61" i="69"/>
  <c r="I100" i="89"/>
  <c r="AL110" i="100"/>
  <c r="R55" i="95"/>
  <c r="R101" i="89"/>
  <c r="AL114" i="100"/>
  <c r="O116" i="68"/>
  <c r="AW51" i="95"/>
  <c r="S105" i="95"/>
  <c r="W53" i="69"/>
  <c r="O115" i="68"/>
  <c r="Q50" i="95"/>
  <c r="BQ112" i="95"/>
  <c r="BQ111" i="95"/>
  <c r="G161" i="89"/>
  <c r="AB113" i="89"/>
  <c r="AB56" i="69"/>
  <c r="Q95" i="95"/>
  <c r="T64" i="89"/>
  <c r="AO57" i="69"/>
  <c r="BQ105" i="95"/>
  <c r="AN49" i="69"/>
  <c r="AB111" i="89"/>
  <c r="G192" i="89"/>
  <c r="AU55" i="69"/>
  <c r="AL145" i="100"/>
  <c r="H144" i="89"/>
  <c r="AO55" i="69"/>
  <c r="AV105" i="69"/>
  <c r="H197" i="89"/>
  <c r="S107" i="89"/>
  <c r="H159" i="89"/>
  <c r="AC111" i="69"/>
  <c r="T62" i="89"/>
  <c r="AU60" i="69"/>
  <c r="G199" i="89"/>
  <c r="I110" i="89"/>
  <c r="R106" i="69"/>
  <c r="R111" i="89"/>
  <c r="H148" i="89"/>
  <c r="O204" i="68"/>
  <c r="I109" i="89"/>
  <c r="R54" i="95"/>
  <c r="S62" i="95"/>
  <c r="N107" i="68"/>
  <c r="X64" i="69"/>
  <c r="AO52" i="69"/>
  <c r="AB109" i="89"/>
  <c r="AP59" i="69"/>
  <c r="S108" i="69"/>
  <c r="I113" i="89"/>
  <c r="R62" i="95"/>
  <c r="I157" i="89"/>
  <c r="S110" i="95"/>
  <c r="P115" i="90"/>
  <c r="S53" i="89"/>
  <c r="I106" i="89"/>
  <c r="AV60" i="69"/>
  <c r="H195" i="89"/>
  <c r="G203" i="89"/>
  <c r="P111" i="90"/>
  <c r="AL144" i="100"/>
  <c r="R98" i="89"/>
  <c r="Q104" i="89"/>
  <c r="S60" i="89"/>
  <c r="I101" i="89"/>
  <c r="Q105" i="89"/>
  <c r="G150" i="89"/>
  <c r="AL153" i="100"/>
  <c r="R115" i="89"/>
  <c r="AD65" i="84"/>
  <c r="AT116" i="84"/>
  <c r="X103" i="69"/>
  <c r="O101" i="90"/>
  <c r="H200" i="89"/>
  <c r="AV104" i="69"/>
  <c r="AB82" i="89"/>
  <c r="AB93" i="89"/>
  <c r="I99" i="89"/>
  <c r="AB87" i="89"/>
  <c r="AY102" i="95"/>
  <c r="R52" i="95"/>
  <c r="G154" i="89"/>
  <c r="AP58" i="69"/>
  <c r="H189" i="89"/>
  <c r="AU57" i="69"/>
  <c r="AB89" i="89"/>
  <c r="W54" i="69"/>
  <c r="AO58" i="69"/>
  <c r="T66" i="89"/>
  <c r="H150" i="89"/>
  <c r="AV57" i="69"/>
  <c r="I98" i="89"/>
  <c r="S55" i="89"/>
  <c r="T61" i="89"/>
  <c r="AT94" i="69"/>
  <c r="P106" i="90"/>
  <c r="R56" i="69"/>
  <c r="AY58" i="95"/>
  <c r="S108" i="95"/>
  <c r="AD109" i="84"/>
  <c r="S115" i="89"/>
  <c r="P103" i="90"/>
  <c r="R110" i="89"/>
  <c r="Q70" i="90"/>
  <c r="AP61" i="69"/>
  <c r="AD69" i="84"/>
  <c r="AT162" i="84"/>
  <c r="R50" i="69"/>
  <c r="O110" i="90"/>
  <c r="Q71" i="90"/>
  <c r="AP105" i="69"/>
  <c r="AL150" i="100"/>
  <c r="G143" i="89"/>
  <c r="BO57" i="69"/>
  <c r="W64" i="69"/>
  <c r="R57" i="69"/>
  <c r="Q113" i="89"/>
  <c r="H152" i="89"/>
  <c r="AV107" i="69"/>
  <c r="AL152" i="100"/>
  <c r="H207" i="89"/>
  <c r="W56" i="69"/>
  <c r="O103" i="90"/>
  <c r="Q101" i="89"/>
  <c r="H154" i="89"/>
  <c r="AB55" i="69"/>
  <c r="AQ162" i="87"/>
  <c r="G193" i="89"/>
  <c r="H145" i="89"/>
  <c r="AB59" i="69"/>
  <c r="W111" i="69"/>
  <c r="G155" i="89"/>
  <c r="H97" i="89"/>
  <c r="Q115" i="89"/>
  <c r="G160" i="89"/>
  <c r="R58" i="95"/>
  <c r="AL147" i="100"/>
  <c r="G147" i="89"/>
  <c r="BQ113" i="95"/>
  <c r="T110" i="89"/>
  <c r="G197" i="89"/>
  <c r="P108" i="90"/>
  <c r="O115" i="90"/>
  <c r="S64" i="95"/>
  <c r="X63" i="69"/>
  <c r="O171" i="68"/>
  <c r="H161" i="89"/>
  <c r="S59" i="69"/>
  <c r="R108" i="89"/>
  <c r="O207" i="68"/>
  <c r="AB96" i="89"/>
  <c r="S101" i="69"/>
  <c r="AB92" i="89"/>
  <c r="H157" i="89"/>
  <c r="AC110" i="69"/>
  <c r="G157" i="89"/>
  <c r="G201" i="89"/>
  <c r="AU51" i="69"/>
  <c r="AO61" i="69"/>
  <c r="S104" i="95"/>
  <c r="H198" i="89"/>
  <c r="AV111" i="69"/>
  <c r="N108" i="68"/>
  <c r="Q114" i="89"/>
  <c r="R104" i="89"/>
  <c r="O114" i="90"/>
  <c r="Q110" i="89"/>
  <c r="I108" i="89"/>
  <c r="O102" i="90"/>
  <c r="S56" i="89"/>
  <c r="AL108" i="100"/>
  <c r="AP63" i="69"/>
  <c r="R103" i="89"/>
  <c r="H155" i="89"/>
  <c r="AC61" i="69"/>
  <c r="Q111" i="89"/>
  <c r="AW96" i="95"/>
  <c r="S59" i="89"/>
  <c r="T109" i="89"/>
  <c r="R61" i="69"/>
  <c r="BB50" i="95"/>
  <c r="AC60" i="69"/>
  <c r="R51" i="95"/>
  <c r="G202" i="89"/>
  <c r="AB106" i="89"/>
  <c r="G152" i="89"/>
  <c r="Q98" i="89"/>
  <c r="G200" i="89"/>
  <c r="S97" i="89"/>
  <c r="O217" i="68"/>
  <c r="G144" i="89"/>
  <c r="Q102" i="89"/>
  <c r="G148" i="89"/>
  <c r="AU52" i="69"/>
  <c r="T108" i="89"/>
  <c r="AU50" i="69"/>
  <c r="O159" i="68"/>
  <c r="AR95" i="95"/>
  <c r="AB78" i="89"/>
  <c r="AB53" i="69"/>
  <c r="N109" i="68"/>
  <c r="AB58" i="69"/>
  <c r="S59" i="95"/>
  <c r="AB54" i="69"/>
  <c r="T112" i="89"/>
  <c r="AB80" i="89"/>
  <c r="S109" i="95"/>
  <c r="O112" i="90"/>
  <c r="AX51" i="95"/>
  <c r="X104" i="69"/>
  <c r="AP110" i="69"/>
  <c r="X102" i="69"/>
  <c r="R114" i="89"/>
  <c r="AC59" i="69"/>
  <c r="X57" i="69"/>
  <c r="AV106" i="69"/>
  <c r="I114" i="89"/>
  <c r="AB91" i="89"/>
  <c r="G159" i="89"/>
  <c r="W109" i="69"/>
  <c r="G196" i="89"/>
  <c r="T60" i="89"/>
  <c r="G156" i="89"/>
  <c r="G158" i="89"/>
  <c r="AB81" i="89"/>
  <c r="AB88" i="89"/>
  <c r="AP64" i="69"/>
  <c r="I111" i="89"/>
  <c r="AC63" i="69"/>
  <c r="BC95" i="95"/>
  <c r="AT58" i="95"/>
  <c r="AB85" i="89"/>
  <c r="AL187" i="100"/>
  <c r="O214" i="68"/>
  <c r="S113" i="95"/>
  <c r="X112" i="69"/>
  <c r="AB95" i="89"/>
  <c r="AB97" i="89"/>
  <c r="AB94" i="89"/>
  <c r="S103" i="95"/>
  <c r="AB84" i="89"/>
  <c r="BQ103" i="95"/>
  <c r="AB90" i="89"/>
  <c r="AB86" i="89"/>
  <c r="AB83" i="89"/>
  <c r="S102" i="69"/>
  <c r="AX95" i="95"/>
  <c r="R94" i="69"/>
  <c r="W94" i="69"/>
  <c r="R95" i="69"/>
  <c r="R96" i="95"/>
  <c r="BP96" i="95"/>
  <c r="W95" i="69"/>
  <c r="BV205" i="84" l="1"/>
  <c r="BV187" i="84"/>
  <c r="BV159" i="84"/>
  <c r="BV207" i="84"/>
  <c r="BV203" i="84"/>
  <c r="BV206" i="84"/>
  <c r="BV154" i="84"/>
  <c r="BV147" i="84"/>
  <c r="BV192" i="84"/>
  <c r="BV158" i="84"/>
  <c r="BV196" i="84"/>
  <c r="BV153" i="84"/>
  <c r="BV200" i="84"/>
  <c r="BV193" i="84"/>
  <c r="BV208" i="84"/>
  <c r="BV144" i="84"/>
  <c r="BV150" i="84"/>
  <c r="BV199" i="84"/>
  <c r="BV145" i="84"/>
  <c r="BV161" i="84"/>
  <c r="BV190" i="84"/>
  <c r="BV191" i="84"/>
  <c r="BV197" i="84"/>
  <c r="BV201" i="84"/>
  <c r="BV146" i="84"/>
  <c r="BV143" i="84"/>
  <c r="BV148" i="84"/>
  <c r="BV189" i="84"/>
  <c r="BV195" i="84"/>
  <c r="BV202" i="84"/>
  <c r="BV204" i="84"/>
  <c r="BV151" i="84"/>
  <c r="BV160" i="84"/>
  <c r="BV149" i="84"/>
  <c r="BV188" i="84"/>
  <c r="BV157" i="84"/>
  <c r="BV156" i="84"/>
  <c r="BV198" i="84"/>
  <c r="BV194" i="84"/>
  <c r="BV152" i="84"/>
  <c r="BV155" i="84"/>
  <c r="AI95" i="69"/>
  <c r="BE50" i="95"/>
  <c r="BT62" i="90"/>
  <c r="BC70" i="84"/>
  <c r="BK70" i="84" s="1"/>
  <c r="BB70" i="84"/>
  <c r="BJ70" i="84" s="1"/>
  <c r="BE70" i="84"/>
  <c r="BM70" i="84" s="1"/>
  <c r="BD70" i="84"/>
  <c r="BL70" i="84" s="1"/>
  <c r="BR209" i="84"/>
  <c r="BT209" i="84" s="1"/>
  <c r="BN209" i="84" s="1"/>
  <c r="BD209" i="84"/>
  <c r="BL209" i="84" s="1"/>
  <c r="BC209" i="84"/>
  <c r="BK209" i="84" s="1"/>
  <c r="BB209" i="84"/>
  <c r="BJ209" i="84" s="1"/>
  <c r="BE209" i="84"/>
  <c r="BM209" i="84" s="1"/>
  <c r="N111" i="89"/>
  <c r="M115" i="90"/>
  <c r="AI102" i="69"/>
  <c r="O64" i="89"/>
  <c r="AL73" i="90"/>
  <c r="M108" i="90"/>
  <c r="N104" i="89"/>
  <c r="BT73" i="90"/>
  <c r="O61" i="89"/>
  <c r="BT66" i="90"/>
  <c r="AI106" i="69"/>
  <c r="BS56" i="90"/>
  <c r="O66" i="89"/>
  <c r="AJ101" i="69"/>
  <c r="J104" i="89"/>
  <c r="N108" i="90" s="1"/>
  <c r="BT57" i="90"/>
  <c r="AJ103" i="69"/>
  <c r="J106" i="89"/>
  <c r="N110" i="90" s="1"/>
  <c r="AJ102" i="69"/>
  <c r="J105" i="89"/>
  <c r="O105" i="89" s="1"/>
  <c r="T50" i="95"/>
  <c r="T51" i="95" s="1"/>
  <c r="AJ112" i="69"/>
  <c r="J115" i="89"/>
  <c r="O115" i="89" s="1"/>
  <c r="AL71" i="90"/>
  <c r="BT71" i="90"/>
  <c r="AK49" i="69"/>
  <c r="AK50" i="69" s="1"/>
  <c r="O63" i="89"/>
  <c r="BS103" i="90"/>
  <c r="BR103" i="90"/>
  <c r="N110" i="89"/>
  <c r="M114" i="90"/>
  <c r="AL70" i="90"/>
  <c r="AI63" i="84"/>
  <c r="O62" i="89"/>
  <c r="N66" i="90"/>
  <c r="BU66" i="90" s="1"/>
  <c r="BT70" i="90"/>
  <c r="Z117" i="90"/>
  <c r="BU117" i="90" s="1"/>
  <c r="N63" i="90"/>
  <c r="O67" i="89"/>
  <c r="AR196" i="90"/>
  <c r="AO197" i="90"/>
  <c r="AO200" i="90"/>
  <c r="AO211" i="90"/>
  <c r="AP197" i="90"/>
  <c r="AP203" i="90"/>
  <c r="AQ203" i="90"/>
  <c r="AQ196" i="90"/>
  <c r="AQ192" i="90"/>
  <c r="AQ162" i="90"/>
  <c r="AP165" i="90"/>
  <c r="AO164" i="90"/>
  <c r="AR193" i="90"/>
  <c r="AO195" i="90"/>
  <c r="AO204" i="90"/>
  <c r="AO194" i="90"/>
  <c r="AP194" i="90"/>
  <c r="AP199" i="90"/>
  <c r="AQ200" i="90"/>
  <c r="AQ209" i="90"/>
  <c r="AQ193" i="90"/>
  <c r="AQ165" i="90"/>
  <c r="Z118" i="90"/>
  <c r="BU118" i="90" s="1"/>
  <c r="AO207" i="90"/>
  <c r="AO210" i="90"/>
  <c r="AP192" i="90"/>
  <c r="AP198" i="90"/>
  <c r="AP205" i="90"/>
  <c r="AQ194" i="90"/>
  <c r="AQ199" i="90"/>
  <c r="AQ163" i="90"/>
  <c r="AO206" i="90"/>
  <c r="AO203" i="90"/>
  <c r="AP204" i="90"/>
  <c r="AP208" i="90"/>
  <c r="AP207" i="90"/>
  <c r="AQ211" i="90"/>
  <c r="AQ207" i="90"/>
  <c r="AQ210" i="90"/>
  <c r="AR197" i="90"/>
  <c r="AO202" i="90"/>
  <c r="AO208" i="90"/>
  <c r="AO198" i="90"/>
  <c r="AP202" i="90"/>
  <c r="AP200" i="90"/>
  <c r="AP193" i="90"/>
  <c r="AQ204" i="90"/>
  <c r="AQ197" i="90"/>
  <c r="AQ212" i="90"/>
  <c r="AP163" i="90"/>
  <c r="AO165" i="90"/>
  <c r="AR194" i="90"/>
  <c r="AO205" i="90"/>
  <c r="AO201" i="90"/>
  <c r="AO192" i="90"/>
  <c r="AP211" i="90"/>
  <c r="AP195" i="90"/>
  <c r="AP196" i="90"/>
  <c r="AQ195" i="90"/>
  <c r="AQ201" i="90"/>
  <c r="AQ205" i="90"/>
  <c r="AR195" i="90"/>
  <c r="AO212" i="90"/>
  <c r="AO209" i="90"/>
  <c r="AP210" i="90"/>
  <c r="AP201" i="90"/>
  <c r="AQ206" i="90"/>
  <c r="AQ208" i="90"/>
  <c r="AQ164" i="90"/>
  <c r="AO162" i="90"/>
  <c r="AO163" i="90"/>
  <c r="BU69" i="90"/>
  <c r="AR192" i="90"/>
  <c r="AO196" i="90"/>
  <c r="AO199" i="90"/>
  <c r="AO193" i="90"/>
  <c r="AP209" i="90"/>
  <c r="AP212" i="90"/>
  <c r="AP206" i="90"/>
  <c r="AQ202" i="90"/>
  <c r="AQ198" i="90"/>
  <c r="AP164" i="90"/>
  <c r="AP162" i="90"/>
  <c r="L194" i="90"/>
  <c r="BS194" i="90" s="1"/>
  <c r="K162" i="90"/>
  <c r="BR162" i="90" s="1"/>
  <c r="K211" i="90"/>
  <c r="Z211" i="90" s="1"/>
  <c r="K199" i="90"/>
  <c r="BR199" i="90" s="1"/>
  <c r="K207" i="90"/>
  <c r="BR207" i="90" s="1"/>
  <c r="L165" i="90"/>
  <c r="BS165" i="90" s="1"/>
  <c r="L201" i="90"/>
  <c r="BS201" i="90" s="1"/>
  <c r="K200" i="90"/>
  <c r="L198" i="90"/>
  <c r="BS198" i="90" s="1"/>
  <c r="L205" i="90"/>
  <c r="M118" i="90"/>
  <c r="BT118" i="90" s="1"/>
  <c r="K206" i="90"/>
  <c r="BR206" i="90" s="1"/>
  <c r="K208" i="90"/>
  <c r="Z208" i="90" s="1"/>
  <c r="AJ118" i="90"/>
  <c r="AJ117" i="90"/>
  <c r="L212" i="90"/>
  <c r="BS212" i="90" s="1"/>
  <c r="L193" i="90"/>
  <c r="BS193" i="90" s="1"/>
  <c r="L200" i="90"/>
  <c r="BS200" i="90" s="1"/>
  <c r="BT61" i="90"/>
  <c r="K198" i="90"/>
  <c r="Z198" i="90" s="1"/>
  <c r="L211" i="90"/>
  <c r="BS211" i="90" s="1"/>
  <c r="L204" i="90"/>
  <c r="BS204" i="90" s="1"/>
  <c r="K196" i="90"/>
  <c r="Z196" i="90" s="1"/>
  <c r="BU196" i="90" s="1"/>
  <c r="K202" i="90"/>
  <c r="BR202" i="90" s="1"/>
  <c r="L192" i="90"/>
  <c r="L162" i="90"/>
  <c r="BS162" i="90" s="1"/>
  <c r="L203" i="90"/>
  <c r="L197" i="90"/>
  <c r="BS197" i="90" s="1"/>
  <c r="L209" i="90"/>
  <c r="BS209" i="90" s="1"/>
  <c r="M165" i="90"/>
  <c r="BT165" i="90" s="1"/>
  <c r="K197" i="90"/>
  <c r="M201" i="90"/>
  <c r="K212" i="90"/>
  <c r="K164" i="90"/>
  <c r="BR164" i="90" s="1"/>
  <c r="BT63" i="90"/>
  <c r="L199" i="90"/>
  <c r="BS199" i="90" s="1"/>
  <c r="K205" i="90"/>
  <c r="Z205" i="90" s="1"/>
  <c r="L196" i="90"/>
  <c r="BS196" i="90" s="1"/>
  <c r="BT60" i="90"/>
  <c r="K165" i="90"/>
  <c r="BR165" i="90" s="1"/>
  <c r="L163" i="90"/>
  <c r="K194" i="90"/>
  <c r="Z194" i="90" s="1"/>
  <c r="BU194" i="90" s="1"/>
  <c r="BT68" i="90"/>
  <c r="AL55" i="84"/>
  <c r="AH55" i="84"/>
  <c r="M117" i="90"/>
  <c r="BT117" i="90" s="1"/>
  <c r="BT64" i="90"/>
  <c r="L208" i="90"/>
  <c r="BS208" i="90" s="1"/>
  <c r="K210" i="90"/>
  <c r="Z210" i="90" s="1"/>
  <c r="L207" i="90"/>
  <c r="BS207" i="90" s="1"/>
  <c r="L202" i="90"/>
  <c r="BT67" i="90"/>
  <c r="K192" i="90"/>
  <c r="BR192" i="90" s="1"/>
  <c r="K201" i="90"/>
  <c r="BR201" i="90" s="1"/>
  <c r="K209" i="90"/>
  <c r="Z209" i="90" s="1"/>
  <c r="M206" i="90"/>
  <c r="BT206" i="90" s="1"/>
  <c r="AK118" i="90"/>
  <c r="L210" i="90"/>
  <c r="BS210" i="90" s="1"/>
  <c r="K163" i="90"/>
  <c r="BR163" i="90" s="1"/>
  <c r="K195" i="90"/>
  <c r="BR195" i="90" s="1"/>
  <c r="K204" i="90"/>
  <c r="Z204" i="90" s="1"/>
  <c r="L195" i="90"/>
  <c r="K203" i="90"/>
  <c r="Z203" i="90" s="1"/>
  <c r="BT65" i="90"/>
  <c r="BT58" i="90"/>
  <c r="AK119" i="90"/>
  <c r="BU68" i="90"/>
  <c r="BU71" i="90"/>
  <c r="BU70" i="90"/>
  <c r="BT72" i="90"/>
  <c r="AL72" i="90"/>
  <c r="AK117" i="90"/>
  <c r="BU65" i="90"/>
  <c r="BS72" i="90"/>
  <c r="AK72" i="90"/>
  <c r="O60" i="89"/>
  <c r="AJ119" i="90"/>
  <c r="BS118" i="90"/>
  <c r="Z119" i="90"/>
  <c r="AL119" i="90"/>
  <c r="AR204" i="90"/>
  <c r="AR165" i="90"/>
  <c r="AR162" i="90"/>
  <c r="AR199" i="90"/>
  <c r="AR201" i="90"/>
  <c r="AR209" i="90"/>
  <c r="AR163" i="90"/>
  <c r="AR211" i="90"/>
  <c r="AR203" i="90"/>
  <c r="BU67" i="90"/>
  <c r="BU64" i="90"/>
  <c r="AR212" i="90"/>
  <c r="AR210" i="90"/>
  <c r="AR198" i="90"/>
  <c r="AR207" i="90"/>
  <c r="AR208" i="90"/>
  <c r="AR205" i="90"/>
  <c r="AR206" i="90"/>
  <c r="AR200" i="90"/>
  <c r="AR202" i="90"/>
  <c r="AR164" i="90"/>
  <c r="N106" i="89"/>
  <c r="M110" i="90"/>
  <c r="N103" i="89"/>
  <c r="M107" i="90"/>
  <c r="AI103" i="69"/>
  <c r="AI65" i="84"/>
  <c r="AI64" i="84"/>
  <c r="N114" i="89"/>
  <c r="N113" i="89"/>
  <c r="M105" i="90"/>
  <c r="N101" i="89"/>
  <c r="AD49" i="69"/>
  <c r="BL49" i="69" s="1"/>
  <c r="AW49" i="69"/>
  <c r="EI4" i="75" s="1"/>
  <c r="AQ49" i="69"/>
  <c r="DN4" i="75" s="1"/>
  <c r="AI94" i="69"/>
  <c r="AK94" i="69" s="1"/>
  <c r="I4" i="75" s="1"/>
  <c r="N100" i="89"/>
  <c r="M104" i="90"/>
  <c r="AI97" i="69"/>
  <c r="AI69" i="84"/>
  <c r="AI68" i="84"/>
  <c r="AI101" i="69"/>
  <c r="AI105" i="69"/>
  <c r="AI96" i="69"/>
  <c r="N108" i="89"/>
  <c r="M112" i="90"/>
  <c r="M106" i="90"/>
  <c r="N102" i="89"/>
  <c r="N112" i="89"/>
  <c r="M116" i="90"/>
  <c r="BT116" i="90" s="1"/>
  <c r="AI99" i="69"/>
  <c r="M109" i="90"/>
  <c r="BT109" i="90" s="1"/>
  <c r="N105" i="89"/>
  <c r="M103" i="90"/>
  <c r="N99" i="89"/>
  <c r="AR70" i="84"/>
  <c r="AI98" i="69"/>
  <c r="M97" i="89"/>
  <c r="L101" i="90"/>
  <c r="AI100" i="69"/>
  <c r="AI109" i="84"/>
  <c r="BT56" i="90"/>
  <c r="AR209" i="84"/>
  <c r="BR70" i="84"/>
  <c r="BT70" i="84" s="1"/>
  <c r="BN70" i="84" s="1"/>
  <c r="M113" i="90"/>
  <c r="BT113" i="90" s="1"/>
  <c r="N109" i="89"/>
  <c r="AI104" i="69"/>
  <c r="M102" i="90"/>
  <c r="BT102" i="90" s="1"/>
  <c r="N98" i="89"/>
  <c r="AJ99" i="94"/>
  <c r="AJ99" i="87"/>
  <c r="L473" i="91"/>
  <c r="N420" i="91"/>
  <c r="L461" i="91"/>
  <c r="M477" i="91"/>
  <c r="L490" i="91"/>
  <c r="M472" i="91"/>
  <c r="L492" i="91"/>
  <c r="N442" i="91"/>
  <c r="N440" i="91"/>
  <c r="N421" i="91"/>
  <c r="N441" i="91"/>
  <c r="M470" i="91"/>
  <c r="N416" i="91"/>
  <c r="L463" i="91"/>
  <c r="N433" i="91"/>
  <c r="M457" i="91"/>
  <c r="M460" i="91"/>
  <c r="L474" i="91"/>
  <c r="M474" i="91"/>
  <c r="L483" i="91"/>
  <c r="M471" i="91"/>
  <c r="N431" i="91"/>
  <c r="M448" i="91"/>
  <c r="L472" i="91"/>
  <c r="M459" i="91"/>
  <c r="N439" i="91"/>
  <c r="L465" i="91"/>
  <c r="M475" i="91"/>
  <c r="M467" i="91"/>
  <c r="N427" i="91"/>
  <c r="M476" i="91"/>
  <c r="L487" i="91"/>
  <c r="L471" i="91"/>
  <c r="N430" i="91"/>
  <c r="M466" i="91"/>
  <c r="L480" i="91"/>
  <c r="N417" i="91"/>
  <c r="N432" i="91"/>
  <c r="L462" i="91"/>
  <c r="N437" i="91"/>
  <c r="L485" i="91"/>
  <c r="M453" i="91"/>
  <c r="M469" i="91"/>
  <c r="M465" i="91"/>
  <c r="M452" i="91"/>
  <c r="N429" i="91"/>
  <c r="M449" i="91"/>
  <c r="L479" i="91"/>
  <c r="M468" i="91"/>
  <c r="M450" i="91"/>
  <c r="N423" i="91"/>
  <c r="L468" i="91"/>
  <c r="L464" i="91"/>
  <c r="M473" i="91"/>
  <c r="M454" i="91"/>
  <c r="N424" i="91"/>
  <c r="L484" i="91"/>
  <c r="M462" i="91"/>
  <c r="L475" i="91"/>
  <c r="M463" i="91"/>
  <c r="N422" i="91"/>
  <c r="L469" i="91"/>
  <c r="L470" i="91"/>
  <c r="L466" i="91"/>
  <c r="L488" i="91"/>
  <c r="L486" i="91"/>
  <c r="N435" i="91"/>
  <c r="M464" i="91"/>
  <c r="N425" i="91"/>
  <c r="M445" i="91"/>
  <c r="N426" i="91"/>
  <c r="L478" i="91"/>
  <c r="M458" i="91"/>
  <c r="M461" i="91"/>
  <c r="N418" i="91"/>
  <c r="L491" i="91"/>
  <c r="M455" i="91"/>
  <c r="L481" i="91"/>
  <c r="L467" i="91"/>
  <c r="L476" i="91"/>
  <c r="M456" i="91"/>
  <c r="N436" i="91"/>
  <c r="L489" i="91"/>
  <c r="N434" i="91"/>
  <c r="N428" i="91"/>
  <c r="N419" i="91"/>
  <c r="L477" i="91"/>
  <c r="M446" i="91"/>
  <c r="M478" i="91"/>
  <c r="N438" i="91"/>
  <c r="M447" i="91"/>
  <c r="M451" i="91"/>
  <c r="L482" i="91"/>
  <c r="BK159" i="69"/>
  <c r="BA162" i="84"/>
  <c r="BK113" i="69"/>
  <c r="BA116" i="84"/>
  <c r="AJ194" i="69"/>
  <c r="J197" i="89"/>
  <c r="N201" i="90" s="1"/>
  <c r="J207" i="89"/>
  <c r="N211" i="90" s="1"/>
  <c r="AJ204" i="69"/>
  <c r="J208" i="89"/>
  <c r="N212" i="90" s="1"/>
  <c r="AJ205" i="69"/>
  <c r="AJ193" i="69"/>
  <c r="J196" i="89"/>
  <c r="N200" i="90" s="1"/>
  <c r="J198" i="89"/>
  <c r="N202" i="90" s="1"/>
  <c r="AJ195" i="69"/>
  <c r="J195" i="89"/>
  <c r="N199" i="90" s="1"/>
  <c r="AJ192" i="69"/>
  <c r="J205" i="89"/>
  <c r="N209" i="90" s="1"/>
  <c r="AJ202" i="69"/>
  <c r="J194" i="89"/>
  <c r="N198" i="90" s="1"/>
  <c r="AJ191" i="69"/>
  <c r="J204" i="89"/>
  <c r="N208" i="90" s="1"/>
  <c r="AJ201" i="69"/>
  <c r="AJ199" i="69"/>
  <c r="J202" i="89"/>
  <c r="N206" i="90" s="1"/>
  <c r="L198" i="89"/>
  <c r="L201" i="89"/>
  <c r="L192" i="89"/>
  <c r="L193" i="89"/>
  <c r="L191" i="89"/>
  <c r="L202" i="89"/>
  <c r="L197" i="89"/>
  <c r="L195" i="89"/>
  <c r="L196" i="89"/>
  <c r="L200" i="89"/>
  <c r="L199" i="89"/>
  <c r="L194" i="89"/>
  <c r="L188" i="89"/>
  <c r="L187" i="89"/>
  <c r="K191" i="90"/>
  <c r="L190" i="89"/>
  <c r="M188" i="89"/>
  <c r="M200" i="89"/>
  <c r="M198" i="89"/>
  <c r="M207" i="89"/>
  <c r="M206" i="89"/>
  <c r="M205" i="89"/>
  <c r="M193" i="89"/>
  <c r="M190" i="89"/>
  <c r="M194" i="89"/>
  <c r="M204" i="89"/>
  <c r="M196" i="89"/>
  <c r="M191" i="89"/>
  <c r="M197" i="89"/>
  <c r="M208" i="89"/>
  <c r="M199" i="89"/>
  <c r="M195" i="89"/>
  <c r="M201" i="89"/>
  <c r="M203" i="89"/>
  <c r="M189" i="89"/>
  <c r="M192" i="89"/>
  <c r="M187" i="89"/>
  <c r="L191" i="90"/>
  <c r="N202" i="89"/>
  <c r="N197" i="89"/>
  <c r="N161" i="89"/>
  <c r="N152" i="89"/>
  <c r="M156" i="90"/>
  <c r="N155" i="89"/>
  <c r="M159" i="90"/>
  <c r="BT159" i="90" s="1"/>
  <c r="AI142" i="69"/>
  <c r="N157" i="89"/>
  <c r="M161" i="90"/>
  <c r="BT161" i="90" s="1"/>
  <c r="M153" i="89"/>
  <c r="L157" i="90"/>
  <c r="BS157" i="90" s="1"/>
  <c r="L146" i="90"/>
  <c r="M142" i="89"/>
  <c r="M155" i="89"/>
  <c r="L159" i="90"/>
  <c r="BS159" i="90" s="1"/>
  <c r="M144" i="89"/>
  <c r="L148" i="90"/>
  <c r="BS148" i="90" s="1"/>
  <c r="M147" i="89"/>
  <c r="L151" i="90"/>
  <c r="BS151" i="90" s="1"/>
  <c r="L160" i="90"/>
  <c r="BS160" i="90" s="1"/>
  <c r="M156" i="89"/>
  <c r="L150" i="90"/>
  <c r="BS150" i="90" s="1"/>
  <c r="M146" i="89"/>
  <c r="L154" i="90"/>
  <c r="BS154" i="90" s="1"/>
  <c r="M150" i="89"/>
  <c r="L158" i="90"/>
  <c r="BS158" i="90" s="1"/>
  <c r="M154" i="89"/>
  <c r="L152" i="90"/>
  <c r="BS152" i="90" s="1"/>
  <c r="M148" i="89"/>
  <c r="L155" i="90"/>
  <c r="BS155" i="90" s="1"/>
  <c r="M151" i="89"/>
  <c r="M145" i="89"/>
  <c r="L149" i="90"/>
  <c r="BS149" i="90" s="1"/>
  <c r="M143" i="89"/>
  <c r="L147" i="90"/>
  <c r="BS147" i="90" s="1"/>
  <c r="M159" i="89"/>
  <c r="L156" i="90"/>
  <c r="BS156" i="90" s="1"/>
  <c r="M152" i="89"/>
  <c r="L161" i="90"/>
  <c r="BS161" i="90" s="1"/>
  <c r="M157" i="89"/>
  <c r="M158" i="89"/>
  <c r="M161" i="89"/>
  <c r="M149" i="89"/>
  <c r="L153" i="90"/>
  <c r="BS153" i="90" s="1"/>
  <c r="L156" i="89"/>
  <c r="K160" i="90"/>
  <c r="BR160" i="90" s="1"/>
  <c r="L152" i="89"/>
  <c r="K156" i="90"/>
  <c r="BR156" i="90" s="1"/>
  <c r="K148" i="90"/>
  <c r="BR148" i="90" s="1"/>
  <c r="L144" i="89"/>
  <c r="K155" i="90"/>
  <c r="BR155" i="90" s="1"/>
  <c r="L151" i="89"/>
  <c r="L148" i="89"/>
  <c r="K152" i="90"/>
  <c r="BR152" i="90" s="1"/>
  <c r="L147" i="89"/>
  <c r="K151" i="90"/>
  <c r="BR151" i="90" s="1"/>
  <c r="K146" i="90"/>
  <c r="L142" i="89"/>
  <c r="K149" i="90"/>
  <c r="BR149" i="90" s="1"/>
  <c r="L145" i="89"/>
  <c r="K158" i="90"/>
  <c r="BR158" i="90" s="1"/>
  <c r="L154" i="89"/>
  <c r="L143" i="89"/>
  <c r="K147" i="90"/>
  <c r="BR147" i="90" s="1"/>
  <c r="L150" i="89"/>
  <c r="K154" i="90"/>
  <c r="BR154" i="90" s="1"/>
  <c r="L149" i="89"/>
  <c r="K153" i="90"/>
  <c r="BR153" i="90" s="1"/>
  <c r="L153" i="89"/>
  <c r="K157" i="90"/>
  <c r="BR157" i="90" s="1"/>
  <c r="L146" i="89"/>
  <c r="K150" i="90"/>
  <c r="BR150" i="90" s="1"/>
  <c r="L157" i="89"/>
  <c r="K161" i="90"/>
  <c r="BR161" i="90" s="1"/>
  <c r="L155" i="89"/>
  <c r="K159" i="90"/>
  <c r="BR159" i="90" s="1"/>
  <c r="J155" i="89"/>
  <c r="AJ152" i="69"/>
  <c r="J156" i="89"/>
  <c r="AJ153" i="69"/>
  <c r="J161" i="89"/>
  <c r="N165" i="90" s="1"/>
  <c r="AJ158" i="69"/>
  <c r="J157" i="89"/>
  <c r="AJ154" i="69"/>
  <c r="J149" i="89"/>
  <c r="AJ146" i="69"/>
  <c r="E98" i="91"/>
  <c r="CG99" i="84"/>
  <c r="BZ99" i="84"/>
  <c r="CB111" i="84"/>
  <c r="G110" i="91"/>
  <c r="CI111" i="84"/>
  <c r="BX95" i="84"/>
  <c r="CE95" i="84"/>
  <c r="C94" i="91"/>
  <c r="BY97" i="84"/>
  <c r="D96" i="91"/>
  <c r="CF97" i="84"/>
  <c r="CH103" i="84"/>
  <c r="F102" i="91"/>
  <c r="CA103" i="84"/>
  <c r="O113" i="89"/>
  <c r="BQ207" i="84"/>
  <c r="BQ208" i="84"/>
  <c r="AR191" i="90"/>
  <c r="BQ187" i="84"/>
  <c r="BQ193" i="84"/>
  <c r="BQ191" i="84"/>
  <c r="BQ188" i="84"/>
  <c r="BQ192" i="84"/>
  <c r="BQ206" i="84"/>
  <c r="BQ205" i="84"/>
  <c r="BQ189" i="84"/>
  <c r="BQ204" i="84"/>
  <c r="BQ190" i="84"/>
  <c r="L208" i="89"/>
  <c r="L203" i="89"/>
  <c r="L204" i="89"/>
  <c r="L205" i="89"/>
  <c r="L206" i="89"/>
  <c r="AO191" i="90"/>
  <c r="L207" i="89"/>
  <c r="BO188" i="84"/>
  <c r="BO200" i="84"/>
  <c r="BO198" i="84"/>
  <c r="BO207" i="84"/>
  <c r="BO206" i="84"/>
  <c r="BO205" i="84"/>
  <c r="BO193" i="84"/>
  <c r="BO190" i="84"/>
  <c r="BO194" i="84"/>
  <c r="BO204" i="84"/>
  <c r="BO196" i="84"/>
  <c r="BO191" i="84"/>
  <c r="BO197" i="84"/>
  <c r="BO208" i="84"/>
  <c r="BO199" i="84"/>
  <c r="BO195" i="84"/>
  <c r="BO201" i="84"/>
  <c r="BO203" i="84"/>
  <c r="BO189" i="84"/>
  <c r="BO192" i="84"/>
  <c r="AP191" i="90"/>
  <c r="BO187" i="84"/>
  <c r="BO202" i="84"/>
  <c r="AQ191" i="90"/>
  <c r="BP207" i="84"/>
  <c r="BP200" i="84"/>
  <c r="BP202" i="84"/>
  <c r="BP205" i="84"/>
  <c r="BP203" i="84"/>
  <c r="BP204" i="84"/>
  <c r="BP206" i="84"/>
  <c r="BP208" i="84"/>
  <c r="BP201" i="84"/>
  <c r="AQ155" i="90"/>
  <c r="AQ146" i="90"/>
  <c r="BV142" i="84"/>
  <c r="AQ152" i="90"/>
  <c r="BP161" i="84"/>
  <c r="AQ160" i="90"/>
  <c r="BP156" i="84"/>
  <c r="AQ158" i="90"/>
  <c r="AQ148" i="90"/>
  <c r="AQ150" i="90"/>
  <c r="BP160" i="84"/>
  <c r="AQ156" i="90"/>
  <c r="BP158" i="84"/>
  <c r="AQ157" i="90"/>
  <c r="BP159" i="84"/>
  <c r="AQ151" i="90"/>
  <c r="AQ154" i="90"/>
  <c r="AQ147" i="90"/>
  <c r="AQ153" i="90"/>
  <c r="AQ159" i="90"/>
  <c r="BP155" i="84"/>
  <c r="AQ149" i="90"/>
  <c r="BP157" i="84"/>
  <c r="AQ161" i="90"/>
  <c r="BO153" i="84"/>
  <c r="AP157" i="90"/>
  <c r="AP146" i="90"/>
  <c r="BO142" i="84"/>
  <c r="AP159" i="90"/>
  <c r="BO155" i="84"/>
  <c r="BO144" i="84"/>
  <c r="AP148" i="90"/>
  <c r="AP151" i="90"/>
  <c r="BO147" i="84"/>
  <c r="BO156" i="84"/>
  <c r="AP160" i="90"/>
  <c r="AP150" i="90"/>
  <c r="BO146" i="84"/>
  <c r="BO150" i="84"/>
  <c r="AP154" i="90"/>
  <c r="BO154" i="84"/>
  <c r="AP158" i="90"/>
  <c r="BO160" i="84"/>
  <c r="BO148" i="84"/>
  <c r="AP152" i="90"/>
  <c r="AP155" i="90"/>
  <c r="BO151" i="84"/>
  <c r="AP149" i="90"/>
  <c r="BO145" i="84"/>
  <c r="BO143" i="84"/>
  <c r="AP147" i="90"/>
  <c r="BO159" i="84"/>
  <c r="AP156" i="90"/>
  <c r="BO152" i="84"/>
  <c r="AP161" i="90"/>
  <c r="BO157" i="84"/>
  <c r="BO158" i="84"/>
  <c r="BO161" i="84"/>
  <c r="BO149" i="84"/>
  <c r="AP153" i="90"/>
  <c r="AO160" i="90"/>
  <c r="AO156" i="90"/>
  <c r="L161" i="89"/>
  <c r="AO148" i="90"/>
  <c r="L158" i="89"/>
  <c r="AO155" i="90"/>
  <c r="L160" i="89"/>
  <c r="AO152" i="90"/>
  <c r="AO151" i="90"/>
  <c r="AO146" i="90"/>
  <c r="AO149" i="90"/>
  <c r="AO158" i="90"/>
  <c r="L159" i="89"/>
  <c r="AO147" i="90"/>
  <c r="AO154" i="90"/>
  <c r="AO153" i="90"/>
  <c r="AO157" i="90"/>
  <c r="AO150" i="90"/>
  <c r="AO161" i="90"/>
  <c r="AO159" i="90"/>
  <c r="AR150" i="90"/>
  <c r="BQ146" i="84"/>
  <c r="AR154" i="90"/>
  <c r="BQ159" i="84"/>
  <c r="AR149" i="90"/>
  <c r="BQ145" i="84"/>
  <c r="AR159" i="90"/>
  <c r="AR160" i="90"/>
  <c r="AR146" i="90"/>
  <c r="BQ142" i="84"/>
  <c r="BQ160" i="84"/>
  <c r="BQ161" i="84"/>
  <c r="AR155" i="90"/>
  <c r="AR157" i="90"/>
  <c r="AR156" i="90"/>
  <c r="BQ147" i="84"/>
  <c r="AR151" i="90"/>
  <c r="AR158" i="90"/>
  <c r="BQ148" i="84"/>
  <c r="AR152" i="90"/>
  <c r="BQ144" i="84"/>
  <c r="AR148" i="90"/>
  <c r="AJ155" i="69"/>
  <c r="J158" i="89"/>
  <c r="N162" i="90" s="1"/>
  <c r="AR147" i="90"/>
  <c r="BQ143" i="84"/>
  <c r="AR161" i="90"/>
  <c r="AR153" i="90"/>
  <c r="Z113" i="90"/>
  <c r="AJ113" i="90"/>
  <c r="Z103" i="90"/>
  <c r="BU103" i="90" s="1"/>
  <c r="AJ103" i="90"/>
  <c r="Z116" i="90"/>
  <c r="AJ116" i="90"/>
  <c r="Z107" i="90"/>
  <c r="BU107" i="90" s="1"/>
  <c r="AJ107" i="90"/>
  <c r="Z109" i="90"/>
  <c r="AJ109" i="90"/>
  <c r="Z106" i="90"/>
  <c r="BU106" i="90" s="1"/>
  <c r="AJ106" i="90"/>
  <c r="Z104" i="90"/>
  <c r="BU104" i="90" s="1"/>
  <c r="AJ104" i="90"/>
  <c r="AJ112" i="90"/>
  <c r="Z112" i="90"/>
  <c r="AJ101" i="90"/>
  <c r="Z101" i="90"/>
  <c r="BU101" i="90" s="1"/>
  <c r="BR101" i="90"/>
  <c r="AJ111" i="90"/>
  <c r="Z111" i="90"/>
  <c r="AJ115" i="90"/>
  <c r="Z115" i="90"/>
  <c r="Z110" i="90"/>
  <c r="AJ110" i="90"/>
  <c r="Z105" i="90"/>
  <c r="BU105" i="90" s="1"/>
  <c r="AJ105" i="90"/>
  <c r="AJ114" i="90"/>
  <c r="Z114" i="90"/>
  <c r="Z108" i="90"/>
  <c r="AJ108" i="90"/>
  <c r="AJ102" i="90"/>
  <c r="Z102" i="90"/>
  <c r="BU102" i="90" s="1"/>
  <c r="AK102" i="90"/>
  <c r="AK114" i="90"/>
  <c r="AK103" i="90"/>
  <c r="AK111" i="90"/>
  <c r="AK106" i="90"/>
  <c r="AK107" i="90"/>
  <c r="AK108" i="90"/>
  <c r="AK109" i="90"/>
  <c r="AK116" i="90"/>
  <c r="AK115" i="90"/>
  <c r="AK113" i="90"/>
  <c r="AK105" i="90"/>
  <c r="AK104" i="90"/>
  <c r="AK112" i="90"/>
  <c r="AK110" i="90"/>
  <c r="BT101" i="90"/>
  <c r="O114" i="89"/>
  <c r="O108" i="89"/>
  <c r="N112" i="90"/>
  <c r="O111" i="89"/>
  <c r="N115" i="90"/>
  <c r="O107" i="89"/>
  <c r="N111" i="90"/>
  <c r="O110" i="89"/>
  <c r="N114" i="90"/>
  <c r="N116" i="90"/>
  <c r="O112" i="89"/>
  <c r="N113" i="90"/>
  <c r="O109" i="89"/>
  <c r="W96" i="69"/>
  <c r="W99" i="69"/>
  <c r="P148" i="90"/>
  <c r="O192" i="90"/>
  <c r="R73" i="90"/>
  <c r="AC154" i="69"/>
  <c r="O200" i="90"/>
  <c r="R155" i="89"/>
  <c r="S195" i="69"/>
  <c r="AC153" i="69"/>
  <c r="R151" i="89"/>
  <c r="X11" i="95"/>
  <c r="AB101" i="69"/>
  <c r="S99" i="89"/>
  <c r="AP153" i="69"/>
  <c r="O199" i="90"/>
  <c r="AB94" i="69"/>
  <c r="S103" i="69"/>
  <c r="AL194" i="100"/>
  <c r="W103" i="69"/>
  <c r="AO100" i="69"/>
  <c r="R206" i="89"/>
  <c r="Q205" i="89"/>
  <c r="BD103" i="95"/>
  <c r="AP199" i="69"/>
  <c r="Q199" i="89"/>
  <c r="T196" i="89"/>
  <c r="AC101" i="69"/>
  <c r="I206" i="89"/>
  <c r="DU8" i="75"/>
  <c r="AC59" i="84"/>
  <c r="R103" i="69"/>
  <c r="R142" i="89"/>
  <c r="O157" i="90"/>
  <c r="AO94" i="69"/>
  <c r="Q159" i="89"/>
  <c r="O170" i="68"/>
  <c r="S101" i="89"/>
  <c r="AL155" i="100"/>
  <c r="R101" i="95"/>
  <c r="T105" i="89"/>
  <c r="S155" i="95"/>
  <c r="S11" i="75"/>
  <c r="W202" i="69"/>
  <c r="S12" i="75"/>
  <c r="X194" i="69"/>
  <c r="AW52" i="95"/>
  <c r="AO104" i="69"/>
  <c r="I187" i="89"/>
  <c r="S196" i="95"/>
  <c r="Q161" i="90"/>
  <c r="AU106" i="69"/>
  <c r="AV152" i="69"/>
  <c r="AD67" i="84"/>
  <c r="AC155" i="69"/>
  <c r="R148" i="89"/>
  <c r="P198" i="90"/>
  <c r="BP97" i="95"/>
  <c r="AD112" i="84"/>
  <c r="AB106" i="69"/>
  <c r="I190" i="89"/>
  <c r="O164" i="68"/>
  <c r="R68" i="90"/>
  <c r="X193" i="69"/>
  <c r="AB102" i="69"/>
  <c r="AO102" i="69"/>
  <c r="Q116" i="90"/>
  <c r="O211" i="90"/>
  <c r="AC204" i="69"/>
  <c r="AC64" i="84"/>
  <c r="AD113" i="84"/>
  <c r="Q161" i="89"/>
  <c r="N161" i="68"/>
  <c r="BP107" i="95"/>
  <c r="S193" i="95"/>
  <c r="N164" i="68"/>
  <c r="S159" i="95"/>
  <c r="I207" i="89"/>
  <c r="AL207" i="100"/>
  <c r="AB105" i="69"/>
  <c r="X5" i="95"/>
  <c r="P204" i="90"/>
  <c r="AP155" i="69"/>
  <c r="R97" i="69"/>
  <c r="Q207" i="89"/>
  <c r="BB97" i="95"/>
  <c r="AL208" i="100"/>
  <c r="AV154" i="69"/>
  <c r="N200" i="68"/>
  <c r="AU95" i="69"/>
  <c r="AD59" i="84"/>
  <c r="X15" i="95"/>
  <c r="AC191" i="69"/>
  <c r="P153" i="90"/>
  <c r="AB100" i="69"/>
  <c r="S114" i="89"/>
  <c r="T115" i="89"/>
  <c r="X16" i="95"/>
  <c r="I203" i="89"/>
  <c r="R189" i="89"/>
  <c r="I144" i="89"/>
  <c r="S205" i="95"/>
  <c r="O196" i="90"/>
  <c r="S158" i="69"/>
  <c r="BP102" i="95"/>
  <c r="BP106" i="95"/>
  <c r="AD66" i="84"/>
  <c r="O209" i="68"/>
  <c r="W152" i="69"/>
  <c r="AG50" i="95"/>
  <c r="R196" i="89"/>
  <c r="R106" i="95"/>
  <c r="AP112" i="69"/>
  <c r="O149" i="90"/>
  <c r="P201" i="90"/>
  <c r="W112" i="69"/>
  <c r="AU101" i="69"/>
  <c r="AB52" i="84"/>
  <c r="X205" i="69"/>
  <c r="N205" i="68"/>
  <c r="R113" i="90"/>
  <c r="R143" i="95"/>
  <c r="AC146" i="69"/>
  <c r="AX52" i="95"/>
  <c r="W204" i="69"/>
  <c r="AC58" i="84"/>
  <c r="X199" i="69"/>
  <c r="O206" i="90"/>
  <c r="R200" i="89"/>
  <c r="T198" i="89"/>
  <c r="S7" i="75"/>
  <c r="O212" i="90"/>
  <c r="W101" i="69"/>
  <c r="R208" i="89"/>
  <c r="S155" i="89"/>
  <c r="S109" i="89"/>
  <c r="AC199" i="69"/>
  <c r="AT59" i="95"/>
  <c r="X7" i="95"/>
  <c r="S204" i="69"/>
  <c r="X9" i="95"/>
  <c r="BP98" i="95"/>
  <c r="BC96" i="95"/>
  <c r="S203" i="95"/>
  <c r="AU103" i="69"/>
  <c r="DU6" i="75"/>
  <c r="AU105" i="69"/>
  <c r="Q152" i="89"/>
  <c r="P152" i="90"/>
  <c r="I194" i="89"/>
  <c r="Q194" i="89"/>
  <c r="AC62" i="84"/>
  <c r="Q148" i="89"/>
  <c r="X14" i="95"/>
  <c r="T161" i="89"/>
  <c r="S103" i="89"/>
  <c r="AD107" i="84"/>
  <c r="X20" i="95"/>
  <c r="Q206" i="90"/>
  <c r="I145" i="89"/>
  <c r="I196" i="89"/>
  <c r="T202" i="89"/>
  <c r="S153" i="95"/>
  <c r="AC57" i="84"/>
  <c r="S152" i="89"/>
  <c r="O204" i="90"/>
  <c r="X146" i="69"/>
  <c r="X8" i="95"/>
  <c r="N159" i="68"/>
  <c r="T207" i="89"/>
  <c r="S110" i="89"/>
  <c r="AK100" i="94"/>
  <c r="N156" i="68"/>
  <c r="AS52" i="95"/>
  <c r="H160" i="89"/>
  <c r="AO97" i="69"/>
  <c r="AU96" i="69"/>
  <c r="O152" i="90"/>
  <c r="R191" i="89"/>
  <c r="W98" i="69"/>
  <c r="W155" i="69"/>
  <c r="R107" i="95"/>
  <c r="N197" i="68"/>
  <c r="AC205" i="69"/>
  <c r="AX96" i="95"/>
  <c r="AB98" i="69"/>
  <c r="X12" i="95"/>
  <c r="AL205" i="100"/>
  <c r="AC152" i="69"/>
  <c r="R193" i="89"/>
  <c r="Q206" i="89"/>
  <c r="P147" i="90"/>
  <c r="AB97" i="84"/>
  <c r="P211" i="90"/>
  <c r="Q115" i="90"/>
  <c r="S102" i="89"/>
  <c r="O160" i="90"/>
  <c r="AV199" i="69"/>
  <c r="W154" i="69"/>
  <c r="X191" i="69"/>
  <c r="P146" i="90"/>
  <c r="I201" i="89"/>
  <c r="AV193" i="69"/>
  <c r="DU5" i="75"/>
  <c r="R192" i="89"/>
  <c r="W102" i="69"/>
  <c r="AC105" i="84" s="1"/>
  <c r="N162" i="68"/>
  <c r="X202" i="69"/>
  <c r="N157" i="68"/>
  <c r="AB104" i="69"/>
  <c r="O155" i="90"/>
  <c r="I153" i="89"/>
  <c r="O207" i="90"/>
  <c r="AT102" i="95"/>
  <c r="T104" i="89"/>
  <c r="AS95" i="95"/>
  <c r="P165" i="90"/>
  <c r="BP104" i="95"/>
  <c r="AC56" i="84"/>
  <c r="R152" i="89"/>
  <c r="AB142" i="69"/>
  <c r="I188" i="89"/>
  <c r="O213" i="68"/>
  <c r="X200" i="69" s="1"/>
  <c r="O156" i="90"/>
  <c r="BB49" i="69"/>
  <c r="O198" i="90"/>
  <c r="X195" i="69"/>
  <c r="P158" i="90"/>
  <c r="S191" i="69"/>
  <c r="R150" i="89"/>
  <c r="BP101" i="95"/>
  <c r="Q202" i="89"/>
  <c r="I205" i="89"/>
  <c r="S6" i="75"/>
  <c r="BP100" i="95"/>
  <c r="R63" i="90"/>
  <c r="S8" i="75"/>
  <c r="R102" i="95"/>
  <c r="O210" i="90"/>
  <c r="AD61" i="84"/>
  <c r="S113" i="89"/>
  <c r="Q200" i="89"/>
  <c r="I191" i="89"/>
  <c r="X18" i="95"/>
  <c r="Q144" i="89"/>
  <c r="Q188" i="89"/>
  <c r="O161" i="90"/>
  <c r="S205" i="69"/>
  <c r="I189" i="89"/>
  <c r="AU100" i="69"/>
  <c r="N208" i="68"/>
  <c r="AO106" i="69"/>
  <c r="S192" i="69"/>
  <c r="S111" i="89"/>
  <c r="O80" i="68"/>
  <c r="I195" i="89"/>
  <c r="AL204" i="100"/>
  <c r="S9" i="75"/>
  <c r="R69" i="90"/>
  <c r="S112" i="89"/>
  <c r="R158" i="89"/>
  <c r="R142" i="69"/>
  <c r="S105" i="89"/>
  <c r="AV112" i="69"/>
  <c r="I146" i="89"/>
  <c r="X13" i="95"/>
  <c r="DU9" i="75"/>
  <c r="AO95" i="69"/>
  <c r="W100" i="69"/>
  <c r="BP103" i="95"/>
  <c r="AC193" i="69"/>
  <c r="I156" i="89"/>
  <c r="Q114" i="90"/>
  <c r="BP95" i="95"/>
  <c r="S200" i="95"/>
  <c r="R99" i="69"/>
  <c r="W158" i="69"/>
  <c r="AU104" i="69"/>
  <c r="T156" i="89"/>
  <c r="T106" i="89"/>
  <c r="R143" i="89"/>
  <c r="I151" i="89"/>
  <c r="AV146" i="69"/>
  <c r="P196" i="90"/>
  <c r="S194" i="69"/>
  <c r="AV191" i="69"/>
  <c r="O163" i="90"/>
  <c r="X23" i="95"/>
  <c r="AL156" i="100"/>
  <c r="AC103" i="69"/>
  <c r="AC192" i="69"/>
  <c r="AL158" i="100"/>
  <c r="AV101" i="69"/>
  <c r="AD111" i="84"/>
  <c r="S201" i="69"/>
  <c r="P149" i="90"/>
  <c r="S10" i="75"/>
  <c r="N209" i="68"/>
  <c r="O202" i="90"/>
  <c r="Q160" i="89"/>
  <c r="O191" i="90"/>
  <c r="AP191" i="69"/>
  <c r="AV102" i="69"/>
  <c r="AR51" i="95"/>
  <c r="AD114" i="84"/>
  <c r="S5" i="75"/>
  <c r="Q145" i="89"/>
  <c r="Q204" i="89"/>
  <c r="Q155" i="89"/>
  <c r="S104" i="89"/>
  <c r="AC112" i="69"/>
  <c r="N202" i="68"/>
  <c r="S202" i="95"/>
  <c r="AU98" i="69"/>
  <c r="Q165" i="90"/>
  <c r="O194" i="90"/>
  <c r="S98" i="89"/>
  <c r="AP194" i="69"/>
  <c r="AC97" i="84"/>
  <c r="R149" i="89"/>
  <c r="S161" i="89"/>
  <c r="AO105" i="69"/>
  <c r="R147" i="89"/>
  <c r="AU94" i="69"/>
  <c r="AD62" i="84"/>
  <c r="AP146" i="69"/>
  <c r="AD104" i="84"/>
  <c r="R104" i="95"/>
  <c r="AD115" i="84"/>
  <c r="AC201" i="69"/>
  <c r="X22" i="95"/>
  <c r="AY192" i="95"/>
  <c r="AL209" i="100"/>
  <c r="I147" i="89"/>
  <c r="AC202" i="69"/>
  <c r="Q59" i="90"/>
  <c r="AC60" i="84"/>
  <c r="AQ25" i="87"/>
  <c r="AB99" i="69"/>
  <c r="P202" i="90"/>
  <c r="S206" i="95"/>
  <c r="I199" i="89"/>
  <c r="DU10" i="75"/>
  <c r="T204" i="89"/>
  <c r="AL149" i="100"/>
  <c r="Q190" i="89"/>
  <c r="O205" i="90"/>
  <c r="P192" i="90"/>
  <c r="AO96" i="69"/>
  <c r="T195" i="89"/>
  <c r="P156" i="90"/>
  <c r="R204" i="89"/>
  <c r="AV103" i="69"/>
  <c r="P195" i="90"/>
  <c r="N152" i="68"/>
  <c r="O203" i="90"/>
  <c r="AB96" i="69"/>
  <c r="I150" i="89"/>
  <c r="AB95" i="69"/>
  <c r="O169" i="68"/>
  <c r="Q196" i="89"/>
  <c r="Q195" i="89"/>
  <c r="Q208" i="89"/>
  <c r="S4" i="75"/>
  <c r="AO101" i="69"/>
  <c r="I142" i="89"/>
  <c r="W205" i="69"/>
  <c r="X10" i="95"/>
  <c r="AL197" i="100"/>
  <c r="AP204" i="69"/>
  <c r="AO103" i="69"/>
  <c r="AP101" i="69"/>
  <c r="P205" i="90"/>
  <c r="X17" i="95"/>
  <c r="Q156" i="89"/>
  <c r="BP105" i="95"/>
  <c r="AC158" i="69"/>
  <c r="AC195" i="69"/>
  <c r="AT192" i="95"/>
  <c r="AP103" i="69"/>
  <c r="P161" i="90"/>
  <c r="I149" i="89"/>
  <c r="N204" i="68"/>
  <c r="H202" i="89"/>
  <c r="Q197" i="89"/>
  <c r="AP193" i="69"/>
  <c r="S193" i="69"/>
  <c r="S108" i="89"/>
  <c r="R99" i="95"/>
  <c r="AO98" i="69"/>
  <c r="X152" i="69"/>
  <c r="AL161" i="100"/>
  <c r="N203" i="68"/>
  <c r="R145" i="89"/>
  <c r="I204" i="89"/>
  <c r="AP102" i="69"/>
  <c r="P150" i="90"/>
  <c r="X21" i="95"/>
  <c r="AL202" i="100"/>
  <c r="O164" i="90"/>
  <c r="AP195" i="69"/>
  <c r="I200" i="89"/>
  <c r="P193" i="90"/>
  <c r="X19" i="95"/>
  <c r="AY103" i="95"/>
  <c r="P209" i="90"/>
  <c r="R97" i="95"/>
  <c r="I208" i="89"/>
  <c r="BC52" i="95"/>
  <c r="N163" i="68"/>
  <c r="P203" i="90"/>
  <c r="X155" i="69"/>
  <c r="R188" i="89"/>
  <c r="O161" i="68"/>
  <c r="R161" i="89"/>
  <c r="S202" i="89"/>
  <c r="R95" i="95"/>
  <c r="AC98" i="84"/>
  <c r="N199" i="68"/>
  <c r="O147" i="90"/>
  <c r="N160" i="68"/>
  <c r="S146" i="69"/>
  <c r="Q151" i="89"/>
  <c r="AV202" i="69"/>
  <c r="O146" i="90"/>
  <c r="AL157" i="100"/>
  <c r="AB115" i="89"/>
  <c r="I198" i="89"/>
  <c r="S197" i="89"/>
  <c r="R194" i="89"/>
  <c r="AL198" i="100"/>
  <c r="Q153" i="89"/>
  <c r="R203" i="89"/>
  <c r="AP205" i="69"/>
  <c r="AU102" i="69"/>
  <c r="Q117" i="90"/>
  <c r="R153" i="89"/>
  <c r="R98" i="69"/>
  <c r="AC102" i="69"/>
  <c r="AC52" i="84"/>
  <c r="Q56" i="90" s="1"/>
  <c r="W199" i="69"/>
  <c r="AC61" i="84"/>
  <c r="BB51" i="95"/>
  <c r="AV192" i="69"/>
  <c r="R198" i="89"/>
  <c r="W142" i="69"/>
  <c r="O162" i="68"/>
  <c r="S150" i="95" s="1"/>
  <c r="R72" i="90"/>
  <c r="AC194" i="69"/>
  <c r="R197" i="89"/>
  <c r="T208" i="89"/>
  <c r="O153" i="90"/>
  <c r="AD110" i="84"/>
  <c r="S147" i="95"/>
  <c r="X153" i="69"/>
  <c r="O216" i="68"/>
  <c r="S203" i="69" s="1"/>
  <c r="T155" i="89"/>
  <c r="S154" i="95"/>
  <c r="R207" i="89"/>
  <c r="P160" i="90"/>
  <c r="S194" i="95"/>
  <c r="AB103" i="69"/>
  <c r="Q118" i="90"/>
  <c r="DU12" i="75"/>
  <c r="N201" i="68"/>
  <c r="R195" i="89"/>
  <c r="AP154" i="69"/>
  <c r="R199" i="89"/>
  <c r="O151" i="90"/>
  <c r="AK100" i="87"/>
  <c r="O201" i="90"/>
  <c r="I148" i="89"/>
  <c r="AL195" i="100"/>
  <c r="R144" i="89"/>
  <c r="R67" i="90"/>
  <c r="Q146" i="89"/>
  <c r="N158" i="68"/>
  <c r="AD108" i="84"/>
  <c r="AU142" i="69"/>
  <c r="N207" i="68"/>
  <c r="S154" i="69"/>
  <c r="Q193" i="89"/>
  <c r="Q187" i="89"/>
  <c r="P210" i="90"/>
  <c r="O159" i="90"/>
  <c r="I154" i="89"/>
  <c r="N153" i="68"/>
  <c r="P208" i="90"/>
  <c r="R154" i="89"/>
  <c r="N198" i="68"/>
  <c r="Q198" i="89"/>
  <c r="Q150" i="89"/>
  <c r="O211" i="68"/>
  <c r="O150" i="90"/>
  <c r="R205" i="89"/>
  <c r="Q159" i="90"/>
  <c r="T205" i="89"/>
  <c r="DU11" i="75"/>
  <c r="O160" i="68"/>
  <c r="W153" i="69"/>
  <c r="R201" i="89"/>
  <c r="S156" i="95"/>
  <c r="R105" i="95"/>
  <c r="P197" i="90"/>
  <c r="Q157" i="89"/>
  <c r="R100" i="69"/>
  <c r="P159" i="90"/>
  <c r="Q154" i="89"/>
  <c r="S192" i="95"/>
  <c r="AP192" i="69"/>
  <c r="AP152" i="69"/>
  <c r="AO142" i="69"/>
  <c r="P163" i="90"/>
  <c r="R96" i="69"/>
  <c r="AR96" i="95"/>
  <c r="P207" i="90"/>
  <c r="AO99" i="69"/>
  <c r="O158" i="90"/>
  <c r="DU4" i="75"/>
  <c r="AV194" i="69"/>
  <c r="AW97" i="95"/>
  <c r="W188" i="69"/>
  <c r="AV201" i="69"/>
  <c r="AY59" i="95"/>
  <c r="O162" i="90"/>
  <c r="AP202" i="69"/>
  <c r="Q158" i="89"/>
  <c r="AC54" i="84"/>
  <c r="AP158" i="69"/>
  <c r="O195" i="90"/>
  <c r="BQ104" i="95"/>
  <c r="AU99" i="69"/>
  <c r="AY147" i="95"/>
  <c r="W106" i="69"/>
  <c r="AC109" i="84" s="1"/>
  <c r="AT147" i="95"/>
  <c r="G189" i="89"/>
  <c r="AV204" i="69"/>
  <c r="R104" i="69"/>
  <c r="P200" i="90"/>
  <c r="AP201" i="69"/>
  <c r="O210" i="68"/>
  <c r="S195" i="95"/>
  <c r="I192" i="89"/>
  <c r="P154" i="90"/>
  <c r="Q191" i="89"/>
  <c r="R100" i="95"/>
  <c r="S153" i="69"/>
  <c r="R146" i="89"/>
  <c r="AV153" i="69"/>
  <c r="P199" i="90"/>
  <c r="I143" i="89"/>
  <c r="AB118" i="89"/>
  <c r="O165" i="90"/>
  <c r="I159" i="89"/>
  <c r="T157" i="89"/>
  <c r="Q203" i="89"/>
  <c r="X158" i="69"/>
  <c r="Q201" i="89"/>
  <c r="N206" i="68"/>
  <c r="W193" i="69" s="1"/>
  <c r="X154" i="69"/>
  <c r="O163" i="68"/>
  <c r="T158" i="89"/>
  <c r="Q149" i="89"/>
  <c r="O209" i="90"/>
  <c r="S106" i="89"/>
  <c r="S155" i="69"/>
  <c r="AC63" i="84"/>
  <c r="X201" i="69"/>
  <c r="AD60" i="84"/>
  <c r="R190" i="89"/>
  <c r="Q143" i="89"/>
  <c r="R97" i="89"/>
  <c r="DU7" i="75"/>
  <c r="Q147" i="89"/>
  <c r="AV155" i="69"/>
  <c r="R156" i="89"/>
  <c r="AU97" i="69"/>
  <c r="S152" i="69"/>
  <c r="O154" i="90"/>
  <c r="AC53" i="84"/>
  <c r="P151" i="90"/>
  <c r="X192" i="69"/>
  <c r="R101" i="69"/>
  <c r="BP99" i="95"/>
  <c r="S199" i="69"/>
  <c r="AV195" i="69"/>
  <c r="T197" i="89"/>
  <c r="AV158" i="69"/>
  <c r="W201" i="69"/>
  <c r="O148" i="90"/>
  <c r="N154" i="68"/>
  <c r="Q142" i="89"/>
  <c r="R105" i="69"/>
  <c r="O197" i="90"/>
  <c r="S157" i="89"/>
  <c r="P191" i="90"/>
  <c r="I193" i="89"/>
  <c r="AB97" i="69"/>
  <c r="BB94" i="69"/>
  <c r="I158" i="89"/>
  <c r="AV205" i="69"/>
  <c r="T194" i="89"/>
  <c r="R98" i="95"/>
  <c r="R157" i="89"/>
  <c r="BD147" i="95"/>
  <c r="I160" i="89"/>
  <c r="BD59" i="95"/>
  <c r="P162" i="90"/>
  <c r="S13" i="75"/>
  <c r="T149" i="89"/>
  <c r="S100" i="89"/>
  <c r="P157" i="90"/>
  <c r="W97" i="69"/>
  <c r="AD105" i="84"/>
  <c r="X204" i="69"/>
  <c r="BD192" i="95"/>
  <c r="S202" i="69"/>
  <c r="X6" i="95"/>
  <c r="P155" i="90"/>
  <c r="P194" i="90"/>
  <c r="R159" i="89"/>
  <c r="R187" i="89"/>
  <c r="Q192" i="89"/>
  <c r="O208" i="90"/>
  <c r="AL196" i="100"/>
  <c r="P212" i="90"/>
  <c r="G70" i="89"/>
  <c r="R189" i="95"/>
  <c r="R188" i="69"/>
  <c r="S197" i="69"/>
  <c r="S198" i="95"/>
  <c r="BV209" i="84" l="1"/>
  <c r="BV70" i="84"/>
  <c r="AI59" i="84"/>
  <c r="AL52" i="84"/>
  <c r="AH52" i="84"/>
  <c r="AI61" i="84"/>
  <c r="BE95" i="95"/>
  <c r="BE51" i="95"/>
  <c r="O104" i="89"/>
  <c r="M164" i="90"/>
  <c r="N160" i="89"/>
  <c r="AI114" i="84"/>
  <c r="AJ157" i="69"/>
  <c r="J160" i="89"/>
  <c r="O160" i="89" s="1"/>
  <c r="AL58" i="84"/>
  <c r="AH58" i="84"/>
  <c r="J150" i="89"/>
  <c r="N154" i="90" s="1"/>
  <c r="AJ147" i="69"/>
  <c r="BE116" i="84"/>
  <c r="BM116" i="84" s="1"/>
  <c r="BD116" i="84"/>
  <c r="BL116" i="84" s="1"/>
  <c r="BC116" i="84"/>
  <c r="BK116" i="84" s="1"/>
  <c r="BB116" i="84"/>
  <c r="BJ116" i="84" s="1"/>
  <c r="BE162" i="84"/>
  <c r="BM162" i="84" s="1"/>
  <c r="BD162" i="84"/>
  <c r="BL162" i="84" s="1"/>
  <c r="BC162" i="84"/>
  <c r="BK162" i="84" s="1"/>
  <c r="BB162" i="84"/>
  <c r="BJ162" i="84" s="1"/>
  <c r="AL62" i="84"/>
  <c r="AH62" i="84"/>
  <c r="AI67" i="84"/>
  <c r="AI113" i="84"/>
  <c r="M157" i="90"/>
  <c r="N153" i="89"/>
  <c r="AL115" i="90"/>
  <c r="M209" i="90"/>
  <c r="N205" i="89"/>
  <c r="AI107" i="84"/>
  <c r="BT115" i="90"/>
  <c r="BQ109" i="84"/>
  <c r="BQ64" i="84"/>
  <c r="BQ65" i="84"/>
  <c r="AJ69" i="84"/>
  <c r="AJ68" i="84"/>
  <c r="AJ55" i="84"/>
  <c r="BQ63" i="84"/>
  <c r="BU115" i="90"/>
  <c r="AI188" i="69"/>
  <c r="AG52" i="84"/>
  <c r="J152" i="89"/>
  <c r="N156" i="90" s="1"/>
  <c r="AJ149" i="69"/>
  <c r="AI151" i="69"/>
  <c r="AJ198" i="69"/>
  <c r="J201" i="89"/>
  <c r="O201" i="89" s="1"/>
  <c r="AI111" i="84"/>
  <c r="AI60" i="84"/>
  <c r="AI104" i="84"/>
  <c r="J151" i="89"/>
  <c r="N155" i="90" s="1"/>
  <c r="AJ148" i="69"/>
  <c r="AM67" i="90"/>
  <c r="AI66" i="84"/>
  <c r="M207" i="90"/>
  <c r="N203" i="89"/>
  <c r="BT107" i="90"/>
  <c r="N109" i="90"/>
  <c r="BU109" i="90" s="1"/>
  <c r="H4" i="75"/>
  <c r="BT104" i="90"/>
  <c r="N147" i="89"/>
  <c r="M151" i="90"/>
  <c r="M148" i="90"/>
  <c r="N144" i="89"/>
  <c r="M204" i="90"/>
  <c r="N200" i="89"/>
  <c r="AI187" i="69"/>
  <c r="AL56" i="90"/>
  <c r="O106" i="89"/>
  <c r="AI105" i="84"/>
  <c r="AH105" i="84"/>
  <c r="AL105" i="84"/>
  <c r="BT105" i="90"/>
  <c r="N206" i="89"/>
  <c r="M210" i="90"/>
  <c r="BT210" i="90" s="1"/>
  <c r="AI62" i="84"/>
  <c r="AJ196" i="69"/>
  <c r="J199" i="89"/>
  <c r="O199" i="89" s="1"/>
  <c r="Z202" i="90"/>
  <c r="BU202" i="90" s="1"/>
  <c r="Z207" i="90"/>
  <c r="AJ156" i="69"/>
  <c r="J159" i="89"/>
  <c r="O159" i="89" s="1"/>
  <c r="N187" i="89"/>
  <c r="M191" i="90"/>
  <c r="AH109" i="84"/>
  <c r="AL109" i="84"/>
  <c r="AJ200" i="69"/>
  <c r="J203" i="89"/>
  <c r="O203" i="89" s="1"/>
  <c r="AJ150" i="69"/>
  <c r="J153" i="89"/>
  <c r="J200" i="89"/>
  <c r="O200" i="89" s="1"/>
  <c r="AJ197" i="69"/>
  <c r="AJ203" i="69"/>
  <c r="J206" i="89"/>
  <c r="O206" i="89" s="1"/>
  <c r="N119" i="90"/>
  <c r="BU119" i="90" s="1"/>
  <c r="BR211" i="90"/>
  <c r="Z192" i="90"/>
  <c r="BU192" i="90" s="1"/>
  <c r="BR198" i="90"/>
  <c r="BR194" i="90"/>
  <c r="BR196" i="90"/>
  <c r="BU63" i="90"/>
  <c r="J154" i="89"/>
  <c r="O154" i="89" s="1"/>
  <c r="AJ151" i="69"/>
  <c r="AH53" i="84"/>
  <c r="AL53" i="84"/>
  <c r="AL114" i="90"/>
  <c r="N149" i="89"/>
  <c r="M153" i="90"/>
  <c r="M211" i="90"/>
  <c r="N207" i="89"/>
  <c r="AL59" i="90"/>
  <c r="BR210" i="90"/>
  <c r="BR203" i="90"/>
  <c r="BT114" i="90"/>
  <c r="T95" i="95"/>
  <c r="AM73" i="90"/>
  <c r="AM72" i="90"/>
  <c r="AI108" i="84"/>
  <c r="AI115" i="84"/>
  <c r="BU116" i="90"/>
  <c r="Z162" i="90"/>
  <c r="BU162" i="90" s="1"/>
  <c r="BU111" i="90"/>
  <c r="Z195" i="90"/>
  <c r="BU195" i="90" s="1"/>
  <c r="BU108" i="90"/>
  <c r="Z206" i="90"/>
  <c r="BU206" i="90" s="1"/>
  <c r="AM63" i="90"/>
  <c r="BR208" i="90"/>
  <c r="Z163" i="90"/>
  <c r="BR204" i="90"/>
  <c r="BR205" i="90"/>
  <c r="AO213" i="90"/>
  <c r="BU112" i="90"/>
  <c r="Z165" i="90"/>
  <c r="BU165" i="90" s="1"/>
  <c r="Z164" i="90"/>
  <c r="AQ74" i="90"/>
  <c r="Z201" i="90"/>
  <c r="BU201" i="90" s="1"/>
  <c r="BU110" i="90"/>
  <c r="AO74" i="90"/>
  <c r="AP74" i="90"/>
  <c r="AM69" i="90"/>
  <c r="M203" i="90"/>
  <c r="M192" i="90"/>
  <c r="BU209" i="90"/>
  <c r="M199" i="90"/>
  <c r="AJ203" i="90"/>
  <c r="AK210" i="90"/>
  <c r="AK207" i="90"/>
  <c r="AJ164" i="90"/>
  <c r="AK162" i="90"/>
  <c r="AK193" i="90"/>
  <c r="AJ208" i="90"/>
  <c r="AK201" i="90"/>
  <c r="AJ210" i="90"/>
  <c r="AJ212" i="90"/>
  <c r="M205" i="90"/>
  <c r="M198" i="90"/>
  <c r="BT103" i="90"/>
  <c r="M200" i="90"/>
  <c r="BT111" i="90"/>
  <c r="M195" i="90"/>
  <c r="BT195" i="90" s="1"/>
  <c r="AI112" i="84"/>
  <c r="AJ204" i="90"/>
  <c r="AL206" i="90"/>
  <c r="AK208" i="90"/>
  <c r="AJ194" i="90"/>
  <c r="AK196" i="90"/>
  <c r="AJ202" i="90"/>
  <c r="AK212" i="90"/>
  <c r="AL118" i="90"/>
  <c r="AJ207" i="90"/>
  <c r="M163" i="90"/>
  <c r="BT163" i="90" s="1"/>
  <c r="K74" i="90"/>
  <c r="BR74" i="90" s="1"/>
  <c r="K193" i="90"/>
  <c r="L189" i="89"/>
  <c r="L206" i="90"/>
  <c r="M202" i="89"/>
  <c r="AJ205" i="90"/>
  <c r="AK211" i="90"/>
  <c r="AK205" i="90"/>
  <c r="BU211" i="90"/>
  <c r="AI191" i="69"/>
  <c r="L164" i="90"/>
  <c r="M160" i="89"/>
  <c r="AJ201" i="90"/>
  <c r="AK199" i="90"/>
  <c r="AL165" i="90"/>
  <c r="AJ198" i="90"/>
  <c r="AJ211" i="90"/>
  <c r="M202" i="90"/>
  <c r="M208" i="90"/>
  <c r="BT208" i="90" s="1"/>
  <c r="BT108" i="90"/>
  <c r="BT106" i="90"/>
  <c r="BU208" i="90"/>
  <c r="M162" i="90"/>
  <c r="BT162" i="90" s="1"/>
  <c r="AJ195" i="90"/>
  <c r="AJ192" i="90"/>
  <c r="AL117" i="90"/>
  <c r="AJ165" i="90"/>
  <c r="AK209" i="90"/>
  <c r="AK198" i="90"/>
  <c r="AJ162" i="90"/>
  <c r="M197" i="90"/>
  <c r="M212" i="90"/>
  <c r="BT212" i="90" s="1"/>
  <c r="M193" i="90"/>
  <c r="M196" i="90"/>
  <c r="BT112" i="90"/>
  <c r="M194" i="90"/>
  <c r="AJ163" i="90"/>
  <c r="AK197" i="90"/>
  <c r="AJ196" i="90"/>
  <c r="AK194" i="90"/>
  <c r="AK165" i="90"/>
  <c r="AJ209" i="90"/>
  <c r="Z212" i="90"/>
  <c r="BU212" i="90" s="1"/>
  <c r="AJ200" i="90"/>
  <c r="AK202" i="90"/>
  <c r="BR212" i="90"/>
  <c r="AK192" i="90"/>
  <c r="BU113" i="90"/>
  <c r="BP55" i="84"/>
  <c r="BS205" i="90"/>
  <c r="Z200" i="90"/>
  <c r="BU200" i="90" s="1"/>
  <c r="BR209" i="90"/>
  <c r="BS202" i="90"/>
  <c r="AK163" i="90"/>
  <c r="AJ197" i="90"/>
  <c r="BS192" i="90"/>
  <c r="BU198" i="90"/>
  <c r="BR200" i="90"/>
  <c r="AJ199" i="90"/>
  <c r="AK195" i="90"/>
  <c r="BS163" i="90"/>
  <c r="Z197" i="90"/>
  <c r="BU197" i="90" s="1"/>
  <c r="AK203" i="90"/>
  <c r="AJ206" i="90"/>
  <c r="Z199" i="90"/>
  <c r="BU199" i="90" s="1"/>
  <c r="BS195" i="90"/>
  <c r="BR197" i="90"/>
  <c r="BS203" i="90"/>
  <c r="AK204" i="90"/>
  <c r="AK200" i="90"/>
  <c r="AR74" i="90"/>
  <c r="AR213" i="90"/>
  <c r="AQ213" i="90"/>
  <c r="BT110" i="90"/>
  <c r="BO209" i="84"/>
  <c r="AP213" i="90"/>
  <c r="BU114" i="90"/>
  <c r="N159" i="89"/>
  <c r="AG97" i="84"/>
  <c r="AI141" i="69"/>
  <c r="AJ65" i="84"/>
  <c r="AH60" i="84"/>
  <c r="AL60" i="84"/>
  <c r="AH98" i="84"/>
  <c r="AL98" i="84"/>
  <c r="AM68" i="90"/>
  <c r="AL54" i="84"/>
  <c r="AH54" i="84"/>
  <c r="N201" i="89"/>
  <c r="N142" i="89"/>
  <c r="M146" i="90"/>
  <c r="N204" i="89"/>
  <c r="Y5" i="74"/>
  <c r="AQ50" i="69"/>
  <c r="AQ51" i="69" s="1"/>
  <c r="AQ52" i="69" s="1"/>
  <c r="AD50" i="69"/>
  <c r="AD51" i="69" s="1"/>
  <c r="H6" i="74" s="1"/>
  <c r="AW50" i="69"/>
  <c r="EI5" i="75" s="1"/>
  <c r="H4" i="74"/>
  <c r="AH64" i="84"/>
  <c r="AH61" i="84"/>
  <c r="AH59" i="84"/>
  <c r="AH97" i="84"/>
  <c r="T52" i="95"/>
  <c r="AL64" i="84"/>
  <c r="AL61" i="84"/>
  <c r="AL59" i="84"/>
  <c r="AL97" i="84"/>
  <c r="AW94" i="69"/>
  <c r="AW95" i="69" s="1"/>
  <c r="AW96" i="69" s="1"/>
  <c r="AD94" i="69"/>
  <c r="I4" i="74" s="1"/>
  <c r="AQ94" i="69"/>
  <c r="DO4" i="75" s="1"/>
  <c r="N156" i="89"/>
  <c r="M160" i="90"/>
  <c r="BT160" i="90" s="1"/>
  <c r="N208" i="89"/>
  <c r="N192" i="89"/>
  <c r="AI110" i="84"/>
  <c r="AH63" i="84"/>
  <c r="AL63" i="84"/>
  <c r="BQ209" i="84"/>
  <c r="M147" i="90"/>
  <c r="N143" i="89"/>
  <c r="N198" i="89"/>
  <c r="AI192" i="69"/>
  <c r="N195" i="89"/>
  <c r="AL57" i="84"/>
  <c r="AH57" i="84"/>
  <c r="N146" i="89"/>
  <c r="M150" i="90"/>
  <c r="AI143" i="69"/>
  <c r="AI140" i="69"/>
  <c r="AI195" i="69"/>
  <c r="AK51" i="69"/>
  <c r="H5" i="75"/>
  <c r="AI148" i="69"/>
  <c r="N191" i="89"/>
  <c r="N189" i="89"/>
  <c r="N188" i="89"/>
  <c r="AI193" i="69"/>
  <c r="AI186" i="69"/>
  <c r="N150" i="89"/>
  <c r="M154" i="90"/>
  <c r="AI147" i="69"/>
  <c r="N158" i="89"/>
  <c r="AH56" i="84"/>
  <c r="AL56" i="84"/>
  <c r="AI185" i="69"/>
  <c r="AL116" i="90"/>
  <c r="AI146" i="69"/>
  <c r="M149" i="90"/>
  <c r="BT149" i="90" s="1"/>
  <c r="BP209" i="84"/>
  <c r="AI184" i="69"/>
  <c r="AK184" i="69" s="1"/>
  <c r="K4" i="75" s="1"/>
  <c r="N145" i="89"/>
  <c r="BR116" i="84"/>
  <c r="BT116" i="84" s="1"/>
  <c r="BN116" i="84" s="1"/>
  <c r="AR116" i="84"/>
  <c r="BO70" i="84"/>
  <c r="BR162" i="84"/>
  <c r="BT162" i="84" s="1"/>
  <c r="BN162" i="84" s="1"/>
  <c r="AR162" i="84"/>
  <c r="AI145" i="69"/>
  <c r="N193" i="89"/>
  <c r="AI149" i="69"/>
  <c r="AI190" i="69"/>
  <c r="AI150" i="69"/>
  <c r="N151" i="89"/>
  <c r="M155" i="90"/>
  <c r="N190" i="89"/>
  <c r="N199" i="89"/>
  <c r="AI194" i="69"/>
  <c r="N196" i="89"/>
  <c r="AI196" i="69"/>
  <c r="AI189" i="69"/>
  <c r="M152" i="90"/>
  <c r="N148" i="89"/>
  <c r="BS101" i="90"/>
  <c r="AI139" i="69"/>
  <c r="AK139" i="69" s="1"/>
  <c r="J4" i="75" s="1"/>
  <c r="AI144" i="69"/>
  <c r="N194" i="89"/>
  <c r="M158" i="90"/>
  <c r="N154" i="89"/>
  <c r="AK95" i="69"/>
  <c r="I5" i="75" s="1"/>
  <c r="AJ100" i="87"/>
  <c r="AJ100" i="94"/>
  <c r="M503" i="91"/>
  <c r="M501" i="91"/>
  <c r="M485" i="91"/>
  <c r="L495" i="91"/>
  <c r="M495" i="91"/>
  <c r="N460" i="91"/>
  <c r="N473" i="91"/>
  <c r="L502" i="91"/>
  <c r="M487" i="91"/>
  <c r="M484" i="91"/>
  <c r="N447" i="91"/>
  <c r="M486" i="91"/>
  <c r="N443" i="91"/>
  <c r="N468" i="91"/>
  <c r="M494" i="91"/>
  <c r="N453" i="91"/>
  <c r="N455" i="91"/>
  <c r="M489" i="91"/>
  <c r="N449" i="91"/>
  <c r="M491" i="91"/>
  <c r="N448" i="91"/>
  <c r="L503" i="91"/>
  <c r="N456" i="91"/>
  <c r="N467" i="91"/>
  <c r="M500" i="91"/>
  <c r="N462" i="91"/>
  <c r="L499" i="91"/>
  <c r="M498" i="91"/>
  <c r="M497" i="91"/>
  <c r="N465" i="91"/>
  <c r="M482" i="91"/>
  <c r="M481" i="91"/>
  <c r="N458" i="91"/>
  <c r="M492" i="91"/>
  <c r="N451" i="91"/>
  <c r="N457" i="91"/>
  <c r="N459" i="91"/>
  <c r="N463" i="91"/>
  <c r="N461" i="91"/>
  <c r="N444" i="91"/>
  <c r="L494" i="91"/>
  <c r="M483" i="91"/>
  <c r="L498" i="91"/>
  <c r="N466" i="91"/>
  <c r="M496" i="91"/>
  <c r="N469" i="91"/>
  <c r="L500" i="91"/>
  <c r="N454" i="91"/>
  <c r="N445" i="91"/>
  <c r="N471" i="91"/>
  <c r="N452" i="91"/>
  <c r="L493" i="91"/>
  <c r="M488" i="91"/>
  <c r="N446" i="91"/>
  <c r="L497" i="91"/>
  <c r="M490" i="91"/>
  <c r="N450" i="91"/>
  <c r="N472" i="91"/>
  <c r="L501" i="91"/>
  <c r="M480" i="91"/>
  <c r="M493" i="91"/>
  <c r="M479" i="91"/>
  <c r="N464" i="91"/>
  <c r="N470" i="91"/>
  <c r="L496" i="91"/>
  <c r="M499" i="91"/>
  <c r="M502" i="91"/>
  <c r="J70" i="89"/>
  <c r="N74" i="90" s="1"/>
  <c r="AJ67" i="69"/>
  <c r="AM113" i="90"/>
  <c r="L70" i="89"/>
  <c r="BQ70" i="84"/>
  <c r="BP70" i="84"/>
  <c r="CE96" i="84"/>
  <c r="BX96" i="84"/>
  <c r="C95" i="91"/>
  <c r="BZ100" i="84"/>
  <c r="E99" i="91"/>
  <c r="CG100" i="84"/>
  <c r="D97" i="91"/>
  <c r="CF98" i="84"/>
  <c r="BY98" i="84"/>
  <c r="CI112" i="84"/>
  <c r="G111" i="91"/>
  <c r="CB112" i="84"/>
  <c r="CA104" i="84"/>
  <c r="CH104" i="84"/>
  <c r="F103" i="91"/>
  <c r="O158" i="89"/>
  <c r="O149" i="89"/>
  <c r="N153" i="90"/>
  <c r="N161" i="90"/>
  <c r="O157" i="89"/>
  <c r="O161" i="89"/>
  <c r="O156" i="89"/>
  <c r="N160" i="90"/>
  <c r="N159" i="90"/>
  <c r="O155" i="89"/>
  <c r="AJ159" i="90"/>
  <c r="Z159" i="90"/>
  <c r="Z161" i="90"/>
  <c r="AJ161" i="90"/>
  <c r="Z150" i="90"/>
  <c r="BU150" i="90" s="1"/>
  <c r="AJ150" i="90"/>
  <c r="Z157" i="90"/>
  <c r="AJ157" i="90"/>
  <c r="Z153" i="90"/>
  <c r="AJ153" i="90"/>
  <c r="AJ154" i="90"/>
  <c r="Z154" i="90"/>
  <c r="AJ147" i="90"/>
  <c r="Z147" i="90"/>
  <c r="BU147" i="90" s="1"/>
  <c r="AJ158" i="90"/>
  <c r="Z158" i="90"/>
  <c r="Z149" i="90"/>
  <c r="BU149" i="90" s="1"/>
  <c r="AJ149" i="90"/>
  <c r="Z146" i="90"/>
  <c r="BU146" i="90" s="1"/>
  <c r="BR146" i="90"/>
  <c r="AJ146" i="90"/>
  <c r="Z151" i="90"/>
  <c r="BU151" i="90" s="1"/>
  <c r="AJ151" i="90"/>
  <c r="AJ152" i="90"/>
  <c r="Z152" i="90"/>
  <c r="BU152" i="90" s="1"/>
  <c r="AJ155" i="90"/>
  <c r="Z155" i="90"/>
  <c r="Z148" i="90"/>
  <c r="BU148" i="90" s="1"/>
  <c r="AJ148" i="90"/>
  <c r="AJ156" i="90"/>
  <c r="Z156" i="90"/>
  <c r="AJ160" i="90"/>
  <c r="Z160" i="90"/>
  <c r="AK153" i="90"/>
  <c r="AK161" i="90"/>
  <c r="AK156" i="90"/>
  <c r="AK147" i="90"/>
  <c r="AK149" i="90"/>
  <c r="AK155" i="90"/>
  <c r="AK152" i="90"/>
  <c r="AK158" i="90"/>
  <c r="AK154" i="90"/>
  <c r="AK150" i="90"/>
  <c r="AK160" i="90"/>
  <c r="AK151" i="90"/>
  <c r="AK148" i="90"/>
  <c r="AK159" i="90"/>
  <c r="AK146" i="90"/>
  <c r="BS146" i="90"/>
  <c r="AK157" i="90"/>
  <c r="AL161" i="90"/>
  <c r="AL159" i="90"/>
  <c r="AK191" i="90"/>
  <c r="BS191" i="90"/>
  <c r="AJ191" i="90"/>
  <c r="Z191" i="90"/>
  <c r="BU191" i="90" s="1"/>
  <c r="BR191" i="90"/>
  <c r="O202" i="89"/>
  <c r="O204" i="89"/>
  <c r="O194" i="89"/>
  <c r="O205" i="89"/>
  <c r="O195" i="89"/>
  <c r="O198" i="89"/>
  <c r="O196" i="89"/>
  <c r="O208" i="89"/>
  <c r="O207" i="89"/>
  <c r="O197" i="89"/>
  <c r="W141" i="69"/>
  <c r="W191" i="69"/>
  <c r="W184" i="69"/>
  <c r="W67" i="69"/>
  <c r="AX97" i="95"/>
  <c r="DV9" i="75"/>
  <c r="I209" i="89"/>
  <c r="P164" i="90"/>
  <c r="S199" i="95"/>
  <c r="S200" i="69"/>
  <c r="S151" i="69"/>
  <c r="R195" i="69"/>
  <c r="O74" i="90"/>
  <c r="S203" i="89"/>
  <c r="R11" i="74"/>
  <c r="AP12" i="74"/>
  <c r="W203" i="69"/>
  <c r="AV198" i="69"/>
  <c r="S144" i="89"/>
  <c r="AD195" i="84"/>
  <c r="Z119" i="89"/>
  <c r="S198" i="89"/>
  <c r="R139" i="69"/>
  <c r="S151" i="95"/>
  <c r="R192" i="95"/>
  <c r="X157" i="69"/>
  <c r="S204" i="89"/>
  <c r="AB139" i="69"/>
  <c r="AO147" i="69"/>
  <c r="W147" i="69"/>
  <c r="AP7" i="74"/>
  <c r="AP149" i="69"/>
  <c r="AO151" i="69"/>
  <c r="R145" i="95"/>
  <c r="AB145" i="69"/>
  <c r="X148" i="69"/>
  <c r="AT71" i="84"/>
  <c r="T4" i="75"/>
  <c r="R186" i="95"/>
  <c r="BC53" i="95"/>
  <c r="AP150" i="69"/>
  <c r="Y8" i="95"/>
  <c r="Q189" i="89"/>
  <c r="AD208" i="84"/>
  <c r="X28" i="95"/>
  <c r="X24" i="95"/>
  <c r="BD193" i="95"/>
  <c r="AU146" i="69"/>
  <c r="X150" i="69"/>
  <c r="AU143" i="69"/>
  <c r="X147" i="69"/>
  <c r="S204" i="95"/>
  <c r="S156" i="69"/>
  <c r="DV13" i="75"/>
  <c r="AT193" i="95"/>
  <c r="S17" i="75"/>
  <c r="AP67" i="69"/>
  <c r="Q205" i="90"/>
  <c r="Q57" i="90"/>
  <c r="R20" i="75"/>
  <c r="AT148" i="95"/>
  <c r="AY148" i="95"/>
  <c r="AU192" i="69"/>
  <c r="R14" i="75"/>
  <c r="AX185" i="95"/>
  <c r="S160" i="89"/>
  <c r="S68" i="95"/>
  <c r="S4" i="74"/>
  <c r="R196" i="69"/>
  <c r="S149" i="95"/>
  <c r="AG95" i="95"/>
  <c r="S197" i="95"/>
  <c r="AD207" i="84"/>
  <c r="R12" i="75"/>
  <c r="W190" i="69"/>
  <c r="S201" i="89"/>
  <c r="S149" i="89"/>
  <c r="S208" i="89"/>
  <c r="AB140" i="69"/>
  <c r="AO193" i="69"/>
  <c r="R7" i="75"/>
  <c r="U6" i="75"/>
  <c r="T8" i="75"/>
  <c r="S142" i="89"/>
  <c r="S8" i="74"/>
  <c r="R149" i="69"/>
  <c r="R9" i="75"/>
  <c r="AV147" i="69"/>
  <c r="W185" i="69"/>
  <c r="W139" i="69"/>
  <c r="W143" i="69"/>
  <c r="W150" i="69"/>
  <c r="S188" i="89"/>
  <c r="BB98" i="95"/>
  <c r="Y11" i="95"/>
  <c r="AC67" i="69"/>
  <c r="S152" i="95"/>
  <c r="Q63" i="90"/>
  <c r="AV157" i="69"/>
  <c r="AO196" i="69"/>
  <c r="R22" i="75"/>
  <c r="R190" i="95"/>
  <c r="AD202" i="84"/>
  <c r="T203" i="89"/>
  <c r="DV7" i="75"/>
  <c r="BD148" i="95"/>
  <c r="BD60" i="95"/>
  <c r="T7" i="75"/>
  <c r="AP147" i="69"/>
  <c r="R17" i="75"/>
  <c r="P206" i="90"/>
  <c r="R141" i="95"/>
  <c r="AC145" i="84"/>
  <c r="AS53" i="95"/>
  <c r="R152" i="95"/>
  <c r="R7" i="74"/>
  <c r="W149" i="69"/>
  <c r="R185" i="69"/>
  <c r="R184" i="69"/>
  <c r="AP157" i="69"/>
  <c r="T201" i="89"/>
  <c r="S21" i="75"/>
  <c r="AV67" i="69"/>
  <c r="R148" i="95"/>
  <c r="Q67" i="90"/>
  <c r="T10" i="75"/>
  <c r="R118" i="90"/>
  <c r="DV10" i="75"/>
  <c r="O172" i="68"/>
  <c r="R10" i="74"/>
  <c r="AB184" i="69"/>
  <c r="AU141" i="69"/>
  <c r="AP156" i="69"/>
  <c r="W200" i="69"/>
  <c r="AS185" i="95"/>
  <c r="R119" i="90"/>
  <c r="AC149" i="69"/>
  <c r="S196" i="89"/>
  <c r="S191" i="89"/>
  <c r="AC102" i="84"/>
  <c r="AK68" i="84"/>
  <c r="AV200" i="69"/>
  <c r="W157" i="69"/>
  <c r="AK65" i="84"/>
  <c r="R10" i="75"/>
  <c r="AU151" i="69"/>
  <c r="Q62" i="90"/>
  <c r="AU188" i="69"/>
  <c r="AU191" i="69"/>
  <c r="T150" i="89"/>
  <c r="AB141" i="69"/>
  <c r="R150" i="69"/>
  <c r="S18" i="75"/>
  <c r="U12" i="75"/>
  <c r="AB194" i="69"/>
  <c r="AP8" i="74"/>
  <c r="AB187" i="69"/>
  <c r="R5" i="74"/>
  <c r="O193" i="90"/>
  <c r="AU139" i="69"/>
  <c r="S190" i="89"/>
  <c r="AC108" i="84"/>
  <c r="X25" i="95"/>
  <c r="R143" i="69"/>
  <c r="AP198" i="69"/>
  <c r="AD205" i="84"/>
  <c r="T12" i="75"/>
  <c r="AU187" i="69"/>
  <c r="AV150" i="69"/>
  <c r="AP11" i="74"/>
  <c r="AB151" i="69"/>
  <c r="X203" i="69"/>
  <c r="X156" i="69"/>
  <c r="AU194" i="69"/>
  <c r="S5" i="74"/>
  <c r="W140" i="69"/>
  <c r="W189" i="69"/>
  <c r="W146" i="69"/>
  <c r="T9" i="75"/>
  <c r="R141" i="69"/>
  <c r="R195" i="95"/>
  <c r="O219" i="68"/>
  <c r="S148" i="95"/>
  <c r="R116" i="90"/>
  <c r="R147" i="69"/>
  <c r="U13" i="75"/>
  <c r="S14" i="75"/>
  <c r="AB147" i="69"/>
  <c r="X27" i="95"/>
  <c r="T199" i="89"/>
  <c r="AO148" i="69"/>
  <c r="S196" i="69"/>
  <c r="AB144" i="69"/>
  <c r="Q66" i="90"/>
  <c r="Y14" i="95"/>
  <c r="Y7" i="95"/>
  <c r="AU184" i="69"/>
  <c r="AC101" i="84"/>
  <c r="AD149" i="84"/>
  <c r="R193" i="95"/>
  <c r="AB196" i="69"/>
  <c r="BC50" i="69"/>
  <c r="AB188" i="69"/>
  <c r="T154" i="89"/>
  <c r="R70" i="90"/>
  <c r="AB190" i="69"/>
  <c r="S157" i="69"/>
  <c r="X29" i="95"/>
  <c r="AL70" i="100"/>
  <c r="H162" i="89"/>
  <c r="AL116" i="100"/>
  <c r="AU186" i="69"/>
  <c r="AC197" i="69"/>
  <c r="R4" i="75"/>
  <c r="AX140" i="95"/>
  <c r="AV196" i="69"/>
  <c r="X196" i="69"/>
  <c r="G162" i="89"/>
  <c r="P101" i="90"/>
  <c r="AG51" i="95"/>
  <c r="R114" i="90"/>
  <c r="T11" i="75"/>
  <c r="Q211" i="90"/>
  <c r="AV149" i="69"/>
  <c r="AW53" i="95"/>
  <c r="T153" i="89"/>
  <c r="S154" i="89"/>
  <c r="S67" i="69"/>
  <c r="AS140" i="95"/>
  <c r="AD204" i="84"/>
  <c r="AD156" i="84"/>
  <c r="AO184" i="69"/>
  <c r="AO192" i="69"/>
  <c r="AU185" i="69"/>
  <c r="DV8" i="75"/>
  <c r="AP197" i="69"/>
  <c r="AV151" i="69"/>
  <c r="S16" i="75"/>
  <c r="S148" i="69"/>
  <c r="S200" i="89"/>
  <c r="AB192" i="69"/>
  <c r="S153" i="89"/>
  <c r="AB150" i="69"/>
  <c r="AO140" i="69"/>
  <c r="R194" i="69"/>
  <c r="AO185" i="69"/>
  <c r="S19" i="75"/>
  <c r="AK101" i="87"/>
  <c r="S158" i="95"/>
  <c r="X31" i="95"/>
  <c r="S193" i="89"/>
  <c r="R11" i="75"/>
  <c r="T152" i="89"/>
  <c r="X67" i="69"/>
  <c r="AU147" i="69"/>
  <c r="S187" i="89"/>
  <c r="AB189" i="69"/>
  <c r="AD158" i="84"/>
  <c r="R186" i="69"/>
  <c r="T70" i="89"/>
  <c r="R151" i="69"/>
  <c r="AU148" i="69"/>
  <c r="W194" i="69"/>
  <c r="AR52" i="95"/>
  <c r="W192" i="69"/>
  <c r="Q70" i="89"/>
  <c r="BC51" i="69"/>
  <c r="DV11" i="75"/>
  <c r="AC100" i="84"/>
  <c r="S194" i="89"/>
  <c r="I70" i="89"/>
  <c r="H209" i="89"/>
  <c r="AV203" i="69"/>
  <c r="AD106" i="84"/>
  <c r="AO145" i="69"/>
  <c r="R140" i="69"/>
  <c r="AB195" i="69"/>
  <c r="BB184" i="69"/>
  <c r="R193" i="69"/>
  <c r="X149" i="69"/>
  <c r="R8" i="74"/>
  <c r="Q208" i="90"/>
  <c r="R6" i="74"/>
  <c r="Q160" i="90"/>
  <c r="AO187" i="69"/>
  <c r="T200" i="89"/>
  <c r="R4" i="74"/>
  <c r="R13" i="75"/>
  <c r="AC103" i="84"/>
  <c r="Y5" i="95"/>
  <c r="AO139" i="69"/>
  <c r="AC157" i="69"/>
  <c r="DV4" i="75"/>
  <c r="AW98" i="95"/>
  <c r="AB148" i="69"/>
  <c r="AD196" i="84"/>
  <c r="R140" i="95"/>
  <c r="AU150" i="69"/>
  <c r="W198" i="69"/>
  <c r="AP4" i="74"/>
  <c r="S199" i="89"/>
  <c r="S13" i="74"/>
  <c r="R115" i="90"/>
  <c r="R191" i="95"/>
  <c r="T13" i="75"/>
  <c r="S11" i="74"/>
  <c r="AC156" i="69"/>
  <c r="U11" i="75"/>
  <c r="AO194" i="69"/>
  <c r="Q58" i="90"/>
  <c r="AO146" i="69"/>
  <c r="T6" i="75"/>
  <c r="S150" i="69"/>
  <c r="R146" i="95"/>
  <c r="H70" i="89"/>
  <c r="R151" i="95"/>
  <c r="AO150" i="69"/>
  <c r="AO143" i="69"/>
  <c r="Q68" i="90"/>
  <c r="R117" i="90"/>
  <c r="AU144" i="69"/>
  <c r="BC140" i="95"/>
  <c r="W197" i="69"/>
  <c r="AR97" i="95"/>
  <c r="BI95" i="95"/>
  <c r="DV5" i="75"/>
  <c r="Q212" i="90"/>
  <c r="X26" i="95"/>
  <c r="S201" i="95"/>
  <c r="AC196" i="69"/>
  <c r="AT60" i="95"/>
  <c r="AU196" i="69"/>
  <c r="R194" i="95"/>
  <c r="S22" i="75"/>
  <c r="S158" i="89"/>
  <c r="R5" i="75"/>
  <c r="R160" i="89"/>
  <c r="Y13" i="95"/>
  <c r="R150" i="95"/>
  <c r="AP6" i="74"/>
  <c r="R9" i="74"/>
  <c r="W145" i="69"/>
  <c r="W195" i="69"/>
  <c r="Q162" i="90"/>
  <c r="AB185" i="69"/>
  <c r="R146" i="69"/>
  <c r="S7" i="74"/>
  <c r="S9" i="74"/>
  <c r="X30" i="95"/>
  <c r="AO195" i="69"/>
  <c r="G209" i="89"/>
  <c r="W151" i="69"/>
  <c r="AY104" i="95"/>
  <c r="AC150" i="69"/>
  <c r="Y10" i="95"/>
  <c r="AP203" i="69"/>
  <c r="S145" i="89"/>
  <c r="R187" i="95"/>
  <c r="AB146" i="69"/>
  <c r="S189" i="89"/>
  <c r="Q209" i="90"/>
  <c r="AD198" i="84"/>
  <c r="BB139" i="69"/>
  <c r="Q65" i="90"/>
  <c r="T159" i="89"/>
  <c r="X197" i="69"/>
  <c r="AB193" i="69"/>
  <c r="S12" i="74"/>
  <c r="AC148" i="69"/>
  <c r="T5" i="75"/>
  <c r="R190" i="69"/>
  <c r="X198" i="69"/>
  <c r="R8" i="75"/>
  <c r="AC106" i="84"/>
  <c r="U7" i="75"/>
  <c r="AU149" i="69"/>
  <c r="W156" i="69"/>
  <c r="T206" i="89"/>
  <c r="S207" i="89"/>
  <c r="R18" i="75"/>
  <c r="Q60" i="90"/>
  <c r="AD161" i="84"/>
  <c r="AP151" i="69"/>
  <c r="AP9" i="74"/>
  <c r="DV6" i="75"/>
  <c r="R112" i="90"/>
  <c r="AC203" i="69"/>
  <c r="S10" i="74"/>
  <c r="T151" i="89"/>
  <c r="S195" i="89"/>
  <c r="P56" i="90"/>
  <c r="T160" i="89"/>
  <c r="R189" i="69"/>
  <c r="AO141" i="69"/>
  <c r="AU140" i="69"/>
  <c r="AQ92" i="94"/>
  <c r="AO189" i="69"/>
  <c r="R147" i="95"/>
  <c r="Q204" i="90"/>
  <c r="Q210" i="90"/>
  <c r="R16" i="75"/>
  <c r="S15" i="75"/>
  <c r="BC185" i="95"/>
  <c r="AP200" i="69"/>
  <c r="AQ71" i="87"/>
  <c r="AK101" i="94"/>
  <c r="AT103" i="95"/>
  <c r="AT104" i="95" s="1"/>
  <c r="S192" i="89"/>
  <c r="BB50" i="69"/>
  <c r="AU145" i="69"/>
  <c r="R71" i="90"/>
  <c r="R21" i="75"/>
  <c r="Q109" i="90"/>
  <c r="R15" i="75"/>
  <c r="AP5" i="74"/>
  <c r="BC97" i="95"/>
  <c r="R19" i="75"/>
  <c r="Q102" i="90"/>
  <c r="R188" i="95"/>
  <c r="S150" i="89"/>
  <c r="U9" i="75"/>
  <c r="U8" i="75"/>
  <c r="AD197" i="84"/>
  <c r="R65" i="90"/>
  <c r="AB191" i="69"/>
  <c r="AO188" i="69"/>
  <c r="AB149" i="69"/>
  <c r="S143" i="89"/>
  <c r="AV197" i="69"/>
  <c r="BC49" i="69"/>
  <c r="U10" i="75"/>
  <c r="S159" i="89"/>
  <c r="U5" i="75"/>
  <c r="BB52" i="95"/>
  <c r="BB53" i="95" s="1"/>
  <c r="AS96" i="95"/>
  <c r="W187" i="69"/>
  <c r="U4" i="75"/>
  <c r="R108" i="90"/>
  <c r="S151" i="89"/>
  <c r="AQ69" i="94"/>
  <c r="AP148" i="69"/>
  <c r="S6" i="74"/>
  <c r="R6" i="75"/>
  <c r="Y9" i="95"/>
  <c r="W196" i="69"/>
  <c r="S156" i="89"/>
  <c r="AK69" i="84"/>
  <c r="AC151" i="69"/>
  <c r="R142" i="95"/>
  <c r="R111" i="90"/>
  <c r="Q61" i="90"/>
  <c r="S206" i="89"/>
  <c r="R196" i="95"/>
  <c r="AD155" i="84"/>
  <c r="S205" i="89"/>
  <c r="W148" i="69"/>
  <c r="AY60" i="95"/>
  <c r="S20" i="75"/>
  <c r="AO191" i="69"/>
  <c r="AU190" i="69"/>
  <c r="AU189" i="69"/>
  <c r="AO144" i="69"/>
  <c r="Q164" i="90"/>
  <c r="Q163" i="90"/>
  <c r="AV156" i="69"/>
  <c r="AP196" i="69"/>
  <c r="AA119" i="89"/>
  <c r="Q113" i="90"/>
  <c r="AC147" i="69"/>
  <c r="AC99" i="84"/>
  <c r="R185" i="95"/>
  <c r="AB143" i="69"/>
  <c r="S147" i="89"/>
  <c r="DV12" i="75"/>
  <c r="X151" i="69"/>
  <c r="Q101" i="90"/>
  <c r="R12" i="74"/>
  <c r="AD194" i="84"/>
  <c r="BD104" i="95"/>
  <c r="S147" i="69"/>
  <c r="AV148" i="69"/>
  <c r="Y119" i="89"/>
  <c r="Q207" i="90"/>
  <c r="AX53" i="95"/>
  <c r="R192" i="69"/>
  <c r="R109" i="90"/>
  <c r="S157" i="95"/>
  <c r="R66" i="90"/>
  <c r="AC200" i="69"/>
  <c r="Q64" i="90"/>
  <c r="S146" i="89"/>
  <c r="Y12" i="95"/>
  <c r="AP10" i="74"/>
  <c r="AO186" i="69"/>
  <c r="AC107" i="84"/>
  <c r="R64" i="90"/>
  <c r="R145" i="69"/>
  <c r="AU195" i="69"/>
  <c r="R149" i="95"/>
  <c r="W186" i="69"/>
  <c r="AO149" i="69"/>
  <c r="R144" i="95"/>
  <c r="S148" i="89"/>
  <c r="R202" i="89"/>
  <c r="R187" i="69"/>
  <c r="AC198" i="69"/>
  <c r="AB186" i="69"/>
  <c r="AO190" i="69"/>
  <c r="R148" i="69"/>
  <c r="R144" i="69"/>
  <c r="S149" i="69"/>
  <c r="W144" i="69"/>
  <c r="R197" i="95"/>
  <c r="AD157" i="84"/>
  <c r="AY193" i="95"/>
  <c r="AU193" i="69"/>
  <c r="S198" i="69"/>
  <c r="AC104" i="84"/>
  <c r="R191" i="69"/>
  <c r="Y6" i="95"/>
  <c r="AK55" i="84"/>
  <c r="AR53" i="95"/>
  <c r="AS97" i="95"/>
  <c r="BP52" i="84" l="1"/>
  <c r="BQ59" i="84"/>
  <c r="BV162" i="84"/>
  <c r="BV116" i="84"/>
  <c r="BE96" i="95"/>
  <c r="BE52" i="95"/>
  <c r="AM65" i="90"/>
  <c r="BQ61" i="84"/>
  <c r="BK95" i="95"/>
  <c r="BT158" i="90"/>
  <c r="AI106" i="84"/>
  <c r="O150" i="89"/>
  <c r="O152" i="89"/>
  <c r="BP58" i="84"/>
  <c r="AJ114" i="84"/>
  <c r="AM118" i="90"/>
  <c r="AM117" i="90"/>
  <c r="AM111" i="90"/>
  <c r="AK56" i="90"/>
  <c r="AL66" i="90"/>
  <c r="AL62" i="90"/>
  <c r="AM64" i="90"/>
  <c r="AJ58" i="84"/>
  <c r="AM71" i="90"/>
  <c r="AL164" i="90"/>
  <c r="BT164" i="90"/>
  <c r="AM115" i="90"/>
  <c r="AP120" i="90"/>
  <c r="N164" i="90"/>
  <c r="BU164" i="90" s="1"/>
  <c r="BQ67" i="84"/>
  <c r="O151" i="89"/>
  <c r="BO116" i="84"/>
  <c r="AJ67" i="84"/>
  <c r="AJ52" i="84"/>
  <c r="BP62" i="84"/>
  <c r="BQ107" i="84"/>
  <c r="AJ113" i="84"/>
  <c r="AL113" i="90"/>
  <c r="AL209" i="90"/>
  <c r="AM108" i="90"/>
  <c r="AM66" i="90"/>
  <c r="BT209" i="90"/>
  <c r="BP59" i="84"/>
  <c r="AJ110" i="84"/>
  <c r="BP105" i="84"/>
  <c r="BQ104" i="84"/>
  <c r="BP61" i="84"/>
  <c r="AJ54" i="84"/>
  <c r="AJ109" i="84"/>
  <c r="BQ105" i="84"/>
  <c r="BQ60" i="84"/>
  <c r="AJ53" i="84"/>
  <c r="AJ66" i="84"/>
  <c r="AJ111" i="84"/>
  <c r="BP56" i="84"/>
  <c r="BP63" i="84"/>
  <c r="AJ64" i="84"/>
  <c r="BO97" i="84"/>
  <c r="AJ115" i="84"/>
  <c r="BO52" i="84"/>
  <c r="BP57" i="84"/>
  <c r="BP97" i="84"/>
  <c r="AJ98" i="84"/>
  <c r="AJ112" i="84"/>
  <c r="BQ108" i="84"/>
  <c r="BQ62" i="84"/>
  <c r="BQ111" i="84"/>
  <c r="AJ60" i="84"/>
  <c r="BP109" i="84"/>
  <c r="AM70" i="90"/>
  <c r="BT194" i="90"/>
  <c r="AL100" i="84"/>
  <c r="AH100" i="84"/>
  <c r="N205" i="90"/>
  <c r="BU205" i="90" s="1"/>
  <c r="AL207" i="90"/>
  <c r="AM109" i="90"/>
  <c r="AL109" i="90"/>
  <c r="BT207" i="90"/>
  <c r="BQ66" i="84"/>
  <c r="N158" i="90"/>
  <c r="BU158" i="90" s="1"/>
  <c r="AL204" i="90"/>
  <c r="AM112" i="90"/>
  <c r="BT204" i="90"/>
  <c r="AJ105" i="84"/>
  <c r="BP53" i="84"/>
  <c r="AM116" i="90"/>
  <c r="T185" i="95"/>
  <c r="T186" i="95" s="1"/>
  <c r="T187" i="95" s="1"/>
  <c r="AI194" i="84"/>
  <c r="AL210" i="90"/>
  <c r="AJ62" i="84"/>
  <c r="N203" i="90"/>
  <c r="BU203" i="90" s="1"/>
  <c r="AI198" i="84"/>
  <c r="AL57" i="90"/>
  <c r="N207" i="90"/>
  <c r="BU207" i="90" s="1"/>
  <c r="BT198" i="90"/>
  <c r="N163" i="90"/>
  <c r="BU163" i="90" s="1"/>
  <c r="N210" i="90"/>
  <c r="BU210" i="90" s="1"/>
  <c r="N204" i="90"/>
  <c r="BU204" i="90" s="1"/>
  <c r="N157" i="90"/>
  <c r="BU157" i="90" s="1"/>
  <c r="O153" i="89"/>
  <c r="BT148" i="90"/>
  <c r="BQ112" i="84"/>
  <c r="AL211" i="90"/>
  <c r="BT202" i="90"/>
  <c r="BT211" i="90"/>
  <c r="AM119" i="90"/>
  <c r="BT203" i="90"/>
  <c r="AK101" i="90"/>
  <c r="T96" i="95"/>
  <c r="BU160" i="90"/>
  <c r="BU156" i="90"/>
  <c r="AP166" i="90"/>
  <c r="AQ120" i="90"/>
  <c r="AQ166" i="90"/>
  <c r="AO166" i="90"/>
  <c r="AO120" i="90"/>
  <c r="BU153" i="90"/>
  <c r="M213" i="90"/>
  <c r="BT213" i="90" s="1"/>
  <c r="BT150" i="90"/>
  <c r="AL162" i="90"/>
  <c r="AL163" i="90"/>
  <c r="K166" i="90"/>
  <c r="BR166" i="90" s="1"/>
  <c r="L166" i="90"/>
  <c r="BS166" i="90" s="1"/>
  <c r="L74" i="90"/>
  <c r="BS74" i="90" s="1"/>
  <c r="BT153" i="90"/>
  <c r="AL208" i="90"/>
  <c r="M74" i="90"/>
  <c r="BT74" i="90" s="1"/>
  <c r="BT151" i="90"/>
  <c r="BT196" i="90"/>
  <c r="BT193" i="90"/>
  <c r="BT200" i="90"/>
  <c r="L213" i="90"/>
  <c r="BT156" i="90"/>
  <c r="AI195" i="84"/>
  <c r="BT192" i="90"/>
  <c r="BT197" i="90"/>
  <c r="AL106" i="84"/>
  <c r="AH106" i="84"/>
  <c r="AL102" i="90"/>
  <c r="K213" i="90"/>
  <c r="L209" i="89"/>
  <c r="AL205" i="90"/>
  <c r="BT154" i="90"/>
  <c r="BT157" i="90"/>
  <c r="BT147" i="90"/>
  <c r="BT199" i="90"/>
  <c r="BT152" i="90"/>
  <c r="BT155" i="90"/>
  <c r="AJ74" i="90"/>
  <c r="Z74" i="90"/>
  <c r="BU74" i="90" s="1"/>
  <c r="BU154" i="90"/>
  <c r="BU155" i="90"/>
  <c r="BS206" i="90"/>
  <c r="AK206" i="90"/>
  <c r="BU161" i="90"/>
  <c r="BS164" i="90"/>
  <c r="AK164" i="90"/>
  <c r="AJ193" i="90"/>
  <c r="BR193" i="90"/>
  <c r="Z193" i="90"/>
  <c r="BU193" i="90" s="1"/>
  <c r="BU159" i="90"/>
  <c r="BT205" i="90"/>
  <c r="AL212" i="90"/>
  <c r="AR166" i="90"/>
  <c r="BT201" i="90"/>
  <c r="AR120" i="90"/>
  <c r="AL103" i="84"/>
  <c r="AH103" i="84"/>
  <c r="AL64" i="90"/>
  <c r="AI202" i="84"/>
  <c r="BT146" i="90"/>
  <c r="AH108" i="84"/>
  <c r="AL108" i="84"/>
  <c r="AL104" i="84"/>
  <c r="AH104" i="84"/>
  <c r="AL101" i="84"/>
  <c r="AH101" i="84"/>
  <c r="BP60" i="84"/>
  <c r="BP98" i="84"/>
  <c r="AH107" i="84"/>
  <c r="AL107" i="84"/>
  <c r="BE53" i="95"/>
  <c r="AI197" i="84"/>
  <c r="AI208" i="84"/>
  <c r="AH145" i="84"/>
  <c r="AL145" i="84"/>
  <c r="AL99" i="84"/>
  <c r="AH99" i="84"/>
  <c r="AL68" i="90"/>
  <c r="AW51" i="69"/>
  <c r="EI6" i="75" s="1"/>
  <c r="AD52" i="69"/>
  <c r="AD53" i="69" s="1"/>
  <c r="BL94" i="69"/>
  <c r="Z5" i="74"/>
  <c r="BP54" i="84"/>
  <c r="AL63" i="90"/>
  <c r="BT191" i="90"/>
  <c r="AL58" i="90"/>
  <c r="AI155" i="84"/>
  <c r="Y6" i="74"/>
  <c r="H5" i="74"/>
  <c r="Y7" i="74"/>
  <c r="BL50" i="69"/>
  <c r="N70" i="89"/>
  <c r="AL101" i="90"/>
  <c r="AL65" i="90"/>
  <c r="BE97" i="95"/>
  <c r="BP64" i="84"/>
  <c r="DN5" i="75"/>
  <c r="AI149" i="84"/>
  <c r="AI204" i="84"/>
  <c r="AI158" i="84"/>
  <c r="AL102" i="84"/>
  <c r="AH102" i="84"/>
  <c r="AI207" i="84"/>
  <c r="AJ97" i="84"/>
  <c r="EJ5" i="75"/>
  <c r="AD95" i="69"/>
  <c r="AD96" i="69" s="1"/>
  <c r="Z7" i="74" s="1"/>
  <c r="AJ61" i="84"/>
  <c r="AL60" i="90"/>
  <c r="AJ59" i="84"/>
  <c r="T53" i="95"/>
  <c r="AI156" i="84"/>
  <c r="AQ95" i="69"/>
  <c r="EJ4" i="75"/>
  <c r="AM114" i="90"/>
  <c r="AJ63" i="84"/>
  <c r="AJ57" i="84"/>
  <c r="BQ110" i="84"/>
  <c r="AI196" i="84"/>
  <c r="AL67" i="90"/>
  <c r="AI157" i="84"/>
  <c r="T140" i="95"/>
  <c r="AL61" i="90"/>
  <c r="AL160" i="90"/>
  <c r="DN6" i="75"/>
  <c r="AI205" i="84"/>
  <c r="BQ116" i="84"/>
  <c r="AW184" i="69"/>
  <c r="AW185" i="69" s="1"/>
  <c r="AW139" i="69"/>
  <c r="EK4" i="75" s="1"/>
  <c r="AI161" i="84"/>
  <c r="AW97" i="69"/>
  <c r="EJ6" i="75"/>
  <c r="AK96" i="69"/>
  <c r="I6" i="75" s="1"/>
  <c r="AK52" i="69"/>
  <c r="H6" i="75"/>
  <c r="AJ56" i="84"/>
  <c r="AK185" i="69"/>
  <c r="AD184" i="69"/>
  <c r="AD185" i="69" s="1"/>
  <c r="AQ184" i="69"/>
  <c r="DQ4" i="75" s="1"/>
  <c r="AJ206" i="69"/>
  <c r="J209" i="89"/>
  <c r="N213" i="90" s="1"/>
  <c r="BE140" i="95"/>
  <c r="BE185" i="95"/>
  <c r="N209" i="89"/>
  <c r="M209" i="89"/>
  <c r="M70" i="89"/>
  <c r="AQ139" i="69"/>
  <c r="AD139" i="69"/>
  <c r="AK140" i="69"/>
  <c r="AJ101" i="87"/>
  <c r="AJ101" i="94"/>
  <c r="N493" i="91"/>
  <c r="N502" i="91"/>
  <c r="N475" i="91"/>
  <c r="N481" i="91"/>
  <c r="N489" i="91"/>
  <c r="N486" i="91"/>
  <c r="N495" i="91"/>
  <c r="N490" i="91"/>
  <c r="N482" i="91"/>
  <c r="N480" i="91"/>
  <c r="N499" i="91"/>
  <c r="N487" i="91"/>
  <c r="N479" i="91"/>
  <c r="N484" i="91"/>
  <c r="N503" i="91"/>
  <c r="N492" i="91"/>
  <c r="N501" i="91"/>
  <c r="N478" i="91"/>
  <c r="N483" i="91"/>
  <c r="N496" i="91"/>
  <c r="N491" i="91"/>
  <c r="N497" i="91"/>
  <c r="N485" i="91"/>
  <c r="N498" i="91"/>
  <c r="N477" i="91"/>
  <c r="N474" i="91"/>
  <c r="N494" i="91"/>
  <c r="N476" i="91"/>
  <c r="N488" i="91"/>
  <c r="N500" i="91"/>
  <c r="AJ159" i="69"/>
  <c r="J162" i="89"/>
  <c r="N166" i="90" s="1"/>
  <c r="L162" i="89"/>
  <c r="M162" i="89"/>
  <c r="BK68" i="69"/>
  <c r="BA71" i="84"/>
  <c r="BQ162" i="84"/>
  <c r="BP162" i="84"/>
  <c r="DN7" i="75"/>
  <c r="AQ53" i="69"/>
  <c r="BO162" i="84"/>
  <c r="BP116" i="84"/>
  <c r="O70" i="89"/>
  <c r="E100" i="91"/>
  <c r="CG101" i="84"/>
  <c r="BZ101" i="84"/>
  <c r="G112" i="91"/>
  <c r="CI113" i="84"/>
  <c r="CB113" i="84"/>
  <c r="CA105" i="84"/>
  <c r="F104" i="91"/>
  <c r="CH105" i="84"/>
  <c r="C96" i="91"/>
  <c r="BX97" i="84"/>
  <c r="CE97" i="84"/>
  <c r="BY99" i="84"/>
  <c r="CF99" i="84"/>
  <c r="D98" i="91"/>
  <c r="AG52" i="95"/>
  <c r="AY105" i="95"/>
  <c r="P213" i="90"/>
  <c r="R14" i="74"/>
  <c r="AR98" i="95"/>
  <c r="P166" i="90"/>
  <c r="Q108" i="90"/>
  <c r="R206" i="90"/>
  <c r="AC152" i="84"/>
  <c r="AK113" i="84"/>
  <c r="W206" i="69"/>
  <c r="AQ4" i="74"/>
  <c r="S206" i="69"/>
  <c r="Q162" i="89"/>
  <c r="AA11" i="95"/>
  <c r="AA16" i="95"/>
  <c r="I116" i="89"/>
  <c r="BI96" i="95"/>
  <c r="AA17" i="95"/>
  <c r="T162" i="89"/>
  <c r="AA21" i="95"/>
  <c r="AW99" i="95"/>
  <c r="AP29" i="74"/>
  <c r="AK105" i="84"/>
  <c r="AA9" i="95"/>
  <c r="BC186" i="95"/>
  <c r="Y21" i="95"/>
  <c r="R28" i="74"/>
  <c r="AC193" i="84"/>
  <c r="AP27" i="74"/>
  <c r="AP23" i="74"/>
  <c r="Z11" i="95"/>
  <c r="R28" i="75"/>
  <c r="R20" i="74"/>
  <c r="AA24" i="95"/>
  <c r="AP19" i="74"/>
  <c r="AT61" i="95"/>
  <c r="AS186" i="95"/>
  <c r="AK54" i="84"/>
  <c r="AK61" i="84"/>
  <c r="AA5" i="95"/>
  <c r="W159" i="69"/>
  <c r="Z14" i="95"/>
  <c r="R22" i="74"/>
  <c r="Y23" i="95"/>
  <c r="AK66" i="84"/>
  <c r="AD199" i="84"/>
  <c r="Q110" i="90"/>
  <c r="Q111" i="90"/>
  <c r="AK62" i="84"/>
  <c r="BD194" i="95"/>
  <c r="AV206" i="69"/>
  <c r="AC192" i="84"/>
  <c r="AQ11" i="74"/>
  <c r="AD150" i="84"/>
  <c r="DU36" i="75"/>
  <c r="AC194" i="84"/>
  <c r="AQ5" i="74"/>
  <c r="S207" i="95"/>
  <c r="R200" i="90"/>
  <c r="AX54" i="95"/>
  <c r="DX5" i="75"/>
  <c r="BD149" i="95"/>
  <c r="Q209" i="89"/>
  <c r="DU18" i="75"/>
  <c r="O213" i="90"/>
  <c r="AA15" i="95"/>
  <c r="AX98" i="95"/>
  <c r="S29" i="75"/>
  <c r="AA25" i="95"/>
  <c r="S23" i="75"/>
  <c r="AL162" i="100"/>
  <c r="AP14" i="74"/>
  <c r="BI140" i="95"/>
  <c r="R16" i="74"/>
  <c r="AQ7" i="74"/>
  <c r="X38" i="95"/>
  <c r="DU21" i="75"/>
  <c r="AC150" i="84"/>
  <c r="AP159" i="69"/>
  <c r="AC143" i="84"/>
  <c r="R209" i="89"/>
  <c r="BB54" i="95"/>
  <c r="DU27" i="75"/>
  <c r="AT105" i="95"/>
  <c r="AP206" i="69"/>
  <c r="BB99" i="95"/>
  <c r="BC98" i="95"/>
  <c r="R110" i="90"/>
  <c r="AA27" i="95"/>
  <c r="Q103" i="90"/>
  <c r="X206" i="69"/>
  <c r="DU13" i="75"/>
  <c r="AC147" i="84"/>
  <c r="AG140" i="95"/>
  <c r="AT210" i="84"/>
  <c r="AC188" i="84"/>
  <c r="DX12" i="75"/>
  <c r="AD159" i="84"/>
  <c r="R25" i="74"/>
  <c r="R24" i="74"/>
  <c r="DU33" i="75"/>
  <c r="BI185" i="95"/>
  <c r="Y18" i="95"/>
  <c r="Z13" i="95"/>
  <c r="O166" i="90"/>
  <c r="AA30" i="95"/>
  <c r="R201" i="90"/>
  <c r="AC197" i="84"/>
  <c r="DX11" i="75"/>
  <c r="AK53" i="84"/>
  <c r="R24" i="75"/>
  <c r="DU25" i="75"/>
  <c r="DU31" i="75"/>
  <c r="DU23" i="75"/>
  <c r="AA10" i="95"/>
  <c r="R26" i="75"/>
  <c r="AD154" i="84"/>
  <c r="AX55" i="95"/>
  <c r="R198" i="90"/>
  <c r="AQ6" i="74"/>
  <c r="AD203" i="84"/>
  <c r="AR54" i="95"/>
  <c r="AK114" i="84"/>
  <c r="R30" i="74"/>
  <c r="H116" i="89"/>
  <c r="G116" i="89"/>
  <c r="Z5" i="95"/>
  <c r="Q104" i="90"/>
  <c r="AC148" i="84"/>
  <c r="BP94" i="69"/>
  <c r="AD70" i="84"/>
  <c r="AA18" i="95"/>
  <c r="AK115" i="84"/>
  <c r="DX6" i="75"/>
  <c r="S25" i="75"/>
  <c r="AD206" i="84"/>
  <c r="AK57" i="84"/>
  <c r="DU24" i="75"/>
  <c r="AA13" i="95"/>
  <c r="Z7" i="95"/>
  <c r="R208" i="90"/>
  <c r="AQ210" i="87"/>
  <c r="R27" i="75"/>
  <c r="R26" i="74"/>
  <c r="AK97" i="84"/>
  <c r="R29" i="74"/>
  <c r="I162" i="89"/>
  <c r="S159" i="69"/>
  <c r="Q213" i="90"/>
  <c r="AA26" i="95"/>
  <c r="AK52" i="84"/>
  <c r="AC198" i="84"/>
  <c r="DU35" i="75"/>
  <c r="AA22" i="95"/>
  <c r="X159" i="69"/>
  <c r="S30" i="75"/>
  <c r="DU28" i="75"/>
  <c r="R25" i="75"/>
  <c r="Y20" i="95"/>
  <c r="AC154" i="84"/>
  <c r="AX141" i="95"/>
  <c r="Z6" i="95"/>
  <c r="R165" i="90"/>
  <c r="X35" i="95"/>
  <c r="AP16" i="74"/>
  <c r="AC146" i="84"/>
  <c r="AQ115" i="94"/>
  <c r="AY194" i="95"/>
  <c r="R160" i="90"/>
  <c r="AA14" i="95"/>
  <c r="AS98" i="95"/>
  <c r="AD152" i="84"/>
  <c r="R156" i="90" s="1"/>
  <c r="Y19" i="95"/>
  <c r="AC187" i="84"/>
  <c r="Z12" i="95"/>
  <c r="BD61" i="95"/>
  <c r="Q149" i="90"/>
  <c r="AC206" i="69"/>
  <c r="AC159" i="69"/>
  <c r="AY149" i="95"/>
  <c r="DU37" i="75"/>
  <c r="S24" i="75"/>
  <c r="AT149" i="95"/>
  <c r="AQ12" i="74"/>
  <c r="P74" i="90"/>
  <c r="R29" i="75"/>
  <c r="BC54" i="95"/>
  <c r="R15" i="74"/>
  <c r="R199" i="90"/>
  <c r="AC195" i="84"/>
  <c r="AT194" i="95"/>
  <c r="AK111" i="84"/>
  <c r="AK102" i="87"/>
  <c r="X36" i="95"/>
  <c r="AP20" i="74"/>
  <c r="AK59" i="84"/>
  <c r="Y15" i="95"/>
  <c r="S26" i="75"/>
  <c r="O126" i="68"/>
  <c r="AP15" i="74"/>
  <c r="AD200" i="84"/>
  <c r="DU19" i="75"/>
  <c r="BD105" i="95"/>
  <c r="AK109" i="84"/>
  <c r="AC199" i="84"/>
  <c r="AC144" i="84"/>
  <c r="X34" i="95"/>
  <c r="X37" i="95"/>
  <c r="AQ163" i="87"/>
  <c r="R162" i="90"/>
  <c r="AD151" i="84"/>
  <c r="X32" i="95"/>
  <c r="Y16" i="95"/>
  <c r="Q112" i="90"/>
  <c r="AQ9" i="74"/>
  <c r="AX186" i="95"/>
  <c r="AC196" i="84"/>
  <c r="AA29" i="95"/>
  <c r="DX9" i="75"/>
  <c r="DU29" i="75"/>
  <c r="R21" i="74"/>
  <c r="AP17" i="74"/>
  <c r="DX7" i="75"/>
  <c r="DU30" i="75"/>
  <c r="Y22" i="95"/>
  <c r="R212" i="90"/>
  <c r="AD160" i="84"/>
  <c r="R164" i="90" s="1"/>
  <c r="DU16" i="75"/>
  <c r="AS141" i="95"/>
  <c r="S70" i="89"/>
  <c r="DU17" i="75"/>
  <c r="AP13" i="74"/>
  <c r="DU26" i="75"/>
  <c r="R161" i="90"/>
  <c r="AW54" i="95"/>
  <c r="AP28" i="74"/>
  <c r="AA8" i="95"/>
  <c r="AQ13" i="74"/>
  <c r="R209" i="90"/>
  <c r="AD153" i="84"/>
  <c r="R211" i="90"/>
  <c r="AA23" i="95"/>
  <c r="Q107" i="90"/>
  <c r="AK102" i="94"/>
  <c r="R153" i="90"/>
  <c r="R162" i="89"/>
  <c r="AK56" i="84"/>
  <c r="DU32" i="75"/>
  <c r="R18" i="74"/>
  <c r="Q74" i="90"/>
  <c r="AK64" i="84"/>
  <c r="DX4" i="75"/>
  <c r="S160" i="95"/>
  <c r="AK67" i="84"/>
  <c r="AV159" i="69"/>
  <c r="Q106" i="90"/>
  <c r="Z8" i="95"/>
  <c r="AC191" i="84"/>
  <c r="R17" i="74"/>
  <c r="R23" i="75"/>
  <c r="Z10" i="95"/>
  <c r="AP18" i="74"/>
  <c r="R30" i="75"/>
  <c r="R23" i="74"/>
  <c r="AA28" i="95"/>
  <c r="AK110" i="84"/>
  <c r="AP21" i="74"/>
  <c r="AK60" i="84"/>
  <c r="AT163" i="84"/>
  <c r="S28" i="75"/>
  <c r="AA31" i="95"/>
  <c r="DU14" i="75"/>
  <c r="AP22" i="74"/>
  <c r="AC142" i="84"/>
  <c r="AQ8" i="74"/>
  <c r="R19" i="74"/>
  <c r="AP24" i="74"/>
  <c r="DU22" i="75"/>
  <c r="BC141" i="95"/>
  <c r="AG185" i="95"/>
  <c r="AP25" i="74"/>
  <c r="DX8" i="75"/>
  <c r="DX10" i="75"/>
  <c r="AC189" i="84"/>
  <c r="S209" i="89"/>
  <c r="AC151" i="84"/>
  <c r="T209" i="89"/>
  <c r="R27" i="74"/>
  <c r="AA20" i="95"/>
  <c r="Q105" i="90"/>
  <c r="BB51" i="69"/>
  <c r="BC94" i="69"/>
  <c r="AK58" i="84"/>
  <c r="BP49" i="69"/>
  <c r="DU20" i="75"/>
  <c r="AP30" i="74"/>
  <c r="R70" i="89"/>
  <c r="DU34" i="75"/>
  <c r="AC190" i="84"/>
  <c r="Z9" i="95"/>
  <c r="AA7" i="95"/>
  <c r="AA19" i="95"/>
  <c r="AA12" i="95"/>
  <c r="AC149" i="84"/>
  <c r="R159" i="90"/>
  <c r="AY61" i="95"/>
  <c r="DU15" i="75"/>
  <c r="Y17" i="95"/>
  <c r="AS54" i="95"/>
  <c r="AQ10" i="74"/>
  <c r="AK112" i="84"/>
  <c r="AK98" i="84"/>
  <c r="AD201" i="84"/>
  <c r="AC153" i="84"/>
  <c r="S27" i="75"/>
  <c r="DX13" i="75"/>
  <c r="R202" i="90"/>
  <c r="R13" i="74"/>
  <c r="AP26" i="74"/>
  <c r="AA6" i="95"/>
  <c r="BB95" i="69"/>
  <c r="X33" i="95"/>
  <c r="AK63" i="84"/>
  <c r="AG186" i="95"/>
  <c r="AI152" i="84" l="1"/>
  <c r="AM110" i="90"/>
  <c r="BQ106" i="84"/>
  <c r="AI151" i="84"/>
  <c r="AI154" i="84"/>
  <c r="AH191" i="84"/>
  <c r="AL191" i="84"/>
  <c r="AI206" i="84"/>
  <c r="AI200" i="84"/>
  <c r="AI150" i="84"/>
  <c r="AI160" i="84"/>
  <c r="AI201" i="84"/>
  <c r="AL190" i="84"/>
  <c r="AH190" i="84"/>
  <c r="AM202" i="90"/>
  <c r="M116" i="89"/>
  <c r="L120" i="90"/>
  <c r="BS120" i="90" s="1"/>
  <c r="BE71" i="84"/>
  <c r="BM71" i="84" s="1"/>
  <c r="BD71" i="84"/>
  <c r="BL71" i="84" s="1"/>
  <c r="BC71" i="84"/>
  <c r="BK71" i="84" s="1"/>
  <c r="BB71" i="84"/>
  <c r="BJ71" i="84" s="1"/>
  <c r="AL104" i="90"/>
  <c r="AI203" i="84"/>
  <c r="AJ156" i="84"/>
  <c r="AJ158" i="84"/>
  <c r="AJ204" i="84"/>
  <c r="BP107" i="84"/>
  <c r="BP104" i="84"/>
  <c r="AJ202" i="84"/>
  <c r="BQ157" i="84"/>
  <c r="BP145" i="84"/>
  <c r="AJ205" i="84"/>
  <c r="AJ207" i="84"/>
  <c r="BQ149" i="84"/>
  <c r="AJ208" i="84"/>
  <c r="AJ103" i="84"/>
  <c r="BQ195" i="84"/>
  <c r="AJ161" i="84"/>
  <c r="BQ196" i="84"/>
  <c r="AJ102" i="84"/>
  <c r="AJ155" i="84"/>
  <c r="BQ197" i="84"/>
  <c r="BP108" i="84"/>
  <c r="AJ100" i="84"/>
  <c r="AJ99" i="84"/>
  <c r="BP101" i="84"/>
  <c r="AJ106" i="84"/>
  <c r="BQ198" i="84"/>
  <c r="BQ194" i="84"/>
  <c r="BP100" i="84"/>
  <c r="AI199" i="84"/>
  <c r="AM198" i="90"/>
  <c r="AI159" i="84"/>
  <c r="AH154" i="84"/>
  <c r="AL154" i="84"/>
  <c r="AI153" i="84"/>
  <c r="AH194" i="84"/>
  <c r="AL194" i="84"/>
  <c r="AL110" i="90"/>
  <c r="AM199" i="90"/>
  <c r="AH198" i="84"/>
  <c r="AL198" i="84"/>
  <c r="AL148" i="84"/>
  <c r="AH148" i="84"/>
  <c r="AH144" i="84"/>
  <c r="AL144" i="84"/>
  <c r="Z166" i="90"/>
  <c r="BU166" i="90" s="1"/>
  <c r="AM200" i="90"/>
  <c r="AM206" i="90"/>
  <c r="AM164" i="90"/>
  <c r="AM211" i="90"/>
  <c r="AM165" i="90"/>
  <c r="AM162" i="90"/>
  <c r="AL107" i="90"/>
  <c r="AH142" i="84"/>
  <c r="AL142" i="84"/>
  <c r="AL105" i="90"/>
  <c r="AM212" i="90"/>
  <c r="AM209" i="90"/>
  <c r="AM208" i="90"/>
  <c r="AM201" i="90"/>
  <c r="T97" i="95"/>
  <c r="K120" i="90"/>
  <c r="BR120" i="90" s="1"/>
  <c r="M120" i="90"/>
  <c r="BT120" i="90" s="1"/>
  <c r="AL213" i="90"/>
  <c r="M166" i="90"/>
  <c r="BT166" i="90" s="1"/>
  <c r="AL108" i="90"/>
  <c r="AK74" i="90"/>
  <c r="AL74" i="90"/>
  <c r="AK213" i="90"/>
  <c r="BS213" i="90"/>
  <c r="BP106" i="84"/>
  <c r="BR213" i="90"/>
  <c r="Z213" i="90"/>
  <c r="BU213" i="90" s="1"/>
  <c r="AJ213" i="90"/>
  <c r="AJ166" i="90"/>
  <c r="AK166" i="90"/>
  <c r="AJ101" i="84"/>
  <c r="BP103" i="84"/>
  <c r="AL112" i="90"/>
  <c r="AL111" i="90"/>
  <c r="BQ202" i="84"/>
  <c r="AJ104" i="84"/>
  <c r="BE54" i="95"/>
  <c r="AL149" i="90"/>
  <c r="AL103" i="90"/>
  <c r="AJ108" i="84"/>
  <c r="AM160" i="90"/>
  <c r="AL187" i="84"/>
  <c r="AH187" i="84"/>
  <c r="AJ145" i="84"/>
  <c r="BQ155" i="84"/>
  <c r="BE98" i="95"/>
  <c r="AM159" i="90"/>
  <c r="AJ107" i="84"/>
  <c r="BP99" i="84"/>
  <c r="AH199" i="84"/>
  <c r="AL199" i="84"/>
  <c r="AH149" i="84"/>
  <c r="AL149" i="84"/>
  <c r="AM153" i="90"/>
  <c r="AL106" i="90"/>
  <c r="H7" i="74"/>
  <c r="Y8" i="74"/>
  <c r="AD97" i="69"/>
  <c r="I7" i="74" s="1"/>
  <c r="AW52" i="69"/>
  <c r="EI7" i="75" s="1"/>
  <c r="I6" i="74"/>
  <c r="BQ94" i="69"/>
  <c r="BQ49" i="69"/>
  <c r="AL195" i="84"/>
  <c r="AH195" i="84"/>
  <c r="AM156" i="90"/>
  <c r="BL51" i="69"/>
  <c r="AH146" i="84"/>
  <c r="AL146" i="84"/>
  <c r="BK96" i="95"/>
  <c r="BL95" i="69"/>
  <c r="AH196" i="84"/>
  <c r="AL196" i="84"/>
  <c r="AH188" i="84"/>
  <c r="AL188" i="84"/>
  <c r="N116" i="89"/>
  <c r="I5" i="74"/>
  <c r="Z6" i="74"/>
  <c r="BQ156" i="84"/>
  <c r="BP102" i="84"/>
  <c r="AJ157" i="84"/>
  <c r="AH143" i="84"/>
  <c r="AH150" i="84"/>
  <c r="AH189" i="84"/>
  <c r="T54" i="95"/>
  <c r="AL143" i="84"/>
  <c r="AL150" i="84"/>
  <c r="AM161" i="90"/>
  <c r="AL189" i="84"/>
  <c r="AQ96" i="69"/>
  <c r="DO5" i="75"/>
  <c r="AL192" i="84"/>
  <c r="AH192" i="84"/>
  <c r="BE141" i="95"/>
  <c r="AL193" i="84"/>
  <c r="AH193" i="84"/>
  <c r="AL197" i="84"/>
  <c r="AH197" i="84"/>
  <c r="AI70" i="84"/>
  <c r="T141" i="95"/>
  <c r="AK97" i="69"/>
  <c r="I7" i="75" s="1"/>
  <c r="AH151" i="84"/>
  <c r="AH152" i="84"/>
  <c r="AW140" i="69"/>
  <c r="EK5" i="75" s="1"/>
  <c r="AL151" i="84"/>
  <c r="AL152" i="84"/>
  <c r="EL4" i="75"/>
  <c r="AH153" i="84"/>
  <c r="AL153" i="84"/>
  <c r="BE186" i="95"/>
  <c r="AW186" i="69"/>
  <c r="EL5" i="75"/>
  <c r="AW98" i="69"/>
  <c r="EJ7" i="75"/>
  <c r="AL147" i="84"/>
  <c r="AH147" i="84"/>
  <c r="H7" i="75"/>
  <c r="AK53" i="69"/>
  <c r="AK186" i="69"/>
  <c r="BL184" i="69"/>
  <c r="BL185" i="69" s="1"/>
  <c r="AB5" i="74"/>
  <c r="K4" i="74"/>
  <c r="K5" i="75"/>
  <c r="J116" i="89"/>
  <c r="N120" i="90" s="1"/>
  <c r="AJ113" i="69"/>
  <c r="BK140" i="95"/>
  <c r="N162" i="89"/>
  <c r="BK185" i="95"/>
  <c r="AQ185" i="69"/>
  <c r="O209" i="89"/>
  <c r="L116" i="89"/>
  <c r="AB6" i="74"/>
  <c r="K5" i="74"/>
  <c r="AD186" i="69"/>
  <c r="BL139" i="69"/>
  <c r="J4" i="74"/>
  <c r="AA5" i="74"/>
  <c r="AD140" i="69"/>
  <c r="DP4" i="75"/>
  <c r="AQ140" i="69"/>
  <c r="J5" i="75"/>
  <c r="AK141" i="69"/>
  <c r="AJ102" i="87"/>
  <c r="AJ102" i="94"/>
  <c r="BK207" i="69"/>
  <c r="BA210" i="84"/>
  <c r="BK160" i="69"/>
  <c r="BA163" i="84"/>
  <c r="Y9" i="74"/>
  <c r="AD54" i="69"/>
  <c r="H8" i="74"/>
  <c r="T188" i="95"/>
  <c r="AR71" i="84"/>
  <c r="DN8" i="75"/>
  <c r="AQ54" i="69"/>
  <c r="BR71" i="84"/>
  <c r="BT71" i="84" s="1"/>
  <c r="BN71" i="84" s="1"/>
  <c r="O162" i="89"/>
  <c r="E101" i="91"/>
  <c r="BZ102" i="84"/>
  <c r="CG102" i="84"/>
  <c r="C97" i="91"/>
  <c r="BX98" i="84"/>
  <c r="CE98" i="84"/>
  <c r="CI114" i="84"/>
  <c r="CB114" i="84"/>
  <c r="G113" i="91"/>
  <c r="CA106" i="84"/>
  <c r="F105" i="91"/>
  <c r="CH106" i="84"/>
  <c r="CF100" i="84"/>
  <c r="D99" i="91"/>
  <c r="BY100" i="84"/>
  <c r="R210" i="90"/>
  <c r="R35" i="74"/>
  <c r="S37" i="75"/>
  <c r="AK155" i="84"/>
  <c r="AR55" i="95"/>
  <c r="AP42" i="74"/>
  <c r="S15" i="74"/>
  <c r="AQ19" i="74"/>
  <c r="Q116" i="89"/>
  <c r="AA34" i="95"/>
  <c r="BP139" i="69"/>
  <c r="Q166" i="90"/>
  <c r="AQ17" i="74"/>
  <c r="R34" i="74"/>
  <c r="AS20" i="74"/>
  <c r="Q200" i="90"/>
  <c r="S114" i="95"/>
  <c r="BC142" i="95"/>
  <c r="DW4" i="75"/>
  <c r="R205" i="90"/>
  <c r="DV16" i="75"/>
  <c r="R157" i="90"/>
  <c r="Y28" i="95"/>
  <c r="Q148" i="90"/>
  <c r="S31" i="75"/>
  <c r="AR7" i="74"/>
  <c r="U7" i="74"/>
  <c r="AQ14" i="74"/>
  <c r="R37" i="74"/>
  <c r="AS16" i="74"/>
  <c r="U19" i="75"/>
  <c r="T11" i="74"/>
  <c r="U13" i="74"/>
  <c r="DU42" i="75"/>
  <c r="AW100" i="95"/>
  <c r="DW7" i="75"/>
  <c r="U15" i="74"/>
  <c r="AK104" i="84"/>
  <c r="Q156" i="90"/>
  <c r="DU39" i="75"/>
  <c r="AS187" i="95"/>
  <c r="AQ20" i="74"/>
  <c r="AR11" i="74"/>
  <c r="R39" i="74"/>
  <c r="AX56" i="95"/>
  <c r="T4" i="74"/>
  <c r="BP184" i="69"/>
  <c r="BP50" i="69"/>
  <c r="AS142" i="95"/>
  <c r="T15" i="75"/>
  <c r="S162" i="89"/>
  <c r="DV21" i="75"/>
  <c r="AS4" i="74"/>
  <c r="R154" i="90"/>
  <c r="DW9" i="75"/>
  <c r="S34" i="75"/>
  <c r="Y30" i="95"/>
  <c r="R158" i="90"/>
  <c r="BD195" i="95"/>
  <c r="DU38" i="75"/>
  <c r="AR5" i="74"/>
  <c r="R32" i="74"/>
  <c r="Y25" i="95"/>
  <c r="Y26" i="95"/>
  <c r="AS22" i="74"/>
  <c r="Q201" i="90"/>
  <c r="AP40" i="74"/>
  <c r="R36" i="75"/>
  <c r="Q191" i="90"/>
  <c r="AP34" i="74"/>
  <c r="AR13" i="74"/>
  <c r="Z20" i="95"/>
  <c r="AQ26" i="74"/>
  <c r="U5" i="74"/>
  <c r="AS5" i="74"/>
  <c r="AS15" i="74"/>
  <c r="U22" i="74"/>
  <c r="R203" i="90"/>
  <c r="Y24" i="95"/>
  <c r="AK103" i="84"/>
  <c r="U19" i="74"/>
  <c r="AS6" i="74"/>
  <c r="AS8" i="74"/>
  <c r="BB55" i="95"/>
  <c r="S23" i="74"/>
  <c r="Z23" i="95"/>
  <c r="AP33" i="74"/>
  <c r="S36" i="74"/>
  <c r="BB100" i="95"/>
  <c r="R155" i="90"/>
  <c r="T9" i="74"/>
  <c r="AS10" i="74"/>
  <c r="X41" i="95"/>
  <c r="X42" i="95"/>
  <c r="AS14" i="74"/>
  <c r="AK108" i="84"/>
  <c r="AW55" i="95"/>
  <c r="Z22" i="95"/>
  <c r="AK101" i="84"/>
  <c r="AB119" i="89"/>
  <c r="DV17" i="75"/>
  <c r="DU40" i="75"/>
  <c r="BC95" i="69"/>
  <c r="AT62" i="95"/>
  <c r="U16" i="75"/>
  <c r="Q198" i="90"/>
  <c r="AY106" i="95"/>
  <c r="AY107" i="95" s="1"/>
  <c r="U22" i="75"/>
  <c r="AS9" i="74"/>
  <c r="Q152" i="90"/>
  <c r="AK157" i="84"/>
  <c r="BD106" i="95"/>
  <c r="BD107" i="95" s="1"/>
  <c r="DW8" i="75"/>
  <c r="R36" i="74"/>
  <c r="DU41" i="75"/>
  <c r="AK100" i="84"/>
  <c r="T8" i="74"/>
  <c r="AY62" i="95"/>
  <c r="AL71" i="100"/>
  <c r="AP32" i="74"/>
  <c r="BQ114" i="95"/>
  <c r="BC52" i="69"/>
  <c r="S25" i="74"/>
  <c r="R38" i="74"/>
  <c r="AS18" i="74"/>
  <c r="BB185" i="69"/>
  <c r="R204" i="90"/>
  <c r="T6" i="74"/>
  <c r="AX99" i="95"/>
  <c r="U10" i="74"/>
  <c r="S28" i="74"/>
  <c r="Z15" i="95"/>
  <c r="P120" i="90"/>
  <c r="DV19" i="75"/>
  <c r="AT106" i="95"/>
  <c r="AP31" i="74"/>
  <c r="AA32" i="95"/>
  <c r="U14" i="75"/>
  <c r="AT117" i="84"/>
  <c r="AP39" i="74"/>
  <c r="AK158" i="84"/>
  <c r="S24" i="74"/>
  <c r="AA36" i="95"/>
  <c r="T16" i="75"/>
  <c r="U11" i="74"/>
  <c r="R31" i="74"/>
  <c r="R33" i="74"/>
  <c r="AV113" i="69"/>
  <c r="Q155" i="90"/>
  <c r="R34" i="75"/>
  <c r="AS55" i="95"/>
  <c r="AR12" i="74"/>
  <c r="Q199" i="90"/>
  <c r="DW10" i="75"/>
  <c r="AQ15" i="74"/>
  <c r="R40" i="74"/>
  <c r="Q153" i="90"/>
  <c r="S116" i="89"/>
  <c r="AQ28" i="74"/>
  <c r="O120" i="90"/>
  <c r="S30" i="74"/>
  <c r="DW13" i="75"/>
  <c r="BC139" i="69"/>
  <c r="AY195" i="95"/>
  <c r="U18" i="75"/>
  <c r="R31" i="75"/>
  <c r="AR4" i="74"/>
  <c r="DW12" i="75"/>
  <c r="AQ27" i="74"/>
  <c r="BD62" i="95"/>
  <c r="U17" i="74"/>
  <c r="X113" i="69"/>
  <c r="T5" i="74"/>
  <c r="X39" i="95"/>
  <c r="DV22" i="75"/>
  <c r="AS17" i="74"/>
  <c r="U18" i="74"/>
  <c r="S20" i="74"/>
  <c r="T20" i="75"/>
  <c r="AQ18" i="74"/>
  <c r="BC184" i="69"/>
  <c r="DV14" i="75"/>
  <c r="AK103" i="87"/>
  <c r="S14" i="74"/>
  <c r="S36" i="75"/>
  <c r="Q158" i="90"/>
  <c r="Q192" i="90"/>
  <c r="AP35" i="74"/>
  <c r="AS13" i="74"/>
  <c r="Q120" i="90"/>
  <c r="Q147" i="90"/>
  <c r="Q197" i="90"/>
  <c r="AC113" i="69"/>
  <c r="AQ22" i="74"/>
  <c r="AX187" i="95"/>
  <c r="S31" i="74"/>
  <c r="DW5" i="75"/>
  <c r="AG187" i="95"/>
  <c r="DV15" i="75"/>
  <c r="AR9" i="74"/>
  <c r="BC187" i="95"/>
  <c r="U9" i="74"/>
  <c r="T13" i="74"/>
  <c r="AQ21" i="74"/>
  <c r="BC55" i="95"/>
  <c r="DW6" i="75"/>
  <c r="S33" i="74"/>
  <c r="AA37" i="95"/>
  <c r="AD209" i="84"/>
  <c r="AK106" i="84"/>
  <c r="U6" i="74"/>
  <c r="U16" i="74"/>
  <c r="R116" i="89"/>
  <c r="S32" i="74"/>
  <c r="Q146" i="90"/>
  <c r="T18" i="75"/>
  <c r="S113" i="69"/>
  <c r="U21" i="74"/>
  <c r="X40" i="95"/>
  <c r="Q150" i="90"/>
  <c r="DV20" i="75"/>
  <c r="S33" i="75"/>
  <c r="BD150" i="95"/>
  <c r="Y29" i="95"/>
  <c r="T116" i="89"/>
  <c r="U20" i="75"/>
  <c r="AQ30" i="74"/>
  <c r="AR10" i="74"/>
  <c r="U17" i="75"/>
  <c r="Z18" i="95"/>
  <c r="AQ24" i="74"/>
  <c r="U20" i="74"/>
  <c r="AK156" i="84"/>
  <c r="T21" i="75"/>
  <c r="T17" i="75"/>
  <c r="S29" i="74"/>
  <c r="BB140" i="69"/>
  <c r="Q194" i="90"/>
  <c r="AK205" i="84"/>
  <c r="S32" i="75"/>
  <c r="AK204" i="84"/>
  <c r="S22" i="74"/>
  <c r="S19" i="74"/>
  <c r="S34" i="74"/>
  <c r="DV18" i="75"/>
  <c r="AQ29" i="74"/>
  <c r="AS21" i="74"/>
  <c r="S37" i="74"/>
  <c r="AR6" i="74"/>
  <c r="R41" i="74"/>
  <c r="Q154" i="90"/>
  <c r="T19" i="75"/>
  <c r="Z21" i="95"/>
  <c r="Y31" i="95"/>
  <c r="T7" i="74"/>
  <c r="R42" i="74"/>
  <c r="U8" i="74"/>
  <c r="U15" i="75"/>
  <c r="AK102" i="84"/>
  <c r="AS7" i="74"/>
  <c r="Z16" i="95"/>
  <c r="U12" i="74"/>
  <c r="R163" i="90"/>
  <c r="AQ16" i="74"/>
  <c r="T12" i="74"/>
  <c r="AQ26" i="87"/>
  <c r="U14" i="74"/>
  <c r="AS19" i="74"/>
  <c r="Q151" i="90"/>
  <c r="AP38" i="74"/>
  <c r="Q195" i="90"/>
  <c r="AQ23" i="74"/>
  <c r="AA33" i="95"/>
  <c r="U21" i="75"/>
  <c r="R74" i="90"/>
  <c r="Z19" i="95"/>
  <c r="W113" i="69"/>
  <c r="AA35" i="95"/>
  <c r="S21" i="74"/>
  <c r="AS12" i="74"/>
  <c r="R32" i="75"/>
  <c r="Z17" i="95"/>
  <c r="S26" i="74"/>
  <c r="R33" i="75"/>
  <c r="AS99" i="95"/>
  <c r="AR8" i="74"/>
  <c r="S18" i="74"/>
  <c r="S27" i="74"/>
  <c r="T10" i="74"/>
  <c r="AT150" i="95"/>
  <c r="U4" i="74"/>
  <c r="R207" i="90"/>
  <c r="AY150" i="95"/>
  <c r="AT195" i="95"/>
  <c r="BI97" i="95"/>
  <c r="S16" i="74"/>
  <c r="AP37" i="74"/>
  <c r="AQ117" i="87"/>
  <c r="T14" i="75"/>
  <c r="Q203" i="90"/>
  <c r="Y27" i="95"/>
  <c r="DW11" i="75"/>
  <c r="X43" i="95"/>
  <c r="R35" i="75"/>
  <c r="Q202" i="90"/>
  <c r="AK207" i="84"/>
  <c r="AK103" i="94"/>
  <c r="AK208" i="84"/>
  <c r="Q193" i="90"/>
  <c r="AG96" i="95"/>
  <c r="S17" i="74"/>
  <c r="AX142" i="95"/>
  <c r="AP113" i="69"/>
  <c r="S35" i="75"/>
  <c r="AT107" i="95"/>
  <c r="AP41" i="74"/>
  <c r="AR99" i="95"/>
  <c r="AR100" i="95" s="1"/>
  <c r="BC99" i="95"/>
  <c r="Q157" i="90"/>
  <c r="AP36" i="74"/>
  <c r="R37" i="75"/>
  <c r="Q196" i="90"/>
  <c r="AS11" i="74"/>
  <c r="AQ25" i="74"/>
  <c r="T22" i="75"/>
  <c r="S35" i="74"/>
  <c r="AD162" i="84"/>
  <c r="BB96" i="69"/>
  <c r="AK145" i="84"/>
  <c r="AK107" i="84"/>
  <c r="AK202" i="84"/>
  <c r="AK99" i="84"/>
  <c r="AK161" i="84"/>
  <c r="AJ206" i="84" l="1"/>
  <c r="BQ154" i="84"/>
  <c r="BV71" i="84"/>
  <c r="BQ152" i="84"/>
  <c r="AM158" i="90"/>
  <c r="AM210" i="90"/>
  <c r="AM204" i="90"/>
  <c r="AM154" i="90"/>
  <c r="AL195" i="90"/>
  <c r="AM155" i="90"/>
  <c r="AJ200" i="84"/>
  <c r="BQ200" i="84"/>
  <c r="AM205" i="90"/>
  <c r="BQ150" i="84"/>
  <c r="BP191" i="84"/>
  <c r="BQ151" i="84"/>
  <c r="AJ191" i="84"/>
  <c r="AL194" i="90"/>
  <c r="BQ201" i="84"/>
  <c r="AJ160" i="84"/>
  <c r="AJ201" i="84"/>
  <c r="AJ190" i="84"/>
  <c r="BP190" i="84"/>
  <c r="AO75" i="90"/>
  <c r="AM207" i="90"/>
  <c r="AM163" i="90"/>
  <c r="AM203" i="90"/>
  <c r="AK120" i="90"/>
  <c r="AJ203" i="84"/>
  <c r="BC163" i="84"/>
  <c r="BK163" i="84" s="1"/>
  <c r="BB163" i="84"/>
  <c r="BJ163" i="84" s="1"/>
  <c r="BE163" i="84"/>
  <c r="BM163" i="84" s="1"/>
  <c r="BD163" i="84"/>
  <c r="BL163" i="84" s="1"/>
  <c r="BE210" i="84"/>
  <c r="BM210" i="84" s="1"/>
  <c r="BD210" i="84"/>
  <c r="BL210" i="84" s="1"/>
  <c r="BB210" i="84"/>
  <c r="BJ210" i="84" s="1"/>
  <c r="BC210" i="84"/>
  <c r="BK210" i="84" s="1"/>
  <c r="AL158" i="90"/>
  <c r="BP147" i="84"/>
  <c r="BP152" i="84"/>
  <c r="BP197" i="84"/>
  <c r="AJ159" i="84"/>
  <c r="BP151" i="84"/>
  <c r="BP149" i="84"/>
  <c r="BP198" i="84"/>
  <c r="BQ153" i="84"/>
  <c r="BP193" i="84"/>
  <c r="BP188" i="84"/>
  <c r="AJ142" i="84"/>
  <c r="AJ70" i="84"/>
  <c r="AJ187" i="84"/>
  <c r="AJ189" i="84"/>
  <c r="BP146" i="84"/>
  <c r="BP195" i="84"/>
  <c r="BP199" i="84"/>
  <c r="AJ144" i="84"/>
  <c r="BQ199" i="84"/>
  <c r="AJ192" i="84"/>
  <c r="BP150" i="84"/>
  <c r="AJ196" i="84"/>
  <c r="AJ148" i="84"/>
  <c r="AJ143" i="84"/>
  <c r="BP194" i="84"/>
  <c r="BP154" i="84"/>
  <c r="AJ198" i="84"/>
  <c r="AM157" i="90"/>
  <c r="AL198" i="90"/>
  <c r="AJ154" i="84"/>
  <c r="AJ153" i="84"/>
  <c r="BP142" i="84"/>
  <c r="AJ194" i="84"/>
  <c r="BP148" i="84"/>
  <c r="AL152" i="90"/>
  <c r="AL146" i="90"/>
  <c r="BP144" i="84"/>
  <c r="AL202" i="90"/>
  <c r="AL148" i="90"/>
  <c r="AM74" i="90"/>
  <c r="AL196" i="90"/>
  <c r="AL197" i="90"/>
  <c r="AL203" i="90"/>
  <c r="AL200" i="90"/>
  <c r="AL199" i="90"/>
  <c r="AL193" i="90"/>
  <c r="AL201" i="90"/>
  <c r="AL192" i="90"/>
  <c r="T98" i="95"/>
  <c r="AQ75" i="90"/>
  <c r="Z120" i="90"/>
  <c r="BU120" i="90" s="1"/>
  <c r="AJ120" i="90"/>
  <c r="AL166" i="90"/>
  <c r="BE55" i="95"/>
  <c r="AL120" i="90"/>
  <c r="AR75" i="90"/>
  <c r="BO71" i="84"/>
  <c r="AP75" i="90"/>
  <c r="BE99" i="95"/>
  <c r="AL191" i="90"/>
  <c r="BP187" i="84"/>
  <c r="AL153" i="90"/>
  <c r="AD98" i="69"/>
  <c r="Z9" i="74" s="1"/>
  <c r="AJ199" i="84"/>
  <c r="BK97" i="95"/>
  <c r="AL150" i="90"/>
  <c r="AJ149" i="84"/>
  <c r="Z8" i="74"/>
  <c r="AW53" i="69"/>
  <c r="AJ195" i="84"/>
  <c r="BQ50" i="69"/>
  <c r="AJ146" i="84"/>
  <c r="BP143" i="84"/>
  <c r="BL52" i="69"/>
  <c r="AL147" i="90"/>
  <c r="AL154" i="90"/>
  <c r="AJ150" i="84"/>
  <c r="BL96" i="69"/>
  <c r="BE142" i="95"/>
  <c r="BP196" i="84"/>
  <c r="AJ188" i="84"/>
  <c r="AJ197" i="84"/>
  <c r="AJ193" i="84"/>
  <c r="BP189" i="84"/>
  <c r="T55" i="95"/>
  <c r="AI209" i="84"/>
  <c r="DO6" i="75"/>
  <c r="AQ97" i="69"/>
  <c r="AK98" i="69"/>
  <c r="I8" i="75" s="1"/>
  <c r="AW141" i="69"/>
  <c r="AW142" i="69" s="1"/>
  <c r="AJ151" i="84"/>
  <c r="AL156" i="90"/>
  <c r="AL155" i="90"/>
  <c r="BP192" i="84"/>
  <c r="BE187" i="95"/>
  <c r="AL157" i="90"/>
  <c r="T142" i="95"/>
  <c r="AJ152" i="84"/>
  <c r="AI162" i="84"/>
  <c r="BP153" i="84"/>
  <c r="AJ147" i="84"/>
  <c r="AW187" i="69"/>
  <c r="EL6" i="75"/>
  <c r="AW99" i="69"/>
  <c r="EJ8" i="75"/>
  <c r="AL151" i="90"/>
  <c r="BR210" i="84"/>
  <c r="BT210" i="84" s="1"/>
  <c r="BN210" i="84" s="1"/>
  <c r="AK54" i="69"/>
  <c r="H8" i="75"/>
  <c r="BQ184" i="69"/>
  <c r="AK187" i="69"/>
  <c r="K6" i="75"/>
  <c r="BR163" i="84"/>
  <c r="BT163" i="84" s="1"/>
  <c r="BN163" i="84" s="1"/>
  <c r="AR163" i="84"/>
  <c r="AQ186" i="69"/>
  <c r="DQ5" i="75"/>
  <c r="O116" i="89"/>
  <c r="AR210" i="84"/>
  <c r="BQ139" i="69"/>
  <c r="DP5" i="75"/>
  <c r="AQ141" i="69"/>
  <c r="AD187" i="69"/>
  <c r="BL186" i="69"/>
  <c r="K6" i="74"/>
  <c r="AB7" i="74"/>
  <c r="AD141" i="69"/>
  <c r="BL140" i="69"/>
  <c r="J5" i="74"/>
  <c r="AA6" i="74"/>
  <c r="AK142" i="69"/>
  <c r="J6" i="75"/>
  <c r="AJ103" i="94"/>
  <c r="AJ103" i="87"/>
  <c r="BK114" i="69"/>
  <c r="BA117" i="84"/>
  <c r="BQ71" i="84"/>
  <c r="DN9" i="75"/>
  <c r="AQ55" i="69"/>
  <c r="BP71" i="84"/>
  <c r="T189" i="95"/>
  <c r="H9" i="74"/>
  <c r="AD55" i="69"/>
  <c r="Y10" i="74"/>
  <c r="BX99" i="84"/>
  <c r="CE99" i="84"/>
  <c r="C98" i="91"/>
  <c r="F106" i="91"/>
  <c r="CH107" i="84"/>
  <c r="CA107" i="84"/>
  <c r="E102" i="91"/>
  <c r="BZ103" i="84"/>
  <c r="CG103" i="84"/>
  <c r="BY101" i="84"/>
  <c r="CF101" i="84"/>
  <c r="D100" i="91"/>
  <c r="CI115" i="84"/>
  <c r="G114" i="91"/>
  <c r="CB115" i="84"/>
  <c r="AK206" i="84"/>
  <c r="AY196" i="95"/>
  <c r="U26" i="75"/>
  <c r="T18" i="74"/>
  <c r="AG141" i="95"/>
  <c r="AX188" i="95"/>
  <c r="T21" i="74"/>
  <c r="R44" i="74"/>
  <c r="AR22" i="74"/>
  <c r="T26" i="75"/>
  <c r="U30" i="74"/>
  <c r="AK152" i="84"/>
  <c r="U23" i="75"/>
  <c r="H71" i="89"/>
  <c r="AT151" i="95"/>
  <c r="AQ42" i="74"/>
  <c r="BP51" i="69"/>
  <c r="AL163" i="100"/>
  <c r="DX19" i="75"/>
  <c r="Z30" i="95"/>
  <c r="DV28" i="75"/>
  <c r="AS27" i="74"/>
  <c r="DV30" i="75"/>
  <c r="R40" i="75"/>
  <c r="AX100" i="95"/>
  <c r="BB186" i="69"/>
  <c r="AR15" i="74"/>
  <c r="DU43" i="75"/>
  <c r="AA40" i="95"/>
  <c r="R45" i="74"/>
  <c r="Y36" i="95"/>
  <c r="BB56" i="95"/>
  <c r="U25" i="75"/>
  <c r="DX17" i="75"/>
  <c r="T22" i="74"/>
  <c r="AR16" i="74"/>
  <c r="U28" i="75"/>
  <c r="DX15" i="75"/>
  <c r="DX22" i="75"/>
  <c r="AT63" i="95"/>
  <c r="Z25" i="95"/>
  <c r="AK191" i="84"/>
  <c r="AW56" i="95"/>
  <c r="DV25" i="75"/>
  <c r="AS28" i="74"/>
  <c r="AK198" i="84"/>
  <c r="BC143" i="95"/>
  <c r="DU46" i="75"/>
  <c r="AK142" i="84"/>
  <c r="AW101" i="95"/>
  <c r="R46" i="74"/>
  <c r="DX20" i="75"/>
  <c r="DW19" i="75"/>
  <c r="AS23" i="74"/>
  <c r="DV24" i="75"/>
  <c r="BP95" i="69"/>
  <c r="AS100" i="95"/>
  <c r="R43" i="74"/>
  <c r="AK160" i="84"/>
  <c r="AX143" i="95"/>
  <c r="AS143" i="95"/>
  <c r="O81" i="68"/>
  <c r="I71" i="89"/>
  <c r="BD63" i="95"/>
  <c r="AL210" i="100"/>
  <c r="BD108" i="95"/>
  <c r="DU45" i="75"/>
  <c r="AS56" i="95"/>
  <c r="AS188" i="95"/>
  <c r="AK200" i="84"/>
  <c r="BB141" i="69"/>
  <c r="DW20" i="75"/>
  <c r="BB101" i="95"/>
  <c r="DW22" i="75"/>
  <c r="AK203" i="84"/>
  <c r="Z31" i="95"/>
  <c r="AQ40" i="74"/>
  <c r="AQ36" i="74"/>
  <c r="AK148" i="84"/>
  <c r="T27" i="75"/>
  <c r="AK197" i="84"/>
  <c r="AG53" i="95"/>
  <c r="U29" i="75"/>
  <c r="DV27" i="75"/>
  <c r="AG97" i="95"/>
  <c r="AR18" i="74"/>
  <c r="T30" i="75"/>
  <c r="AQ33" i="74"/>
  <c r="AK201" i="84"/>
  <c r="Y37" i="95"/>
  <c r="AP46" i="74"/>
  <c r="AK149" i="84"/>
  <c r="AK153" i="84"/>
  <c r="Z27" i="95"/>
  <c r="AA38" i="95"/>
  <c r="X45" i="95"/>
  <c r="U26" i="74"/>
  <c r="AK151" i="84"/>
  <c r="AK193" i="84"/>
  <c r="S42" i="75"/>
  <c r="DV26" i="75"/>
  <c r="T23" i="75"/>
  <c r="AS26" i="74"/>
  <c r="AK195" i="84"/>
  <c r="DW18" i="75"/>
  <c r="T16" i="74"/>
  <c r="AR56" i="95"/>
  <c r="AT196" i="95"/>
  <c r="R39" i="75"/>
  <c r="BD151" i="95"/>
  <c r="AR19" i="74"/>
  <c r="DU44" i="75"/>
  <c r="AR101" i="95"/>
  <c r="DW15" i="75"/>
  <c r="AQ37" i="74"/>
  <c r="AK189" i="84"/>
  <c r="AR20" i="74"/>
  <c r="AQ72" i="87"/>
  <c r="AK150" i="84"/>
  <c r="BD196" i="95"/>
  <c r="T20" i="74"/>
  <c r="AK199" i="84"/>
  <c r="AX57" i="95"/>
  <c r="X47" i="95"/>
  <c r="BC56" i="95"/>
  <c r="BI186" i="95"/>
  <c r="BC185" i="69"/>
  <c r="G71" i="89"/>
  <c r="AA41" i="95"/>
  <c r="AK154" i="84"/>
  <c r="DW16" i="75"/>
  <c r="AA42" i="95"/>
  <c r="DW21" i="75"/>
  <c r="U28" i="74"/>
  <c r="DX14" i="75"/>
  <c r="T17" i="74"/>
  <c r="R38" i="75"/>
  <c r="U30" i="75"/>
  <c r="S39" i="75"/>
  <c r="T24" i="75"/>
  <c r="DW14" i="75"/>
  <c r="U23" i="74"/>
  <c r="T25" i="75"/>
  <c r="Y38" i="95"/>
  <c r="BC96" i="69"/>
  <c r="U25" i="74"/>
  <c r="X46" i="95"/>
  <c r="Y34" i="95"/>
  <c r="BC140" i="69"/>
  <c r="AQ38" i="74"/>
  <c r="Z28" i="95"/>
  <c r="U27" i="74"/>
  <c r="AK146" i="84"/>
  <c r="H210" i="89"/>
  <c r="AQ34" i="74"/>
  <c r="AK143" i="84"/>
  <c r="AT72" i="84"/>
  <c r="AR17" i="74"/>
  <c r="S41" i="75"/>
  <c r="AK196" i="84"/>
  <c r="AK188" i="84"/>
  <c r="DX16" i="75"/>
  <c r="AK144" i="84"/>
  <c r="AK70" i="84"/>
  <c r="S38" i="75"/>
  <c r="AS24" i="74"/>
  <c r="DW17" i="75"/>
  <c r="Y33" i="95"/>
  <c r="T15" i="74"/>
  <c r="AK159" i="84"/>
  <c r="AK190" i="84"/>
  <c r="DV29" i="75"/>
  <c r="BP185" i="69"/>
  <c r="AK192" i="84"/>
  <c r="R166" i="90"/>
  <c r="AQ31" i="74"/>
  <c r="U24" i="75"/>
  <c r="AT108" i="95"/>
  <c r="AP43" i="74"/>
  <c r="AK187" i="84"/>
  <c r="G210" i="89"/>
  <c r="BB52" i="69"/>
  <c r="R41" i="75"/>
  <c r="BC188" i="95"/>
  <c r="DV23" i="75"/>
  <c r="DX21" i="75"/>
  <c r="AD116" i="84"/>
  <c r="Y35" i="95"/>
  <c r="T19" i="74"/>
  <c r="AK194" i="84"/>
  <c r="AY151" i="95"/>
  <c r="R42" i="75"/>
  <c r="AA39" i="95"/>
  <c r="BC100" i="95"/>
  <c r="AR14" i="74"/>
  <c r="H163" i="89"/>
  <c r="AY108" i="95"/>
  <c r="U29" i="74"/>
  <c r="AP45" i="74"/>
  <c r="T14" i="74"/>
  <c r="AK104" i="94"/>
  <c r="Z29" i="95"/>
  <c r="Z26" i="95"/>
  <c r="AQ41" i="74"/>
  <c r="AQ32" i="74"/>
  <c r="T28" i="75"/>
  <c r="AQ39" i="74"/>
  <c r="U27" i="75"/>
  <c r="Z24" i="95"/>
  <c r="AS25" i="74"/>
  <c r="X44" i="95"/>
  <c r="R213" i="90"/>
  <c r="T29" i="75"/>
  <c r="AR21" i="74"/>
  <c r="U24" i="74"/>
  <c r="AS30" i="74"/>
  <c r="AQ35" i="74"/>
  <c r="AK104" i="87"/>
  <c r="AK147" i="84"/>
  <c r="AP44" i="74"/>
  <c r="BI141" i="95"/>
  <c r="Y32" i="95"/>
  <c r="DX18" i="75"/>
  <c r="AS29" i="74"/>
  <c r="S40" i="75"/>
  <c r="AY63" i="95"/>
  <c r="G163" i="89"/>
  <c r="BV163" i="84" l="1"/>
  <c r="BV210" i="84"/>
  <c r="K75" i="90"/>
  <c r="Z75" i="90" s="1"/>
  <c r="L71" i="89"/>
  <c r="AR117" i="84"/>
  <c r="BE117" i="84"/>
  <c r="BM117" i="84" s="1"/>
  <c r="BD117" i="84"/>
  <c r="BL117" i="84" s="1"/>
  <c r="BC117" i="84"/>
  <c r="BK117" i="84" s="1"/>
  <c r="BB117" i="84"/>
  <c r="BJ117" i="84" s="1"/>
  <c r="AJ162" i="84"/>
  <c r="AJ209" i="84"/>
  <c r="AJ68" i="69"/>
  <c r="J71" i="89"/>
  <c r="O71" i="89" s="1"/>
  <c r="N71" i="89"/>
  <c r="M75" i="90"/>
  <c r="BE56" i="95"/>
  <c r="AM213" i="90"/>
  <c r="AI116" i="84"/>
  <c r="AM166" i="90"/>
  <c r="BE100" i="95"/>
  <c r="T99" i="95"/>
  <c r="AQ167" i="90"/>
  <c r="AP214" i="90"/>
  <c r="AP167" i="90"/>
  <c r="AO214" i="90"/>
  <c r="AQ214" i="90"/>
  <c r="AO167" i="90"/>
  <c r="L214" i="90"/>
  <c r="BS214" i="90" s="1"/>
  <c r="L167" i="90"/>
  <c r="BS167" i="90" s="1"/>
  <c r="L75" i="90"/>
  <c r="BS75" i="90" s="1"/>
  <c r="K214" i="90"/>
  <c r="BR214" i="90" s="1"/>
  <c r="K167" i="90"/>
  <c r="BR167" i="90" s="1"/>
  <c r="AR214" i="90"/>
  <c r="AR167" i="90"/>
  <c r="AD99" i="69"/>
  <c r="AD100" i="69" s="1"/>
  <c r="I8" i="74"/>
  <c r="BE143" i="95"/>
  <c r="AW54" i="69"/>
  <c r="EI8" i="75"/>
  <c r="AK99" i="69"/>
  <c r="AK100" i="69" s="1"/>
  <c r="BQ51" i="69"/>
  <c r="BL53" i="69"/>
  <c r="BQ95" i="69"/>
  <c r="BL97" i="69"/>
  <c r="BK141" i="95"/>
  <c r="T56" i="95"/>
  <c r="AQ98" i="69"/>
  <c r="DO7" i="75"/>
  <c r="EK6" i="75"/>
  <c r="BK186" i="95"/>
  <c r="BE188" i="95"/>
  <c r="T143" i="95"/>
  <c r="M71" i="89"/>
  <c r="AW100" i="69"/>
  <c r="EJ9" i="75"/>
  <c r="AW188" i="69"/>
  <c r="EL7" i="75"/>
  <c r="AW143" i="69"/>
  <c r="EK7" i="75"/>
  <c r="AK55" i="69"/>
  <c r="H9" i="75"/>
  <c r="AK188" i="69"/>
  <c r="K7" i="75"/>
  <c r="DQ6" i="75"/>
  <c r="AQ187" i="69"/>
  <c r="BQ185" i="69"/>
  <c r="AQ142" i="69"/>
  <c r="DP6" i="75"/>
  <c r="AD188" i="69"/>
  <c r="AB8" i="74"/>
  <c r="K7" i="74"/>
  <c r="BL187" i="69"/>
  <c r="AD142" i="69"/>
  <c r="J6" i="74"/>
  <c r="AA7" i="74"/>
  <c r="BL141" i="69"/>
  <c r="J7" i="75"/>
  <c r="AK143" i="69"/>
  <c r="AJ104" i="94"/>
  <c r="AJ104" i="87"/>
  <c r="L210" i="89"/>
  <c r="M163" i="89"/>
  <c r="M210" i="89"/>
  <c r="BK69" i="69"/>
  <c r="BA72" i="84"/>
  <c r="L163" i="89"/>
  <c r="BR117" i="84"/>
  <c r="BT117" i="84" s="1"/>
  <c r="BN117" i="84" s="1"/>
  <c r="BO163" i="84"/>
  <c r="BP163" i="84"/>
  <c r="BP210" i="84"/>
  <c r="T190" i="95"/>
  <c r="BQ210" i="84"/>
  <c r="BO210" i="84"/>
  <c r="AQ56" i="69"/>
  <c r="DN10" i="75"/>
  <c r="BQ163" i="84"/>
  <c r="H10" i="74"/>
  <c r="Y11" i="74"/>
  <c r="AD56" i="69"/>
  <c r="D101" i="91"/>
  <c r="CF102" i="84"/>
  <c r="BY102" i="84"/>
  <c r="CH108" i="84"/>
  <c r="CA108" i="84"/>
  <c r="F107" i="91"/>
  <c r="CB116" i="84"/>
  <c r="CI116" i="84"/>
  <c r="G115" i="91"/>
  <c r="E103" i="91"/>
  <c r="CG104" i="84"/>
  <c r="BZ104" i="84"/>
  <c r="C99" i="91"/>
  <c r="CE100" i="84"/>
  <c r="BX100" i="84"/>
  <c r="AU34" i="94"/>
  <c r="AA46" i="95"/>
  <c r="DX24" i="75"/>
  <c r="W68" i="69"/>
  <c r="AU57" i="94"/>
  <c r="R44" i="75"/>
  <c r="DU50" i="75"/>
  <c r="AV115" i="94"/>
  <c r="U31" i="75"/>
  <c r="AV66" i="94"/>
  <c r="S71" i="89"/>
  <c r="AU30" i="94"/>
  <c r="AU61" i="94"/>
  <c r="AU88" i="94"/>
  <c r="BC144" i="95"/>
  <c r="X52" i="95"/>
  <c r="AV43" i="94"/>
  <c r="R48" i="74"/>
  <c r="T33" i="75"/>
  <c r="AU10" i="94"/>
  <c r="G117" i="89"/>
  <c r="AU100" i="94"/>
  <c r="AU12" i="94"/>
  <c r="T24" i="74"/>
  <c r="AU82" i="94"/>
  <c r="AX144" i="95"/>
  <c r="AU37" i="94"/>
  <c r="AR28" i="74"/>
  <c r="AV19" i="94"/>
  <c r="T36" i="75"/>
  <c r="AT53" i="94"/>
  <c r="AV83" i="94"/>
  <c r="AV64" i="94"/>
  <c r="AS189" i="95"/>
  <c r="T32" i="75"/>
  <c r="BB57" i="95"/>
  <c r="U32" i="74"/>
  <c r="AT152" i="95"/>
  <c r="DX30" i="75"/>
  <c r="AV37" i="94"/>
  <c r="AU81" i="94"/>
  <c r="AX189" i="95"/>
  <c r="BC186" i="69"/>
  <c r="AX58" i="95"/>
  <c r="R47" i="74"/>
  <c r="AU85" i="94"/>
  <c r="AU110" i="94"/>
  <c r="AU107" i="94"/>
  <c r="AG98" i="87"/>
  <c r="AV62" i="94"/>
  <c r="T35" i="75"/>
  <c r="AX101" i="95"/>
  <c r="AV87" i="94"/>
  <c r="AU11" i="94"/>
  <c r="O75" i="90"/>
  <c r="R71" i="89"/>
  <c r="AV22" i="94"/>
  <c r="U34" i="75"/>
  <c r="AP48" i="74"/>
  <c r="AR25" i="74"/>
  <c r="AU62" i="94"/>
  <c r="AG100" i="87"/>
  <c r="AT197" i="95"/>
  <c r="AU103" i="94"/>
  <c r="AP68" i="69"/>
  <c r="DU48" i="75"/>
  <c r="BI187" i="95"/>
  <c r="AV39" i="94"/>
  <c r="S39" i="74"/>
  <c r="AU53" i="94"/>
  <c r="AR29" i="74"/>
  <c r="U36" i="75"/>
  <c r="AV23" i="94"/>
  <c r="R49" i="74"/>
  <c r="Y43" i="95"/>
  <c r="AV61" i="94"/>
  <c r="T34" i="75"/>
  <c r="AV14" i="94"/>
  <c r="T29" i="74"/>
  <c r="R45" i="75"/>
  <c r="AV92" i="94"/>
  <c r="AG104" i="87"/>
  <c r="AU38" i="94"/>
  <c r="AU104" i="94"/>
  <c r="AV63" i="94"/>
  <c r="AU15" i="94"/>
  <c r="R163" i="89"/>
  <c r="AU77" i="94"/>
  <c r="AS144" i="95"/>
  <c r="DU47" i="75"/>
  <c r="Y42" i="95"/>
  <c r="AR30" i="74"/>
  <c r="AU13" i="94"/>
  <c r="DX26" i="75"/>
  <c r="AU79" i="94"/>
  <c r="AG142" i="95"/>
  <c r="AU109" i="94"/>
  <c r="Y41" i="95"/>
  <c r="AA44" i="95"/>
  <c r="AW102" i="95"/>
  <c r="AA43" i="95"/>
  <c r="S41" i="74"/>
  <c r="AU63" i="94"/>
  <c r="Z32" i="95"/>
  <c r="AU7" i="94"/>
  <c r="AU14" i="94"/>
  <c r="S42" i="74"/>
  <c r="AV60" i="94"/>
  <c r="Q210" i="89"/>
  <c r="AU32" i="94"/>
  <c r="AV109" i="94"/>
  <c r="AU102" i="94"/>
  <c r="AV15" i="94"/>
  <c r="DX29" i="75"/>
  <c r="AV65" i="94"/>
  <c r="U35" i="74"/>
  <c r="S40" i="74"/>
  <c r="BD109" i="95"/>
  <c r="AQ211" i="87"/>
  <c r="AL117" i="100"/>
  <c r="AV67" i="94"/>
  <c r="AV42" i="94"/>
  <c r="DW24" i="75"/>
  <c r="X50" i="95"/>
  <c r="BP96" i="69"/>
  <c r="O214" i="90"/>
  <c r="AU64" i="94"/>
  <c r="AA45" i="95"/>
  <c r="AT64" i="95"/>
  <c r="T31" i="75"/>
  <c r="S68" i="69"/>
  <c r="DW26" i="75"/>
  <c r="AU58" i="94"/>
  <c r="AG94" i="87"/>
  <c r="AV114" i="94"/>
  <c r="AP49" i="74"/>
  <c r="AC68" i="69"/>
  <c r="AG95" i="87"/>
  <c r="BI142" i="95"/>
  <c r="AU78" i="94"/>
  <c r="AV40" i="94"/>
  <c r="T28" i="74"/>
  <c r="DV31" i="75"/>
  <c r="DU52" i="75"/>
  <c r="BD152" i="95"/>
  <c r="AU40" i="94"/>
  <c r="AU9" i="94"/>
  <c r="AV113" i="94"/>
  <c r="AV44" i="94"/>
  <c r="AU83" i="94"/>
  <c r="AV91" i="94"/>
  <c r="T71" i="89"/>
  <c r="T25" i="74"/>
  <c r="BB97" i="69"/>
  <c r="Y40" i="95"/>
  <c r="AY152" i="95"/>
  <c r="AG93" i="87"/>
  <c r="U35" i="75"/>
  <c r="AV108" i="94"/>
  <c r="AU54" i="94"/>
  <c r="AP50" i="74"/>
  <c r="AU41" i="94"/>
  <c r="DV37" i="75"/>
  <c r="DW23" i="75"/>
  <c r="AV107" i="94"/>
  <c r="DU51" i="75"/>
  <c r="AR24" i="74"/>
  <c r="U33" i="74"/>
  <c r="Q71" i="89"/>
  <c r="AT211" i="84"/>
  <c r="AR26" i="74"/>
  <c r="O167" i="90"/>
  <c r="AK105" i="94"/>
  <c r="AR102" i="95"/>
  <c r="BD197" i="95"/>
  <c r="DX27" i="75"/>
  <c r="AG97" i="87"/>
  <c r="AV21" i="94"/>
  <c r="AV112" i="94"/>
  <c r="Z35" i="95"/>
  <c r="AU105" i="94"/>
  <c r="R120" i="90"/>
  <c r="AU108" i="94"/>
  <c r="BP186" i="69"/>
  <c r="AU60" i="94"/>
  <c r="AU36" i="94"/>
  <c r="AG99" i="87"/>
  <c r="AG105" i="87"/>
  <c r="R210" i="89"/>
  <c r="AU111" i="94"/>
  <c r="AU31" i="94"/>
  <c r="DW30" i="75"/>
  <c r="BC53" i="69"/>
  <c r="DW25" i="75"/>
  <c r="AK209" i="84"/>
  <c r="AK162" i="84"/>
  <c r="P167" i="90"/>
  <c r="Z36" i="95"/>
  <c r="BC57" i="95"/>
  <c r="S38" i="74"/>
  <c r="S69" i="95"/>
  <c r="DW27" i="75"/>
  <c r="AU19" i="94"/>
  <c r="AS34" i="74"/>
  <c r="X48" i="95"/>
  <c r="X49" i="95"/>
  <c r="R46" i="75"/>
  <c r="AG92" i="87"/>
  <c r="U33" i="75"/>
  <c r="AY197" i="95"/>
  <c r="AT30" i="94"/>
  <c r="DV35" i="75"/>
  <c r="BP140" i="69"/>
  <c r="AU65" i="94"/>
  <c r="AV38" i="94"/>
  <c r="AV18" i="94"/>
  <c r="X51" i="95"/>
  <c r="AP51" i="74"/>
  <c r="R52" i="74"/>
  <c r="AU59" i="94"/>
  <c r="AT109" i="95"/>
  <c r="AP52" i="74"/>
  <c r="AU106" i="94"/>
  <c r="I210" i="89"/>
  <c r="AP47" i="74"/>
  <c r="BC189" i="95"/>
  <c r="BC190" i="95" s="1"/>
  <c r="AV69" i="94"/>
  <c r="DW29" i="75"/>
  <c r="AS36" i="74"/>
  <c r="AV41" i="94"/>
  <c r="AU56" i="94"/>
  <c r="I163" i="89"/>
  <c r="AV17" i="94"/>
  <c r="R50" i="74"/>
  <c r="AU80" i="94"/>
  <c r="AV86" i="94"/>
  <c r="AG188" i="95"/>
  <c r="BC101" i="95"/>
  <c r="R51" i="74"/>
  <c r="T23" i="74"/>
  <c r="AU99" i="94"/>
  <c r="AV110" i="94"/>
  <c r="AV84" i="94"/>
  <c r="Y39" i="95"/>
  <c r="Z33" i="95"/>
  <c r="AT7" i="94"/>
  <c r="Q163" i="89"/>
  <c r="AU33" i="94"/>
  <c r="AU87" i="94"/>
  <c r="P75" i="90"/>
  <c r="U32" i="75"/>
  <c r="AG103" i="87"/>
  <c r="T30" i="74"/>
  <c r="AV111" i="94"/>
  <c r="AW57" i="95"/>
  <c r="DX28" i="75"/>
  <c r="Z37" i="95"/>
  <c r="O220" i="68"/>
  <c r="AU35" i="94"/>
  <c r="AV46" i="94"/>
  <c r="O173" i="68"/>
  <c r="AU18" i="94"/>
  <c r="AU76" i="94"/>
  <c r="DV34" i="75"/>
  <c r="AS33" i="74"/>
  <c r="U34" i="74"/>
  <c r="DV33" i="75"/>
  <c r="AU101" i="94"/>
  <c r="DX23" i="75"/>
  <c r="AU17" i="94"/>
  <c r="AU39" i="94"/>
  <c r="AS57" i="95"/>
  <c r="AV68" i="94"/>
  <c r="P214" i="90"/>
  <c r="AS101" i="95"/>
  <c r="AY109" i="95"/>
  <c r="AV88" i="94"/>
  <c r="AG96" i="87"/>
  <c r="AR57" i="95"/>
  <c r="AU8" i="94"/>
  <c r="AY64" i="95"/>
  <c r="AV45" i="94"/>
  <c r="DV36" i="75"/>
  <c r="AS35" i="74"/>
  <c r="AU86" i="94"/>
  <c r="BD64" i="95"/>
  <c r="U36" i="74"/>
  <c r="DV32" i="75"/>
  <c r="DU49" i="75"/>
  <c r="AG101" i="87"/>
  <c r="AG102" i="87"/>
  <c r="AU16" i="94"/>
  <c r="U31" i="74"/>
  <c r="AS32" i="74"/>
  <c r="AV16" i="94"/>
  <c r="AK105" i="87"/>
  <c r="X53" i="95"/>
  <c r="AR23" i="74"/>
  <c r="AV68" i="69"/>
  <c r="X68" i="69"/>
  <c r="BB102" i="95"/>
  <c r="AU55" i="94"/>
  <c r="AV106" i="94"/>
  <c r="AS31" i="74"/>
  <c r="BC141" i="69"/>
  <c r="BI98" i="95"/>
  <c r="Q75" i="90"/>
  <c r="AR27" i="74"/>
  <c r="AV20" i="94"/>
  <c r="T26" i="74"/>
  <c r="Z34" i="95"/>
  <c r="AV85" i="94"/>
  <c r="DX25" i="75"/>
  <c r="AV89" i="94"/>
  <c r="AU42" i="94"/>
  <c r="AV90" i="94"/>
  <c r="R43" i="75"/>
  <c r="T27" i="74"/>
  <c r="DW28" i="75"/>
  <c r="AU84" i="94"/>
  <c r="BV117" i="84" l="1"/>
  <c r="Y103" i="87"/>
  <c r="Y104" i="87"/>
  <c r="Y105" i="87"/>
  <c r="AJ75" i="90"/>
  <c r="BR75" i="90"/>
  <c r="BB72" i="84"/>
  <c r="BJ72" i="84" s="1"/>
  <c r="BE72" i="84"/>
  <c r="BM72" i="84" s="1"/>
  <c r="BD72" i="84"/>
  <c r="BL72" i="84" s="1"/>
  <c r="BC72" i="84"/>
  <c r="BK72" i="84" s="1"/>
  <c r="Y102" i="87"/>
  <c r="AJ116" i="84"/>
  <c r="Y99" i="87"/>
  <c r="Y93" i="87"/>
  <c r="Y92" i="87"/>
  <c r="Y94" i="87"/>
  <c r="Y96" i="87"/>
  <c r="Y101" i="87"/>
  <c r="Y98" i="87"/>
  <c r="Y97" i="87"/>
  <c r="Y100" i="87"/>
  <c r="Y95" i="87"/>
  <c r="AM120" i="90"/>
  <c r="N75" i="90"/>
  <c r="BU75" i="90" s="1"/>
  <c r="BE57" i="95"/>
  <c r="M214" i="90"/>
  <c r="N210" i="89"/>
  <c r="AJ160" i="69"/>
  <c r="J163" i="89"/>
  <c r="O163" i="89" s="1"/>
  <c r="J210" i="89"/>
  <c r="O210" i="89" s="1"/>
  <c r="AJ207" i="69"/>
  <c r="BE101" i="95"/>
  <c r="AL75" i="90"/>
  <c r="BT75" i="90"/>
  <c r="BK98" i="95"/>
  <c r="T100" i="95"/>
  <c r="Z167" i="90"/>
  <c r="AQ121" i="90"/>
  <c r="Z214" i="90"/>
  <c r="AP121" i="90"/>
  <c r="AO121" i="90"/>
  <c r="AJ214" i="90"/>
  <c r="K121" i="90"/>
  <c r="BR121" i="90" s="1"/>
  <c r="M167" i="90"/>
  <c r="BT167" i="90" s="1"/>
  <c r="AK167" i="90"/>
  <c r="AK214" i="90"/>
  <c r="AK75" i="90"/>
  <c r="AJ167" i="90"/>
  <c r="AR121" i="90"/>
  <c r="BO117" i="84"/>
  <c r="I9" i="74"/>
  <c r="Z10" i="74"/>
  <c r="BE144" i="95"/>
  <c r="BK142" i="95"/>
  <c r="AW55" i="69"/>
  <c r="EI9" i="75"/>
  <c r="I9" i="75"/>
  <c r="BL54" i="69"/>
  <c r="BQ96" i="69"/>
  <c r="BL98" i="69"/>
  <c r="BE189" i="95"/>
  <c r="T57" i="95"/>
  <c r="AQ99" i="69"/>
  <c r="DO8" i="75"/>
  <c r="N163" i="89"/>
  <c r="BK187" i="95"/>
  <c r="T144" i="95"/>
  <c r="BQ117" i="84"/>
  <c r="AW54" i="94"/>
  <c r="AW78" i="94"/>
  <c r="AW56" i="94"/>
  <c r="AW46" i="94"/>
  <c r="AW189" i="69"/>
  <c r="EL8" i="75"/>
  <c r="AW144" i="69"/>
  <c r="EK8" i="75"/>
  <c r="AW101" i="69"/>
  <c r="EJ10" i="75"/>
  <c r="AW57" i="94"/>
  <c r="AW43" i="94"/>
  <c r="AW11" i="94"/>
  <c r="AW90" i="94"/>
  <c r="AW20" i="94"/>
  <c r="AW23" i="94"/>
  <c r="AW9" i="94"/>
  <c r="AW35" i="94"/>
  <c r="H10" i="75"/>
  <c r="AK56" i="69"/>
  <c r="K8" i="75"/>
  <c r="AK189" i="69"/>
  <c r="AW19" i="94"/>
  <c r="AW36" i="94"/>
  <c r="AW91" i="94"/>
  <c r="AW102" i="94"/>
  <c r="AW60" i="94"/>
  <c r="AW69" i="94"/>
  <c r="AW58" i="94"/>
  <c r="AW30" i="94"/>
  <c r="AW12" i="94"/>
  <c r="AW84" i="94"/>
  <c r="AW85" i="94"/>
  <c r="AW100" i="94"/>
  <c r="AW82" i="94"/>
  <c r="AW34" i="94"/>
  <c r="AW106" i="94"/>
  <c r="AW63" i="94"/>
  <c r="AW15" i="94"/>
  <c r="AW99" i="94"/>
  <c r="AW13" i="94"/>
  <c r="AW111" i="94"/>
  <c r="AW62" i="94"/>
  <c r="AW77" i="94"/>
  <c r="AW53" i="94"/>
  <c r="AW45" i="94"/>
  <c r="AW89" i="94"/>
  <c r="AW105" i="94"/>
  <c r="AW39" i="94"/>
  <c r="AW59" i="94"/>
  <c r="AW66" i="94"/>
  <c r="AW79" i="94"/>
  <c r="AW38" i="94"/>
  <c r="AW14" i="94"/>
  <c r="AW7" i="94"/>
  <c r="AW44" i="94"/>
  <c r="AW17" i="94"/>
  <c r="AW22" i="94"/>
  <c r="AW68" i="94"/>
  <c r="AW32" i="94"/>
  <c r="AW10" i="94"/>
  <c r="AW55" i="94"/>
  <c r="DQ7" i="75"/>
  <c r="AQ188" i="69"/>
  <c r="AR72" i="84"/>
  <c r="AW40" i="94"/>
  <c r="AW80" i="94"/>
  <c r="AW104" i="94"/>
  <c r="AW61" i="94"/>
  <c r="AW107" i="94"/>
  <c r="AW65" i="94"/>
  <c r="AW41" i="94"/>
  <c r="AW67" i="94"/>
  <c r="AW110" i="94"/>
  <c r="AW76" i="94"/>
  <c r="AW108" i="94"/>
  <c r="AW33" i="94"/>
  <c r="AW87" i="94"/>
  <c r="AW103" i="94"/>
  <c r="AW83" i="94"/>
  <c r="AW88" i="94"/>
  <c r="AW42" i="94"/>
  <c r="AW37" i="94"/>
  <c r="BR72" i="84"/>
  <c r="BT72" i="84" s="1"/>
  <c r="BN72" i="84" s="1"/>
  <c r="BQ140" i="69"/>
  <c r="AW81" i="94"/>
  <c r="AW86" i="94"/>
  <c r="AW8" i="94"/>
  <c r="AW64" i="94"/>
  <c r="AW109" i="94"/>
  <c r="AW21" i="94"/>
  <c r="AW18" i="94"/>
  <c r="AW31" i="94"/>
  <c r="AW101" i="94"/>
  <c r="AW16" i="94"/>
  <c r="BQ186" i="69"/>
  <c r="AK144" i="69"/>
  <c r="J8" i="75"/>
  <c r="DP7" i="75"/>
  <c r="AQ143" i="69"/>
  <c r="J7" i="74"/>
  <c r="AA8" i="74"/>
  <c r="AD143" i="69"/>
  <c r="BL142" i="69"/>
  <c r="BL188" i="69"/>
  <c r="AB9" i="74"/>
  <c r="K8" i="74"/>
  <c r="AD189" i="69"/>
  <c r="AJ105" i="94"/>
  <c r="AJ105" i="87"/>
  <c r="AW92" i="94"/>
  <c r="AW114" i="94"/>
  <c r="AW112" i="94"/>
  <c r="AW115" i="94"/>
  <c r="AW113" i="94"/>
  <c r="BA211" i="84"/>
  <c r="BK208" i="69"/>
  <c r="L117" i="89"/>
  <c r="I10" i="75"/>
  <c r="AK101" i="69"/>
  <c r="AD101" i="69"/>
  <c r="I10" i="74"/>
  <c r="Z11" i="74"/>
  <c r="AD57" i="69"/>
  <c r="H11" i="74"/>
  <c r="Y12" i="74"/>
  <c r="DN11" i="75"/>
  <c r="AQ57" i="69"/>
  <c r="BP117" i="84"/>
  <c r="T191" i="95"/>
  <c r="C100" i="91"/>
  <c r="CE101" i="84"/>
  <c r="BX101" i="84"/>
  <c r="F108" i="91"/>
  <c r="CA109" i="84"/>
  <c r="CH109" i="84"/>
  <c r="BZ105" i="84"/>
  <c r="E104" i="91"/>
  <c r="CG105" i="84"/>
  <c r="CB117" i="84"/>
  <c r="G116" i="91"/>
  <c r="CI117" i="84"/>
  <c r="CF103" i="84"/>
  <c r="BY103" i="84"/>
  <c r="D102" i="91"/>
  <c r="AS145" i="95"/>
  <c r="BB77" i="94"/>
  <c r="BB37" i="94"/>
  <c r="Z38" i="95"/>
  <c r="BB30" i="94"/>
  <c r="T31" i="74"/>
  <c r="AQ51" i="74"/>
  <c r="DW36" i="75"/>
  <c r="T163" i="89"/>
  <c r="U41" i="75"/>
  <c r="AT164" i="84"/>
  <c r="BB53" i="69"/>
  <c r="AC160" i="69"/>
  <c r="BB55" i="94"/>
  <c r="U37" i="74"/>
  <c r="AP53" i="74"/>
  <c r="X55" i="95"/>
  <c r="BB106" i="94"/>
  <c r="R55" i="74"/>
  <c r="S51" i="74"/>
  <c r="X160" i="69"/>
  <c r="AS40" i="74"/>
  <c r="Z43" i="95"/>
  <c r="AK116" i="84"/>
  <c r="S50" i="74"/>
  <c r="DV42" i="75"/>
  <c r="DU53" i="75"/>
  <c r="BB10" i="94"/>
  <c r="S207" i="69"/>
  <c r="DX35" i="75"/>
  <c r="BB187" i="69"/>
  <c r="AR32" i="74"/>
  <c r="AG98" i="95"/>
  <c r="BB58" i="95"/>
  <c r="DX31" i="75"/>
  <c r="AR31" i="74"/>
  <c r="AQ48" i="74"/>
  <c r="S49" i="74"/>
  <c r="X207" i="69"/>
  <c r="R53" i="74"/>
  <c r="BB98" i="69"/>
  <c r="G72" i="89"/>
  <c r="S163" i="89"/>
  <c r="Y47" i="95"/>
  <c r="AA48" i="95"/>
  <c r="AG54" i="95"/>
  <c r="BC145" i="95"/>
  <c r="BB101" i="94"/>
  <c r="S43" i="75"/>
  <c r="BB13" i="94"/>
  <c r="DW35" i="75"/>
  <c r="BB82" i="94"/>
  <c r="U41" i="74"/>
  <c r="BB103" i="95"/>
  <c r="BB7" i="94"/>
  <c r="S49" i="75"/>
  <c r="AV207" i="69"/>
  <c r="T39" i="75"/>
  <c r="DV40" i="75"/>
  <c r="BB79" i="94"/>
  <c r="X54" i="95"/>
  <c r="AP56" i="74"/>
  <c r="AP54" i="74"/>
  <c r="S160" i="69"/>
  <c r="T40" i="75"/>
  <c r="H117" i="89"/>
  <c r="R54" i="74"/>
  <c r="O121" i="90"/>
  <c r="BD65" i="95"/>
  <c r="DU54" i="75"/>
  <c r="U38" i="75"/>
  <c r="S48" i="75"/>
  <c r="S46" i="75"/>
  <c r="Q117" i="89"/>
  <c r="R56" i="74"/>
  <c r="AT118" i="84"/>
  <c r="DX33" i="75"/>
  <c r="Q167" i="90"/>
  <c r="AX190" i="95"/>
  <c r="BB84" i="94"/>
  <c r="BB31" i="94"/>
  <c r="BD153" i="95"/>
  <c r="AQ118" i="87"/>
  <c r="S208" i="95"/>
  <c r="AD71" i="84"/>
  <c r="S210" i="89"/>
  <c r="AS41" i="74"/>
  <c r="AQ46" i="74"/>
  <c r="DV41" i="75"/>
  <c r="BB103" i="94"/>
  <c r="Q214" i="90"/>
  <c r="AT153" i="95"/>
  <c r="BB12" i="94"/>
  <c r="BB108" i="94"/>
  <c r="DW33" i="75"/>
  <c r="BB78" i="94"/>
  <c r="AY65" i="95"/>
  <c r="BB11" i="94"/>
  <c r="AR35" i="74"/>
  <c r="AS190" i="95"/>
  <c r="S50" i="75"/>
  <c r="AY153" i="95"/>
  <c r="AQ45" i="74"/>
  <c r="BB142" i="69"/>
  <c r="AS37" i="74"/>
  <c r="T34" i="74"/>
  <c r="AA52" i="95"/>
  <c r="S43" i="74"/>
  <c r="AY154" i="95"/>
  <c r="AR34" i="74"/>
  <c r="DU55" i="75"/>
  <c r="AQ164" i="87"/>
  <c r="BC102" i="95"/>
  <c r="U39" i="74"/>
  <c r="BB39" i="94"/>
  <c r="BB59" i="95"/>
  <c r="AR33" i="74"/>
  <c r="Z40" i="95"/>
  <c r="AA50" i="95"/>
  <c r="BB59" i="94"/>
  <c r="BB76" i="94"/>
  <c r="BB35" i="94"/>
  <c r="R75" i="90"/>
  <c r="BD198" i="95"/>
  <c r="AQ44" i="74"/>
  <c r="AX145" i="95"/>
  <c r="BC191" i="95"/>
  <c r="BB83" i="94"/>
  <c r="DX34" i="75"/>
  <c r="BB14" i="94"/>
  <c r="AQ47" i="74"/>
  <c r="BD154" i="95"/>
  <c r="S48" i="74"/>
  <c r="S46" i="74"/>
  <c r="BB62" i="94"/>
  <c r="BB58" i="94"/>
  <c r="T36" i="74"/>
  <c r="S45" i="75"/>
  <c r="R51" i="75"/>
  <c r="AQ49" i="74"/>
  <c r="U37" i="75"/>
  <c r="Y44" i="95"/>
  <c r="Y45" i="95"/>
  <c r="BB15" i="94"/>
  <c r="BB107" i="94"/>
  <c r="R52" i="75"/>
  <c r="BB81" i="94"/>
  <c r="AA47" i="95"/>
  <c r="BC97" i="69"/>
  <c r="U40" i="74"/>
  <c r="DV38" i="75"/>
  <c r="AC207" i="69"/>
  <c r="DV39" i="75"/>
  <c r="BB33" i="94"/>
  <c r="AA49" i="95"/>
  <c r="O82" i="68"/>
  <c r="R47" i="75"/>
  <c r="AT198" i="95"/>
  <c r="U39" i="75"/>
  <c r="AS38" i="74"/>
  <c r="AW103" i="95"/>
  <c r="AW58" i="95"/>
  <c r="BB8" i="94"/>
  <c r="AR103" i="95"/>
  <c r="BB100" i="94"/>
  <c r="U40" i="75"/>
  <c r="X56" i="95"/>
  <c r="W207" i="69"/>
  <c r="Z41" i="95"/>
  <c r="T42" i="75"/>
  <c r="AK106" i="94"/>
  <c r="BB85" i="94"/>
  <c r="S44" i="74"/>
  <c r="BD110" i="95"/>
  <c r="BP52" i="69"/>
  <c r="BB16" i="94"/>
  <c r="AT110" i="95"/>
  <c r="AS146" i="95"/>
  <c r="BB38" i="94"/>
  <c r="T35" i="74"/>
  <c r="BB53" i="94"/>
  <c r="DX36" i="75"/>
  <c r="AR58" i="95"/>
  <c r="BB32" i="94"/>
  <c r="T41" i="75"/>
  <c r="W160" i="69"/>
  <c r="AT65" i="95"/>
  <c r="AX59" i="95"/>
  <c r="S52" i="75"/>
  <c r="R49" i="75"/>
  <c r="U38" i="74"/>
  <c r="Y46" i="95"/>
  <c r="DW31" i="75"/>
  <c r="AQ43" i="74"/>
  <c r="S52" i="74"/>
  <c r="BB102" i="94"/>
  <c r="T37" i="75"/>
  <c r="BC58" i="95"/>
  <c r="AP55" i="74"/>
  <c r="BB61" i="94"/>
  <c r="T210" i="89"/>
  <c r="BB34" i="94"/>
  <c r="AQ50" i="74"/>
  <c r="AV160" i="69"/>
  <c r="BB9" i="94"/>
  <c r="AQ27" i="87"/>
  <c r="BP141" i="69"/>
  <c r="S44" i="75"/>
  <c r="AP160" i="69"/>
  <c r="DW32" i="75"/>
  <c r="AS58" i="95"/>
  <c r="BB105" i="94"/>
  <c r="AP207" i="69"/>
  <c r="S51" i="75"/>
  <c r="I117" i="89"/>
  <c r="T32" i="74"/>
  <c r="R50" i="75"/>
  <c r="BB99" i="94"/>
  <c r="BB104" i="94"/>
  <c r="AR36" i="74"/>
  <c r="DW34" i="75"/>
  <c r="AS39" i="74"/>
  <c r="Z42" i="95"/>
  <c r="BB57" i="94"/>
  <c r="S161" i="95"/>
  <c r="AK106" i="87"/>
  <c r="T33" i="74"/>
  <c r="AY198" i="95"/>
  <c r="S47" i="75"/>
  <c r="O127" i="68"/>
  <c r="BB36" i="94"/>
  <c r="AL72" i="100"/>
  <c r="X57" i="95"/>
  <c r="AY110" i="95"/>
  <c r="T38" i="75"/>
  <c r="DX32" i="75"/>
  <c r="Z39" i="95"/>
  <c r="AQ52" i="74"/>
  <c r="AS102" i="95"/>
  <c r="BB54" i="94"/>
  <c r="AA51" i="95"/>
  <c r="S47" i="74"/>
  <c r="AX102" i="95"/>
  <c r="R48" i="75"/>
  <c r="DU56" i="75"/>
  <c r="BB60" i="94"/>
  <c r="BB80" i="94"/>
  <c r="BB56" i="94"/>
  <c r="S45" i="74"/>
  <c r="BV72" i="84" l="1"/>
  <c r="AI71" i="84"/>
  <c r="BQ72" i="84"/>
  <c r="AR76" i="90"/>
  <c r="BR211" i="84"/>
  <c r="BT211" i="84" s="1"/>
  <c r="BN211" i="84" s="1"/>
  <c r="BB211" i="84"/>
  <c r="BD211" i="84"/>
  <c r="BL211" i="84" s="1"/>
  <c r="BC211" i="84"/>
  <c r="BK211" i="84" s="1"/>
  <c r="BE211" i="84"/>
  <c r="BM211" i="84" s="1"/>
  <c r="J72" i="89"/>
  <c r="O72" i="89" s="1"/>
  <c r="AJ69" i="69"/>
  <c r="BE58" i="95"/>
  <c r="BE102" i="95"/>
  <c r="AL214" i="90"/>
  <c r="N167" i="90"/>
  <c r="BU167" i="90" s="1"/>
  <c r="BT214" i="90"/>
  <c r="N214" i="90"/>
  <c r="BU214" i="90" s="1"/>
  <c r="AM75" i="90"/>
  <c r="T101" i="95"/>
  <c r="AO76" i="90"/>
  <c r="Z121" i="90"/>
  <c r="L121" i="90"/>
  <c r="BS121" i="90" s="1"/>
  <c r="K76" i="90"/>
  <c r="Z76" i="90" s="1"/>
  <c r="AL167" i="90"/>
  <c r="BE145" i="95"/>
  <c r="AJ121" i="90"/>
  <c r="M121" i="90"/>
  <c r="BT121" i="90" s="1"/>
  <c r="AQ76" i="90"/>
  <c r="BO72" i="84"/>
  <c r="AP76" i="90"/>
  <c r="AW56" i="69"/>
  <c r="EI10" i="75"/>
  <c r="BQ52" i="69"/>
  <c r="BE190" i="95"/>
  <c r="BL55" i="69"/>
  <c r="BL99" i="69"/>
  <c r="T58" i="95"/>
  <c r="AQ100" i="69"/>
  <c r="DO9" i="75"/>
  <c r="N117" i="89"/>
  <c r="T145" i="95"/>
  <c r="AW145" i="69"/>
  <c r="EK9" i="75"/>
  <c r="AW102" i="69"/>
  <c r="EJ11" i="75"/>
  <c r="AW190" i="69"/>
  <c r="EL9" i="75"/>
  <c r="M117" i="89"/>
  <c r="BP72" i="84"/>
  <c r="AK57" i="69"/>
  <c r="H11" i="75"/>
  <c r="AR211" i="84"/>
  <c r="AK190" i="69"/>
  <c r="K9" i="75"/>
  <c r="AJ114" i="69"/>
  <c r="J117" i="89"/>
  <c r="N121" i="90" s="1"/>
  <c r="AQ189" i="69"/>
  <c r="DQ8" i="75"/>
  <c r="L72" i="89"/>
  <c r="BQ141" i="69"/>
  <c r="AQ144" i="69"/>
  <c r="DP8" i="75"/>
  <c r="J9" i="75"/>
  <c r="AK145" i="69"/>
  <c r="K9" i="74"/>
  <c r="AD190" i="69"/>
  <c r="AB10" i="74"/>
  <c r="BL189" i="69"/>
  <c r="J8" i="74"/>
  <c r="AA9" i="74"/>
  <c r="AD144" i="69"/>
  <c r="BL143" i="69"/>
  <c r="AJ106" i="87"/>
  <c r="AJ106" i="94"/>
  <c r="BA164" i="84"/>
  <c r="BK161" i="69"/>
  <c r="BA118" i="84"/>
  <c r="BK115" i="69"/>
  <c r="T192" i="95"/>
  <c r="H12" i="74"/>
  <c r="AD58" i="69"/>
  <c r="Y13" i="74"/>
  <c r="AQ58" i="69"/>
  <c r="DN12" i="75"/>
  <c r="I11" i="75"/>
  <c r="AK102" i="69"/>
  <c r="AD102" i="69"/>
  <c r="Z12" i="74"/>
  <c r="I11" i="74"/>
  <c r="CH110" i="84"/>
  <c r="CA110" i="84"/>
  <c r="F109" i="91"/>
  <c r="G117" i="91"/>
  <c r="CI118" i="84"/>
  <c r="CB118" i="84"/>
  <c r="BZ106" i="84"/>
  <c r="CG106" i="84"/>
  <c r="E105" i="91"/>
  <c r="D103" i="91"/>
  <c r="BY104" i="84"/>
  <c r="CF104" i="84"/>
  <c r="CE102" i="84"/>
  <c r="BX102" i="84"/>
  <c r="C101" i="91"/>
  <c r="AS59" i="95"/>
  <c r="S55" i="74"/>
  <c r="AS44" i="74"/>
  <c r="DW39" i="75"/>
  <c r="AD210" i="84"/>
  <c r="DU61" i="75"/>
  <c r="AG143" i="95"/>
  <c r="AR39" i="74"/>
  <c r="U43" i="74"/>
  <c r="DW42" i="75"/>
  <c r="Y51" i="95"/>
  <c r="DU62" i="75"/>
  <c r="DX39" i="75"/>
  <c r="X114" i="69"/>
  <c r="AY199" i="95"/>
  <c r="AV69" i="69"/>
  <c r="AW59" i="95"/>
  <c r="AT154" i="95"/>
  <c r="AA55" i="95"/>
  <c r="AQ54" i="74"/>
  <c r="BD199" i="95"/>
  <c r="R56" i="75"/>
  <c r="DW37" i="75"/>
  <c r="AY66" i="95"/>
  <c r="AS147" i="95"/>
  <c r="DV43" i="75"/>
  <c r="R57" i="74"/>
  <c r="AR59" i="95"/>
  <c r="R54" i="75"/>
  <c r="BD66" i="95"/>
  <c r="T72" i="89"/>
  <c r="AX191" i="95"/>
  <c r="X63" i="95"/>
  <c r="O76" i="90"/>
  <c r="U42" i="74"/>
  <c r="AS60" i="95"/>
  <c r="S54" i="75"/>
  <c r="DX38" i="75"/>
  <c r="AR37" i="74"/>
  <c r="BD111" i="95"/>
  <c r="T38" i="74"/>
  <c r="X62" i="95"/>
  <c r="U45" i="75"/>
  <c r="AQ55" i="74"/>
  <c r="R58" i="74"/>
  <c r="R62" i="74"/>
  <c r="T42" i="74"/>
  <c r="X69" i="69"/>
  <c r="Z46" i="95"/>
  <c r="BI188" i="95"/>
  <c r="DU58" i="75"/>
  <c r="Y49" i="95"/>
  <c r="T117" i="89"/>
  <c r="BC54" i="69"/>
  <c r="DV46" i="75"/>
  <c r="AR40" i="74"/>
  <c r="Y120" i="89"/>
  <c r="Z44" i="95"/>
  <c r="AX192" i="95"/>
  <c r="AK107" i="87"/>
  <c r="DW40" i="75"/>
  <c r="S117" i="89"/>
  <c r="Y52" i="95"/>
  <c r="S53" i="74"/>
  <c r="S114" i="69"/>
  <c r="T41" i="74"/>
  <c r="W69" i="69"/>
  <c r="S55" i="75"/>
  <c r="AK107" i="94"/>
  <c r="Y50" i="95"/>
  <c r="T44" i="75"/>
  <c r="P121" i="90"/>
  <c r="R61" i="74"/>
  <c r="AR38" i="74"/>
  <c r="X58" i="95"/>
  <c r="Y48" i="95"/>
  <c r="U44" i="75"/>
  <c r="AG189" i="95"/>
  <c r="AR42" i="74"/>
  <c r="AX60" i="95"/>
  <c r="DX40" i="75"/>
  <c r="R55" i="75"/>
  <c r="AC114" i="69"/>
  <c r="DX41" i="75"/>
  <c r="DW41" i="75"/>
  <c r="R117" i="89"/>
  <c r="Y53" i="95"/>
  <c r="AT66" i="95"/>
  <c r="AP114" i="69"/>
  <c r="U44" i="74"/>
  <c r="AX146" i="95"/>
  <c r="Y123" i="89"/>
  <c r="U42" i="75"/>
  <c r="DU60" i="75"/>
  <c r="AA54" i="95"/>
  <c r="BI143" i="95"/>
  <c r="DX37" i="75"/>
  <c r="BC192" i="95"/>
  <c r="AS42" i="74"/>
  <c r="I72" i="89"/>
  <c r="S53" i="75"/>
  <c r="AT67" i="95"/>
  <c r="T43" i="75"/>
  <c r="BC59" i="95"/>
  <c r="BC103" i="95"/>
  <c r="AA53" i="95"/>
  <c r="S54" i="74"/>
  <c r="AX103" i="95"/>
  <c r="AP62" i="74"/>
  <c r="AP61" i="74"/>
  <c r="X60" i="95"/>
  <c r="U43" i="75"/>
  <c r="AT199" i="95"/>
  <c r="AD163" i="84"/>
  <c r="AR41" i="74"/>
  <c r="AC69" i="69"/>
  <c r="T45" i="75"/>
  <c r="R59" i="74"/>
  <c r="AV114" i="69"/>
  <c r="H72" i="89"/>
  <c r="S115" i="95"/>
  <c r="BB104" i="95"/>
  <c r="X61" i="95"/>
  <c r="AP60" i="74"/>
  <c r="AP58" i="74"/>
  <c r="AP69" i="69"/>
  <c r="AQ53" i="74"/>
  <c r="R60" i="74"/>
  <c r="AY111" i="95"/>
  <c r="T37" i="74"/>
  <c r="W114" i="69"/>
  <c r="BD155" i="95"/>
  <c r="AS103" i="95"/>
  <c r="BI99" i="95"/>
  <c r="Y122" i="89"/>
  <c r="DV44" i="75"/>
  <c r="DU57" i="75"/>
  <c r="T39" i="74"/>
  <c r="AT111" i="95"/>
  <c r="AS43" i="74"/>
  <c r="BC142" i="69"/>
  <c r="AY155" i="95"/>
  <c r="AS45" i="74"/>
  <c r="Q121" i="90"/>
  <c r="BC146" i="95"/>
  <c r="BC147" i="95" s="1"/>
  <c r="Q72" i="89"/>
  <c r="U45" i="74"/>
  <c r="DU59" i="75"/>
  <c r="AP57" i="74"/>
  <c r="X59" i="95"/>
  <c r="BP187" i="69"/>
  <c r="R53" i="75"/>
  <c r="Y121" i="89"/>
  <c r="AR104" i="95"/>
  <c r="S70" i="95"/>
  <c r="BP97" i="69"/>
  <c r="DV45" i="75"/>
  <c r="AP59" i="74"/>
  <c r="S69" i="69"/>
  <c r="BC187" i="69"/>
  <c r="BQ115" i="95"/>
  <c r="AW104" i="95"/>
  <c r="BB60" i="95"/>
  <c r="T40" i="74"/>
  <c r="AS191" i="95"/>
  <c r="AL211" i="100"/>
  <c r="DW38" i="75"/>
  <c r="Z45" i="95"/>
  <c r="BV211" i="84" l="1"/>
  <c r="AJ71" i="84"/>
  <c r="AI210" i="84"/>
  <c r="BC118" i="84"/>
  <c r="BK118" i="84" s="1"/>
  <c r="BB118" i="84"/>
  <c r="BJ118" i="84" s="1"/>
  <c r="BE118" i="84"/>
  <c r="BM118" i="84" s="1"/>
  <c r="BD118" i="84"/>
  <c r="BL118" i="84" s="1"/>
  <c r="BE164" i="84"/>
  <c r="BD164" i="84"/>
  <c r="BL164" i="84" s="1"/>
  <c r="BC164" i="84"/>
  <c r="BK164" i="84" s="1"/>
  <c r="BB164" i="84"/>
  <c r="BJ164" i="84" s="1"/>
  <c r="BE59" i="95"/>
  <c r="AI163" i="84"/>
  <c r="BE103" i="95"/>
  <c r="N76" i="90"/>
  <c r="BU76" i="90" s="1"/>
  <c r="BE146" i="95"/>
  <c r="BK99" i="95"/>
  <c r="BR76" i="90"/>
  <c r="T102" i="95"/>
  <c r="AP215" i="90"/>
  <c r="AQ215" i="90"/>
  <c r="L76" i="90"/>
  <c r="BS76" i="90" s="1"/>
  <c r="AJ76" i="90"/>
  <c r="BU121" i="90"/>
  <c r="BK143" i="95"/>
  <c r="M76" i="90"/>
  <c r="AL121" i="90"/>
  <c r="AK121" i="90"/>
  <c r="AR215" i="90"/>
  <c r="BE191" i="95"/>
  <c r="AW57" i="69"/>
  <c r="EI11" i="75"/>
  <c r="BK188" i="95"/>
  <c r="BL56" i="69"/>
  <c r="BQ97" i="69"/>
  <c r="BL100" i="69"/>
  <c r="T59" i="95"/>
  <c r="DO10" i="75"/>
  <c r="AQ101" i="69"/>
  <c r="T146" i="95"/>
  <c r="AW146" i="69"/>
  <c r="EK10" i="75"/>
  <c r="AW191" i="69"/>
  <c r="EL10" i="75"/>
  <c r="AW103" i="69"/>
  <c r="EJ12" i="75"/>
  <c r="M72" i="89"/>
  <c r="N72" i="89"/>
  <c r="H12" i="75"/>
  <c r="AK58" i="69"/>
  <c r="K10" i="75"/>
  <c r="AK191" i="69"/>
  <c r="O117" i="89"/>
  <c r="AQ190" i="69"/>
  <c r="DQ9" i="75"/>
  <c r="AR164" i="84"/>
  <c r="BR118" i="84"/>
  <c r="BT118" i="84" s="1"/>
  <c r="BN118" i="84" s="1"/>
  <c r="BR164" i="84"/>
  <c r="BT164" i="84" s="1"/>
  <c r="BN164" i="84" s="1"/>
  <c r="BQ187" i="69"/>
  <c r="AQ145" i="69"/>
  <c r="DP9" i="75"/>
  <c r="K10" i="74"/>
  <c r="AB11" i="74"/>
  <c r="BL190" i="69"/>
  <c r="AD191" i="69"/>
  <c r="J10" i="75"/>
  <c r="AK146" i="69"/>
  <c r="AD145" i="69"/>
  <c r="J9" i="74"/>
  <c r="BL144" i="69"/>
  <c r="AA10" i="74"/>
  <c r="AJ107" i="87"/>
  <c r="AJ107" i="94"/>
  <c r="AR118" i="84"/>
  <c r="T193" i="95"/>
  <c r="BJ211" i="84"/>
  <c r="BO211" i="84"/>
  <c r="I12" i="75"/>
  <c r="AK103" i="69"/>
  <c r="AD59" i="69"/>
  <c r="H13" i="74"/>
  <c r="Y14" i="74"/>
  <c r="Z13" i="74"/>
  <c r="I12" i="74"/>
  <c r="AD103" i="69"/>
  <c r="BQ211" i="84"/>
  <c r="BP211" i="84"/>
  <c r="DN13" i="75"/>
  <c r="AQ59" i="69"/>
  <c r="CB119" i="84"/>
  <c r="CI119" i="84"/>
  <c r="G118" i="91"/>
  <c r="D104" i="91"/>
  <c r="CF105" i="84"/>
  <c r="BY105" i="84"/>
  <c r="E106" i="91"/>
  <c r="CG107" i="84"/>
  <c r="BZ107" i="84"/>
  <c r="CA111" i="84"/>
  <c r="CH111" i="84"/>
  <c r="F110" i="91"/>
  <c r="C102" i="91"/>
  <c r="BX103" i="84"/>
  <c r="CE103" i="84"/>
  <c r="AS104" i="95"/>
  <c r="AY67" i="95"/>
  <c r="AS148" i="95"/>
  <c r="X64" i="95"/>
  <c r="DU64" i="75"/>
  <c r="AP63" i="74"/>
  <c r="U50" i="75"/>
  <c r="AP67" i="74"/>
  <c r="P76" i="90"/>
  <c r="U49" i="74"/>
  <c r="AS61" i="95"/>
  <c r="R214" i="90"/>
  <c r="R66" i="74"/>
  <c r="AS50" i="74"/>
  <c r="O221" i="68"/>
  <c r="AG55" i="95"/>
  <c r="R58" i="75"/>
  <c r="AX147" i="95"/>
  <c r="AS46" i="74"/>
  <c r="Y57" i="95"/>
  <c r="H211" i="89"/>
  <c r="T43" i="74"/>
  <c r="U47" i="75"/>
  <c r="Z48" i="95"/>
  <c r="Z123" i="89"/>
  <c r="DW45" i="75"/>
  <c r="BB61" i="95"/>
  <c r="Z122" i="89"/>
  <c r="AR45" i="74"/>
  <c r="AD117" i="84"/>
  <c r="DU63" i="75"/>
  <c r="BC104" i="95"/>
  <c r="G118" i="89"/>
  <c r="BC60" i="95"/>
  <c r="BC61" i="95" s="1"/>
  <c r="AQ57" i="74"/>
  <c r="AG99" i="95"/>
  <c r="AA122" i="89"/>
  <c r="R67" i="74"/>
  <c r="AP64" i="74"/>
  <c r="Z52" i="95"/>
  <c r="AA57" i="95"/>
  <c r="U46" i="75"/>
  <c r="AR44" i="74"/>
  <c r="AW60" i="95"/>
  <c r="AQ61" i="74"/>
  <c r="S56" i="74"/>
  <c r="DV49" i="75"/>
  <c r="S60" i="75"/>
  <c r="AT112" i="95"/>
  <c r="T44" i="74"/>
  <c r="AS192" i="95"/>
  <c r="S57" i="74"/>
  <c r="S56" i="75"/>
  <c r="X67" i="95"/>
  <c r="BC98" i="69"/>
  <c r="DX42" i="75"/>
  <c r="AB122" i="89"/>
  <c r="R62" i="75"/>
  <c r="DW44" i="75"/>
  <c r="R57" i="75"/>
  <c r="AA120" i="89"/>
  <c r="BB99" i="69"/>
  <c r="Y56" i="95"/>
  <c r="R64" i="74"/>
  <c r="T49" i="75"/>
  <c r="S61" i="75"/>
  <c r="U48" i="74"/>
  <c r="BD67" i="95"/>
  <c r="AA59" i="95"/>
  <c r="BB143" i="69"/>
  <c r="S62" i="74"/>
  <c r="BD68" i="95"/>
  <c r="AA56" i="95"/>
  <c r="R59" i="75"/>
  <c r="AS51" i="74"/>
  <c r="R61" i="75"/>
  <c r="AQ73" i="87"/>
  <c r="G164" i="89"/>
  <c r="BB105" i="95"/>
  <c r="S59" i="74"/>
  <c r="X68" i="95"/>
  <c r="AQ58" i="74"/>
  <c r="S57" i="75"/>
  <c r="Z49" i="95"/>
  <c r="H164" i="89"/>
  <c r="DV52" i="75"/>
  <c r="R63" i="74"/>
  <c r="T45" i="74"/>
  <c r="AT155" i="95"/>
  <c r="AY112" i="95"/>
  <c r="AB123" i="89"/>
  <c r="O128" i="68"/>
  <c r="AS48" i="74"/>
  <c r="U46" i="74"/>
  <c r="BD200" i="95"/>
  <c r="AQ60" i="74"/>
  <c r="S60" i="74"/>
  <c r="BC193" i="95"/>
  <c r="Y55" i="95"/>
  <c r="S59" i="75"/>
  <c r="DX45" i="75"/>
  <c r="AX104" i="95"/>
  <c r="AS49" i="74"/>
  <c r="Z120" i="89"/>
  <c r="U47" i="74"/>
  <c r="AA61" i="95"/>
  <c r="T46" i="75"/>
  <c r="U51" i="75"/>
  <c r="DX43" i="75"/>
  <c r="AB121" i="89"/>
  <c r="T50" i="75"/>
  <c r="AP66" i="74"/>
  <c r="DV47" i="75"/>
  <c r="S62" i="75"/>
  <c r="S72" i="89"/>
  <c r="BB188" i="69"/>
  <c r="DX44" i="75"/>
  <c r="AD72" i="84"/>
  <c r="AA121" i="89"/>
  <c r="AK108" i="87"/>
  <c r="AX193" i="95"/>
  <c r="AA58" i="95"/>
  <c r="BB54" i="69"/>
  <c r="DV51" i="75"/>
  <c r="AT200" i="95"/>
  <c r="T51" i="75"/>
  <c r="U50" i="74"/>
  <c r="AA60" i="95"/>
  <c r="BP53" i="69"/>
  <c r="T48" i="75"/>
  <c r="T47" i="75"/>
  <c r="S61" i="74"/>
  <c r="AP65" i="74"/>
  <c r="Z51" i="95"/>
  <c r="AR43" i="74"/>
  <c r="DU67" i="75"/>
  <c r="BD156" i="95"/>
  <c r="X65" i="95"/>
  <c r="I211" i="89"/>
  <c r="R65" i="74"/>
  <c r="AQ62" i="74"/>
  <c r="DW43" i="75"/>
  <c r="S58" i="74"/>
  <c r="AR105" i="95"/>
  <c r="Z47" i="95"/>
  <c r="X66" i="95"/>
  <c r="DU65" i="75"/>
  <c r="R76" i="90"/>
  <c r="Z50" i="95"/>
  <c r="AA123" i="89"/>
  <c r="AB120" i="89"/>
  <c r="AR60" i="95"/>
  <c r="Q76" i="90"/>
  <c r="U49" i="75"/>
  <c r="R60" i="75"/>
  <c r="BC148" i="95"/>
  <c r="AS47" i="74"/>
  <c r="AX61" i="95"/>
  <c r="U48" i="75"/>
  <c r="BD112" i="95"/>
  <c r="AW105" i="95"/>
  <c r="S58" i="75"/>
  <c r="AA62" i="95"/>
  <c r="AK108" i="94"/>
  <c r="Y54" i="95"/>
  <c r="S115" i="69"/>
  <c r="R167" i="90"/>
  <c r="AY156" i="95"/>
  <c r="DV48" i="75"/>
  <c r="AS105" i="95"/>
  <c r="Z121" i="89"/>
  <c r="AT73" i="84"/>
  <c r="AY200" i="95"/>
  <c r="AY68" i="95"/>
  <c r="AT68" i="95"/>
  <c r="BP142" i="69"/>
  <c r="DV50" i="75"/>
  <c r="AQ56" i="74"/>
  <c r="DU66" i="75"/>
  <c r="R72" i="89"/>
  <c r="AQ59" i="74"/>
  <c r="U51" i="74"/>
  <c r="AK71" i="84"/>
  <c r="BV118" i="84" l="1"/>
  <c r="BV164" i="84"/>
  <c r="AI72" i="84"/>
  <c r="AJ163" i="84"/>
  <c r="AJ210" i="84"/>
  <c r="AM167" i="90"/>
  <c r="AM214" i="90"/>
  <c r="BE104" i="95"/>
  <c r="BE60" i="95"/>
  <c r="L118" i="89"/>
  <c r="K122" i="90"/>
  <c r="Z122" i="90" s="1"/>
  <c r="AO122" i="90"/>
  <c r="BE147" i="95"/>
  <c r="J211" i="89"/>
  <c r="O211" i="89" s="1"/>
  <c r="AJ208" i="69"/>
  <c r="AM76" i="90"/>
  <c r="T103" i="95"/>
  <c r="AO215" i="90"/>
  <c r="AQ168" i="90"/>
  <c r="AO168" i="90"/>
  <c r="AP168" i="90"/>
  <c r="AQ122" i="90"/>
  <c r="AP122" i="90"/>
  <c r="L215" i="90"/>
  <c r="M211" i="89"/>
  <c r="L168" i="90"/>
  <c r="BS168" i="90" s="1"/>
  <c r="AL76" i="90"/>
  <c r="K168" i="90"/>
  <c r="BR168" i="90" s="1"/>
  <c r="BE192" i="95"/>
  <c r="AK76" i="90"/>
  <c r="M215" i="90"/>
  <c r="BT215" i="90" s="1"/>
  <c r="BT76" i="90"/>
  <c r="AR122" i="90"/>
  <c r="BO118" i="84"/>
  <c r="BP118" i="84"/>
  <c r="AW58" i="69"/>
  <c r="EI12" i="75"/>
  <c r="BQ53" i="69"/>
  <c r="BL57" i="69"/>
  <c r="BL101" i="69"/>
  <c r="N211" i="89"/>
  <c r="AI117" i="84"/>
  <c r="T60" i="95"/>
  <c r="DO11" i="75"/>
  <c r="AQ102" i="69"/>
  <c r="T147" i="95"/>
  <c r="BQ118" i="84"/>
  <c r="AW147" i="69"/>
  <c r="EK11" i="75"/>
  <c r="AW104" i="69"/>
  <c r="EJ13" i="75"/>
  <c r="AW192" i="69"/>
  <c r="EL11" i="75"/>
  <c r="AK59" i="69"/>
  <c r="H13" i="75"/>
  <c r="K11" i="75"/>
  <c r="AK192" i="69"/>
  <c r="AQ191" i="69"/>
  <c r="DQ10" i="75"/>
  <c r="J118" i="89"/>
  <c r="AJ115" i="69"/>
  <c r="BQ142" i="69"/>
  <c r="AK147" i="69"/>
  <c r="J11" i="75"/>
  <c r="K11" i="74"/>
  <c r="BL191" i="69"/>
  <c r="AD192" i="69"/>
  <c r="AB12" i="74"/>
  <c r="J10" i="74"/>
  <c r="AA11" i="74"/>
  <c r="BL145" i="69"/>
  <c r="AD146" i="69"/>
  <c r="DP10" i="75"/>
  <c r="AQ146" i="69"/>
  <c r="AJ108" i="87"/>
  <c r="AJ108" i="94"/>
  <c r="BA73" i="84"/>
  <c r="BK70" i="69"/>
  <c r="M164" i="89"/>
  <c r="L164" i="89"/>
  <c r="AD104" i="69"/>
  <c r="I13" i="74"/>
  <c r="Z14" i="74"/>
  <c r="Y15" i="74"/>
  <c r="H14" i="74"/>
  <c r="AD60" i="69"/>
  <c r="AQ60" i="69"/>
  <c r="DN14" i="75"/>
  <c r="BO164" i="84"/>
  <c r="I13" i="75"/>
  <c r="AK104" i="69"/>
  <c r="BM164" i="84"/>
  <c r="BP164" i="84"/>
  <c r="T194" i="95"/>
  <c r="C103" i="91"/>
  <c r="BX104" i="84"/>
  <c r="CE104" i="84"/>
  <c r="D105" i="91"/>
  <c r="CF106" i="84"/>
  <c r="BY106" i="84"/>
  <c r="CH112" i="84"/>
  <c r="CA112" i="84"/>
  <c r="F111" i="91"/>
  <c r="G119" i="91"/>
  <c r="CI120" i="84"/>
  <c r="CB120" i="84"/>
  <c r="BZ108" i="84"/>
  <c r="E107" i="91"/>
  <c r="CG108" i="84"/>
  <c r="BD201" i="95"/>
  <c r="AT156" i="95"/>
  <c r="DW47" i="75"/>
  <c r="BQ116" i="95"/>
  <c r="S67" i="74"/>
  <c r="R164" i="89"/>
  <c r="AQ67" i="74"/>
  <c r="R64" i="75"/>
  <c r="AY157" i="95"/>
  <c r="X70" i="95"/>
  <c r="DW49" i="75"/>
  <c r="T211" i="89"/>
  <c r="BC55" i="69"/>
  <c r="BC149" i="95"/>
  <c r="DU69" i="75"/>
  <c r="S66" i="74"/>
  <c r="AA64" i="95"/>
  <c r="Q164" i="89"/>
  <c r="BC105" i="95"/>
  <c r="T51" i="74"/>
  <c r="AY201" i="95"/>
  <c r="AL164" i="100"/>
  <c r="X72" i="95"/>
  <c r="AA63" i="95"/>
  <c r="AT165" i="84"/>
  <c r="BB62" i="95"/>
  <c r="Q215" i="90"/>
  <c r="S211" i="89"/>
  <c r="T48" i="74"/>
  <c r="AP68" i="74"/>
  <c r="S65" i="75"/>
  <c r="AP69" i="74"/>
  <c r="BP98" i="69"/>
  <c r="S208" i="69"/>
  <c r="O168" i="90"/>
  <c r="H118" i="89"/>
  <c r="Y61" i="95"/>
  <c r="BB106" i="95"/>
  <c r="DU71" i="75"/>
  <c r="AA66" i="95"/>
  <c r="AP208" i="69"/>
  <c r="S63" i="75"/>
  <c r="AG144" i="95"/>
  <c r="DX51" i="75"/>
  <c r="AW106" i="95"/>
  <c r="DX46" i="75"/>
  <c r="AR47" i="74"/>
  <c r="R65" i="75"/>
  <c r="AP115" i="69"/>
  <c r="S66" i="75"/>
  <c r="AR49" i="74"/>
  <c r="AX148" i="95"/>
  <c r="Z53" i="95"/>
  <c r="Y62" i="95"/>
  <c r="AP70" i="74"/>
  <c r="BD69" i="95"/>
  <c r="DX50" i="75"/>
  <c r="AC208" i="69"/>
  <c r="AS52" i="74"/>
  <c r="AK109" i="87"/>
  <c r="AK210" i="84"/>
  <c r="BC143" i="69"/>
  <c r="DX49" i="75"/>
  <c r="AK163" i="84"/>
  <c r="DW46" i="75"/>
  <c r="U54" i="74"/>
  <c r="W115" i="69"/>
  <c r="AS106" i="95"/>
  <c r="DV55" i="75"/>
  <c r="AT201" i="95"/>
  <c r="AQ65" i="74"/>
  <c r="U53" i="75"/>
  <c r="AS53" i="74"/>
  <c r="AK109" i="94"/>
  <c r="AA68" i="95"/>
  <c r="I164" i="89"/>
  <c r="AV208" i="69"/>
  <c r="AS193" i="95"/>
  <c r="AX62" i="95"/>
  <c r="AP71" i="74"/>
  <c r="T46" i="74"/>
  <c r="AQ66" i="74"/>
  <c r="G211" i="89"/>
  <c r="X115" i="69"/>
  <c r="T49" i="74"/>
  <c r="AX194" i="95"/>
  <c r="Z55" i="95"/>
  <c r="DW50" i="75"/>
  <c r="P215" i="90"/>
  <c r="BI189" i="95"/>
  <c r="AR51" i="74"/>
  <c r="S65" i="74"/>
  <c r="BC62" i="95"/>
  <c r="R67" i="75"/>
  <c r="BC188" i="69"/>
  <c r="DV54" i="75"/>
  <c r="BD157" i="95"/>
  <c r="AQ212" i="87"/>
  <c r="BD202" i="95"/>
  <c r="S64" i="75"/>
  <c r="Y63" i="95"/>
  <c r="AT113" i="95"/>
  <c r="AS149" i="95"/>
  <c r="X69" i="95"/>
  <c r="U53" i="74"/>
  <c r="BC194" i="95"/>
  <c r="R63" i="75"/>
  <c r="DW48" i="75"/>
  <c r="AV115" i="69"/>
  <c r="P168" i="90"/>
  <c r="BI144" i="95"/>
  <c r="T52" i="75"/>
  <c r="R121" i="90"/>
  <c r="R69" i="74"/>
  <c r="O122" i="90"/>
  <c r="AQ63" i="74"/>
  <c r="W208" i="69"/>
  <c r="S67" i="75"/>
  <c r="U54" i="75"/>
  <c r="I118" i="89"/>
  <c r="X208" i="69"/>
  <c r="S64" i="74"/>
  <c r="T47" i="74"/>
  <c r="Z54" i="95"/>
  <c r="DU70" i="75"/>
  <c r="AR50" i="74"/>
  <c r="AR106" i="95"/>
  <c r="AY69" i="95"/>
  <c r="X71" i="95"/>
  <c r="BI100" i="95"/>
  <c r="AL118" i="100"/>
  <c r="AT69" i="95"/>
  <c r="U52" i="75"/>
  <c r="S63" i="74"/>
  <c r="AR61" i="95"/>
  <c r="T55" i="75"/>
  <c r="R71" i="74"/>
  <c r="Y60" i="95"/>
  <c r="T54" i="75"/>
  <c r="S209" i="95"/>
  <c r="DX47" i="75"/>
  <c r="R70" i="74"/>
  <c r="Q118" i="89"/>
  <c r="R68" i="74"/>
  <c r="T53" i="75"/>
  <c r="Y58" i="95"/>
  <c r="AQ64" i="74"/>
  <c r="Z56" i="95"/>
  <c r="AA67" i="95"/>
  <c r="Y59" i="95"/>
  <c r="AC115" i="69"/>
  <c r="DV53" i="75"/>
  <c r="AX105" i="95"/>
  <c r="AS54" i="74"/>
  <c r="AA65" i="95"/>
  <c r="T118" i="89"/>
  <c r="AT212" i="84"/>
  <c r="U52" i="74"/>
  <c r="R66" i="75"/>
  <c r="BP188" i="69"/>
  <c r="DX48" i="75"/>
  <c r="DU68" i="75"/>
  <c r="DW51" i="75"/>
  <c r="AQ165" i="87"/>
  <c r="R211" i="89"/>
  <c r="AR48" i="74"/>
  <c r="AS62" i="95"/>
  <c r="AR46" i="74"/>
  <c r="T50" i="74"/>
  <c r="BD113" i="95"/>
  <c r="AW61" i="95"/>
  <c r="S116" i="95"/>
  <c r="AY113" i="95"/>
  <c r="AG190" i="95"/>
  <c r="AJ72" i="84" l="1"/>
  <c r="BE105" i="95"/>
  <c r="BK100" i="95"/>
  <c r="BE61" i="95"/>
  <c r="BE148" i="95"/>
  <c r="AJ122" i="90"/>
  <c r="BR73" i="84"/>
  <c r="BT73" i="84" s="1"/>
  <c r="BN73" i="84" s="1"/>
  <c r="BC73" i="84"/>
  <c r="BK73" i="84" s="1"/>
  <c r="BB73" i="84"/>
  <c r="BJ73" i="84" s="1"/>
  <c r="BE73" i="84"/>
  <c r="BM73" i="84" s="1"/>
  <c r="BD73" i="84"/>
  <c r="BL73" i="84" s="1"/>
  <c r="BR122" i="90"/>
  <c r="AJ117" i="84"/>
  <c r="BK144" i="95"/>
  <c r="N215" i="90"/>
  <c r="AM121" i="90"/>
  <c r="T104" i="95"/>
  <c r="Z168" i="90"/>
  <c r="M168" i="90"/>
  <c r="BT168" i="90" s="1"/>
  <c r="BE193" i="95"/>
  <c r="K215" i="90"/>
  <c r="L211" i="89"/>
  <c r="AJ168" i="90"/>
  <c r="BK189" i="95"/>
  <c r="L122" i="90"/>
  <c r="BS122" i="90" s="1"/>
  <c r="AL215" i="90"/>
  <c r="M122" i="90"/>
  <c r="BT122" i="90" s="1"/>
  <c r="AK168" i="90"/>
  <c r="AK215" i="90"/>
  <c r="BS215" i="90"/>
  <c r="AR168" i="90"/>
  <c r="O118" i="89"/>
  <c r="N122" i="90"/>
  <c r="AW59" i="69"/>
  <c r="EI13" i="75"/>
  <c r="BL58" i="69"/>
  <c r="BQ98" i="69"/>
  <c r="BL102" i="69"/>
  <c r="T61" i="95"/>
  <c r="DO12" i="75"/>
  <c r="AQ103" i="69"/>
  <c r="T148" i="95"/>
  <c r="AW148" i="69"/>
  <c r="EK12" i="75"/>
  <c r="AW193" i="69"/>
  <c r="EL12" i="75"/>
  <c r="AW105" i="69"/>
  <c r="EJ14" i="75"/>
  <c r="H14" i="75"/>
  <c r="AK60" i="69"/>
  <c r="K12" i="75"/>
  <c r="AK193" i="69"/>
  <c r="N164" i="89"/>
  <c r="DQ11" i="75"/>
  <c r="AQ192" i="69"/>
  <c r="N118" i="89"/>
  <c r="M118" i="89"/>
  <c r="BQ188" i="69"/>
  <c r="DP11" i="75"/>
  <c r="AQ147" i="69"/>
  <c r="K12" i="74"/>
  <c r="AD193" i="69"/>
  <c r="BL192" i="69"/>
  <c r="AB13" i="74"/>
  <c r="J12" i="75"/>
  <c r="AK148" i="69"/>
  <c r="AD147" i="69"/>
  <c r="BL146" i="69"/>
  <c r="AA12" i="74"/>
  <c r="J11" i="74"/>
  <c r="AR73" i="84"/>
  <c r="AJ109" i="94"/>
  <c r="AJ109" i="87"/>
  <c r="BA212" i="84"/>
  <c r="BK209" i="69"/>
  <c r="BK162" i="69"/>
  <c r="BA165" i="84"/>
  <c r="I14" i="74"/>
  <c r="AD105" i="69"/>
  <c r="Z15" i="74"/>
  <c r="BQ164" i="84"/>
  <c r="H15" i="74"/>
  <c r="Y16" i="74"/>
  <c r="AD61" i="69"/>
  <c r="I14" i="75"/>
  <c r="AK105" i="69"/>
  <c r="DN15" i="75"/>
  <c r="AQ61" i="69"/>
  <c r="T195" i="95"/>
  <c r="D106" i="91"/>
  <c r="BY107" i="84"/>
  <c r="CF107" i="84"/>
  <c r="CI121" i="84"/>
  <c r="CB121" i="84"/>
  <c r="G120" i="91"/>
  <c r="BX105" i="84"/>
  <c r="CE105" i="84"/>
  <c r="C104" i="91"/>
  <c r="CH113" i="84"/>
  <c r="F112" i="91"/>
  <c r="CA113" i="84"/>
  <c r="BZ109" i="84"/>
  <c r="E108" i="91"/>
  <c r="CG109" i="84"/>
  <c r="AK72" i="84"/>
  <c r="AT202" i="95"/>
  <c r="BC195" i="95"/>
  <c r="DV57" i="75"/>
  <c r="X76" i="95"/>
  <c r="BB189" i="69"/>
  <c r="AT114" i="95"/>
  <c r="DV59" i="75"/>
  <c r="U56" i="75"/>
  <c r="S71" i="74"/>
  <c r="U61" i="74"/>
  <c r="S72" i="75"/>
  <c r="AX149" i="95"/>
  <c r="AR52" i="74"/>
  <c r="DW55" i="75"/>
  <c r="DU75" i="75"/>
  <c r="T52" i="74"/>
  <c r="U57" i="74"/>
  <c r="Y66" i="95"/>
  <c r="AS61" i="74"/>
  <c r="S69" i="75"/>
  <c r="Z62" i="95"/>
  <c r="AK110" i="94"/>
  <c r="X74" i="95"/>
  <c r="U61" i="75"/>
  <c r="AS55" i="74"/>
  <c r="AY202" i="95"/>
  <c r="AX63" i="95"/>
  <c r="U60" i="75"/>
  <c r="BB55" i="69"/>
  <c r="Z57" i="95"/>
  <c r="BP54" i="69"/>
  <c r="DV62" i="75"/>
  <c r="X75" i="95"/>
  <c r="O174" i="68"/>
  <c r="R72" i="74"/>
  <c r="T60" i="75"/>
  <c r="S118" i="89"/>
  <c r="S72" i="74"/>
  <c r="AP75" i="74"/>
  <c r="DV60" i="75"/>
  <c r="AK110" i="87"/>
  <c r="Z58" i="95"/>
  <c r="AT203" i="95"/>
  <c r="BD114" i="95"/>
  <c r="S70" i="74"/>
  <c r="T59" i="75"/>
  <c r="AP73" i="74"/>
  <c r="AS107" i="95"/>
  <c r="AX106" i="95"/>
  <c r="DV58" i="75"/>
  <c r="S70" i="75"/>
  <c r="AR53" i="74"/>
  <c r="AQ68" i="74"/>
  <c r="AG56" i="95"/>
  <c r="DV56" i="75"/>
  <c r="R68" i="75"/>
  <c r="AW107" i="95"/>
  <c r="BP143" i="69"/>
  <c r="AT119" i="84"/>
  <c r="AS150" i="95"/>
  <c r="BD70" i="95"/>
  <c r="R118" i="89"/>
  <c r="O215" i="90"/>
  <c r="Y65" i="95"/>
  <c r="AP72" i="74"/>
  <c r="BC63" i="95"/>
  <c r="AA72" i="95"/>
  <c r="AA71" i="95"/>
  <c r="AQ69" i="74"/>
  <c r="AS56" i="74"/>
  <c r="U55" i="74"/>
  <c r="Z59" i="95"/>
  <c r="AS57" i="74"/>
  <c r="Y68" i="95"/>
  <c r="AY114" i="95"/>
  <c r="S69" i="74"/>
  <c r="AA69" i="95"/>
  <c r="U57" i="75"/>
  <c r="S68" i="74"/>
  <c r="Z61" i="95"/>
  <c r="BB63" i="95"/>
  <c r="R73" i="74"/>
  <c r="AQ72" i="74"/>
  <c r="Y64" i="95"/>
  <c r="AQ28" i="87"/>
  <c r="Z60" i="95"/>
  <c r="AQ71" i="74"/>
  <c r="R69" i="75"/>
  <c r="R74" i="74"/>
  <c r="BC99" i="69"/>
  <c r="AY158" i="95"/>
  <c r="P122" i="90"/>
  <c r="AL73" i="100"/>
  <c r="AR62" i="95"/>
  <c r="U59" i="74"/>
  <c r="AK117" i="84"/>
  <c r="AS58" i="74"/>
  <c r="U56" i="74"/>
  <c r="Q211" i="89"/>
  <c r="DW53" i="75"/>
  <c r="T55" i="74"/>
  <c r="T57" i="75"/>
  <c r="S164" i="89"/>
  <c r="T54" i="74"/>
  <c r="AQ119" i="87"/>
  <c r="S71" i="75"/>
  <c r="AD118" i="84"/>
  <c r="AX195" i="95"/>
  <c r="R75" i="74"/>
  <c r="U59" i="75"/>
  <c r="AP74" i="74"/>
  <c r="AA70" i="95"/>
  <c r="AS59" i="74"/>
  <c r="BD158" i="95"/>
  <c r="U58" i="75"/>
  <c r="DX52" i="75"/>
  <c r="Y67" i="95"/>
  <c r="DW54" i="75"/>
  <c r="U58" i="74"/>
  <c r="BC150" i="95"/>
  <c r="DU74" i="75"/>
  <c r="BB144" i="69"/>
  <c r="T61" i="75"/>
  <c r="BB107" i="95"/>
  <c r="DV61" i="75"/>
  <c r="AG100" i="95"/>
  <c r="BB100" i="69"/>
  <c r="U60" i="74"/>
  <c r="AT70" i="95"/>
  <c r="DU73" i="75"/>
  <c r="T53" i="74"/>
  <c r="S161" i="69"/>
  <c r="R70" i="75"/>
  <c r="S68" i="75"/>
  <c r="AS194" i="95"/>
  <c r="AS63" i="95"/>
  <c r="T58" i="75"/>
  <c r="AS60" i="74"/>
  <c r="BD203" i="95"/>
  <c r="T56" i="75"/>
  <c r="Q168" i="90"/>
  <c r="BC106" i="95"/>
  <c r="Q122" i="90"/>
  <c r="AQ70" i="74"/>
  <c r="AT157" i="95"/>
  <c r="R71" i="75"/>
  <c r="DU72" i="75"/>
  <c r="X73" i="95"/>
  <c r="DX54" i="75"/>
  <c r="U55" i="75"/>
  <c r="DX53" i="75"/>
  <c r="AR107" i="95"/>
  <c r="AR54" i="74"/>
  <c r="AW62" i="95"/>
  <c r="AD211" i="84"/>
  <c r="DW52" i="75"/>
  <c r="AY70" i="95"/>
  <c r="AR55" i="74"/>
  <c r="BV73" i="84" l="1"/>
  <c r="BE106" i="95"/>
  <c r="BE62" i="95"/>
  <c r="BE149" i="95"/>
  <c r="J164" i="89"/>
  <c r="O164" i="89" s="1"/>
  <c r="AJ161" i="69"/>
  <c r="AI118" i="84"/>
  <c r="BD212" i="84"/>
  <c r="BL212" i="84" s="1"/>
  <c r="BC212" i="84"/>
  <c r="BK212" i="84" s="1"/>
  <c r="BB212" i="84"/>
  <c r="BJ212" i="84" s="1"/>
  <c r="BE212" i="84"/>
  <c r="BM212" i="84" s="1"/>
  <c r="BE165" i="84"/>
  <c r="BM165" i="84" s="1"/>
  <c r="BD165" i="84"/>
  <c r="BL165" i="84" s="1"/>
  <c r="BC165" i="84"/>
  <c r="BK165" i="84" s="1"/>
  <c r="BB165" i="84"/>
  <c r="BJ165" i="84" s="1"/>
  <c r="AI211" i="84"/>
  <c r="BE194" i="95"/>
  <c r="T105" i="95"/>
  <c r="AO77" i="90"/>
  <c r="AL122" i="90"/>
  <c r="AK122" i="90"/>
  <c r="AL168" i="90"/>
  <c r="BR215" i="90"/>
  <c r="Z215" i="90"/>
  <c r="BU215" i="90" s="1"/>
  <c r="AJ215" i="90"/>
  <c r="BU122" i="90"/>
  <c r="AR77" i="90"/>
  <c r="BO73" i="84"/>
  <c r="AP77" i="90"/>
  <c r="BP73" i="84"/>
  <c r="AQ77" i="90"/>
  <c r="AW60" i="69"/>
  <c r="EI14" i="75"/>
  <c r="BQ54" i="69"/>
  <c r="BL59" i="69"/>
  <c r="BL103" i="69"/>
  <c r="T62" i="95"/>
  <c r="AQ104" i="69"/>
  <c r="DO13" i="75"/>
  <c r="T149" i="95"/>
  <c r="BQ73" i="84"/>
  <c r="AW194" i="69"/>
  <c r="EL13" i="75"/>
  <c r="AW106" i="69"/>
  <c r="EJ15" i="75"/>
  <c r="AW149" i="69"/>
  <c r="EK13" i="75"/>
  <c r="H15" i="75"/>
  <c r="AK61" i="69"/>
  <c r="AK194" i="69"/>
  <c r="K13" i="75"/>
  <c r="BR165" i="84"/>
  <c r="BT165" i="84" s="1"/>
  <c r="BN165" i="84" s="1"/>
  <c r="AR165" i="84"/>
  <c r="AR212" i="84"/>
  <c r="DQ12" i="75"/>
  <c r="AQ193" i="69"/>
  <c r="BQ143" i="69"/>
  <c r="BR212" i="84"/>
  <c r="BT212" i="84" s="1"/>
  <c r="BN212" i="84" s="1"/>
  <c r="J12" i="74"/>
  <c r="AD148" i="69"/>
  <c r="BL147" i="69"/>
  <c r="AA13" i="74"/>
  <c r="DP12" i="75"/>
  <c r="AQ148" i="69"/>
  <c r="J13" i="75"/>
  <c r="AK149" i="69"/>
  <c r="BL193" i="69"/>
  <c r="AD194" i="69"/>
  <c r="K13" i="74"/>
  <c r="AB14" i="74"/>
  <c r="AJ110" i="94"/>
  <c r="AJ110" i="87"/>
  <c r="BA119" i="84"/>
  <c r="BK116" i="69"/>
  <c r="DN16" i="75"/>
  <c r="AQ62" i="69"/>
  <c r="Y17" i="74"/>
  <c r="AD62" i="69"/>
  <c r="H16" i="74"/>
  <c r="I15" i="75"/>
  <c r="AK106" i="69"/>
  <c r="T196" i="95"/>
  <c r="I15" i="74"/>
  <c r="AD106" i="69"/>
  <c r="Z16" i="74"/>
  <c r="CB122" i="84"/>
  <c r="CI122" i="84"/>
  <c r="G121" i="91"/>
  <c r="CA114" i="84"/>
  <c r="F113" i="91"/>
  <c r="CH114" i="84"/>
  <c r="CF108" i="84"/>
  <c r="BY108" i="84"/>
  <c r="D107" i="91"/>
  <c r="BZ110" i="84"/>
  <c r="CG110" i="84"/>
  <c r="E109" i="91"/>
  <c r="CE106" i="84"/>
  <c r="C105" i="91"/>
  <c r="BX106" i="84"/>
  <c r="AW63" i="95"/>
  <c r="AY159" i="95"/>
  <c r="DX59" i="75"/>
  <c r="R74" i="75"/>
  <c r="R73" i="75"/>
  <c r="U66" i="75"/>
  <c r="AS63" i="74"/>
  <c r="BD204" i="95"/>
  <c r="AR56" i="74"/>
  <c r="DW56" i="75"/>
  <c r="U65" i="74"/>
  <c r="DX60" i="75"/>
  <c r="Y70" i="95"/>
  <c r="DW60" i="75"/>
  <c r="U62" i="75"/>
  <c r="W161" i="69"/>
  <c r="R122" i="90"/>
  <c r="BC107" i="95"/>
  <c r="BP99" i="69"/>
  <c r="T65" i="75"/>
  <c r="AS108" i="95"/>
  <c r="X77" i="95"/>
  <c r="U63" i="74"/>
  <c r="T61" i="74"/>
  <c r="R76" i="74"/>
  <c r="Z68" i="95"/>
  <c r="T62" i="75"/>
  <c r="BC108" i="95"/>
  <c r="AW64" i="95"/>
  <c r="AX107" i="95"/>
  <c r="U62" i="74"/>
  <c r="AP76" i="74"/>
  <c r="AL165" i="100"/>
  <c r="AT204" i="95"/>
  <c r="T59" i="74"/>
  <c r="O222" i="68"/>
  <c r="S73" i="74"/>
  <c r="BI101" i="95"/>
  <c r="DX57" i="75"/>
  <c r="G212" i="89"/>
  <c r="U67" i="75"/>
  <c r="U63" i="75"/>
  <c r="AS195" i="95"/>
  <c r="BC189" i="69"/>
  <c r="Z64" i="95"/>
  <c r="AR59" i="74"/>
  <c r="AS67" i="74"/>
  <c r="BB64" i="95"/>
  <c r="AV161" i="69"/>
  <c r="T164" i="89"/>
  <c r="AR108" i="95"/>
  <c r="DV63" i="75"/>
  <c r="DW61" i="75"/>
  <c r="AR61" i="74"/>
  <c r="BI190" i="95"/>
  <c r="DV67" i="75"/>
  <c r="AX108" i="95"/>
  <c r="AR57" i="74"/>
  <c r="T64" i="75"/>
  <c r="AW108" i="95"/>
  <c r="BD115" i="95"/>
  <c r="AA75" i="95"/>
  <c r="Z66" i="95"/>
  <c r="U64" i="74"/>
  <c r="AX64" i="95"/>
  <c r="T58" i="74"/>
  <c r="DX61" i="75"/>
  <c r="AG191" i="95"/>
  <c r="T60" i="74"/>
  <c r="AR58" i="74"/>
  <c r="DV66" i="75"/>
  <c r="Z65" i="95"/>
  <c r="DX56" i="75"/>
  <c r="R75" i="75"/>
  <c r="AQ74" i="74"/>
  <c r="AQ73" i="74"/>
  <c r="BC144" i="69"/>
  <c r="H212" i="89"/>
  <c r="R215" i="90"/>
  <c r="DV64" i="75"/>
  <c r="AA74" i="95"/>
  <c r="U67" i="74"/>
  <c r="AK111" i="87"/>
  <c r="R72" i="75"/>
  <c r="T63" i="75"/>
  <c r="AP161" i="69"/>
  <c r="AT158" i="95"/>
  <c r="U65" i="75"/>
  <c r="S74" i="75"/>
  <c r="AX196" i="95"/>
  <c r="AA73" i="95"/>
  <c r="DU77" i="75"/>
  <c r="AP77" i="74"/>
  <c r="S75" i="74"/>
  <c r="AS66" i="74"/>
  <c r="DX55" i="75"/>
  <c r="AS65" i="74"/>
  <c r="Z63" i="95"/>
  <c r="AY115" i="95"/>
  <c r="AS64" i="74"/>
  <c r="BP189" i="69"/>
  <c r="AT115" i="95"/>
  <c r="AQ75" i="74"/>
  <c r="O83" i="68"/>
  <c r="H73" i="89"/>
  <c r="S162" i="95"/>
  <c r="S73" i="75"/>
  <c r="AS64" i="95"/>
  <c r="AX150" i="95"/>
  <c r="BD159" i="95"/>
  <c r="BD160" i="95" s="1"/>
  <c r="T56" i="74"/>
  <c r="U64" i="75"/>
  <c r="DW58" i="75"/>
  <c r="R77" i="74"/>
  <c r="Y73" i="95"/>
  <c r="T57" i="74"/>
  <c r="AS151" i="95"/>
  <c r="Y69" i="95"/>
  <c r="DX58" i="75"/>
  <c r="AR60" i="74"/>
  <c r="AR63" i="95"/>
  <c r="S74" i="74"/>
  <c r="AK111" i="94"/>
  <c r="X161" i="69"/>
  <c r="AD164" i="84" s="1"/>
  <c r="G73" i="89"/>
  <c r="BI145" i="95"/>
  <c r="S75" i="75"/>
  <c r="Z67" i="95"/>
  <c r="BC64" i="95"/>
  <c r="BC196" i="95"/>
  <c r="AY203" i="95"/>
  <c r="G165" i="89"/>
  <c r="Y71" i="95"/>
  <c r="DU76" i="75"/>
  <c r="T67" i="75"/>
  <c r="I73" i="89"/>
  <c r="DW57" i="75"/>
  <c r="DW59" i="75"/>
  <c r="AC161" i="69"/>
  <c r="X78" i="95"/>
  <c r="AG145" i="95"/>
  <c r="T66" i="75"/>
  <c r="DV65" i="75"/>
  <c r="AS62" i="74"/>
  <c r="BC151" i="95"/>
  <c r="U66" i="74"/>
  <c r="BB108" i="95"/>
  <c r="Y72" i="95"/>
  <c r="AY71" i="95"/>
  <c r="X70" i="69"/>
  <c r="BV165" i="84" l="1"/>
  <c r="BV212" i="84"/>
  <c r="BE107" i="95"/>
  <c r="BK101" i="95"/>
  <c r="BE63" i="95"/>
  <c r="BE150" i="95"/>
  <c r="BK145" i="95"/>
  <c r="AM215" i="90"/>
  <c r="AJ118" i="84"/>
  <c r="AM122" i="90"/>
  <c r="N168" i="90"/>
  <c r="BU168" i="90" s="1"/>
  <c r="L216" i="90"/>
  <c r="M212" i="89"/>
  <c r="AP216" i="90"/>
  <c r="BO212" i="84"/>
  <c r="BR119" i="84"/>
  <c r="BT119" i="84" s="1"/>
  <c r="BN119" i="84" s="1"/>
  <c r="BE119" i="84"/>
  <c r="BM119" i="84" s="1"/>
  <c r="BD119" i="84"/>
  <c r="BL119" i="84" s="1"/>
  <c r="BC119" i="84"/>
  <c r="BK119" i="84" s="1"/>
  <c r="BB119" i="84"/>
  <c r="BJ119" i="84" s="1"/>
  <c r="AJ211" i="84"/>
  <c r="AI164" i="84"/>
  <c r="BE195" i="95"/>
  <c r="BK190" i="95"/>
  <c r="T106" i="95"/>
  <c r="AQ216" i="90"/>
  <c r="AQ169" i="90"/>
  <c r="AO169" i="90"/>
  <c r="AO216" i="90"/>
  <c r="K169" i="90"/>
  <c r="BR169" i="90" s="1"/>
  <c r="L77" i="90"/>
  <c r="BS77" i="90" s="1"/>
  <c r="K216" i="90"/>
  <c r="BR216" i="90" s="1"/>
  <c r="M77" i="90"/>
  <c r="BT77" i="90" s="1"/>
  <c r="K77" i="90"/>
  <c r="L73" i="89"/>
  <c r="AR216" i="90"/>
  <c r="AR169" i="90"/>
  <c r="BO165" i="84"/>
  <c r="AP169" i="90"/>
  <c r="AW61" i="69"/>
  <c r="EI15" i="75"/>
  <c r="BL60" i="69"/>
  <c r="BQ99" i="69"/>
  <c r="BL104" i="69"/>
  <c r="T63" i="95"/>
  <c r="AQ105" i="69"/>
  <c r="DO14" i="75"/>
  <c r="N73" i="89"/>
  <c r="T150" i="95"/>
  <c r="BQ165" i="84"/>
  <c r="AW150" i="69"/>
  <c r="EK14" i="75"/>
  <c r="AW107" i="69"/>
  <c r="EJ16" i="75"/>
  <c r="AW195" i="69"/>
  <c r="EL14" i="75"/>
  <c r="AK62" i="69"/>
  <c r="H16" i="75"/>
  <c r="K14" i="75"/>
  <c r="AK195" i="69"/>
  <c r="L165" i="89"/>
  <c r="M73" i="89"/>
  <c r="AJ70" i="69"/>
  <c r="J73" i="89"/>
  <c r="N77" i="90" s="1"/>
  <c r="BP212" i="84"/>
  <c r="AQ194" i="69"/>
  <c r="DQ13" i="75"/>
  <c r="AR119" i="84"/>
  <c r="BQ189" i="69"/>
  <c r="L212" i="89"/>
  <c r="BE108" i="95"/>
  <c r="BL148" i="69"/>
  <c r="AA14" i="74"/>
  <c r="J13" i="74"/>
  <c r="AD149" i="69"/>
  <c r="AD195" i="69"/>
  <c r="AB15" i="74"/>
  <c r="K14" i="74"/>
  <c r="BL194" i="69"/>
  <c r="J14" i="75"/>
  <c r="AK150" i="69"/>
  <c r="AQ149" i="69"/>
  <c r="DP13" i="75"/>
  <c r="AJ111" i="94"/>
  <c r="AJ111" i="87"/>
  <c r="J212" i="89"/>
  <c r="N216" i="90" s="1"/>
  <c r="AJ209" i="69"/>
  <c r="T197" i="95"/>
  <c r="BP165" i="84"/>
  <c r="BQ212" i="84"/>
  <c r="I16" i="75"/>
  <c r="AK107" i="69"/>
  <c r="AQ63" i="69"/>
  <c r="DN17" i="75"/>
  <c r="AD63" i="69"/>
  <c r="Y18" i="74"/>
  <c r="H17" i="74"/>
  <c r="Z17" i="74"/>
  <c r="I16" i="74"/>
  <c r="AD107" i="69"/>
  <c r="BX107" i="84"/>
  <c r="C106" i="91"/>
  <c r="CE107" i="84"/>
  <c r="CH115" i="84"/>
  <c r="F114" i="91"/>
  <c r="CA115" i="84"/>
  <c r="BZ111" i="84"/>
  <c r="CG111" i="84"/>
  <c r="E110" i="91"/>
  <c r="CB123" i="84"/>
  <c r="G122" i="91"/>
  <c r="CI123" i="84"/>
  <c r="D108" i="91"/>
  <c r="CF109" i="84"/>
  <c r="BY109" i="84"/>
  <c r="AR64" i="95"/>
  <c r="AB125" i="89"/>
  <c r="DX62" i="75"/>
  <c r="T65" i="74"/>
  <c r="X80" i="95"/>
  <c r="AR62" i="74"/>
  <c r="U68" i="75"/>
  <c r="BD161" i="95"/>
  <c r="AC209" i="69"/>
  <c r="I165" i="89"/>
  <c r="T64" i="74"/>
  <c r="BC197" i="95"/>
  <c r="BC109" i="95"/>
  <c r="W70" i="69"/>
  <c r="T73" i="89"/>
  <c r="H165" i="89"/>
  <c r="AP80" i="74"/>
  <c r="AR66" i="74"/>
  <c r="DV72" i="75"/>
  <c r="DV70" i="75"/>
  <c r="O169" i="90"/>
  <c r="Z125" i="89"/>
  <c r="AV209" i="69"/>
  <c r="AV70" i="69"/>
  <c r="T63" i="74"/>
  <c r="Q165" i="89"/>
  <c r="R73" i="89"/>
  <c r="U70" i="75"/>
  <c r="AA125" i="89"/>
  <c r="DX65" i="75"/>
  <c r="BB145" i="69"/>
  <c r="AS68" i="74"/>
  <c r="S77" i="74"/>
  <c r="AR63" i="74"/>
  <c r="AS109" i="95"/>
  <c r="Q77" i="90"/>
  <c r="R212" i="89"/>
  <c r="AQ76" i="74"/>
  <c r="AQ77" i="74"/>
  <c r="AK211" i="84"/>
  <c r="R78" i="74"/>
  <c r="BP55" i="69"/>
  <c r="BP144" i="69"/>
  <c r="BD116" i="95"/>
  <c r="S71" i="95"/>
  <c r="AX197" i="95"/>
  <c r="AL119" i="100"/>
  <c r="AK118" i="84"/>
  <c r="AY160" i="95"/>
  <c r="AC70" i="69"/>
  <c r="BD205" i="95"/>
  <c r="S76" i="74"/>
  <c r="AR64" i="74"/>
  <c r="Q212" i="89"/>
  <c r="O175" i="68"/>
  <c r="BC56" i="69"/>
  <c r="AS65" i="95"/>
  <c r="BC65" i="95"/>
  <c r="DW67" i="75"/>
  <c r="AR65" i="74"/>
  <c r="AX65" i="95"/>
  <c r="AP79" i="74"/>
  <c r="S70" i="69"/>
  <c r="S209" i="69"/>
  <c r="Y76" i="95"/>
  <c r="T68" i="75"/>
  <c r="DU79" i="75"/>
  <c r="BC152" i="95"/>
  <c r="DU80" i="75"/>
  <c r="I212" i="89"/>
  <c r="AW65" i="95"/>
  <c r="BC100" i="69"/>
  <c r="AG101" i="95"/>
  <c r="R168" i="90"/>
  <c r="T71" i="75"/>
  <c r="AS196" i="95"/>
  <c r="DW65" i="75"/>
  <c r="X79" i="95"/>
  <c r="U69" i="75"/>
  <c r="DW66" i="75"/>
  <c r="U71" i="75"/>
  <c r="DX67" i="75"/>
  <c r="S73" i="89"/>
  <c r="AT213" i="84"/>
  <c r="AA76" i="95"/>
  <c r="Z69" i="95"/>
  <c r="R76" i="75"/>
  <c r="DX63" i="75"/>
  <c r="T67" i="74"/>
  <c r="AY161" i="95"/>
  <c r="DX66" i="75"/>
  <c r="DV68" i="75"/>
  <c r="BB109" i="95"/>
  <c r="AP78" i="74"/>
  <c r="P216" i="90"/>
  <c r="U71" i="74"/>
  <c r="AX109" i="95"/>
  <c r="AK112" i="87"/>
  <c r="DW63" i="75"/>
  <c r="DW62" i="75"/>
  <c r="AP70" i="69"/>
  <c r="DV69" i="75"/>
  <c r="BB190" i="69"/>
  <c r="AL212" i="100"/>
  <c r="R79" i="74"/>
  <c r="AT159" i="95"/>
  <c r="T69" i="75"/>
  <c r="W209" i="69"/>
  <c r="Y125" i="89"/>
  <c r="AB126" i="89"/>
  <c r="S77" i="75"/>
  <c r="Q73" i="89"/>
  <c r="P77" i="90"/>
  <c r="AA77" i="95"/>
  <c r="DV71" i="75"/>
  <c r="Y124" i="89"/>
  <c r="AX151" i="95"/>
  <c r="T70" i="75"/>
  <c r="X81" i="95"/>
  <c r="AS71" i="74"/>
  <c r="AQ74" i="87"/>
  <c r="R80" i="74"/>
  <c r="BB65" i="95"/>
  <c r="AS152" i="95"/>
  <c r="AR67" i="74"/>
  <c r="AS69" i="74"/>
  <c r="AY116" i="95"/>
  <c r="U70" i="74"/>
  <c r="AA124" i="89"/>
  <c r="Y74" i="95"/>
  <c r="Y75" i="95"/>
  <c r="X209" i="69"/>
  <c r="AT71" i="95"/>
  <c r="Z72" i="95"/>
  <c r="Y126" i="89"/>
  <c r="AT205" i="95"/>
  <c r="AP209" i="69"/>
  <c r="O77" i="90"/>
  <c r="U68" i="74"/>
  <c r="Z124" i="89"/>
  <c r="T62" i="74"/>
  <c r="BD71" i="95"/>
  <c r="AQ213" i="87"/>
  <c r="AT116" i="95"/>
  <c r="S76" i="75"/>
  <c r="Z70" i="95"/>
  <c r="R77" i="75"/>
  <c r="AY204" i="95"/>
  <c r="AY205" i="95" s="1"/>
  <c r="Z126" i="89"/>
  <c r="S210" i="95"/>
  <c r="AR109" i="95"/>
  <c r="DX64" i="75"/>
  <c r="AW109" i="95"/>
  <c r="T66" i="74"/>
  <c r="AB124" i="89"/>
  <c r="O216" i="90"/>
  <c r="U69" i="74"/>
  <c r="Z71" i="95"/>
  <c r="AK112" i="94"/>
  <c r="T212" i="89"/>
  <c r="AS70" i="74"/>
  <c r="DW64" i="75"/>
  <c r="AT74" i="84"/>
  <c r="DU78" i="75"/>
  <c r="AR65" i="95"/>
  <c r="AA126" i="89"/>
  <c r="G119" i="89"/>
  <c r="BV119" i="84" l="1"/>
  <c r="BE64" i="95"/>
  <c r="BE151" i="95"/>
  <c r="AK216" i="90"/>
  <c r="BS216" i="90"/>
  <c r="AJ164" i="84"/>
  <c r="BE196" i="95"/>
  <c r="AM168" i="90"/>
  <c r="Z216" i="90"/>
  <c r="BU216" i="90" s="1"/>
  <c r="T107" i="95"/>
  <c r="AQ123" i="90"/>
  <c r="AO123" i="90"/>
  <c r="AP123" i="90"/>
  <c r="K123" i="90"/>
  <c r="BR123" i="90" s="1"/>
  <c r="AL77" i="90"/>
  <c r="M216" i="90"/>
  <c r="BT216" i="90" s="1"/>
  <c r="L169" i="90"/>
  <c r="AJ216" i="90"/>
  <c r="AK77" i="90"/>
  <c r="AJ169" i="90"/>
  <c r="BR77" i="90"/>
  <c r="Z77" i="90"/>
  <c r="BU77" i="90" s="1"/>
  <c r="AJ77" i="90"/>
  <c r="Z169" i="90"/>
  <c r="M169" i="90"/>
  <c r="AR123" i="90"/>
  <c r="N165" i="89"/>
  <c r="EI16" i="75"/>
  <c r="AW62" i="69"/>
  <c r="BQ55" i="69"/>
  <c r="BL61" i="69"/>
  <c r="BL62" i="69" s="1"/>
  <c r="BL63" i="69" s="1"/>
  <c r="T64" i="95"/>
  <c r="DO15" i="75"/>
  <c r="AQ106" i="69"/>
  <c r="T151" i="95"/>
  <c r="BQ119" i="84"/>
  <c r="M165" i="89"/>
  <c r="AW151" i="69"/>
  <c r="EK15" i="75"/>
  <c r="AW108" i="69"/>
  <c r="EJ17" i="75"/>
  <c r="AW196" i="69"/>
  <c r="EL15" i="75"/>
  <c r="AJ162" i="69"/>
  <c r="J165" i="89"/>
  <c r="N169" i="90" s="1"/>
  <c r="L119" i="89"/>
  <c r="H17" i="75"/>
  <c r="AK63" i="69"/>
  <c r="K15" i="75"/>
  <c r="AK196" i="69"/>
  <c r="N212" i="89"/>
  <c r="DQ14" i="75"/>
  <c r="AQ195" i="69"/>
  <c r="O73" i="89"/>
  <c r="BP119" i="84"/>
  <c r="BO119" i="84"/>
  <c r="BE65" i="95"/>
  <c r="BQ144" i="69"/>
  <c r="BE109" i="95"/>
  <c r="J15" i="75"/>
  <c r="AK151" i="69"/>
  <c r="DP14" i="75"/>
  <c r="AQ150" i="69"/>
  <c r="K15" i="74"/>
  <c r="BL195" i="69"/>
  <c r="AB16" i="74"/>
  <c r="AD196" i="69"/>
  <c r="J14" i="74"/>
  <c r="BL149" i="69"/>
  <c r="AA15" i="74"/>
  <c r="AD150" i="69"/>
  <c r="AJ112" i="87"/>
  <c r="AJ112" i="94"/>
  <c r="BA74" i="84"/>
  <c r="BK71" i="69"/>
  <c r="BK210" i="69"/>
  <c r="BA213" i="84"/>
  <c r="I17" i="75"/>
  <c r="AK108" i="69"/>
  <c r="H18" i="74"/>
  <c r="AD64" i="69"/>
  <c r="Y19" i="74"/>
  <c r="DN18" i="75"/>
  <c r="AQ64" i="69"/>
  <c r="Z18" i="74"/>
  <c r="I17" i="74"/>
  <c r="AD108" i="69"/>
  <c r="O212" i="89"/>
  <c r="T198" i="95"/>
  <c r="E111" i="91"/>
  <c r="BZ112" i="84"/>
  <c r="CG112" i="84"/>
  <c r="F115" i="91"/>
  <c r="CA116" i="84"/>
  <c r="CH116" i="84"/>
  <c r="G123" i="91"/>
  <c r="CI124" i="84"/>
  <c r="CB124" i="84"/>
  <c r="CF110" i="84"/>
  <c r="BY110" i="84"/>
  <c r="D109" i="91"/>
  <c r="CE108" i="84"/>
  <c r="C107" i="91"/>
  <c r="BX108" i="84"/>
  <c r="AX152" i="95"/>
  <c r="AS73" i="74"/>
  <c r="X162" i="69"/>
  <c r="X82" i="95"/>
  <c r="DW68" i="75"/>
  <c r="AY162" i="95"/>
  <c r="AS197" i="95"/>
  <c r="BB101" i="69"/>
  <c r="DW70" i="75"/>
  <c r="AT160" i="95"/>
  <c r="U72" i="74"/>
  <c r="S163" i="95"/>
  <c r="AX66" i="95"/>
  <c r="T73" i="75"/>
  <c r="AX198" i="95"/>
  <c r="AQ80" i="74"/>
  <c r="AW66" i="95"/>
  <c r="S80" i="75"/>
  <c r="AS74" i="74"/>
  <c r="S79" i="74"/>
  <c r="AV162" i="69"/>
  <c r="AX110" i="95"/>
  <c r="AA81" i="95"/>
  <c r="H119" i="89"/>
  <c r="Q216" i="90"/>
  <c r="BI191" i="95"/>
  <c r="AT166" i="84"/>
  <c r="S212" i="89"/>
  <c r="DV75" i="75"/>
  <c r="DW69" i="75"/>
  <c r="BI146" i="95"/>
  <c r="Z75" i="95"/>
  <c r="AK113" i="94"/>
  <c r="AR70" i="74"/>
  <c r="Z74" i="95"/>
  <c r="AA79" i="95"/>
  <c r="AX111" i="95"/>
  <c r="AP82" i="74"/>
  <c r="AS153" i="95"/>
  <c r="DV74" i="75"/>
  <c r="Q119" i="89"/>
  <c r="Z73" i="95"/>
  <c r="AR110" i="95"/>
  <c r="AT206" i="95"/>
  <c r="S79" i="75"/>
  <c r="Y78" i="95"/>
  <c r="DU81" i="75"/>
  <c r="BC198" i="95"/>
  <c r="BC110" i="95"/>
  <c r="BC111" i="95" s="1"/>
  <c r="AW110" i="95"/>
  <c r="O129" i="68"/>
  <c r="AT117" i="95" s="1"/>
  <c r="DX70" i="75"/>
  <c r="O123" i="90"/>
  <c r="U72" i="75"/>
  <c r="BB110" i="95"/>
  <c r="AQ120" i="87"/>
  <c r="AR69" i="74"/>
  <c r="S78" i="74"/>
  <c r="U73" i="75"/>
  <c r="T165" i="89"/>
  <c r="S80" i="74"/>
  <c r="R80" i="75"/>
  <c r="U73" i="74"/>
  <c r="BC145" i="69"/>
  <c r="AA78" i="95"/>
  <c r="AQ78" i="74"/>
  <c r="R79" i="75"/>
  <c r="T72" i="75"/>
  <c r="R82" i="74"/>
  <c r="AR66" i="95"/>
  <c r="AS72" i="74"/>
  <c r="S78" i="75"/>
  <c r="BP190" i="69"/>
  <c r="X116" i="69"/>
  <c r="BQ117" i="95"/>
  <c r="AS66" i="95"/>
  <c r="DU82" i="75"/>
  <c r="AQ79" i="74"/>
  <c r="R81" i="74"/>
  <c r="T70" i="74"/>
  <c r="AX153" i="95"/>
  <c r="AQ166" i="87"/>
  <c r="BD206" i="95"/>
  <c r="X83" i="95"/>
  <c r="T68" i="74"/>
  <c r="AP162" i="69"/>
  <c r="P169" i="90"/>
  <c r="DW71" i="75"/>
  <c r="BC190" i="69"/>
  <c r="U74" i="74"/>
  <c r="AT120" i="84"/>
  <c r="U74" i="75"/>
  <c r="Y77" i="95"/>
  <c r="R165" i="89"/>
  <c r="S116" i="69"/>
  <c r="W162" i="69"/>
  <c r="AR68" i="74"/>
  <c r="BB66" i="95"/>
  <c r="BC153" i="95"/>
  <c r="AS110" i="95"/>
  <c r="BI102" i="95"/>
  <c r="Q169" i="90"/>
  <c r="BO58" i="69"/>
  <c r="AA80" i="95"/>
  <c r="AG146" i="95"/>
  <c r="S117" i="95"/>
  <c r="AC162" i="69"/>
  <c r="I119" i="89"/>
  <c r="BC66" i="95"/>
  <c r="AD73" i="84"/>
  <c r="AY206" i="95"/>
  <c r="BD117" i="95"/>
  <c r="T71" i="74"/>
  <c r="T69" i="74"/>
  <c r="S165" i="89"/>
  <c r="DV73" i="75"/>
  <c r="R78" i="75"/>
  <c r="S162" i="69"/>
  <c r="AP81" i="74"/>
  <c r="DX69" i="75"/>
  <c r="AK113" i="87"/>
  <c r="BD162" i="95"/>
  <c r="DX71" i="75"/>
  <c r="T74" i="75"/>
  <c r="AR71" i="74"/>
  <c r="AD212" i="84"/>
  <c r="AK164" i="84"/>
  <c r="DX68" i="75"/>
  <c r="BE152" i="95" l="1"/>
  <c r="BK146" i="95"/>
  <c r="AR213" i="84"/>
  <c r="BE213" i="84"/>
  <c r="BM213" i="84" s="1"/>
  <c r="BD213" i="84"/>
  <c r="BL213" i="84" s="1"/>
  <c r="BB213" i="84"/>
  <c r="BJ213" i="84" s="1"/>
  <c r="BC213" i="84"/>
  <c r="BK213" i="84" s="1"/>
  <c r="BE74" i="84"/>
  <c r="BM74" i="84" s="1"/>
  <c r="BD74" i="84"/>
  <c r="BL74" i="84" s="1"/>
  <c r="BC74" i="84"/>
  <c r="BK74" i="84" s="1"/>
  <c r="BB74" i="84"/>
  <c r="BJ74" i="84" s="1"/>
  <c r="BE197" i="95"/>
  <c r="BK191" i="95"/>
  <c r="AJ116" i="69"/>
  <c r="J119" i="89"/>
  <c r="O119" i="89" s="1"/>
  <c r="AI73" i="84"/>
  <c r="T108" i="95"/>
  <c r="Z123" i="90"/>
  <c r="AK169" i="90"/>
  <c r="AL216" i="90"/>
  <c r="M123" i="90"/>
  <c r="BT123" i="90" s="1"/>
  <c r="BU169" i="90"/>
  <c r="AJ123" i="90"/>
  <c r="L123" i="90"/>
  <c r="M119" i="89"/>
  <c r="BS169" i="90"/>
  <c r="BT169" i="90"/>
  <c r="AL169" i="90"/>
  <c r="AI212" i="84"/>
  <c r="EI17" i="75"/>
  <c r="AW63" i="69"/>
  <c r="T65" i="95"/>
  <c r="BE153" i="95"/>
  <c r="DO16" i="75"/>
  <c r="AQ107" i="69"/>
  <c r="T152" i="95"/>
  <c r="N119" i="89"/>
  <c r="AW152" i="69"/>
  <c r="EK16" i="75"/>
  <c r="AW197" i="69"/>
  <c r="EL16" i="75"/>
  <c r="AW109" i="69"/>
  <c r="EJ18" i="75"/>
  <c r="O165" i="89"/>
  <c r="AK64" i="69"/>
  <c r="H18" i="75"/>
  <c r="K16" i="75"/>
  <c r="AK197" i="69"/>
  <c r="DQ15" i="75"/>
  <c r="AQ196" i="69"/>
  <c r="BR74" i="84"/>
  <c r="BT74" i="84" s="1"/>
  <c r="BN74" i="84" s="1"/>
  <c r="AR74" i="84"/>
  <c r="BK102" i="95"/>
  <c r="BE110" i="95"/>
  <c r="BE66" i="95"/>
  <c r="BQ190" i="69"/>
  <c r="BR213" i="84"/>
  <c r="BT213" i="84" s="1"/>
  <c r="BN213" i="84" s="1"/>
  <c r="DP15" i="75"/>
  <c r="AQ151" i="69"/>
  <c r="J15" i="74"/>
  <c r="BL150" i="69"/>
  <c r="AA16" i="74"/>
  <c r="AD151" i="69"/>
  <c r="J16" i="75"/>
  <c r="AK152" i="69"/>
  <c r="BL196" i="69"/>
  <c r="AB17" i="74"/>
  <c r="K16" i="74"/>
  <c r="AD197" i="69"/>
  <c r="AJ113" i="87"/>
  <c r="AJ113" i="94"/>
  <c r="BA166" i="84"/>
  <c r="BK163" i="69"/>
  <c r="BA120" i="84"/>
  <c r="BK117" i="69"/>
  <c r="H19" i="74"/>
  <c r="BL64" i="69"/>
  <c r="Y20" i="74"/>
  <c r="AD65" i="69"/>
  <c r="T199" i="95"/>
  <c r="I18" i="74"/>
  <c r="Z19" i="74"/>
  <c r="AD109" i="69"/>
  <c r="DN19" i="75"/>
  <c r="AQ65" i="69"/>
  <c r="I18" i="75"/>
  <c r="AK109" i="69"/>
  <c r="CA117" i="84"/>
  <c r="CH117" i="84"/>
  <c r="F116" i="91"/>
  <c r="CE109" i="84"/>
  <c r="BX109" i="84"/>
  <c r="C108" i="91"/>
  <c r="D110" i="91"/>
  <c r="BY111" i="84"/>
  <c r="CF111" i="84"/>
  <c r="CG113" i="84"/>
  <c r="BZ113" i="84"/>
  <c r="E112" i="91"/>
  <c r="G124" i="91"/>
  <c r="CI125" i="84"/>
  <c r="CB125" i="84"/>
  <c r="AX199" i="95"/>
  <c r="AC116" i="69"/>
  <c r="S83" i="75"/>
  <c r="Y81" i="95"/>
  <c r="BC112" i="95"/>
  <c r="AY207" i="95"/>
  <c r="AP116" i="69"/>
  <c r="AD119" i="84"/>
  <c r="Y79" i="95"/>
  <c r="BC154" i="95"/>
  <c r="T72" i="74"/>
  <c r="T74" i="74"/>
  <c r="AS111" i="95"/>
  <c r="BB111" i="95"/>
  <c r="DX74" i="75"/>
  <c r="DW74" i="75"/>
  <c r="AR72" i="74"/>
  <c r="BP56" i="69"/>
  <c r="R216" i="90"/>
  <c r="AY117" i="95"/>
  <c r="R77" i="90"/>
  <c r="T76" i="75"/>
  <c r="AA83" i="95"/>
  <c r="DW72" i="75"/>
  <c r="T119" i="89"/>
  <c r="BC199" i="95"/>
  <c r="R84" i="74"/>
  <c r="AW111" i="95"/>
  <c r="AW67" i="95"/>
  <c r="BO103" i="69"/>
  <c r="BP145" i="69"/>
  <c r="X84" i="95"/>
  <c r="DV76" i="75"/>
  <c r="DU84" i="75"/>
  <c r="U76" i="75"/>
  <c r="DV77" i="75"/>
  <c r="AR73" i="74"/>
  <c r="AX200" i="95"/>
  <c r="BD207" i="95"/>
  <c r="BO148" i="69"/>
  <c r="U76" i="74"/>
  <c r="AQ82" i="74"/>
  <c r="BB56" i="69"/>
  <c r="AR74" i="74"/>
  <c r="AS154" i="95"/>
  <c r="AP84" i="74"/>
  <c r="AA127" i="89"/>
  <c r="AQ81" i="74"/>
  <c r="AX112" i="95"/>
  <c r="AT207" i="95"/>
  <c r="X85" i="95"/>
  <c r="AS67" i="95"/>
  <c r="AT161" i="95"/>
  <c r="AK114" i="87"/>
  <c r="AR111" i="95"/>
  <c r="Z76" i="95"/>
  <c r="AL213" i="100"/>
  <c r="S82" i="75"/>
  <c r="S81" i="74"/>
  <c r="BD163" i="95"/>
  <c r="T73" i="74"/>
  <c r="BB67" i="95"/>
  <c r="S82" i="74"/>
  <c r="AV116" i="69"/>
  <c r="S81" i="75"/>
  <c r="R83" i="74"/>
  <c r="AL74" i="100"/>
  <c r="Z77" i="95"/>
  <c r="AP83" i="74"/>
  <c r="AQ29" i="87"/>
  <c r="G74" i="89"/>
  <c r="G213" i="89"/>
  <c r="DX72" i="75"/>
  <c r="R81" i="75"/>
  <c r="R82" i="75"/>
  <c r="W116" i="69"/>
  <c r="R119" i="89"/>
  <c r="BC67" i="95"/>
  <c r="AS198" i="95"/>
  <c r="AA82" i="95"/>
  <c r="S119" i="89"/>
  <c r="AD165" i="84"/>
  <c r="P123" i="90"/>
  <c r="AS75" i="74"/>
  <c r="Y80" i="95"/>
  <c r="DW73" i="75"/>
  <c r="U75" i="75"/>
  <c r="T75" i="75"/>
  <c r="AR67" i="95"/>
  <c r="AX154" i="95"/>
  <c r="AG57" i="95"/>
  <c r="U75" i="74"/>
  <c r="DU83" i="75"/>
  <c r="AY163" i="95"/>
  <c r="AK114" i="94"/>
  <c r="AS76" i="74"/>
  <c r="S83" i="74"/>
  <c r="DX73" i="75"/>
  <c r="AA128" i="89"/>
  <c r="Q123" i="90"/>
  <c r="AX67" i="95"/>
  <c r="AQ83" i="74"/>
  <c r="H213" i="89"/>
  <c r="BV74" i="84" l="1"/>
  <c r="BV213" i="84"/>
  <c r="BE198" i="95"/>
  <c r="BR166" i="84"/>
  <c r="BT166" i="84" s="1"/>
  <c r="BN166" i="84" s="1"/>
  <c r="BC166" i="84"/>
  <c r="BK166" i="84" s="1"/>
  <c r="BB166" i="84"/>
  <c r="BJ166" i="84" s="1"/>
  <c r="BE166" i="84"/>
  <c r="BM166" i="84" s="1"/>
  <c r="BD166" i="84"/>
  <c r="BL166" i="84" s="1"/>
  <c r="AQ78" i="90"/>
  <c r="BP74" i="84"/>
  <c r="BE120" i="84"/>
  <c r="BM120" i="84" s="1"/>
  <c r="BD120" i="84"/>
  <c r="BL120" i="84" s="1"/>
  <c r="BC120" i="84"/>
  <c r="BK120" i="84" s="1"/>
  <c r="BB120" i="84"/>
  <c r="BJ120" i="84" s="1"/>
  <c r="AJ212" i="84"/>
  <c r="AJ73" i="84"/>
  <c r="AM77" i="90"/>
  <c r="AI119" i="84"/>
  <c r="N123" i="90"/>
  <c r="BU123" i="90" s="1"/>
  <c r="AM216" i="90"/>
  <c r="T109" i="95"/>
  <c r="AP217" i="90"/>
  <c r="AO217" i="90"/>
  <c r="AO78" i="90"/>
  <c r="AL123" i="90"/>
  <c r="K78" i="90"/>
  <c r="Z78" i="90" s="1"/>
  <c r="L217" i="90"/>
  <c r="BS217" i="90" s="1"/>
  <c r="K217" i="90"/>
  <c r="BR217" i="90" s="1"/>
  <c r="BS123" i="90"/>
  <c r="AK123" i="90"/>
  <c r="AR217" i="90"/>
  <c r="AQ217" i="90"/>
  <c r="AR78" i="90"/>
  <c r="BO74" i="84"/>
  <c r="AP78" i="90"/>
  <c r="AG34" i="89"/>
  <c r="AG36" i="89"/>
  <c r="AG35" i="89"/>
  <c r="AG30" i="89"/>
  <c r="AG33" i="89"/>
  <c r="AG29" i="89"/>
  <c r="AG32" i="89"/>
  <c r="AG31" i="89"/>
  <c r="AI165" i="84"/>
  <c r="AW64" i="69"/>
  <c r="EI18" i="75"/>
  <c r="BE154" i="95"/>
  <c r="T66" i="95"/>
  <c r="AQ108" i="69"/>
  <c r="DO17" i="75"/>
  <c r="T153" i="95"/>
  <c r="BQ213" i="84"/>
  <c r="BQ74" i="84"/>
  <c r="AW153" i="69"/>
  <c r="EK17" i="75"/>
  <c r="AW110" i="69"/>
  <c r="EJ19" i="75"/>
  <c r="AW198" i="69"/>
  <c r="EL17" i="75"/>
  <c r="AK65" i="69"/>
  <c r="H19" i="75"/>
  <c r="AK198" i="69"/>
  <c r="K17" i="75"/>
  <c r="AR166" i="84"/>
  <c r="BR120" i="84"/>
  <c r="BT120" i="84" s="1"/>
  <c r="BN120" i="84" s="1"/>
  <c r="AR120" i="84"/>
  <c r="AQ197" i="69"/>
  <c r="DQ16" i="75"/>
  <c r="L74" i="89"/>
  <c r="BP213" i="84"/>
  <c r="BE67" i="95"/>
  <c r="BE111" i="95"/>
  <c r="BQ145" i="69"/>
  <c r="L213" i="89"/>
  <c r="M213" i="89"/>
  <c r="AK153" i="69"/>
  <c r="J17" i="75"/>
  <c r="AD152" i="69"/>
  <c r="J16" i="74"/>
  <c r="BL151" i="69"/>
  <c r="AA17" i="74"/>
  <c r="AB18" i="74"/>
  <c r="K17" i="74"/>
  <c r="BL197" i="69"/>
  <c r="AD198" i="69"/>
  <c r="BO213" i="84"/>
  <c r="AQ152" i="69"/>
  <c r="DP16" i="75"/>
  <c r="AJ114" i="94"/>
  <c r="AJ114" i="87"/>
  <c r="BQ56" i="69"/>
  <c r="I19" i="74"/>
  <c r="Z20" i="74"/>
  <c r="AD110" i="69"/>
  <c r="I19" i="75"/>
  <c r="AK110" i="69"/>
  <c r="T200" i="95"/>
  <c r="DN20" i="75"/>
  <c r="AQ66" i="69"/>
  <c r="BL65" i="69"/>
  <c r="H20" i="74"/>
  <c r="AD66" i="69"/>
  <c r="Y21" i="74"/>
  <c r="G125" i="91"/>
  <c r="CI126" i="84"/>
  <c r="CB126" i="84"/>
  <c r="F117" i="91"/>
  <c r="CA118" i="84"/>
  <c r="CH118" i="84"/>
  <c r="CG114" i="84"/>
  <c r="BZ114" i="84"/>
  <c r="E113" i="91"/>
  <c r="C109" i="91"/>
  <c r="CE110" i="84"/>
  <c r="BX110" i="84"/>
  <c r="CF112" i="84"/>
  <c r="D111" i="91"/>
  <c r="BY112" i="84"/>
  <c r="AX113" i="95"/>
  <c r="O217" i="90"/>
  <c r="S84" i="75"/>
  <c r="Q74" i="89"/>
  <c r="DV79" i="75"/>
  <c r="AS112" i="95"/>
  <c r="AB127" i="89"/>
  <c r="R85" i="74"/>
  <c r="R86" i="74"/>
  <c r="AL120" i="100"/>
  <c r="R123" i="90"/>
  <c r="U77" i="75"/>
  <c r="AW68" i="95"/>
  <c r="R169" i="90"/>
  <c r="AX155" i="95"/>
  <c r="AL166" i="100"/>
  <c r="AA85" i="95"/>
  <c r="X87" i="95"/>
  <c r="T78" i="75"/>
  <c r="Y128" i="89"/>
  <c r="I213" i="89"/>
  <c r="AK212" i="84"/>
  <c r="DV78" i="75"/>
  <c r="U80" i="74"/>
  <c r="O223" i="68"/>
  <c r="Z127" i="89"/>
  <c r="Y82" i="95"/>
  <c r="AS77" i="74"/>
  <c r="AS199" i="95"/>
  <c r="AK73" i="84"/>
  <c r="DX76" i="75"/>
  <c r="DV80" i="75"/>
  <c r="BC113" i="95"/>
  <c r="T79" i="75"/>
  <c r="AY208" i="95"/>
  <c r="AT208" i="95"/>
  <c r="Z128" i="89"/>
  <c r="T76" i="74"/>
  <c r="X86" i="95"/>
  <c r="T80" i="75"/>
  <c r="I74" i="89"/>
  <c r="Z79" i="95"/>
  <c r="Y127" i="89"/>
  <c r="AS155" i="95"/>
  <c r="O84" i="68"/>
  <c r="AS79" i="74"/>
  <c r="AG192" i="95"/>
  <c r="O78" i="90"/>
  <c r="G166" i="89"/>
  <c r="S85" i="74"/>
  <c r="AG102" i="95"/>
  <c r="AS80" i="74"/>
  <c r="S85" i="75"/>
  <c r="AW112" i="95"/>
  <c r="H74" i="89"/>
  <c r="DW76" i="75"/>
  <c r="Z78" i="95"/>
  <c r="DU86" i="75"/>
  <c r="U77" i="74"/>
  <c r="H120" i="89"/>
  <c r="AR76" i="74"/>
  <c r="G120" i="89"/>
  <c r="AX114" i="95"/>
  <c r="Y83" i="95"/>
  <c r="BD208" i="95"/>
  <c r="U79" i="74"/>
  <c r="DX75" i="75"/>
  <c r="DW75" i="75"/>
  <c r="S84" i="74"/>
  <c r="AQ85" i="74"/>
  <c r="P217" i="90"/>
  <c r="T75" i="74"/>
  <c r="AR68" i="95"/>
  <c r="R213" i="89"/>
  <c r="U80" i="75"/>
  <c r="AK115" i="87"/>
  <c r="R84" i="75"/>
  <c r="AP86" i="74"/>
  <c r="AS78" i="74"/>
  <c r="BC200" i="95"/>
  <c r="BB68" i="95"/>
  <c r="AQ75" i="87"/>
  <c r="U79" i="75"/>
  <c r="Z80" i="95"/>
  <c r="AS68" i="95"/>
  <c r="Y84" i="95"/>
  <c r="AB128" i="89"/>
  <c r="BC101" i="69"/>
  <c r="U78" i="75"/>
  <c r="AX201" i="95"/>
  <c r="AT75" i="84"/>
  <c r="U78" i="74"/>
  <c r="Q213" i="89"/>
  <c r="DU85" i="75"/>
  <c r="T77" i="75"/>
  <c r="R83" i="75"/>
  <c r="AT162" i="95"/>
  <c r="AA84" i="95"/>
  <c r="AR75" i="74"/>
  <c r="AQ84" i="74"/>
  <c r="AX68" i="95"/>
  <c r="BC155" i="95"/>
  <c r="AR112" i="95"/>
  <c r="AP85" i="74"/>
  <c r="BC68" i="95"/>
  <c r="Z81" i="95"/>
  <c r="BB112" i="95"/>
  <c r="I120" i="89"/>
  <c r="BV120" i="84" l="1"/>
  <c r="BV166" i="84"/>
  <c r="BE199" i="95"/>
  <c r="M78" i="90"/>
  <c r="N74" i="89"/>
  <c r="AQ124" i="90"/>
  <c r="BP120" i="84"/>
  <c r="AJ165" i="84"/>
  <c r="AJ119" i="84"/>
  <c r="AM123" i="90"/>
  <c r="AM169" i="90"/>
  <c r="T110" i="95"/>
  <c r="Z217" i="90"/>
  <c r="AQ170" i="90"/>
  <c r="AO124" i="90"/>
  <c r="AO170" i="90"/>
  <c r="AP124" i="90"/>
  <c r="L78" i="90"/>
  <c r="BS78" i="90" s="1"/>
  <c r="M217" i="90"/>
  <c r="BT217" i="90" s="1"/>
  <c r="AJ217" i="90"/>
  <c r="K124" i="90"/>
  <c r="BR124" i="90" s="1"/>
  <c r="K170" i="90"/>
  <c r="Z170" i="90" s="1"/>
  <c r="M124" i="90"/>
  <c r="L124" i="90"/>
  <c r="BS124" i="90" s="1"/>
  <c r="AK217" i="90"/>
  <c r="AJ78" i="90"/>
  <c r="BR78" i="90"/>
  <c r="AR170" i="90"/>
  <c r="AR124" i="90"/>
  <c r="BO166" i="84"/>
  <c r="AP170" i="90"/>
  <c r="AH29" i="89"/>
  <c r="AH31" i="89"/>
  <c r="AH30" i="89"/>
  <c r="AH32" i="89"/>
  <c r="AF32" i="89"/>
  <c r="AF33" i="89"/>
  <c r="AF34" i="89"/>
  <c r="AF30" i="89"/>
  <c r="AF35" i="89"/>
  <c r="AF31" i="89"/>
  <c r="AF29" i="89"/>
  <c r="AF36" i="89"/>
  <c r="AE29" i="89"/>
  <c r="AE31" i="89"/>
  <c r="AE35" i="89"/>
  <c r="AE32" i="89"/>
  <c r="AE36" i="89"/>
  <c r="AE30" i="89"/>
  <c r="AE33" i="89"/>
  <c r="AE34" i="89"/>
  <c r="AW65" i="69"/>
  <c r="EI19" i="75"/>
  <c r="BE155" i="95"/>
  <c r="T67" i="95"/>
  <c r="AQ109" i="69"/>
  <c r="DO18" i="75"/>
  <c r="T154" i="95"/>
  <c r="BQ120" i="84"/>
  <c r="BQ166" i="84"/>
  <c r="AW154" i="69"/>
  <c r="EK18" i="75"/>
  <c r="AW199" i="69"/>
  <c r="EL18" i="75"/>
  <c r="AW111" i="69"/>
  <c r="EJ20" i="75"/>
  <c r="L166" i="89"/>
  <c r="N213" i="89"/>
  <c r="M74" i="89"/>
  <c r="BP166" i="84"/>
  <c r="H20" i="75"/>
  <c r="AK66" i="69"/>
  <c r="K18" i="75"/>
  <c r="AK199" i="69"/>
  <c r="N120" i="89"/>
  <c r="M120" i="89"/>
  <c r="AJ71" i="69"/>
  <c r="J74" i="89"/>
  <c r="N78" i="90" s="1"/>
  <c r="AJ210" i="69"/>
  <c r="J213" i="89"/>
  <c r="N217" i="90" s="1"/>
  <c r="DQ17" i="75"/>
  <c r="AQ198" i="69"/>
  <c r="BO120" i="84"/>
  <c r="BE112" i="95"/>
  <c r="BE68" i="95"/>
  <c r="BL198" i="69"/>
  <c r="K18" i="74"/>
  <c r="AB19" i="74"/>
  <c r="AD199" i="69"/>
  <c r="J18" i="75"/>
  <c r="AK154" i="69"/>
  <c r="DP17" i="75"/>
  <c r="AQ153" i="69"/>
  <c r="J17" i="74"/>
  <c r="BL152" i="69"/>
  <c r="AD153" i="69"/>
  <c r="AA18" i="74"/>
  <c r="AJ115" i="87"/>
  <c r="BA75" i="84"/>
  <c r="BK72" i="69"/>
  <c r="L120" i="89"/>
  <c r="DN21" i="75"/>
  <c r="AQ67" i="69"/>
  <c r="Z21" i="74"/>
  <c r="I20" i="74"/>
  <c r="AD111" i="69"/>
  <c r="T201" i="95"/>
  <c r="CH119" i="84"/>
  <c r="F118" i="91"/>
  <c r="CA119" i="84"/>
  <c r="CI127" i="84"/>
  <c r="CB127" i="84"/>
  <c r="G126" i="91"/>
  <c r="I20" i="75"/>
  <c r="AK111" i="69"/>
  <c r="Y22" i="74"/>
  <c r="H21" i="74"/>
  <c r="BL66" i="69"/>
  <c r="AD67" i="69"/>
  <c r="BY113" i="84"/>
  <c r="D112" i="91"/>
  <c r="CF113" i="84"/>
  <c r="CE111" i="84"/>
  <c r="C110" i="91"/>
  <c r="BX111" i="84"/>
  <c r="BZ115" i="84"/>
  <c r="CG115" i="84"/>
  <c r="E114" i="91"/>
  <c r="BI147" i="95"/>
  <c r="AT163" i="95"/>
  <c r="AY72" i="95"/>
  <c r="BD209" i="95"/>
  <c r="S87" i="75"/>
  <c r="AS156" i="95"/>
  <c r="BC114" i="95"/>
  <c r="S72" i="95"/>
  <c r="DX78" i="75"/>
  <c r="AP87" i="74"/>
  <c r="R86" i="75"/>
  <c r="S120" i="89"/>
  <c r="S211" i="95"/>
  <c r="BB113" i="95"/>
  <c r="Z83" i="95"/>
  <c r="AR78" i="74"/>
  <c r="AX115" i="95"/>
  <c r="R85" i="75"/>
  <c r="AR80" i="74"/>
  <c r="S71" i="69"/>
  <c r="DU87" i="75"/>
  <c r="BD72" i="95"/>
  <c r="S87" i="74"/>
  <c r="R88" i="74"/>
  <c r="BB191" i="69"/>
  <c r="AQ87" i="74"/>
  <c r="X89" i="95"/>
  <c r="AR79" i="74"/>
  <c r="X210" i="69"/>
  <c r="AR113" i="95"/>
  <c r="AT72" i="95"/>
  <c r="AT214" i="84"/>
  <c r="S74" i="89"/>
  <c r="R87" i="74"/>
  <c r="X90" i="95"/>
  <c r="AY209" i="95"/>
  <c r="R74" i="89"/>
  <c r="AQ167" i="87"/>
  <c r="Q78" i="90"/>
  <c r="T79" i="74"/>
  <c r="I166" i="89"/>
  <c r="Q120" i="89"/>
  <c r="U81" i="74"/>
  <c r="AV210" i="69"/>
  <c r="AT209" i="95"/>
  <c r="DW77" i="75"/>
  <c r="R120" i="89"/>
  <c r="AX202" i="95"/>
  <c r="Q124" i="90"/>
  <c r="Q217" i="90"/>
  <c r="AQ86" i="74"/>
  <c r="BC201" i="95"/>
  <c r="S210" i="69"/>
  <c r="AA87" i="95"/>
  <c r="AK165" i="84"/>
  <c r="AS69" i="95"/>
  <c r="Q166" i="89"/>
  <c r="W210" i="69"/>
  <c r="DV81" i="75"/>
  <c r="DW80" i="75"/>
  <c r="AQ214" i="87"/>
  <c r="P78" i="90"/>
  <c r="BB69" i="95"/>
  <c r="P124" i="90"/>
  <c r="DX80" i="75"/>
  <c r="BC191" i="69"/>
  <c r="DV83" i="75"/>
  <c r="AP89" i="74"/>
  <c r="AP71" i="69"/>
  <c r="T81" i="75"/>
  <c r="O176" i="68"/>
  <c r="H166" i="89"/>
  <c r="AR77" i="74"/>
  <c r="U81" i="75"/>
  <c r="T82" i="75"/>
  <c r="AA86" i="95"/>
  <c r="AS82" i="74"/>
  <c r="AP210" i="69"/>
  <c r="AT167" i="84"/>
  <c r="X88" i="95"/>
  <c r="AV71" i="69"/>
  <c r="AC210" i="69"/>
  <c r="S86" i="75"/>
  <c r="AW113" i="95"/>
  <c r="BC146" i="69"/>
  <c r="BC156" i="95"/>
  <c r="U82" i="74"/>
  <c r="AX69" i="95"/>
  <c r="BC57" i="69"/>
  <c r="S86" i="74"/>
  <c r="DW78" i="75"/>
  <c r="O170" i="90"/>
  <c r="Y85" i="95"/>
  <c r="AS113" i="95"/>
  <c r="R89" i="74"/>
  <c r="T78" i="74"/>
  <c r="U82" i="75"/>
  <c r="T80" i="74"/>
  <c r="S213" i="89"/>
  <c r="AR69" i="95"/>
  <c r="AS200" i="95"/>
  <c r="AC71" i="69"/>
  <c r="O130" i="68"/>
  <c r="T74" i="89"/>
  <c r="DV82" i="75"/>
  <c r="AK116" i="87"/>
  <c r="DW79" i="75"/>
  <c r="Y86" i="95"/>
  <c r="X71" i="69"/>
  <c r="Z82" i="95"/>
  <c r="DX77" i="75"/>
  <c r="T77" i="74"/>
  <c r="AW69" i="95"/>
  <c r="AX156" i="95"/>
  <c r="DX79" i="75"/>
  <c r="T213" i="89"/>
  <c r="BB146" i="69"/>
  <c r="BC69" i="95"/>
  <c r="AP88" i="74"/>
  <c r="DU88" i="75"/>
  <c r="W71" i="69"/>
  <c r="O124" i="90"/>
  <c r="DU89" i="75"/>
  <c r="AS81" i="74"/>
  <c r="AK119" i="84"/>
  <c r="S117" i="69"/>
  <c r="X117" i="69"/>
  <c r="AY118" i="95"/>
  <c r="BD118" i="95"/>
  <c r="S118" i="95"/>
  <c r="AT118" i="95"/>
  <c r="BE200" i="95" l="1"/>
  <c r="AL78" i="90"/>
  <c r="BT78" i="90"/>
  <c r="M170" i="90"/>
  <c r="BT170" i="90" s="1"/>
  <c r="N166" i="89"/>
  <c r="BE75" i="84"/>
  <c r="BM75" i="84" s="1"/>
  <c r="BD75" i="84"/>
  <c r="BL75" i="84" s="1"/>
  <c r="BB75" i="84"/>
  <c r="BJ75" i="84" s="1"/>
  <c r="BC75" i="84"/>
  <c r="BK75" i="84" s="1"/>
  <c r="BR170" i="90"/>
  <c r="J120" i="89"/>
  <c r="N124" i="90" s="1"/>
  <c r="AJ117" i="69"/>
  <c r="T111" i="95"/>
  <c r="Z124" i="90"/>
  <c r="AL124" i="90"/>
  <c r="BU217" i="90"/>
  <c r="AJ170" i="90"/>
  <c r="AJ124" i="90"/>
  <c r="L170" i="90"/>
  <c r="AL217" i="90"/>
  <c r="AK78" i="90"/>
  <c r="BT124" i="90"/>
  <c r="BU78" i="90"/>
  <c r="AK124" i="90"/>
  <c r="AI30" i="89"/>
  <c r="AI32" i="89"/>
  <c r="AI33" i="89"/>
  <c r="AI31" i="89"/>
  <c r="BE156" i="95"/>
  <c r="AW66" i="69"/>
  <c r="EI20" i="75"/>
  <c r="BK147" i="95"/>
  <c r="T68" i="95"/>
  <c r="AQ110" i="69"/>
  <c r="DO19" i="75"/>
  <c r="T155" i="95"/>
  <c r="J166" i="89"/>
  <c r="AJ163" i="69"/>
  <c r="AW155" i="69"/>
  <c r="EK19" i="75"/>
  <c r="AW112" i="69"/>
  <c r="EJ21" i="75"/>
  <c r="AW200" i="69"/>
  <c r="EL19" i="75"/>
  <c r="M166" i="89"/>
  <c r="H21" i="75"/>
  <c r="AK67" i="69"/>
  <c r="K19" i="75"/>
  <c r="AK200" i="69"/>
  <c r="O213" i="89"/>
  <c r="O74" i="89"/>
  <c r="AR75" i="84"/>
  <c r="DQ18" i="75"/>
  <c r="AQ199" i="69"/>
  <c r="BR75" i="84"/>
  <c r="BT75" i="84" s="1"/>
  <c r="BN75" i="84" s="1"/>
  <c r="BE69" i="95"/>
  <c r="BE113" i="95"/>
  <c r="DP18" i="75"/>
  <c r="AQ154" i="69"/>
  <c r="J19" i="75"/>
  <c r="AK155" i="69"/>
  <c r="AA19" i="74"/>
  <c r="J18" i="74"/>
  <c r="BL153" i="69"/>
  <c r="AD154" i="69"/>
  <c r="AB20" i="74"/>
  <c r="AD200" i="69"/>
  <c r="BL199" i="69"/>
  <c r="K19" i="74"/>
  <c r="AJ116" i="87"/>
  <c r="BK211" i="69"/>
  <c r="BA214" i="84"/>
  <c r="BK164" i="69"/>
  <c r="BA167" i="84"/>
  <c r="BL67" i="69"/>
  <c r="H22" i="74"/>
  <c r="Y23" i="74"/>
  <c r="AD68" i="69"/>
  <c r="CA120" i="84"/>
  <c r="F119" i="91"/>
  <c r="CH120" i="84"/>
  <c r="T202" i="95"/>
  <c r="Z22" i="74"/>
  <c r="I21" i="74"/>
  <c r="AD112" i="69"/>
  <c r="CI128" i="84"/>
  <c r="G127" i="91"/>
  <c r="CB128" i="84"/>
  <c r="I21" i="75"/>
  <c r="AK112" i="69"/>
  <c r="DN22" i="75"/>
  <c r="AQ68" i="69"/>
  <c r="E115" i="91"/>
  <c r="CG116" i="84"/>
  <c r="BZ116" i="84"/>
  <c r="BX112" i="84"/>
  <c r="CE112" i="84"/>
  <c r="C111" i="91"/>
  <c r="BY114" i="84"/>
  <c r="CF114" i="84"/>
  <c r="D113" i="91"/>
  <c r="BC202" i="95"/>
  <c r="U84" i="75"/>
  <c r="AD74" i="84"/>
  <c r="DV84" i="75"/>
  <c r="AW70" i="95"/>
  <c r="AC117" i="69"/>
  <c r="S88" i="75"/>
  <c r="S89" i="74"/>
  <c r="AG147" i="95"/>
  <c r="AQ30" i="87"/>
  <c r="AG58" i="95"/>
  <c r="T120" i="89"/>
  <c r="X163" i="69"/>
  <c r="AA89" i="95"/>
  <c r="AP92" i="74"/>
  <c r="S88" i="74"/>
  <c r="AT210" i="95"/>
  <c r="AX203" i="95"/>
  <c r="AQ89" i="74"/>
  <c r="DU92" i="75"/>
  <c r="BP57" i="69"/>
  <c r="R90" i="74"/>
  <c r="R166" i="89"/>
  <c r="U83" i="75"/>
  <c r="S89" i="75"/>
  <c r="P170" i="90"/>
  <c r="AK117" i="87"/>
  <c r="DX82" i="75"/>
  <c r="X92" i="95"/>
  <c r="AQ88" i="74"/>
  <c r="AC163" i="69"/>
  <c r="AA88" i="95"/>
  <c r="AR82" i="74"/>
  <c r="R91" i="74"/>
  <c r="AX157" i="95"/>
  <c r="R92" i="74"/>
  <c r="AY164" i="95"/>
  <c r="BO194" i="69"/>
  <c r="AV117" i="69"/>
  <c r="W163" i="69"/>
  <c r="BB102" i="69"/>
  <c r="BC70" i="95"/>
  <c r="AS201" i="95"/>
  <c r="AS202" i="95" s="1"/>
  <c r="X91" i="95"/>
  <c r="BO195" i="69"/>
  <c r="AX70" i="95"/>
  <c r="U84" i="74"/>
  <c r="BP191" i="69"/>
  <c r="BC115" i="95"/>
  <c r="DX81" i="75"/>
  <c r="DU91" i="75"/>
  <c r="BQ118" i="95"/>
  <c r="T84" i="75"/>
  <c r="AX116" i="95"/>
  <c r="Y88" i="95"/>
  <c r="AP163" i="69"/>
  <c r="AA90" i="95"/>
  <c r="S164" i="95"/>
  <c r="AD213" i="84"/>
  <c r="AS157" i="95"/>
  <c r="X94" i="95"/>
  <c r="AY210" i="95"/>
  <c r="T81" i="74"/>
  <c r="AR114" i="95"/>
  <c r="AS70" i="95"/>
  <c r="X93" i="95"/>
  <c r="S163" i="69"/>
  <c r="Z84" i="95"/>
  <c r="T83" i="75"/>
  <c r="BI192" i="95"/>
  <c r="R87" i="75"/>
  <c r="AR70" i="95"/>
  <c r="BC203" i="95"/>
  <c r="AP93" i="74"/>
  <c r="Q170" i="90"/>
  <c r="AT121" i="84"/>
  <c r="AQ121" i="87"/>
  <c r="R93" i="74"/>
  <c r="DW81" i="75"/>
  <c r="Y87" i="95"/>
  <c r="DW82" i="75"/>
  <c r="AD120" i="84"/>
  <c r="AS84" i="74"/>
  <c r="R89" i="75"/>
  <c r="R88" i="75"/>
  <c r="S166" i="89"/>
  <c r="T82" i="74"/>
  <c r="AR81" i="74"/>
  <c r="BD210" i="95"/>
  <c r="BC157" i="95"/>
  <c r="DU90" i="75"/>
  <c r="U83" i="74"/>
  <c r="DV85" i="75"/>
  <c r="BD164" i="95"/>
  <c r="AS83" i="74"/>
  <c r="AT164" i="95"/>
  <c r="AP117" i="69"/>
  <c r="AV163" i="69"/>
  <c r="AW114" i="95"/>
  <c r="AP91" i="74"/>
  <c r="W117" i="69"/>
  <c r="AP90" i="74"/>
  <c r="BO193" i="69"/>
  <c r="AS114" i="95"/>
  <c r="BB114" i="95"/>
  <c r="BB57" i="69"/>
  <c r="AT211" i="95"/>
  <c r="Z85" i="95"/>
  <c r="BB70" i="95"/>
  <c r="BI103" i="95"/>
  <c r="T166" i="89"/>
  <c r="DU93" i="75"/>
  <c r="AL75" i="100"/>
  <c r="BV75" i="84" l="1"/>
  <c r="BE201" i="95"/>
  <c r="BK192" i="95"/>
  <c r="BE202" i="95"/>
  <c r="AO79" i="90"/>
  <c r="AL170" i="90"/>
  <c r="BD167" i="84"/>
  <c r="BL167" i="84" s="1"/>
  <c r="BC167" i="84"/>
  <c r="BK167" i="84" s="1"/>
  <c r="BB167" i="84"/>
  <c r="BJ167" i="84" s="1"/>
  <c r="BE167" i="84"/>
  <c r="BM167" i="84" s="1"/>
  <c r="BB214" i="84"/>
  <c r="BJ214" i="84" s="1"/>
  <c r="BD214" i="84"/>
  <c r="BL214" i="84" s="1"/>
  <c r="BE214" i="84"/>
  <c r="BM214" i="84" s="1"/>
  <c r="BC214" i="84"/>
  <c r="BK214" i="84" s="1"/>
  <c r="O120" i="89"/>
  <c r="AI120" i="84"/>
  <c r="AI74" i="84"/>
  <c r="T112" i="95"/>
  <c r="AK170" i="90"/>
  <c r="BU124" i="90"/>
  <c r="BS170" i="90"/>
  <c r="O166" i="89"/>
  <c r="N170" i="90"/>
  <c r="BU170" i="90" s="1"/>
  <c r="AQ79" i="90"/>
  <c r="BO75" i="84"/>
  <c r="AP79" i="90"/>
  <c r="AR79" i="90"/>
  <c r="BE157" i="95"/>
  <c r="AI213" i="84"/>
  <c r="AW67" i="69"/>
  <c r="EI21" i="75"/>
  <c r="T69" i="95"/>
  <c r="AQ111" i="69"/>
  <c r="DO20" i="75"/>
  <c r="T156" i="95"/>
  <c r="BQ75" i="84"/>
  <c r="AW113" i="69"/>
  <c r="EJ22" i="75"/>
  <c r="AW201" i="69"/>
  <c r="EL20" i="75"/>
  <c r="AW156" i="69"/>
  <c r="EK20" i="75"/>
  <c r="H22" i="75"/>
  <c r="AK68" i="69"/>
  <c r="BP75" i="84"/>
  <c r="K20" i="75"/>
  <c r="AK201" i="69"/>
  <c r="AQ200" i="69"/>
  <c r="DQ19" i="75"/>
  <c r="BQ191" i="69"/>
  <c r="BK103" i="95"/>
  <c r="BE114" i="95"/>
  <c r="BE70" i="95"/>
  <c r="BL200" i="69"/>
  <c r="K20" i="74"/>
  <c r="AB21" i="74"/>
  <c r="AD201" i="69"/>
  <c r="DP19" i="75"/>
  <c r="AQ155" i="69"/>
  <c r="AA20" i="74"/>
  <c r="J19" i="74"/>
  <c r="BL154" i="69"/>
  <c r="AD155" i="69"/>
  <c r="J20" i="75"/>
  <c r="AK156" i="69"/>
  <c r="BK118" i="69"/>
  <c r="BA121" i="84"/>
  <c r="AJ117" i="87"/>
  <c r="BQ57" i="69"/>
  <c r="CF115" i="84"/>
  <c r="BY115" i="84"/>
  <c r="D114" i="91"/>
  <c r="CH121" i="84"/>
  <c r="F120" i="91"/>
  <c r="CA121" i="84"/>
  <c r="BR214" i="84"/>
  <c r="BT214" i="84" s="1"/>
  <c r="BN214" i="84" s="1"/>
  <c r="AR214" i="84"/>
  <c r="T203" i="95"/>
  <c r="CB129" i="84"/>
  <c r="G128" i="91"/>
  <c r="CI129" i="84"/>
  <c r="E116" i="91"/>
  <c r="CG117" i="84"/>
  <c r="BZ117" i="84"/>
  <c r="DN23" i="75"/>
  <c r="AQ69" i="69"/>
  <c r="BL68" i="69"/>
  <c r="Y24" i="74"/>
  <c r="H23" i="74"/>
  <c r="AD69" i="69"/>
  <c r="BR167" i="84"/>
  <c r="BT167" i="84" s="1"/>
  <c r="BN167" i="84" s="1"/>
  <c r="AR167" i="84"/>
  <c r="I22" i="75"/>
  <c r="AK113" i="69"/>
  <c r="CE113" i="84"/>
  <c r="C112" i="91"/>
  <c r="BX113" i="84"/>
  <c r="Z23" i="74"/>
  <c r="I22" i="74"/>
  <c r="AD113" i="69"/>
  <c r="AS203" i="95"/>
  <c r="AR71" i="95"/>
  <c r="Z86" i="95"/>
  <c r="DX83" i="75"/>
  <c r="BB71" i="95"/>
  <c r="AS71" i="95"/>
  <c r="R92" i="75"/>
  <c r="S93" i="75"/>
  <c r="AS204" i="95"/>
  <c r="BD211" i="95"/>
  <c r="R90" i="75"/>
  <c r="T85" i="75"/>
  <c r="DW83" i="75"/>
  <c r="AL214" i="100"/>
  <c r="T86" i="75"/>
  <c r="AX71" i="95"/>
  <c r="AS158" i="95"/>
  <c r="AR115" i="95"/>
  <c r="AQ90" i="74"/>
  <c r="DX84" i="75"/>
  <c r="Y89" i="95"/>
  <c r="S91" i="74"/>
  <c r="R124" i="90"/>
  <c r="T83" i="74"/>
  <c r="AR83" i="74"/>
  <c r="H214" i="89"/>
  <c r="U85" i="75"/>
  <c r="U86" i="75"/>
  <c r="DW84" i="75"/>
  <c r="AS85" i="74"/>
  <c r="BC158" i="95"/>
  <c r="AW115" i="95"/>
  <c r="AK118" i="87"/>
  <c r="S92" i="75"/>
  <c r="R217" i="90"/>
  <c r="I75" i="89"/>
  <c r="AS86" i="74"/>
  <c r="R94" i="74"/>
  <c r="AX204" i="95"/>
  <c r="BP146" i="69"/>
  <c r="AR84" i="74"/>
  <c r="AW71" i="95"/>
  <c r="O177" i="68"/>
  <c r="BC116" i="95"/>
  <c r="H167" i="89"/>
  <c r="BB115" i="95"/>
  <c r="T84" i="74"/>
  <c r="AQ92" i="74"/>
  <c r="Y90" i="95"/>
  <c r="O85" i="68"/>
  <c r="AA91" i="95"/>
  <c r="R91" i="75"/>
  <c r="Z87" i="95"/>
  <c r="S92" i="74"/>
  <c r="AS115" i="95"/>
  <c r="R93" i="75"/>
  <c r="S90" i="75"/>
  <c r="U86" i="74"/>
  <c r="BC71" i="95"/>
  <c r="S90" i="74"/>
  <c r="AQ91" i="74"/>
  <c r="R78" i="90"/>
  <c r="G167" i="89"/>
  <c r="BC204" i="95"/>
  <c r="DV86" i="75"/>
  <c r="DV87" i="75"/>
  <c r="AP94" i="74"/>
  <c r="S93" i="74"/>
  <c r="U85" i="74"/>
  <c r="X95" i="95"/>
  <c r="AA92" i="95"/>
  <c r="DU94" i="75"/>
  <c r="G75" i="89"/>
  <c r="AX158" i="95"/>
  <c r="AX117" i="95"/>
  <c r="S91" i="75"/>
  <c r="AD166" i="84"/>
  <c r="AY211" i="95"/>
  <c r="H75" i="89"/>
  <c r="AQ93" i="74"/>
  <c r="BV167" i="84" l="1"/>
  <c r="BV214" i="84"/>
  <c r="BE203" i="95"/>
  <c r="K79" i="90"/>
  <c r="BR79" i="90" s="1"/>
  <c r="L75" i="89"/>
  <c r="BC121" i="84"/>
  <c r="BK121" i="84" s="1"/>
  <c r="BB121" i="84"/>
  <c r="BJ121" i="84" s="1"/>
  <c r="BE121" i="84"/>
  <c r="BM121" i="84" s="1"/>
  <c r="BD121" i="84"/>
  <c r="BL121" i="84" s="1"/>
  <c r="AJ120" i="84"/>
  <c r="AJ74" i="84"/>
  <c r="AJ213" i="84"/>
  <c r="AM124" i="90"/>
  <c r="BE204" i="95"/>
  <c r="AM78" i="90"/>
  <c r="AM217" i="90"/>
  <c r="T113" i="95"/>
  <c r="AQ218" i="90"/>
  <c r="AP218" i="90"/>
  <c r="AO171" i="90"/>
  <c r="AO218" i="90"/>
  <c r="AQ171" i="90"/>
  <c r="AP171" i="90"/>
  <c r="M79" i="90"/>
  <c r="BT79" i="90" s="1"/>
  <c r="K171" i="90"/>
  <c r="BR171" i="90" s="1"/>
  <c r="L171" i="90"/>
  <c r="BS171" i="90" s="1"/>
  <c r="L218" i="90"/>
  <c r="BS218" i="90" s="1"/>
  <c r="L79" i="90"/>
  <c r="BS79" i="90" s="1"/>
  <c r="BE158" i="95"/>
  <c r="AR218" i="90"/>
  <c r="AR171" i="90"/>
  <c r="M75" i="89"/>
  <c r="AW68" i="69"/>
  <c r="EI22" i="75"/>
  <c r="AI166" i="84"/>
  <c r="T70" i="95"/>
  <c r="DO21" i="75"/>
  <c r="AQ112" i="69"/>
  <c r="T157" i="95"/>
  <c r="J75" i="89"/>
  <c r="N79" i="90" s="1"/>
  <c r="AJ72" i="69"/>
  <c r="AW202" i="69"/>
  <c r="EL21" i="75"/>
  <c r="AW114" i="69"/>
  <c r="EJ23" i="75"/>
  <c r="AW157" i="69"/>
  <c r="EK21" i="75"/>
  <c r="H23" i="75"/>
  <c r="AK69" i="69"/>
  <c r="AK202" i="69"/>
  <c r="K21" i="75"/>
  <c r="N75" i="89"/>
  <c r="DQ20" i="75"/>
  <c r="AQ201" i="69"/>
  <c r="BE115" i="95"/>
  <c r="BQ146" i="69"/>
  <c r="BE71" i="95"/>
  <c r="BL201" i="69"/>
  <c r="K21" i="74"/>
  <c r="AB22" i="74"/>
  <c r="AD202" i="69"/>
  <c r="J20" i="74"/>
  <c r="AA21" i="74"/>
  <c r="BL155" i="69"/>
  <c r="AD156" i="69"/>
  <c r="DP20" i="75"/>
  <c r="AQ156" i="69"/>
  <c r="AK157" i="69"/>
  <c r="J21" i="75"/>
  <c r="AJ164" i="69"/>
  <c r="J167" i="89"/>
  <c r="N171" i="90" s="1"/>
  <c r="M167" i="89"/>
  <c r="AJ118" i="87"/>
  <c r="L167" i="89"/>
  <c r="M214" i="89"/>
  <c r="BQ167" i="84"/>
  <c r="CE114" i="84"/>
  <c r="BX114" i="84"/>
  <c r="C113" i="91"/>
  <c r="T204" i="95"/>
  <c r="BO167" i="84"/>
  <c r="E117" i="91"/>
  <c r="BZ118" i="84"/>
  <c r="CG118" i="84"/>
  <c r="I23" i="75"/>
  <c r="AK114" i="69"/>
  <c r="BP214" i="84"/>
  <c r="Z24" i="74"/>
  <c r="I23" i="74"/>
  <c r="AD114" i="69"/>
  <c r="BO214" i="84"/>
  <c r="BL69" i="69"/>
  <c r="H24" i="74"/>
  <c r="Y25" i="74"/>
  <c r="AD70" i="69"/>
  <c r="AR121" i="84"/>
  <c r="BR121" i="84"/>
  <c r="BT121" i="84" s="1"/>
  <c r="BN121" i="84" s="1"/>
  <c r="F121" i="91"/>
  <c r="CH122" i="84"/>
  <c r="CA122" i="84"/>
  <c r="CI130" i="84"/>
  <c r="G129" i="91"/>
  <c r="CB130" i="84"/>
  <c r="CF116" i="84"/>
  <c r="D115" i="91"/>
  <c r="BY116" i="84"/>
  <c r="BP167" i="84"/>
  <c r="DN24" i="75"/>
  <c r="AQ70" i="69"/>
  <c r="BQ214" i="84"/>
  <c r="BC117" i="95"/>
  <c r="S164" i="69"/>
  <c r="W72" i="69"/>
  <c r="P218" i="90"/>
  <c r="BC102" i="69"/>
  <c r="DV89" i="75"/>
  <c r="DX85" i="75"/>
  <c r="DW86" i="75"/>
  <c r="O224" i="68"/>
  <c r="BI193" i="95"/>
  <c r="AW72" i="95"/>
  <c r="T75" i="89"/>
  <c r="BD165" i="95"/>
  <c r="BC118" i="95"/>
  <c r="AS88" i="74"/>
  <c r="Y91" i="95"/>
  <c r="P79" i="90"/>
  <c r="BB147" i="69"/>
  <c r="AT73" i="95"/>
  <c r="AA93" i="95"/>
  <c r="AX118" i="95"/>
  <c r="R95" i="74"/>
  <c r="T167" i="89"/>
  <c r="Y94" i="95"/>
  <c r="U89" i="75"/>
  <c r="BC72" i="95"/>
  <c r="DV88" i="75"/>
  <c r="AV72" i="69"/>
  <c r="AQ94" i="74"/>
  <c r="AP164" i="69"/>
  <c r="Q75" i="89"/>
  <c r="AX72" i="95"/>
  <c r="S94" i="75"/>
  <c r="S73" i="95"/>
  <c r="DU97" i="75"/>
  <c r="AX205" i="95"/>
  <c r="AC72" i="69"/>
  <c r="AK119" i="87"/>
  <c r="AS116" i="95"/>
  <c r="BD73" i="95"/>
  <c r="R75" i="89"/>
  <c r="BI148" i="95"/>
  <c r="Y93" i="95"/>
  <c r="AS89" i="74"/>
  <c r="O79" i="90"/>
  <c r="AR86" i="74"/>
  <c r="AR85" i="74"/>
  <c r="DU95" i="75"/>
  <c r="T87" i="75"/>
  <c r="AR116" i="95"/>
  <c r="BC58" i="69"/>
  <c r="BB116" i="95"/>
  <c r="Z88" i="95"/>
  <c r="R94" i="75"/>
  <c r="I167" i="89"/>
  <c r="AY73" i="95"/>
  <c r="AW116" i="95"/>
  <c r="AX159" i="95"/>
  <c r="U89" i="74"/>
  <c r="AP96" i="74"/>
  <c r="O171" i="90"/>
  <c r="X98" i="95"/>
  <c r="BC159" i="95"/>
  <c r="AQ76" i="87"/>
  <c r="AK213" i="84"/>
  <c r="AT76" i="84"/>
  <c r="X164" i="69"/>
  <c r="S165" i="95"/>
  <c r="AP72" i="69"/>
  <c r="AC164" i="69"/>
  <c r="X96" i="95"/>
  <c r="X72" i="69"/>
  <c r="AV164" i="69"/>
  <c r="AP95" i="74"/>
  <c r="T86" i="74"/>
  <c r="R170" i="90"/>
  <c r="S211" i="69"/>
  <c r="AS205" i="95"/>
  <c r="BB72" i="95"/>
  <c r="AG103" i="95"/>
  <c r="G214" i="89"/>
  <c r="AS72" i="95"/>
  <c r="R97" i="74"/>
  <c r="U87" i="74"/>
  <c r="R167" i="89"/>
  <c r="AQ215" i="87"/>
  <c r="DX86" i="75"/>
  <c r="AT165" i="95"/>
  <c r="I214" i="89"/>
  <c r="AP97" i="74"/>
  <c r="AS87" i="74"/>
  <c r="U87" i="75"/>
  <c r="BC205" i="95"/>
  <c r="BC206" i="95"/>
  <c r="U88" i="74"/>
  <c r="DW85" i="75"/>
  <c r="S75" i="89"/>
  <c r="Q79" i="90"/>
  <c r="S94" i="74"/>
  <c r="AS159" i="95"/>
  <c r="DU96" i="75"/>
  <c r="BD212" i="95"/>
  <c r="AR72" i="95"/>
  <c r="AL167" i="100"/>
  <c r="Q167" i="89"/>
  <c r="AK74" i="84"/>
  <c r="T88" i="75"/>
  <c r="AT215" i="84"/>
  <c r="AT212" i="95"/>
  <c r="Y92" i="95"/>
  <c r="U88" i="75"/>
  <c r="P171" i="90"/>
  <c r="G121" i="89"/>
  <c r="R96" i="74"/>
  <c r="X97" i="95"/>
  <c r="T85" i="74"/>
  <c r="R214" i="89"/>
  <c r="W164" i="69"/>
  <c r="AY165" i="95"/>
  <c r="S72" i="69"/>
  <c r="Z89" i="95"/>
  <c r="AK120" i="84"/>
  <c r="O131" i="68"/>
  <c r="X118" i="69"/>
  <c r="BQ119" i="95"/>
  <c r="AT119" i="95"/>
  <c r="BV121" i="84" l="1"/>
  <c r="AJ79" i="90"/>
  <c r="Z79" i="90"/>
  <c r="BU79" i="90" s="1"/>
  <c r="M218" i="90"/>
  <c r="N214" i="89"/>
  <c r="AJ166" i="84"/>
  <c r="BE205" i="95"/>
  <c r="J214" i="89"/>
  <c r="O214" i="89" s="1"/>
  <c r="AJ211" i="69"/>
  <c r="AM170" i="90"/>
  <c r="T114" i="95"/>
  <c r="AO125" i="90"/>
  <c r="AQ125" i="90"/>
  <c r="AP125" i="90"/>
  <c r="AK79" i="90"/>
  <c r="K218" i="90"/>
  <c r="L214" i="89"/>
  <c r="AK218" i="90"/>
  <c r="K125" i="90"/>
  <c r="Z125" i="90" s="1"/>
  <c r="AK171" i="90"/>
  <c r="AJ171" i="90"/>
  <c r="BK148" i="95"/>
  <c r="BE159" i="95"/>
  <c r="Z171" i="90"/>
  <c r="BU171" i="90" s="1"/>
  <c r="AL79" i="90"/>
  <c r="AR125" i="90"/>
  <c r="M171" i="90"/>
  <c r="BK193" i="95"/>
  <c r="N167" i="89"/>
  <c r="AW69" i="69"/>
  <c r="EI23" i="75"/>
  <c r="T71" i="95"/>
  <c r="DO22" i="75"/>
  <c r="AQ113" i="69"/>
  <c r="T158" i="95"/>
  <c r="O75" i="89"/>
  <c r="AW158" i="69"/>
  <c r="EK22" i="75"/>
  <c r="AW203" i="69"/>
  <c r="EL22" i="75"/>
  <c r="AW115" i="69"/>
  <c r="EJ24" i="75"/>
  <c r="AK70" i="69"/>
  <c r="H24" i="75"/>
  <c r="K22" i="75"/>
  <c r="AK203" i="69"/>
  <c r="DQ21" i="75"/>
  <c r="AQ202" i="69"/>
  <c r="BE72" i="95"/>
  <c r="BE116" i="95"/>
  <c r="DP21" i="75"/>
  <c r="AQ157" i="69"/>
  <c r="J21" i="74"/>
  <c r="BL156" i="69"/>
  <c r="AA22" i="74"/>
  <c r="AD157" i="69"/>
  <c r="AK158" i="69"/>
  <c r="J22" i="75"/>
  <c r="BL202" i="69"/>
  <c r="AB23" i="74"/>
  <c r="K22" i="74"/>
  <c r="AD203" i="69"/>
  <c r="BA76" i="84"/>
  <c r="BK73" i="69"/>
  <c r="J121" i="89"/>
  <c r="N125" i="90" s="1"/>
  <c r="AJ118" i="69"/>
  <c r="BA215" i="84"/>
  <c r="BK212" i="69"/>
  <c r="AJ119" i="87"/>
  <c r="L121" i="89"/>
  <c r="BP121" i="84"/>
  <c r="T205" i="95"/>
  <c r="O167" i="89"/>
  <c r="BY117" i="84"/>
  <c r="CF117" i="84"/>
  <c r="D116" i="91"/>
  <c r="G130" i="91"/>
  <c r="CB131" i="84"/>
  <c r="CI131" i="84"/>
  <c r="I24" i="75"/>
  <c r="AK115" i="69"/>
  <c r="BQ121" i="84"/>
  <c r="DN25" i="75"/>
  <c r="AQ71" i="69"/>
  <c r="BL70" i="69"/>
  <c r="H25" i="74"/>
  <c r="Y26" i="74"/>
  <c r="AD71" i="69"/>
  <c r="BZ119" i="84"/>
  <c r="E118" i="91"/>
  <c r="CG119" i="84"/>
  <c r="F122" i="91"/>
  <c r="CA123" i="84"/>
  <c r="CH123" i="84"/>
  <c r="C114" i="91"/>
  <c r="BX115" i="84"/>
  <c r="CE115" i="84"/>
  <c r="BO121" i="84"/>
  <c r="I24" i="74"/>
  <c r="Z25" i="74"/>
  <c r="AD115" i="69"/>
  <c r="BD119" i="95"/>
  <c r="Y95" i="95"/>
  <c r="AW73" i="95"/>
  <c r="AX206" i="95"/>
  <c r="X211" i="69"/>
  <c r="BC207" i="95"/>
  <c r="AS117" i="95"/>
  <c r="BB117" i="95"/>
  <c r="AP211" i="69"/>
  <c r="DX88" i="75"/>
  <c r="R100" i="74"/>
  <c r="R95" i="75"/>
  <c r="AY119" i="95"/>
  <c r="U91" i="75"/>
  <c r="Z91" i="95"/>
  <c r="S118" i="69"/>
  <c r="DW88" i="75"/>
  <c r="DU101" i="75"/>
  <c r="AC211" i="69"/>
  <c r="AX160" i="95"/>
  <c r="Z94" i="95"/>
  <c r="AX119" i="95"/>
  <c r="T92" i="75"/>
  <c r="DX87" i="75"/>
  <c r="S167" i="89"/>
  <c r="T93" i="75"/>
  <c r="X99" i="95"/>
  <c r="DV93" i="75"/>
  <c r="S212" i="95"/>
  <c r="Y97" i="95"/>
  <c r="X102" i="95"/>
  <c r="S119" i="95"/>
  <c r="DV91" i="75"/>
  <c r="AP99" i="74"/>
  <c r="DV92" i="75"/>
  <c r="AS91" i="74"/>
  <c r="U91" i="74"/>
  <c r="X100" i="95"/>
  <c r="Q121" i="89"/>
  <c r="AP118" i="69"/>
  <c r="T87" i="74"/>
  <c r="R96" i="75"/>
  <c r="AC118" i="69"/>
  <c r="BB73" i="95"/>
  <c r="AV211" i="69"/>
  <c r="AS73" i="95"/>
  <c r="T214" i="89"/>
  <c r="AP101" i="74"/>
  <c r="BC160" i="95"/>
  <c r="DU100" i="75"/>
  <c r="BC192" i="69"/>
  <c r="DU98" i="75"/>
  <c r="DX89" i="75"/>
  <c r="BC119" i="95"/>
  <c r="DU99" i="75"/>
  <c r="R97" i="75"/>
  <c r="AX73" i="95"/>
  <c r="AQ168" i="87"/>
  <c r="S214" i="89"/>
  <c r="T88" i="74"/>
  <c r="AD167" i="84"/>
  <c r="W118" i="69"/>
  <c r="I121" i="89"/>
  <c r="AK166" i="84"/>
  <c r="AW117" i="95"/>
  <c r="U90" i="74"/>
  <c r="W211" i="69"/>
  <c r="AP98" i="74"/>
  <c r="AP100" i="74"/>
  <c r="AR88" i="74"/>
  <c r="AR73" i="95"/>
  <c r="AS206" i="95"/>
  <c r="DW87" i="75"/>
  <c r="Q214" i="89"/>
  <c r="Q218" i="90"/>
  <c r="BC147" i="69"/>
  <c r="Q171" i="90"/>
  <c r="AG148" i="95"/>
  <c r="AT168" i="84"/>
  <c r="AR117" i="95"/>
  <c r="AL121" i="100"/>
  <c r="DV90" i="75"/>
  <c r="T90" i="75"/>
  <c r="T121" i="89"/>
  <c r="T89" i="75"/>
  <c r="AD75" i="84"/>
  <c r="Z90" i="95"/>
  <c r="AK120" i="87"/>
  <c r="R99" i="74"/>
  <c r="O218" i="90"/>
  <c r="T91" i="75"/>
  <c r="AV118" i="69"/>
  <c r="H121" i="89"/>
  <c r="Z92" i="95"/>
  <c r="AT122" i="84"/>
  <c r="R101" i="74"/>
  <c r="AS90" i="74"/>
  <c r="AS160" i="95"/>
  <c r="AS161" i="95" s="1"/>
  <c r="O125" i="90"/>
  <c r="Y96" i="95"/>
  <c r="U90" i="75"/>
  <c r="Z93" i="95"/>
  <c r="AD214" i="84"/>
  <c r="BC73" i="95"/>
  <c r="AQ122" i="87"/>
  <c r="AY212" i="95"/>
  <c r="R98" i="74"/>
  <c r="AR87" i="74"/>
  <c r="X101" i="95"/>
  <c r="AI75" i="84" l="1"/>
  <c r="M125" i="90"/>
  <c r="N121" i="89"/>
  <c r="AL218" i="90"/>
  <c r="BT218" i="90"/>
  <c r="BC76" i="84"/>
  <c r="BK76" i="84" s="1"/>
  <c r="BB76" i="84"/>
  <c r="BJ76" i="84" s="1"/>
  <c r="BE76" i="84"/>
  <c r="BM76" i="84" s="1"/>
  <c r="BD76" i="84"/>
  <c r="BL76" i="84" s="1"/>
  <c r="BD215" i="84"/>
  <c r="BL215" i="84" s="1"/>
  <c r="BC215" i="84"/>
  <c r="BK215" i="84" s="1"/>
  <c r="BB215" i="84"/>
  <c r="BJ215" i="84" s="1"/>
  <c r="BE215" i="84"/>
  <c r="BM215" i="84" s="1"/>
  <c r="BE206" i="95"/>
  <c r="AI167" i="84"/>
  <c r="N218" i="90"/>
  <c r="AI214" i="84"/>
  <c r="BE160" i="95"/>
  <c r="BR125" i="90"/>
  <c r="T115" i="95"/>
  <c r="L125" i="90"/>
  <c r="M121" i="89"/>
  <c r="AJ125" i="90"/>
  <c r="BR218" i="90"/>
  <c r="Z218" i="90"/>
  <c r="AJ218" i="90"/>
  <c r="BU125" i="90"/>
  <c r="BT171" i="90"/>
  <c r="AL171" i="90"/>
  <c r="EI24" i="75"/>
  <c r="AW70" i="69"/>
  <c r="T72" i="95"/>
  <c r="AQ114" i="69"/>
  <c r="DO23" i="75"/>
  <c r="T159" i="95"/>
  <c r="AW159" i="69"/>
  <c r="EK23" i="75"/>
  <c r="AW116" i="69"/>
  <c r="EJ25" i="75"/>
  <c r="AW204" i="69"/>
  <c r="EL23" i="75"/>
  <c r="H25" i="75"/>
  <c r="AK71" i="69"/>
  <c r="K23" i="75"/>
  <c r="AK204" i="69"/>
  <c r="AQ203" i="69"/>
  <c r="DQ22" i="75"/>
  <c r="BE73" i="95"/>
  <c r="BE117" i="95"/>
  <c r="J22" i="74"/>
  <c r="AA23" i="74"/>
  <c r="BL157" i="69"/>
  <c r="AD158" i="69"/>
  <c r="AB24" i="74"/>
  <c r="BL203" i="69"/>
  <c r="K23" i="74"/>
  <c r="AD204" i="69"/>
  <c r="AK159" i="69"/>
  <c r="J23" i="75"/>
  <c r="DP22" i="75"/>
  <c r="AQ158" i="69"/>
  <c r="BK119" i="69"/>
  <c r="BA122" i="84"/>
  <c r="AJ120" i="87"/>
  <c r="BK165" i="69"/>
  <c r="BA168" i="84"/>
  <c r="CB132" i="84"/>
  <c r="G131" i="91"/>
  <c r="CI132" i="84"/>
  <c r="E119" i="91"/>
  <c r="CG120" i="84"/>
  <c r="BZ120" i="84"/>
  <c r="BY118" i="84"/>
  <c r="D117" i="91"/>
  <c r="CF118" i="84"/>
  <c r="DN26" i="75"/>
  <c r="AQ72" i="69"/>
  <c r="CE116" i="84"/>
  <c r="BX116" i="84"/>
  <c r="C115" i="91"/>
  <c r="I25" i="74"/>
  <c r="Z26" i="74"/>
  <c r="AD116" i="69"/>
  <c r="T206" i="95"/>
  <c r="BR215" i="84"/>
  <c r="BT215" i="84" s="1"/>
  <c r="BN215" i="84" s="1"/>
  <c r="AR215" i="84"/>
  <c r="BR76" i="84"/>
  <c r="BT76" i="84" s="1"/>
  <c r="BN76" i="84" s="1"/>
  <c r="AR76" i="84"/>
  <c r="I25" i="75"/>
  <c r="AK116" i="69"/>
  <c r="F123" i="91"/>
  <c r="CA124" i="84"/>
  <c r="CH124" i="84"/>
  <c r="BL71" i="69"/>
  <c r="H26" i="74"/>
  <c r="Y27" i="74"/>
  <c r="AD72" i="69"/>
  <c r="O121" i="89"/>
  <c r="AX207" i="95"/>
  <c r="DW92" i="75"/>
  <c r="AR90" i="74"/>
  <c r="S95" i="75"/>
  <c r="AK121" i="87"/>
  <c r="BP58" i="69"/>
  <c r="AX208" i="95"/>
  <c r="S96" i="74"/>
  <c r="AQ97" i="74"/>
  <c r="BC120" i="95"/>
  <c r="DU102" i="75"/>
  <c r="DU103" i="75"/>
  <c r="R171" i="90"/>
  <c r="AA94" i="95"/>
  <c r="AS92" i="74"/>
  <c r="X104" i="95"/>
  <c r="S95" i="74"/>
  <c r="AQ96" i="74"/>
  <c r="AS74" i="95"/>
  <c r="R104" i="74"/>
  <c r="S97" i="75"/>
  <c r="DW89" i="75"/>
  <c r="O86" i="68"/>
  <c r="R100" i="75"/>
  <c r="AR92" i="74"/>
  <c r="AR118" i="95"/>
  <c r="DX91" i="75"/>
  <c r="X105" i="95"/>
  <c r="R103" i="74"/>
  <c r="AP102" i="74"/>
  <c r="BC208" i="95"/>
  <c r="AQ31" i="87"/>
  <c r="U92" i="74"/>
  <c r="AQ95" i="74"/>
  <c r="R218" i="90"/>
  <c r="Y101" i="95"/>
  <c r="X103" i="95"/>
  <c r="AR91" i="74"/>
  <c r="AW74" i="95"/>
  <c r="S98" i="74"/>
  <c r="AG193" i="95"/>
  <c r="BB118" i="95"/>
  <c r="DW91" i="75"/>
  <c r="BB74" i="95"/>
  <c r="AP104" i="74"/>
  <c r="T91" i="74"/>
  <c r="T92" i="74"/>
  <c r="BC161" i="95"/>
  <c r="R99" i="75"/>
  <c r="R121" i="89"/>
  <c r="AX161" i="95"/>
  <c r="DW93" i="75"/>
  <c r="BC74" i="95"/>
  <c r="BP147" i="69"/>
  <c r="T89" i="74"/>
  <c r="AR93" i="74"/>
  <c r="Y100" i="95"/>
  <c r="U92" i="75"/>
  <c r="H215" i="89"/>
  <c r="AR74" i="95"/>
  <c r="DU104" i="75"/>
  <c r="S97" i="74"/>
  <c r="BB58" i="69"/>
  <c r="S96" i="75"/>
  <c r="R98" i="75"/>
  <c r="P125" i="90"/>
  <c r="R101" i="75"/>
  <c r="DX90" i="75"/>
  <c r="AR89" i="74"/>
  <c r="R79" i="90"/>
  <c r="AX74" i="95"/>
  <c r="R102" i="74"/>
  <c r="T90" i="74"/>
  <c r="S98" i="75"/>
  <c r="AX120" i="95"/>
  <c r="S121" i="89"/>
  <c r="AS162" i="95"/>
  <c r="AG59" i="95"/>
  <c r="Y99" i="95"/>
  <c r="DV94" i="75"/>
  <c r="AW118" i="95"/>
  <c r="AQ98" i="74"/>
  <c r="DW90" i="75"/>
  <c r="AD121" i="84"/>
  <c r="AP103" i="74"/>
  <c r="AL215" i="100"/>
  <c r="H76" i="89"/>
  <c r="Y98" i="95"/>
  <c r="AS118" i="95"/>
  <c r="T93" i="74"/>
  <c r="AS207" i="95"/>
  <c r="Q125" i="90"/>
  <c r="G215" i="89"/>
  <c r="BV215" i="84" l="1"/>
  <c r="BV76" i="84"/>
  <c r="AM79" i="90"/>
  <c r="AJ75" i="84"/>
  <c r="AL125" i="90"/>
  <c r="BT125" i="90"/>
  <c r="BE207" i="95"/>
  <c r="BE168" i="84"/>
  <c r="BM168" i="84" s="1"/>
  <c r="BD168" i="84"/>
  <c r="BL168" i="84" s="1"/>
  <c r="BC168" i="84"/>
  <c r="BK168" i="84" s="1"/>
  <c r="BB168" i="84"/>
  <c r="BJ168" i="84" s="1"/>
  <c r="BE122" i="84"/>
  <c r="BM122" i="84" s="1"/>
  <c r="BD122" i="84"/>
  <c r="BL122" i="84" s="1"/>
  <c r="BC122" i="84"/>
  <c r="BK122" i="84" s="1"/>
  <c r="BB122" i="84"/>
  <c r="BJ122" i="84" s="1"/>
  <c r="AM171" i="90"/>
  <c r="AJ214" i="84"/>
  <c r="AJ167" i="84"/>
  <c r="AI121" i="84"/>
  <c r="BU218" i="90"/>
  <c r="BE161" i="95"/>
  <c r="AM218" i="90"/>
  <c r="T116" i="95"/>
  <c r="AP219" i="90"/>
  <c r="AO80" i="90"/>
  <c r="AQ80" i="90"/>
  <c r="AO219" i="90"/>
  <c r="AP80" i="90"/>
  <c r="AQ219" i="90"/>
  <c r="L219" i="90"/>
  <c r="BS219" i="90" s="1"/>
  <c r="L80" i="90"/>
  <c r="K219" i="90"/>
  <c r="BR219" i="90" s="1"/>
  <c r="BS125" i="90"/>
  <c r="AK125" i="90"/>
  <c r="AR219" i="90"/>
  <c r="AR80" i="90"/>
  <c r="BQ58" i="69"/>
  <c r="AW71" i="69"/>
  <c r="EI25" i="75"/>
  <c r="T73" i="95"/>
  <c r="DO24" i="75"/>
  <c r="AQ115" i="69"/>
  <c r="T160" i="95"/>
  <c r="AW205" i="69"/>
  <c r="EL24" i="75"/>
  <c r="AW160" i="69"/>
  <c r="EK24" i="75"/>
  <c r="AW117" i="69"/>
  <c r="EJ26" i="75"/>
  <c r="H26" i="75"/>
  <c r="AK72" i="69"/>
  <c r="H27" i="75" s="1"/>
  <c r="K24" i="75"/>
  <c r="AK205" i="69"/>
  <c r="DQ23" i="75"/>
  <c r="AQ204" i="69"/>
  <c r="BE118" i="95"/>
  <c r="BQ147" i="69"/>
  <c r="J24" i="75"/>
  <c r="AK160" i="69"/>
  <c r="BL204" i="69"/>
  <c r="AD205" i="69"/>
  <c r="AB25" i="74"/>
  <c r="K24" i="74"/>
  <c r="DP23" i="75"/>
  <c r="AQ159" i="69"/>
  <c r="BL158" i="69"/>
  <c r="J23" i="74"/>
  <c r="AA24" i="74"/>
  <c r="AD159" i="69"/>
  <c r="M215" i="89"/>
  <c r="M76" i="89"/>
  <c r="L215" i="89"/>
  <c r="AJ121" i="87"/>
  <c r="J76" i="89"/>
  <c r="N80" i="90" s="1"/>
  <c r="AJ73" i="69"/>
  <c r="I26" i="75"/>
  <c r="AK117" i="69"/>
  <c r="BO215" i="84"/>
  <c r="T207" i="95"/>
  <c r="F124" i="91"/>
  <c r="CH125" i="84"/>
  <c r="CA125" i="84"/>
  <c r="CI133" i="84"/>
  <c r="G132" i="91"/>
  <c r="CB133" i="84"/>
  <c r="DN27" i="75"/>
  <c r="BP76" i="84"/>
  <c r="BX117" i="84"/>
  <c r="C116" i="91"/>
  <c r="CE117" i="84"/>
  <c r="I26" i="74"/>
  <c r="Z27" i="74"/>
  <c r="AD117" i="69"/>
  <c r="BO76" i="84"/>
  <c r="AR168" i="84"/>
  <c r="BR168" i="84"/>
  <c r="BT168" i="84" s="1"/>
  <c r="BN168" i="84" s="1"/>
  <c r="AR122" i="84"/>
  <c r="BR122" i="84"/>
  <c r="BT122" i="84" s="1"/>
  <c r="BN122" i="84" s="1"/>
  <c r="D118" i="91"/>
  <c r="CF119" i="84"/>
  <c r="BY119" i="84"/>
  <c r="CG121" i="84"/>
  <c r="BZ121" i="84"/>
  <c r="E120" i="91"/>
  <c r="BQ215" i="84"/>
  <c r="BL72" i="69"/>
  <c r="Y28" i="74"/>
  <c r="H27" i="74"/>
  <c r="BQ76" i="84"/>
  <c r="BP215" i="84"/>
  <c r="AR75" i="95"/>
  <c r="AX121" i="95"/>
  <c r="AX162" i="95"/>
  <c r="AC73" i="69"/>
  <c r="R107" i="74"/>
  <c r="AS163" i="95"/>
  <c r="R107" i="75"/>
  <c r="AR119" i="95"/>
  <c r="AP108" i="74"/>
  <c r="R76" i="89"/>
  <c r="AK214" i="84"/>
  <c r="X73" i="69"/>
  <c r="S99" i="75"/>
  <c r="AS75" i="95"/>
  <c r="S99" i="74"/>
  <c r="DU106" i="75"/>
  <c r="AL76" i="100"/>
  <c r="BB192" i="69"/>
  <c r="AY74" i="95"/>
  <c r="S74" i="95"/>
  <c r="P219" i="90"/>
  <c r="R106" i="75"/>
  <c r="AP73" i="69"/>
  <c r="R108" i="74"/>
  <c r="I215" i="89"/>
  <c r="R105" i="74"/>
  <c r="BC103" i="69"/>
  <c r="BB75" i="95"/>
  <c r="AS119" i="95"/>
  <c r="AV73" i="69"/>
  <c r="AW119" i="95"/>
  <c r="BB119" i="95"/>
  <c r="AQ77" i="87"/>
  <c r="Y103" i="95"/>
  <c r="Q215" i="89"/>
  <c r="DX92" i="75"/>
  <c r="O225" i="68"/>
  <c r="AT213" i="95" s="1"/>
  <c r="X108" i="95"/>
  <c r="R104" i="75"/>
  <c r="AK75" i="84"/>
  <c r="AY213" i="95"/>
  <c r="AQ99" i="74"/>
  <c r="BC121" i="95"/>
  <c r="Y102" i="95"/>
  <c r="I76" i="89"/>
  <c r="AT74" i="95"/>
  <c r="P80" i="90"/>
  <c r="AL168" i="100"/>
  <c r="AK122" i="87"/>
  <c r="R103" i="75"/>
  <c r="BC209" i="95"/>
  <c r="R215" i="89"/>
  <c r="O132" i="68"/>
  <c r="AG104" i="95"/>
  <c r="AW75" i="95"/>
  <c r="X109" i="95"/>
  <c r="DU105" i="75"/>
  <c r="R102" i="75"/>
  <c r="AT77" i="84"/>
  <c r="AX75" i="95"/>
  <c r="AQ100" i="74"/>
  <c r="AP105" i="74"/>
  <c r="S73" i="69"/>
  <c r="S101" i="74"/>
  <c r="AQ101" i="74"/>
  <c r="DU108" i="75"/>
  <c r="BD213" i="95"/>
  <c r="BD74" i="95"/>
  <c r="R105" i="75"/>
  <c r="R125" i="90"/>
  <c r="T76" i="89"/>
  <c r="BC162" i="95"/>
  <c r="S100" i="75"/>
  <c r="X106" i="95"/>
  <c r="O219" i="90"/>
  <c r="Y104" i="95"/>
  <c r="R106" i="74"/>
  <c r="AP106" i="74"/>
  <c r="S212" i="69"/>
  <c r="X107" i="95"/>
  <c r="W73" i="69"/>
  <c r="G76" i="89"/>
  <c r="AP107" i="74"/>
  <c r="S100" i="74"/>
  <c r="G122" i="89"/>
  <c r="BI104" i="95"/>
  <c r="R108" i="75"/>
  <c r="AX209" i="95"/>
  <c r="AS208" i="95"/>
  <c r="DU107" i="75"/>
  <c r="BC75" i="95"/>
  <c r="S101" i="75"/>
  <c r="BB103" i="69"/>
  <c r="S213" i="95"/>
  <c r="H168" i="89"/>
  <c r="AK167" i="84"/>
  <c r="BV168" i="84" l="1"/>
  <c r="BV122" i="84"/>
  <c r="BE208" i="95"/>
  <c r="AM125" i="90"/>
  <c r="AJ121" i="84"/>
  <c r="BE162" i="95"/>
  <c r="AJ212" i="69"/>
  <c r="J215" i="89"/>
  <c r="BS80" i="90"/>
  <c r="T117" i="95"/>
  <c r="AQ126" i="90"/>
  <c r="AO126" i="90"/>
  <c r="AP126" i="90"/>
  <c r="AO172" i="90"/>
  <c r="AP172" i="90"/>
  <c r="AQ172" i="90"/>
  <c r="K126" i="90"/>
  <c r="BR126" i="90" s="1"/>
  <c r="L172" i="90"/>
  <c r="BS172" i="90" s="1"/>
  <c r="K80" i="90"/>
  <c r="L76" i="89"/>
  <c r="M80" i="90"/>
  <c r="BT80" i="90" s="1"/>
  <c r="M219" i="90"/>
  <c r="BT219" i="90" s="1"/>
  <c r="AK80" i="90"/>
  <c r="AK219" i="90"/>
  <c r="AJ219" i="90"/>
  <c r="Z219" i="90"/>
  <c r="AR126" i="90"/>
  <c r="AR172" i="90"/>
  <c r="BK104" i="95"/>
  <c r="T74" i="95"/>
  <c r="BE74" i="95"/>
  <c r="AW72" i="69"/>
  <c r="EI27" i="75" s="1"/>
  <c r="EI26" i="75"/>
  <c r="N76" i="89"/>
  <c r="DO25" i="75"/>
  <c r="AQ116" i="69"/>
  <c r="T161" i="95"/>
  <c r="AW206" i="69"/>
  <c r="EL25" i="75"/>
  <c r="AW161" i="69"/>
  <c r="EK25" i="75"/>
  <c r="AW118" i="69"/>
  <c r="EJ27" i="75"/>
  <c r="AK73" i="69"/>
  <c r="AK206" i="69"/>
  <c r="K25" i="75"/>
  <c r="N215" i="89"/>
  <c r="AQ205" i="69"/>
  <c r="DQ24" i="75"/>
  <c r="AD73" i="69"/>
  <c r="Y29" i="74" s="1"/>
  <c r="AQ73" i="69"/>
  <c r="DN28" i="75" s="1"/>
  <c r="BE119" i="95"/>
  <c r="BL205" i="69"/>
  <c r="AB26" i="74"/>
  <c r="K25" i="74"/>
  <c r="AD206" i="69"/>
  <c r="BL159" i="69"/>
  <c r="AA25" i="74"/>
  <c r="J24" i="74"/>
  <c r="AD160" i="69"/>
  <c r="J25" i="75"/>
  <c r="AK161" i="69"/>
  <c r="DP24" i="75"/>
  <c r="AQ160" i="69"/>
  <c r="BA77" i="84"/>
  <c r="BK74" i="69"/>
  <c r="M168" i="89"/>
  <c r="AJ122" i="87"/>
  <c r="J122" i="89"/>
  <c r="N126" i="90" s="1"/>
  <c r="AJ119" i="69"/>
  <c r="L122" i="89"/>
  <c r="BX118" i="84"/>
  <c r="C117" i="91"/>
  <c r="CE118" i="84"/>
  <c r="BP122" i="84"/>
  <c r="I27" i="75"/>
  <c r="AK118" i="69"/>
  <c r="O76" i="89"/>
  <c r="CB134" i="84"/>
  <c r="G133" i="91"/>
  <c r="CI134" i="84"/>
  <c r="I27" i="74"/>
  <c r="Z28" i="74"/>
  <c r="AD118" i="69"/>
  <c r="BO168" i="84"/>
  <c r="BZ122" i="84"/>
  <c r="CG122" i="84"/>
  <c r="E121" i="91"/>
  <c r="CA126" i="84"/>
  <c r="F125" i="91"/>
  <c r="CH126" i="84"/>
  <c r="BY120" i="84"/>
  <c r="CF120" i="84"/>
  <c r="D119" i="91"/>
  <c r="BO122" i="84"/>
  <c r="BQ122" i="84"/>
  <c r="BP168" i="84"/>
  <c r="T208" i="95"/>
  <c r="BQ168" i="84"/>
  <c r="S104" i="74"/>
  <c r="Q76" i="89"/>
  <c r="AA95" i="95"/>
  <c r="AT120" i="95"/>
  <c r="AX210" i="95"/>
  <c r="X112" i="95"/>
  <c r="Q122" i="89"/>
  <c r="AP119" i="69"/>
  <c r="AQ102" i="74"/>
  <c r="S76" i="89"/>
  <c r="AV119" i="69"/>
  <c r="I168" i="89"/>
  <c r="DV97" i="75"/>
  <c r="O178" i="68"/>
  <c r="AK121" i="84"/>
  <c r="AD76" i="84"/>
  <c r="AR120" i="95"/>
  <c r="AP212" i="69"/>
  <c r="U93" i="75"/>
  <c r="U93" i="74"/>
  <c r="BB120" i="95"/>
  <c r="AQ105" i="74"/>
  <c r="AV212" i="69"/>
  <c r="AK123" i="87"/>
  <c r="AC212" i="69"/>
  <c r="AS209" i="95"/>
  <c r="AP109" i="74"/>
  <c r="AW76" i="95"/>
  <c r="BO59" i="69"/>
  <c r="BC122" i="95"/>
  <c r="P172" i="90"/>
  <c r="Y107" i="95"/>
  <c r="AQ216" i="87"/>
  <c r="S119" i="69"/>
  <c r="W212" i="69"/>
  <c r="AX163" i="95"/>
  <c r="BC210" i="95"/>
  <c r="BC193" i="69"/>
  <c r="AT169" i="84"/>
  <c r="BQ120" i="95"/>
  <c r="AP111" i="74"/>
  <c r="DU109" i="75"/>
  <c r="S102" i="74"/>
  <c r="S104" i="75"/>
  <c r="AX76" i="95"/>
  <c r="S166" i="95"/>
  <c r="S105" i="75"/>
  <c r="S103" i="75"/>
  <c r="O80" i="90"/>
  <c r="AT166" i="95"/>
  <c r="S102" i="75"/>
  <c r="S105" i="74"/>
  <c r="Y108" i="95"/>
  <c r="X111" i="95"/>
  <c r="BC59" i="69"/>
  <c r="DV95" i="75"/>
  <c r="X119" i="69"/>
  <c r="Q80" i="90"/>
  <c r="BD166" i="95"/>
  <c r="Y106" i="95"/>
  <c r="BC148" i="69"/>
  <c r="X212" i="69"/>
  <c r="Z95" i="95"/>
  <c r="T94" i="75"/>
  <c r="DV96" i="75"/>
  <c r="S215" i="89"/>
  <c r="T122" i="89"/>
  <c r="AS93" i="74"/>
  <c r="T215" i="89"/>
  <c r="AX122" i="95"/>
  <c r="AS76" i="95"/>
  <c r="G168" i="89"/>
  <c r="AT216" i="84"/>
  <c r="AR76" i="95"/>
  <c r="AP110" i="74"/>
  <c r="BB76" i="95"/>
  <c r="BC163" i="95"/>
  <c r="AQ169" i="87"/>
  <c r="R168" i="89"/>
  <c r="AS120" i="95"/>
  <c r="AQ103" i="74"/>
  <c r="W119" i="69"/>
  <c r="I122" i="89"/>
  <c r="BD120" i="95"/>
  <c r="AL122" i="100"/>
  <c r="Y105" i="95"/>
  <c r="AC119" i="69"/>
  <c r="AW120" i="95"/>
  <c r="DV98" i="75"/>
  <c r="BP192" i="69"/>
  <c r="DU110" i="75"/>
  <c r="AY120" i="95"/>
  <c r="Q219" i="90"/>
  <c r="DU111" i="75"/>
  <c r="AQ104" i="74"/>
  <c r="AS164" i="95"/>
  <c r="X110" i="95"/>
  <c r="O126" i="90"/>
  <c r="H122" i="89"/>
  <c r="S120" i="95"/>
  <c r="S103" i="74"/>
  <c r="BC76" i="95"/>
  <c r="BE209" i="95" l="1"/>
  <c r="AI76" i="84"/>
  <c r="BE163" i="95"/>
  <c r="BE77" i="84"/>
  <c r="BM77" i="84" s="1"/>
  <c r="BD77" i="84"/>
  <c r="BL77" i="84" s="1"/>
  <c r="BC77" i="84"/>
  <c r="BK77" i="84" s="1"/>
  <c r="BB77" i="84"/>
  <c r="BJ77" i="84" s="1"/>
  <c r="J168" i="89"/>
  <c r="O168" i="89" s="1"/>
  <c r="AJ165" i="69"/>
  <c r="N219" i="90"/>
  <c r="O215" i="89"/>
  <c r="BR80" i="90"/>
  <c r="Z80" i="90"/>
  <c r="BU80" i="90" s="1"/>
  <c r="T118" i="95"/>
  <c r="Z126" i="90"/>
  <c r="BU126" i="90" s="1"/>
  <c r="M172" i="90"/>
  <c r="BT172" i="90" s="1"/>
  <c r="AL219" i="90"/>
  <c r="M126" i="90"/>
  <c r="BT126" i="90" s="1"/>
  <c r="AL80" i="90"/>
  <c r="K172" i="90"/>
  <c r="L168" i="89"/>
  <c r="L126" i="90"/>
  <c r="M122" i="89"/>
  <c r="AJ80" i="90"/>
  <c r="AJ126" i="90"/>
  <c r="AK172" i="90"/>
  <c r="BQ192" i="69"/>
  <c r="AW73" i="69"/>
  <c r="EI28" i="75" s="1"/>
  <c r="N168" i="89"/>
  <c r="DO26" i="75"/>
  <c r="AQ117" i="69"/>
  <c r="T162" i="95"/>
  <c r="AW162" i="69"/>
  <c r="EK26" i="75"/>
  <c r="AW207" i="69"/>
  <c r="EL26" i="75"/>
  <c r="AW119" i="69"/>
  <c r="EJ28" i="75"/>
  <c r="H28" i="75"/>
  <c r="K26" i="75"/>
  <c r="AK207" i="69"/>
  <c r="N122" i="89"/>
  <c r="DQ25" i="75"/>
  <c r="AQ206" i="69"/>
  <c r="BL73" i="69"/>
  <c r="H28" i="74"/>
  <c r="BE120" i="95"/>
  <c r="AD119" i="69"/>
  <c r="I29" i="74" s="1"/>
  <c r="DP25" i="75"/>
  <c r="AQ161" i="69"/>
  <c r="J26" i="75"/>
  <c r="AK162" i="69"/>
  <c r="AD161" i="69"/>
  <c r="AA26" i="74"/>
  <c r="J25" i="74"/>
  <c r="BL160" i="69"/>
  <c r="AB27" i="74"/>
  <c r="K26" i="74"/>
  <c r="BL206" i="69"/>
  <c r="AD207" i="69"/>
  <c r="BK166" i="69"/>
  <c r="BA169" i="84"/>
  <c r="BK213" i="69"/>
  <c r="BA216" i="84"/>
  <c r="AJ123" i="87"/>
  <c r="CF121" i="84"/>
  <c r="D120" i="91"/>
  <c r="BY121" i="84"/>
  <c r="CI135" i="84"/>
  <c r="CB135" i="84"/>
  <c r="G134" i="91"/>
  <c r="CA127" i="84"/>
  <c r="CH127" i="84"/>
  <c r="F126" i="91"/>
  <c r="AK119" i="69"/>
  <c r="BR77" i="84"/>
  <c r="BT77" i="84" s="1"/>
  <c r="BN77" i="84" s="1"/>
  <c r="AR77" i="84"/>
  <c r="O122" i="89"/>
  <c r="T209" i="95"/>
  <c r="CE119" i="84"/>
  <c r="C118" i="91"/>
  <c r="BX119" i="84"/>
  <c r="BZ123" i="84"/>
  <c r="E122" i="91"/>
  <c r="CG123" i="84"/>
  <c r="I28" i="74"/>
  <c r="Z29" i="74"/>
  <c r="I28" i="75"/>
  <c r="AW77" i="95"/>
  <c r="DW94" i="75"/>
  <c r="BC211" i="95"/>
  <c r="T168" i="89"/>
  <c r="S111" i="74"/>
  <c r="O172" i="90"/>
  <c r="AR121" i="95"/>
  <c r="AS77" i="95"/>
  <c r="AK124" i="87"/>
  <c r="S112" i="74"/>
  <c r="AV165" i="69"/>
  <c r="S107" i="75"/>
  <c r="AA96" i="95"/>
  <c r="Z96" i="95"/>
  <c r="AX77" i="95"/>
  <c r="AQ107" i="74"/>
  <c r="BO150" i="69"/>
  <c r="S108" i="74"/>
  <c r="DX93" i="75"/>
  <c r="T94" i="74"/>
  <c r="S122" i="89"/>
  <c r="Y110" i="95"/>
  <c r="Z98" i="95"/>
  <c r="DV101" i="75"/>
  <c r="AQ108" i="74"/>
  <c r="R110" i="74"/>
  <c r="BC77" i="95"/>
  <c r="P126" i="90"/>
  <c r="AX211" i="95"/>
  <c r="AX212" i="95" s="1"/>
  <c r="R80" i="90"/>
  <c r="T96" i="75"/>
  <c r="AR77" i="95"/>
  <c r="AX164" i="95"/>
  <c r="T97" i="75"/>
  <c r="BC164" i="95"/>
  <c r="R109" i="75"/>
  <c r="AD122" i="84"/>
  <c r="AY166" i="95"/>
  <c r="BB77" i="95"/>
  <c r="AP165" i="69"/>
  <c r="AD215" i="84"/>
  <c r="R111" i="75"/>
  <c r="Y109" i="95"/>
  <c r="Q168" i="89"/>
  <c r="R122" i="89"/>
  <c r="AX123" i="95"/>
  <c r="DV99" i="75"/>
  <c r="X165" i="69"/>
  <c r="AR94" i="74"/>
  <c r="DV100" i="75"/>
  <c r="T95" i="75"/>
  <c r="BO149" i="69"/>
  <c r="AQ123" i="87"/>
  <c r="S107" i="74"/>
  <c r="AQ32" i="87"/>
  <c r="AS165" i="95"/>
  <c r="AT123" i="84"/>
  <c r="AS121" i="95"/>
  <c r="H77" i="89"/>
  <c r="R111" i="74"/>
  <c r="S109" i="74"/>
  <c r="AQ106" i="74"/>
  <c r="S106" i="74"/>
  <c r="R110" i="75"/>
  <c r="AS210" i="95"/>
  <c r="AS211" i="95" s="1"/>
  <c r="W165" i="69"/>
  <c r="BC212" i="95"/>
  <c r="BC123" i="95"/>
  <c r="S106" i="75"/>
  <c r="BB121" i="95"/>
  <c r="BI149" i="95"/>
  <c r="Q172" i="90"/>
  <c r="S168" i="89"/>
  <c r="R109" i="74"/>
  <c r="S165" i="69"/>
  <c r="Y111" i="95"/>
  <c r="Q126" i="90"/>
  <c r="S108" i="75"/>
  <c r="AW121" i="95"/>
  <c r="S110" i="74"/>
  <c r="Z97" i="95"/>
  <c r="AC165" i="69"/>
  <c r="O87" i="68"/>
  <c r="S74" i="69" s="1"/>
  <c r="BV77" i="84" l="1"/>
  <c r="BE210" i="95"/>
  <c r="BE211" i="95"/>
  <c r="AJ76" i="84"/>
  <c r="BE164" i="95"/>
  <c r="AM80" i="90"/>
  <c r="BE216" i="84"/>
  <c r="BM216" i="84" s="1"/>
  <c r="BD216" i="84"/>
  <c r="BL216" i="84" s="1"/>
  <c r="BB216" i="84"/>
  <c r="BJ216" i="84" s="1"/>
  <c r="BC216" i="84"/>
  <c r="BK216" i="84" s="1"/>
  <c r="BB169" i="84"/>
  <c r="BJ169" i="84" s="1"/>
  <c r="BC169" i="84"/>
  <c r="BK169" i="84" s="1"/>
  <c r="BE169" i="84"/>
  <c r="BM169" i="84" s="1"/>
  <c r="BD169" i="84"/>
  <c r="BL169" i="84" s="1"/>
  <c r="AI215" i="84"/>
  <c r="N172" i="90"/>
  <c r="BU219" i="90"/>
  <c r="T119" i="95"/>
  <c r="AQ81" i="90"/>
  <c r="AP81" i="90"/>
  <c r="AO81" i="90"/>
  <c r="L81" i="90"/>
  <c r="AL172" i="90"/>
  <c r="AL126" i="90"/>
  <c r="AJ172" i="90"/>
  <c r="Z172" i="90"/>
  <c r="BR172" i="90"/>
  <c r="BS126" i="90"/>
  <c r="AK126" i="90"/>
  <c r="AR81" i="90"/>
  <c r="BK149" i="95"/>
  <c r="I29" i="75"/>
  <c r="AI122" i="84"/>
  <c r="DO27" i="75"/>
  <c r="AQ118" i="69"/>
  <c r="T163" i="95"/>
  <c r="AW163" i="69"/>
  <c r="EK27" i="75"/>
  <c r="EJ29" i="75"/>
  <c r="AW208" i="69"/>
  <c r="EL27" i="75"/>
  <c r="K27" i="75"/>
  <c r="AK208" i="69"/>
  <c r="AQ207" i="69"/>
  <c r="DQ26" i="75"/>
  <c r="Z30" i="74"/>
  <c r="AD162" i="69"/>
  <c r="BL161" i="69"/>
  <c r="AA27" i="74"/>
  <c r="J26" i="74"/>
  <c r="AK163" i="69"/>
  <c r="J27" i="75"/>
  <c r="AD208" i="69"/>
  <c r="AB28" i="74"/>
  <c r="BL207" i="69"/>
  <c r="K27" i="74"/>
  <c r="DP26" i="75"/>
  <c r="AQ162" i="69"/>
  <c r="BA123" i="84"/>
  <c r="BK120" i="69"/>
  <c r="AJ124" i="87"/>
  <c r="M77" i="89"/>
  <c r="AJ74" i="69"/>
  <c r="AK74" i="69" s="1"/>
  <c r="J77" i="89"/>
  <c r="N81" i="90" s="1"/>
  <c r="CH128" i="84"/>
  <c r="CA128" i="84"/>
  <c r="F127" i="91"/>
  <c r="CG124" i="84"/>
  <c r="E123" i="91"/>
  <c r="BZ124" i="84"/>
  <c r="G135" i="91"/>
  <c r="CB136" i="84"/>
  <c r="CI136" i="84"/>
  <c r="BO77" i="84"/>
  <c r="BR169" i="84"/>
  <c r="BT169" i="84" s="1"/>
  <c r="BN169" i="84" s="1"/>
  <c r="AR169" i="84"/>
  <c r="BP77" i="84"/>
  <c r="C119" i="91"/>
  <c r="BX120" i="84"/>
  <c r="CE120" i="84"/>
  <c r="BR216" i="84"/>
  <c r="BT216" i="84" s="1"/>
  <c r="BN216" i="84" s="1"/>
  <c r="AR216" i="84"/>
  <c r="BY122" i="84"/>
  <c r="D121" i="91"/>
  <c r="CF122" i="84"/>
  <c r="T210" i="95"/>
  <c r="BQ77" i="84"/>
  <c r="W74" i="69"/>
  <c r="AA99" i="95"/>
  <c r="AS122" i="95"/>
  <c r="DV104" i="75"/>
  <c r="AL77" i="100"/>
  <c r="DV105" i="75"/>
  <c r="R77" i="89"/>
  <c r="AQ110" i="74"/>
  <c r="S109" i="75"/>
  <c r="S112" i="75"/>
  <c r="Z100" i="95"/>
  <c r="T96" i="74"/>
  <c r="T98" i="75"/>
  <c r="AY75" i="95"/>
  <c r="T100" i="75"/>
  <c r="BB148" i="69"/>
  <c r="U94" i="75"/>
  <c r="BC165" i="95"/>
  <c r="G77" i="89"/>
  <c r="T97" i="74"/>
  <c r="Z99" i="95"/>
  <c r="R219" i="90"/>
  <c r="DW95" i="75"/>
  <c r="BD75" i="95"/>
  <c r="AW122" i="95"/>
  <c r="DV103" i="75"/>
  <c r="AQ111" i="74"/>
  <c r="AP74" i="69"/>
  <c r="AR95" i="74"/>
  <c r="U94" i="74"/>
  <c r="T77" i="89"/>
  <c r="DV102" i="75"/>
  <c r="AR96" i="74"/>
  <c r="AR97" i="74"/>
  <c r="AR122" i="95"/>
  <c r="AA98" i="95"/>
  <c r="Y112" i="95"/>
  <c r="Z101" i="95"/>
  <c r="AV74" i="69"/>
  <c r="S111" i="75"/>
  <c r="DW97" i="75"/>
  <c r="BO104" i="69"/>
  <c r="X74" i="69"/>
  <c r="BC78" i="95"/>
  <c r="AS166" i="95"/>
  <c r="AX78" i="95"/>
  <c r="P81" i="90"/>
  <c r="AW78" i="95"/>
  <c r="AK125" i="87"/>
  <c r="BB59" i="69"/>
  <c r="AS212" i="95"/>
  <c r="AX213" i="95"/>
  <c r="BC166" i="95"/>
  <c r="BB122" i="95"/>
  <c r="AA97" i="95"/>
  <c r="BC213" i="95"/>
  <c r="BC104" i="69"/>
  <c r="AS78" i="95"/>
  <c r="AC74" i="69"/>
  <c r="S75" i="95"/>
  <c r="AL216" i="100"/>
  <c r="H216" i="89"/>
  <c r="BI195" i="95"/>
  <c r="AX165" i="95"/>
  <c r="S110" i="75"/>
  <c r="AD168" i="84"/>
  <c r="BI194" i="95"/>
  <c r="T95" i="74"/>
  <c r="Y113" i="95"/>
  <c r="T99" i="75"/>
  <c r="AR78" i="95"/>
  <c r="BB78" i="95"/>
  <c r="AQ112" i="74"/>
  <c r="AK76" i="84"/>
  <c r="R126" i="90"/>
  <c r="AT75" i="95"/>
  <c r="AQ109" i="74"/>
  <c r="DW96" i="75"/>
  <c r="AX124" i="95"/>
  <c r="AS94" i="74"/>
  <c r="I77" i="89"/>
  <c r="BC124" i="95"/>
  <c r="AL169" i="100"/>
  <c r="BV216" i="84" l="1"/>
  <c r="BV169" i="84"/>
  <c r="BE212" i="95"/>
  <c r="BE165" i="95"/>
  <c r="AI168" i="84"/>
  <c r="BE123" i="84"/>
  <c r="BM123" i="84" s="1"/>
  <c r="BD123" i="84"/>
  <c r="BL123" i="84" s="1"/>
  <c r="BC123" i="84"/>
  <c r="BK123" i="84" s="1"/>
  <c r="BB123" i="84"/>
  <c r="BJ123" i="84" s="1"/>
  <c r="AJ122" i="84"/>
  <c r="AJ215" i="84"/>
  <c r="AM219" i="90"/>
  <c r="BU172" i="90"/>
  <c r="BE75" i="95"/>
  <c r="AM126" i="90"/>
  <c r="T120" i="95"/>
  <c r="AP220" i="90"/>
  <c r="AQ220" i="90"/>
  <c r="AP173" i="90"/>
  <c r="AQ173" i="90"/>
  <c r="AO220" i="90"/>
  <c r="AO173" i="90"/>
  <c r="L220" i="90"/>
  <c r="BS220" i="90" s="1"/>
  <c r="K81" i="90"/>
  <c r="L77" i="89"/>
  <c r="M81" i="90"/>
  <c r="AK81" i="90"/>
  <c r="BS81" i="90"/>
  <c r="AR173" i="90"/>
  <c r="AR220" i="90"/>
  <c r="BK195" i="95"/>
  <c r="BK194" i="95"/>
  <c r="H29" i="75"/>
  <c r="N77" i="89"/>
  <c r="DO28" i="75"/>
  <c r="AQ119" i="69"/>
  <c r="DO29" i="75" s="1"/>
  <c r="T75" i="95"/>
  <c r="T164" i="95"/>
  <c r="AW74" i="69"/>
  <c r="EI29" i="75" s="1"/>
  <c r="AW164" i="69"/>
  <c r="EK28" i="75"/>
  <c r="AW209" i="69"/>
  <c r="EL28" i="75"/>
  <c r="K28" i="75"/>
  <c r="AK209" i="69"/>
  <c r="DQ27" i="75"/>
  <c r="AQ208" i="69"/>
  <c r="AD74" i="69"/>
  <c r="BL74" i="69" s="1"/>
  <c r="AQ74" i="69"/>
  <c r="DN29" i="75" s="1"/>
  <c r="AK164" i="69"/>
  <c r="J28" i="75"/>
  <c r="AD209" i="69"/>
  <c r="K28" i="74"/>
  <c r="BL208" i="69"/>
  <c r="AB29" i="74"/>
  <c r="DP27" i="75"/>
  <c r="AQ163" i="69"/>
  <c r="AA28" i="74"/>
  <c r="J27" i="74"/>
  <c r="BL162" i="69"/>
  <c r="AD163" i="69"/>
  <c r="M216" i="89"/>
  <c r="AJ125" i="87"/>
  <c r="BO216" i="84"/>
  <c r="BY123" i="84"/>
  <c r="CF123" i="84"/>
  <c r="D122" i="91"/>
  <c r="CA129" i="84"/>
  <c r="F128" i="91"/>
  <c r="CH129" i="84"/>
  <c r="BP216" i="84"/>
  <c r="BQ169" i="84"/>
  <c r="AR123" i="84"/>
  <c r="BR123" i="84"/>
  <c r="BT123" i="84" s="1"/>
  <c r="BN123" i="84" s="1"/>
  <c r="BO169" i="84"/>
  <c r="BP169" i="84"/>
  <c r="CI137" i="84"/>
  <c r="CB137" i="84"/>
  <c r="G136" i="91"/>
  <c r="C120" i="91"/>
  <c r="BX121" i="84"/>
  <c r="CE121" i="84"/>
  <c r="CG125" i="84"/>
  <c r="E124" i="91"/>
  <c r="BZ125" i="84"/>
  <c r="T211" i="95"/>
  <c r="BQ216" i="84"/>
  <c r="O77" i="89"/>
  <c r="AS213" i="95"/>
  <c r="T98" i="74"/>
  <c r="I216" i="89"/>
  <c r="T99" i="74"/>
  <c r="AA101" i="95"/>
  <c r="AR98" i="74"/>
  <c r="AD77" i="84"/>
  <c r="Z104" i="95"/>
  <c r="R216" i="89"/>
  <c r="DW98" i="75"/>
  <c r="DU114" i="75"/>
  <c r="X118" i="95"/>
  <c r="H169" i="89"/>
  <c r="T103" i="75"/>
  <c r="R112" i="75"/>
  <c r="AS214" i="95"/>
  <c r="AR123" i="95"/>
  <c r="BC149" i="69"/>
  <c r="AW123" i="95"/>
  <c r="DU115" i="75"/>
  <c r="BP59" i="69"/>
  <c r="T101" i="75"/>
  <c r="DU112" i="75"/>
  <c r="BB123" i="95"/>
  <c r="O179" i="68"/>
  <c r="S167" i="95" s="1"/>
  <c r="R114" i="75"/>
  <c r="X114" i="95"/>
  <c r="U95" i="74"/>
  <c r="AT78" i="84"/>
  <c r="DV106" i="75"/>
  <c r="DV112" i="75"/>
  <c r="R113" i="75"/>
  <c r="AT167" i="95"/>
  <c r="AS95" i="74"/>
  <c r="Q81" i="90"/>
  <c r="X166" i="69"/>
  <c r="Z103" i="95"/>
  <c r="AA100" i="95"/>
  <c r="DV109" i="75"/>
  <c r="BD167" i="95"/>
  <c r="Q77" i="89"/>
  <c r="O81" i="90"/>
  <c r="AG149" i="95"/>
  <c r="BC125" i="95"/>
  <c r="AA102" i="95"/>
  <c r="BI196" i="95"/>
  <c r="S77" i="89"/>
  <c r="DV111" i="75"/>
  <c r="I169" i="89"/>
  <c r="AQ78" i="87"/>
  <c r="BC214" i="95"/>
  <c r="AX125" i="95"/>
  <c r="AX166" i="95"/>
  <c r="AX79" i="95"/>
  <c r="R172" i="90"/>
  <c r="P220" i="90"/>
  <c r="R116" i="75"/>
  <c r="AS167" i="95"/>
  <c r="AX214" i="95"/>
  <c r="X117" i="95"/>
  <c r="BB79" i="95"/>
  <c r="DW99" i="75"/>
  <c r="AS123" i="95"/>
  <c r="BC194" i="69"/>
  <c r="DU116" i="75"/>
  <c r="T102" i="75"/>
  <c r="AS168" i="95"/>
  <c r="DU117" i="75"/>
  <c r="DW100" i="75"/>
  <c r="AK126" i="87"/>
  <c r="AR100" i="74"/>
  <c r="AW79" i="95"/>
  <c r="X115" i="95"/>
  <c r="BC79" i="95"/>
  <c r="DX94" i="75"/>
  <c r="Z102" i="95"/>
  <c r="DV110" i="75"/>
  <c r="DV107" i="75"/>
  <c r="R117" i="75"/>
  <c r="DV108" i="75"/>
  <c r="DU113" i="75"/>
  <c r="O226" i="68"/>
  <c r="AR79" i="95"/>
  <c r="T100" i="74"/>
  <c r="AA103" i="95"/>
  <c r="G216" i="89"/>
  <c r="R115" i="75"/>
  <c r="H123" i="89"/>
  <c r="BC167" i="95"/>
  <c r="AG60" i="95"/>
  <c r="AS79" i="95"/>
  <c r="X116" i="95"/>
  <c r="X113" i="95"/>
  <c r="S214" i="95"/>
  <c r="AR99" i="74"/>
  <c r="AK215" i="84"/>
  <c r="G169" i="89"/>
  <c r="U95" i="75"/>
  <c r="G123" i="89"/>
  <c r="AK122" i="84"/>
  <c r="O133" i="68"/>
  <c r="S213" i="69"/>
  <c r="BD214" i="95"/>
  <c r="X213" i="69"/>
  <c r="AT214" i="95"/>
  <c r="AY214" i="95"/>
  <c r="AY121" i="95"/>
  <c r="BD121" i="95"/>
  <c r="BQ121" i="95"/>
  <c r="X120" i="69"/>
  <c r="BV123" i="84" l="1"/>
  <c r="BE213" i="95"/>
  <c r="BK196" i="95"/>
  <c r="BE166" i="95"/>
  <c r="AI77" i="84"/>
  <c r="AJ168" i="84"/>
  <c r="AM172" i="90"/>
  <c r="M173" i="90"/>
  <c r="N169" i="89"/>
  <c r="J169" i="89"/>
  <c r="O169" i="89" s="1"/>
  <c r="AJ166" i="69"/>
  <c r="J216" i="89"/>
  <c r="O216" i="89" s="1"/>
  <c r="AJ213" i="69"/>
  <c r="AP127" i="90"/>
  <c r="AO127" i="90"/>
  <c r="AQ127" i="90"/>
  <c r="AL81" i="90"/>
  <c r="K127" i="90"/>
  <c r="Z127" i="90" s="1"/>
  <c r="K173" i="90"/>
  <c r="L169" i="89"/>
  <c r="L173" i="90"/>
  <c r="BS173" i="90" s="1"/>
  <c r="M169" i="89"/>
  <c r="M220" i="90"/>
  <c r="N216" i="89"/>
  <c r="AK220" i="90"/>
  <c r="L127" i="90"/>
  <c r="BS127" i="90" s="1"/>
  <c r="K220" i="90"/>
  <c r="L216" i="89"/>
  <c r="BT81" i="90"/>
  <c r="BR81" i="90"/>
  <c r="Z81" i="90"/>
  <c r="BU81" i="90" s="1"/>
  <c r="AJ81" i="90"/>
  <c r="AR127" i="90"/>
  <c r="BQ59" i="69"/>
  <c r="T165" i="95"/>
  <c r="AW210" i="69"/>
  <c r="EL29" i="75"/>
  <c r="AW165" i="69"/>
  <c r="EK29" i="75"/>
  <c r="K29" i="75"/>
  <c r="AK210" i="69"/>
  <c r="DQ28" i="75"/>
  <c r="AQ209" i="69"/>
  <c r="Y30" i="74"/>
  <c r="H29" i="74"/>
  <c r="BE214" i="95"/>
  <c r="J29" i="75"/>
  <c r="AK165" i="69"/>
  <c r="BL163" i="69"/>
  <c r="J28" i="74"/>
  <c r="AA29" i="74"/>
  <c r="AD164" i="69"/>
  <c r="BL209" i="69"/>
  <c r="K29" i="74"/>
  <c r="AB30" i="74"/>
  <c r="AD210" i="69"/>
  <c r="AQ164" i="69"/>
  <c r="DP28" i="75"/>
  <c r="J123" i="89"/>
  <c r="N127" i="90" s="1"/>
  <c r="AJ120" i="69"/>
  <c r="AK120" i="69" s="1"/>
  <c r="AJ126" i="87"/>
  <c r="L123" i="89"/>
  <c r="BK75" i="69"/>
  <c r="BA78" i="84"/>
  <c r="M123" i="89"/>
  <c r="BQ123" i="84"/>
  <c r="BZ126" i="84"/>
  <c r="E125" i="91"/>
  <c r="CG126" i="84"/>
  <c r="CH130" i="84"/>
  <c r="CA130" i="84"/>
  <c r="F129" i="91"/>
  <c r="T212" i="95"/>
  <c r="BP123" i="84"/>
  <c r="BO123" i="84"/>
  <c r="BY124" i="84"/>
  <c r="CF124" i="84"/>
  <c r="D123" i="91"/>
  <c r="G137" i="91"/>
  <c r="CB138" i="84"/>
  <c r="CI138" i="84"/>
  <c r="BX122" i="84"/>
  <c r="C121" i="91"/>
  <c r="CE122" i="84"/>
  <c r="AX167" i="95"/>
  <c r="T105" i="75"/>
  <c r="AA109" i="95"/>
  <c r="R112" i="74"/>
  <c r="AD216" i="84"/>
  <c r="AX80" i="95"/>
  <c r="R117" i="74"/>
  <c r="AV120" i="69"/>
  <c r="BI150" i="95"/>
  <c r="AA107" i="95"/>
  <c r="AA108" i="95"/>
  <c r="BC168" i="95"/>
  <c r="BC80" i="95"/>
  <c r="Q173" i="90"/>
  <c r="AA123" i="95"/>
  <c r="R123" i="89"/>
  <c r="P127" i="90"/>
  <c r="U98" i="75"/>
  <c r="AG105" i="95"/>
  <c r="AP115" i="74"/>
  <c r="AW80" i="95"/>
  <c r="BB124" i="95"/>
  <c r="DX95" i="75"/>
  <c r="AA106" i="95"/>
  <c r="BC126" i="95"/>
  <c r="W166" i="69"/>
  <c r="BP148" i="69"/>
  <c r="R169" i="89"/>
  <c r="AA116" i="95"/>
  <c r="S120" i="69"/>
  <c r="U98" i="74"/>
  <c r="AP114" i="74"/>
  <c r="AW124" i="95"/>
  <c r="BB80" i="95"/>
  <c r="O220" i="90"/>
  <c r="AR102" i="74"/>
  <c r="R115" i="74"/>
  <c r="O173" i="90"/>
  <c r="AX215" i="95"/>
  <c r="AP116" i="74"/>
  <c r="Y117" i="95"/>
  <c r="W120" i="69"/>
  <c r="Q169" i="89"/>
  <c r="S121" i="95"/>
  <c r="AP117" i="74"/>
  <c r="S166" i="69"/>
  <c r="T102" i="74"/>
  <c r="AY167" i="95"/>
  <c r="Y116" i="95"/>
  <c r="AA110" i="95"/>
  <c r="Y118" i="95"/>
  <c r="AS124" i="95"/>
  <c r="Y115" i="95"/>
  <c r="AX168" i="95"/>
  <c r="AC120" i="69"/>
  <c r="AT170" i="84"/>
  <c r="AA118" i="95"/>
  <c r="AA104" i="95"/>
  <c r="AL123" i="100"/>
  <c r="T104" i="75"/>
  <c r="AA105" i="95"/>
  <c r="AA115" i="95"/>
  <c r="DW101" i="75"/>
  <c r="AA117" i="95"/>
  <c r="AA113" i="95"/>
  <c r="Q123" i="89"/>
  <c r="AP112" i="74"/>
  <c r="U97" i="75"/>
  <c r="R81" i="90"/>
  <c r="U97" i="74"/>
  <c r="T107" i="75"/>
  <c r="AA122" i="95"/>
  <c r="AK127" i="87"/>
  <c r="Y114" i="95"/>
  <c r="R114" i="74"/>
  <c r="U96" i="74"/>
  <c r="S216" i="89"/>
  <c r="AQ217" i="87"/>
  <c r="AS169" i="95"/>
  <c r="AS215" i="95"/>
  <c r="AA126" i="95"/>
  <c r="AS97" i="74"/>
  <c r="AR124" i="95"/>
  <c r="AS96" i="74"/>
  <c r="AD169" i="84"/>
  <c r="T103" i="74"/>
  <c r="Q220" i="90"/>
  <c r="AP113" i="74"/>
  <c r="U96" i="75"/>
  <c r="AA119" i="95"/>
  <c r="AT124" i="84"/>
  <c r="T106" i="75"/>
  <c r="AP166" i="69"/>
  <c r="AA111" i="95"/>
  <c r="W213" i="69"/>
  <c r="T216" i="89"/>
  <c r="T169" i="89"/>
  <c r="AA114" i="95"/>
  <c r="S169" i="89"/>
  <c r="AV213" i="69"/>
  <c r="DW103" i="75"/>
  <c r="AC213" i="69"/>
  <c r="O127" i="90"/>
  <c r="AQ124" i="87"/>
  <c r="AP120" i="69"/>
  <c r="AR103" i="74"/>
  <c r="Z105" i="95"/>
  <c r="AA120" i="95"/>
  <c r="AA121" i="95"/>
  <c r="AT121" i="95"/>
  <c r="BC215" i="95"/>
  <c r="AV166" i="69"/>
  <c r="AP213" i="69"/>
  <c r="AG194" i="95"/>
  <c r="AR80" i="95"/>
  <c r="AG196" i="95"/>
  <c r="AX126" i="95"/>
  <c r="AR101" i="74"/>
  <c r="AA112" i="95"/>
  <c r="DW102" i="75"/>
  <c r="Z106" i="95"/>
  <c r="T123" i="89"/>
  <c r="AQ170" i="87"/>
  <c r="R113" i="74"/>
  <c r="Z108" i="95"/>
  <c r="AG195" i="95"/>
  <c r="AT217" i="84"/>
  <c r="R116" i="74"/>
  <c r="T101" i="74"/>
  <c r="P173" i="90"/>
  <c r="AS98" i="74"/>
  <c r="AC166" i="69"/>
  <c r="Z107" i="95"/>
  <c r="AA124" i="95"/>
  <c r="AS80" i="95"/>
  <c r="I123" i="89"/>
  <c r="AA125" i="95"/>
  <c r="BB104" i="69"/>
  <c r="Q216" i="89"/>
  <c r="AK168" i="84"/>
  <c r="AM81" i="90" l="1"/>
  <c r="AJ77" i="84"/>
  <c r="AL173" i="90"/>
  <c r="BT173" i="90"/>
  <c r="BE78" i="84"/>
  <c r="BM78" i="84" s="1"/>
  <c r="BD78" i="84"/>
  <c r="BL78" i="84" s="1"/>
  <c r="BC78" i="84"/>
  <c r="BK78" i="84" s="1"/>
  <c r="BB78" i="84"/>
  <c r="BJ78" i="84" s="1"/>
  <c r="T121" i="95"/>
  <c r="BE167" i="95"/>
  <c r="N173" i="90"/>
  <c r="AI216" i="84"/>
  <c r="N220" i="90"/>
  <c r="M127" i="90"/>
  <c r="BT127" i="90" s="1"/>
  <c r="AK127" i="90"/>
  <c r="AK173" i="90"/>
  <c r="AJ127" i="90"/>
  <c r="BT220" i="90"/>
  <c r="AL220" i="90"/>
  <c r="BR220" i="90"/>
  <c r="Z220" i="90"/>
  <c r="AJ220" i="90"/>
  <c r="BR173" i="90"/>
  <c r="Z173" i="90"/>
  <c r="AJ173" i="90"/>
  <c r="BR127" i="90"/>
  <c r="BU127" i="90"/>
  <c r="BK150" i="95"/>
  <c r="BQ148" i="69"/>
  <c r="AK166" i="69"/>
  <c r="AI169" i="84"/>
  <c r="N123" i="89"/>
  <c r="T166" i="95"/>
  <c r="AW120" i="69"/>
  <c r="EJ30" i="75" s="1"/>
  <c r="AW166" i="69"/>
  <c r="EK30" i="75"/>
  <c r="AW211" i="69"/>
  <c r="EL30" i="75"/>
  <c r="AK211" i="69"/>
  <c r="K30" i="75"/>
  <c r="BE121" i="95"/>
  <c r="AQ210" i="69"/>
  <c r="DQ29" i="75"/>
  <c r="AD120" i="69"/>
  <c r="I30" i="74" s="1"/>
  <c r="AQ120" i="69"/>
  <c r="DO30" i="75" s="1"/>
  <c r="AD165" i="69"/>
  <c r="J29" i="74"/>
  <c r="BL164" i="69"/>
  <c r="AA30" i="74"/>
  <c r="J30" i="75"/>
  <c r="DP29" i="75"/>
  <c r="AQ165" i="69"/>
  <c r="AB31" i="74"/>
  <c r="BL210" i="69"/>
  <c r="K30" i="74"/>
  <c r="AD211" i="69"/>
  <c r="BA124" i="84"/>
  <c r="BK121" i="69"/>
  <c r="AJ127" i="87"/>
  <c r="BK167" i="69"/>
  <c r="BA170" i="84"/>
  <c r="BA217" i="84"/>
  <c r="BK214" i="69"/>
  <c r="CI139" i="84"/>
  <c r="G138" i="91"/>
  <c r="CB139" i="84"/>
  <c r="CH131" i="84"/>
  <c r="F130" i="91"/>
  <c r="CA131" i="84"/>
  <c r="I30" i="75"/>
  <c r="T213" i="95"/>
  <c r="O123" i="89"/>
  <c r="AR78" i="84"/>
  <c r="BR78" i="84"/>
  <c r="BT78" i="84" s="1"/>
  <c r="BN78" i="84" s="1"/>
  <c r="BY125" i="84"/>
  <c r="CF125" i="84"/>
  <c r="D124" i="91"/>
  <c r="CG127" i="84"/>
  <c r="BZ127" i="84"/>
  <c r="E126" i="91"/>
  <c r="CE123" i="84"/>
  <c r="C122" i="91"/>
  <c r="BX123" i="84"/>
  <c r="S115" i="74"/>
  <c r="U101" i="75"/>
  <c r="S119" i="75"/>
  <c r="S117" i="74"/>
  <c r="AW81" i="95"/>
  <c r="BB81" i="95"/>
  <c r="BI151" i="95"/>
  <c r="AX127" i="95"/>
  <c r="U99" i="74"/>
  <c r="BB194" i="69"/>
  <c r="AS125" i="95"/>
  <c r="AS102" i="74"/>
  <c r="U100" i="74"/>
  <c r="R220" i="90"/>
  <c r="S115" i="75"/>
  <c r="AL78" i="100"/>
  <c r="T109" i="75"/>
  <c r="DV121" i="75"/>
  <c r="S121" i="74"/>
  <c r="T106" i="74"/>
  <c r="BI105" i="95"/>
  <c r="DX96" i="75"/>
  <c r="S123" i="89"/>
  <c r="S118" i="74"/>
  <c r="AX81" i="95"/>
  <c r="BB195" i="69"/>
  <c r="DV116" i="75"/>
  <c r="Z109" i="95"/>
  <c r="AX216" i="95"/>
  <c r="U99" i="75"/>
  <c r="U102" i="74"/>
  <c r="Z110" i="95"/>
  <c r="AK77" i="84"/>
  <c r="AR125" i="95"/>
  <c r="AR104" i="74"/>
  <c r="AS100" i="74"/>
  <c r="AW125" i="95"/>
  <c r="S114" i="75"/>
  <c r="AS81" i="95"/>
  <c r="DV115" i="75"/>
  <c r="BB150" i="69"/>
  <c r="DV117" i="75"/>
  <c r="AK128" i="87"/>
  <c r="R173" i="90"/>
  <c r="AR81" i="95"/>
  <c r="DW106" i="75"/>
  <c r="AD123" i="84"/>
  <c r="DW105" i="75"/>
  <c r="AA129" i="95"/>
  <c r="AQ33" i="87"/>
  <c r="T107" i="74"/>
  <c r="U102" i="75"/>
  <c r="Y122" i="95"/>
  <c r="T105" i="74"/>
  <c r="DV113" i="75"/>
  <c r="AS99" i="74"/>
  <c r="Y120" i="95"/>
  <c r="S120" i="75"/>
  <c r="DW104" i="75"/>
  <c r="S120" i="74"/>
  <c r="AS170" i="95"/>
  <c r="BB193" i="69"/>
  <c r="T108" i="75"/>
  <c r="BC127" i="95"/>
  <c r="AR105" i="74"/>
  <c r="S113" i="75"/>
  <c r="AA127" i="95"/>
  <c r="BB125" i="95"/>
  <c r="DV118" i="75"/>
  <c r="U101" i="74"/>
  <c r="I78" i="89"/>
  <c r="S116" i="74"/>
  <c r="AR107" i="74"/>
  <c r="BC169" i="95"/>
  <c r="T111" i="75"/>
  <c r="AR106" i="74"/>
  <c r="DX97" i="75"/>
  <c r="S113" i="74"/>
  <c r="T110" i="75"/>
  <c r="BC81" i="95"/>
  <c r="BO196" i="69"/>
  <c r="Y119" i="95"/>
  <c r="AX169" i="95"/>
  <c r="S117" i="75"/>
  <c r="S121" i="75"/>
  <c r="BB149" i="69"/>
  <c r="S119" i="74"/>
  <c r="U100" i="75"/>
  <c r="DW107" i="75"/>
  <c r="Q127" i="90"/>
  <c r="T104" i="74"/>
  <c r="AS101" i="74"/>
  <c r="S118" i="75"/>
  <c r="BO105" i="69"/>
  <c r="S114" i="74"/>
  <c r="DV119" i="75"/>
  <c r="Z112" i="95"/>
  <c r="Z111" i="95"/>
  <c r="S116" i="75"/>
  <c r="DV120" i="75"/>
  <c r="DV114" i="75"/>
  <c r="AA128" i="95"/>
  <c r="Y121" i="95"/>
  <c r="AS216" i="95"/>
  <c r="BC216" i="95"/>
  <c r="DX98" i="75"/>
  <c r="BV78" i="84" l="1"/>
  <c r="BU173" i="90"/>
  <c r="BC124" i="84"/>
  <c r="BK124" i="84" s="1"/>
  <c r="BB124" i="84"/>
  <c r="BJ124" i="84" s="1"/>
  <c r="BE124" i="84"/>
  <c r="BM124" i="84" s="1"/>
  <c r="BD124" i="84"/>
  <c r="BL124" i="84" s="1"/>
  <c r="BB217" i="84"/>
  <c r="BJ217" i="84" s="1"/>
  <c r="BD217" i="84"/>
  <c r="BL217" i="84" s="1"/>
  <c r="BE217" i="84"/>
  <c r="BM217" i="84" s="1"/>
  <c r="BC217" i="84"/>
  <c r="BK217" i="84" s="1"/>
  <c r="BD170" i="84"/>
  <c r="BL170" i="84" s="1"/>
  <c r="BC170" i="84"/>
  <c r="BK170" i="84" s="1"/>
  <c r="BB170" i="84"/>
  <c r="BJ170" i="84" s="1"/>
  <c r="BE170" i="84"/>
  <c r="BM170" i="84" s="1"/>
  <c r="BK151" i="95"/>
  <c r="AJ169" i="84"/>
  <c r="AJ216" i="84"/>
  <c r="AM220" i="90"/>
  <c r="AI123" i="84"/>
  <c r="BU220" i="90"/>
  <c r="AM173" i="90"/>
  <c r="AQ82" i="90"/>
  <c r="AP82" i="90"/>
  <c r="AO82" i="90"/>
  <c r="M82" i="90"/>
  <c r="AL127" i="90"/>
  <c r="AR82" i="90"/>
  <c r="BK105" i="95"/>
  <c r="J31" i="75"/>
  <c r="T167" i="95"/>
  <c r="EK31" i="75"/>
  <c r="AW212" i="69"/>
  <c r="EL31" i="75"/>
  <c r="AK212" i="69"/>
  <c r="K31" i="75"/>
  <c r="DQ30" i="75"/>
  <c r="AQ211" i="69"/>
  <c r="Z31" i="74"/>
  <c r="BL165" i="69"/>
  <c r="DP30" i="75"/>
  <c r="AQ166" i="69"/>
  <c r="AA31" i="74"/>
  <c r="BL105" i="69"/>
  <c r="J30" i="74"/>
  <c r="AD166" i="69"/>
  <c r="AB32" i="74"/>
  <c r="K31" i="74"/>
  <c r="BL211" i="69"/>
  <c r="AD212" i="69"/>
  <c r="AJ128" i="87"/>
  <c r="N78" i="89"/>
  <c r="BO78" i="84"/>
  <c r="CG128" i="84"/>
  <c r="E127" i="91"/>
  <c r="BZ128" i="84"/>
  <c r="CH132" i="84"/>
  <c r="CA132" i="84"/>
  <c r="F131" i="91"/>
  <c r="BP78" i="84"/>
  <c r="T214" i="95"/>
  <c r="CE124" i="84"/>
  <c r="C123" i="91"/>
  <c r="BX124" i="84"/>
  <c r="D125" i="91"/>
  <c r="CF126" i="84"/>
  <c r="BY126" i="84"/>
  <c r="G139" i="91"/>
  <c r="CB140" i="84"/>
  <c r="CI140" i="84"/>
  <c r="BQ78" i="84"/>
  <c r="AR170" i="84"/>
  <c r="BR170" i="84"/>
  <c r="BT170" i="84" s="1"/>
  <c r="BN170" i="84" s="1"/>
  <c r="AR124" i="84"/>
  <c r="BR124" i="84"/>
  <c r="BT124" i="84" s="1"/>
  <c r="BN124" i="84" s="1"/>
  <c r="BR217" i="84"/>
  <c r="BT217" i="84" s="1"/>
  <c r="BN217" i="84" s="1"/>
  <c r="AR217" i="84"/>
  <c r="AS104" i="74"/>
  <c r="AR109" i="74"/>
  <c r="AX82" i="95"/>
  <c r="AS125" i="74"/>
  <c r="T111" i="74"/>
  <c r="Z121" i="95"/>
  <c r="AR82" i="95"/>
  <c r="U124" i="74"/>
  <c r="AS111" i="74"/>
  <c r="AS217" i="95"/>
  <c r="AK129" i="87"/>
  <c r="U116" i="74"/>
  <c r="U103" i="75"/>
  <c r="G217" i="89"/>
  <c r="AS109" i="74"/>
  <c r="BC217" i="95"/>
  <c r="AQ119" i="74"/>
  <c r="DW110" i="75"/>
  <c r="AW126" i="95"/>
  <c r="U122" i="75"/>
  <c r="U120" i="75"/>
  <c r="AR126" i="95"/>
  <c r="AS119" i="74"/>
  <c r="U108" i="74"/>
  <c r="H217" i="89"/>
  <c r="AS171" i="95"/>
  <c r="T119" i="75"/>
  <c r="T124" i="75"/>
  <c r="AR108" i="74"/>
  <c r="T123" i="75"/>
  <c r="G124" i="89"/>
  <c r="Z116" i="95"/>
  <c r="U119" i="75"/>
  <c r="U120" i="74"/>
  <c r="U122" i="74"/>
  <c r="AQ79" i="87"/>
  <c r="U121" i="74"/>
  <c r="BC170" i="95"/>
  <c r="T118" i="75"/>
  <c r="BC195" i="69"/>
  <c r="AS117" i="74"/>
  <c r="U104" i="74"/>
  <c r="T116" i="75"/>
  <c r="T121" i="75"/>
  <c r="U118" i="75"/>
  <c r="BP100" i="69"/>
  <c r="H124" i="89"/>
  <c r="AK169" i="84"/>
  <c r="U107" i="75"/>
  <c r="Z115" i="95"/>
  <c r="AS114" i="74"/>
  <c r="U123" i="74"/>
  <c r="O134" i="68"/>
  <c r="AT122" i="95" s="1"/>
  <c r="DW109" i="75"/>
  <c r="U123" i="75"/>
  <c r="AS110" i="74"/>
  <c r="U115" i="75"/>
  <c r="AW82" i="95"/>
  <c r="AG151" i="95"/>
  <c r="AS112" i="74"/>
  <c r="Z113" i="95"/>
  <c r="U117" i="74"/>
  <c r="T110" i="74"/>
  <c r="AQ117" i="74"/>
  <c r="AS108" i="74"/>
  <c r="O180" i="68"/>
  <c r="AT79" i="84"/>
  <c r="Z124" i="95"/>
  <c r="U104" i="75"/>
  <c r="S78" i="89"/>
  <c r="T109" i="74"/>
  <c r="U117" i="75"/>
  <c r="DW111" i="75"/>
  <c r="U105" i="74"/>
  <c r="DX102" i="75"/>
  <c r="U109" i="74"/>
  <c r="AS116" i="74"/>
  <c r="H170" i="89"/>
  <c r="U121" i="75"/>
  <c r="DX100" i="75"/>
  <c r="T117" i="75"/>
  <c r="DX101" i="75"/>
  <c r="AA131" i="95"/>
  <c r="AS124" i="74"/>
  <c r="AS118" i="74"/>
  <c r="U105" i="75"/>
  <c r="Z114" i="95"/>
  <c r="BP195" i="69"/>
  <c r="U116" i="75"/>
  <c r="U103" i="74"/>
  <c r="U125" i="75"/>
  <c r="AS120" i="74"/>
  <c r="Z119" i="95"/>
  <c r="U113" i="74"/>
  <c r="AS113" i="74"/>
  <c r="AS126" i="95"/>
  <c r="T112" i="75"/>
  <c r="U113" i="75"/>
  <c r="U119" i="74"/>
  <c r="Z122" i="95"/>
  <c r="U106" i="75"/>
  <c r="AS121" i="74"/>
  <c r="AG150" i="95"/>
  <c r="AQ114" i="74"/>
  <c r="T120" i="75"/>
  <c r="O88" i="68"/>
  <c r="AY76" i="95" s="1"/>
  <c r="U118" i="74"/>
  <c r="DW108" i="75"/>
  <c r="AQ116" i="74"/>
  <c r="Z123" i="95"/>
  <c r="U110" i="75"/>
  <c r="BC82" i="95"/>
  <c r="U107" i="74"/>
  <c r="AR110" i="74"/>
  <c r="U115" i="74"/>
  <c r="Z125" i="95"/>
  <c r="AA132" i="95"/>
  <c r="Z117" i="95"/>
  <c r="AS103" i="74"/>
  <c r="U111" i="74"/>
  <c r="AR111" i="74"/>
  <c r="U108" i="75"/>
  <c r="BB126" i="95"/>
  <c r="AQ115" i="74"/>
  <c r="U124" i="75"/>
  <c r="DX99" i="75"/>
  <c r="AQ121" i="74"/>
  <c r="T115" i="75"/>
  <c r="H78" i="89"/>
  <c r="Q82" i="90"/>
  <c r="T113" i="75"/>
  <c r="S121" i="69"/>
  <c r="G78" i="89"/>
  <c r="AS115" i="74"/>
  <c r="AS106" i="74"/>
  <c r="U125" i="74"/>
  <c r="AS82" i="95"/>
  <c r="U111" i="75"/>
  <c r="T108" i="74"/>
  <c r="AX217" i="95"/>
  <c r="T114" i="75"/>
  <c r="U112" i="74"/>
  <c r="AX128" i="95"/>
  <c r="Z118" i="95"/>
  <c r="BB82" i="95"/>
  <c r="AQ113" i="74"/>
  <c r="U110" i="74"/>
  <c r="U109" i="75"/>
  <c r="BP193" i="69"/>
  <c r="U114" i="74"/>
  <c r="AQ120" i="74"/>
  <c r="T122" i="75"/>
  <c r="AS105" i="74"/>
  <c r="U106" i="74"/>
  <c r="U114" i="75"/>
  <c r="Z120" i="95"/>
  <c r="U112" i="75"/>
  <c r="AQ118" i="74"/>
  <c r="AS122" i="74"/>
  <c r="BP194" i="69"/>
  <c r="AX170" i="95"/>
  <c r="AS107" i="74"/>
  <c r="BC150" i="69"/>
  <c r="AA130" i="95"/>
  <c r="BC128" i="95"/>
  <c r="AA133" i="95"/>
  <c r="R127" i="90"/>
  <c r="AS123" i="74"/>
  <c r="O227" i="68"/>
  <c r="AK216" i="84"/>
  <c r="S167" i="69"/>
  <c r="BV170" i="84" l="1"/>
  <c r="BV124" i="84"/>
  <c r="BV217" i="84"/>
  <c r="AJ123" i="84"/>
  <c r="AM127" i="90"/>
  <c r="J78" i="89"/>
  <c r="O78" i="89" s="1"/>
  <c r="AJ75" i="69"/>
  <c r="AK75" i="69" s="1"/>
  <c r="H30" i="75" s="1"/>
  <c r="BT82" i="90"/>
  <c r="AQ128" i="90"/>
  <c r="AQ174" i="90"/>
  <c r="AO128" i="90"/>
  <c r="AP221" i="90"/>
  <c r="AP128" i="90"/>
  <c r="AO174" i="90"/>
  <c r="AQ221" i="90"/>
  <c r="AP174" i="90"/>
  <c r="AO221" i="90"/>
  <c r="K221" i="90"/>
  <c r="BR221" i="90" s="1"/>
  <c r="L174" i="90"/>
  <c r="BS174" i="90" s="1"/>
  <c r="L82" i="90"/>
  <c r="M78" i="89"/>
  <c r="K128" i="90"/>
  <c r="BR128" i="90" s="1"/>
  <c r="K82" i="90"/>
  <c r="L78" i="89"/>
  <c r="L128" i="90"/>
  <c r="BS128" i="90" s="1"/>
  <c r="L221" i="90"/>
  <c r="AL82" i="90"/>
  <c r="AR128" i="90"/>
  <c r="AR221" i="90"/>
  <c r="AR174" i="90"/>
  <c r="BQ194" i="69"/>
  <c r="BQ193" i="69"/>
  <c r="BL106" i="69"/>
  <c r="BL107" i="69" s="1"/>
  <c r="BL108" i="69" s="1"/>
  <c r="AW213" i="69"/>
  <c r="EL32" i="75"/>
  <c r="K32" i="75"/>
  <c r="AK213" i="69"/>
  <c r="K33" i="75" s="1"/>
  <c r="AQ212" i="69"/>
  <c r="DQ31" i="75"/>
  <c r="BQ195" i="69"/>
  <c r="BQ100" i="69"/>
  <c r="DP31" i="75"/>
  <c r="AB33" i="74"/>
  <c r="K32" i="74"/>
  <c r="BL212" i="69"/>
  <c r="AD213" i="69"/>
  <c r="BL166" i="69"/>
  <c r="J31" i="74"/>
  <c r="AA32" i="74"/>
  <c r="L124" i="89"/>
  <c r="AJ167" i="69"/>
  <c r="AK167" i="69" s="1"/>
  <c r="J32" i="75" s="1"/>
  <c r="J170" i="89"/>
  <c r="N174" i="90" s="1"/>
  <c r="BA79" i="84"/>
  <c r="BK76" i="69"/>
  <c r="M217" i="89"/>
  <c r="M124" i="89"/>
  <c r="J124" i="89"/>
  <c r="N128" i="90" s="1"/>
  <c r="AJ121" i="69"/>
  <c r="AK121" i="69" s="1"/>
  <c r="L217" i="89"/>
  <c r="M170" i="89"/>
  <c r="AJ129" i="87"/>
  <c r="AJ214" i="69"/>
  <c r="J217" i="89"/>
  <c r="N221" i="90" s="1"/>
  <c r="BX125" i="84"/>
  <c r="CE125" i="84"/>
  <c r="C124" i="91"/>
  <c r="BQ170" i="84"/>
  <c r="BO217" i="84"/>
  <c r="BO124" i="84"/>
  <c r="BP170" i="84"/>
  <c r="BP217" i="84"/>
  <c r="BQ124" i="84"/>
  <c r="CB141" i="84"/>
  <c r="CI141" i="84"/>
  <c r="G140" i="91"/>
  <c r="D126" i="91"/>
  <c r="BY127" i="84"/>
  <c r="CF127" i="84"/>
  <c r="BO170" i="84"/>
  <c r="CG129" i="84"/>
  <c r="E128" i="91"/>
  <c r="BZ129" i="84"/>
  <c r="F132" i="91"/>
  <c r="CH133" i="84"/>
  <c r="CA133" i="84"/>
  <c r="BQ217" i="84"/>
  <c r="BP124" i="84"/>
  <c r="AX171" i="95"/>
  <c r="AR83" i="95"/>
  <c r="DX117" i="75"/>
  <c r="AQ218" i="87"/>
  <c r="AL124" i="100"/>
  <c r="U131" i="75"/>
  <c r="AY215" i="95"/>
  <c r="T119" i="74"/>
  <c r="AP121" i="69"/>
  <c r="R78" i="89"/>
  <c r="DW115" i="75"/>
  <c r="T78" i="89"/>
  <c r="BP150" i="69"/>
  <c r="DX122" i="75"/>
  <c r="AY168" i="95"/>
  <c r="O221" i="90"/>
  <c r="W75" i="69"/>
  <c r="BC218" i="95"/>
  <c r="AR122" i="74"/>
  <c r="BD122" i="95"/>
  <c r="BC171" i="95"/>
  <c r="DX107" i="75"/>
  <c r="U126" i="75"/>
  <c r="T127" i="75"/>
  <c r="AC75" i="69"/>
  <c r="AX83" i="95"/>
  <c r="AP214" i="69"/>
  <c r="T120" i="74"/>
  <c r="T125" i="75"/>
  <c r="U126" i="74"/>
  <c r="S215" i="95"/>
  <c r="O82" i="90"/>
  <c r="AS128" i="74"/>
  <c r="R121" i="75"/>
  <c r="BB105" i="69"/>
  <c r="R124" i="89"/>
  <c r="BP149" i="69"/>
  <c r="AT218" i="84"/>
  <c r="R119" i="75"/>
  <c r="DX120" i="75"/>
  <c r="X121" i="69"/>
  <c r="I170" i="89"/>
  <c r="DW122" i="75"/>
  <c r="T112" i="74"/>
  <c r="DX124" i="75"/>
  <c r="T124" i="89"/>
  <c r="AR117" i="74"/>
  <c r="T124" i="74"/>
  <c r="AV121" i="69"/>
  <c r="T121" i="74"/>
  <c r="T115" i="74"/>
  <c r="AR119" i="74"/>
  <c r="DX111" i="75"/>
  <c r="DX112" i="75"/>
  <c r="AR118" i="74"/>
  <c r="BP101" i="69"/>
  <c r="AP75" i="69"/>
  <c r="Q217" i="89"/>
  <c r="AV75" i="69"/>
  <c r="T217" i="89"/>
  <c r="AS172" i="95"/>
  <c r="DX121" i="75"/>
  <c r="BD168" i="95"/>
  <c r="DX119" i="75"/>
  <c r="DW116" i="75"/>
  <c r="AS127" i="74"/>
  <c r="G170" i="89"/>
  <c r="P174" i="90"/>
  <c r="DX110" i="75"/>
  <c r="I217" i="89"/>
  <c r="W214" i="69"/>
  <c r="W121" i="69"/>
  <c r="S75" i="69"/>
  <c r="S168" i="95"/>
  <c r="DX106" i="75"/>
  <c r="T123" i="74"/>
  <c r="T114" i="74"/>
  <c r="DX108" i="75"/>
  <c r="S214" i="69"/>
  <c r="U127" i="75"/>
  <c r="BC129" i="95"/>
  <c r="BO60" i="69"/>
  <c r="BC83" i="95"/>
  <c r="T122" i="74"/>
  <c r="AC121" i="69"/>
  <c r="T116" i="74"/>
  <c r="AT76" i="95"/>
  <c r="DX116" i="75"/>
  <c r="AR112" i="74"/>
  <c r="Q78" i="89"/>
  <c r="DX125" i="75"/>
  <c r="S76" i="95"/>
  <c r="DX105" i="75"/>
  <c r="AS218" i="95"/>
  <c r="T118" i="74"/>
  <c r="AR113" i="74"/>
  <c r="T117" i="74"/>
  <c r="AX218" i="95"/>
  <c r="DW118" i="75"/>
  <c r="DX115" i="75"/>
  <c r="U130" i="75"/>
  <c r="DX109" i="75"/>
  <c r="AK130" i="87"/>
  <c r="R170" i="89"/>
  <c r="AC214" i="69"/>
  <c r="R120" i="75"/>
  <c r="R217" i="89"/>
  <c r="DW119" i="75"/>
  <c r="X167" i="69"/>
  <c r="AX129" i="95"/>
  <c r="BB127" i="95"/>
  <c r="U128" i="74"/>
  <c r="DW117" i="75"/>
  <c r="S122" i="95"/>
  <c r="DW114" i="75"/>
  <c r="AC167" i="69"/>
  <c r="T113" i="74"/>
  <c r="U132" i="75"/>
  <c r="AR114" i="74"/>
  <c r="DW124" i="75"/>
  <c r="AV167" i="69"/>
  <c r="AL217" i="100"/>
  <c r="T170" i="89"/>
  <c r="DX114" i="75"/>
  <c r="AS127" i="95"/>
  <c r="T126" i="75"/>
  <c r="DW120" i="75"/>
  <c r="AR127" i="95"/>
  <c r="T128" i="75"/>
  <c r="BD215" i="95"/>
  <c r="AW127" i="95"/>
  <c r="AR120" i="74"/>
  <c r="P82" i="90"/>
  <c r="DX118" i="75"/>
  <c r="R118" i="75"/>
  <c r="P128" i="90"/>
  <c r="AY122" i="95"/>
  <c r="AS83" i="95"/>
  <c r="P221" i="90"/>
  <c r="DX104" i="75"/>
  <c r="W167" i="69"/>
  <c r="AL170" i="100"/>
  <c r="DX103" i="75"/>
  <c r="Q124" i="89"/>
  <c r="DW121" i="75"/>
  <c r="AR124" i="74"/>
  <c r="O128" i="90"/>
  <c r="BQ122" i="95"/>
  <c r="U129" i="75"/>
  <c r="AT215" i="95"/>
  <c r="X75" i="69"/>
  <c r="AT168" i="95"/>
  <c r="AR115" i="74"/>
  <c r="AV214" i="69"/>
  <c r="AR123" i="74"/>
  <c r="AR116" i="74"/>
  <c r="AK123" i="84"/>
  <c r="AS126" i="74"/>
  <c r="BB83" i="95"/>
  <c r="AP167" i="69"/>
  <c r="DX113" i="75"/>
  <c r="DX123" i="75"/>
  <c r="AR121" i="74"/>
  <c r="AX172" i="95"/>
  <c r="AW83" i="95"/>
  <c r="DW112" i="75"/>
  <c r="U127" i="74"/>
  <c r="DW113" i="75"/>
  <c r="I124" i="89"/>
  <c r="BD76" i="95"/>
  <c r="U128" i="75"/>
  <c r="BC172" i="95"/>
  <c r="DW123" i="75"/>
  <c r="X214" i="69"/>
  <c r="T168" i="95" l="1"/>
  <c r="T76" i="95"/>
  <c r="T215" i="95"/>
  <c r="BC79" i="84"/>
  <c r="BK79" i="84" s="1"/>
  <c r="BB79" i="84"/>
  <c r="BJ79" i="84" s="1"/>
  <c r="BD79" i="84"/>
  <c r="BL79" i="84" s="1"/>
  <c r="BE79" i="84"/>
  <c r="BM79" i="84" s="1"/>
  <c r="BE76" i="95"/>
  <c r="AW75" i="69"/>
  <c r="EI30" i="75" s="1"/>
  <c r="AD75" i="69"/>
  <c r="BL75" i="69" s="1"/>
  <c r="AQ75" i="69"/>
  <c r="DN30" i="75" s="1"/>
  <c r="N82" i="90"/>
  <c r="BE168" i="95"/>
  <c r="M174" i="90"/>
  <c r="BT174" i="90" s="1"/>
  <c r="M128" i="90"/>
  <c r="BT128" i="90" s="1"/>
  <c r="K174" i="90"/>
  <c r="L170" i="89"/>
  <c r="M221" i="90"/>
  <c r="N217" i="89"/>
  <c r="AJ221" i="90"/>
  <c r="AK128" i="90"/>
  <c r="Z128" i="90"/>
  <c r="BU128" i="90" s="1"/>
  <c r="AK221" i="90"/>
  <c r="BS221" i="90"/>
  <c r="Z82" i="90"/>
  <c r="AJ82" i="90"/>
  <c r="BR82" i="90"/>
  <c r="Z221" i="90"/>
  <c r="BU221" i="90" s="1"/>
  <c r="AK82" i="90"/>
  <c r="BS82" i="90"/>
  <c r="AK174" i="90"/>
  <c r="AJ128" i="90"/>
  <c r="BQ149" i="69"/>
  <c r="BE122" i="95"/>
  <c r="N124" i="89"/>
  <c r="N170" i="89"/>
  <c r="T122" i="95"/>
  <c r="BE215" i="95"/>
  <c r="AW167" i="69"/>
  <c r="EK32" i="75" s="1"/>
  <c r="AW121" i="69"/>
  <c r="EJ31" i="75" s="1"/>
  <c r="AW214" i="69"/>
  <c r="EL33" i="75"/>
  <c r="AK214" i="69"/>
  <c r="K34" i="75" s="1"/>
  <c r="DQ32" i="75"/>
  <c r="AQ213" i="69"/>
  <c r="DQ33" i="75" s="1"/>
  <c r="AQ121" i="69"/>
  <c r="DO31" i="75" s="1"/>
  <c r="AD121" i="69"/>
  <c r="I31" i="74" s="1"/>
  <c r="BQ101" i="69"/>
  <c r="AQ167" i="69"/>
  <c r="DP32" i="75" s="1"/>
  <c r="AD167" i="69"/>
  <c r="BL167" i="69" s="1"/>
  <c r="AD214" i="69"/>
  <c r="AB35" i="74" s="1"/>
  <c r="BQ150" i="69"/>
  <c r="BL109" i="69"/>
  <c r="BL110" i="69" s="1"/>
  <c r="BL111" i="69" s="1"/>
  <c r="BL213" i="69"/>
  <c r="K33" i="74"/>
  <c r="AB34" i="74"/>
  <c r="AJ130" i="87"/>
  <c r="BK215" i="69"/>
  <c r="BA218" i="84"/>
  <c r="CH134" i="84"/>
  <c r="F133" i="91"/>
  <c r="CA134" i="84"/>
  <c r="AR79" i="84"/>
  <c r="BR79" i="84"/>
  <c r="BT79" i="84" s="1"/>
  <c r="BN79" i="84" s="1"/>
  <c r="E129" i="91"/>
  <c r="CG130" i="84"/>
  <c r="BZ130" i="84"/>
  <c r="G141" i="91"/>
  <c r="CI142" i="84"/>
  <c r="CB142" i="84"/>
  <c r="I31" i="75"/>
  <c r="O170" i="89"/>
  <c r="CF128" i="84"/>
  <c r="D127" i="91"/>
  <c r="BY128" i="84"/>
  <c r="CE126" i="84"/>
  <c r="BX126" i="84"/>
  <c r="C125" i="91"/>
  <c r="O217" i="89"/>
  <c r="O124" i="89"/>
  <c r="DW125" i="75"/>
  <c r="BB128" i="95"/>
  <c r="AA134" i="95"/>
  <c r="AQ125" i="87"/>
  <c r="DV124" i="75"/>
  <c r="U132" i="74"/>
  <c r="X122" i="95"/>
  <c r="AX84" i="95"/>
  <c r="AS219" i="95"/>
  <c r="U135" i="75"/>
  <c r="Z127" i="95"/>
  <c r="O174" i="90"/>
  <c r="DW128" i="75"/>
  <c r="AL79" i="100"/>
  <c r="U131" i="74"/>
  <c r="AS132" i="74"/>
  <c r="DX131" i="75"/>
  <c r="BB84" i="95"/>
  <c r="X119" i="95"/>
  <c r="U130" i="74"/>
  <c r="Z126" i="95"/>
  <c r="AX130" i="95"/>
  <c r="X120" i="95"/>
  <c r="DW127" i="75"/>
  <c r="Y125" i="95"/>
  <c r="DU119" i="75"/>
  <c r="U129" i="74"/>
  <c r="BC219" i="95"/>
  <c r="DX132" i="75"/>
  <c r="Q221" i="90"/>
  <c r="Y123" i="95"/>
  <c r="DU121" i="75"/>
  <c r="Q170" i="89"/>
  <c r="U134" i="75"/>
  <c r="U136" i="75"/>
  <c r="S217" i="89"/>
  <c r="AT125" i="84"/>
  <c r="AR128" i="95"/>
  <c r="AS134" i="74"/>
  <c r="Z129" i="95"/>
  <c r="AW128" i="95"/>
  <c r="DX130" i="75"/>
  <c r="AS128" i="95"/>
  <c r="AA136" i="95"/>
  <c r="S170" i="89"/>
  <c r="Y124" i="95"/>
  <c r="DU120" i="75"/>
  <c r="AD170" i="84"/>
  <c r="BC105" i="69"/>
  <c r="AA135" i="95"/>
  <c r="X121" i="95"/>
  <c r="AT171" i="84"/>
  <c r="AR84" i="95"/>
  <c r="AS129" i="74"/>
  <c r="AX219" i="95"/>
  <c r="S124" i="89"/>
  <c r="AD78" i="84"/>
  <c r="BC130" i="95"/>
  <c r="AQ171" i="87"/>
  <c r="AD217" i="84"/>
  <c r="AA137" i="95"/>
  <c r="BI106" i="95"/>
  <c r="Q128" i="90"/>
  <c r="Z128" i="95"/>
  <c r="S122" i="74"/>
  <c r="S124" i="75"/>
  <c r="S122" i="75"/>
  <c r="U133" i="75"/>
  <c r="DX127" i="75"/>
  <c r="DV122" i="75"/>
  <c r="AW84" i="95"/>
  <c r="AX173" i="95"/>
  <c r="BC173" i="95"/>
  <c r="S123" i="74"/>
  <c r="DX126" i="75"/>
  <c r="AQ34" i="87"/>
  <c r="H79" i="89"/>
  <c r="AS130" i="74"/>
  <c r="AS135" i="74"/>
  <c r="AK131" i="87"/>
  <c r="AS131" i="74"/>
  <c r="DW126" i="75"/>
  <c r="AS136" i="74"/>
  <c r="BB196" i="69"/>
  <c r="AG197" i="95"/>
  <c r="DX128" i="75"/>
  <c r="BC84" i="95"/>
  <c r="AD124" i="84"/>
  <c r="BI197" i="95"/>
  <c r="S124" i="74"/>
  <c r="G79" i="89"/>
  <c r="AG106" i="95"/>
  <c r="DU118" i="75"/>
  <c r="S123" i="75"/>
  <c r="Q174" i="90"/>
  <c r="DV123" i="75"/>
  <c r="AS84" i="95"/>
  <c r="AS133" i="74"/>
  <c r="AS173" i="95"/>
  <c r="DX129" i="75"/>
  <c r="BV79" i="84" l="1"/>
  <c r="AI124" i="84"/>
  <c r="BD218" i="84"/>
  <c r="BL218" i="84" s="1"/>
  <c r="BC218" i="84"/>
  <c r="BK218" i="84" s="1"/>
  <c r="BB218" i="84"/>
  <c r="BJ218" i="84" s="1"/>
  <c r="BE218" i="84"/>
  <c r="BM218" i="84" s="1"/>
  <c r="AI78" i="84"/>
  <c r="AI170" i="84"/>
  <c r="Y31" i="74"/>
  <c r="H30" i="74"/>
  <c r="BU82" i="90"/>
  <c r="AI217" i="84"/>
  <c r="AO83" i="90"/>
  <c r="AQ83" i="90"/>
  <c r="AP83" i="90"/>
  <c r="K83" i="90"/>
  <c r="AL128" i="90"/>
  <c r="L83" i="90"/>
  <c r="AL221" i="90"/>
  <c r="BT221" i="90"/>
  <c r="AL174" i="90"/>
  <c r="BR174" i="90"/>
  <c r="Z174" i="90"/>
  <c r="BU174" i="90" s="1"/>
  <c r="AJ174" i="90"/>
  <c r="AR83" i="90"/>
  <c r="BK106" i="95"/>
  <c r="BK197" i="95"/>
  <c r="EL34" i="75"/>
  <c r="AQ214" i="69"/>
  <c r="K34" i="74"/>
  <c r="AA33" i="74"/>
  <c r="Z32" i="74"/>
  <c r="J32" i="74"/>
  <c r="BL214" i="69"/>
  <c r="BL112" i="69"/>
  <c r="M79" i="89"/>
  <c r="BA125" i="84"/>
  <c r="BK122" i="69"/>
  <c r="L79" i="89"/>
  <c r="AJ131" i="87"/>
  <c r="BA171" i="84"/>
  <c r="BK168" i="69"/>
  <c r="BO79" i="84"/>
  <c r="F134" i="91"/>
  <c r="CA135" i="84"/>
  <c r="CH135" i="84"/>
  <c r="BY129" i="84"/>
  <c r="CF129" i="84"/>
  <c r="D128" i="91"/>
  <c r="BP79" i="84"/>
  <c r="CE127" i="84"/>
  <c r="C126" i="91"/>
  <c r="BX127" i="84"/>
  <c r="CI143" i="84"/>
  <c r="G142" i="91"/>
  <c r="CB143" i="84"/>
  <c r="E130" i="91"/>
  <c r="CG131" i="84"/>
  <c r="BZ131" i="84"/>
  <c r="AR218" i="84"/>
  <c r="BR218" i="84"/>
  <c r="BT218" i="84" s="1"/>
  <c r="BN218" i="84" s="1"/>
  <c r="BQ79" i="84"/>
  <c r="AR129" i="95"/>
  <c r="O83" i="90"/>
  <c r="Q79" i="89"/>
  <c r="U135" i="74"/>
  <c r="AR125" i="74"/>
  <c r="U134" i="74"/>
  <c r="AX131" i="95"/>
  <c r="R118" i="74"/>
  <c r="R221" i="90"/>
  <c r="T126" i="74"/>
  <c r="AR126" i="74"/>
  <c r="BB129" i="95"/>
  <c r="AK132" i="87"/>
  <c r="AX174" i="95"/>
  <c r="I79" i="89"/>
  <c r="AS85" i="95"/>
  <c r="AQ123" i="74"/>
  <c r="G218" i="89"/>
  <c r="AQ124" i="74"/>
  <c r="R121" i="74"/>
  <c r="R79" i="89"/>
  <c r="AW85" i="95"/>
  <c r="O89" i="68"/>
  <c r="S77" i="95" s="1"/>
  <c r="T127" i="74"/>
  <c r="T128" i="74"/>
  <c r="AQ122" i="74"/>
  <c r="AX220" i="95"/>
  <c r="X76" i="69"/>
  <c r="P83" i="90"/>
  <c r="AR130" i="95"/>
  <c r="AR127" i="74"/>
  <c r="AS174" i="95"/>
  <c r="AS220" i="95"/>
  <c r="AW129" i="95"/>
  <c r="R174" i="90"/>
  <c r="AP121" i="74"/>
  <c r="U136" i="74"/>
  <c r="BC131" i="95"/>
  <c r="BC174" i="95"/>
  <c r="AP119" i="74"/>
  <c r="H218" i="89"/>
  <c r="AX85" i="95"/>
  <c r="T125" i="74"/>
  <c r="BC220" i="95"/>
  <c r="AP118" i="74"/>
  <c r="AR85" i="95"/>
  <c r="R119" i="74"/>
  <c r="AS129" i="95"/>
  <c r="R128" i="90"/>
  <c r="U133" i="74"/>
  <c r="BP102" i="69"/>
  <c r="BC196" i="69"/>
  <c r="AP120" i="74"/>
  <c r="BC85" i="95"/>
  <c r="BB85" i="95"/>
  <c r="R120" i="74"/>
  <c r="R82" i="90"/>
  <c r="AR128" i="74"/>
  <c r="BP196" i="69"/>
  <c r="AT77" i="95"/>
  <c r="AL218" i="100"/>
  <c r="BV218" i="84" l="1"/>
  <c r="AM128" i="90"/>
  <c r="AJ124" i="84"/>
  <c r="AM82" i="90"/>
  <c r="AM174" i="90"/>
  <c r="BE171" i="84"/>
  <c r="BM171" i="84" s="1"/>
  <c r="BD171" i="84"/>
  <c r="BL171" i="84" s="1"/>
  <c r="BC171" i="84"/>
  <c r="BK171" i="84" s="1"/>
  <c r="BB171" i="84"/>
  <c r="BJ171" i="84" s="1"/>
  <c r="BE125" i="84"/>
  <c r="BM125" i="84" s="1"/>
  <c r="BD125" i="84"/>
  <c r="BL125" i="84" s="1"/>
  <c r="BC125" i="84"/>
  <c r="BK125" i="84" s="1"/>
  <c r="BB125" i="84"/>
  <c r="BJ125" i="84" s="1"/>
  <c r="AJ78" i="84"/>
  <c r="AJ217" i="84"/>
  <c r="AJ170" i="84"/>
  <c r="AM221" i="90"/>
  <c r="J79" i="89"/>
  <c r="O79" i="89" s="1"/>
  <c r="AJ76" i="69"/>
  <c r="AK76" i="69" s="1"/>
  <c r="H31" i="75" s="1"/>
  <c r="BR83" i="90"/>
  <c r="BS83" i="90"/>
  <c r="Z83" i="90"/>
  <c r="AQ222" i="90"/>
  <c r="AO222" i="90"/>
  <c r="AP222" i="90"/>
  <c r="K222" i="90"/>
  <c r="BR222" i="90" s="1"/>
  <c r="L222" i="90"/>
  <c r="BS222" i="90" s="1"/>
  <c r="M83" i="90"/>
  <c r="N79" i="89"/>
  <c r="AJ83" i="90"/>
  <c r="AK83" i="90"/>
  <c r="AR222" i="90"/>
  <c r="T77" i="95"/>
  <c r="DQ34" i="75"/>
  <c r="BQ196" i="69"/>
  <c r="BQ102" i="69"/>
  <c r="BL113" i="69"/>
  <c r="BL114" i="69" s="1"/>
  <c r="L218" i="89"/>
  <c r="M218" i="89"/>
  <c r="AJ132" i="87"/>
  <c r="BY130" i="84"/>
  <c r="CF130" i="84"/>
  <c r="D129" i="91"/>
  <c r="BO218" i="84"/>
  <c r="BR125" i="84"/>
  <c r="BT125" i="84" s="1"/>
  <c r="BN125" i="84" s="1"/>
  <c r="AR125" i="84"/>
  <c r="F135" i="91"/>
  <c r="CA136" i="84"/>
  <c r="CH136" i="84"/>
  <c r="G143" i="91"/>
  <c r="CI144" i="84"/>
  <c r="CB144" i="84"/>
  <c r="BR171" i="84"/>
  <c r="BT171" i="84" s="1"/>
  <c r="BN171" i="84" s="1"/>
  <c r="AR171" i="84"/>
  <c r="BQ218" i="84"/>
  <c r="E131" i="91"/>
  <c r="BZ132" i="84"/>
  <c r="CG132" i="84"/>
  <c r="BX128" i="84"/>
  <c r="C127" i="91"/>
  <c r="CE128" i="84"/>
  <c r="BP218" i="84"/>
  <c r="AG61" i="95"/>
  <c r="BC175" i="95"/>
  <c r="BC86" i="95"/>
  <c r="AR131" i="95"/>
  <c r="R123" i="75"/>
  <c r="DX136" i="75"/>
  <c r="AV76" i="69"/>
  <c r="Q218" i="89"/>
  <c r="AY77" i="95"/>
  <c r="DX133" i="75"/>
  <c r="AQ80" i="87"/>
  <c r="AX175" i="95"/>
  <c r="H125" i="89"/>
  <c r="R218" i="89"/>
  <c r="DX134" i="75"/>
  <c r="T79" i="89"/>
  <c r="AK124" i="84"/>
  <c r="AW130" i="95"/>
  <c r="AS175" i="95"/>
  <c r="AS130" i="95"/>
  <c r="R124" i="75"/>
  <c r="AP76" i="69"/>
  <c r="S76" i="69"/>
  <c r="AX86" i="95"/>
  <c r="AT80" i="84"/>
  <c r="BB86" i="95"/>
  <c r="DX135" i="75"/>
  <c r="AX221" i="95"/>
  <c r="BD77" i="95"/>
  <c r="AK78" i="84"/>
  <c r="AS86" i="95"/>
  <c r="AK133" i="87"/>
  <c r="O228" i="68"/>
  <c r="S79" i="89"/>
  <c r="Q83" i="90"/>
  <c r="AK217" i="84"/>
  <c r="AW86" i="95"/>
  <c r="X124" i="95"/>
  <c r="X125" i="95"/>
  <c r="O135" i="68"/>
  <c r="AT123" i="95"/>
  <c r="W76" i="69"/>
  <c r="R122" i="75"/>
  <c r="AL171" i="100"/>
  <c r="I218" i="89"/>
  <c r="BB60" i="69"/>
  <c r="AR86" i="95"/>
  <c r="O222" i="90"/>
  <c r="BC132" i="95"/>
  <c r="AS221" i="95"/>
  <c r="H171" i="89"/>
  <c r="BB130" i="95"/>
  <c r="AX132" i="95"/>
  <c r="S215" i="69"/>
  <c r="X123" i="95"/>
  <c r="AC76" i="69"/>
  <c r="BD216" i="95"/>
  <c r="BC221" i="95"/>
  <c r="P222" i="90"/>
  <c r="S216" i="95"/>
  <c r="AK170" i="84"/>
  <c r="AL125" i="100"/>
  <c r="G171" i="89"/>
  <c r="S122" i="69"/>
  <c r="BQ123" i="95"/>
  <c r="X122" i="69"/>
  <c r="S123" i="95"/>
  <c r="BV125" i="84" l="1"/>
  <c r="BV171" i="84"/>
  <c r="BE77" i="95"/>
  <c r="T216" i="95"/>
  <c r="AJ215" i="69"/>
  <c r="AK215" i="69" s="1"/>
  <c r="K35" i="75" s="1"/>
  <c r="J218" i="89"/>
  <c r="O218" i="89" s="1"/>
  <c r="AW76" i="69"/>
  <c r="EI31" i="75" s="1"/>
  <c r="AD76" i="69"/>
  <c r="Y32" i="74" s="1"/>
  <c r="AQ76" i="69"/>
  <c r="N83" i="90"/>
  <c r="BU83" i="90" s="1"/>
  <c r="BT83" i="90"/>
  <c r="Z222" i="90"/>
  <c r="AP129" i="90"/>
  <c r="AO129" i="90"/>
  <c r="AQ175" i="90"/>
  <c r="AQ129" i="90"/>
  <c r="AP175" i="90"/>
  <c r="AO175" i="90"/>
  <c r="K175" i="90"/>
  <c r="Z175" i="90" s="1"/>
  <c r="AL83" i="90"/>
  <c r="L129" i="90"/>
  <c r="M222" i="90"/>
  <c r="L175" i="90"/>
  <c r="BS175" i="90" s="1"/>
  <c r="AJ222" i="90"/>
  <c r="AK222" i="90"/>
  <c r="AR175" i="90"/>
  <c r="AR129" i="90"/>
  <c r="N218" i="89"/>
  <c r="BL115" i="69"/>
  <c r="T123" i="95"/>
  <c r="L171" i="89"/>
  <c r="AJ122" i="69"/>
  <c r="AK122" i="69" s="1"/>
  <c r="I32" i="75" s="1"/>
  <c r="J125" i="89"/>
  <c r="N129" i="90" s="1"/>
  <c r="AJ133" i="87"/>
  <c r="M125" i="89"/>
  <c r="M171" i="89"/>
  <c r="BK77" i="69"/>
  <c r="BA80" i="84"/>
  <c r="BQ125" i="84"/>
  <c r="F136" i="91"/>
  <c r="CA137" i="84"/>
  <c r="CH137" i="84"/>
  <c r="BP171" i="84"/>
  <c r="E132" i="91"/>
  <c r="CG133" i="84"/>
  <c r="BZ133" i="84"/>
  <c r="BQ171" i="84"/>
  <c r="BO125" i="84"/>
  <c r="BO171" i="84"/>
  <c r="G144" i="91"/>
  <c r="CB145" i="84"/>
  <c r="CI145" i="84"/>
  <c r="BP125" i="84"/>
  <c r="D130" i="91"/>
  <c r="BY131" i="84"/>
  <c r="CF131" i="84"/>
  <c r="C128" i="91"/>
  <c r="CE129" i="84"/>
  <c r="BX129" i="84"/>
  <c r="AC215" i="69"/>
  <c r="AP122" i="69"/>
  <c r="X215" i="69"/>
  <c r="BC87" i="95"/>
  <c r="G125" i="89"/>
  <c r="W122" i="69"/>
  <c r="W215" i="69"/>
  <c r="U137" i="75"/>
  <c r="T218" i="89"/>
  <c r="AW131" i="95"/>
  <c r="AS131" i="95"/>
  <c r="BC222" i="95"/>
  <c r="AY123" i="95"/>
  <c r="R125" i="89"/>
  <c r="AX133" i="95"/>
  <c r="BC60" i="69"/>
  <c r="AK134" i="87"/>
  <c r="AT172" i="84"/>
  <c r="Y127" i="95"/>
  <c r="AX176" i="95"/>
  <c r="S126" i="75"/>
  <c r="Q222" i="90"/>
  <c r="P129" i="90"/>
  <c r="AA138" i="95"/>
  <c r="AP122" i="74"/>
  <c r="R171" i="89"/>
  <c r="BD123" i="95"/>
  <c r="BC133" i="95"/>
  <c r="T125" i="89"/>
  <c r="AP123" i="74"/>
  <c r="O181" i="68"/>
  <c r="AD79" i="84"/>
  <c r="BB131" i="95"/>
  <c r="AS222" i="95"/>
  <c r="AP124" i="74"/>
  <c r="AY216" i="95"/>
  <c r="S218" i="89"/>
  <c r="AC122" i="69"/>
  <c r="I125" i="89"/>
  <c r="BB87" i="95"/>
  <c r="AP215" i="69"/>
  <c r="I171" i="89"/>
  <c r="BC176" i="95"/>
  <c r="AT219" i="84"/>
  <c r="S169" i="95"/>
  <c r="AW87" i="95"/>
  <c r="AS176" i="95"/>
  <c r="Y129" i="95"/>
  <c r="AA140" i="95"/>
  <c r="U138" i="75"/>
  <c r="AQ172" i="87"/>
  <c r="Y128" i="95"/>
  <c r="AA139" i="95"/>
  <c r="S128" i="75"/>
  <c r="AX222" i="95"/>
  <c r="AT216" i="95"/>
  <c r="AX87" i="95"/>
  <c r="AS87" i="95"/>
  <c r="S127" i="75"/>
  <c r="Y126" i="95"/>
  <c r="O175" i="90"/>
  <c r="U139" i="75"/>
  <c r="P175" i="90"/>
  <c r="AV215" i="69"/>
  <c r="AR87" i="95"/>
  <c r="AQ219" i="87"/>
  <c r="S125" i="75"/>
  <c r="S168" i="69"/>
  <c r="Q171" i="89"/>
  <c r="AV122" i="69"/>
  <c r="AR132" i="95"/>
  <c r="AD125" i="84"/>
  <c r="AI79" i="84" l="1"/>
  <c r="M129" i="90"/>
  <c r="N125" i="89"/>
  <c r="BE80" i="84"/>
  <c r="BM80" i="84" s="1"/>
  <c r="BD80" i="84"/>
  <c r="BL80" i="84" s="1"/>
  <c r="BC80" i="84"/>
  <c r="BK80" i="84" s="1"/>
  <c r="BB80" i="84"/>
  <c r="BJ80" i="84" s="1"/>
  <c r="BE216" i="95"/>
  <c r="AQ215" i="69"/>
  <c r="DQ35" i="75" s="1"/>
  <c r="AW215" i="69"/>
  <c r="EL35" i="75" s="1"/>
  <c r="AD215" i="69"/>
  <c r="AB36" i="74" s="1"/>
  <c r="N222" i="90"/>
  <c r="BU222" i="90" s="1"/>
  <c r="T169" i="95"/>
  <c r="J171" i="89"/>
  <c r="O171" i="89" s="1"/>
  <c r="AJ168" i="69"/>
  <c r="AK168" i="69" s="1"/>
  <c r="J33" i="75" s="1"/>
  <c r="DN31" i="75"/>
  <c r="H31" i="74"/>
  <c r="BL76" i="69"/>
  <c r="BR175" i="90"/>
  <c r="K129" i="90"/>
  <c r="L125" i="89"/>
  <c r="AJ175" i="90"/>
  <c r="M175" i="90"/>
  <c r="BT175" i="90" s="1"/>
  <c r="AK175" i="90"/>
  <c r="AL222" i="90"/>
  <c r="BT222" i="90"/>
  <c r="AK129" i="90"/>
  <c r="BS129" i="90"/>
  <c r="N171" i="89"/>
  <c r="BE123" i="95"/>
  <c r="AW122" i="69"/>
  <c r="EJ32" i="75" s="1"/>
  <c r="AD122" i="69"/>
  <c r="I32" i="74" s="1"/>
  <c r="AQ122" i="69"/>
  <c r="DO32" i="75" s="1"/>
  <c r="AI125" i="84"/>
  <c r="BL116" i="69"/>
  <c r="BK216" i="69"/>
  <c r="BA219" i="84"/>
  <c r="AJ134" i="87"/>
  <c r="BK169" i="69"/>
  <c r="BA172" i="84"/>
  <c r="BY132" i="84"/>
  <c r="D131" i="91"/>
  <c r="CF132" i="84"/>
  <c r="BR80" i="84"/>
  <c r="BT80" i="84" s="1"/>
  <c r="BN80" i="84" s="1"/>
  <c r="AR80" i="84"/>
  <c r="BZ134" i="84"/>
  <c r="CG134" i="84"/>
  <c r="E133" i="91"/>
  <c r="F137" i="91"/>
  <c r="CA138" i="84"/>
  <c r="CH138" i="84"/>
  <c r="O125" i="89"/>
  <c r="C129" i="91"/>
  <c r="CE130" i="84"/>
  <c r="BX130" i="84"/>
  <c r="G145" i="91"/>
  <c r="CB146" i="84"/>
  <c r="CI146" i="84"/>
  <c r="AC168" i="69"/>
  <c r="AS132" i="95"/>
  <c r="O90" i="68"/>
  <c r="Z132" i="95"/>
  <c r="BP60" i="69"/>
  <c r="R123" i="74"/>
  <c r="DX137" i="75"/>
  <c r="BO151" i="69"/>
  <c r="O129" i="90"/>
  <c r="AW132" i="95"/>
  <c r="AX223" i="95"/>
  <c r="BC88" i="95"/>
  <c r="R83" i="90"/>
  <c r="AS137" i="74"/>
  <c r="AT169" i="95"/>
  <c r="DV125" i="75"/>
  <c r="AV168" i="69"/>
  <c r="AK135" i="87"/>
  <c r="R129" i="90"/>
  <c r="R122" i="74"/>
  <c r="S128" i="74"/>
  <c r="AS139" i="74"/>
  <c r="Q125" i="89"/>
  <c r="AS223" i="95"/>
  <c r="DV126" i="75"/>
  <c r="AD218" i="84"/>
  <c r="BD169" i="95"/>
  <c r="BB132" i="95"/>
  <c r="Q175" i="90"/>
  <c r="Z130" i="95"/>
  <c r="DX139" i="75"/>
  <c r="AY169" i="95"/>
  <c r="S127" i="74"/>
  <c r="DU124" i="75"/>
  <c r="BC223" i="95"/>
  <c r="AS138" i="74"/>
  <c r="X168" i="69"/>
  <c r="T132" i="75"/>
  <c r="Z131" i="95"/>
  <c r="AR88" i="95"/>
  <c r="T171" i="89"/>
  <c r="BC177" i="95"/>
  <c r="AP168" i="69"/>
  <c r="AX177" i="95"/>
  <c r="AQ126" i="87"/>
  <c r="T131" i="75"/>
  <c r="R124" i="74"/>
  <c r="DV128" i="75"/>
  <c r="BO197" i="69"/>
  <c r="T130" i="75"/>
  <c r="DU122" i="75"/>
  <c r="S126" i="74"/>
  <c r="AS88" i="95"/>
  <c r="DV127" i="75"/>
  <c r="Z133" i="95"/>
  <c r="AW88" i="95"/>
  <c r="AX88" i="95"/>
  <c r="DU123" i="75"/>
  <c r="AS177" i="95"/>
  <c r="Q129" i="90"/>
  <c r="BB88" i="95"/>
  <c r="S125" i="74"/>
  <c r="DX138" i="75"/>
  <c r="T129" i="75"/>
  <c r="S171" i="89"/>
  <c r="AT126" i="84"/>
  <c r="S125" i="89"/>
  <c r="AR133" i="95"/>
  <c r="AQ35" i="87"/>
  <c r="W168" i="69"/>
  <c r="BV80" i="84" l="1"/>
  <c r="AM83" i="90"/>
  <c r="AJ79" i="84"/>
  <c r="AI218" i="84"/>
  <c r="AL129" i="90"/>
  <c r="BT129" i="90"/>
  <c r="BB172" i="84"/>
  <c r="BJ172" i="84" s="1"/>
  <c r="BC172" i="84"/>
  <c r="BK172" i="84" s="1"/>
  <c r="BE172" i="84"/>
  <c r="BM172" i="84" s="1"/>
  <c r="BD172" i="84"/>
  <c r="BL172" i="84" s="1"/>
  <c r="BE219" i="84"/>
  <c r="BM219" i="84" s="1"/>
  <c r="BD219" i="84"/>
  <c r="BL219" i="84" s="1"/>
  <c r="BB219" i="84"/>
  <c r="BJ219" i="84" s="1"/>
  <c r="BC219" i="84"/>
  <c r="BK219" i="84" s="1"/>
  <c r="BE169" i="95"/>
  <c r="AJ125" i="84"/>
  <c r="K35" i="74"/>
  <c r="AM129" i="90"/>
  <c r="BL215" i="69"/>
  <c r="AD168" i="69"/>
  <c r="BL168" i="69" s="1"/>
  <c r="BQ60" i="69"/>
  <c r="AQ168" i="69"/>
  <c r="DP33" i="75" s="1"/>
  <c r="AW168" i="69"/>
  <c r="EK33" i="75" s="1"/>
  <c r="N175" i="90"/>
  <c r="BU175" i="90" s="1"/>
  <c r="AP84" i="90"/>
  <c r="AQ84" i="90"/>
  <c r="AO84" i="90"/>
  <c r="AL175" i="90"/>
  <c r="AJ129" i="90"/>
  <c r="BR129" i="90"/>
  <c r="Z129" i="90"/>
  <c r="BU129" i="90" s="1"/>
  <c r="AR84" i="90"/>
  <c r="BL117" i="69"/>
  <c r="BL118" i="69" s="1"/>
  <c r="Z33" i="74"/>
  <c r="AJ77" i="69"/>
  <c r="AK77" i="69" s="1"/>
  <c r="H32" i="75" s="1"/>
  <c r="J80" i="89"/>
  <c r="N84" i="90" s="1"/>
  <c r="AJ135" i="87"/>
  <c r="BK123" i="69"/>
  <c r="BA126" i="84"/>
  <c r="CB147" i="84"/>
  <c r="G146" i="91"/>
  <c r="CI147" i="84"/>
  <c r="BX131" i="84"/>
  <c r="C130" i="91"/>
  <c r="CE131" i="84"/>
  <c r="BQ80" i="84"/>
  <c r="BO80" i="84"/>
  <c r="BP80" i="84"/>
  <c r="BY133" i="84"/>
  <c r="CF133" i="84"/>
  <c r="D132" i="91"/>
  <c r="CA139" i="84"/>
  <c r="CH139" i="84"/>
  <c r="F138" i="91"/>
  <c r="BZ135" i="84"/>
  <c r="E134" i="91"/>
  <c r="CG135" i="84"/>
  <c r="AR172" i="84"/>
  <c r="BR172" i="84"/>
  <c r="BT172" i="84" s="1"/>
  <c r="BN172" i="84" s="1"/>
  <c r="AR219" i="84"/>
  <c r="BR219" i="84"/>
  <c r="BT219" i="84" s="1"/>
  <c r="BN219" i="84" s="1"/>
  <c r="AK136" i="87"/>
  <c r="W77" i="69"/>
  <c r="U138" i="74"/>
  <c r="AQ127" i="74"/>
  <c r="G80" i="89"/>
  <c r="AQ128" i="74"/>
  <c r="AQ81" i="87"/>
  <c r="AY78" i="95"/>
  <c r="AS133" i="95"/>
  <c r="U137" i="74"/>
  <c r="AS178" i="95"/>
  <c r="DW132" i="75"/>
  <c r="BP103" i="69"/>
  <c r="I80" i="89"/>
  <c r="R126" i="75"/>
  <c r="DW130" i="75"/>
  <c r="BC178" i="95"/>
  <c r="AL80" i="100"/>
  <c r="R222" i="90"/>
  <c r="AP77" i="69"/>
  <c r="AQ126" i="74"/>
  <c r="R127" i="75"/>
  <c r="S77" i="69"/>
  <c r="AK125" i="84"/>
  <c r="BD78" i="95"/>
  <c r="X77" i="69"/>
  <c r="AW133" i="95"/>
  <c r="U139" i="74"/>
  <c r="AX178" i="95"/>
  <c r="AL219" i="100"/>
  <c r="AC77" i="69"/>
  <c r="AK79" i="84"/>
  <c r="DW129" i="75"/>
  <c r="AQ125" i="74"/>
  <c r="H219" i="89"/>
  <c r="AT81" i="84"/>
  <c r="O182" i="68"/>
  <c r="H172" i="89"/>
  <c r="R128" i="75"/>
  <c r="T80" i="89"/>
  <c r="AD171" i="84"/>
  <c r="R175" i="90" s="1"/>
  <c r="S78" i="95"/>
  <c r="R125" i="75"/>
  <c r="BB133" i="95"/>
  <c r="DW131" i="75"/>
  <c r="AV77" i="69"/>
  <c r="AT78" i="95"/>
  <c r="H80" i="89"/>
  <c r="BV219" i="84" l="1"/>
  <c r="BV172" i="84"/>
  <c r="AM222" i="90"/>
  <c r="AJ218" i="84"/>
  <c r="AI171" i="84"/>
  <c r="BE126" i="84"/>
  <c r="BM126" i="84" s="1"/>
  <c r="BD126" i="84"/>
  <c r="BL126" i="84" s="1"/>
  <c r="BC126" i="84"/>
  <c r="BK126" i="84" s="1"/>
  <c r="BB126" i="84"/>
  <c r="BJ126" i="84" s="1"/>
  <c r="J33" i="74"/>
  <c r="AA34" i="74"/>
  <c r="AM175" i="90"/>
  <c r="AQ176" i="90"/>
  <c r="AP176" i="90"/>
  <c r="AP223" i="90"/>
  <c r="AO176" i="90"/>
  <c r="AO223" i="90"/>
  <c r="AQ223" i="90"/>
  <c r="M84" i="90"/>
  <c r="L176" i="90"/>
  <c r="BS176" i="90" s="1"/>
  <c r="L223" i="90"/>
  <c r="BS223" i="90" s="1"/>
  <c r="L84" i="90"/>
  <c r="M80" i="89"/>
  <c r="K84" i="90"/>
  <c r="L80" i="89"/>
  <c r="AR176" i="90"/>
  <c r="AR223" i="90"/>
  <c r="BQ103" i="69"/>
  <c r="BE78" i="95"/>
  <c r="N80" i="89"/>
  <c r="T78" i="95"/>
  <c r="AW77" i="69"/>
  <c r="EI32" i="75" s="1"/>
  <c r="AQ77" i="69"/>
  <c r="DN32" i="75" s="1"/>
  <c r="AD77" i="69"/>
  <c r="BL77" i="69" s="1"/>
  <c r="BL119" i="69"/>
  <c r="M219" i="89"/>
  <c r="AJ169" i="69"/>
  <c r="AK169" i="69" s="1"/>
  <c r="J172" i="89"/>
  <c r="N176" i="90" s="1"/>
  <c r="AJ136" i="87"/>
  <c r="BK78" i="69"/>
  <c r="BA81" i="84"/>
  <c r="M172" i="89"/>
  <c r="BO219" i="84"/>
  <c r="BP172" i="84"/>
  <c r="C131" i="91"/>
  <c r="BX132" i="84"/>
  <c r="CE132" i="84"/>
  <c r="BQ172" i="84"/>
  <c r="CG136" i="84"/>
  <c r="E135" i="91"/>
  <c r="BZ136" i="84"/>
  <c r="BQ219" i="84"/>
  <c r="BO172" i="84"/>
  <c r="O80" i="89"/>
  <c r="BP219" i="84"/>
  <c r="AR126" i="84"/>
  <c r="BR126" i="84"/>
  <c r="BT126" i="84" s="1"/>
  <c r="BN126" i="84" s="1"/>
  <c r="CB148" i="84"/>
  <c r="G147" i="91"/>
  <c r="CI148" i="84"/>
  <c r="CH140" i="84"/>
  <c r="CA140" i="84"/>
  <c r="F139" i="91"/>
  <c r="CF134" i="84"/>
  <c r="BY134" i="84"/>
  <c r="D133" i="91"/>
  <c r="BB151" i="69"/>
  <c r="AP169" i="69"/>
  <c r="O229" i="68"/>
  <c r="S216" i="69"/>
  <c r="O84" i="90"/>
  <c r="AR131" i="74"/>
  <c r="AT220" i="84"/>
  <c r="X216" i="69"/>
  <c r="W169" i="69"/>
  <c r="AR132" i="74"/>
  <c r="T130" i="74"/>
  <c r="DU125" i="75"/>
  <c r="X127" i="95"/>
  <c r="AT170" i="95"/>
  <c r="G126" i="89"/>
  <c r="AR130" i="74"/>
  <c r="R219" i="89"/>
  <c r="BD217" i="95"/>
  <c r="AC169" i="69"/>
  <c r="DU126" i="75"/>
  <c r="P176" i="90"/>
  <c r="X126" i="95"/>
  <c r="I219" i="89"/>
  <c r="AY170" i="95"/>
  <c r="P223" i="90"/>
  <c r="AK218" i="84"/>
  <c r="S170" i="95"/>
  <c r="S80" i="89"/>
  <c r="AY217" i="95"/>
  <c r="T129" i="74"/>
  <c r="T131" i="74"/>
  <c r="R172" i="89"/>
  <c r="AQ220" i="87"/>
  <c r="T172" i="89"/>
  <c r="G172" i="89"/>
  <c r="AV169" i="69"/>
  <c r="R80" i="89"/>
  <c r="G219" i="89"/>
  <c r="X169" i="69"/>
  <c r="H126" i="89"/>
  <c r="BD170" i="95"/>
  <c r="AR129" i="74"/>
  <c r="DU127" i="75"/>
  <c r="I172" i="89"/>
  <c r="P84" i="90"/>
  <c r="Q80" i="89"/>
  <c r="X129" i="95"/>
  <c r="X128" i="95"/>
  <c r="DU128" i="75"/>
  <c r="Q84" i="90"/>
  <c r="AL172" i="100"/>
  <c r="AK137" i="87"/>
  <c r="S169" i="69"/>
  <c r="AD80" i="84"/>
  <c r="T132" i="74"/>
  <c r="O136" i="68"/>
  <c r="BD124" i="95"/>
  <c r="AT124" i="95"/>
  <c r="BQ124" i="95"/>
  <c r="S124" i="95"/>
  <c r="S123" i="69"/>
  <c r="AY124" i="95"/>
  <c r="X123" i="69"/>
  <c r="BV126" i="84" l="1"/>
  <c r="AJ171" i="84"/>
  <c r="BE81" i="84"/>
  <c r="BM81" i="84" s="1"/>
  <c r="BD81" i="84"/>
  <c r="BL81" i="84" s="1"/>
  <c r="BC81" i="84"/>
  <c r="BK81" i="84" s="1"/>
  <c r="BB81" i="84"/>
  <c r="BJ81" i="84" s="1"/>
  <c r="BE170" i="95"/>
  <c r="AJ216" i="69"/>
  <c r="AK216" i="69" s="1"/>
  <c r="K36" i="75" s="1"/>
  <c r="J219" i="89"/>
  <c r="O219" i="89" s="1"/>
  <c r="BT84" i="90"/>
  <c r="AP130" i="90"/>
  <c r="AO130" i="90"/>
  <c r="AQ130" i="90"/>
  <c r="K176" i="90"/>
  <c r="L172" i="89"/>
  <c r="AI80" i="84"/>
  <c r="K223" i="90"/>
  <c r="Z223" i="90" s="1"/>
  <c r="L219" i="89"/>
  <c r="M176" i="90"/>
  <c r="L130" i="90"/>
  <c r="AK223" i="90"/>
  <c r="AK176" i="90"/>
  <c r="M223" i="90"/>
  <c r="BT223" i="90" s="1"/>
  <c r="K130" i="90"/>
  <c r="BR130" i="90" s="1"/>
  <c r="AL84" i="90"/>
  <c r="BR84" i="90"/>
  <c r="Z84" i="90"/>
  <c r="BU84" i="90" s="1"/>
  <c r="AJ84" i="90"/>
  <c r="BS84" i="90"/>
  <c r="AK84" i="90"/>
  <c r="AR130" i="90"/>
  <c r="BL120" i="69"/>
  <c r="N219" i="89"/>
  <c r="N172" i="89"/>
  <c r="T170" i="95"/>
  <c r="AW169" i="69"/>
  <c r="EK34" i="75" s="1"/>
  <c r="AD169" i="69"/>
  <c r="J34" i="74" s="1"/>
  <c r="AQ169" i="69"/>
  <c r="H32" i="74"/>
  <c r="Y33" i="74"/>
  <c r="T124" i="95"/>
  <c r="BE124" i="95"/>
  <c r="M126" i="89"/>
  <c r="J126" i="89"/>
  <c r="N130" i="90" s="1"/>
  <c r="AJ123" i="69"/>
  <c r="AK123" i="69" s="1"/>
  <c r="L126" i="89"/>
  <c r="AJ137" i="87"/>
  <c r="BK217" i="69"/>
  <c r="BA220" i="84"/>
  <c r="O172" i="89"/>
  <c r="CI149" i="84"/>
  <c r="CB149" i="84"/>
  <c r="G148" i="91"/>
  <c r="BO126" i="84"/>
  <c r="J34" i="75"/>
  <c r="CA141" i="84"/>
  <c r="F140" i="91"/>
  <c r="CH141" i="84"/>
  <c r="CE133" i="84"/>
  <c r="C132" i="91"/>
  <c r="BX133" i="84"/>
  <c r="BQ126" i="84"/>
  <c r="AR81" i="84"/>
  <c r="BR81" i="84"/>
  <c r="BT81" i="84" s="1"/>
  <c r="BN81" i="84" s="1"/>
  <c r="BZ137" i="84"/>
  <c r="E136" i="91"/>
  <c r="CG137" i="84"/>
  <c r="BP126" i="84"/>
  <c r="D134" i="91"/>
  <c r="BY135" i="84"/>
  <c r="CF135" i="84"/>
  <c r="Q126" i="89"/>
  <c r="AD126" i="84"/>
  <c r="W216" i="69"/>
  <c r="Y131" i="95"/>
  <c r="T133" i="75"/>
  <c r="AK138" i="87"/>
  <c r="T134" i="74"/>
  <c r="AV216" i="69"/>
  <c r="AP128" i="74"/>
  <c r="AT173" i="84"/>
  <c r="I126" i="89"/>
  <c r="U141" i="75"/>
  <c r="Y130" i="95"/>
  <c r="AP125" i="74"/>
  <c r="Z136" i="95"/>
  <c r="O223" i="90"/>
  <c r="AT127" i="84"/>
  <c r="O130" i="90"/>
  <c r="U143" i="75"/>
  <c r="AK171" i="84"/>
  <c r="U142" i="75"/>
  <c r="AQ173" i="87"/>
  <c r="AC216" i="69"/>
  <c r="T126" i="89"/>
  <c r="T134" i="75"/>
  <c r="AP126" i="74"/>
  <c r="R128" i="74"/>
  <c r="AD172" i="84"/>
  <c r="AD219" i="84"/>
  <c r="AT217" i="95"/>
  <c r="T219" i="89"/>
  <c r="AP127" i="74"/>
  <c r="Z134" i="95"/>
  <c r="AP216" i="69"/>
  <c r="O91" i="68"/>
  <c r="T135" i="75"/>
  <c r="R125" i="74"/>
  <c r="Y132" i="95"/>
  <c r="S172" i="89"/>
  <c r="O176" i="90"/>
  <c r="Y133" i="95"/>
  <c r="AC123" i="69"/>
  <c r="AQ127" i="87"/>
  <c r="R126" i="89"/>
  <c r="BC151" i="69"/>
  <c r="U140" i="75"/>
  <c r="AL126" i="100"/>
  <c r="BB197" i="69"/>
  <c r="W123" i="69"/>
  <c r="Z135" i="95"/>
  <c r="AP123" i="69"/>
  <c r="BI152" i="95"/>
  <c r="AQ36" i="87"/>
  <c r="R127" i="74"/>
  <c r="S217" i="95"/>
  <c r="G81" i="89"/>
  <c r="Q223" i="90"/>
  <c r="S219" i="89"/>
  <c r="AV123" i="69"/>
  <c r="Q172" i="89"/>
  <c r="R84" i="90"/>
  <c r="Q219" i="89"/>
  <c r="T133" i="74"/>
  <c r="BP104" i="69"/>
  <c r="R126" i="74"/>
  <c r="Q176" i="90"/>
  <c r="P130" i="90"/>
  <c r="T135" i="74"/>
  <c r="AG152" i="95"/>
  <c r="BV81" i="84" l="1"/>
  <c r="BE217" i="95"/>
  <c r="T217" i="95"/>
  <c r="BB220" i="84"/>
  <c r="BJ220" i="84" s="1"/>
  <c r="BD220" i="84"/>
  <c r="BL220" i="84" s="1"/>
  <c r="BC220" i="84"/>
  <c r="BK220" i="84" s="1"/>
  <c r="BE220" i="84"/>
  <c r="BM220" i="84" s="1"/>
  <c r="AJ80" i="84"/>
  <c r="BR223" i="90"/>
  <c r="AM84" i="90"/>
  <c r="BK152" i="95"/>
  <c r="AQ216" i="69"/>
  <c r="DQ36" i="75" s="1"/>
  <c r="AD216" i="69"/>
  <c r="K36" i="74" s="1"/>
  <c r="AW216" i="69"/>
  <c r="EL36" i="75" s="1"/>
  <c r="N223" i="90"/>
  <c r="BU223" i="90" s="1"/>
  <c r="AP85" i="90"/>
  <c r="AO85" i="90"/>
  <c r="AQ85" i="90"/>
  <c r="K85" i="90"/>
  <c r="AJ223" i="90"/>
  <c r="AJ130" i="90"/>
  <c r="AL223" i="90"/>
  <c r="Z130" i="90"/>
  <c r="BU130" i="90" s="1"/>
  <c r="AK130" i="90"/>
  <c r="BS130" i="90"/>
  <c r="AL176" i="90"/>
  <c r="BT176" i="90"/>
  <c r="BR176" i="90"/>
  <c r="Z176" i="90"/>
  <c r="BU176" i="90" s="1"/>
  <c r="AJ176" i="90"/>
  <c r="AR85" i="90"/>
  <c r="M130" i="90"/>
  <c r="BQ104" i="69"/>
  <c r="BL121" i="69"/>
  <c r="N126" i="89"/>
  <c r="AI219" i="84"/>
  <c r="AW123" i="69"/>
  <c r="EJ33" i="75" s="1"/>
  <c r="AI172" i="84"/>
  <c r="AA35" i="74"/>
  <c r="BL169" i="69"/>
  <c r="AD123" i="69"/>
  <c r="I33" i="74" s="1"/>
  <c r="AQ123" i="69"/>
  <c r="DO33" i="75" s="1"/>
  <c r="AI126" i="84"/>
  <c r="DP34" i="75"/>
  <c r="BA127" i="84"/>
  <c r="BK124" i="69"/>
  <c r="AJ138" i="87"/>
  <c r="L81" i="89"/>
  <c r="BA173" i="84"/>
  <c r="BK170" i="69"/>
  <c r="J81" i="89"/>
  <c r="N85" i="90" s="1"/>
  <c r="AJ78" i="69"/>
  <c r="AK78" i="69" s="1"/>
  <c r="BX134" i="84"/>
  <c r="C133" i="91"/>
  <c r="CE134" i="84"/>
  <c r="F141" i="91"/>
  <c r="CH142" i="84"/>
  <c r="CA142" i="84"/>
  <c r="BO81" i="84"/>
  <c r="BR220" i="84"/>
  <c r="BT220" i="84" s="1"/>
  <c r="BN220" i="84" s="1"/>
  <c r="AR220" i="84"/>
  <c r="BZ138" i="84"/>
  <c r="CG138" i="84"/>
  <c r="E137" i="91"/>
  <c r="D135" i="91"/>
  <c r="BY136" i="84"/>
  <c r="CF136" i="84"/>
  <c r="I33" i="75"/>
  <c r="O126" i="89"/>
  <c r="CI150" i="84"/>
  <c r="CB150" i="84"/>
  <c r="G149" i="91"/>
  <c r="BQ81" i="84"/>
  <c r="BP81" i="84"/>
  <c r="DW134" i="75"/>
  <c r="BP105" i="69"/>
  <c r="DX142" i="75"/>
  <c r="BO106" i="69"/>
  <c r="U140" i="74"/>
  <c r="AR135" i="74"/>
  <c r="Q130" i="90"/>
  <c r="S126" i="89"/>
  <c r="AR134" i="74"/>
  <c r="DW133" i="75"/>
  <c r="S78" i="69"/>
  <c r="DV132" i="75"/>
  <c r="DX140" i="75"/>
  <c r="S131" i="74"/>
  <c r="S132" i="74"/>
  <c r="X78" i="69"/>
  <c r="AG198" i="95"/>
  <c r="DX143" i="75"/>
  <c r="S79" i="95"/>
  <c r="R176" i="90"/>
  <c r="AA142" i="95"/>
  <c r="BI198" i="95"/>
  <c r="DV131" i="75"/>
  <c r="H81" i="89"/>
  <c r="I81" i="89"/>
  <c r="AA144" i="95"/>
  <c r="O85" i="90"/>
  <c r="AY79" i="95"/>
  <c r="AV78" i="69"/>
  <c r="AL81" i="100"/>
  <c r="AP78" i="69"/>
  <c r="BD79" i="95"/>
  <c r="S130" i="75"/>
  <c r="AA141" i="95"/>
  <c r="U142" i="74"/>
  <c r="AR133" i="74"/>
  <c r="R130" i="90"/>
  <c r="R223" i="90"/>
  <c r="S130" i="74"/>
  <c r="W78" i="69"/>
  <c r="U143" i="74"/>
  <c r="S129" i="74"/>
  <c r="Q81" i="89"/>
  <c r="DV129" i="75"/>
  <c r="AT79" i="95"/>
  <c r="BP151" i="69"/>
  <c r="AK80" i="84"/>
  <c r="AA143" i="95"/>
  <c r="S131" i="75"/>
  <c r="DW135" i="75"/>
  <c r="AC78" i="69"/>
  <c r="H220" i="89"/>
  <c r="AK139" i="87"/>
  <c r="S129" i="75"/>
  <c r="T81" i="89"/>
  <c r="S132" i="75"/>
  <c r="DX141" i="75"/>
  <c r="U141" i="74"/>
  <c r="DV130" i="75"/>
  <c r="AL220" i="100"/>
  <c r="BV220" i="84" l="1"/>
  <c r="BK198" i="95"/>
  <c r="T79" i="95"/>
  <c r="BD173" i="84"/>
  <c r="BL173" i="84" s="1"/>
  <c r="BC173" i="84"/>
  <c r="BK173" i="84" s="1"/>
  <c r="BB173" i="84"/>
  <c r="BJ173" i="84" s="1"/>
  <c r="BE173" i="84"/>
  <c r="BM173" i="84" s="1"/>
  <c r="BC127" i="84"/>
  <c r="BK127" i="84" s="1"/>
  <c r="BB127" i="84"/>
  <c r="BJ127" i="84" s="1"/>
  <c r="BE127" i="84"/>
  <c r="BM127" i="84" s="1"/>
  <c r="BD127" i="84"/>
  <c r="BL127" i="84" s="1"/>
  <c r="AJ126" i="84"/>
  <c r="AJ172" i="84"/>
  <c r="AJ219" i="84"/>
  <c r="BL216" i="69"/>
  <c r="AB37" i="74"/>
  <c r="AM223" i="90"/>
  <c r="AM130" i="90"/>
  <c r="AM176" i="90"/>
  <c r="AP224" i="90"/>
  <c r="AQ224" i="90"/>
  <c r="AO224" i="90"/>
  <c r="M85" i="90"/>
  <c r="L224" i="90"/>
  <c r="BS224" i="90" s="1"/>
  <c r="L85" i="90"/>
  <c r="M81" i="89"/>
  <c r="Z85" i="90"/>
  <c r="BU85" i="90" s="1"/>
  <c r="AJ85" i="90"/>
  <c r="BR85" i="90"/>
  <c r="BT130" i="90"/>
  <c r="AL130" i="90"/>
  <c r="AR224" i="90"/>
  <c r="BQ105" i="69"/>
  <c r="BL122" i="69"/>
  <c r="BL123" i="69" s="1"/>
  <c r="N81" i="89"/>
  <c r="AW78" i="69"/>
  <c r="EI33" i="75" s="1"/>
  <c r="BE79" i="95"/>
  <c r="Z34" i="74"/>
  <c r="BQ151" i="69"/>
  <c r="AD78" i="69"/>
  <c r="BL78" i="69" s="1"/>
  <c r="AQ78" i="69"/>
  <c r="DN33" i="75" s="1"/>
  <c r="AJ139" i="87"/>
  <c r="M220" i="89"/>
  <c r="BQ220" i="84"/>
  <c r="E138" i="91"/>
  <c r="CG139" i="84"/>
  <c r="BZ139" i="84"/>
  <c r="AR127" i="84"/>
  <c r="BR127" i="84"/>
  <c r="BT127" i="84" s="1"/>
  <c r="BN127" i="84" s="1"/>
  <c r="CB151" i="84"/>
  <c r="G150" i="91"/>
  <c r="CI151" i="84"/>
  <c r="BY137" i="84"/>
  <c r="CF137" i="84"/>
  <c r="D136" i="91"/>
  <c r="BP220" i="84"/>
  <c r="H33" i="75"/>
  <c r="CE135" i="84"/>
  <c r="BX135" i="84"/>
  <c r="C134" i="91"/>
  <c r="F142" i="91"/>
  <c r="CH143" i="84"/>
  <c r="CA143" i="84"/>
  <c r="BO220" i="84"/>
  <c r="O81" i="89"/>
  <c r="BR173" i="84"/>
  <c r="BT173" i="84" s="1"/>
  <c r="BN173" i="84" s="1"/>
  <c r="AR173" i="84"/>
  <c r="O137" i="68"/>
  <c r="AQ129" i="74"/>
  <c r="AS141" i="74"/>
  <c r="O230" i="68"/>
  <c r="AT218" i="95"/>
  <c r="S218" i="95"/>
  <c r="AK140" i="87"/>
  <c r="AQ130" i="74"/>
  <c r="G220" i="89"/>
  <c r="AS140" i="74"/>
  <c r="AQ132" i="74"/>
  <c r="BD218" i="95"/>
  <c r="AL173" i="100"/>
  <c r="R131" i="75"/>
  <c r="I220" i="89"/>
  <c r="X124" i="69"/>
  <c r="R81" i="89"/>
  <c r="AS142" i="74"/>
  <c r="DU131" i="75"/>
  <c r="R129" i="75"/>
  <c r="X131" i="95"/>
  <c r="AY218" i="95"/>
  <c r="BD125" i="95"/>
  <c r="Q85" i="90"/>
  <c r="X130" i="95"/>
  <c r="DU130" i="75"/>
  <c r="X217" i="69"/>
  <c r="R130" i="75"/>
  <c r="BQ125" i="95"/>
  <c r="AK172" i="84"/>
  <c r="AS143" i="74"/>
  <c r="AT82" i="84"/>
  <c r="AD81" i="84"/>
  <c r="S81" i="89"/>
  <c r="AK126" i="84"/>
  <c r="S217" i="69"/>
  <c r="X132" i="95"/>
  <c r="AQ82" i="87"/>
  <c r="P85" i="90"/>
  <c r="AQ131" i="74"/>
  <c r="P224" i="90"/>
  <c r="DU129" i="75"/>
  <c r="BP197" i="69"/>
  <c r="R220" i="89"/>
  <c r="AK219" i="84"/>
  <c r="G173" i="89"/>
  <c r="BV173" i="84" l="1"/>
  <c r="BV127" i="84"/>
  <c r="AI81" i="84"/>
  <c r="BQ197" i="69"/>
  <c r="BE218" i="95"/>
  <c r="J220" i="89"/>
  <c r="O220" i="89" s="1"/>
  <c r="AJ217" i="69"/>
  <c r="AK217" i="69" s="1"/>
  <c r="K37" i="75" s="1"/>
  <c r="BT85" i="90"/>
  <c r="AQ131" i="90"/>
  <c r="AO177" i="90"/>
  <c r="AP131" i="90"/>
  <c r="AP177" i="90"/>
  <c r="AQ177" i="90"/>
  <c r="AO131" i="90"/>
  <c r="K177" i="90"/>
  <c r="AK224" i="90"/>
  <c r="M224" i="90"/>
  <c r="BT224" i="90" s="1"/>
  <c r="K224" i="90"/>
  <c r="L220" i="89"/>
  <c r="AL85" i="90"/>
  <c r="BS85" i="90"/>
  <c r="AK85" i="90"/>
  <c r="AR131" i="90"/>
  <c r="AR177" i="90"/>
  <c r="N220" i="89"/>
  <c r="T218" i="95"/>
  <c r="Y34" i="74"/>
  <c r="H33" i="74"/>
  <c r="AJ140" i="87"/>
  <c r="J127" i="89"/>
  <c r="N131" i="90" s="1"/>
  <c r="AJ124" i="69"/>
  <c r="AK124" i="69" s="1"/>
  <c r="L173" i="89"/>
  <c r="BA82" i="84"/>
  <c r="BK79" i="69"/>
  <c r="E139" i="91"/>
  <c r="CG140" i="84"/>
  <c r="BZ140" i="84"/>
  <c r="BX136" i="84"/>
  <c r="C135" i="91"/>
  <c r="CE136" i="84"/>
  <c r="BQ127" i="84"/>
  <c r="BO173" i="84"/>
  <c r="D137" i="91"/>
  <c r="CF138" i="84"/>
  <c r="BY138" i="84"/>
  <c r="BP173" i="84"/>
  <c r="BO127" i="84"/>
  <c r="CI152" i="84"/>
  <c r="G151" i="91"/>
  <c r="CB152" i="84"/>
  <c r="BP127" i="84"/>
  <c r="BQ173" i="84"/>
  <c r="CA144" i="84"/>
  <c r="F143" i="91"/>
  <c r="CH144" i="84"/>
  <c r="AA146" i="95"/>
  <c r="W124" i="69"/>
  <c r="AK141" i="87"/>
  <c r="R130" i="74"/>
  <c r="AA145" i="95"/>
  <c r="AT125" i="95"/>
  <c r="AD220" i="84"/>
  <c r="AQ174" i="87"/>
  <c r="AP131" i="74"/>
  <c r="AQ221" i="87"/>
  <c r="I127" i="89"/>
  <c r="H127" i="89"/>
  <c r="AC124" i="69"/>
  <c r="Q224" i="90"/>
  <c r="AV124" i="69"/>
  <c r="S125" i="95"/>
  <c r="O177" i="90"/>
  <c r="S220" i="89"/>
  <c r="AP217" i="69"/>
  <c r="H173" i="89"/>
  <c r="U144" i="75"/>
  <c r="G127" i="89"/>
  <c r="U146" i="75"/>
  <c r="BB106" i="69"/>
  <c r="S124" i="69"/>
  <c r="AY125" i="95"/>
  <c r="AL127" i="100"/>
  <c r="AP129" i="74"/>
  <c r="AA147" i="95"/>
  <c r="BO61" i="69"/>
  <c r="R129" i="74"/>
  <c r="I173" i="89"/>
  <c r="R131" i="74"/>
  <c r="Q220" i="89"/>
  <c r="AP124" i="69"/>
  <c r="U145" i="75"/>
  <c r="Q173" i="89"/>
  <c r="AT221" i="84"/>
  <c r="T220" i="89"/>
  <c r="R85" i="90"/>
  <c r="AC217" i="69"/>
  <c r="W217" i="69"/>
  <c r="AV217" i="69"/>
  <c r="T127" i="89"/>
  <c r="AT174" i="84"/>
  <c r="AP130" i="74"/>
  <c r="O224" i="90"/>
  <c r="O183" i="68"/>
  <c r="BD171" i="95"/>
  <c r="X170" i="69"/>
  <c r="AY171" i="95"/>
  <c r="S170" i="69"/>
  <c r="BC82" i="84" l="1"/>
  <c r="BK82" i="84" s="1"/>
  <c r="BB82" i="84"/>
  <c r="BJ82" i="84" s="1"/>
  <c r="BE82" i="84"/>
  <c r="BM82" i="84" s="1"/>
  <c r="BD82" i="84"/>
  <c r="BL82" i="84" s="1"/>
  <c r="AM85" i="90"/>
  <c r="AJ81" i="84"/>
  <c r="AI220" i="84"/>
  <c r="AD217" i="69"/>
  <c r="AB38" i="74" s="1"/>
  <c r="AJ170" i="69"/>
  <c r="AK170" i="69" s="1"/>
  <c r="J35" i="75" s="1"/>
  <c r="J173" i="89"/>
  <c r="O173" i="89" s="1"/>
  <c r="AQ217" i="69"/>
  <c r="AW217" i="69"/>
  <c r="EL37" i="75" s="1"/>
  <c r="N224" i="90"/>
  <c r="M131" i="90"/>
  <c r="N127" i="89"/>
  <c r="L177" i="90"/>
  <c r="M173" i="89"/>
  <c r="M177" i="90"/>
  <c r="BT177" i="90" s="1"/>
  <c r="L131" i="90"/>
  <c r="M127" i="89"/>
  <c r="K131" i="90"/>
  <c r="L127" i="89"/>
  <c r="AL224" i="90"/>
  <c r="Z177" i="90"/>
  <c r="BR224" i="90"/>
  <c r="AJ224" i="90"/>
  <c r="Z224" i="90"/>
  <c r="AJ177" i="90"/>
  <c r="BR177" i="90"/>
  <c r="BE125" i="95"/>
  <c r="N173" i="89"/>
  <c r="T125" i="95"/>
  <c r="AW124" i="69"/>
  <c r="EJ34" i="75" s="1"/>
  <c r="AD124" i="69"/>
  <c r="I34" i="74" s="1"/>
  <c r="AQ124" i="69"/>
  <c r="DO34" i="75" s="1"/>
  <c r="BK218" i="69"/>
  <c r="BA221" i="84"/>
  <c r="BK171" i="69"/>
  <c r="BA174" i="84"/>
  <c r="AJ141" i="87"/>
  <c r="BY139" i="84"/>
  <c r="CF139" i="84"/>
  <c r="D138" i="91"/>
  <c r="CE137" i="84"/>
  <c r="BX137" i="84"/>
  <c r="C136" i="91"/>
  <c r="I34" i="75"/>
  <c r="AR82" i="84"/>
  <c r="BR82" i="84"/>
  <c r="BT82" i="84" s="1"/>
  <c r="BN82" i="84" s="1"/>
  <c r="O127" i="89"/>
  <c r="G152" i="91"/>
  <c r="CI153" i="84"/>
  <c r="CB153" i="84"/>
  <c r="F144" i="91"/>
  <c r="CH145" i="84"/>
  <c r="CA145" i="84"/>
  <c r="E140" i="91"/>
  <c r="BZ141" i="84"/>
  <c r="CG141" i="84"/>
  <c r="AC170" i="69"/>
  <c r="AP170" i="69"/>
  <c r="AQ37" i="87"/>
  <c r="BC106" i="69"/>
  <c r="S134" i="74"/>
  <c r="Y136" i="95"/>
  <c r="AD173" i="84"/>
  <c r="P131" i="90"/>
  <c r="S133" i="74"/>
  <c r="AS146" i="74"/>
  <c r="T136" i="75"/>
  <c r="AD127" i="84"/>
  <c r="W170" i="69"/>
  <c r="R127" i="89"/>
  <c r="AT171" i="95"/>
  <c r="BI107" i="95"/>
  <c r="Y134" i="95"/>
  <c r="S127" i="89"/>
  <c r="AV170" i="69"/>
  <c r="S171" i="95"/>
  <c r="O131" i="90"/>
  <c r="R224" i="90"/>
  <c r="T137" i="75"/>
  <c r="AQ128" i="87"/>
  <c r="AS145" i="74"/>
  <c r="T139" i="75"/>
  <c r="AT128" i="84"/>
  <c r="AL82" i="100"/>
  <c r="S135" i="74"/>
  <c r="S173" i="89"/>
  <c r="R173" i="89"/>
  <c r="Q131" i="90"/>
  <c r="H82" i="89"/>
  <c r="BC197" i="69"/>
  <c r="T173" i="89"/>
  <c r="AG107" i="95"/>
  <c r="DV133" i="75"/>
  <c r="T138" i="75"/>
  <c r="S135" i="75"/>
  <c r="Q127" i="89"/>
  <c r="S133" i="75"/>
  <c r="DV135" i="75"/>
  <c r="Q177" i="90"/>
  <c r="AK142" i="87"/>
  <c r="S134" i="75"/>
  <c r="AS144" i="74"/>
  <c r="Y135" i="95"/>
  <c r="P177" i="90"/>
  <c r="DV134" i="75"/>
  <c r="AK81" i="84"/>
  <c r="BV82" i="84" l="1"/>
  <c r="T171" i="95"/>
  <c r="BE174" i="84"/>
  <c r="BM174" i="84" s="1"/>
  <c r="BD174" i="84"/>
  <c r="BL174" i="84" s="1"/>
  <c r="BC174" i="84"/>
  <c r="BK174" i="84" s="1"/>
  <c r="BB174" i="84"/>
  <c r="BJ174" i="84" s="1"/>
  <c r="BD221" i="84"/>
  <c r="BL221" i="84" s="1"/>
  <c r="BC221" i="84"/>
  <c r="BK221" i="84" s="1"/>
  <c r="BB221" i="84"/>
  <c r="BJ221" i="84" s="1"/>
  <c r="BE221" i="84"/>
  <c r="BM221" i="84" s="1"/>
  <c r="AJ220" i="84"/>
  <c r="BE171" i="95"/>
  <c r="K37" i="74"/>
  <c r="BL217" i="69"/>
  <c r="AI173" i="84"/>
  <c r="AD170" i="69"/>
  <c r="BL170" i="69" s="1"/>
  <c r="AW170" i="69"/>
  <c r="EK35" i="75" s="1"/>
  <c r="AQ170" i="69"/>
  <c r="DP35" i="75" s="1"/>
  <c r="AM224" i="90"/>
  <c r="DQ37" i="75"/>
  <c r="BU224" i="90"/>
  <c r="N177" i="90"/>
  <c r="BU177" i="90" s="1"/>
  <c r="AO86" i="90"/>
  <c r="AP86" i="90"/>
  <c r="AQ86" i="90"/>
  <c r="AL177" i="90"/>
  <c r="L86" i="90"/>
  <c r="BS131" i="90"/>
  <c r="AK131" i="90"/>
  <c r="BS177" i="90"/>
  <c r="AK177" i="90"/>
  <c r="Z131" i="90"/>
  <c r="BU131" i="90" s="1"/>
  <c r="AJ131" i="90"/>
  <c r="BR131" i="90"/>
  <c r="BT131" i="90"/>
  <c r="AL131" i="90"/>
  <c r="AR86" i="90"/>
  <c r="BK107" i="95"/>
  <c r="AI127" i="84"/>
  <c r="BL124" i="69"/>
  <c r="Z35" i="74"/>
  <c r="AJ142" i="87"/>
  <c r="BA128" i="84"/>
  <c r="BK125" i="69"/>
  <c r="M82" i="89"/>
  <c r="C137" i="91"/>
  <c r="BX138" i="84"/>
  <c r="CE138" i="84"/>
  <c r="CF140" i="84"/>
  <c r="BY140" i="84"/>
  <c r="D139" i="91"/>
  <c r="CG142" i="84"/>
  <c r="E141" i="91"/>
  <c r="BZ142" i="84"/>
  <c r="BR174" i="84"/>
  <c r="BT174" i="84" s="1"/>
  <c r="BN174" i="84" s="1"/>
  <c r="AR174" i="84"/>
  <c r="BP82" i="84"/>
  <c r="CB154" i="84"/>
  <c r="G153" i="91"/>
  <c r="CI154" i="84"/>
  <c r="F145" i="91"/>
  <c r="CH146" i="84"/>
  <c r="CA146" i="84"/>
  <c r="BO82" i="84"/>
  <c r="BQ82" i="84"/>
  <c r="BR221" i="84"/>
  <c r="BT221" i="84" s="1"/>
  <c r="BN221" i="84" s="1"/>
  <c r="AR221" i="84"/>
  <c r="AQ134" i="74"/>
  <c r="R177" i="90"/>
  <c r="AK143" i="87"/>
  <c r="DW139" i="75"/>
  <c r="U145" i="74"/>
  <c r="AK220" i="84"/>
  <c r="AT83" i="84"/>
  <c r="Z137" i="95"/>
  <c r="Z139" i="95"/>
  <c r="P86" i="90"/>
  <c r="AQ83" i="87"/>
  <c r="U144" i="74"/>
  <c r="DX146" i="75"/>
  <c r="BP106" i="69"/>
  <c r="DX145" i="75"/>
  <c r="DW136" i="75"/>
  <c r="G82" i="89"/>
  <c r="H221" i="89"/>
  <c r="AQ133" i="74"/>
  <c r="DX144" i="75"/>
  <c r="O92" i="68"/>
  <c r="X79" i="69" s="1"/>
  <c r="AQ135" i="74"/>
  <c r="Z140" i="95"/>
  <c r="DW138" i="75"/>
  <c r="Z138" i="95"/>
  <c r="H174" i="89"/>
  <c r="O184" i="68"/>
  <c r="R131" i="90"/>
  <c r="DW137" i="75"/>
  <c r="U146" i="74"/>
  <c r="AL221" i="100"/>
  <c r="I82" i="89"/>
  <c r="BD80" i="95"/>
  <c r="R82" i="89"/>
  <c r="AY80" i="95"/>
  <c r="G174" i="89"/>
  <c r="BV221" i="84" l="1"/>
  <c r="BV174" i="84"/>
  <c r="BE128" i="84"/>
  <c r="BM128" i="84" s="1"/>
  <c r="BD128" i="84"/>
  <c r="BL128" i="84" s="1"/>
  <c r="BC128" i="84"/>
  <c r="BK128" i="84" s="1"/>
  <c r="BB128" i="84"/>
  <c r="BJ128" i="84" s="1"/>
  <c r="AJ173" i="84"/>
  <c r="AJ127" i="84"/>
  <c r="AA36" i="74"/>
  <c r="AJ79" i="69"/>
  <c r="AK79" i="69" s="1"/>
  <c r="H34" i="75" s="1"/>
  <c r="J82" i="89"/>
  <c r="O82" i="89" s="1"/>
  <c r="AM177" i="90"/>
  <c r="J35" i="74"/>
  <c r="BS86" i="90"/>
  <c r="AM131" i="90"/>
  <c r="AO225" i="90"/>
  <c r="AP178" i="90"/>
  <c r="AP225" i="90"/>
  <c r="AQ178" i="90"/>
  <c r="AO178" i="90"/>
  <c r="AQ225" i="90"/>
  <c r="L225" i="90"/>
  <c r="BS225" i="90" s="1"/>
  <c r="M86" i="90"/>
  <c r="L178" i="90"/>
  <c r="BS178" i="90" s="1"/>
  <c r="K178" i="90"/>
  <c r="Z178" i="90" s="1"/>
  <c r="K86" i="90"/>
  <c r="L82" i="89"/>
  <c r="AK86" i="90"/>
  <c r="AR225" i="90"/>
  <c r="AR178" i="90"/>
  <c r="N82" i="89"/>
  <c r="BQ106" i="69"/>
  <c r="M174" i="89"/>
  <c r="M221" i="89"/>
  <c r="L174" i="89"/>
  <c r="J174" i="89"/>
  <c r="N178" i="90" s="1"/>
  <c r="AJ171" i="69"/>
  <c r="AK171" i="69" s="1"/>
  <c r="AJ143" i="87"/>
  <c r="BK80" i="69"/>
  <c r="BA83" i="84"/>
  <c r="BO174" i="84"/>
  <c r="CF141" i="84"/>
  <c r="BY141" i="84"/>
  <c r="D140" i="91"/>
  <c r="BX139" i="84"/>
  <c r="C138" i="91"/>
  <c r="CE139" i="84"/>
  <c r="BQ221" i="84"/>
  <c r="BO221" i="84"/>
  <c r="BP174" i="84"/>
  <c r="CH147" i="84"/>
  <c r="CA147" i="84"/>
  <c r="F146" i="91"/>
  <c r="BP221" i="84"/>
  <c r="BQ174" i="84"/>
  <c r="BR128" i="84"/>
  <c r="BT128" i="84" s="1"/>
  <c r="BN128" i="84" s="1"/>
  <c r="AR128" i="84"/>
  <c r="CG143" i="84"/>
  <c r="BZ143" i="84"/>
  <c r="E142" i="91"/>
  <c r="G154" i="91"/>
  <c r="CB155" i="84"/>
  <c r="CI155" i="84"/>
  <c r="AT80" i="95"/>
  <c r="AL128" i="100"/>
  <c r="AT172" i="95"/>
  <c r="R135" i="75"/>
  <c r="T138" i="74"/>
  <c r="R134" i="75"/>
  <c r="AC79" i="69"/>
  <c r="O178" i="90"/>
  <c r="AK127" i="84"/>
  <c r="Q82" i="89"/>
  <c r="R174" i="89"/>
  <c r="AP79" i="69"/>
  <c r="S171" i="69"/>
  <c r="W171" i="69"/>
  <c r="Q174" i="89"/>
  <c r="BD172" i="95"/>
  <c r="S172" i="95"/>
  <c r="W79" i="69"/>
  <c r="AR139" i="74"/>
  <c r="T137" i="74"/>
  <c r="T136" i="74"/>
  <c r="G221" i="89"/>
  <c r="AT222" i="84"/>
  <c r="AY172" i="95"/>
  <c r="O86" i="90"/>
  <c r="O231" i="68"/>
  <c r="AR136" i="74"/>
  <c r="P178" i="90"/>
  <c r="BD219" i="95"/>
  <c r="I221" i="89"/>
  <c r="BB61" i="69"/>
  <c r="AV171" i="69"/>
  <c r="AR138" i="74"/>
  <c r="R133" i="75"/>
  <c r="S219" i="95"/>
  <c r="I174" i="89"/>
  <c r="S218" i="69"/>
  <c r="R221" i="89"/>
  <c r="R132" i="75"/>
  <c r="Q86" i="90"/>
  <c r="T139" i="74"/>
  <c r="AV79" i="69"/>
  <c r="T82" i="89"/>
  <c r="AC171" i="69"/>
  <c r="AK144" i="87"/>
  <c r="P225" i="90"/>
  <c r="T174" i="89"/>
  <c r="AP171" i="69"/>
  <c r="S82" i="89"/>
  <c r="S80" i="95"/>
  <c r="S79" i="69"/>
  <c r="X171" i="69"/>
  <c r="AQ222" i="87"/>
  <c r="AR137" i="74"/>
  <c r="AL174" i="100"/>
  <c r="G128" i="89"/>
  <c r="AK173" i="84"/>
  <c r="X218" i="69"/>
  <c r="AT219" i="95"/>
  <c r="BV128" i="84" l="1"/>
  <c r="BE80" i="95"/>
  <c r="BE83" i="84"/>
  <c r="BM83" i="84" s="1"/>
  <c r="BD83" i="84"/>
  <c r="BL83" i="84" s="1"/>
  <c r="BC83" i="84"/>
  <c r="BK83" i="84" s="1"/>
  <c r="BB83" i="84"/>
  <c r="BJ83" i="84" s="1"/>
  <c r="T80" i="95"/>
  <c r="BE172" i="95"/>
  <c r="AW79" i="69"/>
  <c r="EI34" i="75" s="1"/>
  <c r="AQ79" i="69"/>
  <c r="AD79" i="69"/>
  <c r="H34" i="74" s="1"/>
  <c r="N86" i="90"/>
  <c r="J221" i="89"/>
  <c r="AJ218" i="69"/>
  <c r="AK218" i="69" s="1"/>
  <c r="K38" i="75" s="1"/>
  <c r="BT86" i="90"/>
  <c r="AQ132" i="90"/>
  <c r="AO132" i="90"/>
  <c r="AP132" i="90"/>
  <c r="M178" i="90"/>
  <c r="M225" i="90"/>
  <c r="BT225" i="90" s="1"/>
  <c r="K132" i="90"/>
  <c r="AL86" i="90"/>
  <c r="AK225" i="90"/>
  <c r="K225" i="90"/>
  <c r="BR225" i="90" s="1"/>
  <c r="L221" i="89"/>
  <c r="BU178" i="90"/>
  <c r="AK178" i="90"/>
  <c r="AJ178" i="90"/>
  <c r="BR178" i="90"/>
  <c r="BR86" i="90"/>
  <c r="Z86" i="90"/>
  <c r="AJ86" i="90"/>
  <c r="AR132" i="90"/>
  <c r="N174" i="89"/>
  <c r="T219" i="95"/>
  <c r="T172" i="95"/>
  <c r="N221" i="89"/>
  <c r="AW171" i="69"/>
  <c r="EK36" i="75" s="1"/>
  <c r="AQ171" i="69"/>
  <c r="DP36" i="75" s="1"/>
  <c r="AD171" i="69"/>
  <c r="BL171" i="69" s="1"/>
  <c r="AJ144" i="87"/>
  <c r="BK219" i="69"/>
  <c r="BA222" i="84"/>
  <c r="L128" i="89"/>
  <c r="CG144" i="84"/>
  <c r="BZ144" i="84"/>
  <c r="E143" i="91"/>
  <c r="BQ128" i="84"/>
  <c r="J36" i="75"/>
  <c r="CI156" i="84"/>
  <c r="CB156" i="84"/>
  <c r="G155" i="91"/>
  <c r="BP128" i="84"/>
  <c r="O174" i="89"/>
  <c r="CA148" i="84"/>
  <c r="F147" i="91"/>
  <c r="CH148" i="84"/>
  <c r="BR83" i="84"/>
  <c r="BT83" i="84" s="1"/>
  <c r="BN83" i="84" s="1"/>
  <c r="AR83" i="84"/>
  <c r="CF142" i="84"/>
  <c r="D141" i="91"/>
  <c r="BY142" i="84"/>
  <c r="BX140" i="84"/>
  <c r="C139" i="91"/>
  <c r="CE140" i="84"/>
  <c r="BO128" i="84"/>
  <c r="AD82" i="84"/>
  <c r="I128" i="89"/>
  <c r="DW141" i="75"/>
  <c r="AA148" i="95"/>
  <c r="R135" i="74"/>
  <c r="S174" i="89"/>
  <c r="O132" i="90"/>
  <c r="AQ38" i="87"/>
  <c r="AT223" i="84"/>
  <c r="AD174" i="84"/>
  <c r="AV218" i="69"/>
  <c r="R132" i="74"/>
  <c r="X134" i="95"/>
  <c r="Z141" i="95"/>
  <c r="T221" i="89"/>
  <c r="T141" i="75"/>
  <c r="AA151" i="95"/>
  <c r="U150" i="75"/>
  <c r="AG62" i="95"/>
  <c r="AQ129" i="87"/>
  <c r="BC61" i="69"/>
  <c r="X135" i="95"/>
  <c r="DW140" i="75"/>
  <c r="X136" i="95"/>
  <c r="AA150" i="95"/>
  <c r="AC218" i="69"/>
  <c r="O138" i="68"/>
  <c r="AA149" i="95"/>
  <c r="Q225" i="90"/>
  <c r="Z142" i="95"/>
  <c r="AQ175" i="87"/>
  <c r="BQ126" i="95"/>
  <c r="X133" i="95"/>
  <c r="S221" i="89"/>
  <c r="AQ223" i="87"/>
  <c r="H128" i="89"/>
  <c r="U149" i="75"/>
  <c r="AD221" i="84"/>
  <c r="AY126" i="95"/>
  <c r="Q221" i="89"/>
  <c r="AT129" i="84"/>
  <c r="U148" i="75"/>
  <c r="T142" i="75"/>
  <c r="Q128" i="89"/>
  <c r="AL83" i="100"/>
  <c r="AK145" i="87"/>
  <c r="BO198" i="69"/>
  <c r="AP218" i="69"/>
  <c r="Z143" i="95"/>
  <c r="AT175" i="84"/>
  <c r="R133" i="74"/>
  <c r="AY219" i="95"/>
  <c r="U147" i="75"/>
  <c r="DW142" i="75"/>
  <c r="T140" i="75"/>
  <c r="O225" i="90"/>
  <c r="R134" i="74"/>
  <c r="Q178" i="90"/>
  <c r="R86" i="90"/>
  <c r="W218" i="69"/>
  <c r="G83" i="89"/>
  <c r="S125" i="69"/>
  <c r="AT126" i="95"/>
  <c r="S126" i="95"/>
  <c r="X125" i="69"/>
  <c r="BV83" i="84" l="1"/>
  <c r="AI82" i="84"/>
  <c r="BE219" i="95"/>
  <c r="BE222" i="84"/>
  <c r="BM222" i="84" s="1"/>
  <c r="BD222" i="84"/>
  <c r="BL222" i="84" s="1"/>
  <c r="BB222" i="84"/>
  <c r="BJ222" i="84" s="1"/>
  <c r="BC222" i="84"/>
  <c r="BK222" i="84" s="1"/>
  <c r="T126" i="95"/>
  <c r="AJ125" i="69"/>
  <c r="AK125" i="69" s="1"/>
  <c r="I35" i="75" s="1"/>
  <c r="J128" i="89"/>
  <c r="O128" i="89" s="1"/>
  <c r="BL79" i="69"/>
  <c r="Y35" i="74"/>
  <c r="AM86" i="90"/>
  <c r="BU86" i="90"/>
  <c r="DN34" i="75"/>
  <c r="AW218" i="69"/>
  <c r="EL38" i="75" s="1"/>
  <c r="AQ218" i="69"/>
  <c r="DQ38" i="75" s="1"/>
  <c r="AD218" i="69"/>
  <c r="BL218" i="69" s="1"/>
  <c r="N225" i="90"/>
  <c r="O221" i="89"/>
  <c r="Z225" i="90"/>
  <c r="AO87" i="90"/>
  <c r="AP87" i="90"/>
  <c r="AQ87" i="90"/>
  <c r="AJ132" i="90"/>
  <c r="AL225" i="90"/>
  <c r="AL178" i="90"/>
  <c r="M132" i="90"/>
  <c r="BT132" i="90" s="1"/>
  <c r="AJ225" i="90"/>
  <c r="K87" i="90"/>
  <c r="L132" i="90"/>
  <c r="M128" i="89"/>
  <c r="Z132" i="90"/>
  <c r="BT178" i="90"/>
  <c r="BR132" i="90"/>
  <c r="AR87" i="90"/>
  <c r="AI221" i="84"/>
  <c r="AI174" i="84"/>
  <c r="N128" i="89"/>
  <c r="AA37" i="74"/>
  <c r="J36" i="74"/>
  <c r="AJ145" i="87"/>
  <c r="BA175" i="84"/>
  <c r="BK172" i="69"/>
  <c r="BK220" i="69"/>
  <c r="BA223" i="84"/>
  <c r="BK126" i="69"/>
  <c r="BA129" i="84"/>
  <c r="L83" i="89"/>
  <c r="BO83" i="84"/>
  <c r="C140" i="91"/>
  <c r="BX141" i="84"/>
  <c r="CE141" i="84"/>
  <c r="D142" i="91"/>
  <c r="BY143" i="84"/>
  <c r="CF143" i="84"/>
  <c r="E144" i="91"/>
  <c r="BZ145" i="84"/>
  <c r="CG145" i="84"/>
  <c r="BP83" i="84"/>
  <c r="CH149" i="84"/>
  <c r="CA149" i="84"/>
  <c r="F148" i="91"/>
  <c r="BQ83" i="84"/>
  <c r="BR222" i="84"/>
  <c r="BT222" i="84" s="1"/>
  <c r="BN222" i="84" s="1"/>
  <c r="AR222" i="84"/>
  <c r="CB157" i="84"/>
  <c r="CI157" i="84"/>
  <c r="G156" i="91"/>
  <c r="I83" i="89"/>
  <c r="T142" i="74"/>
  <c r="DX148" i="75"/>
  <c r="R178" i="90"/>
  <c r="AC125" i="69"/>
  <c r="DX149" i="75"/>
  <c r="AD128" i="84"/>
  <c r="AK146" i="87"/>
  <c r="H222" i="89"/>
  <c r="BD126" i="95"/>
  <c r="Y140" i="95"/>
  <c r="AV125" i="69"/>
  <c r="AT224" i="84"/>
  <c r="BO152" i="69"/>
  <c r="R225" i="90"/>
  <c r="S136" i="75"/>
  <c r="H83" i="89"/>
  <c r="O87" i="90"/>
  <c r="T128" i="89"/>
  <c r="Q132" i="90"/>
  <c r="AP133" i="74"/>
  <c r="S138" i="75"/>
  <c r="AP125" i="69"/>
  <c r="R128" i="89"/>
  <c r="AT225" i="84"/>
  <c r="S128" i="89"/>
  <c r="AQ224" i="87"/>
  <c r="DX147" i="75"/>
  <c r="AR142" i="74"/>
  <c r="AQ225" i="87"/>
  <c r="O93" i="68"/>
  <c r="BP61" i="69"/>
  <c r="AR140" i="74"/>
  <c r="DU133" i="75"/>
  <c r="G222" i="89"/>
  <c r="S137" i="75"/>
  <c r="AR141" i="74"/>
  <c r="Y138" i="95"/>
  <c r="Q83" i="89"/>
  <c r="S139" i="75"/>
  <c r="DX150" i="75"/>
  <c r="DU134" i="75"/>
  <c r="AP134" i="74"/>
  <c r="Y139" i="95"/>
  <c r="W125" i="69"/>
  <c r="Y137" i="95"/>
  <c r="DU135" i="75"/>
  <c r="AP132" i="74"/>
  <c r="T141" i="74"/>
  <c r="AP135" i="74"/>
  <c r="P132" i="90"/>
  <c r="T140" i="74"/>
  <c r="AL222" i="100"/>
  <c r="DU132" i="75"/>
  <c r="BD81" i="95"/>
  <c r="AT81" i="95"/>
  <c r="BV222" i="84" l="1"/>
  <c r="AJ82" i="84"/>
  <c r="BE126" i="95"/>
  <c r="BB223" i="84"/>
  <c r="BJ223" i="84" s="1"/>
  <c r="BD223" i="84"/>
  <c r="BL223" i="84" s="1"/>
  <c r="BE223" i="84"/>
  <c r="BM223" i="84" s="1"/>
  <c r="BC223" i="84"/>
  <c r="BK223" i="84" s="1"/>
  <c r="BB175" i="84"/>
  <c r="BJ175" i="84" s="1"/>
  <c r="BC175" i="84"/>
  <c r="BK175" i="84" s="1"/>
  <c r="BE175" i="84"/>
  <c r="BM175" i="84" s="1"/>
  <c r="BD175" i="84"/>
  <c r="BL175" i="84" s="1"/>
  <c r="BE129" i="84"/>
  <c r="BM129" i="84" s="1"/>
  <c r="BD129" i="84"/>
  <c r="BL129" i="84" s="1"/>
  <c r="BC129" i="84"/>
  <c r="BK129" i="84" s="1"/>
  <c r="BB129" i="84"/>
  <c r="BJ129" i="84" s="1"/>
  <c r="AJ221" i="84"/>
  <c r="AJ174" i="84"/>
  <c r="AW125" i="69"/>
  <c r="EJ35" i="75" s="1"/>
  <c r="AD125" i="69"/>
  <c r="I35" i="74" s="1"/>
  <c r="AQ125" i="69"/>
  <c r="DO35" i="75" s="1"/>
  <c r="N132" i="90"/>
  <c r="BU132" i="90" s="1"/>
  <c r="BQ61" i="69"/>
  <c r="BU225" i="90"/>
  <c r="AI128" i="84"/>
  <c r="J83" i="89"/>
  <c r="O83" i="89" s="1"/>
  <c r="AJ80" i="69"/>
  <c r="AK80" i="69" s="1"/>
  <c r="H35" i="75" s="1"/>
  <c r="K38" i="74"/>
  <c r="AB39" i="74"/>
  <c r="BR87" i="90"/>
  <c r="AM178" i="90"/>
  <c r="AM225" i="90"/>
  <c r="Z87" i="90"/>
  <c r="AP226" i="90"/>
  <c r="AQ226" i="90"/>
  <c r="AO226" i="90"/>
  <c r="M87" i="90"/>
  <c r="N83" i="89"/>
  <c r="K226" i="90"/>
  <c r="AJ87" i="90"/>
  <c r="L226" i="90"/>
  <c r="BS226" i="90" s="1"/>
  <c r="L87" i="90"/>
  <c r="M83" i="89"/>
  <c r="AL132" i="90"/>
  <c r="AK132" i="90"/>
  <c r="BS132" i="90"/>
  <c r="AR226" i="90"/>
  <c r="L222" i="89"/>
  <c r="BA224" i="84"/>
  <c r="BK221" i="69"/>
  <c r="BA225" i="84"/>
  <c r="BK222" i="69"/>
  <c r="M222" i="89"/>
  <c r="AJ146" i="87"/>
  <c r="AR175" i="84"/>
  <c r="BR175" i="84"/>
  <c r="BT175" i="84" s="1"/>
  <c r="BN175" i="84" s="1"/>
  <c r="F149" i="91"/>
  <c r="CA150" i="84"/>
  <c r="CH150" i="84"/>
  <c r="BO222" i="84"/>
  <c r="BR129" i="84"/>
  <c r="BT129" i="84" s="1"/>
  <c r="BN129" i="84" s="1"/>
  <c r="AR129" i="84"/>
  <c r="BQ222" i="84"/>
  <c r="CG146" i="84"/>
  <c r="E145" i="91"/>
  <c r="BZ146" i="84"/>
  <c r="CB158" i="84"/>
  <c r="CI158" i="84"/>
  <c r="G157" i="91"/>
  <c r="BR223" i="84"/>
  <c r="BT223" i="84" s="1"/>
  <c r="BN223" i="84" s="1"/>
  <c r="AR223" i="84"/>
  <c r="BY144" i="84"/>
  <c r="D143" i="91"/>
  <c r="CF144" i="84"/>
  <c r="BP222" i="84"/>
  <c r="C141" i="91"/>
  <c r="CE142" i="84"/>
  <c r="BX142" i="84"/>
  <c r="AK82" i="84"/>
  <c r="U149" i="74"/>
  <c r="DV137" i="75"/>
  <c r="R222" i="89"/>
  <c r="X80" i="69"/>
  <c r="AL129" i="100"/>
  <c r="DV136" i="75"/>
  <c r="R137" i="75"/>
  <c r="R136" i="75"/>
  <c r="BO199" i="69"/>
  <c r="S81" i="95"/>
  <c r="U147" i="74"/>
  <c r="AS148" i="74"/>
  <c r="AS147" i="74"/>
  <c r="DV139" i="75"/>
  <c r="AS149" i="74"/>
  <c r="H223" i="89"/>
  <c r="S139" i="74"/>
  <c r="S80" i="69"/>
  <c r="R83" i="89"/>
  <c r="AS150" i="74"/>
  <c r="S137" i="74"/>
  <c r="R132" i="90"/>
  <c r="Q222" i="89"/>
  <c r="U150" i="74"/>
  <c r="Q87" i="90"/>
  <c r="U148" i="74"/>
  <c r="AK221" i="84"/>
  <c r="AL223" i="100"/>
  <c r="O226" i="90"/>
  <c r="S83" i="89"/>
  <c r="O185" i="68"/>
  <c r="AQ84" i="87"/>
  <c r="AV80" i="69"/>
  <c r="I222" i="89"/>
  <c r="T83" i="89"/>
  <c r="P87" i="90"/>
  <c r="O232" i="68"/>
  <c r="R138" i="75"/>
  <c r="AK147" i="87"/>
  <c r="W80" i="69"/>
  <c r="DV138" i="75"/>
  <c r="AC80" i="69"/>
  <c r="AT84" i="84"/>
  <c r="H175" i="89"/>
  <c r="AP80" i="69"/>
  <c r="AY81" i="95"/>
  <c r="P226" i="90"/>
  <c r="S136" i="74"/>
  <c r="S138" i="74"/>
  <c r="AK174" i="84"/>
  <c r="H129" i="89"/>
  <c r="AT220" i="95"/>
  <c r="S220" i="95"/>
  <c r="BV175" i="84" l="1"/>
  <c r="BV129" i="84"/>
  <c r="BV223" i="84"/>
  <c r="T81" i="95"/>
  <c r="BD224" i="84"/>
  <c r="BL224" i="84" s="1"/>
  <c r="BC224" i="84"/>
  <c r="BK224" i="84" s="1"/>
  <c r="BB224" i="84"/>
  <c r="BJ224" i="84" s="1"/>
  <c r="BE224" i="84"/>
  <c r="BM224" i="84" s="1"/>
  <c r="BE225" i="84"/>
  <c r="BD225" i="84"/>
  <c r="BB225" i="84"/>
  <c r="BC225" i="84"/>
  <c r="AJ128" i="84"/>
  <c r="BL125" i="69"/>
  <c r="Z36" i="74"/>
  <c r="BE81" i="95"/>
  <c r="AM132" i="90"/>
  <c r="T220" i="95"/>
  <c r="AW80" i="69"/>
  <c r="EI35" i="75" s="1"/>
  <c r="AQ80" i="69"/>
  <c r="DN35" i="75" s="1"/>
  <c r="AD80" i="69"/>
  <c r="Y36" i="74" s="1"/>
  <c r="J222" i="89"/>
  <c r="O222" i="89" s="1"/>
  <c r="AJ219" i="69"/>
  <c r="AK219" i="69" s="1"/>
  <c r="N87" i="90"/>
  <c r="BU87" i="90" s="1"/>
  <c r="AP179" i="90"/>
  <c r="AP227" i="90"/>
  <c r="AP133" i="90"/>
  <c r="AO227" i="90"/>
  <c r="AO179" i="90"/>
  <c r="AQ227" i="90"/>
  <c r="AO133" i="90"/>
  <c r="AQ179" i="90"/>
  <c r="AQ133" i="90"/>
  <c r="L133" i="90"/>
  <c r="BS133" i="90" s="1"/>
  <c r="L179" i="90"/>
  <c r="BS179" i="90" s="1"/>
  <c r="L227" i="90"/>
  <c r="BS227" i="90" s="1"/>
  <c r="AK226" i="90"/>
  <c r="M226" i="90"/>
  <c r="BT226" i="90" s="1"/>
  <c r="AJ226" i="90"/>
  <c r="BS87" i="90"/>
  <c r="AK87" i="90"/>
  <c r="Z226" i="90"/>
  <c r="BR226" i="90"/>
  <c r="AL87" i="90"/>
  <c r="BT87" i="90"/>
  <c r="AR133" i="90"/>
  <c r="AR227" i="90"/>
  <c r="AR179" i="90"/>
  <c r="N222" i="89"/>
  <c r="M223" i="89"/>
  <c r="M175" i="89"/>
  <c r="AJ147" i="87"/>
  <c r="BK81" i="69"/>
  <c r="BA84" i="84"/>
  <c r="M129" i="89"/>
  <c r="AJ172" i="69"/>
  <c r="AK172" i="69" s="1"/>
  <c r="J175" i="89"/>
  <c r="N179" i="90" s="1"/>
  <c r="BQ129" i="84"/>
  <c r="BX143" i="84"/>
  <c r="C142" i="91"/>
  <c r="CE143" i="84"/>
  <c r="BO223" i="84"/>
  <c r="BP223" i="84"/>
  <c r="AR225" i="84"/>
  <c r="BR225" i="84"/>
  <c r="BT225" i="84" s="1"/>
  <c r="CF145" i="84"/>
  <c r="D144" i="91"/>
  <c r="BY145" i="84"/>
  <c r="BQ223" i="84"/>
  <c r="BO175" i="84"/>
  <c r="E146" i="91"/>
  <c r="BZ147" i="84"/>
  <c r="CG147" i="84"/>
  <c r="CB159" i="84"/>
  <c r="CI159" i="84"/>
  <c r="G158" i="91"/>
  <c r="BP129" i="84"/>
  <c r="BR224" i="84"/>
  <c r="BT224" i="84" s="1"/>
  <c r="BN224" i="84" s="1"/>
  <c r="AR224" i="84"/>
  <c r="BO129" i="84"/>
  <c r="BQ175" i="84"/>
  <c r="CH151" i="84"/>
  <c r="F150" i="91"/>
  <c r="CA151" i="84"/>
  <c r="BP175" i="84"/>
  <c r="G175" i="89"/>
  <c r="X137" i="95"/>
  <c r="P133" i="90"/>
  <c r="AP136" i="74"/>
  <c r="I175" i="89"/>
  <c r="I223" i="89"/>
  <c r="AQ137" i="74"/>
  <c r="Q226" i="90"/>
  <c r="X139" i="95"/>
  <c r="X219" i="69"/>
  <c r="DU137" i="75"/>
  <c r="X172" i="69"/>
  <c r="I129" i="89"/>
  <c r="AT176" i="84"/>
  <c r="AP137" i="74"/>
  <c r="BD173" i="95"/>
  <c r="W172" i="69"/>
  <c r="AD83" i="84"/>
  <c r="G129" i="89"/>
  <c r="AC172" i="69"/>
  <c r="AK148" i="87"/>
  <c r="AP138" i="74"/>
  <c r="R129" i="89"/>
  <c r="AQ176" i="87"/>
  <c r="AC219" i="69"/>
  <c r="R223" i="89"/>
  <c r="R175" i="89"/>
  <c r="S172" i="69"/>
  <c r="DU138" i="75"/>
  <c r="O139" i="68"/>
  <c r="S219" i="69"/>
  <c r="P227" i="90"/>
  <c r="DU136" i="75"/>
  <c r="X126" i="69"/>
  <c r="AY220" i="95"/>
  <c r="AQ136" i="74"/>
  <c r="BD220" i="95"/>
  <c r="AP219" i="69"/>
  <c r="AT173" i="95"/>
  <c r="AV219" i="69"/>
  <c r="AL224" i="100"/>
  <c r="X138" i="95"/>
  <c r="AQ138" i="74"/>
  <c r="BB198" i="69"/>
  <c r="AL175" i="100"/>
  <c r="AQ139" i="74"/>
  <c r="AY173" i="95"/>
  <c r="T175" i="89"/>
  <c r="W219" i="69"/>
  <c r="P179" i="90"/>
  <c r="AA152" i="95"/>
  <c r="G223" i="89"/>
  <c r="S173" i="95"/>
  <c r="S127" i="95"/>
  <c r="AP172" i="69"/>
  <c r="O233" i="68"/>
  <c r="AG199" i="95"/>
  <c r="AV172" i="69"/>
  <c r="S222" i="89"/>
  <c r="BB152" i="69"/>
  <c r="S126" i="69"/>
  <c r="T222" i="89"/>
  <c r="AA153" i="95"/>
  <c r="AA154" i="95"/>
  <c r="BQ127" i="95"/>
  <c r="AK128" i="84"/>
  <c r="BD127" i="95"/>
  <c r="AY127" i="95"/>
  <c r="S220" i="69"/>
  <c r="S221" i="95"/>
  <c r="X220" i="69"/>
  <c r="AT221" i="95"/>
  <c r="BV224" i="84" l="1"/>
  <c r="BE84" i="84"/>
  <c r="BM84" i="84" s="1"/>
  <c r="BD84" i="84"/>
  <c r="BL84" i="84" s="1"/>
  <c r="BB84" i="84"/>
  <c r="BJ84" i="84" s="1"/>
  <c r="BC84" i="84"/>
  <c r="BK84" i="84" s="1"/>
  <c r="AI83" i="84"/>
  <c r="J129" i="89"/>
  <c r="O129" i="89" s="1"/>
  <c r="AJ126" i="69"/>
  <c r="AK126" i="69" s="1"/>
  <c r="I36" i="75" s="1"/>
  <c r="BE220" i="95"/>
  <c r="N223" i="89"/>
  <c r="M227" i="90"/>
  <c r="AJ220" i="69"/>
  <c r="AK220" i="69" s="1"/>
  <c r="K40" i="75" s="1"/>
  <c r="J223" i="89"/>
  <c r="O223" i="89" s="1"/>
  <c r="AD219" i="69"/>
  <c r="BL219" i="69" s="1"/>
  <c r="AW219" i="69"/>
  <c r="EL39" i="75" s="1"/>
  <c r="AQ219" i="69"/>
  <c r="DQ39" i="75" s="1"/>
  <c r="H35" i="74"/>
  <c r="K39" i="75"/>
  <c r="BL80" i="69"/>
  <c r="N226" i="90"/>
  <c r="BU226" i="90" s="1"/>
  <c r="AP228" i="90"/>
  <c r="AQ228" i="90"/>
  <c r="AO228" i="90"/>
  <c r="AK227" i="90"/>
  <c r="M179" i="90"/>
  <c r="N175" i="89"/>
  <c r="K227" i="90"/>
  <c r="L223" i="89"/>
  <c r="M133" i="90"/>
  <c r="N129" i="89"/>
  <c r="K133" i="90"/>
  <c r="L129" i="89"/>
  <c r="AK133" i="90"/>
  <c r="K179" i="90"/>
  <c r="L175" i="89"/>
  <c r="AL226" i="90"/>
  <c r="AK179" i="90"/>
  <c r="AR228" i="90"/>
  <c r="BE173" i="95"/>
  <c r="T173" i="95"/>
  <c r="T127" i="95"/>
  <c r="T221" i="95"/>
  <c r="AW172" i="69"/>
  <c r="EK37" i="75" s="1"/>
  <c r="BL225" i="84"/>
  <c r="AQ172" i="69"/>
  <c r="DP37" i="75" s="1"/>
  <c r="AD172" i="69"/>
  <c r="AA38" i="74" s="1"/>
  <c r="BN225" i="84"/>
  <c r="AJ148" i="87"/>
  <c r="BK173" i="69"/>
  <c r="BA176" i="84"/>
  <c r="CI160" i="84"/>
  <c r="CB160" i="84"/>
  <c r="G159" i="91"/>
  <c r="BZ148" i="84"/>
  <c r="CG148" i="84"/>
  <c r="E147" i="91"/>
  <c r="BM225" i="84"/>
  <c r="BQ224" i="84"/>
  <c r="J37" i="75"/>
  <c r="BK225" i="84"/>
  <c r="CF146" i="84"/>
  <c r="D145" i="91"/>
  <c r="BY146" i="84"/>
  <c r="BO224" i="84"/>
  <c r="CA152" i="84"/>
  <c r="F151" i="91"/>
  <c r="CH152" i="84"/>
  <c r="BR84" i="84"/>
  <c r="BT84" i="84" s="1"/>
  <c r="BN84" i="84" s="1"/>
  <c r="AR84" i="84"/>
  <c r="BJ225" i="84"/>
  <c r="BX144" i="84"/>
  <c r="CE144" i="84"/>
  <c r="C143" i="91"/>
  <c r="BP224" i="84"/>
  <c r="O175" i="89"/>
  <c r="O133" i="90"/>
  <c r="Q175" i="89"/>
  <c r="AP220" i="69"/>
  <c r="DW146" i="75"/>
  <c r="AD129" i="84"/>
  <c r="AD223" i="84"/>
  <c r="U151" i="75"/>
  <c r="O234" i="68"/>
  <c r="DX151" i="75"/>
  <c r="Q223" i="89"/>
  <c r="AA155" i="95"/>
  <c r="AL225" i="100"/>
  <c r="H225" i="89"/>
  <c r="O94" i="68"/>
  <c r="AT130" i="84"/>
  <c r="W126" i="69"/>
  <c r="O227" i="90"/>
  <c r="S223" i="89"/>
  <c r="U152" i="75"/>
  <c r="DX152" i="75"/>
  <c r="T146" i="75"/>
  <c r="AC220" i="69"/>
  <c r="AK149" i="87"/>
  <c r="AQ39" i="87"/>
  <c r="Q179" i="90"/>
  <c r="U154" i="75"/>
  <c r="T143" i="75"/>
  <c r="R138" i="74"/>
  <c r="AP126" i="69"/>
  <c r="Y141" i="95"/>
  <c r="T223" i="89"/>
  <c r="Z144" i="95"/>
  <c r="DW144" i="75"/>
  <c r="Y142" i="95"/>
  <c r="Q227" i="90"/>
  <c r="AY221" i="95"/>
  <c r="AY222" i="95" s="1"/>
  <c r="AG153" i="95"/>
  <c r="AT127" i="95"/>
  <c r="DX153" i="75"/>
  <c r="T129" i="89"/>
  <c r="H224" i="89"/>
  <c r="AV220" i="69"/>
  <c r="R87" i="90"/>
  <c r="S140" i="75"/>
  <c r="G84" i="89"/>
  <c r="W220" i="69"/>
  <c r="AR143" i="74"/>
  <c r="Z147" i="95"/>
  <c r="T145" i="75"/>
  <c r="Q133" i="90"/>
  <c r="Z146" i="95"/>
  <c r="BP198" i="69"/>
  <c r="R137" i="74"/>
  <c r="O179" i="90"/>
  <c r="Z145" i="95"/>
  <c r="AR146" i="74"/>
  <c r="I224" i="89"/>
  <c r="DW143" i="75"/>
  <c r="G224" i="89"/>
  <c r="S141" i="75"/>
  <c r="Q129" i="89"/>
  <c r="BD221" i="95"/>
  <c r="S175" i="89"/>
  <c r="AC126" i="69"/>
  <c r="AD222" i="84"/>
  <c r="R136" i="74"/>
  <c r="DW145" i="75"/>
  <c r="AD175" i="84"/>
  <c r="AR144" i="74"/>
  <c r="U153" i="75"/>
  <c r="AV126" i="69"/>
  <c r="T144" i="75"/>
  <c r="AR145" i="74"/>
  <c r="BI153" i="95"/>
  <c r="Y143" i="95"/>
  <c r="BI199" i="95"/>
  <c r="S129" i="89"/>
  <c r="BC152" i="69"/>
  <c r="AQ130" i="87"/>
  <c r="S142" i="75"/>
  <c r="H84" i="89"/>
  <c r="BV84" i="84" l="1"/>
  <c r="BV225" i="84"/>
  <c r="AM87" i="90"/>
  <c r="BE127" i="95"/>
  <c r="BD176" i="84"/>
  <c r="BL176" i="84" s="1"/>
  <c r="BC176" i="84"/>
  <c r="BK176" i="84" s="1"/>
  <c r="BB176" i="84"/>
  <c r="BJ176" i="84" s="1"/>
  <c r="BE176" i="84"/>
  <c r="BM176" i="84" s="1"/>
  <c r="AJ83" i="84"/>
  <c r="AI129" i="84"/>
  <c r="J224" i="89"/>
  <c r="O224" i="89" s="1"/>
  <c r="AJ221" i="69"/>
  <c r="AK221" i="69" s="1"/>
  <c r="K41" i="75" s="1"/>
  <c r="BK199" i="95"/>
  <c r="AD126" i="69"/>
  <c r="I36" i="74" s="1"/>
  <c r="AW126" i="69"/>
  <c r="EJ36" i="75" s="1"/>
  <c r="AQ126" i="69"/>
  <c r="DO36" i="75" s="1"/>
  <c r="N133" i="90"/>
  <c r="BE221" i="95"/>
  <c r="AI222" i="84"/>
  <c r="AB40" i="74"/>
  <c r="AQ220" i="69"/>
  <c r="AD220" i="69"/>
  <c r="K40" i="74" s="1"/>
  <c r="AL227" i="90"/>
  <c r="N227" i="90"/>
  <c r="BT227" i="90"/>
  <c r="BQ198" i="69"/>
  <c r="K39" i="74"/>
  <c r="AW220" i="69"/>
  <c r="EL40" i="75" s="1"/>
  <c r="AI223" i="84"/>
  <c r="AO229" i="90"/>
  <c r="AO88" i="90"/>
  <c r="AQ88" i="90"/>
  <c r="AP229" i="90"/>
  <c r="AP88" i="90"/>
  <c r="AQ229" i="90"/>
  <c r="M228" i="90"/>
  <c r="BT228" i="90" s="1"/>
  <c r="L229" i="90"/>
  <c r="BS229" i="90" s="1"/>
  <c r="K88" i="90"/>
  <c r="K228" i="90"/>
  <c r="L88" i="90"/>
  <c r="L228" i="90"/>
  <c r="BS228" i="90" s="1"/>
  <c r="M224" i="89"/>
  <c r="BT179" i="90"/>
  <c r="AL179" i="90"/>
  <c r="AJ133" i="90"/>
  <c r="Z133" i="90"/>
  <c r="BR133" i="90"/>
  <c r="BT133" i="90"/>
  <c r="AL133" i="90"/>
  <c r="AJ179" i="90"/>
  <c r="BR179" i="90"/>
  <c r="Z179" i="90"/>
  <c r="BU179" i="90" s="1"/>
  <c r="Z227" i="90"/>
  <c r="AJ227" i="90"/>
  <c r="BR227" i="90"/>
  <c r="AR88" i="90"/>
  <c r="L224" i="89"/>
  <c r="AR229" i="90"/>
  <c r="BK153" i="95"/>
  <c r="N224" i="89"/>
  <c r="AI175" i="84"/>
  <c r="BL172" i="69"/>
  <c r="BP225" i="84"/>
  <c r="J37" i="74"/>
  <c r="AJ149" i="87"/>
  <c r="L84" i="89"/>
  <c r="M225" i="89"/>
  <c r="BK127" i="69"/>
  <c r="BA130" i="84"/>
  <c r="M84" i="89"/>
  <c r="J84" i="89"/>
  <c r="N88" i="90" s="1"/>
  <c r="AJ81" i="69"/>
  <c r="AK81" i="69" s="1"/>
  <c r="CA153" i="84"/>
  <c r="F152" i="91"/>
  <c r="CH153" i="84"/>
  <c r="BZ149" i="84"/>
  <c r="E148" i="91"/>
  <c r="CG149" i="84"/>
  <c r="BO225" i="84"/>
  <c r="BQ225" i="84"/>
  <c r="BP84" i="84"/>
  <c r="D146" i="91"/>
  <c r="BY147" i="84"/>
  <c r="CF147" i="84"/>
  <c r="C144" i="91"/>
  <c r="CE145" i="84"/>
  <c r="BX145" i="84"/>
  <c r="BO84" i="84"/>
  <c r="CB161" i="84"/>
  <c r="G160" i="91"/>
  <c r="CI161" i="84"/>
  <c r="BQ84" i="84"/>
  <c r="AR176" i="84"/>
  <c r="BR176" i="84"/>
  <c r="BT176" i="84" s="1"/>
  <c r="BN176" i="84" s="1"/>
  <c r="ES83" i="75"/>
  <c r="ES144" i="75"/>
  <c r="ES25" i="75"/>
  <c r="T84" i="89"/>
  <c r="BD222" i="95"/>
  <c r="U151" i="74"/>
  <c r="ES146" i="75"/>
  <c r="ES30" i="75"/>
  <c r="ES9" i="75"/>
  <c r="R227" i="90"/>
  <c r="U155" i="75"/>
  <c r="ES107" i="75"/>
  <c r="R133" i="90"/>
  <c r="ES27" i="75"/>
  <c r="ES35" i="75"/>
  <c r="U153" i="74"/>
  <c r="P229" i="90"/>
  <c r="ES71" i="75"/>
  <c r="ES23" i="75"/>
  <c r="ES114" i="75"/>
  <c r="ES139" i="75"/>
  <c r="ES49" i="75"/>
  <c r="AP81" i="69"/>
  <c r="ES46" i="75"/>
  <c r="ES57" i="75"/>
  <c r="AV81" i="69"/>
  <c r="ES73" i="75"/>
  <c r="ES45" i="75"/>
  <c r="ES97" i="75"/>
  <c r="ES92" i="75"/>
  <c r="ES109" i="75"/>
  <c r="ES61" i="75"/>
  <c r="ES132" i="75"/>
  <c r="ES104" i="75"/>
  <c r="ES137" i="75"/>
  <c r="ES99" i="75"/>
  <c r="ES106" i="75"/>
  <c r="ES81" i="75"/>
  <c r="R179" i="90"/>
  <c r="ES108" i="75"/>
  <c r="ES117" i="75"/>
  <c r="ES6" i="75"/>
  <c r="ES112" i="75"/>
  <c r="ES36" i="75"/>
  <c r="ES24" i="75"/>
  <c r="ES127" i="75"/>
  <c r="ES102" i="75"/>
  <c r="BO107" i="69"/>
  <c r="ES140" i="75"/>
  <c r="X81" i="69"/>
  <c r="AC81" i="69"/>
  <c r="ES79" i="75"/>
  <c r="O235" i="68"/>
  <c r="AY223" i="95" s="1"/>
  <c r="ES150" i="75"/>
  <c r="BD82" i="95"/>
  <c r="ES33" i="75"/>
  <c r="T144" i="74"/>
  <c r="ES16" i="75"/>
  <c r="ES134" i="75"/>
  <c r="Q84" i="89"/>
  <c r="ES94" i="75"/>
  <c r="ES80" i="75"/>
  <c r="ES76" i="75"/>
  <c r="ES101" i="75"/>
  <c r="P228" i="90"/>
  <c r="AQ85" i="87"/>
  <c r="ES13" i="75"/>
  <c r="ES39" i="75"/>
  <c r="ES145" i="75"/>
  <c r="R224" i="89"/>
  <c r="ES41" i="75"/>
  <c r="ES118" i="75"/>
  <c r="ES19" i="75"/>
  <c r="AK150" i="87"/>
  <c r="ES56" i="75"/>
  <c r="ES121" i="75"/>
  <c r="ES54" i="75"/>
  <c r="T224" i="89"/>
  <c r="ES133" i="75"/>
  <c r="ES48" i="75"/>
  <c r="AT85" i="84"/>
  <c r="AT82" i="95"/>
  <c r="ES113" i="75"/>
  <c r="ES42" i="75"/>
  <c r="ES116" i="75"/>
  <c r="W81" i="69"/>
  <c r="R226" i="90"/>
  <c r="ES4" i="75"/>
  <c r="ES89" i="75"/>
  <c r="ES38" i="75"/>
  <c r="S81" i="69"/>
  <c r="O186" i="68"/>
  <c r="ES51" i="75"/>
  <c r="ES126" i="75"/>
  <c r="ES82" i="75"/>
  <c r="AT222" i="95"/>
  <c r="T145" i="74"/>
  <c r="ES67" i="75"/>
  <c r="ES62" i="75"/>
  <c r="AV221" i="69"/>
  <c r="BC198" i="69"/>
  <c r="ES75" i="75"/>
  <c r="T143" i="74"/>
  <c r="ES88" i="75"/>
  <c r="ES122" i="75"/>
  <c r="Q228" i="90"/>
  <c r="U152" i="74"/>
  <c r="AP221" i="69"/>
  <c r="ES143" i="75"/>
  <c r="ES111" i="75"/>
  <c r="ES68" i="75"/>
  <c r="ES18" i="75"/>
  <c r="ES43" i="75"/>
  <c r="ES129" i="75"/>
  <c r="AC221" i="69"/>
  <c r="DV140" i="75"/>
  <c r="ES138" i="75"/>
  <c r="S140" i="74"/>
  <c r="P88" i="90"/>
  <c r="ES152" i="75"/>
  <c r="ES59" i="75"/>
  <c r="X221" i="69"/>
  <c r="ES110" i="75"/>
  <c r="ES85" i="75"/>
  <c r="S141" i="74"/>
  <c r="ES58" i="75"/>
  <c r="AY82" i="95"/>
  <c r="ES128" i="75"/>
  <c r="ES53" i="75"/>
  <c r="AY174" i="95"/>
  <c r="ES142" i="75"/>
  <c r="T146" i="74"/>
  <c r="S222" i="95"/>
  <c r="ES98" i="75"/>
  <c r="ES95" i="75"/>
  <c r="AS152" i="74"/>
  <c r="ES15" i="75"/>
  <c r="ES100" i="75"/>
  <c r="DV142" i="75"/>
  <c r="U154" i="74"/>
  <c r="Q224" i="89"/>
  <c r="ES26" i="75"/>
  <c r="ES11" i="75"/>
  <c r="ES37" i="75"/>
  <c r="ES40" i="75"/>
  <c r="ES153" i="75"/>
  <c r="ES125" i="75"/>
  <c r="ES115" i="75"/>
  <c r="ES63" i="75"/>
  <c r="BP152" i="69"/>
  <c r="ES29" i="75"/>
  <c r="ES60" i="75"/>
  <c r="ES66" i="75"/>
  <c r="ES21" i="75"/>
  <c r="ES44" i="75"/>
  <c r="ES103" i="75"/>
  <c r="ES22" i="75"/>
  <c r="AK83" i="84"/>
  <c r="ES32" i="75"/>
  <c r="ES10" i="75"/>
  <c r="ES5" i="75"/>
  <c r="AL84" i="100"/>
  <c r="O88" i="90"/>
  <c r="ES120" i="75"/>
  <c r="H176" i="89"/>
  <c r="ES50" i="75"/>
  <c r="ES65" i="75"/>
  <c r="ES119" i="75"/>
  <c r="ES31" i="75"/>
  <c r="S224" i="89"/>
  <c r="ES105" i="75"/>
  <c r="ES96" i="75"/>
  <c r="S142" i="74"/>
  <c r="ES55" i="75"/>
  <c r="ES12" i="75"/>
  <c r="ES90" i="75"/>
  <c r="S222" i="69"/>
  <c r="O228" i="90"/>
  <c r="ES148" i="75"/>
  <c r="ES141" i="75"/>
  <c r="ES17" i="75"/>
  <c r="ES52" i="75"/>
  <c r="ES149" i="75"/>
  <c r="ES72" i="75"/>
  <c r="ES70" i="75"/>
  <c r="ES136" i="75"/>
  <c r="AT174" i="95"/>
  <c r="I84" i="89"/>
  <c r="ES154" i="75"/>
  <c r="S223" i="95"/>
  <c r="I225" i="89"/>
  <c r="S221" i="69"/>
  <c r="ES14" i="75"/>
  <c r="W221" i="69"/>
  <c r="G225" i="89"/>
  <c r="ES77" i="75"/>
  <c r="ES131" i="75"/>
  <c r="DV141" i="75"/>
  <c r="ES123" i="75"/>
  <c r="ES147" i="75"/>
  <c r="ES34" i="75"/>
  <c r="AS151" i="74"/>
  <c r="ES28" i="75"/>
  <c r="ES84" i="75"/>
  <c r="ES74" i="75"/>
  <c r="ES8" i="75"/>
  <c r="ES86" i="75"/>
  <c r="ES87" i="75"/>
  <c r="ES64" i="75"/>
  <c r="ES47" i="75"/>
  <c r="ES151" i="75"/>
  <c r="AS153" i="74"/>
  <c r="ES93" i="75"/>
  <c r="ES20" i="75"/>
  <c r="R225" i="89"/>
  <c r="ES69" i="75"/>
  <c r="ES130" i="75"/>
  <c r="ES78" i="75"/>
  <c r="R84" i="89"/>
  <c r="ES124" i="75"/>
  <c r="ES7" i="75"/>
  <c r="S174" i="95"/>
  <c r="S82" i="95"/>
  <c r="ES135" i="75"/>
  <c r="ES91" i="75"/>
  <c r="BV176" i="84" l="1"/>
  <c r="T222" i="95"/>
  <c r="T223" i="95" s="1"/>
  <c r="BE82" i="95"/>
  <c r="BC130" i="84"/>
  <c r="BK130" i="84" s="1"/>
  <c r="BB130" i="84"/>
  <c r="BJ130" i="84" s="1"/>
  <c r="BE130" i="84"/>
  <c r="BM130" i="84" s="1"/>
  <c r="BD130" i="84"/>
  <c r="BL130" i="84" s="1"/>
  <c r="AJ129" i="84"/>
  <c r="AJ222" i="84"/>
  <c r="AJ223" i="84"/>
  <c r="AJ175" i="84"/>
  <c r="BU133" i="90"/>
  <c r="BE222" i="95"/>
  <c r="AJ222" i="69"/>
  <c r="AK222" i="69" s="1"/>
  <c r="K42" i="75" s="1"/>
  <c r="J225" i="89"/>
  <c r="O225" i="89" s="1"/>
  <c r="AM226" i="90"/>
  <c r="N228" i="90"/>
  <c r="AM133" i="90"/>
  <c r="Z37" i="74"/>
  <c r="BL126" i="69"/>
  <c r="BU227" i="90"/>
  <c r="AD221" i="69"/>
  <c r="K41" i="74" s="1"/>
  <c r="BL220" i="69"/>
  <c r="AB41" i="74"/>
  <c r="AW221" i="69"/>
  <c r="EL41" i="75" s="1"/>
  <c r="AM227" i="90"/>
  <c r="DQ40" i="75"/>
  <c r="AQ221" i="69"/>
  <c r="DQ41" i="75" s="1"/>
  <c r="Z88" i="90"/>
  <c r="BU88" i="90" s="1"/>
  <c r="AM179" i="90"/>
  <c r="BR88" i="90"/>
  <c r="AO180" i="90"/>
  <c r="AQ180" i="90"/>
  <c r="AP180" i="90"/>
  <c r="AK88" i="90"/>
  <c r="L180" i="90"/>
  <c r="BS180" i="90" s="1"/>
  <c r="AJ228" i="90"/>
  <c r="M229" i="90"/>
  <c r="BT229" i="90" s="1"/>
  <c r="K229" i="90"/>
  <c r="Z229" i="90" s="1"/>
  <c r="M88" i="90"/>
  <c r="AJ88" i="90"/>
  <c r="AK228" i="90"/>
  <c r="AK229" i="90"/>
  <c r="Z228" i="90"/>
  <c r="BS88" i="90"/>
  <c r="AL228" i="90"/>
  <c r="BR228" i="90"/>
  <c r="AR180" i="90"/>
  <c r="L225" i="89"/>
  <c r="N84" i="89"/>
  <c r="T82" i="95"/>
  <c r="AW81" i="69"/>
  <c r="EI36" i="75" s="1"/>
  <c r="N225" i="89"/>
  <c r="BQ152" i="69"/>
  <c r="AD81" i="69"/>
  <c r="Y37" i="74" s="1"/>
  <c r="AQ81" i="69"/>
  <c r="DN36" i="75" s="1"/>
  <c r="T174" i="95"/>
  <c r="J176" i="89"/>
  <c r="N180" i="90" s="1"/>
  <c r="AJ173" i="69"/>
  <c r="AK173" i="69" s="1"/>
  <c r="M176" i="89"/>
  <c r="AJ150" i="87"/>
  <c r="BK82" i="69"/>
  <c r="BA85" i="84"/>
  <c r="BQ176" i="84"/>
  <c r="C145" i="91"/>
  <c r="CE146" i="84"/>
  <c r="BX146" i="84"/>
  <c r="H36" i="75"/>
  <c r="O84" i="89"/>
  <c r="G161" i="91"/>
  <c r="CB162" i="84"/>
  <c r="CI162" i="84"/>
  <c r="AR130" i="84"/>
  <c r="BR130" i="84"/>
  <c r="BT130" i="84" s="1"/>
  <c r="BN130" i="84" s="1"/>
  <c r="BO176" i="84"/>
  <c r="BZ150" i="84"/>
  <c r="CG150" i="84"/>
  <c r="E149" i="91"/>
  <c r="BY148" i="84"/>
  <c r="CF148" i="84"/>
  <c r="D147" i="91"/>
  <c r="CH154" i="84"/>
  <c r="CA154" i="84"/>
  <c r="F153" i="91"/>
  <c r="BP176" i="84"/>
  <c r="U163" i="75"/>
  <c r="U160" i="75"/>
  <c r="X141" i="95"/>
  <c r="W173" i="69"/>
  <c r="BD174" i="95"/>
  <c r="AA157" i="95"/>
  <c r="Z149" i="95"/>
  <c r="AQ140" i="74"/>
  <c r="O229" i="90"/>
  <c r="DU142" i="75"/>
  <c r="R140" i="75"/>
  <c r="G176" i="89"/>
  <c r="AD224" i="84"/>
  <c r="P180" i="90"/>
  <c r="AA158" i="95"/>
  <c r="S84" i="89"/>
  <c r="AP141" i="74"/>
  <c r="X173" i="69"/>
  <c r="AQ141" i="74"/>
  <c r="R176" i="89"/>
  <c r="AA163" i="95"/>
  <c r="R228" i="90"/>
  <c r="O140" i="68"/>
  <c r="S225" i="89"/>
  <c r="T225" i="89"/>
  <c r="AA160" i="95"/>
  <c r="AS154" i="74"/>
  <c r="AA162" i="95"/>
  <c r="BO62" i="69"/>
  <c r="Z150" i="95"/>
  <c r="AC222" i="69"/>
  <c r="AA161" i="95"/>
  <c r="BD223" i="95"/>
  <c r="AA159" i="95"/>
  <c r="AP140" i="74"/>
  <c r="U162" i="75"/>
  <c r="BB199" i="69"/>
  <c r="G130" i="89"/>
  <c r="Q229" i="90"/>
  <c r="U158" i="75"/>
  <c r="AV173" i="69"/>
  <c r="AK223" i="84"/>
  <c r="Q225" i="89"/>
  <c r="X142" i="95"/>
  <c r="AP222" i="69"/>
  <c r="AG200" i="95"/>
  <c r="AP142" i="74"/>
  <c r="AK222" i="84"/>
  <c r="AC173" i="69"/>
  <c r="S127" i="69"/>
  <c r="U157" i="75"/>
  <c r="U161" i="75"/>
  <c r="AQ142" i="74"/>
  <c r="X222" i="69"/>
  <c r="DU141" i="75"/>
  <c r="DU139" i="75"/>
  <c r="AA156" i="95"/>
  <c r="AA164" i="95"/>
  <c r="ES155" i="75"/>
  <c r="AD84" i="84"/>
  <c r="R141" i="75"/>
  <c r="Q88" i="90"/>
  <c r="U155" i="74"/>
  <c r="AV222" i="69"/>
  <c r="DU140" i="75"/>
  <c r="DX155" i="75"/>
  <c r="AK151" i="87"/>
  <c r="AP173" i="69"/>
  <c r="AT223" i="95"/>
  <c r="AL176" i="100"/>
  <c r="U156" i="75"/>
  <c r="U159" i="75"/>
  <c r="AP139" i="74"/>
  <c r="W222" i="69"/>
  <c r="S173" i="69"/>
  <c r="I176" i="89"/>
  <c r="R139" i="75"/>
  <c r="T176" i="89"/>
  <c r="AK129" i="84"/>
  <c r="Z148" i="95"/>
  <c r="DX154" i="75"/>
  <c r="X143" i="95"/>
  <c r="AT128" i="95"/>
  <c r="R142" i="75"/>
  <c r="X140" i="95"/>
  <c r="AK175" i="84"/>
  <c r="BV130" i="84" l="1"/>
  <c r="AI224" i="84"/>
  <c r="BE223" i="95"/>
  <c r="BU228" i="90"/>
  <c r="BE174" i="95"/>
  <c r="BC85" i="84"/>
  <c r="BK85" i="84" s="1"/>
  <c r="BB85" i="84"/>
  <c r="BJ85" i="84" s="1"/>
  <c r="BE85" i="84"/>
  <c r="BM85" i="84" s="1"/>
  <c r="BD85" i="84"/>
  <c r="BL85" i="84" s="1"/>
  <c r="AJ224" i="84"/>
  <c r="AI84" i="84"/>
  <c r="N229" i="90"/>
  <c r="BL221" i="69"/>
  <c r="AB42" i="74"/>
  <c r="AD222" i="69"/>
  <c r="K42" i="74" s="1"/>
  <c r="AQ222" i="69"/>
  <c r="AW222" i="69"/>
  <c r="EL42" i="75" s="1"/>
  <c r="AM228" i="90"/>
  <c r="AO134" i="90"/>
  <c r="AP134" i="90"/>
  <c r="AQ134" i="90"/>
  <c r="AL88" i="90"/>
  <c r="M180" i="90"/>
  <c r="BT180" i="90" s="1"/>
  <c r="AL229" i="90"/>
  <c r="K180" i="90"/>
  <c r="L176" i="89"/>
  <c r="K134" i="90"/>
  <c r="BR134" i="90" s="1"/>
  <c r="BT88" i="90"/>
  <c r="AJ229" i="90"/>
  <c r="AK180" i="90"/>
  <c r="BR229" i="90"/>
  <c r="AR134" i="90"/>
  <c r="N176" i="89"/>
  <c r="AW173" i="69"/>
  <c r="EK38" i="75" s="1"/>
  <c r="BL81" i="69"/>
  <c r="H36" i="74"/>
  <c r="AQ173" i="69"/>
  <c r="DP38" i="75" s="1"/>
  <c r="AD173" i="69"/>
  <c r="J38" i="74" s="1"/>
  <c r="AJ151" i="87"/>
  <c r="L130" i="89"/>
  <c r="AJ127" i="69"/>
  <c r="AK127" i="69" s="1"/>
  <c r="J130" i="89"/>
  <c r="N134" i="90" s="1"/>
  <c r="J38" i="75"/>
  <c r="D148" i="91"/>
  <c r="CF149" i="84"/>
  <c r="BY149" i="84"/>
  <c r="O176" i="89"/>
  <c r="F154" i="91"/>
  <c r="CH155" i="84"/>
  <c r="CA155" i="84"/>
  <c r="G162" i="91"/>
  <c r="CB163" i="84"/>
  <c r="CI163" i="84"/>
  <c r="BO130" i="84"/>
  <c r="CE147" i="84"/>
  <c r="BX147" i="84"/>
  <c r="C146" i="91"/>
  <c r="BP130" i="84"/>
  <c r="BZ151" i="84"/>
  <c r="E150" i="91"/>
  <c r="CG151" i="84"/>
  <c r="BQ130" i="84"/>
  <c r="AR85" i="84"/>
  <c r="BR85" i="84"/>
  <c r="BT85" i="84" s="1"/>
  <c r="BN85" i="84" s="1"/>
  <c r="R88" i="90"/>
  <c r="AT131" i="84"/>
  <c r="ES157" i="75"/>
  <c r="AT177" i="84"/>
  <c r="DW149" i="75"/>
  <c r="AS155" i="74"/>
  <c r="T149" i="75"/>
  <c r="T148" i="74"/>
  <c r="R140" i="74"/>
  <c r="U160" i="74"/>
  <c r="AP127" i="69"/>
  <c r="Q130" i="89"/>
  <c r="AK152" i="87"/>
  <c r="R139" i="74"/>
  <c r="ES160" i="75"/>
  <c r="U158" i="74"/>
  <c r="X127" i="69"/>
  <c r="AQ40" i="87"/>
  <c r="AD176" i="84"/>
  <c r="Q180" i="90"/>
  <c r="AQ131" i="87"/>
  <c r="S176" i="89"/>
  <c r="ES159" i="75"/>
  <c r="T147" i="75"/>
  <c r="DW147" i="75"/>
  <c r="ES158" i="75"/>
  <c r="DW148" i="75"/>
  <c r="O180" i="90"/>
  <c r="BI200" i="95"/>
  <c r="AD225" i="84"/>
  <c r="BD128" i="95"/>
  <c r="T147" i="74"/>
  <c r="AL85" i="100"/>
  <c r="H130" i="89"/>
  <c r="R229" i="90"/>
  <c r="U163" i="74"/>
  <c r="U157" i="74"/>
  <c r="U156" i="74"/>
  <c r="ES161" i="75"/>
  <c r="I85" i="89"/>
  <c r="S128" i="95"/>
  <c r="U162" i="74"/>
  <c r="U161" i="74"/>
  <c r="ES156" i="75"/>
  <c r="W127" i="69"/>
  <c r="O134" i="90"/>
  <c r="T149" i="74"/>
  <c r="ES162" i="75"/>
  <c r="ES163" i="75"/>
  <c r="AY128" i="95"/>
  <c r="R142" i="74"/>
  <c r="AL130" i="100"/>
  <c r="BQ128" i="95"/>
  <c r="AV127" i="69"/>
  <c r="BB107" i="69"/>
  <c r="AQ177" i="87"/>
  <c r="U159" i="74"/>
  <c r="BC199" i="69"/>
  <c r="Q176" i="89"/>
  <c r="I130" i="89"/>
  <c r="T130" i="89"/>
  <c r="AK224" i="84"/>
  <c r="R141" i="74"/>
  <c r="AC127" i="69"/>
  <c r="T148" i="75"/>
  <c r="BV85" i="84" l="1"/>
  <c r="AI225" i="84"/>
  <c r="BK200" i="95"/>
  <c r="AM88" i="90"/>
  <c r="AJ84" i="84"/>
  <c r="AM229" i="90"/>
  <c r="BU229" i="90"/>
  <c r="BE128" i="95"/>
  <c r="BL222" i="69"/>
  <c r="DQ42" i="75"/>
  <c r="Z134" i="90"/>
  <c r="BU134" i="90" s="1"/>
  <c r="AP89" i="90"/>
  <c r="AO89" i="90"/>
  <c r="AQ89" i="90"/>
  <c r="AJ134" i="90"/>
  <c r="L134" i="90"/>
  <c r="M130" i="89"/>
  <c r="M134" i="90"/>
  <c r="BT134" i="90" s="1"/>
  <c r="AL180" i="90"/>
  <c r="M89" i="90"/>
  <c r="BT89" i="90" s="1"/>
  <c r="BR180" i="90"/>
  <c r="Z180" i="90"/>
  <c r="BU180" i="90" s="1"/>
  <c r="AJ180" i="90"/>
  <c r="AR89" i="90"/>
  <c r="AI176" i="84"/>
  <c r="N130" i="89"/>
  <c r="T128" i="95"/>
  <c r="AW127" i="69"/>
  <c r="EJ37" i="75" s="1"/>
  <c r="BL173" i="69"/>
  <c r="AA39" i="74"/>
  <c r="AD127" i="69"/>
  <c r="Z38" i="74" s="1"/>
  <c r="AQ127" i="69"/>
  <c r="DO37" i="75" s="1"/>
  <c r="AJ152" i="87"/>
  <c r="N85" i="89"/>
  <c r="BK128" i="69"/>
  <c r="BA131" i="84"/>
  <c r="BK174" i="69"/>
  <c r="BA177" i="84"/>
  <c r="BZ152" i="84"/>
  <c r="E151" i="91"/>
  <c r="CG152" i="84"/>
  <c r="BP85" i="84"/>
  <c r="I37" i="75"/>
  <c r="CF150" i="84"/>
  <c r="BY150" i="84"/>
  <c r="D149" i="91"/>
  <c r="BO85" i="84"/>
  <c r="CI164" i="84"/>
  <c r="G163" i="91"/>
  <c r="CB164" i="84"/>
  <c r="CH156" i="84"/>
  <c r="CA156" i="84"/>
  <c r="F155" i="91"/>
  <c r="CE148" i="84"/>
  <c r="BX148" i="84"/>
  <c r="C147" i="91"/>
  <c r="BQ85" i="84"/>
  <c r="O130" i="89"/>
  <c r="DX161" i="75"/>
  <c r="S146" i="75"/>
  <c r="AQ146" i="74"/>
  <c r="DX163" i="75"/>
  <c r="AK153" i="87"/>
  <c r="S130" i="89"/>
  <c r="Y145" i="95"/>
  <c r="P134" i="90"/>
  <c r="AQ143" i="74"/>
  <c r="BI108" i="95"/>
  <c r="O95" i="68"/>
  <c r="BP199" i="69"/>
  <c r="Q134" i="90"/>
  <c r="DX157" i="75"/>
  <c r="DX162" i="75"/>
  <c r="AR147" i="74"/>
  <c r="DX159" i="75"/>
  <c r="DV144" i="75"/>
  <c r="DX160" i="75"/>
  <c r="S85" i="89"/>
  <c r="AQ145" i="74"/>
  <c r="DX156" i="75"/>
  <c r="S145" i="75"/>
  <c r="S144" i="75"/>
  <c r="Y144" i="95"/>
  <c r="DV145" i="75"/>
  <c r="BC107" i="69"/>
  <c r="AR149" i="74"/>
  <c r="DV146" i="75"/>
  <c r="R180" i="90"/>
  <c r="DV143" i="75"/>
  <c r="BO153" i="69"/>
  <c r="Q89" i="90"/>
  <c r="AG108" i="95"/>
  <c r="Y146" i="95"/>
  <c r="AQ144" i="74"/>
  <c r="Y147" i="95"/>
  <c r="AD130" i="84"/>
  <c r="H85" i="89"/>
  <c r="S143" i="75"/>
  <c r="R130" i="89"/>
  <c r="DX158" i="75"/>
  <c r="G85" i="89"/>
  <c r="AR148" i="74"/>
  <c r="AK84" i="84"/>
  <c r="AJ225" i="84" l="1"/>
  <c r="BQ203" i="84"/>
  <c r="BE177" i="84"/>
  <c r="BM177" i="84" s="1"/>
  <c r="BD177" i="84"/>
  <c r="BL177" i="84" s="1"/>
  <c r="BC177" i="84"/>
  <c r="BK177" i="84" s="1"/>
  <c r="BB177" i="84"/>
  <c r="BJ177" i="84" s="1"/>
  <c r="BE131" i="84"/>
  <c r="BM131" i="84" s="1"/>
  <c r="BD131" i="84"/>
  <c r="BL131" i="84" s="1"/>
  <c r="BC131" i="84"/>
  <c r="BK131" i="84" s="1"/>
  <c r="BB131" i="84"/>
  <c r="BJ131" i="84" s="1"/>
  <c r="AJ176" i="84"/>
  <c r="AI130" i="84"/>
  <c r="BQ199" i="69"/>
  <c r="BK108" i="95"/>
  <c r="J85" i="89"/>
  <c r="O85" i="89" s="1"/>
  <c r="AJ82" i="69"/>
  <c r="AK82" i="69" s="1"/>
  <c r="AM180" i="90"/>
  <c r="AL134" i="90"/>
  <c r="L89" i="90"/>
  <c r="M85" i="89"/>
  <c r="K89" i="90"/>
  <c r="Z89" i="90" s="1"/>
  <c r="L85" i="89"/>
  <c r="AL89" i="90"/>
  <c r="AK134" i="90"/>
  <c r="BS134" i="90"/>
  <c r="I37" i="74"/>
  <c r="BL127" i="69"/>
  <c r="AJ153" i="87"/>
  <c r="CF151" i="84"/>
  <c r="D150" i="91"/>
  <c r="BY151" i="84"/>
  <c r="BZ153" i="84"/>
  <c r="E152" i="91"/>
  <c r="CG153" i="84"/>
  <c r="CE149" i="84"/>
  <c r="BX149" i="84"/>
  <c r="C148" i="91"/>
  <c r="F156" i="91"/>
  <c r="CA157" i="84"/>
  <c r="CH157" i="84"/>
  <c r="BR177" i="84"/>
  <c r="BT177" i="84" s="1"/>
  <c r="BN177" i="84" s="1"/>
  <c r="AR177" i="84"/>
  <c r="BR131" i="84"/>
  <c r="BT131" i="84" s="1"/>
  <c r="BN131" i="84" s="1"/>
  <c r="AR131" i="84"/>
  <c r="AK225" i="84"/>
  <c r="AT83" i="95"/>
  <c r="AV82" i="69"/>
  <c r="S82" i="69"/>
  <c r="W82" i="69"/>
  <c r="P89" i="90"/>
  <c r="AQ86" i="87"/>
  <c r="AC82" i="69"/>
  <c r="O89" i="90"/>
  <c r="S143" i="74"/>
  <c r="S144" i="74"/>
  <c r="Q85" i="89"/>
  <c r="AP82" i="69"/>
  <c r="AY83" i="95"/>
  <c r="S145" i="74"/>
  <c r="AT86" i="84"/>
  <c r="AQ178" i="87"/>
  <c r="BB62" i="69"/>
  <c r="R85" i="89"/>
  <c r="O187" i="68"/>
  <c r="AY175" i="95" s="1"/>
  <c r="BP107" i="69"/>
  <c r="R134" i="90"/>
  <c r="S83" i="95"/>
  <c r="AT178" i="84"/>
  <c r="AK176" i="84"/>
  <c r="T85" i="89"/>
  <c r="AK154" i="87"/>
  <c r="X82" i="69"/>
  <c r="BD83" i="95"/>
  <c r="O141" i="68"/>
  <c r="S174" i="69"/>
  <c r="S146" i="74"/>
  <c r="BV177" i="84" l="1"/>
  <c r="BV131" i="84"/>
  <c r="T83" i="95"/>
  <c r="AM134" i="90"/>
  <c r="AJ130" i="84"/>
  <c r="BE83" i="95"/>
  <c r="AW82" i="69"/>
  <c r="EI37" i="75" s="1"/>
  <c r="AD82" i="69"/>
  <c r="H37" i="74" s="1"/>
  <c r="AQ82" i="69"/>
  <c r="H37" i="75"/>
  <c r="N89" i="90"/>
  <c r="BU89" i="90" s="1"/>
  <c r="BR89" i="90"/>
  <c r="AP181" i="90"/>
  <c r="AO135" i="90"/>
  <c r="AO181" i="90"/>
  <c r="AQ181" i="90"/>
  <c r="AP135" i="90"/>
  <c r="AQ135" i="90"/>
  <c r="AJ89" i="90"/>
  <c r="AK89" i="90"/>
  <c r="BS89" i="90"/>
  <c r="AR135" i="90"/>
  <c r="AR181" i="90"/>
  <c r="BQ107" i="69"/>
  <c r="BA178" i="84"/>
  <c r="BK175" i="69"/>
  <c r="BK83" i="69"/>
  <c r="BA86" i="84"/>
  <c r="AJ154" i="87"/>
  <c r="AJ128" i="69"/>
  <c r="AK128" i="69" s="1"/>
  <c r="J131" i="89"/>
  <c r="N135" i="90" s="1"/>
  <c r="AJ174" i="69"/>
  <c r="AK174" i="69" s="1"/>
  <c r="J177" i="89"/>
  <c r="N181" i="90" s="1"/>
  <c r="BP131" i="84"/>
  <c r="BO177" i="84"/>
  <c r="BY152" i="84"/>
  <c r="CF152" i="84"/>
  <c r="D151" i="91"/>
  <c r="BP177" i="84"/>
  <c r="BZ154" i="84"/>
  <c r="CG154" i="84"/>
  <c r="E153" i="91"/>
  <c r="BO131" i="84"/>
  <c r="BQ131" i="84"/>
  <c r="BX150" i="84"/>
  <c r="CE150" i="84"/>
  <c r="C149" i="91"/>
  <c r="BQ177" i="84"/>
  <c r="CH158" i="84"/>
  <c r="F157" i="91"/>
  <c r="CA158" i="84"/>
  <c r="G131" i="89"/>
  <c r="G177" i="89"/>
  <c r="AQ179" i="87"/>
  <c r="T131" i="89"/>
  <c r="R143" i="75"/>
  <c r="BD129" i="95"/>
  <c r="BB153" i="69"/>
  <c r="X174" i="69"/>
  <c r="I177" i="89"/>
  <c r="AT129" i="95"/>
  <c r="AG63" i="95"/>
  <c r="I131" i="89"/>
  <c r="AP174" i="69"/>
  <c r="AV128" i="69"/>
  <c r="W128" i="69"/>
  <c r="S128" i="69"/>
  <c r="AK155" i="87"/>
  <c r="AY129" i="95"/>
  <c r="T177" i="89"/>
  <c r="W174" i="69"/>
  <c r="AT179" i="84"/>
  <c r="X145" i="95"/>
  <c r="AD85" i="84"/>
  <c r="AQ180" i="87"/>
  <c r="R144" i="74"/>
  <c r="X144" i="95"/>
  <c r="BC62" i="69"/>
  <c r="AC128" i="69"/>
  <c r="BQ129" i="95"/>
  <c r="AV174" i="69"/>
  <c r="R145" i="74"/>
  <c r="AC174" i="69"/>
  <c r="S129" i="95"/>
  <c r="X146" i="95"/>
  <c r="H131" i="89"/>
  <c r="BD175" i="95"/>
  <c r="R143" i="74"/>
  <c r="R145" i="75"/>
  <c r="AL177" i="100"/>
  <c r="AL131" i="100"/>
  <c r="H177" i="89"/>
  <c r="AT175" i="95"/>
  <c r="AP128" i="69"/>
  <c r="S175" i="95"/>
  <c r="AT180" i="84"/>
  <c r="R144" i="75"/>
  <c r="X128" i="69"/>
  <c r="AK130" i="84"/>
  <c r="BE86" i="84" l="1"/>
  <c r="BM86" i="84" s="1"/>
  <c r="BD86" i="84"/>
  <c r="BL86" i="84" s="1"/>
  <c r="BC86" i="84"/>
  <c r="BK86" i="84" s="1"/>
  <c r="BB86" i="84"/>
  <c r="BJ86" i="84" s="1"/>
  <c r="BB178" i="84"/>
  <c r="BJ178" i="84" s="1"/>
  <c r="BC178" i="84"/>
  <c r="BK178" i="84" s="1"/>
  <c r="BE178" i="84"/>
  <c r="BM178" i="84" s="1"/>
  <c r="BD178" i="84"/>
  <c r="BL178" i="84" s="1"/>
  <c r="AI85" i="84"/>
  <c r="Y38" i="74"/>
  <c r="BL82" i="69"/>
  <c r="BE175" i="95"/>
  <c r="DN37" i="75"/>
  <c r="L135" i="90"/>
  <c r="BS135" i="90" s="1"/>
  <c r="M131" i="89"/>
  <c r="L181" i="90"/>
  <c r="BS181" i="90" s="1"/>
  <c r="M177" i="89"/>
  <c r="M135" i="90"/>
  <c r="BT135" i="90" s="1"/>
  <c r="M181" i="90"/>
  <c r="BT181" i="90" s="1"/>
  <c r="K181" i="90"/>
  <c r="L177" i="89"/>
  <c r="K135" i="90"/>
  <c r="BR135" i="90" s="1"/>
  <c r="L131" i="89"/>
  <c r="BE129" i="95"/>
  <c r="N177" i="89"/>
  <c r="T175" i="95"/>
  <c r="N131" i="89"/>
  <c r="AW128" i="69"/>
  <c r="EJ38" i="75" s="1"/>
  <c r="AW174" i="69"/>
  <c r="EK39" i="75" s="1"/>
  <c r="T129" i="95"/>
  <c r="AQ128" i="69"/>
  <c r="DO38" i="75" s="1"/>
  <c r="AD128" i="69"/>
  <c r="Z39" i="74" s="1"/>
  <c r="AQ174" i="69"/>
  <c r="DP39" i="75" s="1"/>
  <c r="AD174" i="69"/>
  <c r="J39" i="74" s="1"/>
  <c r="AJ155" i="87"/>
  <c r="BA179" i="84"/>
  <c r="BK176" i="69"/>
  <c r="BA180" i="84"/>
  <c r="BK177" i="69"/>
  <c r="I38" i="75"/>
  <c r="CF153" i="84"/>
  <c r="D152" i="91"/>
  <c r="BY153" i="84"/>
  <c r="O177" i="89"/>
  <c r="J39" i="75"/>
  <c r="CE151" i="84"/>
  <c r="BX151" i="84"/>
  <c r="C150" i="91"/>
  <c r="BZ155" i="84"/>
  <c r="E154" i="91"/>
  <c r="CG155" i="84"/>
  <c r="AR86" i="84"/>
  <c r="BR86" i="84"/>
  <c r="BT86" i="84" s="1"/>
  <c r="BN86" i="84" s="1"/>
  <c r="BR178" i="84"/>
  <c r="BT178" i="84" s="1"/>
  <c r="BN178" i="84" s="1"/>
  <c r="AR178" i="84"/>
  <c r="CH159" i="84"/>
  <c r="CA159" i="84"/>
  <c r="F158" i="91"/>
  <c r="O131" i="89"/>
  <c r="P181" i="90"/>
  <c r="S148" i="75"/>
  <c r="DV148" i="75"/>
  <c r="Q181" i="90"/>
  <c r="AQ132" i="87"/>
  <c r="AQ148" i="74"/>
  <c r="Z151" i="95"/>
  <c r="O181" i="90"/>
  <c r="BP62" i="69"/>
  <c r="R131" i="89"/>
  <c r="AP144" i="74"/>
  <c r="Z152" i="95"/>
  <c r="T151" i="75"/>
  <c r="T153" i="74"/>
  <c r="AP145" i="74"/>
  <c r="BO154" i="69"/>
  <c r="AD131" i="84"/>
  <c r="T151" i="74"/>
  <c r="DW152" i="75"/>
  <c r="DV149" i="75"/>
  <c r="Y148" i="95"/>
  <c r="T152" i="74"/>
  <c r="S131" i="89"/>
  <c r="T152" i="75"/>
  <c r="AL86" i="100"/>
  <c r="DW150" i="75"/>
  <c r="AD177" i="84"/>
  <c r="S149" i="75"/>
  <c r="Q135" i="90"/>
  <c r="AQ147" i="74"/>
  <c r="Y150" i="95"/>
  <c r="DU143" i="75"/>
  <c r="T153" i="75"/>
  <c r="AK156" i="87"/>
  <c r="DV147" i="75"/>
  <c r="AQ149" i="74"/>
  <c r="AG154" i="95"/>
  <c r="T150" i="74"/>
  <c r="Z153" i="95"/>
  <c r="Q177" i="89"/>
  <c r="R181" i="90"/>
  <c r="R177" i="89"/>
  <c r="AP143" i="74"/>
  <c r="R89" i="90"/>
  <c r="Z154" i="95"/>
  <c r="DW151" i="75"/>
  <c r="O135" i="90"/>
  <c r="DW153" i="75"/>
  <c r="AT132" i="84"/>
  <c r="S147" i="75"/>
  <c r="S177" i="89"/>
  <c r="DU145" i="75"/>
  <c r="P135" i="90"/>
  <c r="T150" i="75"/>
  <c r="Y149" i="95"/>
  <c r="BI154" i="95"/>
  <c r="DU144" i="75"/>
  <c r="Q131" i="89"/>
  <c r="AQ41" i="87"/>
  <c r="H178" i="89"/>
  <c r="O188" i="68"/>
  <c r="X175" i="69"/>
  <c r="AT176" i="95"/>
  <c r="BD176" i="95"/>
  <c r="AY176" i="95"/>
  <c r="S175" i="69"/>
  <c r="BV86" i="84" l="1"/>
  <c r="BV178" i="84"/>
  <c r="AI177" i="84"/>
  <c r="BE180" i="84"/>
  <c r="BD180" i="84"/>
  <c r="BC180" i="84"/>
  <c r="BB180" i="84"/>
  <c r="BD179" i="84"/>
  <c r="BL179" i="84" s="1"/>
  <c r="BC179" i="84"/>
  <c r="BK179" i="84" s="1"/>
  <c r="BB179" i="84"/>
  <c r="BJ179" i="84" s="1"/>
  <c r="BE179" i="84"/>
  <c r="BM179" i="84" s="1"/>
  <c r="AJ85" i="84"/>
  <c r="AM89" i="90"/>
  <c r="BQ62" i="69"/>
  <c r="BK154" i="95"/>
  <c r="AM181" i="90"/>
  <c r="AQ90" i="90"/>
  <c r="AP90" i="90"/>
  <c r="AQ182" i="90"/>
  <c r="AO182" i="90"/>
  <c r="AO90" i="90"/>
  <c r="AP182" i="90"/>
  <c r="L182" i="90"/>
  <c r="BS182" i="90" s="1"/>
  <c r="AK135" i="90"/>
  <c r="AL181" i="90"/>
  <c r="AL135" i="90"/>
  <c r="AK181" i="90"/>
  <c r="BR181" i="90"/>
  <c r="AJ181" i="90"/>
  <c r="Z181" i="90"/>
  <c r="BU181" i="90" s="1"/>
  <c r="AJ135" i="90"/>
  <c r="Z135" i="90"/>
  <c r="BU135" i="90" s="1"/>
  <c r="AR182" i="90"/>
  <c r="AR90" i="90"/>
  <c r="AI131" i="84"/>
  <c r="I38" i="74"/>
  <c r="BL128" i="69"/>
  <c r="BL174" i="69"/>
  <c r="AA40" i="74"/>
  <c r="BE176" i="95"/>
  <c r="M178" i="89"/>
  <c r="BK129" i="69"/>
  <c r="BA132" i="84"/>
  <c r="AJ156" i="87"/>
  <c r="AJ175" i="69"/>
  <c r="AK175" i="69" s="1"/>
  <c r="J40" i="75" s="1"/>
  <c r="J178" i="89"/>
  <c r="N182" i="90" s="1"/>
  <c r="CA160" i="84"/>
  <c r="F159" i="91"/>
  <c r="CH160" i="84"/>
  <c r="BP178" i="84"/>
  <c r="BO178" i="84"/>
  <c r="BR179" i="84"/>
  <c r="BT179" i="84" s="1"/>
  <c r="BN179" i="84" s="1"/>
  <c r="AR179" i="84"/>
  <c r="BX152" i="84"/>
  <c r="CE152" i="84"/>
  <c r="C151" i="91"/>
  <c r="CF154" i="84"/>
  <c r="BY154" i="84"/>
  <c r="D153" i="91"/>
  <c r="BQ86" i="84"/>
  <c r="E155" i="91"/>
  <c r="CG156" i="84"/>
  <c r="BZ156" i="84"/>
  <c r="BP86" i="84"/>
  <c r="BQ178" i="84"/>
  <c r="AR180" i="84"/>
  <c r="BR180" i="84"/>
  <c r="BT180" i="84" s="1"/>
  <c r="BO86" i="84"/>
  <c r="S147" i="74"/>
  <c r="S176" i="95"/>
  <c r="AL179" i="100"/>
  <c r="BO108" i="69"/>
  <c r="AL178" i="100"/>
  <c r="AK157" i="87"/>
  <c r="S149" i="74"/>
  <c r="O96" i="68"/>
  <c r="AP175" i="69"/>
  <c r="S148" i="74"/>
  <c r="H86" i="89"/>
  <c r="AQ87" i="87"/>
  <c r="AT87" i="84"/>
  <c r="R178" i="89"/>
  <c r="AR151" i="74"/>
  <c r="G178" i="89"/>
  <c r="AK85" i="84"/>
  <c r="G86" i="89"/>
  <c r="I86" i="89"/>
  <c r="W175" i="69"/>
  <c r="AR153" i="74"/>
  <c r="AR152" i="74"/>
  <c r="AC175" i="69"/>
  <c r="T178" i="89"/>
  <c r="BP153" i="69"/>
  <c r="P182" i="90"/>
  <c r="I178" i="89"/>
  <c r="T155" i="75"/>
  <c r="T154" i="75"/>
  <c r="AD178" i="84"/>
  <c r="AV175" i="69"/>
  <c r="R135" i="90"/>
  <c r="AR150" i="74"/>
  <c r="BV179" i="84" l="1"/>
  <c r="AJ177" i="84"/>
  <c r="T176" i="95"/>
  <c r="BE132" i="84"/>
  <c r="BM132" i="84" s="1"/>
  <c r="BD132" i="84"/>
  <c r="BL132" i="84" s="1"/>
  <c r="BC132" i="84"/>
  <c r="BK132" i="84" s="1"/>
  <c r="BB132" i="84"/>
  <c r="BJ132" i="84" s="1"/>
  <c r="AJ131" i="84"/>
  <c r="AM135" i="90"/>
  <c r="AQ183" i="90"/>
  <c r="AP183" i="90"/>
  <c r="AO183" i="90"/>
  <c r="J86" i="89"/>
  <c r="O86" i="89" s="1"/>
  <c r="AJ83" i="69"/>
  <c r="AK83" i="69" s="1"/>
  <c r="H38" i="75" s="1"/>
  <c r="K182" i="90"/>
  <c r="L178" i="89"/>
  <c r="K90" i="90"/>
  <c r="L86" i="89"/>
  <c r="AK182" i="90"/>
  <c r="M90" i="90"/>
  <c r="M182" i="90"/>
  <c r="BT182" i="90" s="1"/>
  <c r="L90" i="90"/>
  <c r="M86" i="89"/>
  <c r="AR183" i="90"/>
  <c r="N86" i="89"/>
  <c r="N178" i="89"/>
  <c r="AW175" i="69"/>
  <c r="EK40" i="75" s="1"/>
  <c r="BN180" i="84"/>
  <c r="BM180" i="84"/>
  <c r="BJ180" i="84"/>
  <c r="BQ153" i="69"/>
  <c r="BL180" i="84"/>
  <c r="AQ175" i="69"/>
  <c r="DP40" i="75" s="1"/>
  <c r="AD175" i="69"/>
  <c r="J40" i="74" s="1"/>
  <c r="AI178" i="84"/>
  <c r="AJ157" i="87"/>
  <c r="BK84" i="69"/>
  <c r="BA87" i="84"/>
  <c r="O178" i="89"/>
  <c r="C152" i="91"/>
  <c r="CE153" i="84"/>
  <c r="BX153" i="84"/>
  <c r="BK180" i="84"/>
  <c r="AR132" i="84"/>
  <c r="BR132" i="84"/>
  <c r="BT132" i="84" s="1"/>
  <c r="BN132" i="84" s="1"/>
  <c r="BQ179" i="84"/>
  <c r="CA161" i="84"/>
  <c r="CH161" i="84"/>
  <c r="F160" i="91"/>
  <c r="CG157" i="84"/>
  <c r="BZ157" i="84"/>
  <c r="E156" i="91"/>
  <c r="BP179" i="84"/>
  <c r="BY155" i="84"/>
  <c r="D154" i="91"/>
  <c r="CF155" i="84"/>
  <c r="BO179" i="84"/>
  <c r="AK177" i="84"/>
  <c r="H179" i="89"/>
  <c r="I179" i="89"/>
  <c r="R182" i="90"/>
  <c r="T154" i="74"/>
  <c r="R146" i="75"/>
  <c r="H180" i="89"/>
  <c r="AT84" i="95"/>
  <c r="DW154" i="75"/>
  <c r="Q90" i="90"/>
  <c r="T155" i="74"/>
  <c r="R149" i="75"/>
  <c r="S86" i="89"/>
  <c r="BD84" i="95"/>
  <c r="G180" i="89"/>
  <c r="W83" i="69"/>
  <c r="T86" i="89"/>
  <c r="P90" i="90"/>
  <c r="Z156" i="95"/>
  <c r="AY84" i="95"/>
  <c r="AP83" i="69"/>
  <c r="Q86" i="89"/>
  <c r="O190" i="68"/>
  <c r="X83" i="69"/>
  <c r="DW155" i="75"/>
  <c r="R86" i="89"/>
  <c r="S84" i="95"/>
  <c r="S178" i="89"/>
  <c r="Z155" i="95"/>
  <c r="AC83" i="69"/>
  <c r="AV83" i="69"/>
  <c r="O182" i="90"/>
  <c r="O189" i="68"/>
  <c r="Q182" i="90"/>
  <c r="R147" i="75"/>
  <c r="O90" i="90"/>
  <c r="Q178" i="89"/>
  <c r="AK158" i="87"/>
  <c r="R148" i="75"/>
  <c r="S83" i="69"/>
  <c r="BC153" i="69"/>
  <c r="G179" i="89"/>
  <c r="O142" i="68"/>
  <c r="AK131" i="84"/>
  <c r="AT177" i="95"/>
  <c r="BD177" i="95"/>
  <c r="AY177" i="95"/>
  <c r="AT130" i="95"/>
  <c r="S130" i="95"/>
  <c r="BV132" i="84" l="1"/>
  <c r="BV180" i="84"/>
  <c r="T84" i="95"/>
  <c r="BE87" i="84"/>
  <c r="BM87" i="84" s="1"/>
  <c r="BD87" i="84"/>
  <c r="BL87" i="84" s="1"/>
  <c r="BC87" i="84"/>
  <c r="BK87" i="84" s="1"/>
  <c r="BB87" i="84"/>
  <c r="BJ87" i="84" s="1"/>
  <c r="AJ178" i="84"/>
  <c r="BE84" i="95"/>
  <c r="AJ176" i="69"/>
  <c r="AK176" i="69" s="1"/>
  <c r="J41" i="75" s="1"/>
  <c r="J179" i="89"/>
  <c r="O179" i="89" s="1"/>
  <c r="BT90" i="90"/>
  <c r="AM182" i="90"/>
  <c r="AO136" i="90"/>
  <c r="AP136" i="90"/>
  <c r="AP184" i="90"/>
  <c r="AO184" i="90"/>
  <c r="AQ184" i="90"/>
  <c r="AQ136" i="90"/>
  <c r="K184" i="90"/>
  <c r="BR184" i="90" s="1"/>
  <c r="AQ83" i="69"/>
  <c r="DN38" i="75" s="1"/>
  <c r="L184" i="90"/>
  <c r="BS184" i="90" s="1"/>
  <c r="AL90" i="90"/>
  <c r="AW83" i="69"/>
  <c r="EI38" i="75" s="1"/>
  <c r="M183" i="90"/>
  <c r="BT183" i="90" s="1"/>
  <c r="L183" i="90"/>
  <c r="M179" i="89"/>
  <c r="K183" i="90"/>
  <c r="L179" i="89"/>
  <c r="AD83" i="69"/>
  <c r="BL83" i="69" s="1"/>
  <c r="AJ182" i="90"/>
  <c r="Z182" i="90"/>
  <c r="BU182" i="90" s="1"/>
  <c r="BR182" i="90"/>
  <c r="BS90" i="90"/>
  <c r="AK90" i="90"/>
  <c r="AL182" i="90"/>
  <c r="N90" i="90"/>
  <c r="Z90" i="90"/>
  <c r="AJ90" i="90"/>
  <c r="BR90" i="90"/>
  <c r="AR136" i="90"/>
  <c r="AR184" i="90"/>
  <c r="BE177" i="95"/>
  <c r="N179" i="89"/>
  <c r="BP180" i="84"/>
  <c r="J180" i="89"/>
  <c r="AJ177" i="69"/>
  <c r="BQ180" i="84"/>
  <c r="L180" i="89"/>
  <c r="BL175" i="69"/>
  <c r="AA41" i="74"/>
  <c r="T130" i="95"/>
  <c r="J132" i="89"/>
  <c r="N136" i="90" s="1"/>
  <c r="AJ129" i="69"/>
  <c r="AK129" i="69" s="1"/>
  <c r="M180" i="89"/>
  <c r="AJ158" i="87"/>
  <c r="CH162" i="84"/>
  <c r="CA162" i="84"/>
  <c r="F161" i="91"/>
  <c r="BQ132" i="84"/>
  <c r="BO180" i="84"/>
  <c r="AR87" i="84"/>
  <c r="BR87" i="84"/>
  <c r="BT87" i="84" s="1"/>
  <c r="BN87" i="84" s="1"/>
  <c r="CG158" i="84"/>
  <c r="BZ158" i="84"/>
  <c r="E157" i="91"/>
  <c r="CE154" i="84"/>
  <c r="BX154" i="84"/>
  <c r="C153" i="91"/>
  <c r="BO132" i="84"/>
  <c r="BY156" i="84"/>
  <c r="CF156" i="84"/>
  <c r="D155" i="91"/>
  <c r="BP132" i="84"/>
  <c r="I180" i="89"/>
  <c r="ER142" i="75"/>
  <c r="ER132" i="75"/>
  <c r="ER37" i="75"/>
  <c r="ER19" i="75"/>
  <c r="X129" i="69"/>
  <c r="ER43" i="75"/>
  <c r="ER8" i="75"/>
  <c r="ER49" i="75"/>
  <c r="BD130" i="95"/>
  <c r="ER100" i="75"/>
  <c r="ER35" i="75"/>
  <c r="P183" i="90"/>
  <c r="ER90" i="75"/>
  <c r="ER109" i="75"/>
  <c r="ER79" i="75"/>
  <c r="AR155" i="74"/>
  <c r="ER133" i="75"/>
  <c r="ER71" i="75"/>
  <c r="ER101" i="75"/>
  <c r="ER139" i="75"/>
  <c r="ER58" i="75"/>
  <c r="ER84" i="75"/>
  <c r="ER22" i="75"/>
  <c r="ER107" i="75"/>
  <c r="P184" i="90"/>
  <c r="ER149" i="75"/>
  <c r="S177" i="69"/>
  <c r="ER110" i="75"/>
  <c r="AK178" i="84"/>
  <c r="ER85" i="75"/>
  <c r="AY178" i="95"/>
  <c r="ER38" i="75"/>
  <c r="ER124" i="75"/>
  <c r="ER33" i="75"/>
  <c r="ER18" i="75"/>
  <c r="ER131" i="75"/>
  <c r="S177" i="95"/>
  <c r="X147" i="95"/>
  <c r="AP176" i="69"/>
  <c r="ER87" i="75"/>
  <c r="AP129" i="69"/>
  <c r="ER96" i="75"/>
  <c r="ER104" i="75"/>
  <c r="ER141" i="75"/>
  <c r="Q179" i="89"/>
  <c r="ER45" i="75"/>
  <c r="ER42" i="75"/>
  <c r="ER143" i="75"/>
  <c r="ER125" i="75"/>
  <c r="ER61" i="75"/>
  <c r="ER5" i="75"/>
  <c r="ER145" i="75"/>
  <c r="AL132" i="100"/>
  <c r="T156" i="75"/>
  <c r="Y153" i="95"/>
  <c r="ER128" i="75"/>
  <c r="ER32" i="75"/>
  <c r="ER94" i="75"/>
  <c r="AG109" i="95"/>
  <c r="ER11" i="75"/>
  <c r="ER136" i="75"/>
  <c r="DU146" i="75"/>
  <c r="ER50" i="75"/>
  <c r="W129" i="69"/>
  <c r="ER46" i="75"/>
  <c r="X150" i="95"/>
  <c r="AD86" i="84"/>
  <c r="ER147" i="75"/>
  <c r="ER7" i="75"/>
  <c r="ER122" i="75"/>
  <c r="ER78" i="75"/>
  <c r="ER150" i="75"/>
  <c r="ER15" i="75"/>
  <c r="AQ42" i="87"/>
  <c r="ER89" i="75"/>
  <c r="ER41" i="75"/>
  <c r="ER29" i="75"/>
  <c r="AV129" i="69"/>
  <c r="ER34" i="75"/>
  <c r="ER39" i="75"/>
  <c r="ER155" i="75"/>
  <c r="ER48" i="75"/>
  <c r="ER6" i="75"/>
  <c r="G87" i="89"/>
  <c r="AC129" i="69"/>
  <c r="ER21" i="75"/>
  <c r="W177" i="69"/>
  <c r="ER69" i="75"/>
  <c r="ER82" i="75"/>
  <c r="ER77" i="75"/>
  <c r="ER127" i="75"/>
  <c r="AV177" i="69"/>
  <c r="ER27" i="75"/>
  <c r="AK159" i="87"/>
  <c r="ER12" i="75"/>
  <c r="AL87" i="100"/>
  <c r="X177" i="69"/>
  <c r="ER28" i="75"/>
  <c r="Y152" i="95"/>
  <c r="DU149" i="75"/>
  <c r="R179" i="89"/>
  <c r="T132" i="89"/>
  <c r="ER67" i="75"/>
  <c r="X149" i="95"/>
  <c r="ER20" i="75"/>
  <c r="ER118" i="75"/>
  <c r="S176" i="69"/>
  <c r="ER31" i="75"/>
  <c r="ER30" i="75"/>
  <c r="BQ130" i="95"/>
  <c r="DU148" i="75"/>
  <c r="ER120" i="75"/>
  <c r="ER138" i="75"/>
  <c r="X148" i="95"/>
  <c r="ER114" i="75"/>
  <c r="ER60" i="75"/>
  <c r="ER123" i="75"/>
  <c r="ER9" i="75"/>
  <c r="ER92" i="75"/>
  <c r="ER53" i="75"/>
  <c r="X176" i="69"/>
  <c r="AT133" i="84"/>
  <c r="AY130" i="95"/>
  <c r="ER70" i="75"/>
  <c r="ER75" i="75"/>
  <c r="ER80" i="75"/>
  <c r="ER64" i="75"/>
  <c r="ER25" i="75"/>
  <c r="ER16" i="75"/>
  <c r="ER116" i="75"/>
  <c r="ER112" i="75"/>
  <c r="ER95" i="75"/>
  <c r="ER74" i="75"/>
  <c r="ER130" i="75"/>
  <c r="ER44" i="75"/>
  <c r="ER121" i="75"/>
  <c r="AQ133" i="87"/>
  <c r="ER88" i="75"/>
  <c r="ER24" i="75"/>
  <c r="ER152" i="75"/>
  <c r="H132" i="89"/>
  <c r="ER62" i="75"/>
  <c r="H87" i="89"/>
  <c r="ER151" i="75"/>
  <c r="AT178" i="95"/>
  <c r="ER14" i="75"/>
  <c r="ER56" i="75"/>
  <c r="ER115" i="75"/>
  <c r="ER36" i="75"/>
  <c r="Y154" i="95"/>
  <c r="Q183" i="90"/>
  <c r="ER52" i="75"/>
  <c r="ER134" i="75"/>
  <c r="ER103" i="75"/>
  <c r="ER105" i="75"/>
  <c r="S180" i="89"/>
  <c r="ER97" i="75"/>
  <c r="ER140" i="75"/>
  <c r="ER98" i="75"/>
  <c r="ER146" i="75"/>
  <c r="ER91" i="75"/>
  <c r="ER55" i="75"/>
  <c r="ER117" i="75"/>
  <c r="ER93" i="75"/>
  <c r="AC177" i="69"/>
  <c r="ER26" i="75"/>
  <c r="ER4" i="75"/>
  <c r="ER102" i="75"/>
  <c r="ER54" i="75"/>
  <c r="ER135" i="75"/>
  <c r="ER129" i="75"/>
  <c r="R180" i="89"/>
  <c r="ER108" i="75"/>
  <c r="ER154" i="75"/>
  <c r="O184" i="90"/>
  <c r="ER23" i="75"/>
  <c r="ER72" i="75"/>
  <c r="ER137" i="75"/>
  <c r="BB108" i="69"/>
  <c r="ER99" i="75"/>
  <c r="AV176" i="69"/>
  <c r="BD178" i="95"/>
  <c r="AR154" i="74"/>
  <c r="ER126" i="75"/>
  <c r="Y151" i="95"/>
  <c r="ER13" i="75"/>
  <c r="ER40" i="75"/>
  <c r="ER76" i="75"/>
  <c r="S129" i="69"/>
  <c r="S179" i="89"/>
  <c r="ER113" i="75"/>
  <c r="ER65" i="75"/>
  <c r="ER51" i="75"/>
  <c r="ER10" i="75"/>
  <c r="ER86" i="75"/>
  <c r="ER81" i="75"/>
  <c r="ER68" i="75"/>
  <c r="ER73" i="75"/>
  <c r="ER119" i="75"/>
  <c r="AL180" i="100"/>
  <c r="T180" i="89"/>
  <c r="AC176" i="69"/>
  <c r="ER57" i="75"/>
  <c r="W176" i="69"/>
  <c r="ER66" i="75"/>
  <c r="ER47" i="75"/>
  <c r="I132" i="89"/>
  <c r="ER148" i="75"/>
  <c r="ER83" i="75"/>
  <c r="AP177" i="69"/>
  <c r="ER111" i="75"/>
  <c r="ER17" i="75"/>
  <c r="Q180" i="89"/>
  <c r="ER106" i="75"/>
  <c r="DU147" i="75"/>
  <c r="G132" i="89"/>
  <c r="ER153" i="75"/>
  <c r="ER63" i="75"/>
  <c r="T179" i="89"/>
  <c r="ER144" i="75"/>
  <c r="S178" i="95"/>
  <c r="ER59" i="75"/>
  <c r="O183" i="90"/>
  <c r="BV87" i="84" l="1"/>
  <c r="M184" i="90"/>
  <c r="N180" i="89"/>
  <c r="AI86" i="84"/>
  <c r="T177" i="95"/>
  <c r="BE178" i="95"/>
  <c r="BE130" i="95"/>
  <c r="AK177" i="69"/>
  <c r="AW176" i="69"/>
  <c r="EK41" i="75" s="1"/>
  <c r="AD176" i="69"/>
  <c r="J41" i="74" s="1"/>
  <c r="AQ176" i="69"/>
  <c r="DP41" i="75" s="1"/>
  <c r="N183" i="90"/>
  <c r="H38" i="74"/>
  <c r="Y39" i="74"/>
  <c r="AQ91" i="90"/>
  <c r="AP91" i="90"/>
  <c r="AO91" i="90"/>
  <c r="K91" i="90"/>
  <c r="K136" i="90"/>
  <c r="L132" i="89"/>
  <c r="L136" i="90"/>
  <c r="M132" i="89"/>
  <c r="AJ184" i="90"/>
  <c r="L91" i="90"/>
  <c r="M136" i="90"/>
  <c r="BT136" i="90" s="1"/>
  <c r="AL183" i="90"/>
  <c r="AK184" i="90"/>
  <c r="BU90" i="90"/>
  <c r="BR183" i="90"/>
  <c r="AJ183" i="90"/>
  <c r="Z183" i="90"/>
  <c r="Z184" i="90"/>
  <c r="BS183" i="90"/>
  <c r="AK183" i="90"/>
  <c r="AR91" i="90"/>
  <c r="O180" i="89"/>
  <c r="N184" i="90"/>
  <c r="N132" i="89"/>
  <c r="AW129" i="69"/>
  <c r="EJ39" i="75" s="1"/>
  <c r="AD129" i="69"/>
  <c r="I39" i="74" s="1"/>
  <c r="AQ129" i="69"/>
  <c r="DO39" i="75" s="1"/>
  <c r="M87" i="89"/>
  <c r="L87" i="89"/>
  <c r="AJ159" i="87"/>
  <c r="BA133" i="84"/>
  <c r="BK130" i="69"/>
  <c r="I39" i="75"/>
  <c r="BO87" i="84"/>
  <c r="O132" i="89"/>
  <c r="F162" i="91"/>
  <c r="CA163" i="84"/>
  <c r="CH163" i="84"/>
  <c r="C154" i="91"/>
  <c r="CE155" i="84"/>
  <c r="BX155" i="84"/>
  <c r="BP87" i="84"/>
  <c r="D156" i="91"/>
  <c r="BY157" i="84"/>
  <c r="CF157" i="84"/>
  <c r="BQ87" i="84"/>
  <c r="E158" i="91"/>
  <c r="CG159" i="84"/>
  <c r="BZ159" i="84"/>
  <c r="Q184" i="90"/>
  <c r="O91" i="90"/>
  <c r="S150" i="75"/>
  <c r="S153" i="75"/>
  <c r="DV150" i="75"/>
  <c r="O136" i="90"/>
  <c r="DW156" i="75"/>
  <c r="S152" i="75"/>
  <c r="AT134" i="84"/>
  <c r="I87" i="89"/>
  <c r="R132" i="89"/>
  <c r="Q87" i="89"/>
  <c r="Q136" i="90"/>
  <c r="S150" i="74"/>
  <c r="P136" i="90"/>
  <c r="Q132" i="89"/>
  <c r="DV151" i="75"/>
  <c r="AD132" i="84"/>
  <c r="T156" i="74"/>
  <c r="S132" i="89"/>
  <c r="AP146" i="74"/>
  <c r="ER156" i="75"/>
  <c r="Z157" i="95"/>
  <c r="BI109" i="95"/>
  <c r="R149" i="74"/>
  <c r="AK160" i="87"/>
  <c r="AQ134" i="87"/>
  <c r="BB154" i="69"/>
  <c r="AD179" i="84"/>
  <c r="P91" i="90"/>
  <c r="BI155" i="95"/>
  <c r="S153" i="74"/>
  <c r="O97" i="68"/>
  <c r="S151" i="74"/>
  <c r="AP148" i="74"/>
  <c r="AD180" i="84"/>
  <c r="S152" i="74"/>
  <c r="R147" i="74"/>
  <c r="R90" i="90"/>
  <c r="DV153" i="75"/>
  <c r="R87" i="89"/>
  <c r="AP147" i="74"/>
  <c r="AP149" i="74"/>
  <c r="R148" i="74"/>
  <c r="R146" i="74"/>
  <c r="S151" i="75"/>
  <c r="DV152" i="75"/>
  <c r="S85" i="95"/>
  <c r="BD85" i="95"/>
  <c r="AT85" i="95"/>
  <c r="AY85" i="95"/>
  <c r="AL184" i="90" l="1"/>
  <c r="BT184" i="90"/>
  <c r="AM90" i="90"/>
  <c r="BC133" i="84"/>
  <c r="BK133" i="84" s="1"/>
  <c r="BB133" i="84"/>
  <c r="BJ133" i="84" s="1"/>
  <c r="BE133" i="84"/>
  <c r="BM133" i="84" s="1"/>
  <c r="BD133" i="84"/>
  <c r="BL133" i="84" s="1"/>
  <c r="AJ86" i="84"/>
  <c r="M91" i="90"/>
  <c r="N87" i="89"/>
  <c r="T178" i="95"/>
  <c r="AJ84" i="69"/>
  <c r="AK84" i="69" s="1"/>
  <c r="H39" i="75" s="1"/>
  <c r="J87" i="89"/>
  <c r="O87" i="89" s="1"/>
  <c r="BU183" i="90"/>
  <c r="BK109" i="95"/>
  <c r="BK155" i="95"/>
  <c r="AW177" i="69"/>
  <c r="EK42" i="75" s="1"/>
  <c r="AI132" i="84"/>
  <c r="AQ177" i="69"/>
  <c r="DP42" i="75" s="1"/>
  <c r="AI179" i="84"/>
  <c r="J42" i="75"/>
  <c r="AD177" i="69"/>
  <c r="J42" i="74" s="1"/>
  <c r="BL176" i="69"/>
  <c r="AA42" i="74"/>
  <c r="Z91" i="90"/>
  <c r="BR91" i="90"/>
  <c r="BU184" i="90"/>
  <c r="AK91" i="90"/>
  <c r="AJ91" i="90"/>
  <c r="AL136" i="90"/>
  <c r="BS91" i="90"/>
  <c r="AK136" i="90"/>
  <c r="BS136" i="90"/>
  <c r="BR136" i="90"/>
  <c r="Z136" i="90"/>
  <c r="BU136" i="90" s="1"/>
  <c r="AJ136" i="90"/>
  <c r="AI180" i="84"/>
  <c r="BE85" i="95"/>
  <c r="T85" i="95"/>
  <c r="Z40" i="74"/>
  <c r="BL129" i="69"/>
  <c r="BK131" i="69"/>
  <c r="BA134" i="84"/>
  <c r="AJ160" i="87"/>
  <c r="D157" i="91"/>
  <c r="BY158" i="84"/>
  <c r="CF158" i="84"/>
  <c r="BZ160" i="84"/>
  <c r="E159" i="91"/>
  <c r="CG160" i="84"/>
  <c r="BR133" i="84"/>
  <c r="BT133" i="84" s="1"/>
  <c r="BN133" i="84" s="1"/>
  <c r="AR133" i="84"/>
  <c r="CE156" i="84"/>
  <c r="C155" i="91"/>
  <c r="BX156" i="84"/>
  <c r="CH164" i="84"/>
  <c r="F163" i="91"/>
  <c r="CA164" i="84"/>
  <c r="W84" i="69"/>
  <c r="R136" i="90"/>
  <c r="ER162" i="75"/>
  <c r="AQ150" i="74"/>
  <c r="Z164" i="95"/>
  <c r="X153" i="95"/>
  <c r="ER160" i="75"/>
  <c r="AK161" i="87"/>
  <c r="BP108" i="69"/>
  <c r="R150" i="75"/>
  <c r="Z159" i="95"/>
  <c r="DW157" i="75"/>
  <c r="AV84" i="69"/>
  <c r="R183" i="90"/>
  <c r="AG155" i="95"/>
  <c r="T162" i="75"/>
  <c r="ER163" i="75"/>
  <c r="AQ135" i="87"/>
  <c r="T162" i="74"/>
  <c r="T158" i="75"/>
  <c r="T157" i="74"/>
  <c r="Z158" i="95"/>
  <c r="Q91" i="90"/>
  <c r="AQ153" i="74"/>
  <c r="R151" i="75"/>
  <c r="DW160" i="75"/>
  <c r="AR156" i="74"/>
  <c r="AT88" i="84"/>
  <c r="AP84" i="69"/>
  <c r="T161" i="74"/>
  <c r="Z160" i="95"/>
  <c r="Z163" i="95"/>
  <c r="T158" i="74"/>
  <c r="AT135" i="84"/>
  <c r="X84" i="69"/>
  <c r="Z162" i="95"/>
  <c r="X151" i="95"/>
  <c r="T160" i="75"/>
  <c r="AK86" i="84"/>
  <c r="T161" i="75"/>
  <c r="AQ88" i="87"/>
  <c r="X152" i="95"/>
  <c r="T159" i="75"/>
  <c r="T87" i="89"/>
  <c r="AQ152" i="74"/>
  <c r="ER159" i="75"/>
  <c r="T163" i="74"/>
  <c r="S84" i="69"/>
  <c r="DW163" i="75"/>
  <c r="R184" i="90"/>
  <c r="G133" i="89"/>
  <c r="S87" i="89"/>
  <c r="ER158" i="75"/>
  <c r="AQ151" i="74"/>
  <c r="DW159" i="75"/>
  <c r="R152" i="75"/>
  <c r="AL133" i="100"/>
  <c r="T157" i="75"/>
  <c r="ER157" i="75"/>
  <c r="BC154" i="69"/>
  <c r="T163" i="75"/>
  <c r="Z161" i="95"/>
  <c r="ER161" i="75"/>
  <c r="AC84" i="69"/>
  <c r="DW162" i="75"/>
  <c r="DW161" i="75"/>
  <c r="DW158" i="75"/>
  <c r="T160" i="74"/>
  <c r="T159" i="74"/>
  <c r="BV133" i="84" l="1"/>
  <c r="BE134" i="84"/>
  <c r="BM134" i="84" s="1"/>
  <c r="BD134" i="84"/>
  <c r="BL134" i="84" s="1"/>
  <c r="BC134" i="84"/>
  <c r="BK134" i="84" s="1"/>
  <c r="BB134" i="84"/>
  <c r="BJ134" i="84" s="1"/>
  <c r="AJ132" i="84"/>
  <c r="AJ179" i="84"/>
  <c r="AJ180" i="84"/>
  <c r="AL91" i="90"/>
  <c r="AM183" i="90"/>
  <c r="BT91" i="90"/>
  <c r="AQ84" i="69"/>
  <c r="DN39" i="75" s="1"/>
  <c r="AD84" i="69"/>
  <c r="BL84" i="69" s="1"/>
  <c r="AW84" i="69"/>
  <c r="EI39" i="75" s="1"/>
  <c r="AM136" i="90"/>
  <c r="N91" i="90"/>
  <c r="BU91" i="90" s="1"/>
  <c r="AM184" i="90"/>
  <c r="BL177" i="69"/>
  <c r="AO137" i="90"/>
  <c r="AQ137" i="90"/>
  <c r="AP137" i="90"/>
  <c r="K137" i="90"/>
  <c r="Z137" i="90" s="1"/>
  <c r="AR137" i="90"/>
  <c r="BQ158" i="84"/>
  <c r="BQ108" i="69"/>
  <c r="BA88" i="84"/>
  <c r="BK85" i="69"/>
  <c r="L133" i="89"/>
  <c r="BA135" i="84"/>
  <c r="BK132" i="69"/>
  <c r="AJ161" i="87"/>
  <c r="BP133" i="84"/>
  <c r="CF159" i="84"/>
  <c r="BY159" i="84"/>
  <c r="D158" i="91"/>
  <c r="BO133" i="84"/>
  <c r="CG161" i="84"/>
  <c r="BZ161" i="84"/>
  <c r="E160" i="91"/>
  <c r="AR134" i="84"/>
  <c r="BR134" i="84"/>
  <c r="BT134" i="84" s="1"/>
  <c r="BN134" i="84" s="1"/>
  <c r="BX157" i="84"/>
  <c r="C156" i="91"/>
  <c r="CE157" i="84"/>
  <c r="BQ133" i="84"/>
  <c r="DU150" i="75"/>
  <c r="AL134" i="100"/>
  <c r="O143" i="68"/>
  <c r="AK132" i="84"/>
  <c r="AK162" i="87"/>
  <c r="AT89" i="84"/>
  <c r="I133" i="89"/>
  <c r="DU152" i="75"/>
  <c r="AD87" i="84"/>
  <c r="H133" i="89"/>
  <c r="S131" i="95"/>
  <c r="AQ89" i="87"/>
  <c r="X130" i="69"/>
  <c r="O137" i="90"/>
  <c r="Q133" i="89"/>
  <c r="BO109" i="69"/>
  <c r="BP154" i="69"/>
  <c r="AK180" i="84"/>
  <c r="BO63" i="69"/>
  <c r="BD131" i="95"/>
  <c r="DU151" i="75"/>
  <c r="AY131" i="95"/>
  <c r="AK179" i="84"/>
  <c r="AT131" i="95"/>
  <c r="S130" i="69"/>
  <c r="BQ131" i="95"/>
  <c r="BV134" i="84" l="1"/>
  <c r="BE135" i="84"/>
  <c r="BM135" i="84" s="1"/>
  <c r="BD135" i="84"/>
  <c r="BL135" i="84" s="1"/>
  <c r="BC135" i="84"/>
  <c r="BK135" i="84" s="1"/>
  <c r="BB135" i="84"/>
  <c r="BJ135" i="84" s="1"/>
  <c r="BC88" i="84"/>
  <c r="BK88" i="84" s="1"/>
  <c r="BB88" i="84"/>
  <c r="BJ88" i="84" s="1"/>
  <c r="BD88" i="84"/>
  <c r="BL88" i="84" s="1"/>
  <c r="BE88" i="84"/>
  <c r="BM88" i="84" s="1"/>
  <c r="Y40" i="74"/>
  <c r="H39" i="74"/>
  <c r="AI87" i="84"/>
  <c r="BE131" i="95"/>
  <c r="T131" i="95"/>
  <c r="AJ130" i="69"/>
  <c r="AK130" i="69" s="1"/>
  <c r="I40" i="75" s="1"/>
  <c r="J133" i="89"/>
  <c r="O133" i="89" s="1"/>
  <c r="BQ154" i="69"/>
  <c r="AO138" i="90"/>
  <c r="AP138" i="90"/>
  <c r="AQ138" i="90"/>
  <c r="M137" i="90"/>
  <c r="L137" i="90"/>
  <c r="M133" i="89"/>
  <c r="AJ137" i="90"/>
  <c r="BR137" i="90"/>
  <c r="AR138" i="90"/>
  <c r="N133" i="89"/>
  <c r="BK86" i="69"/>
  <c r="BA89" i="84"/>
  <c r="AJ162" i="87"/>
  <c r="BQ134" i="84"/>
  <c r="BR135" i="84"/>
  <c r="BT135" i="84" s="1"/>
  <c r="BN135" i="84" s="1"/>
  <c r="AR135" i="84"/>
  <c r="BZ162" i="84"/>
  <c r="E161" i="91"/>
  <c r="CG162" i="84"/>
  <c r="BO134" i="84"/>
  <c r="BR88" i="84"/>
  <c r="BT88" i="84" s="1"/>
  <c r="BN88" i="84" s="1"/>
  <c r="AR88" i="84"/>
  <c r="BY160" i="84"/>
  <c r="D159" i="91"/>
  <c r="CF160" i="84"/>
  <c r="BP134" i="84"/>
  <c r="BX158" i="84"/>
  <c r="C157" i="91"/>
  <c r="CE158" i="84"/>
  <c r="AP151" i="74"/>
  <c r="S155" i="75"/>
  <c r="AP130" i="69"/>
  <c r="R152" i="74"/>
  <c r="W130" i="69"/>
  <c r="Y156" i="95"/>
  <c r="AD133" i="84"/>
  <c r="G134" i="89"/>
  <c r="Y155" i="95"/>
  <c r="G135" i="89"/>
  <c r="AL135" i="100"/>
  <c r="S154" i="75"/>
  <c r="H88" i="89"/>
  <c r="R133" i="89"/>
  <c r="R150" i="74"/>
  <c r="AV130" i="69"/>
  <c r="H134" i="89"/>
  <c r="P137" i="90"/>
  <c r="AP152" i="74"/>
  <c r="AC130" i="69"/>
  <c r="T133" i="89"/>
  <c r="R151" i="74"/>
  <c r="R91" i="90"/>
  <c r="AK163" i="87"/>
  <c r="AP150" i="74"/>
  <c r="Q137" i="90"/>
  <c r="O144" i="68"/>
  <c r="AQ43" i="87"/>
  <c r="S133" i="89"/>
  <c r="I134" i="89"/>
  <c r="BD132" i="95"/>
  <c r="Y157" i="95"/>
  <c r="S156" i="75"/>
  <c r="AT132" i="95"/>
  <c r="S131" i="69"/>
  <c r="X131" i="69"/>
  <c r="BV88" i="84" l="1"/>
  <c r="BV135" i="84"/>
  <c r="AM91" i="90"/>
  <c r="BE89" i="84"/>
  <c r="BM89" i="84" s="1"/>
  <c r="BD89" i="84"/>
  <c r="BL89" i="84" s="1"/>
  <c r="BC89" i="84"/>
  <c r="BK89" i="84" s="1"/>
  <c r="BB89" i="84"/>
  <c r="BJ89" i="84" s="1"/>
  <c r="AJ87" i="84"/>
  <c r="AI133" i="84"/>
  <c r="AQ130" i="69"/>
  <c r="AD130" i="69"/>
  <c r="I40" i="74" s="1"/>
  <c r="AW130" i="69"/>
  <c r="EJ40" i="75" s="1"/>
  <c r="N137" i="90"/>
  <c r="AJ131" i="69"/>
  <c r="AK131" i="69" s="1"/>
  <c r="I41" i="75" s="1"/>
  <c r="J134" i="89"/>
  <c r="O134" i="89" s="1"/>
  <c r="AO92" i="90"/>
  <c r="AP139" i="90"/>
  <c r="AQ139" i="90"/>
  <c r="AO139" i="90"/>
  <c r="AQ92" i="90"/>
  <c r="AP92" i="90"/>
  <c r="L92" i="90"/>
  <c r="AL137" i="90"/>
  <c r="L138" i="90"/>
  <c r="BS138" i="90" s="1"/>
  <c r="M134" i="89"/>
  <c r="K139" i="90"/>
  <c r="BR139" i="90" s="1"/>
  <c r="M138" i="90"/>
  <c r="K138" i="90"/>
  <c r="L134" i="89"/>
  <c r="BT137" i="90"/>
  <c r="BS137" i="90"/>
  <c r="AK137" i="90"/>
  <c r="AR139" i="90"/>
  <c r="AR92" i="90"/>
  <c r="N134" i="89"/>
  <c r="AJ163" i="87"/>
  <c r="M88" i="89"/>
  <c r="L135" i="89"/>
  <c r="BQ88" i="84"/>
  <c r="BP135" i="84"/>
  <c r="BY161" i="84"/>
  <c r="D160" i="91"/>
  <c r="CF161" i="84"/>
  <c r="CG163" i="84"/>
  <c r="E162" i="91"/>
  <c r="BZ163" i="84"/>
  <c r="BQ135" i="84"/>
  <c r="BO88" i="84"/>
  <c r="BO135" i="84"/>
  <c r="C158" i="91"/>
  <c r="BX159" i="84"/>
  <c r="CE159" i="84"/>
  <c r="BP88" i="84"/>
  <c r="BR89" i="84"/>
  <c r="BT89" i="84" s="1"/>
  <c r="BN89" i="84" s="1"/>
  <c r="AR89" i="84"/>
  <c r="AY132" i="95"/>
  <c r="T134" i="89"/>
  <c r="H89" i="89"/>
  <c r="EQ89" i="75"/>
  <c r="EQ68" i="75"/>
  <c r="EQ60" i="75"/>
  <c r="EQ13" i="75"/>
  <c r="EQ149" i="75"/>
  <c r="EQ16" i="75"/>
  <c r="EQ111" i="75"/>
  <c r="EQ105" i="75"/>
  <c r="EQ75" i="75"/>
  <c r="AD134" i="84"/>
  <c r="EQ83" i="75"/>
  <c r="EQ133" i="75"/>
  <c r="EQ55" i="75"/>
  <c r="EQ109" i="75"/>
  <c r="G88" i="89"/>
  <c r="H135" i="89"/>
  <c r="EQ5" i="75"/>
  <c r="EQ57" i="75"/>
  <c r="EQ120" i="75"/>
  <c r="EQ146" i="75"/>
  <c r="R134" i="89"/>
  <c r="EQ140" i="75"/>
  <c r="EQ52" i="75"/>
  <c r="EQ8" i="75"/>
  <c r="EQ27" i="75"/>
  <c r="EQ104" i="75"/>
  <c r="EQ25" i="75"/>
  <c r="EQ4" i="75"/>
  <c r="EQ53" i="75"/>
  <c r="EQ142" i="75"/>
  <c r="EQ96" i="75"/>
  <c r="S154" i="74"/>
  <c r="EQ137" i="75"/>
  <c r="EQ101" i="75"/>
  <c r="EQ35" i="75"/>
  <c r="EQ148" i="75"/>
  <c r="P92" i="90"/>
  <c r="O145" i="68"/>
  <c r="EQ64" i="75"/>
  <c r="EQ136" i="75"/>
  <c r="EQ103" i="75"/>
  <c r="EQ117" i="75"/>
  <c r="EQ123" i="75"/>
  <c r="EQ45" i="75"/>
  <c r="EQ17" i="75"/>
  <c r="O139" i="90"/>
  <c r="EQ81" i="75"/>
  <c r="EQ69" i="75"/>
  <c r="EQ112" i="75"/>
  <c r="EQ130" i="75"/>
  <c r="EQ19" i="75"/>
  <c r="EQ92" i="75"/>
  <c r="W131" i="69"/>
  <c r="EQ18" i="75"/>
  <c r="EQ90" i="75"/>
  <c r="EQ65" i="75"/>
  <c r="Q138" i="90"/>
  <c r="AL88" i="100"/>
  <c r="EQ6" i="75"/>
  <c r="EQ30" i="75"/>
  <c r="EQ115" i="75"/>
  <c r="EQ20" i="75"/>
  <c r="EQ131" i="75"/>
  <c r="EQ37" i="75"/>
  <c r="EQ71" i="75"/>
  <c r="EQ106" i="75"/>
  <c r="EQ33" i="75"/>
  <c r="EQ31" i="75"/>
  <c r="EQ153" i="75"/>
  <c r="AL89" i="100"/>
  <c r="EQ48" i="75"/>
  <c r="EQ38" i="75"/>
  <c r="BQ132" i="95"/>
  <c r="EQ28" i="75"/>
  <c r="EQ152" i="75"/>
  <c r="EQ12" i="75"/>
  <c r="EQ82" i="75"/>
  <c r="EQ41" i="75"/>
  <c r="EQ43" i="75"/>
  <c r="EQ32" i="75"/>
  <c r="EQ10" i="75"/>
  <c r="EQ113" i="75"/>
  <c r="EQ36" i="75"/>
  <c r="EQ54" i="75"/>
  <c r="EQ70" i="75"/>
  <c r="BC108" i="69"/>
  <c r="EQ141" i="75"/>
  <c r="EQ126" i="75"/>
  <c r="EQ121" i="75"/>
  <c r="EQ94" i="75"/>
  <c r="EQ74" i="75"/>
  <c r="Q134" i="89"/>
  <c r="EQ99" i="75"/>
  <c r="EQ91" i="75"/>
  <c r="O138" i="90"/>
  <c r="EQ108" i="75"/>
  <c r="EQ124" i="75"/>
  <c r="EQ24" i="75"/>
  <c r="O98" i="68"/>
  <c r="EQ156" i="75"/>
  <c r="EQ135" i="75"/>
  <c r="EQ88" i="75"/>
  <c r="AY86" i="95"/>
  <c r="EQ34" i="75"/>
  <c r="EQ151" i="75"/>
  <c r="EQ79" i="75"/>
  <c r="EQ29" i="75"/>
  <c r="EQ39" i="75"/>
  <c r="EQ122" i="75"/>
  <c r="EQ119" i="75"/>
  <c r="EQ51" i="75"/>
  <c r="S155" i="74"/>
  <c r="EQ110" i="75"/>
  <c r="AV131" i="69"/>
  <c r="Q135" i="89"/>
  <c r="P138" i="90"/>
  <c r="EQ97" i="75"/>
  <c r="BD86" i="95"/>
  <c r="I88" i="89"/>
  <c r="EQ85" i="75"/>
  <c r="S133" i="95"/>
  <c r="EQ144" i="75"/>
  <c r="EQ62" i="75"/>
  <c r="EQ95" i="75"/>
  <c r="EQ100" i="75"/>
  <c r="EQ40" i="75"/>
  <c r="AK164" i="87"/>
  <c r="EQ7" i="75"/>
  <c r="EQ77" i="75"/>
  <c r="EQ63" i="75"/>
  <c r="S132" i="95"/>
  <c r="EQ116" i="75"/>
  <c r="EQ49" i="75"/>
  <c r="EQ15" i="75"/>
  <c r="EQ72" i="75"/>
  <c r="EQ56" i="75"/>
  <c r="EQ102" i="75"/>
  <c r="EQ11" i="75"/>
  <c r="EQ76" i="75"/>
  <c r="EQ66" i="75"/>
  <c r="EQ61" i="75"/>
  <c r="AP131" i="69"/>
  <c r="EQ46" i="75"/>
  <c r="EQ50" i="75"/>
  <c r="EQ134" i="75"/>
  <c r="EQ107" i="75"/>
  <c r="EQ23" i="75"/>
  <c r="EQ154" i="75"/>
  <c r="EQ84" i="75"/>
  <c r="EQ125" i="75"/>
  <c r="EQ139" i="75"/>
  <c r="EQ44" i="75"/>
  <c r="EQ67" i="75"/>
  <c r="I135" i="89"/>
  <c r="R137" i="90"/>
  <c r="S85" i="69"/>
  <c r="EQ80" i="75"/>
  <c r="AT133" i="95"/>
  <c r="EQ147" i="75"/>
  <c r="EQ128" i="75"/>
  <c r="EQ98" i="75"/>
  <c r="EQ127" i="75"/>
  <c r="EQ132" i="75"/>
  <c r="AC131" i="69"/>
  <c r="EQ118" i="75"/>
  <c r="EQ58" i="75"/>
  <c r="EQ145" i="75"/>
  <c r="EQ138" i="75"/>
  <c r="R88" i="89"/>
  <c r="EQ78" i="75"/>
  <c r="EQ93" i="75"/>
  <c r="EQ114" i="75"/>
  <c r="EQ9" i="75"/>
  <c r="EQ42" i="75"/>
  <c r="EQ59" i="75"/>
  <c r="S157" i="75"/>
  <c r="EQ143" i="75"/>
  <c r="S134" i="89"/>
  <c r="EQ14" i="75"/>
  <c r="EQ129" i="75"/>
  <c r="EQ150" i="75"/>
  <c r="EQ87" i="75"/>
  <c r="EQ22" i="75"/>
  <c r="EQ21" i="75"/>
  <c r="AK87" i="84"/>
  <c r="EQ73" i="75"/>
  <c r="EQ155" i="75"/>
  <c r="EQ86" i="75"/>
  <c r="EQ26" i="75"/>
  <c r="S156" i="74"/>
  <c r="EQ47" i="75"/>
  <c r="S86" i="95"/>
  <c r="AT86" i="95"/>
  <c r="X85" i="69"/>
  <c r="BV89" i="84" l="1"/>
  <c r="J88" i="89"/>
  <c r="O88" i="89" s="1"/>
  <c r="AJ85" i="69"/>
  <c r="AK85" i="69" s="1"/>
  <c r="H40" i="75" s="1"/>
  <c r="T132" i="95"/>
  <c r="T133" i="95" s="1"/>
  <c r="AJ133" i="84"/>
  <c r="Z41" i="74"/>
  <c r="BL130" i="69"/>
  <c r="AM137" i="90"/>
  <c r="BU137" i="90"/>
  <c r="DO40" i="75"/>
  <c r="AW131" i="69"/>
  <c r="EJ41" i="75" s="1"/>
  <c r="AQ131" i="69"/>
  <c r="DO41" i="75" s="1"/>
  <c r="BE132" i="95"/>
  <c r="AD131" i="69"/>
  <c r="Z42" i="74" s="1"/>
  <c r="J135" i="89"/>
  <c r="O135" i="89" s="1"/>
  <c r="AJ132" i="69"/>
  <c r="AK132" i="69" s="1"/>
  <c r="I42" i="75" s="1"/>
  <c r="N138" i="90"/>
  <c r="BS92" i="90"/>
  <c r="AP93" i="90"/>
  <c r="AO93" i="90"/>
  <c r="AQ93" i="90"/>
  <c r="Z139" i="90"/>
  <c r="M139" i="90"/>
  <c r="BT139" i="90" s="1"/>
  <c r="AJ139" i="90"/>
  <c r="L139" i="90"/>
  <c r="M135" i="89"/>
  <c r="M92" i="90"/>
  <c r="AK138" i="90"/>
  <c r="L93" i="90"/>
  <c r="BS93" i="90" s="1"/>
  <c r="K92" i="90"/>
  <c r="L88" i="89"/>
  <c r="AK92" i="90"/>
  <c r="AL138" i="90"/>
  <c r="Z138" i="90"/>
  <c r="BR138" i="90"/>
  <c r="AJ138" i="90"/>
  <c r="BT138" i="90"/>
  <c r="AR93" i="90"/>
  <c r="N88" i="89"/>
  <c r="N135" i="89"/>
  <c r="AI134" i="84"/>
  <c r="T86" i="95"/>
  <c r="BE86" i="95"/>
  <c r="AJ164" i="87"/>
  <c r="M89" i="89"/>
  <c r="CG164" i="84"/>
  <c r="E163" i="91"/>
  <c r="BZ164" i="84"/>
  <c r="BO89" i="84"/>
  <c r="CE160" i="84"/>
  <c r="C159" i="91"/>
  <c r="BX160" i="84"/>
  <c r="BY162" i="84"/>
  <c r="CF162" i="84"/>
  <c r="D161" i="91"/>
  <c r="BQ89" i="84"/>
  <c r="BP89" i="84"/>
  <c r="G89" i="89"/>
  <c r="AV34" i="87"/>
  <c r="Y161" i="95"/>
  <c r="AV108" i="87"/>
  <c r="AQ157" i="74"/>
  <c r="AU143" i="87"/>
  <c r="X154" i="95"/>
  <c r="AV211" i="87"/>
  <c r="AV225" i="87"/>
  <c r="AU60" i="87"/>
  <c r="AV79" i="87"/>
  <c r="AV85" i="87"/>
  <c r="DV157" i="75"/>
  <c r="AV32" i="87"/>
  <c r="AU152" i="87"/>
  <c r="AU61" i="87"/>
  <c r="AV149" i="87"/>
  <c r="AU100" i="87"/>
  <c r="Y158" i="95"/>
  <c r="AV215" i="87"/>
  <c r="DV154" i="75"/>
  <c r="AV168" i="87"/>
  <c r="AV71" i="87"/>
  <c r="AV36" i="87"/>
  <c r="AV21" i="87"/>
  <c r="AV129" i="87"/>
  <c r="R155" i="75"/>
  <c r="AV169" i="87"/>
  <c r="AC132" i="69"/>
  <c r="AT90" i="84"/>
  <c r="AV120" i="87"/>
  <c r="AU188" i="87"/>
  <c r="AV205" i="87"/>
  <c r="X155" i="95"/>
  <c r="AU189" i="87"/>
  <c r="AU148" i="87"/>
  <c r="S163" i="75"/>
  <c r="AV162" i="87"/>
  <c r="O99" i="68"/>
  <c r="AY87" i="95"/>
  <c r="AV222" i="87"/>
  <c r="AD88" i="84"/>
  <c r="AU197" i="87"/>
  <c r="Y163" i="95"/>
  <c r="W85" i="69"/>
  <c r="AV219" i="87"/>
  <c r="AV37" i="87"/>
  <c r="AV85" i="69"/>
  <c r="AV86" i="87"/>
  <c r="AV83" i="87"/>
  <c r="T88" i="89"/>
  <c r="AV114" i="87"/>
  <c r="DV156" i="75"/>
  <c r="AV82" i="87"/>
  <c r="AV22" i="87"/>
  <c r="AP85" i="69"/>
  <c r="AV76" i="87"/>
  <c r="AV224" i="87"/>
  <c r="AU199" i="87"/>
  <c r="T135" i="89"/>
  <c r="AV207" i="87"/>
  <c r="AV159" i="87"/>
  <c r="AU190" i="87"/>
  <c r="AV89" i="87"/>
  <c r="AV175" i="87"/>
  <c r="AU64" i="87"/>
  <c r="AV67" i="87"/>
  <c r="Q88" i="89"/>
  <c r="AU147" i="87"/>
  <c r="AV78" i="87"/>
  <c r="AV170" i="87"/>
  <c r="BB109" i="69"/>
  <c r="AU56" i="87"/>
  <c r="AV40" i="87"/>
  <c r="AV208" i="87"/>
  <c r="BD133" i="95"/>
  <c r="AV214" i="87"/>
  <c r="AU154" i="87"/>
  <c r="AV167" i="87"/>
  <c r="AV201" i="87"/>
  <c r="AV106" i="87"/>
  <c r="AV126" i="87"/>
  <c r="S86" i="69"/>
  <c r="AV72" i="87"/>
  <c r="AV127" i="87"/>
  <c r="AV178" i="87"/>
  <c r="R156" i="75"/>
  <c r="AV121" i="87"/>
  <c r="AU62" i="87"/>
  <c r="AV87" i="87"/>
  <c r="AV43" i="87"/>
  <c r="AV64" i="87"/>
  <c r="Q92" i="90"/>
  <c r="AV165" i="87"/>
  <c r="AU193" i="87"/>
  <c r="AV174" i="87"/>
  <c r="AV15" i="87"/>
  <c r="AU194" i="87"/>
  <c r="AV163" i="87"/>
  <c r="AV195" i="87"/>
  <c r="AV134" i="87"/>
  <c r="AV69" i="87"/>
  <c r="AV150" i="87"/>
  <c r="R153" i="75"/>
  <c r="AV116" i="87"/>
  <c r="AU151" i="87"/>
  <c r="AV128" i="87"/>
  <c r="BQ133" i="95"/>
  <c r="AU14" i="87"/>
  <c r="AV77" i="87"/>
  <c r="AU101" i="87"/>
  <c r="P139" i="90"/>
  <c r="AV25" i="87"/>
  <c r="AV199" i="87"/>
  <c r="AU146" i="87"/>
  <c r="AV18" i="87"/>
  <c r="S132" i="69"/>
  <c r="AU144" i="87"/>
  <c r="AV132" i="87"/>
  <c r="AV216" i="87"/>
  <c r="AV171" i="87"/>
  <c r="AP132" i="69"/>
  <c r="AU98" i="87"/>
  <c r="AU191" i="87"/>
  <c r="AV194" i="87"/>
  <c r="AU97" i="87"/>
  <c r="S88" i="89"/>
  <c r="AV197" i="87"/>
  <c r="AV166" i="87"/>
  <c r="AU63" i="87"/>
  <c r="AV152" i="87"/>
  <c r="AV206" i="87"/>
  <c r="AV130" i="87"/>
  <c r="O92" i="90"/>
  <c r="AU11" i="87"/>
  <c r="AU55" i="87"/>
  <c r="AU153" i="87"/>
  <c r="AU52" i="87"/>
  <c r="AU8" i="87"/>
  <c r="EQ157" i="75"/>
  <c r="AV75" i="87"/>
  <c r="AU13" i="87"/>
  <c r="AU53" i="87"/>
  <c r="AU149" i="87"/>
  <c r="X132" i="69"/>
  <c r="S159" i="75"/>
  <c r="AV42" i="87"/>
  <c r="AV123" i="87"/>
  <c r="AV30" i="87"/>
  <c r="AV135" i="87"/>
  <c r="AQ156" i="74"/>
  <c r="AU57" i="87"/>
  <c r="AV62" i="87"/>
  <c r="AT97" i="87"/>
  <c r="AU7" i="87"/>
  <c r="AY133" i="95"/>
  <c r="AT7" i="87"/>
  <c r="AU103" i="87"/>
  <c r="S135" i="89"/>
  <c r="AV66" i="87"/>
  <c r="AV221" i="87"/>
  <c r="AV35" i="87"/>
  <c r="Y160" i="95"/>
  <c r="AU59" i="87"/>
  <c r="AV27" i="87"/>
  <c r="AV124" i="87"/>
  <c r="AV17" i="87"/>
  <c r="AV113" i="87"/>
  <c r="AG110" i="95"/>
  <c r="AV200" i="87"/>
  <c r="AU58" i="87"/>
  <c r="AV217" i="87"/>
  <c r="AU106" i="87"/>
  <c r="AC85" i="69"/>
  <c r="AV14" i="87"/>
  <c r="AV196" i="87"/>
  <c r="AU196" i="87"/>
  <c r="AU9" i="87"/>
  <c r="AV29" i="87"/>
  <c r="AV33" i="87"/>
  <c r="AU102" i="87"/>
  <c r="AV39" i="87"/>
  <c r="AV176" i="87"/>
  <c r="X86" i="69"/>
  <c r="AU17" i="87"/>
  <c r="AQ155" i="74"/>
  <c r="AT52" i="87"/>
  <c r="AV198" i="87"/>
  <c r="AV209" i="87"/>
  <c r="AU99" i="87"/>
  <c r="AU195" i="87"/>
  <c r="AV218" i="87"/>
  <c r="AU187" i="87"/>
  <c r="AV158" i="87"/>
  <c r="AV122" i="87"/>
  <c r="AV59" i="87"/>
  <c r="AV133" i="87"/>
  <c r="AV202" i="87"/>
  <c r="R89" i="89"/>
  <c r="AV213" i="87"/>
  <c r="AV132" i="69"/>
  <c r="AV107" i="87"/>
  <c r="AV177" i="87"/>
  <c r="I89" i="89"/>
  <c r="AV203" i="87"/>
  <c r="R154" i="75"/>
  <c r="AV20" i="87"/>
  <c r="AV73" i="87"/>
  <c r="AV74" i="87"/>
  <c r="AV119" i="87"/>
  <c r="AV131" i="87"/>
  <c r="AV80" i="87"/>
  <c r="AV157" i="87"/>
  <c r="AV88" i="87"/>
  <c r="W132" i="69"/>
  <c r="AU192" i="87"/>
  <c r="AV61" i="87"/>
  <c r="AV179" i="87"/>
  <c r="AG64" i="95"/>
  <c r="AV117" i="87"/>
  <c r="Y164" i="95"/>
  <c r="S162" i="75"/>
  <c r="AV204" i="87"/>
  <c r="Q139" i="90"/>
  <c r="AV223" i="87"/>
  <c r="AU54" i="87"/>
  <c r="X157" i="95"/>
  <c r="BB63" i="69"/>
  <c r="AU105" i="87"/>
  <c r="S161" i="75"/>
  <c r="AV180" i="87"/>
  <c r="AV164" i="87"/>
  <c r="AV23" i="87"/>
  <c r="AV212" i="87"/>
  <c r="AV70" i="87"/>
  <c r="AV84" i="87"/>
  <c r="AU19" i="87"/>
  <c r="Y159" i="95"/>
  <c r="AV172" i="87"/>
  <c r="AU16" i="87"/>
  <c r="AV161" i="87"/>
  <c r="S160" i="75"/>
  <c r="AV31" i="87"/>
  <c r="AV151" i="87"/>
  <c r="AU109" i="87"/>
  <c r="AV26" i="87"/>
  <c r="AV110" i="87"/>
  <c r="AV38" i="87"/>
  <c r="AV81" i="87"/>
  <c r="AK133" i="84"/>
  <c r="AV60" i="87"/>
  <c r="AV210" i="87"/>
  <c r="AV65" i="87"/>
  <c r="S87" i="95"/>
  <c r="AV16" i="87"/>
  <c r="AV155" i="87"/>
  <c r="AV28" i="87"/>
  <c r="AV63" i="87"/>
  <c r="AV104" i="87"/>
  <c r="AV41" i="87"/>
  <c r="AV125" i="87"/>
  <c r="AV109" i="87"/>
  <c r="AU12" i="87"/>
  <c r="Y162" i="95"/>
  <c r="AV160" i="87"/>
  <c r="AV173" i="87"/>
  <c r="AU15" i="87"/>
  <c r="AQ154" i="74"/>
  <c r="AQ90" i="87"/>
  <c r="AU145" i="87"/>
  <c r="S158" i="75"/>
  <c r="AU108" i="87"/>
  <c r="AU10" i="87"/>
  <c r="AV112" i="87"/>
  <c r="AV153" i="87"/>
  <c r="AV220" i="87"/>
  <c r="AU198" i="87"/>
  <c r="AV154" i="87"/>
  <c r="DV155" i="75"/>
  <c r="AV19" i="87"/>
  <c r="AV68" i="87"/>
  <c r="AV115" i="87"/>
  <c r="AV118" i="87"/>
  <c r="AQ158" i="74"/>
  <c r="R135" i="89"/>
  <c r="AV105" i="87"/>
  <c r="AV24" i="87"/>
  <c r="X156" i="95"/>
  <c r="R138" i="90"/>
  <c r="AU150" i="87"/>
  <c r="P93" i="90"/>
  <c r="AU18" i="87"/>
  <c r="AV156" i="87"/>
  <c r="AU142" i="87"/>
  <c r="AU104" i="87"/>
  <c r="AV111" i="87"/>
  <c r="AI88" i="84" l="1"/>
  <c r="AQ85" i="69"/>
  <c r="AD85" i="69"/>
  <c r="H40" i="74" s="1"/>
  <c r="AW85" i="69"/>
  <c r="EI40" i="75" s="1"/>
  <c r="N92" i="90"/>
  <c r="AJ134" i="84"/>
  <c r="J89" i="89"/>
  <c r="O89" i="89" s="1"/>
  <c r="AJ86" i="69"/>
  <c r="AK86" i="69" s="1"/>
  <c r="H41" i="75" s="1"/>
  <c r="BE133" i="95"/>
  <c r="BL131" i="69"/>
  <c r="AW132" i="69"/>
  <c r="EJ42" i="75" s="1"/>
  <c r="AD132" i="69"/>
  <c r="I42" i="74" s="1"/>
  <c r="AQ132" i="69"/>
  <c r="I41" i="74"/>
  <c r="BU138" i="90"/>
  <c r="N139" i="90"/>
  <c r="BU139" i="90" s="1"/>
  <c r="BR92" i="90"/>
  <c r="BT92" i="90"/>
  <c r="T87" i="95"/>
  <c r="Z92" i="90"/>
  <c r="AM138" i="90"/>
  <c r="K93" i="90"/>
  <c r="L89" i="89"/>
  <c r="AL139" i="90"/>
  <c r="M93" i="90"/>
  <c r="BT93" i="90" s="1"/>
  <c r="AJ92" i="90"/>
  <c r="AK93" i="90"/>
  <c r="AL92" i="90"/>
  <c r="AK139" i="90"/>
  <c r="BS139" i="90"/>
  <c r="N89" i="89"/>
  <c r="AW142" i="87"/>
  <c r="AW103" i="87"/>
  <c r="BB10" i="75" s="1"/>
  <c r="AW156" i="87"/>
  <c r="BC18" i="75" s="1"/>
  <c r="AW29" i="87"/>
  <c r="AE26" i="75" s="1"/>
  <c r="AK26" i="75" s="1"/>
  <c r="AW163" i="87"/>
  <c r="AH25" i="75" s="1"/>
  <c r="AW148" i="87"/>
  <c r="BC10" i="75" s="1"/>
  <c r="AW73" i="87"/>
  <c r="BA25" i="75" s="1"/>
  <c r="AW194" i="87"/>
  <c r="AI11" i="75" s="1"/>
  <c r="AW147" i="87"/>
  <c r="BC9" i="75" s="1"/>
  <c r="AW99" i="87"/>
  <c r="AW102" i="87"/>
  <c r="AG9" i="75" s="1"/>
  <c r="AW187" i="87"/>
  <c r="AW23" i="87"/>
  <c r="AZ20" i="75" s="1"/>
  <c r="BE20" i="75" s="1"/>
  <c r="AW200" i="87"/>
  <c r="AI17" i="75" s="1"/>
  <c r="AW17" i="87"/>
  <c r="AZ14" i="75" s="1"/>
  <c r="BF14" i="75" s="1"/>
  <c r="AW57" i="87"/>
  <c r="BA9" i="75" s="1"/>
  <c r="AW159" i="87"/>
  <c r="AH21" i="75" s="1"/>
  <c r="AW75" i="87"/>
  <c r="AF27" i="75" s="1"/>
  <c r="AW160" i="87"/>
  <c r="AW105" i="87"/>
  <c r="AG12" i="75" s="1"/>
  <c r="AW27" i="87"/>
  <c r="AW155" i="87"/>
  <c r="AW22" i="87"/>
  <c r="AW98" i="87"/>
  <c r="AW107" i="87"/>
  <c r="AW67" i="87"/>
  <c r="AW190" i="87"/>
  <c r="BD7" i="75" s="1"/>
  <c r="AW162" i="87"/>
  <c r="BC24" i="75" s="1"/>
  <c r="AW119" i="87"/>
  <c r="AG26" i="75" s="1"/>
  <c r="AW145" i="87"/>
  <c r="AH7" i="75" s="1"/>
  <c r="AW201" i="87"/>
  <c r="BD18" i="75" s="1"/>
  <c r="AW66" i="87"/>
  <c r="AW70" i="87"/>
  <c r="AW113" i="87"/>
  <c r="AW117" i="87"/>
  <c r="AW11" i="87"/>
  <c r="AW114" i="87"/>
  <c r="AW69" i="87"/>
  <c r="AW55" i="87"/>
  <c r="AW111" i="87"/>
  <c r="AG18" i="75" s="1"/>
  <c r="AW56" i="87"/>
  <c r="AW25" i="87"/>
  <c r="AZ22" i="75" s="1"/>
  <c r="BF22" i="75" s="1"/>
  <c r="AW205" i="87"/>
  <c r="BD22" i="75" s="1"/>
  <c r="AW62" i="87"/>
  <c r="AW193" i="87"/>
  <c r="AW18" i="87"/>
  <c r="AE15" i="75" s="1"/>
  <c r="AJ15" i="75" s="1"/>
  <c r="AW118" i="87"/>
  <c r="AW153" i="87"/>
  <c r="AW146" i="87"/>
  <c r="AH8" i="75" s="1"/>
  <c r="AW196" i="87"/>
  <c r="AI13" i="75" s="1"/>
  <c r="AW71" i="87"/>
  <c r="AW191" i="87"/>
  <c r="AW106" i="87"/>
  <c r="AW108" i="87"/>
  <c r="AW52" i="87"/>
  <c r="AW10" i="87"/>
  <c r="AW68" i="87"/>
  <c r="AF20" i="75" s="1"/>
  <c r="AW54" i="87"/>
  <c r="AW20" i="87"/>
  <c r="AW115" i="87"/>
  <c r="AW202" i="87"/>
  <c r="AW149" i="87"/>
  <c r="AW144" i="87"/>
  <c r="AW72" i="87"/>
  <c r="AW197" i="87"/>
  <c r="AW192" i="87"/>
  <c r="AW24" i="87"/>
  <c r="AW7" i="87"/>
  <c r="AW16" i="87"/>
  <c r="AE13" i="75" s="1"/>
  <c r="AJ13" i="75" s="1"/>
  <c r="AW15" i="87"/>
  <c r="AZ12" i="75" s="1"/>
  <c r="BE12" i="75" s="1"/>
  <c r="AW143" i="87"/>
  <c r="AW14" i="87"/>
  <c r="AW120" i="87"/>
  <c r="AW152" i="87"/>
  <c r="AW154" i="87"/>
  <c r="AW112" i="87"/>
  <c r="AW116" i="87"/>
  <c r="AW195" i="87"/>
  <c r="AW97" i="87"/>
  <c r="AW101" i="87"/>
  <c r="BB8" i="75" s="1"/>
  <c r="AW8" i="87"/>
  <c r="AW13" i="87"/>
  <c r="AW53" i="87"/>
  <c r="AW64" i="87"/>
  <c r="AW65" i="87"/>
  <c r="AW158" i="87"/>
  <c r="AW157" i="87"/>
  <c r="AW151" i="87"/>
  <c r="AW26" i="87"/>
  <c r="AW198" i="87"/>
  <c r="AW188" i="87"/>
  <c r="AW110" i="87"/>
  <c r="AW109" i="87"/>
  <c r="AW9" i="87"/>
  <c r="AW61" i="87"/>
  <c r="AW21" i="87"/>
  <c r="AW74" i="87"/>
  <c r="AW204" i="87"/>
  <c r="AW28" i="87"/>
  <c r="AW58" i="87"/>
  <c r="AW161" i="87"/>
  <c r="AW150" i="87"/>
  <c r="AH12" i="75" s="1"/>
  <c r="AW199" i="87"/>
  <c r="AW189" i="87"/>
  <c r="AW100" i="87"/>
  <c r="BB7" i="75" s="1"/>
  <c r="AW19" i="87"/>
  <c r="AW60" i="87"/>
  <c r="AW12" i="87"/>
  <c r="AW63" i="87"/>
  <c r="AW203" i="87"/>
  <c r="AW59" i="87"/>
  <c r="BK87" i="69"/>
  <c r="BA90" i="84"/>
  <c r="AW30" i="87"/>
  <c r="AW121" i="87"/>
  <c r="AW214" i="87"/>
  <c r="AW167" i="87"/>
  <c r="AW76" i="87"/>
  <c r="AW122" i="87"/>
  <c r="AW215" i="87"/>
  <c r="AW31" i="87"/>
  <c r="AW77" i="87"/>
  <c r="AW168" i="87"/>
  <c r="AW123" i="87"/>
  <c r="AW32" i="87"/>
  <c r="AW216" i="87"/>
  <c r="AW78" i="87"/>
  <c r="AW169" i="87"/>
  <c r="AW124" i="87"/>
  <c r="AW33" i="87"/>
  <c r="AW170" i="87"/>
  <c r="AW79" i="87"/>
  <c r="AW217" i="87"/>
  <c r="AW125" i="87"/>
  <c r="AW34" i="87"/>
  <c r="AW218" i="87"/>
  <c r="AW80" i="87"/>
  <c r="AW171" i="87"/>
  <c r="AW126" i="87"/>
  <c r="AW35" i="87"/>
  <c r="AW172" i="87"/>
  <c r="AW219" i="87"/>
  <c r="AW81" i="87"/>
  <c r="AW36" i="87"/>
  <c r="AW127" i="87"/>
  <c r="AW220" i="87"/>
  <c r="AW173" i="87"/>
  <c r="AW82" i="87"/>
  <c r="AW37" i="87"/>
  <c r="AW128" i="87"/>
  <c r="AW83" i="87"/>
  <c r="AW174" i="87"/>
  <c r="AW221" i="87"/>
  <c r="AW129" i="87"/>
  <c r="AW38" i="87"/>
  <c r="AW222" i="87"/>
  <c r="AW175" i="87"/>
  <c r="AW223" i="87"/>
  <c r="AW224" i="87"/>
  <c r="AW84" i="87"/>
  <c r="AW225" i="87"/>
  <c r="AW130" i="87"/>
  <c r="AW39" i="87"/>
  <c r="AW176" i="87"/>
  <c r="AW85" i="87"/>
  <c r="AW40" i="87"/>
  <c r="AW131" i="87"/>
  <c r="AW86" i="87"/>
  <c r="AW177" i="87"/>
  <c r="AW178" i="87"/>
  <c r="AW132" i="87"/>
  <c r="AW41" i="87"/>
  <c r="AW179" i="87"/>
  <c r="AW180" i="87"/>
  <c r="AW87" i="87"/>
  <c r="AW133" i="87"/>
  <c r="AW42" i="87"/>
  <c r="AW134" i="87"/>
  <c r="AW135" i="87"/>
  <c r="AW89" i="87"/>
  <c r="AW43" i="87"/>
  <c r="AW88" i="87"/>
  <c r="AW166" i="87"/>
  <c r="AW213" i="87"/>
  <c r="AW165" i="87"/>
  <c r="AW212" i="87"/>
  <c r="AW104" i="87"/>
  <c r="AW164" i="87"/>
  <c r="AW211" i="87"/>
  <c r="AW210" i="87"/>
  <c r="AW206" i="87"/>
  <c r="AW209" i="87"/>
  <c r="AW208" i="87"/>
  <c r="AW207" i="87"/>
  <c r="BY163" i="84"/>
  <c r="CF163" i="84"/>
  <c r="D162" i="91"/>
  <c r="BX161" i="84"/>
  <c r="C160" i="91"/>
  <c r="CE161" i="84"/>
  <c r="AV90" i="87"/>
  <c r="BB97" i="87"/>
  <c r="BB189" i="87"/>
  <c r="BB65" i="87"/>
  <c r="BB21" i="87"/>
  <c r="BB18" i="87"/>
  <c r="S158" i="74"/>
  <c r="BB108" i="87"/>
  <c r="BB107" i="87"/>
  <c r="BB60" i="87"/>
  <c r="EQ158" i="75"/>
  <c r="AD135" i="84"/>
  <c r="BB104" i="87"/>
  <c r="BB53" i="87"/>
  <c r="BB112" i="87"/>
  <c r="BB191" i="87"/>
  <c r="BB106" i="87"/>
  <c r="S162" i="74"/>
  <c r="BC63" i="69"/>
  <c r="R154" i="74"/>
  <c r="BB55" i="87"/>
  <c r="Q93" i="90"/>
  <c r="BB201" i="87"/>
  <c r="BI110" i="95"/>
  <c r="BB156" i="87"/>
  <c r="BB103" i="87"/>
  <c r="BC109" i="69"/>
  <c r="EQ160" i="75"/>
  <c r="S157" i="74"/>
  <c r="BB57" i="87"/>
  <c r="S161" i="74"/>
  <c r="BB110" i="87"/>
  <c r="BB9" i="87"/>
  <c r="BO64" i="69"/>
  <c r="R155" i="74"/>
  <c r="BB146" i="87"/>
  <c r="BB200" i="87"/>
  <c r="S159" i="74"/>
  <c r="BB10" i="87"/>
  <c r="AQ44" i="87"/>
  <c r="BB188" i="87"/>
  <c r="BB109" i="87"/>
  <c r="EQ159" i="75"/>
  <c r="BB149" i="87"/>
  <c r="BB151" i="87"/>
  <c r="BB8" i="87"/>
  <c r="S160" i="74"/>
  <c r="BB100" i="87"/>
  <c r="EQ161" i="75"/>
  <c r="AD89" i="84"/>
  <c r="BB52" i="87"/>
  <c r="BB202" i="87"/>
  <c r="BB17" i="87"/>
  <c r="R92" i="90"/>
  <c r="AT87" i="95"/>
  <c r="BB58" i="87"/>
  <c r="AV86" i="69"/>
  <c r="EQ163" i="75"/>
  <c r="BB66" i="87"/>
  <c r="BB15" i="87"/>
  <c r="X158" i="95"/>
  <c r="BB101" i="87"/>
  <c r="BB54" i="87"/>
  <c r="BB155" i="87"/>
  <c r="AP86" i="69"/>
  <c r="BB187" i="87"/>
  <c r="R157" i="75"/>
  <c r="EQ162" i="75"/>
  <c r="BB102" i="87"/>
  <c r="BB99" i="87"/>
  <c r="BB64" i="87"/>
  <c r="BB98" i="87"/>
  <c r="BB192" i="87"/>
  <c r="S89" i="89"/>
  <c r="BB199" i="87"/>
  <c r="BB144" i="87"/>
  <c r="BB154" i="87"/>
  <c r="BD87" i="95"/>
  <c r="BB7" i="87"/>
  <c r="AC86" i="69"/>
  <c r="BB16" i="87"/>
  <c r="BB148" i="87"/>
  <c r="T89" i="89"/>
  <c r="BB195" i="87"/>
  <c r="Q89" i="89"/>
  <c r="BB56" i="87"/>
  <c r="BB12" i="87"/>
  <c r="BB193" i="87"/>
  <c r="BB147" i="87"/>
  <c r="BB153" i="87"/>
  <c r="BB13" i="87"/>
  <c r="BB197" i="87"/>
  <c r="R156" i="74"/>
  <c r="W86" i="69"/>
  <c r="BB19" i="87"/>
  <c r="BB152" i="87"/>
  <c r="BB62" i="87"/>
  <c r="BB20" i="87"/>
  <c r="BB190" i="87"/>
  <c r="BB11" i="87"/>
  <c r="BB196" i="87"/>
  <c r="BB61" i="87"/>
  <c r="BB111" i="87"/>
  <c r="BB63" i="87"/>
  <c r="BB145" i="87"/>
  <c r="BB157" i="87"/>
  <c r="R153" i="74"/>
  <c r="S163" i="74"/>
  <c r="BB150" i="87"/>
  <c r="BB14" i="87"/>
  <c r="AK134" i="84"/>
  <c r="BB105" i="87"/>
  <c r="BB142" i="87"/>
  <c r="O93" i="90"/>
  <c r="BB194" i="87"/>
  <c r="BB198" i="87"/>
  <c r="BB143" i="87"/>
  <c r="BB59" i="87"/>
  <c r="AJ88" i="84" l="1"/>
  <c r="BE87" i="95"/>
  <c r="BU92" i="90"/>
  <c r="BL85" i="69"/>
  <c r="AM92" i="90"/>
  <c r="Y41" i="74"/>
  <c r="DN40" i="75"/>
  <c r="AI135" i="84"/>
  <c r="BE90" i="84"/>
  <c r="BM90" i="84" s="1"/>
  <c r="BD90" i="84"/>
  <c r="BL90" i="84" s="1"/>
  <c r="BC90" i="84"/>
  <c r="BK90" i="84" s="1"/>
  <c r="BB90" i="84"/>
  <c r="BJ90" i="84" s="1"/>
  <c r="AI89" i="84"/>
  <c r="AQ86" i="69"/>
  <c r="DN41" i="75" s="1"/>
  <c r="AD86" i="69"/>
  <c r="H41" i="74" s="1"/>
  <c r="AW86" i="69"/>
  <c r="EI41" i="75" s="1"/>
  <c r="N93" i="90"/>
  <c r="BK110" i="95"/>
  <c r="BL132" i="69"/>
  <c r="DO42" i="75"/>
  <c r="AL93" i="90"/>
  <c r="BR93" i="90"/>
  <c r="Z93" i="90"/>
  <c r="AJ93" i="90"/>
  <c r="BE14" i="75"/>
  <c r="BC4" i="75"/>
  <c r="AJ26" i="75"/>
  <c r="AH4" i="75"/>
  <c r="AG10" i="75"/>
  <c r="AZ26" i="75"/>
  <c r="BF26" i="75" s="1"/>
  <c r="BC25" i="75"/>
  <c r="AF25" i="75"/>
  <c r="AH18" i="75"/>
  <c r="BC8" i="75"/>
  <c r="BD17" i="75"/>
  <c r="BB9" i="75"/>
  <c r="BD11" i="75"/>
  <c r="AI22" i="75"/>
  <c r="AE14" i="75"/>
  <c r="AJ14" i="75" s="1"/>
  <c r="BC21" i="75"/>
  <c r="AH9" i="75"/>
  <c r="BD4" i="75"/>
  <c r="AH10" i="75"/>
  <c r="AF9" i="75"/>
  <c r="BB6" i="75"/>
  <c r="AG6" i="75"/>
  <c r="BF20" i="75"/>
  <c r="AI7" i="75"/>
  <c r="AE20" i="75"/>
  <c r="AJ20" i="75" s="1"/>
  <c r="BA27" i="75"/>
  <c r="AI4" i="75"/>
  <c r="AI18" i="75"/>
  <c r="AE12" i="75"/>
  <c r="AK12" i="75" s="1"/>
  <c r="BB12" i="75"/>
  <c r="BC7" i="75"/>
  <c r="BB18" i="75"/>
  <c r="AZ4" i="75"/>
  <c r="BE4" i="75" s="1"/>
  <c r="BB26" i="75"/>
  <c r="BD13" i="75"/>
  <c r="AE24" i="75"/>
  <c r="AZ24" i="75"/>
  <c r="BA19" i="75"/>
  <c r="AF19" i="75"/>
  <c r="AG14" i="75"/>
  <c r="BB14" i="75"/>
  <c r="AH22" i="75"/>
  <c r="BC22" i="75"/>
  <c r="AG5" i="75"/>
  <c r="BB5" i="75"/>
  <c r="AZ19" i="75"/>
  <c r="AE19" i="75"/>
  <c r="AH24" i="75"/>
  <c r="AH17" i="75"/>
  <c r="BC17" i="75"/>
  <c r="AE22" i="75"/>
  <c r="AG21" i="75"/>
  <c r="BB21" i="75"/>
  <c r="AE8" i="75"/>
  <c r="AZ8" i="75"/>
  <c r="BC12" i="75"/>
  <c r="BA8" i="75"/>
  <c r="AF8" i="75"/>
  <c r="AG24" i="75"/>
  <c r="BB24" i="75"/>
  <c r="BE22" i="75"/>
  <c r="AZ15" i="75"/>
  <c r="AG20" i="75"/>
  <c r="BB20" i="75"/>
  <c r="BD10" i="75"/>
  <c r="AI10" i="75"/>
  <c r="BA7" i="75"/>
  <c r="AF7" i="75"/>
  <c r="AF22" i="75"/>
  <c r="BA22" i="75"/>
  <c r="BA14" i="75"/>
  <c r="AF14" i="75"/>
  <c r="BA21" i="75"/>
  <c r="AF21" i="75"/>
  <c r="AF18" i="75"/>
  <c r="BA18" i="75"/>
  <c r="AZ13" i="75"/>
  <c r="BF13" i="75" s="1"/>
  <c r="AK13" i="75"/>
  <c r="BA20" i="75"/>
  <c r="AW90" i="87"/>
  <c r="BA42" i="75" s="1"/>
  <c r="AH23" i="75"/>
  <c r="BC23" i="75"/>
  <c r="AE23" i="75"/>
  <c r="AZ23" i="75"/>
  <c r="AG23" i="75"/>
  <c r="BB23" i="75"/>
  <c r="BD14" i="75"/>
  <c r="AI14" i="75"/>
  <c r="AG13" i="75"/>
  <c r="BB13" i="75"/>
  <c r="BD8" i="75"/>
  <c r="AI8" i="75"/>
  <c r="BA11" i="75"/>
  <c r="AF11" i="75"/>
  <c r="AZ25" i="75"/>
  <c r="AE25" i="75"/>
  <c r="AH19" i="75"/>
  <c r="BC19" i="75"/>
  <c r="AH16" i="75"/>
  <c r="BC16" i="75"/>
  <c r="BC6" i="75"/>
  <c r="AH6" i="75"/>
  <c r="BA23" i="75"/>
  <c r="AF23" i="75"/>
  <c r="AF10" i="75"/>
  <c r="BA10" i="75"/>
  <c r="AI20" i="75"/>
  <c r="BD20" i="75"/>
  <c r="BD21" i="75"/>
  <c r="AI21" i="75"/>
  <c r="AH20" i="75"/>
  <c r="BC20" i="75"/>
  <c r="AH14" i="75"/>
  <c r="BC14" i="75"/>
  <c r="AH11" i="75"/>
  <c r="BC11" i="75"/>
  <c r="AF24" i="75"/>
  <c r="BA24" i="75"/>
  <c r="BA15" i="75"/>
  <c r="AF15" i="75"/>
  <c r="BA26" i="75"/>
  <c r="AF26" i="75"/>
  <c r="AF17" i="75"/>
  <c r="BA17" i="75"/>
  <c r="BB27" i="75"/>
  <c r="AG27" i="75"/>
  <c r="AI19" i="75"/>
  <c r="BD19" i="75"/>
  <c r="BC13" i="75"/>
  <c r="AH13" i="75"/>
  <c r="AZ9" i="75"/>
  <c r="AE9" i="75"/>
  <c r="AE18" i="75"/>
  <c r="AK18" i="75" s="1"/>
  <c r="AZ18" i="75"/>
  <c r="BA16" i="75"/>
  <c r="AF16" i="75"/>
  <c r="AZ11" i="75"/>
  <c r="AE11" i="75"/>
  <c r="AK11" i="75" s="1"/>
  <c r="BB22" i="75"/>
  <c r="AG22" i="75"/>
  <c r="AH15" i="75"/>
  <c r="BC15" i="75"/>
  <c r="BB19" i="75"/>
  <c r="AG19" i="75"/>
  <c r="AF12" i="75"/>
  <c r="BA12" i="75"/>
  <c r="BA13" i="75"/>
  <c r="AF13" i="75"/>
  <c r="AF5" i="75"/>
  <c r="BA5" i="75"/>
  <c r="AH5" i="75"/>
  <c r="BC5" i="75"/>
  <c r="AE17" i="75"/>
  <c r="AZ17" i="75"/>
  <c r="BF17" i="75" s="1"/>
  <c r="AG25" i="75"/>
  <c r="BB25" i="75"/>
  <c r="AK15" i="75"/>
  <c r="AE16" i="75"/>
  <c r="AK16" i="75" s="1"/>
  <c r="AZ16" i="75"/>
  <c r="AZ6" i="75"/>
  <c r="AE6" i="75"/>
  <c r="AZ10" i="75"/>
  <c r="BF10" i="75" s="1"/>
  <c r="AE10" i="75"/>
  <c r="BA6" i="75"/>
  <c r="AF6" i="75"/>
  <c r="AG7" i="75"/>
  <c r="AG16" i="75"/>
  <c r="BB16" i="75"/>
  <c r="AE5" i="75"/>
  <c r="AZ5" i="75"/>
  <c r="AI6" i="75"/>
  <c r="BD6" i="75"/>
  <c r="BB17" i="75"/>
  <c r="AG17" i="75"/>
  <c r="AG8" i="75"/>
  <c r="AE4" i="75"/>
  <c r="AZ7" i="75"/>
  <c r="AE7" i="75"/>
  <c r="BD16" i="75"/>
  <c r="AI16" i="75"/>
  <c r="BD5" i="75"/>
  <c r="AI5" i="75"/>
  <c r="BB4" i="75"/>
  <c r="AG4" i="75"/>
  <c r="AZ21" i="75"/>
  <c r="AE21" i="75"/>
  <c r="AF4" i="75"/>
  <c r="BA4" i="75"/>
  <c r="AI15" i="75"/>
  <c r="BD15" i="75"/>
  <c r="AI12" i="75"/>
  <c r="BD12" i="75"/>
  <c r="AI9" i="75"/>
  <c r="BD9" i="75"/>
  <c r="BB15" i="75"/>
  <c r="AG15" i="75"/>
  <c r="BX162" i="84"/>
  <c r="CE162" i="84"/>
  <c r="C161" i="91"/>
  <c r="AH40" i="75"/>
  <c r="BC40" i="75"/>
  <c r="AH33" i="75"/>
  <c r="BC33" i="75"/>
  <c r="AF29" i="75"/>
  <c r="BA29" i="75"/>
  <c r="BD25" i="75"/>
  <c r="AI25" i="75"/>
  <c r="AH27" i="75"/>
  <c r="BC27" i="75"/>
  <c r="AE39" i="75"/>
  <c r="AK39" i="75" s="1"/>
  <c r="AZ39" i="75"/>
  <c r="AH39" i="75"/>
  <c r="BC39" i="75"/>
  <c r="BD42" i="75"/>
  <c r="AI42" i="75"/>
  <c r="AI38" i="75"/>
  <c r="BD38" i="75"/>
  <c r="BB34" i="75"/>
  <c r="AG34" i="75"/>
  <c r="BA32" i="75"/>
  <c r="AF32" i="75"/>
  <c r="AG31" i="75"/>
  <c r="BB31" i="75"/>
  <c r="AZ28" i="75"/>
  <c r="BF28" i="75" s="1"/>
  <c r="AE28" i="75"/>
  <c r="AK28" i="75" s="1"/>
  <c r="AR90" i="84"/>
  <c r="BR90" i="84"/>
  <c r="BT90" i="84" s="1"/>
  <c r="BN90" i="84" s="1"/>
  <c r="BD29" i="75"/>
  <c r="AI29" i="75"/>
  <c r="AG36" i="75"/>
  <c r="BB36" i="75"/>
  <c r="AZ30" i="75"/>
  <c r="AE30" i="75"/>
  <c r="AK30" i="75" s="1"/>
  <c r="BD26" i="75"/>
  <c r="AI26" i="75"/>
  <c r="AI30" i="75"/>
  <c r="BD30" i="75"/>
  <c r="BB40" i="75"/>
  <c r="AG40" i="75"/>
  <c r="BA38" i="75"/>
  <c r="AF38" i="75"/>
  <c r="AF36" i="75"/>
  <c r="BA36" i="75"/>
  <c r="BC36" i="75"/>
  <c r="AH36" i="75"/>
  <c r="AE33" i="75"/>
  <c r="AK33" i="75" s="1"/>
  <c r="AZ33" i="75"/>
  <c r="BD35" i="75"/>
  <c r="AI35" i="75"/>
  <c r="BC31" i="75"/>
  <c r="AH31" i="75"/>
  <c r="AI32" i="75"/>
  <c r="BD32" i="75"/>
  <c r="BD24" i="75"/>
  <c r="AI24" i="75"/>
  <c r="BB37" i="75"/>
  <c r="AG37" i="75"/>
  <c r="AE27" i="75"/>
  <c r="AZ27" i="75"/>
  <c r="AI23" i="75"/>
  <c r="BD23" i="75"/>
  <c r="AH28" i="75"/>
  <c r="BC28" i="75"/>
  <c r="AF39" i="75"/>
  <c r="BA39" i="75"/>
  <c r="AG38" i="75"/>
  <c r="BB38" i="75"/>
  <c r="BD41" i="75"/>
  <c r="AI41" i="75"/>
  <c r="AF35" i="75"/>
  <c r="BA35" i="75"/>
  <c r="AF33" i="75"/>
  <c r="BA33" i="75"/>
  <c r="AZ31" i="75"/>
  <c r="AE31" i="75"/>
  <c r="AK31" i="75" s="1"/>
  <c r="BA30" i="75"/>
  <c r="AF30" i="75"/>
  <c r="AG29" i="75"/>
  <c r="BB29" i="75"/>
  <c r="BD27" i="75"/>
  <c r="AI27" i="75"/>
  <c r="AF40" i="75"/>
  <c r="BA40" i="75"/>
  <c r="AH42" i="75"/>
  <c r="BC42" i="75"/>
  <c r="AE37" i="75"/>
  <c r="AK37" i="75" s="1"/>
  <c r="AZ37" i="75"/>
  <c r="BF37" i="75" s="1"/>
  <c r="BD40" i="75"/>
  <c r="AI40" i="75"/>
  <c r="AG35" i="75"/>
  <c r="BB35" i="75"/>
  <c r="BD36" i="75"/>
  <c r="AI36" i="75"/>
  <c r="AG32" i="75"/>
  <c r="BB32" i="75"/>
  <c r="AI33" i="75"/>
  <c r="BD33" i="75"/>
  <c r="BA28" i="75"/>
  <c r="AF28" i="75"/>
  <c r="BD28" i="75"/>
  <c r="AI28" i="75"/>
  <c r="AE40" i="75"/>
  <c r="AK40" i="75" s="1"/>
  <c r="AZ40" i="75"/>
  <c r="BF40" i="75" s="1"/>
  <c r="AH41" i="75"/>
  <c r="BC41" i="75"/>
  <c r="BA37" i="75"/>
  <c r="AF37" i="75"/>
  <c r="BC37" i="75"/>
  <c r="AH37" i="75"/>
  <c r="AE34" i="75"/>
  <c r="AK34" i="75" s="1"/>
  <c r="AZ34" i="75"/>
  <c r="BF34" i="75" s="1"/>
  <c r="BC34" i="75"/>
  <c r="AH34" i="75"/>
  <c r="AI34" i="75"/>
  <c r="BD34" i="75"/>
  <c r="AZ29" i="75"/>
  <c r="BF29" i="75" s="1"/>
  <c r="AE29" i="75"/>
  <c r="AH29" i="75"/>
  <c r="BC29" i="75"/>
  <c r="AG41" i="75"/>
  <c r="BB41" i="75"/>
  <c r="AH26" i="75"/>
  <c r="BC26" i="75"/>
  <c r="AF41" i="75"/>
  <c r="BA41" i="75"/>
  <c r="AZ38" i="75"/>
  <c r="BF38" i="75" s="1"/>
  <c r="AE38" i="75"/>
  <c r="AK38" i="75" s="1"/>
  <c r="BC38" i="75"/>
  <c r="AH38" i="75"/>
  <c r="BD39" i="75"/>
  <c r="AI39" i="75"/>
  <c r="BA34" i="75"/>
  <c r="AF34" i="75"/>
  <c r="AE32" i="75"/>
  <c r="AK32" i="75" s="1"/>
  <c r="AZ32" i="75"/>
  <c r="AF31" i="75"/>
  <c r="BA31" i="75"/>
  <c r="BB30" i="75"/>
  <c r="AG30" i="75"/>
  <c r="AI31" i="75"/>
  <c r="BD31" i="75"/>
  <c r="BD37" i="75"/>
  <c r="AI37" i="75"/>
  <c r="D163" i="91"/>
  <c r="CF164" i="84"/>
  <c r="BY164" i="84"/>
  <c r="BF12" i="75"/>
  <c r="BB11" i="75"/>
  <c r="AG11" i="75"/>
  <c r="AG42" i="75"/>
  <c r="BB42" i="75"/>
  <c r="AG39" i="75"/>
  <c r="BB39" i="75"/>
  <c r="AE36" i="75"/>
  <c r="AZ36" i="75"/>
  <c r="BF36" i="75" s="1"/>
  <c r="AE35" i="75"/>
  <c r="AZ35" i="75"/>
  <c r="AH35" i="75"/>
  <c r="BC35" i="75"/>
  <c r="AG33" i="75"/>
  <c r="BB33" i="75"/>
  <c r="AH32" i="75"/>
  <c r="BC32" i="75"/>
  <c r="AH30" i="75"/>
  <c r="BC30" i="75"/>
  <c r="AG28" i="75"/>
  <c r="BB28" i="75"/>
  <c r="AK88" i="84"/>
  <c r="BL10" i="75"/>
  <c r="DU153" i="75"/>
  <c r="BL49" i="75"/>
  <c r="AQ8" i="75"/>
  <c r="BL4" i="75"/>
  <c r="DU157" i="75"/>
  <c r="BL46" i="75"/>
  <c r="AQ10" i="75"/>
  <c r="BL47" i="75"/>
  <c r="R157" i="74"/>
  <c r="R139" i="90"/>
  <c r="DU155" i="75"/>
  <c r="AQ5" i="75"/>
  <c r="BL11" i="75"/>
  <c r="DU154" i="75"/>
  <c r="BK40" i="75"/>
  <c r="AL90" i="100"/>
  <c r="AQ4" i="75"/>
  <c r="DV163" i="75"/>
  <c r="AQ42" i="75"/>
  <c r="BL50" i="75"/>
  <c r="BL101" i="75"/>
  <c r="AP47" i="75"/>
  <c r="BP63" i="69"/>
  <c r="AP48" i="75"/>
  <c r="R93" i="90"/>
  <c r="BK39" i="75"/>
  <c r="BL13" i="75"/>
  <c r="BL8" i="75"/>
  <c r="DV161" i="75"/>
  <c r="BK38" i="75"/>
  <c r="AP50" i="75"/>
  <c r="AQ9" i="75"/>
  <c r="AP154" i="74"/>
  <c r="AP153" i="74"/>
  <c r="BK41" i="75"/>
  <c r="DU156" i="75"/>
  <c r="AQ37" i="75"/>
  <c r="AQ40" i="75"/>
  <c r="BL9" i="75"/>
  <c r="DV158" i="75"/>
  <c r="BL102" i="75"/>
  <c r="AP155" i="74"/>
  <c r="BL48" i="75"/>
  <c r="AP156" i="74"/>
  <c r="BL12" i="75"/>
  <c r="AQ7" i="75"/>
  <c r="AQ12" i="75"/>
  <c r="BL51" i="75"/>
  <c r="BL103" i="75"/>
  <c r="AP49" i="75"/>
  <c r="AQ38" i="75"/>
  <c r="DV159" i="75"/>
  <c r="BL5" i="75"/>
  <c r="BL6" i="75"/>
  <c r="BK42" i="75"/>
  <c r="AQ6" i="75"/>
  <c r="BP109" i="69"/>
  <c r="BL7" i="75"/>
  <c r="AQ41" i="75"/>
  <c r="AQ13" i="75"/>
  <c r="AP51" i="75"/>
  <c r="AP52" i="75"/>
  <c r="AQ39" i="75"/>
  <c r="DV160" i="75"/>
  <c r="AQ11" i="75"/>
  <c r="DV162" i="75"/>
  <c r="BV90" i="84" l="1"/>
  <c r="AJ135" i="84"/>
  <c r="BQ63" i="69"/>
  <c r="AM139" i="90"/>
  <c r="BQ113" i="84"/>
  <c r="AJ89" i="84"/>
  <c r="Y42" i="74"/>
  <c r="BU93" i="90"/>
  <c r="BL86" i="69"/>
  <c r="AM93" i="90"/>
  <c r="BQ109" i="69"/>
  <c r="AQ94" i="90"/>
  <c r="AO94" i="90"/>
  <c r="AP94" i="90"/>
  <c r="AR94" i="90"/>
  <c r="AF42" i="75"/>
  <c r="BE26" i="75"/>
  <c r="AK20" i="75"/>
  <c r="AK14" i="75"/>
  <c r="AJ12" i="75"/>
  <c r="BF4" i="75"/>
  <c r="BE19" i="75"/>
  <c r="BF19" i="75"/>
  <c r="BF24" i="75"/>
  <c r="BE24" i="75"/>
  <c r="AK24" i="75"/>
  <c r="AJ24" i="75"/>
  <c r="AK19" i="75"/>
  <c r="AJ19" i="75"/>
  <c r="BF8" i="75"/>
  <c r="BE8" i="75"/>
  <c r="AK8" i="75"/>
  <c r="AJ8" i="75"/>
  <c r="BF15" i="75"/>
  <c r="BE15" i="75"/>
  <c r="AK22" i="75"/>
  <c r="AJ22" i="75"/>
  <c r="BE13" i="75"/>
  <c r="AJ6" i="75"/>
  <c r="BF5" i="75"/>
  <c r="BE5" i="75"/>
  <c r="BF6" i="75"/>
  <c r="BE6" i="75"/>
  <c r="AJ11" i="75"/>
  <c r="AK5" i="75"/>
  <c r="AJ5" i="75"/>
  <c r="BF11" i="75"/>
  <c r="BE11" i="75"/>
  <c r="AJ7" i="75"/>
  <c r="AJ16" i="75"/>
  <c r="BF16" i="75"/>
  <c r="BE16" i="75"/>
  <c r="AK7" i="75"/>
  <c r="BF7" i="75"/>
  <c r="BE7" i="75"/>
  <c r="AJ21" i="75"/>
  <c r="BE21" i="75"/>
  <c r="BF21" i="75"/>
  <c r="AJ18" i="75"/>
  <c r="AK4" i="75"/>
  <c r="AJ4" i="75"/>
  <c r="BF18" i="75"/>
  <c r="BE18" i="75"/>
  <c r="AK21" i="75"/>
  <c r="AK10" i="75"/>
  <c r="AJ10" i="75"/>
  <c r="BE17" i="75"/>
  <c r="AK9" i="75"/>
  <c r="AJ9" i="75"/>
  <c r="AK25" i="75"/>
  <c r="AJ25" i="75"/>
  <c r="BF23" i="75"/>
  <c r="BE23" i="75"/>
  <c r="BE10" i="75"/>
  <c r="AK17" i="75"/>
  <c r="AJ17" i="75"/>
  <c r="BF9" i="75"/>
  <c r="BE9" i="75"/>
  <c r="BF25" i="75"/>
  <c r="BE25" i="75"/>
  <c r="AK23" i="75"/>
  <c r="AJ23" i="75"/>
  <c r="AK6" i="75"/>
  <c r="BE34" i="75"/>
  <c r="AK27" i="75"/>
  <c r="AJ27" i="75"/>
  <c r="BE30" i="75"/>
  <c r="BF35" i="75"/>
  <c r="BE35" i="75"/>
  <c r="AK29" i="75"/>
  <c r="AJ29" i="75"/>
  <c r="BO90" i="84"/>
  <c r="AK35" i="75"/>
  <c r="AJ35" i="75"/>
  <c r="BF32" i="75"/>
  <c r="BE32" i="75"/>
  <c r="BE29" i="75"/>
  <c r="AJ34" i="75"/>
  <c r="BE40" i="75"/>
  <c r="BQ90" i="84"/>
  <c r="BE36" i="75"/>
  <c r="AJ32" i="75"/>
  <c r="AJ38" i="75"/>
  <c r="AJ40" i="75"/>
  <c r="BF33" i="75"/>
  <c r="BE33" i="75"/>
  <c r="AK36" i="75"/>
  <c r="AJ36" i="75"/>
  <c r="AJ33" i="75"/>
  <c r="BF39" i="75"/>
  <c r="BE39" i="75"/>
  <c r="BE38" i="75"/>
  <c r="BE37" i="75"/>
  <c r="AJ31" i="75"/>
  <c r="AJ30" i="75"/>
  <c r="BP90" i="84"/>
  <c r="AJ28" i="75"/>
  <c r="AJ39" i="75"/>
  <c r="C162" i="91"/>
  <c r="CE163" i="84"/>
  <c r="BX163" i="84"/>
  <c r="AJ37" i="75"/>
  <c r="BF31" i="75"/>
  <c r="BE31" i="75"/>
  <c r="BF27" i="75"/>
  <c r="BE27" i="75"/>
  <c r="BF30" i="75"/>
  <c r="BE28" i="75"/>
  <c r="AK135" i="84"/>
  <c r="AK89" i="84"/>
  <c r="CE164" i="84" l="1"/>
  <c r="C163" i="91"/>
  <c r="BX164" i="84"/>
  <c r="AT45" i="84"/>
  <c r="AT44" i="84"/>
  <c r="AT43" i="84"/>
  <c r="AT42" i="84"/>
  <c r="AT41" i="84"/>
  <c r="AT40" i="84"/>
  <c r="AT39" i="84"/>
  <c r="AT38" i="84"/>
  <c r="AT37" i="84"/>
  <c r="AT36" i="84"/>
  <c r="AT35" i="84"/>
  <c r="AT34" i="84"/>
  <c r="AT33" i="84"/>
  <c r="AT32" i="84"/>
  <c r="AT31" i="84"/>
  <c r="AT30" i="84"/>
  <c r="AT29" i="84"/>
  <c r="AT28" i="84"/>
  <c r="AT27" i="84"/>
  <c r="AT26" i="84"/>
  <c r="AT25" i="84"/>
  <c r="AT24" i="84"/>
  <c r="AT21" i="84"/>
  <c r="AT23" i="84"/>
  <c r="AT22" i="84"/>
  <c r="AT20" i="84"/>
  <c r="AT19" i="84"/>
  <c r="AT18" i="84"/>
  <c r="AT16" i="84"/>
  <c r="AT17" i="84"/>
  <c r="AT15" i="84"/>
  <c r="AT14" i="84"/>
  <c r="AT13" i="84"/>
  <c r="AT12" i="84"/>
  <c r="AT11" i="84"/>
  <c r="AT10" i="84"/>
  <c r="AT9" i="84"/>
  <c r="AT8" i="84"/>
  <c r="AT7" i="84"/>
  <c r="BK5" i="69" l="1"/>
  <c r="BK6" i="69"/>
  <c r="BA9" i="84"/>
  <c r="BA10" i="84"/>
  <c r="BK7" i="69"/>
  <c r="BA11" i="84"/>
  <c r="BK8" i="69"/>
  <c r="BK9" i="69"/>
  <c r="BA12" i="84"/>
  <c r="BK10" i="69"/>
  <c r="BA13" i="84"/>
  <c r="BK11" i="69"/>
  <c r="BA14" i="84"/>
  <c r="BA15" i="84"/>
  <c r="BK12" i="69"/>
  <c r="BK14" i="69"/>
  <c r="BA17" i="84"/>
  <c r="BA16" i="84"/>
  <c r="BK13" i="69"/>
  <c r="BK15" i="69"/>
  <c r="BA18" i="84"/>
  <c r="BA19" i="84"/>
  <c r="BK16" i="69"/>
  <c r="BA20" i="84"/>
  <c r="BK17" i="69"/>
  <c r="BA22" i="84"/>
  <c r="BK19" i="69"/>
  <c r="BA23" i="84"/>
  <c r="BK20" i="69"/>
  <c r="BK18" i="69"/>
  <c r="BA21" i="84"/>
  <c r="BA24" i="84"/>
  <c r="BK21" i="69"/>
  <c r="BA25" i="84"/>
  <c r="BK22" i="69"/>
  <c r="BA26" i="84"/>
  <c r="BK23" i="69"/>
  <c r="BK24" i="69"/>
  <c r="BA27" i="84"/>
  <c r="BK25" i="69"/>
  <c r="BA28" i="84"/>
  <c r="BA29" i="84"/>
  <c r="BK26" i="69"/>
  <c r="BA30" i="84"/>
  <c r="BK27" i="69"/>
  <c r="BK28" i="69"/>
  <c r="BA31" i="84"/>
  <c r="BK29" i="69"/>
  <c r="BA32" i="84"/>
  <c r="BK30" i="69"/>
  <c r="BA33" i="84"/>
  <c r="BK31" i="69"/>
  <c r="BA34" i="84"/>
  <c r="BK32" i="69"/>
  <c r="BA35" i="84"/>
  <c r="BA36" i="84"/>
  <c r="BK33" i="69"/>
  <c r="BK34" i="69"/>
  <c r="BA37" i="84"/>
  <c r="BK35" i="69"/>
  <c r="BA38" i="84"/>
  <c r="BK36" i="69"/>
  <c r="BA39" i="84"/>
  <c r="BA40" i="84"/>
  <c r="BK37" i="69"/>
  <c r="BA41" i="84"/>
  <c r="BK38" i="69"/>
  <c r="BK39" i="69"/>
  <c r="BA42" i="84"/>
  <c r="BA43" i="84"/>
  <c r="BK40" i="69"/>
  <c r="BK41" i="69"/>
  <c r="BA44" i="84"/>
  <c r="BA8" i="84"/>
  <c r="BA7" i="84"/>
  <c r="BK4" i="69"/>
  <c r="R79" i="94"/>
  <c r="R80" i="94"/>
  <c r="R68" i="94"/>
  <c r="R56" i="94"/>
  <c r="R43" i="94"/>
  <c r="R31" i="94"/>
  <c r="R19" i="94"/>
  <c r="R96" i="94"/>
  <c r="R78" i="94"/>
  <c r="R66" i="94"/>
  <c r="R54" i="94"/>
  <c r="R41" i="94"/>
  <c r="R29" i="94"/>
  <c r="R17" i="94"/>
  <c r="R30" i="94"/>
  <c r="R77" i="94"/>
  <c r="R65" i="94"/>
  <c r="R53" i="94"/>
  <c r="R40" i="94"/>
  <c r="R28" i="94"/>
  <c r="R16" i="94"/>
  <c r="B16" i="94" s="1"/>
  <c r="R95" i="94"/>
  <c r="R89" i="94"/>
  <c r="R83" i="94"/>
  <c r="R90" i="94"/>
  <c r="R76" i="94"/>
  <c r="R64" i="94"/>
  <c r="R52" i="94"/>
  <c r="R39" i="94"/>
  <c r="R27" i="94"/>
  <c r="R15" i="94"/>
  <c r="R51" i="94"/>
  <c r="R88" i="94"/>
  <c r="R74" i="94"/>
  <c r="R62" i="94"/>
  <c r="R50" i="94"/>
  <c r="R37" i="94"/>
  <c r="R25" i="94"/>
  <c r="R13" i="94"/>
  <c r="R67" i="94"/>
  <c r="R14" i="94"/>
  <c r="R73" i="94"/>
  <c r="R61" i="94"/>
  <c r="R49" i="94"/>
  <c r="R36" i="94"/>
  <c r="R24" i="94"/>
  <c r="R12" i="94"/>
  <c r="R93" i="94"/>
  <c r="R87" i="94"/>
  <c r="R84" i="94"/>
  <c r="R75" i="94"/>
  <c r="R26" i="94"/>
  <c r="R72" i="94"/>
  <c r="R60" i="94"/>
  <c r="R48" i="94"/>
  <c r="R35" i="94"/>
  <c r="R23" i="94"/>
  <c r="R11" i="94"/>
  <c r="R42" i="94"/>
  <c r="R63" i="94"/>
  <c r="R71" i="94"/>
  <c r="R59" i="94"/>
  <c r="R46" i="94"/>
  <c r="R34" i="94"/>
  <c r="R22" i="94"/>
  <c r="R98" i="94"/>
  <c r="R92" i="94"/>
  <c r="R86" i="94"/>
  <c r="R82" i="94"/>
  <c r="R18" i="94"/>
  <c r="R38" i="94"/>
  <c r="R10" i="94"/>
  <c r="R70" i="94"/>
  <c r="R58" i="94"/>
  <c r="R45" i="94"/>
  <c r="R33" i="94"/>
  <c r="R21" i="94"/>
  <c r="R55" i="94"/>
  <c r="R94" i="94"/>
  <c r="R81" i="94"/>
  <c r="R69" i="94"/>
  <c r="R57" i="94"/>
  <c r="R44" i="94"/>
  <c r="R32" i="94"/>
  <c r="R20" i="94"/>
  <c r="R97" i="94"/>
  <c r="R91" i="94"/>
  <c r="R85" i="94"/>
  <c r="R47" i="94"/>
  <c r="BO5" i="69"/>
  <c r="BO11" i="69"/>
  <c r="BO12" i="69"/>
  <c r="BO16" i="69"/>
  <c r="BO6" i="69"/>
  <c r="BO8" i="69"/>
  <c r="BO15" i="69"/>
  <c r="BO18" i="69"/>
  <c r="BO13" i="69"/>
  <c r="BO9" i="69"/>
  <c r="BO10" i="69"/>
  <c r="BO14" i="69"/>
  <c r="BO17" i="69"/>
  <c r="BO7" i="69"/>
  <c r="BO4" i="69"/>
  <c r="BE40" i="84" l="1"/>
  <c r="BB40" i="84"/>
  <c r="BC40" i="84"/>
  <c r="BD40" i="84"/>
  <c r="AR40" i="84"/>
  <c r="BR40" i="84"/>
  <c r="BT40" i="84" s="1"/>
  <c r="BE24" i="84"/>
  <c r="BB24" i="84"/>
  <c r="BD24" i="84"/>
  <c r="BC24" i="84"/>
  <c r="AR24" i="84"/>
  <c r="BR24" i="84"/>
  <c r="BT24" i="84" s="1"/>
  <c r="BE31" i="84"/>
  <c r="BB31" i="84"/>
  <c r="BC31" i="84"/>
  <c r="BD31" i="84"/>
  <c r="BR31" i="84"/>
  <c r="BT31" i="84" s="1"/>
  <c r="AR31" i="84"/>
  <c r="BE21" i="84"/>
  <c r="BB21" i="84"/>
  <c r="BC21" i="84"/>
  <c r="BD21" i="84"/>
  <c r="BR21" i="84"/>
  <c r="BT21" i="84" s="1"/>
  <c r="AR21" i="84"/>
  <c r="BE11" i="84"/>
  <c r="BD11" i="84"/>
  <c r="BC11" i="84"/>
  <c r="BB11" i="84"/>
  <c r="AR11" i="84"/>
  <c r="BR11" i="84"/>
  <c r="BT11" i="84" s="1"/>
  <c r="BE42" i="84"/>
  <c r="BD42" i="84"/>
  <c r="BB42" i="84"/>
  <c r="BC42" i="84"/>
  <c r="BR42" i="84"/>
  <c r="BT42" i="84" s="1"/>
  <c r="AR42" i="84"/>
  <c r="BE38" i="84"/>
  <c r="BC38" i="84"/>
  <c r="BB38" i="84"/>
  <c r="BD38" i="84"/>
  <c r="BR38" i="84"/>
  <c r="BT38" i="84" s="1"/>
  <c r="AR38" i="84"/>
  <c r="BE34" i="84"/>
  <c r="BC34" i="84"/>
  <c r="BD34" i="84"/>
  <c r="BB34" i="84"/>
  <c r="BR34" i="84"/>
  <c r="BT34" i="84" s="1"/>
  <c r="AR34" i="84"/>
  <c r="BE18" i="84"/>
  <c r="BC18" i="84"/>
  <c r="BD18" i="84"/>
  <c r="BB18" i="84"/>
  <c r="BR18" i="84"/>
  <c r="BT18" i="84" s="1"/>
  <c r="AR18" i="84"/>
  <c r="BE14" i="84"/>
  <c r="BD14" i="84"/>
  <c r="BB14" i="84"/>
  <c r="BC14" i="84"/>
  <c r="BR14" i="84"/>
  <c r="BT14" i="84" s="1"/>
  <c r="AR14" i="84"/>
  <c r="BE36" i="84"/>
  <c r="BC36" i="84"/>
  <c r="BD36" i="84"/>
  <c r="BB36" i="84"/>
  <c r="BR36" i="84"/>
  <c r="BT36" i="84" s="1"/>
  <c r="AR36" i="84"/>
  <c r="BE35" i="84"/>
  <c r="BB35" i="84"/>
  <c r="BC35" i="84"/>
  <c r="BD35" i="84"/>
  <c r="BR35" i="84"/>
  <c r="BT35" i="84" s="1"/>
  <c r="AR35" i="84"/>
  <c r="BE43" i="84"/>
  <c r="BD43" i="84"/>
  <c r="BB43" i="84"/>
  <c r="BC43" i="84"/>
  <c r="AR43" i="84"/>
  <c r="BR43" i="84"/>
  <c r="BT43" i="84" s="1"/>
  <c r="BE19" i="84"/>
  <c r="BB19" i="84"/>
  <c r="BC19" i="84"/>
  <c r="BD19" i="84"/>
  <c r="AR19" i="84"/>
  <c r="BR19" i="84"/>
  <c r="BT19" i="84" s="1"/>
  <c r="BE15" i="84"/>
  <c r="BB15" i="84"/>
  <c r="BC15" i="84"/>
  <c r="BD15" i="84"/>
  <c r="AR15" i="84"/>
  <c r="BR15" i="84"/>
  <c r="BT15" i="84" s="1"/>
  <c r="BE7" i="84"/>
  <c r="BB7" i="84"/>
  <c r="BC7" i="84"/>
  <c r="BD7" i="84"/>
  <c r="BE30" i="84"/>
  <c r="BD30" i="84"/>
  <c r="BB30" i="84"/>
  <c r="BC30" i="84"/>
  <c r="BR30" i="84"/>
  <c r="BT30" i="84" s="1"/>
  <c r="AR30" i="84"/>
  <c r="BE26" i="84"/>
  <c r="BD26" i="84"/>
  <c r="BB26" i="84"/>
  <c r="BC26" i="84"/>
  <c r="BR26" i="84"/>
  <c r="BT26" i="84" s="1"/>
  <c r="AR26" i="84"/>
  <c r="BE23" i="84"/>
  <c r="BD23" i="84"/>
  <c r="BB23" i="84"/>
  <c r="BC23" i="84"/>
  <c r="AR23" i="84"/>
  <c r="BR23" i="84"/>
  <c r="BT23" i="84" s="1"/>
  <c r="BE10" i="84"/>
  <c r="BD10" i="84"/>
  <c r="BB10" i="84"/>
  <c r="BC10" i="84"/>
  <c r="AR10" i="84"/>
  <c r="BR10" i="84"/>
  <c r="BT10" i="84" s="1"/>
  <c r="BE27" i="84"/>
  <c r="BD27" i="84"/>
  <c r="BB27" i="84"/>
  <c r="BC27" i="84"/>
  <c r="BR27" i="84"/>
  <c r="BT27" i="84" s="1"/>
  <c r="AR27" i="84"/>
  <c r="BE8" i="84"/>
  <c r="BB8" i="84"/>
  <c r="BD8" i="84"/>
  <c r="BC8" i="84"/>
  <c r="BE37" i="84"/>
  <c r="BB37" i="84"/>
  <c r="BC37" i="84"/>
  <c r="BD37" i="84"/>
  <c r="BR37" i="84"/>
  <c r="BT37" i="84" s="1"/>
  <c r="AR37" i="84"/>
  <c r="BE9" i="84"/>
  <c r="BD9" i="84"/>
  <c r="BB9" i="84"/>
  <c r="BC9" i="84"/>
  <c r="BR9" i="84"/>
  <c r="BT9" i="84" s="1"/>
  <c r="AR9" i="84"/>
  <c r="BE41" i="84"/>
  <c r="BD41" i="84"/>
  <c r="BB41" i="84"/>
  <c r="BC41" i="84"/>
  <c r="AR41" i="84"/>
  <c r="BR41" i="84"/>
  <c r="BT41" i="84" s="1"/>
  <c r="BE29" i="84"/>
  <c r="BC29" i="84"/>
  <c r="BD29" i="84"/>
  <c r="BB29" i="84"/>
  <c r="AR29" i="84"/>
  <c r="BR29" i="84"/>
  <c r="BT29" i="84" s="1"/>
  <c r="BE25" i="84"/>
  <c r="BD25" i="84"/>
  <c r="BB25" i="84"/>
  <c r="BC25" i="84"/>
  <c r="AR25" i="84"/>
  <c r="BR25" i="84"/>
  <c r="BT25" i="84" s="1"/>
  <c r="BE22" i="84"/>
  <c r="BC22" i="84"/>
  <c r="BD22" i="84"/>
  <c r="BB22" i="84"/>
  <c r="AR22" i="84"/>
  <c r="BR22" i="84"/>
  <c r="BT22" i="84" s="1"/>
  <c r="BE16" i="84"/>
  <c r="BC16" i="84"/>
  <c r="BD16" i="84"/>
  <c r="BB16" i="84"/>
  <c r="AR16" i="84"/>
  <c r="BR16" i="84"/>
  <c r="BT16" i="84" s="1"/>
  <c r="BE20" i="84"/>
  <c r="BC20" i="84"/>
  <c r="BD20" i="84"/>
  <c r="BB20" i="84"/>
  <c r="AR20" i="84"/>
  <c r="BR20" i="84"/>
  <c r="BT20" i="84" s="1"/>
  <c r="BE39" i="84"/>
  <c r="BD39" i="84"/>
  <c r="BB39" i="84"/>
  <c r="BC39" i="84"/>
  <c r="BR39" i="84"/>
  <c r="BT39" i="84" s="1"/>
  <c r="AR39" i="84"/>
  <c r="BE33" i="84"/>
  <c r="BB33" i="84"/>
  <c r="BC33" i="84"/>
  <c r="BD33" i="84"/>
  <c r="BR33" i="84"/>
  <c r="BT33" i="84" s="1"/>
  <c r="AR33" i="84"/>
  <c r="BE13" i="84"/>
  <c r="BC13" i="84"/>
  <c r="BD13" i="84"/>
  <c r="BB13" i="84"/>
  <c r="BR13" i="84"/>
  <c r="BT13" i="84" s="1"/>
  <c r="AR13" i="84"/>
  <c r="BE44" i="84"/>
  <c r="BD44" i="84"/>
  <c r="BB44" i="84"/>
  <c r="BC44" i="84"/>
  <c r="BR44" i="84"/>
  <c r="BT44" i="84" s="1"/>
  <c r="AR44" i="84"/>
  <c r="BE32" i="84"/>
  <c r="BD32" i="84"/>
  <c r="BC32" i="84"/>
  <c r="BB32" i="84"/>
  <c r="AR32" i="84"/>
  <c r="BR32" i="84"/>
  <c r="BT32" i="84" s="1"/>
  <c r="BE28" i="84"/>
  <c r="BD28" i="84"/>
  <c r="BB28" i="84"/>
  <c r="BC28" i="84"/>
  <c r="AR28" i="84"/>
  <c r="BR28" i="84"/>
  <c r="BT28" i="84" s="1"/>
  <c r="BE17" i="84"/>
  <c r="BB17" i="84"/>
  <c r="BC17" i="84"/>
  <c r="BD17" i="84"/>
  <c r="AR17" i="84"/>
  <c r="BR17" i="84"/>
  <c r="BT17" i="84" s="1"/>
  <c r="BE12" i="84"/>
  <c r="BD12" i="84"/>
  <c r="BB12" i="84"/>
  <c r="BC12" i="84"/>
  <c r="AR12" i="84"/>
  <c r="BR12" i="84"/>
  <c r="BT12" i="84" s="1"/>
  <c r="AR8" i="84"/>
  <c r="BR8" i="84"/>
  <c r="BT8" i="84" s="1"/>
  <c r="AR7" i="84"/>
  <c r="BR7" i="84"/>
  <c r="BT7" i="84" s="1"/>
  <c r="P87" i="94"/>
  <c r="BJ15" i="84" l="1"/>
  <c r="BJ9" i="84"/>
  <c r="BJ13" i="84"/>
  <c r="BJ12" i="84"/>
  <c r="BJ11" i="84"/>
  <c r="BJ8" i="84"/>
  <c r="BJ14" i="84"/>
  <c r="BJ7" i="84"/>
  <c r="BJ19" i="84"/>
  <c r="BJ18" i="84"/>
  <c r="BJ10" i="84"/>
  <c r="BJ21" i="84"/>
  <c r="BJ20" i="84"/>
  <c r="BJ16" i="84"/>
  <c r="BJ17" i="84"/>
  <c r="BJ22" i="84"/>
  <c r="BJ23" i="84"/>
  <c r="BJ24" i="84"/>
  <c r="BJ25" i="84"/>
  <c r="BJ26" i="84"/>
  <c r="BJ27" i="84"/>
  <c r="BJ28" i="84"/>
  <c r="BJ29" i="84"/>
  <c r="BJ30" i="84"/>
  <c r="BJ31" i="84"/>
  <c r="BJ32" i="84"/>
  <c r="BJ33" i="84"/>
  <c r="BJ34" i="84"/>
  <c r="BJ35" i="84"/>
  <c r="BJ36" i="84"/>
  <c r="BJ37" i="84"/>
  <c r="BJ38" i="84"/>
  <c r="BJ39" i="84"/>
  <c r="BJ40" i="84"/>
  <c r="BJ41" i="84"/>
  <c r="BJ42" i="84"/>
  <c r="BJ43" i="84"/>
  <c r="BJ44" i="84"/>
  <c r="BN21" i="84"/>
  <c r="BN18" i="84"/>
  <c r="BN15" i="84"/>
  <c r="BN20" i="84"/>
  <c r="BN22" i="84"/>
  <c r="BN8" i="84"/>
  <c r="BN16" i="84"/>
  <c r="BN17" i="84"/>
  <c r="BN19" i="84"/>
  <c r="BN7" i="84"/>
  <c r="BN10" i="84"/>
  <c r="BN9" i="84"/>
  <c r="BN11" i="84"/>
  <c r="BN14" i="84"/>
  <c r="BN13" i="84"/>
  <c r="BN12" i="84"/>
  <c r="BN23" i="84"/>
  <c r="BN24" i="84"/>
  <c r="BN25" i="84"/>
  <c r="BN26" i="84"/>
  <c r="BN27" i="84"/>
  <c r="BN28" i="84"/>
  <c r="BN29" i="84"/>
  <c r="BN30" i="84"/>
  <c r="BN31" i="84"/>
  <c r="BN32" i="84"/>
  <c r="BN33" i="84"/>
  <c r="BN34" i="84"/>
  <c r="BN35" i="84"/>
  <c r="BN36" i="84"/>
  <c r="BN37" i="84"/>
  <c r="BN38" i="84"/>
  <c r="BN39" i="84"/>
  <c r="BN40" i="84"/>
  <c r="BN41" i="84"/>
  <c r="BN42" i="84"/>
  <c r="BN43" i="84"/>
  <c r="BN44" i="84"/>
  <c r="BM11" i="84"/>
  <c r="BM13" i="84"/>
  <c r="BM21" i="84"/>
  <c r="BM17" i="84"/>
  <c r="BM15" i="84"/>
  <c r="BM20" i="84"/>
  <c r="BM19" i="84"/>
  <c r="BM10" i="84"/>
  <c r="BM9" i="84"/>
  <c r="BM22" i="84"/>
  <c r="BM16" i="84"/>
  <c r="BM8" i="84"/>
  <c r="BM18" i="84"/>
  <c r="BM14" i="84"/>
  <c r="BM12" i="84"/>
  <c r="BM7" i="84"/>
  <c r="BM23" i="84"/>
  <c r="BM24" i="84"/>
  <c r="BM25" i="84"/>
  <c r="BM26" i="84"/>
  <c r="BM27" i="84"/>
  <c r="BM28" i="84"/>
  <c r="BM29" i="84"/>
  <c r="BM30" i="84"/>
  <c r="BM31" i="84"/>
  <c r="BM32" i="84"/>
  <c r="BM33" i="84"/>
  <c r="BM34" i="84"/>
  <c r="BM35" i="84"/>
  <c r="BM36" i="84"/>
  <c r="BM37" i="84"/>
  <c r="BM38" i="84"/>
  <c r="BM39" i="84"/>
  <c r="BM40" i="84"/>
  <c r="BM41" i="84"/>
  <c r="BM42" i="84"/>
  <c r="BM43" i="84"/>
  <c r="BM44" i="84"/>
  <c r="BL21" i="84"/>
  <c r="BL15" i="84"/>
  <c r="BL10" i="84"/>
  <c r="BL22" i="84"/>
  <c r="BL7" i="84"/>
  <c r="BL18" i="84"/>
  <c r="BL13" i="84"/>
  <c r="BL19" i="84"/>
  <c r="BL9" i="84"/>
  <c r="BL12" i="84"/>
  <c r="BL8" i="84"/>
  <c r="BL11" i="84"/>
  <c r="BL16" i="84"/>
  <c r="BL17" i="84"/>
  <c r="BL14" i="84"/>
  <c r="BL20" i="84"/>
  <c r="BL23" i="84"/>
  <c r="BL24" i="84"/>
  <c r="BL25" i="84"/>
  <c r="BL26" i="84"/>
  <c r="BL27" i="84"/>
  <c r="BL28" i="84"/>
  <c r="BL29" i="84"/>
  <c r="BL30" i="84"/>
  <c r="BL31" i="84"/>
  <c r="BL32" i="84"/>
  <c r="BL33" i="84"/>
  <c r="BL34" i="84"/>
  <c r="BL35" i="84"/>
  <c r="BL36" i="84"/>
  <c r="BL37" i="84"/>
  <c r="BL38" i="84"/>
  <c r="BL39" i="84"/>
  <c r="BL40" i="84"/>
  <c r="BL41" i="84"/>
  <c r="BL42" i="84"/>
  <c r="BL43" i="84"/>
  <c r="BL44" i="84"/>
  <c r="BK12" i="84"/>
  <c r="BK19" i="84"/>
  <c r="BK8" i="84"/>
  <c r="BK11" i="84"/>
  <c r="BK18" i="84"/>
  <c r="BK9" i="84"/>
  <c r="BK16" i="84"/>
  <c r="BK17" i="84"/>
  <c r="BK13" i="84"/>
  <c r="BK10" i="84"/>
  <c r="BK7" i="84"/>
  <c r="BK15" i="84"/>
  <c r="BK22" i="84"/>
  <c r="BK14" i="84"/>
  <c r="BK20" i="84"/>
  <c r="BK21" i="84"/>
  <c r="BK23" i="84"/>
  <c r="BK24" i="84"/>
  <c r="BK25" i="84"/>
  <c r="BK26" i="84"/>
  <c r="BK27" i="84"/>
  <c r="BK28" i="84"/>
  <c r="BK29" i="84"/>
  <c r="BK30" i="84"/>
  <c r="BK31" i="84"/>
  <c r="BK32" i="84"/>
  <c r="BK33" i="84"/>
  <c r="BK34" i="84"/>
  <c r="BK35" i="84"/>
  <c r="BK36" i="84"/>
  <c r="BK37" i="84"/>
  <c r="BK38" i="84"/>
  <c r="BK39" i="84"/>
  <c r="BK40" i="84"/>
  <c r="BK41" i="84"/>
  <c r="BK42" i="84"/>
  <c r="BK43" i="84"/>
  <c r="BK44" i="84"/>
  <c r="P98" i="94"/>
  <c r="P86" i="94"/>
  <c r="P90" i="94"/>
  <c r="P88" i="94"/>
  <c r="P81" i="94"/>
  <c r="P89" i="94"/>
  <c r="P91" i="94"/>
  <c r="P93" i="94"/>
  <c r="P92" i="94"/>
  <c r="P97" i="94"/>
  <c r="P94" i="94"/>
  <c r="P85" i="94"/>
  <c r="P83" i="94"/>
  <c r="P96" i="94"/>
  <c r="P95" i="94"/>
  <c r="Q69" i="94"/>
  <c r="M17" i="68"/>
  <c r="G9" i="89"/>
  <c r="H38" i="89"/>
  <c r="O45" i="68"/>
  <c r="N27" i="68"/>
  <c r="H40" i="89"/>
  <c r="O47" i="68"/>
  <c r="G7" i="89"/>
  <c r="AL37" i="100"/>
  <c r="I26" i="89"/>
  <c r="I39" i="89"/>
  <c r="O41" i="68"/>
  <c r="O51" i="68"/>
  <c r="O42" i="68"/>
  <c r="Q7" i="89"/>
  <c r="G13" i="89"/>
  <c r="AL21" i="100"/>
  <c r="AL11" i="100"/>
  <c r="H30" i="89"/>
  <c r="I8" i="89"/>
  <c r="H20" i="89"/>
  <c r="G12" i="89"/>
  <c r="O26" i="68"/>
  <c r="H32" i="89"/>
  <c r="H11" i="89"/>
  <c r="I14" i="89"/>
  <c r="I22" i="89"/>
  <c r="H15" i="89"/>
  <c r="AL9" i="100"/>
  <c r="I38" i="89"/>
  <c r="I29" i="89"/>
  <c r="G24" i="89"/>
  <c r="H33" i="89"/>
  <c r="AL20" i="100"/>
  <c r="H41" i="89"/>
  <c r="G17" i="89"/>
  <c r="O48" i="68"/>
  <c r="I33" i="89"/>
  <c r="H21" i="89"/>
  <c r="R14" i="69"/>
  <c r="G38" i="89"/>
  <c r="AL36" i="100"/>
  <c r="I31" i="89"/>
  <c r="AL42" i="100"/>
  <c r="N20" i="68"/>
  <c r="I23" i="89"/>
  <c r="R21" i="89"/>
  <c r="I34" i="89"/>
  <c r="G42" i="89"/>
  <c r="AL33" i="100"/>
  <c r="G33" i="89"/>
  <c r="H26" i="89"/>
  <c r="H13" i="89"/>
  <c r="AL12" i="100"/>
  <c r="S35" i="95"/>
  <c r="X35" i="69"/>
  <c r="S30" i="95"/>
  <c r="I10" i="89"/>
  <c r="S10" i="89"/>
  <c r="G18" i="89"/>
  <c r="H24" i="89"/>
  <c r="I24" i="89"/>
  <c r="H42" i="89"/>
  <c r="I40" i="89"/>
  <c r="O35" i="68"/>
  <c r="S23" i="95" s="1"/>
  <c r="N26" i="68"/>
  <c r="G16" i="89"/>
  <c r="R15" i="95"/>
  <c r="G26" i="89"/>
  <c r="R40" i="89"/>
  <c r="O52" i="68"/>
  <c r="X22" i="69"/>
  <c r="H9" i="89"/>
  <c r="S35" i="69"/>
  <c r="AD38" i="84" s="1"/>
  <c r="O40" i="68"/>
  <c r="AL44" i="100"/>
  <c r="H22" i="89"/>
  <c r="X32" i="69"/>
  <c r="X39" i="69"/>
  <c r="S33" i="95"/>
  <c r="G29" i="89"/>
  <c r="O38" i="68"/>
  <c r="I36" i="89"/>
  <c r="N17" i="68"/>
  <c r="AL19" i="100"/>
  <c r="G19" i="89"/>
  <c r="H23" i="89"/>
  <c r="I9" i="89"/>
  <c r="S34" i="69"/>
  <c r="X28" i="69"/>
  <c r="S39" i="69"/>
  <c r="AD42" i="84" s="1"/>
  <c r="S26" i="95"/>
  <c r="AS5" i="95"/>
  <c r="H27" i="89"/>
  <c r="R27" i="89" s="1"/>
  <c r="O33" i="68"/>
  <c r="G39" i="89"/>
  <c r="AL23" i="100"/>
  <c r="AL15" i="100"/>
  <c r="G20" i="89"/>
  <c r="G22" i="89"/>
  <c r="Q39" i="89"/>
  <c r="AL32" i="100"/>
  <c r="S38" i="89"/>
  <c r="H29" i="89"/>
  <c r="Q16" i="89"/>
  <c r="H17" i="89"/>
  <c r="AL17" i="100"/>
  <c r="R13" i="69"/>
  <c r="I7" i="89"/>
  <c r="I32" i="89"/>
  <c r="AL13" i="100"/>
  <c r="Q13" i="89"/>
  <c r="N29" i="68"/>
  <c r="H10" i="89"/>
  <c r="AL10" i="100"/>
  <c r="I35" i="89"/>
  <c r="I21" i="89"/>
  <c r="O25" i="68"/>
  <c r="H39" i="89"/>
  <c r="H25" i="89"/>
  <c r="X34" i="69"/>
  <c r="AD37" i="84" s="1"/>
  <c r="S28" i="69"/>
  <c r="AD31" i="84" s="1"/>
  <c r="S40" i="95"/>
  <c r="AX5" i="95"/>
  <c r="X12" i="69"/>
  <c r="O32" i="68"/>
  <c r="G11" i="89"/>
  <c r="H35" i="89"/>
  <c r="S21" i="95"/>
  <c r="AL35" i="100"/>
  <c r="O34" i="68"/>
  <c r="X21" i="69" s="1"/>
  <c r="O53" i="68"/>
  <c r="S41" i="95" s="1"/>
  <c r="AL31" i="100"/>
  <c r="O44" i="68"/>
  <c r="X31" i="69" s="1"/>
  <c r="S32" i="69"/>
  <c r="AD35" i="84" s="1"/>
  <c r="G30" i="89"/>
  <c r="S36" i="95"/>
  <c r="Q18" i="89"/>
  <c r="G35" i="89"/>
  <c r="Q35" i="89" s="1"/>
  <c r="Q9" i="89"/>
  <c r="S31" i="69"/>
  <c r="AD34" i="84" s="1"/>
  <c r="O29" i="68"/>
  <c r="X16" i="69" s="1"/>
  <c r="S32" i="95"/>
  <c r="G43" i="89"/>
  <c r="R41" i="89"/>
  <c r="O50" i="68"/>
  <c r="S29" i="69"/>
  <c r="S28" i="95"/>
  <c r="AL41" i="100"/>
  <c r="G41" i="89"/>
  <c r="N22" i="68"/>
  <c r="W9" i="69" s="1"/>
  <c r="H16" i="89"/>
  <c r="O28" i="68"/>
  <c r="O24" i="68"/>
  <c r="G34" i="89"/>
  <c r="S21" i="69"/>
  <c r="AD24" i="84" s="1"/>
  <c r="S39" i="95"/>
  <c r="S17" i="95"/>
  <c r="X13" i="69"/>
  <c r="W4" i="69"/>
  <c r="X15" i="69"/>
  <c r="H28" i="89"/>
  <c r="R28" i="89" s="1"/>
  <c r="I17" i="89"/>
  <c r="S17" i="89" s="1"/>
  <c r="AL22" i="100"/>
  <c r="I37" i="89"/>
  <c r="N21" i="68"/>
  <c r="R8" i="69" s="1"/>
  <c r="H12" i="89"/>
  <c r="I25" i="89"/>
  <c r="I28" i="89"/>
  <c r="X20" i="69"/>
  <c r="AL34" i="100"/>
  <c r="R14" i="95"/>
  <c r="O49" i="68"/>
  <c r="S36" i="69" s="1"/>
  <c r="R33" i="89"/>
  <c r="R38" i="89"/>
  <c r="S29" i="89"/>
  <c r="G15" i="89"/>
  <c r="Q15" i="89" s="1"/>
  <c r="AL39" i="100"/>
  <c r="H14" i="89"/>
  <c r="S37" i="89"/>
  <c r="S20" i="69"/>
  <c r="AD23" i="84" s="1"/>
  <c r="I16" i="89"/>
  <c r="I11" i="89"/>
  <c r="H34" i="89"/>
  <c r="H37" i="89"/>
  <c r="G21" i="89"/>
  <c r="O37" i="68"/>
  <c r="O46" i="68"/>
  <c r="N24" i="68"/>
  <c r="W8" i="69"/>
  <c r="AC11" i="84" s="1"/>
  <c r="X38" i="69"/>
  <c r="S27" i="69"/>
  <c r="S14" i="95"/>
  <c r="AW5" i="95"/>
  <c r="S15" i="69"/>
  <c r="AD18" i="84" s="1"/>
  <c r="BD12" i="95"/>
  <c r="S33" i="69"/>
  <c r="G23" i="89"/>
  <c r="Q23" i="89" s="1"/>
  <c r="AL8" i="100"/>
  <c r="AL38" i="100"/>
  <c r="H36" i="89"/>
  <c r="H43" i="89"/>
  <c r="G32" i="89"/>
  <c r="G14" i="89"/>
  <c r="Q14" i="89" s="1"/>
  <c r="G40" i="89"/>
  <c r="G8" i="89"/>
  <c r="O30" i="68"/>
  <c r="R9" i="95"/>
  <c r="Q11" i="89"/>
  <c r="H31" i="89"/>
  <c r="S40" i="89"/>
  <c r="I41" i="89"/>
  <c r="S24" i="89"/>
  <c r="R24" i="89"/>
  <c r="X29" i="69"/>
  <c r="AD32" i="84" s="1"/>
  <c r="AL18" i="100"/>
  <c r="H18" i="89"/>
  <c r="Q24" i="89"/>
  <c r="O27" i="68"/>
  <c r="Q32" i="89"/>
  <c r="S22" i="69"/>
  <c r="AD25" i="84" s="1"/>
  <c r="Q8" i="89"/>
  <c r="I27" i="89"/>
  <c r="O39" i="68"/>
  <c r="G37" i="89"/>
  <c r="I42" i="89"/>
  <c r="N18" i="68"/>
  <c r="R5" i="69" s="1"/>
  <c r="AL43" i="100"/>
  <c r="I20" i="89"/>
  <c r="AL30" i="100"/>
  <c r="X40" i="69"/>
  <c r="X36" i="69"/>
  <c r="AD39" i="84" s="1"/>
  <c r="X27" i="69"/>
  <c r="AD30" i="84" s="1"/>
  <c r="R17" i="95"/>
  <c r="R9" i="69"/>
  <c r="AC12" i="84" s="1"/>
  <c r="S13" i="69"/>
  <c r="AD16" i="84" s="1"/>
  <c r="AR5" i="95"/>
  <c r="AX6" i="95"/>
  <c r="S16" i="95"/>
  <c r="AT12" i="95"/>
  <c r="R12" i="95"/>
  <c r="AL27" i="100"/>
  <c r="N28" i="68"/>
  <c r="G31" i="89"/>
  <c r="Q31" i="89" s="1"/>
  <c r="AL26" i="100"/>
  <c r="O36" i="68"/>
  <c r="I30" i="89"/>
  <c r="S30" i="89" s="1"/>
  <c r="AL25" i="100"/>
  <c r="H19" i="89"/>
  <c r="AL24" i="100"/>
  <c r="G10" i="89"/>
  <c r="Q10" i="89" s="1"/>
  <c r="G27" i="89"/>
  <c r="Q27" i="89" s="1"/>
  <c r="S29" i="95"/>
  <c r="AL40" i="100"/>
  <c r="S22" i="95"/>
  <c r="G28" i="89"/>
  <c r="Q20" i="89"/>
  <c r="S39" i="89"/>
  <c r="R36" i="89"/>
  <c r="I13" i="89"/>
  <c r="S13" i="89" s="1"/>
  <c r="G36" i="89"/>
  <c r="S20" i="95"/>
  <c r="I18" i="89"/>
  <c r="R19" i="89"/>
  <c r="Q22" i="89"/>
  <c r="S16" i="69"/>
  <c r="AD19" i="84" s="1"/>
  <c r="S38" i="69"/>
  <c r="AD41" i="84" s="1"/>
  <c r="I43" i="89"/>
  <c r="H8" i="89"/>
  <c r="O31" i="68"/>
  <c r="I19" i="89"/>
  <c r="AL7" i="100"/>
  <c r="N23" i="68"/>
  <c r="G25" i="89"/>
  <c r="N25" i="68"/>
  <c r="S40" i="69"/>
  <c r="AD43" i="84" s="1"/>
  <c r="S37" i="95"/>
  <c r="R8" i="95"/>
  <c r="R16" i="69"/>
  <c r="R10" i="95"/>
  <c r="BC5" i="95"/>
  <c r="BB5" i="95"/>
  <c r="S25" i="95"/>
  <c r="X11" i="69"/>
  <c r="R11" i="69"/>
  <c r="S25" i="69"/>
  <c r="X25" i="69"/>
  <c r="AD28" i="84" s="1"/>
  <c r="R4" i="69"/>
  <c r="R5" i="95"/>
  <c r="S13" i="95"/>
  <c r="S12" i="69"/>
  <c r="AD15" i="84" s="1"/>
  <c r="X19" i="69"/>
  <c r="S19" i="69"/>
  <c r="AD22" i="84" s="1"/>
  <c r="X37" i="69"/>
  <c r="S37" i="69"/>
  <c r="AD40" i="84" s="1"/>
  <c r="S38" i="95"/>
  <c r="Q5" i="95"/>
  <c r="V4" i="69"/>
  <c r="Q4" i="69"/>
  <c r="AY12" i="95"/>
  <c r="S11" i="69"/>
  <c r="AD14" i="84" s="1"/>
  <c r="S12" i="95"/>
  <c r="S24" i="69"/>
  <c r="X24" i="69"/>
  <c r="AD27" i="84" s="1"/>
  <c r="S34" i="95"/>
  <c r="X33" i="69"/>
  <c r="AD36" i="84" s="1"/>
  <c r="X17" i="69"/>
  <c r="S17" i="69"/>
  <c r="AD20" i="84" s="1"/>
  <c r="S18" i="95"/>
  <c r="S14" i="69"/>
  <c r="X14" i="69"/>
  <c r="AD17" i="84" s="1"/>
  <c r="S15" i="95"/>
  <c r="X26" i="69"/>
  <c r="S27" i="95"/>
  <c r="S26" i="69"/>
  <c r="AD29" i="84" s="1"/>
  <c r="AS6" i="95"/>
  <c r="R6" i="95"/>
  <c r="BC6" i="95"/>
  <c r="W5" i="69"/>
  <c r="AC8" i="84" s="1"/>
  <c r="R16" i="95"/>
  <c r="R15" i="69"/>
  <c r="X23" i="69"/>
  <c r="S24" i="95"/>
  <c r="S23" i="69"/>
  <c r="AD26" i="84" s="1"/>
  <c r="S19" i="95"/>
  <c r="X18" i="69"/>
  <c r="S18" i="69"/>
  <c r="AD21" i="84" s="1"/>
  <c r="W10" i="69"/>
  <c r="R10" i="69"/>
  <c r="AC13" i="84" s="1"/>
  <c r="R11" i="95"/>
  <c r="R12" i="69"/>
  <c r="R13" i="95"/>
  <c r="R7" i="69"/>
  <c r="W7" i="69"/>
  <c r="AC10" i="84" s="1"/>
  <c r="AO52" i="68" l="1"/>
  <c r="AO36" i="68"/>
  <c r="AO27" i="68"/>
  <c r="AO50" i="68"/>
  <c r="AO42" i="68"/>
  <c r="AO34" i="68"/>
  <c r="AO32" i="68"/>
  <c r="AO43" i="68"/>
  <c r="AO31" i="68"/>
  <c r="AO49" i="68"/>
  <c r="AO41" i="68"/>
  <c r="AO33" i="68"/>
  <c r="AO48" i="68"/>
  <c r="AO40" i="68"/>
  <c r="AO44" i="68"/>
  <c r="AO51" i="68"/>
  <c r="AO26" i="68"/>
  <c r="AO47" i="68"/>
  <c r="AO39" i="68"/>
  <c r="AO29" i="68"/>
  <c r="AO54" i="68"/>
  <c r="AO46" i="68"/>
  <c r="AO38" i="68"/>
  <c r="AO24" i="68"/>
  <c r="AO30" i="68"/>
  <c r="AO35" i="68"/>
  <c r="AO53" i="68"/>
  <c r="AO45" i="68"/>
  <c r="AO37" i="68"/>
  <c r="AO28" i="68"/>
  <c r="AO25" i="68"/>
  <c r="AO48" i="90"/>
  <c r="AI22" i="84"/>
  <c r="T5" i="95"/>
  <c r="BE5" i="95"/>
  <c r="M29" i="89"/>
  <c r="L33" i="90"/>
  <c r="M47" i="90"/>
  <c r="N43" i="89"/>
  <c r="M20" i="90"/>
  <c r="N16" i="89"/>
  <c r="AI13" i="69"/>
  <c r="L46" i="90"/>
  <c r="M42" i="89"/>
  <c r="L30" i="90"/>
  <c r="M26" i="89"/>
  <c r="L19" i="90"/>
  <c r="M15" i="89"/>
  <c r="L15" i="90"/>
  <c r="M11" i="89"/>
  <c r="M36" i="90"/>
  <c r="N32" i="89"/>
  <c r="AI9" i="69"/>
  <c r="AJ35" i="69"/>
  <c r="J38" i="89"/>
  <c r="K38" i="90"/>
  <c r="L34" i="89"/>
  <c r="L26" i="89"/>
  <c r="K30" i="90"/>
  <c r="K16" i="90"/>
  <c r="L12" i="89"/>
  <c r="L29" i="90"/>
  <c r="M25" i="89"/>
  <c r="M43" i="90"/>
  <c r="N39" i="89"/>
  <c r="N23" i="89"/>
  <c r="M27" i="90"/>
  <c r="M25" i="90"/>
  <c r="N21" i="89"/>
  <c r="AJ26" i="69"/>
  <c r="J29" i="89"/>
  <c r="J19" i="89"/>
  <c r="AJ16" i="69"/>
  <c r="L33" i="89"/>
  <c r="K37" i="90"/>
  <c r="K14" i="90"/>
  <c r="L10" i="89"/>
  <c r="L44" i="90"/>
  <c r="M40" i="89"/>
  <c r="L28" i="90"/>
  <c r="M24" i="89"/>
  <c r="M42" i="90"/>
  <c r="N38" i="89"/>
  <c r="N20" i="89"/>
  <c r="M24" i="90"/>
  <c r="AJ25" i="69"/>
  <c r="J28" i="89"/>
  <c r="J20" i="89"/>
  <c r="AJ17" i="69"/>
  <c r="L24" i="89"/>
  <c r="K28" i="90"/>
  <c r="L42" i="90"/>
  <c r="M38" i="89"/>
  <c r="L34" i="90"/>
  <c r="M30" i="89"/>
  <c r="L25" i="90"/>
  <c r="M21" i="89"/>
  <c r="M17" i="89"/>
  <c r="L21" i="90"/>
  <c r="M40" i="90"/>
  <c r="N36" i="89"/>
  <c r="N28" i="89"/>
  <c r="M32" i="90"/>
  <c r="M21" i="90"/>
  <c r="BT21" i="90" s="1"/>
  <c r="N17" i="89"/>
  <c r="AI14" i="69"/>
  <c r="AI15" i="69"/>
  <c r="N18" i="89"/>
  <c r="M22" i="90"/>
  <c r="BT22" i="90" s="1"/>
  <c r="J42" i="89"/>
  <c r="AJ39" i="69"/>
  <c r="J34" i="89"/>
  <c r="AJ31" i="69"/>
  <c r="J26" i="89"/>
  <c r="AJ23" i="69"/>
  <c r="AJ14" i="69"/>
  <c r="J17" i="89"/>
  <c r="K42" i="90"/>
  <c r="L38" i="89"/>
  <c r="K34" i="90"/>
  <c r="L30" i="89"/>
  <c r="K26" i="90"/>
  <c r="L22" i="89"/>
  <c r="L7" i="89"/>
  <c r="K11" i="90"/>
  <c r="L24" i="90"/>
  <c r="M20" i="89"/>
  <c r="M31" i="90"/>
  <c r="N27" i="89"/>
  <c r="AJ38" i="69"/>
  <c r="J41" i="89"/>
  <c r="AJ22" i="69"/>
  <c r="J25" i="89"/>
  <c r="AJ13" i="69"/>
  <c r="J16" i="89"/>
  <c r="J21" i="89"/>
  <c r="AJ18" i="69"/>
  <c r="L37" i="89"/>
  <c r="K41" i="90"/>
  <c r="L29" i="89"/>
  <c r="K33" i="90"/>
  <c r="K21" i="90"/>
  <c r="L17" i="89"/>
  <c r="L14" i="89"/>
  <c r="K18" i="90"/>
  <c r="M36" i="89"/>
  <c r="L40" i="90"/>
  <c r="L32" i="90"/>
  <c r="M28" i="89"/>
  <c r="M14" i="89"/>
  <c r="L18" i="90"/>
  <c r="L13" i="90"/>
  <c r="M9" i="89"/>
  <c r="M46" i="90"/>
  <c r="N42" i="89"/>
  <c r="N34" i="89"/>
  <c r="M38" i="90"/>
  <c r="M30" i="90"/>
  <c r="N26" i="89"/>
  <c r="AI8" i="69"/>
  <c r="N11" i="89"/>
  <c r="M15" i="90"/>
  <c r="N22" i="89"/>
  <c r="M26" i="90"/>
  <c r="AJ37" i="69"/>
  <c r="J40" i="89"/>
  <c r="AJ29" i="69"/>
  <c r="J32" i="89"/>
  <c r="J24" i="89"/>
  <c r="AJ21" i="69"/>
  <c r="AJ19" i="69"/>
  <c r="J22" i="89"/>
  <c r="K40" i="90"/>
  <c r="L36" i="89"/>
  <c r="L28" i="89"/>
  <c r="K32" i="90"/>
  <c r="K20" i="90"/>
  <c r="L16" i="89"/>
  <c r="L8" i="89"/>
  <c r="K12" i="90"/>
  <c r="M43" i="89"/>
  <c r="L47" i="90"/>
  <c r="L39" i="90"/>
  <c r="M35" i="89"/>
  <c r="L31" i="90"/>
  <c r="M27" i="89"/>
  <c r="M22" i="89"/>
  <c r="L26" i="90"/>
  <c r="L22" i="90"/>
  <c r="M18" i="89"/>
  <c r="M45" i="90"/>
  <c r="N41" i="89"/>
  <c r="M37" i="90"/>
  <c r="N33" i="89"/>
  <c r="M29" i="90"/>
  <c r="N25" i="89"/>
  <c r="M12" i="90"/>
  <c r="N8" i="89"/>
  <c r="AI5" i="69"/>
  <c r="N10" i="89"/>
  <c r="M14" i="90"/>
  <c r="AI7" i="69"/>
  <c r="J39" i="89"/>
  <c r="AJ36" i="69"/>
  <c r="J31" i="89"/>
  <c r="AJ28" i="69"/>
  <c r="J23" i="89"/>
  <c r="AJ20" i="69"/>
  <c r="K47" i="90"/>
  <c r="L43" i="89"/>
  <c r="K39" i="90"/>
  <c r="L35" i="89"/>
  <c r="L27" i="89"/>
  <c r="K31" i="90"/>
  <c r="L20" i="89"/>
  <c r="K24" i="90"/>
  <c r="K15" i="90"/>
  <c r="L11" i="89"/>
  <c r="M37" i="89"/>
  <c r="L41" i="90"/>
  <c r="M16" i="89"/>
  <c r="L20" i="90"/>
  <c r="N35" i="89"/>
  <c r="M39" i="90"/>
  <c r="M11" i="90"/>
  <c r="N7" i="89"/>
  <c r="AI4" i="69"/>
  <c r="L38" i="90"/>
  <c r="M34" i="89"/>
  <c r="N40" i="89"/>
  <c r="M44" i="90"/>
  <c r="N24" i="89"/>
  <c r="M28" i="90"/>
  <c r="AI12" i="69"/>
  <c r="AJ27" i="69"/>
  <c r="J30" i="89"/>
  <c r="L42" i="89"/>
  <c r="K46" i="90"/>
  <c r="K25" i="90"/>
  <c r="L21" i="89"/>
  <c r="M41" i="89"/>
  <c r="L45" i="90"/>
  <c r="L37" i="90"/>
  <c r="M33" i="89"/>
  <c r="AH4" i="69"/>
  <c r="M8" i="89"/>
  <c r="L12" i="90"/>
  <c r="M35" i="90"/>
  <c r="N31" i="89"/>
  <c r="M13" i="90"/>
  <c r="N9" i="89"/>
  <c r="J37" i="89"/>
  <c r="AJ34" i="69"/>
  <c r="K45" i="90"/>
  <c r="L41" i="89"/>
  <c r="L25" i="89"/>
  <c r="K29" i="90"/>
  <c r="K17" i="90"/>
  <c r="L13" i="89"/>
  <c r="M32" i="89"/>
  <c r="L36" i="90"/>
  <c r="L14" i="90"/>
  <c r="M10" i="89"/>
  <c r="M19" i="89"/>
  <c r="L23" i="90"/>
  <c r="M34" i="90"/>
  <c r="N30" i="89"/>
  <c r="AI16" i="69"/>
  <c r="M23" i="90"/>
  <c r="N19" i="89"/>
  <c r="AJ33" i="69"/>
  <c r="J36" i="89"/>
  <c r="J14" i="89"/>
  <c r="AJ11" i="69"/>
  <c r="L40" i="89"/>
  <c r="K44" i="90"/>
  <c r="L32" i="89"/>
  <c r="K36" i="90"/>
  <c r="K22" i="90"/>
  <c r="L18" i="89"/>
  <c r="L9" i="89"/>
  <c r="K13" i="90"/>
  <c r="M39" i="89"/>
  <c r="L43" i="90"/>
  <c r="L35" i="90"/>
  <c r="M31" i="89"/>
  <c r="L27" i="90"/>
  <c r="M23" i="89"/>
  <c r="L17" i="90"/>
  <c r="M13" i="89"/>
  <c r="L16" i="90"/>
  <c r="M12" i="89"/>
  <c r="N37" i="89"/>
  <c r="M41" i="90"/>
  <c r="M33" i="90"/>
  <c r="N29" i="89"/>
  <c r="AI11" i="69"/>
  <c r="M18" i="90"/>
  <c r="N14" i="89"/>
  <c r="N13" i="89"/>
  <c r="M17" i="90"/>
  <c r="AI10" i="69"/>
  <c r="J43" i="89"/>
  <c r="AJ40" i="69"/>
  <c r="J35" i="89"/>
  <c r="AJ32" i="69"/>
  <c r="AJ24" i="69"/>
  <c r="J27" i="89"/>
  <c r="AJ15" i="69"/>
  <c r="J18" i="89"/>
  <c r="J15" i="89"/>
  <c r="AJ12" i="69"/>
  <c r="K43" i="90"/>
  <c r="L39" i="89"/>
  <c r="K35" i="90"/>
  <c r="L31" i="89"/>
  <c r="K27" i="90"/>
  <c r="L23" i="89"/>
  <c r="K23" i="90"/>
  <c r="L19" i="89"/>
  <c r="L15" i="89"/>
  <c r="K19" i="90"/>
  <c r="BO29" i="84"/>
  <c r="AP33" i="90"/>
  <c r="BV43" i="84"/>
  <c r="AQ47" i="90"/>
  <c r="BP43" i="84"/>
  <c r="BV16" i="84"/>
  <c r="AQ20" i="90"/>
  <c r="AP46" i="90"/>
  <c r="BO42" i="84"/>
  <c r="BO26" i="84"/>
  <c r="AP30" i="90"/>
  <c r="AP19" i="90"/>
  <c r="BO15" i="84"/>
  <c r="AP15" i="90"/>
  <c r="BO11" i="84"/>
  <c r="BV32" i="84"/>
  <c r="BP32" i="84"/>
  <c r="AQ36" i="90"/>
  <c r="BV12" i="84"/>
  <c r="AQ16" i="90"/>
  <c r="AR42" i="90"/>
  <c r="BQ38" i="84"/>
  <c r="AR11" i="90"/>
  <c r="BQ7" i="84"/>
  <c r="AR14" i="90"/>
  <c r="BQ10" i="84"/>
  <c r="AO38" i="90"/>
  <c r="AO30" i="90"/>
  <c r="AO16" i="90"/>
  <c r="AP29" i="90"/>
  <c r="BO25" i="84"/>
  <c r="BV39" i="84"/>
  <c r="AQ43" i="90"/>
  <c r="BP39" i="84"/>
  <c r="BV23" i="84"/>
  <c r="BP23" i="84"/>
  <c r="AQ27" i="90"/>
  <c r="BV21" i="84"/>
  <c r="BP21" i="84"/>
  <c r="AQ25" i="90"/>
  <c r="BQ29" i="84"/>
  <c r="AR33" i="90"/>
  <c r="AR23" i="90"/>
  <c r="AO37" i="90"/>
  <c r="AO14" i="90"/>
  <c r="AP44" i="90"/>
  <c r="BO40" i="84"/>
  <c r="BO24" i="84"/>
  <c r="AP28" i="90"/>
  <c r="BV38" i="84"/>
  <c r="AQ42" i="90"/>
  <c r="BP38" i="84"/>
  <c r="BV20" i="84"/>
  <c r="BP20" i="84"/>
  <c r="AQ24" i="90"/>
  <c r="BQ44" i="84"/>
  <c r="AR48" i="90"/>
  <c r="AR32" i="90"/>
  <c r="BQ28" i="84"/>
  <c r="AR24" i="90"/>
  <c r="AO28" i="90"/>
  <c r="BO38" i="84"/>
  <c r="AP42" i="90"/>
  <c r="BO30" i="84"/>
  <c r="AP34" i="90"/>
  <c r="BO21" i="84"/>
  <c r="AP25" i="90"/>
  <c r="BO17" i="84"/>
  <c r="AP21" i="90"/>
  <c r="BV44" i="84"/>
  <c r="BP44" i="84"/>
  <c r="AQ48" i="90"/>
  <c r="BV36" i="84"/>
  <c r="AQ40" i="90"/>
  <c r="BP36" i="84"/>
  <c r="BV28" i="84"/>
  <c r="BP28" i="84"/>
  <c r="AQ32" i="90"/>
  <c r="BV17" i="84"/>
  <c r="AQ21" i="90"/>
  <c r="BV18" i="84"/>
  <c r="AQ22" i="90"/>
  <c r="AR46" i="90"/>
  <c r="BQ42" i="84"/>
  <c r="AR38" i="90"/>
  <c r="BQ34" i="84"/>
  <c r="AR30" i="90"/>
  <c r="BQ26" i="84"/>
  <c r="BQ8" i="84"/>
  <c r="AR12" i="90"/>
  <c r="AR21" i="90"/>
  <c r="AO42" i="90"/>
  <c r="AO34" i="90"/>
  <c r="AO26" i="90"/>
  <c r="AO11" i="90"/>
  <c r="AP24" i="90"/>
  <c r="BO20" i="84"/>
  <c r="BV27" i="84"/>
  <c r="AQ31" i="90"/>
  <c r="BP27" i="84"/>
  <c r="AR45" i="90"/>
  <c r="BQ41" i="84"/>
  <c r="AR37" i="90"/>
  <c r="BQ33" i="84"/>
  <c r="AR29" i="90"/>
  <c r="BQ25" i="84"/>
  <c r="AR20" i="90"/>
  <c r="AR25" i="90"/>
  <c r="AO41" i="90"/>
  <c r="AO33" i="90"/>
  <c r="AO21" i="90"/>
  <c r="AO18" i="90"/>
  <c r="AP48" i="90"/>
  <c r="BO44" i="84"/>
  <c r="BO36" i="84"/>
  <c r="AP40" i="90"/>
  <c r="BO28" i="84"/>
  <c r="AP32" i="90"/>
  <c r="AP18" i="90"/>
  <c r="BO14" i="84"/>
  <c r="BO9" i="84"/>
  <c r="AP13" i="90"/>
  <c r="BV42" i="84"/>
  <c r="BP42" i="84"/>
  <c r="AQ46" i="90"/>
  <c r="BV34" i="84"/>
  <c r="BP34" i="84"/>
  <c r="AQ38" i="90"/>
  <c r="BV26" i="84"/>
  <c r="AQ30" i="90"/>
  <c r="BP26" i="84"/>
  <c r="BV11" i="84"/>
  <c r="AQ15" i="90"/>
  <c r="BV22" i="84"/>
  <c r="AQ26" i="90"/>
  <c r="BP22" i="84"/>
  <c r="BQ40" i="84"/>
  <c r="AR44" i="90"/>
  <c r="BQ32" i="84"/>
  <c r="AR36" i="90"/>
  <c r="AR28" i="90"/>
  <c r="BQ24" i="84"/>
  <c r="AR26" i="90"/>
  <c r="AR17" i="90"/>
  <c r="BQ13" i="84"/>
  <c r="AO40" i="90"/>
  <c r="AO32" i="90"/>
  <c r="AO20" i="90"/>
  <c r="AO12" i="90"/>
  <c r="BO43" i="84"/>
  <c r="AP47" i="90"/>
  <c r="AP39" i="90"/>
  <c r="BO35" i="84"/>
  <c r="BO27" i="84"/>
  <c r="AP31" i="90"/>
  <c r="BO22" i="84"/>
  <c r="AP26" i="90"/>
  <c r="BO18" i="84"/>
  <c r="AP22" i="90"/>
  <c r="BV41" i="84"/>
  <c r="AQ45" i="90"/>
  <c r="BP41" i="84"/>
  <c r="BV33" i="84"/>
  <c r="AQ37" i="90"/>
  <c r="BP33" i="84"/>
  <c r="BV25" i="84"/>
  <c r="BP25" i="84"/>
  <c r="AQ29" i="90"/>
  <c r="BV8" i="84"/>
  <c r="AQ12" i="90"/>
  <c r="BV10" i="84"/>
  <c r="AQ14" i="90"/>
  <c r="BQ39" i="84"/>
  <c r="AR43" i="90"/>
  <c r="AR35" i="90"/>
  <c r="BQ31" i="84"/>
  <c r="AR27" i="90"/>
  <c r="BQ9" i="84"/>
  <c r="AR13" i="90"/>
  <c r="BQ11" i="84"/>
  <c r="AR15" i="90"/>
  <c r="AO47" i="90"/>
  <c r="AO39" i="90"/>
  <c r="AO31" i="90"/>
  <c r="AO24" i="90"/>
  <c r="AO15" i="90"/>
  <c r="AP41" i="90"/>
  <c r="BO37" i="84"/>
  <c r="BO16" i="84"/>
  <c r="AP20" i="90"/>
  <c r="BV35" i="84"/>
  <c r="AQ39" i="90"/>
  <c r="BP35" i="84"/>
  <c r="AQ11" i="90"/>
  <c r="BV7" i="84"/>
  <c r="BO34" i="84"/>
  <c r="AP38" i="90"/>
  <c r="BV40" i="84"/>
  <c r="AQ44" i="90"/>
  <c r="BP40" i="84"/>
  <c r="BV24" i="84"/>
  <c r="AQ28" i="90"/>
  <c r="BP24" i="84"/>
  <c r="BV15" i="84"/>
  <c r="AQ19" i="90"/>
  <c r="AR34" i="90"/>
  <c r="BQ30" i="84"/>
  <c r="AO46" i="90"/>
  <c r="AO25" i="90"/>
  <c r="AP45" i="90"/>
  <c r="BO41" i="84"/>
  <c r="AP37" i="90"/>
  <c r="BO33" i="84"/>
  <c r="AP11" i="90"/>
  <c r="AP12" i="90"/>
  <c r="BO8" i="84"/>
  <c r="BV31" i="84"/>
  <c r="BP31" i="84"/>
  <c r="AQ35" i="90"/>
  <c r="BV9" i="84"/>
  <c r="AQ13" i="90"/>
  <c r="AR41" i="90"/>
  <c r="BQ37" i="84"/>
  <c r="AR16" i="90"/>
  <c r="BQ12" i="84"/>
  <c r="AO45" i="90"/>
  <c r="AO29" i="90"/>
  <c r="AO17" i="90"/>
  <c r="AP36" i="90"/>
  <c r="BO32" i="84"/>
  <c r="AP14" i="90"/>
  <c r="BO10" i="84"/>
  <c r="BO19" i="84"/>
  <c r="AP23" i="90"/>
  <c r="BV30" i="84"/>
  <c r="AQ34" i="90"/>
  <c r="BP30" i="84"/>
  <c r="BV19" i="84"/>
  <c r="AQ23" i="90"/>
  <c r="AR40" i="90"/>
  <c r="BQ36" i="84"/>
  <c r="AR18" i="90"/>
  <c r="AO44" i="90"/>
  <c r="AO36" i="90"/>
  <c r="AO22" i="90"/>
  <c r="AO13" i="90"/>
  <c r="AP43" i="90"/>
  <c r="BO39" i="84"/>
  <c r="AP35" i="90"/>
  <c r="BO31" i="84"/>
  <c r="BO23" i="84"/>
  <c r="AP27" i="90"/>
  <c r="AP17" i="90"/>
  <c r="BO13" i="84"/>
  <c r="AP16" i="90"/>
  <c r="BO12" i="84"/>
  <c r="BV37" i="84"/>
  <c r="AQ41" i="90"/>
  <c r="BP37" i="84"/>
  <c r="BV29" i="84"/>
  <c r="BP29" i="84"/>
  <c r="AQ33" i="90"/>
  <c r="BV14" i="84"/>
  <c r="AQ18" i="90"/>
  <c r="BV13" i="84"/>
  <c r="AQ17" i="90"/>
  <c r="AR47" i="90"/>
  <c r="BQ43" i="84"/>
  <c r="AR39" i="90"/>
  <c r="BQ35" i="84"/>
  <c r="AR31" i="90"/>
  <c r="BQ27" i="84"/>
  <c r="AR22" i="90"/>
  <c r="AR19" i="90"/>
  <c r="AO43" i="90"/>
  <c r="AO35" i="90"/>
  <c r="AO27" i="90"/>
  <c r="AO23" i="90"/>
  <c r="AO19" i="90"/>
  <c r="P39" i="94"/>
  <c r="P53" i="94"/>
  <c r="P48" i="94"/>
  <c r="P44" i="94"/>
  <c r="Q25" i="89"/>
  <c r="AR6" i="95"/>
  <c r="R18" i="89"/>
  <c r="R37" i="89"/>
  <c r="R12" i="89"/>
  <c r="Q30" i="89"/>
  <c r="R10" i="89"/>
  <c r="S36" i="89"/>
  <c r="R26" i="89"/>
  <c r="S33" i="89"/>
  <c r="R20" i="89"/>
  <c r="AV25" i="69"/>
  <c r="AC22" i="69"/>
  <c r="T25" i="89"/>
  <c r="P27" i="90"/>
  <c r="O20" i="90"/>
  <c r="AC15" i="69"/>
  <c r="W36" i="69"/>
  <c r="AU15" i="69"/>
  <c r="Q42" i="90"/>
  <c r="W24" i="69"/>
  <c r="AV39" i="69"/>
  <c r="AC20" i="69"/>
  <c r="T43" i="89"/>
  <c r="W11" i="69"/>
  <c r="AC14" i="84" s="1"/>
  <c r="AC27" i="69"/>
  <c r="AC23" i="69"/>
  <c r="BD13" i="95"/>
  <c r="AV26" i="69"/>
  <c r="AP31" i="69"/>
  <c r="O36" i="90"/>
  <c r="AC11" i="69"/>
  <c r="W16" i="69"/>
  <c r="AC19" i="84" s="1"/>
  <c r="AU14" i="69"/>
  <c r="P16" i="90"/>
  <c r="T28" i="89"/>
  <c r="P45" i="90"/>
  <c r="W25" i="69"/>
  <c r="W22" i="69"/>
  <c r="T18" i="89"/>
  <c r="Q40" i="90"/>
  <c r="P39" i="90"/>
  <c r="AV15" i="69"/>
  <c r="AC29" i="69"/>
  <c r="AC32" i="69"/>
  <c r="P20" i="90"/>
  <c r="T41" i="89"/>
  <c r="W12" i="95"/>
  <c r="P29" i="90"/>
  <c r="O46" i="90"/>
  <c r="O33" i="90"/>
  <c r="AC38" i="69"/>
  <c r="T27" i="89"/>
  <c r="O18" i="90"/>
  <c r="Q32" i="90"/>
  <c r="O13" i="90"/>
  <c r="AC17" i="69"/>
  <c r="AC33" i="69"/>
  <c r="Q17" i="90"/>
  <c r="T29" i="89"/>
  <c r="W17" i="69"/>
  <c r="T34" i="89"/>
  <c r="S19" i="89"/>
  <c r="S41" i="89"/>
  <c r="R34" i="89"/>
  <c r="AC7" i="84"/>
  <c r="R35" i="89"/>
  <c r="S32" i="89"/>
  <c r="Q29" i="89"/>
  <c r="Q33" i="89"/>
  <c r="Q17" i="89"/>
  <c r="S8" i="89"/>
  <c r="AP14" i="69"/>
  <c r="AB8" i="69"/>
  <c r="T36" i="89"/>
  <c r="O42" i="90"/>
  <c r="T14" i="89"/>
  <c r="AA4" i="69"/>
  <c r="AL28" i="100"/>
  <c r="P35" i="90"/>
  <c r="W12" i="69"/>
  <c r="AC15" i="84" s="1"/>
  <c r="AP36" i="69"/>
  <c r="AB15" i="69"/>
  <c r="Q30" i="90"/>
  <c r="AP24" i="69"/>
  <c r="AP39" i="69"/>
  <c r="AP20" i="69"/>
  <c r="AU16" i="69"/>
  <c r="AP40" i="69"/>
  <c r="T38" i="89"/>
  <c r="AV24" i="69"/>
  <c r="W29" i="69"/>
  <c r="AP32" i="69"/>
  <c r="Q33" i="90"/>
  <c r="W11" i="95"/>
  <c r="O31" i="90"/>
  <c r="Q47" i="90"/>
  <c r="W14" i="69"/>
  <c r="AC17" i="84" s="1"/>
  <c r="AO8" i="69"/>
  <c r="T31" i="89"/>
  <c r="P31" i="90"/>
  <c r="AO5" i="69"/>
  <c r="AL29" i="100"/>
  <c r="O15" i="90"/>
  <c r="P18" i="90"/>
  <c r="Q28" i="89"/>
  <c r="P34" i="90"/>
  <c r="O40" i="90"/>
  <c r="AU12" i="69"/>
  <c r="AO11" i="69"/>
  <c r="Q37" i="90"/>
  <c r="AU10" i="69"/>
  <c r="R8" i="89"/>
  <c r="R31" i="89"/>
  <c r="S11" i="89"/>
  <c r="S7" i="89"/>
  <c r="Q42" i="89"/>
  <c r="R15" i="89"/>
  <c r="R30" i="89"/>
  <c r="AV33" i="69"/>
  <c r="AU7" i="69"/>
  <c r="AV34" i="69"/>
  <c r="O38" i="90"/>
  <c r="Q43" i="90"/>
  <c r="P17" i="90"/>
  <c r="AV13" i="69"/>
  <c r="AO13" i="69"/>
  <c r="T26" i="89"/>
  <c r="AT4" i="69"/>
  <c r="W28" i="69"/>
  <c r="O43" i="68"/>
  <c r="Q39" i="90"/>
  <c r="AC12" i="69"/>
  <c r="AC36" i="69"/>
  <c r="W19" i="69"/>
  <c r="AU11" i="69"/>
  <c r="AC37" i="69"/>
  <c r="AC21" i="69"/>
  <c r="P22" i="90"/>
  <c r="AV12" i="69"/>
  <c r="W38" i="69"/>
  <c r="AV19" i="69"/>
  <c r="P25" i="90"/>
  <c r="O28" i="90"/>
  <c r="O44" i="90"/>
  <c r="P41" i="90"/>
  <c r="AB11" i="69"/>
  <c r="AO7" i="69"/>
  <c r="AC34" i="69"/>
  <c r="Q31" i="90"/>
  <c r="Q45" i="90"/>
  <c r="W13" i="69"/>
  <c r="AC16" i="84" s="1"/>
  <c r="AU13" i="69"/>
  <c r="H7" i="89"/>
  <c r="P46" i="90"/>
  <c r="Q46" i="90"/>
  <c r="W10" i="95"/>
  <c r="S30" i="69"/>
  <c r="P24" i="90"/>
  <c r="AP26" i="69"/>
  <c r="W6" i="95"/>
  <c r="T21" i="89"/>
  <c r="Q36" i="90"/>
  <c r="Q21" i="89"/>
  <c r="Q38" i="89"/>
  <c r="AO10" i="69"/>
  <c r="P23" i="90"/>
  <c r="P40" i="90"/>
  <c r="T39" i="89"/>
  <c r="P15" i="90"/>
  <c r="T24" i="89"/>
  <c r="S43" i="89"/>
  <c r="S20" i="89"/>
  <c r="Q40" i="89"/>
  <c r="S16" i="89"/>
  <c r="Q34" i="89"/>
  <c r="R17" i="89"/>
  <c r="R22" i="89"/>
  <c r="S34" i="89"/>
  <c r="S22" i="89"/>
  <c r="S26" i="89"/>
  <c r="AB10" i="69"/>
  <c r="AP16" i="69"/>
  <c r="W20" i="69"/>
  <c r="T30" i="89"/>
  <c r="O17" i="90"/>
  <c r="AY13" i="95"/>
  <c r="AB9" i="69"/>
  <c r="AP17" i="69"/>
  <c r="O11" i="90"/>
  <c r="O37" i="90"/>
  <c r="AP13" i="69"/>
  <c r="W35" i="69"/>
  <c r="Q25" i="90"/>
  <c r="AN4" i="69"/>
  <c r="AP28" i="69"/>
  <c r="N19" i="68"/>
  <c r="AV11" i="69"/>
  <c r="AP27" i="69"/>
  <c r="AV23" i="69"/>
  <c r="T22" i="89"/>
  <c r="AU4" i="69"/>
  <c r="AC28" i="69"/>
  <c r="AL16" i="100"/>
  <c r="P47" i="90"/>
  <c r="O35" i="90"/>
  <c r="O30" i="90"/>
  <c r="AP11" i="69"/>
  <c r="AV16" i="69"/>
  <c r="AO14" i="69"/>
  <c r="O43" i="90"/>
  <c r="O23" i="90"/>
  <c r="W9" i="95"/>
  <c r="AO9" i="69"/>
  <c r="AV17" i="69"/>
  <c r="Q35" i="90"/>
  <c r="P12" i="90"/>
  <c r="X30" i="69"/>
  <c r="AD33" i="84" s="1"/>
  <c r="R7" i="89"/>
  <c r="S31" i="95"/>
  <c r="AC31" i="69"/>
  <c r="AB5" i="69"/>
  <c r="O24" i="90"/>
  <c r="P44" i="90"/>
  <c r="S25" i="89"/>
  <c r="Q11" i="90"/>
  <c r="AP23" i="69"/>
  <c r="AC35" i="69"/>
  <c r="O26" i="90"/>
  <c r="O47" i="90"/>
  <c r="T42" i="89"/>
  <c r="S42" i="89"/>
  <c r="R43" i="89"/>
  <c r="R14" i="89"/>
  <c r="R16" i="89"/>
  <c r="R25" i="89"/>
  <c r="R29" i="89"/>
  <c r="R9" i="89"/>
  <c r="S23" i="89"/>
  <c r="S14" i="89"/>
  <c r="AP15" i="69"/>
  <c r="AV29" i="69"/>
  <c r="AO15" i="69"/>
  <c r="P32" i="90"/>
  <c r="W8" i="95"/>
  <c r="BB6" i="95"/>
  <c r="AC25" i="69"/>
  <c r="AP22" i="69"/>
  <c r="T16" i="89"/>
  <c r="W26" i="69"/>
  <c r="W31" i="69"/>
  <c r="O45" i="90"/>
  <c r="P38" i="90"/>
  <c r="W18" i="69"/>
  <c r="AP35" i="69"/>
  <c r="O41" i="90"/>
  <c r="AC24" i="69"/>
  <c r="AC39" i="69"/>
  <c r="W32" i="69"/>
  <c r="O14" i="90"/>
  <c r="AC18" i="69"/>
  <c r="AV35" i="69"/>
  <c r="P19" i="90"/>
  <c r="T35" i="89"/>
  <c r="T15" i="89"/>
  <c r="W13" i="95"/>
  <c r="P14" i="90"/>
  <c r="W15" i="69"/>
  <c r="AC18" i="84" s="1"/>
  <c r="AP29" i="69"/>
  <c r="AV32" i="69"/>
  <c r="Q44" i="90"/>
  <c r="T19" i="89"/>
  <c r="AS7" i="95"/>
  <c r="AP25" i="69"/>
  <c r="AV22" i="69"/>
  <c r="O39" i="90"/>
  <c r="P13" i="90"/>
  <c r="O34" i="90"/>
  <c r="T37" i="89"/>
  <c r="T23" i="89"/>
  <c r="P21" i="90"/>
  <c r="AP19" i="69"/>
  <c r="AC14" i="69"/>
  <c r="P26" i="90"/>
  <c r="Q43" i="89"/>
  <c r="Q12" i="89"/>
  <c r="AU9" i="69"/>
  <c r="W39" i="69"/>
  <c r="AP21" i="69"/>
  <c r="W34" i="69"/>
  <c r="Q24" i="90"/>
  <c r="P33" i="90"/>
  <c r="S18" i="89"/>
  <c r="Q37" i="89"/>
  <c r="R39" i="89"/>
  <c r="S9" i="89"/>
  <c r="Q26" i="89"/>
  <c r="R11" i="89"/>
  <c r="AU5" i="69"/>
  <c r="AP38" i="69"/>
  <c r="I12" i="89"/>
  <c r="S12" i="89" s="1"/>
  <c r="T32" i="89"/>
  <c r="Q28" i="90"/>
  <c r="AB12" i="69"/>
  <c r="AV14" i="69"/>
  <c r="W21" i="69"/>
  <c r="P36" i="90"/>
  <c r="AO16" i="69"/>
  <c r="W40" i="69"/>
  <c r="O12" i="90"/>
  <c r="AT13" i="95"/>
  <c r="AC26" i="69"/>
  <c r="AV31" i="69"/>
  <c r="P28" i="90"/>
  <c r="AP12" i="69"/>
  <c r="AV36" i="69"/>
  <c r="AC19" i="69"/>
  <c r="Q29" i="90"/>
  <c r="P42" i="90"/>
  <c r="AV38" i="69"/>
  <c r="AU8" i="69"/>
  <c r="S35" i="89"/>
  <c r="AV20" i="69"/>
  <c r="AP37" i="69"/>
  <c r="AV37" i="69"/>
  <c r="AV18" i="69"/>
  <c r="AB14" i="69"/>
  <c r="T20" i="89"/>
  <c r="AB7" i="84"/>
  <c r="Q36" i="89"/>
  <c r="S27" i="89"/>
  <c r="S28" i="89"/>
  <c r="Q41" i="89"/>
  <c r="S21" i="89"/>
  <c r="R23" i="89"/>
  <c r="R42" i="89"/>
  <c r="S31" i="89"/>
  <c r="R32" i="89"/>
  <c r="AC13" i="69"/>
  <c r="AB13" i="69"/>
  <c r="T17" i="89"/>
  <c r="P30" i="90"/>
  <c r="O21" i="90"/>
  <c r="AP33" i="69"/>
  <c r="W27" i="69"/>
  <c r="W23" i="69"/>
  <c r="O16" i="90"/>
  <c r="AO12" i="69"/>
  <c r="W37" i="69"/>
  <c r="AV21" i="69"/>
  <c r="Q38" i="90"/>
  <c r="AW6" i="95"/>
  <c r="AB16" i="69"/>
  <c r="AC40" i="69"/>
  <c r="P43" i="90"/>
  <c r="AO4" i="69"/>
  <c r="AV28" i="69"/>
  <c r="AL14" i="100"/>
  <c r="AV40" i="69"/>
  <c r="Q41" i="90"/>
  <c r="O19" i="90"/>
  <c r="O27" i="90"/>
  <c r="Q26" i="90"/>
  <c r="T40" i="89"/>
  <c r="AB4" i="69"/>
  <c r="I15" i="89"/>
  <c r="S15" i="89" s="1"/>
  <c r="W7" i="95"/>
  <c r="O25" i="90"/>
  <c r="W33" i="69"/>
  <c r="AB7" i="69"/>
  <c r="AP34" i="69"/>
  <c r="P37" i="90"/>
  <c r="W5" i="95"/>
  <c r="O22" i="90"/>
  <c r="O32" i="90"/>
  <c r="Q27" i="90"/>
  <c r="BC7" i="95"/>
  <c r="Q19" i="89"/>
  <c r="R13" i="89"/>
  <c r="Q34" i="90"/>
  <c r="AV27" i="69"/>
  <c r="AP18" i="69"/>
  <c r="O29" i="90"/>
  <c r="AC16" i="69"/>
  <c r="Q12" i="90"/>
  <c r="R7" i="95"/>
  <c r="W6" i="69"/>
  <c r="R6" i="69"/>
  <c r="AC9" i="84" s="1"/>
  <c r="AX7" i="95"/>
  <c r="Q14" i="90"/>
  <c r="Q15" i="90"/>
  <c r="AI43" i="84" l="1"/>
  <c r="AH11" i="84"/>
  <c r="AG7" i="84"/>
  <c r="AH10" i="84"/>
  <c r="AH12" i="84"/>
  <c r="AI39" i="84"/>
  <c r="AI41" i="84"/>
  <c r="AI27" i="84"/>
  <c r="AI19" i="84"/>
  <c r="AI20" i="84"/>
  <c r="AI37" i="84"/>
  <c r="AI17" i="84"/>
  <c r="AI35" i="84"/>
  <c r="AI15" i="84"/>
  <c r="AI24" i="84"/>
  <c r="AI30" i="84"/>
  <c r="AH8" i="84"/>
  <c r="BP8" i="84" s="1"/>
  <c r="AH7" i="84"/>
  <c r="AI16" i="84"/>
  <c r="AI26" i="84"/>
  <c r="AI25" i="84"/>
  <c r="AH13" i="84"/>
  <c r="AH9" i="84"/>
  <c r="L11" i="90"/>
  <c r="BS11" i="90" s="1"/>
  <c r="M7" i="89"/>
  <c r="AI31" i="84"/>
  <c r="N15" i="89"/>
  <c r="M19" i="90"/>
  <c r="AI23" i="84"/>
  <c r="AI40" i="84"/>
  <c r="AI32" i="84"/>
  <c r="AI29" i="84"/>
  <c r="AI18" i="84"/>
  <c r="AI21" i="84"/>
  <c r="AI6" i="69"/>
  <c r="AQ4" i="69"/>
  <c r="DM4" i="75" s="1"/>
  <c r="BE6" i="95"/>
  <c r="AI28" i="84"/>
  <c r="AJ30" i="69"/>
  <c r="J33" i="89"/>
  <c r="O33" i="89" s="1"/>
  <c r="AW4" i="69"/>
  <c r="EH4" i="75" s="1"/>
  <c r="AI14" i="84"/>
  <c r="AI42" i="84"/>
  <c r="AI34" i="84"/>
  <c r="AD4" i="69"/>
  <c r="BL4" i="69" s="1"/>
  <c r="M16" i="90"/>
  <c r="BT16" i="90" s="1"/>
  <c r="N12" i="89"/>
  <c r="AI38" i="84"/>
  <c r="AI36" i="84"/>
  <c r="BT13" i="90"/>
  <c r="BQ16" i="84"/>
  <c r="BQ17" i="84"/>
  <c r="AJ22" i="84"/>
  <c r="AK4" i="69"/>
  <c r="G4" i="75" s="1"/>
  <c r="BQ22" i="84"/>
  <c r="BR23" i="90"/>
  <c r="Z23" i="90"/>
  <c r="AJ23" i="90"/>
  <c r="BS27" i="90"/>
  <c r="AK27" i="90"/>
  <c r="BT35" i="90"/>
  <c r="AL35" i="90"/>
  <c r="BT26" i="90"/>
  <c r="AL26" i="90"/>
  <c r="Z27" i="90"/>
  <c r="BR27" i="90"/>
  <c r="AJ27" i="90"/>
  <c r="AL17" i="90"/>
  <c r="AK35" i="90"/>
  <c r="BS35" i="90"/>
  <c r="AK36" i="90"/>
  <c r="BS36" i="90"/>
  <c r="BT15" i="90"/>
  <c r="AL15" i="90"/>
  <c r="AL46" i="90"/>
  <c r="BT46" i="90"/>
  <c r="BT40" i="90"/>
  <c r="AL40" i="90"/>
  <c r="AK42" i="90"/>
  <c r="BS42" i="90"/>
  <c r="BR14" i="90"/>
  <c r="AJ14" i="90"/>
  <c r="Z14" i="90"/>
  <c r="BU14" i="90" s="1"/>
  <c r="BT25" i="90"/>
  <c r="AL25" i="90"/>
  <c r="BR16" i="90"/>
  <c r="Z16" i="90"/>
  <c r="BU16" i="90" s="1"/>
  <c r="AJ16" i="90"/>
  <c r="BT47" i="90"/>
  <c r="AL47" i="90"/>
  <c r="BT23" i="90"/>
  <c r="O15" i="89"/>
  <c r="N19" i="90"/>
  <c r="AK38" i="90"/>
  <c r="BS38" i="90"/>
  <c r="BS43" i="90"/>
  <c r="AK43" i="90"/>
  <c r="BR25" i="90"/>
  <c r="AJ25" i="90"/>
  <c r="Z25" i="90"/>
  <c r="BT28" i="90"/>
  <c r="AL28" i="90"/>
  <c r="BT11" i="90"/>
  <c r="AL11" i="90"/>
  <c r="BR15" i="90"/>
  <c r="AJ15" i="90"/>
  <c r="Z15" i="90"/>
  <c r="BU15" i="90" s="1"/>
  <c r="AJ47" i="90"/>
  <c r="BR47" i="90"/>
  <c r="Z47" i="90"/>
  <c r="AL14" i="90"/>
  <c r="AL37" i="90"/>
  <c r="BT37" i="90"/>
  <c r="BS31" i="90"/>
  <c r="AK31" i="90"/>
  <c r="BR20" i="90"/>
  <c r="Z20" i="90"/>
  <c r="AJ20" i="90"/>
  <c r="O24" i="89"/>
  <c r="N28" i="90"/>
  <c r="BR18" i="90"/>
  <c r="AJ18" i="90"/>
  <c r="Z18" i="90"/>
  <c r="N45" i="90"/>
  <c r="O41" i="89"/>
  <c r="BS21" i="90"/>
  <c r="AK21" i="90"/>
  <c r="Z28" i="90"/>
  <c r="AJ28" i="90"/>
  <c r="BR28" i="90"/>
  <c r="BR37" i="90"/>
  <c r="Z37" i="90"/>
  <c r="AJ37" i="90"/>
  <c r="BT27" i="90"/>
  <c r="AL27" i="90"/>
  <c r="BR30" i="90"/>
  <c r="Z30" i="90"/>
  <c r="AJ30" i="90"/>
  <c r="BS30" i="90"/>
  <c r="AK30" i="90"/>
  <c r="BS33" i="90"/>
  <c r="AK33" i="90"/>
  <c r="T6" i="95"/>
  <c r="O43" i="89"/>
  <c r="N47" i="90"/>
  <c r="AK45" i="90"/>
  <c r="BS45" i="90"/>
  <c r="O42" i="89"/>
  <c r="N46" i="90"/>
  <c r="AK44" i="90"/>
  <c r="BS44" i="90"/>
  <c r="Z35" i="90"/>
  <c r="BR35" i="90"/>
  <c r="AJ35" i="90"/>
  <c r="BS16" i="90"/>
  <c r="AK16" i="90"/>
  <c r="AJ46" i="90"/>
  <c r="BR46" i="90"/>
  <c r="Z46" i="90"/>
  <c r="AL39" i="90"/>
  <c r="BT39" i="90"/>
  <c r="BR24" i="90"/>
  <c r="Z24" i="90"/>
  <c r="AJ24" i="90"/>
  <c r="BR32" i="90"/>
  <c r="AJ32" i="90"/>
  <c r="Z32" i="90"/>
  <c r="N36" i="90"/>
  <c r="O32" i="89"/>
  <c r="BS13" i="90"/>
  <c r="AK13" i="90"/>
  <c r="O21" i="89"/>
  <c r="N25" i="90"/>
  <c r="BR26" i="90"/>
  <c r="AJ26" i="90"/>
  <c r="Z26" i="90"/>
  <c r="N30" i="90"/>
  <c r="O26" i="89"/>
  <c r="AL42" i="90"/>
  <c r="BT42" i="90"/>
  <c r="BR22" i="90"/>
  <c r="AJ22" i="90"/>
  <c r="Z22" i="90"/>
  <c r="Z44" i="90"/>
  <c r="BR44" i="90"/>
  <c r="AJ44" i="90"/>
  <c r="BR19" i="90"/>
  <c r="AJ19" i="90"/>
  <c r="Z19" i="90"/>
  <c r="BR13" i="90"/>
  <c r="AJ13" i="90"/>
  <c r="Z13" i="90"/>
  <c r="BU13" i="90" s="1"/>
  <c r="BT34" i="90"/>
  <c r="AL34" i="90"/>
  <c r="BR17" i="90"/>
  <c r="AJ17" i="90"/>
  <c r="Z17" i="90"/>
  <c r="BU17" i="90" s="1"/>
  <c r="BT44" i="90"/>
  <c r="AL44" i="90"/>
  <c r="O23" i="89"/>
  <c r="N27" i="90"/>
  <c r="BT45" i="90"/>
  <c r="AL45" i="90"/>
  <c r="AK39" i="90"/>
  <c r="BS39" i="90"/>
  <c r="BS18" i="90"/>
  <c r="AK18" i="90"/>
  <c r="N20" i="90"/>
  <c r="O16" i="89"/>
  <c r="BT36" i="90"/>
  <c r="AL36" i="90"/>
  <c r="AK46" i="90"/>
  <c r="BS46" i="90"/>
  <c r="BT14" i="90"/>
  <c r="BS41" i="90"/>
  <c r="AK41" i="90"/>
  <c r="BS26" i="90"/>
  <c r="AK26" i="90"/>
  <c r="BS32" i="90"/>
  <c r="AK32" i="90"/>
  <c r="N31" i="90"/>
  <c r="O27" i="89"/>
  <c r="BR43" i="90"/>
  <c r="AJ43" i="90"/>
  <c r="Z43" i="90"/>
  <c r="O35" i="89"/>
  <c r="N39" i="90"/>
  <c r="BS17" i="90"/>
  <c r="AK17" i="90"/>
  <c r="O14" i="89"/>
  <c r="N18" i="90"/>
  <c r="BS23" i="90"/>
  <c r="AK23" i="90"/>
  <c r="BR29" i="90"/>
  <c r="AJ29" i="90"/>
  <c r="Z29" i="90"/>
  <c r="O30" i="89"/>
  <c r="N34" i="90"/>
  <c r="BS20" i="90"/>
  <c r="AK20" i="90"/>
  <c r="BR31" i="90"/>
  <c r="AJ31" i="90"/>
  <c r="Z31" i="90"/>
  <c r="BS47" i="90"/>
  <c r="AK47" i="90"/>
  <c r="N44" i="90"/>
  <c r="O40" i="89"/>
  <c r="BT30" i="90"/>
  <c r="AL30" i="90"/>
  <c r="BR21" i="90"/>
  <c r="Z21" i="90"/>
  <c r="AJ21" i="90"/>
  <c r="BT31" i="90"/>
  <c r="AL31" i="90"/>
  <c r="BR34" i="90"/>
  <c r="Z34" i="90"/>
  <c r="AJ34" i="90"/>
  <c r="O34" i="89"/>
  <c r="N38" i="90"/>
  <c r="BS25" i="90"/>
  <c r="AK25" i="90"/>
  <c r="O20" i="89"/>
  <c r="N24" i="90"/>
  <c r="BS28" i="90"/>
  <c r="AK28" i="90"/>
  <c r="O19" i="89"/>
  <c r="N23" i="90"/>
  <c r="BT43" i="90"/>
  <c r="AL43" i="90"/>
  <c r="AJ38" i="90"/>
  <c r="Z38" i="90"/>
  <c r="BR38" i="90"/>
  <c r="BT18" i="90"/>
  <c r="BT33" i="90"/>
  <c r="AL33" i="90"/>
  <c r="O22" i="89"/>
  <c r="N26" i="90"/>
  <c r="BS24" i="90"/>
  <c r="AK24" i="90"/>
  <c r="BS29" i="90"/>
  <c r="AK29" i="90"/>
  <c r="O37" i="89"/>
  <c r="N41" i="90"/>
  <c r="BP12" i="84"/>
  <c r="N40" i="90"/>
  <c r="O36" i="89"/>
  <c r="BS37" i="90"/>
  <c r="AK37" i="90"/>
  <c r="N35" i="90"/>
  <c r="O31" i="89"/>
  <c r="AL12" i="90"/>
  <c r="BS22" i="90"/>
  <c r="AK22" i="90"/>
  <c r="BR40" i="90"/>
  <c r="Z40" i="90"/>
  <c r="AJ40" i="90"/>
  <c r="BT38" i="90"/>
  <c r="AL38" i="90"/>
  <c r="AJ33" i="90"/>
  <c r="BR33" i="90"/>
  <c r="Z33" i="90"/>
  <c r="O25" i="89"/>
  <c r="N29" i="90"/>
  <c r="BT32" i="90"/>
  <c r="AL32" i="90"/>
  <c r="N32" i="90"/>
  <c r="O28" i="89"/>
  <c r="O29" i="89"/>
  <c r="N33" i="90"/>
  <c r="N42" i="90"/>
  <c r="O38" i="89"/>
  <c r="BS15" i="90"/>
  <c r="AK15" i="90"/>
  <c r="BT17" i="90"/>
  <c r="BR12" i="90"/>
  <c r="AJ12" i="90"/>
  <c r="Z12" i="90"/>
  <c r="BU12" i="90" s="1"/>
  <c r="Z42" i="90"/>
  <c r="BR42" i="90"/>
  <c r="AJ42" i="90"/>
  <c r="AK34" i="90"/>
  <c r="BS34" i="90"/>
  <c r="N22" i="90"/>
  <c r="O18" i="89"/>
  <c r="AL41" i="90"/>
  <c r="BT41" i="90"/>
  <c r="AJ36" i="90"/>
  <c r="BR36" i="90"/>
  <c r="Z36" i="90"/>
  <c r="BS14" i="90"/>
  <c r="AK14" i="90"/>
  <c r="AJ45" i="90"/>
  <c r="Z45" i="90"/>
  <c r="BR45" i="90"/>
  <c r="BS12" i="90"/>
  <c r="AK12" i="90"/>
  <c r="BR39" i="90"/>
  <c r="Z39" i="90"/>
  <c r="AJ39" i="90"/>
  <c r="O39" i="89"/>
  <c r="N43" i="90"/>
  <c r="BT29" i="90"/>
  <c r="AL29" i="90"/>
  <c r="BS40" i="90"/>
  <c r="AK40" i="90"/>
  <c r="AJ41" i="90"/>
  <c r="Z41" i="90"/>
  <c r="BR41" i="90"/>
  <c r="AJ11" i="90"/>
  <c r="BR11" i="90"/>
  <c r="Z11" i="90"/>
  <c r="BU11" i="90" s="1"/>
  <c r="O17" i="89"/>
  <c r="N21" i="90"/>
  <c r="AL24" i="90"/>
  <c r="BT24" i="90"/>
  <c r="BS19" i="90"/>
  <c r="AK19" i="90"/>
  <c r="BT12" i="90"/>
  <c r="BT20" i="90"/>
  <c r="P47" i="94"/>
  <c r="P75" i="94"/>
  <c r="P40" i="94"/>
  <c r="P46" i="94"/>
  <c r="P55" i="94"/>
  <c r="P35" i="94"/>
  <c r="P56" i="94"/>
  <c r="P67" i="94"/>
  <c r="P34" i="94"/>
  <c r="P24" i="94"/>
  <c r="P60" i="94"/>
  <c r="P78" i="94"/>
  <c r="P33" i="94"/>
  <c r="P18" i="94"/>
  <c r="P21" i="94"/>
  <c r="P32" i="94"/>
  <c r="P14" i="94"/>
  <c r="P17" i="94"/>
  <c r="P31" i="94"/>
  <c r="P23" i="94"/>
  <c r="P13" i="94"/>
  <c r="P28" i="94"/>
  <c r="P22" i="94"/>
  <c r="P70" i="94"/>
  <c r="P72" i="94"/>
  <c r="P30" i="94"/>
  <c r="P57" i="94"/>
  <c r="P68" i="94"/>
  <c r="P62" i="94"/>
  <c r="P77" i="94"/>
  <c r="P58" i="94"/>
  <c r="P79" i="94"/>
  <c r="P76" i="94"/>
  <c r="P11" i="94"/>
  <c r="P51" i="94"/>
  <c r="P45" i="94"/>
  <c r="P59" i="94"/>
  <c r="P82" i="94"/>
  <c r="P27" i="94"/>
  <c r="P37" i="94"/>
  <c r="P25" i="94"/>
  <c r="P38" i="94"/>
  <c r="P69" i="94"/>
  <c r="P42" i="94"/>
  <c r="P26" i="94"/>
  <c r="P73" i="94"/>
  <c r="P16" i="94"/>
  <c r="P50" i="94"/>
  <c r="Q13" i="90"/>
  <c r="AR7" i="95"/>
  <c r="W23" i="95"/>
  <c r="R27" i="90"/>
  <c r="R32" i="90"/>
  <c r="R25" i="90"/>
  <c r="DT8" i="75"/>
  <c r="DT11" i="75"/>
  <c r="W19" i="95"/>
  <c r="Q9" i="75"/>
  <c r="Q5" i="75"/>
  <c r="R46" i="90"/>
  <c r="P11" i="90"/>
  <c r="BI5" i="95"/>
  <c r="R26" i="90"/>
  <c r="W15" i="95"/>
  <c r="R21" i="90"/>
  <c r="DT6" i="75"/>
  <c r="DT12" i="75"/>
  <c r="R35" i="90"/>
  <c r="Q7" i="75"/>
  <c r="R24" i="90"/>
  <c r="R40" i="90"/>
  <c r="BD14" i="95"/>
  <c r="BD15" i="95" s="1"/>
  <c r="AP30" i="69"/>
  <c r="Q6" i="75"/>
  <c r="Q4" i="75"/>
  <c r="R42" i="90"/>
  <c r="AB6" i="69"/>
  <c r="R39" i="90"/>
  <c r="W20" i="95"/>
  <c r="AC30" i="69"/>
  <c r="BI50" i="95"/>
  <c r="DT10" i="75"/>
  <c r="R44" i="90"/>
  <c r="AG5" i="95"/>
  <c r="R22" i="90"/>
  <c r="DT5" i="75"/>
  <c r="R47" i="90"/>
  <c r="W18" i="95"/>
  <c r="W14" i="95"/>
  <c r="AX8" i="95"/>
  <c r="Q8" i="75"/>
  <c r="Q10" i="75"/>
  <c r="Q12" i="75"/>
  <c r="R45" i="90"/>
  <c r="W30" i="69"/>
  <c r="R30" i="90"/>
  <c r="Q11" i="75"/>
  <c r="R36" i="90"/>
  <c r="T33" i="89"/>
  <c r="R38" i="90"/>
  <c r="R31" i="90"/>
  <c r="AO6" i="69"/>
  <c r="R29" i="90"/>
  <c r="AS8" i="95"/>
  <c r="R34" i="90"/>
  <c r="W17" i="95"/>
  <c r="Q19" i="90"/>
  <c r="AY14" i="95"/>
  <c r="BB7" i="95"/>
  <c r="R19" i="90"/>
  <c r="AS9" i="95"/>
  <c r="R18" i="90"/>
  <c r="AT14" i="95"/>
  <c r="AK22" i="84"/>
  <c r="DT4" i="75"/>
  <c r="R33" i="90"/>
  <c r="BC8" i="95"/>
  <c r="AV30" i="69"/>
  <c r="AW7" i="95"/>
  <c r="R41" i="90"/>
  <c r="R20" i="90"/>
  <c r="Q16" i="90"/>
  <c r="DT9" i="75"/>
  <c r="W16" i="95"/>
  <c r="AU6" i="69"/>
  <c r="W22" i="95"/>
  <c r="R28" i="90"/>
  <c r="DT7" i="75"/>
  <c r="R43" i="90"/>
  <c r="AS10" i="95"/>
  <c r="R23" i="90"/>
  <c r="W21" i="95"/>
  <c r="Q20" i="90"/>
  <c r="Q22" i="90"/>
  <c r="Q21" i="90"/>
  <c r="Q18" i="90"/>
  <c r="Q23" i="90"/>
  <c r="AJ41" i="84" l="1"/>
  <c r="AW5" i="69"/>
  <c r="AJ32" i="84"/>
  <c r="AJ9" i="84"/>
  <c r="AJ24" i="84"/>
  <c r="AJ28" i="84"/>
  <c r="AJ40" i="84"/>
  <c r="BP13" i="84"/>
  <c r="BQ15" i="84"/>
  <c r="AJ39" i="84"/>
  <c r="AJ23" i="84"/>
  <c r="AJ25" i="84"/>
  <c r="AJ35" i="84"/>
  <c r="AJ12" i="84"/>
  <c r="AJ34" i="84"/>
  <c r="AJ26" i="84"/>
  <c r="AJ10" i="84"/>
  <c r="AJ42" i="84"/>
  <c r="AJ37" i="84"/>
  <c r="BO7" i="84"/>
  <c r="BQ14" i="84"/>
  <c r="BQ21" i="84"/>
  <c r="AJ31" i="84"/>
  <c r="BP7" i="84"/>
  <c r="BQ20" i="84"/>
  <c r="AJ11" i="84"/>
  <c r="AJ36" i="84"/>
  <c r="BQ18" i="84"/>
  <c r="AJ8" i="84"/>
  <c r="BQ19" i="84"/>
  <c r="AJ43" i="84"/>
  <c r="AJ38" i="84"/>
  <c r="AJ29" i="84"/>
  <c r="AJ30" i="84"/>
  <c r="AJ27" i="84"/>
  <c r="BP11" i="84"/>
  <c r="AJ7" i="84"/>
  <c r="BP9" i="84"/>
  <c r="BP10" i="84"/>
  <c r="N37" i="90"/>
  <c r="BU37" i="90" s="1"/>
  <c r="AJ13" i="84"/>
  <c r="AJ21" i="84"/>
  <c r="AJ20" i="84"/>
  <c r="AL23" i="90"/>
  <c r="AL18" i="90"/>
  <c r="AL21" i="90"/>
  <c r="AL22" i="90"/>
  <c r="AL20" i="90"/>
  <c r="AH19" i="84"/>
  <c r="AI33" i="84"/>
  <c r="AH14" i="84"/>
  <c r="AH17" i="84"/>
  <c r="AH18" i="84"/>
  <c r="AH16" i="84"/>
  <c r="AH15" i="84"/>
  <c r="AL13" i="90"/>
  <c r="AD5" i="69"/>
  <c r="BL5" i="69" s="1"/>
  <c r="AL16" i="90"/>
  <c r="BK50" i="95"/>
  <c r="BK5" i="95"/>
  <c r="BE7" i="95"/>
  <c r="AK11" i="90"/>
  <c r="AL19" i="90"/>
  <c r="X5" i="74"/>
  <c r="G4" i="74"/>
  <c r="L4" i="74" s="1"/>
  <c r="AQ5" i="69"/>
  <c r="BT19" i="90"/>
  <c r="BU42" i="90"/>
  <c r="AK5" i="69"/>
  <c r="L4" i="75"/>
  <c r="BU40" i="90"/>
  <c r="BU44" i="90"/>
  <c r="BU36" i="90"/>
  <c r="AM23" i="90"/>
  <c r="AM22" i="90"/>
  <c r="AM42" i="90"/>
  <c r="AM29" i="90"/>
  <c r="AM41" i="90"/>
  <c r="AM44" i="90"/>
  <c r="AM30" i="90"/>
  <c r="AM19" i="90"/>
  <c r="AM38" i="90"/>
  <c r="AM36" i="90"/>
  <c r="AM28" i="90"/>
  <c r="AM33" i="90"/>
  <c r="AM40" i="90"/>
  <c r="AM18" i="90"/>
  <c r="AM46" i="90"/>
  <c r="AM31" i="90"/>
  <c r="AM25" i="90"/>
  <c r="AM43" i="90"/>
  <c r="AM26" i="90"/>
  <c r="AM24" i="90"/>
  <c r="AM39" i="90"/>
  <c r="AM20" i="90"/>
  <c r="AM47" i="90"/>
  <c r="AM45" i="90"/>
  <c r="AM34" i="90"/>
  <c r="AM32" i="90"/>
  <c r="AM21" i="90"/>
  <c r="AM35" i="90"/>
  <c r="AM27" i="90"/>
  <c r="BU23" i="90"/>
  <c r="BU22" i="90"/>
  <c r="BU29" i="90"/>
  <c r="BU41" i="90"/>
  <c r="BU30" i="90"/>
  <c r="T7" i="95"/>
  <c r="BU19" i="90"/>
  <c r="EH5" i="75"/>
  <c r="AW6" i="69"/>
  <c r="BU38" i="90"/>
  <c r="BU28" i="90"/>
  <c r="BU18" i="90"/>
  <c r="BU46" i="90"/>
  <c r="BU31" i="90"/>
  <c r="BU25" i="90"/>
  <c r="BU35" i="90"/>
  <c r="BU43" i="90"/>
  <c r="BU26" i="90"/>
  <c r="BU24" i="90"/>
  <c r="BU39" i="90"/>
  <c r="BU20" i="90"/>
  <c r="BU47" i="90"/>
  <c r="BU45" i="90"/>
  <c r="BU34" i="90"/>
  <c r="BU33" i="90"/>
  <c r="BU32" i="90"/>
  <c r="BU21" i="90"/>
  <c r="BU27" i="90"/>
  <c r="P84" i="94"/>
  <c r="P29" i="94"/>
  <c r="P64" i="94"/>
  <c r="P15" i="94"/>
  <c r="P43" i="94"/>
  <c r="P12" i="94"/>
  <c r="AK41" i="84"/>
  <c r="AK32" i="84"/>
  <c r="AK28" i="84"/>
  <c r="AK39" i="84"/>
  <c r="AK38" i="84"/>
  <c r="AK12" i="84"/>
  <c r="AK9" i="84"/>
  <c r="AK40" i="84"/>
  <c r="AK23" i="84"/>
  <c r="AK34" i="84"/>
  <c r="AK42" i="84"/>
  <c r="AK11" i="84"/>
  <c r="AK8" i="84"/>
  <c r="AK29" i="84"/>
  <c r="AK24" i="84"/>
  <c r="AK25" i="84"/>
  <c r="AK26" i="84"/>
  <c r="AK37" i="84"/>
  <c r="AK31" i="84"/>
  <c r="AK30" i="84"/>
  <c r="AK35" i="84"/>
  <c r="AK27" i="84"/>
  <c r="AK10" i="84"/>
  <c r="AK36" i="84"/>
  <c r="AK7" i="84"/>
  <c r="R37" i="90"/>
  <c r="AK13" i="84"/>
  <c r="AK21" i="84"/>
  <c r="AK20" i="84"/>
  <c r="AT15" i="95"/>
  <c r="AT16" i="95" s="1"/>
  <c r="AS11" i="95"/>
  <c r="AO9" i="74"/>
  <c r="Q12" i="74"/>
  <c r="BI51" i="95"/>
  <c r="W30" i="95"/>
  <c r="AO7" i="74"/>
  <c r="BD16" i="95"/>
  <c r="W27" i="95"/>
  <c r="Q10" i="74"/>
  <c r="BI6" i="95"/>
  <c r="AY15" i="95"/>
  <c r="AY16" i="95" s="1"/>
  <c r="AO5" i="74"/>
  <c r="W26" i="95"/>
  <c r="Q11" i="74"/>
  <c r="Q4" i="74"/>
  <c r="BC4" i="69"/>
  <c r="AO8" i="74"/>
  <c r="BB8" i="95"/>
  <c r="AX9" i="95"/>
  <c r="AO10" i="74"/>
  <c r="Q9" i="74"/>
  <c r="Q5" i="74"/>
  <c r="W29" i="95"/>
  <c r="BP4" i="69"/>
  <c r="Q7" i="74"/>
  <c r="BC9" i="95"/>
  <c r="W31" i="95"/>
  <c r="AO6" i="74"/>
  <c r="W32" i="95"/>
  <c r="Q8" i="74"/>
  <c r="W24" i="95"/>
  <c r="AW8" i="95"/>
  <c r="AO4" i="74"/>
  <c r="AO12" i="74"/>
  <c r="W25" i="95"/>
  <c r="AR8" i="95"/>
  <c r="AO11" i="74"/>
  <c r="W28" i="95"/>
  <c r="Q6" i="74"/>
  <c r="AG6" i="95"/>
  <c r="AJ33" i="84" l="1"/>
  <c r="X6" i="74"/>
  <c r="AD6" i="69"/>
  <c r="X7" i="74" s="1"/>
  <c r="AM37" i="90"/>
  <c r="G5" i="74"/>
  <c r="N5" i="74" s="1"/>
  <c r="AJ16" i="84"/>
  <c r="BP16" i="84"/>
  <c r="BP19" i="84"/>
  <c r="AJ19" i="84"/>
  <c r="AJ18" i="84"/>
  <c r="BP18" i="84"/>
  <c r="AJ17" i="84"/>
  <c r="BP17" i="84"/>
  <c r="AJ14" i="84"/>
  <c r="BP14" i="84"/>
  <c r="AJ15" i="84"/>
  <c r="BP15" i="84"/>
  <c r="BK6" i="95"/>
  <c r="BK51" i="95"/>
  <c r="BE8" i="95"/>
  <c r="DM5" i="75"/>
  <c r="AQ6" i="69"/>
  <c r="N4" i="74"/>
  <c r="M4" i="74"/>
  <c r="AK6" i="69"/>
  <c r="G5" i="75"/>
  <c r="BQ4" i="69"/>
  <c r="EH6" i="75"/>
  <c r="AW7" i="69"/>
  <c r="T8" i="95"/>
  <c r="P10" i="94"/>
  <c r="P41" i="94"/>
  <c r="P71" i="94"/>
  <c r="P74" i="94"/>
  <c r="P80" i="94"/>
  <c r="P19" i="94"/>
  <c r="P20" i="94"/>
  <c r="P36" i="94"/>
  <c r="P52" i="94"/>
  <c r="AK33" i="84"/>
  <c r="AO14" i="74"/>
  <c r="AO18" i="74"/>
  <c r="AO19" i="74"/>
  <c r="AO17" i="74"/>
  <c r="AO15" i="74"/>
  <c r="AO13" i="74"/>
  <c r="AO21" i="74"/>
  <c r="AO22" i="74"/>
  <c r="AO16" i="74"/>
  <c r="AO20" i="74"/>
  <c r="Q19" i="74"/>
  <c r="Q14" i="74"/>
  <c r="Q21" i="74"/>
  <c r="Q13" i="74"/>
  <c r="Q17" i="74"/>
  <c r="Q18" i="74"/>
  <c r="Q15" i="74"/>
  <c r="Q20" i="74"/>
  <c r="Q16" i="74"/>
  <c r="Q22" i="74"/>
  <c r="AR9" i="95"/>
  <c r="AK15" i="84"/>
  <c r="Q15" i="75"/>
  <c r="BC10" i="95"/>
  <c r="BC11" i="95" s="1"/>
  <c r="AK19" i="84"/>
  <c r="AO30" i="74"/>
  <c r="DT20" i="75"/>
  <c r="Q14" i="75"/>
  <c r="W37" i="95"/>
  <c r="W36" i="95"/>
  <c r="AX10" i="95"/>
  <c r="AX11" i="95" s="1"/>
  <c r="AK18" i="84"/>
  <c r="AO25" i="74"/>
  <c r="DT15" i="75"/>
  <c r="AO27" i="74"/>
  <c r="BB9" i="95"/>
  <c r="AX12" i="95"/>
  <c r="AO31" i="74"/>
  <c r="AY17" i="95"/>
  <c r="AY18" i="95" s="1"/>
  <c r="DT16" i="75"/>
  <c r="BB5" i="69"/>
  <c r="W33" i="95"/>
  <c r="Q20" i="75"/>
  <c r="BC5" i="69"/>
  <c r="Q16" i="75"/>
  <c r="Q19" i="75"/>
  <c r="AO23" i="74"/>
  <c r="BD17" i="95"/>
  <c r="BD18" i="95" s="1"/>
  <c r="AK17" i="84"/>
  <c r="AG7" i="95"/>
  <c r="DT19" i="75"/>
  <c r="Q18" i="75"/>
  <c r="Q17" i="75"/>
  <c r="AO28" i="74"/>
  <c r="AY19" i="95"/>
  <c r="AT17" i="95"/>
  <c r="AT18" i="95" s="1"/>
  <c r="BI52" i="95"/>
  <c r="DT18" i="75"/>
  <c r="W35" i="95"/>
  <c r="AO26" i="74"/>
  <c r="Q21" i="75"/>
  <c r="Q22" i="75"/>
  <c r="AK16" i="84"/>
  <c r="AK14" i="84"/>
  <c r="BI7" i="95"/>
  <c r="DT22" i="75"/>
  <c r="Q13" i="75"/>
  <c r="W34" i="95"/>
  <c r="W38" i="95"/>
  <c r="AW9" i="95"/>
  <c r="DT21" i="75"/>
  <c r="DT14" i="75"/>
  <c r="AT19" i="95"/>
  <c r="AO29" i="74"/>
  <c r="BC12" i="95"/>
  <c r="AS12" i="95"/>
  <c r="DT17" i="75"/>
  <c r="AO24" i="74"/>
  <c r="DT13" i="75"/>
  <c r="BL6" i="69" l="1"/>
  <c r="G6" i="74"/>
  <c r="M6" i="74" s="1"/>
  <c r="AD7" i="69"/>
  <c r="L5" i="74"/>
  <c r="M5" i="74"/>
  <c r="BK7" i="95"/>
  <c r="BK52" i="95"/>
  <c r="BE9" i="95"/>
  <c r="DM6" i="75"/>
  <c r="AQ7" i="69"/>
  <c r="L5" i="75"/>
  <c r="AK7" i="69"/>
  <c r="G6" i="75"/>
  <c r="AW8" i="69"/>
  <c r="EH7" i="75"/>
  <c r="T9" i="95"/>
  <c r="P65" i="94"/>
  <c r="P61" i="94"/>
  <c r="P66" i="94"/>
  <c r="BP5" i="69"/>
  <c r="Q30" i="74"/>
  <c r="Q27" i="74"/>
  <c r="Q26" i="74"/>
  <c r="Q31" i="74"/>
  <c r="Q29" i="74"/>
  <c r="Q24" i="74"/>
  <c r="Q23" i="74"/>
  <c r="Q25" i="74"/>
  <c r="Q28" i="74"/>
  <c r="Q29" i="75"/>
  <c r="W41" i="95"/>
  <c r="AW10" i="95"/>
  <c r="DT31" i="75"/>
  <c r="AS13" i="95"/>
  <c r="BC13" i="95"/>
  <c r="Q28" i="75"/>
  <c r="DT30" i="75"/>
  <c r="AS14" i="95"/>
  <c r="Q26" i="75"/>
  <c r="DT27" i="75"/>
  <c r="W39" i="95"/>
  <c r="DT24" i="75"/>
  <c r="Q24" i="75"/>
  <c r="W40" i="95"/>
  <c r="BB6" i="69"/>
  <c r="DT23" i="75"/>
  <c r="BD19" i="95"/>
  <c r="AX13" i="95"/>
  <c r="AT20" i="95"/>
  <c r="Q25" i="75"/>
  <c r="DT29" i="75"/>
  <c r="AR10" i="95"/>
  <c r="BC6" i="69"/>
  <c r="Q30" i="75"/>
  <c r="Q23" i="75"/>
  <c r="Q27" i="75"/>
  <c r="DT25" i="75"/>
  <c r="Q31" i="75"/>
  <c r="W42" i="95"/>
  <c r="DT28" i="75"/>
  <c r="BB10" i="95"/>
  <c r="W43" i="95"/>
  <c r="AY20" i="95"/>
  <c r="DT26" i="75"/>
  <c r="BL7" i="69" l="1"/>
  <c r="N6" i="74"/>
  <c r="L6" i="74"/>
  <c r="BQ5" i="69"/>
  <c r="AD8" i="69"/>
  <c r="G7" i="74"/>
  <c r="M7" i="74" s="1"/>
  <c r="X8" i="74"/>
  <c r="BE10" i="95"/>
  <c r="DM7" i="75"/>
  <c r="AQ8" i="69"/>
  <c r="G7" i="75"/>
  <c r="AK8" i="69"/>
  <c r="L6" i="75"/>
  <c r="EH8" i="75"/>
  <c r="AW9" i="69"/>
  <c r="T10" i="95"/>
  <c r="P63" i="94"/>
  <c r="BP6" i="69"/>
  <c r="Q37" i="74"/>
  <c r="Q35" i="74"/>
  <c r="Q36" i="74"/>
  <c r="Q34" i="74"/>
  <c r="Q33" i="74"/>
  <c r="Q32" i="74"/>
  <c r="AO37" i="74"/>
  <c r="AO35" i="74"/>
  <c r="AO36" i="74"/>
  <c r="AO34" i="74"/>
  <c r="AO32" i="74"/>
  <c r="AO33" i="74"/>
  <c r="AR11" i="95"/>
  <c r="DT33" i="75"/>
  <c r="AS15" i="95"/>
  <c r="BB11" i="95"/>
  <c r="Q34" i="75"/>
  <c r="AT21" i="95"/>
  <c r="Q35" i="75"/>
  <c r="AX14" i="95"/>
  <c r="DT36" i="75"/>
  <c r="BD20" i="95"/>
  <c r="Q32" i="75"/>
  <c r="AX15" i="95"/>
  <c r="BC14" i="95"/>
  <c r="DT37" i="75"/>
  <c r="W47" i="95"/>
  <c r="BI8" i="95"/>
  <c r="W45" i="95"/>
  <c r="BI53" i="95"/>
  <c r="W46" i="95"/>
  <c r="BC15" i="95"/>
  <c r="DT32" i="75"/>
  <c r="AG8" i="95"/>
  <c r="AY21" i="95"/>
  <c r="W44" i="95"/>
  <c r="Q33" i="75"/>
  <c r="DT34" i="75"/>
  <c r="Q36" i="75"/>
  <c r="Q37" i="75"/>
  <c r="AW11" i="95"/>
  <c r="DT35" i="75"/>
  <c r="BL8" i="69" l="1"/>
  <c r="BQ6" i="69"/>
  <c r="AD9" i="69"/>
  <c r="AD10" i="69" s="1"/>
  <c r="G8" i="74"/>
  <c r="X9" i="74"/>
  <c r="N7" i="74"/>
  <c r="L7" i="74"/>
  <c r="BE11" i="95"/>
  <c r="BK53" i="95"/>
  <c r="BK8" i="95"/>
  <c r="AQ9" i="69"/>
  <c r="DM8" i="75"/>
  <c r="G8" i="75"/>
  <c r="AK9" i="69"/>
  <c r="L7" i="75"/>
  <c r="T11" i="95"/>
  <c r="EH9" i="75"/>
  <c r="AW10" i="69"/>
  <c r="P54" i="94"/>
  <c r="AO40" i="74"/>
  <c r="AO42" i="74"/>
  <c r="AO39" i="74"/>
  <c r="AO38" i="74"/>
  <c r="AO41" i="74"/>
  <c r="Q39" i="74"/>
  <c r="Q41" i="74"/>
  <c r="Q40" i="74"/>
  <c r="Q42" i="74"/>
  <c r="Q38" i="74"/>
  <c r="DT39" i="75"/>
  <c r="BB7" i="69"/>
  <c r="W49" i="95"/>
  <c r="W52" i="95"/>
  <c r="Q42" i="75"/>
  <c r="AY22" i="95"/>
  <c r="BC16" i="95"/>
  <c r="Q41" i="75"/>
  <c r="DT41" i="75"/>
  <c r="AS16" i="95"/>
  <c r="W51" i="95"/>
  <c r="AR12" i="95"/>
  <c r="DT38" i="75"/>
  <c r="W48" i="95"/>
  <c r="BB12" i="95"/>
  <c r="BC7" i="69"/>
  <c r="DT40" i="75"/>
  <c r="Q38" i="75"/>
  <c r="AT22" i="95"/>
  <c r="AX16" i="95"/>
  <c r="AW12" i="95"/>
  <c r="DT42" i="75"/>
  <c r="Q39" i="75"/>
  <c r="Q40" i="75"/>
  <c r="W53" i="95"/>
  <c r="BD21" i="95"/>
  <c r="W50" i="95"/>
  <c r="BL9" i="69" l="1"/>
  <c r="X10" i="74"/>
  <c r="G9" i="74"/>
  <c r="N9" i="74" s="1"/>
  <c r="M8" i="74"/>
  <c r="N8" i="74"/>
  <c r="L8" i="74"/>
  <c r="BE12" i="95"/>
  <c r="DM9" i="75"/>
  <c r="AQ10" i="69"/>
  <c r="AK10" i="69"/>
  <c r="G9" i="75"/>
  <c r="L8" i="75"/>
  <c r="G10" i="74"/>
  <c r="L10" i="74" s="1"/>
  <c r="X11" i="74"/>
  <c r="AD11" i="69"/>
  <c r="EH10" i="75"/>
  <c r="AW11" i="69"/>
  <c r="M9" i="74"/>
  <c r="T12" i="95"/>
  <c r="P49" i="94"/>
  <c r="AO45" i="74"/>
  <c r="AO44" i="74"/>
  <c r="AO46" i="74"/>
  <c r="AO43" i="74"/>
  <c r="BP7" i="69"/>
  <c r="Q45" i="74"/>
  <c r="Q46" i="74"/>
  <c r="Q43" i="74"/>
  <c r="Q44" i="74"/>
  <c r="BI9" i="95"/>
  <c r="Q45" i="75"/>
  <c r="AO49" i="74"/>
  <c r="DT46" i="75"/>
  <c r="BB13" i="95"/>
  <c r="BI54" i="95"/>
  <c r="BD22" i="95"/>
  <c r="AT23" i="95"/>
  <c r="DT45" i="75"/>
  <c r="Q44" i="75"/>
  <c r="AO50" i="74"/>
  <c r="W57" i="95"/>
  <c r="Q43" i="75"/>
  <c r="W55" i="95"/>
  <c r="Q46" i="75"/>
  <c r="DT43" i="75"/>
  <c r="AR13" i="95"/>
  <c r="Q47" i="74"/>
  <c r="AX17" i="95"/>
  <c r="AY23" i="95"/>
  <c r="AG9" i="95"/>
  <c r="Q52" i="74"/>
  <c r="AO51" i="74"/>
  <c r="W56" i="95"/>
  <c r="Q48" i="74"/>
  <c r="Q51" i="74"/>
  <c r="AW13" i="95"/>
  <c r="AS17" i="95"/>
  <c r="AO52" i="74"/>
  <c r="W54" i="95"/>
  <c r="Q49" i="74"/>
  <c r="BC17" i="95"/>
  <c r="AO47" i="74"/>
  <c r="AO48" i="74"/>
  <c r="Q50" i="74"/>
  <c r="DT44" i="75"/>
  <c r="BQ7" i="69" l="1"/>
  <c r="BL10" i="69"/>
  <c r="BL11" i="69" s="1"/>
  <c r="L9" i="74"/>
  <c r="BK54" i="95"/>
  <c r="BK9" i="95"/>
  <c r="BE13" i="95"/>
  <c r="DM10" i="75"/>
  <c r="AQ11" i="69"/>
  <c r="G10" i="75"/>
  <c r="AK11" i="69"/>
  <c r="L9" i="75"/>
  <c r="T13" i="95"/>
  <c r="G11" i="74"/>
  <c r="L11" i="74" s="1"/>
  <c r="X12" i="74"/>
  <c r="AD12" i="69"/>
  <c r="EH11" i="75"/>
  <c r="AW12" i="69"/>
  <c r="M10" i="74"/>
  <c r="N10" i="74"/>
  <c r="U50" i="94"/>
  <c r="AC50" i="94" s="1"/>
  <c r="AR14" i="95"/>
  <c r="BB14" i="95"/>
  <c r="DT49" i="75"/>
  <c r="AO54" i="74"/>
  <c r="Q48" i="75"/>
  <c r="AO53" i="74"/>
  <c r="W60" i="95"/>
  <c r="W61" i="95"/>
  <c r="Q55" i="74"/>
  <c r="BB8" i="69"/>
  <c r="DT52" i="75"/>
  <c r="Q52" i="75"/>
  <c r="W59" i="95"/>
  <c r="AY24" i="95"/>
  <c r="DT48" i="75"/>
  <c r="Q54" i="74"/>
  <c r="Q50" i="75"/>
  <c r="Q53" i="74"/>
  <c r="Q51" i="75"/>
  <c r="DT50" i="75"/>
  <c r="BC8" i="69"/>
  <c r="BC18" i="95"/>
  <c r="W58" i="95"/>
  <c r="AO55" i="74"/>
  <c r="DT47" i="75"/>
  <c r="Q47" i="75"/>
  <c r="Q49" i="75"/>
  <c r="Q56" i="74"/>
  <c r="BD23" i="95"/>
  <c r="DT51" i="75"/>
  <c r="W62" i="95"/>
  <c r="AX18" i="95"/>
  <c r="W63" i="95"/>
  <c r="BP8" i="69"/>
  <c r="AS18" i="95"/>
  <c r="AO56" i="74"/>
  <c r="AT24" i="95"/>
  <c r="AW14" i="95"/>
  <c r="BE14" i="95" l="1"/>
  <c r="DM11" i="75"/>
  <c r="AQ12" i="69"/>
  <c r="AK12" i="69"/>
  <c r="G11" i="75"/>
  <c r="L10" i="75"/>
  <c r="BQ8" i="69"/>
  <c r="EH12" i="75"/>
  <c r="AW13" i="69"/>
  <c r="M11" i="74"/>
  <c r="N11" i="74"/>
  <c r="BL12" i="69"/>
  <c r="G12" i="74"/>
  <c r="X13" i="74"/>
  <c r="AD13" i="69"/>
  <c r="T14" i="95"/>
  <c r="W50" i="94"/>
  <c r="AE50" i="94" s="1"/>
  <c r="V50" i="94"/>
  <c r="AD50" i="94" s="1"/>
  <c r="S50" i="94"/>
  <c r="AA50" i="94" s="1"/>
  <c r="T50" i="94"/>
  <c r="DT54" i="75"/>
  <c r="W68" i="95"/>
  <c r="W67" i="95"/>
  <c r="BD24" i="95"/>
  <c r="Q60" i="74"/>
  <c r="Q54" i="75"/>
  <c r="BB15" i="95"/>
  <c r="BI10" i="95"/>
  <c r="AO59" i="74"/>
  <c r="AO57" i="74"/>
  <c r="BI55" i="95"/>
  <c r="Q57" i="74"/>
  <c r="AG10" i="95"/>
  <c r="Q56" i="75"/>
  <c r="AY25" i="95"/>
  <c r="AT25" i="95"/>
  <c r="W69" i="95"/>
  <c r="Q53" i="75"/>
  <c r="AO58" i="74"/>
  <c r="AW15" i="95"/>
  <c r="W64" i="95"/>
  <c r="AR15" i="95"/>
  <c r="AO60" i="74"/>
  <c r="DT53" i="75"/>
  <c r="AS19" i="95"/>
  <c r="Q58" i="74"/>
  <c r="Q59" i="74"/>
  <c r="Q55" i="75"/>
  <c r="DT56" i="75"/>
  <c r="AO61" i="74"/>
  <c r="W65" i="95"/>
  <c r="Q62" i="74"/>
  <c r="DT55" i="75"/>
  <c r="Q61" i="74"/>
  <c r="AX19" i="95"/>
  <c r="AO62" i="74"/>
  <c r="BC19" i="95"/>
  <c r="W66" i="95"/>
  <c r="BE15" i="95" l="1"/>
  <c r="BK55" i="95"/>
  <c r="BK10" i="95"/>
  <c r="AQ13" i="69"/>
  <c r="DM12" i="75"/>
  <c r="G12" i="75"/>
  <c r="AK13" i="69"/>
  <c r="L11" i="75"/>
  <c r="T15" i="95"/>
  <c r="BL13" i="69"/>
  <c r="G13" i="74"/>
  <c r="X14" i="74"/>
  <c r="AD14" i="69"/>
  <c r="M12" i="74"/>
  <c r="N12" i="74"/>
  <c r="EH13" i="75"/>
  <c r="AW14" i="69"/>
  <c r="L12" i="74"/>
  <c r="AB50" i="94"/>
  <c r="X50" i="94"/>
  <c r="AF50" i="94" s="1"/>
  <c r="T41" i="94"/>
  <c r="W41" i="94"/>
  <c r="AE41" i="94" s="1"/>
  <c r="U41" i="94"/>
  <c r="AC41" i="94" s="1"/>
  <c r="V41" i="94"/>
  <c r="AD41" i="94" s="1"/>
  <c r="S41" i="94"/>
  <c r="AA41" i="94" s="1"/>
  <c r="Q63" i="74"/>
  <c r="DT62" i="75"/>
  <c r="AO67" i="74"/>
  <c r="Q68" i="74"/>
  <c r="BC20" i="95"/>
  <c r="Q60" i="75"/>
  <c r="Q59" i="75"/>
  <c r="BC9" i="69"/>
  <c r="Q61" i="75"/>
  <c r="BB16" i="95"/>
  <c r="AO66" i="74"/>
  <c r="W72" i="95"/>
  <c r="Q57" i="75"/>
  <c r="AO64" i="74"/>
  <c r="DT57" i="75"/>
  <c r="Q62" i="75"/>
  <c r="Q58" i="75"/>
  <c r="Q64" i="74"/>
  <c r="DT61" i="75"/>
  <c r="Q66" i="74"/>
  <c r="W71" i="95"/>
  <c r="AS20" i="95"/>
  <c r="BB9" i="69"/>
  <c r="DT60" i="75"/>
  <c r="AO65" i="74"/>
  <c r="Q67" i="74"/>
  <c r="W73" i="95"/>
  <c r="AY26" i="95"/>
  <c r="AW16" i="95"/>
  <c r="Q65" i="74"/>
  <c r="AR16" i="95"/>
  <c r="BP9" i="69"/>
  <c r="DT58" i="75"/>
  <c r="AO68" i="74"/>
  <c r="AO63" i="74"/>
  <c r="BD25" i="95"/>
  <c r="DT59" i="75"/>
  <c r="AX20" i="95"/>
  <c r="AT26" i="95"/>
  <c r="W70" i="95"/>
  <c r="BE16" i="95" l="1"/>
  <c r="DM13" i="75"/>
  <c r="AQ14" i="69"/>
  <c r="G13" i="75"/>
  <c r="AK14" i="69"/>
  <c r="L12" i="75"/>
  <c r="BQ9" i="69"/>
  <c r="X15" i="74"/>
  <c r="G14" i="74"/>
  <c r="BL14" i="69"/>
  <c r="AD15" i="69"/>
  <c r="EH14" i="75"/>
  <c r="AW15" i="69"/>
  <c r="L13" i="74"/>
  <c r="M13" i="74"/>
  <c r="N13" i="74"/>
  <c r="T16" i="95"/>
  <c r="AB41" i="94"/>
  <c r="X41" i="94"/>
  <c r="AF41" i="94" s="1"/>
  <c r="U90" i="94"/>
  <c r="AC90" i="94" s="1"/>
  <c r="W58" i="94"/>
  <c r="AE58" i="94" s="1"/>
  <c r="T58" i="94"/>
  <c r="S58" i="94"/>
  <c r="AA58" i="94" s="1"/>
  <c r="U58" i="94"/>
  <c r="AC58" i="94" s="1"/>
  <c r="V58" i="94"/>
  <c r="AD58" i="94" s="1"/>
  <c r="AT27" i="95"/>
  <c r="BM151" i="75"/>
  <c r="AN70" i="75"/>
  <c r="EP15" i="75"/>
  <c r="AO21" i="75"/>
  <c r="AP58" i="75"/>
  <c r="BM134" i="75"/>
  <c r="AR129" i="75"/>
  <c r="BL59" i="75"/>
  <c r="BI116" i="75"/>
  <c r="AO20" i="75"/>
  <c r="AO137" i="75"/>
  <c r="EP31" i="75"/>
  <c r="AQ121" i="75"/>
  <c r="BL118" i="75"/>
  <c r="AR144" i="75"/>
  <c r="BK148" i="75"/>
  <c r="BM97" i="75"/>
  <c r="BJ42" i="75"/>
  <c r="EP142" i="75"/>
  <c r="AP17" i="75"/>
  <c r="BL116" i="75"/>
  <c r="BK108" i="75"/>
  <c r="AQ153" i="75"/>
  <c r="AN66" i="75"/>
  <c r="BM156" i="75"/>
  <c r="BI56" i="75"/>
  <c r="EP58" i="75"/>
  <c r="BL36" i="75"/>
  <c r="AO155" i="75"/>
  <c r="BL142" i="75"/>
  <c r="AQ136" i="75"/>
  <c r="AO52" i="75"/>
  <c r="AR49" i="75"/>
  <c r="BL66" i="75"/>
  <c r="AN60" i="75"/>
  <c r="AO102" i="75"/>
  <c r="EP28" i="75"/>
  <c r="EP91" i="75"/>
  <c r="AP134" i="75"/>
  <c r="AP148" i="75"/>
  <c r="BI60" i="75"/>
  <c r="AQ80" i="75"/>
  <c r="EP120" i="75"/>
  <c r="AQ100" i="75"/>
  <c r="AQ142" i="75"/>
  <c r="AP132" i="75"/>
  <c r="BI66" i="75"/>
  <c r="BI85" i="75"/>
  <c r="EP53" i="75"/>
  <c r="AN21" i="75"/>
  <c r="AQ141" i="75"/>
  <c r="DT67" i="75"/>
  <c r="AP12" i="75"/>
  <c r="AN10" i="75"/>
  <c r="BK45" i="75"/>
  <c r="EP135" i="75"/>
  <c r="BL107" i="75"/>
  <c r="BJ147" i="75"/>
  <c r="BL105" i="75"/>
  <c r="BJ121" i="75"/>
  <c r="BJ47" i="75"/>
  <c r="BM4" i="75"/>
  <c r="BM31" i="75"/>
  <c r="BL99" i="75"/>
  <c r="BI27" i="75"/>
  <c r="BM150" i="75"/>
  <c r="BI75" i="75"/>
  <c r="AN146" i="75"/>
  <c r="BK133" i="75"/>
  <c r="BL130" i="75"/>
  <c r="AP39" i="75"/>
  <c r="BI28" i="75"/>
  <c r="BI123" i="75"/>
  <c r="BM162" i="75"/>
  <c r="BM21" i="75"/>
  <c r="EO26" i="75"/>
  <c r="AP128" i="75"/>
  <c r="AO78" i="75"/>
  <c r="AO71" i="74"/>
  <c r="BJ36" i="75"/>
  <c r="BL95" i="75"/>
  <c r="AR36" i="75"/>
  <c r="AN86" i="75"/>
  <c r="AO108" i="75"/>
  <c r="EO21" i="75"/>
  <c r="AN153" i="75"/>
  <c r="AR54" i="75"/>
  <c r="BL157" i="75"/>
  <c r="AO54" i="75"/>
  <c r="BL33" i="75"/>
  <c r="AO99" i="75"/>
  <c r="BL133" i="75"/>
  <c r="AR153" i="75"/>
  <c r="EP25" i="75"/>
  <c r="AN138" i="75"/>
  <c r="AP163" i="75"/>
  <c r="AR124" i="75"/>
  <c r="EP51" i="75"/>
  <c r="BK132" i="75"/>
  <c r="AO69" i="75"/>
  <c r="BK70" i="75"/>
  <c r="AQ140" i="75"/>
  <c r="Q63" i="75"/>
  <c r="BI74" i="75"/>
  <c r="AP35" i="75"/>
  <c r="AN79" i="75"/>
  <c r="BK153" i="75"/>
  <c r="AO151" i="75"/>
  <c r="BI121" i="75"/>
  <c r="BK33" i="75"/>
  <c r="BL114" i="75"/>
  <c r="AO156" i="75"/>
  <c r="AN38" i="75"/>
  <c r="AQ154" i="75"/>
  <c r="BI84" i="75"/>
  <c r="BL115" i="75"/>
  <c r="BK138" i="75"/>
  <c r="AO150" i="75"/>
  <c r="AQ15" i="75"/>
  <c r="BI98" i="75"/>
  <c r="AP33" i="75"/>
  <c r="AQ26" i="75"/>
  <c r="BK20" i="75"/>
  <c r="EO38" i="75"/>
  <c r="EO39" i="75"/>
  <c r="AO97" i="75"/>
  <c r="AQ103" i="75"/>
  <c r="AR138" i="75"/>
  <c r="BK135" i="75"/>
  <c r="AO70" i="74"/>
  <c r="BK52" i="75"/>
  <c r="BI150" i="75"/>
  <c r="BJ145" i="75"/>
  <c r="AP22" i="75"/>
  <c r="BJ116" i="75"/>
  <c r="AR18" i="75"/>
  <c r="BL58" i="75"/>
  <c r="AQ137" i="75"/>
  <c r="BK56" i="75"/>
  <c r="BM47" i="75"/>
  <c r="AN90" i="75"/>
  <c r="BI45" i="75"/>
  <c r="EP131" i="75"/>
  <c r="BK53" i="75"/>
  <c r="AO124" i="75"/>
  <c r="BM45" i="75"/>
  <c r="AP118" i="75"/>
  <c r="AP8" i="75"/>
  <c r="AP116" i="75"/>
  <c r="EP145" i="75"/>
  <c r="AQ63" i="75"/>
  <c r="AR150" i="75"/>
  <c r="BM51" i="75"/>
  <c r="BI32" i="75"/>
  <c r="AO29" i="75"/>
  <c r="AN31" i="75"/>
  <c r="BJ102" i="75"/>
  <c r="BL35" i="75"/>
  <c r="EO66" i="75"/>
  <c r="BI15" i="75"/>
  <c r="AP38" i="75"/>
  <c r="BM76" i="75"/>
  <c r="EP72" i="75"/>
  <c r="BM123" i="75"/>
  <c r="BJ51" i="75"/>
  <c r="AO35" i="75"/>
  <c r="BK19" i="75"/>
  <c r="BI147" i="75"/>
  <c r="BL151" i="75"/>
  <c r="EP59" i="75"/>
  <c r="BK152" i="75"/>
  <c r="BK87" i="75"/>
  <c r="BI136" i="75"/>
  <c r="EP63" i="75"/>
  <c r="BM141" i="75"/>
  <c r="BI30" i="75"/>
  <c r="BL20" i="75"/>
  <c r="BM116" i="75"/>
  <c r="AN22" i="75"/>
  <c r="BM35" i="75"/>
  <c r="BM147" i="75"/>
  <c r="EP98" i="75"/>
  <c r="AR134" i="75"/>
  <c r="BI152" i="75"/>
  <c r="BI143" i="75"/>
  <c r="BK102" i="75"/>
  <c r="AO161" i="75"/>
  <c r="BJ18" i="75"/>
  <c r="BJ124" i="75"/>
  <c r="EP95" i="75"/>
  <c r="EO53" i="75"/>
  <c r="EP46" i="75"/>
  <c r="AO157" i="75"/>
  <c r="BL60" i="75"/>
  <c r="Q71" i="74"/>
  <c r="AO24" i="75"/>
  <c r="BK13" i="75"/>
  <c r="BI46" i="75"/>
  <c r="BM122" i="75"/>
  <c r="BI99" i="75"/>
  <c r="BM145" i="75"/>
  <c r="BM108" i="75"/>
  <c r="BL56" i="75"/>
  <c r="BM11" i="75"/>
  <c r="BK24" i="75"/>
  <c r="BL147" i="75"/>
  <c r="AN136" i="75"/>
  <c r="EO41" i="75"/>
  <c r="BI142" i="75"/>
  <c r="BK55" i="75"/>
  <c r="AN33" i="75"/>
  <c r="AN52" i="75"/>
  <c r="AN137" i="75"/>
  <c r="AO135" i="75"/>
  <c r="EP43" i="75"/>
  <c r="BM49" i="75"/>
  <c r="AQ14" i="75"/>
  <c r="AO147" i="75"/>
  <c r="AR11" i="75"/>
  <c r="BI6" i="75"/>
  <c r="AN63" i="75"/>
  <c r="AR91" i="75"/>
  <c r="AQ105" i="75"/>
  <c r="AO98" i="75"/>
  <c r="AN37" i="75"/>
  <c r="AQ27" i="75"/>
  <c r="AP110" i="75"/>
  <c r="EP69" i="75"/>
  <c r="EO24" i="75"/>
  <c r="AK43" i="84"/>
  <c r="EP37" i="75"/>
  <c r="BL108" i="75"/>
  <c r="BK109" i="75"/>
  <c r="AO71" i="75"/>
  <c r="BI139" i="75"/>
  <c r="BJ141" i="75"/>
  <c r="AP23" i="75"/>
  <c r="BL67" i="75"/>
  <c r="BM119" i="75"/>
  <c r="AR47" i="75"/>
  <c r="BI96" i="75"/>
  <c r="BM146" i="75"/>
  <c r="AQ70" i="75"/>
  <c r="BL32" i="75"/>
  <c r="AR81" i="75"/>
  <c r="BJ69" i="75"/>
  <c r="AQ160" i="75"/>
  <c r="BL89" i="75"/>
  <c r="BK97" i="75"/>
  <c r="AP154" i="75"/>
  <c r="AO70" i="75"/>
  <c r="AR53" i="75"/>
  <c r="AR116" i="75"/>
  <c r="AQ116" i="75"/>
  <c r="BI137" i="75"/>
  <c r="EP89" i="75"/>
  <c r="BM112" i="75"/>
  <c r="AP46" i="75"/>
  <c r="BJ67" i="75"/>
  <c r="AR17" i="95"/>
  <c r="BL143" i="75"/>
  <c r="BK44" i="75"/>
  <c r="EO4" i="75"/>
  <c r="AN67" i="75"/>
  <c r="BI42" i="75"/>
  <c r="BK15" i="75"/>
  <c r="BM81" i="75"/>
  <c r="BM13" i="75"/>
  <c r="AQ95" i="75"/>
  <c r="AR111" i="75"/>
  <c r="EP148" i="75"/>
  <c r="BK94" i="75"/>
  <c r="BL149" i="75"/>
  <c r="BJ4" i="75"/>
  <c r="BL90" i="75"/>
  <c r="BK57" i="75"/>
  <c r="BI80" i="75"/>
  <c r="AR88" i="75"/>
  <c r="EO49" i="75"/>
  <c r="AN129" i="75"/>
  <c r="BL16" i="75"/>
  <c r="BJ97" i="75"/>
  <c r="EP126" i="75"/>
  <c r="BI53" i="75"/>
  <c r="AN128" i="75"/>
  <c r="AO143" i="75"/>
  <c r="AN25" i="75"/>
  <c r="BJ163" i="75"/>
  <c r="AN75" i="75"/>
  <c r="BI31" i="75"/>
  <c r="AO107" i="75"/>
  <c r="AP144" i="75"/>
  <c r="EO70" i="75"/>
  <c r="BI146" i="75"/>
  <c r="BL96" i="75"/>
  <c r="AO79" i="75"/>
  <c r="EO67" i="75"/>
  <c r="AR40" i="75"/>
  <c r="BI55" i="75"/>
  <c r="AO51" i="75"/>
  <c r="EP134" i="75"/>
  <c r="BJ45" i="75"/>
  <c r="BI52" i="75"/>
  <c r="EO8" i="75"/>
  <c r="BK120" i="75"/>
  <c r="AP92" i="75"/>
  <c r="BJ118" i="75"/>
  <c r="BJ11" i="75"/>
  <c r="BJ90" i="75"/>
  <c r="AQ71" i="75"/>
  <c r="DT68" i="75"/>
  <c r="BM142" i="75"/>
  <c r="EP107" i="75"/>
  <c r="BI38" i="75"/>
  <c r="EP23" i="75"/>
  <c r="BK119" i="75"/>
  <c r="AO55" i="75"/>
  <c r="AN151" i="75"/>
  <c r="EP41" i="75"/>
  <c r="BL110" i="75"/>
  <c r="BJ92" i="75"/>
  <c r="BL23" i="75"/>
  <c r="AQ114" i="75"/>
  <c r="AR148" i="75"/>
  <c r="BI119" i="75"/>
  <c r="AO25" i="75"/>
  <c r="AO85" i="75"/>
  <c r="AP95" i="75"/>
  <c r="AP126" i="75"/>
  <c r="AN57" i="75"/>
  <c r="BI10" i="75"/>
  <c r="AR126" i="75"/>
  <c r="BI118" i="75"/>
  <c r="BM24" i="75"/>
  <c r="BM18" i="75"/>
  <c r="AN121" i="75"/>
  <c r="BK140" i="75"/>
  <c r="W76" i="95"/>
  <c r="BM42" i="75"/>
  <c r="EO25" i="75"/>
  <c r="BM87" i="75"/>
  <c r="BI95" i="75"/>
  <c r="BL111" i="75"/>
  <c r="AO109" i="75"/>
  <c r="BJ14" i="75"/>
  <c r="BI48" i="75"/>
  <c r="BJ162" i="75"/>
  <c r="EO65" i="75"/>
  <c r="BL37" i="75"/>
  <c r="BM64" i="75"/>
  <c r="BI87" i="75"/>
  <c r="BJ88" i="75"/>
  <c r="AQ46" i="75"/>
  <c r="AO26" i="75"/>
  <c r="BI128" i="75"/>
  <c r="BL150" i="75"/>
  <c r="AQ135" i="75"/>
  <c r="BK78" i="75"/>
  <c r="AN13" i="75"/>
  <c r="AN126" i="75"/>
  <c r="BM149" i="75"/>
  <c r="AO72" i="74"/>
  <c r="BM6" i="75"/>
  <c r="AR67" i="75"/>
  <c r="BK121" i="75"/>
  <c r="BJ122" i="75"/>
  <c r="BL128" i="75"/>
  <c r="AO56" i="75"/>
  <c r="AQ139" i="75"/>
  <c r="AP151" i="75"/>
  <c r="AQ113" i="75"/>
  <c r="AR60" i="75"/>
  <c r="BK106" i="75"/>
  <c r="EP124" i="75"/>
  <c r="BM113" i="75"/>
  <c r="BL104" i="75"/>
  <c r="EP49" i="75"/>
  <c r="EO16" i="75"/>
  <c r="EP42" i="75"/>
  <c r="AR136" i="75"/>
  <c r="AR41" i="75"/>
  <c r="BM137" i="75"/>
  <c r="EO50" i="75"/>
  <c r="BK66" i="75"/>
  <c r="EP16" i="75"/>
  <c r="EP150" i="75"/>
  <c r="BJ68" i="75"/>
  <c r="AR83" i="75"/>
  <c r="Q72" i="74"/>
  <c r="EP155" i="75"/>
  <c r="AN40" i="75"/>
  <c r="BL27" i="75"/>
  <c r="BM163" i="75"/>
  <c r="EP47" i="75"/>
  <c r="BK18" i="75"/>
  <c r="AO125" i="75"/>
  <c r="BL53" i="75"/>
  <c r="BK117" i="75"/>
  <c r="AR123" i="75"/>
  <c r="BL137" i="75"/>
  <c r="AQ29" i="75"/>
  <c r="AO50" i="75"/>
  <c r="AP137" i="75"/>
  <c r="BM159" i="75"/>
  <c r="AO19" i="75"/>
  <c r="AO103" i="75"/>
  <c r="BI108" i="75"/>
  <c r="AR71" i="75"/>
  <c r="EO56" i="75"/>
  <c r="AO118" i="75"/>
  <c r="BK86" i="75"/>
  <c r="BJ46" i="75"/>
  <c r="BL140" i="75"/>
  <c r="BI49" i="75"/>
  <c r="AP66" i="75"/>
  <c r="BM80" i="75"/>
  <c r="EP26" i="75"/>
  <c r="AN62" i="75"/>
  <c r="EP141" i="75"/>
  <c r="AT28" i="95"/>
  <c r="BJ10" i="75"/>
  <c r="BL85" i="75"/>
  <c r="EP74" i="75"/>
  <c r="BI71" i="75"/>
  <c r="AQ62" i="75"/>
  <c r="BI63" i="75"/>
  <c r="BL38" i="75"/>
  <c r="BJ155" i="75"/>
  <c r="EP62" i="75"/>
  <c r="BM58" i="75"/>
  <c r="AQ16" i="75"/>
  <c r="AP18" i="75"/>
  <c r="AQ54" i="75"/>
  <c r="AN53" i="75"/>
  <c r="AO15" i="75"/>
  <c r="BJ64" i="75"/>
  <c r="EO62" i="75"/>
  <c r="BI11" i="75"/>
  <c r="AO114" i="75"/>
  <c r="BK72" i="75"/>
  <c r="AO141" i="75"/>
  <c r="AQ77" i="75"/>
  <c r="AO49" i="75"/>
  <c r="AN140" i="75"/>
  <c r="AQ22" i="75"/>
  <c r="BM77" i="75"/>
  <c r="EP60" i="75"/>
  <c r="BK49" i="75"/>
  <c r="EP39" i="75"/>
  <c r="BL112" i="75"/>
  <c r="EP56" i="75"/>
  <c r="EP112" i="75"/>
  <c r="AP70" i="75"/>
  <c r="BJ80" i="75"/>
  <c r="AN54" i="75"/>
  <c r="AP161" i="75"/>
  <c r="BJ78" i="75"/>
  <c r="AO17" i="75"/>
  <c r="BM99" i="75"/>
  <c r="BM100" i="75"/>
  <c r="BJ52" i="75"/>
  <c r="AQ117" i="75"/>
  <c r="EP127" i="75"/>
  <c r="EP11" i="75"/>
  <c r="AO101" i="75"/>
  <c r="BI103" i="75"/>
  <c r="AO95" i="75"/>
  <c r="BM154" i="75"/>
  <c r="BL160" i="75"/>
  <c r="BM92" i="75"/>
  <c r="EP117" i="75"/>
  <c r="AN92" i="75"/>
  <c r="AP32" i="75"/>
  <c r="EP90" i="75"/>
  <c r="AQ126" i="75"/>
  <c r="BK134" i="75"/>
  <c r="EP115" i="75"/>
  <c r="AO47" i="75"/>
  <c r="AP88" i="75"/>
  <c r="AP145" i="75"/>
  <c r="EO20" i="75"/>
  <c r="EP79" i="75"/>
  <c r="BJ100" i="75"/>
  <c r="BK46" i="75"/>
  <c r="BL144" i="75"/>
  <c r="BL72" i="75"/>
  <c r="AR35" i="75"/>
  <c r="AN44" i="75"/>
  <c r="EP118" i="75"/>
  <c r="BK160" i="75"/>
  <c r="BL42" i="75"/>
  <c r="BJ114" i="75"/>
  <c r="AR57" i="75"/>
  <c r="AP93" i="75"/>
  <c r="BK4" i="75"/>
  <c r="AP106" i="75"/>
  <c r="BJ27" i="75"/>
  <c r="AN29" i="75"/>
  <c r="AR45" i="75"/>
  <c r="H90" i="89"/>
  <c r="AQ18" i="75"/>
  <c r="AO31" i="75"/>
  <c r="AQ85" i="75"/>
  <c r="BM59" i="75"/>
  <c r="AN5" i="75"/>
  <c r="AO149" i="75"/>
  <c r="BI12" i="75"/>
  <c r="AR95" i="75"/>
  <c r="AR76" i="75"/>
  <c r="AP158" i="75"/>
  <c r="BJ127" i="75"/>
  <c r="BJ112" i="75"/>
  <c r="AR117" i="75"/>
  <c r="BL71" i="75"/>
  <c r="BM68" i="75"/>
  <c r="AO28" i="75"/>
  <c r="EP146" i="75"/>
  <c r="BM103" i="75"/>
  <c r="BI117" i="75"/>
  <c r="AQ149" i="75"/>
  <c r="BJ41" i="75"/>
  <c r="AY27" i="95"/>
  <c r="BK125" i="75"/>
  <c r="BK54" i="75"/>
  <c r="AP85" i="75"/>
  <c r="BJ60" i="75"/>
  <c r="AQ60" i="75"/>
  <c r="BI43" i="75"/>
  <c r="AQ120" i="75"/>
  <c r="AN43" i="75"/>
  <c r="BL45" i="75"/>
  <c r="AP14" i="75"/>
  <c r="BK107" i="75"/>
  <c r="BK61" i="75"/>
  <c r="EP67" i="75"/>
  <c r="AR42" i="75"/>
  <c r="AQ150" i="75"/>
  <c r="EP50" i="75"/>
  <c r="AN100" i="75"/>
  <c r="EP113" i="75"/>
  <c r="BJ89" i="75"/>
  <c r="BL113" i="75"/>
  <c r="BI19" i="75"/>
  <c r="EP133" i="75"/>
  <c r="AR119" i="75"/>
  <c r="BK99" i="75"/>
  <c r="BM27" i="75"/>
  <c r="AS21" i="95"/>
  <c r="AN98" i="75"/>
  <c r="AQ21" i="75"/>
  <c r="BK105" i="75"/>
  <c r="AO116" i="75"/>
  <c r="BJ39" i="75"/>
  <c r="BL79" i="75"/>
  <c r="BM136" i="75"/>
  <c r="AN41" i="75"/>
  <c r="AQ75" i="75"/>
  <c r="AO23" i="75"/>
  <c r="EP93" i="75"/>
  <c r="AR151" i="75"/>
  <c r="BK6" i="75"/>
  <c r="AQ57" i="75"/>
  <c r="AR24" i="75"/>
  <c r="BI120" i="75"/>
  <c r="AP26" i="75"/>
  <c r="BM57" i="75"/>
  <c r="AP91" i="75"/>
  <c r="AO42" i="75"/>
  <c r="BJ98" i="75"/>
  <c r="BJ73" i="75"/>
  <c r="BM158" i="75"/>
  <c r="AO142" i="75"/>
  <c r="AO69" i="74"/>
  <c r="BM93" i="75"/>
  <c r="BL152" i="75"/>
  <c r="BI140" i="75"/>
  <c r="BJ5" i="75"/>
  <c r="AO138" i="75"/>
  <c r="AO45" i="75"/>
  <c r="AN127" i="75"/>
  <c r="BI104" i="75"/>
  <c r="BJ19" i="75"/>
  <c r="EO44" i="75"/>
  <c r="AQ81" i="75"/>
  <c r="BL162" i="75"/>
  <c r="BJ7" i="75"/>
  <c r="AP4" i="75"/>
  <c r="EP157" i="75"/>
  <c r="AN134" i="75"/>
  <c r="EO35" i="75"/>
  <c r="BL41" i="75"/>
  <c r="AR85" i="75"/>
  <c r="AO81" i="75"/>
  <c r="BI64" i="75"/>
  <c r="AR80" i="75"/>
  <c r="EO27" i="75"/>
  <c r="AN24" i="75"/>
  <c r="EP19" i="75"/>
  <c r="EO52" i="75"/>
  <c r="AQ145" i="75"/>
  <c r="BJ107" i="75"/>
  <c r="BK75" i="75"/>
  <c r="BK137" i="75"/>
  <c r="AQ50" i="75"/>
  <c r="EP84" i="75"/>
  <c r="AP114" i="75"/>
  <c r="AN120" i="75"/>
  <c r="BI22" i="75"/>
  <c r="BJ62" i="75"/>
  <c r="AO18" i="75"/>
  <c r="BK85" i="75"/>
  <c r="AR130" i="75"/>
  <c r="AR20" i="75"/>
  <c r="EP9" i="75"/>
  <c r="AO131" i="75"/>
  <c r="AR141" i="75"/>
  <c r="EP109" i="75"/>
  <c r="AQ127" i="75"/>
  <c r="BK159" i="75"/>
  <c r="BJ135" i="75"/>
  <c r="BJ140" i="75"/>
  <c r="EP22" i="75"/>
  <c r="BJ128" i="75"/>
  <c r="W75" i="95"/>
  <c r="AN11" i="75"/>
  <c r="BJ76" i="75"/>
  <c r="BJ29" i="75"/>
  <c r="BK8" i="75"/>
  <c r="AO41" i="75"/>
  <c r="AP54" i="75"/>
  <c r="AP152" i="75"/>
  <c r="AQ92" i="75"/>
  <c r="AQ161" i="75"/>
  <c r="AN119" i="75"/>
  <c r="AR79" i="75"/>
  <c r="BM118" i="75"/>
  <c r="AO22" i="75"/>
  <c r="AP140" i="75"/>
  <c r="AN115" i="75"/>
  <c r="BK90" i="75"/>
  <c r="EP12" i="75"/>
  <c r="AP111" i="75"/>
  <c r="BK63" i="75"/>
  <c r="BM71" i="75"/>
  <c r="BL94" i="75"/>
  <c r="AQ79" i="75"/>
  <c r="BJ57" i="75"/>
  <c r="AP78" i="75"/>
  <c r="AO87" i="75"/>
  <c r="BL97" i="75"/>
  <c r="BM66" i="75"/>
  <c r="AR139" i="75"/>
  <c r="AR23" i="75"/>
  <c r="AN14" i="75"/>
  <c r="AO140" i="75"/>
  <c r="BL106" i="75"/>
  <c r="AP34" i="75"/>
  <c r="BL31" i="75"/>
  <c r="AR70" i="75"/>
  <c r="BI37" i="75"/>
  <c r="BI47" i="75"/>
  <c r="BL75" i="75"/>
  <c r="AN6" i="75"/>
  <c r="AN122" i="75"/>
  <c r="AN78" i="75"/>
  <c r="BM83" i="75"/>
  <c r="BJ63" i="75"/>
  <c r="BK79" i="75"/>
  <c r="AP123" i="75"/>
  <c r="AN81" i="75"/>
  <c r="EP103" i="75"/>
  <c r="BM138" i="75"/>
  <c r="AQ148" i="75"/>
  <c r="AP157" i="74"/>
  <c r="EP136" i="75"/>
  <c r="AQ138" i="75"/>
  <c r="AO4" i="75"/>
  <c r="BK81" i="75"/>
  <c r="Q68" i="75"/>
  <c r="BJ143" i="75"/>
  <c r="AQ43" i="75"/>
  <c r="AR157" i="75"/>
  <c r="BJ44" i="75"/>
  <c r="BM89" i="75"/>
  <c r="AN112" i="75"/>
  <c r="BJ55" i="75"/>
  <c r="EO69" i="75"/>
  <c r="BL61" i="75"/>
  <c r="BL25" i="75"/>
  <c r="AR118" i="75"/>
  <c r="BI26" i="75"/>
  <c r="BL81" i="75"/>
  <c r="AN133" i="75"/>
  <c r="BJ148" i="75"/>
  <c r="AR162" i="75"/>
  <c r="AR163" i="75"/>
  <c r="BM130" i="75"/>
  <c r="BM144" i="75"/>
  <c r="BJ99" i="75"/>
  <c r="AR48" i="75"/>
  <c r="AP160" i="74"/>
  <c r="BM129" i="75"/>
  <c r="EO22" i="75"/>
  <c r="EP24" i="75"/>
  <c r="BI54" i="75"/>
  <c r="AR104" i="75"/>
  <c r="EP87" i="75"/>
  <c r="AN118" i="75"/>
  <c r="AQ129" i="75"/>
  <c r="BM46" i="75"/>
  <c r="AQ19" i="75"/>
  <c r="EP5" i="75"/>
  <c r="AN83" i="75"/>
  <c r="AP156" i="75"/>
  <c r="AR13" i="75"/>
  <c r="AP84" i="75"/>
  <c r="AR110" i="75"/>
  <c r="AN103" i="75"/>
  <c r="AP100" i="75"/>
  <c r="EO46" i="75"/>
  <c r="BJ94" i="75"/>
  <c r="BM115" i="75"/>
  <c r="BM62" i="75"/>
  <c r="AQ86" i="75"/>
  <c r="AO74" i="75"/>
  <c r="EO60" i="75"/>
  <c r="AO105" i="75"/>
  <c r="AR87" i="75"/>
  <c r="AQ163" i="75"/>
  <c r="AP130" i="75"/>
  <c r="AP112" i="75"/>
  <c r="AQ93" i="75"/>
  <c r="EP86" i="75"/>
  <c r="BK112" i="75"/>
  <c r="AQ87" i="75"/>
  <c r="AR75" i="75"/>
  <c r="AR16" i="75"/>
  <c r="EO31" i="75"/>
  <c r="BK104" i="75"/>
  <c r="BM155" i="75"/>
  <c r="BJ58" i="75"/>
  <c r="BJ120" i="75"/>
  <c r="EP85" i="75"/>
  <c r="EP13" i="75"/>
  <c r="BI40" i="75"/>
  <c r="BC21" i="95"/>
  <c r="EP99" i="75"/>
  <c r="AN27" i="75"/>
  <c r="AQ122" i="75"/>
  <c r="BL57" i="75"/>
  <c r="AO120" i="75"/>
  <c r="AO67" i="75"/>
  <c r="AQ53" i="75"/>
  <c r="AN80" i="75"/>
  <c r="BM9" i="75"/>
  <c r="BI29" i="75"/>
  <c r="BI124" i="75"/>
  <c r="AO134" i="75"/>
  <c r="BJ79" i="75"/>
  <c r="BI135" i="75"/>
  <c r="AO80" i="75"/>
  <c r="AN73" i="75"/>
  <c r="AO37" i="75"/>
  <c r="BJ56" i="75"/>
  <c r="AP80" i="75"/>
  <c r="BM19" i="75"/>
  <c r="AR58" i="75"/>
  <c r="AR92" i="75"/>
  <c r="BL91" i="75"/>
  <c r="AP41" i="75"/>
  <c r="W74" i="95"/>
  <c r="EP8" i="75"/>
  <c r="EO63" i="75"/>
  <c r="AO127" i="75"/>
  <c r="BL28" i="75"/>
  <c r="AR121" i="75"/>
  <c r="BK37" i="75"/>
  <c r="BJ82" i="75"/>
  <c r="BL127" i="75"/>
  <c r="AO44" i="75"/>
  <c r="AO86" i="75"/>
  <c r="AN48" i="75"/>
  <c r="BI115" i="75"/>
  <c r="AN82" i="75"/>
  <c r="AO113" i="75"/>
  <c r="AR132" i="75"/>
  <c r="EP7" i="75"/>
  <c r="AR66" i="75"/>
  <c r="BM67" i="75"/>
  <c r="EO13" i="75"/>
  <c r="EO54" i="75"/>
  <c r="BI89" i="75"/>
  <c r="AQ115" i="75"/>
  <c r="BI93" i="75"/>
  <c r="AN106" i="75"/>
  <c r="BM127" i="75"/>
  <c r="BK35" i="75"/>
  <c r="AN131" i="75"/>
  <c r="BB4" i="69"/>
  <c r="AQ111" i="75"/>
  <c r="AN156" i="75"/>
  <c r="BK43" i="75"/>
  <c r="AO62" i="75"/>
  <c r="BK149" i="75"/>
  <c r="AO115" i="75"/>
  <c r="BJ43" i="75"/>
  <c r="AR26" i="75"/>
  <c r="AO82" i="75"/>
  <c r="EP71" i="75"/>
  <c r="AQ155" i="75"/>
  <c r="AN144" i="75"/>
  <c r="BM143" i="75"/>
  <c r="BI33" i="75"/>
  <c r="BI97" i="75"/>
  <c r="BM117" i="75"/>
  <c r="AP89" i="75"/>
  <c r="EP101" i="75"/>
  <c r="BK111" i="75"/>
  <c r="AP158" i="74"/>
  <c r="BJ142" i="75"/>
  <c r="BI67" i="75"/>
  <c r="AQ69" i="75"/>
  <c r="BM94" i="75"/>
  <c r="BI153" i="75"/>
  <c r="BI39" i="75"/>
  <c r="AR125" i="75"/>
  <c r="AO158" i="75"/>
  <c r="AQ55" i="75"/>
  <c r="BL156" i="75"/>
  <c r="BK71" i="75"/>
  <c r="AN47" i="75"/>
  <c r="AO106" i="75"/>
  <c r="BK139" i="75"/>
  <c r="EP10" i="75"/>
  <c r="BK50" i="75"/>
  <c r="BM69" i="75"/>
  <c r="BK74" i="75"/>
  <c r="AP9" i="75"/>
  <c r="EP20" i="75"/>
  <c r="EO32" i="75"/>
  <c r="BK31" i="75"/>
  <c r="EP30" i="75"/>
  <c r="AO40" i="75"/>
  <c r="AP74" i="75"/>
  <c r="AP117" i="75"/>
  <c r="BJ151" i="75"/>
  <c r="AP59" i="75"/>
  <c r="BL122" i="75"/>
  <c r="AP65" i="75"/>
  <c r="EO71" i="75"/>
  <c r="AR69" i="75"/>
  <c r="AQ89" i="75"/>
  <c r="AO64" i="75"/>
  <c r="BJ72" i="75"/>
  <c r="EO68" i="75"/>
  <c r="AO63" i="75"/>
  <c r="EP97" i="75"/>
  <c r="BK29" i="75"/>
  <c r="AN114" i="75"/>
  <c r="BJ33" i="75"/>
  <c r="BI100" i="75"/>
  <c r="BI110" i="75"/>
  <c r="AQ64" i="75"/>
  <c r="AO163" i="75"/>
  <c r="BM60" i="75"/>
  <c r="EP65" i="75"/>
  <c r="EO61" i="75"/>
  <c r="BK83" i="75"/>
  <c r="BJ65" i="75"/>
  <c r="AP19" i="75"/>
  <c r="BK68" i="75"/>
  <c r="AR44" i="75"/>
  <c r="AQ112" i="75"/>
  <c r="AO73" i="75"/>
  <c r="BI102" i="75"/>
  <c r="BJ129" i="75"/>
  <c r="G90" i="89"/>
  <c r="Q90" i="89" s="1"/>
  <c r="BK34" i="75"/>
  <c r="AP56" i="75"/>
  <c r="Q70" i="74"/>
  <c r="EO36" i="75"/>
  <c r="BI51" i="75"/>
  <c r="AR82" i="75"/>
  <c r="AP121" i="75"/>
  <c r="BL161" i="75"/>
  <c r="BL69" i="75"/>
  <c r="BM91" i="75"/>
  <c r="BI133" i="75"/>
  <c r="BK12" i="75"/>
  <c r="AN104" i="75"/>
  <c r="BL129" i="75"/>
  <c r="BK150" i="75"/>
  <c r="AR25" i="75"/>
  <c r="BM114" i="75"/>
  <c r="EP88" i="75"/>
  <c r="AO112" i="75"/>
  <c r="BK146" i="75"/>
  <c r="BK122" i="75"/>
  <c r="BM34" i="75"/>
  <c r="BM75" i="75"/>
  <c r="BM15" i="75"/>
  <c r="BL141" i="75"/>
  <c r="EP121" i="75"/>
  <c r="AO68" i="75"/>
  <c r="AN59" i="75"/>
  <c r="AQ78" i="75"/>
  <c r="BJ12" i="75"/>
  <c r="BK158" i="75"/>
  <c r="AP104" i="75"/>
  <c r="AP101" i="75"/>
  <c r="BL135" i="75"/>
  <c r="EO37" i="75"/>
  <c r="BI44" i="75"/>
  <c r="AN148" i="75"/>
  <c r="BK11" i="75"/>
  <c r="BL15" i="75"/>
  <c r="EP138" i="75"/>
  <c r="BM55" i="75"/>
  <c r="EP80" i="75"/>
  <c r="AQ156" i="75"/>
  <c r="BD26" i="95"/>
  <c r="EP108" i="75"/>
  <c r="AQ102" i="75"/>
  <c r="AQ45" i="75"/>
  <c r="BL132" i="75"/>
  <c r="AP115" i="75"/>
  <c r="BL109" i="75"/>
  <c r="AQ48" i="75"/>
  <c r="BK116" i="75"/>
  <c r="BL19" i="75"/>
  <c r="BJ86" i="75"/>
  <c r="BJ146" i="75"/>
  <c r="AN147" i="75"/>
  <c r="AO110" i="75"/>
  <c r="AN105" i="75"/>
  <c r="AN26" i="75"/>
  <c r="BI50" i="75"/>
  <c r="BJ130" i="75"/>
  <c r="AQ133" i="75"/>
  <c r="AO117" i="75"/>
  <c r="BI156" i="75"/>
  <c r="AR89" i="75"/>
  <c r="EP17" i="75"/>
  <c r="AO11" i="75"/>
  <c r="EP123" i="75"/>
  <c r="AO84" i="75"/>
  <c r="AQ91" i="75"/>
  <c r="Q67" i="75"/>
  <c r="BM106" i="75"/>
  <c r="AQ151" i="75"/>
  <c r="AN23" i="75"/>
  <c r="AN111" i="75"/>
  <c r="BJ144" i="75"/>
  <c r="AO59" i="75"/>
  <c r="AR37" i="75"/>
  <c r="BI131" i="75"/>
  <c r="AP82" i="75"/>
  <c r="AN18" i="75"/>
  <c r="BJ93" i="75"/>
  <c r="AQ31" i="75"/>
  <c r="BJ109" i="75"/>
  <c r="AO133" i="75"/>
  <c r="AN125" i="75"/>
  <c r="BJ59" i="75"/>
  <c r="AG50" i="94"/>
  <c r="EP61" i="75"/>
  <c r="BM132" i="75"/>
  <c r="AO61" i="75"/>
  <c r="AP119" i="75"/>
  <c r="BL87" i="75"/>
  <c r="AN32" i="75"/>
  <c r="DT65" i="75"/>
  <c r="AR84" i="75"/>
  <c r="AR133" i="75"/>
  <c r="BI155" i="75"/>
  <c r="BI122" i="75"/>
  <c r="BI107" i="75"/>
  <c r="AP98" i="75"/>
  <c r="BJ139" i="75"/>
  <c r="AR32" i="75"/>
  <c r="BL24" i="75"/>
  <c r="BJ16" i="75"/>
  <c r="BM16" i="75"/>
  <c r="BK22" i="75"/>
  <c r="BK115" i="75"/>
  <c r="BK14" i="75"/>
  <c r="AP10" i="75"/>
  <c r="AR22" i="75"/>
  <c r="BJ153" i="75"/>
  <c r="AO145" i="75"/>
  <c r="BI68" i="75"/>
  <c r="BK67" i="75"/>
  <c r="AQ52" i="75"/>
  <c r="BK69" i="75"/>
  <c r="BL154" i="75"/>
  <c r="BI35" i="75"/>
  <c r="EP77" i="75"/>
  <c r="AP129" i="75"/>
  <c r="AO89" i="75"/>
  <c r="EP33" i="75"/>
  <c r="BK82" i="75"/>
  <c r="AQ51" i="75"/>
  <c r="AP7" i="75"/>
  <c r="AQ33" i="75"/>
  <c r="BM50" i="75"/>
  <c r="AR64" i="75"/>
  <c r="BM39" i="75"/>
  <c r="BK10" i="75"/>
  <c r="EP139" i="75"/>
  <c r="AR10" i="75"/>
  <c r="BJ117" i="75"/>
  <c r="AN96" i="75"/>
  <c r="AR149" i="75"/>
  <c r="BK80" i="75"/>
  <c r="BJ70" i="75"/>
  <c r="BJ83" i="75"/>
  <c r="BM104" i="75"/>
  <c r="AP71" i="75"/>
  <c r="BJ131" i="75"/>
  <c r="BL18" i="75"/>
  <c r="AN132" i="75"/>
  <c r="BI17" i="75"/>
  <c r="BM101" i="75"/>
  <c r="AQ158" i="75"/>
  <c r="H44" i="89"/>
  <c r="BI154" i="75"/>
  <c r="AQ147" i="75"/>
  <c r="BL83" i="75"/>
  <c r="AN55" i="75"/>
  <c r="EO40" i="75"/>
  <c r="AO93" i="75"/>
  <c r="AN76" i="75"/>
  <c r="BJ101" i="75"/>
  <c r="AP29" i="75"/>
  <c r="AP43" i="75"/>
  <c r="AO162" i="75"/>
  <c r="AQ104" i="75"/>
  <c r="BJ110" i="75"/>
  <c r="BJ8" i="75"/>
  <c r="BM48" i="75"/>
  <c r="EO34" i="75"/>
  <c r="BI25" i="75"/>
  <c r="BL92" i="75"/>
  <c r="BK143" i="75"/>
  <c r="AR52" i="75"/>
  <c r="BI91" i="75"/>
  <c r="AQ94" i="75"/>
  <c r="AN95" i="75"/>
  <c r="BM10" i="75"/>
  <c r="BL62" i="75"/>
  <c r="AP141" i="75"/>
  <c r="AP142" i="75"/>
  <c r="AO104" i="75"/>
  <c r="AQ159" i="75"/>
  <c r="BK77" i="75"/>
  <c r="AO92" i="75"/>
  <c r="AO126" i="75"/>
  <c r="AP45" i="75"/>
  <c r="AR127" i="75"/>
  <c r="AR43" i="75"/>
  <c r="AN51" i="75"/>
  <c r="AO123" i="75"/>
  <c r="AO48" i="75"/>
  <c r="BI4" i="75"/>
  <c r="BI144" i="75"/>
  <c r="AR4" i="75"/>
  <c r="AR98" i="75"/>
  <c r="BJ87" i="75"/>
  <c r="AN123" i="75"/>
  <c r="BK17" i="75"/>
  <c r="AO53" i="75"/>
  <c r="BK36" i="75"/>
  <c r="BK113" i="75"/>
  <c r="AN124" i="75"/>
  <c r="BL121" i="75"/>
  <c r="BI94" i="75"/>
  <c r="BM56" i="75"/>
  <c r="AR27" i="75"/>
  <c r="EO55" i="75"/>
  <c r="BK60" i="75"/>
  <c r="AQ23" i="75"/>
  <c r="BJ15" i="75"/>
  <c r="AN28" i="75"/>
  <c r="BJ35" i="75"/>
  <c r="BL123" i="75"/>
  <c r="BM105" i="75"/>
  <c r="EP130" i="75"/>
  <c r="EO9" i="75"/>
  <c r="EP94" i="75"/>
  <c r="AG41" i="94"/>
  <c r="AP99" i="75"/>
  <c r="AP42" i="75"/>
  <c r="BK124" i="75"/>
  <c r="EO64" i="75"/>
  <c r="AP131" i="75"/>
  <c r="AP53" i="75"/>
  <c r="AO6" i="75"/>
  <c r="BL119" i="75"/>
  <c r="BI82" i="75"/>
  <c r="AP157" i="75"/>
  <c r="EP38" i="75"/>
  <c r="BL17" i="75"/>
  <c r="AP13" i="75"/>
  <c r="BL43" i="75"/>
  <c r="BM44" i="75"/>
  <c r="AN39" i="75"/>
  <c r="AQ36" i="75"/>
  <c r="AR143" i="75"/>
  <c r="EP110" i="75"/>
  <c r="AN102" i="75"/>
  <c r="BM8" i="75"/>
  <c r="AQ97" i="75"/>
  <c r="BJ24" i="75"/>
  <c r="BI141" i="75"/>
  <c r="AR28" i="75"/>
  <c r="BJ134" i="75"/>
  <c r="BK48" i="75"/>
  <c r="BJ84" i="75"/>
  <c r="EP81" i="75"/>
  <c r="AO72" i="75"/>
  <c r="EO30" i="75"/>
  <c r="EO11" i="75"/>
  <c r="AR63" i="75"/>
  <c r="AO43" i="75"/>
  <c r="BM72" i="75"/>
  <c r="EP154" i="75"/>
  <c r="BL125" i="75"/>
  <c r="AR90" i="75"/>
  <c r="EP70" i="75"/>
  <c r="AR101" i="75"/>
  <c r="BI149" i="75"/>
  <c r="EO18" i="75"/>
  <c r="AR19" i="75"/>
  <c r="BL21" i="75"/>
  <c r="BJ48" i="75"/>
  <c r="AP55" i="75"/>
  <c r="AP108" i="75"/>
  <c r="BI113" i="75"/>
  <c r="AP63" i="75"/>
  <c r="AP86" i="75"/>
  <c r="AP107" i="75"/>
  <c r="AN99" i="75"/>
  <c r="BK58" i="75"/>
  <c r="EP55" i="75"/>
  <c r="BJ6" i="75"/>
  <c r="BJ113" i="75"/>
  <c r="AP79" i="75"/>
  <c r="AN77" i="75"/>
  <c r="BJ133" i="75"/>
  <c r="BL73" i="75"/>
  <c r="EP75" i="75"/>
  <c r="AR51" i="75"/>
  <c r="BJ22" i="75"/>
  <c r="BJ37" i="75"/>
  <c r="BL100" i="75"/>
  <c r="AN36" i="75"/>
  <c r="BK157" i="75"/>
  <c r="BM73" i="75"/>
  <c r="BI34" i="75"/>
  <c r="EP76" i="75"/>
  <c r="AP76" i="75"/>
  <c r="AR86" i="75"/>
  <c r="AO76" i="75"/>
  <c r="AQ17" i="75"/>
  <c r="BL63" i="75"/>
  <c r="AQ134" i="75"/>
  <c r="BL134" i="75"/>
  <c r="BK59" i="75"/>
  <c r="BM74" i="75"/>
  <c r="AN154" i="75"/>
  <c r="BI112" i="75"/>
  <c r="BJ126" i="75"/>
  <c r="BJ158" i="75"/>
  <c r="BL44" i="75"/>
  <c r="BJ156" i="75"/>
  <c r="BL34" i="75"/>
  <c r="BK7" i="75"/>
  <c r="AN94" i="75"/>
  <c r="AP159" i="75"/>
  <c r="BI13" i="75"/>
  <c r="BI70" i="75"/>
  <c r="EP18" i="75"/>
  <c r="BM25" i="75"/>
  <c r="BK51" i="75"/>
  <c r="BJ150" i="75"/>
  <c r="BL22" i="75"/>
  <c r="BL148" i="75"/>
  <c r="AQ68" i="75"/>
  <c r="BJ26" i="75"/>
  <c r="AQ32" i="75"/>
  <c r="BB17" i="95"/>
  <c r="BJ132" i="75"/>
  <c r="BK144" i="75"/>
  <c r="AN16" i="75"/>
  <c r="AO7" i="75"/>
  <c r="AQ132" i="75"/>
  <c r="BI92" i="75"/>
  <c r="BK154" i="75"/>
  <c r="AN19" i="75"/>
  <c r="AN149" i="75"/>
  <c r="EP73" i="75"/>
  <c r="EP64" i="75"/>
  <c r="AQ101" i="75"/>
  <c r="BI126" i="75"/>
  <c r="BI106" i="75"/>
  <c r="AO66" i="75"/>
  <c r="AN45" i="75"/>
  <c r="I90" i="89"/>
  <c r="AN46" i="75"/>
  <c r="AQ34" i="75"/>
  <c r="AV44" i="87"/>
  <c r="BK156" i="75"/>
  <c r="EO23" i="75"/>
  <c r="BL153" i="75"/>
  <c r="AP96" i="75"/>
  <c r="AO39" i="75"/>
  <c r="BM61" i="75"/>
  <c r="AG11" i="95"/>
  <c r="BM78" i="75"/>
  <c r="AN61" i="75"/>
  <c r="BK76" i="75"/>
  <c r="AP120" i="75"/>
  <c r="EP128" i="75"/>
  <c r="BI36" i="75"/>
  <c r="EP92" i="75"/>
  <c r="AN110" i="75"/>
  <c r="BI14" i="75"/>
  <c r="AR31" i="75"/>
  <c r="BM125" i="75"/>
  <c r="BI81" i="75"/>
  <c r="BM20" i="75"/>
  <c r="EO72" i="75"/>
  <c r="AQ44" i="75"/>
  <c r="AN107" i="75"/>
  <c r="AR59" i="75"/>
  <c r="BI148" i="75"/>
  <c r="AO96" i="75"/>
  <c r="AP87" i="75"/>
  <c r="EP68" i="75"/>
  <c r="EO6" i="75"/>
  <c r="AO14" i="75"/>
  <c r="DT63" i="75"/>
  <c r="AR73" i="75"/>
  <c r="BK101" i="75"/>
  <c r="BK100" i="75"/>
  <c r="AP11" i="75"/>
  <c r="BI78" i="75"/>
  <c r="AO119" i="75"/>
  <c r="AN8" i="75"/>
  <c r="AN130" i="75"/>
  <c r="BJ111" i="75"/>
  <c r="BM43" i="75"/>
  <c r="AO111" i="75"/>
  <c r="EO12" i="75"/>
  <c r="AR33" i="75"/>
  <c r="BI125" i="75"/>
  <c r="EO15" i="75"/>
  <c r="AQ99" i="75"/>
  <c r="BI20" i="75"/>
  <c r="BK27" i="75"/>
  <c r="AQ76" i="75"/>
  <c r="EP104" i="75"/>
  <c r="AP160" i="75"/>
  <c r="AP159" i="74"/>
  <c r="AN12" i="75"/>
  <c r="BJ40" i="75"/>
  <c r="BK28" i="75"/>
  <c r="AQ143" i="75"/>
  <c r="BJ9" i="75"/>
  <c r="EP32" i="75"/>
  <c r="BK136" i="75"/>
  <c r="BK92" i="75"/>
  <c r="AP127" i="75"/>
  <c r="BL78" i="75"/>
  <c r="AN155" i="75"/>
  <c r="AQ45" i="87"/>
  <c r="AV45" i="87" s="1"/>
  <c r="AR108" i="75"/>
  <c r="AO30" i="75"/>
  <c r="BL136" i="75"/>
  <c r="EP36" i="75"/>
  <c r="AQ157" i="75"/>
  <c r="BK91" i="75"/>
  <c r="BJ137" i="75"/>
  <c r="BL126" i="75"/>
  <c r="BJ103" i="75"/>
  <c r="AO60" i="75"/>
  <c r="BI69" i="75"/>
  <c r="AQ110" i="75"/>
  <c r="BJ160" i="75"/>
  <c r="BM33" i="75"/>
  <c r="BM23" i="75"/>
  <c r="EO28" i="75"/>
  <c r="AQ61" i="75"/>
  <c r="EP78" i="75"/>
  <c r="BJ154" i="75"/>
  <c r="AQ56" i="75"/>
  <c r="AN116" i="75"/>
  <c r="AN42" i="75"/>
  <c r="BL55" i="75"/>
  <c r="BM157" i="75"/>
  <c r="AQ109" i="75"/>
  <c r="BM5" i="75"/>
  <c r="EP114" i="75"/>
  <c r="BL14" i="75"/>
  <c r="AR128" i="75"/>
  <c r="BB67" i="87"/>
  <c r="BJ106" i="75"/>
  <c r="AR105" i="75"/>
  <c r="AR15" i="75"/>
  <c r="EP140" i="75"/>
  <c r="BJ85" i="75"/>
  <c r="BI127" i="75"/>
  <c r="BM7" i="75"/>
  <c r="BJ28" i="75"/>
  <c r="BJ32" i="75"/>
  <c r="AQ28" i="75"/>
  <c r="AQ152" i="75"/>
  <c r="O54" i="68"/>
  <c r="BI56" i="95"/>
  <c r="AP133" i="75"/>
  <c r="AP67" i="75"/>
  <c r="BI86" i="75"/>
  <c r="BJ66" i="75"/>
  <c r="AR102" i="75"/>
  <c r="BM126" i="75"/>
  <c r="BL74" i="75"/>
  <c r="AR46" i="75"/>
  <c r="BK64" i="75"/>
  <c r="BK161" i="75"/>
  <c r="AP81" i="75"/>
  <c r="BJ38" i="75"/>
  <c r="BK110" i="75"/>
  <c r="AQ130" i="75"/>
  <c r="AR77" i="75"/>
  <c r="BL120" i="75"/>
  <c r="AR72" i="75"/>
  <c r="AR62" i="75"/>
  <c r="AR14" i="75"/>
  <c r="BL146" i="75"/>
  <c r="BL52" i="75"/>
  <c r="EP14" i="75"/>
  <c r="EP137" i="75"/>
  <c r="AN91" i="75"/>
  <c r="AP44" i="75"/>
  <c r="BK5" i="75"/>
  <c r="BK155" i="75"/>
  <c r="BM29" i="75"/>
  <c r="BK47" i="75"/>
  <c r="BL86" i="75"/>
  <c r="AP90" i="75"/>
  <c r="BM90" i="75"/>
  <c r="BK147" i="75"/>
  <c r="EP44" i="75"/>
  <c r="BI21" i="75"/>
  <c r="BJ138" i="75"/>
  <c r="AR145" i="75"/>
  <c r="BL145" i="75"/>
  <c r="AP135" i="75"/>
  <c r="AP139" i="75"/>
  <c r="AO13" i="75"/>
  <c r="BI138" i="75"/>
  <c r="BJ119" i="75"/>
  <c r="AP124" i="75"/>
  <c r="BJ136" i="75"/>
  <c r="Q64" i="75"/>
  <c r="AP24" i="75"/>
  <c r="AN50" i="75"/>
  <c r="AQ25" i="75"/>
  <c r="AQ47" i="75"/>
  <c r="BK9" i="75"/>
  <c r="AQ123" i="75"/>
  <c r="G44" i="89"/>
  <c r="Q44" i="89" s="1"/>
  <c r="AP73" i="75"/>
  <c r="BM110" i="75"/>
  <c r="BM79" i="75"/>
  <c r="AP102" i="75"/>
  <c r="EO10" i="75"/>
  <c r="AR39" i="75"/>
  <c r="EP111" i="75"/>
  <c r="AO128" i="75"/>
  <c r="AQ96" i="75"/>
  <c r="BM22" i="75"/>
  <c r="AR155" i="75"/>
  <c r="BJ49" i="75"/>
  <c r="AN139" i="75"/>
  <c r="BK142" i="75"/>
  <c r="AN7" i="75"/>
  <c r="AR17" i="75"/>
  <c r="AP155" i="75"/>
  <c r="AQ124" i="75"/>
  <c r="BM38" i="75"/>
  <c r="BM12" i="75"/>
  <c r="AN117" i="75"/>
  <c r="BI109" i="75"/>
  <c r="BJ91" i="75"/>
  <c r="AO122" i="75"/>
  <c r="BJ104" i="75"/>
  <c r="AQ73" i="75"/>
  <c r="EP105" i="75"/>
  <c r="AR158" i="75"/>
  <c r="BL124" i="75"/>
  <c r="AO27" i="75"/>
  <c r="AO100" i="75"/>
  <c r="AO77" i="75"/>
  <c r="BI24" i="75"/>
  <c r="AQ82" i="75"/>
  <c r="BL158" i="75"/>
  <c r="BJ149" i="75"/>
  <c r="BM65" i="75"/>
  <c r="BI111" i="75"/>
  <c r="BM82" i="75"/>
  <c r="AO146" i="75"/>
  <c r="BI151" i="75"/>
  <c r="BJ77" i="75"/>
  <c r="BL39" i="75"/>
  <c r="DT66" i="75"/>
  <c r="BJ53" i="75"/>
  <c r="BM37" i="75"/>
  <c r="BJ161" i="75"/>
  <c r="AO153" i="75"/>
  <c r="BL30" i="75"/>
  <c r="BM152" i="75"/>
  <c r="AO94" i="75"/>
  <c r="AN30" i="75"/>
  <c r="BK16" i="75"/>
  <c r="AO16" i="75"/>
  <c r="EP151" i="75"/>
  <c r="BK127" i="75"/>
  <c r="AR6" i="75"/>
  <c r="AP75" i="75"/>
  <c r="BJ81" i="75"/>
  <c r="AN74" i="75"/>
  <c r="BL155" i="75"/>
  <c r="EP129" i="75"/>
  <c r="BK93" i="75"/>
  <c r="AN56" i="75"/>
  <c r="AR156" i="75"/>
  <c r="AN72" i="75"/>
  <c r="AQ131" i="75"/>
  <c r="BM109" i="75"/>
  <c r="EP40" i="75"/>
  <c r="BL54" i="75"/>
  <c r="AN17" i="75"/>
  <c r="AN108" i="75"/>
  <c r="AP97" i="75"/>
  <c r="AO90" i="75"/>
  <c r="BL29" i="75"/>
  <c r="EO33" i="75"/>
  <c r="BJ30" i="75"/>
  <c r="BM102" i="75"/>
  <c r="EP66" i="75"/>
  <c r="BL159" i="75"/>
  <c r="AP6" i="75"/>
  <c r="BM86" i="75"/>
  <c r="AQ66" i="75"/>
  <c r="BI65" i="75"/>
  <c r="AO121" i="75"/>
  <c r="AN4" i="75"/>
  <c r="AQ107" i="75"/>
  <c r="BL88" i="75"/>
  <c r="EP48" i="75"/>
  <c r="AR154" i="75"/>
  <c r="BK118" i="75"/>
  <c r="AN68" i="75"/>
  <c r="BK32" i="75"/>
  <c r="AR114" i="75"/>
  <c r="EP149" i="75"/>
  <c r="AR61" i="75"/>
  <c r="AR161" i="75"/>
  <c r="AQ98" i="75"/>
  <c r="BM128" i="75"/>
  <c r="AR74" i="75"/>
  <c r="AQ144" i="75"/>
  <c r="BJ61" i="75"/>
  <c r="BL93" i="75"/>
  <c r="AO8" i="75"/>
  <c r="AR115" i="75"/>
  <c r="AR56" i="75"/>
  <c r="BM36" i="75"/>
  <c r="BJ74" i="75"/>
  <c r="BM53" i="75"/>
  <c r="BI61" i="75"/>
  <c r="AO144" i="75"/>
  <c r="BJ95" i="75"/>
  <c r="BI77" i="75"/>
  <c r="EP119" i="75"/>
  <c r="BJ71" i="75"/>
  <c r="EO47" i="75"/>
  <c r="AP57" i="75"/>
  <c r="AN141" i="75"/>
  <c r="EP156" i="75"/>
  <c r="BK151" i="75"/>
  <c r="AN49" i="75"/>
  <c r="BI11" i="95"/>
  <c r="EP106" i="75"/>
  <c r="AQ72" i="75"/>
  <c r="BL131" i="75"/>
  <c r="BI9" i="75"/>
  <c r="AR109" i="75"/>
  <c r="EP102" i="75"/>
  <c r="BM88" i="75"/>
  <c r="AQ90" i="75"/>
  <c r="AO130" i="75"/>
  <c r="AR100" i="75"/>
  <c r="EP29" i="75"/>
  <c r="BK88" i="75"/>
  <c r="AO33" i="75"/>
  <c r="AR50" i="75"/>
  <c r="AP37" i="75"/>
  <c r="BM52" i="75"/>
  <c r="AR93" i="75"/>
  <c r="EP96" i="75"/>
  <c r="BI7" i="75"/>
  <c r="AP103" i="75"/>
  <c r="AP25" i="75"/>
  <c r="AP16" i="75"/>
  <c r="AQ106" i="75"/>
  <c r="AO10" i="75"/>
  <c r="BK163" i="75"/>
  <c r="AN88" i="75"/>
  <c r="BK130" i="75"/>
  <c r="BI18" i="75"/>
  <c r="AQ65" i="75"/>
  <c r="AP64" i="75"/>
  <c r="AR107" i="75"/>
  <c r="AR65" i="75"/>
  <c r="AP143" i="75"/>
  <c r="AN150" i="75"/>
  <c r="AO36" i="75"/>
  <c r="BL26" i="75"/>
  <c r="BK62" i="75"/>
  <c r="AN113" i="75"/>
  <c r="AP72" i="75"/>
  <c r="AP136" i="75"/>
  <c r="EP4" i="75"/>
  <c r="BM133" i="75"/>
  <c r="BJ157" i="75"/>
  <c r="EP143" i="75"/>
  <c r="BL80" i="75"/>
  <c r="AN152" i="75"/>
  <c r="AR137" i="75"/>
  <c r="BM148" i="75"/>
  <c r="BL138" i="75"/>
  <c r="AP83" i="75"/>
  <c r="BI23" i="75"/>
  <c r="AR142" i="75"/>
  <c r="AP146" i="75"/>
  <c r="BI114" i="75"/>
  <c r="AP30" i="75"/>
  <c r="AQ119" i="75"/>
  <c r="BK26" i="75"/>
  <c r="AR147" i="75"/>
  <c r="EO19" i="75"/>
  <c r="BM153" i="75"/>
  <c r="BJ23" i="75"/>
  <c r="BI101" i="75"/>
  <c r="AP20" i="75"/>
  <c r="AN34" i="75"/>
  <c r="BJ50" i="75"/>
  <c r="AY28" i="95"/>
  <c r="AP147" i="75"/>
  <c r="AO148" i="75"/>
  <c r="AR131" i="75"/>
  <c r="AQ146" i="75"/>
  <c r="EO43" i="75"/>
  <c r="AR94" i="75"/>
  <c r="BL82" i="75"/>
  <c r="AR152" i="75"/>
  <c r="AR146" i="75"/>
  <c r="AN143" i="75"/>
  <c r="AO139" i="75"/>
  <c r="BL77" i="75"/>
  <c r="BI72" i="75"/>
  <c r="AO65" i="75"/>
  <c r="AO91" i="75"/>
  <c r="AR29" i="75"/>
  <c r="EO57" i="75"/>
  <c r="EP83" i="75"/>
  <c r="AN65" i="75"/>
  <c r="BK96" i="75"/>
  <c r="BI41" i="75"/>
  <c r="BL76" i="75"/>
  <c r="EP122" i="75"/>
  <c r="AP150" i="75"/>
  <c r="AN35" i="75"/>
  <c r="AR120" i="75"/>
  <c r="EO58" i="75"/>
  <c r="AN145" i="75"/>
  <c r="AP77" i="75"/>
  <c r="EP35" i="75"/>
  <c r="AO46" i="75"/>
  <c r="BK129" i="75"/>
  <c r="EP34" i="75"/>
  <c r="Q66" i="75"/>
  <c r="AO58" i="75"/>
  <c r="AR140" i="75"/>
  <c r="EP54" i="75"/>
  <c r="BK141" i="75"/>
  <c r="BL70" i="75"/>
  <c r="BK25" i="75"/>
  <c r="BJ159" i="75"/>
  <c r="BK30" i="75"/>
  <c r="BK126" i="75"/>
  <c r="BJ21" i="75"/>
  <c r="AP15" i="75"/>
  <c r="AR99" i="75"/>
  <c r="AN142" i="75"/>
  <c r="BM14" i="75"/>
  <c r="BI134" i="75"/>
  <c r="AP28" i="75"/>
  <c r="BI132" i="75"/>
  <c r="AR68" i="75"/>
  <c r="AQ30" i="75"/>
  <c r="AR106" i="75"/>
  <c r="AR7" i="75"/>
  <c r="Q65" i="75"/>
  <c r="BM28" i="75"/>
  <c r="AN9" i="75"/>
  <c r="BL64" i="75"/>
  <c r="AP109" i="75"/>
  <c r="AP162" i="75"/>
  <c r="BI5" i="75"/>
  <c r="BJ34" i="75"/>
  <c r="BM95" i="75"/>
  <c r="BK131" i="75"/>
  <c r="AP31" i="75"/>
  <c r="AR78" i="75"/>
  <c r="EO51" i="75"/>
  <c r="AO34" i="75"/>
  <c r="AQ58" i="75"/>
  <c r="AO159" i="75"/>
  <c r="AQ83" i="75"/>
  <c r="S42" i="95"/>
  <c r="Q69" i="74"/>
  <c r="BJ152" i="75"/>
  <c r="AP36" i="75"/>
  <c r="AN20" i="75"/>
  <c r="I44" i="89"/>
  <c r="S44" i="89" s="1"/>
  <c r="AO38" i="75"/>
  <c r="BI145" i="75"/>
  <c r="AQ125" i="75"/>
  <c r="BM96" i="75"/>
  <c r="BM41" i="75"/>
  <c r="AR97" i="75"/>
  <c r="AP68" i="75"/>
  <c r="AQ128" i="75"/>
  <c r="EO45" i="75"/>
  <c r="AQ59" i="75"/>
  <c r="BM63" i="75"/>
  <c r="EP27" i="75"/>
  <c r="AN89" i="75"/>
  <c r="AO152" i="75"/>
  <c r="AQ67" i="75"/>
  <c r="BM32" i="75"/>
  <c r="EP144" i="75"/>
  <c r="EP52" i="75"/>
  <c r="AP94" i="75"/>
  <c r="AR34" i="75"/>
  <c r="AQ84" i="75"/>
  <c r="O100" i="68"/>
  <c r="AO12" i="75"/>
  <c r="AR113" i="75"/>
  <c r="BM111" i="75"/>
  <c r="AP27" i="75"/>
  <c r="BM26" i="75"/>
  <c r="BK123" i="75"/>
  <c r="AQ35" i="75"/>
  <c r="AR38" i="75"/>
  <c r="AP69" i="75"/>
  <c r="EP153" i="75"/>
  <c r="BM40" i="75"/>
  <c r="BM139" i="75"/>
  <c r="BJ20" i="75"/>
  <c r="AO160" i="75"/>
  <c r="AP61" i="75"/>
  <c r="AO83" i="75"/>
  <c r="BJ17" i="75"/>
  <c r="AP60" i="75"/>
  <c r="AR160" i="75"/>
  <c r="AR135" i="75"/>
  <c r="BM30" i="75"/>
  <c r="EP147" i="75"/>
  <c r="EP57" i="75"/>
  <c r="AN87" i="75"/>
  <c r="DT64" i="75"/>
  <c r="BL117" i="75"/>
  <c r="AP40" i="75"/>
  <c r="EP152" i="75"/>
  <c r="EP132" i="75"/>
  <c r="BI8" i="75"/>
  <c r="BI83" i="75"/>
  <c r="EP82" i="75"/>
  <c r="BK84" i="75"/>
  <c r="BJ108" i="75"/>
  <c r="AN109" i="75"/>
  <c r="BM85" i="75"/>
  <c r="BI130" i="75"/>
  <c r="BM120" i="75"/>
  <c r="AO32" i="75"/>
  <c r="BK95" i="75"/>
  <c r="BI16" i="75"/>
  <c r="BL139" i="75"/>
  <c r="AO132" i="75"/>
  <c r="EP100" i="75"/>
  <c r="AN97" i="75"/>
  <c r="AO88" i="75"/>
  <c r="BJ13" i="75"/>
  <c r="AR122" i="75"/>
  <c r="AN58" i="75"/>
  <c r="BJ96" i="75"/>
  <c r="EO7" i="75"/>
  <c r="AX21" i="95"/>
  <c r="BI62" i="75"/>
  <c r="AN64" i="75"/>
  <c r="AQ118" i="75"/>
  <c r="AN84" i="75"/>
  <c r="BK114" i="75"/>
  <c r="EP116" i="75"/>
  <c r="BM135" i="75"/>
  <c r="AN69" i="75"/>
  <c r="AQ24" i="75"/>
  <c r="BJ125" i="75"/>
  <c r="EP6" i="75"/>
  <c r="BK98" i="75"/>
  <c r="BI57" i="75"/>
  <c r="AQ162" i="75"/>
  <c r="BM140" i="75"/>
  <c r="EO59" i="75"/>
  <c r="BK128" i="75"/>
  <c r="AP105" i="75"/>
  <c r="AR112" i="75"/>
  <c r="AQ20" i="75"/>
  <c r="BK162" i="75"/>
  <c r="BM124" i="75"/>
  <c r="BM107" i="75"/>
  <c r="AW17" i="95"/>
  <c r="BM70" i="75"/>
  <c r="BM160" i="75"/>
  <c r="AR12" i="75"/>
  <c r="AO5" i="75"/>
  <c r="AQ88" i="75"/>
  <c r="BJ123" i="75"/>
  <c r="BL98" i="75"/>
  <c r="BK73" i="75"/>
  <c r="BI76" i="75"/>
  <c r="EO48" i="75"/>
  <c r="AR55" i="75"/>
  <c r="BJ31" i="75"/>
  <c r="AP62" i="75"/>
  <c r="EP21" i="75"/>
  <c r="EO5" i="75"/>
  <c r="AN93" i="75"/>
  <c r="BJ75" i="75"/>
  <c r="BM54" i="75"/>
  <c r="AO129" i="75"/>
  <c r="BI58" i="75"/>
  <c r="BM17" i="75"/>
  <c r="EP45" i="75"/>
  <c r="AR5" i="75"/>
  <c r="AR9" i="75"/>
  <c r="EO42" i="75"/>
  <c r="AO9" i="75"/>
  <c r="BJ25" i="75"/>
  <c r="BL68" i="75"/>
  <c r="BI59" i="75"/>
  <c r="BI129" i="75"/>
  <c r="AP5" i="75"/>
  <c r="AR8" i="75"/>
  <c r="BK89" i="75"/>
  <c r="AR30" i="75"/>
  <c r="BK23" i="75"/>
  <c r="AR96" i="75"/>
  <c r="AQ74" i="75"/>
  <c r="BI105" i="75"/>
  <c r="AN15" i="75"/>
  <c r="AQ108" i="75"/>
  <c r="AP138" i="75"/>
  <c r="AO154" i="75"/>
  <c r="AR21" i="75"/>
  <c r="BK145" i="75"/>
  <c r="AP122" i="75"/>
  <c r="BL40" i="75"/>
  <c r="AP149" i="75"/>
  <c r="BM98" i="75"/>
  <c r="BI79" i="75"/>
  <c r="EO29" i="75"/>
  <c r="AP113" i="75"/>
  <c r="BM131" i="75"/>
  <c r="AP153" i="75"/>
  <c r="AN85" i="75"/>
  <c r="AO75" i="75"/>
  <c r="BL65" i="75"/>
  <c r="BJ54" i="75"/>
  <c r="BM84" i="75"/>
  <c r="BK65" i="75"/>
  <c r="AN135" i="75"/>
  <c r="AN101" i="75"/>
  <c r="EO14" i="75"/>
  <c r="AR159" i="75"/>
  <c r="BI73" i="75"/>
  <c r="AN71" i="75"/>
  <c r="BL84" i="75"/>
  <c r="AR103" i="75"/>
  <c r="BJ115" i="75"/>
  <c r="BK21" i="75"/>
  <c r="BL163" i="75"/>
  <c r="BI90" i="75"/>
  <c r="AQ49" i="75"/>
  <c r="BI88" i="75"/>
  <c r="EP125" i="75"/>
  <c r="AP125" i="75"/>
  <c r="BJ105" i="75"/>
  <c r="AP21" i="75"/>
  <c r="AO57" i="75"/>
  <c r="EO17" i="75"/>
  <c r="R44" i="89"/>
  <c r="AO136" i="75"/>
  <c r="BM161" i="75"/>
  <c r="BK103" i="75"/>
  <c r="BM121" i="75"/>
  <c r="S41" i="69"/>
  <c r="X41" i="69"/>
  <c r="AD44" i="84" s="1"/>
  <c r="AT88" i="95"/>
  <c r="S87" i="69"/>
  <c r="AY88" i="95"/>
  <c r="S88" i="95"/>
  <c r="X87" i="69"/>
  <c r="BD88" i="95"/>
  <c r="BK11" i="95" l="1"/>
  <c r="BK56" i="95"/>
  <c r="BE17" i="95"/>
  <c r="DM14" i="75"/>
  <c r="AQ15" i="69"/>
  <c r="L13" i="75"/>
  <c r="G14" i="75"/>
  <c r="AK15" i="69"/>
  <c r="M14" i="74"/>
  <c r="N14" i="74"/>
  <c r="EH15" i="75"/>
  <c r="AW16" i="69"/>
  <c r="T17" i="95"/>
  <c r="BL15" i="69"/>
  <c r="G15" i="74"/>
  <c r="X16" i="74"/>
  <c r="AD16" i="69"/>
  <c r="L14" i="74"/>
  <c r="BE88" i="95"/>
  <c r="T88" i="95"/>
  <c r="L44" i="89"/>
  <c r="K48" i="90"/>
  <c r="BR48" i="90" s="1"/>
  <c r="Y50" i="94"/>
  <c r="N90" i="89"/>
  <c r="M94" i="90"/>
  <c r="J90" i="89"/>
  <c r="N94" i="90" s="1"/>
  <c r="AJ87" i="69"/>
  <c r="AK87" i="69" s="1"/>
  <c r="AW44" i="87"/>
  <c r="AE41" i="75" s="1"/>
  <c r="AK41" i="75" s="1"/>
  <c r="BK42" i="69"/>
  <c r="BA45" i="84"/>
  <c r="M90" i="89"/>
  <c r="L94" i="90"/>
  <c r="L90" i="89"/>
  <c r="K94" i="90"/>
  <c r="L48" i="90"/>
  <c r="BS48" i="90" s="1"/>
  <c r="M44" i="89"/>
  <c r="AJ41" i="69"/>
  <c r="J44" i="89"/>
  <c r="N48" i="90" s="1"/>
  <c r="N44" i="89"/>
  <c r="M48" i="90"/>
  <c r="BT48" i="90" s="1"/>
  <c r="AW45" i="87"/>
  <c r="BR94" i="90"/>
  <c r="Y41" i="94"/>
  <c r="AB58" i="94"/>
  <c r="X58" i="94"/>
  <c r="AF58" i="94" s="1"/>
  <c r="S90" i="94"/>
  <c r="AA90" i="94" s="1"/>
  <c r="W90" i="94"/>
  <c r="AE90" i="94" s="1"/>
  <c r="T90" i="94"/>
  <c r="V90" i="94"/>
  <c r="AD90" i="94" s="1"/>
  <c r="T63" i="94"/>
  <c r="S63" i="94"/>
  <c r="AA63" i="94" s="1"/>
  <c r="W63" i="94"/>
  <c r="AE63" i="94" s="1"/>
  <c r="U63" i="94"/>
  <c r="AC63" i="94" s="1"/>
  <c r="V63" i="94"/>
  <c r="AD63" i="94" s="1"/>
  <c r="V40" i="94"/>
  <c r="AD40" i="94" s="1"/>
  <c r="U40" i="94"/>
  <c r="AC40" i="94" s="1"/>
  <c r="S40" i="94"/>
  <c r="AA40" i="94" s="1"/>
  <c r="T40" i="94"/>
  <c r="W40" i="94"/>
  <c r="AE40" i="94" s="1"/>
  <c r="V14" i="94"/>
  <c r="AD14" i="94" s="1"/>
  <c r="S14" i="94"/>
  <c r="AA14" i="94" s="1"/>
  <c r="T14" i="94"/>
  <c r="W14" i="94"/>
  <c r="AE14" i="94" s="1"/>
  <c r="U14" i="94"/>
  <c r="AC14" i="94" s="1"/>
  <c r="BD27" i="95"/>
  <c r="AV87" i="69"/>
  <c r="AY29" i="95"/>
  <c r="T90" i="89"/>
  <c r="O48" i="90"/>
  <c r="DT70" i="75"/>
  <c r="X163" i="95"/>
  <c r="X160" i="95"/>
  <c r="AC41" i="69"/>
  <c r="X159" i="95"/>
  <c r="EO73" i="75"/>
  <c r="AD90" i="84"/>
  <c r="AW18" i="95"/>
  <c r="AS22" i="95"/>
  <c r="BO19" i="69"/>
  <c r="AO75" i="74"/>
  <c r="AR18" i="95"/>
  <c r="AG65" i="95"/>
  <c r="EO75" i="75"/>
  <c r="W41" i="69"/>
  <c r="BP10" i="69"/>
  <c r="DT71" i="75"/>
  <c r="Q73" i="74"/>
  <c r="AX22" i="95"/>
  <c r="R94" i="90"/>
  <c r="Q48" i="90"/>
  <c r="W87" i="69"/>
  <c r="AC87" i="69"/>
  <c r="BB64" i="69"/>
  <c r="AO74" i="74"/>
  <c r="AO73" i="74"/>
  <c r="EO74" i="75"/>
  <c r="W78" i="95"/>
  <c r="O94" i="90"/>
  <c r="BC22" i="95"/>
  <c r="AV41" i="69"/>
  <c r="R48" i="90"/>
  <c r="S90" i="89"/>
  <c r="BB10" i="69"/>
  <c r="Q74" i="74"/>
  <c r="Q71" i="75"/>
  <c r="AG58" i="94"/>
  <c r="T44" i="89"/>
  <c r="X162" i="95"/>
  <c r="Q94" i="90"/>
  <c r="BB22" i="87"/>
  <c r="X161" i="95"/>
  <c r="BC10" i="69"/>
  <c r="BD28" i="95"/>
  <c r="AT29" i="95"/>
  <c r="DT69" i="75"/>
  <c r="P94" i="90"/>
  <c r="Q72" i="75"/>
  <c r="R90" i="89"/>
  <c r="AN158" i="75"/>
  <c r="X164" i="95"/>
  <c r="AP41" i="69"/>
  <c r="AP87" i="69"/>
  <c r="Q70" i="75"/>
  <c r="AN157" i="75"/>
  <c r="DT72" i="75"/>
  <c r="P48" i="90"/>
  <c r="AN159" i="75"/>
  <c r="Q75" i="74"/>
  <c r="W77" i="95"/>
  <c r="Q69" i="75"/>
  <c r="BB18" i="95"/>
  <c r="BE45" i="84" l="1"/>
  <c r="BM45" i="84" s="1"/>
  <c r="BC45" i="84"/>
  <c r="BB45" i="84"/>
  <c r="BJ45" i="84" s="1"/>
  <c r="BD45" i="84"/>
  <c r="BL45" i="84" s="1"/>
  <c r="BE18" i="95"/>
  <c r="AI44" i="84"/>
  <c r="DM15" i="75"/>
  <c r="AQ16" i="69"/>
  <c r="L14" i="75"/>
  <c r="G15" i="75"/>
  <c r="AK16" i="69"/>
  <c r="BQ10" i="69"/>
  <c r="T18" i="95"/>
  <c r="EH16" i="75"/>
  <c r="AW17" i="69"/>
  <c r="G16" i="74"/>
  <c r="BL16" i="69"/>
  <c r="X17" i="74"/>
  <c r="AD17" i="69"/>
  <c r="L15" i="74"/>
  <c r="N15" i="74"/>
  <c r="M15" i="74"/>
  <c r="AI90" i="84"/>
  <c r="O90" i="89"/>
  <c r="AK48" i="90"/>
  <c r="AJ94" i="90"/>
  <c r="AW87" i="69"/>
  <c r="EI42" i="75" s="1"/>
  <c r="AD87" i="69"/>
  <c r="H42" i="74" s="1"/>
  <c r="AQ87" i="69"/>
  <c r="AJ48" i="90"/>
  <c r="AK94" i="90"/>
  <c r="AL94" i="90"/>
  <c r="AL48" i="90"/>
  <c r="Z94" i="90"/>
  <c r="BU94" i="90" s="1"/>
  <c r="AZ41" i="75"/>
  <c r="BF41" i="75" s="1"/>
  <c r="H42" i="75"/>
  <c r="BT94" i="90"/>
  <c r="O44" i="89"/>
  <c r="Z48" i="90"/>
  <c r="BU48" i="90" s="1"/>
  <c r="BK45" i="84"/>
  <c r="AR45" i="84"/>
  <c r="BR45" i="84"/>
  <c r="BT45" i="84" s="1"/>
  <c r="BN45" i="84" s="1"/>
  <c r="BS94" i="90"/>
  <c r="AM94" i="90"/>
  <c r="AM48" i="90"/>
  <c r="AE42" i="75"/>
  <c r="AK42" i="75" s="1"/>
  <c r="AZ42" i="75"/>
  <c r="AJ41" i="75"/>
  <c r="Y58" i="94"/>
  <c r="AB14" i="94"/>
  <c r="X14" i="94"/>
  <c r="AF14" i="94" s="1"/>
  <c r="X40" i="94"/>
  <c r="AF40" i="94" s="1"/>
  <c r="AB40" i="94"/>
  <c r="AB63" i="94"/>
  <c r="X63" i="94"/>
  <c r="AF63" i="94" s="1"/>
  <c r="X90" i="94"/>
  <c r="AF90" i="94" s="1"/>
  <c r="AB90" i="94"/>
  <c r="V60" i="94"/>
  <c r="AD60" i="94" s="1"/>
  <c r="W53" i="94"/>
  <c r="AE53" i="94" s="1"/>
  <c r="AR19" i="95"/>
  <c r="R163" i="74"/>
  <c r="EP163" i="75"/>
  <c r="AN162" i="75"/>
  <c r="Q74" i="75"/>
  <c r="AO77" i="74"/>
  <c r="AS23" i="95"/>
  <c r="AN160" i="75"/>
  <c r="BI159" i="75"/>
  <c r="BC23" i="95"/>
  <c r="Q75" i="75"/>
  <c r="R158" i="75"/>
  <c r="EO77" i="75"/>
  <c r="DT75" i="75"/>
  <c r="AN161" i="75"/>
  <c r="EO76" i="75"/>
  <c r="R161" i="74"/>
  <c r="Q73" i="75"/>
  <c r="Q77" i="74"/>
  <c r="W81" i="95"/>
  <c r="R162" i="74"/>
  <c r="AX23" i="95"/>
  <c r="AW19" i="95"/>
  <c r="BI162" i="75"/>
  <c r="DT73" i="75"/>
  <c r="AO76" i="74"/>
  <c r="BI160" i="75"/>
  <c r="EP160" i="75"/>
  <c r="BI161" i="75"/>
  <c r="BC64" i="69"/>
  <c r="W80" i="95"/>
  <c r="EP158" i="75"/>
  <c r="W79" i="95"/>
  <c r="BD29" i="95"/>
  <c r="BI157" i="75"/>
  <c r="R159" i="75"/>
  <c r="R163" i="75"/>
  <c r="Q76" i="74"/>
  <c r="BB19" i="95"/>
  <c r="EP161" i="75"/>
  <c r="R158" i="74"/>
  <c r="DT74" i="75"/>
  <c r="BI163" i="75"/>
  <c r="R159" i="74"/>
  <c r="AG40" i="94"/>
  <c r="AY30" i="95"/>
  <c r="R160" i="74"/>
  <c r="AG90" i="94"/>
  <c r="BI158" i="75"/>
  <c r="EP159" i="75"/>
  <c r="R162" i="75"/>
  <c r="R161" i="75"/>
  <c r="AT30" i="95"/>
  <c r="EP162" i="75"/>
  <c r="AN163" i="75"/>
  <c r="R160" i="75"/>
  <c r="AG14" i="94"/>
  <c r="AG63" i="94"/>
  <c r="AO55" i="68" l="1"/>
  <c r="AJ90" i="84"/>
  <c r="AJ44" i="84"/>
  <c r="BE19" i="95"/>
  <c r="AQ17" i="69"/>
  <c r="DM16" i="75"/>
  <c r="G16" i="75"/>
  <c r="AK17" i="69"/>
  <c r="L15" i="75"/>
  <c r="BV45" i="84"/>
  <c r="BQ68" i="84"/>
  <c r="N16" i="74"/>
  <c r="M16" i="74"/>
  <c r="T19" i="95"/>
  <c r="G17" i="74"/>
  <c r="BL17" i="69"/>
  <c r="X18" i="74"/>
  <c r="AD18" i="69"/>
  <c r="L16" i="74"/>
  <c r="EH17" i="75"/>
  <c r="AW18" i="69"/>
  <c r="BL87" i="69"/>
  <c r="AR49" i="90"/>
  <c r="BQ45" i="84"/>
  <c r="AQ49" i="90"/>
  <c r="BP45" i="84"/>
  <c r="BE41" i="75"/>
  <c r="AO49" i="90"/>
  <c r="DN42" i="75"/>
  <c r="AP49" i="90"/>
  <c r="BO45" i="84"/>
  <c r="BE42" i="75"/>
  <c r="AJ42" i="75"/>
  <c r="BF42" i="75"/>
  <c r="Y90" i="94"/>
  <c r="Y63" i="94"/>
  <c r="Y40" i="94"/>
  <c r="Y14" i="94"/>
  <c r="V53" i="94"/>
  <c r="AD53" i="94" s="1"/>
  <c r="U53" i="94"/>
  <c r="AC53" i="94" s="1"/>
  <c r="S53" i="94"/>
  <c r="AA53" i="94" s="1"/>
  <c r="W60" i="94"/>
  <c r="AE60" i="94" s="1"/>
  <c r="T93" i="94"/>
  <c r="W93" i="94"/>
  <c r="AE93" i="94" s="1"/>
  <c r="U93" i="94"/>
  <c r="AC93" i="94" s="1"/>
  <c r="S93" i="94"/>
  <c r="AA93" i="94" s="1"/>
  <c r="V93" i="94"/>
  <c r="AD93" i="94" s="1"/>
  <c r="U62" i="94"/>
  <c r="AC62" i="94" s="1"/>
  <c r="V62" i="94"/>
  <c r="AD62" i="94" s="1"/>
  <c r="T62" i="94"/>
  <c r="W62" i="94"/>
  <c r="AE62" i="94" s="1"/>
  <c r="S62" i="94"/>
  <c r="AA62" i="94" s="1"/>
  <c r="T53" i="94"/>
  <c r="T38" i="94"/>
  <c r="U60" i="94"/>
  <c r="AC60" i="94" s="1"/>
  <c r="T60" i="94"/>
  <c r="S60" i="94"/>
  <c r="AA60" i="94" s="1"/>
  <c r="W70" i="94"/>
  <c r="AE70" i="94" s="1"/>
  <c r="U70" i="94"/>
  <c r="AC70" i="94" s="1"/>
  <c r="S70" i="94"/>
  <c r="AA70" i="94" s="1"/>
  <c r="T70" i="94"/>
  <c r="V70" i="94"/>
  <c r="AD70" i="94" s="1"/>
  <c r="V78" i="94"/>
  <c r="AD78" i="94" s="1"/>
  <c r="W78" i="94"/>
  <c r="AE78" i="94" s="1"/>
  <c r="S78" i="94"/>
  <c r="AA78" i="94" s="1"/>
  <c r="U78" i="94"/>
  <c r="AC78" i="94" s="1"/>
  <c r="T78" i="94"/>
  <c r="T36" i="94"/>
  <c r="W36" i="94"/>
  <c r="AE36" i="94" s="1"/>
  <c r="S36" i="94"/>
  <c r="AA36" i="94" s="1"/>
  <c r="V36" i="94"/>
  <c r="AD36" i="94" s="1"/>
  <c r="U36" i="94"/>
  <c r="AC36" i="94" s="1"/>
  <c r="AK90" i="84"/>
  <c r="AK44" i="84"/>
  <c r="AR20" i="95"/>
  <c r="Q76" i="75"/>
  <c r="Q79" i="74"/>
  <c r="DT76" i="75"/>
  <c r="DU162" i="75"/>
  <c r="Q80" i="74"/>
  <c r="EO79" i="75"/>
  <c r="BD30" i="95"/>
  <c r="W84" i="95"/>
  <c r="AG12" i="95"/>
  <c r="AX24" i="95"/>
  <c r="BI12" i="95"/>
  <c r="W82" i="95"/>
  <c r="Q77" i="75"/>
  <c r="BP64" i="69"/>
  <c r="EO78" i="75"/>
  <c r="I45" i="89"/>
  <c r="AY31" i="95"/>
  <c r="Q78" i="74"/>
  <c r="DU161" i="75"/>
  <c r="DU158" i="75"/>
  <c r="W83" i="95"/>
  <c r="DU163" i="75"/>
  <c r="EO80" i="75"/>
  <c r="AW20" i="95"/>
  <c r="DU159" i="75"/>
  <c r="AT31" i="95"/>
  <c r="AO80" i="74"/>
  <c r="H45" i="89"/>
  <c r="R45" i="89" s="1"/>
  <c r="AS24" i="95"/>
  <c r="BB20" i="95"/>
  <c r="O55" i="68"/>
  <c r="G45" i="89"/>
  <c r="DU160" i="75"/>
  <c r="BC24" i="95"/>
  <c r="AO78" i="74"/>
  <c r="DT77" i="75"/>
  <c r="AO79" i="74"/>
  <c r="AL45" i="100"/>
  <c r="S43" i="95"/>
  <c r="S42" i="69"/>
  <c r="X42" i="69"/>
  <c r="AD45" i="84" s="1"/>
  <c r="BK12" i="95" l="1"/>
  <c r="BE20" i="95"/>
  <c r="DM17" i="75"/>
  <c r="AQ18" i="69"/>
  <c r="G17" i="75"/>
  <c r="AK18" i="69"/>
  <c r="L16" i="75"/>
  <c r="M17" i="74"/>
  <c r="N17" i="74"/>
  <c r="T20" i="95"/>
  <c r="G18" i="74"/>
  <c r="X19" i="74"/>
  <c r="BL18" i="69"/>
  <c r="AD19" i="69"/>
  <c r="L17" i="74"/>
  <c r="EH18" i="75"/>
  <c r="AW19" i="69"/>
  <c r="BQ64" i="69"/>
  <c r="L49" i="90"/>
  <c r="M45" i="89"/>
  <c r="N45" i="89"/>
  <c r="M49" i="90"/>
  <c r="L45" i="89"/>
  <c r="K49" i="90"/>
  <c r="AJ42" i="69"/>
  <c r="J45" i="89"/>
  <c r="AB36" i="94"/>
  <c r="X36" i="94"/>
  <c r="AF36" i="94" s="1"/>
  <c r="AB78" i="94"/>
  <c r="X78" i="94"/>
  <c r="AF78" i="94" s="1"/>
  <c r="X70" i="94"/>
  <c r="AF70" i="94" s="1"/>
  <c r="AB70" i="94"/>
  <c r="AB60" i="94"/>
  <c r="X60" i="94"/>
  <c r="AF60" i="94" s="1"/>
  <c r="AB38" i="94"/>
  <c r="AB53" i="94"/>
  <c r="X53" i="94"/>
  <c r="AF53" i="94" s="1"/>
  <c r="AB62" i="94"/>
  <c r="X62" i="94"/>
  <c r="AF62" i="94" s="1"/>
  <c r="X93" i="94"/>
  <c r="AF93" i="94" s="1"/>
  <c r="AB93" i="94"/>
  <c r="V80" i="94"/>
  <c r="AD80" i="94" s="1"/>
  <c r="S80" i="94"/>
  <c r="AA80" i="94" s="1"/>
  <c r="T80" i="94"/>
  <c r="U80" i="94"/>
  <c r="AC80" i="94" s="1"/>
  <c r="W80" i="94"/>
  <c r="AE80" i="94" s="1"/>
  <c r="S31" i="94"/>
  <c r="AA31" i="94" s="1"/>
  <c r="W31" i="94"/>
  <c r="AE31" i="94" s="1"/>
  <c r="V31" i="94"/>
  <c r="AD31" i="94" s="1"/>
  <c r="T31" i="94"/>
  <c r="U31" i="94"/>
  <c r="AC31" i="94" s="1"/>
  <c r="W38" i="94"/>
  <c r="AE38" i="94" s="1"/>
  <c r="W27" i="94"/>
  <c r="AE27" i="94" s="1"/>
  <c r="S27" i="94"/>
  <c r="AA27" i="94" s="1"/>
  <c r="T27" i="94"/>
  <c r="V27" i="94"/>
  <c r="AD27" i="94" s="1"/>
  <c r="U27" i="94"/>
  <c r="AC27" i="94" s="1"/>
  <c r="T16" i="94"/>
  <c r="V16" i="94"/>
  <c r="AD16" i="94" s="1"/>
  <c r="U16" i="94"/>
  <c r="AC16" i="94" s="1"/>
  <c r="S16" i="94"/>
  <c r="AA16" i="94" s="1"/>
  <c r="W16" i="94"/>
  <c r="AE16" i="94" s="1"/>
  <c r="T59" i="94"/>
  <c r="U59" i="94"/>
  <c r="AC59" i="94" s="1"/>
  <c r="W59" i="94"/>
  <c r="AE59" i="94" s="1"/>
  <c r="V59" i="94"/>
  <c r="AD59" i="94" s="1"/>
  <c r="S59" i="94"/>
  <c r="AA59" i="94" s="1"/>
  <c r="V38" i="94"/>
  <c r="AD38" i="94" s="1"/>
  <c r="U38" i="94"/>
  <c r="AC38" i="94" s="1"/>
  <c r="S38" i="94"/>
  <c r="AA38" i="94" s="1"/>
  <c r="S23" i="94"/>
  <c r="AA23" i="94" s="1"/>
  <c r="T23" i="94"/>
  <c r="U23" i="94"/>
  <c r="AC23" i="94" s="1"/>
  <c r="V23" i="94"/>
  <c r="AD23" i="94" s="1"/>
  <c r="W23" i="94"/>
  <c r="AE23" i="94" s="1"/>
  <c r="V54" i="94"/>
  <c r="AD54" i="94" s="1"/>
  <c r="T54" i="94"/>
  <c r="U54" i="94"/>
  <c r="AC54" i="94" s="1"/>
  <c r="S54" i="94"/>
  <c r="AA54" i="94" s="1"/>
  <c r="W54" i="94"/>
  <c r="AE54" i="94" s="1"/>
  <c r="V24" i="94"/>
  <c r="AD24" i="94" s="1"/>
  <c r="U24" i="94"/>
  <c r="AC24" i="94" s="1"/>
  <c r="T24" i="94"/>
  <c r="W24" i="94"/>
  <c r="AE24" i="94" s="1"/>
  <c r="S24" i="94"/>
  <c r="AA24" i="94" s="1"/>
  <c r="AT32" i="95"/>
  <c r="AG62" i="94"/>
  <c r="AV42" i="69"/>
  <c r="S45" i="89"/>
  <c r="AX25" i="95"/>
  <c r="AG60" i="94"/>
  <c r="BB21" i="95"/>
  <c r="EO83" i="75"/>
  <c r="BC25" i="95"/>
  <c r="Q78" i="75"/>
  <c r="W86" i="95"/>
  <c r="W85" i="95"/>
  <c r="BP11" i="69"/>
  <c r="AO82" i="74"/>
  <c r="O49" i="90"/>
  <c r="BC11" i="69"/>
  <c r="AO83" i="74"/>
  <c r="AY32" i="95"/>
  <c r="Q45" i="89"/>
  <c r="P49" i="90"/>
  <c r="AS25" i="95"/>
  <c r="BB11" i="69"/>
  <c r="Q82" i="74"/>
  <c r="BD31" i="95"/>
  <c r="AC42" i="69"/>
  <c r="DT80" i="75"/>
  <c r="AP42" i="69"/>
  <c r="AG53" i="94"/>
  <c r="Q80" i="75"/>
  <c r="Q49" i="90"/>
  <c r="DT78" i="75"/>
  <c r="W42" i="69"/>
  <c r="AW21" i="95"/>
  <c r="BI57" i="95"/>
  <c r="Q81" i="74"/>
  <c r="AG36" i="94"/>
  <c r="DT79" i="75"/>
  <c r="AG78" i="94"/>
  <c r="AG70" i="94"/>
  <c r="EO82" i="75"/>
  <c r="AO81" i="74"/>
  <c r="EO81" i="75"/>
  <c r="Q83" i="74"/>
  <c r="Q79" i="75"/>
  <c r="T45" i="89"/>
  <c r="AR21" i="95"/>
  <c r="AG93" i="94"/>
  <c r="BE21" i="95" l="1"/>
  <c r="BK57" i="95"/>
  <c r="DM18" i="75"/>
  <c r="AQ19" i="69"/>
  <c r="L17" i="75"/>
  <c r="G18" i="75"/>
  <c r="L18" i="75" s="1"/>
  <c r="AK19" i="69"/>
  <c r="BQ11" i="69"/>
  <c r="EH19" i="75"/>
  <c r="AW20" i="69"/>
  <c r="L18" i="74"/>
  <c r="M18" i="74"/>
  <c r="N18" i="74"/>
  <c r="T21" i="95"/>
  <c r="G19" i="74"/>
  <c r="X20" i="74"/>
  <c r="BL19" i="69"/>
  <c r="AD20" i="69"/>
  <c r="AI45" i="84"/>
  <c r="AL49" i="90"/>
  <c r="BT49" i="90"/>
  <c r="O45" i="89"/>
  <c r="N49" i="90"/>
  <c r="BS49" i="90"/>
  <c r="AK49" i="90"/>
  <c r="BR49" i="90"/>
  <c r="AJ49" i="90"/>
  <c r="Z49" i="90"/>
  <c r="Y53" i="94"/>
  <c r="Y60" i="94"/>
  <c r="Y70" i="94"/>
  <c r="Y78" i="94"/>
  <c r="Y93" i="94"/>
  <c r="Y62" i="94"/>
  <c r="Y36" i="94"/>
  <c r="X38" i="94"/>
  <c r="AF38" i="94" s="1"/>
  <c r="AB24" i="94"/>
  <c r="X24" i="94"/>
  <c r="AF24" i="94" s="1"/>
  <c r="AB54" i="94"/>
  <c r="X54" i="94"/>
  <c r="AF54" i="94" s="1"/>
  <c r="AB23" i="94"/>
  <c r="X23" i="94"/>
  <c r="AF23" i="94" s="1"/>
  <c r="AB59" i="94"/>
  <c r="X59" i="94"/>
  <c r="AF59" i="94" s="1"/>
  <c r="AB16" i="94"/>
  <c r="X16" i="94"/>
  <c r="AF16" i="94" s="1"/>
  <c r="AB27" i="94"/>
  <c r="X27" i="94"/>
  <c r="AF27" i="94" s="1"/>
  <c r="AB31" i="94"/>
  <c r="X31" i="94"/>
  <c r="AF31" i="94" s="1"/>
  <c r="AB80" i="94"/>
  <c r="X80" i="94"/>
  <c r="AF80" i="94" s="1"/>
  <c r="U66" i="94"/>
  <c r="AC66" i="94" s="1"/>
  <c r="W66" i="94"/>
  <c r="AE66" i="94" s="1"/>
  <c r="V66" i="94"/>
  <c r="AD66" i="94" s="1"/>
  <c r="S66" i="94"/>
  <c r="AA66" i="94" s="1"/>
  <c r="T66" i="94"/>
  <c r="U76" i="94"/>
  <c r="AC76" i="94" s="1"/>
  <c r="W76" i="94"/>
  <c r="AE76" i="94" s="1"/>
  <c r="T76" i="94"/>
  <c r="S76" i="94"/>
  <c r="AA76" i="94" s="1"/>
  <c r="V76" i="94"/>
  <c r="AD76" i="94" s="1"/>
  <c r="V19" i="94"/>
  <c r="AD19" i="94" s="1"/>
  <c r="T19" i="94"/>
  <c r="U19" i="94"/>
  <c r="AC19" i="94" s="1"/>
  <c r="W19" i="94"/>
  <c r="AE19" i="94" s="1"/>
  <c r="S19" i="94"/>
  <c r="AA19" i="94" s="1"/>
  <c r="W68" i="94"/>
  <c r="AE68" i="94" s="1"/>
  <c r="S68" i="94"/>
  <c r="AA68" i="94" s="1"/>
  <c r="V68" i="94"/>
  <c r="AD68" i="94" s="1"/>
  <c r="T68" i="94"/>
  <c r="U68" i="94"/>
  <c r="AC68" i="94" s="1"/>
  <c r="W65" i="94"/>
  <c r="AE65" i="94" s="1"/>
  <c r="V65" i="94"/>
  <c r="AD65" i="94" s="1"/>
  <c r="T65" i="94"/>
  <c r="U65" i="94"/>
  <c r="AC65" i="94" s="1"/>
  <c r="S65" i="94"/>
  <c r="AA65" i="94" s="1"/>
  <c r="S73" i="94"/>
  <c r="AA73" i="94" s="1"/>
  <c r="U73" i="94"/>
  <c r="AC73" i="94" s="1"/>
  <c r="T73" i="94"/>
  <c r="V73" i="94"/>
  <c r="AD73" i="94" s="1"/>
  <c r="W73" i="94"/>
  <c r="AE73" i="94" s="1"/>
  <c r="T33" i="94"/>
  <c r="W33" i="94"/>
  <c r="AE33" i="94" s="1"/>
  <c r="V33" i="94"/>
  <c r="AD33" i="94" s="1"/>
  <c r="S33" i="94"/>
  <c r="AA33" i="94" s="1"/>
  <c r="U33" i="94"/>
  <c r="AC33" i="94" s="1"/>
  <c r="U57" i="94"/>
  <c r="AC57" i="94" s="1"/>
  <c r="T57" i="94"/>
  <c r="V57" i="94"/>
  <c r="AD57" i="94" s="1"/>
  <c r="W57" i="94"/>
  <c r="AE57" i="94" s="1"/>
  <c r="S57" i="94"/>
  <c r="AA57" i="94" s="1"/>
  <c r="S18" i="94"/>
  <c r="AA18" i="94" s="1"/>
  <c r="V18" i="94"/>
  <c r="AD18" i="94" s="1"/>
  <c r="W18" i="94"/>
  <c r="AE18" i="94" s="1"/>
  <c r="T18" i="94"/>
  <c r="U18" i="94"/>
  <c r="AC18" i="94" s="1"/>
  <c r="AG59" i="94"/>
  <c r="AO84" i="74"/>
  <c r="Q81" i="75"/>
  <c r="W87" i="95"/>
  <c r="AG38" i="94"/>
  <c r="AG23" i="94"/>
  <c r="AG31" i="94"/>
  <c r="AY33" i="95"/>
  <c r="AW22" i="95"/>
  <c r="AG80" i="94"/>
  <c r="BB22" i="95"/>
  <c r="R49" i="90"/>
  <c r="AO85" i="74"/>
  <c r="Q83" i="75"/>
  <c r="EO85" i="75"/>
  <c r="BD32" i="95"/>
  <c r="AX26" i="95"/>
  <c r="Q85" i="74"/>
  <c r="BC26" i="95"/>
  <c r="EO84" i="75"/>
  <c r="AS26" i="95"/>
  <c r="DT83" i="75"/>
  <c r="AG24" i="94"/>
  <c r="Q84" i="74"/>
  <c r="DT81" i="75"/>
  <c r="Q82" i="75"/>
  <c r="AG16" i="94"/>
  <c r="W88" i="95"/>
  <c r="DT82" i="75"/>
  <c r="AR22" i="95"/>
  <c r="AT33" i="95"/>
  <c r="AG27" i="94"/>
  <c r="AG54" i="94"/>
  <c r="BE22" i="95" l="1"/>
  <c r="DM19" i="75"/>
  <c r="AQ20" i="69"/>
  <c r="G19" i="75"/>
  <c r="AK20" i="69"/>
  <c r="T22" i="95"/>
  <c r="L19" i="74"/>
  <c r="M19" i="74"/>
  <c r="N19" i="74"/>
  <c r="EH20" i="75"/>
  <c r="AW21" i="69"/>
  <c r="G20" i="74"/>
  <c r="BL20" i="69"/>
  <c r="X21" i="74"/>
  <c r="AD21" i="69"/>
  <c r="AM49" i="90"/>
  <c r="BU49" i="90"/>
  <c r="AJ45" i="84"/>
  <c r="BQ23" i="84"/>
  <c r="Y80" i="94"/>
  <c r="Y54" i="94"/>
  <c r="Y31" i="94"/>
  <c r="Y24" i="94"/>
  <c r="Y27" i="94"/>
  <c r="Y38" i="94"/>
  <c r="Y16" i="94"/>
  <c r="Y59" i="94"/>
  <c r="Y23" i="94"/>
  <c r="AB18" i="94"/>
  <c r="X18" i="94"/>
  <c r="AF18" i="94" s="1"/>
  <c r="AB57" i="94"/>
  <c r="X57" i="94"/>
  <c r="AF57" i="94" s="1"/>
  <c r="AB33" i="94"/>
  <c r="X33" i="94"/>
  <c r="AF33" i="94" s="1"/>
  <c r="AB73" i="94"/>
  <c r="X73" i="94"/>
  <c r="AF73" i="94" s="1"/>
  <c r="AB65" i="94"/>
  <c r="X65" i="94"/>
  <c r="AF65" i="94" s="1"/>
  <c r="AB68" i="94"/>
  <c r="X68" i="94"/>
  <c r="AF68" i="94" s="1"/>
  <c r="AB19" i="94"/>
  <c r="X19" i="94"/>
  <c r="AF19" i="94" s="1"/>
  <c r="X76" i="94"/>
  <c r="AF76" i="94" s="1"/>
  <c r="AB76" i="94"/>
  <c r="AB66" i="94"/>
  <c r="X66" i="94"/>
  <c r="AF66" i="94" s="1"/>
  <c r="T67" i="94"/>
  <c r="S67" i="94"/>
  <c r="AA67" i="94" s="1"/>
  <c r="U67" i="94"/>
  <c r="AC67" i="94" s="1"/>
  <c r="V67" i="94"/>
  <c r="AD67" i="94" s="1"/>
  <c r="W67" i="94"/>
  <c r="AE67" i="94" s="1"/>
  <c r="S75" i="94"/>
  <c r="AA75" i="94" s="1"/>
  <c r="U75" i="94"/>
  <c r="AC75" i="94" s="1"/>
  <c r="V75" i="94"/>
  <c r="AD75" i="94" s="1"/>
  <c r="T75" i="94"/>
  <c r="W75" i="94"/>
  <c r="AE75" i="94" s="1"/>
  <c r="T52" i="94"/>
  <c r="V52" i="94"/>
  <c r="AD52" i="94" s="1"/>
  <c r="S52" i="94"/>
  <c r="AA52" i="94" s="1"/>
  <c r="U52" i="94"/>
  <c r="AC52" i="94" s="1"/>
  <c r="W52" i="94"/>
  <c r="AE52" i="94" s="1"/>
  <c r="U11" i="94"/>
  <c r="AC11" i="94" s="1"/>
  <c r="T11" i="94"/>
  <c r="S11" i="94"/>
  <c r="AA11" i="94" s="1"/>
  <c r="V11" i="94"/>
  <c r="AD11" i="94" s="1"/>
  <c r="W11" i="94"/>
  <c r="AE11" i="94" s="1"/>
  <c r="U32" i="94"/>
  <c r="AC32" i="94" s="1"/>
  <c r="S32" i="94"/>
  <c r="AA32" i="94" s="1"/>
  <c r="V32" i="94"/>
  <c r="AD32" i="94" s="1"/>
  <c r="W32" i="94"/>
  <c r="AE32" i="94" s="1"/>
  <c r="T32" i="94"/>
  <c r="W29" i="94"/>
  <c r="AE29" i="94" s="1"/>
  <c r="V29" i="94"/>
  <c r="AD29" i="94" s="1"/>
  <c r="T29" i="94"/>
  <c r="S29" i="94"/>
  <c r="AA29" i="94" s="1"/>
  <c r="U29" i="94"/>
  <c r="AC29" i="94" s="1"/>
  <c r="V22" i="94"/>
  <c r="AD22" i="94" s="1"/>
  <c r="S22" i="94"/>
  <c r="AA22" i="94" s="1"/>
  <c r="T22" i="94"/>
  <c r="U22" i="94"/>
  <c r="AC22" i="94" s="1"/>
  <c r="W22" i="94"/>
  <c r="AE22" i="94" s="1"/>
  <c r="W47" i="94"/>
  <c r="AE47" i="94" s="1"/>
  <c r="U47" i="94"/>
  <c r="AC47" i="94" s="1"/>
  <c r="S47" i="94"/>
  <c r="AA47" i="94" s="1"/>
  <c r="T47" i="94"/>
  <c r="V47" i="94"/>
  <c r="AD47" i="94" s="1"/>
  <c r="U30" i="94"/>
  <c r="AC30" i="94" s="1"/>
  <c r="T30" i="94"/>
  <c r="V30" i="94"/>
  <c r="AD30" i="94" s="1"/>
  <c r="W30" i="94"/>
  <c r="AE30" i="94" s="1"/>
  <c r="S30" i="94"/>
  <c r="AA30" i="94" s="1"/>
  <c r="S55" i="94"/>
  <c r="AA55" i="94" s="1"/>
  <c r="W55" i="94"/>
  <c r="AE55" i="94" s="1"/>
  <c r="U55" i="94"/>
  <c r="AC55" i="94" s="1"/>
  <c r="T55" i="94"/>
  <c r="V55" i="94"/>
  <c r="AD55" i="94" s="1"/>
  <c r="U72" i="94"/>
  <c r="AC72" i="94" s="1"/>
  <c r="V72" i="94"/>
  <c r="AD72" i="94" s="1"/>
  <c r="W72" i="94"/>
  <c r="AE72" i="94" s="1"/>
  <c r="T72" i="94"/>
  <c r="S72" i="94"/>
  <c r="AA72" i="94" s="1"/>
  <c r="U56" i="94"/>
  <c r="AC56" i="94" s="1"/>
  <c r="V56" i="94"/>
  <c r="AD56" i="94" s="1"/>
  <c r="T56" i="94"/>
  <c r="W56" i="94"/>
  <c r="AE56" i="94" s="1"/>
  <c r="S56" i="94"/>
  <c r="AA56" i="94" s="1"/>
  <c r="V35" i="94"/>
  <c r="AD35" i="94" s="1"/>
  <c r="U35" i="94"/>
  <c r="AC35" i="94" s="1"/>
  <c r="T35" i="94"/>
  <c r="S35" i="94"/>
  <c r="AA35" i="94" s="1"/>
  <c r="W35" i="94"/>
  <c r="AE35" i="94" s="1"/>
  <c r="U51" i="94"/>
  <c r="AC51" i="94" s="1"/>
  <c r="S51" i="94"/>
  <c r="AA51" i="94" s="1"/>
  <c r="W51" i="94"/>
  <c r="AE51" i="94" s="1"/>
  <c r="V51" i="94"/>
  <c r="AD51" i="94" s="1"/>
  <c r="T51" i="94"/>
  <c r="T21" i="94"/>
  <c r="U21" i="94"/>
  <c r="AC21" i="94" s="1"/>
  <c r="V21" i="94"/>
  <c r="AD21" i="94" s="1"/>
  <c r="W21" i="94"/>
  <c r="AE21" i="94" s="1"/>
  <c r="S21" i="94"/>
  <c r="AA21" i="94" s="1"/>
  <c r="S95" i="94"/>
  <c r="AA95" i="94" s="1"/>
  <c r="V95" i="94"/>
  <c r="AD95" i="94" s="1"/>
  <c r="U95" i="94"/>
  <c r="AC95" i="94" s="1"/>
  <c r="T95" i="94"/>
  <c r="W95" i="94"/>
  <c r="AE95" i="94" s="1"/>
  <c r="U48" i="94"/>
  <c r="AC48" i="94" s="1"/>
  <c r="W48" i="94"/>
  <c r="AE48" i="94" s="1"/>
  <c r="S48" i="94"/>
  <c r="AA48" i="94" s="1"/>
  <c r="T48" i="94"/>
  <c r="V48" i="94"/>
  <c r="AD48" i="94" s="1"/>
  <c r="S26" i="94"/>
  <c r="AA26" i="94" s="1"/>
  <c r="U26" i="94"/>
  <c r="AC26" i="94" s="1"/>
  <c r="V26" i="94"/>
  <c r="AD26" i="94" s="1"/>
  <c r="W26" i="94"/>
  <c r="AE26" i="94" s="1"/>
  <c r="T26" i="94"/>
  <c r="W25" i="94"/>
  <c r="AE25" i="94" s="1"/>
  <c r="S25" i="94"/>
  <c r="AA25" i="94" s="1"/>
  <c r="V25" i="94"/>
  <c r="AD25" i="94" s="1"/>
  <c r="U25" i="94"/>
  <c r="AC25" i="94" s="1"/>
  <c r="T25" i="94"/>
  <c r="AR23" i="95"/>
  <c r="AG73" i="94"/>
  <c r="Q86" i="74"/>
  <c r="BB23" i="95"/>
  <c r="AT34" i="95"/>
  <c r="AK45" i="84"/>
  <c r="Q84" i="75"/>
  <c r="AY34" i="95"/>
  <c r="W90" i="95"/>
  <c r="AO87" i="74"/>
  <c r="AG76" i="94"/>
  <c r="W89" i="95"/>
  <c r="EO86" i="75"/>
  <c r="AG66" i="94"/>
  <c r="DT85" i="75"/>
  <c r="AS27" i="95"/>
  <c r="AG18" i="94"/>
  <c r="AG33" i="94"/>
  <c r="EO87" i="75"/>
  <c r="Q87" i="74"/>
  <c r="BD33" i="95"/>
  <c r="AW23" i="95"/>
  <c r="AG65" i="94"/>
  <c r="AG19" i="94"/>
  <c r="BC27" i="95"/>
  <c r="AO86" i="74"/>
  <c r="AX27" i="95"/>
  <c r="DT84" i="75"/>
  <c r="Q85" i="75"/>
  <c r="AG57" i="94"/>
  <c r="AG68" i="94"/>
  <c r="BE23" i="95" l="1"/>
  <c r="DM20" i="75"/>
  <c r="AQ21" i="69"/>
  <c r="L19" i="75"/>
  <c r="AK21" i="69"/>
  <c r="G20" i="75"/>
  <c r="EH21" i="75"/>
  <c r="AW22" i="69"/>
  <c r="G21" i="74"/>
  <c r="L21" i="74" s="1"/>
  <c r="BL21" i="69"/>
  <c r="X22" i="74"/>
  <c r="AD22" i="69"/>
  <c r="L20" i="74"/>
  <c r="M20" i="74"/>
  <c r="N20" i="74"/>
  <c r="T23" i="95"/>
  <c r="Y76" i="94"/>
  <c r="Y19" i="94"/>
  <c r="Y68" i="94"/>
  <c r="Y65" i="94"/>
  <c r="Y73" i="94"/>
  <c r="Y18" i="94"/>
  <c r="Y66" i="94"/>
  <c r="Y33" i="94"/>
  <c r="Y57" i="94"/>
  <c r="AB25" i="94"/>
  <c r="X25" i="94"/>
  <c r="AF25" i="94" s="1"/>
  <c r="AB26" i="94"/>
  <c r="X26" i="94"/>
  <c r="AF26" i="94" s="1"/>
  <c r="AB48" i="94"/>
  <c r="X48" i="94"/>
  <c r="AF48" i="94" s="1"/>
  <c r="X95" i="94"/>
  <c r="AF95" i="94" s="1"/>
  <c r="AB95" i="94"/>
  <c r="X21" i="94"/>
  <c r="AF21" i="94" s="1"/>
  <c r="AB21" i="94"/>
  <c r="AB51" i="94"/>
  <c r="X51" i="94"/>
  <c r="AF51" i="94" s="1"/>
  <c r="AB35" i="94"/>
  <c r="X35" i="94"/>
  <c r="AF35" i="94" s="1"/>
  <c r="AB56" i="94"/>
  <c r="X56" i="94"/>
  <c r="AF56" i="94" s="1"/>
  <c r="AB72" i="94"/>
  <c r="X72" i="94"/>
  <c r="AF72" i="94" s="1"/>
  <c r="X55" i="94"/>
  <c r="AF55" i="94" s="1"/>
  <c r="AB55" i="94"/>
  <c r="AB30" i="94"/>
  <c r="X30" i="94"/>
  <c r="AF30" i="94" s="1"/>
  <c r="AB47" i="94"/>
  <c r="X47" i="94"/>
  <c r="AF47" i="94" s="1"/>
  <c r="AB22" i="94"/>
  <c r="X22" i="94"/>
  <c r="AF22" i="94" s="1"/>
  <c r="AB29" i="94"/>
  <c r="X29" i="94"/>
  <c r="AF29" i="94" s="1"/>
  <c r="X32" i="94"/>
  <c r="AF32" i="94" s="1"/>
  <c r="AB32" i="94"/>
  <c r="AB11" i="94"/>
  <c r="X11" i="94"/>
  <c r="AF11" i="94" s="1"/>
  <c r="AB52" i="94"/>
  <c r="X52" i="94"/>
  <c r="AF52" i="94" s="1"/>
  <c r="AB75" i="94"/>
  <c r="X75" i="94"/>
  <c r="AF75" i="94" s="1"/>
  <c r="AB67" i="94"/>
  <c r="X67" i="94"/>
  <c r="AF67" i="94" s="1"/>
  <c r="W89" i="94"/>
  <c r="AE89" i="94" s="1"/>
  <c r="U89" i="94"/>
  <c r="AC89" i="94" s="1"/>
  <c r="V89" i="94"/>
  <c r="AD89" i="94" s="1"/>
  <c r="T89" i="94"/>
  <c r="S89" i="94"/>
  <c r="AA89" i="94" s="1"/>
  <c r="W85" i="94"/>
  <c r="AE85" i="94" s="1"/>
  <c r="S85" i="94"/>
  <c r="AA85" i="94" s="1"/>
  <c r="U85" i="94"/>
  <c r="AC85" i="94" s="1"/>
  <c r="T85" i="94"/>
  <c r="V85" i="94"/>
  <c r="AD85" i="94" s="1"/>
  <c r="W61" i="94"/>
  <c r="AE61" i="94" s="1"/>
  <c r="V61" i="94"/>
  <c r="AD61" i="94" s="1"/>
  <c r="U61" i="94"/>
  <c r="AC61" i="94" s="1"/>
  <c r="T61" i="94"/>
  <c r="S61" i="94"/>
  <c r="AA61" i="94" s="1"/>
  <c r="U42" i="94"/>
  <c r="AC42" i="94" s="1"/>
  <c r="T42" i="94"/>
  <c r="S42" i="94"/>
  <c r="AA42" i="94" s="1"/>
  <c r="W42" i="94"/>
  <c r="AE42" i="94" s="1"/>
  <c r="V42" i="94"/>
  <c r="AD42" i="94" s="1"/>
  <c r="W92" i="94"/>
  <c r="AE92" i="94" s="1"/>
  <c r="T92" i="94"/>
  <c r="S92" i="94"/>
  <c r="AA92" i="94" s="1"/>
  <c r="U92" i="94"/>
  <c r="AC92" i="94" s="1"/>
  <c r="V92" i="94"/>
  <c r="AD92" i="94" s="1"/>
  <c r="T44" i="94"/>
  <c r="S44" i="94"/>
  <c r="AA44" i="94" s="1"/>
  <c r="U44" i="94"/>
  <c r="AC44" i="94" s="1"/>
  <c r="W44" i="94"/>
  <c r="AE44" i="94" s="1"/>
  <c r="V44" i="94"/>
  <c r="AD44" i="94" s="1"/>
  <c r="T13" i="94"/>
  <c r="S13" i="94"/>
  <c r="AA13" i="94" s="1"/>
  <c r="W13" i="94"/>
  <c r="AE13" i="94" s="1"/>
  <c r="V13" i="94"/>
  <c r="AD13" i="94" s="1"/>
  <c r="U13" i="94"/>
  <c r="AC13" i="94" s="1"/>
  <c r="W28" i="94"/>
  <c r="AE28" i="94" s="1"/>
  <c r="S28" i="94"/>
  <c r="AA28" i="94" s="1"/>
  <c r="U28" i="94"/>
  <c r="AC28" i="94" s="1"/>
  <c r="T28" i="94"/>
  <c r="V28" i="94"/>
  <c r="AD28" i="94" s="1"/>
  <c r="W79" i="94"/>
  <c r="AE79" i="94" s="1"/>
  <c r="U79" i="94"/>
  <c r="AC79" i="94" s="1"/>
  <c r="T79" i="94"/>
  <c r="V79" i="94"/>
  <c r="AD79" i="94" s="1"/>
  <c r="S79" i="94"/>
  <c r="AA79" i="94" s="1"/>
  <c r="V69" i="94"/>
  <c r="AD69" i="94" s="1"/>
  <c r="U69" i="94"/>
  <c r="AC69" i="94" s="1"/>
  <c r="S69" i="94"/>
  <c r="AA69" i="94" s="1"/>
  <c r="W69" i="94"/>
  <c r="AE69" i="94" s="1"/>
  <c r="T69" i="94"/>
  <c r="U45" i="94"/>
  <c r="AC45" i="94" s="1"/>
  <c r="V45" i="94"/>
  <c r="AD45" i="94" s="1"/>
  <c r="W45" i="94"/>
  <c r="AE45" i="94" s="1"/>
  <c r="S45" i="94"/>
  <c r="AA45" i="94" s="1"/>
  <c r="T45" i="94"/>
  <c r="S46" i="94"/>
  <c r="AA46" i="94" s="1"/>
  <c r="T46" i="94"/>
  <c r="V46" i="94"/>
  <c r="AD46" i="94" s="1"/>
  <c r="U46" i="94"/>
  <c r="AC46" i="94" s="1"/>
  <c r="W46" i="94"/>
  <c r="AE46" i="94" s="1"/>
  <c r="V43" i="94"/>
  <c r="AD43" i="94" s="1"/>
  <c r="U43" i="94"/>
  <c r="AC43" i="94" s="1"/>
  <c r="S43" i="94"/>
  <c r="AA43" i="94" s="1"/>
  <c r="W43" i="94"/>
  <c r="AE43" i="94" s="1"/>
  <c r="T43" i="94"/>
  <c r="S37" i="94"/>
  <c r="AA37" i="94" s="1"/>
  <c r="T37" i="94"/>
  <c r="U37" i="94"/>
  <c r="AC37" i="94" s="1"/>
  <c r="V37" i="94"/>
  <c r="AD37" i="94" s="1"/>
  <c r="W37" i="94"/>
  <c r="AE37" i="94" s="1"/>
  <c r="U77" i="94"/>
  <c r="AC77" i="94" s="1"/>
  <c r="T77" i="94"/>
  <c r="S77" i="94"/>
  <c r="AA77" i="94" s="1"/>
  <c r="W77" i="94"/>
  <c r="AE77" i="94" s="1"/>
  <c r="V77" i="94"/>
  <c r="AD77" i="94" s="1"/>
  <c r="U97" i="94"/>
  <c r="AC97" i="94" s="1"/>
  <c r="V97" i="94"/>
  <c r="AD97" i="94" s="1"/>
  <c r="S97" i="94"/>
  <c r="AA97" i="94" s="1"/>
  <c r="W97" i="94"/>
  <c r="AE97" i="94" s="1"/>
  <c r="T97" i="94"/>
  <c r="S12" i="94"/>
  <c r="AA12" i="94" s="1"/>
  <c r="V12" i="94"/>
  <c r="AD12" i="94" s="1"/>
  <c r="T12" i="94"/>
  <c r="W12" i="94"/>
  <c r="AE12" i="94" s="1"/>
  <c r="U12" i="94"/>
  <c r="AC12" i="94" s="1"/>
  <c r="V49" i="94"/>
  <c r="AD49" i="94" s="1"/>
  <c r="W49" i="94"/>
  <c r="AE49" i="94" s="1"/>
  <c r="S49" i="94"/>
  <c r="AA49" i="94" s="1"/>
  <c r="T49" i="94"/>
  <c r="U49" i="94"/>
  <c r="AC49" i="94" s="1"/>
  <c r="V34" i="94"/>
  <c r="AD34" i="94" s="1"/>
  <c r="U34" i="94"/>
  <c r="AC34" i="94" s="1"/>
  <c r="S34" i="94"/>
  <c r="AA34" i="94" s="1"/>
  <c r="W34" i="94"/>
  <c r="AE34" i="94" s="1"/>
  <c r="T34" i="94"/>
  <c r="W20" i="94"/>
  <c r="AE20" i="94" s="1"/>
  <c r="V20" i="94"/>
  <c r="AD20" i="94" s="1"/>
  <c r="U20" i="94"/>
  <c r="AC20" i="94" s="1"/>
  <c r="S20" i="94"/>
  <c r="AA20" i="94" s="1"/>
  <c r="T20" i="94"/>
  <c r="T84" i="94"/>
  <c r="S84" i="94"/>
  <c r="AA84" i="94" s="1"/>
  <c r="V84" i="94"/>
  <c r="AD84" i="94" s="1"/>
  <c r="U84" i="94"/>
  <c r="AC84" i="94" s="1"/>
  <c r="W84" i="94"/>
  <c r="AE84" i="94" s="1"/>
  <c r="AR24" i="95"/>
  <c r="W91" i="95"/>
  <c r="Q87" i="75"/>
  <c r="AG13" i="95"/>
  <c r="W92" i="95"/>
  <c r="Q86" i="75"/>
  <c r="AX28" i="95"/>
  <c r="BC28" i="95"/>
  <c r="AG75" i="94"/>
  <c r="AW24" i="95"/>
  <c r="AG48" i="94"/>
  <c r="W93" i="95"/>
  <c r="AY35" i="95"/>
  <c r="AO89" i="74"/>
  <c r="AG32" i="94"/>
  <c r="AO88" i="74"/>
  <c r="AG30" i="94"/>
  <c r="BI13" i="95"/>
  <c r="AG25" i="94"/>
  <c r="AG67" i="94"/>
  <c r="AG35" i="94"/>
  <c r="Q89" i="74"/>
  <c r="EO89" i="75"/>
  <c r="AG52" i="94"/>
  <c r="AT35" i="95"/>
  <c r="AG47" i="94"/>
  <c r="AG72" i="94"/>
  <c r="W94" i="95"/>
  <c r="AS28" i="95"/>
  <c r="BD34" i="95"/>
  <c r="AG51" i="94"/>
  <c r="DT87" i="75"/>
  <c r="AG55" i="94"/>
  <c r="DT86" i="75"/>
  <c r="BI58" i="95"/>
  <c r="EO88" i="75"/>
  <c r="AG22" i="94"/>
  <c r="BB24" i="95"/>
  <c r="AG29" i="94"/>
  <c r="Q88" i="74"/>
  <c r="AG26" i="94"/>
  <c r="AG21" i="94"/>
  <c r="AG11" i="94"/>
  <c r="AG95" i="94"/>
  <c r="AG56" i="94"/>
  <c r="BK13" i="95" l="1"/>
  <c r="BK58" i="95"/>
  <c r="BE24" i="95"/>
  <c r="DM21" i="75"/>
  <c r="AQ22" i="69"/>
  <c r="L20" i="75"/>
  <c r="AK22" i="69"/>
  <c r="G21" i="75"/>
  <c r="L21" i="75" s="1"/>
  <c r="G22" i="74"/>
  <c r="BL22" i="69"/>
  <c r="X23" i="74"/>
  <c r="AD23" i="69"/>
  <c r="T24" i="95"/>
  <c r="EH22" i="75"/>
  <c r="AW23" i="69"/>
  <c r="M21" i="74"/>
  <c r="N21" i="74"/>
  <c r="Y67" i="94"/>
  <c r="Y22" i="94"/>
  <c r="Y35" i="94"/>
  <c r="Y25" i="94"/>
  <c r="Y75" i="94"/>
  <c r="Y47" i="94"/>
  <c r="Y51" i="94"/>
  <c r="Y52" i="94"/>
  <c r="Y30" i="94"/>
  <c r="Y21" i="94"/>
  <c r="Y11" i="94"/>
  <c r="Y55" i="94"/>
  <c r="Y95" i="94"/>
  <c r="Y72" i="94"/>
  <c r="Y48" i="94"/>
  <c r="Y32" i="94"/>
  <c r="Y29" i="94"/>
  <c r="Y56" i="94"/>
  <c r="Y26" i="94"/>
  <c r="AB84" i="94"/>
  <c r="X84" i="94"/>
  <c r="AF84" i="94" s="1"/>
  <c r="AB20" i="94"/>
  <c r="X20" i="94"/>
  <c r="AF20" i="94" s="1"/>
  <c r="AB34" i="94"/>
  <c r="X34" i="94"/>
  <c r="AF34" i="94" s="1"/>
  <c r="AB49" i="94"/>
  <c r="X49" i="94"/>
  <c r="AF49" i="94" s="1"/>
  <c r="AB12" i="94"/>
  <c r="X12" i="94"/>
  <c r="AF12" i="94" s="1"/>
  <c r="AB97" i="94"/>
  <c r="X97" i="94"/>
  <c r="AF97" i="94" s="1"/>
  <c r="X77" i="94"/>
  <c r="AF77" i="94" s="1"/>
  <c r="AB77" i="94"/>
  <c r="AB37" i="94"/>
  <c r="X37" i="94"/>
  <c r="AF37" i="94" s="1"/>
  <c r="AB43" i="94"/>
  <c r="X43" i="94"/>
  <c r="AF43" i="94" s="1"/>
  <c r="AB46" i="94"/>
  <c r="X46" i="94"/>
  <c r="AF46" i="94" s="1"/>
  <c r="AB45" i="94"/>
  <c r="X45" i="94"/>
  <c r="AF45" i="94" s="1"/>
  <c r="AB69" i="94"/>
  <c r="X69" i="94"/>
  <c r="AF69" i="94" s="1"/>
  <c r="AB79" i="94"/>
  <c r="X79" i="94"/>
  <c r="AF79" i="94" s="1"/>
  <c r="AB28" i="94"/>
  <c r="X28" i="94"/>
  <c r="AF28" i="94" s="1"/>
  <c r="AB13" i="94"/>
  <c r="X13" i="94"/>
  <c r="AF13" i="94" s="1"/>
  <c r="AB44" i="94"/>
  <c r="X44" i="94"/>
  <c r="AF44" i="94" s="1"/>
  <c r="AB92" i="94"/>
  <c r="X92" i="94"/>
  <c r="AF92" i="94" s="1"/>
  <c r="AB42" i="94"/>
  <c r="X42" i="94"/>
  <c r="AF42" i="94" s="1"/>
  <c r="AB61" i="94"/>
  <c r="X61" i="94"/>
  <c r="AF61" i="94" s="1"/>
  <c r="AB85" i="94"/>
  <c r="X85" i="94"/>
  <c r="AF85" i="94" s="1"/>
  <c r="X89" i="94"/>
  <c r="AF89" i="94" s="1"/>
  <c r="AB89" i="94"/>
  <c r="V64" i="94"/>
  <c r="AD64" i="94" s="1"/>
  <c r="S64" i="94"/>
  <c r="AA64" i="94" s="1"/>
  <c r="W64" i="94"/>
  <c r="AE64" i="94" s="1"/>
  <c r="T64" i="94"/>
  <c r="U64" i="94"/>
  <c r="AC64" i="94" s="1"/>
  <c r="W91" i="94"/>
  <c r="AE91" i="94" s="1"/>
  <c r="S91" i="94"/>
  <c r="AA91" i="94" s="1"/>
  <c r="U91" i="94"/>
  <c r="AC91" i="94" s="1"/>
  <c r="T91" i="94"/>
  <c r="V91" i="94"/>
  <c r="AD91" i="94" s="1"/>
  <c r="T10" i="94"/>
  <c r="U10" i="94"/>
  <c r="AC10" i="94" s="1"/>
  <c r="S10" i="94"/>
  <c r="AA10" i="94" s="1"/>
  <c r="V10" i="94"/>
  <c r="AD10" i="94" s="1"/>
  <c r="W10" i="94"/>
  <c r="AE10" i="94" s="1"/>
  <c r="T81" i="94"/>
  <c r="V81" i="94"/>
  <c r="AD81" i="94" s="1"/>
  <c r="U81" i="94"/>
  <c r="AC81" i="94" s="1"/>
  <c r="W81" i="94"/>
  <c r="AE81" i="94" s="1"/>
  <c r="S81" i="94"/>
  <c r="AA81" i="94" s="1"/>
  <c r="T83" i="94"/>
  <c r="U83" i="94"/>
  <c r="AC83" i="94" s="1"/>
  <c r="V83" i="94"/>
  <c r="AD83" i="94" s="1"/>
  <c r="W83" i="94"/>
  <c r="AE83" i="94" s="1"/>
  <c r="S83" i="94"/>
  <c r="AA83" i="94" s="1"/>
  <c r="T74" i="94"/>
  <c r="W74" i="94"/>
  <c r="AE74" i="94" s="1"/>
  <c r="V74" i="94"/>
  <c r="AD74" i="94" s="1"/>
  <c r="S74" i="94"/>
  <c r="AA74" i="94" s="1"/>
  <c r="U74" i="94"/>
  <c r="AC74" i="94" s="1"/>
  <c r="S39" i="94"/>
  <c r="AA39" i="94" s="1"/>
  <c r="T39" i="94"/>
  <c r="U39" i="94"/>
  <c r="AC39" i="94" s="1"/>
  <c r="V39" i="94"/>
  <c r="AD39" i="94" s="1"/>
  <c r="W39" i="94"/>
  <c r="AE39" i="94" s="1"/>
  <c r="S96" i="94"/>
  <c r="AA96" i="94" s="1"/>
  <c r="W96" i="94"/>
  <c r="AE96" i="94" s="1"/>
  <c r="U96" i="94"/>
  <c r="AC96" i="94" s="1"/>
  <c r="T96" i="94"/>
  <c r="V96" i="94"/>
  <c r="AD96" i="94" s="1"/>
  <c r="V87" i="94"/>
  <c r="AD87" i="94" s="1"/>
  <c r="W87" i="94"/>
  <c r="AE87" i="94" s="1"/>
  <c r="U87" i="94"/>
  <c r="AC87" i="94" s="1"/>
  <c r="S87" i="94"/>
  <c r="AA87" i="94" s="1"/>
  <c r="T87" i="94"/>
  <c r="S88" i="94"/>
  <c r="AA88" i="94" s="1"/>
  <c r="V88" i="94"/>
  <c r="AD88" i="94" s="1"/>
  <c r="W88" i="94"/>
  <c r="AE88" i="94" s="1"/>
  <c r="T88" i="94"/>
  <c r="U88" i="94"/>
  <c r="AC88" i="94" s="1"/>
  <c r="V86" i="94"/>
  <c r="AD86" i="94" s="1"/>
  <c r="U86" i="94"/>
  <c r="AC86" i="94" s="1"/>
  <c r="W86" i="94"/>
  <c r="AE86" i="94" s="1"/>
  <c r="S86" i="94"/>
  <c r="AA86" i="94" s="1"/>
  <c r="T86" i="94"/>
  <c r="V94" i="94"/>
  <c r="AD94" i="94" s="1"/>
  <c r="S94" i="94"/>
  <c r="AA94" i="94" s="1"/>
  <c r="W94" i="94"/>
  <c r="AE94" i="94" s="1"/>
  <c r="U94" i="94"/>
  <c r="AC94" i="94" s="1"/>
  <c r="T94" i="94"/>
  <c r="V82" i="94"/>
  <c r="AD82" i="94" s="1"/>
  <c r="S82" i="94"/>
  <c r="AA82" i="94" s="1"/>
  <c r="U82" i="94"/>
  <c r="AC82" i="94" s="1"/>
  <c r="T82" i="94"/>
  <c r="W82" i="94"/>
  <c r="AE82" i="94" s="1"/>
  <c r="U98" i="94"/>
  <c r="AC98" i="94" s="1"/>
  <c r="T98" i="94"/>
  <c r="V98" i="94"/>
  <c r="AD98" i="94" s="1"/>
  <c r="S98" i="94"/>
  <c r="AA98" i="94" s="1"/>
  <c r="W98" i="94"/>
  <c r="AE98" i="94" s="1"/>
  <c r="T71" i="94"/>
  <c r="S71" i="94"/>
  <c r="AA71" i="94" s="1"/>
  <c r="U71" i="94"/>
  <c r="AC71" i="94" s="1"/>
  <c r="W71" i="94"/>
  <c r="AE71" i="94" s="1"/>
  <c r="V71" i="94"/>
  <c r="AD71" i="94" s="1"/>
  <c r="W17" i="94"/>
  <c r="AE17" i="94" s="1"/>
  <c r="T17" i="94"/>
  <c r="U17" i="94"/>
  <c r="AC17" i="94" s="1"/>
  <c r="S17" i="94"/>
  <c r="AA17" i="94" s="1"/>
  <c r="V17" i="94"/>
  <c r="AD17" i="94" s="1"/>
  <c r="U15" i="94"/>
  <c r="AC15" i="94" s="1"/>
  <c r="V15" i="94"/>
  <c r="AD15" i="94" s="1"/>
  <c r="W15" i="94"/>
  <c r="AE15" i="94" s="1"/>
  <c r="S15" i="94"/>
  <c r="AA15" i="94" s="1"/>
  <c r="T15" i="94"/>
  <c r="AT36" i="95"/>
  <c r="EO91" i="75"/>
  <c r="AG12" i="94"/>
  <c r="EO93" i="75"/>
  <c r="AG49" i="94"/>
  <c r="AR25" i="95"/>
  <c r="Q92" i="74"/>
  <c r="AG85" i="94"/>
  <c r="Q88" i="75"/>
  <c r="AO93" i="74"/>
  <c r="BP12" i="69"/>
  <c r="AG37" i="94"/>
  <c r="BC29" i="95"/>
  <c r="EO90" i="75"/>
  <c r="Q91" i="74"/>
  <c r="AW25" i="95"/>
  <c r="AG43" i="94"/>
  <c r="AG34" i="94"/>
  <c r="AG61" i="94"/>
  <c r="Q93" i="74"/>
  <c r="DT89" i="75"/>
  <c r="BB25" i="95"/>
  <c r="AO91" i="74"/>
  <c r="AO92" i="74"/>
  <c r="W97" i="95"/>
  <c r="AG79" i="94"/>
  <c r="EO92" i="75"/>
  <c r="AG92" i="94"/>
  <c r="AG13" i="94"/>
  <c r="AG45" i="94"/>
  <c r="DT88" i="75"/>
  <c r="AX29" i="95"/>
  <c r="AG44" i="94"/>
  <c r="AG69" i="94"/>
  <c r="BC12" i="69"/>
  <c r="BB12" i="69"/>
  <c r="Q90" i="74"/>
  <c r="W95" i="95"/>
  <c r="W96" i="95"/>
  <c r="AY36" i="95"/>
  <c r="AY37" i="95" s="1"/>
  <c r="AG77" i="94"/>
  <c r="AS29" i="95"/>
  <c r="BD35" i="95"/>
  <c r="AO90" i="74"/>
  <c r="AT37" i="95"/>
  <c r="Q89" i="75"/>
  <c r="AG89" i="94"/>
  <c r="AG46" i="94"/>
  <c r="AG84" i="94"/>
  <c r="AG42" i="94"/>
  <c r="AG20" i="94"/>
  <c r="AG97" i="94"/>
  <c r="AG28" i="94"/>
  <c r="BE25" i="95" l="1"/>
  <c r="DM22" i="75"/>
  <c r="AQ23" i="69"/>
  <c r="AK23" i="69"/>
  <c r="G22" i="75"/>
  <c r="L22" i="75" s="1"/>
  <c r="BQ12" i="69"/>
  <c r="T25" i="95"/>
  <c r="X24" i="74"/>
  <c r="G23" i="74"/>
  <c r="BL23" i="69"/>
  <c r="AD24" i="69"/>
  <c r="L22" i="74"/>
  <c r="M22" i="74"/>
  <c r="N22" i="74"/>
  <c r="EH23" i="75"/>
  <c r="AW24" i="69"/>
  <c r="Y85" i="94"/>
  <c r="Y89" i="94"/>
  <c r="Y61" i="94"/>
  <c r="Y79" i="94"/>
  <c r="Y84" i="94"/>
  <c r="Y37" i="94"/>
  <c r="Y77" i="94"/>
  <c r="Y42" i="94"/>
  <c r="Y69" i="94"/>
  <c r="Y97" i="94"/>
  <c r="Y20" i="94"/>
  <c r="Y92" i="94"/>
  <c r="Y45" i="94"/>
  <c r="Y12" i="94"/>
  <c r="Y28" i="94"/>
  <c r="Y44" i="94"/>
  <c r="Y46" i="94"/>
  <c r="Y49" i="94"/>
  <c r="Y13" i="94"/>
  <c r="Y43" i="94"/>
  <c r="Y34" i="94"/>
  <c r="AB15" i="94"/>
  <c r="X15" i="94"/>
  <c r="AF15" i="94" s="1"/>
  <c r="AB17" i="94"/>
  <c r="X17" i="94"/>
  <c r="AF17" i="94" s="1"/>
  <c r="AB71" i="94"/>
  <c r="X71" i="94"/>
  <c r="AF71" i="94" s="1"/>
  <c r="X98" i="94"/>
  <c r="AF98" i="94" s="1"/>
  <c r="AB98" i="94"/>
  <c r="AB82" i="94"/>
  <c r="X82" i="94"/>
  <c r="AF82" i="94" s="1"/>
  <c r="X94" i="94"/>
  <c r="AF94" i="94" s="1"/>
  <c r="AB94" i="94"/>
  <c r="X86" i="94"/>
  <c r="AF86" i="94" s="1"/>
  <c r="AB86" i="94"/>
  <c r="AB88" i="94"/>
  <c r="X88" i="94"/>
  <c r="AF88" i="94" s="1"/>
  <c r="X87" i="94"/>
  <c r="AF87" i="94" s="1"/>
  <c r="AB87" i="94"/>
  <c r="X96" i="94"/>
  <c r="AF96" i="94" s="1"/>
  <c r="AB96" i="94"/>
  <c r="X39" i="94"/>
  <c r="AF39" i="94" s="1"/>
  <c r="AB39" i="94"/>
  <c r="AB74" i="94"/>
  <c r="X74" i="94"/>
  <c r="AF74" i="94" s="1"/>
  <c r="X83" i="94"/>
  <c r="AF83" i="94" s="1"/>
  <c r="AB83" i="94"/>
  <c r="AB81" i="94"/>
  <c r="X81" i="94"/>
  <c r="AF81" i="94" s="1"/>
  <c r="AB10" i="94"/>
  <c r="X10" i="94"/>
  <c r="AB91" i="94"/>
  <c r="X91" i="94"/>
  <c r="AF91" i="94" s="1"/>
  <c r="AB64" i="94"/>
  <c r="X64" i="94"/>
  <c r="AF64" i="94" s="1"/>
  <c r="BD36" i="95"/>
  <c r="AY38" i="95"/>
  <c r="AO94" i="74"/>
  <c r="W98" i="95"/>
  <c r="DT91" i="75"/>
  <c r="EO94" i="75"/>
  <c r="AR26" i="95"/>
  <c r="Q93" i="75"/>
  <c r="AG74" i="94"/>
  <c r="EO95" i="75"/>
  <c r="EO96" i="75"/>
  <c r="DT93" i="75"/>
  <c r="AS30" i="95"/>
  <c r="AG82" i="94"/>
  <c r="AG98" i="94"/>
  <c r="Q90" i="75"/>
  <c r="AT38" i="95"/>
  <c r="BB26" i="95"/>
  <c r="BC30" i="95"/>
  <c r="AG15" i="94"/>
  <c r="DT90" i="75"/>
  <c r="AG83" i="94"/>
  <c r="AG94" i="94"/>
  <c r="W100" i="95"/>
  <c r="AW26" i="95"/>
  <c r="AO95" i="74"/>
  <c r="AO96" i="74"/>
  <c r="AG91" i="94"/>
  <c r="AG96" i="94"/>
  <c r="AG87" i="94"/>
  <c r="AG86" i="94"/>
  <c r="Q92" i="75"/>
  <c r="AG71" i="94"/>
  <c r="AG88" i="94"/>
  <c r="Q96" i="74"/>
  <c r="AX30" i="95"/>
  <c r="BD37" i="95"/>
  <c r="Q95" i="74"/>
  <c r="AG64" i="94"/>
  <c r="DT92" i="75"/>
  <c r="Q94" i="74"/>
  <c r="Q91" i="75"/>
  <c r="W99" i="95"/>
  <c r="AG39" i="94"/>
  <c r="AG81" i="94"/>
  <c r="AG17" i="94"/>
  <c r="BE26" i="95" l="1"/>
  <c r="DM23" i="75"/>
  <c r="AQ24" i="69"/>
  <c r="G23" i="75"/>
  <c r="AK24" i="69"/>
  <c r="T26" i="95"/>
  <c r="EH24" i="75"/>
  <c r="AW25" i="69"/>
  <c r="L23" i="74"/>
  <c r="M23" i="74"/>
  <c r="N23" i="74"/>
  <c r="BL24" i="69"/>
  <c r="G24" i="74"/>
  <c r="L24" i="74" s="1"/>
  <c r="X25" i="74"/>
  <c r="AD25" i="69"/>
  <c r="Y83" i="94"/>
  <c r="Y15" i="94"/>
  <c r="Y94" i="94"/>
  <c r="Y82" i="94"/>
  <c r="Y39" i="94"/>
  <c r="Y91" i="94"/>
  <c r="Y96" i="94"/>
  <c r="Y98" i="94"/>
  <c r="Y64" i="94"/>
  <c r="Y71" i="94"/>
  <c r="Y74" i="94"/>
  <c r="Y87" i="94"/>
  <c r="Y86" i="94"/>
  <c r="Y81" i="94"/>
  <c r="Y88" i="94"/>
  <c r="Y17" i="94"/>
  <c r="F10" i="94" a="1"/>
  <c r="F10" i="94" s="1"/>
  <c r="C10" i="94" a="1"/>
  <c r="C10" i="94" s="1"/>
  <c r="C9" i="94" a="1"/>
  <c r="C9" i="94" s="1"/>
  <c r="E9" i="94" a="1"/>
  <c r="E9" i="94" s="1"/>
  <c r="B9" i="94" a="1"/>
  <c r="B9" i="94" s="1"/>
  <c r="F9" i="94" a="1"/>
  <c r="F9" i="94" s="1"/>
  <c r="D10" i="94" a="1"/>
  <c r="D10" i="94" s="1"/>
  <c r="AF10" i="94"/>
  <c r="E10" i="94" a="1"/>
  <c r="E10" i="94" s="1"/>
  <c r="B10" i="94" a="1"/>
  <c r="B10" i="94" s="1"/>
  <c r="D9" i="94" a="1"/>
  <c r="D9" i="94" s="1"/>
  <c r="W103" i="95"/>
  <c r="Q99" i="74"/>
  <c r="AO99" i="74"/>
  <c r="W101" i="95"/>
  <c r="Q98" i="74"/>
  <c r="BI59" i="95"/>
  <c r="AX31" i="95"/>
  <c r="W102" i="95"/>
  <c r="BI14" i="95"/>
  <c r="Q95" i="75"/>
  <c r="DT96" i="75"/>
  <c r="Q96" i="75"/>
  <c r="AO97" i="74"/>
  <c r="Q97" i="74"/>
  <c r="DT94" i="75"/>
  <c r="AG14" i="95"/>
  <c r="AY39" i="95"/>
  <c r="BC31" i="95"/>
  <c r="AO98" i="74"/>
  <c r="DT95" i="75"/>
  <c r="BB27" i="95"/>
  <c r="EO99" i="75"/>
  <c r="Q94" i="75"/>
  <c r="W104" i="95"/>
  <c r="EO98" i="75"/>
  <c r="BD38" i="95"/>
  <c r="AR27" i="95"/>
  <c r="AW27" i="95"/>
  <c r="AT39" i="95"/>
  <c r="AG10" i="94"/>
  <c r="AS31" i="95"/>
  <c r="EO97" i="75"/>
  <c r="BK14" i="95" l="1"/>
  <c r="BK59" i="95"/>
  <c r="BE27" i="95"/>
  <c r="DM24" i="75"/>
  <c r="AQ25" i="69"/>
  <c r="G24" i="75"/>
  <c r="AK25" i="69"/>
  <c r="L23" i="75"/>
  <c r="EH25" i="75"/>
  <c r="AW26" i="69"/>
  <c r="T27" i="95"/>
  <c r="G25" i="74"/>
  <c r="L25" i="74" s="1"/>
  <c r="BL25" i="69"/>
  <c r="X26" i="74"/>
  <c r="AD26" i="69"/>
  <c r="N24" i="74"/>
  <c r="M24" i="74"/>
  <c r="Y10" i="94"/>
  <c r="F16" i="94" a="1"/>
  <c r="F16" i="94" s="1"/>
  <c r="D16" i="94" a="1"/>
  <c r="D16" i="94" s="1"/>
  <c r="C15" i="94" a="1"/>
  <c r="C15" i="94" s="1"/>
  <c r="C16" i="94" a="1"/>
  <c r="C16" i="94" s="1"/>
  <c r="B15" i="94" a="1"/>
  <c r="B15" i="94" s="1"/>
  <c r="E15" i="94" a="1"/>
  <c r="E15" i="94" s="1"/>
  <c r="F15" i="94" a="1"/>
  <c r="F15" i="94" s="1"/>
  <c r="E16" i="94" a="1"/>
  <c r="E16" i="94" s="1"/>
  <c r="D15" i="94" a="1"/>
  <c r="D15" i="94" s="1"/>
  <c r="AR28" i="95"/>
  <c r="AO102" i="74"/>
  <c r="DT98" i="75"/>
  <c r="AY40" i="95"/>
  <c r="Q101" i="74"/>
  <c r="EO101" i="75"/>
  <c r="BC32" i="95"/>
  <c r="EO102" i="75"/>
  <c r="Q99" i="75"/>
  <c r="DT97" i="75"/>
  <c r="W106" i="95"/>
  <c r="BB13" i="69"/>
  <c r="Q100" i="74"/>
  <c r="BD39" i="95"/>
  <c r="Q97" i="75"/>
  <c r="AX32" i="95"/>
  <c r="W107" i="95"/>
  <c r="BB28" i="95"/>
  <c r="EO100" i="75"/>
  <c r="BP13" i="69"/>
  <c r="AO103" i="74"/>
  <c r="BC13" i="69"/>
  <c r="AS32" i="95"/>
  <c r="AO101" i="74"/>
  <c r="Q102" i="74"/>
  <c r="DT99" i="75"/>
  <c r="AT40" i="95"/>
  <c r="W105" i="95"/>
  <c r="Q103" i="74"/>
  <c r="Q98" i="75"/>
  <c r="W108" i="95"/>
  <c r="EO103" i="75"/>
  <c r="AW28" i="95"/>
  <c r="AO100" i="74"/>
  <c r="BE28" i="95" l="1"/>
  <c r="AQ26" i="69"/>
  <c r="DM25" i="75"/>
  <c r="G25" i="75"/>
  <c r="AK26" i="69"/>
  <c r="L24" i="75"/>
  <c r="BQ13" i="69"/>
  <c r="BL26" i="69"/>
  <c r="X27" i="74"/>
  <c r="G26" i="74"/>
  <c r="AD27" i="69"/>
  <c r="EH26" i="75"/>
  <c r="AW27" i="69"/>
  <c r="N25" i="74"/>
  <c r="M25" i="74"/>
  <c r="T28" i="95"/>
  <c r="Q90" i="87"/>
  <c r="DT100" i="75"/>
  <c r="Q101" i="75"/>
  <c r="Q104" i="74"/>
  <c r="BC33" i="95"/>
  <c r="DT103" i="75"/>
  <c r="EO107" i="75"/>
  <c r="AO106" i="74"/>
  <c r="EO106" i="75"/>
  <c r="BB29" i="95"/>
  <c r="AO105" i="74"/>
  <c r="AS33" i="95"/>
  <c r="W111" i="95"/>
  <c r="W110" i="95"/>
  <c r="AY41" i="95"/>
  <c r="AW29" i="95"/>
  <c r="DT101" i="75"/>
  <c r="AO107" i="74"/>
  <c r="Q105" i="74"/>
  <c r="AO104" i="74"/>
  <c r="Q103" i="75"/>
  <c r="Q106" i="74"/>
  <c r="EO104" i="75"/>
  <c r="BD40" i="95"/>
  <c r="Q100" i="75"/>
  <c r="Q107" i="74"/>
  <c r="W109" i="95"/>
  <c r="EO105" i="75"/>
  <c r="AX33" i="95"/>
  <c r="AR29" i="95"/>
  <c r="DT102" i="75"/>
  <c r="Q102" i="75"/>
  <c r="AT41" i="95"/>
  <c r="BE29" i="95" l="1"/>
  <c r="AQ27" i="69"/>
  <c r="DM26" i="75"/>
  <c r="L25" i="75"/>
  <c r="AK27" i="69"/>
  <c r="G26" i="75"/>
  <c r="M26" i="74"/>
  <c r="N26" i="74"/>
  <c r="T29" i="95"/>
  <c r="EH27" i="75"/>
  <c r="AW28" i="69"/>
  <c r="G27" i="74"/>
  <c r="X28" i="74"/>
  <c r="BL27" i="69"/>
  <c r="AD28" i="69"/>
  <c r="L26" i="74"/>
  <c r="Q88" i="87"/>
  <c r="Q89" i="87"/>
  <c r="Q107" i="75"/>
  <c r="BI60" i="95"/>
  <c r="Q108" i="74"/>
  <c r="AO110" i="74"/>
  <c r="DT106" i="75"/>
  <c r="AT42" i="95"/>
  <c r="Q104" i="75"/>
  <c r="Q110" i="74"/>
  <c r="AR30" i="95"/>
  <c r="EO109" i="75"/>
  <c r="Q106" i="75"/>
  <c r="AW30" i="95"/>
  <c r="DT107" i="75"/>
  <c r="AG15" i="95"/>
  <c r="BI15" i="95"/>
  <c r="W115" i="95"/>
  <c r="AO108" i="74"/>
  <c r="BB30" i="95"/>
  <c r="W113" i="95"/>
  <c r="AS34" i="95"/>
  <c r="AO109" i="74"/>
  <c r="BC34" i="95"/>
  <c r="DT104" i="75"/>
  <c r="EO108" i="75"/>
  <c r="W112" i="95"/>
  <c r="EO110" i="75"/>
  <c r="AX34" i="95"/>
  <c r="Q109" i="74"/>
  <c r="DT105" i="75"/>
  <c r="AY42" i="95"/>
  <c r="BD41" i="95"/>
  <c r="W114" i="95"/>
  <c r="Q105" i="75"/>
  <c r="BK60" i="95" l="1"/>
  <c r="BK15" i="95"/>
  <c r="BE30" i="95"/>
  <c r="DM27" i="75"/>
  <c r="AQ28" i="69"/>
  <c r="L26" i="75"/>
  <c r="G27" i="75"/>
  <c r="AK28" i="69"/>
  <c r="EH28" i="75"/>
  <c r="AW29" i="69"/>
  <c r="M27" i="74"/>
  <c r="N27" i="74"/>
  <c r="L27" i="74"/>
  <c r="T30" i="95"/>
  <c r="X29" i="74"/>
  <c r="G28" i="74"/>
  <c r="BL28" i="69"/>
  <c r="AD29" i="69"/>
  <c r="P90" i="87"/>
  <c r="AY43" i="95"/>
  <c r="EO114" i="75"/>
  <c r="AO112" i="74"/>
  <c r="DT109" i="75"/>
  <c r="EO111" i="75"/>
  <c r="AR31" i="95"/>
  <c r="W117" i="95"/>
  <c r="AW31" i="95"/>
  <c r="DT108" i="75"/>
  <c r="Q109" i="75"/>
  <c r="AT43" i="95"/>
  <c r="BC35" i="95"/>
  <c r="BB14" i="69"/>
  <c r="DT110" i="75"/>
  <c r="EO113" i="75"/>
  <c r="Q111" i="74"/>
  <c r="BP14" i="69"/>
  <c r="AO111" i="74"/>
  <c r="AO114" i="74"/>
  <c r="W116" i="95"/>
  <c r="Q108" i="75"/>
  <c r="Q114" i="74"/>
  <c r="EO112" i="75"/>
  <c r="AO113" i="74"/>
  <c r="AX35" i="95"/>
  <c r="Q112" i="74"/>
  <c r="W118" i="95"/>
  <c r="Q110" i="75"/>
  <c r="BC14" i="69"/>
  <c r="AS35" i="95"/>
  <c r="Q113" i="74"/>
  <c r="BD42" i="95"/>
  <c r="BB31" i="95"/>
  <c r="BE31" i="95" l="1"/>
  <c r="AQ29" i="69"/>
  <c r="DM28" i="75"/>
  <c r="G28" i="75"/>
  <c r="AK29" i="69"/>
  <c r="L27" i="75"/>
  <c r="BQ14" i="69"/>
  <c r="T31" i="95"/>
  <c r="L28" i="74"/>
  <c r="M28" i="74"/>
  <c r="N28" i="74"/>
  <c r="G29" i="74"/>
  <c r="BL29" i="69"/>
  <c r="X30" i="74"/>
  <c r="AD30" i="69"/>
  <c r="EH29" i="75"/>
  <c r="AW30" i="69"/>
  <c r="P89" i="87"/>
  <c r="P88" i="87"/>
  <c r="Q84" i="87"/>
  <c r="Q85" i="87"/>
  <c r="Q86" i="87"/>
  <c r="Q87" i="87"/>
  <c r="BD43" i="95"/>
  <c r="Q111" i="75"/>
  <c r="DT111" i="75"/>
  <c r="EO116" i="75"/>
  <c r="AR32" i="95"/>
  <c r="AX36" i="95"/>
  <c r="W119" i="95"/>
  <c r="DT114" i="75"/>
  <c r="BB32" i="95"/>
  <c r="EO115" i="75"/>
  <c r="AO117" i="74"/>
  <c r="Q112" i="75"/>
  <c r="AO115" i="74"/>
  <c r="DT113" i="75"/>
  <c r="Q117" i="74"/>
  <c r="EO117" i="75"/>
  <c r="W122" i="95"/>
  <c r="AO116" i="74"/>
  <c r="AS36" i="95"/>
  <c r="BC36" i="95"/>
  <c r="Q116" i="74"/>
  <c r="Q114" i="75"/>
  <c r="W120" i="95"/>
  <c r="Q115" i="74"/>
  <c r="W121" i="95"/>
  <c r="Q113" i="75"/>
  <c r="AW32" i="95"/>
  <c r="DT112" i="75"/>
  <c r="BE32" i="95" l="1"/>
  <c r="DM29" i="75"/>
  <c r="AQ30" i="69"/>
  <c r="L28" i="75"/>
  <c r="G29" i="75"/>
  <c r="AK30" i="69"/>
  <c r="T32" i="95"/>
  <c r="EH30" i="75"/>
  <c r="AW31" i="69"/>
  <c r="M29" i="74"/>
  <c r="N29" i="74"/>
  <c r="X31" i="74"/>
  <c r="G30" i="74"/>
  <c r="BL30" i="69"/>
  <c r="AD31" i="69"/>
  <c r="L29" i="74"/>
  <c r="Q83" i="87"/>
  <c r="AR33" i="95"/>
  <c r="Q116" i="75"/>
  <c r="Q121" i="74"/>
  <c r="AO120" i="74"/>
  <c r="EO119" i="75"/>
  <c r="W123" i="95"/>
  <c r="DT116" i="75"/>
  <c r="Q119" i="74"/>
  <c r="W125" i="95"/>
  <c r="W124" i="95"/>
  <c r="AS37" i="95"/>
  <c r="DT115" i="75"/>
  <c r="Q115" i="75"/>
  <c r="Q120" i="74"/>
  <c r="EO118" i="75"/>
  <c r="DT117" i="75"/>
  <c r="Q117" i="75"/>
  <c r="EO120" i="75"/>
  <c r="AG16" i="95"/>
  <c r="AO118" i="74"/>
  <c r="BC37" i="95"/>
  <c r="AW33" i="95"/>
  <c r="AO121" i="74"/>
  <c r="BB33" i="95"/>
  <c r="AX37" i="95"/>
  <c r="AO119" i="74"/>
  <c r="Q118" i="74"/>
  <c r="BI16" i="95"/>
  <c r="EO121" i="75"/>
  <c r="BI61" i="95"/>
  <c r="BE33" i="95" l="1"/>
  <c r="BK61" i="95"/>
  <c r="BK16" i="95"/>
  <c r="AQ31" i="69"/>
  <c r="DM30" i="75"/>
  <c r="AK31" i="69"/>
  <c r="G30" i="75"/>
  <c r="L29" i="75"/>
  <c r="L30" i="74"/>
  <c r="M30" i="74"/>
  <c r="N30" i="74"/>
  <c r="T33" i="95"/>
  <c r="G31" i="74"/>
  <c r="L31" i="74" s="1"/>
  <c r="X32" i="74"/>
  <c r="BL31" i="69"/>
  <c r="AD32" i="69"/>
  <c r="EH31" i="75"/>
  <c r="AW32" i="69"/>
  <c r="Q82" i="87"/>
  <c r="AR34" i="95"/>
  <c r="DT120" i="75"/>
  <c r="DT121" i="75"/>
  <c r="EO123" i="75"/>
  <c r="Q119" i="75"/>
  <c r="DT118" i="75"/>
  <c r="AO122" i="74"/>
  <c r="Q124" i="74"/>
  <c r="DT119" i="75"/>
  <c r="BC38" i="95"/>
  <c r="AO123" i="74"/>
  <c r="BB34" i="95"/>
  <c r="W129" i="95"/>
  <c r="BP15" i="69"/>
  <c r="Q122" i="74"/>
  <c r="Q123" i="74"/>
  <c r="AW34" i="95"/>
  <c r="W127" i="95"/>
  <c r="AO124" i="74"/>
  <c r="BC15" i="69"/>
  <c r="AX38" i="95"/>
  <c r="W128" i="95"/>
  <c r="Q121" i="75"/>
  <c r="EO122" i="75"/>
  <c r="EO124" i="75"/>
  <c r="W126" i="95"/>
  <c r="AS38" i="95"/>
  <c r="Q118" i="75"/>
  <c r="BB15" i="69"/>
  <c r="Q120" i="75"/>
  <c r="BE34" i="95" l="1"/>
  <c r="DM31" i="75"/>
  <c r="AQ32" i="69"/>
  <c r="L30" i="75"/>
  <c r="G31" i="75"/>
  <c r="AK32" i="69"/>
  <c r="BQ15" i="69"/>
  <c r="EH32" i="75"/>
  <c r="AW33" i="69"/>
  <c r="M31" i="74"/>
  <c r="N31" i="74"/>
  <c r="T34" i="95"/>
  <c r="X33" i="74"/>
  <c r="BL32" i="69"/>
  <c r="G32" i="74"/>
  <c r="AD33" i="69"/>
  <c r="Q81" i="87"/>
  <c r="EO127" i="75"/>
  <c r="DT123" i="75"/>
  <c r="AX39" i="95"/>
  <c r="BB35" i="95"/>
  <c r="W131" i="95"/>
  <c r="DT124" i="75"/>
  <c r="Q127" i="74"/>
  <c r="DT122" i="75"/>
  <c r="Q122" i="75"/>
  <c r="AO127" i="74"/>
  <c r="EO125" i="75"/>
  <c r="AO126" i="74"/>
  <c r="W130" i="95"/>
  <c r="AW35" i="95"/>
  <c r="AS39" i="95"/>
  <c r="AO128" i="74"/>
  <c r="EO128" i="75"/>
  <c r="W132" i="95"/>
  <c r="Q126" i="74"/>
  <c r="Q128" i="74"/>
  <c r="AR35" i="95"/>
  <c r="Q123" i="75"/>
  <c r="AO125" i="74"/>
  <c r="Q125" i="74"/>
  <c r="BC39" i="95"/>
  <c r="Q124" i="75"/>
  <c r="EO126" i="75"/>
  <c r="BE35" i="95" l="1"/>
  <c r="DM32" i="75"/>
  <c r="AQ33" i="69"/>
  <c r="G32" i="75"/>
  <c r="AK33" i="69"/>
  <c r="L31" i="75"/>
  <c r="T35" i="95"/>
  <c r="N32" i="74"/>
  <c r="M32" i="74"/>
  <c r="EH33" i="75"/>
  <c r="AW34" i="69"/>
  <c r="X34" i="74"/>
  <c r="BL33" i="69"/>
  <c r="G33" i="74"/>
  <c r="L33" i="74" s="1"/>
  <c r="AD34" i="69"/>
  <c r="L32" i="74"/>
  <c r="Q80" i="87"/>
  <c r="AO129" i="74"/>
  <c r="AG17" i="95"/>
  <c r="Q128" i="75"/>
  <c r="AX40" i="95"/>
  <c r="AO130" i="74"/>
  <c r="DT126" i="75"/>
  <c r="Q130" i="74"/>
  <c r="AW36" i="95"/>
  <c r="DT125" i="75"/>
  <c r="EO131" i="75"/>
  <c r="Q129" i="74"/>
  <c r="AO131" i="74"/>
  <c r="DT127" i="75"/>
  <c r="Q125" i="75"/>
  <c r="Q131" i="74"/>
  <c r="AR36" i="95"/>
  <c r="BI62" i="95"/>
  <c r="W133" i="95"/>
  <c r="W136" i="95"/>
  <c r="Q127" i="75"/>
  <c r="AS40" i="95"/>
  <c r="W134" i="95"/>
  <c r="EO129" i="75"/>
  <c r="W135" i="95"/>
  <c r="Q126" i="75"/>
  <c r="BI17" i="95"/>
  <c r="BB36" i="95"/>
  <c r="EO130" i="75"/>
  <c r="BC40" i="95"/>
  <c r="DT128" i="75"/>
  <c r="BK62" i="95" l="1"/>
  <c r="BK17" i="95"/>
  <c r="BE36" i="95"/>
  <c r="DM33" i="75"/>
  <c r="AQ34" i="69"/>
  <c r="G33" i="75"/>
  <c r="AK34" i="69"/>
  <c r="L32" i="75"/>
  <c r="T36" i="95"/>
  <c r="BL34" i="69"/>
  <c r="G34" i="74"/>
  <c r="L34" i="74" s="1"/>
  <c r="X35" i="74"/>
  <c r="AD35" i="69"/>
  <c r="EH34" i="75"/>
  <c r="AW35" i="69"/>
  <c r="M33" i="74"/>
  <c r="N33" i="74"/>
  <c r="P83" i="87"/>
  <c r="P84" i="87"/>
  <c r="P85" i="87"/>
  <c r="P81" i="87"/>
  <c r="P86" i="87"/>
  <c r="P82" i="87"/>
  <c r="P87" i="87"/>
  <c r="Q11" i="87"/>
  <c r="Q12" i="87"/>
  <c r="Q13" i="87"/>
  <c r="Q14" i="87"/>
  <c r="Q15" i="87"/>
  <c r="Q16" i="87"/>
  <c r="Q17" i="87"/>
  <c r="Q18" i="87"/>
  <c r="Q19" i="87"/>
  <c r="Q20" i="87"/>
  <c r="Q21" i="87"/>
  <c r="Q22" i="87"/>
  <c r="Q23" i="87"/>
  <c r="Q24" i="87"/>
  <c r="Q25" i="87"/>
  <c r="Q26" i="87"/>
  <c r="Q27" i="87"/>
  <c r="Q28" i="87"/>
  <c r="Q29" i="87"/>
  <c r="Q30" i="87"/>
  <c r="Q31" i="87"/>
  <c r="Q32" i="87"/>
  <c r="Q33" i="87"/>
  <c r="Q34" i="87"/>
  <c r="Q35" i="87"/>
  <c r="Q36" i="87"/>
  <c r="Q37" i="87"/>
  <c r="Q38" i="87"/>
  <c r="Q39" i="87"/>
  <c r="Q40" i="87"/>
  <c r="Q41" i="87"/>
  <c r="Q42" i="87"/>
  <c r="Q43" i="87"/>
  <c r="Q44" i="87"/>
  <c r="Q45" i="87"/>
  <c r="Q46" i="87"/>
  <c r="Q47" i="87"/>
  <c r="Q48" i="87"/>
  <c r="Q49" i="87"/>
  <c r="Q50" i="87"/>
  <c r="Q51" i="87"/>
  <c r="Q52" i="87"/>
  <c r="Q53" i="87"/>
  <c r="Q54" i="87"/>
  <c r="Q55" i="87"/>
  <c r="Q56" i="87"/>
  <c r="Q57" i="87"/>
  <c r="Q58" i="87"/>
  <c r="Q59" i="87"/>
  <c r="Q60" i="87"/>
  <c r="Q61" i="87"/>
  <c r="Q62" i="87"/>
  <c r="Q63" i="87"/>
  <c r="Q64" i="87"/>
  <c r="Q65" i="87"/>
  <c r="Q66" i="87"/>
  <c r="Q67" i="87"/>
  <c r="Q68" i="87"/>
  <c r="Q69" i="87"/>
  <c r="Q70" i="87"/>
  <c r="Q71" i="87"/>
  <c r="Q72" i="87"/>
  <c r="Q73" i="87"/>
  <c r="Q74" i="87"/>
  <c r="Q75" i="87"/>
  <c r="Q76" i="87"/>
  <c r="Q77" i="87"/>
  <c r="Q78" i="87"/>
  <c r="Q79" i="87"/>
  <c r="Q10" i="87"/>
  <c r="AR37" i="95"/>
  <c r="W139" i="95"/>
  <c r="EO133" i="75"/>
  <c r="Q134" i="74"/>
  <c r="EO135" i="75"/>
  <c r="Q131" i="75"/>
  <c r="AO133" i="74"/>
  <c r="AO134" i="74"/>
  <c r="AX41" i="95"/>
  <c r="DT129" i="75"/>
  <c r="W137" i="95"/>
  <c r="Q130" i="75"/>
  <c r="DT130" i="75"/>
  <c r="W138" i="95"/>
  <c r="BB16" i="69"/>
  <c r="BP16" i="69"/>
  <c r="BB37" i="95"/>
  <c r="AO132" i="74"/>
  <c r="Q135" i="74"/>
  <c r="Q133" i="74"/>
  <c r="BC41" i="95"/>
  <c r="AS41" i="95"/>
  <c r="DT131" i="75"/>
  <c r="AW37" i="95"/>
  <c r="BC16" i="69"/>
  <c r="Q129" i="75"/>
  <c r="EO134" i="75"/>
  <c r="AO135" i="74"/>
  <c r="Q132" i="74"/>
  <c r="EO132" i="75"/>
  <c r="BE37" i="95" l="1"/>
  <c r="DM34" i="75"/>
  <c r="AQ35" i="69"/>
  <c r="G34" i="75"/>
  <c r="L34" i="75" s="1"/>
  <c r="AK35" i="69"/>
  <c r="L33" i="75"/>
  <c r="BQ16" i="69"/>
  <c r="T37" i="95"/>
  <c r="BL35" i="69"/>
  <c r="G35" i="74"/>
  <c r="L35" i="74" s="1"/>
  <c r="X36" i="74"/>
  <c r="AD36" i="69"/>
  <c r="N34" i="74"/>
  <c r="M34" i="74"/>
  <c r="EH35" i="75"/>
  <c r="AW36" i="69"/>
  <c r="P62" i="87"/>
  <c r="P31" i="87"/>
  <c r="P17" i="87"/>
  <c r="P55" i="87"/>
  <c r="P48" i="87"/>
  <c r="P44" i="87"/>
  <c r="P61" i="87"/>
  <c r="AR38" i="95"/>
  <c r="AS42" i="95"/>
  <c r="EO136" i="75"/>
  <c r="DT132" i="75"/>
  <c r="AX42" i="95"/>
  <c r="DT135" i="75"/>
  <c r="AO137" i="74"/>
  <c r="BC42" i="95"/>
  <c r="W140" i="95"/>
  <c r="Q138" i="74"/>
  <c r="EO137" i="75"/>
  <c r="BB38" i="95"/>
  <c r="Q133" i="75"/>
  <c r="DT134" i="75"/>
  <c r="W142" i="95"/>
  <c r="DT133" i="75"/>
  <c r="Q132" i="75"/>
  <c r="Q135" i="75"/>
  <c r="Q134" i="75"/>
  <c r="AO138" i="74"/>
  <c r="Q137" i="74"/>
  <c r="W141" i="95"/>
  <c r="W143" i="95"/>
  <c r="AW38" i="95"/>
  <c r="Q136" i="74"/>
  <c r="EO138" i="75"/>
  <c r="AO136" i="74"/>
  <c r="BE38" i="95" l="1"/>
  <c r="DM35" i="75"/>
  <c r="AQ36" i="69"/>
  <c r="G35" i="75"/>
  <c r="L35" i="75" s="1"/>
  <c r="AK36" i="69"/>
  <c r="BL36" i="69"/>
  <c r="X37" i="74"/>
  <c r="G36" i="74"/>
  <c r="L36" i="74" s="1"/>
  <c r="AD37" i="69"/>
  <c r="N35" i="74"/>
  <c r="M35" i="74"/>
  <c r="EH36" i="75"/>
  <c r="AW37" i="69"/>
  <c r="T38" i="95"/>
  <c r="P47" i="87"/>
  <c r="P18" i="87"/>
  <c r="P21" i="87"/>
  <c r="P32" i="87"/>
  <c r="P11" i="87"/>
  <c r="P74" i="87"/>
  <c r="P14" i="87"/>
  <c r="P51" i="87"/>
  <c r="P58" i="87"/>
  <c r="P24" i="87"/>
  <c r="P37" i="87"/>
  <c r="P23" i="87"/>
  <c r="P13" i="87"/>
  <c r="P46" i="87"/>
  <c r="P53" i="87"/>
  <c r="P40" i="87"/>
  <c r="P28" i="87"/>
  <c r="P22" i="87"/>
  <c r="P70" i="87"/>
  <c r="P69" i="87"/>
  <c r="P38" i="87"/>
  <c r="P39" i="87"/>
  <c r="P57" i="87"/>
  <c r="P35" i="87"/>
  <c r="P56" i="87"/>
  <c r="P68" i="87"/>
  <c r="P54" i="87"/>
  <c r="P45" i="87"/>
  <c r="P10" i="87"/>
  <c r="P77" i="87"/>
  <c r="P34" i="87"/>
  <c r="P67" i="87"/>
  <c r="P72" i="87"/>
  <c r="P19" i="87"/>
  <c r="P59" i="87"/>
  <c r="P27" i="87"/>
  <c r="P75" i="87"/>
  <c r="P78" i="87"/>
  <c r="P33" i="87"/>
  <c r="P79" i="87"/>
  <c r="P76" i="87"/>
  <c r="P30" i="87"/>
  <c r="P60" i="87"/>
  <c r="P25" i="87"/>
  <c r="P42" i="87"/>
  <c r="P26" i="87"/>
  <c r="P20" i="87"/>
  <c r="P73" i="87"/>
  <c r="P16" i="87"/>
  <c r="P63" i="87"/>
  <c r="P50" i="87"/>
  <c r="AR39" i="95"/>
  <c r="EO140" i="75"/>
  <c r="DT138" i="75"/>
  <c r="Q137" i="75"/>
  <c r="AS43" i="95"/>
  <c r="AO141" i="74"/>
  <c r="AG18" i="95"/>
  <c r="DT137" i="75"/>
  <c r="BC43" i="95"/>
  <c r="EO141" i="75"/>
  <c r="AO140" i="74"/>
  <c r="W144" i="95"/>
  <c r="Q140" i="74"/>
  <c r="Q139" i="74"/>
  <c r="W146" i="95"/>
  <c r="Q136" i="75"/>
  <c r="Q138" i="75"/>
  <c r="Q141" i="74"/>
  <c r="BI18" i="95"/>
  <c r="AX43" i="95"/>
  <c r="Q142" i="74"/>
  <c r="AO139" i="74"/>
  <c r="AW39" i="95"/>
  <c r="EO142" i="75"/>
  <c r="EO139" i="75"/>
  <c r="BB39" i="95"/>
  <c r="AO142" i="74"/>
  <c r="BI63" i="95"/>
  <c r="DT136" i="75"/>
  <c r="W145" i="95"/>
  <c r="BE39" i="95" l="1"/>
  <c r="BK18" i="95"/>
  <c r="BK63" i="95"/>
  <c r="DM36" i="75"/>
  <c r="AQ37" i="69"/>
  <c r="G36" i="75"/>
  <c r="AK37" i="69"/>
  <c r="T39" i="95"/>
  <c r="BL37" i="69"/>
  <c r="G37" i="74"/>
  <c r="L37" i="74" s="1"/>
  <c r="X38" i="74"/>
  <c r="AD38" i="69"/>
  <c r="EH37" i="75"/>
  <c r="AW38" i="69"/>
  <c r="N36" i="74"/>
  <c r="M36" i="74"/>
  <c r="P64" i="87"/>
  <c r="P80" i="87"/>
  <c r="P29" i="87"/>
  <c r="P15" i="87"/>
  <c r="P43" i="87"/>
  <c r="P71" i="87"/>
  <c r="P65" i="87"/>
  <c r="P49" i="87"/>
  <c r="P12" i="87"/>
  <c r="P41" i="87"/>
  <c r="P36" i="87"/>
  <c r="AR40" i="95"/>
  <c r="AW40" i="95"/>
  <c r="EO143" i="75"/>
  <c r="Q145" i="74"/>
  <c r="BB40" i="95"/>
  <c r="AO143" i="74"/>
  <c r="W149" i="95"/>
  <c r="Q144" i="74"/>
  <c r="AO145" i="74"/>
  <c r="BC17" i="69"/>
  <c r="W148" i="95"/>
  <c r="Q140" i="75"/>
  <c r="BB17" i="69"/>
  <c r="EO145" i="75"/>
  <c r="EO144" i="75"/>
  <c r="DT139" i="75"/>
  <c r="BP17" i="69"/>
  <c r="AO144" i="74"/>
  <c r="DT142" i="75"/>
  <c r="Q143" i="74"/>
  <c r="DT141" i="75"/>
  <c r="W147" i="95"/>
  <c r="DT140" i="75"/>
  <c r="Q139" i="75"/>
  <c r="Q142" i="75"/>
  <c r="Q141" i="75"/>
  <c r="W150" i="95"/>
  <c r="BE40" i="95" l="1"/>
  <c r="DM37" i="75"/>
  <c r="AQ38" i="69"/>
  <c r="G37" i="75"/>
  <c r="AK38" i="69"/>
  <c r="L36" i="75"/>
  <c r="BQ17" i="69"/>
  <c r="T40" i="95"/>
  <c r="N37" i="74"/>
  <c r="M37" i="74"/>
  <c r="X39" i="74"/>
  <c r="BL38" i="69"/>
  <c r="G38" i="74"/>
  <c r="AD39" i="69"/>
  <c r="EH38" i="75"/>
  <c r="AW39" i="69"/>
  <c r="P52" i="87"/>
  <c r="AR41" i="95"/>
  <c r="AO149" i="74"/>
  <c r="Q147" i="74"/>
  <c r="AO147" i="74"/>
  <c r="EO146" i="75"/>
  <c r="AO146" i="74"/>
  <c r="W152" i="95"/>
  <c r="Q148" i="74"/>
  <c r="W151" i="95"/>
  <c r="Q143" i="75"/>
  <c r="Q144" i="75"/>
  <c r="DT145" i="75"/>
  <c r="W153" i="95"/>
  <c r="EO148" i="75"/>
  <c r="AW41" i="95"/>
  <c r="Q149" i="74"/>
  <c r="DT143" i="75"/>
  <c r="AO148" i="74"/>
  <c r="EO149" i="75"/>
  <c r="Q145" i="75"/>
  <c r="DT144" i="75"/>
  <c r="EO147" i="75"/>
  <c r="Q146" i="74"/>
  <c r="BB41" i="95"/>
  <c r="BE41" i="95" l="1"/>
  <c r="AQ39" i="69"/>
  <c r="DM38" i="75"/>
  <c r="G38" i="75"/>
  <c r="AK39" i="69"/>
  <c r="L37" i="75"/>
  <c r="T41" i="95"/>
  <c r="EH39" i="75"/>
  <c r="AW40" i="69"/>
  <c r="L38" i="74"/>
  <c r="M38" i="74"/>
  <c r="N38" i="74"/>
  <c r="BL39" i="69"/>
  <c r="X40" i="74"/>
  <c r="G39" i="74"/>
  <c r="AD40" i="69"/>
  <c r="P66" i="87"/>
  <c r="AR42" i="95"/>
  <c r="AR43" i="95" s="1"/>
  <c r="DT146" i="75"/>
  <c r="AW42" i="95"/>
  <c r="W155" i="95"/>
  <c r="DT147" i="75"/>
  <c r="Q150" i="74"/>
  <c r="EO151" i="75"/>
  <c r="BB42" i="95"/>
  <c r="W157" i="95"/>
  <c r="BI64" i="95"/>
  <c r="Q152" i="74"/>
  <c r="Q148" i="75"/>
  <c r="AO150" i="74"/>
  <c r="Q151" i="74"/>
  <c r="Q146" i="75"/>
  <c r="BI19" i="95"/>
  <c r="Q147" i="75"/>
  <c r="W156" i="95"/>
  <c r="DT148" i="75"/>
  <c r="W154" i="95"/>
  <c r="DT149" i="75"/>
  <c r="Q149" i="75"/>
  <c r="EO150" i="75"/>
  <c r="AO152" i="74"/>
  <c r="EO152" i="75"/>
  <c r="AG19" i="95"/>
  <c r="AO151" i="74"/>
  <c r="BK19" i="95" l="1"/>
  <c r="BK64" i="95"/>
  <c r="BE42" i="95"/>
  <c r="DM39" i="75"/>
  <c r="AQ40" i="69"/>
  <c r="G39" i="75"/>
  <c r="AK40" i="69"/>
  <c r="L38" i="75"/>
  <c r="T42" i="95"/>
  <c r="L39" i="74"/>
  <c r="N39" i="74"/>
  <c r="M39" i="74"/>
  <c r="G40" i="74"/>
  <c r="L40" i="74" s="1"/>
  <c r="BL40" i="69"/>
  <c r="X41" i="74"/>
  <c r="AD41" i="69"/>
  <c r="EH40" i="75"/>
  <c r="AW41" i="69"/>
  <c r="R11" i="87"/>
  <c r="R12" i="87"/>
  <c r="R14" i="87"/>
  <c r="R15" i="87"/>
  <c r="R16" i="87"/>
  <c r="R17" i="87"/>
  <c r="R18" i="87"/>
  <c r="R19" i="87"/>
  <c r="R20" i="87"/>
  <c r="R21" i="87"/>
  <c r="R22" i="87"/>
  <c r="R24" i="87"/>
  <c r="R25" i="87"/>
  <c r="R26" i="87"/>
  <c r="R27" i="87"/>
  <c r="R28" i="87"/>
  <c r="R29" i="87"/>
  <c r="R30" i="87"/>
  <c r="R31" i="87"/>
  <c r="R32" i="87"/>
  <c r="R33" i="87"/>
  <c r="R34" i="87"/>
  <c r="R35" i="87"/>
  <c r="R36" i="87"/>
  <c r="R37" i="87"/>
  <c r="R38" i="87"/>
  <c r="R39" i="87"/>
  <c r="R40" i="87"/>
  <c r="R41" i="87"/>
  <c r="R42" i="87"/>
  <c r="R43" i="87"/>
  <c r="R44" i="87"/>
  <c r="R45" i="87"/>
  <c r="R46" i="87"/>
  <c r="R47" i="87"/>
  <c r="R48" i="87"/>
  <c r="R49" i="87"/>
  <c r="R50" i="87"/>
  <c r="R51" i="87"/>
  <c r="R52" i="87"/>
  <c r="R53" i="87"/>
  <c r="R54" i="87"/>
  <c r="R55" i="87"/>
  <c r="R56" i="87"/>
  <c r="R57" i="87"/>
  <c r="R58" i="87"/>
  <c r="R59" i="87"/>
  <c r="R60" i="87"/>
  <c r="R61" i="87"/>
  <c r="R62" i="87"/>
  <c r="R63" i="87"/>
  <c r="R64" i="87"/>
  <c r="R65" i="87"/>
  <c r="R66" i="87"/>
  <c r="R67" i="87"/>
  <c r="R68" i="87"/>
  <c r="R69" i="87"/>
  <c r="R70" i="87"/>
  <c r="R71" i="87"/>
  <c r="R72" i="87"/>
  <c r="R73" i="87"/>
  <c r="R74" i="87"/>
  <c r="R75" i="87"/>
  <c r="R76" i="87"/>
  <c r="R77" i="87"/>
  <c r="R78" i="87"/>
  <c r="R79" i="87"/>
  <c r="R80" i="87"/>
  <c r="R81" i="87"/>
  <c r="R82" i="87"/>
  <c r="R84" i="87"/>
  <c r="R85" i="87"/>
  <c r="R86" i="87"/>
  <c r="R87" i="87"/>
  <c r="R88" i="87"/>
  <c r="R89" i="87"/>
  <c r="R90" i="87"/>
  <c r="R10" i="87"/>
  <c r="DT150" i="75"/>
  <c r="EO154" i="75"/>
  <c r="W159" i="95"/>
  <c r="EO153" i="75"/>
  <c r="DT152" i="75"/>
  <c r="AW43" i="95"/>
  <c r="BB18" i="69"/>
  <c r="Q155" i="74"/>
  <c r="DT151" i="75"/>
  <c r="EO156" i="75"/>
  <c r="AO156" i="74"/>
  <c r="Q152" i="75"/>
  <c r="BB43" i="95"/>
  <c r="AO155" i="74"/>
  <c r="AO154" i="74"/>
  <c r="EO155" i="75"/>
  <c r="Q154" i="74"/>
  <c r="W158" i="95"/>
  <c r="W160" i="95"/>
  <c r="BC18" i="69"/>
  <c r="Q156" i="74"/>
  <c r="BP18" i="69"/>
  <c r="Q151" i="75"/>
  <c r="Q150" i="75"/>
  <c r="AO153" i="74"/>
  <c r="Q153" i="74"/>
  <c r="BE43" i="95" l="1"/>
  <c r="DM40" i="75"/>
  <c r="AQ41" i="69"/>
  <c r="G40" i="75"/>
  <c r="AK41" i="69"/>
  <c r="L39" i="75"/>
  <c r="BQ18" i="69"/>
  <c r="M40" i="74"/>
  <c r="N40" i="74"/>
  <c r="T43" i="95"/>
  <c r="EH41" i="75"/>
  <c r="AW42" i="69"/>
  <c r="EH42" i="75" s="1"/>
  <c r="X42" i="74"/>
  <c r="G41" i="74"/>
  <c r="L41" i="74" s="1"/>
  <c r="BL41" i="69"/>
  <c r="AD42" i="69"/>
  <c r="B16" i="87"/>
  <c r="R83" i="87"/>
  <c r="R23" i="87"/>
  <c r="R91" i="87"/>
  <c r="W91" i="87"/>
  <c r="EO158" i="75"/>
  <c r="W161" i="95"/>
  <c r="DT155" i="75"/>
  <c r="EO157" i="75"/>
  <c r="AO158" i="74"/>
  <c r="Q159" i="74"/>
  <c r="EO163" i="75"/>
  <c r="EO162" i="75"/>
  <c r="DT156" i="75"/>
  <c r="EO160" i="75"/>
  <c r="AO160" i="74"/>
  <c r="Q156" i="75"/>
  <c r="Q158" i="74"/>
  <c r="BI65" i="95"/>
  <c r="DT153" i="75"/>
  <c r="BI20" i="95"/>
  <c r="DT154" i="75"/>
  <c r="AO161" i="74"/>
  <c r="W162" i="95"/>
  <c r="Q153" i="75"/>
  <c r="Q155" i="75"/>
  <c r="W164" i="95"/>
  <c r="Q154" i="75"/>
  <c r="EO161" i="75"/>
  <c r="AO159" i="74"/>
  <c r="EO159" i="75"/>
  <c r="AO157" i="74"/>
  <c r="AG20" i="95"/>
  <c r="AO162" i="74"/>
  <c r="W163" i="95"/>
  <c r="Q157" i="74"/>
  <c r="BK20" i="95" l="1"/>
  <c r="BK65" i="95"/>
  <c r="AQ42" i="69"/>
  <c r="DM41" i="75"/>
  <c r="G41" i="75"/>
  <c r="AK42" i="69"/>
  <c r="L40" i="75"/>
  <c r="G42" i="74"/>
  <c r="BL42" i="69"/>
  <c r="M41" i="74"/>
  <c r="N41" i="74"/>
  <c r="AE91" i="87"/>
  <c r="U91" i="87"/>
  <c r="T91" i="87"/>
  <c r="V91" i="87"/>
  <c r="S91" i="87"/>
  <c r="Q160" i="74"/>
  <c r="Q159" i="75"/>
  <c r="BC19" i="69"/>
  <c r="Q157" i="75"/>
  <c r="DT157" i="75"/>
  <c r="DT159" i="75"/>
  <c r="Q162" i="74"/>
  <c r="Q158" i="75"/>
  <c r="BP19" i="69"/>
  <c r="DT158" i="75"/>
  <c r="BB19" i="69"/>
  <c r="Q161" i="74"/>
  <c r="Q163" i="74"/>
  <c r="DM42" i="75" l="1"/>
  <c r="G42" i="75"/>
  <c r="L41" i="75"/>
  <c r="BQ19" i="69"/>
  <c r="L42" i="74"/>
  <c r="N42" i="74"/>
  <c r="M42" i="74"/>
  <c r="AA91" i="87"/>
  <c r="AD91" i="87"/>
  <c r="AC91" i="87"/>
  <c r="X91" i="87"/>
  <c r="AB91" i="87"/>
  <c r="DT160" i="75"/>
  <c r="Q160" i="75"/>
  <c r="Q161" i="75"/>
  <c r="Q163" i="75"/>
  <c r="Q162" i="75"/>
  <c r="DT161" i="75"/>
  <c r="DT163" i="75"/>
  <c r="DT162" i="75"/>
  <c r="L42" i="75" l="1"/>
  <c r="AF91" i="87"/>
  <c r="AG91" i="87"/>
  <c r="Y91" i="87" l="1"/>
  <c r="U89" i="87" l="1"/>
  <c r="S89" i="87"/>
  <c r="W89" i="87"/>
  <c r="V89" i="87"/>
  <c r="T89" i="87"/>
  <c r="AD89" i="87" l="1"/>
  <c r="AA89" i="87"/>
  <c r="AE89" i="87"/>
  <c r="AC89" i="87"/>
  <c r="AB89" i="87"/>
  <c r="X89" i="87"/>
  <c r="W90" i="87"/>
  <c r="S90" i="87"/>
  <c r="U90" i="87"/>
  <c r="T90" i="87"/>
  <c r="V90" i="87"/>
  <c r="AD90" i="87" l="1"/>
  <c r="AC90" i="87"/>
  <c r="AE90" i="87"/>
  <c r="AF89" i="87"/>
  <c r="AA90" i="87"/>
  <c r="AB90" i="87"/>
  <c r="X90" i="87"/>
  <c r="V88" i="87"/>
  <c r="T88" i="87"/>
  <c r="S88" i="87"/>
  <c r="U88" i="87"/>
  <c r="W88" i="87"/>
  <c r="AG89" i="87"/>
  <c r="Y89" i="87" l="1"/>
  <c r="AA88" i="87"/>
  <c r="AF90" i="87"/>
  <c r="AE88" i="87"/>
  <c r="AD88" i="87"/>
  <c r="AC88" i="87"/>
  <c r="AB88" i="87"/>
  <c r="X88" i="87"/>
  <c r="AG90" i="87"/>
  <c r="Y90" i="87" l="1"/>
  <c r="AF88" i="87"/>
  <c r="T86" i="87"/>
  <c r="S86" i="87"/>
  <c r="W86" i="87"/>
  <c r="V86" i="87"/>
  <c r="U86" i="87"/>
  <c r="V80" i="87"/>
  <c r="U80" i="87"/>
  <c r="S80" i="87"/>
  <c r="W80" i="87"/>
  <c r="T80" i="87"/>
  <c r="V34" i="87"/>
  <c r="T34" i="87"/>
  <c r="W34" i="87"/>
  <c r="S34" i="87"/>
  <c r="U34" i="87"/>
  <c r="AG88" i="87"/>
  <c r="Y88" i="87" l="1"/>
  <c r="AD34" i="87"/>
  <c r="AA80" i="87"/>
  <c r="AA86" i="87"/>
  <c r="AC80" i="87"/>
  <c r="AD86" i="87"/>
  <c r="AD80" i="87"/>
  <c r="AE86" i="87"/>
  <c r="AE80" i="87"/>
  <c r="AC34" i="87"/>
  <c r="AA34" i="87"/>
  <c r="AE34" i="87"/>
  <c r="AC86" i="87"/>
  <c r="X86" i="87"/>
  <c r="AB86" i="87"/>
  <c r="X80" i="87"/>
  <c r="AB80" i="87"/>
  <c r="X34" i="87"/>
  <c r="AB34" i="87"/>
  <c r="T37" i="87"/>
  <c r="U37" i="87"/>
  <c r="V37" i="87"/>
  <c r="W37" i="87"/>
  <c r="S37" i="87"/>
  <c r="U18" i="87"/>
  <c r="AC18" i="87" l="1"/>
  <c r="AF80" i="87"/>
  <c r="AE37" i="87"/>
  <c r="AF34" i="87"/>
  <c r="AF86" i="87"/>
  <c r="AA37" i="87"/>
  <c r="AD37" i="87"/>
  <c r="AC37" i="87"/>
  <c r="AB37" i="87"/>
  <c r="X37" i="87"/>
  <c r="T22" i="87"/>
  <c r="V22" i="87"/>
  <c r="S22" i="87"/>
  <c r="U22" i="87"/>
  <c r="W22" i="87"/>
  <c r="U20" i="87"/>
  <c r="U12" i="87"/>
  <c r="S12" i="87"/>
  <c r="W12" i="87"/>
  <c r="V12" i="87"/>
  <c r="T12" i="87"/>
  <c r="S48" i="87"/>
  <c r="W48" i="87"/>
  <c r="T48" i="87"/>
  <c r="V48" i="87"/>
  <c r="U48" i="87"/>
  <c r="V18" i="87"/>
  <c r="S18" i="87"/>
  <c r="V46" i="87"/>
  <c r="S46" i="87"/>
  <c r="W46" i="87"/>
  <c r="U46" i="87"/>
  <c r="T46" i="87"/>
  <c r="T18" i="87"/>
  <c r="W18" i="87"/>
  <c r="V26" i="87"/>
  <c r="S26" i="87"/>
  <c r="T26" i="87"/>
  <c r="U26" i="87"/>
  <c r="W26" i="87"/>
  <c r="S75" i="87"/>
  <c r="W75" i="87"/>
  <c r="T75" i="87"/>
  <c r="V75" i="87"/>
  <c r="U75" i="87"/>
  <c r="W67" i="87"/>
  <c r="V67" i="87"/>
  <c r="S67" i="87"/>
  <c r="T67" i="87"/>
  <c r="U67" i="87"/>
  <c r="AG80" i="87"/>
  <c r="AG34" i="87"/>
  <c r="AG86" i="87"/>
  <c r="Y34" i="87" l="1"/>
  <c r="Y80" i="87"/>
  <c r="Y86" i="87"/>
  <c r="AA26" i="87"/>
  <c r="AD12" i="87"/>
  <c r="AD22" i="87"/>
  <c r="AE12" i="87"/>
  <c r="AC75" i="87"/>
  <c r="AD26" i="87"/>
  <c r="AC48" i="87"/>
  <c r="AA12" i="87"/>
  <c r="AF37" i="87"/>
  <c r="AE18" i="87"/>
  <c r="AC12" i="87"/>
  <c r="AD18" i="87"/>
  <c r="AE75" i="87"/>
  <c r="AD48" i="87"/>
  <c r="AC20" i="87"/>
  <c r="AD46" i="87"/>
  <c r="AD75" i="87"/>
  <c r="AE26" i="87"/>
  <c r="AD67" i="87"/>
  <c r="AC26" i="87"/>
  <c r="AE46" i="87"/>
  <c r="AE48" i="87"/>
  <c r="AE22" i="87"/>
  <c r="AA22" i="87"/>
  <c r="AA18" i="87"/>
  <c r="AC67" i="87"/>
  <c r="AA75" i="87"/>
  <c r="AA67" i="87"/>
  <c r="AC46" i="87"/>
  <c r="AE67" i="87"/>
  <c r="AA46" i="87"/>
  <c r="AA48" i="87"/>
  <c r="AC22" i="87"/>
  <c r="AB26" i="87"/>
  <c r="X26" i="87"/>
  <c r="X48" i="87"/>
  <c r="AB48" i="87"/>
  <c r="AB22" i="87"/>
  <c r="X22" i="87"/>
  <c r="AB67" i="87"/>
  <c r="X67" i="87"/>
  <c r="X75" i="87"/>
  <c r="AB75" i="87"/>
  <c r="AB18" i="87"/>
  <c r="X18" i="87"/>
  <c r="AB46" i="87"/>
  <c r="X46" i="87"/>
  <c r="AB12" i="87"/>
  <c r="X12" i="87"/>
  <c r="V83" i="87"/>
  <c r="T83" i="87"/>
  <c r="U83" i="87"/>
  <c r="S83" i="87"/>
  <c r="W83" i="87"/>
  <c r="W19" i="87"/>
  <c r="T19" i="87"/>
  <c r="V19" i="87"/>
  <c r="U19" i="87"/>
  <c r="S19" i="87"/>
  <c r="W20" i="87"/>
  <c r="T20" i="87"/>
  <c r="S20" i="87"/>
  <c r="V20" i="87"/>
  <c r="T11" i="87"/>
  <c r="T47" i="87"/>
  <c r="V47" i="87"/>
  <c r="U47" i="87"/>
  <c r="W47" i="87"/>
  <c r="S47" i="87"/>
  <c r="T77" i="87"/>
  <c r="T78" i="87"/>
  <c r="V78" i="87"/>
  <c r="U78" i="87"/>
  <c r="W78" i="87"/>
  <c r="S78" i="87"/>
  <c r="V10" i="87"/>
  <c r="W10" i="87"/>
  <c r="T10" i="87"/>
  <c r="S10" i="87"/>
  <c r="U10" i="87"/>
  <c r="W49" i="87"/>
  <c r="T49" i="87"/>
  <c r="U49" i="87"/>
  <c r="S49" i="87"/>
  <c r="V49" i="87"/>
  <c r="S50" i="87"/>
  <c r="W50" i="87"/>
  <c r="U50" i="87"/>
  <c r="T50" i="87"/>
  <c r="V50" i="87"/>
  <c r="AG37" i="87"/>
  <c r="Y37" i="87" l="1"/>
  <c r="AC78" i="87"/>
  <c r="AC50" i="87"/>
  <c r="AC10" i="87"/>
  <c r="AD78" i="87"/>
  <c r="AE19" i="87"/>
  <c r="AF22" i="87"/>
  <c r="AF67" i="87"/>
  <c r="AA10" i="87"/>
  <c r="AF46" i="87"/>
  <c r="AA50" i="87"/>
  <c r="AA20" i="87"/>
  <c r="AE83" i="87"/>
  <c r="AE49" i="87"/>
  <c r="AE50" i="87"/>
  <c r="AE10" i="87"/>
  <c r="AA83" i="87"/>
  <c r="AF12" i="87"/>
  <c r="AD49" i="87"/>
  <c r="AA49" i="87"/>
  <c r="AD10" i="87"/>
  <c r="AE47" i="87"/>
  <c r="AE20" i="87"/>
  <c r="AC83" i="87"/>
  <c r="AF48" i="87"/>
  <c r="AD19" i="87"/>
  <c r="AC49" i="87"/>
  <c r="AA19" i="87"/>
  <c r="AF26" i="87"/>
  <c r="AD20" i="87"/>
  <c r="AA47" i="87"/>
  <c r="AF18" i="87"/>
  <c r="AA78" i="87"/>
  <c r="AC47" i="87"/>
  <c r="AD50" i="87"/>
  <c r="AE78" i="87"/>
  <c r="AD47" i="87"/>
  <c r="AC19" i="87"/>
  <c r="AD83" i="87"/>
  <c r="AF75" i="87"/>
  <c r="AB11" i="87"/>
  <c r="X20" i="87"/>
  <c r="AB20" i="87"/>
  <c r="AB83" i="87"/>
  <c r="X83" i="87"/>
  <c r="AB19" i="87"/>
  <c r="X19" i="87"/>
  <c r="X47" i="87"/>
  <c r="AB47" i="87"/>
  <c r="AB50" i="87"/>
  <c r="X50" i="87"/>
  <c r="X49" i="87"/>
  <c r="AB49" i="87"/>
  <c r="X10" i="87"/>
  <c r="AB10" i="87"/>
  <c r="AB78" i="87"/>
  <c r="X78" i="87"/>
  <c r="AB77" i="87"/>
  <c r="W87" i="87"/>
  <c r="V87" i="87"/>
  <c r="T87" i="87"/>
  <c r="S87" i="87"/>
  <c r="U87" i="87"/>
  <c r="T82" i="87"/>
  <c r="U81" i="87"/>
  <c r="S11" i="87"/>
  <c r="V11" i="87"/>
  <c r="W11" i="87"/>
  <c r="U11" i="87"/>
  <c r="W64" i="87"/>
  <c r="W76" i="87"/>
  <c r="U76" i="87"/>
  <c r="T76" i="87"/>
  <c r="V76" i="87"/>
  <c r="S76" i="87"/>
  <c r="V77" i="87"/>
  <c r="S28" i="87"/>
  <c r="V28" i="87"/>
  <c r="T28" i="87"/>
  <c r="W28" i="87"/>
  <c r="U28" i="87"/>
  <c r="V15" i="87"/>
  <c r="W15" i="87"/>
  <c r="T15" i="87"/>
  <c r="S15" i="87"/>
  <c r="U15" i="87"/>
  <c r="U77" i="87"/>
  <c r="S77" i="87"/>
  <c r="W77" i="87"/>
  <c r="W43" i="87"/>
  <c r="V43" i="87"/>
  <c r="U43" i="87"/>
  <c r="T43" i="87"/>
  <c r="S43" i="87"/>
  <c r="U52" i="87"/>
  <c r="W52" i="87"/>
  <c r="S52" i="87"/>
  <c r="V52" i="87"/>
  <c r="T52" i="87"/>
  <c r="AG46" i="87"/>
  <c r="AG26" i="87"/>
  <c r="AG67" i="87"/>
  <c r="AG22" i="87"/>
  <c r="AG18" i="87"/>
  <c r="AG12" i="87"/>
  <c r="AG75" i="87"/>
  <c r="AG48" i="87"/>
  <c r="Y12" i="87" l="1"/>
  <c r="Y22" i="87"/>
  <c r="Y18" i="87"/>
  <c r="Y26" i="87"/>
  <c r="Y48" i="87"/>
  <c r="Y46" i="87"/>
  <c r="Y67" i="87"/>
  <c r="Y75" i="87"/>
  <c r="AE11" i="87"/>
  <c r="AD43" i="87"/>
  <c r="AD52" i="87"/>
  <c r="AD15" i="87"/>
  <c r="AD76" i="87"/>
  <c r="AA11" i="87"/>
  <c r="AF20" i="87"/>
  <c r="AD11" i="87"/>
  <c r="AF78" i="87"/>
  <c r="AF50" i="87"/>
  <c r="AE77" i="87"/>
  <c r="AC81" i="87"/>
  <c r="AE52" i="87"/>
  <c r="AA77" i="87"/>
  <c r="AE28" i="87"/>
  <c r="AC76" i="87"/>
  <c r="AF47" i="87"/>
  <c r="AC43" i="87"/>
  <c r="AD77" i="87"/>
  <c r="AE15" i="87"/>
  <c r="AA52" i="87"/>
  <c r="AC28" i="87"/>
  <c r="AC87" i="87"/>
  <c r="AF19" i="87"/>
  <c r="AF49" i="87"/>
  <c r="AA76" i="87"/>
  <c r="AE43" i="87"/>
  <c r="AC52" i="87"/>
  <c r="AC77" i="87"/>
  <c r="AE76" i="87"/>
  <c r="AA43" i="87"/>
  <c r="AC15" i="87"/>
  <c r="AD28" i="87"/>
  <c r="AE64" i="87"/>
  <c r="AA87" i="87"/>
  <c r="AD87" i="87"/>
  <c r="AE87" i="87"/>
  <c r="AA15" i="87"/>
  <c r="AA28" i="87"/>
  <c r="AC11" i="87"/>
  <c r="AF83" i="87"/>
  <c r="AB82" i="87"/>
  <c r="X76" i="87"/>
  <c r="AB76" i="87"/>
  <c r="AF10" i="87"/>
  <c r="AB43" i="87"/>
  <c r="X43" i="87"/>
  <c r="X77" i="87"/>
  <c r="X11" i="87"/>
  <c r="X52" i="87"/>
  <c r="AB52" i="87"/>
  <c r="AB15" i="87"/>
  <c r="X15" i="87"/>
  <c r="AB28" i="87"/>
  <c r="X28" i="87"/>
  <c r="AB87" i="87"/>
  <c r="X87" i="87"/>
  <c r="T85" i="87"/>
  <c r="S85" i="87"/>
  <c r="V85" i="87"/>
  <c r="U85" i="87"/>
  <c r="W85" i="87"/>
  <c r="U84" i="87"/>
  <c r="V84" i="87"/>
  <c r="T84" i="87"/>
  <c r="S84" i="87"/>
  <c r="W84" i="87"/>
  <c r="U82" i="87"/>
  <c r="V82" i="87"/>
  <c r="W82" i="87"/>
  <c r="S82" i="87"/>
  <c r="V81" i="87"/>
  <c r="S81" i="87"/>
  <c r="W81" i="87"/>
  <c r="T81" i="87"/>
  <c r="S36" i="87"/>
  <c r="T36" i="87"/>
  <c r="U36" i="87"/>
  <c r="W36" i="87"/>
  <c r="V36" i="87"/>
  <c r="T35" i="87"/>
  <c r="S35" i="87"/>
  <c r="U35" i="87"/>
  <c r="W35" i="87"/>
  <c r="V35" i="87"/>
  <c r="S64" i="87"/>
  <c r="T64" i="87"/>
  <c r="V64" i="87"/>
  <c r="U64" i="87"/>
  <c r="W74" i="87"/>
  <c r="U74" i="87"/>
  <c r="T74" i="87"/>
  <c r="V74" i="87"/>
  <c r="S74" i="87"/>
  <c r="U45" i="87"/>
  <c r="S45" i="87"/>
  <c r="T45" i="87"/>
  <c r="V45" i="87"/>
  <c r="W45" i="87"/>
  <c r="AG20" i="87"/>
  <c r="AG47" i="87"/>
  <c r="AG50" i="87"/>
  <c r="AG49" i="87"/>
  <c r="AG83" i="87"/>
  <c r="AG19" i="87"/>
  <c r="AG10" i="87"/>
  <c r="AG78" i="87"/>
  <c r="Y83" i="87" l="1"/>
  <c r="Y20" i="87"/>
  <c r="Y50" i="87"/>
  <c r="Y49" i="87"/>
  <c r="Y19" i="87"/>
  <c r="Y47" i="87"/>
  <c r="Y78" i="87"/>
  <c r="AF52" i="87"/>
  <c r="AA45" i="87"/>
  <c r="AD64" i="87"/>
  <c r="AD36" i="87"/>
  <c r="AD81" i="87"/>
  <c r="AD84" i="87"/>
  <c r="AF77" i="87"/>
  <c r="AA84" i="87"/>
  <c r="AA81" i="87"/>
  <c r="AE74" i="87"/>
  <c r="AE81" i="87"/>
  <c r="AF87" i="87"/>
  <c r="AC45" i="87"/>
  <c r="AE36" i="87"/>
  <c r="AC84" i="87"/>
  <c r="AA74" i="87"/>
  <c r="AC85" i="87"/>
  <c r="AF15" i="87"/>
  <c r="AA35" i="87"/>
  <c r="AA82" i="87"/>
  <c r="AF28" i="87"/>
  <c r="AA64" i="87"/>
  <c r="AD74" i="87"/>
  <c r="AD82" i="87"/>
  <c r="AE35" i="87"/>
  <c r="AA36" i="87"/>
  <c r="AC82" i="87"/>
  <c r="AD85" i="87"/>
  <c r="AD45" i="87"/>
  <c r="AC64" i="87"/>
  <c r="AF11" i="87"/>
  <c r="AF43" i="87"/>
  <c r="AC36" i="87"/>
  <c r="AE82" i="87"/>
  <c r="AE85" i="87"/>
  <c r="AD35" i="87"/>
  <c r="AE45" i="87"/>
  <c r="AC74" i="87"/>
  <c r="AC35" i="87"/>
  <c r="AE84" i="87"/>
  <c r="AA85" i="87"/>
  <c r="AF76" i="87"/>
  <c r="Y10" i="87"/>
  <c r="AB36" i="87"/>
  <c r="X36" i="87"/>
  <c r="AB84" i="87"/>
  <c r="X84" i="87"/>
  <c r="AB74" i="87"/>
  <c r="X74" i="87"/>
  <c r="X85" i="87"/>
  <c r="AB85" i="87"/>
  <c r="AB45" i="87"/>
  <c r="X45" i="87"/>
  <c r="X35" i="87"/>
  <c r="AB35" i="87"/>
  <c r="X82" i="87"/>
  <c r="X64" i="87"/>
  <c r="AB64" i="87"/>
  <c r="X81" i="87"/>
  <c r="AB81" i="87"/>
  <c r="T32" i="87"/>
  <c r="S32" i="87"/>
  <c r="U32" i="87"/>
  <c r="V32" i="87"/>
  <c r="W32" i="87"/>
  <c r="W79" i="87"/>
  <c r="T79" i="87"/>
  <c r="U79" i="87"/>
  <c r="S79" i="87"/>
  <c r="V79" i="87"/>
  <c r="S21" i="87"/>
  <c r="U21" i="87"/>
  <c r="W21" i="87"/>
  <c r="T21" i="87"/>
  <c r="V21" i="87"/>
  <c r="S59" i="87"/>
  <c r="S62" i="87"/>
  <c r="V62" i="87"/>
  <c r="U62" i="87"/>
  <c r="W62" i="87"/>
  <c r="T62" i="87"/>
  <c r="V59" i="87"/>
  <c r="W59" i="87"/>
  <c r="U59" i="87"/>
  <c r="AG87" i="87"/>
  <c r="AG11" i="87"/>
  <c r="AG77" i="87"/>
  <c r="AG76" i="87"/>
  <c r="AG43" i="87"/>
  <c r="AG52" i="87"/>
  <c r="AG15" i="87"/>
  <c r="AG28" i="87"/>
  <c r="Y11" i="87" l="1"/>
  <c r="Y87" i="87"/>
  <c r="Y28" i="87"/>
  <c r="Y76" i="87"/>
  <c r="Y77" i="87"/>
  <c r="Y15" i="87"/>
  <c r="Y52" i="87"/>
  <c r="Y43" i="87"/>
  <c r="AC79" i="87"/>
  <c r="AF81" i="87"/>
  <c r="AD21" i="87"/>
  <c r="AD59" i="87"/>
  <c r="AA59" i="87"/>
  <c r="AF64" i="87"/>
  <c r="AF74" i="87"/>
  <c r="AE62" i="87"/>
  <c r="AC21" i="87"/>
  <c r="AD32" i="87"/>
  <c r="AF82" i="87"/>
  <c r="AC59" i="87"/>
  <c r="AE59" i="87"/>
  <c r="AF85" i="87"/>
  <c r="AC62" i="87"/>
  <c r="AC32" i="87"/>
  <c r="AF84" i="87"/>
  <c r="AD62" i="87"/>
  <c r="AE79" i="87"/>
  <c r="AE21" i="87"/>
  <c r="AE32" i="87"/>
  <c r="AA21" i="87"/>
  <c r="AD79" i="87"/>
  <c r="AA32" i="87"/>
  <c r="AF35" i="87"/>
  <c r="AA62" i="87"/>
  <c r="AA79" i="87"/>
  <c r="AF45" i="87"/>
  <c r="AF36" i="87"/>
  <c r="X21" i="87"/>
  <c r="AB21" i="87"/>
  <c r="AB62" i="87"/>
  <c r="X62" i="87"/>
  <c r="X79" i="87"/>
  <c r="AB79" i="87"/>
  <c r="X32" i="87"/>
  <c r="AB32" i="87"/>
  <c r="T13" i="87"/>
  <c r="U40" i="87"/>
  <c r="T59" i="87"/>
  <c r="U66" i="87"/>
  <c r="U56" i="87"/>
  <c r="W56" i="87"/>
  <c r="S56" i="87"/>
  <c r="T56" i="87"/>
  <c r="V56" i="87"/>
  <c r="V40" i="87"/>
  <c r="T41" i="87"/>
  <c r="U41" i="87"/>
  <c r="S41" i="87"/>
  <c r="V41" i="87"/>
  <c r="W41" i="87"/>
  <c r="U31" i="87"/>
  <c r="W40" i="87"/>
  <c r="V30" i="87"/>
  <c r="S30" i="87"/>
  <c r="U30" i="87"/>
  <c r="W30" i="87"/>
  <c r="T30" i="87"/>
  <c r="S13" i="87"/>
  <c r="W31" i="87"/>
  <c r="S40" i="87"/>
  <c r="U53" i="87"/>
  <c r="T53" i="87"/>
  <c r="V53" i="87"/>
  <c r="W53" i="87"/>
  <c r="S53" i="87"/>
  <c r="W13" i="87"/>
  <c r="T24" i="87"/>
  <c r="S24" i="87"/>
  <c r="W24" i="87"/>
  <c r="U24" i="87"/>
  <c r="V24" i="87"/>
  <c r="T40" i="87"/>
  <c r="U33" i="87"/>
  <c r="T33" i="87"/>
  <c r="V33" i="87"/>
  <c r="W33" i="87"/>
  <c r="S33" i="87"/>
  <c r="U13" i="87"/>
  <c r="S39" i="87"/>
  <c r="T39" i="87"/>
  <c r="W39" i="87"/>
  <c r="V39" i="87"/>
  <c r="U39" i="87"/>
  <c r="S42" i="87"/>
  <c r="V42" i="87"/>
  <c r="W42" i="87"/>
  <c r="U42" i="87"/>
  <c r="T42" i="87"/>
  <c r="V13" i="87"/>
  <c r="U68" i="87"/>
  <c r="T68" i="87"/>
  <c r="W68" i="87"/>
  <c r="V68" i="87"/>
  <c r="S68" i="87"/>
  <c r="V72" i="87"/>
  <c r="T72" i="87"/>
  <c r="S72" i="87"/>
  <c r="W72" i="87"/>
  <c r="U72" i="87"/>
  <c r="S61" i="87"/>
  <c r="V61" i="87"/>
  <c r="T61" i="87"/>
  <c r="W61" i="87"/>
  <c r="U61" i="87"/>
  <c r="T63" i="87"/>
  <c r="S57" i="87"/>
  <c r="T57" i="87"/>
  <c r="U57" i="87"/>
  <c r="V57" i="87"/>
  <c r="W57" i="87"/>
  <c r="W25" i="87"/>
  <c r="T58" i="87"/>
  <c r="U58" i="87"/>
  <c r="V58" i="87"/>
  <c r="S58" i="87"/>
  <c r="W58" i="87"/>
  <c r="U54" i="87"/>
  <c r="W54" i="87"/>
  <c r="T54" i="87"/>
  <c r="V54" i="87"/>
  <c r="S54" i="87"/>
  <c r="AG35" i="87"/>
  <c r="AG82" i="87"/>
  <c r="AG36" i="87"/>
  <c r="AG74" i="87"/>
  <c r="AG64" i="87"/>
  <c r="AG84" i="87"/>
  <c r="AG45" i="87"/>
  <c r="AG81" i="87"/>
  <c r="AG85" i="87"/>
  <c r="Y36" i="87" l="1"/>
  <c r="Y81" i="87"/>
  <c r="Y84" i="87"/>
  <c r="Y45" i="87"/>
  <c r="Y82" i="87"/>
  <c r="Y64" i="87"/>
  <c r="Y85" i="87"/>
  <c r="Y35" i="87"/>
  <c r="AC54" i="87"/>
  <c r="AD30" i="87"/>
  <c r="AD33" i="87"/>
  <c r="AE31" i="87"/>
  <c r="AC31" i="87"/>
  <c r="AD68" i="87"/>
  <c r="AC57" i="87"/>
  <c r="AE40" i="87"/>
  <c r="AC39" i="87"/>
  <c r="AD58" i="87"/>
  <c r="AA57" i="87"/>
  <c r="AE72" i="87"/>
  <c r="AC68" i="87"/>
  <c r="AD39" i="87"/>
  <c r="AE13" i="87"/>
  <c r="AA13" i="87"/>
  <c r="AE41" i="87"/>
  <c r="AA56" i="87"/>
  <c r="AF32" i="87"/>
  <c r="AD40" i="87"/>
  <c r="AA42" i="87"/>
  <c r="AF21" i="87"/>
  <c r="AC72" i="87"/>
  <c r="AD13" i="87"/>
  <c r="AC33" i="87"/>
  <c r="AA53" i="87"/>
  <c r="AD41" i="87"/>
  <c r="AE56" i="87"/>
  <c r="AD57" i="87"/>
  <c r="AE24" i="87"/>
  <c r="AC40" i="87"/>
  <c r="AA61" i="87"/>
  <c r="AE33" i="87"/>
  <c r="AA40" i="87"/>
  <c r="AC58" i="87"/>
  <c r="AE39" i="87"/>
  <c r="AD54" i="87"/>
  <c r="AE53" i="87"/>
  <c r="AC56" i="87"/>
  <c r="AF79" i="87"/>
  <c r="AD61" i="87"/>
  <c r="AA33" i="87"/>
  <c r="AC53" i="87"/>
  <c r="AE58" i="87"/>
  <c r="AE68" i="87"/>
  <c r="AA24" i="87"/>
  <c r="AD56" i="87"/>
  <c r="AA54" i="87"/>
  <c r="AC61" i="87"/>
  <c r="AE30" i="87"/>
  <c r="AA41" i="87"/>
  <c r="AE25" i="87"/>
  <c r="AE61" i="87"/>
  <c r="AD72" i="87"/>
  <c r="AC42" i="87"/>
  <c r="AA39" i="87"/>
  <c r="AD24" i="87"/>
  <c r="AD53" i="87"/>
  <c r="AC30" i="87"/>
  <c r="AC41" i="87"/>
  <c r="AC66" i="87"/>
  <c r="AF62" i="87"/>
  <c r="AD42" i="87"/>
  <c r="AA58" i="87"/>
  <c r="AA72" i="87"/>
  <c r="AE54" i="87"/>
  <c r="AE57" i="87"/>
  <c r="AA68" i="87"/>
  <c r="AE42" i="87"/>
  <c r="AC13" i="87"/>
  <c r="AC24" i="87"/>
  <c r="AA30" i="87"/>
  <c r="X72" i="87"/>
  <c r="AB72" i="87"/>
  <c r="X40" i="87"/>
  <c r="AB40" i="87"/>
  <c r="AB68" i="87"/>
  <c r="X68" i="87"/>
  <c r="AB24" i="87"/>
  <c r="X24" i="87"/>
  <c r="AB56" i="87"/>
  <c r="X56" i="87"/>
  <c r="AB57" i="87"/>
  <c r="X57" i="87"/>
  <c r="AB61" i="87"/>
  <c r="X61" i="87"/>
  <c r="AB13" i="87"/>
  <c r="X13" i="87"/>
  <c r="AB54" i="87"/>
  <c r="X54" i="87"/>
  <c r="X58" i="87"/>
  <c r="AB58" i="87"/>
  <c r="AB42" i="87"/>
  <c r="X42" i="87"/>
  <c r="AB41" i="87"/>
  <c r="X41" i="87"/>
  <c r="X30" i="87"/>
  <c r="AB30" i="87"/>
  <c r="AB63" i="87"/>
  <c r="AB39" i="87"/>
  <c r="X39" i="87"/>
  <c r="AB33" i="87"/>
  <c r="X33" i="87"/>
  <c r="X53" i="87"/>
  <c r="AB53" i="87"/>
  <c r="AB59" i="87"/>
  <c r="X59" i="87"/>
  <c r="T66" i="87"/>
  <c r="V31" i="87"/>
  <c r="S66" i="87"/>
  <c r="V66" i="87"/>
  <c r="V25" i="87"/>
  <c r="T16" i="87"/>
  <c r="V63" i="87"/>
  <c r="T25" i="87"/>
  <c r="U63" i="87"/>
  <c r="S55" i="87"/>
  <c r="U55" i="87"/>
  <c r="T55" i="87"/>
  <c r="W55" i="87"/>
  <c r="V55" i="87"/>
  <c r="V60" i="87"/>
  <c r="T60" i="87"/>
  <c r="U60" i="87"/>
  <c r="S60" i="87"/>
  <c r="W60" i="87"/>
  <c r="W66" i="87"/>
  <c r="U16" i="87"/>
  <c r="T44" i="87"/>
  <c r="U44" i="87"/>
  <c r="W44" i="87"/>
  <c r="S44" i="87"/>
  <c r="V44" i="87"/>
  <c r="S27" i="87"/>
  <c r="W27" i="87"/>
  <c r="U27" i="87"/>
  <c r="V27" i="87"/>
  <c r="T27" i="87"/>
  <c r="V16" i="87"/>
  <c r="S25" i="87"/>
  <c r="S63" i="87"/>
  <c r="S71" i="87"/>
  <c r="U71" i="87"/>
  <c r="V71" i="87"/>
  <c r="T71" i="87"/>
  <c r="W71" i="87"/>
  <c r="S31" i="87"/>
  <c r="S16" i="87"/>
  <c r="U25" i="87"/>
  <c r="W63" i="87"/>
  <c r="V70" i="87"/>
  <c r="U70" i="87"/>
  <c r="T70" i="87"/>
  <c r="W70" i="87"/>
  <c r="S70" i="87"/>
  <c r="W73" i="87"/>
  <c r="U73" i="87"/>
  <c r="S73" i="87"/>
  <c r="T73" i="87"/>
  <c r="V73" i="87"/>
  <c r="T29" i="87"/>
  <c r="U29" i="87"/>
  <c r="S29" i="87"/>
  <c r="V29" i="87"/>
  <c r="W29" i="87"/>
  <c r="V38" i="87"/>
  <c r="S38" i="87"/>
  <c r="W38" i="87"/>
  <c r="U38" i="87"/>
  <c r="T38" i="87"/>
  <c r="V65" i="87"/>
  <c r="W65" i="87"/>
  <c r="U65" i="87"/>
  <c r="T65" i="87"/>
  <c r="S65" i="87"/>
  <c r="W14" i="87"/>
  <c r="V14" i="87"/>
  <c r="U14" i="87"/>
  <c r="S14" i="87"/>
  <c r="T14" i="87"/>
  <c r="W51" i="87"/>
  <c r="U51" i="87"/>
  <c r="T51" i="87"/>
  <c r="V51" i="87"/>
  <c r="S51" i="87"/>
  <c r="U69" i="87"/>
  <c r="T69" i="87"/>
  <c r="S69" i="87"/>
  <c r="V69" i="87"/>
  <c r="W69" i="87"/>
  <c r="W16" i="87"/>
  <c r="T31" i="87"/>
  <c r="V17" i="87"/>
  <c r="S17" i="87"/>
  <c r="W17" i="87"/>
  <c r="T17" i="87"/>
  <c r="U17" i="87"/>
  <c r="W23" i="87"/>
  <c r="S23" i="87"/>
  <c r="T23" i="87"/>
  <c r="V23" i="87"/>
  <c r="U23" i="87"/>
  <c r="AG79" i="87"/>
  <c r="AG62" i="87"/>
  <c r="AG32" i="87"/>
  <c r="AG21" i="87"/>
  <c r="Y62" i="87" l="1"/>
  <c r="Y32" i="87"/>
  <c r="Y21" i="87"/>
  <c r="Y79" i="87"/>
  <c r="AC65" i="87"/>
  <c r="AC25" i="87"/>
  <c r="AD44" i="87"/>
  <c r="AA60" i="87"/>
  <c r="AA55" i="87"/>
  <c r="AF39" i="87"/>
  <c r="AC51" i="87"/>
  <c r="AA73" i="87"/>
  <c r="AA71" i="87"/>
  <c r="AC55" i="87"/>
  <c r="AF42" i="87"/>
  <c r="AD69" i="87"/>
  <c r="AE29" i="87"/>
  <c r="AC73" i="87"/>
  <c r="AA63" i="87"/>
  <c r="AD31" i="87"/>
  <c r="AA69" i="87"/>
  <c r="AE65" i="87"/>
  <c r="AD29" i="87"/>
  <c r="AE73" i="87"/>
  <c r="AA16" i="87"/>
  <c r="AA25" i="87"/>
  <c r="AA44" i="87"/>
  <c r="AC60" i="87"/>
  <c r="AC63" i="87"/>
  <c r="AF57" i="87"/>
  <c r="AC17" i="87"/>
  <c r="AD65" i="87"/>
  <c r="AA29" i="87"/>
  <c r="AA70" i="87"/>
  <c r="AA31" i="87"/>
  <c r="AD16" i="87"/>
  <c r="AE44" i="87"/>
  <c r="AF59" i="87"/>
  <c r="AF58" i="87"/>
  <c r="AF40" i="87"/>
  <c r="AE63" i="87"/>
  <c r="AE60" i="87"/>
  <c r="AF61" i="87"/>
  <c r="AE51" i="87"/>
  <c r="AC23" i="87"/>
  <c r="AC14" i="87"/>
  <c r="AC29" i="87"/>
  <c r="AE70" i="87"/>
  <c r="AE71" i="87"/>
  <c r="AC44" i="87"/>
  <c r="AD60" i="87"/>
  <c r="AD63" i="87"/>
  <c r="AF54" i="87"/>
  <c r="AF56" i="87"/>
  <c r="AE69" i="87"/>
  <c r="AE17" i="87"/>
  <c r="AA14" i="87"/>
  <c r="AC69" i="87"/>
  <c r="AD23" i="87"/>
  <c r="AD17" i="87"/>
  <c r="AA51" i="87"/>
  <c r="AD14" i="87"/>
  <c r="AC38" i="87"/>
  <c r="AD27" i="87"/>
  <c r="AD55" i="87"/>
  <c r="AF30" i="87"/>
  <c r="AF72" i="87"/>
  <c r="AE23" i="87"/>
  <c r="AD38" i="87"/>
  <c r="AA27" i="87"/>
  <c r="AA66" i="87"/>
  <c r="AF68" i="87"/>
  <c r="AA17" i="87"/>
  <c r="AD51" i="87"/>
  <c r="AE14" i="87"/>
  <c r="AE38" i="87"/>
  <c r="AD73" i="87"/>
  <c r="AC70" i="87"/>
  <c r="AD71" i="87"/>
  <c r="AC27" i="87"/>
  <c r="AC16" i="87"/>
  <c r="AE55" i="87"/>
  <c r="AD25" i="87"/>
  <c r="AF53" i="87"/>
  <c r="AF41" i="87"/>
  <c r="AF24" i="87"/>
  <c r="AA23" i="87"/>
  <c r="AE16" i="87"/>
  <c r="AA65" i="87"/>
  <c r="AA38" i="87"/>
  <c r="AD70" i="87"/>
  <c r="AC71" i="87"/>
  <c r="AE27" i="87"/>
  <c r="AE66" i="87"/>
  <c r="AD66" i="87"/>
  <c r="AF33" i="87"/>
  <c r="X23" i="87"/>
  <c r="AB23" i="87"/>
  <c r="AB69" i="87"/>
  <c r="X69" i="87"/>
  <c r="AB71" i="87"/>
  <c r="X71" i="87"/>
  <c r="X25" i="87"/>
  <c r="AB25" i="87"/>
  <c r="AB65" i="87"/>
  <c r="X65" i="87"/>
  <c r="X27" i="87"/>
  <c r="AB27" i="87"/>
  <c r="X66" i="87"/>
  <c r="AB66" i="87"/>
  <c r="X14" i="87"/>
  <c r="AB14" i="87"/>
  <c r="X29" i="87"/>
  <c r="AB29" i="87"/>
  <c r="X55" i="87"/>
  <c r="AB55" i="87"/>
  <c r="AB16" i="87"/>
  <c r="X16" i="87"/>
  <c r="X17" i="87"/>
  <c r="AB17" i="87"/>
  <c r="AB31" i="87"/>
  <c r="X31" i="87"/>
  <c r="X51" i="87"/>
  <c r="AB51" i="87"/>
  <c r="AB73" i="87"/>
  <c r="X73" i="87"/>
  <c r="AB70" i="87"/>
  <c r="X70" i="87"/>
  <c r="X44" i="87"/>
  <c r="AB44" i="87"/>
  <c r="AB60" i="87"/>
  <c r="X60" i="87"/>
  <c r="X63" i="87"/>
  <c r="AF13" i="87"/>
  <c r="X38" i="87"/>
  <c r="AB38" i="87"/>
  <c r="AG68" i="87"/>
  <c r="AG59" i="87"/>
  <c r="AG24" i="87"/>
  <c r="AG61" i="87"/>
  <c r="AG58" i="87"/>
  <c r="AG33" i="87"/>
  <c r="AG72" i="87"/>
  <c r="AG40" i="87"/>
  <c r="AG56" i="87"/>
  <c r="AG57" i="87"/>
  <c r="AG53" i="87"/>
  <c r="AG54" i="87"/>
  <c r="AG41" i="87"/>
  <c r="AG39" i="87"/>
  <c r="AG30" i="87"/>
  <c r="AG42" i="87"/>
  <c r="AG13" i="87"/>
  <c r="B10" i="87" l="1" a="1"/>
  <c r="B10" i="87" s="1"/>
  <c r="B9" i="87" a="1"/>
  <c r="B9" i="87" s="1"/>
  <c r="Y30" i="87"/>
  <c r="Y58" i="87"/>
  <c r="Y53" i="87"/>
  <c r="Y41" i="87"/>
  <c r="Y59" i="87"/>
  <c r="Y61" i="87"/>
  <c r="Y39" i="87"/>
  <c r="Y42" i="87"/>
  <c r="Y68" i="87"/>
  <c r="Y56" i="87"/>
  <c r="Y72" i="87"/>
  <c r="Y40" i="87"/>
  <c r="Y57" i="87"/>
  <c r="Y33" i="87"/>
  <c r="Y24" i="87"/>
  <c r="Y54" i="87"/>
  <c r="AF16" i="87"/>
  <c r="AF71" i="87"/>
  <c r="AF51" i="87"/>
  <c r="AF55" i="87"/>
  <c r="AF27" i="87"/>
  <c r="AF66" i="87"/>
  <c r="AF73" i="87"/>
  <c r="AF63" i="87"/>
  <c r="AF60" i="87"/>
  <c r="AF69" i="87"/>
  <c r="AF38" i="87"/>
  <c r="AF31" i="87"/>
  <c r="AF65" i="87"/>
  <c r="E10" i="87" a="1"/>
  <c r="E10" i="87" s="1"/>
  <c r="AF44" i="87"/>
  <c r="AF29" i="87"/>
  <c r="AF23" i="87"/>
  <c r="AF70" i="87"/>
  <c r="AF17" i="87"/>
  <c r="AF14" i="87"/>
  <c r="AF25" i="87"/>
  <c r="Y13" i="87"/>
  <c r="D10" i="87" a="1"/>
  <c r="D10" i="87" s="1"/>
  <c r="C10" i="87" a="1"/>
  <c r="C10" i="87" s="1"/>
  <c r="C9" i="87" a="1"/>
  <c r="C9" i="87" s="1"/>
  <c r="F9" i="87" a="1"/>
  <c r="F9" i="87" s="1"/>
  <c r="F10" i="87" a="1"/>
  <c r="F10" i="87" s="1"/>
  <c r="D9" i="87" a="1"/>
  <c r="D9" i="87" s="1"/>
  <c r="E9" i="87" a="1"/>
  <c r="E9" i="87" s="1"/>
  <c r="AG29" i="87"/>
  <c r="AG25" i="87"/>
  <c r="AG51" i="87"/>
  <c r="AG71" i="87"/>
  <c r="AG73" i="87"/>
  <c r="AG14" i="87"/>
  <c r="AG31" i="87"/>
  <c r="AG16" i="87"/>
  <c r="AG69" i="87"/>
  <c r="AG60" i="87"/>
  <c r="AG55" i="87"/>
  <c r="AG70" i="87"/>
  <c r="AG44" i="87"/>
  <c r="AG23" i="87"/>
  <c r="AG17" i="87"/>
  <c r="AG65" i="87"/>
  <c r="AG27" i="87"/>
  <c r="AG63" i="87"/>
  <c r="AG38" i="87"/>
  <c r="AG66" i="87"/>
  <c r="C15" i="87" l="1" a="1"/>
  <c r="C15" i="87" s="1"/>
  <c r="E16" i="87" a="1"/>
  <c r="E16" i="87" s="1"/>
  <c r="Y38" i="87"/>
  <c r="Y29" i="87"/>
  <c r="Y65" i="87"/>
  <c r="Y69" i="87"/>
  <c r="Y70" i="87"/>
  <c r="Y66" i="87"/>
  <c r="Y27" i="87"/>
  <c r="Y44" i="87"/>
  <c r="Y31" i="87"/>
  <c r="Y60" i="87"/>
  <c r="Y73" i="87"/>
  <c r="Y25" i="87"/>
  <c r="Y55" i="87"/>
  <c r="Y71" i="87"/>
  <c r="Y14" i="87"/>
  <c r="Y51" i="87"/>
  <c r="Y23" i="87"/>
  <c r="Y63" i="87"/>
  <c r="Y16" i="87"/>
  <c r="Y17" i="87"/>
  <c r="B15" i="87" a="1"/>
  <c r="B15" i="87" s="1"/>
  <c r="E15" i="87" a="1"/>
  <c r="E15" i="87" s="1"/>
  <c r="F16" i="87" a="1"/>
  <c r="F16" i="87" s="1"/>
  <c r="D16" i="87" a="1"/>
  <c r="D16" i="87" s="1"/>
  <c r="C16" i="87" a="1"/>
  <c r="C16" i="87" s="1"/>
  <c r="F15" i="87" a="1"/>
  <c r="F15" i="87" s="1"/>
  <c r="D15" i="87" a="1"/>
  <c r="D15" i="87" s="1"/>
  <c r="AH186" i="72" l="1"/>
  <c r="AH51" i="72"/>
  <c r="AH141" i="72"/>
  <c r="AH96" i="72"/>
  <c r="AH6" i="72"/>
  <c r="AH185" i="72"/>
  <c r="AH95" i="72"/>
  <c r="AH140" i="72"/>
  <c r="AH50" i="72"/>
  <c r="AH5" i="72"/>
  <c r="AH188" i="72" l="1"/>
  <c r="AH8" i="72"/>
  <c r="AH143" i="72"/>
  <c r="AH98" i="72"/>
  <c r="AH53" i="72"/>
  <c r="AH52" i="72"/>
  <c r="AH97" i="72"/>
  <c r="AH187" i="72"/>
  <c r="AH7" i="72"/>
  <c r="AH142" i="72"/>
  <c r="AH49" i="72" l="1"/>
  <c r="AH94" i="72"/>
  <c r="AH4" i="72"/>
  <c r="AH139" i="72"/>
  <c r="AH184" i="72"/>
  <c r="AH189" i="72" l="1"/>
  <c r="AH9" i="72"/>
  <c r="AH54" i="72"/>
  <c r="AH99" i="72"/>
  <c r="AH144" i="72"/>
  <c r="AH147" i="72"/>
  <c r="AH12" i="72"/>
  <c r="AH192" i="72"/>
  <c r="AH102" i="72"/>
  <c r="AH57" i="72"/>
  <c r="AH199" i="72" l="1"/>
  <c r="AH154" i="72"/>
  <c r="AH64" i="72"/>
  <c r="AH109" i="72"/>
  <c r="AH19" i="72"/>
  <c r="AH108" i="72"/>
  <c r="AH63" i="72"/>
  <c r="AH198" i="72"/>
  <c r="AH153" i="72"/>
  <c r="AH18" i="72"/>
  <c r="AH190" i="72"/>
  <c r="AH145" i="72"/>
  <c r="AH100" i="72"/>
  <c r="AH10" i="72"/>
  <c r="AH55" i="72"/>
  <c r="AH56" i="72"/>
  <c r="AH101" i="72"/>
  <c r="AH11" i="72"/>
  <c r="AH191" i="72"/>
  <c r="AH146" i="72"/>
  <c r="AH151" i="72"/>
  <c r="AH61" i="72"/>
  <c r="AH16" i="72"/>
  <c r="AH196" i="72"/>
  <c r="AH107" i="72" l="1"/>
  <c r="AH197" i="72"/>
  <c r="AH152" i="72"/>
  <c r="AH17" i="72"/>
  <c r="AH62" i="72"/>
  <c r="AH149" i="72"/>
  <c r="AH59" i="72"/>
  <c r="AH194" i="72"/>
  <c r="AH14" i="72"/>
  <c r="AH104" i="72"/>
  <c r="AH150" i="72"/>
  <c r="AH195" i="72"/>
  <c r="AH15" i="72"/>
  <c r="AH60" i="72"/>
  <c r="AH105" i="72"/>
  <c r="AH106" i="72"/>
  <c r="AH148" i="72"/>
  <c r="AH193" i="72"/>
  <c r="AH58" i="72"/>
  <c r="AH103" i="72"/>
  <c r="AH13" i="72"/>
  <c r="AK60" i="72" l="1"/>
  <c r="AK150" i="72"/>
  <c r="AK105" i="72"/>
  <c r="AK195" i="72"/>
  <c r="AK15" i="72"/>
  <c r="AK198" i="72"/>
  <c r="AK153" i="72"/>
  <c r="AK63" i="72"/>
  <c r="AK108" i="72"/>
  <c r="AK18" i="72"/>
  <c r="AK199" i="72"/>
  <c r="AK109" i="72"/>
  <c r="AK19" i="72"/>
  <c r="AK64" i="72"/>
  <c r="AK154" i="72"/>
  <c r="AK17" i="72"/>
  <c r="AK152" i="72"/>
  <c r="AK197" i="72"/>
  <c r="AK62" i="72"/>
  <c r="AK107" i="72"/>
  <c r="AK104" i="72"/>
  <c r="AK149" i="72"/>
  <c r="AK14" i="72"/>
  <c r="AK194" i="72"/>
  <c r="AK59" i="72"/>
  <c r="AK196" i="72"/>
  <c r="AK61" i="72"/>
  <c r="AK151" i="72"/>
  <c r="AK16" i="72"/>
  <c r="AK99" i="72" l="1"/>
  <c r="AK9" i="72"/>
  <c r="AK54" i="72"/>
  <c r="AK144" i="72"/>
  <c r="AK189" i="72"/>
  <c r="AK141" i="72"/>
  <c r="AK96" i="72"/>
  <c r="AK6" i="72"/>
  <c r="AK51" i="72"/>
  <c r="AK186" i="72"/>
  <c r="AK13" i="72"/>
  <c r="AK103" i="72"/>
  <c r="AK148" i="72"/>
  <c r="AK193" i="72"/>
  <c r="AK58" i="72"/>
  <c r="AK106" i="72"/>
  <c r="AK187" i="72"/>
  <c r="AK52" i="72"/>
  <c r="AK142" i="72"/>
  <c r="AK7" i="72"/>
  <c r="AK97" i="72"/>
  <c r="AK191" i="72"/>
  <c r="AK11" i="72"/>
  <c r="AK101" i="72"/>
  <c r="AK146" i="72"/>
  <c r="AK56" i="72"/>
  <c r="AK98" i="72"/>
  <c r="AK53" i="72"/>
  <c r="AK188" i="72"/>
  <c r="AK8" i="72"/>
  <c r="AK143" i="72"/>
  <c r="AK50" i="72"/>
  <c r="AK5" i="72"/>
  <c r="AK95" i="72"/>
  <c r="AK140" i="72"/>
  <c r="AK185" i="72"/>
  <c r="AK12" i="72"/>
  <c r="AK192" i="72"/>
  <c r="AK147" i="72"/>
  <c r="AK57" i="72"/>
  <c r="AK102" i="72"/>
  <c r="AK145" i="72"/>
  <c r="AK55" i="72"/>
  <c r="AK190" i="72"/>
  <c r="AK10" i="72"/>
  <c r="AK100" i="72"/>
  <c r="BG49" i="70" l="1"/>
  <c r="BG50" i="70" s="1"/>
  <c r="BG51" i="70" s="1"/>
  <c r="BG52" i="70" s="1"/>
  <c r="BG53" i="70" s="1"/>
  <c r="BG54" i="70" s="1"/>
  <c r="BG55" i="70" s="1"/>
  <c r="BG56" i="70" s="1"/>
  <c r="BG57" i="70" s="1"/>
  <c r="BG58" i="70" s="1"/>
  <c r="BG59" i="70" s="1"/>
  <c r="BG60" i="70" s="1"/>
  <c r="BG61" i="70" s="1"/>
  <c r="BG62" i="70" s="1"/>
  <c r="BG63" i="70" s="1"/>
  <c r="BG64" i="70" s="1"/>
  <c r="BG94" i="70"/>
  <c r="BG95" i="70" s="1"/>
  <c r="BG96" i="70" s="1"/>
  <c r="BG97" i="70" s="1"/>
  <c r="BG98" i="70" s="1"/>
  <c r="BG99" i="70" s="1"/>
  <c r="BG100" i="70" s="1"/>
  <c r="BG101" i="70" s="1"/>
  <c r="BG102" i="70" s="1"/>
  <c r="BG103" i="70" s="1"/>
  <c r="BG104" i="70" s="1"/>
  <c r="BG105" i="70" s="1"/>
  <c r="BG106" i="70" s="1"/>
  <c r="BG107" i="70" s="1"/>
  <c r="BG108" i="70" s="1"/>
  <c r="BG109" i="70" s="1"/>
  <c r="BG184" i="70"/>
  <c r="BG185" i="70" s="1"/>
  <c r="BG186" i="70" s="1"/>
  <c r="BG187" i="70" s="1"/>
  <c r="BG188" i="70" s="1"/>
  <c r="BG189" i="70" s="1"/>
  <c r="BG190" i="70" s="1"/>
  <c r="BG191" i="70" s="1"/>
  <c r="BG192" i="70" s="1"/>
  <c r="BG193" i="70" s="1"/>
  <c r="BG194" i="70" s="1"/>
  <c r="BG195" i="70" s="1"/>
  <c r="BG196" i="70" s="1"/>
  <c r="BG197" i="70" s="1"/>
  <c r="BG198" i="70" s="1"/>
  <c r="BG199" i="70" s="1"/>
  <c r="BG139" i="70" l="1"/>
  <c r="BG140" i="70" s="1"/>
  <c r="BG141" i="70" s="1"/>
  <c r="BG142" i="70" s="1"/>
  <c r="BG143" i="70" s="1"/>
  <c r="BG144" i="70" s="1"/>
  <c r="BG145" i="70" s="1"/>
  <c r="BG146" i="70" s="1"/>
  <c r="BG147" i="70" s="1"/>
  <c r="BG148" i="70" s="1"/>
  <c r="BG149" i="70" s="1"/>
  <c r="BG150" i="70" s="1"/>
  <c r="BG151" i="70" s="1"/>
  <c r="BG152" i="70" s="1"/>
  <c r="BG153" i="70" s="1"/>
  <c r="BG154" i="70" s="1"/>
  <c r="AK139" i="72" l="1"/>
  <c r="BG4" i="70"/>
  <c r="BG5" i="70" s="1"/>
  <c r="BG6" i="70" s="1"/>
  <c r="BG7" i="70" s="1"/>
  <c r="BG8" i="70" s="1"/>
  <c r="BG9" i="70" s="1"/>
  <c r="BG10" i="70" s="1"/>
  <c r="BG11" i="70" s="1"/>
  <c r="BG12" i="70" s="1"/>
  <c r="BG13" i="70" s="1"/>
  <c r="BG14" i="70" s="1"/>
  <c r="BG15" i="70" s="1"/>
  <c r="BG16" i="70" s="1"/>
  <c r="BG17" i="70" s="1"/>
  <c r="BG18" i="70" s="1"/>
  <c r="BG19" i="70" s="1"/>
  <c r="AK4" i="72"/>
  <c r="AK49" i="72"/>
  <c r="AK184" i="72"/>
  <c r="AK94" i="72"/>
  <c r="D5" i="100" l="1"/>
  <c r="C5" i="100" l="1"/>
  <c r="E5" i="100"/>
  <c r="AI139" i="72" l="1"/>
  <c r="AI49" i="72"/>
  <c r="AI4" i="72"/>
  <c r="AI94" i="72"/>
  <c r="AI184" i="72"/>
  <c r="G5" i="100"/>
  <c r="AI6" i="72" l="1"/>
  <c r="AI51" i="72"/>
  <c r="AI141" i="72"/>
  <c r="AI96" i="72"/>
  <c r="AI186" i="72"/>
  <c r="AI5" i="72"/>
  <c r="AI95" i="72"/>
  <c r="AI140" i="72"/>
  <c r="AI50" i="72"/>
  <c r="AI185" i="72"/>
  <c r="F5" i="100"/>
  <c r="AI142" i="72" l="1"/>
  <c r="AI187" i="72"/>
  <c r="AI7" i="72"/>
  <c r="AI97" i="72"/>
  <c r="AI52" i="72"/>
  <c r="AI53" i="72" l="1"/>
  <c r="AI188" i="72"/>
  <c r="AI143" i="72"/>
  <c r="AI8" i="72"/>
  <c r="AI98" i="72"/>
  <c r="AI144" i="72" l="1"/>
  <c r="AI54" i="72"/>
  <c r="AI189" i="72"/>
  <c r="AI99" i="72"/>
  <c r="AI9" i="72"/>
  <c r="AI55" i="72" l="1"/>
  <c r="AI100" i="72"/>
  <c r="AI10" i="72"/>
  <c r="AI190" i="72"/>
  <c r="AI145" i="72"/>
  <c r="AI56" i="72" l="1"/>
  <c r="AI146" i="72"/>
  <c r="AI191" i="72"/>
  <c r="AI11" i="72"/>
  <c r="AI101" i="72"/>
  <c r="AI12" i="72" l="1"/>
  <c r="AI57" i="72"/>
  <c r="AI192" i="72"/>
  <c r="AI147" i="72"/>
  <c r="AI102" i="72"/>
  <c r="AI58" i="72" l="1"/>
  <c r="AI148" i="72"/>
  <c r="AI193" i="72"/>
  <c r="AI106" i="72"/>
  <c r="AI13" i="72"/>
  <c r="AI103" i="72"/>
  <c r="AI194" i="72" l="1"/>
  <c r="AI104" i="72"/>
  <c r="AI149" i="72"/>
  <c r="AI14" i="72"/>
  <c r="AI59" i="72"/>
  <c r="AI15" i="72" l="1"/>
  <c r="AI105" i="72"/>
  <c r="AI195" i="72"/>
  <c r="AI60" i="72"/>
  <c r="AI150" i="72"/>
  <c r="AI16" i="72" l="1"/>
  <c r="AI61" i="72"/>
  <c r="AI151" i="72"/>
  <c r="AI196" i="72"/>
  <c r="AI17" i="72" l="1"/>
  <c r="AI62" i="72"/>
  <c r="AI197" i="72"/>
  <c r="AI152" i="72"/>
  <c r="AI107" i="72"/>
  <c r="E51" i="100" l="1"/>
  <c r="E52" i="100"/>
  <c r="F39" i="100"/>
  <c r="E48" i="100"/>
  <c r="E49" i="100"/>
  <c r="E53" i="100"/>
  <c r="F42" i="100"/>
  <c r="F38" i="100"/>
  <c r="E50" i="100"/>
  <c r="F41" i="100"/>
  <c r="F43" i="100"/>
  <c r="F40" i="100"/>
  <c r="D100" i="100" l="1"/>
  <c r="D120" i="100"/>
  <c r="D50" i="100"/>
  <c r="D36" i="100"/>
  <c r="D142" i="100"/>
  <c r="F152" i="100"/>
  <c r="D26" i="100"/>
  <c r="G139" i="100"/>
  <c r="D62" i="100"/>
  <c r="E85" i="100"/>
  <c r="G94" i="100"/>
  <c r="G142" i="100"/>
  <c r="G152" i="100"/>
  <c r="D51" i="100"/>
  <c r="E145" i="100"/>
  <c r="E64" i="100"/>
  <c r="E71" i="100"/>
  <c r="D65" i="100"/>
  <c r="F141" i="100"/>
  <c r="E149" i="100"/>
  <c r="D105" i="100"/>
  <c r="F47" i="100"/>
  <c r="D102" i="100"/>
  <c r="E127" i="100"/>
  <c r="E61" i="100"/>
  <c r="E74" i="100"/>
  <c r="F101" i="100"/>
  <c r="F109" i="100"/>
  <c r="F96" i="100"/>
  <c r="G86" i="100"/>
  <c r="G124" i="100"/>
  <c r="E120" i="100"/>
  <c r="F146" i="100"/>
  <c r="E153" i="100"/>
  <c r="E104" i="100"/>
  <c r="E40" i="100"/>
  <c r="F76" i="100"/>
  <c r="G143" i="100"/>
  <c r="E36" i="100"/>
  <c r="F49" i="100"/>
  <c r="E112" i="100"/>
  <c r="D122" i="100"/>
  <c r="F83" i="100"/>
  <c r="G70" i="100"/>
  <c r="D66" i="100"/>
  <c r="F46" i="100"/>
  <c r="E37" i="100"/>
  <c r="G81" i="100"/>
  <c r="E118" i="100"/>
  <c r="G19" i="100"/>
  <c r="G73" i="100"/>
  <c r="F85" i="100"/>
  <c r="G119" i="100"/>
  <c r="E28" i="100"/>
  <c r="F62" i="100"/>
  <c r="G96" i="100"/>
  <c r="G41" i="100"/>
  <c r="D85" i="100"/>
  <c r="D90" i="100"/>
  <c r="G62" i="100"/>
  <c r="F93" i="100"/>
  <c r="E96" i="100"/>
  <c r="F75" i="100"/>
  <c r="E57" i="100"/>
  <c r="D153" i="100"/>
  <c r="D49" i="100"/>
  <c r="E130" i="100"/>
  <c r="G87" i="100"/>
  <c r="E128" i="100"/>
  <c r="G117" i="100"/>
  <c r="E70" i="100"/>
  <c r="G140" i="100"/>
  <c r="F92" i="100"/>
  <c r="F127" i="100"/>
  <c r="G99" i="100"/>
  <c r="E137" i="100"/>
  <c r="D32" i="100"/>
  <c r="F32" i="100"/>
  <c r="D136" i="100"/>
  <c r="E152" i="100"/>
  <c r="G64" i="100"/>
  <c r="D88" i="100"/>
  <c r="F144" i="100"/>
  <c r="F140" i="100"/>
  <c r="E59" i="100"/>
  <c r="E24" i="100"/>
  <c r="E60" i="100"/>
  <c r="D19" i="100"/>
  <c r="G69" i="100"/>
  <c r="D137" i="100"/>
  <c r="F119" i="100"/>
  <c r="G134" i="100"/>
  <c r="G32" i="100"/>
  <c r="D139" i="100"/>
  <c r="F26" i="100"/>
  <c r="E41" i="100"/>
  <c r="D76" i="100"/>
  <c r="F104" i="100"/>
  <c r="F84" i="100"/>
  <c r="F136" i="100"/>
  <c r="E20" i="100"/>
  <c r="F114" i="100"/>
  <c r="D108" i="100"/>
  <c r="F16" i="100"/>
  <c r="G149" i="100"/>
  <c r="D106" i="100"/>
  <c r="G85" i="100"/>
  <c r="G37" i="100"/>
  <c r="G113" i="100"/>
  <c r="D31" i="100"/>
  <c r="F18" i="100"/>
  <c r="G90" i="100"/>
  <c r="E22" i="100"/>
  <c r="E144" i="100"/>
  <c r="G45" i="100"/>
  <c r="G95" i="100"/>
  <c r="E21" i="100"/>
  <c r="G100" i="100"/>
  <c r="E68" i="100"/>
  <c r="F54" i="100"/>
  <c r="F25" i="100"/>
  <c r="D57" i="100"/>
  <c r="F63" i="100"/>
  <c r="G50" i="100"/>
  <c r="G40" i="100"/>
  <c r="F36" i="100"/>
  <c r="D131" i="100"/>
  <c r="E44" i="100"/>
  <c r="E67" i="100"/>
  <c r="F94" i="100"/>
  <c r="E23" i="100"/>
  <c r="F79" i="100"/>
  <c r="G55" i="100"/>
  <c r="E125" i="100"/>
  <c r="G132" i="100"/>
  <c r="G115" i="100"/>
  <c r="G48" i="100"/>
  <c r="F77" i="100"/>
  <c r="D146" i="100"/>
  <c r="F50" i="100"/>
  <c r="G130" i="100"/>
  <c r="D144" i="100"/>
  <c r="D48" i="100"/>
  <c r="D150" i="100"/>
  <c r="F19" i="100"/>
  <c r="G147" i="100"/>
  <c r="D130" i="100"/>
  <c r="D111" i="100"/>
  <c r="E81" i="100"/>
  <c r="D124" i="100"/>
  <c r="E114" i="100"/>
  <c r="G78" i="100"/>
  <c r="E25" i="100"/>
  <c r="E133" i="100"/>
  <c r="D56" i="100"/>
  <c r="G110" i="100"/>
  <c r="F139" i="100"/>
  <c r="F67" i="100"/>
  <c r="E80" i="100"/>
  <c r="G26" i="100"/>
  <c r="E102" i="100"/>
  <c r="G106" i="100"/>
  <c r="G53" i="100"/>
  <c r="E31" i="100"/>
  <c r="G129" i="100"/>
  <c r="E63" i="100"/>
  <c r="E94" i="100"/>
  <c r="F150" i="100"/>
  <c r="G138" i="100"/>
  <c r="D20" i="100"/>
  <c r="G56" i="100"/>
  <c r="D45" i="100"/>
  <c r="D112" i="100"/>
  <c r="G59" i="100"/>
  <c r="E117" i="100"/>
  <c r="F34" i="100"/>
  <c r="E65" i="100"/>
  <c r="E97" i="100"/>
  <c r="G103" i="100"/>
  <c r="G15" i="100"/>
  <c r="E91" i="100"/>
  <c r="F71" i="100"/>
  <c r="E56" i="100"/>
  <c r="F103" i="100"/>
  <c r="F69" i="100"/>
  <c r="F149" i="100"/>
  <c r="F55" i="100"/>
  <c r="E123" i="100"/>
  <c r="F89" i="100"/>
  <c r="E32" i="100"/>
  <c r="E143" i="100"/>
  <c r="E111" i="100"/>
  <c r="D86" i="100"/>
  <c r="G89" i="100"/>
  <c r="F151" i="100"/>
  <c r="E77" i="100"/>
  <c r="F44" i="100"/>
  <c r="G101" i="100"/>
  <c r="G47" i="100"/>
  <c r="G97" i="100"/>
  <c r="F27" i="100"/>
  <c r="E146" i="100"/>
  <c r="F134" i="100"/>
  <c r="G84" i="100"/>
  <c r="E35" i="100"/>
  <c r="F73" i="100"/>
  <c r="G137" i="100"/>
  <c r="F147" i="100"/>
  <c r="G36" i="100"/>
  <c r="F61" i="100"/>
  <c r="D33" i="100"/>
  <c r="G77" i="100"/>
  <c r="F102" i="100"/>
  <c r="F145" i="100"/>
  <c r="D114" i="100"/>
  <c r="E147" i="100"/>
  <c r="F33" i="100"/>
  <c r="G54" i="100"/>
  <c r="D67" i="100"/>
  <c r="F29" i="100"/>
  <c r="G28" i="100"/>
  <c r="D34" i="100"/>
  <c r="F31" i="100"/>
  <c r="E92" i="100"/>
  <c r="F100" i="100"/>
  <c r="E95" i="100"/>
  <c r="D141" i="100"/>
  <c r="G125" i="100"/>
  <c r="G146" i="100"/>
  <c r="E99" i="100"/>
  <c r="G91" i="100"/>
  <c r="G27" i="100"/>
  <c r="D126" i="100"/>
  <c r="G107" i="100"/>
  <c r="D91" i="100"/>
  <c r="F88" i="100"/>
  <c r="D143" i="100"/>
  <c r="D103" i="100"/>
  <c r="E73" i="100"/>
  <c r="F87" i="100"/>
  <c r="G127" i="100"/>
  <c r="D25" i="100"/>
  <c r="D94" i="100"/>
  <c r="F111" i="100"/>
  <c r="D110" i="100"/>
  <c r="F80" i="100"/>
  <c r="D77" i="100"/>
  <c r="F142" i="100"/>
  <c r="D128" i="100"/>
  <c r="F122" i="100"/>
  <c r="F106" i="100"/>
  <c r="G18" i="100"/>
  <c r="D84" i="100"/>
  <c r="G93" i="100"/>
  <c r="D35" i="100"/>
  <c r="E100" i="100"/>
  <c r="D28" i="100"/>
  <c r="D27" i="100"/>
  <c r="G65" i="100"/>
  <c r="F148" i="100"/>
  <c r="F51" i="100"/>
  <c r="G46" i="100"/>
  <c r="D81" i="100"/>
  <c r="D83" i="100"/>
  <c r="G60" i="100"/>
  <c r="F17" i="100"/>
  <c r="E47" i="100"/>
  <c r="F110" i="100"/>
  <c r="D140" i="100"/>
  <c r="E38" i="100"/>
  <c r="D38" i="100"/>
  <c r="G39" i="100"/>
  <c r="D133" i="100"/>
  <c r="F65" i="100"/>
  <c r="G20" i="100"/>
  <c r="E122" i="100"/>
  <c r="F72" i="100"/>
  <c r="F78" i="100"/>
  <c r="F124" i="100"/>
  <c r="F121" i="100"/>
  <c r="D29" i="100"/>
  <c r="D75" i="100"/>
  <c r="F97" i="100"/>
  <c r="D37" i="100"/>
  <c r="G49" i="100"/>
  <c r="G112" i="100"/>
  <c r="F37" i="100"/>
  <c r="D70" i="100"/>
  <c r="D138" i="100"/>
  <c r="D55" i="100"/>
  <c r="E30" i="100"/>
  <c r="E108" i="100"/>
  <c r="D47" i="100"/>
  <c r="F60" i="100"/>
  <c r="D24" i="100"/>
  <c r="D72" i="100"/>
  <c r="F123" i="100"/>
  <c r="G33" i="100"/>
  <c r="F118" i="100"/>
  <c r="D71" i="100"/>
  <c r="E16" i="100"/>
  <c r="E82" i="100"/>
  <c r="D16" i="100"/>
  <c r="D82" i="100"/>
  <c r="E98" i="100"/>
  <c r="D125" i="100"/>
  <c r="G75" i="100"/>
  <c r="D89" i="100"/>
  <c r="E109" i="100"/>
  <c r="G25" i="100"/>
  <c r="F20" i="100"/>
  <c r="D96" i="100"/>
  <c r="F132" i="100"/>
  <c r="D61" i="100"/>
  <c r="E66" i="100"/>
  <c r="D46" i="100"/>
  <c r="G23" i="100"/>
  <c r="F143" i="100"/>
  <c r="E55" i="100"/>
  <c r="G111" i="100"/>
  <c r="E89" i="100"/>
  <c r="F58" i="100"/>
  <c r="G145" i="100"/>
  <c r="E151" i="100"/>
  <c r="G104" i="100"/>
  <c r="G102" i="100"/>
  <c r="D127" i="100"/>
  <c r="G38" i="100"/>
  <c r="G42" i="100"/>
  <c r="G153" i="100"/>
  <c r="E106" i="100"/>
  <c r="G35" i="100"/>
  <c r="F59" i="100"/>
  <c r="D39" i="100"/>
  <c r="E72" i="100"/>
  <c r="D123" i="100"/>
  <c r="E129" i="100"/>
  <c r="G136" i="100"/>
  <c r="D152" i="100"/>
  <c r="E110" i="100"/>
  <c r="D21" i="100"/>
  <c r="D68" i="100"/>
  <c r="F126" i="100"/>
  <c r="F74" i="100"/>
  <c r="F68" i="100"/>
  <c r="G83" i="100"/>
  <c r="F129" i="100"/>
  <c r="F120" i="100"/>
  <c r="D74" i="100"/>
  <c r="F15" i="100"/>
  <c r="G29" i="100"/>
  <c r="G63" i="100"/>
  <c r="D79" i="100"/>
  <c r="D116" i="100"/>
  <c r="G114" i="100"/>
  <c r="F53" i="100"/>
  <c r="G22" i="100"/>
  <c r="F125" i="100"/>
  <c r="E45" i="100"/>
  <c r="G74" i="100"/>
  <c r="G16" i="100"/>
  <c r="G24" i="100"/>
  <c r="G58" i="100"/>
  <c r="F95" i="100"/>
  <c r="E46" i="100"/>
  <c r="F28" i="100"/>
  <c r="G44" i="100"/>
  <c r="E18" i="100"/>
  <c r="F81" i="100"/>
  <c r="G31" i="100"/>
  <c r="G30" i="100"/>
  <c r="G72" i="100"/>
  <c r="G109" i="100"/>
  <c r="D121" i="100"/>
  <c r="F45" i="100"/>
  <c r="F98" i="100"/>
  <c r="F90" i="100"/>
  <c r="F91" i="100"/>
  <c r="E140" i="100"/>
  <c r="E33" i="100"/>
  <c r="G34" i="100"/>
  <c r="E29" i="100"/>
  <c r="F35" i="100"/>
  <c r="D113" i="100"/>
  <c r="E43" i="100"/>
  <c r="G67" i="100"/>
  <c r="F57" i="100"/>
  <c r="G52" i="100"/>
  <c r="G88" i="100"/>
  <c r="D40" i="100"/>
  <c r="E138" i="100"/>
  <c r="D60" i="100"/>
  <c r="D99" i="100"/>
  <c r="E124" i="100"/>
  <c r="D109" i="100"/>
  <c r="G122" i="100"/>
  <c r="G79" i="100"/>
  <c r="G43" i="100"/>
  <c r="G105" i="100"/>
  <c r="F70" i="100"/>
  <c r="D148" i="100"/>
  <c r="G76" i="100"/>
  <c r="F130" i="100"/>
  <c r="G150" i="100"/>
  <c r="D119" i="100"/>
  <c r="F21" i="100"/>
  <c r="E150" i="100"/>
  <c r="F52" i="100"/>
  <c r="G51" i="100"/>
  <c r="F131" i="100"/>
  <c r="D134" i="100"/>
  <c r="E17" i="100"/>
  <c r="D107" i="100"/>
  <c r="E134" i="100"/>
  <c r="E139" i="100"/>
  <c r="E142" i="100"/>
  <c r="D97" i="100"/>
  <c r="E86" i="100"/>
  <c r="G128" i="100"/>
  <c r="E58" i="100"/>
  <c r="E78" i="100"/>
  <c r="D41" i="100"/>
  <c r="D18" i="100"/>
  <c r="F113" i="100"/>
  <c r="E115" i="100"/>
  <c r="F22" i="100"/>
  <c r="D63" i="100"/>
  <c r="E135" i="100"/>
  <c r="D15" i="100"/>
  <c r="G21" i="100"/>
  <c r="E126" i="100"/>
  <c r="D101" i="100"/>
  <c r="D80" i="100"/>
  <c r="F48" i="100"/>
  <c r="D59" i="100"/>
  <c r="F137" i="100"/>
  <c r="E75" i="100"/>
  <c r="D98" i="100"/>
  <c r="F107" i="100"/>
  <c r="G126" i="100"/>
  <c r="E103" i="100"/>
  <c r="E116" i="100"/>
  <c r="D78" i="100"/>
  <c r="E105" i="100"/>
  <c r="G123" i="100"/>
  <c r="G121" i="100"/>
  <c r="D58" i="100"/>
  <c r="D149" i="100"/>
  <c r="G118" i="100"/>
  <c r="E62" i="100"/>
  <c r="E101" i="100"/>
  <c r="D95" i="100"/>
  <c r="F108" i="100"/>
  <c r="E93" i="100"/>
  <c r="G17" i="100"/>
  <c r="F128" i="100"/>
  <c r="G148" i="100"/>
  <c r="E90" i="100"/>
  <c r="E132" i="100"/>
  <c r="D92" i="100"/>
  <c r="G151" i="100"/>
  <c r="E119" i="100"/>
  <c r="E69" i="100"/>
  <c r="F99" i="100"/>
  <c r="E76" i="100"/>
  <c r="D23" i="100"/>
  <c r="D42" i="100"/>
  <c r="E26" i="100"/>
  <c r="E42" i="100"/>
  <c r="G141" i="100"/>
  <c r="D43" i="100"/>
  <c r="G68" i="100"/>
  <c r="D147" i="100"/>
  <c r="D117" i="100"/>
  <c r="D115" i="100"/>
  <c r="E79" i="100"/>
  <c r="G131" i="100"/>
  <c r="E84" i="100"/>
  <c r="E54" i="100"/>
  <c r="G120" i="100"/>
  <c r="E27" i="100"/>
  <c r="G92" i="100"/>
  <c r="E131" i="100"/>
  <c r="D93" i="100"/>
  <c r="E19" i="100"/>
  <c r="D64" i="100"/>
  <c r="E83" i="100"/>
  <c r="G82" i="100"/>
  <c r="E121" i="100"/>
  <c r="E148" i="100"/>
  <c r="D104" i="100"/>
  <c r="D53" i="100"/>
  <c r="G66" i="100"/>
  <c r="E113" i="100"/>
  <c r="F133" i="100"/>
  <c r="G80" i="100"/>
  <c r="F56" i="100"/>
  <c r="D145" i="100"/>
  <c r="G116" i="100"/>
  <c r="F23" i="100"/>
  <c r="D17" i="100"/>
  <c r="D151" i="100"/>
  <c r="D44" i="100"/>
  <c r="E34" i="100"/>
  <c r="E87" i="100"/>
  <c r="E107" i="100"/>
  <c r="D87" i="100"/>
  <c r="F117" i="100"/>
  <c r="F138" i="100"/>
  <c r="F105" i="100"/>
  <c r="D22" i="100"/>
  <c r="G108" i="100"/>
  <c r="G133" i="100"/>
  <c r="G71" i="100"/>
  <c r="G135" i="100"/>
  <c r="G98" i="100"/>
  <c r="F116" i="100"/>
  <c r="F115" i="100"/>
  <c r="F24" i="100"/>
  <c r="F66" i="100"/>
  <c r="D135" i="100"/>
  <c r="D118" i="100"/>
  <c r="D69" i="100"/>
  <c r="F153" i="100"/>
  <c r="E136" i="100"/>
  <c r="F64" i="100"/>
  <c r="F30" i="100"/>
  <c r="D132" i="100"/>
  <c r="D54" i="100"/>
  <c r="G61" i="100"/>
  <c r="E88" i="100"/>
  <c r="F82" i="100"/>
  <c r="E39" i="100"/>
  <c r="E15" i="100"/>
  <c r="D30" i="100"/>
  <c r="F86" i="100"/>
  <c r="D52" i="100"/>
  <c r="F112" i="100"/>
  <c r="E141" i="100"/>
  <c r="D129" i="100"/>
  <c r="G57" i="100"/>
  <c r="G144" i="100"/>
  <c r="F135" i="100"/>
  <c r="D73" i="100"/>
  <c r="AJ152" i="72" l="1"/>
  <c r="AL152" i="72" s="1"/>
  <c r="AJ107" i="72"/>
  <c r="AL107" i="72" s="1"/>
  <c r="AJ62" i="72"/>
  <c r="AL62" i="72" s="1"/>
  <c r="AJ197" i="72"/>
  <c r="AL197" i="72" s="1"/>
  <c r="AJ17" i="72"/>
  <c r="AL17" i="72" s="1"/>
  <c r="AJ96" i="72"/>
  <c r="AL96" i="72" s="1"/>
  <c r="AJ186" i="72"/>
  <c r="AL186" i="72" s="1"/>
  <c r="AJ6" i="72"/>
  <c r="AL6" i="72" s="1"/>
  <c r="AJ141" i="72"/>
  <c r="AL141" i="72" s="1"/>
  <c r="AJ51" i="72"/>
  <c r="AL51" i="72" s="1"/>
  <c r="AJ100" i="72"/>
  <c r="AL100" i="72" s="1"/>
  <c r="AJ145" i="72"/>
  <c r="AL145" i="72" s="1"/>
  <c r="AJ10" i="72"/>
  <c r="AL10" i="72" s="1"/>
  <c r="AJ190" i="72"/>
  <c r="AL190" i="72" s="1"/>
  <c r="AJ55" i="72"/>
  <c r="AL55" i="72" s="1"/>
  <c r="AJ8" i="72"/>
  <c r="AL8" i="72" s="1"/>
  <c r="AJ53" i="72"/>
  <c r="AL53" i="72" s="1"/>
  <c r="AJ188" i="72"/>
  <c r="AL188" i="72" s="1"/>
  <c r="AJ143" i="72"/>
  <c r="AL143" i="72" s="1"/>
  <c r="AJ98" i="72"/>
  <c r="AL98" i="72" s="1"/>
  <c r="AJ15" i="72"/>
  <c r="AL15" i="72" s="1"/>
  <c r="AJ105" i="72"/>
  <c r="AL105" i="72" s="1"/>
  <c r="AJ60" i="72"/>
  <c r="AL60" i="72" s="1"/>
  <c r="AJ195" i="72"/>
  <c r="AL195" i="72" s="1"/>
  <c r="AJ150" i="72"/>
  <c r="AL150" i="72" s="1"/>
  <c r="AJ140" i="72"/>
  <c r="AL140" i="72" s="1"/>
  <c r="AJ95" i="72"/>
  <c r="AL95" i="72" s="1"/>
  <c r="AJ185" i="72"/>
  <c r="AL185" i="72" s="1"/>
  <c r="AJ5" i="72"/>
  <c r="AL5" i="72" s="1"/>
  <c r="AJ50" i="72"/>
  <c r="AL50" i="72" s="1"/>
  <c r="AJ56" i="72"/>
  <c r="AL56" i="72" s="1"/>
  <c r="AJ191" i="72"/>
  <c r="AL191" i="72" s="1"/>
  <c r="AJ101" i="72"/>
  <c r="AL101" i="72" s="1"/>
  <c r="AJ11" i="72"/>
  <c r="AL11" i="72" s="1"/>
  <c r="AJ146" i="72"/>
  <c r="AL146" i="72" s="1"/>
  <c r="AJ151" i="72"/>
  <c r="AL151" i="72" s="1"/>
  <c r="AJ16" i="72"/>
  <c r="AL16" i="72" s="1"/>
  <c r="AJ196" i="72"/>
  <c r="AL196" i="72" s="1"/>
  <c r="AJ61" i="72"/>
  <c r="AL61" i="72" s="1"/>
  <c r="AJ147" i="72"/>
  <c r="AL147" i="72" s="1"/>
  <c r="AJ12" i="72"/>
  <c r="AL12" i="72" s="1"/>
  <c r="AJ102" i="72"/>
  <c r="AL102" i="72" s="1"/>
  <c r="AJ57" i="72"/>
  <c r="AL57" i="72" s="1"/>
  <c r="AJ192" i="72"/>
  <c r="AL192" i="72" s="1"/>
  <c r="AJ9" i="72"/>
  <c r="AL9" i="72" s="1"/>
  <c r="AJ99" i="72"/>
  <c r="AL99" i="72" s="1"/>
  <c r="AJ189" i="72"/>
  <c r="AL189" i="72" s="1"/>
  <c r="AJ144" i="72"/>
  <c r="AL144" i="72" s="1"/>
  <c r="AJ54" i="72"/>
  <c r="AL54" i="72" s="1"/>
  <c r="AJ194" i="72"/>
  <c r="AL194" i="72" s="1"/>
  <c r="AJ149" i="72"/>
  <c r="AL149" i="72" s="1"/>
  <c r="AJ59" i="72"/>
  <c r="AL59" i="72" s="1"/>
  <c r="AJ104" i="72"/>
  <c r="AL104" i="72" s="1"/>
  <c r="AJ14" i="72"/>
  <c r="AL14" i="72" s="1"/>
  <c r="AJ13" i="72"/>
  <c r="AL13" i="72" s="1"/>
  <c r="AJ148" i="72"/>
  <c r="AL148" i="72" s="1"/>
  <c r="AJ193" i="72"/>
  <c r="AL193" i="72" s="1"/>
  <c r="AJ58" i="72"/>
  <c r="AL58" i="72" s="1"/>
  <c r="AJ106" i="72"/>
  <c r="AJ103" i="72"/>
  <c r="AL103" i="72" s="1"/>
  <c r="AJ142" i="72"/>
  <c r="AL142" i="72" s="1"/>
  <c r="AJ52" i="72"/>
  <c r="AL52" i="72" s="1"/>
  <c r="AJ187" i="72"/>
  <c r="AL187" i="72" s="1"/>
  <c r="AJ7" i="72"/>
  <c r="AL7" i="72" s="1"/>
  <c r="AJ97" i="72"/>
  <c r="AL97" i="72" s="1"/>
  <c r="D7" i="100"/>
  <c r="G6" i="100"/>
  <c r="E7" i="100"/>
  <c r="D6" i="100"/>
  <c r="D154" i="100"/>
  <c r="E154" i="100"/>
  <c r="E155" i="100"/>
  <c r="E6" i="100"/>
  <c r="G157" i="100"/>
  <c r="F156" i="100"/>
  <c r="F6" i="100"/>
  <c r="E157" i="100"/>
  <c r="D156" i="100"/>
  <c r="G155" i="100"/>
  <c r="BC23" i="69"/>
  <c r="G154" i="100"/>
  <c r="G156" i="100"/>
  <c r="F154" i="100"/>
  <c r="F155" i="100"/>
  <c r="BC25" i="69"/>
  <c r="E156" i="100"/>
  <c r="BC28" i="69"/>
  <c r="BC34" i="69"/>
  <c r="AU8" i="89"/>
  <c r="AV8" i="89" s="1"/>
  <c r="F157" i="100"/>
  <c r="D155" i="100"/>
  <c r="D157" i="100"/>
  <c r="BC22" i="69" l="1"/>
  <c r="BC32" i="69"/>
  <c r="C17" i="100"/>
  <c r="C122" i="100"/>
  <c r="C15" i="100"/>
  <c r="C94" i="100"/>
  <c r="L7" i="100" s="1"/>
  <c r="N7" i="100" s="1"/>
  <c r="C153" i="100"/>
  <c r="C108" i="100"/>
  <c r="C85" i="100"/>
  <c r="C23" i="100"/>
  <c r="C97" i="100"/>
  <c r="C123" i="100"/>
  <c r="C83" i="100"/>
  <c r="C25" i="100"/>
  <c r="C136" i="100"/>
  <c r="C119" i="100"/>
  <c r="C34" i="100"/>
  <c r="C81" i="100"/>
  <c r="C68" i="100"/>
  <c r="C148" i="100"/>
  <c r="C101" i="100"/>
  <c r="C67" i="100"/>
  <c r="C71" i="100"/>
  <c r="C152" i="100"/>
  <c r="C98" i="100"/>
  <c r="C66" i="100"/>
  <c r="C91" i="100"/>
  <c r="C110" i="100"/>
  <c r="C114" i="100"/>
  <c r="C141" i="100"/>
  <c r="C80" i="100"/>
  <c r="C74" i="100"/>
  <c r="L5" i="100" s="1"/>
  <c r="N5" i="100" s="1"/>
  <c r="C144" i="100"/>
  <c r="C142" i="100"/>
  <c r="C60" i="100"/>
  <c r="C56" i="100"/>
  <c r="C87" i="100"/>
  <c r="C58" i="100"/>
  <c r="C42" i="100"/>
  <c r="BC26" i="69"/>
  <c r="BC27" i="69"/>
  <c r="C90" i="100"/>
  <c r="C130" i="100"/>
  <c r="C73" i="100"/>
  <c r="C105" i="100"/>
  <c r="C32" i="100"/>
  <c r="C41" i="100"/>
  <c r="C19" i="100"/>
  <c r="C48" i="100"/>
  <c r="C145" i="100"/>
  <c r="C64" i="100"/>
  <c r="C55" i="100"/>
  <c r="C31" i="100"/>
  <c r="C118" i="100"/>
  <c r="C50" i="100"/>
  <c r="C103" i="100"/>
  <c r="C63" i="100"/>
  <c r="C24" i="100"/>
  <c r="C133" i="100"/>
  <c r="C38" i="100"/>
  <c r="AU5" i="89"/>
  <c r="AV5" i="89" s="1"/>
  <c r="BC24" i="69"/>
  <c r="BC33" i="69"/>
  <c r="BC30" i="69"/>
  <c r="C117" i="100"/>
  <c r="C134" i="100"/>
  <c r="C44" i="100"/>
  <c r="C149" i="100"/>
  <c r="C43" i="100"/>
  <c r="C93" i="100"/>
  <c r="C106" i="100"/>
  <c r="C33" i="100"/>
  <c r="C45" i="100"/>
  <c r="C37" i="100"/>
  <c r="C100" i="100"/>
  <c r="C53" i="100"/>
  <c r="C62" i="100"/>
  <c r="C140" i="100"/>
  <c r="C29" i="100"/>
  <c r="C116" i="100"/>
  <c r="C139" i="100"/>
  <c r="C150" i="100"/>
  <c r="C132" i="100"/>
  <c r="C109" i="100"/>
  <c r="C27" i="100"/>
  <c r="C18" i="100"/>
  <c r="C138" i="100"/>
  <c r="C107" i="100"/>
  <c r="C52" i="100"/>
  <c r="AU6" i="89"/>
  <c r="AV6" i="89" s="1"/>
  <c r="C92" i="100"/>
  <c r="C115" i="100"/>
  <c r="C76" i="100"/>
  <c r="C111" i="100"/>
  <c r="C30" i="100"/>
  <c r="C49" i="100"/>
  <c r="C36" i="100"/>
  <c r="C146" i="100"/>
  <c r="C131" i="100"/>
  <c r="C99" i="100"/>
  <c r="C143" i="100"/>
  <c r="C57" i="100"/>
  <c r="C120" i="100"/>
  <c r="C126" i="100"/>
  <c r="C89" i="100"/>
  <c r="C51" i="100"/>
  <c r="C127" i="100"/>
  <c r="C129" i="100"/>
  <c r="C82" i="100"/>
  <c r="C78" i="100"/>
  <c r="C151" i="100"/>
  <c r="C16" i="100"/>
  <c r="C125" i="100"/>
  <c r="C79" i="100"/>
  <c r="C121" i="100"/>
  <c r="C77" i="100"/>
  <c r="C112" i="100"/>
  <c r="C86" i="100"/>
  <c r="C47" i="100"/>
  <c r="C137" i="100"/>
  <c r="C54" i="100"/>
  <c r="C69" i="100"/>
  <c r="C65" i="100"/>
  <c r="AU7" i="89"/>
  <c r="AV7" i="89" s="1"/>
  <c r="BC31" i="69"/>
  <c r="AI153" i="72"/>
  <c r="AI108" i="72"/>
  <c r="AI198" i="72"/>
  <c r="AI63" i="72"/>
  <c r="AI18" i="72"/>
  <c r="BC29" i="69"/>
  <c r="C20" i="100"/>
  <c r="C61" i="100"/>
  <c r="C28" i="100"/>
  <c r="C22" i="100"/>
  <c r="C95" i="100"/>
  <c r="C113" i="100"/>
  <c r="C75" i="100"/>
  <c r="C84" i="100"/>
  <c r="L6" i="100" s="1"/>
  <c r="N6" i="100" s="1"/>
  <c r="C135" i="100"/>
  <c r="C39" i="100"/>
  <c r="C40" i="100"/>
  <c r="C59" i="100"/>
  <c r="C88" i="100"/>
  <c r="C96" i="100"/>
  <c r="C128" i="100"/>
  <c r="C35" i="100"/>
  <c r="C26" i="100"/>
  <c r="C124" i="100"/>
  <c r="C72" i="100"/>
  <c r="C21" i="100"/>
  <c r="C70" i="100"/>
  <c r="C102" i="100"/>
  <c r="C104" i="100"/>
  <c r="L8" i="100" s="1"/>
  <c r="C147" i="100"/>
  <c r="C46" i="100"/>
  <c r="F7" i="100"/>
  <c r="G8" i="100"/>
  <c r="E9" i="100"/>
  <c r="D8" i="100"/>
  <c r="E8" i="100"/>
  <c r="G7" i="100"/>
  <c r="D158" i="100"/>
  <c r="E160" i="100"/>
  <c r="N8" i="100" l="1"/>
  <c r="C155" i="100"/>
  <c r="C156" i="100"/>
  <c r="AJ18" i="72"/>
  <c r="AL18" i="72" s="1"/>
  <c r="AJ108" i="72"/>
  <c r="AL108" i="72" s="1"/>
  <c r="AJ153" i="72"/>
  <c r="AL153" i="72" s="1"/>
  <c r="AJ198" i="72"/>
  <c r="AL198" i="72" s="1"/>
  <c r="AJ63" i="72"/>
  <c r="AL63" i="72" s="1"/>
  <c r="C6" i="100"/>
  <c r="C154" i="100"/>
  <c r="C157" i="100"/>
  <c r="D9" i="100"/>
  <c r="G9" i="100"/>
  <c r="E10" i="100"/>
  <c r="G159" i="100"/>
  <c r="F8" i="100"/>
  <c r="G160" i="100"/>
  <c r="D159" i="100"/>
  <c r="E158" i="100"/>
  <c r="E159" i="100"/>
  <c r="F158" i="100"/>
  <c r="F160" i="100"/>
  <c r="F159" i="100"/>
  <c r="G158" i="100"/>
  <c r="T145" i="100"/>
  <c r="U119" i="100"/>
  <c r="V23" i="100"/>
  <c r="U37" i="100"/>
  <c r="V121" i="100"/>
  <c r="T22" i="100"/>
  <c r="V143" i="100"/>
  <c r="S43" i="100"/>
  <c r="R75" i="100"/>
  <c r="V109" i="100"/>
  <c r="T144" i="100"/>
  <c r="R76" i="100"/>
  <c r="T87" i="100"/>
  <c r="S96" i="100"/>
  <c r="T92" i="100"/>
  <c r="R27" i="100"/>
  <c r="S40" i="100"/>
  <c r="S93" i="100"/>
  <c r="T54" i="100"/>
  <c r="V139" i="100"/>
  <c r="S55" i="100"/>
  <c r="V41" i="100"/>
  <c r="T88" i="100"/>
  <c r="S92" i="100"/>
  <c r="V22" i="100"/>
  <c r="V82" i="100"/>
  <c r="R57" i="100"/>
  <c r="U75" i="100"/>
  <c r="R39" i="100"/>
  <c r="S19" i="100"/>
  <c r="R141" i="100"/>
  <c r="T63" i="100"/>
  <c r="T29" i="100"/>
  <c r="U80" i="100"/>
  <c r="U90" i="100"/>
  <c r="S151" i="100"/>
  <c r="S27" i="100"/>
  <c r="R106" i="100"/>
  <c r="T49" i="100"/>
  <c r="T84" i="100"/>
  <c r="U18" i="100"/>
  <c r="S50" i="100"/>
  <c r="V47" i="100"/>
  <c r="S48" i="100"/>
  <c r="S71" i="100"/>
  <c r="U111" i="100"/>
  <c r="T61" i="100"/>
  <c r="T20" i="100"/>
  <c r="S61" i="100"/>
  <c r="U112" i="100"/>
  <c r="S84" i="100"/>
  <c r="S111" i="100"/>
  <c r="S24" i="100"/>
  <c r="V140" i="100"/>
  <c r="V28" i="100"/>
  <c r="U58" i="100"/>
  <c r="T45" i="100"/>
  <c r="T159" i="100"/>
  <c r="T58" i="100"/>
  <c r="U104" i="100"/>
  <c r="R92" i="100"/>
  <c r="V124" i="100"/>
  <c r="R19" i="100"/>
  <c r="S147" i="100"/>
  <c r="S6" i="100"/>
  <c r="U125" i="100"/>
  <c r="R86" i="100"/>
  <c r="R35" i="100"/>
  <c r="U7" i="100"/>
  <c r="V26" i="100"/>
  <c r="V160" i="100"/>
  <c r="R62" i="100"/>
  <c r="S81" i="100"/>
  <c r="R90" i="100"/>
  <c r="T32" i="100"/>
  <c r="U156" i="100"/>
  <c r="S33" i="100"/>
  <c r="S56" i="100"/>
  <c r="R134" i="100"/>
  <c r="S45" i="100"/>
  <c r="R137" i="100"/>
  <c r="V86" i="100"/>
  <c r="V119" i="100"/>
  <c r="V75" i="100"/>
  <c r="U87" i="100"/>
  <c r="T85" i="100"/>
  <c r="T97" i="100"/>
  <c r="S102" i="100"/>
  <c r="V49" i="100"/>
  <c r="V85" i="100"/>
  <c r="R67" i="100"/>
  <c r="U65" i="100"/>
  <c r="V103" i="100"/>
  <c r="R127" i="100"/>
  <c r="U116" i="100"/>
  <c r="V144" i="100"/>
  <c r="S120" i="100"/>
  <c r="T133" i="100"/>
  <c r="S87" i="100"/>
  <c r="R145" i="100"/>
  <c r="U63" i="100"/>
  <c r="S156" i="100"/>
  <c r="V110" i="100"/>
  <c r="S155" i="100"/>
  <c r="V131" i="100"/>
  <c r="U115" i="100"/>
  <c r="T53" i="100"/>
  <c r="V48" i="100"/>
  <c r="R28" i="100"/>
  <c r="T90" i="100"/>
  <c r="S5" i="100"/>
  <c r="S127" i="100"/>
  <c r="U149" i="100"/>
  <c r="U106" i="100"/>
  <c r="U138" i="100"/>
  <c r="U130" i="100"/>
  <c r="U36" i="100"/>
  <c r="U43" i="100"/>
  <c r="R56" i="100"/>
  <c r="R25" i="100"/>
  <c r="R113" i="100"/>
  <c r="R54" i="100"/>
  <c r="T105" i="100"/>
  <c r="S98" i="100"/>
  <c r="T50" i="100"/>
  <c r="V16" i="100"/>
  <c r="T158" i="100"/>
  <c r="V98" i="100"/>
  <c r="R40" i="100"/>
  <c r="T106" i="100"/>
  <c r="V5" i="100"/>
  <c r="S76" i="100"/>
  <c r="T9" i="100"/>
  <c r="V31" i="100"/>
  <c r="T42" i="100"/>
  <c r="R102" i="100"/>
  <c r="U59" i="100"/>
  <c r="R121" i="100"/>
  <c r="T104" i="100"/>
  <c r="T59" i="100"/>
  <c r="S118" i="100"/>
  <c r="U155" i="100"/>
  <c r="R107" i="100"/>
  <c r="R110" i="100"/>
  <c r="T68" i="100"/>
  <c r="V52" i="100"/>
  <c r="U57" i="100"/>
  <c r="T39" i="100"/>
  <c r="T77" i="100"/>
  <c r="U69" i="100"/>
  <c r="U66" i="100"/>
  <c r="T8" i="100"/>
  <c r="U105" i="100"/>
  <c r="T46" i="100"/>
  <c r="S140" i="100"/>
  <c r="T120" i="100"/>
  <c r="V132" i="100"/>
  <c r="T52" i="100"/>
  <c r="S77" i="100"/>
  <c r="S80" i="100"/>
  <c r="S32" i="100"/>
  <c r="U96" i="100"/>
  <c r="R81" i="100"/>
  <c r="V56" i="100"/>
  <c r="V42" i="100"/>
  <c r="S72" i="100"/>
  <c r="V105" i="100"/>
  <c r="R119" i="100"/>
  <c r="S119" i="100"/>
  <c r="R49" i="100"/>
  <c r="S60" i="100"/>
  <c r="R68" i="100"/>
  <c r="V138" i="100"/>
  <c r="S16" i="100"/>
  <c r="T130" i="100"/>
  <c r="T114" i="100"/>
  <c r="U134" i="100"/>
  <c r="U124" i="100"/>
  <c r="S46" i="100"/>
  <c r="R58" i="100"/>
  <c r="U91" i="100"/>
  <c r="S54" i="100"/>
  <c r="R18" i="100"/>
  <c r="U109" i="100"/>
  <c r="S83" i="100"/>
  <c r="V106" i="100"/>
  <c r="U146" i="100"/>
  <c r="T123" i="100"/>
  <c r="T37" i="100"/>
  <c r="R46" i="100"/>
  <c r="V73" i="100"/>
  <c r="T155" i="100"/>
  <c r="U42" i="100"/>
  <c r="R97" i="100"/>
  <c r="T80" i="100"/>
  <c r="T38" i="100"/>
  <c r="S159" i="100"/>
  <c r="T100" i="100"/>
  <c r="V94" i="100"/>
  <c r="U52" i="100"/>
  <c r="S117" i="100"/>
  <c r="V95" i="100"/>
  <c r="V104" i="100"/>
  <c r="U29" i="100"/>
  <c r="S116" i="100"/>
  <c r="V152" i="100"/>
  <c r="T55" i="100"/>
  <c r="T86" i="100"/>
  <c r="S74" i="100"/>
  <c r="U120" i="100"/>
  <c r="T5" i="100"/>
  <c r="R64" i="100"/>
  <c r="T129" i="100"/>
  <c r="R98" i="100"/>
  <c r="T146" i="100"/>
  <c r="S62" i="100"/>
  <c r="R77" i="100"/>
  <c r="T136" i="100"/>
  <c r="V19" i="100"/>
  <c r="S49" i="100"/>
  <c r="S57" i="100"/>
  <c r="S154" i="100"/>
  <c r="T56" i="100"/>
  <c r="S158" i="100"/>
  <c r="V141" i="100"/>
  <c r="U101" i="100"/>
  <c r="U145" i="100"/>
  <c r="S35" i="100"/>
  <c r="V90" i="100"/>
  <c r="T132" i="100"/>
  <c r="U160" i="100"/>
  <c r="R6" i="100"/>
  <c r="S110" i="100"/>
  <c r="S104" i="100"/>
  <c r="R140" i="100"/>
  <c r="S31" i="100"/>
  <c r="T143" i="100"/>
  <c r="R73" i="100"/>
  <c r="U31" i="100"/>
  <c r="V88" i="100"/>
  <c r="S9" i="100"/>
  <c r="R60" i="100"/>
  <c r="U46" i="100"/>
  <c r="S139" i="100"/>
  <c r="R36" i="100"/>
  <c r="S23" i="100"/>
  <c r="T134" i="100"/>
  <c r="R115" i="100"/>
  <c r="T91" i="100"/>
  <c r="S157" i="100"/>
  <c r="V115" i="100"/>
  <c r="U32" i="100"/>
  <c r="S128" i="100"/>
  <c r="T31" i="100"/>
  <c r="R150" i="100"/>
  <c r="U51" i="100"/>
  <c r="T57" i="100"/>
  <c r="R157" i="100"/>
  <c r="U159" i="100"/>
  <c r="S25" i="100"/>
  <c r="V29" i="100"/>
  <c r="S34" i="100"/>
  <c r="U28" i="100"/>
  <c r="U26" i="100"/>
  <c r="R143" i="100"/>
  <c r="R101" i="100"/>
  <c r="R133" i="100"/>
  <c r="S70" i="100"/>
  <c r="R152" i="100"/>
  <c r="S38" i="100"/>
  <c r="U5" i="100"/>
  <c r="S125" i="100"/>
  <c r="V17" i="100"/>
  <c r="T139" i="100"/>
  <c r="U38" i="100"/>
  <c r="S107" i="100"/>
  <c r="U157" i="100"/>
  <c r="R129" i="100"/>
  <c r="R149" i="100"/>
  <c r="S146" i="100"/>
  <c r="T111" i="100"/>
  <c r="R44" i="100"/>
  <c r="R38" i="100"/>
  <c r="R128" i="100"/>
  <c r="U150" i="100"/>
  <c r="U77" i="100"/>
  <c r="U61" i="100"/>
  <c r="V157" i="100"/>
  <c r="U93" i="100"/>
  <c r="T125" i="100"/>
  <c r="U48" i="100"/>
  <c r="V111" i="100"/>
  <c r="R135" i="100"/>
  <c r="U71" i="100"/>
  <c r="T141" i="100"/>
  <c r="V102" i="100"/>
  <c r="U132" i="100"/>
  <c r="S28" i="100"/>
  <c r="S108" i="100"/>
  <c r="R100" i="100"/>
  <c r="U95" i="100"/>
  <c r="V113" i="100"/>
  <c r="T71" i="100"/>
  <c r="S152" i="100"/>
  <c r="T75" i="100"/>
  <c r="T79" i="100"/>
  <c r="R122" i="100"/>
  <c r="R50" i="100"/>
  <c r="R156" i="100"/>
  <c r="R51" i="100"/>
  <c r="V100" i="100"/>
  <c r="V83" i="100"/>
  <c r="U70" i="100"/>
  <c r="V54" i="100"/>
  <c r="R95" i="100"/>
  <c r="S63" i="100"/>
  <c r="S75" i="100"/>
  <c r="V87" i="100"/>
  <c r="V62" i="100"/>
  <c r="T140" i="100"/>
  <c r="U143" i="100"/>
  <c r="V108" i="100"/>
  <c r="V120" i="100"/>
  <c r="R5" i="100"/>
  <c r="R99" i="100"/>
  <c r="T138" i="100"/>
  <c r="U135" i="100"/>
  <c r="S66" i="100"/>
  <c r="R108" i="100"/>
  <c r="V21" i="100"/>
  <c r="S97" i="100"/>
  <c r="T124" i="100"/>
  <c r="U8" i="100"/>
  <c r="R34" i="100"/>
  <c r="T93" i="100"/>
  <c r="T126" i="100"/>
  <c r="T44" i="100"/>
  <c r="U24" i="100"/>
  <c r="T27" i="100"/>
  <c r="T47" i="100"/>
  <c r="T70" i="100"/>
  <c r="V135" i="100"/>
  <c r="S39" i="100"/>
  <c r="R151" i="100"/>
  <c r="T102" i="100"/>
  <c r="S138" i="100"/>
  <c r="V79" i="100"/>
  <c r="U74" i="100"/>
  <c r="S114" i="100"/>
  <c r="R15" i="100"/>
  <c r="T128" i="100"/>
  <c r="T156" i="100"/>
  <c r="T7" i="100"/>
  <c r="S59" i="100"/>
  <c r="U82" i="100"/>
  <c r="T119" i="100"/>
  <c r="V142" i="100"/>
  <c r="S64" i="100"/>
  <c r="T43" i="100"/>
  <c r="T28" i="100"/>
  <c r="V35" i="100"/>
  <c r="U108" i="100"/>
  <c r="R24" i="100"/>
  <c r="U78" i="100"/>
  <c r="T99" i="100"/>
  <c r="U47" i="100"/>
  <c r="R148" i="100"/>
  <c r="R120" i="100"/>
  <c r="U35" i="100"/>
  <c r="V151" i="100"/>
  <c r="V50" i="100"/>
  <c r="R65" i="100"/>
  <c r="U79" i="100"/>
  <c r="R26" i="100"/>
  <c r="R79" i="100"/>
  <c r="U55" i="100"/>
  <c r="R82" i="100"/>
  <c r="S21" i="100"/>
  <c r="R37" i="100"/>
  <c r="V6" i="100"/>
  <c r="S20" i="100"/>
  <c r="T117" i="100"/>
  <c r="T115" i="100"/>
  <c r="U72" i="100"/>
  <c r="V158" i="100"/>
  <c r="R139" i="100"/>
  <c r="V39" i="100"/>
  <c r="U117" i="100"/>
  <c r="T51" i="100"/>
  <c r="V25" i="100"/>
  <c r="R154" i="100"/>
  <c r="U40" i="100"/>
  <c r="U103" i="100"/>
  <c r="V7" i="100"/>
  <c r="V37" i="100"/>
  <c r="U73" i="100"/>
  <c r="V155" i="100"/>
  <c r="V15" i="100"/>
  <c r="U142" i="100"/>
  <c r="R61" i="100"/>
  <c r="T74" i="100"/>
  <c r="R84" i="100"/>
  <c r="R147" i="100"/>
  <c r="V9" i="100"/>
  <c r="V159" i="100"/>
  <c r="R104" i="100"/>
  <c r="V118" i="100"/>
  <c r="R116" i="100"/>
  <c r="R20" i="100"/>
  <c r="S101" i="100"/>
  <c r="V24" i="100"/>
  <c r="S89" i="100"/>
  <c r="S134" i="100"/>
  <c r="S30" i="100"/>
  <c r="V80" i="100"/>
  <c r="T24" i="100"/>
  <c r="U158" i="100"/>
  <c r="U19" i="100"/>
  <c r="R146" i="100"/>
  <c r="V61" i="100"/>
  <c r="V51" i="100"/>
  <c r="S22" i="100"/>
  <c r="R91" i="100"/>
  <c r="T142" i="100"/>
  <c r="R114" i="100"/>
  <c r="T78" i="100"/>
  <c r="V136" i="100"/>
  <c r="U154" i="100"/>
  <c r="U123" i="100"/>
  <c r="S137" i="100"/>
  <c r="R132" i="100"/>
  <c r="U151" i="100"/>
  <c r="U140" i="100"/>
  <c r="R32" i="100"/>
  <c r="T148" i="100"/>
  <c r="V70" i="100"/>
  <c r="T67" i="100"/>
  <c r="S115" i="100"/>
  <c r="S99" i="100"/>
  <c r="U6" i="100"/>
  <c r="V45" i="100"/>
  <c r="U131" i="100"/>
  <c r="T94" i="100"/>
  <c r="S7" i="100"/>
  <c r="T118" i="100"/>
  <c r="U44" i="100"/>
  <c r="V133" i="100"/>
  <c r="U152" i="100"/>
  <c r="R83" i="100"/>
  <c r="T69" i="100"/>
  <c r="S124" i="100"/>
  <c r="T121" i="100"/>
  <c r="R48" i="100"/>
  <c r="U60" i="100"/>
  <c r="V129" i="100"/>
  <c r="V32" i="100"/>
  <c r="V76" i="100"/>
  <c r="R52" i="100"/>
  <c r="U141" i="100"/>
  <c r="T153" i="100"/>
  <c r="T16" i="100"/>
  <c r="V72" i="100"/>
  <c r="T89" i="100"/>
  <c r="S145" i="100"/>
  <c r="S37" i="100"/>
  <c r="V69" i="100"/>
  <c r="V64" i="100"/>
  <c r="T35" i="100"/>
  <c r="V66" i="100"/>
  <c r="U50" i="100"/>
  <c r="V44" i="100"/>
  <c r="V58" i="100"/>
  <c r="S53" i="100"/>
  <c r="U67" i="100"/>
  <c r="V93" i="100"/>
  <c r="T15" i="100"/>
  <c r="R59" i="100"/>
  <c r="R112" i="100"/>
  <c r="T160" i="100"/>
  <c r="U88" i="100"/>
  <c r="T82" i="100"/>
  <c r="T151" i="100"/>
  <c r="V89" i="100"/>
  <c r="R66" i="100"/>
  <c r="V128" i="100"/>
  <c r="U121" i="100"/>
  <c r="U100" i="100"/>
  <c r="T18" i="100"/>
  <c r="T96" i="100"/>
  <c r="V97" i="100"/>
  <c r="T26" i="100"/>
  <c r="U56" i="100"/>
  <c r="U41" i="100"/>
  <c r="R74" i="100"/>
  <c r="S144" i="100"/>
  <c r="U21" i="100"/>
  <c r="V40" i="100"/>
  <c r="S41" i="100"/>
  <c r="U27" i="100"/>
  <c r="R70" i="100"/>
  <c r="V63" i="100"/>
  <c r="R130" i="100"/>
  <c r="S17" i="100"/>
  <c r="S109" i="100"/>
  <c r="R109" i="100"/>
  <c r="V96" i="100"/>
  <c r="S95" i="100"/>
  <c r="R88" i="100"/>
  <c r="T127" i="100"/>
  <c r="S15" i="100"/>
  <c r="R42" i="100"/>
  <c r="S121" i="100"/>
  <c r="U33" i="100"/>
  <c r="U92" i="100"/>
  <c r="T109" i="100"/>
  <c r="S126" i="100"/>
  <c r="T113" i="100"/>
  <c r="T116" i="100"/>
  <c r="S85" i="100"/>
  <c r="R155" i="100"/>
  <c r="V84" i="100"/>
  <c r="T30" i="100"/>
  <c r="T107" i="100"/>
  <c r="R30" i="100"/>
  <c r="R111" i="100"/>
  <c r="V68" i="100"/>
  <c r="U81" i="100"/>
  <c r="S91" i="100"/>
  <c r="V112" i="100"/>
  <c r="S29" i="100"/>
  <c r="T147" i="100"/>
  <c r="S86" i="100"/>
  <c r="V153" i="100"/>
  <c r="S112" i="100"/>
  <c r="T150" i="100"/>
  <c r="T60" i="100"/>
  <c r="S113" i="100"/>
  <c r="R43" i="100"/>
  <c r="U53" i="100"/>
  <c r="U133" i="100"/>
  <c r="T154" i="100"/>
  <c r="T64" i="100"/>
  <c r="R142" i="100"/>
  <c r="V27" i="100"/>
  <c r="S18" i="100"/>
  <c r="T66" i="100"/>
  <c r="U118" i="100"/>
  <c r="T137" i="100"/>
  <c r="T65" i="100"/>
  <c r="U97" i="100"/>
  <c r="U16" i="100"/>
  <c r="R136" i="100"/>
  <c r="S78" i="100"/>
  <c r="U62" i="100"/>
  <c r="V55" i="100"/>
  <c r="U45" i="100"/>
  <c r="V101" i="100"/>
  <c r="T122" i="100"/>
  <c r="V60" i="100"/>
  <c r="V74" i="100"/>
  <c r="V77" i="100"/>
  <c r="S153" i="100"/>
  <c r="U17" i="100"/>
  <c r="T108" i="100"/>
  <c r="S150" i="100"/>
  <c r="R22" i="100"/>
  <c r="T41" i="100"/>
  <c r="U64" i="100"/>
  <c r="V126" i="100"/>
  <c r="R124" i="100"/>
  <c r="T101" i="100"/>
  <c r="R126" i="100"/>
  <c r="T10" i="100"/>
  <c r="V148" i="100"/>
  <c r="T48" i="100"/>
  <c r="R117" i="100"/>
  <c r="V34" i="100"/>
  <c r="T73" i="100"/>
  <c r="V92" i="100"/>
  <c r="U113" i="100"/>
  <c r="R23" i="100"/>
  <c r="T131" i="100"/>
  <c r="V91" i="100"/>
  <c r="T33" i="100"/>
  <c r="R47" i="100"/>
  <c r="R105" i="100"/>
  <c r="S26" i="100"/>
  <c r="V117" i="100"/>
  <c r="U23" i="100"/>
  <c r="R85" i="100"/>
  <c r="V149" i="100"/>
  <c r="U137" i="100"/>
  <c r="R41" i="100"/>
  <c r="U102" i="100"/>
  <c r="V145" i="100"/>
  <c r="R17" i="100"/>
  <c r="U54" i="100"/>
  <c r="U114" i="100"/>
  <c r="T62" i="100"/>
  <c r="T98" i="100"/>
  <c r="T21" i="100"/>
  <c r="U136" i="100"/>
  <c r="V18" i="100"/>
  <c r="U144" i="100"/>
  <c r="T34" i="100"/>
  <c r="V116" i="100"/>
  <c r="V147" i="100"/>
  <c r="R21" i="100"/>
  <c r="T76" i="100"/>
  <c r="S123" i="100"/>
  <c r="S82" i="100"/>
  <c r="R53" i="100"/>
  <c r="S131" i="100"/>
  <c r="T83" i="100"/>
  <c r="R87" i="100"/>
  <c r="S130" i="100"/>
  <c r="U153" i="100"/>
  <c r="R131" i="100"/>
  <c r="S73" i="100"/>
  <c r="V20" i="100"/>
  <c r="S135" i="100"/>
  <c r="V30" i="100"/>
  <c r="U68" i="100"/>
  <c r="R93" i="100"/>
  <c r="S36" i="100"/>
  <c r="T149" i="100"/>
  <c r="U20" i="100"/>
  <c r="U126" i="100"/>
  <c r="T40" i="100"/>
  <c r="S105" i="100"/>
  <c r="U83" i="100"/>
  <c r="T72" i="100"/>
  <c r="V150" i="100"/>
  <c r="V137" i="100"/>
  <c r="T17" i="100"/>
  <c r="V123" i="100"/>
  <c r="R29" i="100"/>
  <c r="U110" i="100"/>
  <c r="U49" i="100"/>
  <c r="S58" i="100"/>
  <c r="S8" i="100"/>
  <c r="S79" i="100"/>
  <c r="V43" i="100"/>
  <c r="U107" i="100"/>
  <c r="T19" i="100"/>
  <c r="U30" i="100"/>
  <c r="S148" i="100"/>
  <c r="U15" i="100"/>
  <c r="T157" i="100"/>
  <c r="R78" i="100"/>
  <c r="V33" i="100"/>
  <c r="V99" i="100"/>
  <c r="V125" i="100"/>
  <c r="S44" i="100"/>
  <c r="T23" i="100"/>
  <c r="V146" i="100"/>
  <c r="R153" i="100"/>
  <c r="T112" i="100"/>
  <c r="R71" i="100"/>
  <c r="R123" i="100"/>
  <c r="U139" i="100"/>
  <c r="R144" i="100"/>
  <c r="V53" i="100"/>
  <c r="V156" i="100"/>
  <c r="T110" i="100"/>
  <c r="V71" i="100"/>
  <c r="R63" i="100"/>
  <c r="U148" i="100"/>
  <c r="V130" i="100"/>
  <c r="S69" i="100"/>
  <c r="S143" i="100"/>
  <c r="U22" i="100"/>
  <c r="R69" i="100"/>
  <c r="S42" i="100"/>
  <c r="R31" i="100"/>
  <c r="S122" i="100"/>
  <c r="U98" i="100"/>
  <c r="V67" i="100"/>
  <c r="T25" i="100"/>
  <c r="V114" i="100"/>
  <c r="R94" i="100"/>
  <c r="T36" i="100"/>
  <c r="S149" i="100"/>
  <c r="S68" i="100"/>
  <c r="U127" i="100"/>
  <c r="S88" i="100"/>
  <c r="V122" i="100"/>
  <c r="V107" i="100"/>
  <c r="R33" i="100"/>
  <c r="R103" i="100"/>
  <c r="R125" i="100"/>
  <c r="T95" i="100"/>
  <c r="R55" i="100"/>
  <c r="R118" i="100"/>
  <c r="U99" i="100"/>
  <c r="T103" i="100"/>
  <c r="S90" i="100"/>
  <c r="R96" i="100"/>
  <c r="S129" i="100"/>
  <c r="V36" i="100"/>
  <c r="U89" i="100"/>
  <c r="S103" i="100"/>
  <c r="U39" i="100"/>
  <c r="S100" i="100"/>
  <c r="V57" i="100"/>
  <c r="S106" i="100"/>
  <c r="S52" i="100"/>
  <c r="R16" i="100"/>
  <c r="V154" i="100"/>
  <c r="U128" i="100"/>
  <c r="V59" i="100"/>
  <c r="S65" i="100"/>
  <c r="U84" i="100"/>
  <c r="R89" i="100"/>
  <c r="T81" i="100"/>
  <c r="U122" i="100"/>
  <c r="T152" i="100"/>
  <c r="V8" i="100"/>
  <c r="U34" i="100"/>
  <c r="S47" i="100"/>
  <c r="S136" i="100"/>
  <c r="S67" i="100"/>
  <c r="S142" i="100"/>
  <c r="V46" i="100"/>
  <c r="U86" i="100"/>
  <c r="U76" i="100"/>
  <c r="U25" i="100"/>
  <c r="S133" i="100"/>
  <c r="S141" i="100"/>
  <c r="U147" i="100"/>
  <c r="S132" i="100"/>
  <c r="T135" i="100"/>
  <c r="R138" i="100"/>
  <c r="U85" i="100"/>
  <c r="R72" i="100"/>
  <c r="R45" i="100"/>
  <c r="V127" i="100"/>
  <c r="V81" i="100"/>
  <c r="U94" i="100"/>
  <c r="V78" i="100"/>
  <c r="V134" i="100"/>
  <c r="R80" i="100"/>
  <c r="V38" i="100"/>
  <c r="S94" i="100"/>
  <c r="V65" i="100"/>
  <c r="S51" i="100"/>
  <c r="U129" i="100"/>
  <c r="T6" i="100"/>
  <c r="BC35" i="69" l="1"/>
  <c r="C8" i="100"/>
  <c r="C160" i="100"/>
  <c r="C159" i="100"/>
  <c r="C7" i="100"/>
  <c r="D160" i="100"/>
  <c r="F9" i="100"/>
  <c r="E11" i="100"/>
  <c r="D10" i="100"/>
  <c r="G10" i="100"/>
  <c r="C158" i="100" l="1"/>
  <c r="C9" i="100"/>
  <c r="E12" i="100"/>
  <c r="D11" i="100"/>
  <c r="D164" i="100"/>
  <c r="G162" i="100"/>
  <c r="G11" i="100"/>
  <c r="F10" i="100"/>
  <c r="E162" i="100"/>
  <c r="G163" i="100"/>
  <c r="E164" i="100"/>
  <c r="F164" i="100"/>
  <c r="F163" i="100"/>
  <c r="E163" i="100"/>
  <c r="D162" i="100"/>
  <c r="D163" i="100"/>
  <c r="F161" i="100"/>
  <c r="G164" i="100"/>
  <c r="E161" i="100"/>
  <c r="G161" i="100"/>
  <c r="D161" i="100"/>
  <c r="F162" i="100"/>
  <c r="C10" i="100" l="1"/>
  <c r="C162" i="100"/>
  <c r="AI64" i="72"/>
  <c r="AI199" i="72"/>
  <c r="AI109" i="72"/>
  <c r="AI154" i="72"/>
  <c r="AI19" i="72"/>
  <c r="C161" i="100"/>
  <c r="E13" i="100"/>
  <c r="G12" i="100"/>
  <c r="D12" i="100"/>
  <c r="F11" i="100"/>
  <c r="Z63" i="100"/>
  <c r="Y26" i="100"/>
  <c r="AA88" i="100"/>
  <c r="AA144" i="100"/>
  <c r="Z123" i="100"/>
  <c r="W87" i="100"/>
  <c r="Y57" i="100"/>
  <c r="Y82" i="100"/>
  <c r="Y104" i="100"/>
  <c r="AA6" i="100"/>
  <c r="W94" i="100"/>
  <c r="W121" i="100"/>
  <c r="Y48" i="100"/>
  <c r="Z105" i="100"/>
  <c r="Y37" i="100"/>
  <c r="Y145" i="100"/>
  <c r="W104" i="100"/>
  <c r="X80" i="100"/>
  <c r="Y101" i="100"/>
  <c r="AA140" i="100"/>
  <c r="AA127" i="100"/>
  <c r="Y121" i="100"/>
  <c r="Y154" i="100"/>
  <c r="Z23" i="100"/>
  <c r="AA52" i="100"/>
  <c r="Y116" i="100"/>
  <c r="W32" i="100"/>
  <c r="Y89" i="100"/>
  <c r="X27" i="100"/>
  <c r="Y160" i="100"/>
  <c r="X112" i="100"/>
  <c r="X85" i="100"/>
  <c r="W156" i="100"/>
  <c r="Z98" i="100"/>
  <c r="Y112" i="100"/>
  <c r="AA81" i="100"/>
  <c r="Z128" i="100"/>
  <c r="Y68" i="100"/>
  <c r="Z59" i="100"/>
  <c r="X25" i="100"/>
  <c r="AA72" i="100"/>
  <c r="Z100" i="100"/>
  <c r="W136" i="100"/>
  <c r="Y91" i="100"/>
  <c r="W63" i="100"/>
  <c r="W24" i="100"/>
  <c r="Y64" i="100"/>
  <c r="T13" i="100"/>
  <c r="W30" i="100"/>
  <c r="W157" i="100"/>
  <c r="W57" i="100"/>
  <c r="Z134" i="100"/>
  <c r="Z26" i="100"/>
  <c r="Y29" i="100"/>
  <c r="Z143" i="100"/>
  <c r="Y6" i="100"/>
  <c r="W83" i="100"/>
  <c r="W81" i="100"/>
  <c r="X19" i="100"/>
  <c r="AA138" i="100"/>
  <c r="W147" i="100"/>
  <c r="X31" i="100"/>
  <c r="X96" i="100"/>
  <c r="AA141" i="100"/>
  <c r="Z70" i="100"/>
  <c r="X100" i="100"/>
  <c r="X43" i="100"/>
  <c r="Z85" i="100"/>
  <c r="X144" i="100"/>
  <c r="X62" i="100"/>
  <c r="X135" i="100"/>
  <c r="AA96" i="100"/>
  <c r="X5" i="100"/>
  <c r="T161" i="100"/>
  <c r="AA108" i="100"/>
  <c r="X111" i="100"/>
  <c r="X148" i="100"/>
  <c r="AA42" i="100"/>
  <c r="AA44" i="100"/>
  <c r="Z99" i="100"/>
  <c r="X116" i="100"/>
  <c r="W124" i="100"/>
  <c r="AA118" i="100"/>
  <c r="AA97" i="100"/>
  <c r="AA148" i="100"/>
  <c r="AA62" i="100"/>
  <c r="AA99" i="100"/>
  <c r="AA89" i="100"/>
  <c r="W44" i="100"/>
  <c r="Y84" i="100"/>
  <c r="AA91" i="100"/>
  <c r="AA61" i="100"/>
  <c r="AA142" i="100"/>
  <c r="W51" i="100"/>
  <c r="W78" i="100"/>
  <c r="X108" i="100"/>
  <c r="X150" i="100"/>
  <c r="AA16" i="100"/>
  <c r="W114" i="100"/>
  <c r="Y85" i="100"/>
  <c r="S163" i="100"/>
  <c r="Y95" i="100"/>
  <c r="X16" i="100"/>
  <c r="X92" i="100"/>
  <c r="AA133" i="100"/>
  <c r="AA128" i="100"/>
  <c r="Z118" i="100"/>
  <c r="X122" i="100"/>
  <c r="W89" i="100"/>
  <c r="X89" i="100"/>
  <c r="W95" i="100"/>
  <c r="Y24" i="100"/>
  <c r="Y17" i="100"/>
  <c r="Y99" i="100"/>
  <c r="AA104" i="100"/>
  <c r="Z28" i="100"/>
  <c r="Z151" i="100"/>
  <c r="X118" i="100"/>
  <c r="R159" i="100"/>
  <c r="W49" i="100"/>
  <c r="X159" i="100"/>
  <c r="W21" i="100"/>
  <c r="V164" i="100"/>
  <c r="X20" i="100"/>
  <c r="W52" i="100"/>
  <c r="Z140" i="100"/>
  <c r="Z109" i="100"/>
  <c r="Y20" i="100"/>
  <c r="W126" i="100"/>
  <c r="X59" i="100"/>
  <c r="Z102" i="100"/>
  <c r="Y73" i="100"/>
  <c r="Y105" i="100"/>
  <c r="AA66" i="100"/>
  <c r="X22" i="100"/>
  <c r="X156" i="100"/>
  <c r="Y131" i="100"/>
  <c r="Z77" i="100"/>
  <c r="AA75" i="100"/>
  <c r="Y61" i="100"/>
  <c r="X60" i="100"/>
  <c r="X71" i="100"/>
  <c r="Z64" i="100"/>
  <c r="R158" i="100"/>
  <c r="X18" i="100"/>
  <c r="X55" i="100"/>
  <c r="Y111" i="100"/>
  <c r="X128" i="100"/>
  <c r="Z127" i="100"/>
  <c r="W79" i="100"/>
  <c r="Z24" i="100"/>
  <c r="W151" i="100"/>
  <c r="Y90" i="100"/>
  <c r="Y115" i="100"/>
  <c r="X124" i="100"/>
  <c r="Y157" i="100"/>
  <c r="X84" i="100"/>
  <c r="Y130" i="100"/>
  <c r="X29" i="100"/>
  <c r="Z133" i="100"/>
  <c r="AA150" i="100"/>
  <c r="AA45" i="100"/>
  <c r="Z94" i="100"/>
  <c r="Y147" i="100"/>
  <c r="Y80" i="100"/>
  <c r="AA24" i="100"/>
  <c r="W66" i="100"/>
  <c r="X39" i="100"/>
  <c r="AA158" i="100"/>
  <c r="X38" i="100"/>
  <c r="AA159" i="100"/>
  <c r="W23" i="100"/>
  <c r="Y18" i="100"/>
  <c r="V12" i="100"/>
  <c r="Z114" i="100"/>
  <c r="AA51" i="100"/>
  <c r="Z93" i="100"/>
  <c r="W55" i="100"/>
  <c r="Y123" i="100"/>
  <c r="Z50" i="100"/>
  <c r="AA30" i="100"/>
  <c r="Y16" i="100"/>
  <c r="S10" i="100"/>
  <c r="R161" i="100"/>
  <c r="AA19" i="100"/>
  <c r="X129" i="100"/>
  <c r="W6" i="100"/>
  <c r="X67" i="100"/>
  <c r="X86" i="100"/>
  <c r="Z43" i="100"/>
  <c r="X158" i="100"/>
  <c r="Z6" i="100"/>
  <c r="W102" i="100"/>
  <c r="Y50" i="100"/>
  <c r="Y35" i="100"/>
  <c r="W133" i="100"/>
  <c r="AA131" i="100"/>
  <c r="AA103" i="100"/>
  <c r="X70" i="100"/>
  <c r="Y43" i="100"/>
  <c r="W130" i="100"/>
  <c r="AI99" i="68"/>
  <c r="AA136" i="100"/>
  <c r="X143" i="100"/>
  <c r="AA53" i="100"/>
  <c r="Z36" i="100"/>
  <c r="X123" i="100"/>
  <c r="W153" i="100"/>
  <c r="AA28" i="100"/>
  <c r="Y153" i="100"/>
  <c r="X66" i="100"/>
  <c r="Z62" i="100"/>
  <c r="Z132" i="100"/>
  <c r="X101" i="100"/>
  <c r="Z17" i="100"/>
  <c r="W72" i="100"/>
  <c r="Z142" i="100"/>
  <c r="W73" i="100"/>
  <c r="AA155" i="100"/>
  <c r="W123" i="100"/>
  <c r="AA129" i="100"/>
  <c r="Z57" i="100"/>
  <c r="X58" i="100"/>
  <c r="AA156" i="100"/>
  <c r="X36" i="100"/>
  <c r="Z115" i="100"/>
  <c r="AA116" i="100"/>
  <c r="W122" i="100"/>
  <c r="W127" i="100"/>
  <c r="AA146" i="100"/>
  <c r="X34" i="100"/>
  <c r="Z73" i="100"/>
  <c r="Y118" i="100"/>
  <c r="Z97" i="100"/>
  <c r="X109" i="100"/>
  <c r="Y124" i="100"/>
  <c r="X53" i="100"/>
  <c r="AA80" i="100"/>
  <c r="W42" i="100"/>
  <c r="Z65" i="100"/>
  <c r="X72" i="100"/>
  <c r="Y156" i="100"/>
  <c r="X23" i="100"/>
  <c r="X40" i="100"/>
  <c r="AA115" i="100"/>
  <c r="X115" i="100"/>
  <c r="W48" i="100"/>
  <c r="T11" i="100"/>
  <c r="AA124" i="100"/>
  <c r="Z141" i="100"/>
  <c r="AA130" i="100"/>
  <c r="W80" i="100"/>
  <c r="AA40" i="100"/>
  <c r="AA125" i="100"/>
  <c r="Z38" i="100"/>
  <c r="Z116" i="100"/>
  <c r="Y9" i="100"/>
  <c r="Z52" i="100"/>
  <c r="Z30" i="100"/>
  <c r="W22" i="100"/>
  <c r="X113" i="100"/>
  <c r="W105" i="100"/>
  <c r="Z113" i="100"/>
  <c r="W103" i="100"/>
  <c r="Y60" i="100"/>
  <c r="Z48" i="100"/>
  <c r="AA7" i="100"/>
  <c r="Z86" i="100"/>
  <c r="Z124" i="100"/>
  <c r="Y72" i="100"/>
  <c r="Z139" i="100"/>
  <c r="AA76" i="100"/>
  <c r="X104" i="100"/>
  <c r="W50" i="100"/>
  <c r="AA59" i="100"/>
  <c r="S11" i="100"/>
  <c r="Y148" i="100"/>
  <c r="AA153" i="100"/>
  <c r="AA17" i="100"/>
  <c r="X97" i="100"/>
  <c r="Z56" i="100"/>
  <c r="AA106" i="100"/>
  <c r="X33" i="100"/>
  <c r="Z103" i="100"/>
  <c r="Y44" i="100"/>
  <c r="W77" i="100"/>
  <c r="Y129" i="100"/>
  <c r="Z72" i="100"/>
  <c r="AA70" i="100"/>
  <c r="AA21" i="100"/>
  <c r="W46" i="100"/>
  <c r="Y103" i="100"/>
  <c r="Y144" i="100"/>
  <c r="Y15" i="100"/>
  <c r="Y28" i="100"/>
  <c r="Z136" i="100"/>
  <c r="AA102" i="100"/>
  <c r="AA157" i="100"/>
  <c r="Z122" i="100"/>
  <c r="AA39" i="100"/>
  <c r="X145" i="100"/>
  <c r="AA160" i="100"/>
  <c r="AA18" i="100"/>
  <c r="Y155" i="100"/>
  <c r="Z31" i="100"/>
  <c r="X51" i="100"/>
  <c r="Z106" i="100"/>
  <c r="X91" i="100"/>
  <c r="AA48" i="100"/>
  <c r="X83" i="100"/>
  <c r="W146" i="100"/>
  <c r="AA92" i="100"/>
  <c r="W68" i="100"/>
  <c r="X35" i="100"/>
  <c r="AA36" i="100"/>
  <c r="Y146" i="100"/>
  <c r="AA35" i="100"/>
  <c r="AA111" i="100"/>
  <c r="Y135" i="100"/>
  <c r="Z60" i="100"/>
  <c r="AA25" i="100"/>
  <c r="AA119" i="100"/>
  <c r="W119" i="100"/>
  <c r="W25" i="100"/>
  <c r="AM8" i="100" s="1"/>
  <c r="X119" i="100"/>
  <c r="Z117" i="100"/>
  <c r="X147" i="100"/>
  <c r="AA126" i="100"/>
  <c r="W108" i="100"/>
  <c r="AA23" i="100"/>
  <c r="W58" i="100"/>
  <c r="AI24" i="68" s="1"/>
  <c r="AA154" i="100"/>
  <c r="W33" i="100"/>
  <c r="W20" i="100"/>
  <c r="Y36" i="100"/>
  <c r="AA29" i="100"/>
  <c r="Z119" i="100"/>
  <c r="Y150" i="100"/>
  <c r="W85" i="100"/>
  <c r="Z101" i="100"/>
  <c r="AA37" i="100"/>
  <c r="Z37" i="100"/>
  <c r="Y5" i="100"/>
  <c r="AA64" i="100"/>
  <c r="W144" i="100"/>
  <c r="Z67" i="100"/>
  <c r="X74" i="100"/>
  <c r="AA31" i="100"/>
  <c r="X24" i="100"/>
  <c r="W135" i="100"/>
  <c r="Z71" i="100"/>
  <c r="AA43" i="100"/>
  <c r="R8" i="100"/>
  <c r="X131" i="100"/>
  <c r="AA68" i="100"/>
  <c r="W84" i="100"/>
  <c r="Y76" i="100"/>
  <c r="Y23" i="100"/>
  <c r="AI108" i="68" s="1"/>
  <c r="X77" i="100"/>
  <c r="W134" i="100"/>
  <c r="AA114" i="100"/>
  <c r="AA27" i="100"/>
  <c r="AA117" i="100"/>
  <c r="W100" i="100"/>
  <c r="X157" i="100"/>
  <c r="AI98" i="68" s="1"/>
  <c r="Z147" i="100"/>
  <c r="R10" i="100"/>
  <c r="AA82" i="100"/>
  <c r="AA69" i="100"/>
  <c r="Z33" i="100"/>
  <c r="Y47" i="100"/>
  <c r="Z39" i="100"/>
  <c r="R162" i="100"/>
  <c r="W71" i="100"/>
  <c r="X9" i="100"/>
  <c r="Y38" i="100"/>
  <c r="AA60" i="100"/>
  <c r="X105" i="100"/>
  <c r="Z7" i="100"/>
  <c r="Z54" i="100"/>
  <c r="Y69" i="100"/>
  <c r="X50" i="100"/>
  <c r="W117" i="100"/>
  <c r="X52" i="100"/>
  <c r="X140" i="100"/>
  <c r="Y39" i="100"/>
  <c r="Y151" i="100"/>
  <c r="Z15" i="100"/>
  <c r="AA5" i="100"/>
  <c r="Y120" i="100"/>
  <c r="Y74" i="100"/>
  <c r="AM107" i="100" s="1"/>
  <c r="AA22" i="100"/>
  <c r="X46" i="100"/>
  <c r="W18" i="100"/>
  <c r="Y79" i="100"/>
  <c r="AA145" i="100"/>
  <c r="Z46" i="100"/>
  <c r="AA120" i="100"/>
  <c r="W98" i="100"/>
  <c r="Z79" i="100"/>
  <c r="Y52" i="100"/>
  <c r="W116" i="100"/>
  <c r="X142" i="100"/>
  <c r="Y19" i="100"/>
  <c r="Z110" i="100"/>
  <c r="Z92" i="100"/>
  <c r="AA123" i="100"/>
  <c r="T12" i="100"/>
  <c r="X49" i="100"/>
  <c r="W5" i="100"/>
  <c r="X56" i="100"/>
  <c r="X141" i="100"/>
  <c r="AA149" i="100"/>
  <c r="Z19" i="100"/>
  <c r="AA90" i="100"/>
  <c r="R160" i="100"/>
  <c r="Y25" i="100"/>
  <c r="Y53" i="100"/>
  <c r="W16" i="100"/>
  <c r="Z47" i="100"/>
  <c r="X78" i="100"/>
  <c r="X130" i="100"/>
  <c r="W118" i="100"/>
  <c r="Y75" i="100"/>
  <c r="Z111" i="100"/>
  <c r="W131" i="100"/>
  <c r="Y142" i="100"/>
  <c r="Y107" i="100"/>
  <c r="AA122" i="100"/>
  <c r="AA143" i="100"/>
  <c r="W137" i="100"/>
  <c r="X120" i="100"/>
  <c r="Z153" i="100"/>
  <c r="AA74" i="100"/>
  <c r="Y67" i="100"/>
  <c r="Y41" i="100"/>
  <c r="X94" i="100"/>
  <c r="Z40" i="100"/>
  <c r="Z159" i="100"/>
  <c r="W38" i="100"/>
  <c r="Z41" i="100"/>
  <c r="Y49" i="100"/>
  <c r="W67" i="100"/>
  <c r="W28" i="100"/>
  <c r="Y117" i="100"/>
  <c r="U11" i="100"/>
  <c r="AA26" i="100"/>
  <c r="Z18" i="100"/>
  <c r="Y83" i="100"/>
  <c r="W31" i="100"/>
  <c r="X152" i="100"/>
  <c r="Z154" i="100"/>
  <c r="Z120" i="100"/>
  <c r="Y152" i="100"/>
  <c r="X133" i="100"/>
  <c r="U161" i="100"/>
  <c r="W39" i="100"/>
  <c r="Z158" i="100"/>
  <c r="Y30" i="100"/>
  <c r="Y138" i="100"/>
  <c r="AI140" i="68"/>
  <c r="X114" i="100"/>
  <c r="Z104" i="100"/>
  <c r="Z137" i="100"/>
  <c r="AA77" i="100"/>
  <c r="X149" i="100"/>
  <c r="W112" i="100"/>
  <c r="Y21" i="100"/>
  <c r="Z84" i="100"/>
  <c r="AI42" i="68"/>
  <c r="W145" i="100"/>
  <c r="X76" i="100"/>
  <c r="X21" i="100"/>
  <c r="W97" i="100"/>
  <c r="X106" i="100"/>
  <c r="X64" i="100"/>
  <c r="Y94" i="100"/>
  <c r="U9" i="100"/>
  <c r="X107" i="100"/>
  <c r="Y134" i="100"/>
  <c r="X48" i="100"/>
  <c r="Y58" i="100"/>
  <c r="AA79" i="100"/>
  <c r="W129" i="100"/>
  <c r="Y133" i="100"/>
  <c r="Z83" i="100"/>
  <c r="AI166" i="68" s="1"/>
  <c r="X54" i="100"/>
  <c r="W86" i="100"/>
  <c r="Z25" i="100"/>
  <c r="AA54" i="100"/>
  <c r="Y46" i="100"/>
  <c r="Z68" i="100"/>
  <c r="Z148" i="100"/>
  <c r="X44" i="100"/>
  <c r="Z78" i="100"/>
  <c r="W138" i="100"/>
  <c r="S12" i="100"/>
  <c r="AA137" i="100"/>
  <c r="Z96" i="100"/>
  <c r="X132" i="100"/>
  <c r="W41" i="100"/>
  <c r="AA98" i="100"/>
  <c r="Y59" i="100"/>
  <c r="Y81" i="100"/>
  <c r="AA8" i="100"/>
  <c r="V163" i="100"/>
  <c r="Y137" i="100"/>
  <c r="AA9" i="100"/>
  <c r="W76" i="100"/>
  <c r="W99" i="100"/>
  <c r="AA100" i="100"/>
  <c r="Z149" i="100"/>
  <c r="W65" i="100"/>
  <c r="Y42" i="100"/>
  <c r="Z49" i="100"/>
  <c r="AA41" i="100"/>
  <c r="Y51" i="100"/>
  <c r="AA71" i="100"/>
  <c r="W37" i="100"/>
  <c r="X98" i="100"/>
  <c r="X69" i="100"/>
  <c r="X134" i="100"/>
  <c r="X155" i="100"/>
  <c r="Y62" i="100"/>
  <c r="Y141" i="100"/>
  <c r="Z5" i="100"/>
  <c r="Y113" i="100"/>
  <c r="S164" i="100"/>
  <c r="X61" i="100"/>
  <c r="Y143" i="100"/>
  <c r="AA56" i="100"/>
  <c r="W148" i="100"/>
  <c r="Z66" i="100"/>
  <c r="X45" i="100"/>
  <c r="AA134" i="100"/>
  <c r="Y55" i="100"/>
  <c r="AM71" i="100"/>
  <c r="Z42" i="100"/>
  <c r="Z16" i="100"/>
  <c r="Z157" i="100"/>
  <c r="Y86" i="100"/>
  <c r="X47" i="100"/>
  <c r="Y159" i="100"/>
  <c r="X37" i="100"/>
  <c r="Z145" i="100"/>
  <c r="W111" i="100"/>
  <c r="W92" i="100"/>
  <c r="W54" i="100"/>
  <c r="Y10" i="100"/>
  <c r="S161" i="100"/>
  <c r="AA58" i="100"/>
  <c r="AA135" i="100"/>
  <c r="Y40" i="100"/>
  <c r="Z160" i="100"/>
  <c r="AA65" i="100"/>
  <c r="W35" i="100"/>
  <c r="Z22" i="100"/>
  <c r="V11" i="100"/>
  <c r="R9" i="100"/>
  <c r="Z80" i="100"/>
  <c r="W43" i="100"/>
  <c r="Y128" i="100"/>
  <c r="W154" i="100"/>
  <c r="Y8" i="100"/>
  <c r="Y102" i="100"/>
  <c r="W140" i="100"/>
  <c r="AA86" i="100"/>
  <c r="X95" i="100"/>
  <c r="X57" i="100"/>
  <c r="W120" i="100"/>
  <c r="Y158" i="100"/>
  <c r="W142" i="100"/>
  <c r="X139" i="100"/>
  <c r="W110" i="100"/>
  <c r="W40" i="100"/>
  <c r="Z152" i="100"/>
  <c r="Y132" i="100"/>
  <c r="Z112" i="100"/>
  <c r="AA47" i="100"/>
  <c r="Y33" i="100"/>
  <c r="Y78" i="100"/>
  <c r="Z32" i="100"/>
  <c r="Z89" i="100"/>
  <c r="U162" i="100"/>
  <c r="W88" i="100"/>
  <c r="Z27" i="100"/>
  <c r="Y66" i="100"/>
  <c r="X102" i="100"/>
  <c r="AA84" i="100"/>
  <c r="Z87" i="100"/>
  <c r="W93" i="100"/>
  <c r="W36" i="100"/>
  <c r="X88" i="100"/>
  <c r="W141" i="100"/>
  <c r="X110" i="100"/>
  <c r="W61" i="100"/>
  <c r="X17" i="100"/>
  <c r="W56" i="100"/>
  <c r="AA34" i="100"/>
  <c r="AA112" i="100"/>
  <c r="X28" i="100"/>
  <c r="W113" i="100"/>
  <c r="Z91" i="100"/>
  <c r="Y63" i="100"/>
  <c r="Y125" i="100"/>
  <c r="W139" i="100"/>
  <c r="X6" i="100"/>
  <c r="Z156" i="100"/>
  <c r="Y87" i="100"/>
  <c r="X93" i="100"/>
  <c r="Y140" i="100"/>
  <c r="AA107" i="100"/>
  <c r="W96" i="100"/>
  <c r="W90" i="100"/>
  <c r="X81" i="100"/>
  <c r="X117" i="100"/>
  <c r="Z82" i="100"/>
  <c r="AA110" i="100"/>
  <c r="Z150" i="100"/>
  <c r="T164" i="100"/>
  <c r="Z44" i="100"/>
  <c r="W19" i="100"/>
  <c r="Y56" i="100"/>
  <c r="AM14" i="100"/>
  <c r="AI121" i="68"/>
  <c r="Y109" i="100"/>
  <c r="Z108" i="100"/>
  <c r="W29" i="100"/>
  <c r="W70" i="100"/>
  <c r="W82" i="100"/>
  <c r="AA151" i="100"/>
  <c r="Y100" i="100"/>
  <c r="X154" i="100"/>
  <c r="AA55" i="100"/>
  <c r="W53" i="100"/>
  <c r="W150" i="100"/>
  <c r="W64" i="100"/>
  <c r="X138" i="100"/>
  <c r="AM130" i="100"/>
  <c r="W15" i="100"/>
  <c r="W109" i="100"/>
  <c r="W125" i="100"/>
  <c r="AA139" i="100"/>
  <c r="Z74" i="100"/>
  <c r="X79" i="100"/>
  <c r="AA93" i="100"/>
  <c r="AA32" i="100"/>
  <c r="AI199" i="68" s="1"/>
  <c r="X41" i="100"/>
  <c r="AM225" i="100"/>
  <c r="U163" i="100"/>
  <c r="Y114" i="100"/>
  <c r="X42" i="100"/>
  <c r="AM224" i="100"/>
  <c r="X127" i="100"/>
  <c r="AA95" i="100"/>
  <c r="Z81" i="100"/>
  <c r="Y108" i="100"/>
  <c r="AM119" i="100" s="1"/>
  <c r="Y92" i="100"/>
  <c r="Y136" i="100"/>
  <c r="AI122" i="68"/>
  <c r="Y77" i="100"/>
  <c r="AM111" i="100"/>
  <c r="AA152" i="100"/>
  <c r="Y88" i="100"/>
  <c r="X32" i="100"/>
  <c r="AA121" i="100"/>
  <c r="W101" i="100"/>
  <c r="AA49" i="100"/>
  <c r="Z125" i="100"/>
  <c r="Z61" i="100"/>
  <c r="AA132" i="100"/>
  <c r="X146" i="100"/>
  <c r="Z121" i="100"/>
  <c r="U10" i="100"/>
  <c r="X126" i="100"/>
  <c r="Y110" i="100"/>
  <c r="W26" i="100"/>
  <c r="W17" i="100"/>
  <c r="Z126" i="100"/>
  <c r="AM169" i="100" s="1"/>
  <c r="AA50" i="100"/>
  <c r="W132" i="100"/>
  <c r="X90" i="100"/>
  <c r="W75" i="100"/>
  <c r="Z144" i="100"/>
  <c r="AA73" i="100"/>
  <c r="AA57" i="100"/>
  <c r="Y65" i="100"/>
  <c r="Z155" i="100"/>
  <c r="AM177" i="100" s="1"/>
  <c r="Z53" i="100"/>
  <c r="Y127" i="100"/>
  <c r="AA67" i="100"/>
  <c r="V162" i="100"/>
  <c r="AA20" i="100"/>
  <c r="Z69" i="100"/>
  <c r="S160" i="100"/>
  <c r="X125" i="100"/>
  <c r="Y27" i="100"/>
  <c r="AA87" i="100"/>
  <c r="AA46" i="100"/>
  <c r="Y96" i="100"/>
  <c r="AA38" i="100"/>
  <c r="Z20" i="100"/>
  <c r="Y93" i="100"/>
  <c r="W27" i="100"/>
  <c r="T163" i="100"/>
  <c r="Y31" i="100"/>
  <c r="Z95" i="100"/>
  <c r="Y97" i="100"/>
  <c r="W152" i="100"/>
  <c r="X30" i="100"/>
  <c r="Z138" i="100"/>
  <c r="W47" i="100"/>
  <c r="W128" i="100"/>
  <c r="Y34" i="100"/>
  <c r="S162" i="100"/>
  <c r="Z58" i="100"/>
  <c r="AA78" i="100"/>
  <c r="Y126" i="100"/>
  <c r="V161" i="100"/>
  <c r="AA85" i="100"/>
  <c r="W60" i="100"/>
  <c r="X87" i="100"/>
  <c r="Z135" i="100"/>
  <c r="Y22" i="100"/>
  <c r="Y119" i="100"/>
  <c r="AM73" i="100"/>
  <c r="AM213" i="100"/>
  <c r="Z88" i="100"/>
  <c r="Z35" i="100"/>
  <c r="W45" i="100"/>
  <c r="AM11" i="100" s="1"/>
  <c r="X68" i="100"/>
  <c r="X26" i="100"/>
  <c r="X75" i="100"/>
  <c r="W91" i="100"/>
  <c r="W74" i="100"/>
  <c r="Y70" i="100"/>
  <c r="AA83" i="100"/>
  <c r="AI211" i="68" s="1"/>
  <c r="AM134" i="100"/>
  <c r="W59" i="100"/>
  <c r="X153" i="100"/>
  <c r="AM87" i="100" s="1"/>
  <c r="W143" i="100"/>
  <c r="Z76" i="100"/>
  <c r="Z146" i="100"/>
  <c r="X63" i="100"/>
  <c r="Z55" i="100"/>
  <c r="AA105" i="100"/>
  <c r="Z129" i="100"/>
  <c r="X73" i="100"/>
  <c r="AA101" i="100"/>
  <c r="W115" i="100"/>
  <c r="AI41" i="68" s="1"/>
  <c r="X136" i="100"/>
  <c r="Z75" i="100"/>
  <c r="U164" i="100"/>
  <c r="Z90" i="100"/>
  <c r="AI234" i="68"/>
  <c r="Y7" i="100"/>
  <c r="X121" i="100"/>
  <c r="R7" i="100"/>
  <c r="Z131" i="100"/>
  <c r="Z21" i="100"/>
  <c r="X65" i="100"/>
  <c r="Y71" i="100"/>
  <c r="AA33" i="100"/>
  <c r="AA113" i="100"/>
  <c r="Y32" i="100"/>
  <c r="AM163" i="100"/>
  <c r="Y54" i="100"/>
  <c r="Z29" i="100"/>
  <c r="Z34" i="100"/>
  <c r="W106" i="100"/>
  <c r="AI86" i="68"/>
  <c r="AM99" i="100"/>
  <c r="AM176" i="100"/>
  <c r="AZ122" i="99"/>
  <c r="X99" i="100"/>
  <c r="Z8" i="100"/>
  <c r="V10" i="100"/>
  <c r="Z45" i="100"/>
  <c r="Y98" i="100"/>
  <c r="X103" i="100"/>
  <c r="Y106" i="100"/>
  <c r="AA63" i="100"/>
  <c r="Z51" i="100"/>
  <c r="AM98" i="100"/>
  <c r="X82" i="100"/>
  <c r="W62" i="100"/>
  <c r="X8" i="100"/>
  <c r="X15" i="100"/>
  <c r="W34" i="100"/>
  <c r="W155" i="100"/>
  <c r="W107" i="100"/>
  <c r="Z107" i="100"/>
  <c r="X151" i="100"/>
  <c r="Y12" i="100"/>
  <c r="T162" i="100"/>
  <c r="X7" i="100"/>
  <c r="AA94" i="100"/>
  <c r="AI215" i="68" s="1"/>
  <c r="Y122" i="100"/>
  <c r="Y149" i="100"/>
  <c r="Y45" i="100"/>
  <c r="AA109" i="100"/>
  <c r="AA15" i="100"/>
  <c r="AM156" i="100"/>
  <c r="W149" i="100"/>
  <c r="X137" i="100"/>
  <c r="AM201" i="100"/>
  <c r="AA147" i="100"/>
  <c r="Z130" i="100"/>
  <c r="W69" i="100"/>
  <c r="Y139" i="100"/>
  <c r="AI84" i="68"/>
  <c r="AM223" i="100"/>
  <c r="AI235" i="68"/>
  <c r="AM219" i="100"/>
  <c r="AI189" i="68"/>
  <c r="AI190" i="68"/>
  <c r="BB91" i="99"/>
  <c r="AM79" i="100"/>
  <c r="AI89" i="68"/>
  <c r="AM17" i="100"/>
  <c r="AZ123" i="99"/>
  <c r="AZ121" i="99"/>
  <c r="AM159" i="100"/>
  <c r="AI169" i="68"/>
  <c r="BD165" i="99"/>
  <c r="BD169" i="99"/>
  <c r="BD167" i="99"/>
  <c r="BD168" i="99"/>
  <c r="BD163" i="99"/>
  <c r="BD164" i="99"/>
  <c r="BD166" i="99"/>
  <c r="BD162" i="99"/>
  <c r="BC163" i="99"/>
  <c r="BC167" i="99"/>
  <c r="BC166" i="99"/>
  <c r="BC169" i="99"/>
  <c r="BC168" i="99"/>
  <c r="BC164" i="99"/>
  <c r="BC165" i="99"/>
  <c r="CS28" i="99" l="1"/>
  <c r="CT28" i="99" s="1"/>
  <c r="CS202" i="99"/>
  <c r="CT202" i="99" s="1"/>
  <c r="CS176" i="99"/>
  <c r="CT176" i="99" s="1"/>
  <c r="CS177" i="99"/>
  <c r="CT177" i="99" s="1"/>
  <c r="CS153" i="99"/>
  <c r="CT153" i="99" s="1"/>
  <c r="CS221" i="99"/>
  <c r="CT221" i="99" s="1"/>
  <c r="CS95" i="99"/>
  <c r="CT95" i="99" s="1"/>
  <c r="CS108" i="99"/>
  <c r="CT108" i="99" s="1"/>
  <c r="CS29" i="99"/>
  <c r="CT29" i="99" s="1"/>
  <c r="CS85" i="99"/>
  <c r="CT85" i="99" s="1"/>
  <c r="CS222" i="99"/>
  <c r="CT222" i="99" s="1"/>
  <c r="CS198" i="99"/>
  <c r="CT198" i="99" s="1"/>
  <c r="CS73" i="99"/>
  <c r="CT73" i="99" s="1"/>
  <c r="CS71" i="99"/>
  <c r="CT71" i="99" s="1"/>
  <c r="CS127" i="99"/>
  <c r="CT127" i="99" s="1"/>
  <c r="CS86" i="99"/>
  <c r="CT86" i="99" s="1"/>
  <c r="CS186" i="99"/>
  <c r="CT186" i="99" s="1"/>
  <c r="CS76" i="99"/>
  <c r="CT76" i="99" s="1"/>
  <c r="CS11" i="99"/>
  <c r="CT11" i="99" s="1"/>
  <c r="CS109" i="99"/>
  <c r="CT109" i="99" s="1"/>
  <c r="CS156" i="99"/>
  <c r="CT156" i="99" s="1"/>
  <c r="C164" i="100"/>
  <c r="C163" i="100"/>
  <c r="AJ19" i="72"/>
  <c r="AL19" i="72" s="1"/>
  <c r="AJ64" i="72"/>
  <c r="AL64" i="72" s="1"/>
  <c r="AJ199" i="72"/>
  <c r="AL199" i="72" s="1"/>
  <c r="AJ154" i="72"/>
  <c r="AL154" i="72" s="1"/>
  <c r="AJ109" i="72"/>
  <c r="AL109" i="72" s="1"/>
  <c r="C11" i="100"/>
  <c r="G13" i="100"/>
  <c r="E14" i="100"/>
  <c r="F12" i="100"/>
  <c r="D13" i="100"/>
  <c r="Y162" i="100"/>
  <c r="AM112" i="100"/>
  <c r="AI162" i="68"/>
  <c r="AM147" i="100"/>
  <c r="AI125" i="68"/>
  <c r="AI216" i="68"/>
  <c r="Y13" i="100"/>
  <c r="AI114" i="68"/>
  <c r="AM27" i="100"/>
  <c r="AI83" i="68"/>
  <c r="AI47" i="68"/>
  <c r="AA164" i="100"/>
  <c r="AI171" i="68"/>
  <c r="Y164" i="100"/>
  <c r="AM80" i="100"/>
  <c r="AI23" i="68"/>
  <c r="BU188" i="99"/>
  <c r="AI208" i="68"/>
  <c r="AM203" i="100"/>
  <c r="AM114" i="100"/>
  <c r="S13" i="100"/>
  <c r="AI180" i="68"/>
  <c r="BS53" i="99"/>
  <c r="AI26" i="68"/>
  <c r="AI124" i="68"/>
  <c r="AM152" i="100"/>
  <c r="V13" i="100"/>
  <c r="AI232" i="68"/>
  <c r="AM60" i="100"/>
  <c r="W8" i="100"/>
  <c r="AI165" i="68"/>
  <c r="AM61" i="100"/>
  <c r="AM25" i="100"/>
  <c r="AM149" i="100"/>
  <c r="AM23" i="100"/>
  <c r="AI88" i="68"/>
  <c r="CB53" i="99"/>
  <c r="X10" i="100"/>
  <c r="AM153" i="100"/>
  <c r="AM29" i="100"/>
  <c r="AM133" i="100"/>
  <c r="AI73" i="68"/>
  <c r="BW98" i="99"/>
  <c r="AM199" i="100"/>
  <c r="AM84" i="100"/>
  <c r="Z9" i="100"/>
  <c r="AM208" i="100"/>
  <c r="AM65" i="100"/>
  <c r="W161" i="100"/>
  <c r="R11" i="100"/>
  <c r="CB143" i="99"/>
  <c r="BX188" i="99"/>
  <c r="AM148" i="100"/>
  <c r="AM157" i="100"/>
  <c r="AM57" i="100"/>
  <c r="AM150" i="100"/>
  <c r="AA163" i="100"/>
  <c r="AI218" i="68"/>
  <c r="BA129" i="99"/>
  <c r="BW8" i="99"/>
  <c r="AM198" i="100"/>
  <c r="AM211" i="100"/>
  <c r="AM144" i="100"/>
  <c r="AI206" i="68"/>
  <c r="AI87" i="68"/>
  <c r="AM116" i="100"/>
  <c r="AI115" i="68"/>
  <c r="AI45" i="68"/>
  <c r="AM175" i="100"/>
  <c r="AI205" i="68"/>
  <c r="AM151" i="100"/>
  <c r="AM165" i="100"/>
  <c r="AI119" i="68"/>
  <c r="AI20" i="68"/>
  <c r="AI110" i="68"/>
  <c r="AI19" i="68"/>
  <c r="Z162" i="100"/>
  <c r="AI28" i="68"/>
  <c r="AI184" i="68"/>
  <c r="AM127" i="100"/>
  <c r="CB188" i="99"/>
  <c r="BR186" i="99"/>
  <c r="AM33" i="100"/>
  <c r="AM216" i="100"/>
  <c r="AI72" i="68"/>
  <c r="AI35" i="68"/>
  <c r="AM193" i="100"/>
  <c r="AM173" i="100"/>
  <c r="AZ40" i="99"/>
  <c r="CB186" i="99"/>
  <c r="AM74" i="100"/>
  <c r="AI153" i="68"/>
  <c r="AI212" i="68"/>
  <c r="AM166" i="100"/>
  <c r="AM40" i="100"/>
  <c r="AM214" i="100"/>
  <c r="AI226" i="68"/>
  <c r="AI219" i="68"/>
  <c r="AM115" i="100"/>
  <c r="AI209" i="68"/>
  <c r="AM89" i="100"/>
  <c r="AM26" i="100"/>
  <c r="BB63" i="99"/>
  <c r="BW141" i="99"/>
  <c r="AM122" i="100"/>
  <c r="BB97" i="99"/>
  <c r="X12" i="100"/>
  <c r="AI170" i="68"/>
  <c r="BC101" i="99" s="1"/>
  <c r="AI113" i="68"/>
  <c r="BX6" i="99"/>
  <c r="BU141" i="99"/>
  <c r="AM105" i="100"/>
  <c r="W7" i="100"/>
  <c r="BR141" i="99"/>
  <c r="BD72" i="99"/>
  <c r="CB6" i="99"/>
  <c r="BB60" i="99"/>
  <c r="BZ98" i="99"/>
  <c r="AM217" i="100"/>
  <c r="AM215" i="100"/>
  <c r="AM202" i="100"/>
  <c r="AM120" i="100"/>
  <c r="X162" i="100"/>
  <c r="BD68" i="99"/>
  <c r="AM70" i="100"/>
  <c r="BD71" i="99"/>
  <c r="CB8" i="99"/>
  <c r="AZ42" i="99"/>
  <c r="BW186" i="99"/>
  <c r="BR143" i="99"/>
  <c r="BC102" i="99"/>
  <c r="AI112" i="68"/>
  <c r="X161" i="100"/>
  <c r="AM90" i="100" s="1"/>
  <c r="AM85" i="100"/>
  <c r="AM63" i="100"/>
  <c r="AI80" i="68"/>
  <c r="AM82" i="100"/>
  <c r="BR8" i="99"/>
  <c r="T14" i="100"/>
  <c r="CB96" i="99"/>
  <c r="AM124" i="100"/>
  <c r="Z10" i="100"/>
  <c r="AZ59" i="99"/>
  <c r="AI27" i="68"/>
  <c r="AM194" i="100"/>
  <c r="AM146" i="100"/>
  <c r="AM164" i="100"/>
  <c r="AI50" i="68"/>
  <c r="W162" i="100"/>
  <c r="AI91" i="68"/>
  <c r="AI143" i="68"/>
  <c r="AI207" i="68"/>
  <c r="AI68" i="68"/>
  <c r="AI79" i="68"/>
  <c r="BA98" i="99" s="1"/>
  <c r="AM135" i="100"/>
  <c r="CB141" i="99"/>
  <c r="BR145" i="99"/>
  <c r="BX143" i="99"/>
  <c r="AI40" i="68"/>
  <c r="AI137" i="68"/>
  <c r="AM161" i="100"/>
  <c r="AZ80" i="99"/>
  <c r="AM101" i="100"/>
  <c r="AI18" i="68"/>
  <c r="BS140" i="99"/>
  <c r="BX14" i="99"/>
  <c r="AZ39" i="99"/>
  <c r="AM207" i="100"/>
  <c r="AZ76" i="99"/>
  <c r="AM103" i="100"/>
  <c r="AI51" i="68"/>
  <c r="AI168" i="68"/>
  <c r="BW190" i="99"/>
  <c r="AA161" i="100"/>
  <c r="CB50" i="99"/>
  <c r="AI132" i="68"/>
  <c r="BS141" i="99"/>
  <c r="AI160" i="68"/>
  <c r="AI164" i="68"/>
  <c r="BC85" i="99" s="1"/>
  <c r="AI25" i="68"/>
  <c r="AA11" i="100"/>
  <c r="AZ41" i="99"/>
  <c r="BZ55" i="99"/>
  <c r="BW95" i="99"/>
  <c r="AZ38" i="99"/>
  <c r="BS59" i="99"/>
  <c r="BR149" i="99"/>
  <c r="AM54" i="100"/>
  <c r="AI173" i="68"/>
  <c r="BU55" i="99"/>
  <c r="AM86" i="100"/>
  <c r="AM31" i="100"/>
  <c r="BU144" i="99"/>
  <c r="AI37" i="68"/>
  <c r="CB194" i="99"/>
  <c r="BR6" i="99"/>
  <c r="AZ65" i="99"/>
  <c r="CB95" i="99"/>
  <c r="BZ104" i="99"/>
  <c r="AM102" i="100"/>
  <c r="AI64" i="68"/>
  <c r="BZ59" i="99"/>
  <c r="AI228" i="68"/>
  <c r="AM195" i="100"/>
  <c r="BR59" i="99"/>
  <c r="BS186" i="99"/>
  <c r="BB59" i="99"/>
  <c r="AM129" i="100"/>
  <c r="AI203" i="68"/>
  <c r="BZ10" i="99"/>
  <c r="AI97" i="68"/>
  <c r="AZ154" i="99"/>
  <c r="AZ70" i="99"/>
  <c r="BU186" i="99"/>
  <c r="BZ188" i="99"/>
  <c r="AZ31" i="99"/>
  <c r="BX51" i="99"/>
  <c r="CB145" i="99"/>
  <c r="AZ61" i="99"/>
  <c r="BW194" i="99"/>
  <c r="AZ30" i="99"/>
  <c r="BZ189" i="99"/>
  <c r="BU54" i="99"/>
  <c r="BD73" i="99"/>
  <c r="BC97" i="99"/>
  <c r="BA125" i="99"/>
  <c r="BA162" i="99"/>
  <c r="AM155" i="100"/>
  <c r="AI109" i="68"/>
  <c r="AM72" i="100"/>
  <c r="BA163" i="99"/>
  <c r="BW100" i="99"/>
  <c r="AM126" i="100"/>
  <c r="BD81" i="99"/>
  <c r="CB9" i="99"/>
  <c r="BX98" i="99"/>
  <c r="AM69" i="100"/>
  <c r="AZ32" i="99"/>
  <c r="AM55" i="100"/>
  <c r="BW185" i="99"/>
  <c r="BZ140" i="99"/>
  <c r="AI100" i="68"/>
  <c r="AI71" i="68"/>
  <c r="AM104" i="100"/>
  <c r="AI231" i="68"/>
  <c r="AI198" i="68"/>
  <c r="AI46" i="68"/>
  <c r="AM160" i="100"/>
  <c r="AM188" i="100"/>
  <c r="AI181" i="68"/>
  <c r="AM78" i="100"/>
  <c r="AM222" i="100"/>
  <c r="AI52" i="68"/>
  <c r="AI138" i="68"/>
  <c r="Z11" i="100"/>
  <c r="AM117" i="100"/>
  <c r="BZ145" i="99"/>
  <c r="AI111" i="68"/>
  <c r="AI67" i="68"/>
  <c r="AM128" i="100"/>
  <c r="AM41" i="100"/>
  <c r="X11" i="100"/>
  <c r="AM9" i="100"/>
  <c r="R164" i="100"/>
  <c r="BR194" i="99"/>
  <c r="BB37" i="99"/>
  <c r="BD100" i="99"/>
  <c r="BB68" i="99"/>
  <c r="BS6" i="99"/>
  <c r="AI174" i="68"/>
  <c r="AI85" i="68"/>
  <c r="BA117" i="99" s="1"/>
  <c r="BS14" i="99"/>
  <c r="AM191" i="100"/>
  <c r="R163" i="100"/>
  <c r="BA58" i="99"/>
  <c r="AI78" i="68"/>
  <c r="BA95" i="99" s="1"/>
  <c r="CB104" i="99"/>
  <c r="BR104" i="99"/>
  <c r="AM13" i="100"/>
  <c r="AM81" i="100"/>
  <c r="AI187" i="68"/>
  <c r="AM53" i="100"/>
  <c r="AM100" i="100"/>
  <c r="BZ5" i="99"/>
  <c r="AZ81" i="99"/>
  <c r="BW188" i="99"/>
  <c r="BS61" i="99"/>
  <c r="BU100" i="99"/>
  <c r="BW5" i="99"/>
  <c r="CB51" i="99"/>
  <c r="AM190" i="100"/>
  <c r="AI145" i="68"/>
  <c r="BB169" i="99" s="1"/>
  <c r="AI49" i="68"/>
  <c r="AI155" i="68"/>
  <c r="BB99" i="99"/>
  <c r="BD76" i="99"/>
  <c r="AI131" i="68"/>
  <c r="AZ33" i="99"/>
  <c r="BU145" i="99"/>
  <c r="BW145" i="99"/>
  <c r="AZ68" i="99"/>
  <c r="BA93" i="99"/>
  <c r="BA81" i="99"/>
  <c r="AI29" i="68"/>
  <c r="AZ82" i="99" s="1"/>
  <c r="AM154" i="100"/>
  <c r="AI227" i="68"/>
  <c r="AI116" i="68"/>
  <c r="AM12" i="100"/>
  <c r="BD82" i="99"/>
  <c r="CB100" i="99"/>
  <c r="AI154" i="68"/>
  <c r="AM209" i="100"/>
  <c r="AI224" i="68"/>
  <c r="BB166" i="99"/>
  <c r="BR196" i="99"/>
  <c r="BD83" i="99"/>
  <c r="BC96" i="99"/>
  <c r="AM76" i="100"/>
  <c r="AI178" i="68"/>
  <c r="BR107" i="99"/>
  <c r="AI177" i="68"/>
  <c r="BR197" i="99"/>
  <c r="AZ79" i="99"/>
  <c r="BW99" i="99"/>
  <c r="BR16" i="99"/>
  <c r="BA128" i="99"/>
  <c r="BB168" i="99"/>
  <c r="BZ151" i="99"/>
  <c r="BS190" i="99"/>
  <c r="AZ69" i="99"/>
  <c r="BS143" i="99"/>
  <c r="BU143" i="99"/>
  <c r="BA111" i="99"/>
  <c r="BB47" i="99"/>
  <c r="BX151" i="99"/>
  <c r="BZ190" i="99"/>
  <c r="BB50" i="99"/>
  <c r="BU104" i="99"/>
  <c r="CB5" i="99"/>
  <c r="AZ63" i="99"/>
  <c r="BW189" i="99"/>
  <c r="AZ64" i="99"/>
  <c r="BB167" i="99"/>
  <c r="BR62" i="99"/>
  <c r="BW62" i="99"/>
  <c r="BC110" i="99"/>
  <c r="BC99" i="99"/>
  <c r="BB71" i="99"/>
  <c r="BC38" i="99"/>
  <c r="BC40" i="99"/>
  <c r="BA127" i="99"/>
  <c r="BD111" i="99"/>
  <c r="BD113" i="99"/>
  <c r="BD112" i="99"/>
  <c r="AI204" i="68"/>
  <c r="AM30" i="100"/>
  <c r="BZ6" i="99"/>
  <c r="AI130" i="68"/>
  <c r="BZ149" i="99"/>
  <c r="BD101" i="99"/>
  <c r="CB190" i="99"/>
  <c r="AZ141" i="99"/>
  <c r="BD69" i="99"/>
  <c r="BW10" i="99"/>
  <c r="BW144" i="99"/>
  <c r="BX10" i="99"/>
  <c r="AM88" i="100"/>
  <c r="BB41" i="99"/>
  <c r="BZ50" i="99"/>
  <c r="BW9" i="99"/>
  <c r="BZ107" i="99"/>
  <c r="BA126" i="99"/>
  <c r="BB90" i="99"/>
  <c r="AM180" i="100"/>
  <c r="AI94" i="68"/>
  <c r="AI32" i="68"/>
  <c r="AM172" i="100"/>
  <c r="AI92" i="68"/>
  <c r="AM206" i="100"/>
  <c r="BB31" i="99"/>
  <c r="AM59" i="100"/>
  <c r="W9" i="100"/>
  <c r="AI142" i="68"/>
  <c r="AI82" i="68"/>
  <c r="AM200" i="100"/>
  <c r="BB34" i="99"/>
  <c r="BB66" i="99"/>
  <c r="Z161" i="100"/>
  <c r="AM121" i="100"/>
  <c r="AI161" i="68"/>
  <c r="AM19" i="100"/>
  <c r="AI183" i="68"/>
  <c r="BU61" i="99"/>
  <c r="BX61" i="99"/>
  <c r="AM220" i="100"/>
  <c r="BZ16" i="99"/>
  <c r="BA75" i="99"/>
  <c r="BS5" i="99"/>
  <c r="BS8" i="99"/>
  <c r="AM42" i="100"/>
  <c r="AI34" i="68"/>
  <c r="BU14" i="99"/>
  <c r="AI134" i="68"/>
  <c r="BC95" i="99"/>
  <c r="AM167" i="100"/>
  <c r="BB36" i="99"/>
  <c r="BR51" i="99"/>
  <c r="CB147" i="99"/>
  <c r="Z163" i="100"/>
  <c r="AM39" i="100"/>
  <c r="X163" i="100"/>
  <c r="AM170" i="100"/>
  <c r="BD90" i="99"/>
  <c r="BR190" i="99"/>
  <c r="BB65" i="99"/>
  <c r="AI90" i="68"/>
  <c r="AZ37" i="99"/>
  <c r="BD89" i="99"/>
  <c r="BC93" i="99"/>
  <c r="AZ29" i="99"/>
  <c r="BZ186" i="99"/>
  <c r="AM210" i="100"/>
  <c r="AI157" i="68"/>
  <c r="AM67" i="100"/>
  <c r="AI38" i="68"/>
  <c r="AM68" i="100"/>
  <c r="BX149" i="99"/>
  <c r="AM162" i="100"/>
  <c r="BC88" i="99"/>
  <c r="BB121" i="99"/>
  <c r="BC68" i="99"/>
  <c r="BR55" i="99"/>
  <c r="AZ73" i="99"/>
  <c r="BC100" i="99"/>
  <c r="BU98" i="99"/>
  <c r="BS13" i="99"/>
  <c r="BS188" i="99"/>
  <c r="BB49" i="99"/>
  <c r="AM189" i="100"/>
  <c r="AI30" i="68"/>
  <c r="BD29" i="99"/>
  <c r="AM24" i="100"/>
  <c r="AZ78" i="99"/>
  <c r="AI63" i="68"/>
  <c r="AA12" i="100"/>
  <c r="AM221" i="100"/>
  <c r="AI33" i="68"/>
  <c r="AZ94" i="99" s="1"/>
  <c r="BD143" i="99"/>
  <c r="AZ85" i="99"/>
  <c r="CB16" i="99"/>
  <c r="BU140" i="99"/>
  <c r="BX58" i="99"/>
  <c r="BR140" i="99"/>
  <c r="Z164" i="100"/>
  <c r="BU194" i="99"/>
  <c r="AI123" i="68"/>
  <c r="BB92" i="99" s="1"/>
  <c r="AM143" i="100"/>
  <c r="AI126" i="68"/>
  <c r="BU102" i="99"/>
  <c r="BS145" i="99"/>
  <c r="CB144" i="99"/>
  <c r="AI44" i="68"/>
  <c r="BC74" i="99"/>
  <c r="AZ137" i="99"/>
  <c r="AZ72" i="99"/>
  <c r="AZ134" i="99"/>
  <c r="BW51" i="99"/>
  <c r="BZ143" i="99"/>
  <c r="BW143" i="99"/>
  <c r="BS96" i="99"/>
  <c r="BW148" i="99"/>
  <c r="BA124" i="99"/>
  <c r="BA113" i="99"/>
  <c r="BB45" i="99"/>
  <c r="BS106" i="99"/>
  <c r="BR100" i="99"/>
  <c r="BB51" i="99"/>
  <c r="BW14" i="99"/>
  <c r="BB142" i="99"/>
  <c r="BR50" i="99"/>
  <c r="BZ147" i="99"/>
  <c r="AZ152" i="99"/>
  <c r="CB189" i="99"/>
  <c r="BR9" i="99"/>
  <c r="BZ9" i="99"/>
  <c r="BA135" i="99"/>
  <c r="BB165" i="99"/>
  <c r="BW17" i="99"/>
  <c r="BW152" i="99"/>
  <c r="AZ150" i="99"/>
  <c r="BC112" i="99"/>
  <c r="BA80" i="99"/>
  <c r="CB103" i="99"/>
  <c r="AZ107" i="99"/>
  <c r="AZ83" i="99"/>
  <c r="BB72" i="99"/>
  <c r="BA36" i="99"/>
  <c r="BC42" i="99"/>
  <c r="BA121" i="99"/>
  <c r="AI156" i="68"/>
  <c r="AI186" i="68"/>
  <c r="AZ140" i="99"/>
  <c r="CB10" i="99"/>
  <c r="AI93" i="68"/>
  <c r="BR53" i="99"/>
  <c r="AI144" i="68"/>
  <c r="BA94" i="99"/>
  <c r="AI77" i="68"/>
  <c r="AI213" i="68"/>
  <c r="BX55" i="99"/>
  <c r="BU53" i="99"/>
  <c r="AM106" i="100"/>
  <c r="AM20" i="100"/>
  <c r="BX96" i="99"/>
  <c r="CB57" i="99"/>
  <c r="CB54" i="99"/>
  <c r="AZ149" i="99"/>
  <c r="AI74" i="68"/>
  <c r="AI223" i="68"/>
  <c r="AI210" i="68"/>
  <c r="AI95" i="68"/>
  <c r="AI36" i="68"/>
  <c r="AZ103" i="99" s="1"/>
  <c r="AI163" i="68"/>
  <c r="BD34" i="99"/>
  <c r="BA138" i="99"/>
  <c r="AM75" i="100"/>
  <c r="AI217" i="68"/>
  <c r="AI48" i="68"/>
  <c r="BU16" i="99"/>
  <c r="AM113" i="100"/>
  <c r="AI220" i="68"/>
  <c r="BD104" i="99"/>
  <c r="AM18" i="100"/>
  <c r="AM179" i="100"/>
  <c r="BW149" i="99"/>
  <c r="Y163" i="100"/>
  <c r="AM212" i="100"/>
  <c r="U12" i="100"/>
  <c r="AM108" i="100"/>
  <c r="AI135" i="68"/>
  <c r="BR98" i="99"/>
  <c r="BX106" i="99"/>
  <c r="BX50" i="99"/>
  <c r="BB64" i="99"/>
  <c r="W10" i="100"/>
  <c r="BD87" i="99"/>
  <c r="AI222" i="68"/>
  <c r="BA57" i="99"/>
  <c r="BR102" i="99"/>
  <c r="AZ118" i="99"/>
  <c r="BA106" i="99"/>
  <c r="BA77" i="99"/>
  <c r="BD102" i="99"/>
  <c r="CB192" i="99"/>
  <c r="AA162" i="100"/>
  <c r="AI221" i="68"/>
  <c r="Y161" i="100"/>
  <c r="AI133" i="68"/>
  <c r="BR10" i="99"/>
  <c r="BC71" i="99"/>
  <c r="W158" i="100"/>
  <c r="BB130" i="99"/>
  <c r="BU151" i="99"/>
  <c r="BX100" i="99"/>
  <c r="BC77" i="99"/>
  <c r="BC80" i="99"/>
  <c r="BX5" i="99"/>
  <c r="BD159" i="99"/>
  <c r="AM205" i="100"/>
  <c r="AI188" i="68"/>
  <c r="AM62" i="100"/>
  <c r="AM218" i="100"/>
  <c r="BX107" i="99"/>
  <c r="AI69" i="68"/>
  <c r="AM28" i="100"/>
  <c r="AM83" i="100"/>
  <c r="AI182" i="68"/>
  <c r="BC136" i="99"/>
  <c r="BX17" i="99"/>
  <c r="BC94" i="99"/>
  <c r="BA97" i="99"/>
  <c r="BD114" i="99"/>
  <c r="BS98" i="99"/>
  <c r="BX103" i="99"/>
  <c r="BB53" i="99"/>
  <c r="AM56" i="100"/>
  <c r="AM123" i="100"/>
  <c r="AI127" i="68"/>
  <c r="AI185" i="68"/>
  <c r="BX192" i="99"/>
  <c r="AI158" i="68"/>
  <c r="BA35" i="99"/>
  <c r="AM196" i="100"/>
  <c r="AZ120" i="99"/>
  <c r="BD36" i="99"/>
  <c r="BR57" i="99"/>
  <c r="BB119" i="99"/>
  <c r="BC72" i="99"/>
  <c r="BS102" i="99"/>
  <c r="BC149" i="99"/>
  <c r="AZ36" i="99"/>
  <c r="BZ53" i="99"/>
  <c r="BU58" i="99"/>
  <c r="BW53" i="99"/>
  <c r="AZ104" i="99"/>
  <c r="AI225" i="68"/>
  <c r="AI43" i="68"/>
  <c r="AA10" i="100"/>
  <c r="AM64" i="100"/>
  <c r="AI31" i="68"/>
  <c r="BB143" i="99"/>
  <c r="BB42" i="99"/>
  <c r="AI21" i="68"/>
  <c r="BX144" i="99"/>
  <c r="BC35" i="99"/>
  <c r="AI96" i="68"/>
  <c r="BD67" i="99"/>
  <c r="BA96" i="99"/>
  <c r="BC76" i="99"/>
  <c r="BU106" i="99"/>
  <c r="BC44" i="99"/>
  <c r="BA107" i="99"/>
  <c r="BA99" i="99"/>
  <c r="BS95" i="99"/>
  <c r="BS51" i="99"/>
  <c r="CB98" i="99"/>
  <c r="BC138" i="99"/>
  <c r="BB61" i="99"/>
  <c r="AZ62" i="99"/>
  <c r="BA130" i="99"/>
  <c r="BD131" i="99"/>
  <c r="BA110" i="99"/>
  <c r="BB44" i="99"/>
  <c r="AZ43" i="99"/>
  <c r="BZ8" i="99"/>
  <c r="BB52" i="99"/>
  <c r="BU59" i="99"/>
  <c r="BB144" i="99"/>
  <c r="BS185" i="99"/>
  <c r="BA114" i="99"/>
  <c r="BS147" i="99"/>
  <c r="AZ153" i="99"/>
  <c r="BD141" i="99"/>
  <c r="BC73" i="99"/>
  <c r="BC159" i="99"/>
  <c r="BS54" i="99"/>
  <c r="BU99" i="99"/>
  <c r="BR144" i="99"/>
  <c r="BA133" i="99"/>
  <c r="BC52" i="99"/>
  <c r="AZ148" i="99"/>
  <c r="CB62" i="99"/>
  <c r="BZ62" i="99"/>
  <c r="BU17" i="99"/>
  <c r="BC45" i="99"/>
  <c r="BA59" i="99"/>
  <c r="BA79" i="99"/>
  <c r="BZ58" i="99"/>
  <c r="BR193" i="99"/>
  <c r="AZ84" i="99"/>
  <c r="BS101" i="99"/>
  <c r="BS146" i="99"/>
  <c r="CB56" i="99"/>
  <c r="BW101" i="99"/>
  <c r="BB70" i="99"/>
  <c r="BA33" i="99"/>
  <c r="BC32" i="99"/>
  <c r="BD132" i="99"/>
  <c r="BA122" i="99"/>
  <c r="CB195" i="99"/>
  <c r="BU15" i="99"/>
  <c r="BS15" i="99"/>
  <c r="BR15" i="99"/>
  <c r="BS195" i="99"/>
  <c r="BB104" i="99"/>
  <c r="AZ90" i="99"/>
  <c r="AM158" i="100"/>
  <c r="AM145" i="100"/>
  <c r="AI65" i="68"/>
  <c r="BX53" i="99"/>
  <c r="BD105" i="99"/>
  <c r="BA118" i="99"/>
  <c r="AI117" i="68"/>
  <c r="BR151" i="99"/>
  <c r="BU5" i="99"/>
  <c r="AM110" i="100"/>
  <c r="BU9" i="99"/>
  <c r="AZ119" i="99"/>
  <c r="CB12" i="99"/>
  <c r="BZ100" i="99"/>
  <c r="BX54" i="99"/>
  <c r="AI136" i="68"/>
  <c r="BB55" i="99"/>
  <c r="BR106" i="99"/>
  <c r="BA115" i="99"/>
  <c r="BC82" i="99"/>
  <c r="BR17" i="99"/>
  <c r="BZ193" i="99"/>
  <c r="BB77" i="99"/>
  <c r="BB100" i="99"/>
  <c r="BD110" i="99"/>
  <c r="AI129" i="68"/>
  <c r="AI229" i="68"/>
  <c r="AI179" i="68"/>
  <c r="AM109" i="100"/>
  <c r="AI167" i="68"/>
  <c r="AI66" i="68"/>
  <c r="AM132" i="100"/>
  <c r="Y11" i="100"/>
  <c r="AI70" i="68"/>
  <c r="AM21" i="100"/>
  <c r="AI214" i="68"/>
  <c r="W159" i="100"/>
  <c r="AI201" i="68"/>
  <c r="AI128" i="68"/>
  <c r="CW154" i="99"/>
  <c r="CB151" i="99"/>
  <c r="BZ141" i="99"/>
  <c r="AM22" i="100"/>
  <c r="AI75" i="68"/>
  <c r="AI202" i="68"/>
  <c r="BW104" i="99"/>
  <c r="BX16" i="99"/>
  <c r="AZ135" i="99"/>
  <c r="AM32" i="100"/>
  <c r="AI159" i="68"/>
  <c r="BW140" i="99"/>
  <c r="BZ196" i="99"/>
  <c r="AZ34" i="99"/>
  <c r="CB140" i="99"/>
  <c r="X164" i="100"/>
  <c r="CW199" i="99"/>
  <c r="BD65" i="99"/>
  <c r="AI200" i="68"/>
  <c r="AI118" i="68"/>
  <c r="AM58" i="100"/>
  <c r="AM35" i="100"/>
  <c r="AI81" i="68"/>
  <c r="AZ139" i="99"/>
  <c r="BU196" i="99"/>
  <c r="BX190" i="99"/>
  <c r="AI39" i="68"/>
  <c r="AI233" i="68"/>
  <c r="BD160" i="99" s="1"/>
  <c r="AZ116" i="99"/>
  <c r="AM204" i="100"/>
  <c r="AZ158" i="99"/>
  <c r="BA116" i="99"/>
  <c r="AM171" i="100"/>
  <c r="AZ71" i="99"/>
  <c r="AM66" i="100"/>
  <c r="BD126" i="99"/>
  <c r="BD39" i="99"/>
  <c r="BX9" i="99"/>
  <c r="BB111" i="99"/>
  <c r="BR188" i="99"/>
  <c r="AI172" i="68"/>
  <c r="AM197" i="100"/>
  <c r="BD78" i="99"/>
  <c r="AM77" i="100"/>
  <c r="BZ17" i="99"/>
  <c r="AI139" i="68"/>
  <c r="BC107" i="99"/>
  <c r="AI120" i="68"/>
  <c r="X160" i="100"/>
  <c r="W160" i="100"/>
  <c r="AZ77" i="99"/>
  <c r="CB107" i="99"/>
  <c r="BC111" i="99"/>
  <c r="BC78" i="99"/>
  <c r="BB86" i="99"/>
  <c r="BZ96" i="99"/>
  <c r="BX8" i="99"/>
  <c r="BC137" i="99"/>
  <c r="BB127" i="99"/>
  <c r="AI22" i="68"/>
  <c r="AM131" i="100"/>
  <c r="AM125" i="100"/>
  <c r="AM174" i="100"/>
  <c r="AM38" i="100"/>
  <c r="AI176" i="68"/>
  <c r="BC122" i="99" s="1"/>
  <c r="BB96" i="99"/>
  <c r="AI230" i="68"/>
  <c r="BU189" i="99"/>
  <c r="BD79" i="99"/>
  <c r="AZ86" i="99"/>
  <c r="BD146" i="99"/>
  <c r="BB30" i="99"/>
  <c r="BA141" i="99"/>
  <c r="AZ67" i="99"/>
  <c r="BU185" i="99"/>
  <c r="BZ51" i="99"/>
  <c r="AZ58" i="99"/>
  <c r="BR13" i="99"/>
  <c r="BD142" i="99"/>
  <c r="BU6" i="99"/>
  <c r="BD130" i="99"/>
  <c r="AI141" i="68"/>
  <c r="AM10" i="100"/>
  <c r="AM37" i="100"/>
  <c r="CB152" i="99"/>
  <c r="AM192" i="100"/>
  <c r="AM15" i="100"/>
  <c r="AZ156" i="99"/>
  <c r="AM178" i="100"/>
  <c r="BA44" i="99"/>
  <c r="BA53" i="99"/>
  <c r="BZ192" i="99"/>
  <c r="BZ185" i="99"/>
  <c r="BD145" i="99"/>
  <c r="BB38" i="99"/>
  <c r="BB106" i="99"/>
  <c r="BB82" i="99"/>
  <c r="BC31" i="99"/>
  <c r="BU50" i="99"/>
  <c r="BC98" i="99"/>
  <c r="BC67" i="99"/>
  <c r="BB62" i="99"/>
  <c r="BC141" i="99"/>
  <c r="BR103" i="99"/>
  <c r="AZ60" i="99"/>
  <c r="BA71" i="99"/>
  <c r="BA112" i="99"/>
  <c r="AZ142" i="99"/>
  <c r="BX186" i="99"/>
  <c r="BU8" i="99"/>
  <c r="CB59" i="99"/>
  <c r="BX104" i="99"/>
  <c r="BB145" i="99"/>
  <c r="CB185" i="99"/>
  <c r="BA120" i="99"/>
  <c r="BR192" i="99"/>
  <c r="AZ155" i="99"/>
  <c r="BD43" i="99"/>
  <c r="BD140" i="99"/>
  <c r="BC69" i="99"/>
  <c r="BC84" i="99"/>
  <c r="BZ54" i="99"/>
  <c r="AZ74" i="99"/>
  <c r="BZ144" i="99"/>
  <c r="BA136" i="99"/>
  <c r="BC57" i="99"/>
  <c r="BX152" i="99"/>
  <c r="BU62" i="99"/>
  <c r="BZ152" i="99"/>
  <c r="AZ111" i="99"/>
  <c r="BC48" i="99"/>
  <c r="BB152" i="99"/>
  <c r="BA78" i="99"/>
  <c r="BS103" i="99"/>
  <c r="AZ105" i="99"/>
  <c r="AZ55" i="99"/>
  <c r="CB191" i="99"/>
  <c r="AZ87" i="99"/>
  <c r="AZ88" i="99"/>
  <c r="BX11" i="99"/>
  <c r="BB75" i="99"/>
  <c r="BC154" i="99"/>
  <c r="BA40" i="99"/>
  <c r="BA34" i="99"/>
  <c r="BC29" i="99"/>
  <c r="BD156" i="99"/>
  <c r="BD133" i="99"/>
  <c r="BB157" i="99"/>
  <c r="BA123" i="99"/>
  <c r="CB105" i="99"/>
  <c r="BW15" i="99"/>
  <c r="CB60" i="99"/>
  <c r="BX150" i="99"/>
  <c r="BB94" i="99"/>
  <c r="BD55" i="99"/>
  <c r="BB101" i="99"/>
  <c r="BC125" i="99"/>
  <c r="BB136" i="99"/>
  <c r="BS187" i="99"/>
  <c r="BZ142" i="99"/>
  <c r="AZ44" i="99"/>
  <c r="BW187" i="99"/>
  <c r="AI175" i="68"/>
  <c r="AM16" i="100"/>
  <c r="BA56" i="99"/>
  <c r="BX140" i="99"/>
  <c r="BS16" i="99"/>
  <c r="AI76" i="68"/>
  <c r="BA90" i="99" s="1"/>
  <c r="BC65" i="99"/>
  <c r="AM118" i="100"/>
  <c r="AM168" i="100"/>
  <c r="BR5" i="99"/>
  <c r="AM36" i="100"/>
  <c r="CB99" i="99"/>
  <c r="BX13" i="99"/>
  <c r="AM34" i="100"/>
  <c r="BR96" i="99"/>
  <c r="BD107" i="99"/>
  <c r="BA73" i="99"/>
  <c r="BA51" i="99"/>
  <c r="BD124" i="99"/>
  <c r="BC53" i="99"/>
  <c r="BB54" i="99"/>
  <c r="BR56" i="99"/>
  <c r="BD151" i="99"/>
  <c r="BB95" i="99"/>
  <c r="BX7" i="99"/>
  <c r="BB73" i="99"/>
  <c r="BB67" i="99"/>
  <c r="AZ136" i="99"/>
  <c r="BU51" i="99"/>
  <c r="BW96" i="99"/>
  <c r="BX141" i="99"/>
  <c r="BW6" i="99"/>
  <c r="BU96" i="99"/>
  <c r="AZ101" i="99"/>
  <c r="AZ102" i="99"/>
  <c r="BD116" i="99"/>
  <c r="BB56" i="99"/>
  <c r="BB58" i="99"/>
  <c r="BB57" i="99"/>
  <c r="BA101" i="99"/>
  <c r="BA102" i="99"/>
  <c r="BW55" i="99"/>
  <c r="BS100" i="99"/>
  <c r="AZ75" i="99"/>
  <c r="BX145" i="99"/>
  <c r="BU10" i="99"/>
  <c r="BU190" i="99"/>
  <c r="BS10" i="99"/>
  <c r="CB55" i="99"/>
  <c r="BS55" i="99"/>
  <c r="BD75" i="99"/>
  <c r="BD74" i="99"/>
  <c r="AZ117" i="99"/>
  <c r="CB149" i="99"/>
  <c r="BS104" i="99"/>
  <c r="BS149" i="99"/>
  <c r="BX194" i="99"/>
  <c r="BR14" i="99"/>
  <c r="BU149" i="99"/>
  <c r="BZ14" i="99"/>
  <c r="BZ194" i="99"/>
  <c r="BW59" i="99"/>
  <c r="CB14" i="99"/>
  <c r="BX59" i="99"/>
  <c r="BS194" i="99"/>
  <c r="BU95" i="99"/>
  <c r="BW50" i="99"/>
  <c r="BR95" i="99"/>
  <c r="BR185" i="99"/>
  <c r="BX95" i="99"/>
  <c r="BX185" i="99"/>
  <c r="BZ95" i="99"/>
  <c r="BS50" i="99"/>
  <c r="AZ35" i="99"/>
  <c r="BB126" i="99"/>
  <c r="BB125" i="99"/>
  <c r="BW54" i="99"/>
  <c r="AZ66" i="99"/>
  <c r="BX189" i="99"/>
  <c r="BR189" i="99"/>
  <c r="BS144" i="99"/>
  <c r="BR99" i="99"/>
  <c r="BX99" i="99"/>
  <c r="BZ99" i="99"/>
  <c r="BS99" i="99"/>
  <c r="BR54" i="99"/>
  <c r="BS9" i="99"/>
  <c r="BS189" i="99"/>
  <c r="CB13" i="99"/>
  <c r="BW13" i="99"/>
  <c r="BR148" i="99"/>
  <c r="BW193" i="99"/>
  <c r="CB58" i="99"/>
  <c r="AZ108" i="99"/>
  <c r="BR58" i="99"/>
  <c r="BU13" i="99"/>
  <c r="BD59" i="99"/>
  <c r="BD61" i="99"/>
  <c r="BD58" i="99"/>
  <c r="BA160" i="99"/>
  <c r="BA161" i="99"/>
  <c r="BA159" i="99"/>
  <c r="BB33" i="99"/>
  <c r="BB32" i="99"/>
  <c r="BB35" i="99"/>
  <c r="BB39" i="99"/>
  <c r="BB29" i="99"/>
  <c r="BB40" i="99"/>
  <c r="BB43" i="99"/>
  <c r="BA168" i="99"/>
  <c r="BA167" i="99"/>
  <c r="BA165" i="99"/>
  <c r="BA169" i="99"/>
  <c r="BA166" i="99"/>
  <c r="BA76" i="99"/>
  <c r="BD157" i="99"/>
  <c r="BD158" i="99"/>
  <c r="BD32" i="99"/>
  <c r="BD33" i="99"/>
  <c r="BD35" i="99"/>
  <c r="BD31" i="99"/>
  <c r="BZ106" i="99"/>
  <c r="BS151" i="99"/>
  <c r="AZ138" i="99"/>
  <c r="BX196" i="99"/>
  <c r="BS196" i="99"/>
  <c r="BR61" i="99"/>
  <c r="CB61" i="99"/>
  <c r="BW196" i="99"/>
  <c r="BW151" i="99"/>
  <c r="BZ61" i="99"/>
  <c r="BW16" i="99"/>
  <c r="BW61" i="99"/>
  <c r="CB106" i="99"/>
  <c r="CB196" i="99"/>
  <c r="BW106" i="99"/>
  <c r="BC140" i="99"/>
  <c r="BC135" i="99"/>
  <c r="AZ157" i="99"/>
  <c r="BB146" i="99"/>
  <c r="BB148" i="99"/>
  <c r="BB48" i="99"/>
  <c r="BB46" i="99"/>
  <c r="BA54" i="99"/>
  <c r="BA55" i="99"/>
  <c r="BC114" i="99"/>
  <c r="BC113" i="99"/>
  <c r="BU197" i="99"/>
  <c r="BS152" i="99"/>
  <c r="AZ151" i="99"/>
  <c r="BR152" i="99"/>
  <c r="BX62" i="99"/>
  <c r="CB17" i="99"/>
  <c r="BS197" i="99"/>
  <c r="BW107" i="99"/>
  <c r="BU152" i="99"/>
  <c r="BS17" i="99"/>
  <c r="BX197" i="99"/>
  <c r="BW197" i="99"/>
  <c r="BS62" i="99"/>
  <c r="BU107" i="99"/>
  <c r="BS107" i="99"/>
  <c r="BZ197" i="99"/>
  <c r="CB197" i="99"/>
  <c r="BC43" i="99"/>
  <c r="BC46" i="99"/>
  <c r="BC47" i="99"/>
  <c r="BB122" i="99"/>
  <c r="BD139" i="99"/>
  <c r="BD144" i="99"/>
  <c r="BB78" i="99"/>
  <c r="BB74" i="99"/>
  <c r="BB69" i="99"/>
  <c r="BB76" i="99"/>
  <c r="BC41" i="99"/>
  <c r="BC39" i="99"/>
  <c r="BC33" i="99"/>
  <c r="BC34" i="99"/>
  <c r="BC30" i="99"/>
  <c r="BC36" i="99"/>
  <c r="BC37" i="99"/>
  <c r="BC130" i="99"/>
  <c r="BC129" i="99"/>
  <c r="BC124" i="99"/>
  <c r="BC126" i="99"/>
  <c r="BC127" i="99"/>
  <c r="BD60" i="99"/>
  <c r="BD62" i="99"/>
  <c r="BD64" i="99"/>
  <c r="BD66" i="99"/>
  <c r="BD63" i="99"/>
  <c r="BB120" i="99"/>
  <c r="BB117" i="99"/>
  <c r="BB118" i="99"/>
  <c r="BA150" i="99"/>
  <c r="BA151" i="99"/>
  <c r="AZ93" i="99"/>
  <c r="AZ92" i="99"/>
  <c r="BA143" i="99"/>
  <c r="BA140" i="99"/>
  <c r="BA142" i="99"/>
  <c r="BB161" i="99"/>
  <c r="BB160" i="99"/>
  <c r="BB162" i="99"/>
  <c r="BA109" i="99"/>
  <c r="BC70" i="99"/>
  <c r="BC75" i="99"/>
  <c r="BC147" i="99"/>
  <c r="BC148" i="99"/>
  <c r="BW57" i="99"/>
  <c r="BX57" i="99"/>
  <c r="BU192" i="99"/>
  <c r="BX102" i="99"/>
  <c r="BX12" i="99"/>
  <c r="BU57" i="99"/>
  <c r="CB102" i="99"/>
  <c r="BX147" i="99"/>
  <c r="BS192" i="99"/>
  <c r="AZ98" i="99"/>
  <c r="BR12" i="99"/>
  <c r="BR147" i="99"/>
  <c r="AZ99" i="99"/>
  <c r="BS12" i="99"/>
  <c r="BU12" i="99"/>
  <c r="BZ12" i="99"/>
  <c r="BW12" i="99"/>
  <c r="BW147" i="99"/>
  <c r="BZ57" i="99"/>
  <c r="AZ97" i="99"/>
  <c r="BU147" i="99"/>
  <c r="AZ96" i="99"/>
  <c r="BZ102" i="99"/>
  <c r="BW192" i="99"/>
  <c r="BW102" i="99"/>
  <c r="BS57" i="99"/>
  <c r="BB134" i="99"/>
  <c r="BB132" i="99"/>
  <c r="BB133" i="99"/>
  <c r="BB131" i="99"/>
  <c r="BA131" i="99"/>
  <c r="BA137" i="99"/>
  <c r="BA134" i="99"/>
  <c r="BA132" i="99"/>
  <c r="BC56" i="99"/>
  <c r="BC54" i="99"/>
  <c r="BC55" i="99"/>
  <c r="BX193" i="99"/>
  <c r="BW58" i="99"/>
  <c r="AZ106" i="99"/>
  <c r="BU103" i="99"/>
  <c r="CB193" i="99"/>
  <c r="BU193" i="99"/>
  <c r="BZ148" i="99"/>
  <c r="BZ13" i="99"/>
  <c r="BU148" i="99"/>
  <c r="AZ109" i="99"/>
  <c r="BS58" i="99"/>
  <c r="CB148" i="99"/>
  <c r="BX148" i="99"/>
  <c r="BS148" i="99"/>
  <c r="BW103" i="99"/>
  <c r="BZ103" i="99"/>
  <c r="BS193" i="99"/>
  <c r="AZ113" i="99"/>
  <c r="BW146" i="99"/>
  <c r="CB146" i="99"/>
  <c r="BS11" i="99"/>
  <c r="BU101" i="99"/>
  <c r="BW11" i="99"/>
  <c r="BW56" i="99"/>
  <c r="BU146" i="99"/>
  <c r="BX146" i="99"/>
  <c r="BR146" i="99"/>
  <c r="BX191" i="99"/>
  <c r="BR11" i="99"/>
  <c r="BU11" i="99"/>
  <c r="AZ89" i="99"/>
  <c r="CB101" i="99"/>
  <c r="BR101" i="99"/>
  <c r="BZ11" i="99"/>
  <c r="BW191" i="99"/>
  <c r="BR191" i="99"/>
  <c r="BS191" i="99"/>
  <c r="BZ146" i="99"/>
  <c r="BZ101" i="99"/>
  <c r="BU191" i="99"/>
  <c r="BZ56" i="99"/>
  <c r="BZ191" i="99"/>
  <c r="BA30" i="99"/>
  <c r="BA29" i="99"/>
  <c r="BA31" i="99"/>
  <c r="BA32" i="99"/>
  <c r="BB103" i="99"/>
  <c r="BB102" i="99"/>
  <c r="AZ133" i="99"/>
  <c r="AZ131" i="99"/>
  <c r="AZ132" i="99"/>
  <c r="BC50" i="99"/>
  <c r="BC49" i="99"/>
  <c r="BC51" i="99"/>
  <c r="BC157" i="99"/>
  <c r="BC158" i="99"/>
  <c r="BC156" i="99"/>
  <c r="BA146" i="99"/>
  <c r="BA145" i="99"/>
  <c r="BA148" i="99"/>
  <c r="BA147" i="99"/>
  <c r="BB163" i="99"/>
  <c r="BB164" i="99"/>
  <c r="BD92" i="99"/>
  <c r="BD91" i="99"/>
  <c r="BD94" i="99"/>
  <c r="BA82" i="99"/>
  <c r="BA85" i="99"/>
  <c r="BA84" i="99"/>
  <c r="BA83" i="99"/>
  <c r="BD129" i="99"/>
  <c r="BD86" i="99"/>
  <c r="BD84" i="99"/>
  <c r="BD88" i="99"/>
  <c r="BA155" i="99"/>
  <c r="BA153" i="99"/>
  <c r="BA154" i="99"/>
  <c r="BA152" i="99"/>
  <c r="BC81" i="99"/>
  <c r="BC83" i="99"/>
  <c r="BC79" i="99"/>
  <c r="BD103" i="99"/>
  <c r="BD109" i="99"/>
  <c r="BD108" i="99"/>
  <c r="AZ146" i="99"/>
  <c r="AZ147" i="99"/>
  <c r="AZ143" i="99"/>
  <c r="AZ145" i="99"/>
  <c r="AZ144" i="99"/>
  <c r="BD117" i="99"/>
  <c r="BD119" i="99"/>
  <c r="BD118" i="99"/>
  <c r="BD120" i="99"/>
  <c r="BB137" i="99"/>
  <c r="BB135" i="99"/>
  <c r="BD127" i="99"/>
  <c r="BD123" i="99"/>
  <c r="BD121" i="99"/>
  <c r="BD122" i="99"/>
  <c r="BB124" i="99"/>
  <c r="BB128" i="99"/>
  <c r="BB129" i="99"/>
  <c r="BC160" i="99"/>
  <c r="BA68" i="99"/>
  <c r="BA67" i="99"/>
  <c r="BA64" i="99"/>
  <c r="BA63" i="99"/>
  <c r="BA62" i="99"/>
  <c r="BA66" i="99"/>
  <c r="BA61" i="99"/>
  <c r="BC142" i="99"/>
  <c r="BC139" i="99"/>
  <c r="BC145" i="99"/>
  <c r="BC144" i="99"/>
  <c r="BB105" i="99"/>
  <c r="BB109" i="99"/>
  <c r="BB108" i="99"/>
  <c r="BC150" i="99"/>
  <c r="BC153" i="99"/>
  <c r="BC151" i="99"/>
  <c r="BC152" i="99"/>
  <c r="BC59" i="99"/>
  <c r="BC61" i="99"/>
  <c r="BC58" i="99"/>
  <c r="BC60" i="99"/>
  <c r="BD136" i="99"/>
  <c r="BD134" i="99"/>
  <c r="BD135" i="99"/>
  <c r="BD137" i="99"/>
  <c r="BD138" i="99"/>
  <c r="AZ128" i="99"/>
  <c r="CB15" i="99"/>
  <c r="AZ129" i="99"/>
  <c r="BR105" i="99"/>
  <c r="BU150" i="99"/>
  <c r="BZ60" i="99"/>
  <c r="BU105" i="99"/>
  <c r="BZ195" i="99"/>
  <c r="BZ150" i="99"/>
  <c r="CB150" i="99"/>
  <c r="AZ127" i="99"/>
  <c r="BU60" i="99"/>
  <c r="AZ124" i="99"/>
  <c r="BX195" i="99"/>
  <c r="BW150" i="99"/>
  <c r="BZ105" i="99"/>
  <c r="BS60" i="99"/>
  <c r="BX15" i="99"/>
  <c r="BX105" i="99"/>
  <c r="BZ15" i="99"/>
  <c r="BR150" i="99"/>
  <c r="BR60" i="99"/>
  <c r="BS150" i="99"/>
  <c r="BR195" i="99"/>
  <c r="AZ130" i="99"/>
  <c r="BU195" i="99"/>
  <c r="BS105" i="99"/>
  <c r="BW60" i="99"/>
  <c r="BX60" i="99"/>
  <c r="BW195" i="99"/>
  <c r="AZ125" i="99"/>
  <c r="AZ126" i="99"/>
  <c r="BW105" i="99"/>
  <c r="AZ91" i="99"/>
  <c r="CB11" i="99"/>
  <c r="BX56" i="99"/>
  <c r="BX101" i="99"/>
  <c r="BS56" i="99"/>
  <c r="BU56" i="99"/>
  <c r="BX142" i="99"/>
  <c r="BU187" i="99"/>
  <c r="AZ49" i="99"/>
  <c r="BX52" i="99"/>
  <c r="BZ187" i="99"/>
  <c r="BU142" i="99"/>
  <c r="BR97" i="99"/>
  <c r="BZ7" i="99"/>
  <c r="CB52" i="99"/>
  <c r="BR52" i="99"/>
  <c r="AZ51" i="99"/>
  <c r="BZ52" i="99"/>
  <c r="AZ48" i="99"/>
  <c r="BS52" i="99"/>
  <c r="BU97" i="99"/>
  <c r="AZ50" i="99"/>
  <c r="BZ97" i="99"/>
  <c r="BR7" i="99"/>
  <c r="BU52" i="99"/>
  <c r="BW142" i="99"/>
  <c r="BR187" i="99"/>
  <c r="BS97" i="99"/>
  <c r="BX187" i="99"/>
  <c r="AZ52" i="99"/>
  <c r="AZ46" i="99"/>
  <c r="BS7" i="99"/>
  <c r="AZ45" i="99"/>
  <c r="BX97" i="99"/>
  <c r="AZ47" i="99"/>
  <c r="BR142" i="99"/>
  <c r="CB142" i="99"/>
  <c r="BS142" i="99"/>
  <c r="BW97" i="99"/>
  <c r="BW7" i="99"/>
  <c r="CB187" i="99"/>
  <c r="CB97" i="99"/>
  <c r="BA157" i="99"/>
  <c r="BA156" i="99"/>
  <c r="BA158" i="99"/>
  <c r="BA39" i="99"/>
  <c r="BA41" i="99"/>
  <c r="BA43" i="99"/>
  <c r="BA37" i="99"/>
  <c r="BA38" i="99"/>
  <c r="BA42" i="99"/>
  <c r="BA48" i="99"/>
  <c r="BA45" i="99"/>
  <c r="BA47" i="99"/>
  <c r="BB80" i="99"/>
  <c r="BB81" i="99"/>
  <c r="BB138" i="99"/>
  <c r="BB139" i="99"/>
  <c r="BB141" i="99"/>
  <c r="BB116" i="99"/>
  <c r="BB114" i="99"/>
  <c r="BB115" i="99"/>
  <c r="BD147" i="99"/>
  <c r="BD148" i="99"/>
  <c r="BD150" i="99"/>
  <c r="BD152" i="99"/>
  <c r="BC128" i="99"/>
  <c r="BC132" i="99"/>
  <c r="BC134" i="99"/>
  <c r="BC131" i="99"/>
  <c r="BC133" i="99"/>
  <c r="BC90" i="99"/>
  <c r="BC92" i="99"/>
  <c r="BA49" i="99"/>
  <c r="BA50" i="99"/>
  <c r="BA52" i="99"/>
  <c r="BA65" i="99"/>
  <c r="BA70" i="99"/>
  <c r="BA72" i="99"/>
  <c r="BA69" i="99"/>
  <c r="BD99" i="99"/>
  <c r="BD97" i="99"/>
  <c r="BD98" i="99"/>
  <c r="BD96" i="99"/>
  <c r="BD51" i="99"/>
  <c r="BD48" i="99"/>
  <c r="BD49" i="99"/>
  <c r="BD50" i="99"/>
  <c r="BB107" i="99"/>
  <c r="BB110" i="99"/>
  <c r="BB113" i="99"/>
  <c r="BB112" i="99"/>
  <c r="BA88" i="99"/>
  <c r="BA87" i="99"/>
  <c r="BD53" i="99"/>
  <c r="BD52" i="99"/>
  <c r="BD56" i="99"/>
  <c r="BD54" i="99"/>
  <c r="BD57" i="99"/>
  <c r="BC62" i="99"/>
  <c r="BC66" i="99"/>
  <c r="BC63" i="99"/>
  <c r="BC64" i="99"/>
  <c r="BD37" i="99"/>
  <c r="BD42" i="99"/>
  <c r="BD47" i="99"/>
  <c r="BD41" i="99"/>
  <c r="BD44" i="99"/>
  <c r="BD45" i="99"/>
  <c r="BD46" i="99"/>
  <c r="BD38" i="99"/>
  <c r="BD40" i="99"/>
  <c r="BA103" i="99"/>
  <c r="BA104" i="99"/>
  <c r="BA105" i="99"/>
  <c r="AZ114" i="99"/>
  <c r="BC106" i="99"/>
  <c r="BC109" i="99"/>
  <c r="BC105" i="99"/>
  <c r="BC108" i="99"/>
  <c r="BC104" i="99"/>
  <c r="BC103" i="99"/>
  <c r="BB147" i="99"/>
  <c r="BB150" i="99"/>
  <c r="BB149" i="99"/>
  <c r="BB84" i="99"/>
  <c r="BB85" i="99"/>
  <c r="BB88" i="99"/>
  <c r="BB87" i="99"/>
  <c r="CB7" i="99"/>
  <c r="BU7" i="99"/>
  <c r="BW52" i="99"/>
  <c r="AZ56" i="99"/>
  <c r="AZ54" i="99"/>
  <c r="AZ57" i="99"/>
  <c r="AZ53" i="99"/>
  <c r="BD154" i="99"/>
  <c r="BD155" i="99"/>
  <c r="BD153" i="99"/>
  <c r="BB154" i="99"/>
  <c r="BB156" i="99"/>
  <c r="BB159" i="99"/>
  <c r="BB158" i="99"/>
  <c r="BB155" i="99"/>
  <c r="BB153" i="99"/>
  <c r="BC117" i="99"/>
  <c r="BC116" i="99"/>
  <c r="BC120" i="99"/>
  <c r="BC118" i="99"/>
  <c r="BC119" i="99"/>
  <c r="CS216" i="99" l="1"/>
  <c r="CT216" i="99" s="1"/>
  <c r="CS116" i="99"/>
  <c r="CT116" i="99" s="1"/>
  <c r="CS210" i="99"/>
  <c r="CT210" i="99" s="1"/>
  <c r="CS61" i="99"/>
  <c r="CT61" i="99" s="1"/>
  <c r="CS58" i="99"/>
  <c r="CT58" i="99" s="1"/>
  <c r="CS14" i="99"/>
  <c r="CT14" i="99" s="1"/>
  <c r="CS99" i="99"/>
  <c r="CT99" i="99" s="1"/>
  <c r="CS32" i="99"/>
  <c r="CT32" i="99" s="1"/>
  <c r="CS102" i="99"/>
  <c r="CT102" i="99" s="1"/>
  <c r="CS149" i="99"/>
  <c r="CT149" i="99" s="1"/>
  <c r="CS128" i="99"/>
  <c r="CT128" i="99" s="1"/>
  <c r="CS212" i="99"/>
  <c r="CT212" i="99" s="1"/>
  <c r="CS16" i="99"/>
  <c r="CT16" i="99" s="1"/>
  <c r="CS159" i="99"/>
  <c r="CT159" i="99" s="1"/>
  <c r="CS161" i="99"/>
  <c r="CT161" i="99" s="1"/>
  <c r="CS98" i="99"/>
  <c r="CT98" i="99" s="1"/>
  <c r="CS97" i="99"/>
  <c r="CT97" i="99" s="1"/>
  <c r="CS70" i="99"/>
  <c r="CT70" i="99" s="1"/>
  <c r="CS173" i="99"/>
  <c r="CT173" i="99" s="1"/>
  <c r="CS57" i="99"/>
  <c r="CT57" i="99" s="1"/>
  <c r="CS143" i="99"/>
  <c r="CT143" i="99" s="1"/>
  <c r="CS166" i="99"/>
  <c r="CT166" i="99" s="1"/>
  <c r="BY52" i="99"/>
  <c r="CA97" i="99"/>
  <c r="BT52" i="99"/>
  <c r="CA52" i="99"/>
  <c r="BV7" i="99"/>
  <c r="BV52" i="99"/>
  <c r="CA7" i="99"/>
  <c r="BT97" i="99"/>
  <c r="BY97" i="99"/>
  <c r="CA142" i="99"/>
  <c r="BY187" i="99"/>
  <c r="BT7" i="99"/>
  <c r="BV187" i="99"/>
  <c r="BY142" i="99"/>
  <c r="BY7" i="99"/>
  <c r="BV97" i="99"/>
  <c r="BT187" i="99"/>
  <c r="BT142" i="99"/>
  <c r="BV142" i="99"/>
  <c r="CA187" i="99"/>
  <c r="CS68" i="99"/>
  <c r="CT68" i="99" s="1"/>
  <c r="CS5" i="99"/>
  <c r="CT5" i="99" s="1"/>
  <c r="CS106" i="99"/>
  <c r="CT106" i="99" s="1"/>
  <c r="CS8" i="99"/>
  <c r="CT8" i="99" s="1"/>
  <c r="CS141" i="99"/>
  <c r="CT141" i="99" s="1"/>
  <c r="CS56" i="99"/>
  <c r="CT56" i="99" s="1"/>
  <c r="CS131" i="99"/>
  <c r="CT131" i="99" s="1"/>
  <c r="CS105" i="99"/>
  <c r="CT105" i="99" s="1"/>
  <c r="CS188" i="99"/>
  <c r="CT188" i="99" s="1"/>
  <c r="CS150" i="99"/>
  <c r="CT150" i="99" s="1"/>
  <c r="CS187" i="99"/>
  <c r="CT187" i="99" s="1"/>
  <c r="CS35" i="99"/>
  <c r="CT35" i="99" s="1"/>
  <c r="CS190" i="99"/>
  <c r="CT190" i="99" s="1"/>
  <c r="CS203" i="99"/>
  <c r="CT203" i="99" s="1"/>
  <c r="CS165" i="99"/>
  <c r="CT165" i="99" s="1"/>
  <c r="CS132" i="99"/>
  <c r="CT132" i="99" s="1"/>
  <c r="CS174" i="99"/>
  <c r="CT174" i="99" s="1"/>
  <c r="CS111" i="99"/>
  <c r="CT111" i="99" s="1"/>
  <c r="CS124" i="99"/>
  <c r="CT124" i="99" s="1"/>
  <c r="CS37" i="99"/>
  <c r="CT37" i="99" s="1"/>
  <c r="CS191" i="99"/>
  <c r="CT191" i="99" s="1"/>
  <c r="CS30" i="99"/>
  <c r="CT30" i="99" s="1"/>
  <c r="CS175" i="99"/>
  <c r="CT175" i="99" s="1"/>
  <c r="CS74" i="99"/>
  <c r="CT74" i="99" s="1"/>
  <c r="CS9" i="99"/>
  <c r="CT9" i="99" s="1"/>
  <c r="CS26" i="99"/>
  <c r="CT26" i="99" s="1"/>
  <c r="BY141" i="99"/>
  <c r="CA186" i="99"/>
  <c r="BY51" i="99"/>
  <c r="CA6" i="99"/>
  <c r="BV141" i="99"/>
  <c r="BV6" i="99"/>
  <c r="BY96" i="99"/>
  <c r="CA96" i="99"/>
  <c r="BV96" i="99"/>
  <c r="CA141" i="99"/>
  <c r="BT51" i="99"/>
  <c r="BY6" i="99"/>
  <c r="CA51" i="99"/>
  <c r="BV51" i="99"/>
  <c r="BY95" i="99"/>
  <c r="BT50" i="99"/>
  <c r="BY140" i="99"/>
  <c r="BV186" i="99"/>
  <c r="BY185" i="99"/>
  <c r="BT141" i="99"/>
  <c r="BT6" i="99"/>
  <c r="BY186" i="99"/>
  <c r="BT186" i="99"/>
  <c r="CA95" i="99"/>
  <c r="BV140" i="99"/>
  <c r="BT96" i="99"/>
  <c r="CA5" i="99"/>
  <c r="BT5" i="99"/>
  <c r="BT95" i="99"/>
  <c r="BV50" i="99"/>
  <c r="BY5" i="99"/>
  <c r="CA140" i="99"/>
  <c r="CA50" i="99"/>
  <c r="BV185" i="99"/>
  <c r="BV95" i="99"/>
  <c r="BT140" i="99"/>
  <c r="CA185" i="99"/>
  <c r="BY50" i="99"/>
  <c r="BV5" i="99"/>
  <c r="BT185" i="99"/>
  <c r="CA53" i="99"/>
  <c r="BT98" i="99"/>
  <c r="BT143" i="99"/>
  <c r="BV53" i="99"/>
  <c r="BT53" i="99"/>
  <c r="BT188" i="99"/>
  <c r="BY53" i="99"/>
  <c r="CA188" i="99"/>
  <c r="CA143" i="99"/>
  <c r="CA8" i="99"/>
  <c r="BV8" i="99"/>
  <c r="BY188" i="99"/>
  <c r="BY98" i="99"/>
  <c r="BY143" i="99"/>
  <c r="BY8" i="99"/>
  <c r="BV188" i="99"/>
  <c r="BV98" i="99"/>
  <c r="BT8" i="99"/>
  <c r="CA98" i="99"/>
  <c r="BV143" i="99"/>
  <c r="CS69" i="99"/>
  <c r="CT69" i="99" s="1"/>
  <c r="CS209" i="99"/>
  <c r="CT209" i="99" s="1"/>
  <c r="CS75" i="99"/>
  <c r="CT75" i="99" s="1"/>
  <c r="CS117" i="99"/>
  <c r="CT117" i="99" s="1"/>
  <c r="CS79" i="99"/>
  <c r="CT79" i="99" s="1"/>
  <c r="CS119" i="99"/>
  <c r="CT119" i="99" s="1"/>
  <c r="CS23" i="99"/>
  <c r="CT23" i="99" s="1"/>
  <c r="CS13" i="99"/>
  <c r="CT13" i="99" s="1"/>
  <c r="CS77" i="99"/>
  <c r="CT77" i="99" s="1"/>
  <c r="CS66" i="99"/>
  <c r="CT66" i="99" s="1"/>
  <c r="CS82" i="99"/>
  <c r="CT82" i="99" s="1"/>
  <c r="CS6" i="99"/>
  <c r="CT6" i="99" s="1"/>
  <c r="CS81" i="99"/>
  <c r="CT81" i="99" s="1"/>
  <c r="CS10" i="99"/>
  <c r="CT10" i="99" s="1"/>
  <c r="CS38" i="99"/>
  <c r="CT38" i="99" s="1"/>
  <c r="CS192" i="99"/>
  <c r="CT192" i="99" s="1"/>
  <c r="CS84" i="99"/>
  <c r="CT84" i="99" s="1"/>
  <c r="CS148" i="99"/>
  <c r="CT148" i="99" s="1"/>
  <c r="CS52" i="99"/>
  <c r="CT52" i="99" s="1"/>
  <c r="CS17" i="99"/>
  <c r="CT17" i="99" s="1"/>
  <c r="CS21" i="99"/>
  <c r="CT21" i="99" s="1"/>
  <c r="CS218" i="99"/>
  <c r="CT218" i="99" s="1"/>
  <c r="CS7" i="99"/>
  <c r="CT7" i="99" s="1"/>
  <c r="CS59" i="99"/>
  <c r="CT59" i="99" s="1"/>
  <c r="CS112" i="99"/>
  <c r="CT112" i="99" s="1"/>
  <c r="CS104" i="99"/>
  <c r="CT104" i="99" s="1"/>
  <c r="CS115" i="99"/>
  <c r="CT115" i="99" s="1"/>
  <c r="CS145" i="99"/>
  <c r="CT145" i="99" s="1"/>
  <c r="CS160" i="99"/>
  <c r="CT160" i="99" s="1"/>
  <c r="CS214" i="99"/>
  <c r="CT214" i="99" s="1"/>
  <c r="CS72" i="99"/>
  <c r="CT72" i="99" s="1"/>
  <c r="CS194" i="99"/>
  <c r="CT194" i="99" s="1"/>
  <c r="CA99" i="99"/>
  <c r="BV99" i="99"/>
  <c r="CA189" i="99"/>
  <c r="BY9" i="99"/>
  <c r="BV54" i="99"/>
  <c r="BV144" i="99"/>
  <c r="BY54" i="99"/>
  <c r="CA144" i="99"/>
  <c r="BT99" i="99"/>
  <c r="BY189" i="99"/>
  <c r="CA54" i="99"/>
  <c r="BT54" i="99"/>
  <c r="BY144" i="99"/>
  <c r="CA9" i="99"/>
  <c r="BT9" i="99"/>
  <c r="BV9" i="99"/>
  <c r="BV189" i="99"/>
  <c r="BY99" i="99"/>
  <c r="BT144" i="99"/>
  <c r="BT189" i="99"/>
  <c r="CS54" i="99"/>
  <c r="CT54" i="99" s="1"/>
  <c r="CS12" i="99"/>
  <c r="CT12" i="99" s="1"/>
  <c r="CS206" i="99"/>
  <c r="CT206" i="99" s="1"/>
  <c r="CS123" i="99"/>
  <c r="CT123" i="99" s="1"/>
  <c r="CS185" i="99"/>
  <c r="CT185" i="99" s="1"/>
  <c r="CS114" i="99"/>
  <c r="CT114" i="99" s="1"/>
  <c r="CS83" i="99"/>
  <c r="CT83" i="99" s="1"/>
  <c r="CS171" i="99"/>
  <c r="CT171" i="99" s="1"/>
  <c r="CS118" i="99"/>
  <c r="CT118" i="99" s="1"/>
  <c r="CS140" i="99"/>
  <c r="CT140" i="99" s="1"/>
  <c r="CS96" i="99"/>
  <c r="CT96" i="99" s="1"/>
  <c r="CS110" i="99"/>
  <c r="CT110" i="99" s="1"/>
  <c r="CS197" i="99"/>
  <c r="CT197" i="99" s="1"/>
  <c r="CS213" i="99"/>
  <c r="CT213" i="99" s="1"/>
  <c r="CS146" i="99"/>
  <c r="CT146" i="99" s="1"/>
  <c r="CS157" i="99"/>
  <c r="CT157" i="99" s="1"/>
  <c r="CS130" i="99"/>
  <c r="CT130" i="99" s="1"/>
  <c r="CS200" i="99"/>
  <c r="CT200" i="99" s="1"/>
  <c r="CS51" i="99"/>
  <c r="CT51" i="99" s="1"/>
  <c r="CS152" i="99"/>
  <c r="CT152" i="99" s="1"/>
  <c r="CS50" i="99"/>
  <c r="CT50" i="99" s="1"/>
  <c r="CS147" i="99"/>
  <c r="CT147" i="99" s="1"/>
  <c r="CS120" i="99"/>
  <c r="CT120" i="99" s="1"/>
  <c r="CS196" i="99"/>
  <c r="CT196" i="99" s="1"/>
  <c r="CS195" i="99"/>
  <c r="CT195" i="99" s="1"/>
  <c r="BT56" i="99"/>
  <c r="CA101" i="99"/>
  <c r="BV56" i="99"/>
  <c r="BV101" i="99"/>
  <c r="BV146" i="99"/>
  <c r="CA191" i="99"/>
  <c r="BY191" i="99"/>
  <c r="BV191" i="99"/>
  <c r="BT146" i="99"/>
  <c r="CA11" i="99"/>
  <c r="BT101" i="99"/>
  <c r="BV11" i="99"/>
  <c r="CA56" i="99"/>
  <c r="BY146" i="99"/>
  <c r="BT11" i="99"/>
  <c r="CA146" i="99"/>
  <c r="BY56" i="99"/>
  <c r="BY101" i="99"/>
  <c r="BT191" i="99"/>
  <c r="BY11" i="99"/>
  <c r="CS24" i="99"/>
  <c r="CT24" i="99" s="1"/>
  <c r="CS217" i="99"/>
  <c r="CT217" i="99" s="1"/>
  <c r="CS170" i="99"/>
  <c r="CT170" i="99" s="1"/>
  <c r="CS193" i="99"/>
  <c r="CT193" i="99" s="1"/>
  <c r="CS62" i="99"/>
  <c r="CT62" i="99" s="1"/>
  <c r="CS162" i="99"/>
  <c r="CT162" i="99" s="1"/>
  <c r="CS199" i="99"/>
  <c r="CT199" i="99" s="1"/>
  <c r="CS164" i="99"/>
  <c r="CT164" i="99" s="1"/>
  <c r="CS189" i="99"/>
  <c r="CT189" i="99" s="1"/>
  <c r="CS107" i="99"/>
  <c r="CT107" i="99" s="1"/>
  <c r="CS129" i="99"/>
  <c r="CT129" i="99" s="1"/>
  <c r="CS19" i="99"/>
  <c r="CT19" i="99" s="1"/>
  <c r="CS18" i="99"/>
  <c r="CT18" i="99" s="1"/>
  <c r="CS154" i="99"/>
  <c r="CT154" i="99" s="1"/>
  <c r="CS144" i="99"/>
  <c r="CT144" i="99" s="1"/>
  <c r="CS103" i="99"/>
  <c r="CT103" i="99" s="1"/>
  <c r="CS60" i="99"/>
  <c r="CT60" i="99" s="1"/>
  <c r="CS155" i="99"/>
  <c r="CT155" i="99" s="1"/>
  <c r="CS220" i="99"/>
  <c r="CT220" i="99" s="1"/>
  <c r="CS125" i="99"/>
  <c r="CT125" i="99" s="1"/>
  <c r="CS172" i="99"/>
  <c r="CT172" i="99" s="1"/>
  <c r="CS53" i="99"/>
  <c r="CT53" i="99" s="1"/>
  <c r="CS126" i="99"/>
  <c r="CT126" i="99" s="1"/>
  <c r="CS168" i="99"/>
  <c r="CT168" i="99" s="1"/>
  <c r="CS121" i="99"/>
  <c r="CT121" i="99" s="1"/>
  <c r="CS205" i="99"/>
  <c r="CT205" i="99" s="1"/>
  <c r="CS87" i="99"/>
  <c r="CT87" i="99" s="1"/>
  <c r="CS208" i="99"/>
  <c r="CT208" i="99" s="1"/>
  <c r="BT150" i="99"/>
  <c r="BY15" i="99"/>
  <c r="BV150" i="99"/>
  <c r="BY60" i="99"/>
  <c r="BT195" i="99"/>
  <c r="BY105" i="99"/>
  <c r="BY195" i="99"/>
  <c r="BV60" i="99"/>
  <c r="CA150" i="99"/>
  <c r="CA105" i="99"/>
  <c r="BV105" i="99"/>
  <c r="BV15" i="99"/>
  <c r="BT105" i="99"/>
  <c r="BY150" i="99"/>
  <c r="CA195" i="99"/>
  <c r="BT15" i="99"/>
  <c r="CA60" i="99"/>
  <c r="CA15" i="99"/>
  <c r="BT60" i="99"/>
  <c r="BV195" i="99"/>
  <c r="BV14" i="99"/>
  <c r="CA14" i="99"/>
  <c r="CA59" i="99"/>
  <c r="BT14" i="99"/>
  <c r="BY14" i="99"/>
  <c r="BY104" i="99"/>
  <c r="BY194" i="99"/>
  <c r="BV194" i="99"/>
  <c r="BY59" i="99"/>
  <c r="BY149" i="99"/>
  <c r="BT104" i="99"/>
  <c r="BV149" i="99"/>
  <c r="CA104" i="99"/>
  <c r="BT149" i="99"/>
  <c r="BV59" i="99"/>
  <c r="BT194" i="99"/>
  <c r="CA149" i="99"/>
  <c r="BT59" i="99"/>
  <c r="CA194" i="99"/>
  <c r="BV104" i="99"/>
  <c r="BY152" i="99"/>
  <c r="BV107" i="99"/>
  <c r="BV197" i="99"/>
  <c r="BV62" i="99"/>
  <c r="BY62" i="99"/>
  <c r="BV152" i="99"/>
  <c r="CA62" i="99"/>
  <c r="BT17" i="99"/>
  <c r="BT197" i="99"/>
  <c r="CA17" i="99"/>
  <c r="BT62" i="99"/>
  <c r="CA197" i="99"/>
  <c r="CA152" i="99"/>
  <c r="BV17" i="99"/>
  <c r="CA107" i="99"/>
  <c r="BY17" i="99"/>
  <c r="BY107" i="99"/>
  <c r="BY197" i="99"/>
  <c r="BT152" i="99"/>
  <c r="BT107" i="99"/>
  <c r="BV13" i="99"/>
  <c r="CA193" i="99"/>
  <c r="BV103" i="99"/>
  <c r="BV193" i="99"/>
  <c r="BY13" i="99"/>
  <c r="BY103" i="99"/>
  <c r="BT13" i="99"/>
  <c r="BY148" i="99"/>
  <c r="BY193" i="99"/>
  <c r="BT148" i="99"/>
  <c r="CA58" i="99"/>
  <c r="BT103" i="99"/>
  <c r="BT193" i="99"/>
  <c r="CA103" i="99"/>
  <c r="BY58" i="99"/>
  <c r="CA13" i="99"/>
  <c r="BT58" i="99"/>
  <c r="BV148" i="99"/>
  <c r="CA148" i="99"/>
  <c r="BV58" i="99"/>
  <c r="BT12" i="99"/>
  <c r="BT102" i="99"/>
  <c r="CA57" i="99"/>
  <c r="CA147" i="99"/>
  <c r="BT57" i="99"/>
  <c r="BY192" i="99"/>
  <c r="BY12" i="99"/>
  <c r="BV12" i="99"/>
  <c r="BV57" i="99"/>
  <c r="CA12" i="99"/>
  <c r="BY147" i="99"/>
  <c r="BV147" i="99"/>
  <c r="CA192" i="99"/>
  <c r="BV192" i="99"/>
  <c r="BT147" i="99"/>
  <c r="BY57" i="99"/>
  <c r="CA102" i="99"/>
  <c r="BV102" i="99"/>
  <c r="BT192" i="99"/>
  <c r="BY102" i="99"/>
  <c r="CA151" i="99"/>
  <c r="BY16" i="99"/>
  <c r="BY61" i="99"/>
  <c r="BV151" i="99"/>
  <c r="BY151" i="99"/>
  <c r="CA196" i="99"/>
  <c r="BT61" i="99"/>
  <c r="BY106" i="99"/>
  <c r="BT16" i="99"/>
  <c r="BT106" i="99"/>
  <c r="BY196" i="99"/>
  <c r="CA61" i="99"/>
  <c r="BT151" i="99"/>
  <c r="BV16" i="99"/>
  <c r="BV61" i="99"/>
  <c r="BT196" i="99"/>
  <c r="BV106" i="99"/>
  <c r="CA106" i="99"/>
  <c r="CA16" i="99"/>
  <c r="BV196" i="99"/>
  <c r="CA145" i="99"/>
  <c r="BT190" i="99"/>
  <c r="BV190" i="99"/>
  <c r="BT145" i="99"/>
  <c r="BY145" i="99"/>
  <c r="BY55" i="99"/>
  <c r="CA55" i="99"/>
  <c r="BY190" i="99"/>
  <c r="BT100" i="99"/>
  <c r="BT55" i="99"/>
  <c r="CA10" i="99"/>
  <c r="BV55" i="99"/>
  <c r="BV100" i="99"/>
  <c r="BY100" i="99"/>
  <c r="BT10" i="99"/>
  <c r="BV10" i="99"/>
  <c r="CA100" i="99"/>
  <c r="BY10" i="99"/>
  <c r="BV145" i="99"/>
  <c r="CA190" i="99"/>
  <c r="CS100" i="99"/>
  <c r="CT100" i="99" s="1"/>
  <c r="CS101" i="99"/>
  <c r="CT101" i="99" s="1"/>
  <c r="CS201" i="99"/>
  <c r="CT201" i="99" s="1"/>
  <c r="CS63" i="99"/>
  <c r="CT63" i="99" s="1"/>
  <c r="CS31" i="99"/>
  <c r="CT31" i="99" s="1"/>
  <c r="CS169" i="99"/>
  <c r="CT169" i="99" s="1"/>
  <c r="CS113" i="99"/>
  <c r="CT113" i="99" s="1"/>
  <c r="CS27" i="99"/>
  <c r="CT27" i="99" s="1"/>
  <c r="CS39" i="99"/>
  <c r="CT39" i="99" s="1"/>
  <c r="CS151" i="99"/>
  <c r="CT151" i="99" s="1"/>
  <c r="CS36" i="99"/>
  <c r="CT36" i="99" s="1"/>
  <c r="CS67" i="99"/>
  <c r="CT67" i="99" s="1"/>
  <c r="CS163" i="99"/>
  <c r="CT163" i="99" s="1"/>
  <c r="CS122" i="99"/>
  <c r="CT122" i="99" s="1"/>
  <c r="CS64" i="99"/>
  <c r="CT64" i="99" s="1"/>
  <c r="CS25" i="99"/>
  <c r="CT25" i="99" s="1"/>
  <c r="CS158" i="99"/>
  <c r="CT158" i="99" s="1"/>
  <c r="CS34" i="99"/>
  <c r="CT34" i="99" s="1"/>
  <c r="CZ154" i="99"/>
  <c r="CS78" i="99"/>
  <c r="CT78" i="99" s="1"/>
  <c r="CS65" i="99"/>
  <c r="CT65" i="99" s="1"/>
  <c r="CS207" i="99"/>
  <c r="CT207" i="99" s="1"/>
  <c r="CS167" i="99"/>
  <c r="CT167" i="99" s="1"/>
  <c r="CS219" i="99"/>
  <c r="CT219" i="99" s="1"/>
  <c r="CS215" i="99"/>
  <c r="CT215" i="99" s="1"/>
  <c r="CS211" i="99"/>
  <c r="CT211" i="99" s="1"/>
  <c r="CS22" i="99"/>
  <c r="CT22" i="99" s="1"/>
  <c r="CS55" i="99"/>
  <c r="CT55" i="99" s="1"/>
  <c r="CS33" i="99"/>
  <c r="CT33" i="99" s="1"/>
  <c r="CZ199" i="99"/>
  <c r="CS20" i="99"/>
  <c r="CT20" i="99" s="1"/>
  <c r="CS15" i="99"/>
  <c r="CT15" i="99" s="1"/>
  <c r="CS142" i="99"/>
  <c r="CT142" i="99" s="1"/>
  <c r="CS204" i="99"/>
  <c r="CT204" i="99" s="1"/>
  <c r="CS80" i="99"/>
  <c r="CT80" i="99" s="1"/>
  <c r="BC36" i="69"/>
  <c r="C12" i="100"/>
  <c r="D14" i="100"/>
  <c r="G14" i="100"/>
  <c r="F13" i="100"/>
  <c r="AI95" i="95"/>
  <c r="BB89" i="99"/>
  <c r="BC162" i="99"/>
  <c r="BB123" i="99"/>
  <c r="BA74" i="99"/>
  <c r="BD128" i="99"/>
  <c r="CW63" i="99"/>
  <c r="BC86" i="99"/>
  <c r="BA144" i="99"/>
  <c r="CW60" i="99"/>
  <c r="CW193" i="99"/>
  <c r="CW7" i="99"/>
  <c r="CW95" i="99"/>
  <c r="CW152" i="99"/>
  <c r="CW14" i="99"/>
  <c r="CW13" i="99"/>
  <c r="CW50" i="99"/>
  <c r="U13" i="100"/>
  <c r="BD95" i="99"/>
  <c r="CW186" i="99"/>
  <c r="CW6" i="99"/>
  <c r="CW62" i="99"/>
  <c r="BA139" i="99"/>
  <c r="BA108" i="99"/>
  <c r="BA60" i="99"/>
  <c r="CW97" i="99"/>
  <c r="CW144" i="99"/>
  <c r="AZ115" i="99"/>
  <c r="AI53" i="68"/>
  <c r="BA149" i="99"/>
  <c r="CW55" i="99"/>
  <c r="CW150" i="99"/>
  <c r="BA89" i="99"/>
  <c r="BC146" i="99"/>
  <c r="CW64" i="99"/>
  <c r="CW195" i="99"/>
  <c r="CW187" i="99"/>
  <c r="CW188" i="99"/>
  <c r="CW9" i="99"/>
  <c r="CW189" i="99"/>
  <c r="CW145" i="99"/>
  <c r="CW100" i="99"/>
  <c r="CW198" i="99"/>
  <c r="W163" i="100"/>
  <c r="CW61" i="99"/>
  <c r="BA46" i="99"/>
  <c r="BD149" i="99"/>
  <c r="CW12" i="99"/>
  <c r="CW151" i="99"/>
  <c r="BB93" i="99"/>
  <c r="BD77" i="99"/>
  <c r="BB83" i="99"/>
  <c r="BD125" i="99"/>
  <c r="BC91" i="99"/>
  <c r="CW5" i="99"/>
  <c r="CW185" i="99"/>
  <c r="BD161" i="99"/>
  <c r="BC121" i="99"/>
  <c r="CW141" i="99"/>
  <c r="CW140" i="99"/>
  <c r="CW99" i="99"/>
  <c r="BC161" i="99"/>
  <c r="AM44" i="100"/>
  <c r="AZ110" i="99"/>
  <c r="CW146" i="99"/>
  <c r="BA164" i="99"/>
  <c r="BA91" i="99"/>
  <c r="BC123" i="99"/>
  <c r="Y14" i="100"/>
  <c r="BA100" i="99"/>
  <c r="CW15" i="99"/>
  <c r="BD106" i="99"/>
  <c r="BB98" i="99"/>
  <c r="BB140" i="99"/>
  <c r="CW149" i="99"/>
  <c r="CW53" i="99"/>
  <c r="BC87" i="99"/>
  <c r="BD30" i="99"/>
  <c r="CW98" i="99"/>
  <c r="CW190" i="99"/>
  <c r="CW147" i="99"/>
  <c r="X13" i="100"/>
  <c r="CW51" i="99"/>
  <c r="S14" i="100"/>
  <c r="BD70" i="99"/>
  <c r="AA13" i="100"/>
  <c r="BC155" i="99"/>
  <c r="CW104" i="99"/>
  <c r="BD115" i="99"/>
  <c r="CW143" i="99"/>
  <c r="AZ100" i="99"/>
  <c r="W164" i="100"/>
  <c r="BB151" i="99"/>
  <c r="CW56" i="99"/>
  <c r="BD80" i="99"/>
  <c r="AZ112" i="99"/>
  <c r="CW103" i="99"/>
  <c r="CW142" i="99"/>
  <c r="CW54" i="99"/>
  <c r="R12" i="100"/>
  <c r="CW192" i="99"/>
  <c r="CW197" i="99"/>
  <c r="BA86" i="99"/>
  <c r="BC115" i="99"/>
  <c r="AZ95" i="99"/>
  <c r="BA92" i="99"/>
  <c r="BD93" i="99"/>
  <c r="CW196" i="99"/>
  <c r="CW16" i="99"/>
  <c r="AI54" i="68"/>
  <c r="AZ164" i="99" s="1"/>
  <c r="AZ165" i="99"/>
  <c r="CW8" i="99"/>
  <c r="CW105" i="99"/>
  <c r="Z12" i="100"/>
  <c r="CW148" i="99"/>
  <c r="CW96" i="99"/>
  <c r="BA119" i="99"/>
  <c r="CW58" i="99"/>
  <c r="CW52" i="99"/>
  <c r="BB79" i="99"/>
  <c r="BD85" i="99"/>
  <c r="CW109" i="99"/>
  <c r="CW194" i="99"/>
  <c r="CW101" i="99"/>
  <c r="CW10" i="99"/>
  <c r="CW106" i="99"/>
  <c r="AM43" i="100"/>
  <c r="CW191" i="99"/>
  <c r="CW11" i="99"/>
  <c r="CW153" i="99"/>
  <c r="CW102" i="99"/>
  <c r="V14" i="100"/>
  <c r="CW59" i="99"/>
  <c r="CW108" i="99"/>
  <c r="CW17" i="99"/>
  <c r="BC89" i="99"/>
  <c r="CW57" i="99"/>
  <c r="BC143" i="99"/>
  <c r="W11" i="100"/>
  <c r="CW107" i="99"/>
  <c r="AZ163" i="99"/>
  <c r="AZ159" i="99"/>
  <c r="BU153" i="99"/>
  <c r="BZ153" i="99"/>
  <c r="BW108" i="99"/>
  <c r="BW63" i="99"/>
  <c r="BX63" i="99"/>
  <c r="BU18" i="99"/>
  <c r="BX153" i="99"/>
  <c r="BS63" i="99"/>
  <c r="BX108" i="99"/>
  <c r="BZ198" i="99"/>
  <c r="CB153" i="99"/>
  <c r="BR63" i="99"/>
  <c r="BW198" i="99"/>
  <c r="BZ18" i="99"/>
  <c r="BS108" i="99"/>
  <c r="CB198" i="99"/>
  <c r="BS18" i="99"/>
  <c r="BW153" i="99"/>
  <c r="AZ160" i="99"/>
  <c r="CB108" i="99"/>
  <c r="BR153" i="99"/>
  <c r="BX198" i="99"/>
  <c r="BR18" i="99"/>
  <c r="BU108" i="99"/>
  <c r="CB63" i="99"/>
  <c r="BR108" i="99"/>
  <c r="BZ108" i="99"/>
  <c r="BU63" i="99"/>
  <c r="BU198" i="99"/>
  <c r="BR198" i="99"/>
  <c r="AZ161" i="99"/>
  <c r="BS153" i="99"/>
  <c r="BW18" i="99"/>
  <c r="BX18" i="99"/>
  <c r="CB18" i="99"/>
  <c r="BS198" i="99"/>
  <c r="AZ162" i="99"/>
  <c r="BZ63" i="99"/>
  <c r="CA63" i="99" l="1"/>
  <c r="BT198" i="99"/>
  <c r="BY18" i="99"/>
  <c r="BT153" i="99"/>
  <c r="BV198" i="99"/>
  <c r="BV63" i="99"/>
  <c r="CA108" i="99"/>
  <c r="BV108" i="99"/>
  <c r="BY198" i="99"/>
  <c r="BT18" i="99"/>
  <c r="BT108" i="99"/>
  <c r="CA18" i="99"/>
  <c r="CA198" i="99"/>
  <c r="BY108" i="99"/>
  <c r="BT63" i="99"/>
  <c r="BY153" i="99"/>
  <c r="BV18" i="99"/>
  <c r="BY63" i="99"/>
  <c r="CA153" i="99"/>
  <c r="BV153" i="99"/>
  <c r="CS40" i="99"/>
  <c r="CT40" i="99" s="1"/>
  <c r="CZ97" i="99"/>
  <c r="CZ54" i="99"/>
  <c r="CZ188" i="99"/>
  <c r="CZ186" i="99"/>
  <c r="CS41" i="99"/>
  <c r="CT41" i="99" s="1"/>
  <c r="CZ153" i="99"/>
  <c r="CZ109" i="99"/>
  <c r="CZ145" i="99"/>
  <c r="CZ150" i="99"/>
  <c r="CZ7" i="99"/>
  <c r="CZ8" i="99"/>
  <c r="CZ60" i="99"/>
  <c r="CZ100" i="99"/>
  <c r="CZ62" i="99"/>
  <c r="CZ102" i="99"/>
  <c r="CZ58" i="99"/>
  <c r="CZ5" i="99"/>
  <c r="CZ6" i="99"/>
  <c r="CZ59" i="99"/>
  <c r="CZ63" i="99"/>
  <c r="CZ148" i="99"/>
  <c r="CZ50" i="99"/>
  <c r="CZ104" i="99"/>
  <c r="CZ143" i="99"/>
  <c r="CZ185" i="99"/>
  <c r="CZ196" i="99"/>
  <c r="CZ9" i="99"/>
  <c r="CZ51" i="99"/>
  <c r="CZ103" i="99"/>
  <c r="CZ190" i="99"/>
  <c r="CZ106" i="99"/>
  <c r="CZ147" i="99"/>
  <c r="CZ95" i="99"/>
  <c r="CZ96" i="99"/>
  <c r="CZ144" i="99"/>
  <c r="CZ140" i="99"/>
  <c r="CZ107" i="99"/>
  <c r="CZ191" i="99"/>
  <c r="CZ152" i="99"/>
  <c r="CZ64" i="99"/>
  <c r="CZ189" i="99"/>
  <c r="CZ52" i="99"/>
  <c r="CZ108" i="99"/>
  <c r="CZ142" i="99"/>
  <c r="CZ146" i="99"/>
  <c r="CZ11" i="99"/>
  <c r="CZ105" i="99"/>
  <c r="CZ101" i="99"/>
  <c r="CZ55" i="99"/>
  <c r="CZ187" i="99"/>
  <c r="CZ99" i="99"/>
  <c r="CZ14" i="99"/>
  <c r="CZ149" i="99"/>
  <c r="CZ98" i="99"/>
  <c r="CZ141" i="99"/>
  <c r="CZ151" i="99"/>
  <c r="CZ61" i="99"/>
  <c r="CZ12" i="99"/>
  <c r="CZ197" i="99"/>
  <c r="CZ198" i="99"/>
  <c r="CZ10" i="99"/>
  <c r="CZ194" i="99"/>
  <c r="CZ15" i="99"/>
  <c r="CZ195" i="99"/>
  <c r="CZ192" i="99"/>
  <c r="CZ57" i="99"/>
  <c r="CZ16" i="99"/>
  <c r="CZ17" i="99"/>
  <c r="CZ53" i="99"/>
  <c r="CZ13" i="99"/>
  <c r="CZ56" i="99"/>
  <c r="CZ193" i="99"/>
  <c r="C13" i="100"/>
  <c r="AH15" i="99"/>
  <c r="AH7" i="99"/>
  <c r="BE94" i="69"/>
  <c r="BE95" i="69" s="1"/>
  <c r="BE96" i="69" s="1"/>
  <c r="BE97" i="69" s="1"/>
  <c r="BE98" i="69" s="1"/>
  <c r="BE99" i="69" s="1"/>
  <c r="BE100" i="69" s="1"/>
  <c r="BE101" i="69" s="1"/>
  <c r="BE102" i="69" s="1"/>
  <c r="BE103" i="69" s="1"/>
  <c r="BE104" i="69" s="1"/>
  <c r="BE105" i="69" s="1"/>
  <c r="BE106" i="69" s="1"/>
  <c r="BE107" i="69" s="1"/>
  <c r="BE108" i="69" s="1"/>
  <c r="BE109" i="69" s="1"/>
  <c r="BE94" i="70"/>
  <c r="BC97" i="87"/>
  <c r="BC98" i="87" s="1"/>
  <c r="BC99" i="87" s="1"/>
  <c r="BC100" i="87" s="1"/>
  <c r="BC101" i="87" s="1"/>
  <c r="BC102" i="87" s="1"/>
  <c r="BC103" i="87" s="1"/>
  <c r="BC104" i="87" s="1"/>
  <c r="BC105" i="87" s="1"/>
  <c r="BC106" i="87" s="1"/>
  <c r="BC107" i="87" s="1"/>
  <c r="BC108" i="87" s="1"/>
  <c r="BC109" i="87" s="1"/>
  <c r="BC110" i="87" s="1"/>
  <c r="BC111" i="87" s="1"/>
  <c r="BC112" i="87" s="1"/>
  <c r="BC53" i="94"/>
  <c r="BC54" i="94" s="1"/>
  <c r="BC55" i="94" s="1"/>
  <c r="BC56" i="94" s="1"/>
  <c r="BC57" i="94" s="1"/>
  <c r="BC58" i="94" s="1"/>
  <c r="BC59" i="94" s="1"/>
  <c r="BC60" i="94" s="1"/>
  <c r="BC61" i="94" s="1"/>
  <c r="BC62" i="94" s="1"/>
  <c r="BF94" i="70"/>
  <c r="BF95" i="70" s="1"/>
  <c r="BF96" i="70" s="1"/>
  <c r="BF97" i="70" s="1"/>
  <c r="BF98" i="70" s="1"/>
  <c r="BF99" i="70" s="1"/>
  <c r="BF100" i="70" s="1"/>
  <c r="BF101" i="70" s="1"/>
  <c r="BF102" i="70" s="1"/>
  <c r="BF103" i="70" s="1"/>
  <c r="BF104" i="70" s="1"/>
  <c r="BF105" i="70" s="1"/>
  <c r="BF106" i="70" s="1"/>
  <c r="BF107" i="70" s="1"/>
  <c r="BF108" i="70" s="1"/>
  <c r="BF109" i="70" s="1"/>
  <c r="AJ4" i="72"/>
  <c r="AL4" i="72" s="1"/>
  <c r="AJ49" i="72"/>
  <c r="AL49" i="72" s="1"/>
  <c r="AJ94" i="72"/>
  <c r="AL94" i="72" s="1"/>
  <c r="AJ184" i="72"/>
  <c r="AL184" i="72" s="1"/>
  <c r="AJ139" i="72"/>
  <c r="AL139" i="72" s="1"/>
  <c r="AJ95" i="95"/>
  <c r="AI96" i="95"/>
  <c r="BD94" i="69"/>
  <c r="F14" i="100"/>
  <c r="AI50" i="95"/>
  <c r="AI5" i="95"/>
  <c r="AI185" i="95"/>
  <c r="X14" i="100"/>
  <c r="AM45" i="100"/>
  <c r="R13" i="100"/>
  <c r="AM97" i="100"/>
  <c r="AA14" i="100"/>
  <c r="W12" i="100"/>
  <c r="AI55" i="68"/>
  <c r="U14" i="100"/>
  <c r="BS109" i="99"/>
  <c r="BU199" i="99"/>
  <c r="BS154" i="99"/>
  <c r="BR64" i="99"/>
  <c r="AZ167" i="99"/>
  <c r="BX64" i="99"/>
  <c r="CB64" i="99"/>
  <c r="BZ154" i="99"/>
  <c r="BZ199" i="99"/>
  <c r="CW18" i="99"/>
  <c r="AI107" i="68"/>
  <c r="BB28" i="99"/>
  <c r="Z13" i="100"/>
  <c r="BX109" i="99"/>
  <c r="AZ168" i="99"/>
  <c r="BB21" i="99"/>
  <c r="BR154" i="99"/>
  <c r="BB17" i="99"/>
  <c r="BR19" i="99"/>
  <c r="BB16" i="99"/>
  <c r="BB10" i="99"/>
  <c r="BW64" i="99"/>
  <c r="BU109" i="99"/>
  <c r="BB19" i="99"/>
  <c r="BU64" i="99"/>
  <c r="BX19" i="99"/>
  <c r="BB23" i="99"/>
  <c r="BZ109" i="99"/>
  <c r="BB20" i="99"/>
  <c r="BW19" i="99"/>
  <c r="AZ169" i="99"/>
  <c r="CB109" i="99"/>
  <c r="CB154" i="99"/>
  <c r="BS19" i="99"/>
  <c r="BR199" i="99"/>
  <c r="BS64" i="99"/>
  <c r="BR109" i="99"/>
  <c r="CB199" i="99"/>
  <c r="BU154" i="99"/>
  <c r="BU19" i="99"/>
  <c r="AZ166" i="99"/>
  <c r="BW109" i="99"/>
  <c r="BW199" i="99"/>
  <c r="BX154" i="99"/>
  <c r="BX199" i="99"/>
  <c r="BW154" i="99"/>
  <c r="BZ19" i="99"/>
  <c r="BS199" i="99"/>
  <c r="BZ64" i="99"/>
  <c r="CB19" i="99"/>
  <c r="BB26" i="99"/>
  <c r="BB11" i="99"/>
  <c r="BB25" i="99"/>
  <c r="BB27" i="99"/>
  <c r="BB24" i="99"/>
  <c r="BB15" i="99"/>
  <c r="BB13" i="99"/>
  <c r="BB18" i="99"/>
  <c r="BB12" i="99"/>
  <c r="BB14" i="99"/>
  <c r="BB22" i="99"/>
  <c r="CZ18" i="99" l="1"/>
  <c r="CS94" i="99"/>
  <c r="CT94" i="99" s="1"/>
  <c r="BY199" i="99"/>
  <c r="CA19" i="99"/>
  <c r="CA109" i="99"/>
  <c r="BV64" i="99"/>
  <c r="CA64" i="99"/>
  <c r="BT19" i="99"/>
  <c r="BV109" i="99"/>
  <c r="CA199" i="99"/>
  <c r="BV19" i="99"/>
  <c r="BV199" i="99"/>
  <c r="BT154" i="99"/>
  <c r="BY19" i="99"/>
  <c r="BT109" i="99"/>
  <c r="BT64" i="99"/>
  <c r="BT199" i="99"/>
  <c r="CA154" i="99"/>
  <c r="BY64" i="99"/>
  <c r="BY154" i="99"/>
  <c r="BY109" i="99"/>
  <c r="BV154" i="99"/>
  <c r="CS42" i="99"/>
  <c r="CT42" i="99" s="1"/>
  <c r="BD184" i="69"/>
  <c r="BE4" i="70"/>
  <c r="BC7" i="94"/>
  <c r="BC8" i="94" s="1"/>
  <c r="BC9" i="94" s="1"/>
  <c r="BC10" i="94" s="1"/>
  <c r="BC11" i="94" s="1"/>
  <c r="BC12" i="94" s="1"/>
  <c r="BC13" i="94" s="1"/>
  <c r="BC14" i="94" s="1"/>
  <c r="BC15" i="94" s="1"/>
  <c r="BC16" i="94" s="1"/>
  <c r="BC7" i="87"/>
  <c r="BC8" i="87" s="1"/>
  <c r="BC9" i="87" s="1"/>
  <c r="BC10" i="87" s="1"/>
  <c r="BC11" i="87" s="1"/>
  <c r="BC12" i="87" s="1"/>
  <c r="BC13" i="87" s="1"/>
  <c r="BC14" i="87" s="1"/>
  <c r="BC15" i="87" s="1"/>
  <c r="BC16" i="87" s="1"/>
  <c r="BC17" i="87" s="1"/>
  <c r="BC18" i="87" s="1"/>
  <c r="BC19" i="87" s="1"/>
  <c r="BC20" i="87" s="1"/>
  <c r="BC21" i="87" s="1"/>
  <c r="BC22" i="87" s="1"/>
  <c r="AI15" i="99"/>
  <c r="AI7" i="99"/>
  <c r="AU15" i="99"/>
  <c r="AU7" i="99"/>
  <c r="BE184" i="70"/>
  <c r="BC187" i="87"/>
  <c r="BC188" i="87" s="1"/>
  <c r="BC189" i="87" s="1"/>
  <c r="BC190" i="87" s="1"/>
  <c r="BC191" i="87" s="1"/>
  <c r="BC192" i="87" s="1"/>
  <c r="BC193" i="87" s="1"/>
  <c r="BC194" i="87" s="1"/>
  <c r="BC195" i="87" s="1"/>
  <c r="BC196" i="87" s="1"/>
  <c r="BC197" i="87" s="1"/>
  <c r="BC198" i="87" s="1"/>
  <c r="BC199" i="87" s="1"/>
  <c r="BC200" i="87" s="1"/>
  <c r="BC201" i="87" s="1"/>
  <c r="BC202" i="87" s="1"/>
  <c r="BC99" i="94"/>
  <c r="BC100" i="94" s="1"/>
  <c r="BC101" i="94" s="1"/>
  <c r="BC102" i="94" s="1"/>
  <c r="BC103" i="94" s="1"/>
  <c r="BC104" i="94" s="1"/>
  <c r="BC105" i="94" s="1"/>
  <c r="BC106" i="94" s="1"/>
  <c r="BC107" i="94" s="1"/>
  <c r="BC108" i="94" s="1"/>
  <c r="BF4" i="70"/>
  <c r="BD49" i="69"/>
  <c r="C14" i="100"/>
  <c r="BF184" i="70"/>
  <c r="BF185" i="70" s="1"/>
  <c r="BF186" i="70" s="1"/>
  <c r="BF187" i="70" s="1"/>
  <c r="BF188" i="70" s="1"/>
  <c r="BF189" i="70" s="1"/>
  <c r="BF190" i="70" s="1"/>
  <c r="BF191" i="70" s="1"/>
  <c r="BF192" i="70" s="1"/>
  <c r="BF193" i="70" s="1"/>
  <c r="BF194" i="70" s="1"/>
  <c r="BF195" i="70" s="1"/>
  <c r="BF196" i="70" s="1"/>
  <c r="BF197" i="70" s="1"/>
  <c r="BF198" i="70" s="1"/>
  <c r="BF199" i="70" s="1"/>
  <c r="AJ5" i="95"/>
  <c r="AI6" i="95"/>
  <c r="BE49" i="70"/>
  <c r="BC52" i="87"/>
  <c r="BC53" i="87" s="1"/>
  <c r="BC54" i="87" s="1"/>
  <c r="BC55" i="87" s="1"/>
  <c r="BC56" i="87" s="1"/>
  <c r="BC57" i="87" s="1"/>
  <c r="BC58" i="87" s="1"/>
  <c r="BC59" i="87" s="1"/>
  <c r="BC60" i="87" s="1"/>
  <c r="BC61" i="87" s="1"/>
  <c r="BC62" i="87" s="1"/>
  <c r="BC63" i="87" s="1"/>
  <c r="BC64" i="87" s="1"/>
  <c r="BC65" i="87" s="1"/>
  <c r="BC66" i="87" s="1"/>
  <c r="BC67" i="87" s="1"/>
  <c r="BC30" i="94"/>
  <c r="BC31" i="94" s="1"/>
  <c r="BC32" i="94" s="1"/>
  <c r="BC33" i="94" s="1"/>
  <c r="BC34" i="94" s="1"/>
  <c r="BC35" i="94" s="1"/>
  <c r="BC36" i="94" s="1"/>
  <c r="BC37" i="94" s="1"/>
  <c r="BC38" i="94" s="1"/>
  <c r="BC39" i="94" s="1"/>
  <c r="BF49" i="70"/>
  <c r="BF50" i="70" s="1"/>
  <c r="BF51" i="70" s="1"/>
  <c r="BF52" i="70" s="1"/>
  <c r="BF53" i="70" s="1"/>
  <c r="BF54" i="70" s="1"/>
  <c r="BF55" i="70" s="1"/>
  <c r="BF56" i="70" s="1"/>
  <c r="BF57" i="70" s="1"/>
  <c r="BF58" i="70" s="1"/>
  <c r="BF59" i="70" s="1"/>
  <c r="BF60" i="70" s="1"/>
  <c r="BF61" i="70" s="1"/>
  <c r="BF62" i="70" s="1"/>
  <c r="BF63" i="70" s="1"/>
  <c r="BF64" i="70" s="1"/>
  <c r="AK7" i="99"/>
  <c r="AM7" i="99" s="1"/>
  <c r="AK15" i="99"/>
  <c r="AM15" i="99" s="1"/>
  <c r="AI51" i="95"/>
  <c r="AJ50" i="95"/>
  <c r="BE4" i="69"/>
  <c r="BE5" i="69" s="1"/>
  <c r="BE6" i="69" s="1"/>
  <c r="BE7" i="69" s="1"/>
  <c r="BE8" i="69" s="1"/>
  <c r="BE9" i="69" s="1"/>
  <c r="BE10" i="69" s="1"/>
  <c r="BE11" i="69" s="1"/>
  <c r="BE12" i="69" s="1"/>
  <c r="BE13" i="69" s="1"/>
  <c r="BE14" i="69" s="1"/>
  <c r="BE15" i="69" s="1"/>
  <c r="BE16" i="69" s="1"/>
  <c r="BE17" i="69" s="1"/>
  <c r="BE18" i="69" s="1"/>
  <c r="BE19" i="69" s="1"/>
  <c r="BE49" i="69"/>
  <c r="BE50" i="69" s="1"/>
  <c r="BE51" i="69" s="1"/>
  <c r="BE52" i="69" s="1"/>
  <c r="BE53" i="69" s="1"/>
  <c r="BE54" i="69" s="1"/>
  <c r="BE55" i="69" s="1"/>
  <c r="BE56" i="69" s="1"/>
  <c r="BE57" i="69" s="1"/>
  <c r="BE58" i="69" s="1"/>
  <c r="BE59" i="69" s="1"/>
  <c r="BE60" i="69" s="1"/>
  <c r="BE61" i="69" s="1"/>
  <c r="BE62" i="69" s="1"/>
  <c r="BE63" i="69" s="1"/>
  <c r="BE64" i="69" s="1"/>
  <c r="BF94" i="69"/>
  <c r="BD95" i="69"/>
  <c r="AI186" i="95"/>
  <c r="AJ185" i="95"/>
  <c r="BE184" i="69"/>
  <c r="BE185" i="69" s="1"/>
  <c r="BE186" i="69" s="1"/>
  <c r="BE187" i="69" s="1"/>
  <c r="BE188" i="69" s="1"/>
  <c r="BE189" i="69" s="1"/>
  <c r="BE190" i="69" s="1"/>
  <c r="BE191" i="69" s="1"/>
  <c r="BE192" i="69" s="1"/>
  <c r="BE193" i="69" s="1"/>
  <c r="BE194" i="69" s="1"/>
  <c r="BE195" i="69" s="1"/>
  <c r="BE196" i="69" s="1"/>
  <c r="BE197" i="69" s="1"/>
  <c r="BE198" i="69" s="1"/>
  <c r="BE199" i="69" s="1"/>
  <c r="BD4" i="69"/>
  <c r="BC21" i="69"/>
  <c r="AJ7" i="99"/>
  <c r="AL7" i="99" s="1"/>
  <c r="AJ15" i="99"/>
  <c r="AL15" i="99" s="1"/>
  <c r="BH94" i="70"/>
  <c r="BE95" i="70"/>
  <c r="AT7" i="99"/>
  <c r="AS15" i="99"/>
  <c r="AS7" i="99"/>
  <c r="AT15" i="99"/>
  <c r="AR7" i="99"/>
  <c r="AR15" i="99"/>
  <c r="AI97" i="95"/>
  <c r="AJ96" i="95"/>
  <c r="AI140" i="95"/>
  <c r="R14" i="100"/>
  <c r="CW19" i="99"/>
  <c r="Z14" i="100"/>
  <c r="AM187" i="100"/>
  <c r="AI197" i="68"/>
  <c r="BD25" i="99"/>
  <c r="AM52" i="100"/>
  <c r="BD26" i="99"/>
  <c r="BD18" i="99"/>
  <c r="AI62" i="68"/>
  <c r="BD20" i="99"/>
  <c r="BA18" i="99"/>
  <c r="BA20" i="99"/>
  <c r="BD22" i="99"/>
  <c r="CW94" i="99"/>
  <c r="BA10" i="99"/>
  <c r="BD21" i="99"/>
  <c r="BA22" i="99"/>
  <c r="BA15" i="99"/>
  <c r="BD13" i="99"/>
  <c r="W13" i="100"/>
  <c r="BD19" i="99"/>
  <c r="BA17" i="99"/>
  <c r="BD23" i="99"/>
  <c r="BD15" i="99"/>
  <c r="BD14" i="99"/>
  <c r="BD16" i="99"/>
  <c r="BD12" i="99"/>
  <c r="BD17" i="99"/>
  <c r="BD28" i="99"/>
  <c r="BD24" i="99"/>
  <c r="BD11" i="99"/>
  <c r="BD27" i="99"/>
  <c r="BD10" i="99"/>
  <c r="BA23" i="99"/>
  <c r="BA14" i="99"/>
  <c r="BA12" i="99"/>
  <c r="BA11" i="99"/>
  <c r="BA27" i="99"/>
  <c r="BA16" i="99"/>
  <c r="BA28" i="99"/>
  <c r="BA21" i="99"/>
  <c r="BA24" i="99"/>
  <c r="BA25" i="99"/>
  <c r="BA19" i="99"/>
  <c r="BA26" i="99"/>
  <c r="BA13" i="99"/>
  <c r="CS49" i="99" l="1"/>
  <c r="CT49" i="99" s="1"/>
  <c r="CS184" i="99"/>
  <c r="CT184" i="99" s="1"/>
  <c r="CZ94" i="99"/>
  <c r="CZ19" i="99"/>
  <c r="AJ6" i="95"/>
  <c r="AI7" i="95"/>
  <c r="BF49" i="69"/>
  <c r="BD50" i="69"/>
  <c r="BE139" i="69"/>
  <c r="BE140" i="69" s="1"/>
  <c r="BE141" i="69" s="1"/>
  <c r="BE142" i="69" s="1"/>
  <c r="BE143" i="69" s="1"/>
  <c r="BE144" i="69" s="1"/>
  <c r="BE145" i="69" s="1"/>
  <c r="BE146" i="69" s="1"/>
  <c r="BE147" i="69" s="1"/>
  <c r="BE148" i="69" s="1"/>
  <c r="BE149" i="69" s="1"/>
  <c r="BE150" i="69" s="1"/>
  <c r="BE151" i="69" s="1"/>
  <c r="BE152" i="69" s="1"/>
  <c r="BE153" i="69" s="1"/>
  <c r="BE154" i="69" s="1"/>
  <c r="BH95" i="70"/>
  <c r="BE96" i="70"/>
  <c r="AJ186" i="95"/>
  <c r="AI187" i="95"/>
  <c r="BE185" i="70"/>
  <c r="BH184" i="70"/>
  <c r="BD139" i="69"/>
  <c r="AI98" i="95"/>
  <c r="AJ97" i="95"/>
  <c r="BD96" i="69"/>
  <c r="BF95" i="69"/>
  <c r="BF5" i="70"/>
  <c r="BH4" i="70"/>
  <c r="BK4" i="70" s="1"/>
  <c r="BE5" i="70"/>
  <c r="AJ140" i="95"/>
  <c r="AI141" i="95"/>
  <c r="BF139" i="70"/>
  <c r="BF140" i="70" s="1"/>
  <c r="BF141" i="70" s="1"/>
  <c r="BF142" i="70" s="1"/>
  <c r="BF143" i="70" s="1"/>
  <c r="BF144" i="70" s="1"/>
  <c r="BF145" i="70" s="1"/>
  <c r="BF146" i="70" s="1"/>
  <c r="BF147" i="70" s="1"/>
  <c r="BF148" i="70" s="1"/>
  <c r="BF149" i="70" s="1"/>
  <c r="BF150" i="70" s="1"/>
  <c r="BF151" i="70" s="1"/>
  <c r="BF152" i="70" s="1"/>
  <c r="BF153" i="70" s="1"/>
  <c r="BF154" i="70" s="1"/>
  <c r="BD5" i="69"/>
  <c r="BF4" i="69"/>
  <c r="DB4" i="99" s="1"/>
  <c r="AI52" i="95"/>
  <c r="AJ51" i="95"/>
  <c r="BE139" i="70"/>
  <c r="BC76" i="94"/>
  <c r="BC77" i="94" s="1"/>
  <c r="BC78" i="94" s="1"/>
  <c r="BC79" i="94" s="1"/>
  <c r="BC80" i="94" s="1"/>
  <c r="BC81" i="94" s="1"/>
  <c r="BC82" i="94" s="1"/>
  <c r="BC83" i="94" s="1"/>
  <c r="BC84" i="94" s="1"/>
  <c r="BC85" i="94" s="1"/>
  <c r="BC142" i="87"/>
  <c r="BC143" i="87" s="1"/>
  <c r="BC144" i="87" s="1"/>
  <c r="BC145" i="87" s="1"/>
  <c r="BC146" i="87" s="1"/>
  <c r="BC147" i="87" s="1"/>
  <c r="BC148" i="87" s="1"/>
  <c r="BC149" i="87" s="1"/>
  <c r="BC150" i="87" s="1"/>
  <c r="BC151" i="87" s="1"/>
  <c r="BC152" i="87" s="1"/>
  <c r="BC153" i="87" s="1"/>
  <c r="BC154" i="87" s="1"/>
  <c r="BC155" i="87" s="1"/>
  <c r="BC156" i="87" s="1"/>
  <c r="BC157" i="87" s="1"/>
  <c r="BH49" i="70"/>
  <c r="BE50" i="70"/>
  <c r="BF184" i="69"/>
  <c r="BD185" i="69"/>
  <c r="CW49" i="99"/>
  <c r="W14" i="100"/>
  <c r="CW184" i="99"/>
  <c r="AM142" i="100"/>
  <c r="AI152" i="68"/>
  <c r="BC25" i="99"/>
  <c r="BC28" i="99"/>
  <c r="BC24" i="99"/>
  <c r="BC16" i="99"/>
  <c r="BC20" i="99"/>
  <c r="BC26" i="99"/>
  <c r="BC14" i="99"/>
  <c r="BC21" i="99"/>
  <c r="BC18" i="99"/>
  <c r="BC19" i="99"/>
  <c r="BC11" i="99"/>
  <c r="BC10" i="99"/>
  <c r="BC27" i="99"/>
  <c r="BC23" i="99"/>
  <c r="BC17" i="99"/>
  <c r="BC12" i="99"/>
  <c r="BC13" i="99"/>
  <c r="BC22" i="99"/>
  <c r="BC15" i="99"/>
  <c r="CZ49" i="99" l="1"/>
  <c r="CZ184" i="99"/>
  <c r="CS139" i="99"/>
  <c r="CT139" i="99" s="1"/>
  <c r="BI4" i="70"/>
  <c r="BF96" i="69"/>
  <c r="BD97" i="69"/>
  <c r="BH50" i="70"/>
  <c r="BE51" i="70"/>
  <c r="AJ98" i="95"/>
  <c r="AI99" i="95"/>
  <c r="BJ4" i="70"/>
  <c r="BD140" i="69"/>
  <c r="BF139" i="69"/>
  <c r="BE186" i="70"/>
  <c r="BH185" i="70"/>
  <c r="BD6" i="69"/>
  <c r="BF5" i="69"/>
  <c r="DB5" i="99" s="1"/>
  <c r="BE6" i="70"/>
  <c r="BH5" i="70"/>
  <c r="BK5" i="70" s="1"/>
  <c r="BH139" i="70"/>
  <c r="BE140" i="70"/>
  <c r="AI142" i="95"/>
  <c r="AJ141" i="95"/>
  <c r="BF6" i="70"/>
  <c r="BE97" i="70"/>
  <c r="BH96" i="70"/>
  <c r="BD51" i="69"/>
  <c r="BF50" i="69"/>
  <c r="BF185" i="69"/>
  <c r="BD186" i="69"/>
  <c r="AJ187" i="95"/>
  <c r="AI188" i="95"/>
  <c r="AJ52" i="95"/>
  <c r="AI53" i="95"/>
  <c r="AI8" i="95"/>
  <c r="AJ7" i="95"/>
  <c r="CW139" i="99"/>
  <c r="AI17" i="68"/>
  <c r="BW94" i="99"/>
  <c r="AZ24" i="99"/>
  <c r="BZ139" i="99"/>
  <c r="BZ49" i="99"/>
  <c r="AZ13" i="99"/>
  <c r="BU49" i="99"/>
  <c r="BZ4" i="99"/>
  <c r="AZ10" i="99"/>
  <c r="BU94" i="99"/>
  <c r="CB49" i="99"/>
  <c r="BR49" i="99"/>
  <c r="AZ14" i="99"/>
  <c r="CB184" i="99"/>
  <c r="AM7" i="100"/>
  <c r="AZ20" i="99"/>
  <c r="AZ23" i="99"/>
  <c r="AZ25" i="99"/>
  <c r="AZ26" i="99"/>
  <c r="AZ19" i="99"/>
  <c r="BX94" i="99"/>
  <c r="BS184" i="99"/>
  <c r="AZ27" i="99"/>
  <c r="BZ94" i="99"/>
  <c r="AZ21" i="99"/>
  <c r="BR184" i="99"/>
  <c r="BS94" i="99"/>
  <c r="BU139" i="99"/>
  <c r="BZ184" i="99"/>
  <c r="AZ11" i="99"/>
  <c r="AZ15" i="99"/>
  <c r="BS4" i="99"/>
  <c r="AZ17" i="99"/>
  <c r="BU184" i="99"/>
  <c r="AZ22" i="99"/>
  <c r="CB4" i="99"/>
  <c r="BR94" i="99"/>
  <c r="BW139" i="99"/>
  <c r="BX49" i="99"/>
  <c r="AZ16" i="99"/>
  <c r="AZ28" i="99"/>
  <c r="BS49" i="99"/>
  <c r="BW4" i="99"/>
  <c r="BU4" i="99"/>
  <c r="BS139" i="99"/>
  <c r="BX139" i="99"/>
  <c r="AZ12" i="99"/>
  <c r="CB139" i="99"/>
  <c r="BW184" i="99"/>
  <c r="BR139" i="99"/>
  <c r="BR4" i="99"/>
  <c r="BX184" i="99"/>
  <c r="BX4" i="99"/>
  <c r="BW49" i="99"/>
  <c r="CB94" i="99"/>
  <c r="AZ18" i="99"/>
  <c r="CI4" i="99" l="1"/>
  <c r="CI5" i="99" s="1"/>
  <c r="CI6" i="99" s="1"/>
  <c r="CI7" i="99" s="1"/>
  <c r="CI8" i="99" s="1"/>
  <c r="CI9" i="99" s="1"/>
  <c r="CI10" i="99" s="1"/>
  <c r="CI11" i="99" s="1"/>
  <c r="CI12" i="99" s="1"/>
  <c r="CI13" i="99" s="1"/>
  <c r="CI14" i="99" s="1"/>
  <c r="CI15" i="99" s="1"/>
  <c r="CI16" i="99" s="1"/>
  <c r="CI17" i="99" s="1"/>
  <c r="CI18" i="99" s="1"/>
  <c r="CI19" i="99" s="1"/>
  <c r="BY4" i="99"/>
  <c r="CJ4" i="99" s="1"/>
  <c r="CJ5" i="99" s="1"/>
  <c r="CJ6" i="99" s="1"/>
  <c r="CJ7" i="99" s="1"/>
  <c r="CJ8" i="99" s="1"/>
  <c r="CJ9" i="99" s="1"/>
  <c r="CJ10" i="99" s="1"/>
  <c r="CJ11" i="99" s="1"/>
  <c r="CJ12" i="99" s="1"/>
  <c r="CJ13" i="99" s="1"/>
  <c r="CJ14" i="99" s="1"/>
  <c r="CJ15" i="99" s="1"/>
  <c r="CJ16" i="99" s="1"/>
  <c r="CJ17" i="99" s="1"/>
  <c r="CJ18" i="99" s="1"/>
  <c r="CJ19" i="99" s="1"/>
  <c r="CM4" i="99"/>
  <c r="CM5" i="99" s="1"/>
  <c r="CM6" i="99" s="1"/>
  <c r="CM7" i="99" s="1"/>
  <c r="CM8" i="99" s="1"/>
  <c r="CM9" i="99" s="1"/>
  <c r="CM10" i="99" s="1"/>
  <c r="CM11" i="99" s="1"/>
  <c r="CM12" i="99" s="1"/>
  <c r="CM13" i="99" s="1"/>
  <c r="CM14" i="99" s="1"/>
  <c r="CM15" i="99" s="1"/>
  <c r="CM16" i="99" s="1"/>
  <c r="CM17" i="99" s="1"/>
  <c r="CM18" i="99" s="1"/>
  <c r="CM19" i="99" s="1"/>
  <c r="CK4" i="99"/>
  <c r="CK5" i="99" s="1"/>
  <c r="CK6" i="99" s="1"/>
  <c r="CK7" i="99" s="1"/>
  <c r="CK8" i="99" s="1"/>
  <c r="CK9" i="99" s="1"/>
  <c r="CK10" i="99" s="1"/>
  <c r="CK11" i="99" s="1"/>
  <c r="CK12" i="99" s="1"/>
  <c r="CK13" i="99" s="1"/>
  <c r="CK14" i="99" s="1"/>
  <c r="CK15" i="99" s="1"/>
  <c r="CK16" i="99" s="1"/>
  <c r="CK17" i="99" s="1"/>
  <c r="CK18" i="99" s="1"/>
  <c r="CK19" i="99" s="1"/>
  <c r="CA4" i="99"/>
  <c r="CL4" i="99" s="1"/>
  <c r="CH4" i="99"/>
  <c r="CH5" i="99" s="1"/>
  <c r="CH6" i="99" s="1"/>
  <c r="CH7" i="99" s="1"/>
  <c r="CH8" i="99" s="1"/>
  <c r="CH9" i="99" s="1"/>
  <c r="CH10" i="99" s="1"/>
  <c r="CH11" i="99" s="1"/>
  <c r="CH12" i="99" s="1"/>
  <c r="CH13" i="99" s="1"/>
  <c r="CH14" i="99" s="1"/>
  <c r="CH15" i="99" s="1"/>
  <c r="CH16" i="99" s="1"/>
  <c r="CH17" i="99" s="1"/>
  <c r="CH18" i="99" s="1"/>
  <c r="CH19" i="99" s="1"/>
  <c r="CC94" i="99"/>
  <c r="CC95" i="99" s="1"/>
  <c r="CC96" i="99" s="1"/>
  <c r="CC97" i="99" s="1"/>
  <c r="BV49" i="99"/>
  <c r="CG49" i="99" s="1"/>
  <c r="CG50" i="99" s="1"/>
  <c r="CG51" i="99" s="1"/>
  <c r="CG52" i="99" s="1"/>
  <c r="CG53" i="99" s="1"/>
  <c r="CG54" i="99" s="1"/>
  <c r="CG55" i="99" s="1"/>
  <c r="CG56" i="99" s="1"/>
  <c r="CG57" i="99" s="1"/>
  <c r="CG58" i="99" s="1"/>
  <c r="CG59" i="99" s="1"/>
  <c r="CG60" i="99" s="1"/>
  <c r="CG61" i="99" s="1"/>
  <c r="CG62" i="99" s="1"/>
  <c r="CG63" i="99" s="1"/>
  <c r="CG64" i="99" s="1"/>
  <c r="CF49" i="99"/>
  <c r="CF50" i="99" s="1"/>
  <c r="CF51" i="99" s="1"/>
  <c r="CF52" i="99" s="1"/>
  <c r="CF53" i="99" s="1"/>
  <c r="CF54" i="99" s="1"/>
  <c r="CF55" i="99" s="1"/>
  <c r="CF56" i="99" s="1"/>
  <c r="CF57" i="99" s="1"/>
  <c r="CF58" i="99" s="1"/>
  <c r="CF59" i="99" s="1"/>
  <c r="CF60" i="99" s="1"/>
  <c r="CF61" i="99" s="1"/>
  <c r="CF62" i="99" s="1"/>
  <c r="CF63" i="99" s="1"/>
  <c r="CF64" i="99" s="1"/>
  <c r="CH49" i="99"/>
  <c r="CH50" i="99" s="1"/>
  <c r="CH51" i="99" s="1"/>
  <c r="CH52" i="99" s="1"/>
  <c r="CH53" i="99" s="1"/>
  <c r="CH54" i="99" s="1"/>
  <c r="CH55" i="99" s="1"/>
  <c r="CH56" i="99" s="1"/>
  <c r="CH57" i="99" s="1"/>
  <c r="CH58" i="99" s="1"/>
  <c r="CH59" i="99" s="1"/>
  <c r="CH60" i="99" s="1"/>
  <c r="CH61" i="99" s="1"/>
  <c r="CH62" i="99" s="1"/>
  <c r="CH63" i="99" s="1"/>
  <c r="CH64" i="99" s="1"/>
  <c r="BT184" i="99"/>
  <c r="CE184" i="99" s="1"/>
  <c r="CE185" i="99" s="1"/>
  <c r="CE186" i="99" s="1"/>
  <c r="CE187" i="99" s="1"/>
  <c r="CE188" i="99" s="1"/>
  <c r="CE189" i="99" s="1"/>
  <c r="CE190" i="99" s="1"/>
  <c r="CE191" i="99" s="1"/>
  <c r="CE192" i="99" s="1"/>
  <c r="CE193" i="99" s="1"/>
  <c r="CE194" i="99" s="1"/>
  <c r="CE195" i="99" s="1"/>
  <c r="CE196" i="99" s="1"/>
  <c r="CE197" i="99" s="1"/>
  <c r="CE198" i="99" s="1"/>
  <c r="CE199" i="99" s="1"/>
  <c r="CD184" i="99"/>
  <c r="CD185" i="99" s="1"/>
  <c r="CD186" i="99" s="1"/>
  <c r="CD187" i="99" s="1"/>
  <c r="CD188" i="99" s="1"/>
  <c r="CD189" i="99" s="1"/>
  <c r="CD190" i="99" s="1"/>
  <c r="CD191" i="99" s="1"/>
  <c r="CD192" i="99" s="1"/>
  <c r="CD193" i="99" s="1"/>
  <c r="CD194" i="99" s="1"/>
  <c r="CD195" i="99" s="1"/>
  <c r="CD196" i="99" s="1"/>
  <c r="CD197" i="99" s="1"/>
  <c r="CD198" i="99" s="1"/>
  <c r="CD199" i="99" s="1"/>
  <c r="BT49" i="99"/>
  <c r="CE49" i="99" s="1"/>
  <c r="CE50" i="99" s="1"/>
  <c r="CE51" i="99" s="1"/>
  <c r="CE52" i="99" s="1"/>
  <c r="CE53" i="99" s="1"/>
  <c r="CE54" i="99" s="1"/>
  <c r="CE55" i="99" s="1"/>
  <c r="CE56" i="99" s="1"/>
  <c r="CE57" i="99" s="1"/>
  <c r="CE58" i="99" s="1"/>
  <c r="CE59" i="99" s="1"/>
  <c r="CE60" i="99" s="1"/>
  <c r="CE61" i="99" s="1"/>
  <c r="CE62" i="99" s="1"/>
  <c r="CE63" i="99" s="1"/>
  <c r="CE64" i="99" s="1"/>
  <c r="CD49" i="99"/>
  <c r="CD50" i="99" s="1"/>
  <c r="CD51" i="99" s="1"/>
  <c r="CD52" i="99" s="1"/>
  <c r="CD53" i="99" s="1"/>
  <c r="CD54" i="99" s="1"/>
  <c r="CD55" i="99" s="1"/>
  <c r="CD56" i="99" s="1"/>
  <c r="CD57" i="99" s="1"/>
  <c r="CD58" i="99" s="1"/>
  <c r="CD59" i="99" s="1"/>
  <c r="CD60" i="99" s="1"/>
  <c r="CD61" i="99" s="1"/>
  <c r="CD62" i="99" s="1"/>
  <c r="CD63" i="99" s="1"/>
  <c r="CD64" i="99" s="1"/>
  <c r="CF94" i="99"/>
  <c r="CF95" i="99" s="1"/>
  <c r="CF96" i="99" s="1"/>
  <c r="CF97" i="99" s="1"/>
  <c r="CF98" i="99" s="1"/>
  <c r="CF99" i="99" s="1"/>
  <c r="CF100" i="99" s="1"/>
  <c r="CF101" i="99" s="1"/>
  <c r="CF102" i="99" s="1"/>
  <c r="CF103" i="99" s="1"/>
  <c r="CF104" i="99" s="1"/>
  <c r="CF105" i="99" s="1"/>
  <c r="CF106" i="99" s="1"/>
  <c r="CF107" i="99" s="1"/>
  <c r="CF108" i="99" s="1"/>
  <c r="CF109" i="99" s="1"/>
  <c r="BV94" i="99"/>
  <c r="CG94" i="99" s="1"/>
  <c r="CG95" i="99" s="1"/>
  <c r="CG96" i="99" s="1"/>
  <c r="CG97" i="99" s="1"/>
  <c r="CG98" i="99" s="1"/>
  <c r="CG99" i="99" s="1"/>
  <c r="CG100" i="99" s="1"/>
  <c r="CG101" i="99" s="1"/>
  <c r="CG102" i="99" s="1"/>
  <c r="CG103" i="99" s="1"/>
  <c r="CG104" i="99" s="1"/>
  <c r="CG105" i="99" s="1"/>
  <c r="CG106" i="99" s="1"/>
  <c r="CG107" i="99" s="1"/>
  <c r="CG108" i="99" s="1"/>
  <c r="CG109" i="99" s="1"/>
  <c r="BY49" i="99"/>
  <c r="CJ49" i="99" s="1"/>
  <c r="CJ50" i="99" s="1"/>
  <c r="CJ51" i="99" s="1"/>
  <c r="CJ52" i="99" s="1"/>
  <c r="CJ53" i="99" s="1"/>
  <c r="CJ54" i="99" s="1"/>
  <c r="CJ55" i="99" s="1"/>
  <c r="CJ56" i="99" s="1"/>
  <c r="CJ57" i="99" s="1"/>
  <c r="CJ58" i="99" s="1"/>
  <c r="CJ59" i="99" s="1"/>
  <c r="CJ60" i="99" s="1"/>
  <c r="CJ61" i="99" s="1"/>
  <c r="CJ62" i="99" s="1"/>
  <c r="CJ63" i="99" s="1"/>
  <c r="CJ64" i="99" s="1"/>
  <c r="CI49" i="99"/>
  <c r="CI50" i="99" s="1"/>
  <c r="CI51" i="99" s="1"/>
  <c r="CI52" i="99" s="1"/>
  <c r="CI53" i="99" s="1"/>
  <c r="CI54" i="99" s="1"/>
  <c r="CI55" i="99" s="1"/>
  <c r="CI56" i="99" s="1"/>
  <c r="CI57" i="99" s="1"/>
  <c r="CI58" i="99" s="1"/>
  <c r="CI59" i="99" s="1"/>
  <c r="CI60" i="99" s="1"/>
  <c r="CI61" i="99" s="1"/>
  <c r="CI62" i="99" s="1"/>
  <c r="CI63" i="99" s="1"/>
  <c r="CI64" i="99" s="1"/>
  <c r="CA184" i="99"/>
  <c r="CL184" i="99" s="1"/>
  <c r="CL185" i="99" s="1"/>
  <c r="CL186" i="99" s="1"/>
  <c r="CL187" i="99" s="1"/>
  <c r="CL188" i="99" s="1"/>
  <c r="CL189" i="99" s="1"/>
  <c r="CL190" i="99" s="1"/>
  <c r="CL191" i="99" s="1"/>
  <c r="CL192" i="99" s="1"/>
  <c r="CL193" i="99" s="1"/>
  <c r="CL194" i="99" s="1"/>
  <c r="CL195" i="99" s="1"/>
  <c r="CL196" i="99" s="1"/>
  <c r="CL197" i="99" s="1"/>
  <c r="CL198" i="99" s="1"/>
  <c r="CL199" i="99" s="1"/>
  <c r="CK184" i="99"/>
  <c r="CK185" i="99" s="1"/>
  <c r="CK186" i="99" s="1"/>
  <c r="CK187" i="99" s="1"/>
  <c r="CK188" i="99" s="1"/>
  <c r="CK189" i="99" s="1"/>
  <c r="CK190" i="99" s="1"/>
  <c r="CK191" i="99" s="1"/>
  <c r="CK192" i="99" s="1"/>
  <c r="CK193" i="99" s="1"/>
  <c r="CK194" i="99" s="1"/>
  <c r="CK195" i="99" s="1"/>
  <c r="CK196" i="99" s="1"/>
  <c r="CK197" i="99" s="1"/>
  <c r="CK198" i="99" s="1"/>
  <c r="CK199" i="99" s="1"/>
  <c r="CA94" i="99"/>
  <c r="CL94" i="99" s="1"/>
  <c r="CL95" i="99" s="1"/>
  <c r="CL96" i="99" s="1"/>
  <c r="CL97" i="99" s="1"/>
  <c r="CL98" i="99" s="1"/>
  <c r="CL99" i="99" s="1"/>
  <c r="CL100" i="99" s="1"/>
  <c r="CL101" i="99" s="1"/>
  <c r="CL102" i="99" s="1"/>
  <c r="CL103" i="99" s="1"/>
  <c r="CL104" i="99" s="1"/>
  <c r="CL105" i="99" s="1"/>
  <c r="CL106" i="99" s="1"/>
  <c r="CL107" i="99" s="1"/>
  <c r="CL108" i="99" s="1"/>
  <c r="CL109" i="99" s="1"/>
  <c r="CK94" i="99"/>
  <c r="CK95" i="99" s="1"/>
  <c r="CK96" i="99" s="1"/>
  <c r="CK97" i="99" s="1"/>
  <c r="CK98" i="99" s="1"/>
  <c r="CK99" i="99" s="1"/>
  <c r="CK100" i="99" s="1"/>
  <c r="CK101" i="99" s="1"/>
  <c r="CK102" i="99" s="1"/>
  <c r="CK103" i="99" s="1"/>
  <c r="CK104" i="99" s="1"/>
  <c r="CK105" i="99" s="1"/>
  <c r="CK106" i="99" s="1"/>
  <c r="CK107" i="99" s="1"/>
  <c r="CK108" i="99" s="1"/>
  <c r="CK109" i="99" s="1"/>
  <c r="CI184" i="99"/>
  <c r="CI185" i="99" s="1"/>
  <c r="CI186" i="99" s="1"/>
  <c r="CI187" i="99" s="1"/>
  <c r="CI188" i="99" s="1"/>
  <c r="CI189" i="99" s="1"/>
  <c r="CI190" i="99" s="1"/>
  <c r="CI191" i="99" s="1"/>
  <c r="CI192" i="99" s="1"/>
  <c r="CI193" i="99" s="1"/>
  <c r="CI194" i="99" s="1"/>
  <c r="CI195" i="99" s="1"/>
  <c r="CI196" i="99" s="1"/>
  <c r="CI197" i="99" s="1"/>
  <c r="CI198" i="99" s="1"/>
  <c r="CI199" i="99" s="1"/>
  <c r="BY184" i="99"/>
  <c r="CJ184" i="99" s="1"/>
  <c r="CJ185" i="99" s="1"/>
  <c r="CJ186" i="99" s="1"/>
  <c r="CJ187" i="99" s="1"/>
  <c r="CJ188" i="99" s="1"/>
  <c r="CJ189" i="99" s="1"/>
  <c r="CJ190" i="99" s="1"/>
  <c r="CJ191" i="99" s="1"/>
  <c r="CJ192" i="99" s="1"/>
  <c r="CJ193" i="99" s="1"/>
  <c r="CJ194" i="99" s="1"/>
  <c r="CJ195" i="99" s="1"/>
  <c r="CJ196" i="99" s="1"/>
  <c r="CJ197" i="99" s="1"/>
  <c r="CJ198" i="99" s="1"/>
  <c r="CJ199" i="99" s="1"/>
  <c r="CF184" i="99"/>
  <c r="CF185" i="99" s="1"/>
  <c r="CF186" i="99" s="1"/>
  <c r="CF187" i="99" s="1"/>
  <c r="CF188" i="99" s="1"/>
  <c r="CF189" i="99" s="1"/>
  <c r="CF190" i="99" s="1"/>
  <c r="CF191" i="99" s="1"/>
  <c r="CF192" i="99" s="1"/>
  <c r="CF193" i="99" s="1"/>
  <c r="CF194" i="99" s="1"/>
  <c r="CF195" i="99" s="1"/>
  <c r="CF196" i="99" s="1"/>
  <c r="CF197" i="99" s="1"/>
  <c r="CF198" i="99" s="1"/>
  <c r="CF199" i="99" s="1"/>
  <c r="BV184" i="99"/>
  <c r="CG184" i="99" s="1"/>
  <c r="CG185" i="99" s="1"/>
  <c r="CG186" i="99" s="1"/>
  <c r="CG187" i="99" s="1"/>
  <c r="CG188" i="99" s="1"/>
  <c r="CG189" i="99" s="1"/>
  <c r="CG190" i="99" s="1"/>
  <c r="CG191" i="99" s="1"/>
  <c r="CG192" i="99" s="1"/>
  <c r="CG193" i="99" s="1"/>
  <c r="CG194" i="99" s="1"/>
  <c r="CG195" i="99" s="1"/>
  <c r="CG196" i="99" s="1"/>
  <c r="CG197" i="99" s="1"/>
  <c r="CG198" i="99" s="1"/>
  <c r="CG199" i="99" s="1"/>
  <c r="CC49" i="99"/>
  <c r="CC50" i="99" s="1"/>
  <c r="CC51" i="99" s="1"/>
  <c r="CC52" i="99" s="1"/>
  <c r="CC184" i="99"/>
  <c r="CC185" i="99" s="1"/>
  <c r="CC186" i="99" s="1"/>
  <c r="CC187" i="99" s="1"/>
  <c r="CM139" i="99"/>
  <c r="CM140" i="99" s="1"/>
  <c r="CM141" i="99" s="1"/>
  <c r="CM142" i="99" s="1"/>
  <c r="CM143" i="99" s="1"/>
  <c r="CM144" i="99" s="1"/>
  <c r="CM145" i="99" s="1"/>
  <c r="CM146" i="99" s="1"/>
  <c r="CM147" i="99" s="1"/>
  <c r="CM148" i="99" s="1"/>
  <c r="CM149" i="99" s="1"/>
  <c r="CM150" i="99" s="1"/>
  <c r="CM151" i="99" s="1"/>
  <c r="CM152" i="99" s="1"/>
  <c r="CM153" i="99" s="1"/>
  <c r="CM154" i="99" s="1"/>
  <c r="CH139" i="99"/>
  <c r="CH140" i="99" s="1"/>
  <c r="CH141" i="99" s="1"/>
  <c r="CH142" i="99" s="1"/>
  <c r="CH143" i="99" s="1"/>
  <c r="CH144" i="99" s="1"/>
  <c r="CH145" i="99" s="1"/>
  <c r="CH146" i="99" s="1"/>
  <c r="CH147" i="99" s="1"/>
  <c r="CH148" i="99" s="1"/>
  <c r="CH149" i="99" s="1"/>
  <c r="CH150" i="99" s="1"/>
  <c r="CH151" i="99" s="1"/>
  <c r="CH152" i="99" s="1"/>
  <c r="CH153" i="99" s="1"/>
  <c r="CH154" i="99" s="1"/>
  <c r="CM184" i="99"/>
  <c r="CM185" i="99" s="1"/>
  <c r="CM186" i="99" s="1"/>
  <c r="CM187" i="99" s="1"/>
  <c r="CM188" i="99" s="1"/>
  <c r="CM189" i="99" s="1"/>
  <c r="CM190" i="99" s="1"/>
  <c r="CM191" i="99" s="1"/>
  <c r="CM192" i="99" s="1"/>
  <c r="CM193" i="99" s="1"/>
  <c r="CM194" i="99" s="1"/>
  <c r="CM195" i="99" s="1"/>
  <c r="CM196" i="99" s="1"/>
  <c r="CM197" i="99" s="1"/>
  <c r="CM198" i="99" s="1"/>
  <c r="CM199" i="99" s="1"/>
  <c r="CF139" i="99"/>
  <c r="CF140" i="99" s="1"/>
  <c r="CF141" i="99" s="1"/>
  <c r="CF142" i="99" s="1"/>
  <c r="CF143" i="99" s="1"/>
  <c r="CF144" i="99" s="1"/>
  <c r="CF145" i="99" s="1"/>
  <c r="CF146" i="99" s="1"/>
  <c r="CF147" i="99" s="1"/>
  <c r="CF148" i="99" s="1"/>
  <c r="CF149" i="99" s="1"/>
  <c r="CF150" i="99" s="1"/>
  <c r="CF151" i="99" s="1"/>
  <c r="CF152" i="99" s="1"/>
  <c r="CF153" i="99" s="1"/>
  <c r="CF154" i="99" s="1"/>
  <c r="BV139" i="99"/>
  <c r="CG139" i="99" s="1"/>
  <c r="CG140" i="99" s="1"/>
  <c r="CG141" i="99" s="1"/>
  <c r="CG142" i="99" s="1"/>
  <c r="CG143" i="99" s="1"/>
  <c r="CG144" i="99" s="1"/>
  <c r="CG145" i="99" s="1"/>
  <c r="CG146" i="99" s="1"/>
  <c r="CG147" i="99" s="1"/>
  <c r="CG148" i="99" s="1"/>
  <c r="CG149" i="99" s="1"/>
  <c r="CG150" i="99" s="1"/>
  <c r="CG151" i="99" s="1"/>
  <c r="CG152" i="99" s="1"/>
  <c r="CG153" i="99" s="1"/>
  <c r="CG154" i="99" s="1"/>
  <c r="BT94" i="99"/>
  <c r="CE94" i="99" s="1"/>
  <c r="CE95" i="99" s="1"/>
  <c r="CE96" i="99" s="1"/>
  <c r="CE97" i="99" s="1"/>
  <c r="CE98" i="99" s="1"/>
  <c r="CE99" i="99" s="1"/>
  <c r="CE100" i="99" s="1"/>
  <c r="CE101" i="99" s="1"/>
  <c r="CE102" i="99" s="1"/>
  <c r="CE103" i="99" s="1"/>
  <c r="CE104" i="99" s="1"/>
  <c r="CE105" i="99" s="1"/>
  <c r="CE106" i="99" s="1"/>
  <c r="CE107" i="99" s="1"/>
  <c r="CE108" i="99" s="1"/>
  <c r="CE109" i="99" s="1"/>
  <c r="CD94" i="99"/>
  <c r="CD95" i="99" s="1"/>
  <c r="CD96" i="99" s="1"/>
  <c r="CD97" i="99" s="1"/>
  <c r="CD98" i="99" s="1"/>
  <c r="CD99" i="99" s="1"/>
  <c r="CD100" i="99" s="1"/>
  <c r="CD101" i="99" s="1"/>
  <c r="CD102" i="99" s="1"/>
  <c r="CD103" i="99" s="1"/>
  <c r="CD104" i="99" s="1"/>
  <c r="CD105" i="99" s="1"/>
  <c r="CD106" i="99" s="1"/>
  <c r="CD107" i="99" s="1"/>
  <c r="CD108" i="99" s="1"/>
  <c r="CD109" i="99" s="1"/>
  <c r="BT139" i="99"/>
  <c r="CE139" i="99" s="1"/>
  <c r="CE140" i="99" s="1"/>
  <c r="CE141" i="99" s="1"/>
  <c r="CE142" i="99" s="1"/>
  <c r="CE143" i="99" s="1"/>
  <c r="CE144" i="99" s="1"/>
  <c r="CE145" i="99" s="1"/>
  <c r="CE146" i="99" s="1"/>
  <c r="CE147" i="99" s="1"/>
  <c r="CE148" i="99" s="1"/>
  <c r="CE149" i="99" s="1"/>
  <c r="CE150" i="99" s="1"/>
  <c r="CE151" i="99" s="1"/>
  <c r="CE152" i="99" s="1"/>
  <c r="CE153" i="99" s="1"/>
  <c r="CE154" i="99" s="1"/>
  <c r="CD139" i="99"/>
  <c r="CD140" i="99" s="1"/>
  <c r="CD141" i="99" s="1"/>
  <c r="CD142" i="99" s="1"/>
  <c r="CD143" i="99" s="1"/>
  <c r="CD144" i="99" s="1"/>
  <c r="CD145" i="99" s="1"/>
  <c r="CD146" i="99" s="1"/>
  <c r="CD147" i="99" s="1"/>
  <c r="CD148" i="99" s="1"/>
  <c r="CD149" i="99" s="1"/>
  <c r="CD150" i="99" s="1"/>
  <c r="CD151" i="99" s="1"/>
  <c r="CD152" i="99" s="1"/>
  <c r="CD153" i="99" s="1"/>
  <c r="CD154" i="99" s="1"/>
  <c r="CM49" i="99"/>
  <c r="CM50" i="99" s="1"/>
  <c r="CM51" i="99" s="1"/>
  <c r="CM52" i="99" s="1"/>
  <c r="CM53" i="99" s="1"/>
  <c r="CM54" i="99" s="1"/>
  <c r="CM55" i="99" s="1"/>
  <c r="CM56" i="99" s="1"/>
  <c r="CM57" i="99" s="1"/>
  <c r="CM58" i="99" s="1"/>
  <c r="CM59" i="99" s="1"/>
  <c r="CM60" i="99" s="1"/>
  <c r="CM61" i="99" s="1"/>
  <c r="CM62" i="99" s="1"/>
  <c r="CM63" i="99" s="1"/>
  <c r="CM64" i="99" s="1"/>
  <c r="CD4" i="99"/>
  <c r="CD5" i="99" s="1"/>
  <c r="CD6" i="99" s="1"/>
  <c r="CD7" i="99" s="1"/>
  <c r="CD8" i="99" s="1"/>
  <c r="CD9" i="99" s="1"/>
  <c r="CD10" i="99" s="1"/>
  <c r="CD11" i="99" s="1"/>
  <c r="CD12" i="99" s="1"/>
  <c r="CD13" i="99" s="1"/>
  <c r="CD14" i="99" s="1"/>
  <c r="CD15" i="99" s="1"/>
  <c r="CD16" i="99" s="1"/>
  <c r="CD17" i="99" s="1"/>
  <c r="CD18" i="99" s="1"/>
  <c r="CD19" i="99" s="1"/>
  <c r="BT4" i="99"/>
  <c r="CE4" i="99" s="1"/>
  <c r="CE5" i="99" s="1"/>
  <c r="CE6" i="99" s="1"/>
  <c r="CE7" i="99" s="1"/>
  <c r="CE8" i="99" s="1"/>
  <c r="CE9" i="99" s="1"/>
  <c r="CE10" i="99" s="1"/>
  <c r="CE11" i="99" s="1"/>
  <c r="CE12" i="99" s="1"/>
  <c r="CE13" i="99" s="1"/>
  <c r="CE14" i="99" s="1"/>
  <c r="CE15" i="99" s="1"/>
  <c r="CE16" i="99" s="1"/>
  <c r="CE17" i="99" s="1"/>
  <c r="CE18" i="99" s="1"/>
  <c r="CE19" i="99" s="1"/>
  <c r="CA49" i="99"/>
  <c r="CL49" i="99" s="1"/>
  <c r="CL50" i="99" s="1"/>
  <c r="CL51" i="99" s="1"/>
  <c r="CL52" i="99" s="1"/>
  <c r="CL53" i="99" s="1"/>
  <c r="CL54" i="99" s="1"/>
  <c r="CL55" i="99" s="1"/>
  <c r="CL56" i="99" s="1"/>
  <c r="CL57" i="99" s="1"/>
  <c r="CL58" i="99" s="1"/>
  <c r="CL59" i="99" s="1"/>
  <c r="CL60" i="99" s="1"/>
  <c r="CL61" i="99" s="1"/>
  <c r="CL62" i="99" s="1"/>
  <c r="CL63" i="99" s="1"/>
  <c r="CL64" i="99" s="1"/>
  <c r="CK49" i="99"/>
  <c r="CK50" i="99" s="1"/>
  <c r="CK51" i="99" s="1"/>
  <c r="CK52" i="99" s="1"/>
  <c r="CK53" i="99" s="1"/>
  <c r="CK54" i="99" s="1"/>
  <c r="CK55" i="99" s="1"/>
  <c r="CK56" i="99" s="1"/>
  <c r="CK57" i="99" s="1"/>
  <c r="CK58" i="99" s="1"/>
  <c r="CK59" i="99" s="1"/>
  <c r="CK60" i="99" s="1"/>
  <c r="CK61" i="99" s="1"/>
  <c r="CK62" i="99" s="1"/>
  <c r="CK63" i="99" s="1"/>
  <c r="CK64" i="99" s="1"/>
  <c r="CH94" i="99"/>
  <c r="CH95" i="99" s="1"/>
  <c r="CH96" i="99" s="1"/>
  <c r="CH97" i="99" s="1"/>
  <c r="CH98" i="99" s="1"/>
  <c r="CH99" i="99" s="1"/>
  <c r="CH100" i="99" s="1"/>
  <c r="CH101" i="99" s="1"/>
  <c r="CH102" i="99" s="1"/>
  <c r="CH103" i="99" s="1"/>
  <c r="CH104" i="99" s="1"/>
  <c r="CH105" i="99" s="1"/>
  <c r="CH106" i="99" s="1"/>
  <c r="CH107" i="99" s="1"/>
  <c r="CH108" i="99" s="1"/>
  <c r="CH109" i="99" s="1"/>
  <c r="CC139" i="99"/>
  <c r="CC140" i="99" s="1"/>
  <c r="CC141" i="99" s="1"/>
  <c r="CH184" i="99"/>
  <c r="CH185" i="99" s="1"/>
  <c r="CH186" i="99" s="1"/>
  <c r="CH187" i="99" s="1"/>
  <c r="CH188" i="99" s="1"/>
  <c r="CH189" i="99" s="1"/>
  <c r="CH190" i="99" s="1"/>
  <c r="CH191" i="99" s="1"/>
  <c r="CH192" i="99" s="1"/>
  <c r="CH193" i="99" s="1"/>
  <c r="CH194" i="99" s="1"/>
  <c r="CH195" i="99" s="1"/>
  <c r="CH196" i="99" s="1"/>
  <c r="CH197" i="99" s="1"/>
  <c r="CH198" i="99" s="1"/>
  <c r="CH199" i="99" s="1"/>
  <c r="BY139" i="99"/>
  <c r="CJ139" i="99" s="1"/>
  <c r="CJ140" i="99" s="1"/>
  <c r="CJ141" i="99" s="1"/>
  <c r="CJ142" i="99" s="1"/>
  <c r="CJ143" i="99" s="1"/>
  <c r="CJ144" i="99" s="1"/>
  <c r="CJ145" i="99" s="1"/>
  <c r="CJ146" i="99" s="1"/>
  <c r="CJ147" i="99" s="1"/>
  <c r="CJ148" i="99" s="1"/>
  <c r="CJ149" i="99" s="1"/>
  <c r="CJ150" i="99" s="1"/>
  <c r="CJ151" i="99" s="1"/>
  <c r="CJ152" i="99" s="1"/>
  <c r="CJ153" i="99" s="1"/>
  <c r="CJ154" i="99" s="1"/>
  <c r="CI139" i="99"/>
  <c r="CI140" i="99" s="1"/>
  <c r="CI141" i="99" s="1"/>
  <c r="CI142" i="99" s="1"/>
  <c r="CI143" i="99" s="1"/>
  <c r="CI144" i="99" s="1"/>
  <c r="CI145" i="99" s="1"/>
  <c r="CI146" i="99" s="1"/>
  <c r="CI147" i="99" s="1"/>
  <c r="CI148" i="99" s="1"/>
  <c r="CI149" i="99" s="1"/>
  <c r="CI150" i="99" s="1"/>
  <c r="CI151" i="99" s="1"/>
  <c r="CI152" i="99" s="1"/>
  <c r="CI153" i="99" s="1"/>
  <c r="CI154" i="99" s="1"/>
  <c r="CA139" i="99"/>
  <c r="CL139" i="99" s="1"/>
  <c r="CL140" i="99" s="1"/>
  <c r="CL141" i="99" s="1"/>
  <c r="CL142" i="99" s="1"/>
  <c r="CL143" i="99" s="1"/>
  <c r="CL144" i="99" s="1"/>
  <c r="CL145" i="99" s="1"/>
  <c r="CL146" i="99" s="1"/>
  <c r="CL147" i="99" s="1"/>
  <c r="CL148" i="99" s="1"/>
  <c r="CL149" i="99" s="1"/>
  <c r="CL150" i="99" s="1"/>
  <c r="CL151" i="99" s="1"/>
  <c r="CL152" i="99" s="1"/>
  <c r="CL153" i="99" s="1"/>
  <c r="CL154" i="99" s="1"/>
  <c r="CK139" i="99"/>
  <c r="CK140" i="99" s="1"/>
  <c r="CK141" i="99" s="1"/>
  <c r="CK142" i="99" s="1"/>
  <c r="CK143" i="99" s="1"/>
  <c r="CK144" i="99" s="1"/>
  <c r="CK145" i="99" s="1"/>
  <c r="CK146" i="99" s="1"/>
  <c r="CK147" i="99" s="1"/>
  <c r="CK148" i="99" s="1"/>
  <c r="CK149" i="99" s="1"/>
  <c r="CK150" i="99" s="1"/>
  <c r="CK151" i="99" s="1"/>
  <c r="CK152" i="99" s="1"/>
  <c r="CK153" i="99" s="1"/>
  <c r="CK154" i="99" s="1"/>
  <c r="CM94" i="99"/>
  <c r="CM95" i="99" s="1"/>
  <c r="CM96" i="99" s="1"/>
  <c r="CM97" i="99" s="1"/>
  <c r="CM98" i="99" s="1"/>
  <c r="CM99" i="99" s="1"/>
  <c r="CM100" i="99" s="1"/>
  <c r="CM101" i="99" s="1"/>
  <c r="CM102" i="99" s="1"/>
  <c r="CM103" i="99" s="1"/>
  <c r="CM104" i="99" s="1"/>
  <c r="CM105" i="99" s="1"/>
  <c r="CM106" i="99" s="1"/>
  <c r="CM107" i="99" s="1"/>
  <c r="CM108" i="99" s="1"/>
  <c r="CM109" i="99" s="1"/>
  <c r="CI94" i="99"/>
  <c r="CI95" i="99" s="1"/>
  <c r="CI96" i="99" s="1"/>
  <c r="CI97" i="99" s="1"/>
  <c r="CI98" i="99" s="1"/>
  <c r="CI99" i="99" s="1"/>
  <c r="CI100" i="99" s="1"/>
  <c r="CI101" i="99" s="1"/>
  <c r="CI102" i="99" s="1"/>
  <c r="CI103" i="99" s="1"/>
  <c r="CI104" i="99" s="1"/>
  <c r="CI105" i="99" s="1"/>
  <c r="CI106" i="99" s="1"/>
  <c r="CI107" i="99" s="1"/>
  <c r="CI108" i="99" s="1"/>
  <c r="CI109" i="99" s="1"/>
  <c r="BY94" i="99"/>
  <c r="CJ94" i="99" s="1"/>
  <c r="CJ95" i="99" s="1"/>
  <c r="CJ96" i="99" s="1"/>
  <c r="CJ97" i="99" s="1"/>
  <c r="CJ98" i="99" s="1"/>
  <c r="CJ99" i="99" s="1"/>
  <c r="CJ100" i="99" s="1"/>
  <c r="CJ101" i="99" s="1"/>
  <c r="CJ102" i="99" s="1"/>
  <c r="CJ103" i="99" s="1"/>
  <c r="CJ104" i="99" s="1"/>
  <c r="CJ105" i="99" s="1"/>
  <c r="CJ106" i="99" s="1"/>
  <c r="CJ107" i="99" s="1"/>
  <c r="CJ108" i="99" s="1"/>
  <c r="CJ109" i="99" s="1"/>
  <c r="CC4" i="99"/>
  <c r="CC5" i="99" s="1"/>
  <c r="CC6" i="99" s="1"/>
  <c r="BV4" i="99"/>
  <c r="CG4" i="99" s="1"/>
  <c r="CG5" i="99" s="1"/>
  <c r="CG6" i="99" s="1"/>
  <c r="CG7" i="99" s="1"/>
  <c r="CG8" i="99" s="1"/>
  <c r="CG9" i="99" s="1"/>
  <c r="CG10" i="99" s="1"/>
  <c r="CG11" i="99" s="1"/>
  <c r="CG12" i="99" s="1"/>
  <c r="CG13" i="99" s="1"/>
  <c r="CG14" i="99" s="1"/>
  <c r="CG15" i="99" s="1"/>
  <c r="CG16" i="99" s="1"/>
  <c r="CG17" i="99" s="1"/>
  <c r="CG18" i="99" s="1"/>
  <c r="CG19" i="99" s="1"/>
  <c r="CF4" i="99"/>
  <c r="CF5" i="99" s="1"/>
  <c r="CF6" i="99" s="1"/>
  <c r="CF7" i="99" s="1"/>
  <c r="CF8" i="99" s="1"/>
  <c r="CF9" i="99" s="1"/>
  <c r="CF10" i="99" s="1"/>
  <c r="CF11" i="99" s="1"/>
  <c r="CF12" i="99" s="1"/>
  <c r="CF13" i="99" s="1"/>
  <c r="CF14" i="99" s="1"/>
  <c r="CF15" i="99" s="1"/>
  <c r="CF16" i="99" s="1"/>
  <c r="CF17" i="99" s="1"/>
  <c r="CF18" i="99" s="1"/>
  <c r="CF19" i="99" s="1"/>
  <c r="CS4" i="99"/>
  <c r="CT4" i="99" s="1"/>
  <c r="CZ139" i="99"/>
  <c r="AI143" i="95"/>
  <c r="AJ142" i="95"/>
  <c r="BH6" i="70"/>
  <c r="BK6" i="70" s="1"/>
  <c r="BE7" i="70"/>
  <c r="BF186" i="69"/>
  <c r="BD187" i="69"/>
  <c r="BE187" i="70"/>
  <c r="BH186" i="70"/>
  <c r="BH51" i="70"/>
  <c r="BE52" i="70"/>
  <c r="BF140" i="69"/>
  <c r="BD141" i="69"/>
  <c r="BF97" i="69"/>
  <c r="BD98" i="69"/>
  <c r="AI9" i="95"/>
  <c r="AJ8" i="95"/>
  <c r="BF51" i="69"/>
  <c r="BD52" i="69"/>
  <c r="BE141" i="70"/>
  <c r="BH140" i="70"/>
  <c r="BF6" i="69"/>
  <c r="DB6" i="99" s="1"/>
  <c r="BD7" i="69"/>
  <c r="AI100" i="95"/>
  <c r="AJ99" i="95"/>
  <c r="AI54" i="95"/>
  <c r="AJ53" i="95"/>
  <c r="AI189" i="95"/>
  <c r="AJ188" i="95"/>
  <c r="BJ5" i="70"/>
  <c r="BE98" i="70"/>
  <c r="BH97" i="70"/>
  <c r="BF7" i="70"/>
  <c r="BI5" i="70"/>
  <c r="CW4" i="99"/>
  <c r="CL5" i="99" l="1"/>
  <c r="CL6" i="99" s="1"/>
  <c r="CL7" i="99" s="1"/>
  <c r="CL8" i="99" s="1"/>
  <c r="CL9" i="99" s="1"/>
  <c r="CL10" i="99" s="1"/>
  <c r="CL11" i="99" s="1"/>
  <c r="CL12" i="99" s="1"/>
  <c r="CL13" i="99" s="1"/>
  <c r="CL14" i="99" s="1"/>
  <c r="CL15" i="99" s="1"/>
  <c r="CL16" i="99" s="1"/>
  <c r="CL17" i="99" s="1"/>
  <c r="CL18" i="99" s="1"/>
  <c r="CL19" i="99" s="1"/>
  <c r="CN185" i="99"/>
  <c r="CN94" i="99"/>
  <c r="CN139" i="99"/>
  <c r="CN49" i="99"/>
  <c r="CZ4" i="99"/>
  <c r="CN50" i="99"/>
  <c r="CN140" i="99"/>
  <c r="CN184" i="99"/>
  <c r="CN4" i="99"/>
  <c r="CN97" i="99"/>
  <c r="CN95" i="99"/>
  <c r="CN51" i="99"/>
  <c r="CN96" i="99"/>
  <c r="CC98" i="99"/>
  <c r="CC99" i="99" s="1"/>
  <c r="CN186" i="99"/>
  <c r="CC7" i="99"/>
  <c r="BD53" i="69"/>
  <c r="BF52" i="69"/>
  <c r="AJ143" i="95"/>
  <c r="AI144" i="95"/>
  <c r="BJ6" i="70"/>
  <c r="BF8" i="70"/>
  <c r="BI6" i="70"/>
  <c r="BD142" i="69"/>
  <c r="BF141" i="69"/>
  <c r="AI190" i="95"/>
  <c r="AJ189" i="95"/>
  <c r="BH187" i="70"/>
  <c r="BE188" i="70"/>
  <c r="AI55" i="95"/>
  <c r="AJ54" i="95"/>
  <c r="BE142" i="70"/>
  <c r="BH141" i="70"/>
  <c r="AJ9" i="95"/>
  <c r="AI10" i="95"/>
  <c r="CN187" i="99"/>
  <c r="CC188" i="99"/>
  <c r="CC53" i="99"/>
  <c r="CN52" i="99"/>
  <c r="BE8" i="70"/>
  <c r="BH7" i="70"/>
  <c r="BK7" i="70" s="1"/>
  <c r="BD99" i="69"/>
  <c r="BF98" i="69"/>
  <c r="BD188" i="69"/>
  <c r="BF187" i="69"/>
  <c r="AI101" i="95"/>
  <c r="AJ100" i="95"/>
  <c r="CC142" i="99"/>
  <c r="CN141" i="99"/>
  <c r="BH98" i="70"/>
  <c r="BE99" i="70"/>
  <c r="BE53" i="70"/>
  <c r="BH52" i="70"/>
  <c r="BD8" i="69"/>
  <c r="BF7" i="69"/>
  <c r="DB7" i="99" s="1"/>
  <c r="DA4" i="99" l="1"/>
  <c r="DC4" i="99" s="1"/>
  <c r="CN6" i="99"/>
  <c r="DA6" i="99" s="1"/>
  <c r="DC6" i="99" s="1"/>
  <c r="CN5" i="99"/>
  <c r="DA5" i="99" s="1"/>
  <c r="DC5" i="99" s="1"/>
  <c r="CN7" i="99"/>
  <c r="DA7" i="99" s="1"/>
  <c r="DC7" i="99" s="1"/>
  <c r="CC8" i="99"/>
  <c r="CN8" i="99" s="1"/>
  <c r="DA8" i="99" s="1"/>
  <c r="CN98" i="99"/>
  <c r="AI102" i="95"/>
  <c r="AJ101" i="95"/>
  <c r="BE189" i="70"/>
  <c r="BH188" i="70"/>
  <c r="AJ10" i="95"/>
  <c r="AI11" i="95"/>
  <c r="BH8" i="70"/>
  <c r="BK8" i="70" s="1"/>
  <c r="BE9" i="70"/>
  <c r="BF142" i="69"/>
  <c r="BD143" i="69"/>
  <c r="BD9" i="69"/>
  <c r="BF8" i="69"/>
  <c r="DB8" i="99" s="1"/>
  <c r="CN142" i="99"/>
  <c r="CC143" i="99"/>
  <c r="BF99" i="69"/>
  <c r="BD100" i="69"/>
  <c r="AJ144" i="95"/>
  <c r="AI145" i="95"/>
  <c r="BH53" i="70"/>
  <c r="BE54" i="70"/>
  <c r="BD189" i="69"/>
  <c r="BF188" i="69"/>
  <c r="CN53" i="99"/>
  <c r="CC54" i="99"/>
  <c r="BE143" i="70"/>
  <c r="BH142" i="70"/>
  <c r="AI191" i="95"/>
  <c r="AJ190" i="95"/>
  <c r="BJ7" i="70"/>
  <c r="CC189" i="99"/>
  <c r="CN188" i="99"/>
  <c r="BF9" i="70"/>
  <c r="BE100" i="70"/>
  <c r="BH99" i="70"/>
  <c r="BI7" i="70"/>
  <c r="AJ55" i="95"/>
  <c r="AI56" i="95"/>
  <c r="CC100" i="99"/>
  <c r="CN99" i="99"/>
  <c r="BD54" i="69"/>
  <c r="BF53" i="69"/>
  <c r="CC9" i="99" l="1"/>
  <c r="CC10" i="99" s="1"/>
  <c r="BJ8" i="70"/>
  <c r="DC8" i="99"/>
  <c r="BI8" i="70"/>
  <c r="AI57" i="95"/>
  <c r="AJ56" i="95"/>
  <c r="BF9" i="69"/>
  <c r="DB9" i="99" s="1"/>
  <c r="BD10" i="69"/>
  <c r="BH143" i="70"/>
  <c r="BE144" i="70"/>
  <c r="BF100" i="69"/>
  <c r="BD101" i="69"/>
  <c r="BF143" i="69"/>
  <c r="BD144" i="69"/>
  <c r="BF10" i="70"/>
  <c r="AI12" i="95"/>
  <c r="AJ11" i="95"/>
  <c r="CC190" i="99"/>
  <c r="CN189" i="99"/>
  <c r="CC55" i="99"/>
  <c r="CN54" i="99"/>
  <c r="BF189" i="69"/>
  <c r="BD190" i="69"/>
  <c r="BD55" i="69"/>
  <c r="BF54" i="69"/>
  <c r="BH54" i="70"/>
  <c r="BE55" i="70"/>
  <c r="CC144" i="99"/>
  <c r="CN143" i="99"/>
  <c r="BH189" i="70"/>
  <c r="BE190" i="70"/>
  <c r="BE101" i="70"/>
  <c r="BH100" i="70"/>
  <c r="BE10" i="70"/>
  <c r="BH9" i="70"/>
  <c r="BK9" i="70" s="1"/>
  <c r="CC101" i="99"/>
  <c r="CN100" i="99"/>
  <c r="AI192" i="95"/>
  <c r="AJ191" i="95"/>
  <c r="AI146" i="95"/>
  <c r="AJ145" i="95"/>
  <c r="AJ102" i="95"/>
  <c r="AI103" i="95"/>
  <c r="CN9" i="99" l="1"/>
  <c r="DA9" i="99" s="1"/>
  <c r="DC9" i="99" s="1"/>
  <c r="BJ9" i="70"/>
  <c r="AJ192" i="95"/>
  <c r="AI193" i="95"/>
  <c r="CC102" i="99"/>
  <c r="CN101" i="99"/>
  <c r="BI9" i="70"/>
  <c r="BD56" i="69"/>
  <c r="BF55" i="69"/>
  <c r="CN55" i="99"/>
  <c r="CC56" i="99"/>
  <c r="BF11" i="70"/>
  <c r="BE56" i="70"/>
  <c r="BH55" i="70"/>
  <c r="BE191" i="70"/>
  <c r="BH190" i="70"/>
  <c r="BH144" i="70"/>
  <c r="BE145" i="70"/>
  <c r="AJ146" i="95"/>
  <c r="AI147" i="95"/>
  <c r="BD191" i="69"/>
  <c r="BF190" i="69"/>
  <c r="BF144" i="69"/>
  <c r="BD145" i="69"/>
  <c r="BD11" i="69"/>
  <c r="BF10" i="69"/>
  <c r="DB10" i="99" s="1"/>
  <c r="BE11" i="70"/>
  <c r="BH10" i="70"/>
  <c r="BK10" i="70" s="1"/>
  <c r="CC145" i="99"/>
  <c r="CN144" i="99"/>
  <c r="CC191" i="99"/>
  <c r="CN190" i="99"/>
  <c r="BD102" i="69"/>
  <c r="BF101" i="69"/>
  <c r="AJ103" i="95"/>
  <c r="AI104" i="95"/>
  <c r="BE102" i="70"/>
  <c r="BH101" i="70"/>
  <c r="CN10" i="99"/>
  <c r="DA10" i="99" s="1"/>
  <c r="CC11" i="99"/>
  <c r="AJ12" i="95"/>
  <c r="AI13" i="95"/>
  <c r="AI58" i="95"/>
  <c r="AJ57" i="95"/>
  <c r="BI10" i="70" l="1"/>
  <c r="DC10" i="99"/>
  <c r="BH56" i="70"/>
  <c r="BE57" i="70"/>
  <c r="BE12" i="70"/>
  <c r="BH11" i="70"/>
  <c r="BK11" i="70" s="1"/>
  <c r="AI105" i="95"/>
  <c r="AJ104" i="95"/>
  <c r="CN145" i="99"/>
  <c r="CC146" i="99"/>
  <c r="BD146" i="69"/>
  <c r="BF145" i="69"/>
  <c r="BH145" i="70"/>
  <c r="BE146" i="70"/>
  <c r="BJ10" i="70"/>
  <c r="AI14" i="95"/>
  <c r="AJ13" i="95"/>
  <c r="BD12" i="69"/>
  <c r="BF11" i="69"/>
  <c r="DB11" i="99" s="1"/>
  <c r="BF56" i="69"/>
  <c r="BD57" i="69"/>
  <c r="CC12" i="99"/>
  <c r="CN11" i="99"/>
  <c r="DA11" i="99" s="1"/>
  <c r="BF12" i="70"/>
  <c r="BD103" i="69"/>
  <c r="BF102" i="69"/>
  <c r="CC57" i="99"/>
  <c r="CN56" i="99"/>
  <c r="CC103" i="99"/>
  <c r="CN102" i="99"/>
  <c r="BD192" i="69"/>
  <c r="BF191" i="69"/>
  <c r="BE192" i="70"/>
  <c r="BH191" i="70"/>
  <c r="AJ193" i="95"/>
  <c r="AI194" i="95"/>
  <c r="AJ58" i="95"/>
  <c r="AI59" i="95"/>
  <c r="BH102" i="70"/>
  <c r="BE103" i="70"/>
  <c r="CN191" i="99"/>
  <c r="CC192" i="99"/>
  <c r="AJ147" i="95"/>
  <c r="AI148" i="95"/>
  <c r="BJ11" i="70" l="1"/>
  <c r="BI11" i="70"/>
  <c r="DC11" i="99"/>
  <c r="CN57" i="99"/>
  <c r="CC58" i="99"/>
  <c r="CN146" i="99"/>
  <c r="CC147" i="99"/>
  <c r="BD193" i="69"/>
  <c r="BF192" i="69"/>
  <c r="BD104" i="69"/>
  <c r="BF103" i="69"/>
  <c r="BH146" i="70"/>
  <c r="BE147" i="70"/>
  <c r="CC193" i="99"/>
  <c r="CN192" i="99"/>
  <c r="AJ194" i="95"/>
  <c r="AI195" i="95"/>
  <c r="AJ105" i="95"/>
  <c r="AI106" i="95"/>
  <c r="BH192" i="70"/>
  <c r="BE193" i="70"/>
  <c r="AI15" i="95"/>
  <c r="AJ14" i="95"/>
  <c r="BH12" i="70"/>
  <c r="BK12" i="70" s="1"/>
  <c r="BE13" i="70"/>
  <c r="AI149" i="95"/>
  <c r="AJ148" i="95"/>
  <c r="AJ59" i="95"/>
  <c r="AI60" i="95"/>
  <c r="BF57" i="69"/>
  <c r="BD58" i="69"/>
  <c r="CC104" i="99"/>
  <c r="CN103" i="99"/>
  <c r="BF13" i="70"/>
  <c r="BF12" i="69"/>
  <c r="DB12" i="99" s="1"/>
  <c r="BD13" i="69"/>
  <c r="BH103" i="70"/>
  <c r="BE104" i="70"/>
  <c r="BD147" i="69"/>
  <c r="BF146" i="69"/>
  <c r="CN12" i="99"/>
  <c r="DA12" i="99" s="1"/>
  <c r="CC13" i="99"/>
  <c r="BE58" i="70"/>
  <c r="BH57" i="70"/>
  <c r="BJ12" i="70" l="1"/>
  <c r="BI12" i="70"/>
  <c r="DC12" i="99"/>
  <c r="BF14" i="70"/>
  <c r="BH193" i="70"/>
  <c r="BE194" i="70"/>
  <c r="AJ149" i="95"/>
  <c r="AI150" i="95"/>
  <c r="CC14" i="99"/>
  <c r="CN13" i="99"/>
  <c r="DA13" i="99" s="1"/>
  <c r="BF13" i="69"/>
  <c r="DB13" i="99" s="1"/>
  <c r="BD14" i="69"/>
  <c r="BD59" i="69"/>
  <c r="BF58" i="69"/>
  <c r="CC194" i="99"/>
  <c r="CN193" i="99"/>
  <c r="BF193" i="69"/>
  <c r="BD194" i="69"/>
  <c r="BE14" i="70"/>
  <c r="BH13" i="70"/>
  <c r="BK13" i="70" s="1"/>
  <c r="AJ106" i="95"/>
  <c r="AI107" i="95"/>
  <c r="BH147" i="70"/>
  <c r="BE148" i="70"/>
  <c r="CN147" i="99"/>
  <c r="CC148" i="99"/>
  <c r="BF147" i="69"/>
  <c r="BD148" i="69"/>
  <c r="BE59" i="70"/>
  <c r="BH58" i="70"/>
  <c r="CC105" i="99"/>
  <c r="CN104" i="99"/>
  <c r="AJ60" i="95"/>
  <c r="AI61" i="95"/>
  <c r="AJ195" i="95"/>
  <c r="AI196" i="95"/>
  <c r="CC59" i="99"/>
  <c r="CN58" i="99"/>
  <c r="BE105" i="70"/>
  <c r="BH104" i="70"/>
  <c r="AI16" i="95"/>
  <c r="AJ15" i="95"/>
  <c r="BD105" i="69"/>
  <c r="BF104" i="69"/>
  <c r="DC13" i="99" l="1"/>
  <c r="AI151" i="95"/>
  <c r="AJ150" i="95"/>
  <c r="CC106" i="99"/>
  <c r="CN105" i="99"/>
  <c r="AJ196" i="95"/>
  <c r="AI197" i="95"/>
  <c r="BH148" i="70"/>
  <c r="BE149" i="70"/>
  <c r="BE15" i="70"/>
  <c r="BH14" i="70"/>
  <c r="BK14" i="70" s="1"/>
  <c r="BF59" i="69"/>
  <c r="BD60" i="69"/>
  <c r="BF105" i="69"/>
  <c r="BD106" i="69"/>
  <c r="AI17" i="95"/>
  <c r="AJ16" i="95"/>
  <c r="BH59" i="70"/>
  <c r="BE60" i="70"/>
  <c r="BD195" i="69"/>
  <c r="BF194" i="69"/>
  <c r="BF14" i="69"/>
  <c r="DB14" i="99" s="1"/>
  <c r="BD15" i="69"/>
  <c r="BH194" i="70"/>
  <c r="BE195" i="70"/>
  <c r="CN59" i="99"/>
  <c r="CC60" i="99"/>
  <c r="AJ61" i="95"/>
  <c r="AI62" i="95"/>
  <c r="BD149" i="69"/>
  <c r="BF148" i="69"/>
  <c r="AI108" i="95"/>
  <c r="AJ107" i="95"/>
  <c r="BE106" i="70"/>
  <c r="BH105" i="70"/>
  <c r="BJ13" i="70"/>
  <c r="CC149" i="99"/>
  <c r="CN148" i="99"/>
  <c r="BI13" i="70"/>
  <c r="CC195" i="99"/>
  <c r="CN194" i="99"/>
  <c r="CC15" i="99"/>
  <c r="CN14" i="99"/>
  <c r="DA14" i="99" s="1"/>
  <c r="BF15" i="70"/>
  <c r="BJ14" i="70" l="1"/>
  <c r="DC14" i="99"/>
  <c r="BI14" i="70"/>
  <c r="BE196" i="70"/>
  <c r="BH195" i="70"/>
  <c r="AJ151" i="95"/>
  <c r="AI152" i="95"/>
  <c r="CN15" i="99"/>
  <c r="DA15" i="99" s="1"/>
  <c r="CC16" i="99"/>
  <c r="BF149" i="69"/>
  <c r="BD150" i="69"/>
  <c r="AI198" i="95"/>
  <c r="AJ197" i="95"/>
  <c r="AI109" i="95"/>
  <c r="AJ108" i="95"/>
  <c r="CC150" i="99"/>
  <c r="CN149" i="99"/>
  <c r="BD61" i="69"/>
  <c r="BF60" i="69"/>
  <c r="AJ62" i="95"/>
  <c r="AI63" i="95"/>
  <c r="BF15" i="69"/>
  <c r="DB15" i="99" s="1"/>
  <c r="BD16" i="69"/>
  <c r="BE150" i="70"/>
  <c r="BH149" i="70"/>
  <c r="CN195" i="99"/>
  <c r="CC196" i="99"/>
  <c r="BH106" i="70"/>
  <c r="BE107" i="70"/>
  <c r="AI18" i="95"/>
  <c r="AJ17" i="95"/>
  <c r="BE16" i="70"/>
  <c r="BH15" i="70"/>
  <c r="BK15" i="70" s="1"/>
  <c r="BH60" i="70"/>
  <c r="BE61" i="70"/>
  <c r="BF16" i="70"/>
  <c r="CN60" i="99"/>
  <c r="CC61" i="99"/>
  <c r="BF106" i="69"/>
  <c r="BD107" i="69"/>
  <c r="CC107" i="99"/>
  <c r="CN106" i="99"/>
  <c r="BF195" i="69"/>
  <c r="BD196" i="69"/>
  <c r="CN16" i="99" l="1"/>
  <c r="DA16" i="99" s="1"/>
  <c r="CC17" i="99"/>
  <c r="BJ15" i="70"/>
  <c r="BH16" i="70"/>
  <c r="BK16" i="70" s="1"/>
  <c r="BE17" i="70"/>
  <c r="AI110" i="95"/>
  <c r="AJ110" i="95" s="1"/>
  <c r="AJ109" i="95"/>
  <c r="DC15" i="99"/>
  <c r="BH107" i="70"/>
  <c r="BE108" i="70"/>
  <c r="CC197" i="99"/>
  <c r="CN196" i="99"/>
  <c r="CN107" i="99"/>
  <c r="CC108" i="99"/>
  <c r="BF17" i="70"/>
  <c r="AJ152" i="95"/>
  <c r="AI153" i="95"/>
  <c r="BF16" i="69"/>
  <c r="DB16" i="99" s="1"/>
  <c r="BD17" i="69"/>
  <c r="AJ63" i="95"/>
  <c r="AI64" i="95"/>
  <c r="BF107" i="69"/>
  <c r="BD108" i="69"/>
  <c r="BH61" i="70"/>
  <c r="BE62" i="70"/>
  <c r="AJ18" i="95"/>
  <c r="AI19" i="95"/>
  <c r="BH150" i="70"/>
  <c r="BE151" i="70"/>
  <c r="BF61" i="69"/>
  <c r="BD62" i="69"/>
  <c r="AJ198" i="95"/>
  <c r="AI199" i="95"/>
  <c r="BD151" i="69"/>
  <c r="BF150" i="69"/>
  <c r="BD197" i="69"/>
  <c r="BF196" i="69"/>
  <c r="CC62" i="99"/>
  <c r="CN61" i="99"/>
  <c r="BI15" i="70"/>
  <c r="CN150" i="99"/>
  <c r="CC151" i="99"/>
  <c r="BH196" i="70"/>
  <c r="BE197" i="70"/>
  <c r="BI16" i="70" l="1"/>
  <c r="BJ16" i="70"/>
  <c r="CC152" i="99"/>
  <c r="CN151" i="99"/>
  <c r="BF197" i="69"/>
  <c r="BD198" i="69"/>
  <c r="CN197" i="99"/>
  <c r="CC198" i="99"/>
  <c r="AJ199" i="95"/>
  <c r="AI200" i="95"/>
  <c r="AJ200" i="95" s="1"/>
  <c r="AJ19" i="95"/>
  <c r="AI20" i="95"/>
  <c r="AJ20" i="95" s="1"/>
  <c r="AI65" i="95"/>
  <c r="AJ65" i="95" s="1"/>
  <c r="AJ64" i="95"/>
  <c r="BH108" i="70"/>
  <c r="BE109" i="70"/>
  <c r="BH109" i="70" s="1"/>
  <c r="BH17" i="70"/>
  <c r="BK17" i="70" s="1"/>
  <c r="BE18" i="70"/>
  <c r="BD152" i="69"/>
  <c r="BF151" i="69"/>
  <c r="BE198" i="70"/>
  <c r="BH197" i="70"/>
  <c r="CC63" i="99"/>
  <c r="CN62" i="99"/>
  <c r="BF18" i="70"/>
  <c r="BF62" i="69"/>
  <c r="BD63" i="69"/>
  <c r="BH62" i="70"/>
  <c r="BE63" i="70"/>
  <c r="BF17" i="69"/>
  <c r="DB17" i="99" s="1"/>
  <c r="BD18" i="69"/>
  <c r="CC109" i="99"/>
  <c r="CN109" i="99" s="1"/>
  <c r="CN108" i="99"/>
  <c r="CC18" i="99"/>
  <c r="CN17" i="99"/>
  <c r="DA17" i="99" s="1"/>
  <c r="BE152" i="70"/>
  <c r="BH151" i="70"/>
  <c r="BF108" i="69"/>
  <c r="BD109" i="69"/>
  <c r="BF109" i="69" s="1"/>
  <c r="AJ153" i="95"/>
  <c r="AI154" i="95"/>
  <c r="DC16" i="99"/>
  <c r="BI17" i="70" l="1"/>
  <c r="BJ17" i="70"/>
  <c r="DC17" i="99"/>
  <c r="CN198" i="99"/>
  <c r="CC199" i="99"/>
  <c r="CN199" i="99" s="1"/>
  <c r="AJ154" i="95"/>
  <c r="AI155" i="95"/>
  <c r="AJ155" i="95" s="1"/>
  <c r="BE64" i="70"/>
  <c r="BH64" i="70" s="1"/>
  <c r="BH63" i="70"/>
  <c r="BF19" i="70"/>
  <c r="CC19" i="99"/>
  <c r="CN19" i="99" s="1"/>
  <c r="DA19" i="99" s="1"/>
  <c r="CN18" i="99"/>
  <c r="DA18" i="99" s="1"/>
  <c r="CN63" i="99"/>
  <c r="CC64" i="99"/>
  <c r="CN64" i="99" s="1"/>
  <c r="BE19" i="70"/>
  <c r="BH18" i="70"/>
  <c r="BK18" i="70" s="1"/>
  <c r="BF198" i="69"/>
  <c r="BD199" i="69"/>
  <c r="BF199" i="69" s="1"/>
  <c r="BE153" i="70"/>
  <c r="BH152" i="70"/>
  <c r="BD153" i="69"/>
  <c r="BF152" i="69"/>
  <c r="BD64" i="69"/>
  <c r="BF64" i="69" s="1"/>
  <c r="BF63" i="69"/>
  <c r="BE199" i="70"/>
  <c r="BH199" i="70" s="1"/>
  <c r="BH198" i="70"/>
  <c r="BF18" i="69"/>
  <c r="DB18" i="99" s="1"/>
  <c r="BD19" i="69"/>
  <c r="BF19" i="69" s="1"/>
  <c r="DB19" i="99" s="1"/>
  <c r="CC153" i="99"/>
  <c r="CN152" i="99"/>
  <c r="CC154" i="99" l="1"/>
  <c r="CN154" i="99" s="1"/>
  <c r="CN153" i="99"/>
  <c r="DC18" i="99"/>
  <c r="BE154" i="70"/>
  <c r="BH154" i="70" s="1"/>
  <c r="BH153" i="70"/>
  <c r="BI18" i="70"/>
  <c r="DC19" i="99"/>
  <c r="BD154" i="69"/>
  <c r="BF154" i="69" s="1"/>
  <c r="BF153" i="69"/>
  <c r="BJ18" i="70"/>
  <c r="BH19" i="70"/>
  <c r="BK19" i="70" s="1"/>
  <c r="BI19" i="70" l="1"/>
  <c r="BJ19" i="70"/>
  <c r="E27" i="70" l="1"/>
  <c r="E31" i="70"/>
  <c r="E20" i="70"/>
  <c r="E10" i="70"/>
  <c r="E9" i="70"/>
  <c r="E22" i="70"/>
  <c r="E17" i="70"/>
  <c r="E8" i="70"/>
  <c r="E21" i="70"/>
  <c r="E14" i="70"/>
  <c r="E23" i="70"/>
  <c r="E6" i="70"/>
  <c r="E13" i="70"/>
  <c r="E25" i="70"/>
  <c r="E32" i="70"/>
  <c r="E19" i="70"/>
  <c r="E7" i="70"/>
  <c r="E5" i="70"/>
  <c r="E28" i="70"/>
  <c r="E16" i="70"/>
  <c r="E12" i="70"/>
  <c r="E15" i="70"/>
  <c r="E24" i="70"/>
  <c r="E29" i="70"/>
  <c r="E18" i="70"/>
  <c r="E26" i="70"/>
  <c r="E11" i="70"/>
  <c r="E30" i="70"/>
  <c r="E37" i="70" l="1"/>
  <c r="E33" i="70"/>
  <c r="E35" i="70"/>
  <c r="E38" i="70"/>
  <c r="E36" i="70"/>
  <c r="E34" i="70"/>
  <c r="E42" i="70" l="1"/>
  <c r="E43" i="70"/>
  <c r="E39" i="70"/>
  <c r="E41" i="70"/>
  <c r="E40" i="70"/>
  <c r="E45" i="70" l="1"/>
  <c r="E47" i="70"/>
  <c r="E44" i="70"/>
  <c r="E46" i="70"/>
  <c r="E52" i="70" l="1"/>
  <c r="E51" i="70"/>
  <c r="E49" i="70"/>
  <c r="E50" i="70"/>
  <c r="E48" i="70"/>
  <c r="E53" i="70"/>
  <c r="E54" i="70" l="1"/>
  <c r="E56" i="70"/>
  <c r="E57" i="70"/>
  <c r="E55" i="70"/>
  <c r="E61" i="70" l="1"/>
  <c r="E59" i="70"/>
  <c r="E62" i="70"/>
  <c r="E60" i="70"/>
  <c r="E63" i="70"/>
  <c r="E58" i="70"/>
  <c r="E68" i="70" l="1"/>
  <c r="E69" i="70"/>
  <c r="E67" i="70"/>
  <c r="E64" i="70"/>
  <c r="E66" i="70"/>
  <c r="E65" i="70"/>
  <c r="E72" i="70" l="1"/>
  <c r="E71" i="70"/>
  <c r="E70" i="70"/>
  <c r="E73" i="70"/>
  <c r="E75" i="70" l="1"/>
  <c r="E74" i="70"/>
  <c r="E76" i="70"/>
  <c r="E77" i="70" l="1"/>
  <c r="E78" i="70"/>
  <c r="E81" i="70" l="1"/>
  <c r="E79" i="70"/>
  <c r="E80" i="70"/>
  <c r="E84" i="70" l="1"/>
  <c r="E82" i="70"/>
  <c r="E83" i="70"/>
  <c r="E86" i="70" l="1"/>
  <c r="E85" i="70"/>
  <c r="E87" i="70" l="1"/>
  <c r="E88" i="70"/>
  <c r="E90" i="70" l="1"/>
  <c r="E89" i="70"/>
  <c r="E91" i="70" l="1"/>
  <c r="E94" i="70"/>
  <c r="E92" i="70"/>
  <c r="E93" i="70"/>
  <c r="E96" i="70" l="1"/>
  <c r="E95" i="70"/>
  <c r="E97" i="70"/>
  <c r="E99" i="70" l="1"/>
  <c r="E98" i="70"/>
  <c r="E100" i="70"/>
  <c r="E101" i="70" l="1"/>
  <c r="E104" i="70"/>
  <c r="E103" i="70"/>
  <c r="E102" i="70"/>
  <c r="E105" i="70" l="1"/>
  <c r="E106" i="70"/>
  <c r="E108" i="70"/>
  <c r="E107" i="70"/>
  <c r="E110" i="70" l="1"/>
  <c r="E111" i="70"/>
  <c r="E109" i="70"/>
  <c r="E113" i="70" l="1"/>
  <c r="E112" i="70"/>
  <c r="E114" i="70"/>
  <c r="E115" i="70"/>
  <c r="E118" i="70" l="1"/>
  <c r="E117" i="70"/>
  <c r="E116" i="70"/>
  <c r="E119" i="70" l="1"/>
  <c r="E120" i="70"/>
  <c r="E121" i="70"/>
  <c r="E122" i="70"/>
  <c r="E124" i="70" l="1"/>
  <c r="E125" i="70"/>
  <c r="E123" i="70"/>
  <c r="E127" i="70" l="1"/>
  <c r="E129" i="70"/>
  <c r="E126" i="70"/>
  <c r="E128" i="70"/>
  <c r="E132" i="70" l="1"/>
  <c r="E131" i="70"/>
  <c r="E130" i="70"/>
  <c r="E136" i="70" l="1"/>
  <c r="E135" i="70"/>
  <c r="E134" i="70"/>
  <c r="E133" i="70"/>
  <c r="E154" i="70" l="1"/>
  <c r="E141" i="70" l="1"/>
  <c r="E148" i="70"/>
  <c r="E137" i="70"/>
  <c r="E150" i="70"/>
  <c r="E152" i="70"/>
  <c r="E146" i="70"/>
  <c r="E139" i="70"/>
  <c r="E153" i="70"/>
  <c r="E149" i="70"/>
  <c r="E145" i="70"/>
  <c r="E151" i="70"/>
  <c r="E138" i="70"/>
  <c r="E144" i="70"/>
  <c r="E143" i="70"/>
  <c r="E142" i="70"/>
  <c r="E147" i="70"/>
  <c r="E140" i="7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  <author>admin</author>
  </authors>
  <commentList>
    <comment ref="B3" authorId="0" shapeId="0" xr:uid="{00000000-0006-0000-0200-000001000000}">
      <text>
        <r>
          <rPr>
            <b/>
            <sz val="9"/>
            <color indexed="81"/>
            <rFont val="宋体"/>
            <family val="3"/>
            <charset val="134"/>
          </rPr>
          <t>单个获取</t>
        </r>
      </text>
    </comment>
    <comment ref="B4" authorId="0" shapeId="0" xr:uid="{00000000-0006-0000-0200-000002000000}">
      <text>
        <r>
          <rPr>
            <sz val="9"/>
            <color indexed="81"/>
            <rFont val="宋体"/>
            <family val="3"/>
            <charset val="134"/>
          </rPr>
          <t xml:space="preserve">整体升星
</t>
        </r>
      </text>
    </comment>
    <comment ref="Z15" authorId="1" shapeId="0" xr:uid="{00000000-0006-0000-0200-000003000000}">
      <text>
        <r>
          <rPr>
            <b/>
            <sz val="9"/>
            <color indexed="81"/>
            <rFont val="宋体"/>
            <family val="3"/>
            <charset val="134"/>
          </rPr>
          <t>可以是小数</t>
        </r>
      </text>
    </comment>
    <comment ref="N17" authorId="1" shapeId="0" xr:uid="{00000000-0006-0000-0200-000004000000}">
      <text>
        <r>
          <rPr>
            <b/>
            <sz val="9"/>
            <color indexed="81"/>
            <rFont val="宋体"/>
            <family val="3"/>
            <charset val="134"/>
          </rPr>
          <t xml:space="preserve">橙卡引入许愿获得
</t>
        </r>
      </text>
    </comment>
    <comment ref="Z60" authorId="1" shapeId="0" xr:uid="{00000000-0006-0000-0200-000005000000}">
      <text>
        <r>
          <rPr>
            <b/>
            <sz val="9"/>
            <color indexed="81"/>
            <rFont val="宋体"/>
            <family val="3"/>
            <charset val="134"/>
          </rPr>
          <t>可以是小数</t>
        </r>
      </text>
    </comment>
    <comment ref="N62" authorId="1" shapeId="0" xr:uid="{00000000-0006-0000-0200-000006000000}">
      <text>
        <r>
          <rPr>
            <b/>
            <sz val="9"/>
            <color indexed="81"/>
            <rFont val="宋体"/>
            <family val="3"/>
            <charset val="134"/>
          </rPr>
          <t xml:space="preserve">橙卡引入许愿获得
</t>
        </r>
      </text>
    </comment>
    <comment ref="Z105" authorId="1" shapeId="0" xr:uid="{00000000-0006-0000-0200-000007000000}">
      <text>
        <r>
          <rPr>
            <b/>
            <sz val="9"/>
            <color indexed="81"/>
            <rFont val="宋体"/>
            <family val="3"/>
            <charset val="134"/>
          </rPr>
          <t>可以是小数</t>
        </r>
      </text>
    </comment>
    <comment ref="N107" authorId="1" shapeId="0" xr:uid="{00000000-0006-0000-0200-000008000000}">
      <text>
        <r>
          <rPr>
            <b/>
            <sz val="9"/>
            <color indexed="81"/>
            <rFont val="宋体"/>
            <family val="3"/>
            <charset val="134"/>
          </rPr>
          <t xml:space="preserve">橙卡引入许愿获得
</t>
        </r>
      </text>
    </comment>
    <comment ref="Z150" authorId="1" shapeId="0" xr:uid="{00000000-0006-0000-0200-000009000000}">
      <text>
        <r>
          <rPr>
            <b/>
            <sz val="9"/>
            <color indexed="81"/>
            <rFont val="宋体"/>
            <family val="3"/>
            <charset val="134"/>
          </rPr>
          <t>可以是小数</t>
        </r>
      </text>
    </comment>
    <comment ref="N152" authorId="1" shapeId="0" xr:uid="{00000000-0006-0000-0200-00000A000000}">
      <text>
        <r>
          <rPr>
            <b/>
            <sz val="9"/>
            <color indexed="81"/>
            <rFont val="宋体"/>
            <family val="3"/>
            <charset val="134"/>
          </rPr>
          <t xml:space="preserve">橙卡引入许愿获得
</t>
        </r>
      </text>
    </comment>
    <comment ref="Z195" authorId="1" shapeId="0" xr:uid="{00000000-0006-0000-0200-00000B000000}">
      <text>
        <r>
          <rPr>
            <b/>
            <sz val="9"/>
            <color indexed="81"/>
            <rFont val="宋体"/>
            <family val="3"/>
            <charset val="134"/>
          </rPr>
          <t>可以是小数</t>
        </r>
      </text>
    </comment>
    <comment ref="N197" authorId="1" shapeId="0" xr:uid="{00000000-0006-0000-0200-00000C000000}">
      <text>
        <r>
          <rPr>
            <b/>
            <sz val="9"/>
            <color indexed="81"/>
            <rFont val="宋体"/>
            <family val="3"/>
            <charset val="134"/>
          </rPr>
          <t xml:space="preserve">橙卡引入许愿获得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  <author>admin</author>
  </authors>
  <commentList>
    <comment ref="B3" authorId="0" shapeId="0" xr:uid="{00000000-0006-0000-0300-000001000000}">
      <text>
        <r>
          <rPr>
            <b/>
            <sz val="9"/>
            <color indexed="81"/>
            <rFont val="宋体"/>
            <family val="3"/>
            <charset val="134"/>
          </rPr>
          <t>单个获取</t>
        </r>
      </text>
    </comment>
    <comment ref="B4" authorId="0" shapeId="0" xr:uid="{00000000-0006-0000-0300-000002000000}">
      <text>
        <r>
          <rPr>
            <sz val="9"/>
            <color indexed="81"/>
            <rFont val="宋体"/>
            <family val="3"/>
            <charset val="134"/>
          </rPr>
          <t xml:space="preserve">整体升星
</t>
        </r>
      </text>
    </comment>
    <comment ref="Z15" authorId="1" shapeId="0" xr:uid="{00000000-0006-0000-0300-000003000000}">
      <text>
        <r>
          <rPr>
            <b/>
            <sz val="9"/>
            <color indexed="81"/>
            <rFont val="宋体"/>
            <family val="3"/>
            <charset val="134"/>
          </rPr>
          <t>可以是小数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  <author>admin</author>
  </authors>
  <commentList>
    <comment ref="AF2" authorId="0" shapeId="0" xr:uid="{00000000-0006-0000-0400-000001000000}">
      <text>
        <r>
          <rPr>
            <b/>
            <sz val="9"/>
            <color indexed="81"/>
            <rFont val="宋体"/>
            <family val="3"/>
            <charset val="134"/>
          </rPr>
          <t>指每种三维属性单独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F47" authorId="0" shapeId="0" xr:uid="{00000000-0006-0000-0400-000002000000}">
      <text>
        <r>
          <rPr>
            <b/>
            <sz val="9"/>
            <color indexed="81"/>
            <rFont val="宋体"/>
            <family val="3"/>
            <charset val="134"/>
          </rPr>
          <t>指每种三维属性单独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B57" authorId="0" shapeId="0" xr:uid="{00000000-0006-0000-0400-000003000000}">
      <text>
        <r>
          <rPr>
            <b/>
            <sz val="9"/>
            <color indexed="81"/>
            <rFont val="宋体"/>
            <family val="3"/>
            <charset val="134"/>
          </rPr>
          <t>指每种三维属性单独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B59" authorId="0" shapeId="0" xr:uid="{00000000-0006-0000-0400-000004000000}">
      <text>
        <r>
          <rPr>
            <b/>
            <sz val="9"/>
            <color indexed="81"/>
            <rFont val="宋体"/>
            <family val="3"/>
            <charset val="134"/>
          </rPr>
          <t>这里指每样属性都成长</t>
        </r>
      </text>
    </comment>
    <comment ref="B67" authorId="1" shapeId="0" xr:uid="{00000000-0006-0000-0400-000005000000}">
      <text>
        <r>
          <rPr>
            <b/>
            <sz val="9"/>
            <color indexed="81"/>
            <rFont val="宋体"/>
            <family val="3"/>
            <charset val="134"/>
          </rPr>
          <t>包括角色升级额外解锁的技能</t>
        </r>
      </text>
    </comment>
    <comment ref="AF92" authorId="0" shapeId="0" xr:uid="{00000000-0006-0000-0400-000006000000}">
      <text>
        <r>
          <rPr>
            <b/>
            <sz val="9"/>
            <color indexed="81"/>
            <rFont val="宋体"/>
            <family val="3"/>
            <charset val="134"/>
          </rPr>
          <t>指每种三维属性单独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F137" authorId="0" shapeId="0" xr:uid="{00000000-0006-0000-0400-000007000000}">
      <text>
        <r>
          <rPr>
            <b/>
            <sz val="9"/>
            <color indexed="81"/>
            <rFont val="宋体"/>
            <family val="3"/>
            <charset val="134"/>
          </rPr>
          <t>指每种三维属性单独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F182" authorId="0" shapeId="0" xr:uid="{00000000-0006-0000-0400-000008000000}">
      <text>
        <r>
          <rPr>
            <b/>
            <sz val="9"/>
            <color indexed="81"/>
            <rFont val="宋体"/>
            <family val="3"/>
            <charset val="134"/>
          </rPr>
          <t>指每种三维属性单独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泠月</author>
  </authors>
  <commentList>
    <comment ref="A4" authorId="0" shapeId="0" xr:uid="{00000000-0006-0000-0700-000001000000}">
      <text>
        <r>
          <rPr>
            <b/>
            <sz val="9"/>
            <color indexed="81"/>
            <rFont val="宋体"/>
            <family val="3"/>
            <charset val="134"/>
          </rPr>
          <t>初始1级</t>
        </r>
      </text>
    </comment>
    <comment ref="AA8" authorId="1" shapeId="0" xr:uid="{00000000-0006-0000-0700-000002000000}">
      <text>
        <r>
          <rPr>
            <sz val="9"/>
            <color indexed="81"/>
            <rFont val="宋体"/>
            <family val="3"/>
            <charset val="134"/>
          </rPr>
          <t>这里计算全部需求时，由于橙+武将的获取时已有一定其他武将基础，故升级需求武将数量默认和其他武将一致。不按照实际计算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泠月</author>
  </authors>
  <commentList>
    <comment ref="A4" authorId="0" shapeId="0" xr:uid="{00000000-0006-0000-0800-000001000000}">
      <text>
        <r>
          <rPr>
            <b/>
            <sz val="9"/>
            <color indexed="81"/>
            <rFont val="宋体"/>
            <family val="3"/>
            <charset val="134"/>
          </rPr>
          <t>初始1级</t>
        </r>
      </text>
    </comment>
    <comment ref="AA8" authorId="1" shapeId="0" xr:uid="{00000000-0006-0000-0800-000002000000}">
      <text>
        <r>
          <rPr>
            <sz val="9"/>
            <color indexed="81"/>
            <rFont val="宋体"/>
            <family val="3"/>
            <charset val="134"/>
          </rPr>
          <t>这里计算全部需求时，由于橙+武将的获取时已有一定其他武将基础，故升级需求武将数量默认和其他武将一致。不按照实际计算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Q6" authorId="0" shapeId="0" xr:uid="{00000000-0006-0000-0900-000001000000}">
      <text>
        <r>
          <rPr>
            <b/>
            <sz val="9"/>
            <color indexed="81"/>
            <rFont val="宋体"/>
            <family val="3"/>
            <charset val="134"/>
          </rPr>
          <t>全部折算为三围+4</t>
        </r>
      </text>
    </comment>
    <comment ref="AN13" authorId="0" shapeId="0" xr:uid="{00000000-0006-0000-0900-000002000000}">
      <text>
        <r>
          <rPr>
            <b/>
            <sz val="9"/>
            <color indexed="81"/>
            <rFont val="宋体"/>
            <family val="3"/>
            <charset val="134"/>
          </rPr>
          <t>折算为全队伤害/免伤加成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abc123</author>
    <author>admin</author>
  </authors>
  <commentList>
    <comment ref="AQ3" authorId="0" shapeId="0" xr:uid="{00000000-0006-0000-0A00-000001000000}">
      <text>
        <r>
          <rPr>
            <b/>
            <sz val="9"/>
            <color indexed="81"/>
            <rFont val="宋体"/>
            <family val="3"/>
            <charset val="134"/>
          </rPr>
          <t>升星那里已经计算了，多余的卡给进阶</t>
        </r>
      </text>
    </comment>
    <comment ref="H12" authorId="0" shapeId="0" xr:uid="{00000000-0006-0000-0A00-000002000000}">
      <text>
        <r>
          <rPr>
            <b/>
            <sz val="9"/>
            <color indexed="81"/>
            <rFont val="宋体"/>
            <family val="3"/>
            <charset val="134"/>
          </rPr>
          <t>主卡消耗，累计消耗那边降级处理</t>
        </r>
      </text>
    </comment>
    <comment ref="I12" authorId="1" shapeId="0" xr:uid="{00000000-0006-0000-0A00-000003000000}">
      <text>
        <r>
          <rPr>
            <b/>
            <sz val="9"/>
            <color indexed="81"/>
            <rFont val="宋体"/>
            <family val="3"/>
            <charset val="134"/>
          </rPr>
          <t>140武将升阶消耗120武将卡</t>
        </r>
      </text>
    </comment>
    <comment ref="H30" authorId="0" shapeId="0" xr:uid="{00000000-0006-0000-0A00-000004000000}">
      <text>
        <r>
          <rPr>
            <b/>
            <sz val="9"/>
            <color indexed="81"/>
            <rFont val="宋体"/>
            <family val="3"/>
            <charset val="134"/>
          </rPr>
          <t>主卡消耗，累计消耗那边降级处理</t>
        </r>
      </text>
    </comment>
    <comment ref="I30" authorId="1" shapeId="0" xr:uid="{00000000-0006-0000-0A00-000005000000}">
      <text>
        <r>
          <rPr>
            <b/>
            <sz val="9"/>
            <color indexed="81"/>
            <rFont val="宋体"/>
            <family val="3"/>
            <charset val="134"/>
          </rPr>
          <t>140武将升阶消耗120武将卡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abc123</author>
  </authors>
  <commentList>
    <comment ref="Y3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算任意卡，不用算同名，直接铺开算</t>
        </r>
      </text>
    </comment>
    <comment ref="BS3" authorId="0" shapeId="0" xr:uid="{00000000-0006-0000-0B00-000002000000}">
      <text>
        <r>
          <rPr>
            <b/>
            <sz val="9"/>
            <color indexed="81"/>
            <rFont val="宋体"/>
            <family val="3"/>
            <charset val="134"/>
          </rPr>
          <t>升星那里已经计算了，多余的卡给进阶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R3" authorId="0" shapeId="0" xr:uid="{52104D53-6DE5-481F-9F96-17268199A9DF}">
      <text>
        <r>
          <rPr>
            <b/>
            <sz val="9"/>
            <color indexed="81"/>
            <rFont val="宋体"/>
            <family val="3"/>
            <charset val="134"/>
          </rPr>
          <t>均值，与升星算法保持一致</t>
        </r>
      </text>
    </comment>
    <comment ref="BC5" authorId="0" shapeId="0" xr:uid="{18C46782-098C-4389-9B32-6D97E912FE00}">
      <text>
        <r>
          <rPr>
            <b/>
            <sz val="9"/>
            <color indexed="81"/>
            <rFont val="宋体"/>
            <family val="3"/>
            <charset val="134"/>
          </rPr>
          <t>程序品质和资质关系原因，只能和橙将相同</t>
        </r>
      </text>
    </comment>
    <comment ref="AC29" authorId="0" shapeId="0" xr:uid="{B3D8273D-A34D-4C72-9B9F-A04602826318}">
      <text>
        <r>
          <rPr>
            <b/>
            <sz val="9"/>
            <color indexed="81"/>
            <rFont val="宋体"/>
            <family val="3"/>
            <charset val="134"/>
          </rPr>
          <t>1、包含武将升星
2、单个武将</t>
        </r>
      </text>
    </comment>
    <comment ref="BR48" authorId="0" shapeId="0" xr:uid="{29DBC9C7-5A02-4730-ADA1-609F6C77A75B}">
      <text>
        <r>
          <rPr>
            <b/>
            <sz val="9"/>
            <color indexed="81"/>
            <rFont val="宋体"/>
            <family val="3"/>
            <charset val="134"/>
          </rPr>
          <t>均值，与升星算法保持一致</t>
        </r>
      </text>
    </comment>
    <comment ref="BR93" authorId="0" shapeId="0" xr:uid="{DAB8452D-04B2-4128-AE14-4E9CB979DAF1}">
      <text>
        <r>
          <rPr>
            <b/>
            <sz val="9"/>
            <color indexed="81"/>
            <rFont val="宋体"/>
            <family val="3"/>
            <charset val="134"/>
          </rPr>
          <t>均值，与升星算法保持一致</t>
        </r>
      </text>
    </comment>
    <comment ref="BR138" authorId="0" shapeId="0" xr:uid="{F8168739-BA55-44DA-81D8-C314BD75A81A}">
      <text>
        <r>
          <rPr>
            <b/>
            <sz val="9"/>
            <color indexed="81"/>
            <rFont val="宋体"/>
            <family val="3"/>
            <charset val="134"/>
          </rPr>
          <t>均值，与升星算法保持一致</t>
        </r>
      </text>
    </comment>
    <comment ref="BR183" authorId="0" shapeId="0" xr:uid="{48AA8E50-020A-433F-A5F2-1F44A31E1DB9}">
      <text>
        <r>
          <rPr>
            <b/>
            <sz val="9"/>
            <color indexed="81"/>
            <rFont val="宋体"/>
            <family val="3"/>
            <charset val="134"/>
          </rPr>
          <t>均值，与升星算法保持一致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</authors>
  <commentList>
    <comment ref="G2" authorId="0" shapeId="0" xr:uid="{00000000-0006-0000-0E00-000001000000}">
      <text>
        <r>
          <rPr>
            <b/>
            <sz val="9"/>
            <color indexed="81"/>
            <rFont val="宋体"/>
            <family val="3"/>
            <charset val="134"/>
          </rPr>
          <t>指每种三维属性单独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D2" authorId="0" shapeId="0" xr:uid="{AB6CB450-4BC5-4BEC-9865-C7179505E1A4}">
      <text>
        <r>
          <rPr>
            <b/>
            <sz val="9"/>
            <color indexed="81"/>
            <rFont val="宋体"/>
            <family val="3"/>
            <charset val="134"/>
          </rPr>
          <t>zy:</t>
        </r>
        <r>
          <rPr>
            <sz val="9"/>
            <color indexed="81"/>
            <rFont val="宋体"/>
            <family val="3"/>
            <charset val="134"/>
          </rPr>
          <t xml:space="preserve">
日韩版本改为武将经验</t>
        </r>
      </text>
    </comment>
    <comment ref="D3" authorId="0" shapeId="0" xr:uid="{00000000-0006-0000-1300-000002000000}">
      <text>
        <r>
          <rPr>
            <b/>
            <sz val="9"/>
            <color indexed="81"/>
            <rFont val="宋体"/>
            <family val="3"/>
            <charset val="134"/>
          </rPr>
          <t>考虑到将星等返利</t>
        </r>
      </text>
    </comment>
    <comment ref="BJ5" authorId="0" shapeId="0" xr:uid="{00000000-0006-0000-1300-000003000000}">
      <text>
        <r>
          <rPr>
            <b/>
            <sz val="9"/>
            <color indexed="81"/>
            <rFont val="宋体"/>
            <family val="3"/>
            <charset val="134"/>
          </rPr>
          <t>调整常规每日产出，保证当前节奏与进阶消耗持平</t>
        </r>
      </text>
    </comment>
    <comment ref="BN6" authorId="0" shapeId="0" xr:uid="{00000000-0006-0000-1300-000004000000}">
      <text>
        <r>
          <rPr>
            <b/>
            <sz val="9"/>
            <color indexed="81"/>
            <rFont val="宋体"/>
            <family val="3"/>
            <charset val="134"/>
          </rPr>
          <t>许愿功能附加后，产出的橙中定向的数量</t>
        </r>
      </text>
    </comment>
    <comment ref="BS6" authorId="0" shapeId="0" xr:uid="{00000000-0006-0000-1300-000005000000}">
      <text>
        <r>
          <rPr>
            <b/>
            <sz val="9"/>
            <color indexed="81"/>
            <rFont val="宋体"/>
            <family val="3"/>
            <charset val="134"/>
          </rPr>
          <t>1/3次数出现第一个，2/3次数出现第二个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D44" authorId="0" shapeId="0" xr:uid="{F3422480-D2B1-4563-8C77-6926573C0F5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0.02概率抽0.5橙</t>
        </r>
      </text>
    </comment>
    <comment ref="B45" authorId="0" shapeId="0" xr:uid="{00000000-0006-0000-1300-000006000000}">
      <text>
        <r>
          <rPr>
            <b/>
            <sz val="9"/>
            <color indexed="81"/>
            <rFont val="宋体"/>
            <family val="3"/>
            <charset val="134"/>
          </rPr>
          <t>主要出紫，且受到限制，故价格调整系数0.7</t>
        </r>
      </text>
    </comment>
    <comment ref="C48" authorId="0" shapeId="0" xr:uid="{00000000-0006-0000-1300-000007000000}">
      <text>
        <r>
          <rPr>
            <b/>
            <sz val="9"/>
            <color indexed="81"/>
            <rFont val="宋体"/>
            <family val="3"/>
            <charset val="134"/>
          </rPr>
          <t>出现橙后出现定向的概率</t>
        </r>
      </text>
    </comment>
    <comment ref="BN51" authorId="0" shapeId="0" xr:uid="{00000000-0006-0000-1300-000008000000}">
      <text>
        <r>
          <rPr>
            <b/>
            <sz val="9"/>
            <color indexed="81"/>
            <rFont val="宋体"/>
            <family val="3"/>
            <charset val="134"/>
          </rPr>
          <t>许愿功能附加后，产出的橙中定向的数量</t>
        </r>
      </text>
    </comment>
    <comment ref="BN96" authorId="0" shapeId="0" xr:uid="{00000000-0006-0000-1300-000009000000}">
      <text>
        <r>
          <rPr>
            <b/>
            <sz val="9"/>
            <color indexed="81"/>
            <rFont val="宋体"/>
            <family val="3"/>
            <charset val="134"/>
          </rPr>
          <t>许愿功能附加后，产出的橙中定向的数量</t>
        </r>
      </text>
    </comment>
    <comment ref="BN141" authorId="0" shapeId="0" xr:uid="{00000000-0006-0000-1300-00000A000000}">
      <text>
        <r>
          <rPr>
            <b/>
            <sz val="9"/>
            <color indexed="81"/>
            <rFont val="宋体"/>
            <family val="3"/>
            <charset val="134"/>
          </rPr>
          <t>许愿功能附加后，产出的橙中定向的数量</t>
        </r>
      </text>
    </comment>
    <comment ref="BN186" authorId="0" shapeId="0" xr:uid="{00000000-0006-0000-1300-00000B000000}">
      <text>
        <r>
          <rPr>
            <b/>
            <sz val="9"/>
            <color indexed="81"/>
            <rFont val="宋体"/>
            <family val="3"/>
            <charset val="134"/>
          </rPr>
          <t>许愿功能附加后，产出的橙中定向的数量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L3" authorId="0" shapeId="0" xr:uid="{00000000-0006-0000-1400-000001000000}">
      <text>
        <r>
          <rPr>
            <b/>
            <sz val="9"/>
            <color indexed="81"/>
            <rFont val="宋体"/>
            <family val="3"/>
            <charset val="134"/>
          </rPr>
          <t xml:space="preserve">每次额外30钻价值的武将经验
</t>
        </r>
      </text>
    </comment>
    <comment ref="V3" authorId="0" shapeId="0" xr:uid="{00000000-0006-0000-1400-000002000000}">
      <text>
        <r>
          <rPr>
            <b/>
            <sz val="9"/>
            <color indexed="81"/>
            <rFont val="宋体"/>
            <family val="3"/>
            <charset val="134"/>
          </rPr>
          <t>出现橙后出现定向的概率</t>
        </r>
      </text>
    </comment>
    <comment ref="N4" authorId="0" shapeId="0" xr:uid="{00000000-0006-0000-1400-000003000000}">
      <text>
        <r>
          <rPr>
            <b/>
            <sz val="9"/>
            <color indexed="81"/>
            <rFont val="宋体"/>
            <family val="3"/>
            <charset val="134"/>
          </rPr>
          <t>考虑到将星等返利</t>
        </r>
      </text>
    </comment>
    <comment ref="AA5" authorId="0" shapeId="0" xr:uid="{00000000-0006-0000-1400-000004000000}">
      <text>
        <r>
          <rPr>
            <b/>
            <sz val="9"/>
            <color indexed="81"/>
            <rFont val="宋体"/>
            <family val="3"/>
            <charset val="134"/>
          </rPr>
          <t>主要出紫，且受到限制，故价格调整系数0.7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N4" authorId="0" shapeId="0" xr:uid="{C4826D55-41F5-4E70-963C-A6DA7A292A5F}">
      <text>
        <r>
          <rPr>
            <b/>
            <sz val="9"/>
            <color indexed="81"/>
            <rFont val="宋体"/>
            <family val="3"/>
            <charset val="134"/>
          </rPr>
          <t>140武将价值提高2倍</t>
        </r>
      </text>
    </comment>
    <comment ref="F8" authorId="0" shapeId="0" xr:uid="{F40B2CD3-E5DF-45BF-A93D-141615E6B18A}">
      <text>
        <r>
          <rPr>
            <b/>
            <sz val="9"/>
            <color indexed="81"/>
            <rFont val="宋体"/>
            <family val="3"/>
            <charset val="134"/>
          </rPr>
          <t>越南130在标准130基础上价值提高1.8倍</t>
        </r>
      </text>
    </comment>
  </commentList>
</comments>
</file>

<file path=xl/sharedStrings.xml><?xml version="1.0" encoding="utf-8"?>
<sst xmlns="http://schemas.openxmlformats.org/spreadsheetml/2006/main" count="5161" uniqueCount="868">
  <si>
    <t>橙</t>
    <phoneticPr fontId="1" type="noConversion"/>
  </si>
  <si>
    <t>蓝</t>
    <phoneticPr fontId="1" type="noConversion"/>
  </si>
  <si>
    <t>紫</t>
    <phoneticPr fontId="1" type="noConversion"/>
  </si>
  <si>
    <t>绿</t>
    <phoneticPr fontId="1" type="noConversion"/>
  </si>
  <si>
    <t>升阶次数</t>
    <phoneticPr fontId="1" type="noConversion"/>
  </si>
  <si>
    <t>消耗数量</t>
    <phoneticPr fontId="1" type="noConversion"/>
  </si>
  <si>
    <t>总消耗数量</t>
    <phoneticPr fontId="1" type="noConversion"/>
  </si>
  <si>
    <t>升星次数</t>
    <phoneticPr fontId="1" type="noConversion"/>
  </si>
  <si>
    <t>1紫</t>
    <phoneticPr fontId="1" type="noConversion"/>
  </si>
  <si>
    <t>3紫</t>
    <phoneticPr fontId="1" type="noConversion"/>
  </si>
  <si>
    <t>5紫</t>
    <phoneticPr fontId="1" type="noConversion"/>
  </si>
  <si>
    <t>1橙</t>
    <phoneticPr fontId="1" type="noConversion"/>
  </si>
  <si>
    <t>6橙</t>
    <phoneticPr fontId="1" type="noConversion"/>
  </si>
  <si>
    <t>时间差</t>
    <phoneticPr fontId="1" type="noConversion"/>
  </si>
  <si>
    <t>觉醒次数</t>
    <phoneticPr fontId="1" type="noConversion"/>
  </si>
  <si>
    <t>觉醒消耗</t>
    <phoneticPr fontId="1" type="noConversion"/>
  </si>
  <si>
    <t>觉醒总消耗</t>
    <phoneticPr fontId="1" type="noConversion"/>
  </si>
  <si>
    <t>1橙升1星</t>
    <phoneticPr fontId="1" type="noConversion"/>
  </si>
  <si>
    <t>6橙升1星</t>
    <phoneticPr fontId="1" type="noConversion"/>
  </si>
  <si>
    <t>6橙升3星</t>
    <phoneticPr fontId="1" type="noConversion"/>
  </si>
  <si>
    <t>6橙升7星</t>
    <phoneticPr fontId="1" type="noConversion"/>
  </si>
  <si>
    <t>4橙</t>
    <phoneticPr fontId="1" type="noConversion"/>
  </si>
  <si>
    <t>1紫升1星</t>
    <phoneticPr fontId="1" type="noConversion"/>
  </si>
  <si>
    <t>1橙觉醒</t>
    <phoneticPr fontId="1" type="noConversion"/>
  </si>
  <si>
    <t>6橙觉醒</t>
    <phoneticPr fontId="1" type="noConversion"/>
  </si>
  <si>
    <t>等级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</si>
  <si>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</si>
  <si>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</si>
  <si>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</si>
  <si>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</si>
  <si>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</si>
  <si>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品质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</si>
  <si>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</si>
  <si>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</si>
  <si>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</si>
  <si>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红</t>
    <phoneticPr fontId="1" type="noConversion"/>
  </si>
  <si>
    <t>初始属性</t>
    <phoneticPr fontId="1" type="noConversion"/>
  </si>
  <si>
    <t>成长属性</t>
    <phoneticPr fontId="1" type="noConversion"/>
  </si>
  <si>
    <t>升阶次数</t>
    <phoneticPr fontId="1" type="noConversion"/>
  </si>
  <si>
    <t>升阶附加值</t>
    <phoneticPr fontId="1" type="noConversion"/>
  </si>
  <si>
    <t>升星次数</t>
    <phoneticPr fontId="1" type="noConversion"/>
  </si>
  <si>
    <t>单次升星附加值</t>
    <phoneticPr fontId="1" type="noConversion"/>
  </si>
  <si>
    <t>属性值=基础值+成长值*等级+升星附加值*升星次数+觉醒附加值*觉醒次数</t>
    <phoneticPr fontId="1" type="noConversion"/>
  </si>
  <si>
    <t>橙</t>
    <phoneticPr fontId="1" type="noConversion"/>
  </si>
  <si>
    <t>升星次数</t>
    <phoneticPr fontId="1" type="noConversion"/>
  </si>
  <si>
    <t>阶段</t>
    <phoneticPr fontId="1" type="noConversion"/>
  </si>
  <si>
    <t>等级</t>
    <phoneticPr fontId="1" type="noConversion"/>
  </si>
  <si>
    <t>状态</t>
    <phoneticPr fontId="1" type="noConversion"/>
  </si>
  <si>
    <t>1星紫</t>
    <phoneticPr fontId="1" type="noConversion"/>
  </si>
  <si>
    <t>觉醒橙</t>
    <phoneticPr fontId="1" type="noConversion"/>
  </si>
  <si>
    <t>觉醒1星橙</t>
    <phoneticPr fontId="1" type="noConversion"/>
  </si>
  <si>
    <t>觉醒1星橙</t>
    <phoneticPr fontId="1" type="noConversion"/>
  </si>
  <si>
    <t>觉醒1星橙</t>
    <phoneticPr fontId="1" type="noConversion"/>
  </si>
  <si>
    <t>觉醒3星橙</t>
    <phoneticPr fontId="1" type="noConversion"/>
  </si>
  <si>
    <t>觉醒7星橙</t>
    <phoneticPr fontId="1" type="noConversion"/>
  </si>
  <si>
    <t>属性</t>
    <phoneticPr fontId="1" type="noConversion"/>
  </si>
  <si>
    <t>1紫5蓝</t>
    <phoneticPr fontId="1" type="noConversion"/>
  </si>
  <si>
    <t>1橙5紫</t>
    <phoneticPr fontId="1" type="noConversion"/>
  </si>
  <si>
    <t>4橙2紫</t>
    <phoneticPr fontId="1" type="noConversion"/>
  </si>
  <si>
    <t>6橙</t>
    <phoneticPr fontId="1" type="noConversion"/>
  </si>
  <si>
    <t>6橙1星</t>
    <phoneticPr fontId="1" type="noConversion"/>
  </si>
  <si>
    <t>6橙2星</t>
    <phoneticPr fontId="1" type="noConversion"/>
  </si>
  <si>
    <t>6橙7星</t>
    <phoneticPr fontId="1" type="noConversion"/>
  </si>
  <si>
    <t>基础属性属性</t>
    <phoneticPr fontId="1" type="noConversion"/>
  </si>
  <si>
    <t>1紫1星</t>
    <phoneticPr fontId="1" type="noConversion"/>
  </si>
  <si>
    <t>1橙1星</t>
    <phoneticPr fontId="1" type="noConversion"/>
  </si>
  <si>
    <t>6橙1星</t>
    <phoneticPr fontId="1" type="noConversion"/>
  </si>
  <si>
    <t>6橙3星</t>
    <phoneticPr fontId="1" type="noConversion"/>
  </si>
  <si>
    <t>6橙7星</t>
    <phoneticPr fontId="1" type="noConversion"/>
  </si>
  <si>
    <t>1星橙</t>
    <phoneticPr fontId="1" type="noConversion"/>
  </si>
  <si>
    <t>3星橙</t>
    <phoneticPr fontId="1" type="noConversion"/>
  </si>
  <si>
    <t>7星橙</t>
    <phoneticPr fontId="1" type="noConversion"/>
  </si>
  <si>
    <t>升星阶段</t>
    <phoneticPr fontId="1" type="noConversion"/>
  </si>
  <si>
    <t>升星属性</t>
    <phoneticPr fontId="1" type="noConversion"/>
  </si>
  <si>
    <t>总属性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</si>
  <si>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</si>
  <si>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</si>
  <si>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</si>
  <si>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</si>
  <si>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</si>
  <si>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蓝</t>
  </si>
  <si>
    <t>紫</t>
  </si>
  <si>
    <t>橙</t>
  </si>
  <si>
    <t>绿</t>
  </si>
  <si>
    <t>红</t>
  </si>
  <si>
    <t>绿</t>
    <phoneticPr fontId="1" type="noConversion"/>
  </si>
  <si>
    <t>蓝</t>
    <phoneticPr fontId="1" type="noConversion"/>
  </si>
  <si>
    <t>紫</t>
    <phoneticPr fontId="1" type="noConversion"/>
  </si>
  <si>
    <t>红</t>
    <phoneticPr fontId="1" type="noConversion"/>
  </si>
  <si>
    <t>主力上阵武将数量</t>
    <phoneticPr fontId="1" type="noConversion"/>
  </si>
  <si>
    <t>主力上阵武将星级</t>
    <phoneticPr fontId="1" type="noConversion"/>
  </si>
  <si>
    <t>累积天数</t>
    <phoneticPr fontId="1" type="noConversion"/>
  </si>
  <si>
    <t>品质</t>
  </si>
  <si>
    <t>指定价值</t>
  </si>
  <si>
    <t>价值</t>
    <phoneticPr fontId="1" type="noConversion"/>
  </si>
  <si>
    <t>时间差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</si>
  <si>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</si>
  <si>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</si>
  <si>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</si>
  <si>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</si>
  <si>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等级</t>
    <phoneticPr fontId="1" type="noConversion"/>
  </si>
  <si>
    <t>玩家武将数量累积消耗</t>
    <phoneticPr fontId="1" type="noConversion"/>
  </si>
  <si>
    <t>玩家等级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</si>
  <si>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</si>
  <si>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</si>
  <si>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</si>
  <si>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</si>
  <si>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</si>
  <si>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超r</t>
    <phoneticPr fontId="1" type="noConversion"/>
  </si>
  <si>
    <t>觉醒需要消耗同资质的三张卡牌</t>
    <phoneticPr fontId="1" type="noConversion"/>
  </si>
  <si>
    <t>普通玩家</t>
    <phoneticPr fontId="1" type="noConversion"/>
  </si>
  <si>
    <t>橙</t>
    <phoneticPr fontId="1" type="noConversion"/>
  </si>
  <si>
    <t>红</t>
    <phoneticPr fontId="1" type="noConversion"/>
  </si>
  <si>
    <t>3天</t>
    <phoneticPr fontId="1" type="noConversion"/>
  </si>
  <si>
    <t>可觉醒的卡牌</t>
    <phoneticPr fontId="1" type="noConversion"/>
  </si>
  <si>
    <t>橙色</t>
    <phoneticPr fontId="1" type="noConversion"/>
  </si>
  <si>
    <t>紫</t>
    <phoneticPr fontId="1" type="noConversion"/>
  </si>
  <si>
    <t>紫1</t>
    <phoneticPr fontId="1" type="noConversion"/>
  </si>
  <si>
    <t>红色</t>
    <phoneticPr fontId="1" type="noConversion"/>
  </si>
  <si>
    <t>橙1</t>
    <phoneticPr fontId="1" type="noConversion"/>
  </si>
  <si>
    <t>等级</t>
    <phoneticPr fontId="1" type="noConversion"/>
  </si>
  <si>
    <t>上阵武将数</t>
    <phoneticPr fontId="1" type="noConversion"/>
  </si>
  <si>
    <t>时间</t>
    <phoneticPr fontId="1" type="noConversion"/>
  </si>
  <si>
    <t>完成等级</t>
    <phoneticPr fontId="1" type="noConversion"/>
  </si>
  <si>
    <t>3橙1觉</t>
    <phoneticPr fontId="1" type="noConversion"/>
  </si>
  <si>
    <t>1橙1觉</t>
    <phoneticPr fontId="1" type="noConversion"/>
  </si>
  <si>
    <t>4橙1觉，1橙2觉</t>
    <phoneticPr fontId="1" type="noConversion"/>
  </si>
  <si>
    <t>3橙1觉，3橙2觉</t>
    <phoneticPr fontId="1" type="noConversion"/>
  </si>
  <si>
    <t>1觉</t>
    <phoneticPr fontId="1" type="noConversion"/>
  </si>
  <si>
    <t>2觉</t>
    <phoneticPr fontId="1" type="noConversion"/>
  </si>
  <si>
    <t>品质</t>
    <phoneticPr fontId="1" type="noConversion"/>
  </si>
  <si>
    <t>描述</t>
    <phoneticPr fontId="1" type="noConversion"/>
  </si>
  <si>
    <t>状态</t>
    <phoneticPr fontId="1" type="noConversion"/>
  </si>
  <si>
    <t xml:space="preserve">品质 </t>
    <phoneticPr fontId="1" type="noConversion"/>
  </si>
  <si>
    <t>5橙2觉</t>
    <phoneticPr fontId="1" type="noConversion"/>
  </si>
  <si>
    <t>橙卡</t>
    <phoneticPr fontId="1" type="noConversion"/>
  </si>
  <si>
    <t>红卡</t>
    <phoneticPr fontId="1" type="noConversion"/>
  </si>
  <si>
    <t>消耗</t>
    <phoneticPr fontId="1" type="noConversion"/>
  </si>
  <si>
    <t>6橙2觉1觉红</t>
    <phoneticPr fontId="1" type="noConversion"/>
  </si>
  <si>
    <t>11橙2觉2觉红</t>
    <phoneticPr fontId="1" type="noConversion"/>
  </si>
  <si>
    <t>消耗低一资质武将卡</t>
    <phoneticPr fontId="1" type="noConversion"/>
  </si>
  <si>
    <t>消耗同一资质武将卡</t>
    <phoneticPr fontId="1" type="noConversion"/>
  </si>
  <si>
    <t>消耗同名武将卡</t>
    <phoneticPr fontId="1" type="noConversion"/>
  </si>
  <si>
    <t>消耗材料数量</t>
    <phoneticPr fontId="1" type="noConversion"/>
  </si>
  <si>
    <t>品质</t>
    <phoneticPr fontId="1" type="noConversion"/>
  </si>
  <si>
    <t>材料品质</t>
    <phoneticPr fontId="1" type="noConversion"/>
  </si>
  <si>
    <t>觉醒次数</t>
    <phoneticPr fontId="1" type="noConversion"/>
  </si>
  <si>
    <t>觉醒次数</t>
    <phoneticPr fontId="1" type="noConversion"/>
  </si>
  <si>
    <t>累积材料消耗</t>
    <phoneticPr fontId="1" type="noConversion"/>
  </si>
  <si>
    <t>累积卡牌消耗</t>
    <phoneticPr fontId="1" type="noConversion"/>
  </si>
  <si>
    <t>上阵武将星级</t>
    <phoneticPr fontId="1" type="noConversion"/>
  </si>
  <si>
    <t>上阵武将等级</t>
    <phoneticPr fontId="1" type="noConversion"/>
  </si>
  <si>
    <t>三维属性</t>
    <phoneticPr fontId="1" type="noConversion"/>
  </si>
  <si>
    <t>基础属性</t>
    <phoneticPr fontId="1" type="noConversion"/>
  </si>
  <si>
    <t>非r</t>
    <phoneticPr fontId="1" type="noConversion"/>
  </si>
  <si>
    <t>大殿等级</t>
  </si>
  <si>
    <t>大殿等级累积停留时间(天）</t>
  </si>
  <si>
    <t>大殿等级阶段停留时间（天）</t>
  </si>
  <si>
    <t>调整值</t>
    <phoneticPr fontId="1" type="noConversion"/>
  </si>
  <si>
    <t>非r累积时长大殿等级标准</t>
  </si>
  <si>
    <t>累积停留天数(标准）</t>
    <phoneticPr fontId="1" type="noConversion"/>
  </si>
  <si>
    <t>调整系数</t>
    <phoneticPr fontId="1" type="noConversion"/>
  </si>
  <si>
    <t>天数对应大殿等级</t>
    <phoneticPr fontId="1" type="noConversion"/>
  </si>
  <si>
    <t>天数</t>
    <phoneticPr fontId="1" type="noConversion"/>
  </si>
  <si>
    <t>武将等级</t>
    <phoneticPr fontId="1" type="noConversion"/>
  </si>
  <si>
    <t>每个等级玩家所需价值花费</t>
    <phoneticPr fontId="1" type="noConversion"/>
  </si>
  <si>
    <t>累计消耗经验</t>
    <phoneticPr fontId="1" type="noConversion"/>
  </si>
  <si>
    <t>经验值</t>
    <phoneticPr fontId="1" type="noConversion"/>
  </si>
  <si>
    <t/>
  </si>
  <si>
    <t>非r完成预估</t>
    <phoneticPr fontId="1" type="noConversion"/>
  </si>
  <si>
    <t>完成天数</t>
    <phoneticPr fontId="1" type="noConversion"/>
  </si>
  <si>
    <t>中r完成预估</t>
    <phoneticPr fontId="1" type="noConversion"/>
  </si>
  <si>
    <t>大r完成预估</t>
    <phoneticPr fontId="1" type="noConversion"/>
  </si>
  <si>
    <t>超r完成预估</t>
    <phoneticPr fontId="1" type="noConversion"/>
  </si>
  <si>
    <t>小r完成预估</t>
    <phoneticPr fontId="1" type="noConversion"/>
  </si>
  <si>
    <t>星级</t>
    <phoneticPr fontId="1" type="noConversion"/>
  </si>
  <si>
    <t>最大星级</t>
    <phoneticPr fontId="1" type="noConversion"/>
  </si>
  <si>
    <t>上阵武将阶位</t>
  </si>
  <si>
    <t>主力部队</t>
  </si>
  <si>
    <t>阶位</t>
    <phoneticPr fontId="1" type="noConversion"/>
  </si>
  <si>
    <t>阶位对应等级上限</t>
    <phoneticPr fontId="1" type="noConversion"/>
  </si>
  <si>
    <t>调整系数</t>
    <phoneticPr fontId="1" type="noConversion"/>
  </si>
  <si>
    <t>小r</t>
    <phoneticPr fontId="1" type="noConversion"/>
  </si>
  <si>
    <t>非r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</si>
  <si>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</si>
  <si>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</si>
  <si>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</si>
  <si>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获取间隔</t>
    <phoneticPr fontId="1" type="noConversion"/>
  </si>
  <si>
    <t>升星间隔</t>
    <phoneticPr fontId="1" type="noConversion"/>
  </si>
  <si>
    <t>星级对应银币阶段消耗</t>
    <phoneticPr fontId="1" type="noConversion"/>
  </si>
  <si>
    <t>星级对应同名卡阶段消耗</t>
    <phoneticPr fontId="1" type="noConversion"/>
  </si>
  <si>
    <t>升星同名卡累积消耗</t>
    <phoneticPr fontId="1" type="noConversion"/>
  </si>
  <si>
    <t>基础值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</si>
  <si>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</si>
  <si>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</si>
  <si>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</si>
  <si>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</si>
  <si>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技能效用</t>
    <phoneticPr fontId="1" type="noConversion"/>
  </si>
  <si>
    <t>升阶任意卡累积消耗</t>
    <phoneticPr fontId="1" type="noConversion"/>
  </si>
  <si>
    <t>三维属性</t>
    <phoneticPr fontId="1" type="noConversion"/>
  </si>
  <si>
    <t>升星同名卡累积消耗/武将</t>
    <phoneticPr fontId="1" type="noConversion"/>
  </si>
  <si>
    <t>升星同名卡累积消耗/武将</t>
    <phoneticPr fontId="1" type="noConversion"/>
  </si>
  <si>
    <t>升级累积消耗武将经验</t>
  </si>
  <si>
    <t>总计</t>
    <phoneticPr fontId="1" type="noConversion"/>
  </si>
  <si>
    <t>总计</t>
    <phoneticPr fontId="1" type="noConversion"/>
  </si>
  <si>
    <t>升级成长</t>
    <phoneticPr fontId="1" type="noConversion"/>
  </si>
  <si>
    <t>均值</t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</si>
  <si>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</si>
  <si>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</si>
  <si>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</si>
  <si>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</si>
  <si>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总计</t>
    <phoneticPr fontId="1" type="noConversion"/>
  </si>
  <si>
    <t>武将升星</t>
    <phoneticPr fontId="1" type="noConversion"/>
  </si>
  <si>
    <t>武将进阶</t>
    <phoneticPr fontId="1" type="noConversion"/>
  </si>
  <si>
    <t>武将觉醒</t>
    <phoneticPr fontId="1" type="noConversion"/>
  </si>
  <si>
    <t>非r</t>
    <phoneticPr fontId="1" type="noConversion"/>
  </si>
  <si>
    <t>中r</t>
    <phoneticPr fontId="1" type="noConversion"/>
  </si>
  <si>
    <t>小r</t>
    <phoneticPr fontId="1" type="noConversion"/>
  </si>
  <si>
    <t>超r</t>
    <phoneticPr fontId="1" type="noConversion"/>
  </si>
  <si>
    <t>累积银币消耗</t>
    <phoneticPr fontId="1" type="noConversion"/>
  </si>
  <si>
    <t>武将总计消耗</t>
    <phoneticPr fontId="1" type="noConversion"/>
  </si>
  <si>
    <t>非r消耗占比</t>
    <phoneticPr fontId="1" type="noConversion"/>
  </si>
  <si>
    <t>累积武将经验消耗</t>
  </si>
  <si>
    <t>三维属性</t>
    <phoneticPr fontId="1" type="noConversion"/>
  </si>
  <si>
    <t>三维属性</t>
    <phoneticPr fontId="1" type="noConversion"/>
  </si>
  <si>
    <t>等级对应三维属性</t>
    <phoneticPr fontId="1" type="noConversion"/>
  </si>
  <si>
    <t>武将升星</t>
    <phoneticPr fontId="1" type="noConversion"/>
  </si>
  <si>
    <t>武将羁绊</t>
    <phoneticPr fontId="1" type="noConversion"/>
  </si>
  <si>
    <t>均值</t>
    <phoneticPr fontId="1" type="noConversion"/>
  </si>
  <si>
    <t>非r属性占比</t>
    <phoneticPr fontId="1" type="noConversion"/>
  </si>
  <si>
    <t>武将主力基础养成</t>
    <phoneticPr fontId="1" type="noConversion"/>
  </si>
  <si>
    <t>带兵数</t>
    <phoneticPr fontId="1" type="noConversion"/>
  </si>
  <si>
    <t>基础值</t>
    <phoneticPr fontId="1" type="noConversion"/>
  </si>
  <si>
    <t>升级成长</t>
    <phoneticPr fontId="1" type="noConversion"/>
  </si>
  <si>
    <t>升级增加带兵/武将</t>
    <phoneticPr fontId="1" type="noConversion"/>
  </si>
  <si>
    <t>带兵数</t>
    <phoneticPr fontId="1" type="noConversion"/>
  </si>
  <si>
    <t>等级对应带兵数</t>
    <phoneticPr fontId="1" type="noConversion"/>
  </si>
  <si>
    <t>攻城值</t>
    <phoneticPr fontId="1" type="noConversion"/>
  </si>
  <si>
    <t>升级增加攻城值/武将</t>
    <phoneticPr fontId="1" type="noConversion"/>
  </si>
  <si>
    <t>攻城值</t>
    <phoneticPr fontId="1" type="noConversion"/>
  </si>
  <si>
    <t>等级对应攻城值</t>
    <phoneticPr fontId="1" type="noConversion"/>
  </si>
  <si>
    <t>攻城值</t>
    <phoneticPr fontId="1" type="noConversion"/>
  </si>
  <si>
    <t>星级成长</t>
    <phoneticPr fontId="1" type="noConversion"/>
  </si>
  <si>
    <t>战斗属性</t>
    <phoneticPr fontId="1" type="noConversion"/>
  </si>
  <si>
    <t>卡牌品质</t>
    <phoneticPr fontId="1" type="noConversion"/>
  </si>
  <si>
    <t>紫</t>
    <phoneticPr fontId="1" type="noConversion"/>
  </si>
  <si>
    <t>橙</t>
    <phoneticPr fontId="1" type="noConversion"/>
  </si>
  <si>
    <t>种类数</t>
    <phoneticPr fontId="1" type="noConversion"/>
  </si>
  <si>
    <t>等级成长</t>
    <phoneticPr fontId="1" type="noConversion"/>
  </si>
  <si>
    <t>通过控制每次活动的阶梯性价比来限制不同付费层的获取</t>
    <phoneticPr fontId="1" type="noConversion"/>
  </si>
  <si>
    <t>攻</t>
    <phoneticPr fontId="1" type="noConversion"/>
  </si>
  <si>
    <t>血</t>
    <phoneticPr fontId="1" type="noConversion"/>
  </si>
  <si>
    <t>升级增加攻/武将</t>
  </si>
  <si>
    <t>升级增加攻/武将</t>
    <phoneticPr fontId="1" type="noConversion"/>
  </si>
  <si>
    <t>升级增加血/武将</t>
  </si>
  <si>
    <t>升级增加血/武将</t>
    <phoneticPr fontId="1" type="noConversion"/>
  </si>
  <si>
    <t>攻</t>
    <phoneticPr fontId="1" type="noConversion"/>
  </si>
  <si>
    <t>攻</t>
    <phoneticPr fontId="1" type="noConversion"/>
  </si>
  <si>
    <t>等级对应攻</t>
    <phoneticPr fontId="1" type="noConversion"/>
  </si>
  <si>
    <t>等级对应血</t>
    <phoneticPr fontId="1" type="noConversion"/>
  </si>
  <si>
    <t>武将升星累计银币消耗</t>
    <phoneticPr fontId="1" type="noConversion"/>
  </si>
  <si>
    <t>武将进阶累计银币消耗</t>
    <phoneticPr fontId="1" type="noConversion"/>
  </si>
  <si>
    <r>
      <t>拆分计算</t>
    </r>
    <r>
      <rPr>
        <sz val="9"/>
        <color rgb="FFFF0000"/>
        <rFont val="宋体"/>
        <family val="3"/>
        <charset val="134"/>
        <scheme val="minor"/>
      </rPr>
      <t>（为了银币消耗各点情况展示）</t>
    </r>
    <phoneticPr fontId="1" type="noConversion"/>
  </si>
  <si>
    <t>全体武将</t>
    <phoneticPr fontId="1" type="noConversion"/>
  </si>
  <si>
    <t>武将第1次觉醒数量</t>
    <phoneticPr fontId="1" type="noConversion"/>
  </si>
  <si>
    <t>武将第2次觉醒数量</t>
    <phoneticPr fontId="1" type="noConversion"/>
  </si>
  <si>
    <t>升星总计消耗</t>
    <phoneticPr fontId="1" type="noConversion"/>
  </si>
  <si>
    <t>进阶总计消耗</t>
    <phoneticPr fontId="1" type="noConversion"/>
  </si>
  <si>
    <t>觉醒总计消耗</t>
    <phoneticPr fontId="1" type="noConversion"/>
  </si>
  <si>
    <t>觉醒次数</t>
    <phoneticPr fontId="1" type="noConversion"/>
  </si>
  <si>
    <t>武将第1次觉醒累计数量</t>
    <phoneticPr fontId="1" type="noConversion"/>
  </si>
  <si>
    <t>武将第2次觉醒累计数量</t>
    <phoneticPr fontId="1" type="noConversion"/>
  </si>
  <si>
    <t>觉醒次数</t>
    <phoneticPr fontId="1" type="noConversion"/>
  </si>
  <si>
    <t>总计</t>
  </si>
  <si>
    <t>总计</t>
    <phoneticPr fontId="1" type="noConversion"/>
  </si>
  <si>
    <t>觉醒对应银币阶段消耗</t>
    <phoneticPr fontId="1" type="noConversion"/>
  </si>
  <si>
    <t>武将升级</t>
    <phoneticPr fontId="1" type="noConversion"/>
  </si>
  <si>
    <t>10连价格</t>
    <phoneticPr fontId="1" type="noConversion"/>
  </si>
  <si>
    <t>资质</t>
    <phoneticPr fontId="1" type="noConversion"/>
  </si>
  <si>
    <t>超r</t>
  </si>
  <si>
    <t>大r</t>
  </si>
  <si>
    <t>中r</t>
  </si>
  <si>
    <t>小r</t>
  </si>
  <si>
    <t>非r</t>
  </si>
  <si>
    <t>星级对应二级属性平均值（暴击、韧性、命中、闪避）</t>
    <phoneticPr fontId="1" type="noConversion"/>
  </si>
  <si>
    <t>觉醒银币累积消耗/主力部队</t>
    <phoneticPr fontId="1" type="noConversion"/>
  </si>
  <si>
    <t>羁绊增加的攻/单个武将</t>
  </si>
  <si>
    <t>三维属性</t>
    <phoneticPr fontId="1" type="noConversion"/>
  </si>
  <si>
    <t>攻</t>
    <phoneticPr fontId="1" type="noConversion"/>
  </si>
  <si>
    <t>血</t>
    <phoneticPr fontId="1" type="noConversion"/>
  </si>
  <si>
    <t>战力值计算</t>
    <phoneticPr fontId="1" type="noConversion"/>
  </si>
  <si>
    <t>非r</t>
    <phoneticPr fontId="1" type="noConversion"/>
  </si>
  <si>
    <t>属性</t>
    <phoneticPr fontId="1" type="noConversion"/>
  </si>
  <si>
    <t>总战力</t>
    <phoneticPr fontId="1" type="noConversion"/>
  </si>
  <si>
    <t>带兵数</t>
    <phoneticPr fontId="1" type="noConversion"/>
  </si>
  <si>
    <t>带兵数</t>
    <phoneticPr fontId="1" type="noConversion"/>
  </si>
  <si>
    <t>觉醒银币累积消耗/主力部队</t>
  </si>
  <si>
    <t>武将觉醒累计银币消耗</t>
    <phoneticPr fontId="1" type="noConversion"/>
  </si>
  <si>
    <t>均值</t>
    <phoneticPr fontId="1" type="noConversion"/>
  </si>
  <si>
    <t>技能效用</t>
    <phoneticPr fontId="1" type="noConversion"/>
  </si>
  <si>
    <t>技能效用</t>
    <phoneticPr fontId="1" type="noConversion"/>
  </si>
  <si>
    <t>技能效用</t>
    <phoneticPr fontId="1" type="noConversion"/>
  </si>
  <si>
    <t>技能效用</t>
    <phoneticPr fontId="1" type="noConversion"/>
  </si>
  <si>
    <t>技能效用</t>
    <phoneticPr fontId="1" type="noConversion"/>
  </si>
  <si>
    <t>同名卡</t>
    <phoneticPr fontId="1" type="noConversion"/>
  </si>
  <si>
    <t>银币</t>
    <phoneticPr fontId="1" type="noConversion"/>
  </si>
  <si>
    <t>累计消耗价值</t>
  </si>
  <si>
    <t>累计消耗价值</t>
    <phoneticPr fontId="1" type="noConversion"/>
  </si>
  <si>
    <t>累计消耗价值</t>
    <phoneticPr fontId="1" type="noConversion"/>
  </si>
  <si>
    <t>任意卡</t>
  </si>
  <si>
    <t>武将经验</t>
    <phoneticPr fontId="1" type="noConversion"/>
  </si>
  <si>
    <t>银币</t>
    <phoneticPr fontId="1" type="noConversion"/>
  </si>
  <si>
    <t>贡品</t>
    <phoneticPr fontId="1" type="noConversion"/>
  </si>
  <si>
    <t>任意卡</t>
    <phoneticPr fontId="1" type="noConversion"/>
  </si>
  <si>
    <t>高级抽</t>
    <phoneticPr fontId="1" type="noConversion"/>
  </si>
  <si>
    <t>概率</t>
    <phoneticPr fontId="1" type="noConversion"/>
  </si>
  <si>
    <t>抽取个数</t>
    <phoneticPr fontId="1" type="noConversion"/>
  </si>
  <si>
    <t>活动抽</t>
    <phoneticPr fontId="1" type="noConversion"/>
  </si>
  <si>
    <t>非r返还比例</t>
    <phoneticPr fontId="1" type="noConversion"/>
  </si>
  <si>
    <t>小r返还比例</t>
    <phoneticPr fontId="1" type="noConversion"/>
  </si>
  <si>
    <t>中r返还比例</t>
    <phoneticPr fontId="1" type="noConversion"/>
  </si>
  <si>
    <t>大r返还比例</t>
    <phoneticPr fontId="1" type="noConversion"/>
  </si>
  <si>
    <t>超r返还比例</t>
    <phoneticPr fontId="1" type="noConversion"/>
  </si>
  <si>
    <t>抽取权重</t>
    <phoneticPr fontId="1" type="noConversion"/>
  </si>
  <si>
    <t>占钻石比例</t>
    <phoneticPr fontId="1" type="noConversion"/>
  </si>
  <si>
    <t>产出数量</t>
    <phoneticPr fontId="1" type="noConversion"/>
  </si>
  <si>
    <t>每次抽取阶段获取数量</t>
    <phoneticPr fontId="1" type="noConversion"/>
  </si>
  <si>
    <t>阶段消耗钻石参照</t>
    <phoneticPr fontId="1" type="noConversion"/>
  </si>
  <si>
    <t>预估阶段产出数量</t>
    <phoneticPr fontId="1" type="noConversion"/>
  </si>
  <si>
    <t>预估累计产出数量</t>
    <phoneticPr fontId="1" type="noConversion"/>
  </si>
  <si>
    <t>草稿（用于评估武将卡阶段产量）</t>
    <phoneticPr fontId="1" type="noConversion"/>
  </si>
  <si>
    <t>钻石价值(宝箱)</t>
    <phoneticPr fontId="1" type="noConversion"/>
  </si>
  <si>
    <t>累计消耗值</t>
    <phoneticPr fontId="1" type="noConversion"/>
  </si>
  <si>
    <t>同名卡价值</t>
    <phoneticPr fontId="1" type="noConversion"/>
  </si>
  <si>
    <t>累计消耗</t>
    <phoneticPr fontId="1" type="noConversion"/>
  </si>
  <si>
    <t>银币价值</t>
    <phoneticPr fontId="1" type="noConversion"/>
  </si>
  <si>
    <t>武将阶段经验</t>
    <phoneticPr fontId="1" type="noConversion"/>
  </si>
  <si>
    <t>武将累计经验价值</t>
    <phoneticPr fontId="1" type="noConversion"/>
  </si>
  <si>
    <t>银币</t>
    <phoneticPr fontId="1" type="noConversion"/>
  </si>
  <si>
    <t>银币价值</t>
    <phoneticPr fontId="1" type="noConversion"/>
  </si>
  <si>
    <t>银币价值</t>
    <phoneticPr fontId="1" type="noConversion"/>
  </si>
  <si>
    <t>三维属性</t>
    <phoneticPr fontId="1" type="noConversion"/>
  </si>
  <si>
    <t>评分计算</t>
  </si>
  <si>
    <t>总评分</t>
  </si>
  <si>
    <t>钻石价值(指定品质)</t>
    <phoneticPr fontId="1" type="noConversion"/>
  </si>
  <si>
    <t>钻石价值(指定卡)</t>
    <phoneticPr fontId="1" type="noConversion"/>
  </si>
  <si>
    <t>参考</t>
    <phoneticPr fontId="1" type="noConversion"/>
  </si>
  <si>
    <t>单卖</t>
    <phoneticPr fontId="1" type="noConversion"/>
  </si>
  <si>
    <t>上阵武将觉醒等级</t>
    <phoneticPr fontId="1" type="noConversion"/>
  </si>
  <si>
    <t>武将</t>
    <phoneticPr fontId="1" type="noConversion"/>
  </si>
  <si>
    <t>羁绊等级上限</t>
    <phoneticPr fontId="1" type="noConversion"/>
  </si>
  <si>
    <t>品质</t>
    <phoneticPr fontId="1" type="noConversion"/>
  </si>
  <si>
    <t>绿</t>
    <phoneticPr fontId="1" type="noConversion"/>
  </si>
  <si>
    <t>累计需求价值(钻)</t>
  </si>
  <si>
    <t>累计需求价值(钻)</t>
    <phoneticPr fontId="1" type="noConversion"/>
  </si>
  <si>
    <t>累计需求价值(钻)</t>
    <phoneticPr fontId="1" type="noConversion"/>
  </si>
  <si>
    <t>最小需求</t>
    <phoneticPr fontId="1" type="noConversion"/>
  </si>
  <si>
    <t>最大需求</t>
    <phoneticPr fontId="1" type="noConversion"/>
  </si>
  <si>
    <t>激活需求价值</t>
    <phoneticPr fontId="1" type="noConversion"/>
  </si>
  <si>
    <t>对应需求价值</t>
    <phoneticPr fontId="1" type="noConversion"/>
  </si>
  <si>
    <t>属性修正</t>
    <phoneticPr fontId="1" type="noConversion"/>
  </si>
  <si>
    <t>羁绊增加的攻&amp;血/单个武将</t>
    <phoneticPr fontId="1" type="noConversion"/>
  </si>
  <si>
    <t>初始攻血基础加成</t>
    <phoneticPr fontId="1" type="noConversion"/>
  </si>
  <si>
    <t>满级攻血基础加成</t>
    <phoneticPr fontId="1" type="noConversion"/>
  </si>
  <si>
    <t>基础属性加成</t>
    <phoneticPr fontId="1" type="noConversion"/>
  </si>
  <si>
    <t>极限需求价值</t>
    <phoneticPr fontId="1" type="noConversion"/>
  </si>
  <si>
    <t>累计消耗值</t>
  </si>
  <si>
    <t>属性</t>
    <phoneticPr fontId="1" type="noConversion"/>
  </si>
  <si>
    <t>攻血</t>
    <phoneticPr fontId="1" type="noConversion"/>
  </si>
  <si>
    <t>战力</t>
    <phoneticPr fontId="1" type="noConversion"/>
  </si>
  <si>
    <t>超r</t>
    <phoneticPr fontId="1" type="noConversion"/>
  </si>
  <si>
    <t>付费抽取</t>
    <phoneticPr fontId="1" type="noConversion"/>
  </si>
  <si>
    <t>每日获取量</t>
    <phoneticPr fontId="1" type="noConversion"/>
  </si>
  <si>
    <t>常规累计获得</t>
    <phoneticPr fontId="1" type="noConversion"/>
  </si>
  <si>
    <t>对应消耗</t>
    <phoneticPr fontId="1" type="noConversion"/>
  </si>
  <si>
    <t>星级对应银币累计消耗</t>
    <phoneticPr fontId="1" type="noConversion"/>
  </si>
  <si>
    <t>主力队伍数量</t>
  </si>
  <si>
    <t>主力队伍升星累计需求数量</t>
  </si>
  <si>
    <t>主力队伍总计累计需求卡（升星+进阶+觉醒）</t>
  </si>
  <si>
    <t>上阵武将觉醒等级</t>
    <phoneticPr fontId="1" type="noConversion"/>
  </si>
  <si>
    <t>觉醒任意卡累积消耗/主力部队</t>
  </si>
  <si>
    <t>蓝</t>
    <phoneticPr fontId="1" type="noConversion"/>
  </si>
  <si>
    <t>需求同名卡</t>
    <phoneticPr fontId="1" type="noConversion"/>
  </si>
  <si>
    <t>武将品质</t>
    <phoneticPr fontId="1" type="noConversion"/>
  </si>
  <si>
    <t>觉醒次数(0~2)</t>
    <phoneticPr fontId="1" type="noConversion"/>
  </si>
  <si>
    <t>需求任意卡(含自身)</t>
    <phoneticPr fontId="1" type="noConversion"/>
  </si>
  <si>
    <t>价值(钻)</t>
    <phoneticPr fontId="1" type="noConversion"/>
  </si>
  <si>
    <t>攻&amp;血</t>
    <phoneticPr fontId="1" type="noConversion"/>
  </si>
  <si>
    <t>战法品质</t>
    <phoneticPr fontId="1" type="noConversion"/>
  </si>
  <si>
    <t>战法星级</t>
    <phoneticPr fontId="1" type="noConversion"/>
  </si>
  <si>
    <t>战法效用</t>
    <phoneticPr fontId="1" type="noConversion"/>
  </si>
  <si>
    <t>等级参照标准</t>
    <phoneticPr fontId="1" type="noConversion"/>
  </si>
  <si>
    <t>三维总和</t>
    <phoneticPr fontId="1" type="noConversion"/>
  </si>
  <si>
    <t>战力</t>
    <phoneticPr fontId="1" type="noConversion"/>
  </si>
  <si>
    <t>战力/价值</t>
    <phoneticPr fontId="1" type="noConversion"/>
  </si>
  <si>
    <t>非r</t>
    <phoneticPr fontId="1" type="noConversion"/>
  </si>
  <si>
    <t>r类型</t>
    <phoneticPr fontId="1" type="noConversion"/>
  </si>
  <si>
    <t>需求任意战法数量</t>
    <phoneticPr fontId="1" type="noConversion"/>
  </si>
  <si>
    <t>阶级(0~6)</t>
    <phoneticPr fontId="1" type="noConversion"/>
  </si>
  <si>
    <t>星级(0~7)</t>
    <phoneticPr fontId="1" type="noConversion"/>
  </si>
  <si>
    <t>星级</t>
    <phoneticPr fontId="1" type="noConversion"/>
  </si>
  <si>
    <t>三维</t>
    <phoneticPr fontId="1" type="noConversion"/>
  </si>
  <si>
    <t>技能效用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</si>
  <si>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</si>
  <si>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</si>
  <si>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</si>
  <si>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</si>
  <si>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主力队伍进阶累计消耗数量</t>
  </si>
  <si>
    <t>主力队伍进阶累计消耗数量</t>
    <phoneticPr fontId="1" type="noConversion"/>
  </si>
  <si>
    <t>主力队伍觉醒累计消耗数量</t>
  </si>
  <si>
    <t>星级对应同名卡累计消耗</t>
    <phoneticPr fontId="1" type="noConversion"/>
  </si>
  <si>
    <t>升星银币累积消耗/主力队伍</t>
  </si>
  <si>
    <t>升阶银币累积消耗/主力队伍</t>
  </si>
  <si>
    <t>升阶银币累积消耗/主力队伍</t>
    <phoneticPr fontId="1" type="noConversion"/>
  </si>
  <si>
    <t>主力队伍觉醒累计消耗数量</t>
    <phoneticPr fontId="1" type="noConversion"/>
  </si>
  <si>
    <t>主力队伍升星累计需求数量</t>
    <phoneticPr fontId="1" type="noConversion"/>
  </si>
  <si>
    <t>预估累计产出数量</t>
    <phoneticPr fontId="1" type="noConversion"/>
  </si>
  <si>
    <t>非r</t>
    <phoneticPr fontId="1" type="noConversion"/>
  </si>
  <si>
    <t>小r</t>
    <phoneticPr fontId="1" type="noConversion"/>
  </si>
  <si>
    <t>超r</t>
    <phoneticPr fontId="1" type="noConversion"/>
  </si>
  <si>
    <t>完成天数</t>
  </si>
  <si>
    <t>预估累计产出数量</t>
  </si>
  <si>
    <t>全体队伍需求</t>
    <phoneticPr fontId="1" type="noConversion"/>
  </si>
  <si>
    <t>替补</t>
  </si>
  <si>
    <t>总计</t>
    <phoneticPr fontId="1" type="noConversion"/>
  </si>
  <si>
    <t>主力</t>
    <phoneticPr fontId="1" type="noConversion"/>
  </si>
  <si>
    <t>和</t>
    <phoneticPr fontId="1" type="noConversion"/>
  </si>
  <si>
    <t>主力</t>
    <phoneticPr fontId="1" type="noConversion"/>
  </si>
  <si>
    <t>阶位对应任意低品质卡阶段消耗</t>
    <phoneticPr fontId="1" type="noConversion"/>
  </si>
  <si>
    <t>阶位对应任意低品质卡累计消耗</t>
    <phoneticPr fontId="1" type="noConversion"/>
  </si>
  <si>
    <t>普通抽卡</t>
    <phoneticPr fontId="1" type="noConversion"/>
  </si>
  <si>
    <t>觉醒材料</t>
    <phoneticPr fontId="1" type="noConversion"/>
  </si>
  <si>
    <t>最大等级</t>
    <phoneticPr fontId="1" type="noConversion"/>
  </si>
  <si>
    <t>阶位对应银币累计消耗</t>
    <phoneticPr fontId="1" type="noConversion"/>
  </si>
  <si>
    <t>阶位对应银币阶段消耗</t>
    <phoneticPr fontId="1" type="noConversion"/>
  </si>
  <si>
    <t>替补队伍上阵人数</t>
  </si>
  <si>
    <t>替补队伍上阵武将阶位</t>
  </si>
  <si>
    <t>替补队伍上阵武将觉醒等级</t>
  </si>
  <si>
    <t>2级贡品</t>
  </si>
  <si>
    <t>3级贡品</t>
  </si>
  <si>
    <t>4级贡品</t>
  </si>
  <si>
    <t>5级贡品</t>
  </si>
  <si>
    <t>6级贡品</t>
  </si>
  <si>
    <t>1级贡品</t>
    <phoneticPr fontId="1" type="noConversion"/>
  </si>
  <si>
    <t>1级贡品</t>
    <phoneticPr fontId="1" type="noConversion"/>
  </si>
  <si>
    <t>2级贡品</t>
    <phoneticPr fontId="1" type="noConversion"/>
  </si>
  <si>
    <t>3级贡品</t>
    <phoneticPr fontId="1" type="noConversion"/>
  </si>
  <si>
    <t>4级贡品</t>
    <phoneticPr fontId="1" type="noConversion"/>
  </si>
  <si>
    <t>5级贡品</t>
    <phoneticPr fontId="1" type="noConversion"/>
  </si>
  <si>
    <t>6级贡品</t>
    <phoneticPr fontId="1" type="noConversion"/>
  </si>
  <si>
    <t>总计</t>
    <phoneticPr fontId="1" type="noConversion"/>
  </si>
  <si>
    <t>6级贡品</t>
    <phoneticPr fontId="1" type="noConversion"/>
  </si>
  <si>
    <t>贡品种类数</t>
    <phoneticPr fontId="1" type="noConversion"/>
  </si>
  <si>
    <t>觉醒第1次对应同名贡品阶段消耗</t>
    <phoneticPr fontId="1" type="noConversion"/>
  </si>
  <si>
    <t>觉醒第2次对应同名贡品阶段消耗</t>
    <phoneticPr fontId="1" type="noConversion"/>
  </si>
  <si>
    <t>预估非r上阵武将觉醒等级</t>
    <phoneticPr fontId="1" type="noConversion"/>
  </si>
  <si>
    <t>预估小r上阵武将觉醒等级</t>
    <phoneticPr fontId="1" type="noConversion"/>
  </si>
  <si>
    <t>预估中r上阵武将觉醒等级</t>
    <phoneticPr fontId="1" type="noConversion"/>
  </si>
  <si>
    <t>预估大r上阵武将觉醒等级</t>
    <phoneticPr fontId="1" type="noConversion"/>
  </si>
  <si>
    <t>预估超r上阵武将觉醒等级</t>
    <phoneticPr fontId="1" type="noConversion"/>
  </si>
  <si>
    <t>战斗属性备份</t>
    <phoneticPr fontId="1" type="noConversion"/>
  </si>
  <si>
    <t>任意贡品觉醒累积消耗/主力部队</t>
  </si>
  <si>
    <t>任意贡品觉醒累积消耗/替补部队</t>
  </si>
  <si>
    <t>普通单抽价格</t>
    <phoneticPr fontId="1" type="noConversion"/>
  </si>
  <si>
    <t>对应等级</t>
    <phoneticPr fontId="1" type="noConversion"/>
  </si>
  <si>
    <t>星级</t>
    <phoneticPr fontId="1" type="noConversion"/>
  </si>
  <si>
    <t>星级/替补队伍</t>
  </si>
  <si>
    <t>阶位消耗/全部队伍</t>
  </si>
  <si>
    <t>觉醒消耗/全部队伍</t>
  </si>
  <si>
    <t>星级需求/全部队伍</t>
  </si>
  <si>
    <t>预估累计消耗数量</t>
  </si>
  <si>
    <t>预估累计消耗数量/全体队伍</t>
  </si>
  <si>
    <t>累积消耗</t>
    <phoneticPr fontId="1" type="noConversion"/>
  </si>
  <si>
    <t>天数对应角色获取部分累积抽奖消耗占比</t>
    <phoneticPr fontId="1" type="noConversion"/>
  </si>
  <si>
    <t>天数对应角色获取部分累积角色消耗占比</t>
    <phoneticPr fontId="1" type="noConversion"/>
  </si>
  <si>
    <t>天数对应累积消耗钻石价值</t>
    <phoneticPr fontId="1" type="noConversion"/>
  </si>
  <si>
    <t>武将升下一级经验</t>
    <phoneticPr fontId="1" type="noConversion"/>
  </si>
  <si>
    <t>对比</t>
    <phoneticPr fontId="1" type="noConversion"/>
  </si>
  <si>
    <t>定义等级</t>
  </si>
  <si>
    <t>定义等级累积停留天数（天）</t>
  </si>
  <si>
    <t>定义等级阶段停留天数（天）</t>
  </si>
  <si>
    <t>天数对应定义等级</t>
  </si>
  <si>
    <t>非r累积时长定义等级标准</t>
  </si>
  <si>
    <t>定义等级对应累积消耗钻石价值</t>
  </si>
  <si>
    <t>对应定义等级</t>
  </si>
  <si>
    <t>定义等级对应累积产出钻石抽蓝卡数量</t>
  </si>
  <si>
    <t>定义等级对应累积产出钻石抽紫卡数量</t>
  </si>
  <si>
    <t>阶位对应升下一阶需求玩家等级</t>
    <phoneticPr fontId="1" type="noConversion"/>
  </si>
  <si>
    <t>10连非角色部分价值</t>
    <phoneticPr fontId="1" type="noConversion"/>
  </si>
  <si>
    <t>定义等级</t>
    <phoneticPr fontId="1" type="noConversion"/>
  </si>
  <si>
    <t>定向橙</t>
    <phoneticPr fontId="1" type="noConversion"/>
  </si>
  <si>
    <t>许愿</t>
    <phoneticPr fontId="1" type="noConversion"/>
  </si>
  <si>
    <t>每天定向个数</t>
    <phoneticPr fontId="1" type="noConversion"/>
  </si>
  <si>
    <t>定向触发概率/个</t>
    <phoneticPr fontId="1" type="noConversion"/>
  </si>
  <si>
    <t>特性1</t>
    <phoneticPr fontId="1" type="noConversion"/>
  </si>
  <si>
    <t>特性2</t>
  </si>
  <si>
    <t>所需武将等级</t>
    <phoneticPr fontId="1" type="noConversion"/>
  </si>
  <si>
    <t>效用占比预估</t>
    <phoneticPr fontId="1" type="noConversion"/>
  </si>
  <si>
    <t>对应效用修正系数</t>
    <phoneticPr fontId="1" type="noConversion"/>
  </si>
  <si>
    <t>初始</t>
    <phoneticPr fontId="1" type="noConversion"/>
  </si>
  <si>
    <t>技能</t>
    <phoneticPr fontId="1" type="noConversion"/>
  </si>
  <si>
    <t>10连额外价值</t>
    <phoneticPr fontId="1" type="noConversion"/>
  </si>
  <si>
    <t>保底抽次数/天</t>
    <phoneticPr fontId="1" type="noConversion"/>
  </si>
  <si>
    <t>抽次数/天</t>
    <phoneticPr fontId="1" type="noConversion"/>
  </si>
  <si>
    <t>骊姬</t>
    <phoneticPr fontId="1" type="noConversion"/>
  </si>
  <si>
    <t>荆轲</t>
    <phoneticPr fontId="1" type="noConversion"/>
  </si>
  <si>
    <t>平均达成次数</t>
    <phoneticPr fontId="1" type="noConversion"/>
  </si>
  <si>
    <t>被替换概率</t>
    <phoneticPr fontId="1" type="noConversion"/>
  </si>
  <si>
    <t>被替换次数</t>
    <phoneticPr fontId="1" type="noConversion"/>
  </si>
  <si>
    <t>出橙总数</t>
    <phoneticPr fontId="1" type="noConversion"/>
  </si>
  <si>
    <t>总抽卡次数</t>
    <phoneticPr fontId="1" type="noConversion"/>
  </si>
  <si>
    <t>抽卡次数</t>
    <phoneticPr fontId="1" type="noConversion"/>
  </si>
  <si>
    <t>每次最小抽卡次数</t>
    <phoneticPr fontId="1" type="noConversion"/>
  </si>
  <si>
    <t>每次最大抽卡次数</t>
    <phoneticPr fontId="1" type="noConversion"/>
  </si>
  <si>
    <t>祈福目标2</t>
    <phoneticPr fontId="1" type="noConversion"/>
  </si>
  <si>
    <t>祈福目标1</t>
    <phoneticPr fontId="1" type="noConversion"/>
  </si>
  <si>
    <t>目标2次数</t>
  </si>
  <si>
    <t>目标1次数</t>
    <phoneticPr fontId="1" type="noConversion"/>
  </si>
  <si>
    <t>次数</t>
    <phoneticPr fontId="1" type="noConversion"/>
  </si>
  <si>
    <t>祈福2达成纸面概率</t>
  </si>
  <si>
    <t>祈福1达成纸面概率</t>
    <phoneticPr fontId="1" type="noConversion"/>
  </si>
  <si>
    <t>祈福2达成</t>
    <phoneticPr fontId="1" type="noConversion"/>
  </si>
  <si>
    <t>祈福1达成</t>
    <phoneticPr fontId="1" type="noConversion"/>
  </si>
  <si>
    <t>任意祈福达成</t>
    <phoneticPr fontId="1" type="noConversion"/>
  </si>
  <si>
    <t>全部祈福达成</t>
    <phoneticPr fontId="1" type="noConversion"/>
  </si>
  <si>
    <t>祈福2</t>
    <phoneticPr fontId="1" type="noConversion"/>
  </si>
  <si>
    <t>祈福1</t>
    <phoneticPr fontId="1" type="noConversion"/>
  </si>
  <si>
    <t>每日抽出祈愿武将需要的次数</t>
    <phoneticPr fontId="1" type="noConversion"/>
  </si>
  <si>
    <t>定义等级</t>
    <phoneticPr fontId="1" type="noConversion"/>
  </si>
  <si>
    <t>等级对应角色获取部分累积角色消耗占比</t>
    <phoneticPr fontId="1" type="noConversion"/>
  </si>
  <si>
    <t>单个同名羁绊价值</t>
    <phoneticPr fontId="1" type="noConversion"/>
  </si>
  <si>
    <t>多种加成</t>
    <phoneticPr fontId="1" type="noConversion"/>
  </si>
  <si>
    <t>最小</t>
    <phoneticPr fontId="1" type="noConversion"/>
  </si>
  <si>
    <t>最大</t>
    <phoneticPr fontId="1" type="noConversion"/>
  </si>
  <si>
    <t>最小加成</t>
    <phoneticPr fontId="1" type="noConversion"/>
  </si>
  <si>
    <t>最大加成</t>
    <phoneticPr fontId="1" type="noConversion"/>
  </si>
  <si>
    <t>按照橙色拟合公式</t>
    <phoneticPr fontId="1" type="noConversion"/>
  </si>
  <si>
    <t>MIN(钻石消耗^LOG(3.5,6)/20000*1.2,最大值)</t>
    <phoneticPr fontId="1" type="noConversion"/>
  </si>
  <si>
    <t>3.5指最高等级相对于最低等级的倍率</t>
    <phoneticPr fontId="1" type="noConversion"/>
  </si>
  <si>
    <t>6指等级数</t>
    <phoneticPr fontId="1" type="noConversion"/>
  </si>
  <si>
    <t>羁绊数量</t>
    <phoneticPr fontId="1" type="noConversion"/>
  </si>
  <si>
    <t>激活全部羁绊需求武将数（不包括自身）</t>
    <phoneticPr fontId="1" type="noConversion"/>
  </si>
  <si>
    <t>完成全部羁绊升级需求武将数（不包括自身）</t>
    <phoneticPr fontId="1" type="noConversion"/>
  </si>
  <si>
    <t>橙色及以下星级对应同资质累计消耗</t>
    <phoneticPr fontId="1" type="noConversion"/>
  </si>
  <si>
    <t>升星同资质卡累计消耗/主力队伍</t>
    <phoneticPr fontId="1" type="noConversion"/>
  </si>
  <si>
    <t>橙+</t>
  </si>
  <si>
    <t>橙+色武将养成节奏(天）</t>
  </si>
  <si>
    <t>橙+色武将以活动抽指定碎片的方式滚动（通过积分奖励的形式控制每次投放量）</t>
  </si>
  <si>
    <t>橙+色武将的种类数至少为6*1.5=9</t>
  </si>
  <si>
    <t>橙+卡</t>
  </si>
  <si>
    <t>橙色及以下品质武将星级对应任意卡阶段消耗</t>
    <phoneticPr fontId="1" type="noConversion"/>
  </si>
  <si>
    <t>橙+武将星级对应任意卡阶段消耗</t>
    <phoneticPr fontId="1" type="noConversion"/>
  </si>
  <si>
    <t>橙色及以下品质武将星级对应任意卡累计消耗</t>
    <phoneticPr fontId="1" type="noConversion"/>
  </si>
  <si>
    <t>橙+武将星级对应任意卡累计消耗</t>
    <phoneticPr fontId="1" type="noConversion"/>
  </si>
  <si>
    <t>上阵羁绊三围加成单项</t>
  </si>
  <si>
    <t>上阵羁绊触发进度</t>
  </si>
  <si>
    <t>武将上阵羁绊（繁体）/职业羁绊（简体）为根据上阵搭配触发的额外效果</t>
    <phoneticPr fontId="1" type="noConversion"/>
  </si>
  <si>
    <t>设计最大效果为三围各+4，职业羁绊中有低级效果，分别为三围+1，+2，+3</t>
    <phoneticPr fontId="1" type="noConversion"/>
  </si>
  <si>
    <t>由于该项加成非稳定三围加成，会有伤害/免伤等其他效果加成，需要做折算，故不统计在武将属性里，仅在怪物中做折算三围修正</t>
    <phoneticPr fontId="1" type="noConversion"/>
  </si>
  <si>
    <t>上阵羁绊</t>
    <phoneticPr fontId="1" type="noConversion"/>
  </si>
  <si>
    <t>组合内武将造成的灼烧伤害+30%。</t>
  </si>
  <si>
    <t>组合内武将智力、统率、武力+4。</t>
  </si>
  <si>
    <t>组合内武将与士兵免伤+4%。</t>
  </si>
  <si>
    <t>组合内武将武力、智力+6。</t>
  </si>
  <si>
    <t>组合内武将智力+10。</t>
  </si>
  <si>
    <t>组合内武将所统率的士兵造成的伤害+10%。</t>
  </si>
  <si>
    <t>组合内武将统率+10。</t>
  </si>
  <si>
    <t>组合内武将暴击概率提升12%。</t>
  </si>
  <si>
    <t>风云化龙</t>
  </si>
  <si>
    <t>潜龙出海</t>
  </si>
  <si>
    <t>股肱之臣</t>
  </si>
  <si>
    <t>大争之世</t>
  </si>
  <si>
    <t>登峰造极</t>
  </si>
  <si>
    <t>战国四公子：</t>
  </si>
  <si>
    <t>严法强权</t>
  </si>
  <si>
    <t>侠客悲歌</t>
  </si>
  <si>
    <t>百战名将</t>
  </si>
  <si>
    <t>马踏飞燕</t>
  </si>
  <si>
    <t>乱世之争</t>
  </si>
  <si>
    <t>孙膑</t>
  </si>
  <si>
    <t>田单</t>
  </si>
  <si>
    <t>楚庄王</t>
  </si>
  <si>
    <t>钟无艳</t>
  </si>
  <si>
    <t>庞涓</t>
  </si>
  <si>
    <t>西施</t>
  </si>
  <si>
    <t>伍子胥</t>
  </si>
  <si>
    <t>屈原</t>
  </si>
  <si>
    <t>项燕</t>
  </si>
  <si>
    <t>司马错</t>
  </si>
  <si>
    <t>鲍叔牙</t>
  </si>
  <si>
    <t>吴起</t>
  </si>
  <si>
    <t>勾践</t>
  </si>
  <si>
    <t>苏秦</t>
  </si>
  <si>
    <t>莫邪</t>
  </si>
  <si>
    <t>芈月</t>
  </si>
  <si>
    <t>扁鹊</t>
  </si>
  <si>
    <t>秦武王</t>
  </si>
  <si>
    <t>欧冶子</t>
  </si>
  <si>
    <t>信陵君</t>
  </si>
  <si>
    <t>平原君</t>
  </si>
  <si>
    <t>春申君</t>
  </si>
  <si>
    <t>孟尝君</t>
  </si>
  <si>
    <t>吕不韦</t>
  </si>
  <si>
    <t>申不害</t>
  </si>
  <si>
    <t>韩非子</t>
  </si>
  <si>
    <t>孙叔敖</t>
  </si>
  <si>
    <t>荆轲</t>
  </si>
  <si>
    <t>专诸</t>
  </si>
  <si>
    <t>聂荌</t>
  </si>
  <si>
    <t>骊姬</t>
  </si>
  <si>
    <t>司马穰苴</t>
  </si>
  <si>
    <t>乐毅</t>
  </si>
  <si>
    <t>暴鸢</t>
  </si>
  <si>
    <t>李牧</t>
  </si>
  <si>
    <t>义渠骇</t>
  </si>
  <si>
    <t>秦开</t>
  </si>
  <si>
    <t>田忌</t>
  </si>
  <si>
    <t>伯乐</t>
  </si>
  <si>
    <t>赵括</t>
  </si>
  <si>
    <t>赵武灵王</t>
  </si>
  <si>
    <t>西门豹</t>
  </si>
  <si>
    <t>樗里疾</t>
  </si>
  <si>
    <t>褒姒</t>
  </si>
  <si>
    <t>组合武将1</t>
  </si>
  <si>
    <t>组合武将2</t>
  </si>
  <si>
    <t>组合武将3</t>
  </si>
  <si>
    <t>组合武将4</t>
  </si>
  <si>
    <t>组合武将5</t>
  </si>
  <si>
    <t>组合武将6</t>
  </si>
  <si>
    <t>组合武将7</t>
  </si>
  <si>
    <t>组合武将8</t>
  </si>
  <si>
    <t>组合武将9</t>
  </si>
  <si>
    <t>组合武将10</t>
  </si>
  <si>
    <t>上阵羁绊名字</t>
  </si>
  <si>
    <t>效果描述</t>
  </si>
  <si>
    <t>队伍技能实力加成</t>
    <phoneticPr fontId="1" type="noConversion"/>
  </si>
  <si>
    <t>预估中期三围主属性</t>
    <phoneticPr fontId="1" type="noConversion"/>
  </si>
  <si>
    <t>职业羁绊</t>
    <phoneticPr fontId="1" type="noConversion"/>
  </si>
  <si>
    <t>羁绊类型</t>
    <phoneticPr fontId="1" type="noConversion"/>
  </si>
  <si>
    <t>普通羁绊</t>
    <phoneticPr fontId="1" type="noConversion"/>
  </si>
  <si>
    <t>触发条件（同职业武将数量）</t>
    <phoneticPr fontId="1" type="noConversion"/>
  </si>
  <si>
    <t>4+2</t>
    <phoneticPr fontId="1" type="noConversion"/>
  </si>
  <si>
    <t>3+3</t>
    <phoneticPr fontId="1" type="noConversion"/>
  </si>
  <si>
    <t>2+2+2</t>
    <phoneticPr fontId="1" type="noConversion"/>
  </si>
  <si>
    <t>君主羁绊</t>
    <phoneticPr fontId="1" type="noConversion"/>
  </si>
  <si>
    <t>全队三围+1</t>
    <phoneticPr fontId="1" type="noConversion"/>
  </si>
  <si>
    <t>全队三围+2</t>
  </si>
  <si>
    <t>全队三围+3</t>
  </si>
  <si>
    <t>全队三围+4</t>
  </si>
  <si>
    <t>加成效果1</t>
    <phoneticPr fontId="1" type="noConversion"/>
  </si>
  <si>
    <t>加成效果2</t>
  </si>
  <si>
    <t>全队免伤+1%</t>
  </si>
  <si>
    <t>全队免伤+1%</t>
    <phoneticPr fontId="1" type="noConversion"/>
  </si>
  <si>
    <t>全队武将伤害+1%</t>
    <phoneticPr fontId="1" type="noConversion"/>
  </si>
  <si>
    <t>全队士兵伤害+1%</t>
    <phoneticPr fontId="1" type="noConversion"/>
  </si>
  <si>
    <t>加成效果3</t>
  </si>
  <si>
    <t>全队武将伤害+2%</t>
    <phoneticPr fontId="1" type="noConversion"/>
  </si>
  <si>
    <t>全队士兵伤害+2%</t>
    <phoneticPr fontId="1" type="noConversion"/>
  </si>
  <si>
    <t>全队免伤+2%</t>
    <phoneticPr fontId="1" type="noConversion"/>
  </si>
  <si>
    <t>加成值</t>
    <phoneticPr fontId="1" type="noConversion"/>
  </si>
  <si>
    <t xml:space="preserve">羁绊升级需求 </t>
    <phoneticPr fontId="1" type="noConversion"/>
  </si>
  <si>
    <t>限时抽10连</t>
    <phoneticPr fontId="1" type="noConversion"/>
  </si>
  <si>
    <t>星级对应技能效用（怒气技+1~3特性）</t>
    <phoneticPr fontId="1" type="noConversion"/>
  </si>
  <si>
    <t>星级对应武将第4特性效用</t>
    <phoneticPr fontId="1" type="noConversion"/>
  </si>
  <si>
    <t>武将等级对应武将第4特性效用</t>
    <phoneticPr fontId="1" type="noConversion"/>
  </si>
  <si>
    <t>特性等级</t>
    <phoneticPr fontId="1" type="noConversion"/>
  </si>
  <si>
    <t>特性升级对应消耗升级道具数量</t>
    <phoneticPr fontId="1" type="noConversion"/>
  </si>
  <si>
    <t>道具1</t>
    <phoneticPr fontId="1" type="noConversion"/>
  </si>
  <si>
    <t>道具2</t>
  </si>
  <si>
    <t>道具3</t>
  </si>
  <si>
    <t>道具名称</t>
    <phoneticPr fontId="1" type="noConversion"/>
  </si>
  <si>
    <t>定价</t>
    <phoneticPr fontId="1" type="noConversion"/>
  </si>
  <si>
    <t>第4特性只影响士兵，故计算效用的时候不乘养成表中士兵分摊的系数</t>
    <phoneticPr fontId="1" type="noConversion"/>
  </si>
  <si>
    <t>累计</t>
    <phoneticPr fontId="1" type="noConversion"/>
  </si>
  <si>
    <t>星级对应武将第4特性等级</t>
    <phoneticPr fontId="1" type="noConversion"/>
  </si>
  <si>
    <t>特性道具</t>
    <phoneticPr fontId="1" type="noConversion"/>
  </si>
  <si>
    <t>各r对应第4特性技能效用</t>
    <phoneticPr fontId="1" type="noConversion"/>
  </si>
  <si>
    <t>4特性1级累计消耗道具1价值/武将</t>
    <phoneticPr fontId="1" type="noConversion"/>
  </si>
  <si>
    <t>4特性2级累计消耗道具2价值/武将</t>
    <phoneticPr fontId="1" type="noConversion"/>
  </si>
  <si>
    <t>4特性3级累计消耗道具3价值/武将</t>
    <phoneticPr fontId="1" type="noConversion"/>
  </si>
  <si>
    <t>特性等级对应累计消耗升级道具1数量</t>
    <phoneticPr fontId="1" type="noConversion"/>
  </si>
  <si>
    <t>特性等级对应累计消耗升级道具2数量</t>
    <phoneticPr fontId="1" type="noConversion"/>
  </si>
  <si>
    <t>特性等级对应累计消耗升级道具3数量</t>
    <phoneticPr fontId="1" type="noConversion"/>
  </si>
  <si>
    <r>
      <t>特性等级对应</t>
    </r>
    <r>
      <rPr>
        <sz val="9"/>
        <color rgb="FFFF0000"/>
        <rFont val="宋体"/>
        <family val="3"/>
        <charset val="134"/>
        <scheme val="minor"/>
      </rPr>
      <t>阶段</t>
    </r>
    <r>
      <rPr>
        <sz val="9"/>
        <color theme="1"/>
        <rFont val="宋体"/>
        <family val="3"/>
        <charset val="134"/>
        <scheme val="minor"/>
      </rPr>
      <t>消耗升级道具1数量</t>
    </r>
    <phoneticPr fontId="1" type="noConversion"/>
  </si>
  <si>
    <r>
      <t>特性等级对应</t>
    </r>
    <r>
      <rPr>
        <sz val="9"/>
        <color rgb="FFFF0000"/>
        <rFont val="宋体"/>
        <family val="3"/>
        <charset val="134"/>
        <scheme val="minor"/>
      </rPr>
      <t>阶段</t>
    </r>
    <r>
      <rPr>
        <sz val="9"/>
        <color theme="1"/>
        <rFont val="宋体"/>
        <family val="3"/>
        <charset val="134"/>
        <scheme val="minor"/>
      </rPr>
      <t>消耗升级道具2数量</t>
    </r>
    <phoneticPr fontId="1" type="noConversion"/>
  </si>
  <si>
    <r>
      <t>特性等级对应</t>
    </r>
    <r>
      <rPr>
        <sz val="9"/>
        <color rgb="FFFF0000"/>
        <rFont val="宋体"/>
        <family val="3"/>
        <charset val="134"/>
        <scheme val="minor"/>
      </rPr>
      <t>阶段</t>
    </r>
    <r>
      <rPr>
        <sz val="9"/>
        <color theme="1"/>
        <rFont val="宋体"/>
        <family val="3"/>
        <charset val="134"/>
        <scheme val="minor"/>
      </rPr>
      <t>消耗升级道具3数量</t>
    </r>
    <phoneticPr fontId="1" type="noConversion"/>
  </si>
  <si>
    <t>活动抽</t>
  </si>
  <si>
    <t>概率</t>
  </si>
  <si>
    <t>抽取个数</t>
  </si>
  <si>
    <t>奖池价值</t>
    <phoneticPr fontId="1" type="noConversion"/>
  </si>
  <si>
    <t>其他道具</t>
    <phoneticPr fontId="1" type="noConversion"/>
  </si>
  <si>
    <t>140武将</t>
    <phoneticPr fontId="1" type="noConversion"/>
  </si>
  <si>
    <t>预估抽取1个140武将花费</t>
    <phoneticPr fontId="1" type="noConversion"/>
  </si>
  <si>
    <t>每抽赠送价值</t>
    <phoneticPr fontId="1" type="noConversion"/>
  </si>
  <si>
    <t>黄金</t>
  </si>
  <si>
    <t>通用3小时加速令</t>
  </si>
  <si>
    <t>通用1小时加速令</t>
  </si>
  <si>
    <t>一袋刀币</t>
  </si>
  <si>
    <t>一贯刀币</t>
  </si>
  <si>
    <t>特级装备淬炼</t>
  </si>
  <si>
    <t>橙色装备宝箱</t>
  </si>
  <si>
    <t>红色装备宝箱</t>
  </si>
  <si>
    <t>140指定武将碎片</t>
    <phoneticPr fontId="1" type="noConversion"/>
  </si>
  <si>
    <t>数量</t>
    <phoneticPr fontId="1" type="noConversion"/>
  </si>
  <si>
    <t>橙色武将随机碎片</t>
    <phoneticPr fontId="1" type="noConversion"/>
  </si>
  <si>
    <t>紫色武将随机碎片</t>
    <phoneticPr fontId="1" type="noConversion"/>
  </si>
  <si>
    <t>150抽</t>
    <phoneticPr fontId="1" type="noConversion"/>
  </si>
  <si>
    <t>红色武将星级对应任意卡阶段消耗</t>
    <phoneticPr fontId="1" type="noConversion"/>
  </si>
  <si>
    <t>红色武将星级对应任意卡累计消耗</t>
    <phoneticPr fontId="1" type="noConversion"/>
  </si>
  <si>
    <t xml:space="preserve">羁绊升级阶段需求 </t>
    <phoneticPr fontId="1" type="noConversion"/>
  </si>
  <si>
    <t>抽奖券</t>
    <phoneticPr fontId="1" type="noConversion"/>
  </si>
  <si>
    <t>档位</t>
  </si>
  <si>
    <t>档位</t>
    <phoneticPr fontId="1" type="noConversion"/>
  </si>
  <si>
    <t>限购次数</t>
    <phoneticPr fontId="1" type="noConversion"/>
  </si>
  <si>
    <t>核心奖励</t>
    <phoneticPr fontId="1" type="noConversion"/>
  </si>
  <si>
    <t>返利比</t>
    <phoneticPr fontId="1" type="noConversion"/>
  </si>
  <si>
    <t>限量</t>
  </si>
  <si>
    <t>无限次</t>
    <phoneticPr fontId="1" type="noConversion"/>
  </si>
  <si>
    <t>日韩版本武将抽奖和价值说明：</t>
    <phoneticPr fontId="1" type="noConversion"/>
  </si>
  <si>
    <t>1、120武将随机价值上浮，指定价值不变</t>
    <phoneticPr fontId="1" type="noConversion"/>
  </si>
  <si>
    <t>2、点将台抽奖不再给10个通用5分钟加速令，改为给武将经验</t>
    <phoneticPr fontId="1" type="noConversion"/>
  </si>
  <si>
    <t>初级经验书</t>
  </si>
  <si>
    <t>中级经验书</t>
  </si>
  <si>
    <t>高级经验书</t>
  </si>
  <si>
    <t>特级经验书</t>
  </si>
  <si>
    <t>超级经验书</t>
  </si>
  <si>
    <t>祈愿</t>
    <phoneticPr fontId="1" type="noConversion"/>
  </si>
  <si>
    <t>普通抽</t>
    <phoneticPr fontId="1" type="noConversion"/>
  </si>
  <si>
    <t>单抽价格</t>
    <phoneticPr fontId="1" type="noConversion"/>
  </si>
  <si>
    <t>限时单抽</t>
    <phoneticPr fontId="1" type="noConversion"/>
  </si>
  <si>
    <t>单抽非角色部分价值</t>
    <phoneticPr fontId="1" type="noConversion"/>
  </si>
  <si>
    <t>单抽额外价值</t>
    <phoneticPr fontId="1" type="noConversion"/>
  </si>
  <si>
    <t>攻城负重强化</t>
    <phoneticPr fontId="1" type="noConversion"/>
  </si>
  <si>
    <t>星级对应攻城负重强化</t>
    <phoneticPr fontId="1" type="noConversion"/>
  </si>
  <si>
    <t>130抽将</t>
    <phoneticPr fontId="1" type="noConversion"/>
  </si>
  <si>
    <t>140抽将</t>
    <phoneticPr fontId="1" type="noConversion"/>
  </si>
  <si>
    <t>预估凑30碎片次数</t>
    <phoneticPr fontId="1" type="noConversion"/>
  </si>
  <si>
    <t>越南130在标准130基础上价值提高1.5倍</t>
    <phoneticPr fontId="1" type="noConversion"/>
  </si>
  <si>
    <t>越南140在标准140基础上价值提高1.5倍</t>
    <phoneticPr fontId="1" type="noConversion"/>
  </si>
  <si>
    <t>科技树</t>
    <phoneticPr fontId="1" type="noConversion"/>
  </si>
  <si>
    <t>武将生命</t>
    <phoneticPr fontId="1" type="noConversion"/>
  </si>
  <si>
    <t>武将攻击</t>
    <phoneticPr fontId="1" type="noConversion"/>
  </si>
  <si>
    <t>士兵攻击</t>
    <phoneticPr fontId="1" type="noConversion"/>
  </si>
  <si>
    <t>士兵生命</t>
    <phoneticPr fontId="1" type="noConversion"/>
  </si>
  <si>
    <t>武将减伤</t>
    <phoneticPr fontId="1" type="noConversion"/>
  </si>
  <si>
    <t>武将伤害</t>
    <phoneticPr fontId="1" type="noConversion"/>
  </si>
  <si>
    <t>士兵伤害</t>
    <phoneticPr fontId="1" type="noConversion"/>
  </si>
  <si>
    <t>士兵减伤</t>
    <phoneticPr fontId="1" type="noConversion"/>
  </si>
  <si>
    <t>武将暴击</t>
    <phoneticPr fontId="1" type="noConversion"/>
  </si>
  <si>
    <t>武将命中</t>
    <phoneticPr fontId="1" type="noConversion"/>
  </si>
  <si>
    <t>武将闪避</t>
    <phoneticPr fontId="1" type="noConversion"/>
  </si>
  <si>
    <t>武将韧性</t>
    <phoneticPr fontId="1" type="noConversion"/>
  </si>
  <si>
    <t>武将武力</t>
    <phoneticPr fontId="1" type="noConversion"/>
  </si>
  <si>
    <t>武将智力</t>
    <phoneticPr fontId="1" type="noConversion"/>
  </si>
  <si>
    <t>武将统率</t>
    <phoneticPr fontId="1" type="noConversion"/>
  </si>
  <si>
    <t>带兵数</t>
    <phoneticPr fontId="1" type="noConversion"/>
  </si>
  <si>
    <t>属性加成</t>
    <phoneticPr fontId="1" type="noConversion"/>
  </si>
  <si>
    <t>效果加成</t>
    <phoneticPr fontId="1" type="noConversion"/>
  </si>
  <si>
    <t>武将获得穿甲</t>
    <phoneticPr fontId="1" type="noConversion"/>
  </si>
  <si>
    <t>武将控制与负面时间减少免疫</t>
    <phoneticPr fontId="1" type="noConversion"/>
  </si>
  <si>
    <t>开场18秒后给士兵恢复最大兵力10%</t>
  </si>
  <si>
    <t>士兵每秒恢复1.5%自身生命</t>
  </si>
  <si>
    <t>士兵攻击速度提升20，武将死亡失效</t>
  </si>
  <si>
    <t>士兵获得暴击提升10，攻击附加攻击力5%策略伤害，武将死亡失效</t>
  </si>
  <si>
    <t>士兵伤害提升12%，攻击附带3%概率眩晕效果，武将死亡失效</t>
  </si>
  <si>
    <t>武将获得最大生命提升，且获得基础生命恢复</t>
  </si>
  <si>
    <t>武将获得伤害减免，当遭受伤害生命过半时失效</t>
  </si>
  <si>
    <t>武将获得护盾时免疫负面效果与控制效果，且攻击有概率眩晕目标</t>
  </si>
  <si>
    <t>武将获得武力伤害提升，当我方武将死亡过半时失效</t>
  </si>
  <si>
    <t>武将获得攻击速度提升，开场X秒后失效（攻速提升不会额外获得怒气）</t>
  </si>
  <si>
    <t>武将攻击获得额外武力伤害，攻击获得概率击退效果</t>
  </si>
  <si>
    <t>武将释放怒气技能时根据附近敌人的数量获得护盾</t>
  </si>
  <si>
    <t>武将策略攻击时造成额外策略伤害，且对目标施加3秒负面效果</t>
  </si>
  <si>
    <t>武将攻击距离提升，攻击获得概率击退效果</t>
  </si>
  <si>
    <t>自身所释放的治疗量提升</t>
  </si>
  <si>
    <t>释放治疗类效果时为自身施加护盾</t>
  </si>
  <si>
    <t>自身释放的控制技能有概率令对方流血10秒（伤害根据智力加成）</t>
  </si>
  <si>
    <t>武将释放主动技能所需怒气减少10点</t>
  </si>
  <si>
    <t>等级</t>
    <phoneticPr fontId="1" type="noConversion"/>
  </si>
  <si>
    <t>同名卡</t>
    <phoneticPr fontId="1" type="noConversion"/>
  </si>
  <si>
    <t>科技数量</t>
    <phoneticPr fontId="1" type="noConversion"/>
  </si>
  <si>
    <t>天赋层级</t>
    <phoneticPr fontId="1" type="noConversion"/>
  </si>
  <si>
    <t>对应定义等级</t>
    <phoneticPr fontId="1" type="noConversion"/>
  </si>
  <si>
    <t>记忆关卡</t>
    <phoneticPr fontId="1" type="noConversion"/>
  </si>
  <si>
    <t>1级</t>
    <phoneticPr fontId="1" type="noConversion"/>
  </si>
  <si>
    <t>2级</t>
  </si>
  <si>
    <t>3级</t>
  </si>
  <si>
    <t>4级</t>
  </si>
  <si>
    <t>5级</t>
  </si>
  <si>
    <t>记忆副本</t>
    <phoneticPr fontId="1" type="noConversion"/>
  </si>
  <si>
    <t>记忆关卡</t>
    <phoneticPr fontId="1" type="noConversion"/>
  </si>
  <si>
    <t>140红</t>
    <phoneticPr fontId="1" type="noConversion"/>
  </si>
  <si>
    <t>各品质武将记忆副本难度等级</t>
    <phoneticPr fontId="1" type="noConversion"/>
  </si>
  <si>
    <t>难度标准</t>
    <phoneticPr fontId="1" type="noConversion"/>
  </si>
  <si>
    <t>非r</t>
    <phoneticPr fontId="1" type="noConversion"/>
  </si>
  <si>
    <t>中r</t>
    <phoneticPr fontId="1" type="noConversion"/>
  </si>
  <si>
    <t>天赋层级</t>
    <phoneticPr fontId="1" type="noConversion"/>
  </si>
  <si>
    <t>武将攻/血</t>
    <phoneticPr fontId="1" type="noConversion"/>
  </si>
  <si>
    <t>士兵攻/血</t>
    <phoneticPr fontId="1" type="noConversion"/>
  </si>
  <si>
    <t>天赋</t>
    <phoneticPr fontId="1" type="noConversion"/>
  </si>
  <si>
    <t>加成效果值</t>
    <phoneticPr fontId="1" type="noConversion"/>
  </si>
  <si>
    <t>130橙色武将天赋加成属性值</t>
    <phoneticPr fontId="1" type="noConversion"/>
  </si>
  <si>
    <t>140红色武将天赋加成属性值</t>
    <phoneticPr fontId="1" type="noConversion"/>
  </si>
  <si>
    <t>阶段产出记忆碎片</t>
    <phoneticPr fontId="1" type="noConversion"/>
  </si>
  <si>
    <t>将魂</t>
    <phoneticPr fontId="1" type="noConversion"/>
  </si>
  <si>
    <t>玩家阶段队伍实力</t>
  </si>
  <si>
    <t>130橙+武将</t>
    <phoneticPr fontId="1" type="noConversion"/>
  </si>
  <si>
    <t>130橙+</t>
    <phoneticPr fontId="1" type="noConversion"/>
  </si>
  <si>
    <t>对应非r实力</t>
    <phoneticPr fontId="1" type="noConversion"/>
  </si>
  <si>
    <t>设置标准实力</t>
    <phoneticPr fontId="1" type="noConversion"/>
  </si>
  <si>
    <t>各付费层级对应通关记忆关卡进度</t>
    <phoneticPr fontId="1" type="noConversion"/>
  </si>
  <si>
    <t>上阵武将天赋进度</t>
    <phoneticPr fontId="1" type="noConversion"/>
  </si>
  <si>
    <t>属性加成</t>
    <phoneticPr fontId="1" type="noConversion"/>
  </si>
  <si>
    <t>对应各类加成进度</t>
    <phoneticPr fontId="1" type="noConversion"/>
  </si>
  <si>
    <t>特性数量</t>
    <phoneticPr fontId="1" type="noConversion"/>
  </si>
  <si>
    <t>属性数量</t>
    <phoneticPr fontId="1" type="noConversion"/>
  </si>
  <si>
    <t>特性效果</t>
    <phoneticPr fontId="1" type="noConversion"/>
  </si>
  <si>
    <t>阶段</t>
    <phoneticPr fontId="1" type="noConversion"/>
  </si>
  <si>
    <t>累计</t>
    <phoneticPr fontId="1" type="noConversion"/>
  </si>
  <si>
    <t>加成属性</t>
    <phoneticPr fontId="1" type="noConversion"/>
  </si>
  <si>
    <t>总计</t>
    <phoneticPr fontId="1" type="noConversion"/>
  </si>
  <si>
    <t>投放节奏对应上阵武将天赋养成进度</t>
  </si>
  <si>
    <t>各付费层级获得记忆碎片对应天赋达成进度</t>
    <phoneticPr fontId="1" type="noConversion"/>
  </si>
  <si>
    <t>各品质武将对应分解获得将魂数量</t>
    <phoneticPr fontId="1" type="noConversion"/>
  </si>
  <si>
    <t>定义等级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</si>
  <si>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</si>
  <si>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</si>
  <si>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</si>
  <si>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</si>
  <si>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</si>
  <si>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特性效用</t>
    <phoneticPr fontId="1" type="noConversion"/>
  </si>
  <si>
    <t>累计产出记忆碎片</t>
    <phoneticPr fontId="1" type="noConversion"/>
  </si>
  <si>
    <t>注：记忆碎片每个武将单独一种</t>
    <phoneticPr fontId="1" type="noConversion"/>
  </si>
  <si>
    <t>阶段</t>
    <phoneticPr fontId="1" type="noConversion"/>
  </si>
  <si>
    <t>累计</t>
    <phoneticPr fontId="1" type="noConversion"/>
  </si>
  <si>
    <t>武将攻击</t>
    <phoneticPr fontId="1" type="noConversion"/>
  </si>
  <si>
    <t>武将血</t>
    <phoneticPr fontId="1" type="noConversion"/>
  </si>
  <si>
    <t>士兵攻</t>
    <phoneticPr fontId="1" type="noConversion"/>
  </si>
  <si>
    <t>士兵血</t>
    <phoneticPr fontId="1" type="noConversion"/>
  </si>
  <si>
    <t>带兵数</t>
    <phoneticPr fontId="1" type="noConversion"/>
  </si>
  <si>
    <t>武将增伤</t>
    <phoneticPr fontId="1" type="noConversion"/>
  </si>
  <si>
    <t>武将减伤</t>
    <phoneticPr fontId="1" type="noConversion"/>
  </si>
  <si>
    <t>士兵增伤</t>
    <phoneticPr fontId="1" type="noConversion"/>
  </si>
  <si>
    <t>士兵减伤</t>
    <phoneticPr fontId="1" type="noConversion"/>
  </si>
  <si>
    <t>同名卡数量</t>
    <phoneticPr fontId="1" type="noConversion"/>
  </si>
  <si>
    <t>同名卡价值</t>
    <phoneticPr fontId="1" type="noConversion"/>
  </si>
  <si>
    <t>1张同名卡</t>
    <phoneticPr fontId="1" type="noConversion"/>
  </si>
  <si>
    <t>=</t>
    <phoneticPr fontId="1" type="noConversion"/>
  </si>
  <si>
    <t>天赋点</t>
    <phoneticPr fontId="1" type="noConversion"/>
  </si>
  <si>
    <t>武将天赋支线数量</t>
    <phoneticPr fontId="1" type="noConversion"/>
  </si>
  <si>
    <t>天赋阶段数量/单支线路</t>
    <phoneticPr fontId="1" type="noConversion"/>
  </si>
  <si>
    <t>各天赋等级对应将魂阶段消耗/单支天赋</t>
    <phoneticPr fontId="1" type="noConversion"/>
  </si>
  <si>
    <t>各天赋等级对应同名卡阶段消耗/单支天赋</t>
    <phoneticPr fontId="1" type="noConversion"/>
  </si>
  <si>
    <t>各天赋等级对应记忆碎片阶段消耗/单支天赋</t>
    <phoneticPr fontId="1" type="noConversion"/>
  </si>
  <si>
    <t>将魂阶段消耗</t>
    <phoneticPr fontId="1" type="noConversion"/>
  </si>
  <si>
    <t>记忆碎片消耗/1个武将</t>
    <phoneticPr fontId="1" type="noConversion"/>
  </si>
  <si>
    <t>同名卡消耗/1个武将</t>
    <phoneticPr fontId="1" type="noConversion"/>
  </si>
  <si>
    <t>各付费层级对应将魂累计消耗/主力队伍</t>
    <phoneticPr fontId="1" type="noConversion"/>
  </si>
  <si>
    <t>将魂累计消耗/1个武将</t>
    <phoneticPr fontId="1" type="noConversion"/>
  </si>
  <si>
    <t>同名卡累计消耗/1个武将</t>
    <phoneticPr fontId="1" type="noConversion"/>
  </si>
  <si>
    <t>分解武将获得1点将魂消耗刀币数量=</t>
    <phoneticPr fontId="1" type="noConversion"/>
  </si>
  <si>
    <t>130抽将的卡池会有4个伪130武将，这4个武将的抽出概率=</t>
    <phoneticPr fontId="1" type="noConversion"/>
  </si>
  <si>
    <r>
      <t>橙色及以下品质星级对应</t>
    </r>
    <r>
      <rPr>
        <sz val="9"/>
        <color rgb="FFFF0000"/>
        <rFont val="宋体"/>
        <family val="3"/>
        <charset val="134"/>
        <scheme val="minor"/>
      </rPr>
      <t>同资质卡</t>
    </r>
    <r>
      <rPr>
        <sz val="9"/>
        <color theme="1"/>
        <rFont val="宋体"/>
        <family val="3"/>
        <charset val="134"/>
        <scheme val="minor"/>
      </rPr>
      <t>阶段消耗</t>
    </r>
    <phoneticPr fontId="1" type="noConversion"/>
  </si>
  <si>
    <r>
      <t>橙+色星级对应</t>
    </r>
    <r>
      <rPr>
        <sz val="9"/>
        <color rgb="FFFF0000"/>
        <rFont val="宋体"/>
        <family val="3"/>
        <charset val="134"/>
        <scheme val="minor"/>
      </rPr>
      <t>指定资质卡</t>
    </r>
    <r>
      <rPr>
        <sz val="9"/>
        <color theme="1"/>
        <rFont val="宋体"/>
        <family val="3"/>
        <charset val="134"/>
        <scheme val="minor"/>
      </rPr>
      <t>阶段消耗</t>
    </r>
    <phoneticPr fontId="1" type="noConversion"/>
  </si>
  <si>
    <r>
      <t>红色星级对应</t>
    </r>
    <r>
      <rPr>
        <sz val="9"/>
        <color rgb="FFFF0000"/>
        <rFont val="宋体"/>
        <family val="3"/>
        <charset val="134"/>
        <scheme val="minor"/>
      </rPr>
      <t>指定资质卡</t>
    </r>
    <r>
      <rPr>
        <sz val="9"/>
        <color theme="1"/>
        <rFont val="宋体"/>
        <family val="3"/>
        <charset val="134"/>
        <scheme val="minor"/>
      </rPr>
      <t>阶段消耗</t>
    </r>
    <phoneticPr fontId="1" type="noConversion"/>
  </si>
  <si>
    <r>
      <t>橙+色星级对应</t>
    </r>
    <r>
      <rPr>
        <sz val="9"/>
        <color rgb="FFFF0000"/>
        <rFont val="宋体"/>
        <family val="3"/>
        <charset val="134"/>
        <scheme val="minor"/>
      </rPr>
      <t>指定资质</t>
    </r>
    <r>
      <rPr>
        <sz val="9"/>
        <color theme="1"/>
        <rFont val="宋体"/>
        <family val="3"/>
        <charset val="134"/>
        <scheme val="minor"/>
      </rPr>
      <t>累计消耗</t>
    </r>
    <phoneticPr fontId="1" type="noConversion"/>
  </si>
  <si>
    <r>
      <t>红色星级对应</t>
    </r>
    <r>
      <rPr>
        <sz val="9"/>
        <color rgb="FFFF0000"/>
        <rFont val="宋体"/>
        <family val="3"/>
        <charset val="134"/>
        <scheme val="minor"/>
      </rPr>
      <t>指定资质</t>
    </r>
    <r>
      <rPr>
        <sz val="9"/>
        <color theme="1"/>
        <rFont val="宋体"/>
        <family val="3"/>
        <charset val="134"/>
        <scheme val="minor"/>
      </rPr>
      <t>累计消耗</t>
    </r>
    <phoneticPr fontId="1" type="noConversion"/>
  </si>
  <si>
    <t>橙+将不在限时抽卡中的定价为14400钻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</si>
</sst>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%"/>
    <numFmt numFmtId="177" formatCode="0.00_);[Red]\(0.00\)"/>
    <numFmt numFmtId="178" formatCode="0.000%"/>
    <numFmt numFmtId="179" formatCode="0.00_ "/>
    <numFmt numFmtId="180" formatCode="0.0000000000000000%"/>
    <numFmt numFmtId="181" formatCode="0.0000%"/>
    <numFmt numFmtId="182" formatCode="0.000_);[Red]\(0.000\)"/>
  </numFmts>
  <fonts count="18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9"/>
      <color rgb="FFFF0000"/>
      <name val="宋体"/>
      <family val="2"/>
      <scheme val="minor"/>
    </font>
    <font>
      <sz val="9"/>
      <color rgb="FFFF0000"/>
      <name val="宋体"/>
      <family val="3"/>
      <charset val="134"/>
      <scheme val="minor"/>
    </font>
    <font>
      <sz val="9"/>
      <color theme="1"/>
      <name val="宋体"/>
      <family val="3"/>
      <charset val="134"/>
    </font>
    <font>
      <sz val="9"/>
      <name val="宋体"/>
      <family val="2"/>
      <scheme val="minor"/>
    </font>
    <font>
      <sz val="9"/>
      <name val="宋体"/>
      <family val="3"/>
      <charset val="134"/>
    </font>
    <font>
      <sz val="9"/>
      <color theme="0" tint="-0.34998626667073579"/>
      <name val="宋体"/>
      <family val="3"/>
      <charset val="134"/>
      <scheme val="minor"/>
    </font>
    <font>
      <sz val="9"/>
      <color rgb="FF0070C0"/>
      <name val="宋体"/>
      <family val="3"/>
      <charset val="134"/>
      <scheme val="minor"/>
    </font>
    <font>
      <sz val="9"/>
      <color theme="0" tint="-0.249977111117893"/>
      <name val="宋体"/>
      <family val="2"/>
      <scheme val="minor"/>
    </font>
    <font>
      <sz val="9"/>
      <color theme="0" tint="-0.249977111117893"/>
      <name val="宋体"/>
      <family val="3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>
      <alignment vertical="center"/>
    </xf>
  </cellStyleXfs>
  <cellXfs count="206">
    <xf numFmtId="0" fontId="0" fillId="0" borderId="0" xfId="0"/>
    <xf numFmtId="0" fontId="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9" fontId="4" fillId="0" borderId="0" xfId="0" applyNumberFormat="1" applyFont="1" applyAlignment="1">
      <alignment horizontal="center"/>
    </xf>
    <xf numFmtId="0" fontId="4" fillId="0" borderId="0" xfId="0" applyFont="1"/>
    <xf numFmtId="0" fontId="5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1" xfId="0" applyFont="1" applyBorder="1"/>
    <xf numFmtId="0" fontId="5" fillId="2" borderId="0" xfId="0" applyFont="1" applyFill="1" applyAlignment="1">
      <alignment horizontal="center"/>
    </xf>
    <xf numFmtId="9" fontId="4" fillId="0" borderId="1" xfId="0" applyNumberFormat="1" applyFont="1" applyBorder="1" applyAlignment="1">
      <alignment horizontal="center"/>
    </xf>
    <xf numFmtId="9" fontId="5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0" xfId="0" applyFont="1" applyFill="1"/>
    <xf numFmtId="0" fontId="4" fillId="0" borderId="5" xfId="0" applyFont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4" fillId="0" borderId="6" xfId="0" applyFont="1" applyBorder="1" applyAlignment="1">
      <alignment horizontal="center" vertical="center"/>
    </xf>
    <xf numFmtId="9" fontId="5" fillId="0" borderId="0" xfId="1" applyFont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/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top"/>
    </xf>
    <xf numFmtId="0" fontId="4" fillId="0" borderId="1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9" fontId="5" fillId="0" borderId="1" xfId="1" applyFont="1" applyBorder="1" applyAlignment="1">
      <alignment horizontal="center" vertical="center"/>
    </xf>
    <xf numFmtId="0" fontId="4" fillId="0" borderId="1" xfId="0" applyFont="1" applyBorder="1"/>
    <xf numFmtId="10" fontId="4" fillId="0" borderId="1" xfId="0" applyNumberFormat="1" applyFont="1" applyBorder="1" applyAlignment="1">
      <alignment horizontal="center" vertical="center"/>
    </xf>
    <xf numFmtId="9" fontId="4" fillId="0" borderId="0" xfId="1" applyFont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12" fillId="2" borderId="0" xfId="0" applyFont="1" applyFill="1"/>
    <xf numFmtId="9" fontId="4" fillId="0" borderId="1" xfId="1" applyFont="1" applyBorder="1" applyAlignment="1">
      <alignment horizontal="center" vertical="center"/>
    </xf>
    <xf numFmtId="0" fontId="4" fillId="0" borderId="1" xfId="1" applyNumberFormat="1" applyFont="1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6" fontId="4" fillId="0" borderId="4" xfId="0" applyNumberFormat="1" applyFont="1" applyBorder="1" applyAlignment="1">
      <alignment horizontal="center"/>
    </xf>
    <xf numFmtId="0" fontId="4" fillId="5" borderId="1" xfId="0" applyFont="1" applyFill="1" applyBorder="1" applyAlignment="1">
      <alignment horizontal="center" vertical="center"/>
    </xf>
    <xf numFmtId="0" fontId="5" fillId="5" borderId="1" xfId="0" applyFont="1" applyFill="1" applyBorder="1"/>
    <xf numFmtId="176" fontId="4" fillId="0" borderId="1" xfId="0" applyNumberFormat="1" applyFont="1" applyBorder="1" applyAlignment="1">
      <alignment horizontal="center"/>
    </xf>
    <xf numFmtId="178" fontId="4" fillId="0" borderId="4" xfId="0" applyNumberFormat="1" applyFont="1" applyBorder="1" applyAlignment="1">
      <alignment horizontal="center"/>
    </xf>
    <xf numFmtId="0" fontId="5" fillId="5" borderId="1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179" fontId="4" fillId="0" borderId="1" xfId="0" applyNumberFormat="1" applyFont="1" applyBorder="1" applyAlignment="1">
      <alignment horizontal="center" vertical="center"/>
    </xf>
    <xf numFmtId="9" fontId="5" fillId="0" borderId="0" xfId="0" applyNumberFormat="1" applyFont="1"/>
    <xf numFmtId="0" fontId="5" fillId="0" borderId="1" xfId="0" applyFont="1" applyBorder="1" applyAlignment="1">
      <alignment horizontal="left"/>
    </xf>
    <xf numFmtId="0" fontId="5" fillId="0" borderId="5" xfId="0" applyFont="1" applyBorder="1" applyAlignment="1">
      <alignment horizontal="center"/>
    </xf>
    <xf numFmtId="0" fontId="5" fillId="0" borderId="4" xfId="0" applyFont="1" applyBorder="1"/>
    <xf numFmtId="9" fontId="5" fillId="0" borderId="0" xfId="0" applyNumberFormat="1" applyFont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4" xfId="0" applyFont="1" applyBorder="1" applyAlignment="1">
      <alignment vertical="center"/>
    </xf>
    <xf numFmtId="0" fontId="1" fillId="6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1" fillId="9" borderId="1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/>
    <xf numFmtId="0" fontId="5" fillId="4" borderId="0" xfId="0" applyFont="1" applyFill="1" applyAlignment="1">
      <alignment horizontal="center" vertical="center"/>
    </xf>
    <xf numFmtId="0" fontId="5" fillId="0" borderId="0" xfId="0" applyFont="1" applyAlignment="1">
      <alignment vertical="center"/>
    </xf>
    <xf numFmtId="0" fontId="4" fillId="0" borderId="1" xfId="0" applyFont="1" applyBorder="1" applyAlignment="1">
      <alignment vertical="center"/>
    </xf>
    <xf numFmtId="0" fontId="5" fillId="2" borderId="0" xfId="0" applyFont="1" applyFill="1" applyAlignment="1">
      <alignment vertical="center"/>
    </xf>
    <xf numFmtId="0" fontId="5" fillId="0" borderId="1" xfId="0" applyFont="1" applyBorder="1" applyAlignment="1">
      <alignment vertical="center"/>
    </xf>
    <xf numFmtId="0" fontId="5" fillId="5" borderId="1" xfId="0" applyFont="1" applyFill="1" applyBorder="1" applyAlignment="1">
      <alignment vertical="center"/>
    </xf>
    <xf numFmtId="10" fontId="5" fillId="0" borderId="0" xfId="0" applyNumberFormat="1" applyFont="1" applyAlignment="1">
      <alignment vertical="center"/>
    </xf>
    <xf numFmtId="9" fontId="5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11" fillId="0" borderId="1" xfId="0" applyFont="1" applyBorder="1" applyAlignment="1">
      <alignment horizontal="center" vertical="center"/>
    </xf>
    <xf numFmtId="9" fontId="11" fillId="0" borderId="0" xfId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11" fillId="4" borderId="1" xfId="0" applyFont="1" applyFill="1" applyBorder="1" applyAlignment="1">
      <alignment horizontal="center" vertical="center"/>
    </xf>
    <xf numFmtId="178" fontId="5" fillId="0" borderId="0" xfId="0" applyNumberFormat="1" applyFont="1"/>
    <xf numFmtId="180" fontId="4" fillId="0" borderId="0" xfId="0" applyNumberFormat="1" applyFont="1" applyAlignment="1">
      <alignment horizontal="center" vertical="center"/>
    </xf>
    <xf numFmtId="2" fontId="5" fillId="0" borderId="0" xfId="0" applyNumberFormat="1" applyFont="1"/>
    <xf numFmtId="0" fontId="9" fillId="0" borderId="0" xfId="0" applyFont="1" applyAlignment="1">
      <alignment horizontal="center"/>
    </xf>
    <xf numFmtId="0" fontId="4" fillId="0" borderId="0" xfId="0" applyFont="1" applyAlignment="1">
      <alignment horizontal="right" vertical="center"/>
    </xf>
    <xf numFmtId="9" fontId="4" fillId="0" borderId="0" xfId="0" applyNumberFormat="1" applyFont="1" applyAlignment="1">
      <alignment horizontal="center" vertical="center"/>
    </xf>
    <xf numFmtId="178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right"/>
    </xf>
    <xf numFmtId="176" fontId="4" fillId="0" borderId="1" xfId="0" applyNumberFormat="1" applyFont="1" applyBorder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0" fontId="5" fillId="0" borderId="0" xfId="0" applyNumberFormat="1" applyFont="1" applyAlignment="1">
      <alignment horizontal="center" vertical="center"/>
    </xf>
    <xf numFmtId="176" fontId="5" fillId="0" borderId="0" xfId="1" applyNumberFormat="1" applyFont="1" applyAlignment="1">
      <alignment horizontal="center"/>
    </xf>
    <xf numFmtId="0" fontId="4" fillId="11" borderId="0" xfId="0" applyFont="1" applyFill="1" applyAlignment="1">
      <alignment horizontal="center"/>
    </xf>
    <xf numFmtId="181" fontId="4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center"/>
    </xf>
    <xf numFmtId="0" fontId="5" fillId="2" borderId="0" xfId="0" applyFont="1" applyFill="1" applyAlignment="1">
      <alignment horizontal="center" vertical="center"/>
    </xf>
    <xf numFmtId="182" fontId="5" fillId="0" borderId="0" xfId="0" applyNumberFormat="1" applyFont="1" applyAlignment="1">
      <alignment horizontal="center" vertical="center"/>
    </xf>
    <xf numFmtId="0" fontId="5" fillId="4" borderId="1" xfId="0" applyFont="1" applyFill="1" applyBorder="1"/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79" fontId="1" fillId="0" borderId="1" xfId="0" applyNumberFormat="1" applyFont="1" applyBorder="1" applyAlignment="1">
      <alignment horizontal="center" vertical="center"/>
    </xf>
    <xf numFmtId="10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178" fontId="4" fillId="0" borderId="1" xfId="0" applyNumberFormat="1" applyFont="1" applyBorder="1" applyAlignment="1">
      <alignment horizontal="center" vertical="center"/>
    </xf>
    <xf numFmtId="176" fontId="4" fillId="0" borderId="4" xfId="0" applyNumberFormat="1" applyFont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12" borderId="0" xfId="0" applyFont="1" applyFill="1" applyAlignment="1">
      <alignment horizontal="center"/>
    </xf>
    <xf numFmtId="176" fontId="5" fillId="0" borderId="0" xfId="0" applyNumberFormat="1" applyFont="1" applyAlignment="1">
      <alignment vertical="center"/>
    </xf>
    <xf numFmtId="176" fontId="4" fillId="2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/>
    </xf>
    <xf numFmtId="178" fontId="11" fillId="0" borderId="4" xfId="0" applyNumberFormat="1" applyFont="1" applyBorder="1" applyAlignment="1">
      <alignment horizontal="center" vertical="center"/>
    </xf>
    <xf numFmtId="178" fontId="11" fillId="0" borderId="1" xfId="0" applyNumberFormat="1" applyFont="1" applyBorder="1" applyAlignment="1">
      <alignment horizontal="center" vertical="center"/>
    </xf>
    <xf numFmtId="176" fontId="11" fillId="0" borderId="1" xfId="0" applyNumberFormat="1" applyFont="1" applyBorder="1" applyAlignment="1">
      <alignment horizontal="center" vertical="center"/>
    </xf>
    <xf numFmtId="9" fontId="11" fillId="0" borderId="1" xfId="0" applyNumberFormat="1" applyFont="1" applyBorder="1" applyAlignment="1">
      <alignment horizontal="center" vertical="center"/>
    </xf>
    <xf numFmtId="176" fontId="11" fillId="0" borderId="0" xfId="0" applyNumberFormat="1" applyFont="1" applyAlignment="1">
      <alignment horizontal="center" vertical="center"/>
    </xf>
    <xf numFmtId="176" fontId="11" fillId="0" borderId="4" xfId="0" applyNumberFormat="1" applyFont="1" applyBorder="1" applyAlignment="1">
      <alignment horizontal="center" vertical="center"/>
    </xf>
    <xf numFmtId="177" fontId="11" fillId="0" borderId="0" xfId="0" applyNumberFormat="1" applyFont="1" applyAlignment="1">
      <alignment horizontal="center" vertical="center"/>
    </xf>
    <xf numFmtId="9" fontId="11" fillId="0" borderId="0" xfId="0" applyNumberFormat="1" applyFont="1" applyAlignment="1">
      <alignment horizontal="center" vertical="center"/>
    </xf>
    <xf numFmtId="178" fontId="11" fillId="0" borderId="0" xfId="0" applyNumberFormat="1" applyFont="1" applyAlignment="1">
      <alignment horizontal="center" vertical="center"/>
    </xf>
    <xf numFmtId="181" fontId="11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4" fillId="0" borderId="1" xfId="0" applyFont="1" applyBorder="1" applyAlignment="1">
      <alignment horizontal="right" vertical="center"/>
    </xf>
    <xf numFmtId="0" fontId="9" fillId="0" borderId="0" xfId="0" applyFont="1" applyAlignment="1">
      <alignment horizontal="left" vertical="center"/>
    </xf>
    <xf numFmtId="9" fontId="4" fillId="11" borderId="0" xfId="0" applyNumberFormat="1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4" fillId="7" borderId="0" xfId="0" applyFont="1" applyFill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13" borderId="0" xfId="0" applyFont="1" applyFill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right" vertical="center"/>
    </xf>
    <xf numFmtId="176" fontId="1" fillId="0" borderId="0" xfId="0" applyNumberFormat="1" applyFont="1" applyAlignment="1">
      <alignment horizontal="center" vertical="center"/>
    </xf>
    <xf numFmtId="9" fontId="4" fillId="5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5" fillId="0" borderId="1" xfId="0" applyFont="1" applyBorder="1" applyAlignment="1">
      <alignment horizont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 wrapText="1"/>
    </xf>
    <xf numFmtId="0" fontId="11" fillId="0" borderId="6" xfId="0" applyFont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178" fontId="4" fillId="0" borderId="4" xfId="0" applyNumberFormat="1" applyFont="1" applyBorder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5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4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externalLink" Target="externalLinks/externalLink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395287</xdr:colOff>
      <xdr:row>4</xdr:row>
      <xdr:rowOff>0</xdr:rowOff>
    </xdr:from>
    <xdr:to>
      <xdr:col>5</xdr:col>
      <xdr:colOff>109537</xdr:colOff>
      <xdr:row>5</xdr:row>
      <xdr:rowOff>133350</xdr:rowOff>
    </xdr:to>
    <xdr:sp macro="" textlink="">
      <xdr:nvSpPr>
        <xdr:cNvPr id="3" name="矩形: 圆角 2">
          <a:extLst>
            <a:ext uri="{FF2B5EF4-FFF2-40B4-BE49-F238E27FC236}">
              <a16:creationId xmlns:a16="http://schemas.microsoft.com/office/drawing/2014/main" id="{AFB62EC1-115C-ADA6-2ED9-305967684CFC}"/>
            </a:ext>
          </a:extLst>
        </xdr:cNvPr>
        <xdr:cNvSpPr/>
      </xdr:nvSpPr>
      <xdr:spPr>
        <a:xfrm>
          <a:off x="1909762" y="571500"/>
          <a:ext cx="723900" cy="27622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zh-CN" altLang="en-US" sz="1100"/>
        </a:p>
      </xdr:txBody>
    </xdr:sp>
    <xdr:clientData/>
  </xdr:twoCellAnchor>
  <xdr:twoCellAnchor>
    <xdr:from>
      <xdr:col>2</xdr:col>
      <xdr:colOff>219075</xdr:colOff>
      <xdr:row>9</xdr:row>
      <xdr:rowOff>19050</xdr:rowOff>
    </xdr:from>
    <xdr:to>
      <xdr:col>3</xdr:col>
      <xdr:colOff>438150</xdr:colOff>
      <xdr:row>11</xdr:row>
      <xdr:rowOff>9525</xdr:rowOff>
    </xdr:to>
    <xdr:sp macro="" textlink="">
      <xdr:nvSpPr>
        <xdr:cNvPr id="4" name="矩形: 圆角 3">
          <a:extLst>
            <a:ext uri="{FF2B5EF4-FFF2-40B4-BE49-F238E27FC236}">
              <a16:creationId xmlns:a16="http://schemas.microsoft.com/office/drawing/2014/main" id="{86976EEA-76F5-7B0D-ECB0-DD6725808636}"/>
            </a:ext>
          </a:extLst>
        </xdr:cNvPr>
        <xdr:cNvSpPr/>
      </xdr:nvSpPr>
      <xdr:spPr>
        <a:xfrm>
          <a:off x="1228725" y="1304925"/>
          <a:ext cx="723900" cy="27622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zh-CN" altLang="en-US" sz="1100"/>
        </a:p>
      </xdr:txBody>
    </xdr:sp>
    <xdr:clientData/>
  </xdr:twoCellAnchor>
  <xdr:twoCellAnchor>
    <xdr:from>
      <xdr:col>5</xdr:col>
      <xdr:colOff>57150</xdr:colOff>
      <xdr:row>9</xdr:row>
      <xdr:rowOff>9525</xdr:rowOff>
    </xdr:from>
    <xdr:to>
      <xdr:col>6</xdr:col>
      <xdr:colOff>276225</xdr:colOff>
      <xdr:row>11</xdr:row>
      <xdr:rowOff>0</xdr:rowOff>
    </xdr:to>
    <xdr:sp macro="" textlink="">
      <xdr:nvSpPr>
        <xdr:cNvPr id="5" name="矩形: 圆角 4">
          <a:extLst>
            <a:ext uri="{FF2B5EF4-FFF2-40B4-BE49-F238E27FC236}">
              <a16:creationId xmlns:a16="http://schemas.microsoft.com/office/drawing/2014/main" id="{379E5D4B-DE06-3B59-6B58-A74D0DCBE037}"/>
            </a:ext>
          </a:extLst>
        </xdr:cNvPr>
        <xdr:cNvSpPr/>
      </xdr:nvSpPr>
      <xdr:spPr>
        <a:xfrm>
          <a:off x="2581275" y="1295400"/>
          <a:ext cx="723900" cy="27622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zh-CN" altLang="en-US" sz="1100"/>
        </a:p>
      </xdr:txBody>
    </xdr:sp>
    <xdr:clientData/>
  </xdr:twoCellAnchor>
  <xdr:twoCellAnchor>
    <xdr:from>
      <xdr:col>2</xdr:col>
      <xdr:colOff>219075</xdr:colOff>
      <xdr:row>15</xdr:row>
      <xdr:rowOff>0</xdr:rowOff>
    </xdr:from>
    <xdr:to>
      <xdr:col>3</xdr:col>
      <xdr:colOff>438150</xdr:colOff>
      <xdr:row>16</xdr:row>
      <xdr:rowOff>133350</xdr:rowOff>
    </xdr:to>
    <xdr:sp macro="" textlink="">
      <xdr:nvSpPr>
        <xdr:cNvPr id="6" name="矩形: 圆角 5">
          <a:extLst>
            <a:ext uri="{FF2B5EF4-FFF2-40B4-BE49-F238E27FC236}">
              <a16:creationId xmlns:a16="http://schemas.microsoft.com/office/drawing/2014/main" id="{1177470B-056D-89D4-6880-50E089D6BB4C}"/>
            </a:ext>
          </a:extLst>
        </xdr:cNvPr>
        <xdr:cNvSpPr/>
      </xdr:nvSpPr>
      <xdr:spPr>
        <a:xfrm>
          <a:off x="1228725" y="2143125"/>
          <a:ext cx="723900" cy="27622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zh-CN" altLang="en-US" sz="1100"/>
        </a:p>
      </xdr:txBody>
    </xdr:sp>
    <xdr:clientData/>
  </xdr:twoCellAnchor>
  <xdr:twoCellAnchor>
    <xdr:from>
      <xdr:col>5</xdr:col>
      <xdr:colOff>57150</xdr:colOff>
      <xdr:row>15</xdr:row>
      <xdr:rowOff>0</xdr:rowOff>
    </xdr:from>
    <xdr:to>
      <xdr:col>6</xdr:col>
      <xdr:colOff>276225</xdr:colOff>
      <xdr:row>16</xdr:row>
      <xdr:rowOff>133350</xdr:rowOff>
    </xdr:to>
    <xdr:sp macro="" textlink="">
      <xdr:nvSpPr>
        <xdr:cNvPr id="7" name="矩形: 圆角 6">
          <a:extLst>
            <a:ext uri="{FF2B5EF4-FFF2-40B4-BE49-F238E27FC236}">
              <a16:creationId xmlns:a16="http://schemas.microsoft.com/office/drawing/2014/main" id="{E3EAFAEC-DCF3-C84D-4588-500650002F60}"/>
            </a:ext>
          </a:extLst>
        </xdr:cNvPr>
        <xdr:cNvSpPr/>
      </xdr:nvSpPr>
      <xdr:spPr>
        <a:xfrm>
          <a:off x="2581275" y="2143125"/>
          <a:ext cx="723900" cy="27622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zh-CN" altLang="en-US" sz="1100"/>
        </a:p>
      </xdr:txBody>
    </xdr:sp>
    <xdr:clientData/>
  </xdr:twoCellAnchor>
  <xdr:twoCellAnchor>
    <xdr:from>
      <xdr:col>3</xdr:col>
      <xdr:colOff>395287</xdr:colOff>
      <xdr:row>33</xdr:row>
      <xdr:rowOff>85725</xdr:rowOff>
    </xdr:from>
    <xdr:to>
      <xdr:col>5</xdr:col>
      <xdr:colOff>109537</xdr:colOff>
      <xdr:row>35</xdr:row>
      <xdr:rowOff>76200</xdr:rowOff>
    </xdr:to>
    <xdr:sp macro="" textlink="">
      <xdr:nvSpPr>
        <xdr:cNvPr id="8" name="矩形: 圆角 7">
          <a:extLst>
            <a:ext uri="{FF2B5EF4-FFF2-40B4-BE49-F238E27FC236}">
              <a16:creationId xmlns:a16="http://schemas.microsoft.com/office/drawing/2014/main" id="{E8A1B4F9-36A3-B080-41E7-4C0EA8A9B1D2}"/>
            </a:ext>
          </a:extLst>
        </xdr:cNvPr>
        <xdr:cNvSpPr/>
      </xdr:nvSpPr>
      <xdr:spPr>
        <a:xfrm>
          <a:off x="1909762" y="4800600"/>
          <a:ext cx="723900" cy="27622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zh-CN" altLang="en-US" sz="1100"/>
        </a:p>
      </xdr:txBody>
    </xdr:sp>
    <xdr:clientData/>
  </xdr:twoCellAnchor>
  <xdr:twoCellAnchor>
    <xdr:from>
      <xdr:col>6</xdr:col>
      <xdr:colOff>171450</xdr:colOff>
      <xdr:row>33</xdr:row>
      <xdr:rowOff>85725</xdr:rowOff>
    </xdr:from>
    <xdr:to>
      <xdr:col>7</xdr:col>
      <xdr:colOff>390525</xdr:colOff>
      <xdr:row>35</xdr:row>
      <xdr:rowOff>76200</xdr:rowOff>
    </xdr:to>
    <xdr:sp macro="" textlink="">
      <xdr:nvSpPr>
        <xdr:cNvPr id="10" name="矩形: 圆角 9">
          <a:extLst>
            <a:ext uri="{FF2B5EF4-FFF2-40B4-BE49-F238E27FC236}">
              <a16:creationId xmlns:a16="http://schemas.microsoft.com/office/drawing/2014/main" id="{440F87A1-908A-C528-865A-C98A61695432}"/>
            </a:ext>
          </a:extLst>
        </xdr:cNvPr>
        <xdr:cNvSpPr/>
      </xdr:nvSpPr>
      <xdr:spPr>
        <a:xfrm>
          <a:off x="3200400" y="4800600"/>
          <a:ext cx="723900" cy="27622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zh-CN" altLang="en-US" sz="1100"/>
        </a:p>
      </xdr:txBody>
    </xdr:sp>
    <xdr:clientData/>
  </xdr:twoCellAnchor>
  <xdr:twoCellAnchor>
    <xdr:from>
      <xdr:col>3</xdr:col>
      <xdr:colOff>395287</xdr:colOff>
      <xdr:row>39</xdr:row>
      <xdr:rowOff>114300</xdr:rowOff>
    </xdr:from>
    <xdr:to>
      <xdr:col>5</xdr:col>
      <xdr:colOff>109537</xdr:colOff>
      <xdr:row>41</xdr:row>
      <xdr:rowOff>104775</xdr:rowOff>
    </xdr:to>
    <xdr:sp macro="" textlink="">
      <xdr:nvSpPr>
        <xdr:cNvPr id="11" name="矩形: 圆角 10">
          <a:extLst>
            <a:ext uri="{FF2B5EF4-FFF2-40B4-BE49-F238E27FC236}">
              <a16:creationId xmlns:a16="http://schemas.microsoft.com/office/drawing/2014/main" id="{0E758184-1144-1B39-9AFF-F1C841D720E4}"/>
            </a:ext>
          </a:extLst>
        </xdr:cNvPr>
        <xdr:cNvSpPr/>
      </xdr:nvSpPr>
      <xdr:spPr>
        <a:xfrm>
          <a:off x="1909762" y="5686425"/>
          <a:ext cx="723900" cy="27622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特性</a:t>
          </a:r>
          <a:r>
            <a:rPr lang="en-US" altLang="zh-CN" sz="1100"/>
            <a:t>2</a:t>
          </a:r>
          <a:endParaRPr lang="zh-CN" altLang="en-US" sz="1100"/>
        </a:p>
      </xdr:txBody>
    </xdr:sp>
    <xdr:clientData/>
  </xdr:twoCellAnchor>
  <xdr:twoCellAnchor>
    <xdr:from>
      <xdr:col>1</xdr:col>
      <xdr:colOff>114300</xdr:colOff>
      <xdr:row>33</xdr:row>
      <xdr:rowOff>85725</xdr:rowOff>
    </xdr:from>
    <xdr:to>
      <xdr:col>2</xdr:col>
      <xdr:colOff>333375</xdr:colOff>
      <xdr:row>35</xdr:row>
      <xdr:rowOff>76200</xdr:rowOff>
    </xdr:to>
    <xdr:sp macro="" textlink="">
      <xdr:nvSpPr>
        <xdr:cNvPr id="12" name="矩形: 圆角 11">
          <a:extLst>
            <a:ext uri="{FF2B5EF4-FFF2-40B4-BE49-F238E27FC236}">
              <a16:creationId xmlns:a16="http://schemas.microsoft.com/office/drawing/2014/main" id="{DB02BDC1-8FAD-D9F0-ACC5-A05A93D62C0C}"/>
            </a:ext>
          </a:extLst>
        </xdr:cNvPr>
        <xdr:cNvSpPr/>
      </xdr:nvSpPr>
      <xdr:spPr>
        <a:xfrm>
          <a:off x="619125" y="4800600"/>
          <a:ext cx="723900" cy="27622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zh-CN" altLang="en-US" sz="1100"/>
        </a:p>
      </xdr:txBody>
    </xdr:sp>
    <xdr:clientData/>
  </xdr:twoCellAnchor>
  <xdr:twoCellAnchor>
    <xdr:from>
      <xdr:col>3</xdr:col>
      <xdr:colOff>76200</xdr:colOff>
      <xdr:row>5</xdr:row>
      <xdr:rowOff>133350</xdr:rowOff>
    </xdr:from>
    <xdr:to>
      <xdr:col>4</xdr:col>
      <xdr:colOff>252412</xdr:colOff>
      <xdr:row>9</xdr:row>
      <xdr:rowOff>19050</xdr:rowOff>
    </xdr:to>
    <xdr:cxnSp macro="">
      <xdr:nvCxnSpPr>
        <xdr:cNvPr id="14" name="直接箭头连接符 13">
          <a:extLst>
            <a:ext uri="{FF2B5EF4-FFF2-40B4-BE49-F238E27FC236}">
              <a16:creationId xmlns:a16="http://schemas.microsoft.com/office/drawing/2014/main" id="{2B3210AB-D3F9-49DD-BFFC-5734BAF11AFB}"/>
            </a:ext>
          </a:extLst>
        </xdr:cNvPr>
        <xdr:cNvCxnSpPr>
          <a:stCxn id="3" idx="2"/>
          <a:endCxn id="4" idx="0"/>
        </xdr:cNvCxnSpPr>
      </xdr:nvCxnSpPr>
      <xdr:spPr>
        <a:xfrm flipH="1">
          <a:off x="1590675" y="847725"/>
          <a:ext cx="681037" cy="4572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252412</xdr:colOff>
      <xdr:row>5</xdr:row>
      <xdr:rowOff>133350</xdr:rowOff>
    </xdr:from>
    <xdr:to>
      <xdr:col>5</xdr:col>
      <xdr:colOff>419100</xdr:colOff>
      <xdr:row>9</xdr:row>
      <xdr:rowOff>9525</xdr:rowOff>
    </xdr:to>
    <xdr:cxnSp macro="">
      <xdr:nvCxnSpPr>
        <xdr:cNvPr id="16" name="直接箭头连接符 15">
          <a:extLst>
            <a:ext uri="{FF2B5EF4-FFF2-40B4-BE49-F238E27FC236}">
              <a16:creationId xmlns:a16="http://schemas.microsoft.com/office/drawing/2014/main" id="{DF48A130-4825-6BCF-6C26-4B2C018945F8}"/>
            </a:ext>
          </a:extLst>
        </xdr:cNvPr>
        <xdr:cNvCxnSpPr>
          <a:stCxn id="3" idx="2"/>
          <a:endCxn id="5" idx="0"/>
        </xdr:cNvCxnSpPr>
      </xdr:nvCxnSpPr>
      <xdr:spPr>
        <a:xfrm>
          <a:off x="2271712" y="847725"/>
          <a:ext cx="671513" cy="4476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76200</xdr:colOff>
      <xdr:row>11</xdr:row>
      <xdr:rowOff>9525</xdr:rowOff>
    </xdr:from>
    <xdr:to>
      <xdr:col>3</xdr:col>
      <xdr:colOff>76200</xdr:colOff>
      <xdr:row>15</xdr:row>
      <xdr:rowOff>0</xdr:rowOff>
    </xdr:to>
    <xdr:cxnSp macro="">
      <xdr:nvCxnSpPr>
        <xdr:cNvPr id="18" name="直接箭头连接符 17">
          <a:extLst>
            <a:ext uri="{FF2B5EF4-FFF2-40B4-BE49-F238E27FC236}">
              <a16:creationId xmlns:a16="http://schemas.microsoft.com/office/drawing/2014/main" id="{0D03E834-5818-B350-B73E-71DEB3DF7BCD}"/>
            </a:ext>
          </a:extLst>
        </xdr:cNvPr>
        <xdr:cNvCxnSpPr>
          <a:stCxn id="4" idx="2"/>
          <a:endCxn id="6" idx="0"/>
        </xdr:cNvCxnSpPr>
      </xdr:nvCxnSpPr>
      <xdr:spPr>
        <a:xfrm>
          <a:off x="1590675" y="1581150"/>
          <a:ext cx="0" cy="5619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11</xdr:row>
      <xdr:rowOff>0</xdr:rowOff>
    </xdr:from>
    <xdr:to>
      <xdr:col>5</xdr:col>
      <xdr:colOff>419100</xdr:colOff>
      <xdr:row>15</xdr:row>
      <xdr:rowOff>0</xdr:rowOff>
    </xdr:to>
    <xdr:cxnSp macro="">
      <xdr:nvCxnSpPr>
        <xdr:cNvPr id="24" name="直接箭头连接符 23">
          <a:extLst>
            <a:ext uri="{FF2B5EF4-FFF2-40B4-BE49-F238E27FC236}">
              <a16:creationId xmlns:a16="http://schemas.microsoft.com/office/drawing/2014/main" id="{44F28B55-26D1-6DC5-3710-92207793EBF4}"/>
            </a:ext>
          </a:extLst>
        </xdr:cNvPr>
        <xdr:cNvCxnSpPr>
          <a:stCxn id="5" idx="2"/>
          <a:endCxn id="7" idx="0"/>
        </xdr:cNvCxnSpPr>
      </xdr:nvCxnSpPr>
      <xdr:spPr>
        <a:xfrm>
          <a:off x="2943225" y="1571625"/>
          <a:ext cx="0" cy="571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76200</xdr:colOff>
      <xdr:row>16</xdr:row>
      <xdr:rowOff>133350</xdr:rowOff>
    </xdr:from>
    <xdr:to>
      <xdr:col>4</xdr:col>
      <xdr:colOff>252412</xdr:colOff>
      <xdr:row>21</xdr:row>
      <xdr:rowOff>0</xdr:rowOff>
    </xdr:to>
    <xdr:cxnSp macro="">
      <xdr:nvCxnSpPr>
        <xdr:cNvPr id="26" name="直接箭头连接符 25">
          <a:extLst>
            <a:ext uri="{FF2B5EF4-FFF2-40B4-BE49-F238E27FC236}">
              <a16:creationId xmlns:a16="http://schemas.microsoft.com/office/drawing/2014/main" id="{1BA1861F-AF35-95C7-FA77-290CBAAE47A3}"/>
            </a:ext>
          </a:extLst>
        </xdr:cNvPr>
        <xdr:cNvCxnSpPr>
          <a:stCxn id="6" idx="2"/>
          <a:endCxn id="71" idx="0"/>
        </xdr:cNvCxnSpPr>
      </xdr:nvCxnSpPr>
      <xdr:spPr>
        <a:xfrm>
          <a:off x="1590675" y="2419350"/>
          <a:ext cx="681037" cy="5810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252412</xdr:colOff>
      <xdr:row>16</xdr:row>
      <xdr:rowOff>133350</xdr:rowOff>
    </xdr:from>
    <xdr:to>
      <xdr:col>5</xdr:col>
      <xdr:colOff>419100</xdr:colOff>
      <xdr:row>21</xdr:row>
      <xdr:rowOff>0</xdr:rowOff>
    </xdr:to>
    <xdr:cxnSp macro="">
      <xdr:nvCxnSpPr>
        <xdr:cNvPr id="32" name="直接箭头连接符 31">
          <a:extLst>
            <a:ext uri="{FF2B5EF4-FFF2-40B4-BE49-F238E27FC236}">
              <a16:creationId xmlns:a16="http://schemas.microsoft.com/office/drawing/2014/main" id="{F8B2E48C-F028-4FD3-BB67-A4970765B81E}"/>
            </a:ext>
          </a:extLst>
        </xdr:cNvPr>
        <xdr:cNvCxnSpPr>
          <a:stCxn id="7" idx="2"/>
          <a:endCxn id="71" idx="0"/>
        </xdr:cNvCxnSpPr>
      </xdr:nvCxnSpPr>
      <xdr:spPr>
        <a:xfrm flipH="1">
          <a:off x="2271712" y="2419350"/>
          <a:ext cx="671513" cy="5810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476250</xdr:colOff>
      <xdr:row>35</xdr:row>
      <xdr:rowOff>76200</xdr:rowOff>
    </xdr:from>
    <xdr:to>
      <xdr:col>4</xdr:col>
      <xdr:colOff>252412</xdr:colOff>
      <xdr:row>39</xdr:row>
      <xdr:rowOff>114300</xdr:rowOff>
    </xdr:to>
    <xdr:cxnSp macro="">
      <xdr:nvCxnSpPr>
        <xdr:cNvPr id="35" name="直接箭头连接符 34">
          <a:extLst>
            <a:ext uri="{FF2B5EF4-FFF2-40B4-BE49-F238E27FC236}">
              <a16:creationId xmlns:a16="http://schemas.microsoft.com/office/drawing/2014/main" id="{E984E092-0FB7-3D34-EE01-F70ADE674186}"/>
            </a:ext>
          </a:extLst>
        </xdr:cNvPr>
        <xdr:cNvCxnSpPr>
          <a:stCxn id="12" idx="2"/>
          <a:endCxn id="11" idx="0"/>
        </xdr:cNvCxnSpPr>
      </xdr:nvCxnSpPr>
      <xdr:spPr>
        <a:xfrm>
          <a:off x="981075" y="5076825"/>
          <a:ext cx="1290637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252412</xdr:colOff>
      <xdr:row>35</xdr:row>
      <xdr:rowOff>76200</xdr:rowOff>
    </xdr:from>
    <xdr:to>
      <xdr:col>4</xdr:col>
      <xdr:colOff>252412</xdr:colOff>
      <xdr:row>39</xdr:row>
      <xdr:rowOff>114300</xdr:rowOff>
    </xdr:to>
    <xdr:cxnSp macro="">
      <xdr:nvCxnSpPr>
        <xdr:cNvPr id="37" name="直接箭头连接符 36">
          <a:extLst>
            <a:ext uri="{FF2B5EF4-FFF2-40B4-BE49-F238E27FC236}">
              <a16:creationId xmlns:a16="http://schemas.microsoft.com/office/drawing/2014/main" id="{5A35EFD6-DE84-A68C-2C34-E3FE9C2E065B}"/>
            </a:ext>
          </a:extLst>
        </xdr:cNvPr>
        <xdr:cNvCxnSpPr>
          <a:stCxn id="8" idx="2"/>
          <a:endCxn id="11" idx="0"/>
        </xdr:cNvCxnSpPr>
      </xdr:nvCxnSpPr>
      <xdr:spPr>
        <a:xfrm>
          <a:off x="2271712" y="5076825"/>
          <a:ext cx="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252412</xdr:colOff>
      <xdr:row>35</xdr:row>
      <xdr:rowOff>76200</xdr:rowOff>
    </xdr:from>
    <xdr:to>
      <xdr:col>7</xdr:col>
      <xdr:colOff>28575</xdr:colOff>
      <xdr:row>39</xdr:row>
      <xdr:rowOff>114300</xdr:rowOff>
    </xdr:to>
    <xdr:cxnSp macro="">
      <xdr:nvCxnSpPr>
        <xdr:cNvPr id="39" name="直接箭头连接符 38">
          <a:extLst>
            <a:ext uri="{FF2B5EF4-FFF2-40B4-BE49-F238E27FC236}">
              <a16:creationId xmlns:a16="http://schemas.microsoft.com/office/drawing/2014/main" id="{B48CBF74-47A2-BE79-1AA4-E57786F83D4E}"/>
            </a:ext>
          </a:extLst>
        </xdr:cNvPr>
        <xdr:cNvCxnSpPr>
          <a:stCxn id="10" idx="2"/>
          <a:endCxn id="11" idx="0"/>
        </xdr:cNvCxnSpPr>
      </xdr:nvCxnSpPr>
      <xdr:spPr>
        <a:xfrm flipH="1">
          <a:off x="2271712" y="5076825"/>
          <a:ext cx="1290638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219075</xdr:colOff>
      <xdr:row>27</xdr:row>
      <xdr:rowOff>38100</xdr:rowOff>
    </xdr:from>
    <xdr:to>
      <xdr:col>3</xdr:col>
      <xdr:colOff>438150</xdr:colOff>
      <xdr:row>29</xdr:row>
      <xdr:rowOff>28575</xdr:rowOff>
    </xdr:to>
    <xdr:sp macro="" textlink="">
      <xdr:nvSpPr>
        <xdr:cNvPr id="49" name="矩形: 圆角 48">
          <a:extLst>
            <a:ext uri="{FF2B5EF4-FFF2-40B4-BE49-F238E27FC236}">
              <a16:creationId xmlns:a16="http://schemas.microsoft.com/office/drawing/2014/main" id="{B28BA3E7-6B45-4F42-842E-C9FE5AA6DCBF}"/>
            </a:ext>
          </a:extLst>
        </xdr:cNvPr>
        <xdr:cNvSpPr/>
      </xdr:nvSpPr>
      <xdr:spPr>
        <a:xfrm>
          <a:off x="1228725" y="3895725"/>
          <a:ext cx="723900" cy="27622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zh-CN" altLang="en-US" sz="1100"/>
        </a:p>
      </xdr:txBody>
    </xdr:sp>
    <xdr:clientData/>
  </xdr:twoCellAnchor>
  <xdr:twoCellAnchor>
    <xdr:from>
      <xdr:col>5</xdr:col>
      <xdr:colOff>57150</xdr:colOff>
      <xdr:row>27</xdr:row>
      <xdr:rowOff>28575</xdr:rowOff>
    </xdr:from>
    <xdr:to>
      <xdr:col>6</xdr:col>
      <xdr:colOff>276225</xdr:colOff>
      <xdr:row>29</xdr:row>
      <xdr:rowOff>19050</xdr:rowOff>
    </xdr:to>
    <xdr:sp macro="" textlink="">
      <xdr:nvSpPr>
        <xdr:cNvPr id="50" name="矩形: 圆角 49">
          <a:extLst>
            <a:ext uri="{FF2B5EF4-FFF2-40B4-BE49-F238E27FC236}">
              <a16:creationId xmlns:a16="http://schemas.microsoft.com/office/drawing/2014/main" id="{DB3B7816-4DAB-45D8-80E0-9D63EAD8DD57}"/>
            </a:ext>
          </a:extLst>
        </xdr:cNvPr>
        <xdr:cNvSpPr/>
      </xdr:nvSpPr>
      <xdr:spPr>
        <a:xfrm>
          <a:off x="2581275" y="3886200"/>
          <a:ext cx="723900" cy="27622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zh-CN" altLang="en-US" sz="1100"/>
        </a:p>
      </xdr:txBody>
    </xdr:sp>
    <xdr:clientData/>
  </xdr:twoCellAnchor>
  <xdr:twoCellAnchor>
    <xdr:from>
      <xdr:col>3</xdr:col>
      <xdr:colOff>76200</xdr:colOff>
      <xdr:row>22</xdr:row>
      <xdr:rowOff>133350</xdr:rowOff>
    </xdr:from>
    <xdr:to>
      <xdr:col>4</xdr:col>
      <xdr:colOff>252412</xdr:colOff>
      <xdr:row>27</xdr:row>
      <xdr:rowOff>38100</xdr:rowOff>
    </xdr:to>
    <xdr:cxnSp macro="">
      <xdr:nvCxnSpPr>
        <xdr:cNvPr id="55" name="直接箭头连接符 54">
          <a:extLst>
            <a:ext uri="{FF2B5EF4-FFF2-40B4-BE49-F238E27FC236}">
              <a16:creationId xmlns:a16="http://schemas.microsoft.com/office/drawing/2014/main" id="{90C65C7D-4103-8738-D95D-C69CAAFEC14F}"/>
            </a:ext>
          </a:extLst>
        </xdr:cNvPr>
        <xdr:cNvCxnSpPr>
          <a:stCxn id="71" idx="2"/>
          <a:endCxn id="49" idx="0"/>
        </xdr:cNvCxnSpPr>
      </xdr:nvCxnSpPr>
      <xdr:spPr>
        <a:xfrm flipH="1">
          <a:off x="1590675" y="3276600"/>
          <a:ext cx="681037" cy="619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476250</xdr:colOff>
      <xdr:row>29</xdr:row>
      <xdr:rowOff>28575</xdr:rowOff>
    </xdr:from>
    <xdr:to>
      <xdr:col>3</xdr:col>
      <xdr:colOff>76200</xdr:colOff>
      <xdr:row>33</xdr:row>
      <xdr:rowOff>85725</xdr:rowOff>
    </xdr:to>
    <xdr:cxnSp macro="">
      <xdr:nvCxnSpPr>
        <xdr:cNvPr id="56" name="直接箭头连接符 55">
          <a:extLst>
            <a:ext uri="{FF2B5EF4-FFF2-40B4-BE49-F238E27FC236}">
              <a16:creationId xmlns:a16="http://schemas.microsoft.com/office/drawing/2014/main" id="{1CA64D66-C306-4DCC-9AAB-F105F775375C}"/>
            </a:ext>
          </a:extLst>
        </xdr:cNvPr>
        <xdr:cNvCxnSpPr>
          <a:stCxn id="49" idx="2"/>
          <a:endCxn id="12" idx="0"/>
        </xdr:cNvCxnSpPr>
      </xdr:nvCxnSpPr>
      <xdr:spPr>
        <a:xfrm flipH="1">
          <a:off x="981075" y="4171950"/>
          <a:ext cx="609600" cy="6286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76200</xdr:colOff>
      <xdr:row>29</xdr:row>
      <xdr:rowOff>28575</xdr:rowOff>
    </xdr:from>
    <xdr:to>
      <xdr:col>4</xdr:col>
      <xdr:colOff>252412</xdr:colOff>
      <xdr:row>33</xdr:row>
      <xdr:rowOff>85725</xdr:rowOff>
    </xdr:to>
    <xdr:cxnSp macro="">
      <xdr:nvCxnSpPr>
        <xdr:cNvPr id="57" name="直接箭头连接符 56">
          <a:extLst>
            <a:ext uri="{FF2B5EF4-FFF2-40B4-BE49-F238E27FC236}">
              <a16:creationId xmlns:a16="http://schemas.microsoft.com/office/drawing/2014/main" id="{D07CAC82-B391-476D-9F04-C9926A3015AA}"/>
            </a:ext>
          </a:extLst>
        </xdr:cNvPr>
        <xdr:cNvCxnSpPr>
          <a:stCxn id="49" idx="2"/>
          <a:endCxn id="8" idx="0"/>
        </xdr:cNvCxnSpPr>
      </xdr:nvCxnSpPr>
      <xdr:spPr>
        <a:xfrm>
          <a:off x="1590675" y="4171950"/>
          <a:ext cx="681037" cy="6286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252412</xdr:colOff>
      <xdr:row>29</xdr:row>
      <xdr:rowOff>19050</xdr:rowOff>
    </xdr:from>
    <xdr:to>
      <xdr:col>5</xdr:col>
      <xdr:colOff>419100</xdr:colOff>
      <xdr:row>33</xdr:row>
      <xdr:rowOff>85725</xdr:rowOff>
    </xdr:to>
    <xdr:cxnSp macro="">
      <xdr:nvCxnSpPr>
        <xdr:cNvPr id="58" name="直接箭头连接符 57">
          <a:extLst>
            <a:ext uri="{FF2B5EF4-FFF2-40B4-BE49-F238E27FC236}">
              <a16:creationId xmlns:a16="http://schemas.microsoft.com/office/drawing/2014/main" id="{1110547A-3B5E-470B-BC2D-FF920CE16115}"/>
            </a:ext>
          </a:extLst>
        </xdr:cNvPr>
        <xdr:cNvCxnSpPr>
          <a:stCxn id="50" idx="2"/>
          <a:endCxn id="8" idx="0"/>
        </xdr:cNvCxnSpPr>
      </xdr:nvCxnSpPr>
      <xdr:spPr>
        <a:xfrm flipH="1">
          <a:off x="2271712" y="4162425"/>
          <a:ext cx="671513" cy="6381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29</xdr:row>
      <xdr:rowOff>19050</xdr:rowOff>
    </xdr:from>
    <xdr:to>
      <xdr:col>7</xdr:col>
      <xdr:colOff>28575</xdr:colOff>
      <xdr:row>33</xdr:row>
      <xdr:rowOff>85725</xdr:rowOff>
    </xdr:to>
    <xdr:cxnSp macro="">
      <xdr:nvCxnSpPr>
        <xdr:cNvPr id="59" name="直接箭头连接符 58">
          <a:extLst>
            <a:ext uri="{FF2B5EF4-FFF2-40B4-BE49-F238E27FC236}">
              <a16:creationId xmlns:a16="http://schemas.microsoft.com/office/drawing/2014/main" id="{BFBAF0EF-41D3-4072-9462-E00E6B124D77}"/>
            </a:ext>
          </a:extLst>
        </xdr:cNvPr>
        <xdr:cNvCxnSpPr>
          <a:stCxn id="50" idx="2"/>
          <a:endCxn id="10" idx="0"/>
        </xdr:cNvCxnSpPr>
      </xdr:nvCxnSpPr>
      <xdr:spPr>
        <a:xfrm>
          <a:off x="2943225" y="4162425"/>
          <a:ext cx="619125" cy="6381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395287</xdr:colOff>
      <xdr:row>21</xdr:row>
      <xdr:rowOff>0</xdr:rowOff>
    </xdr:from>
    <xdr:to>
      <xdr:col>5</xdr:col>
      <xdr:colOff>109537</xdr:colOff>
      <xdr:row>22</xdr:row>
      <xdr:rowOff>133350</xdr:rowOff>
    </xdr:to>
    <xdr:sp macro="" textlink="">
      <xdr:nvSpPr>
        <xdr:cNvPr id="71" name="矩形: 圆角 70">
          <a:extLst>
            <a:ext uri="{FF2B5EF4-FFF2-40B4-BE49-F238E27FC236}">
              <a16:creationId xmlns:a16="http://schemas.microsoft.com/office/drawing/2014/main" id="{9A44C1CD-B42C-EFBC-D853-F8151161F363}"/>
            </a:ext>
          </a:extLst>
        </xdr:cNvPr>
        <xdr:cNvSpPr/>
      </xdr:nvSpPr>
      <xdr:spPr>
        <a:xfrm>
          <a:off x="1909762" y="3000375"/>
          <a:ext cx="723900" cy="27622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特性</a:t>
          </a:r>
          <a:r>
            <a:rPr lang="en-US" altLang="zh-CN" sz="1100"/>
            <a:t>1</a:t>
          </a:r>
          <a:endParaRPr lang="zh-CN" altLang="en-US" sz="1100"/>
        </a:p>
      </xdr:txBody>
    </xdr:sp>
    <xdr:clientData/>
  </xdr:twoCellAnchor>
  <xdr:twoCellAnchor>
    <xdr:from>
      <xdr:col>4</xdr:col>
      <xdr:colOff>252412</xdr:colOff>
      <xdr:row>22</xdr:row>
      <xdr:rowOff>133350</xdr:rowOff>
    </xdr:from>
    <xdr:to>
      <xdr:col>5</xdr:col>
      <xdr:colOff>419100</xdr:colOff>
      <xdr:row>27</xdr:row>
      <xdr:rowOff>28575</xdr:rowOff>
    </xdr:to>
    <xdr:cxnSp macro="">
      <xdr:nvCxnSpPr>
        <xdr:cNvPr id="77" name="直接箭头连接符 76">
          <a:extLst>
            <a:ext uri="{FF2B5EF4-FFF2-40B4-BE49-F238E27FC236}">
              <a16:creationId xmlns:a16="http://schemas.microsoft.com/office/drawing/2014/main" id="{5CA0E6CC-1712-2964-0773-55D086210826}"/>
            </a:ext>
          </a:extLst>
        </xdr:cNvPr>
        <xdr:cNvCxnSpPr>
          <a:stCxn id="71" idx="2"/>
          <a:endCxn id="50" idx="0"/>
        </xdr:cNvCxnSpPr>
      </xdr:nvCxnSpPr>
      <xdr:spPr>
        <a:xfrm>
          <a:off x="2271712" y="3276600"/>
          <a:ext cx="671513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65</xdr:col>
      <xdr:colOff>9525</xdr:colOff>
      <xdr:row>95</xdr:row>
      <xdr:rowOff>19050</xdr:rowOff>
    </xdr:from>
    <xdr:to>
      <xdr:col>66</xdr:col>
      <xdr:colOff>47557</xdr:colOff>
      <xdr:row>113</xdr:row>
      <xdr:rowOff>18729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EE7F5A26-F9EC-4B4F-920E-A3997A4F2A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394650" y="7305675"/>
          <a:ext cx="542857" cy="257142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slg_cehua\trunk\&#25968;&#20540;&#25991;&#26723;\&#25968;&#20540;&#35774;&#35745;\&#32463;&#27982;&#34920;.xlsm" TargetMode="External"/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59;&#25104;&#3492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7494;&#23558;&#32641;&#3245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19977;&#22269;&#27494;&#23558;&#32641;&#32458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&#25928;&#29992;&#27719;&#24635;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slg_cehua/trunk/&#25968;&#20540;&#25991;&#26723;/&#25112;&#22269;&#23548;&#34920;/&#25112;&#22269;-&#28857;&#23558;&#21488;.xlsm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slg_cehua\trunk\&#25968;&#20540;&#25991;&#26723;\&#25968;&#20540;&#35774;&#35745;\&#25112;&#27861;.xlsm" TargetMode="External"/><Relationship Id="rId1" Type="http://schemas.openxmlformats.org/officeDocument/2006/relationships/externalLinkPath" Target="&#25112;&#27861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资源-熔炼石"/>
      <sheetName val="资源-星宫碎片"/>
      <sheetName val="资源-群星碎片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资源-将魂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资源-星宫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  <sheetName val="功能-分享和问卷"/>
      <sheetName val="付费汇总"/>
      <sheetName val="资源-圣人好感度"/>
      <sheetName val="资源-城池"/>
      <sheetName val="资源-普通点将牌"/>
      <sheetName val="功能-主线副本"/>
      <sheetName val="功能-主线任务"/>
      <sheetName val="功能-成就"/>
      <sheetName val="功能-大地图"/>
      <sheetName val="功能-采集效率"/>
      <sheetName val="功能-付费占比汇总"/>
      <sheetName val="资源-国家币"/>
      <sheetName val="Sheet3"/>
      <sheetName val="功能-军团"/>
      <sheetName val="资源-士兵招募"/>
      <sheetName val="资源-抽奖卷"/>
      <sheetName val="功能-全局事件"/>
      <sheetName val="评分"/>
      <sheetName val="Sheet2"/>
      <sheetName val="资源-玩家城池建筑时间（备份）"/>
      <sheetName val="资源-战法"/>
      <sheetName val="资源-采集效率"/>
      <sheetName val="功能-圣人"/>
      <sheetName val="功能-国家城池"/>
      <sheetName val="功能-挑战副本"/>
      <sheetName val="资源-非养成buff价值"/>
      <sheetName val="资源-铁（备份）"/>
      <sheetName val="资源-木石铜（备份）"/>
      <sheetName val="功能-大地图城池"/>
    </sheetNames>
    <sheetDataSet>
      <sheetData sheetId="0"/>
      <sheetData sheetId="1">
        <row r="3">
          <cell r="F3">
            <v>1</v>
          </cell>
          <cell r="G3">
            <v>7.1773462536293131E-2</v>
          </cell>
          <cell r="I3">
            <v>1</v>
          </cell>
          <cell r="J3">
            <v>7.4349177498517554E-3</v>
          </cell>
          <cell r="K3">
            <v>0.1</v>
          </cell>
          <cell r="N3" t="str">
            <v>对应玩家等级</v>
          </cell>
        </row>
        <row r="4">
          <cell r="F4">
            <v>2</v>
          </cell>
          <cell r="G4">
            <v>0.1486983549970351</v>
          </cell>
          <cell r="I4">
            <v>2</v>
          </cell>
          <cell r="J4">
            <v>2.3963093307967063E-2</v>
          </cell>
          <cell r="K4">
            <v>0.15</v>
          </cell>
          <cell r="N4">
            <v>2</v>
          </cell>
          <cell r="O4">
            <v>1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V4">
            <v>1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C4">
            <v>1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L4">
            <v>1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S4">
            <v>1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</row>
        <row r="5">
          <cell r="F5">
            <v>3</v>
          </cell>
          <cell r="G5">
            <v>0.23114441334491631</v>
          </cell>
          <cell r="I5">
            <v>3</v>
          </cell>
          <cell r="J5">
            <v>5.1571656651039799E-2</v>
          </cell>
          <cell r="K5">
            <v>0.2</v>
          </cell>
          <cell r="N5">
            <v>4</v>
          </cell>
          <cell r="O5">
            <v>2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V5">
            <v>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C5">
            <v>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L5">
            <v>2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S5">
            <v>2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</row>
        <row r="6">
          <cell r="F6">
            <v>4</v>
          </cell>
          <cell r="G6">
            <v>0.3195079107728942</v>
          </cell>
          <cell r="I6">
            <v>4</v>
          </cell>
          <cell r="J6">
            <v>9.2637640824031031E-2</v>
          </cell>
          <cell r="K6">
            <v>0.25</v>
          </cell>
          <cell r="N6">
            <v>6</v>
          </cell>
          <cell r="O6">
            <v>3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V6">
            <v>3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C6">
            <v>3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L6">
            <v>3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S6">
            <v>3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</row>
        <row r="7">
          <cell r="F7">
            <v>5</v>
          </cell>
          <cell r="G7">
            <v>0.41421356237309515</v>
          </cell>
          <cell r="I7">
            <v>5</v>
          </cell>
          <cell r="J7">
            <v>0.15</v>
          </cell>
          <cell r="K7">
            <v>0.3</v>
          </cell>
          <cell r="N7">
            <v>8</v>
          </cell>
          <cell r="O7">
            <v>4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V7">
            <v>4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C7">
            <v>4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L7">
            <v>4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S7">
            <v>4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</row>
        <row r="8">
          <cell r="B8">
            <v>10</v>
          </cell>
          <cell r="C8">
            <v>1</v>
          </cell>
          <cell r="D8">
            <v>1</v>
          </cell>
          <cell r="F8">
            <v>6</v>
          </cell>
          <cell r="G8">
            <v>0.51571656651039799</v>
          </cell>
          <cell r="I8">
            <v>6</v>
          </cell>
          <cell r="J8">
            <v>0.22055744069899194</v>
          </cell>
          <cell r="K8">
            <v>0.34</v>
          </cell>
          <cell r="N8">
            <v>10</v>
          </cell>
          <cell r="O8">
            <v>5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V8">
            <v>5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C8">
            <v>5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L8">
            <v>5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S8">
            <v>5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</row>
        <row r="9">
          <cell r="B9">
            <v>20</v>
          </cell>
          <cell r="C9">
            <v>3</v>
          </cell>
          <cell r="D9">
            <v>2</v>
          </cell>
          <cell r="F9">
            <v>7</v>
          </cell>
          <cell r="G9">
            <v>0.62450479271247095</v>
          </cell>
          <cell r="I9">
            <v>7</v>
          </cell>
          <cell r="J9">
            <v>0.31141300609369982</v>
          </cell>
          <cell r="K9">
            <v>0.38</v>
          </cell>
          <cell r="N9">
            <v>12</v>
          </cell>
          <cell r="O9">
            <v>6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V9">
            <v>6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C9">
            <v>6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L9">
            <v>6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S9">
            <v>6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</row>
        <row r="10">
          <cell r="B10">
            <v>30</v>
          </cell>
          <cell r="C10">
            <v>7</v>
          </cell>
          <cell r="D10">
            <v>4</v>
          </cell>
          <cell r="F10">
            <v>8</v>
          </cell>
          <cell r="G10">
            <v>0.74110112659224825</v>
          </cell>
          <cell r="I10">
            <v>8</v>
          </cell>
          <cell r="J10">
            <v>0.42660095793436714</v>
          </cell>
          <cell r="K10">
            <v>0.42</v>
          </cell>
          <cell r="N10">
            <v>14</v>
          </cell>
          <cell r="O10">
            <v>7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V10">
            <v>7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C10">
            <v>7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L10">
            <v>7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S10">
            <v>7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</row>
        <row r="11">
          <cell r="B11">
            <v>40</v>
          </cell>
          <cell r="C11">
            <v>15</v>
          </cell>
          <cell r="D11">
            <v>8</v>
          </cell>
          <cell r="F11">
            <v>9</v>
          </cell>
          <cell r="G11">
            <v>0.86606598307361482</v>
          </cell>
          <cell r="I11">
            <v>9</v>
          </cell>
          <cell r="J11">
            <v>0.57090651823243421</v>
          </cell>
          <cell r="K11">
            <v>0.46</v>
          </cell>
          <cell r="N11">
            <v>16</v>
          </cell>
          <cell r="O11">
            <v>8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V11">
            <v>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C11">
            <v>8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L11">
            <v>8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S11">
            <v>8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</row>
        <row r="12">
          <cell r="B12">
            <v>50</v>
          </cell>
          <cell r="C12">
            <v>31</v>
          </cell>
          <cell r="D12">
            <v>16</v>
          </cell>
          <cell r="F12">
            <v>10</v>
          </cell>
          <cell r="G12">
            <v>1</v>
          </cell>
          <cell r="I12">
            <v>10</v>
          </cell>
          <cell r="J12">
            <v>0.75</v>
          </cell>
          <cell r="K12">
            <v>0.5</v>
          </cell>
          <cell r="N12">
            <v>18</v>
          </cell>
          <cell r="O12">
            <v>9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V12">
            <v>9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C12">
            <v>9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L12">
            <v>9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S12">
            <v>9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</row>
        <row r="13">
          <cell r="B13">
            <v>60</v>
          </cell>
          <cell r="C13">
            <v>63</v>
          </cell>
          <cell r="D13">
            <v>32</v>
          </cell>
          <cell r="F13">
            <v>11</v>
          </cell>
          <cell r="G13">
            <v>1.1435469250725863</v>
          </cell>
          <cell r="I13">
            <v>11</v>
          </cell>
          <cell r="J13">
            <v>0.93464628919691628</v>
          </cell>
          <cell r="K13">
            <v>0.52</v>
          </cell>
          <cell r="N13">
            <v>20</v>
          </cell>
          <cell r="O13">
            <v>10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V13">
            <v>10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C13">
            <v>10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L13">
            <v>10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S13">
            <v>10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</row>
        <row r="14">
          <cell r="B14">
            <v>70</v>
          </cell>
          <cell r="C14">
            <v>127</v>
          </cell>
          <cell r="D14">
            <v>64</v>
          </cell>
          <cell r="F14">
            <v>12</v>
          </cell>
          <cell r="G14">
            <v>1.2973967099940702</v>
          </cell>
          <cell r="I14">
            <v>12</v>
          </cell>
          <cell r="J14">
            <v>1.1550685436347259</v>
          </cell>
          <cell r="K14">
            <v>0.54</v>
          </cell>
          <cell r="N14">
            <v>21</v>
          </cell>
          <cell r="O14">
            <v>11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V14">
            <v>11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C14">
            <v>11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L14">
            <v>11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S14">
            <v>11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</row>
        <row r="15">
          <cell r="B15">
            <v>80</v>
          </cell>
          <cell r="C15">
            <v>255</v>
          </cell>
          <cell r="D15">
            <v>128</v>
          </cell>
          <cell r="F15">
            <v>13</v>
          </cell>
          <cell r="G15">
            <v>1.4622888266898326</v>
          </cell>
          <cell r="I15">
            <v>13</v>
          </cell>
          <cell r="J15">
            <v>1.417602554491646</v>
          </cell>
          <cell r="K15">
            <v>0.56000000000000005</v>
          </cell>
          <cell r="N15">
            <v>22</v>
          </cell>
          <cell r="O15">
            <v>12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V15">
            <v>12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C15">
            <v>12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L15">
            <v>12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S15">
            <v>12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</row>
        <row r="16">
          <cell r="B16">
            <v>90</v>
          </cell>
          <cell r="C16">
            <v>511</v>
          </cell>
          <cell r="D16">
            <v>256</v>
          </cell>
          <cell r="F16">
            <v>14</v>
          </cell>
          <cell r="G16">
            <v>1.6390158215457884</v>
          </cell>
          <cell r="I16">
            <v>14</v>
          </cell>
          <cell r="J16">
            <v>1.7296773068470075</v>
          </cell>
          <cell r="K16">
            <v>0.57999999999999996</v>
          </cell>
          <cell r="N16">
            <v>23</v>
          </cell>
          <cell r="O16">
            <v>13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V16">
            <v>13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C16">
            <v>13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L16">
            <v>13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S16">
            <v>13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</row>
        <row r="17">
          <cell r="B17">
            <v>100</v>
          </cell>
          <cell r="C17">
            <v>1023</v>
          </cell>
          <cell r="D17">
            <v>512</v>
          </cell>
          <cell r="F17">
            <v>15</v>
          </cell>
          <cell r="G17">
            <v>1.8284271247461898</v>
          </cell>
          <cell r="I17">
            <v>15</v>
          </cell>
          <cell r="J17">
            <v>2.1</v>
          </cell>
          <cell r="K17">
            <v>0.6</v>
          </cell>
          <cell r="N17">
            <v>24</v>
          </cell>
          <cell r="O17">
            <v>14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V17">
            <v>14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C17">
            <v>14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L17">
            <v>14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S17">
            <v>14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</row>
        <row r="18">
          <cell r="F18">
            <v>16</v>
          </cell>
          <cell r="G18">
            <v>2.031433133020796</v>
          </cell>
          <cell r="I18">
            <v>16</v>
          </cell>
          <cell r="J18">
            <v>2.5387719203926467</v>
          </cell>
          <cell r="K18">
            <v>0.62</v>
          </cell>
          <cell r="N18">
            <v>25</v>
          </cell>
          <cell r="O18">
            <v>15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V18">
            <v>15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C18">
            <v>15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L18">
            <v>15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S18">
            <v>15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</row>
        <row r="19">
          <cell r="F19">
            <v>17</v>
          </cell>
          <cell r="G19">
            <v>2.2490095854249419</v>
          </cell>
          <cell r="I19">
            <v>17</v>
          </cell>
          <cell r="J19">
            <v>3.0579402515786085</v>
          </cell>
          <cell r="K19">
            <v>0.64</v>
          </cell>
          <cell r="N19">
            <v>26</v>
          </cell>
          <cell r="O19">
            <v>16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V19">
            <v>16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C19">
            <v>16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L19">
            <v>16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S19">
            <v>16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</row>
        <row r="20">
          <cell r="F20">
            <v>18</v>
          </cell>
          <cell r="G20">
            <v>2.4822022531844965</v>
          </cell>
          <cell r="I20">
            <v>18</v>
          </cell>
          <cell r="J20">
            <v>3.671491735587451</v>
          </cell>
          <cell r="K20">
            <v>0.66</v>
          </cell>
          <cell r="N20">
            <v>27</v>
          </cell>
          <cell r="O20">
            <v>17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V20">
            <v>17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C20">
            <v>17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L20">
            <v>17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S20">
            <v>17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</row>
        <row r="21">
          <cell r="F21">
            <v>19</v>
          </cell>
          <cell r="G21">
            <v>2.7321319661472296</v>
          </cell>
          <cell r="I21">
            <v>19</v>
          </cell>
          <cell r="J21">
            <v>4.3957950643309154</v>
          </cell>
          <cell r="K21">
            <v>0.68</v>
          </cell>
          <cell r="N21">
            <v>28</v>
          </cell>
          <cell r="O21">
            <v>18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V21">
            <v>18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C21">
            <v>18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L21">
            <v>18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S21">
            <v>18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</row>
        <row r="22">
          <cell r="F22">
            <v>20</v>
          </cell>
          <cell r="G22">
            <v>3</v>
          </cell>
          <cell r="I22">
            <v>20</v>
          </cell>
          <cell r="J22">
            <v>5.25</v>
          </cell>
          <cell r="K22">
            <v>0.7</v>
          </cell>
          <cell r="N22">
            <v>29</v>
          </cell>
          <cell r="O22">
            <v>19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V22">
            <v>19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C22">
            <v>19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L22">
            <v>19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S22">
            <v>19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</row>
        <row r="23">
          <cell r="F23">
            <v>21</v>
          </cell>
          <cell r="G23">
            <v>3.2870938501451725</v>
          </cell>
          <cell r="I23">
            <v>21</v>
          </cell>
          <cell r="J23">
            <v>6.2565025247829205</v>
          </cell>
          <cell r="K23">
            <v>0.72</v>
          </cell>
          <cell r="N23">
            <v>30</v>
          </cell>
          <cell r="O23">
            <v>20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V23">
            <v>20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C23">
            <v>20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L23">
            <v>20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S23">
            <v>20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</row>
        <row r="24">
          <cell r="B24">
            <v>5</v>
          </cell>
          <cell r="C24">
            <v>0.5</v>
          </cell>
          <cell r="D24">
            <v>0.5</v>
          </cell>
          <cell r="F24">
            <v>22</v>
          </cell>
          <cell r="G24">
            <v>3.5947934199881395</v>
          </cell>
          <cell r="I24">
            <v>22</v>
          </cell>
          <cell r="J24">
            <v>7.4414868317755332</v>
          </cell>
          <cell r="K24">
            <v>0.74</v>
          </cell>
          <cell r="N24">
            <v>31</v>
          </cell>
          <cell r="O24">
            <v>21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V24">
            <v>21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C24">
            <v>21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L24">
            <v>21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S24">
            <v>21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</row>
        <row r="25">
          <cell r="B25">
            <v>10</v>
          </cell>
          <cell r="C25">
            <v>1.5</v>
          </cell>
          <cell r="D25">
            <v>1</v>
          </cell>
          <cell r="F25">
            <v>23</v>
          </cell>
          <cell r="G25">
            <v>3.9245776533796644</v>
          </cell>
          <cell r="I25">
            <v>23</v>
          </cell>
          <cell r="J25">
            <v>8.8355567243832152</v>
          </cell>
          <cell r="K25">
            <v>0.76</v>
          </cell>
          <cell r="N25">
            <v>32</v>
          </cell>
          <cell r="O25">
            <v>22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V25">
            <v>22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C25">
            <v>22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L25">
            <v>22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S25">
            <v>22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</row>
        <row r="26">
          <cell r="B26">
            <v>15</v>
          </cell>
          <cell r="C26">
            <v>3.5</v>
          </cell>
          <cell r="D26">
            <v>2</v>
          </cell>
          <cell r="F26">
            <v>24</v>
          </cell>
          <cell r="G26">
            <v>4.2780316430915768</v>
          </cell>
          <cell r="I26">
            <v>24</v>
          </cell>
          <cell r="J26">
            <v>10.47447102993563</v>
          </cell>
          <cell r="K26">
            <v>0.78</v>
          </cell>
          <cell r="N26">
            <v>33</v>
          </cell>
          <cell r="O26">
            <v>23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V26">
            <v>23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C26">
            <v>23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L26">
            <v>23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S26">
            <v>23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</row>
        <row r="27">
          <cell r="B27">
            <v>20</v>
          </cell>
          <cell r="C27">
            <v>7.5</v>
          </cell>
          <cell r="D27">
            <v>4</v>
          </cell>
          <cell r="F27">
            <v>25</v>
          </cell>
          <cell r="G27">
            <v>4.6568542494923806</v>
          </cell>
          <cell r="I27">
            <v>25</v>
          </cell>
          <cell r="J27">
            <v>12.4</v>
          </cell>
          <cell r="K27">
            <v>0.8</v>
          </cell>
          <cell r="N27">
            <v>34</v>
          </cell>
          <cell r="O27">
            <v>24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V27">
            <v>24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C27">
            <v>24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L27">
            <v>24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S27">
            <v>24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</row>
        <row r="28">
          <cell r="B28">
            <v>25</v>
          </cell>
          <cell r="C28">
            <v>15.5</v>
          </cell>
          <cell r="D28">
            <v>8</v>
          </cell>
          <cell r="F28">
            <v>26</v>
          </cell>
          <cell r="G28">
            <v>5.062866266041592</v>
          </cell>
          <cell r="I28">
            <v>26</v>
          </cell>
          <cell r="J28">
            <v>14.6609224175611</v>
          </cell>
          <cell r="K28">
            <v>0.82</v>
          </cell>
          <cell r="N28">
            <v>35</v>
          </cell>
          <cell r="O28">
            <v>25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V28">
            <v>25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C28">
            <v>25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L28">
            <v>25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S28">
            <v>25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</row>
        <row r="29">
          <cell r="B29">
            <v>30</v>
          </cell>
          <cell r="C29">
            <v>31.5</v>
          </cell>
          <cell r="D29">
            <v>16</v>
          </cell>
          <cell r="F29">
            <v>27</v>
          </cell>
          <cell r="G29">
            <v>5.4980191708498847</v>
          </cell>
          <cell r="I29">
            <v>27</v>
          </cell>
          <cell r="J29">
            <v>17.314186320787698</v>
          </cell>
          <cell r="K29">
            <v>0.84</v>
          </cell>
          <cell r="N29">
            <v>36</v>
          </cell>
          <cell r="O29">
            <v>26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V29">
            <v>26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C29">
            <v>26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L29">
            <v>26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S29">
            <v>26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</row>
        <row r="30">
          <cell r="B30">
            <v>35</v>
          </cell>
          <cell r="C30">
            <v>63.5</v>
          </cell>
          <cell r="D30">
            <v>32</v>
          </cell>
          <cell r="F30">
            <v>28</v>
          </cell>
          <cell r="G30">
            <v>5.9644045063689921</v>
          </cell>
          <cell r="I30">
            <v>28</v>
          </cell>
          <cell r="J30">
            <v>20.42625995518307</v>
          </cell>
          <cell r="K30">
            <v>0.86</v>
          </cell>
          <cell r="N30">
            <v>37</v>
          </cell>
          <cell r="O30">
            <v>27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V30">
            <v>27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C30">
            <v>27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L30">
            <v>27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S30">
            <v>27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</row>
        <row r="31">
          <cell r="B31">
            <v>40</v>
          </cell>
          <cell r="C31">
            <v>127.5</v>
          </cell>
          <cell r="D31">
            <v>64</v>
          </cell>
          <cell r="F31">
            <v>29</v>
          </cell>
          <cell r="G31">
            <v>6.4642639322944575</v>
          </cell>
          <cell r="I31">
            <v>29</v>
          </cell>
          <cell r="J31">
            <v>24.074703862418847</v>
          </cell>
          <cell r="K31">
            <v>0.88</v>
          </cell>
          <cell r="N31">
            <v>38</v>
          </cell>
          <cell r="O31">
            <v>28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V31">
            <v>28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C31">
            <v>28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L31">
            <v>28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S31">
            <v>28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</row>
        <row r="32">
          <cell r="B32">
            <v>45</v>
          </cell>
          <cell r="C32">
            <v>255.5</v>
          </cell>
          <cell r="D32">
            <v>128</v>
          </cell>
          <cell r="F32">
            <v>30</v>
          </cell>
          <cell r="G32">
            <v>7</v>
          </cell>
          <cell r="I32">
            <v>30</v>
          </cell>
          <cell r="J32">
            <v>28.35</v>
          </cell>
          <cell r="K32">
            <v>0.9</v>
          </cell>
          <cell r="N32">
            <v>39</v>
          </cell>
          <cell r="O32">
            <v>29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V32">
            <v>29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C32">
            <v>29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L32">
            <v>29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S32">
            <v>29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</row>
        <row r="33">
          <cell r="B33">
            <v>50</v>
          </cell>
          <cell r="C33">
            <v>511.5</v>
          </cell>
          <cell r="D33">
            <v>256</v>
          </cell>
          <cell r="F33">
            <v>31</v>
          </cell>
          <cell r="G33">
            <v>7.5741877002903433</v>
          </cell>
          <cell r="I33">
            <v>31</v>
          </cell>
          <cell r="J33">
            <v>33.357679571112705</v>
          </cell>
          <cell r="K33">
            <v>0.92</v>
          </cell>
          <cell r="N33">
            <v>40</v>
          </cell>
          <cell r="O33">
            <v>30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V33">
            <v>30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C33">
            <v>30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L33">
            <v>30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S33">
            <v>30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</row>
        <row r="34">
          <cell r="B34">
            <v>55</v>
          </cell>
          <cell r="C34">
            <v>1023.5</v>
          </cell>
          <cell r="D34">
            <v>512</v>
          </cell>
          <cell r="F34">
            <v>32</v>
          </cell>
          <cell r="G34">
            <v>8.189586839976279</v>
          </cell>
          <cell r="I34">
            <v>32</v>
          </cell>
          <cell r="J34">
            <v>39.220797956048642</v>
          </cell>
          <cell r="K34">
            <v>0.94</v>
          </cell>
          <cell r="N34">
            <v>41</v>
          </cell>
          <cell r="O34">
            <v>31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V34">
            <v>31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C34">
            <v>31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L34">
            <v>31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S34">
            <v>31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</row>
        <row r="35">
          <cell r="B35">
            <v>60</v>
          </cell>
          <cell r="C35">
            <v>2047.5</v>
          </cell>
          <cell r="D35">
            <v>1024</v>
          </cell>
          <cell r="F35">
            <v>33</v>
          </cell>
          <cell r="G35">
            <v>8.8491553067593287</v>
          </cell>
          <cell r="I35">
            <v>33</v>
          </cell>
          <cell r="J35">
            <v>46.082812923199413</v>
          </cell>
          <cell r="K35">
            <v>0.96</v>
          </cell>
          <cell r="N35">
            <v>42</v>
          </cell>
          <cell r="O35">
            <v>32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V35">
            <v>32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C35">
            <v>32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L35">
            <v>32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S35">
            <v>32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</row>
        <row r="36">
          <cell r="F36">
            <v>34</v>
          </cell>
          <cell r="G36">
            <v>9.5560632861831518</v>
          </cell>
          <cell r="I36">
            <v>34</v>
          </cell>
          <cell r="J36">
            <v>54.110931329932889</v>
          </cell>
          <cell r="K36">
            <v>0.98</v>
          </cell>
          <cell r="N36">
            <v>43</v>
          </cell>
          <cell r="O36">
            <v>33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V36">
            <v>33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C36">
            <v>33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L36">
            <v>33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S36">
            <v>33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</row>
        <row r="37">
          <cell r="F37">
            <v>35</v>
          </cell>
          <cell r="G37">
            <v>10.313708498984759</v>
          </cell>
          <cell r="I37">
            <v>35</v>
          </cell>
          <cell r="J37">
            <v>63.5</v>
          </cell>
          <cell r="K37">
            <v>1</v>
          </cell>
          <cell r="N37">
            <v>44</v>
          </cell>
          <cell r="O37">
            <v>34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V37">
            <v>34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C37">
            <v>34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L37">
            <v>34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S37">
            <v>34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</row>
        <row r="38">
          <cell r="F38">
            <v>36</v>
          </cell>
          <cell r="G38">
            <v>11.125732532083184</v>
          </cell>
          <cell r="I38">
            <v>36</v>
          </cell>
          <cell r="J38">
            <v>73.746861667008318</v>
          </cell>
          <cell r="K38">
            <v>1.01</v>
          </cell>
          <cell r="N38">
            <v>45</v>
          </cell>
          <cell r="O38">
            <v>35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V38">
            <v>35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C38">
            <v>35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L38">
            <v>35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S38">
            <v>35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</row>
        <row r="39">
          <cell r="F39">
            <v>37</v>
          </cell>
          <cell r="G39">
            <v>11.996038341699768</v>
          </cell>
          <cell r="I39">
            <v>37</v>
          </cell>
          <cell r="J39">
            <v>85.62747641525452</v>
          </cell>
          <cell r="K39">
            <v>1.02</v>
          </cell>
          <cell r="N39">
            <v>46</v>
          </cell>
          <cell r="O39">
            <v>36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V39">
            <v>36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C39">
            <v>36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L39">
            <v>36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S39">
            <v>36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</row>
        <row r="40">
          <cell r="F40">
            <v>38</v>
          </cell>
          <cell r="G40">
            <v>12.928809012737984</v>
          </cell>
          <cell r="I40">
            <v>38</v>
          </cell>
          <cell r="J40">
            <v>99.401036064365428</v>
          </cell>
          <cell r="K40">
            <v>1.03</v>
          </cell>
          <cell r="N40">
            <v>47</v>
          </cell>
          <cell r="O40">
            <v>37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V40">
            <v>37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C40">
            <v>37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L40">
            <v>37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S40">
            <v>37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</row>
        <row r="41">
          <cell r="F41">
            <v>39</v>
          </cell>
          <cell r="G41">
            <v>13.928527864588917</v>
          </cell>
          <cell r="I41">
            <v>39</v>
          </cell>
          <cell r="J41">
            <v>115.36769098598003</v>
          </cell>
          <cell r="K41">
            <v>1.04</v>
          </cell>
          <cell r="N41">
            <v>48</v>
          </cell>
          <cell r="O41">
            <v>38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V41">
            <v>38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C41">
            <v>38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L41">
            <v>38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S41">
            <v>38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</row>
        <row r="42">
          <cell r="F42">
            <v>40</v>
          </cell>
          <cell r="G42">
            <v>15</v>
          </cell>
          <cell r="I42">
            <v>40</v>
          </cell>
          <cell r="J42">
            <v>133.875</v>
          </cell>
          <cell r="K42">
            <v>1.05</v>
          </cell>
          <cell r="N42">
            <v>49</v>
          </cell>
          <cell r="O42">
            <v>39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V42">
            <v>39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C42">
            <v>39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L42">
            <v>39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S42">
            <v>39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</row>
        <row r="43">
          <cell r="F43">
            <v>41</v>
          </cell>
          <cell r="G43">
            <v>16.148375400580683</v>
          </cell>
          <cell r="I43">
            <v>41</v>
          </cell>
          <cell r="J43">
            <v>155.32539280599755</v>
          </cell>
          <cell r="K43">
            <v>1.06</v>
          </cell>
          <cell r="N43">
            <v>50</v>
          </cell>
          <cell r="O43">
            <v>40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V43">
            <v>40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C43">
            <v>40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L43">
            <v>40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S43">
            <v>40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</row>
        <row r="44">
          <cell r="F44">
            <v>42</v>
          </cell>
          <cell r="G44">
            <v>17.379173679952558</v>
          </cell>
          <cell r="I44">
            <v>42</v>
          </cell>
          <cell r="J44">
            <v>180.18480345945557</v>
          </cell>
          <cell r="K44">
            <v>1.07</v>
          </cell>
          <cell r="N44">
            <v>51</v>
          </cell>
          <cell r="O44">
            <v>41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V44">
            <v>41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C44">
            <v>41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L44">
            <v>41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S44">
            <v>41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</row>
        <row r="45">
          <cell r="F45">
            <v>43</v>
          </cell>
          <cell r="G45">
            <v>18.698310613518661</v>
          </cell>
          <cell r="I45">
            <v>43</v>
          </cell>
          <cell r="J45">
            <v>208.99265815439742</v>
          </cell>
          <cell r="K45">
            <v>1.08</v>
          </cell>
          <cell r="N45">
            <v>52</v>
          </cell>
          <cell r="O45">
            <v>42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V45">
            <v>42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C45">
            <v>42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L45">
            <v>42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S45">
            <v>42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</row>
        <row r="46">
          <cell r="F46">
            <v>44</v>
          </cell>
          <cell r="G46">
            <v>20.112126572366307</v>
          </cell>
          <cell r="I46">
            <v>44</v>
          </cell>
          <cell r="J46">
            <v>242.37342918215046</v>
          </cell>
          <cell r="K46">
            <v>1.0900000000000001</v>
          </cell>
          <cell r="N46">
            <v>53</v>
          </cell>
          <cell r="O46">
            <v>43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V46">
            <v>43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C46">
            <v>43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L46">
            <v>43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S46">
            <v>43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</row>
        <row r="47">
          <cell r="F47">
            <v>45</v>
          </cell>
          <cell r="G47">
            <v>21.627416997969519</v>
          </cell>
          <cell r="I47">
            <v>45</v>
          </cell>
          <cell r="J47">
            <v>281.05</v>
          </cell>
          <cell r="K47">
            <v>1.1000000000000001</v>
          </cell>
          <cell r="N47">
            <v>54</v>
          </cell>
          <cell r="O47">
            <v>44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V47">
            <v>44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C47">
            <v>44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L47">
            <v>44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S47">
            <v>44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</row>
        <row r="48">
          <cell r="F48">
            <v>46</v>
          </cell>
          <cell r="G48">
            <v>23.251465064166357</v>
          </cell>
          <cell r="I48">
            <v>46</v>
          </cell>
          <cell r="J48">
            <v>325.85912455595718</v>
          </cell>
          <cell r="K48">
            <v>1.1100000000000001</v>
          </cell>
          <cell r="N48">
            <v>55</v>
          </cell>
          <cell r="O48">
            <v>45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V48">
            <v>45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C48">
            <v>45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L48">
            <v>45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S48">
            <v>45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</row>
        <row r="49">
          <cell r="F49">
            <v>47</v>
          </cell>
          <cell r="G49">
            <v>24.992076683399535</v>
          </cell>
          <cell r="I49">
            <v>47</v>
          </cell>
          <cell r="J49">
            <v>377.76930817680426</v>
          </cell>
          <cell r="K49">
            <v>1.1200000000000001</v>
          </cell>
          <cell r="N49">
            <v>56</v>
          </cell>
          <cell r="O49">
            <v>46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V49">
            <v>46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C49">
            <v>46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L49">
            <v>46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S49">
            <v>46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</row>
        <row r="50">
          <cell r="F50">
            <v>48</v>
          </cell>
          <cell r="G50">
            <v>26.857618025475972</v>
          </cell>
          <cell r="I50">
            <v>48</v>
          </cell>
          <cell r="J50">
            <v>437.90148836012787</v>
          </cell>
          <cell r="K50">
            <v>1.1299999999999999</v>
          </cell>
          <cell r="N50">
            <v>57</v>
          </cell>
          <cell r="O50">
            <v>47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V50">
            <v>47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C50">
            <v>47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L50">
            <v>47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S50">
            <v>47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</row>
        <row r="51">
          <cell r="F51">
            <v>49</v>
          </cell>
          <cell r="G51">
            <v>28.857055729177837</v>
          </cell>
          <cell r="I51">
            <v>49</v>
          </cell>
          <cell r="J51">
            <v>507.55295278468168</v>
          </cell>
          <cell r="K51">
            <v>1.1399999999999999</v>
          </cell>
          <cell r="N51">
            <v>58</v>
          </cell>
          <cell r="O51">
            <v>48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V51">
            <v>48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C51">
            <v>48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L51">
            <v>48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S51">
            <v>48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</row>
        <row r="52">
          <cell r="F52">
            <v>50</v>
          </cell>
          <cell r="G52">
            <v>31</v>
          </cell>
          <cell r="I52">
            <v>50</v>
          </cell>
          <cell r="J52">
            <v>588.22499999999991</v>
          </cell>
          <cell r="K52">
            <v>1.1499999999999999</v>
          </cell>
          <cell r="N52">
            <v>59</v>
          </cell>
          <cell r="O52">
            <v>49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V52">
            <v>49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C52">
            <v>49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L52">
            <v>49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S52">
            <v>49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</row>
        <row r="53">
          <cell r="F53">
            <v>51</v>
          </cell>
          <cell r="G53">
            <v>33.296750801161366</v>
          </cell>
          <cell r="I53">
            <v>51</v>
          </cell>
          <cell r="J53">
            <v>681.65492699983838</v>
          </cell>
          <cell r="K53">
            <v>1.1599999999999999</v>
          </cell>
          <cell r="N53">
            <v>60</v>
          </cell>
          <cell r="O53">
            <v>50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V53">
            <v>50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C53">
            <v>50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L53">
            <v>50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S53">
            <v>50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</row>
        <row r="54">
          <cell r="F54">
            <v>52</v>
          </cell>
          <cell r="G54">
            <v>35.758347359905123</v>
          </cell>
          <cell r="I54">
            <v>52</v>
          </cell>
          <cell r="J54">
            <v>789.85301886939453</v>
          </cell>
          <cell r="K54">
            <v>1.17</v>
          </cell>
          <cell r="N54">
            <v>61</v>
          </cell>
          <cell r="O54">
            <v>51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V54">
            <v>51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C54">
            <v>51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AL54">
            <v>51</v>
          </cell>
          <cell r="AM54">
            <v>681.65492699983838</v>
          </cell>
          <cell r="AN54">
            <v>545.32394159987075</v>
          </cell>
          <cell r="AO54">
            <v>408.99295619990301</v>
          </cell>
          <cell r="AP54">
            <v>272.66197079993537</v>
          </cell>
          <cell r="AQ54">
            <v>136.33098539996769</v>
          </cell>
          <cell r="AS54">
            <v>51</v>
          </cell>
          <cell r="AT54">
            <v>93.429926999838472</v>
          </cell>
          <cell r="AU54">
            <v>74.743941599870823</v>
          </cell>
          <cell r="AV54">
            <v>56.05795619990306</v>
          </cell>
          <cell r="AW54">
            <v>37.371970799935411</v>
          </cell>
          <cell r="AX54">
            <v>18.685985399967706</v>
          </cell>
        </row>
        <row r="55">
          <cell r="F55">
            <v>53</v>
          </cell>
          <cell r="G55">
            <v>38.396621227037308</v>
          </cell>
          <cell r="I55">
            <v>53</v>
          </cell>
          <cell r="J55">
            <v>915.14532082292135</v>
          </cell>
          <cell r="K55">
            <v>1.18</v>
          </cell>
          <cell r="N55">
            <v>62</v>
          </cell>
          <cell r="O55">
            <v>52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V55">
            <v>52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C55">
            <v>52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AL55">
            <v>52</v>
          </cell>
          <cell r="AM55">
            <v>789.85301886939453</v>
          </cell>
          <cell r="AN55">
            <v>631.88241509551563</v>
          </cell>
          <cell r="AO55">
            <v>473.91181132163672</v>
          </cell>
          <cell r="AP55">
            <v>315.94120754775781</v>
          </cell>
          <cell r="AQ55">
            <v>157.97060377387891</v>
          </cell>
          <cell r="AS55">
            <v>52</v>
          </cell>
          <cell r="AT55">
            <v>108.19809186955615</v>
          </cell>
          <cell r="AU55">
            <v>86.558473495644876</v>
          </cell>
          <cell r="AV55">
            <v>64.918855121733714</v>
          </cell>
          <cell r="AW55">
            <v>43.279236747822438</v>
          </cell>
          <cell r="AX55">
            <v>21.639618373911219</v>
          </cell>
        </row>
        <row r="56">
          <cell r="F56">
            <v>54</v>
          </cell>
          <cell r="G56">
            <v>41.224253144732614</v>
          </cell>
          <cell r="I56">
            <v>54</v>
          </cell>
          <cell r="J56">
            <v>1060.2230944101252</v>
          </cell>
          <cell r="K56">
            <v>1.19</v>
          </cell>
          <cell r="N56">
            <v>63</v>
          </cell>
          <cell r="O56">
            <v>53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V56">
            <v>53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C56">
            <v>53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AL56">
            <v>53</v>
          </cell>
          <cell r="AM56">
            <v>915.14532082292135</v>
          </cell>
          <cell r="AN56">
            <v>732.11625665833708</v>
          </cell>
          <cell r="AO56">
            <v>549.08719249375281</v>
          </cell>
          <cell r="AP56">
            <v>366.05812832916854</v>
          </cell>
          <cell r="AQ56">
            <v>183.02906416458427</v>
          </cell>
          <cell r="AS56">
            <v>53</v>
          </cell>
          <cell r="AT56">
            <v>125.29230195352682</v>
          </cell>
          <cell r="AU56">
            <v>100.23384156282145</v>
          </cell>
          <cell r="AV56">
            <v>75.17538117211609</v>
          </cell>
          <cell r="AW56">
            <v>50.116920781410727</v>
          </cell>
          <cell r="AX56">
            <v>25.058460390705363</v>
          </cell>
        </row>
        <row r="57">
          <cell r="F57">
            <v>55</v>
          </cell>
          <cell r="G57">
            <v>44.254833995939045</v>
          </cell>
          <cell r="I57">
            <v>55</v>
          </cell>
          <cell r="J57">
            <v>1228.2</v>
          </cell>
          <cell r="K57">
            <v>1.2</v>
          </cell>
          <cell r="N57">
            <v>64</v>
          </cell>
          <cell r="O57">
            <v>54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V57">
            <v>54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C57">
            <v>54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AL57">
            <v>54</v>
          </cell>
          <cell r="AM57">
            <v>1060.2230944101252</v>
          </cell>
          <cell r="AN57">
            <v>848.17847552810019</v>
          </cell>
          <cell r="AO57">
            <v>636.13385664607506</v>
          </cell>
          <cell r="AP57">
            <v>424.0892377640501</v>
          </cell>
          <cell r="AQ57">
            <v>212.04461888202505</v>
          </cell>
          <cell r="AS57">
            <v>54</v>
          </cell>
          <cell r="AT57">
            <v>145.07777358720386</v>
          </cell>
          <cell r="AU57">
            <v>116.06221886976311</v>
          </cell>
          <cell r="AV57">
            <v>87.046664152322251</v>
          </cell>
          <cell r="AW57">
            <v>58.031109434881557</v>
          </cell>
          <cell r="AX57">
            <v>29.015554717440779</v>
          </cell>
        </row>
        <row r="58">
          <cell r="F58">
            <v>56</v>
          </cell>
          <cell r="G58">
            <v>47.502930128332721</v>
          </cell>
          <cell r="I58">
            <v>56</v>
          </cell>
          <cell r="J58">
            <v>1422.6782097755249</v>
          </cell>
          <cell r="K58">
            <v>1.21</v>
          </cell>
          <cell r="N58">
            <v>65</v>
          </cell>
          <cell r="O58">
            <v>55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V58">
            <v>55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C58">
            <v>55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AL58">
            <v>55</v>
          </cell>
          <cell r="AM58">
            <v>1228.2</v>
          </cell>
          <cell r="AN58">
            <v>982.56000000000006</v>
          </cell>
          <cell r="AO58">
            <v>736.92</v>
          </cell>
          <cell r="AP58">
            <v>491.28000000000003</v>
          </cell>
          <cell r="AQ58">
            <v>245.64000000000001</v>
          </cell>
          <cell r="AS58">
            <v>55</v>
          </cell>
          <cell r="AT58">
            <v>167.97690558987483</v>
          </cell>
          <cell r="AU58">
            <v>134.38152447189987</v>
          </cell>
          <cell r="AV58">
            <v>100.7861433539249</v>
          </cell>
          <cell r="AW58">
            <v>67.190762235949933</v>
          </cell>
          <cell r="AX58">
            <v>33.595381117974966</v>
          </cell>
        </row>
        <row r="59">
          <cell r="F59">
            <v>57</v>
          </cell>
          <cell r="G59">
            <v>50.984153366799077</v>
          </cell>
          <cell r="I59">
            <v>57</v>
          </cell>
          <cell r="J59">
            <v>1647.8248427703616</v>
          </cell>
          <cell r="K59">
            <v>1.22</v>
          </cell>
          <cell r="N59">
            <v>66</v>
          </cell>
          <cell r="O59">
            <v>56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V59">
            <v>56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C59">
            <v>56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AL59">
            <v>56</v>
          </cell>
          <cell r="AM59">
            <v>1422.6782097755249</v>
          </cell>
          <cell r="AN59">
            <v>1138.14256782042</v>
          </cell>
          <cell r="AO59">
            <v>853.60692586531491</v>
          </cell>
          <cell r="AP59">
            <v>569.07128391021001</v>
          </cell>
          <cell r="AQ59">
            <v>284.53564195510501</v>
          </cell>
          <cell r="AS59">
            <v>56</v>
          </cell>
          <cell r="AT59">
            <v>194.47820977552487</v>
          </cell>
          <cell r="AU59">
            <v>155.58256782041997</v>
          </cell>
          <cell r="AV59">
            <v>116.68692586531495</v>
          </cell>
          <cell r="AW59">
            <v>77.791283910209984</v>
          </cell>
          <cell r="AX59">
            <v>38.895641955104992</v>
          </cell>
        </row>
        <row r="60">
          <cell r="F60">
            <v>58</v>
          </cell>
          <cell r="G60">
            <v>54.715236050951923</v>
          </cell>
          <cell r="I60">
            <v>58</v>
          </cell>
          <cell r="J60">
            <v>1908.4603298511749</v>
          </cell>
          <cell r="K60">
            <v>1.23</v>
          </cell>
          <cell r="N60">
            <v>67</v>
          </cell>
          <cell r="O60">
            <v>57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V60">
            <v>57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C60">
            <v>57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AL60">
            <v>57</v>
          </cell>
          <cell r="AM60">
            <v>1647.8248427703616</v>
          </cell>
          <cell r="AN60">
            <v>1318.2598742162893</v>
          </cell>
          <cell r="AO60">
            <v>988.69490566221691</v>
          </cell>
          <cell r="AP60">
            <v>659.12993710814465</v>
          </cell>
          <cell r="AQ60">
            <v>329.56496855407232</v>
          </cell>
          <cell r="AS60">
            <v>57</v>
          </cell>
          <cell r="AT60">
            <v>225.14663299483664</v>
          </cell>
          <cell r="AU60">
            <v>180.11730639586926</v>
          </cell>
          <cell r="AV60">
            <v>135.087979796902</v>
          </cell>
          <cell r="AW60">
            <v>90.058653197934632</v>
          </cell>
          <cell r="AX60">
            <v>45.029326598967316</v>
          </cell>
        </row>
        <row r="61">
          <cell r="F61">
            <v>59</v>
          </cell>
          <cell r="G61">
            <v>58.714111458355703</v>
          </cell>
          <cell r="I61">
            <v>59</v>
          </cell>
          <cell r="J61">
            <v>2210.1605665017755</v>
          </cell>
          <cell r="K61">
            <v>1.24</v>
          </cell>
          <cell r="N61">
            <v>68</v>
          </cell>
          <cell r="O61">
            <v>58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V61">
            <v>58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C61">
            <v>58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AL61">
            <v>58</v>
          </cell>
          <cell r="AM61">
            <v>1908.4603298511749</v>
          </cell>
          <cell r="AN61">
            <v>1526.7682638809401</v>
          </cell>
          <cell r="AO61">
            <v>1145.0761979107049</v>
          </cell>
          <cell r="AP61">
            <v>763.38413194047007</v>
          </cell>
          <cell r="AQ61">
            <v>381.69206597023503</v>
          </cell>
          <cell r="AS61">
            <v>58</v>
          </cell>
          <cell r="AT61">
            <v>260.63548708081339</v>
          </cell>
          <cell r="AU61">
            <v>208.50838966465085</v>
          </cell>
          <cell r="AV61">
            <v>156.38129224848797</v>
          </cell>
          <cell r="AW61">
            <v>104.25419483232542</v>
          </cell>
          <cell r="AX61">
            <v>52.127097416162712</v>
          </cell>
        </row>
        <row r="62">
          <cell r="F62">
            <v>60</v>
          </cell>
          <cell r="G62">
            <v>63</v>
          </cell>
          <cell r="I62">
            <v>60</v>
          </cell>
          <cell r="J62">
            <v>2559.375</v>
          </cell>
          <cell r="K62">
            <v>1.25</v>
          </cell>
          <cell r="N62">
            <v>69</v>
          </cell>
          <cell r="O62">
            <v>59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V62">
            <v>59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C62">
            <v>59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AL62">
            <v>59</v>
          </cell>
          <cell r="AM62">
            <v>2210.1605665017755</v>
          </cell>
          <cell r="AN62">
            <v>1768.1284532014206</v>
          </cell>
          <cell r="AO62">
            <v>1326.0963399010652</v>
          </cell>
          <cell r="AP62">
            <v>884.0642266007103</v>
          </cell>
          <cell r="AQ62">
            <v>442.03211330035515</v>
          </cell>
          <cell r="AS62">
            <v>59</v>
          </cell>
          <cell r="AT62">
            <v>301.70023665060057</v>
          </cell>
          <cell r="AU62">
            <v>241.36018932048046</v>
          </cell>
          <cell r="AV62">
            <v>181.02014199036034</v>
          </cell>
          <cell r="AW62">
            <v>120.68009466024023</v>
          </cell>
          <cell r="AX62">
            <v>60.340047330120115</v>
          </cell>
        </row>
        <row r="63">
          <cell r="F63">
            <v>61</v>
          </cell>
          <cell r="G63">
            <v>67.593501602322732</v>
          </cell>
          <cell r="I63">
            <v>61</v>
          </cell>
          <cell r="J63">
            <v>2963.5631311027469</v>
          </cell>
          <cell r="K63">
            <v>1.26</v>
          </cell>
          <cell r="N63">
            <v>70</v>
          </cell>
          <cell r="O63">
            <v>60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V63">
            <v>60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C63">
            <v>60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AL63">
            <v>60</v>
          </cell>
          <cell r="AM63">
            <v>2559.375</v>
          </cell>
          <cell r="AN63">
            <v>2047.5</v>
          </cell>
          <cell r="AO63">
            <v>1535.625</v>
          </cell>
          <cell r="AP63">
            <v>1023.75</v>
          </cell>
          <cell r="AQ63">
            <v>511.875</v>
          </cell>
          <cell r="AS63">
            <v>60</v>
          </cell>
          <cell r="AT63">
            <v>349.21443349822448</v>
          </cell>
          <cell r="AU63">
            <v>279.3715467985794</v>
          </cell>
          <cell r="AV63">
            <v>209.52866009893478</v>
          </cell>
          <cell r="AW63">
            <v>139.6857733992897</v>
          </cell>
          <cell r="AX63">
            <v>69.842886699644851</v>
          </cell>
        </row>
        <row r="64">
          <cell r="F64">
            <v>62</v>
          </cell>
          <cell r="G64">
            <v>72.516694719810218</v>
          </cell>
          <cell r="I64">
            <v>62</v>
          </cell>
          <cell r="J64">
            <v>3431.3522956038646</v>
          </cell>
          <cell r="K64">
            <v>1.27</v>
          </cell>
          <cell r="N64">
            <v>71</v>
          </cell>
          <cell r="O64">
            <v>61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V64">
            <v>61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C64">
            <v>61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AL64">
            <v>61</v>
          </cell>
          <cell r="AM64">
            <v>2963.5631311027469</v>
          </cell>
          <cell r="AN64">
            <v>2370.8505048821976</v>
          </cell>
          <cell r="AO64">
            <v>1778.1378786616481</v>
          </cell>
          <cell r="AP64">
            <v>1185.4252524410988</v>
          </cell>
          <cell r="AQ64">
            <v>592.7126262205494</v>
          </cell>
          <cell r="AS64">
            <v>61</v>
          </cell>
          <cell r="AT64">
            <v>404.18813110274687</v>
          </cell>
          <cell r="AU64">
            <v>323.35050488219758</v>
          </cell>
          <cell r="AV64">
            <v>242.51287866164807</v>
          </cell>
          <cell r="AW64">
            <v>161.67525244109879</v>
          </cell>
          <cell r="AX64">
            <v>80.837626220549396</v>
          </cell>
        </row>
        <row r="65">
          <cell r="F65">
            <v>63</v>
          </cell>
          <cell r="G65">
            <v>77.793242454074615</v>
          </cell>
          <cell r="I65">
            <v>63</v>
          </cell>
          <cell r="J65">
            <v>3972.7200361130153</v>
          </cell>
          <cell r="K65">
            <v>1.28</v>
          </cell>
          <cell r="N65">
            <v>72</v>
          </cell>
          <cell r="O65">
            <v>62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V65">
            <v>62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C65">
            <v>62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AL65">
            <v>62</v>
          </cell>
          <cell r="AM65">
            <v>3431.3522956038646</v>
          </cell>
          <cell r="AN65">
            <v>2745.081836483092</v>
          </cell>
          <cell r="AO65">
            <v>2058.8113773623186</v>
          </cell>
          <cell r="AP65">
            <v>1372.540918241546</v>
          </cell>
          <cell r="AQ65">
            <v>686.27045912077301</v>
          </cell>
          <cell r="AS65">
            <v>62</v>
          </cell>
          <cell r="AT65">
            <v>467.78916450111774</v>
          </cell>
          <cell r="AU65">
            <v>374.23133160089446</v>
          </cell>
          <cell r="AV65">
            <v>280.67349870067051</v>
          </cell>
          <cell r="AW65">
            <v>187.11566580044723</v>
          </cell>
          <cell r="AX65">
            <v>93.557832900223616</v>
          </cell>
        </row>
        <row r="66">
          <cell r="F66">
            <v>64</v>
          </cell>
          <cell r="G66">
            <v>83.4485062894652</v>
          </cell>
          <cell r="I66">
            <v>64</v>
          </cell>
          <cell r="J66">
            <v>4599.2048883665893</v>
          </cell>
          <cell r="K66">
            <v>1.29</v>
          </cell>
          <cell r="N66">
            <v>73</v>
          </cell>
          <cell r="O66">
            <v>63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V66">
            <v>63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C66">
            <v>63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AL66">
            <v>63</v>
          </cell>
          <cell r="AM66">
            <v>3972.7200361130153</v>
          </cell>
          <cell r="AN66">
            <v>3178.1760288904125</v>
          </cell>
          <cell r="AO66">
            <v>2383.6320216678091</v>
          </cell>
          <cell r="AP66">
            <v>1589.0880144452062</v>
          </cell>
          <cell r="AQ66">
            <v>794.54400722260311</v>
          </cell>
          <cell r="AS66">
            <v>63</v>
          </cell>
          <cell r="AT66">
            <v>541.36774050915074</v>
          </cell>
          <cell r="AU66">
            <v>433.09419240732041</v>
          </cell>
          <cell r="AV66">
            <v>324.82064430549053</v>
          </cell>
          <cell r="AW66">
            <v>216.5470962036602</v>
          </cell>
          <cell r="AX66">
            <v>108.2735481018301</v>
          </cell>
        </row>
        <row r="67">
          <cell r="F67">
            <v>65</v>
          </cell>
          <cell r="G67">
            <v>89.509667991878061</v>
          </cell>
          <cell r="I67">
            <v>65</v>
          </cell>
          <cell r="J67">
            <v>5324.1500000000005</v>
          </cell>
          <cell r="K67">
            <v>1.3</v>
          </cell>
          <cell r="N67">
            <v>74</v>
          </cell>
          <cell r="O67">
            <v>64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V67">
            <v>64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C67">
            <v>64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AL67">
            <v>64</v>
          </cell>
          <cell r="AM67">
            <v>4599.2048883665893</v>
          </cell>
          <cell r="AN67">
            <v>3679.3639106932715</v>
          </cell>
          <cell r="AO67">
            <v>2759.5229330199536</v>
          </cell>
          <cell r="AP67">
            <v>1839.6819553466357</v>
          </cell>
          <cell r="AQ67">
            <v>919.84097767331787</v>
          </cell>
          <cell r="AS67">
            <v>64</v>
          </cell>
          <cell r="AT67">
            <v>626.48485225357399</v>
          </cell>
          <cell r="AU67">
            <v>501.18788180285901</v>
          </cell>
          <cell r="AV67">
            <v>375.89091135214449</v>
          </cell>
          <cell r="AW67">
            <v>250.59394090142951</v>
          </cell>
          <cell r="AX67">
            <v>125.29697045071475</v>
          </cell>
        </row>
        <row r="68">
          <cell r="F68">
            <v>66</v>
          </cell>
          <cell r="G68">
            <v>96.005860256665443</v>
          </cell>
          <cell r="I68">
            <v>66</v>
          </cell>
          <cell r="J68">
            <v>6162.9846853088866</v>
          </cell>
          <cell r="K68">
            <v>1.31</v>
          </cell>
          <cell r="N68">
            <v>75</v>
          </cell>
          <cell r="O68">
            <v>65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V68">
            <v>65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C68">
            <v>65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AL68">
            <v>65</v>
          </cell>
          <cell r="AM68">
            <v>5324.1500000000005</v>
          </cell>
          <cell r="AN68">
            <v>4259.3200000000006</v>
          </cell>
          <cell r="AO68">
            <v>3194.4900000000002</v>
          </cell>
          <cell r="AP68">
            <v>2129.6600000000003</v>
          </cell>
          <cell r="AQ68">
            <v>1064.8300000000002</v>
          </cell>
          <cell r="AS68">
            <v>65</v>
          </cell>
          <cell r="AT68">
            <v>724.94511163341122</v>
          </cell>
          <cell r="AU68">
            <v>579.95608930672915</v>
          </cell>
          <cell r="AV68">
            <v>434.96706698004664</v>
          </cell>
          <cell r="AW68">
            <v>289.97804465336458</v>
          </cell>
          <cell r="AX68">
            <v>144.98902232668229</v>
          </cell>
        </row>
        <row r="69">
          <cell r="F69">
            <v>67</v>
          </cell>
          <cell r="G69">
            <v>102.96830673359811</v>
          </cell>
          <cell r="I69">
            <v>67</v>
          </cell>
          <cell r="J69">
            <v>7133.5498113340191</v>
          </cell>
          <cell r="K69">
            <v>1.32</v>
          </cell>
          <cell r="N69">
            <v>76</v>
          </cell>
          <cell r="O69">
            <v>66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V69">
            <v>66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C69">
            <v>66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AL69">
            <v>66</v>
          </cell>
          <cell r="AM69">
            <v>6162.9846853088866</v>
          </cell>
          <cell r="AN69">
            <v>4930.3877482471098</v>
          </cell>
          <cell r="AO69">
            <v>3697.7908111853317</v>
          </cell>
          <cell r="AP69">
            <v>2465.1938741235549</v>
          </cell>
          <cell r="AQ69">
            <v>1232.5969370617775</v>
          </cell>
          <cell r="AS69">
            <v>66</v>
          </cell>
          <cell r="AT69">
            <v>838.83468530888604</v>
          </cell>
          <cell r="AU69">
            <v>671.06774824710919</v>
          </cell>
          <cell r="AV69">
            <v>503.30081118533144</v>
          </cell>
          <cell r="AW69">
            <v>335.5338741235546</v>
          </cell>
          <cell r="AX69">
            <v>167.7669370617773</v>
          </cell>
        </row>
        <row r="70">
          <cell r="F70">
            <v>68</v>
          </cell>
          <cell r="G70">
            <v>110.43047210190386</v>
          </cell>
          <cell r="I70">
            <v>68</v>
          </cell>
          <cell r="J70">
            <v>8256.4738250473602</v>
          </cell>
          <cell r="K70">
            <v>1.33</v>
          </cell>
          <cell r="N70">
            <v>77</v>
          </cell>
          <cell r="O70">
            <v>67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V70">
            <v>67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C70">
            <v>67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AL70">
            <v>67</v>
          </cell>
          <cell r="AM70">
            <v>7133.5498113340191</v>
          </cell>
          <cell r="AN70">
            <v>5706.8398490672153</v>
          </cell>
          <cell r="AO70">
            <v>4280.1298868004114</v>
          </cell>
          <cell r="AP70">
            <v>2853.4199245336076</v>
          </cell>
          <cell r="AQ70">
            <v>1426.7099622668038</v>
          </cell>
          <cell r="AS70">
            <v>67</v>
          </cell>
          <cell r="AT70">
            <v>970.56512602513249</v>
          </cell>
          <cell r="AU70">
            <v>776.45210082010544</v>
          </cell>
          <cell r="AV70">
            <v>582.33907561507976</v>
          </cell>
          <cell r="AW70">
            <v>388.22605041005272</v>
          </cell>
          <cell r="AX70">
            <v>194.11302520502636</v>
          </cell>
        </row>
        <row r="71">
          <cell r="F71">
            <v>69</v>
          </cell>
          <cell r="G71">
            <v>118.42822291671132</v>
          </cell>
          <cell r="I71">
            <v>69</v>
          </cell>
          <cell r="J71">
            <v>9555.6072874592737</v>
          </cell>
          <cell r="K71">
            <v>1.34</v>
          </cell>
          <cell r="N71">
            <v>78</v>
          </cell>
          <cell r="O71">
            <v>68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V71">
            <v>68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C71">
            <v>68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AL71">
            <v>68</v>
          </cell>
          <cell r="AM71">
            <v>8256.4738250473602</v>
          </cell>
          <cell r="AN71">
            <v>6605.1790600378881</v>
          </cell>
          <cell r="AO71">
            <v>4953.8842950284161</v>
          </cell>
          <cell r="AP71">
            <v>3302.5895300189441</v>
          </cell>
          <cell r="AQ71">
            <v>1651.294765009472</v>
          </cell>
          <cell r="AS71">
            <v>68</v>
          </cell>
          <cell r="AT71">
            <v>1122.9240137133411</v>
          </cell>
          <cell r="AU71">
            <v>898.33921097067287</v>
          </cell>
          <cell r="AV71">
            <v>673.75440822800465</v>
          </cell>
          <cell r="AW71">
            <v>449.16960548533643</v>
          </cell>
          <cell r="AX71">
            <v>224.58480274266822</v>
          </cell>
        </row>
        <row r="72">
          <cell r="F72">
            <v>70</v>
          </cell>
          <cell r="G72">
            <v>127</v>
          </cell>
          <cell r="I72">
            <v>70</v>
          </cell>
          <cell r="J72">
            <v>11058.525000000001</v>
          </cell>
          <cell r="K72">
            <v>1.35</v>
          </cell>
          <cell r="N72">
            <v>79</v>
          </cell>
          <cell r="O72">
            <v>69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V72">
            <v>69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C72">
            <v>69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AL72">
            <v>69</v>
          </cell>
          <cell r="AM72">
            <v>9555.6072874592737</v>
          </cell>
          <cell r="AN72">
            <v>7644.4858299674197</v>
          </cell>
          <cell r="AO72">
            <v>5733.3643724755639</v>
          </cell>
          <cell r="AP72">
            <v>3822.2429149837099</v>
          </cell>
          <cell r="AQ72">
            <v>1911.1214574918549</v>
          </cell>
          <cell r="AS72">
            <v>69</v>
          </cell>
          <cell r="AT72">
            <v>1299.1334624119136</v>
          </cell>
          <cell r="AU72">
            <v>1039.3067699295316</v>
          </cell>
          <cell r="AV72">
            <v>779.48007744714778</v>
          </cell>
          <cell r="AW72">
            <v>519.65338496476579</v>
          </cell>
          <cell r="AX72">
            <v>259.8266924823829</v>
          </cell>
        </row>
        <row r="73">
          <cell r="F73">
            <v>71</v>
          </cell>
          <cell r="G73">
            <v>136.18700320464549</v>
          </cell>
          <cell r="I73">
            <v>71</v>
          </cell>
          <cell r="J73">
            <v>12797.106216824561</v>
          </cell>
          <cell r="K73">
            <v>1.36</v>
          </cell>
          <cell r="N73">
            <v>80</v>
          </cell>
          <cell r="O73">
            <v>70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V73">
            <v>70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C73">
            <v>70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AL73">
            <v>70</v>
          </cell>
          <cell r="AM73">
            <v>11058.525000000001</v>
          </cell>
          <cell r="AN73">
            <v>8846.8200000000015</v>
          </cell>
          <cell r="AO73">
            <v>6635.1150000000007</v>
          </cell>
          <cell r="AP73">
            <v>4423.4100000000008</v>
          </cell>
          <cell r="AQ73">
            <v>2211.7050000000004</v>
          </cell>
          <cell r="AS73">
            <v>70</v>
          </cell>
          <cell r="AT73">
            <v>1502.9177125407277</v>
          </cell>
          <cell r="AU73">
            <v>1202.3341700325818</v>
          </cell>
          <cell r="AV73">
            <v>901.75062752443682</v>
          </cell>
          <cell r="AW73">
            <v>601.16708501629091</v>
          </cell>
          <cell r="AX73">
            <v>300.58354250814546</v>
          </cell>
        </row>
        <row r="74">
          <cell r="F74">
            <v>72</v>
          </cell>
          <cell r="G74">
            <v>146.03338943962044</v>
          </cell>
          <cell r="I74">
            <v>72</v>
          </cell>
          <cell r="J74">
            <v>14808.205062920617</v>
          </cell>
          <cell r="K74">
            <v>1.37</v>
          </cell>
          <cell r="N74">
            <v>81</v>
          </cell>
          <cell r="O74">
            <v>71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V74">
            <v>71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C74">
            <v>71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AL74">
            <v>71</v>
          </cell>
          <cell r="AM74">
            <v>12797.106216824561</v>
          </cell>
          <cell r="AN74">
            <v>10237.684973459649</v>
          </cell>
          <cell r="AO74">
            <v>7678.2637300947363</v>
          </cell>
          <cell r="AP74">
            <v>5118.8424867298245</v>
          </cell>
          <cell r="AQ74">
            <v>2559.4212433649122</v>
          </cell>
          <cell r="AS74">
            <v>71</v>
          </cell>
          <cell r="AT74">
            <v>1738.5812168245593</v>
          </cell>
          <cell r="AU74">
            <v>1390.8649734596474</v>
          </cell>
          <cell r="AV74">
            <v>1043.1487300947356</v>
          </cell>
          <cell r="AW74">
            <v>695.43248672982372</v>
          </cell>
          <cell r="AX74">
            <v>347.71624336491186</v>
          </cell>
        </row>
        <row r="75">
          <cell r="F75">
            <v>73</v>
          </cell>
          <cell r="G75">
            <v>156.58648490814926</v>
          </cell>
          <cell r="I75">
            <v>73</v>
          </cell>
          <cell r="J75">
            <v>17134.425155737379</v>
          </cell>
          <cell r="K75">
            <v>1.38</v>
          </cell>
          <cell r="N75">
            <v>82</v>
          </cell>
          <cell r="O75">
            <v>72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V75">
            <v>72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C75">
            <v>72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AL75">
            <v>72</v>
          </cell>
          <cell r="AM75">
            <v>14808.205062920617</v>
          </cell>
          <cell r="AN75">
            <v>11846.564050336494</v>
          </cell>
          <cell r="AO75">
            <v>8884.9230377523691</v>
          </cell>
          <cell r="AP75">
            <v>5923.2820251682469</v>
          </cell>
          <cell r="AQ75">
            <v>2961.6410125841235</v>
          </cell>
          <cell r="AS75">
            <v>72</v>
          </cell>
          <cell r="AT75">
            <v>2011.0988460960561</v>
          </cell>
          <cell r="AU75">
            <v>1608.8790768768449</v>
          </cell>
          <cell r="AV75">
            <v>1206.6593076576328</v>
          </cell>
          <cell r="AW75">
            <v>804.43953843842246</v>
          </cell>
          <cell r="AX75">
            <v>402.21976921921123</v>
          </cell>
        </row>
        <row r="76">
          <cell r="F76">
            <v>74</v>
          </cell>
          <cell r="G76">
            <v>167.89701257893043</v>
          </cell>
          <cell r="I76">
            <v>74</v>
          </cell>
          <cell r="J76">
            <v>19825.014596370729</v>
          </cell>
          <cell r="K76">
            <v>1.39</v>
          </cell>
          <cell r="N76">
            <v>83</v>
          </cell>
          <cell r="O76">
            <v>73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V76">
            <v>73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C76">
            <v>73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AL76">
            <v>73</v>
          </cell>
          <cell r="AM76">
            <v>17134.425155737379</v>
          </cell>
          <cell r="AN76">
            <v>13707.540124589905</v>
          </cell>
          <cell r="AO76">
            <v>10280.655093442427</v>
          </cell>
          <cell r="AP76">
            <v>6853.7700622949524</v>
          </cell>
          <cell r="AQ76">
            <v>3426.8850311474762</v>
          </cell>
          <cell r="AS76">
            <v>73</v>
          </cell>
          <cell r="AT76">
            <v>2326.2200928167622</v>
          </cell>
          <cell r="AU76">
            <v>1860.9760742534108</v>
          </cell>
          <cell r="AV76">
            <v>1395.7320556900577</v>
          </cell>
          <cell r="AW76">
            <v>930.48803712670542</v>
          </cell>
          <cell r="AX76">
            <v>465.24401856335271</v>
          </cell>
        </row>
        <row r="77">
          <cell r="F77">
            <v>75</v>
          </cell>
          <cell r="G77">
            <v>180.01933598375612</v>
          </cell>
          <cell r="I77">
            <v>75</v>
          </cell>
          <cell r="J77">
            <v>22936.899999999998</v>
          </cell>
          <cell r="K77">
            <v>1.4</v>
          </cell>
          <cell r="N77">
            <v>84</v>
          </cell>
          <cell r="O77">
            <v>74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V77">
            <v>74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C77">
            <v>74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AL77">
            <v>74</v>
          </cell>
          <cell r="AM77">
            <v>19825.014596370729</v>
          </cell>
          <cell r="AN77">
            <v>15860.011677096583</v>
          </cell>
          <cell r="AO77">
            <v>11895.008757822437</v>
          </cell>
          <cell r="AP77">
            <v>7930.0058385482916</v>
          </cell>
          <cell r="AQ77">
            <v>3965.0029192741458</v>
          </cell>
          <cell r="AS77">
            <v>74</v>
          </cell>
          <cell r="AT77">
            <v>2690.58944063335</v>
          </cell>
          <cell r="AU77">
            <v>2152.4715525066786</v>
          </cell>
          <cell r="AV77">
            <v>1614.3536643800107</v>
          </cell>
          <cell r="AW77">
            <v>1076.2357762533393</v>
          </cell>
          <cell r="AX77">
            <v>538.11788812666964</v>
          </cell>
        </row>
        <row r="78">
          <cell r="F78">
            <v>76</v>
          </cell>
          <cell r="G78">
            <v>193.01172051333091</v>
          </cell>
          <cell r="I78">
            <v>76</v>
          </cell>
          <cell r="J78">
            <v>26535.88112606269</v>
          </cell>
          <cell r="K78">
            <v>1.41</v>
          </cell>
          <cell r="N78">
            <v>85</v>
          </cell>
          <cell r="O78">
            <v>75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V78">
            <v>75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C78">
            <v>75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AL78">
            <v>75</v>
          </cell>
          <cell r="AM78">
            <v>22936.899999999998</v>
          </cell>
          <cell r="AN78">
            <v>18349.52</v>
          </cell>
          <cell r="AO78">
            <v>13762.139999999998</v>
          </cell>
          <cell r="AP78">
            <v>9174.76</v>
          </cell>
          <cell r="AQ78">
            <v>4587.38</v>
          </cell>
          <cell r="AS78">
            <v>75</v>
          </cell>
          <cell r="AT78">
            <v>3111.8854036292687</v>
          </cell>
          <cell r="AU78">
            <v>2489.5083229034171</v>
          </cell>
          <cell r="AV78">
            <v>1867.1312421775601</v>
          </cell>
          <cell r="AW78">
            <v>1244.7541614517086</v>
          </cell>
          <cell r="AX78">
            <v>622.37708072585428</v>
          </cell>
        </row>
        <row r="79">
          <cell r="F79">
            <v>77</v>
          </cell>
          <cell r="G79">
            <v>206.93661346719625</v>
          </cell>
          <cell r="I79">
            <v>77</v>
          </cell>
          <cell r="J79">
            <v>30698.011006346387</v>
          </cell>
          <cell r="K79">
            <v>1.42</v>
          </cell>
          <cell r="N79">
            <v>86</v>
          </cell>
          <cell r="O79">
            <v>76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V79">
            <v>76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C79">
            <v>76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AL79">
            <v>76</v>
          </cell>
          <cell r="AM79">
            <v>26535.88112606269</v>
          </cell>
          <cell r="AN79">
            <v>21228.704900850153</v>
          </cell>
          <cell r="AO79">
            <v>15921.528675637614</v>
          </cell>
          <cell r="AP79">
            <v>10614.352450425076</v>
          </cell>
          <cell r="AQ79">
            <v>5307.1762252125382</v>
          </cell>
          <cell r="AS79">
            <v>76</v>
          </cell>
          <cell r="AT79">
            <v>3598.9811260626921</v>
          </cell>
          <cell r="AU79">
            <v>2879.1849008501522</v>
          </cell>
          <cell r="AV79">
            <v>2159.388675637616</v>
          </cell>
          <cell r="AW79">
            <v>1439.5924504250761</v>
          </cell>
          <cell r="AX79">
            <v>719.79622521253805</v>
          </cell>
        </row>
        <row r="80">
          <cell r="F80">
            <v>78</v>
          </cell>
          <cell r="G80">
            <v>221.86094420380775</v>
          </cell>
          <cell r="I80">
            <v>78</v>
          </cell>
          <cell r="J80">
            <v>35511.190322760085</v>
          </cell>
          <cell r="K80">
            <v>1.43</v>
          </cell>
          <cell r="N80">
            <v>87</v>
          </cell>
          <cell r="O80">
            <v>77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V80">
            <v>77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C80">
            <v>77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AL80">
            <v>77</v>
          </cell>
          <cell r="AM80">
            <v>30698.011006346387</v>
          </cell>
          <cell r="AN80">
            <v>24558.40880507711</v>
          </cell>
          <cell r="AO80">
            <v>18418.806603807832</v>
          </cell>
          <cell r="AP80">
            <v>12279.204402538555</v>
          </cell>
          <cell r="AQ80">
            <v>6139.6022012692774</v>
          </cell>
          <cell r="AS80">
            <v>77</v>
          </cell>
          <cell r="AT80">
            <v>4162.1298802836973</v>
          </cell>
          <cell r="AU80">
            <v>3329.7039042269571</v>
          </cell>
          <cell r="AV80">
            <v>2497.2779281702187</v>
          </cell>
          <cell r="AW80">
            <v>1664.8519521134785</v>
          </cell>
          <cell r="AX80">
            <v>832.42597605673927</v>
          </cell>
        </row>
        <row r="81">
          <cell r="F81">
            <v>79</v>
          </cell>
          <cell r="G81">
            <v>237.85644583342264</v>
          </cell>
          <cell r="I81">
            <v>79</v>
          </cell>
          <cell r="J81">
            <v>41077.009235645834</v>
          </cell>
          <cell r="K81">
            <v>1.44</v>
          </cell>
          <cell r="N81">
            <v>88</v>
          </cell>
          <cell r="O81">
            <v>78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V81">
            <v>78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C81">
            <v>78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AL81">
            <v>78</v>
          </cell>
          <cell r="AM81">
            <v>35511.190322760085</v>
          </cell>
          <cell r="AN81">
            <v>28408.952258208068</v>
          </cell>
          <cell r="AO81">
            <v>21306.714193656051</v>
          </cell>
          <cell r="AP81">
            <v>14204.476129104034</v>
          </cell>
          <cell r="AQ81">
            <v>7102.238064552017</v>
          </cell>
          <cell r="AS81">
            <v>78</v>
          </cell>
          <cell r="AT81">
            <v>4813.179316413698</v>
          </cell>
          <cell r="AU81">
            <v>3850.5434531309584</v>
          </cell>
          <cell r="AV81">
            <v>2887.9075898482188</v>
          </cell>
          <cell r="AW81">
            <v>1925.2717265654792</v>
          </cell>
          <cell r="AX81">
            <v>962.63586328273959</v>
          </cell>
        </row>
        <row r="82">
          <cell r="F82">
            <v>80</v>
          </cell>
          <cell r="G82">
            <v>255</v>
          </cell>
          <cell r="I82">
            <v>80</v>
          </cell>
          <cell r="J82">
            <v>47512.875</v>
          </cell>
          <cell r="K82">
            <v>1.45</v>
          </cell>
          <cell r="N82">
            <v>89</v>
          </cell>
          <cell r="O82">
            <v>79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V82">
            <v>79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C82">
            <v>79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AL82">
            <v>79</v>
          </cell>
          <cell r="AM82">
            <v>41077.009235645834</v>
          </cell>
          <cell r="AN82">
            <v>32861.60738851667</v>
          </cell>
          <cell r="AO82">
            <v>24646.205541387499</v>
          </cell>
          <cell r="AP82">
            <v>16430.803694258335</v>
          </cell>
          <cell r="AQ82">
            <v>8215.4018471291674</v>
          </cell>
          <cell r="AS82">
            <v>79</v>
          </cell>
          <cell r="AT82">
            <v>5565.8189128857484</v>
          </cell>
          <cell r="AU82">
            <v>4452.6551303086017</v>
          </cell>
          <cell r="AV82">
            <v>3339.4913477314476</v>
          </cell>
          <cell r="AW82">
            <v>2226.3275651543008</v>
          </cell>
          <cell r="AX82">
            <v>1113.1637825771504</v>
          </cell>
        </row>
        <row r="83">
          <cell r="F83">
            <v>81</v>
          </cell>
          <cell r="G83">
            <v>273.37400640929098</v>
          </cell>
          <cell r="N83">
            <v>90</v>
          </cell>
          <cell r="O83">
            <v>80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V83">
            <v>80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C83">
            <v>80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AL83">
            <v>80</v>
          </cell>
          <cell r="AM83">
            <v>47512.875</v>
          </cell>
          <cell r="AN83">
            <v>38010.300000000003</v>
          </cell>
          <cell r="AO83">
            <v>28507.724999999999</v>
          </cell>
          <cell r="AP83">
            <v>19005.150000000001</v>
          </cell>
          <cell r="AQ83">
            <v>9502.5750000000007</v>
          </cell>
          <cell r="AS83">
            <v>80</v>
          </cell>
          <cell r="AT83">
            <v>6435.8657643541665</v>
          </cell>
          <cell r="AU83">
            <v>5148.6926114833332</v>
          </cell>
          <cell r="AV83">
            <v>3861.5194586124999</v>
          </cell>
          <cell r="AW83">
            <v>2574.3463057416666</v>
          </cell>
          <cell r="AX83">
            <v>1287.1731528708333</v>
          </cell>
        </row>
        <row r="84">
          <cell r="F84">
            <v>82</v>
          </cell>
          <cell r="G84">
            <v>293.06677887924064</v>
          </cell>
          <cell r="N84">
            <v>91</v>
          </cell>
          <cell r="O84">
            <v>81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V84">
            <v>81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C84">
            <v>81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</row>
        <row r="85">
          <cell r="F85">
            <v>83</v>
          </cell>
          <cell r="G85">
            <v>314.1729698162988</v>
          </cell>
          <cell r="N85">
            <v>92</v>
          </cell>
          <cell r="O85">
            <v>82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V85">
            <v>82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C85">
            <v>82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</row>
        <row r="86">
          <cell r="F86">
            <v>84</v>
          </cell>
          <cell r="G86">
            <v>336.79402515786086</v>
          </cell>
          <cell r="N86">
            <v>93</v>
          </cell>
          <cell r="O86">
            <v>83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V86">
            <v>83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C86">
            <v>83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</row>
        <row r="87">
          <cell r="F87">
            <v>85</v>
          </cell>
          <cell r="G87">
            <v>361.0386719675123</v>
          </cell>
          <cell r="N87">
            <v>94</v>
          </cell>
          <cell r="O87">
            <v>84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V87">
            <v>84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C87">
            <v>84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</row>
        <row r="88">
          <cell r="F88">
            <v>86</v>
          </cell>
          <cell r="G88">
            <v>387.02344102666189</v>
          </cell>
          <cell r="N88">
            <v>95</v>
          </cell>
          <cell r="O88">
            <v>85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V88">
            <v>85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C88">
            <v>85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</row>
        <row r="89">
          <cell r="F89">
            <v>87</v>
          </cell>
          <cell r="G89">
            <v>414.87322693439216</v>
          </cell>
          <cell r="N89">
            <v>96</v>
          </cell>
          <cell r="O89">
            <v>86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V89">
            <v>86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C89">
            <v>86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</row>
        <row r="90">
          <cell r="F90">
            <v>88</v>
          </cell>
          <cell r="G90">
            <v>444.72188840761549</v>
          </cell>
          <cell r="N90">
            <v>97</v>
          </cell>
          <cell r="O90">
            <v>87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V90">
            <v>87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C90">
            <v>87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</row>
        <row r="91">
          <cell r="F91">
            <v>89</v>
          </cell>
          <cell r="G91">
            <v>476.71289166684534</v>
          </cell>
          <cell r="N91">
            <v>98</v>
          </cell>
          <cell r="O91">
            <v>88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V91">
            <v>88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C91">
            <v>88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</row>
        <row r="92">
          <cell r="F92">
            <v>90</v>
          </cell>
          <cell r="G92">
            <v>511</v>
          </cell>
          <cell r="N92">
            <v>99</v>
          </cell>
          <cell r="O92">
            <v>89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V92">
            <v>89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C92">
            <v>89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</row>
        <row r="93">
          <cell r="F93">
            <v>91</v>
          </cell>
          <cell r="G93">
            <v>547.74801281858208</v>
          </cell>
          <cell r="N93">
            <v>100</v>
          </cell>
          <cell r="O93">
            <v>90</v>
          </cell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V93">
            <v>90</v>
          </cell>
          <cell r="W93">
            <v>34.287108333154663</v>
          </cell>
          <cell r="X93">
            <v>26.346804178179013</v>
          </cell>
          <cell r="Y93">
            <v>21.520415484042019</v>
          </cell>
          <cell r="Z93">
            <v>14.575831310743297</v>
          </cell>
          <cell r="AA93">
            <v>7.861667683284395</v>
          </cell>
          <cell r="AC93">
            <v>90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</row>
        <row r="94">
          <cell r="F94">
            <v>92</v>
          </cell>
          <cell r="G94">
            <v>587.1335577584814</v>
          </cell>
          <cell r="N94">
            <v>101</v>
          </cell>
          <cell r="O94">
            <v>91</v>
          </cell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V94">
            <v>91</v>
          </cell>
          <cell r="W94">
            <v>36.748012818582083</v>
          </cell>
          <cell r="X94">
            <v>31.507746190652256</v>
          </cell>
          <cell r="Y94">
            <v>24.316102056358375</v>
          </cell>
          <cell r="Z94">
            <v>17.727385979808247</v>
          </cell>
          <cell r="AA94">
            <v>9.4109634610171611</v>
          </cell>
          <cell r="AC94">
            <v>91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</row>
        <row r="95">
          <cell r="F95">
            <v>93</v>
          </cell>
          <cell r="G95">
            <v>629.34593963259704</v>
          </cell>
          <cell r="N95">
            <v>102</v>
          </cell>
          <cell r="O95">
            <v>92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V95">
            <v>92</v>
          </cell>
          <cell r="W95">
            <v>39.385544939899319</v>
          </cell>
          <cell r="X95">
            <v>32.653612471728536</v>
          </cell>
          <cell r="Y95">
            <v>26.683052796993763</v>
          </cell>
          <cell r="Z95">
            <v>18.956338803053598</v>
          </cell>
          <cell r="AA95">
            <v>9.7533967971350819</v>
          </cell>
          <cell r="AC95">
            <v>92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</row>
        <row r="96">
          <cell r="F96">
            <v>94</v>
          </cell>
          <cell r="G96">
            <v>674.58805031572183</v>
          </cell>
          <cell r="N96">
            <v>103</v>
          </cell>
          <cell r="O96">
            <v>93</v>
          </cell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V96">
            <v>93</v>
          </cell>
          <cell r="W96">
            <v>42.212381874115636</v>
          </cell>
          <cell r="X96">
            <v>36.049758099342739</v>
          </cell>
          <cell r="Y96">
            <v>28.56013214747054</v>
          </cell>
          <cell r="Z96">
            <v>19.95571533527368</v>
          </cell>
          <cell r="AA96">
            <v>10.704678593567451</v>
          </cell>
          <cell r="AC96">
            <v>93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</row>
        <row r="97">
          <cell r="F97">
            <v>95</v>
          </cell>
          <cell r="G97">
            <v>723.0773439350246</v>
          </cell>
          <cell r="N97">
            <v>104</v>
          </cell>
          <cell r="O97">
            <v>94</v>
          </cell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V97">
            <v>94</v>
          </cell>
          <cell r="W97">
            <v>45.242110683124793</v>
          </cell>
          <cell r="X97">
            <v>37.958054622997565</v>
          </cell>
          <cell r="Y97">
            <v>30.366832811362372</v>
          </cell>
          <cell r="Z97">
            <v>21.180586297578486</v>
          </cell>
          <cell r="AA97">
            <v>11.292758947356987</v>
          </cell>
          <cell r="AC97">
            <v>94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</row>
        <row r="98">
          <cell r="F98">
            <v>96</v>
          </cell>
          <cell r="G98">
            <v>775.04688205332377</v>
          </cell>
          <cell r="N98">
            <v>105</v>
          </cell>
          <cell r="O98">
            <v>95</v>
          </cell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V98">
            <v>95</v>
          </cell>
          <cell r="W98">
            <v>48.489293619302771</v>
          </cell>
          <cell r="X98">
            <v>41.858249945331409</v>
          </cell>
          <cell r="Y98">
            <v>31.909630392848328</v>
          </cell>
          <cell r="Z98">
            <v>22.685688128350534</v>
          </cell>
          <cell r="AA98">
            <v>13.201929828394356</v>
          </cell>
          <cell r="AC98">
            <v>95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</row>
        <row r="99">
          <cell r="F99">
            <v>97</v>
          </cell>
          <cell r="G99">
            <v>830.74645386878444</v>
          </cell>
          <cell r="N99">
            <v>106</v>
          </cell>
          <cell r="O99">
            <v>96</v>
          </cell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V99">
            <v>96</v>
          </cell>
          <cell r="W99">
            <v>51.96953811829917</v>
          </cell>
          <cell r="X99">
            <v>42.878664373227252</v>
          </cell>
          <cell r="Y99">
            <v>34.018307743029425</v>
          </cell>
          <cell r="Z99">
            <v>25.310513920528081</v>
          </cell>
          <cell r="AA99">
            <v>14.015285192561066</v>
          </cell>
          <cell r="AC99">
            <v>96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</row>
        <row r="100">
          <cell r="F100">
            <v>98</v>
          </cell>
          <cell r="G100">
            <v>890.4437768152311</v>
          </cell>
          <cell r="N100">
            <v>107</v>
          </cell>
          <cell r="O100">
            <v>97</v>
          </cell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V100">
            <v>97</v>
          </cell>
          <cell r="W100">
            <v>55.699571815460672</v>
          </cell>
          <cell r="X100">
            <v>46.675418347537629</v>
          </cell>
          <cell r="Y100">
            <v>39.333486888215248</v>
          </cell>
          <cell r="Z100">
            <v>29.104197228878718</v>
          </cell>
          <cell r="AA100">
            <v>16.444633979897105</v>
          </cell>
          <cell r="AC100">
            <v>97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</row>
        <row r="101">
          <cell r="F101">
            <v>99</v>
          </cell>
          <cell r="G101">
            <v>954.42578333369079</v>
          </cell>
          <cell r="N101">
            <v>108</v>
          </cell>
          <cell r="O101">
            <v>98</v>
          </cell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V101">
            <v>98</v>
          </cell>
          <cell r="W101">
            <v>59.697322946446661</v>
          </cell>
          <cell r="X101">
            <v>52.637036971708426</v>
          </cell>
          <cell r="Y101">
            <v>43.670951123327086</v>
          </cell>
          <cell r="Z101">
            <v>32.120020739927838</v>
          </cell>
          <cell r="AA101">
            <v>17.471350450909227</v>
          </cell>
          <cell r="AC101">
            <v>98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</row>
        <row r="102">
          <cell r="F102">
            <v>100</v>
          </cell>
          <cell r="G102">
            <v>1023</v>
          </cell>
          <cell r="N102">
            <v>109</v>
          </cell>
          <cell r="O102">
            <v>99</v>
          </cell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V102">
            <v>99</v>
          </cell>
          <cell r="W102">
            <v>63.982006518459684</v>
          </cell>
          <cell r="X102">
            <v>56.161316619446666</v>
          </cell>
          <cell r="Y102">
            <v>45.667737118974969</v>
          </cell>
          <cell r="Z102">
            <v>33.472236245112185</v>
          </cell>
          <cell r="AA102">
            <v>16.823521670924634</v>
          </cell>
          <cell r="AC102">
            <v>99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</row>
        <row r="103">
          <cell r="F103">
            <v>101</v>
          </cell>
          <cell r="G103">
            <v>1096.4960256371633</v>
          </cell>
          <cell r="N103">
            <v>110</v>
          </cell>
          <cell r="O103">
            <v>100</v>
          </cell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V103">
            <v>100</v>
          </cell>
          <cell r="W103">
            <v>68.574216666309212</v>
          </cell>
          <cell r="X103">
            <v>58.86984235802754</v>
          </cell>
          <cell r="Y103">
            <v>48.039166921419906</v>
          </cell>
          <cell r="Z103">
            <v>32.826917321488622</v>
          </cell>
          <cell r="AA103">
            <v>17.178281078236921</v>
          </cell>
          <cell r="AC103">
            <v>100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</row>
        <row r="104">
          <cell r="F104">
            <v>102</v>
          </cell>
          <cell r="G104">
            <v>1175.2671155169628</v>
          </cell>
          <cell r="N104">
            <v>111</v>
          </cell>
          <cell r="O104">
            <v>101</v>
          </cell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V104">
            <v>101</v>
          </cell>
          <cell r="W104">
            <v>73.496025637163257</v>
          </cell>
          <cell r="X104">
            <v>63.767745958230307</v>
          </cell>
          <cell r="Y104">
            <v>49.56490888195151</v>
          </cell>
          <cell r="Z104">
            <v>33.771585472449829</v>
          </cell>
          <cell r="AA104">
            <v>18.644536460504867</v>
          </cell>
          <cell r="AC104">
            <v>101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</row>
        <row r="105">
          <cell r="F105">
            <v>103</v>
          </cell>
          <cell r="G105">
            <v>1259.6918792651943</v>
          </cell>
          <cell r="N105">
            <v>112</v>
          </cell>
          <cell r="O105">
            <v>102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V105">
            <v>102</v>
          </cell>
          <cell r="W105">
            <v>78.771089879799547</v>
          </cell>
          <cell r="X105">
            <v>65.116904251014375</v>
          </cell>
          <cell r="Y105">
            <v>49.979932362685076</v>
          </cell>
          <cell r="Z105">
            <v>35.998381938792477</v>
          </cell>
          <cell r="AA105">
            <v>20.13892995942075</v>
          </cell>
          <cell r="AC105">
            <v>102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</row>
        <row r="106">
          <cell r="F106">
            <v>104</v>
          </cell>
          <cell r="G106">
            <v>1350.1761006314437</v>
          </cell>
          <cell r="N106">
            <v>113</v>
          </cell>
          <cell r="O106">
            <v>103</v>
          </cell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V106">
            <v>103</v>
          </cell>
          <cell r="W106">
            <v>84.424763748231499</v>
          </cell>
          <cell r="X106">
            <v>69.11770011262729</v>
          </cell>
          <cell r="Y106">
            <v>55.270034984829749</v>
          </cell>
          <cell r="Z106">
            <v>41.016222059674192</v>
          </cell>
          <cell r="AA106">
            <v>22.272588592175168</v>
          </cell>
          <cell r="AC106">
            <v>103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</row>
        <row r="107">
          <cell r="F107">
            <v>105</v>
          </cell>
          <cell r="G107">
            <v>1447.1546878700494</v>
          </cell>
          <cell r="N107">
            <v>114</v>
          </cell>
          <cell r="O107">
            <v>104</v>
          </cell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V107">
            <v>104</v>
          </cell>
          <cell r="W107">
            <v>90.484221366249358</v>
          </cell>
          <cell r="X107">
            <v>77.371640246307379</v>
          </cell>
          <cell r="Y107">
            <v>63.907423143325104</v>
          </cell>
          <cell r="Z107">
            <v>46.084157700132664</v>
          </cell>
          <cell r="AA107">
            <v>24.663163856494691</v>
          </cell>
          <cell r="AC107">
            <v>104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</row>
        <row r="108">
          <cell r="F108">
            <v>106</v>
          </cell>
          <cell r="G108">
            <v>1551.0937641066464</v>
          </cell>
          <cell r="N108">
            <v>115</v>
          </cell>
          <cell r="O108">
            <v>105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V108">
            <v>105</v>
          </cell>
          <cell r="W108">
            <v>96.978587238605769</v>
          </cell>
          <cell r="X108">
            <v>84.102004591333753</v>
          </cell>
          <cell r="Y108">
            <v>67.771562912423519</v>
          </cell>
          <cell r="Z108">
            <v>48.495229417672135</v>
          </cell>
          <cell r="AA108">
            <v>25.893282792707737</v>
          </cell>
          <cell r="AC108">
            <v>105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</row>
        <row r="109">
          <cell r="F109">
            <v>107</v>
          </cell>
          <cell r="G109">
            <v>1662.4929077375689</v>
          </cell>
          <cell r="N109">
            <v>116</v>
          </cell>
          <cell r="O109">
            <v>106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V109">
            <v>106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50.787030363034091</v>
          </cell>
          <cell r="AA109">
            <v>26.200639591064714</v>
          </cell>
          <cell r="AC109">
            <v>106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</row>
        <row r="110">
          <cell r="F110">
            <v>108</v>
          </cell>
          <cell r="G110">
            <v>1781.8875536304624</v>
          </cell>
          <cell r="N110">
            <v>117</v>
          </cell>
          <cell r="O110">
            <v>107</v>
          </cell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V110">
            <v>107</v>
          </cell>
          <cell r="W110">
            <v>111.39914363092248</v>
          </cell>
          <cell r="X110">
            <v>94.458731583349845</v>
          </cell>
          <cell r="Y110">
            <v>76.963120060586334</v>
          </cell>
          <cell r="Z110">
            <v>51.738761456617226</v>
          </cell>
          <cell r="AA110">
            <v>27.637180716540286</v>
          </cell>
          <cell r="AC110">
            <v>107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</row>
        <row r="111">
          <cell r="F111">
            <v>109</v>
          </cell>
          <cell r="G111">
            <v>1909.8515666673818</v>
          </cell>
          <cell r="N111">
            <v>118</v>
          </cell>
          <cell r="O111">
            <v>108</v>
          </cell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V111">
            <v>108</v>
          </cell>
          <cell r="W111">
            <v>119.39464589289355</v>
          </cell>
          <cell r="X111">
            <v>101.90333026958456</v>
          </cell>
          <cell r="Y111">
            <v>76.464451918395753</v>
          </cell>
          <cell r="Z111">
            <v>55.581622827649653</v>
          </cell>
          <cell r="AA111">
            <v>30.902947210986099</v>
          </cell>
          <cell r="AC111">
            <v>108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</row>
        <row r="112">
          <cell r="F112">
            <v>110</v>
          </cell>
          <cell r="G112">
            <v>2047</v>
          </cell>
          <cell r="N112">
            <v>119</v>
          </cell>
          <cell r="O112">
            <v>109</v>
          </cell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V112">
            <v>109</v>
          </cell>
          <cell r="W112">
            <v>127.96401303691937</v>
          </cell>
          <cell r="X112">
            <v>103.86970074034207</v>
          </cell>
          <cell r="Y112">
            <v>83.46551102203648</v>
          </cell>
          <cell r="Z112">
            <v>60.117188140993335</v>
          </cell>
          <cell r="AA112">
            <v>33.451714733627909</v>
          </cell>
          <cell r="AC112">
            <v>109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</row>
        <row r="113">
          <cell r="F113">
            <v>111</v>
          </cell>
          <cell r="G113">
            <v>2193.9920512743265</v>
          </cell>
          <cell r="N113">
            <v>120</v>
          </cell>
          <cell r="O113">
            <v>110</v>
          </cell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V113">
            <v>110</v>
          </cell>
          <cell r="W113">
            <v>137.1484333326182</v>
          </cell>
          <cell r="X113">
            <v>116.67217223605826</v>
          </cell>
          <cell r="Y113">
            <v>95.718357316179208</v>
          </cell>
          <cell r="Z113">
            <v>69.575820622984452</v>
          </cell>
          <cell r="AA113">
            <v>37.462816086477687</v>
          </cell>
          <cell r="AC113">
            <v>110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</row>
        <row r="114">
          <cell r="F114">
            <v>112</v>
          </cell>
          <cell r="G114">
            <v>2351.5342310339256</v>
          </cell>
          <cell r="N114">
            <v>121</v>
          </cell>
          <cell r="O114">
            <v>111</v>
          </cell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583.16308722871599</v>
          </cell>
          <cell r="V114">
            <v>111</v>
          </cell>
          <cell r="W114">
            <v>146.99205127432651</v>
          </cell>
          <cell r="X114">
            <v>127.67892848059864</v>
          </cell>
          <cell r="Y114">
            <v>103.18896386651181</v>
          </cell>
          <cell r="Z114">
            <v>75.19949956031212</v>
          </cell>
          <cell r="AA114">
            <v>41.117487228716072</v>
          </cell>
          <cell r="AC114">
            <v>111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</row>
        <row r="115">
          <cell r="F115">
            <v>113</v>
          </cell>
          <cell r="G115">
            <v>2520.3837585303886</v>
          </cell>
          <cell r="N115">
            <v>122</v>
          </cell>
          <cell r="O115">
            <v>112</v>
          </cell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V115">
            <v>112</v>
          </cell>
          <cell r="W115">
            <v>157.54217975959909</v>
          </cell>
          <cell r="X115">
            <v>135.62110347582302</v>
          </cell>
          <cell r="Y115">
            <v>108.91886385310704</v>
          </cell>
          <cell r="Z115">
            <v>78.716868146655543</v>
          </cell>
          <cell r="AA115">
            <v>39.993483995274346</v>
          </cell>
          <cell r="AC115">
            <v>112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</row>
        <row r="116">
          <cell r="F116">
            <v>114</v>
          </cell>
          <cell r="G116">
            <v>2701.3522012628878</v>
          </cell>
          <cell r="N116">
            <v>123</v>
          </cell>
          <cell r="O116">
            <v>113</v>
          </cell>
          <cell r="P116">
            <v>2520.3837585303886</v>
          </cell>
          <cell r="Q116">
            <v>2149.6353076505684</v>
          </cell>
          <cell r="R116">
            <v>1726.7149129691693</v>
          </cell>
          <cell r="S116">
            <v>1235.7441568074496</v>
          </cell>
          <cell r="T116">
            <v>665.63335062787564</v>
          </cell>
          <cell r="V116">
            <v>113</v>
          </cell>
          <cell r="W116">
            <v>168.849527496463</v>
          </cell>
          <cell r="X116">
            <v>144.95237569414667</v>
          </cell>
          <cell r="Y116">
            <v>117.32488524955056</v>
          </cell>
          <cell r="Z116">
            <v>80.435389100481871</v>
          </cell>
          <cell r="AA116">
            <v>42.476779403885303</v>
          </cell>
          <cell r="AC116">
            <v>113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</row>
        <row r="117">
          <cell r="F117">
            <v>115</v>
          </cell>
          <cell r="G117">
            <v>2895.3093757400989</v>
          </cell>
          <cell r="N117">
            <v>124</v>
          </cell>
          <cell r="O117">
            <v>114</v>
          </cell>
          <cell r="P117">
            <v>2701.3522012628878</v>
          </cell>
          <cell r="Q117">
            <v>2304.5235628973696</v>
          </cell>
          <cell r="R117">
            <v>1846.3742295631837</v>
          </cell>
          <cell r="S117">
            <v>1319.3404150967945</v>
          </cell>
          <cell r="T117">
            <v>710.99589937239205</v>
          </cell>
          <cell r="V117">
            <v>114</v>
          </cell>
          <cell r="W117">
            <v>180.96844273249917</v>
          </cell>
          <cell r="X117">
            <v>154.88825524680124</v>
          </cell>
          <cell r="Y117">
            <v>119.6593165940144</v>
          </cell>
          <cell r="Z117">
            <v>83.59625828934486</v>
          </cell>
          <cell r="AA117">
            <v>45.362548744516403</v>
          </cell>
          <cell r="AC117">
            <v>114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</row>
        <row r="118">
          <cell r="F118">
            <v>116</v>
          </cell>
          <cell r="G118">
            <v>3103.1875282132928</v>
          </cell>
          <cell r="N118">
            <v>125</v>
          </cell>
          <cell r="O118">
            <v>115</v>
          </cell>
          <cell r="P118">
            <v>2895.3093757400989</v>
          </cell>
          <cell r="Q118">
            <v>2463.0396859421021</v>
          </cell>
          <cell r="R118">
            <v>1969.9684992535633</v>
          </cell>
          <cell r="S118">
            <v>1407.1203566096881</v>
          </cell>
          <cell r="T118">
            <v>758.86058738147995</v>
          </cell>
          <cell r="V118">
            <v>115</v>
          </cell>
          <cell r="W118">
            <v>193.95717447721108</v>
          </cell>
          <cell r="X118">
            <v>158.51612304473247</v>
          </cell>
          <cell r="Y118">
            <v>123.59426969037963</v>
          </cell>
          <cell r="Z118">
            <v>87.779941512893629</v>
          </cell>
          <cell r="AA118">
            <v>47.864688009087899</v>
          </cell>
          <cell r="AC118">
            <v>115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</row>
        <row r="119">
          <cell r="F119">
            <v>117</v>
          </cell>
          <cell r="G119">
            <v>3325.985815475135</v>
          </cell>
          <cell r="N119">
            <v>126</v>
          </cell>
          <cell r="O119">
            <v>116</v>
          </cell>
          <cell r="P119">
            <v>3103.1875282132928</v>
          </cell>
          <cell r="Q119">
            <v>2636.7784427228348</v>
          </cell>
          <cell r="R119">
            <v>2108.9262441737537</v>
          </cell>
          <cell r="S119">
            <v>1509.0800949701243</v>
          </cell>
          <cell r="T119">
            <v>813.34545114470404</v>
          </cell>
          <cell r="V119">
            <v>116</v>
          </cell>
          <cell r="W119">
            <v>207.87815247319395</v>
          </cell>
          <cell r="X119">
            <v>173.73875678073273</v>
          </cell>
          <cell r="Y119">
            <v>138.95774492019041</v>
          </cell>
          <cell r="Z119">
            <v>101.95973836043618</v>
          </cell>
          <cell r="AA119">
            <v>54.484863763224098</v>
          </cell>
          <cell r="AC119">
            <v>116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</row>
        <row r="120">
          <cell r="F120">
            <v>118</v>
          </cell>
          <cell r="G120">
            <v>3564.7751072609281</v>
          </cell>
          <cell r="N120">
            <v>127</v>
          </cell>
          <cell r="O120">
            <v>117</v>
          </cell>
          <cell r="P120">
            <v>3325.985815475135</v>
          </cell>
          <cell r="Q120">
            <v>2826.7553445723174</v>
          </cell>
          <cell r="R120">
            <v>2262.6681502677343</v>
          </cell>
          <cell r="S120">
            <v>1618.0920992286531</v>
          </cell>
          <cell r="T120">
            <v>873.07127656222303</v>
          </cell>
          <cell r="V120">
            <v>117</v>
          </cell>
          <cell r="W120">
            <v>222.79828726184223</v>
          </cell>
          <cell r="X120">
            <v>189.9769018494826</v>
          </cell>
          <cell r="Y120">
            <v>153.74190609398056</v>
          </cell>
          <cell r="Z120">
            <v>109.0120042585288</v>
          </cell>
          <cell r="AA120">
            <v>59.72582541751899</v>
          </cell>
          <cell r="AC120">
            <v>117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</row>
        <row r="121">
          <cell r="F121">
            <v>119</v>
          </cell>
          <cell r="G121">
            <v>3820.7031333347636</v>
          </cell>
          <cell r="N121">
            <v>128</v>
          </cell>
          <cell r="O121">
            <v>118</v>
          </cell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1737.4713872789764</v>
          </cell>
          <cell r="T121">
            <v>936.10994316671975</v>
          </cell>
          <cell r="V121">
            <v>118</v>
          </cell>
          <cell r="W121">
            <v>238.78929178579301</v>
          </cell>
          <cell r="X121">
            <v>203.65997411019725</v>
          </cell>
          <cell r="Y121">
            <v>163.5177877340534</v>
          </cell>
          <cell r="Z121">
            <v>119.37928805032334</v>
          </cell>
          <cell r="AA121">
            <v>63.038666604496711</v>
          </cell>
          <cell r="AC121">
            <v>118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</row>
        <row r="122">
          <cell r="F122">
            <v>120</v>
          </cell>
          <cell r="G122">
            <v>4095</v>
          </cell>
          <cell r="N122">
            <v>129</v>
          </cell>
          <cell r="O122">
            <v>119</v>
          </cell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1863.3569181273642</v>
          </cell>
          <cell r="T122">
            <v>1000.260080307041</v>
          </cell>
          <cell r="V122">
            <v>119</v>
          </cell>
          <cell r="W122">
            <v>255.92802607383555</v>
          </cell>
          <cell r="X122">
            <v>219.85683684536889</v>
          </cell>
          <cell r="Y122">
            <v>178.38738799252042</v>
          </cell>
          <cell r="Z122">
            <v>125.88553084838782</v>
          </cell>
          <cell r="AA122">
            <v>64.150137140321249</v>
          </cell>
          <cell r="AC122">
            <v>119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</row>
        <row r="123">
          <cell r="F123">
            <v>121</v>
          </cell>
          <cell r="G123">
            <v>4388.9841025486576</v>
          </cell>
          <cell r="N123">
            <v>130</v>
          </cell>
          <cell r="O123">
            <v>120</v>
          </cell>
          <cell r="P123">
            <v>4095</v>
          </cell>
          <cell r="Q123">
            <v>3486.0735</v>
          </cell>
          <cell r="R123">
            <v>2791.971</v>
          </cell>
          <cell r="S123">
            <v>1988.5319999999999</v>
          </cell>
          <cell r="T123">
            <v>1067.9759999999999</v>
          </cell>
          <cell r="V123">
            <v>120</v>
          </cell>
          <cell r="W123">
            <v>274.29686666523639</v>
          </cell>
          <cell r="X123">
            <v>235.8013444721164</v>
          </cell>
          <cell r="Y123">
            <v>187.3976740056919</v>
          </cell>
          <cell r="Z123">
            <v>125.1750818726357</v>
          </cell>
          <cell r="AA123">
            <v>67.715919692958892</v>
          </cell>
          <cell r="AC123">
            <v>120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</row>
        <row r="124">
          <cell r="F124">
            <v>122</v>
          </cell>
          <cell r="G124">
            <v>4704.0684620678521</v>
          </cell>
          <cell r="N124">
            <v>131</v>
          </cell>
          <cell r="O124">
            <v>121</v>
          </cell>
          <cell r="P124">
            <v>4388.9841025486576</v>
          </cell>
          <cell r="Q124">
            <v>3731.5142839868686</v>
          </cell>
          <cell r="R124">
            <v>2978.8035103997736</v>
          </cell>
          <cell r="S124">
            <v>2122.0738135822758</v>
          </cell>
          <cell r="T124">
            <v>1143.3303587139253</v>
          </cell>
          <cell r="V124">
            <v>121</v>
          </cell>
          <cell r="W124">
            <v>293.98410254865757</v>
          </cell>
          <cell r="X124">
            <v>245.44078398686861</v>
          </cell>
          <cell r="Y124">
            <v>186.83251039977358</v>
          </cell>
          <cell r="Z124">
            <v>133.54181358227584</v>
          </cell>
          <cell r="AA124">
            <v>75.354358713925421</v>
          </cell>
          <cell r="AC124">
            <v>121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</row>
        <row r="125">
          <cell r="F125">
            <v>123</v>
          </cell>
          <cell r="G125">
            <v>5041.7675170607781</v>
          </cell>
          <cell r="N125">
            <v>132</v>
          </cell>
          <cell r="O125">
            <v>122</v>
          </cell>
          <cell r="P125">
            <v>4704.0684620678521</v>
          </cell>
          <cell r="Q125">
            <v>3989.5204626797454</v>
          </cell>
          <cell r="R125">
            <v>3183.7135351275219</v>
          </cell>
          <cell r="S125">
            <v>2271.1242534863591</v>
          </cell>
          <cell r="T125">
            <v>1223.9986138300551</v>
          </cell>
          <cell r="V125">
            <v>122</v>
          </cell>
          <cell r="W125">
            <v>315.08435951919455</v>
          </cell>
          <cell r="X125">
            <v>258.0061786928768</v>
          </cell>
          <cell r="Y125">
            <v>204.91002472774835</v>
          </cell>
          <cell r="Z125">
            <v>149.05043990408331</v>
          </cell>
          <cell r="AA125">
            <v>80.668255116129785</v>
          </cell>
          <cell r="AC125">
            <v>122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</row>
        <row r="126">
          <cell r="F126">
            <v>124</v>
          </cell>
          <cell r="G126">
            <v>5403.704402525771</v>
          </cell>
          <cell r="N126">
            <v>133</v>
          </cell>
          <cell r="O126">
            <v>123</v>
          </cell>
          <cell r="P126">
            <v>5041.7675170607781</v>
          </cell>
          <cell r="Q126">
            <v>4275.9230312192458</v>
          </cell>
          <cell r="R126">
            <v>3419.8309068223257</v>
          </cell>
          <cell r="S126">
            <v>2442.7363620159467</v>
          </cell>
          <cell r="T126">
            <v>1316.4054987045693</v>
          </cell>
          <cell r="V126">
            <v>123</v>
          </cell>
          <cell r="W126">
            <v>337.69905499292599</v>
          </cell>
          <cell r="X126">
            <v>286.40256853950041</v>
          </cell>
          <cell r="Y126">
            <v>236.11737169480375</v>
          </cell>
          <cell r="Z126">
            <v>171.61210852958766</v>
          </cell>
          <cell r="AA126">
            <v>92.406884874514162</v>
          </cell>
          <cell r="AC126">
            <v>123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</row>
        <row r="127">
          <cell r="F127">
            <v>125</v>
          </cell>
          <cell r="G127">
            <v>5791.6187514801986</v>
          </cell>
          <cell r="N127">
            <v>134</v>
          </cell>
          <cell r="O127">
            <v>124</v>
          </cell>
          <cell r="P127">
            <v>5403.704402525771</v>
          </cell>
          <cell r="Q127">
            <v>4591.5276308261473</v>
          </cell>
          <cell r="R127">
            <v>3671.276771076009</v>
          </cell>
          <cell r="S127">
            <v>2624.0388578665143</v>
          </cell>
          <cell r="T127">
            <v>1415.7705534617521</v>
          </cell>
          <cell r="V127">
            <v>124</v>
          </cell>
          <cell r="W127">
            <v>361.93688546499288</v>
          </cell>
          <cell r="X127">
            <v>315.6045996069015</v>
          </cell>
          <cell r="Y127">
            <v>251.44586425368334</v>
          </cell>
          <cell r="Z127">
            <v>181.30249585056754</v>
          </cell>
          <cell r="AA127">
            <v>99.365054757182861</v>
          </cell>
          <cell r="AC127">
            <v>124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</row>
        <row r="128">
          <cell r="F128">
            <v>126</v>
          </cell>
          <cell r="G128">
            <v>6207.3750564265865</v>
          </cell>
          <cell r="N128">
            <v>135</v>
          </cell>
          <cell r="O128">
            <v>125</v>
          </cell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2816.4641988448207</v>
          </cell>
          <cell r="T128">
            <v>1509.8750085108877</v>
          </cell>
          <cell r="V128">
            <v>125</v>
          </cell>
          <cell r="W128">
            <v>387.91434895442762</v>
          </cell>
          <cell r="X128">
            <v>327.29417480598568</v>
          </cell>
          <cell r="Y128">
            <v>268.76146555597006</v>
          </cell>
          <cell r="Z128">
            <v>192.42534097830639</v>
          </cell>
          <cell r="AA128">
            <v>94.104455049135595</v>
          </cell>
          <cell r="AC128">
            <v>125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</row>
        <row r="129">
          <cell r="F129">
            <v>127</v>
          </cell>
          <cell r="G129">
            <v>6652.971630950271</v>
          </cell>
          <cell r="N129">
            <v>136</v>
          </cell>
          <cell r="O129">
            <v>126</v>
          </cell>
          <cell r="P129">
            <v>6207.3750564265865</v>
          </cell>
          <cell r="Q129">
            <v>5279.3724854908123</v>
          </cell>
          <cell r="R129">
            <v>4225.9809384152195</v>
          </cell>
          <cell r="S129">
            <v>3006.8524773330387</v>
          </cell>
          <cell r="T129">
            <v>1610.1930896370566</v>
          </cell>
          <cell r="V129">
            <v>126</v>
          </cell>
          <cell r="W129">
            <v>415.7563049463879</v>
          </cell>
          <cell r="X129">
            <v>360.55067985867936</v>
          </cell>
          <cell r="Y129">
            <v>285.94270178324041</v>
          </cell>
          <cell r="Z129">
            <v>190.38827848821802</v>
          </cell>
          <cell r="AA129">
            <v>100.31808112616886</v>
          </cell>
          <cell r="AC129">
            <v>126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</row>
        <row r="130">
          <cell r="F130">
            <v>128</v>
          </cell>
          <cell r="G130">
            <v>7130.5502145218443</v>
          </cell>
          <cell r="N130">
            <v>137</v>
          </cell>
          <cell r="O130">
            <v>127</v>
          </cell>
          <cell r="P130">
            <v>6652.971630950271</v>
          </cell>
          <cell r="Q130">
            <v>5658.3523721232059</v>
          </cell>
          <cell r="R130">
            <v>4508.7188742949984</v>
          </cell>
          <cell r="S130">
            <v>3203.4058403025556</v>
          </cell>
          <cell r="T130">
            <v>1719.793166600645</v>
          </cell>
          <cell r="V130">
            <v>127</v>
          </cell>
          <cell r="W130">
            <v>445.59657452368447</v>
          </cell>
          <cell r="X130">
            <v>378.97988663239357</v>
          </cell>
          <cell r="Y130">
            <v>282.73793587977889</v>
          </cell>
          <cell r="Z130">
            <v>196.55336296951691</v>
          </cell>
          <cell r="AA130">
            <v>109.60007696358844</v>
          </cell>
          <cell r="AC130">
            <v>127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</row>
        <row r="131">
          <cell r="F131">
            <v>129</v>
          </cell>
          <cell r="G131">
            <v>7642.4062666695281</v>
          </cell>
          <cell r="N131">
            <v>138</v>
          </cell>
          <cell r="O131">
            <v>128</v>
          </cell>
          <cell r="P131">
            <v>7130.5502145218443</v>
          </cell>
          <cell r="Q131">
            <v>6036.010756592741</v>
          </cell>
          <cell r="R131">
            <v>4805.9908445877236</v>
          </cell>
          <cell r="S131">
            <v>3419.0988278632244</v>
          </cell>
          <cell r="T131">
            <v>1838.9689003251838</v>
          </cell>
          <cell r="V131">
            <v>128</v>
          </cell>
          <cell r="W131">
            <v>477.57858357157329</v>
          </cell>
          <cell r="X131">
            <v>377.65838446953512</v>
          </cell>
          <cell r="Y131">
            <v>297.2719702927252</v>
          </cell>
          <cell r="Z131">
            <v>215.69298756066883</v>
          </cell>
          <cell r="AA131">
            <v>119.17573372453876</v>
          </cell>
          <cell r="AC131">
            <v>128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</row>
        <row r="132">
          <cell r="F132">
            <v>130</v>
          </cell>
          <cell r="G132">
            <v>8191</v>
          </cell>
          <cell r="N132">
            <v>139</v>
          </cell>
          <cell r="O132">
            <v>129</v>
          </cell>
          <cell r="P132">
            <v>7642.4062666695281</v>
          </cell>
          <cell r="Q132">
            <v>6469.2969047357556</v>
          </cell>
          <cell r="R132">
            <v>5159.388470628599</v>
          </cell>
          <cell r="S132">
            <v>3676.7616548947103</v>
          </cell>
          <cell r="T132">
            <v>1975.5620199340731</v>
          </cell>
          <cell r="V132">
            <v>129</v>
          </cell>
          <cell r="W132">
            <v>511.85605214768384</v>
          </cell>
          <cell r="X132">
            <v>433.28614814301454</v>
          </cell>
          <cell r="Y132">
            <v>353.39762604087537</v>
          </cell>
          <cell r="Z132">
            <v>257.6628270314859</v>
          </cell>
          <cell r="AA132">
            <v>136.59311960888931</v>
          </cell>
          <cell r="AC132">
            <v>129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</row>
        <row r="133">
          <cell r="F133">
            <v>131</v>
          </cell>
          <cell r="G133">
            <v>8778.9682050973151</v>
          </cell>
          <cell r="N133">
            <v>140</v>
          </cell>
          <cell r="O133">
            <v>130</v>
          </cell>
          <cell r="P133">
            <v>8191</v>
          </cell>
          <cell r="Q133">
            <v>6941.8725000000004</v>
          </cell>
          <cell r="R133">
            <v>5542.0306</v>
          </cell>
          <cell r="S133">
            <v>3951.3384000000001</v>
          </cell>
          <cell r="T133">
            <v>2124.7454000000002</v>
          </cell>
          <cell r="V133">
            <v>130</v>
          </cell>
          <cell r="W133">
            <v>548.59373333047188</v>
          </cell>
          <cell r="X133">
            <v>472.57559526424484</v>
          </cell>
          <cell r="Y133">
            <v>382.6421293714011</v>
          </cell>
          <cell r="Z133">
            <v>274.57674510528977</v>
          </cell>
          <cell r="AA133">
            <v>149.18338006592717</v>
          </cell>
          <cell r="AC133">
            <v>130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</row>
        <row r="134">
          <cell r="F134">
            <v>132</v>
          </cell>
          <cell r="G134">
            <v>9409.1369241357042</v>
          </cell>
          <cell r="N134">
            <v>141</v>
          </cell>
          <cell r="O134">
            <v>131</v>
          </cell>
          <cell r="P134">
            <v>8778.9682050973151</v>
          </cell>
          <cell r="Q134">
            <v>7443.6871411020138</v>
          </cell>
          <cell r="R134">
            <v>5945.117268491902</v>
          </cell>
          <cell r="S134">
            <v>4244.6311271645518</v>
          </cell>
          <cell r="T134">
            <v>2275.5085587612239</v>
          </cell>
          <cell r="V134">
            <v>131</v>
          </cell>
          <cell r="W134">
            <v>587.96820509731515</v>
          </cell>
          <cell r="X134">
            <v>501.81464110201341</v>
          </cell>
          <cell r="Y134">
            <v>403.08666849190195</v>
          </cell>
          <cell r="Z134">
            <v>293.29272716455171</v>
          </cell>
          <cell r="AA134">
            <v>150.76315876122362</v>
          </cell>
          <cell r="AC134">
            <v>131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</row>
        <row r="135">
          <cell r="F135">
            <v>133</v>
          </cell>
          <cell r="G135">
            <v>10084.535034121556</v>
          </cell>
          <cell r="N135">
            <v>142</v>
          </cell>
          <cell r="O135">
            <v>132</v>
          </cell>
          <cell r="P135">
            <v>9409.1369241357042</v>
          </cell>
          <cell r="Q135">
            <v>7983.6526801291457</v>
          </cell>
          <cell r="R135">
            <v>6385.9812304109018</v>
          </cell>
          <cell r="S135">
            <v>4544.6131343575453</v>
          </cell>
          <cell r="T135">
            <v>2431.3209811966663</v>
          </cell>
          <cell r="V135">
            <v>132</v>
          </cell>
          <cell r="W135">
            <v>630.1687190383891</v>
          </cell>
          <cell r="X135">
            <v>539.96553902713185</v>
          </cell>
          <cell r="Y135">
            <v>440.86396191899985</v>
          </cell>
          <cell r="Z135">
            <v>299.98200719299348</v>
          </cell>
          <cell r="AA135">
            <v>155.81242243544239</v>
          </cell>
          <cell r="AC135">
            <v>132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</row>
        <row r="136">
          <cell r="F136">
            <v>134</v>
          </cell>
          <cell r="G136">
            <v>10808.408805051544</v>
          </cell>
          <cell r="N136">
            <v>143</v>
          </cell>
          <cell r="O136">
            <v>133</v>
          </cell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4847.6359909022322</v>
          </cell>
          <cell r="T136">
            <v>2595.759317782889</v>
          </cell>
          <cell r="V136">
            <v>133</v>
          </cell>
          <cell r="W136">
            <v>675.39810998585199</v>
          </cell>
          <cell r="X136">
            <v>579.12601734346754</v>
          </cell>
          <cell r="Y136">
            <v>441.24898768939238</v>
          </cell>
          <cell r="Z136">
            <v>303.02285654468687</v>
          </cell>
          <cell r="AA136">
            <v>164.4383365862227</v>
          </cell>
          <cell r="AC136">
            <v>133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</row>
        <row r="137">
          <cell r="F137">
            <v>135</v>
          </cell>
          <cell r="G137">
            <v>11584.237502960397</v>
          </cell>
          <cell r="N137">
            <v>144</v>
          </cell>
          <cell r="O137">
            <v>134</v>
          </cell>
          <cell r="P137">
            <v>10808.408805051544</v>
          </cell>
          <cell r="Q137">
            <v>9151.4797352371424</v>
          </cell>
          <cell r="R137">
            <v>7283.7866937242361</v>
          </cell>
          <cell r="S137">
            <v>5175.0661358586794</v>
          </cell>
          <cell r="T137">
            <v>2775.5993811372364</v>
          </cell>
          <cell r="V137">
            <v>134</v>
          </cell>
          <cell r="W137">
            <v>723.87377092998759</v>
          </cell>
          <cell r="X137">
            <v>588.70103776452925</v>
          </cell>
          <cell r="Y137">
            <v>456.55647562394188</v>
          </cell>
          <cell r="Z137">
            <v>327.43014495644729</v>
          </cell>
          <cell r="AA137">
            <v>179.84006335434742</v>
          </cell>
          <cell r="AC137">
            <v>134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</row>
        <row r="138">
          <cell r="F138">
            <v>136</v>
          </cell>
          <cell r="G138">
            <v>12415.750112853173</v>
          </cell>
          <cell r="N138">
            <v>145</v>
          </cell>
          <cell r="O138">
            <v>135</v>
          </cell>
          <cell r="P138">
            <v>11584.237502960397</v>
          </cell>
          <cell r="Q138">
            <v>9796.789656253608</v>
          </cell>
          <cell r="R138">
            <v>7796.1918394923478</v>
          </cell>
          <cell r="S138">
            <v>5548.8497639180305</v>
          </cell>
          <cell r="T138">
            <v>2979.465885761414</v>
          </cell>
          <cell r="V138">
            <v>135</v>
          </cell>
          <cell r="W138">
            <v>775.82869790885343</v>
          </cell>
          <cell r="X138">
            <v>645.30992101646552</v>
          </cell>
          <cell r="Y138">
            <v>512.40514576811165</v>
          </cell>
          <cell r="Z138">
            <v>373.78362805935103</v>
          </cell>
          <cell r="AA138">
            <v>203.86650462417765</v>
          </cell>
          <cell r="AC138">
            <v>135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</row>
        <row r="139">
          <cell r="F139">
            <v>137</v>
          </cell>
          <cell r="G139">
            <v>13306.943261900544</v>
          </cell>
          <cell r="N139">
            <v>146</v>
          </cell>
          <cell r="O139">
            <v>136</v>
          </cell>
          <cell r="P139">
            <v>12415.750112853173</v>
          </cell>
          <cell r="Q139">
            <v>10507.449320507641</v>
          </cell>
          <cell r="R139">
            <v>8384.3560512097483</v>
          </cell>
          <cell r="S139">
            <v>5967.009504237235</v>
          </cell>
          <cell r="T139">
            <v>3204.5051041274041</v>
          </cell>
          <cell r="V139">
            <v>136</v>
          </cell>
          <cell r="W139">
            <v>831.5126098927758</v>
          </cell>
          <cell r="X139">
            <v>710.65966425403349</v>
          </cell>
          <cell r="Y139">
            <v>588.16421171740058</v>
          </cell>
          <cell r="Z139">
            <v>418.1597403192045</v>
          </cell>
          <cell r="AA139">
            <v>225.03921836599011</v>
          </cell>
          <cell r="AC139">
            <v>136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</row>
        <row r="140">
          <cell r="F140">
            <v>138</v>
          </cell>
          <cell r="G140">
            <v>14262.10042904369</v>
          </cell>
          <cell r="N140">
            <v>147</v>
          </cell>
          <cell r="O140">
            <v>137</v>
          </cell>
          <cell r="P140">
            <v>13306.943261900544</v>
          </cell>
          <cell r="Q140">
            <v>11274.973025808331</v>
          </cell>
          <cell r="R140">
            <v>8995.4936450447676</v>
          </cell>
          <cell r="S140">
            <v>6407.293180605112</v>
          </cell>
          <cell r="T140">
            <v>3438.5141388751008</v>
          </cell>
          <cell r="V140">
            <v>137</v>
          </cell>
          <cell r="W140">
            <v>891.19314904737075</v>
          </cell>
          <cell r="X140">
            <v>767.52370530068947</v>
          </cell>
          <cell r="Y140">
            <v>611.13759383501929</v>
          </cell>
          <cell r="Z140">
            <v>440.28367636787698</v>
          </cell>
          <cell r="AA140">
            <v>234.00903474769666</v>
          </cell>
          <cell r="AC140">
            <v>137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</row>
        <row r="141">
          <cell r="F141">
            <v>139</v>
          </cell>
          <cell r="G141">
            <v>15285.812533339058</v>
          </cell>
          <cell r="N141">
            <v>148</v>
          </cell>
          <cell r="O141">
            <v>138</v>
          </cell>
          <cell r="P141">
            <v>14262.10042904369</v>
          </cell>
          <cell r="Q141">
            <v>12084.27769352872</v>
          </cell>
          <cell r="R141">
            <v>9648.3109402480568</v>
          </cell>
          <cell r="S141">
            <v>6871.4799867132497</v>
          </cell>
          <cell r="T141">
            <v>3671.064650435846</v>
          </cell>
          <cell r="V141">
            <v>138</v>
          </cell>
          <cell r="W141">
            <v>955.15716714314658</v>
          </cell>
          <cell r="X141">
            <v>809.30466772038926</v>
          </cell>
          <cell r="Y141">
            <v>652.81729520328918</v>
          </cell>
          <cell r="Z141">
            <v>464.18680610813772</v>
          </cell>
          <cell r="AA141">
            <v>232.55051156074524</v>
          </cell>
          <cell r="AC141">
            <v>138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</row>
        <row r="142">
          <cell r="F142">
            <v>140</v>
          </cell>
          <cell r="G142">
            <v>16383</v>
          </cell>
          <cell r="N142">
            <v>149</v>
          </cell>
          <cell r="O142">
            <v>139</v>
          </cell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7335.6614347494142</v>
          </cell>
          <cell r="T142">
            <v>3920.8109148014687</v>
          </cell>
          <cell r="V142">
            <v>139</v>
          </cell>
          <cell r="W142">
            <v>1023.7121042953677</v>
          </cell>
          <cell r="X142">
            <v>873.50559098279882</v>
          </cell>
          <cell r="Y142">
            <v>694.06981980915043</v>
          </cell>
          <cell r="Z142">
            <v>464.18144803616451</v>
          </cell>
          <cell r="AA142">
            <v>249.74626436562266</v>
          </cell>
          <cell r="AC142">
            <v>139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</row>
        <row r="143">
          <cell r="F143">
            <v>141</v>
          </cell>
          <cell r="G143">
            <v>17558.936410194601</v>
          </cell>
          <cell r="N143">
            <v>150</v>
          </cell>
          <cell r="O143">
            <v>140</v>
          </cell>
          <cell r="P143">
            <v>16383</v>
          </cell>
          <cell r="Q143">
            <v>13881.315900000001</v>
          </cell>
          <cell r="R143">
            <v>11037.2271</v>
          </cell>
          <cell r="S143">
            <v>7827.7974000000004</v>
          </cell>
          <cell r="T143">
            <v>4192.4097000000002</v>
          </cell>
          <cell r="V143">
            <v>140</v>
          </cell>
          <cell r="W143">
            <v>1097.1874666609419</v>
          </cell>
          <cell r="X143">
            <v>923.53261548848241</v>
          </cell>
          <cell r="Y143">
            <v>694.84633994279284</v>
          </cell>
          <cell r="Z143">
            <v>492.1359652505862</v>
          </cell>
          <cell r="AA143">
            <v>271.59878519853146</v>
          </cell>
          <cell r="AC143">
            <v>140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</row>
        <row r="144">
          <cell r="F144">
            <v>142</v>
          </cell>
          <cell r="G144">
            <v>18819.273848271412</v>
          </cell>
          <cell r="N144">
            <v>151</v>
          </cell>
          <cell r="O144">
            <v>141</v>
          </cell>
          <cell r="P144">
            <v>17558.936410194601</v>
          </cell>
          <cell r="Q144">
            <v>14839.057160255457</v>
          </cell>
          <cell r="R144">
            <v>11789.069905804656</v>
          </cell>
          <cell r="S144">
            <v>8380.8803485858825</v>
          </cell>
          <cell r="T144">
            <v>4489.820040086759</v>
          </cell>
          <cell r="V144">
            <v>141</v>
          </cell>
          <cell r="W144">
            <v>1175.9364101946012</v>
          </cell>
          <cell r="X144">
            <v>957.74126025545593</v>
          </cell>
          <cell r="Y144">
            <v>751.84280580465565</v>
          </cell>
          <cell r="Z144">
            <v>553.08294858588215</v>
          </cell>
          <cell r="AA144">
            <v>297.41034008675888</v>
          </cell>
          <cell r="AC144">
            <v>141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</row>
        <row r="145">
          <cell r="F145">
            <v>143</v>
          </cell>
          <cell r="G145">
            <v>20170.070068243116</v>
          </cell>
          <cell r="N145">
            <v>152</v>
          </cell>
          <cell r="O145">
            <v>142</v>
          </cell>
          <cell r="P145">
            <v>18819.273848271412</v>
          </cell>
          <cell r="Q145">
            <v>15904.16832917417</v>
          </cell>
          <cell r="R145">
            <v>12667.253227271489</v>
          </cell>
          <cell r="S145">
            <v>9003.140609013044</v>
          </cell>
          <cell r="T145">
            <v>4823.3798873119622</v>
          </cell>
          <cell r="V145">
            <v>142</v>
          </cell>
          <cell r="W145">
            <v>1260.3374380768109</v>
          </cell>
          <cell r="X145">
            <v>1065.1111689187128</v>
          </cell>
          <cell r="Y145">
            <v>878.18332146683315</v>
          </cell>
          <cell r="Z145">
            <v>622.26026042716148</v>
          </cell>
          <cell r="AA145">
            <v>333.55984722520316</v>
          </cell>
          <cell r="AC145">
            <v>142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</row>
        <row r="146">
          <cell r="F146">
            <v>144</v>
          </cell>
          <cell r="G146">
            <v>21617.817610103088</v>
          </cell>
          <cell r="N146">
            <v>153</v>
          </cell>
          <cell r="O146">
            <v>143</v>
          </cell>
          <cell r="P146">
            <v>20170.070068243116</v>
          </cell>
          <cell r="Q146">
            <v>17065.896284740498</v>
          </cell>
          <cell r="R146">
            <v>13594.62722599586</v>
          </cell>
          <cell r="S146">
            <v>9669.5315907157492</v>
          </cell>
          <cell r="T146">
            <v>5185.7250145453054</v>
          </cell>
          <cell r="V146">
            <v>143</v>
          </cell>
          <cell r="W146">
            <v>1350.796219971704</v>
          </cell>
          <cell r="X146">
            <v>1161.7279555663281</v>
          </cell>
          <cell r="Y146">
            <v>927.37399872437163</v>
          </cell>
          <cell r="Z146">
            <v>666.39098170270518</v>
          </cell>
          <cell r="AA146">
            <v>362.34512723334319</v>
          </cell>
          <cell r="AC146">
            <v>143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</row>
        <row r="147">
          <cell r="F147">
            <v>145</v>
          </cell>
          <cell r="G147">
            <v>23169.475005920798</v>
          </cell>
          <cell r="N147">
            <v>154</v>
          </cell>
          <cell r="O147">
            <v>144</v>
          </cell>
          <cell r="P147">
            <v>21617.817610103088</v>
          </cell>
          <cell r="Q147">
            <v>18290.835479908223</v>
          </cell>
          <cell r="R147">
            <v>14585.541541536553</v>
          </cell>
          <cell r="S147">
            <v>10380.876016371503</v>
          </cell>
          <cell r="T147">
            <v>5547.1319987524521</v>
          </cell>
          <cell r="V147">
            <v>144</v>
          </cell>
          <cell r="W147">
            <v>1447.7475418599715</v>
          </cell>
          <cell r="X147">
            <v>1224.9391951677244</v>
          </cell>
          <cell r="Y147">
            <v>990.91431554069277</v>
          </cell>
          <cell r="Z147">
            <v>711.34442565575409</v>
          </cell>
          <cell r="AA147">
            <v>361.40698420714671</v>
          </cell>
          <cell r="AC147">
            <v>144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</row>
        <row r="148">
          <cell r="F148">
            <v>146</v>
          </cell>
          <cell r="G148">
            <v>24832.50022570635</v>
          </cell>
          <cell r="N148">
            <v>155</v>
          </cell>
          <cell r="O148">
            <v>145</v>
          </cell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11105.129370337838</v>
          </cell>
          <cell r="T148">
            <v>5926.7517065145412</v>
          </cell>
          <cell r="V148">
            <v>145</v>
          </cell>
          <cell r="W148">
            <v>1551.6573958177105</v>
          </cell>
          <cell r="X148">
            <v>1340.6606926084714</v>
          </cell>
          <cell r="Y148">
            <v>1065.4388249629465</v>
          </cell>
          <cell r="Z148">
            <v>724.25335396633454</v>
          </cell>
          <cell r="AA148">
            <v>379.61970776208909</v>
          </cell>
          <cell r="AC148">
            <v>145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</row>
        <row r="149">
          <cell r="F149">
            <v>147</v>
          </cell>
          <cell r="G149">
            <v>26614.886523801088</v>
          </cell>
          <cell r="N149">
            <v>156</v>
          </cell>
          <cell r="O149">
            <v>146</v>
          </cell>
          <cell r="P149">
            <v>24832.50022570635</v>
          </cell>
          <cell r="Q149">
            <v>21035.61094119585</v>
          </cell>
          <cell r="R149">
            <v>16719.722401968087</v>
          </cell>
          <cell r="S149">
            <v>11847.5858576845</v>
          </cell>
          <cell r="T149">
            <v>6324.8378074874072</v>
          </cell>
          <cell r="V149">
            <v>146</v>
          </cell>
          <cell r="W149">
            <v>1663.0252197855516</v>
          </cell>
          <cell r="X149">
            <v>1404.1147686791555</v>
          </cell>
          <cell r="Y149">
            <v>1068.7420354685873</v>
          </cell>
          <cell r="Z149">
            <v>742.45648734666247</v>
          </cell>
          <cell r="AA149">
            <v>398.08610097286601</v>
          </cell>
          <cell r="AC149">
            <v>146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</row>
        <row r="150">
          <cell r="F150">
            <v>148</v>
          </cell>
          <cell r="G150">
            <v>28525.200858087381</v>
          </cell>
          <cell r="N150">
            <v>157</v>
          </cell>
          <cell r="O150">
            <v>147</v>
          </cell>
          <cell r="P150">
            <v>26614.886523801088</v>
          </cell>
          <cell r="Q150">
            <v>22470.948692045258</v>
          </cell>
          <cell r="R150">
            <v>17837.296948251489</v>
          </cell>
          <cell r="S150">
            <v>12631.425144195997</v>
          </cell>
          <cell r="T150">
            <v>6754.8581997407164</v>
          </cell>
          <cell r="V150">
            <v>147</v>
          </cell>
          <cell r="W150">
            <v>1782.3862980947379</v>
          </cell>
          <cell r="X150">
            <v>1435.3377508494086</v>
          </cell>
          <cell r="Y150">
            <v>1117.574546283402</v>
          </cell>
          <cell r="Z150">
            <v>783.83928651149654</v>
          </cell>
          <cell r="AA150">
            <v>430.02039225330918</v>
          </cell>
          <cell r="AC150">
            <v>147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</row>
        <row r="151">
          <cell r="F151">
            <v>149</v>
          </cell>
          <cell r="G151">
            <v>30572.62506667812</v>
          </cell>
          <cell r="N151">
            <v>158</v>
          </cell>
          <cell r="O151">
            <v>148</v>
          </cell>
          <cell r="P151">
            <v>28525.200858087381</v>
          </cell>
          <cell r="Q151">
            <v>24083.827084483179</v>
          </cell>
          <cell r="R151">
            <v>19128.999695433398</v>
          </cell>
          <cell r="S151">
            <v>13566.58552810636</v>
          </cell>
          <cell r="T151">
            <v>7242.5484978683862</v>
          </cell>
          <cell r="V151">
            <v>148</v>
          </cell>
          <cell r="W151">
            <v>1910.3143342862932</v>
          </cell>
          <cell r="X151">
            <v>1612.8783924379204</v>
          </cell>
          <cell r="Y151">
            <v>1291.7027471819092</v>
          </cell>
          <cell r="Z151">
            <v>935.16038391036273</v>
          </cell>
          <cell r="AA151">
            <v>487.69029812766985</v>
          </cell>
          <cell r="AC151">
            <v>148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</row>
        <row r="152">
          <cell r="F152">
            <v>150</v>
          </cell>
          <cell r="G152">
            <v>32767</v>
          </cell>
          <cell r="N152">
            <v>159</v>
          </cell>
          <cell r="O152">
            <v>149</v>
          </cell>
          <cell r="P152">
            <v>30572.62506667812</v>
          </cell>
          <cell r="Q152">
            <v>25818.581868809673</v>
          </cell>
          <cell r="R152">
            <v>20520.345944754354</v>
          </cell>
          <cell r="S152">
            <v>14549.512269232117</v>
          </cell>
          <cell r="T152">
            <v>7768.50402944291</v>
          </cell>
          <cell r="V152">
            <v>149</v>
          </cell>
          <cell r="W152">
            <v>2047.424208590739</v>
          </cell>
          <cell r="X152">
            <v>1734.7547843264947</v>
          </cell>
          <cell r="Y152">
            <v>1391.3462493209554</v>
          </cell>
          <cell r="Z152">
            <v>982.92674112575696</v>
          </cell>
          <cell r="AA152">
            <v>525.95553157452377</v>
          </cell>
          <cell r="AC152">
            <v>149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</row>
        <row r="153">
          <cell r="F153">
            <v>151</v>
          </cell>
          <cell r="G153">
            <v>35118.87282038921</v>
          </cell>
          <cell r="N153">
            <v>160</v>
          </cell>
          <cell r="O153">
            <v>150</v>
          </cell>
          <cell r="P153">
            <v>32767</v>
          </cell>
          <cell r="Q153">
            <v>27671.731500000002</v>
          </cell>
          <cell r="R153">
            <v>21996.487099999998</v>
          </cell>
          <cell r="S153">
            <v>15603.645400000001</v>
          </cell>
          <cell r="T153">
            <v>8355.5850000000009</v>
          </cell>
          <cell r="V153">
            <v>150</v>
          </cell>
          <cell r="W153">
            <v>2194.3749333218802</v>
          </cell>
          <cell r="X153">
            <v>1853.1496311903284</v>
          </cell>
          <cell r="Y153">
            <v>1476.1411552456448</v>
          </cell>
          <cell r="Z153">
            <v>1054.1331307678847</v>
          </cell>
          <cell r="AA153">
            <v>587.08097055709095</v>
          </cell>
          <cell r="AC153">
            <v>150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</row>
        <row r="154">
          <cell r="F154">
            <v>152</v>
          </cell>
          <cell r="G154">
            <v>37639.547696542824</v>
          </cell>
          <cell r="N154">
            <v>161</v>
          </cell>
          <cell r="O154">
            <v>151</v>
          </cell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16804.380644556237</v>
          </cell>
          <cell r="T154">
            <v>9095.7880604808051</v>
          </cell>
          <cell r="V154">
            <v>151</v>
          </cell>
          <cell r="W154">
            <v>2351.8728203892097</v>
          </cell>
          <cell r="X154">
            <v>2000.2041459468419</v>
          </cell>
          <cell r="Y154">
            <v>1596.3716607374699</v>
          </cell>
          <cell r="Z154">
            <v>1200.7352445562356</v>
          </cell>
          <cell r="AA154">
            <v>740.2030604808042</v>
          </cell>
          <cell r="AC154">
            <v>151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</row>
        <row r="155">
          <cell r="F155">
            <v>153</v>
          </cell>
          <cell r="G155">
            <v>40341.140136486232</v>
          </cell>
          <cell r="N155">
            <v>162</v>
          </cell>
          <cell r="O155">
            <v>152</v>
          </cell>
          <cell r="P155">
            <v>37639.547696542824</v>
          </cell>
          <cell r="Q155">
            <v>31794.125939269725</v>
          </cell>
          <cell r="R155">
            <v>25425.514469014677</v>
          </cell>
          <cell r="S155">
            <v>18255.180632823271</v>
          </cell>
          <cell r="T155">
            <v>14114.830386203559</v>
          </cell>
          <cell r="V155">
            <v>152</v>
          </cell>
          <cell r="W155">
            <v>2520.6748761536146</v>
          </cell>
          <cell r="X155">
            <v>2122.1902933228812</v>
          </cell>
          <cell r="Y155">
            <v>1832.6557082772088</v>
          </cell>
          <cell r="Z155">
            <v>1450.7999882670338</v>
          </cell>
          <cell r="AA155">
            <v>5019.042325722754</v>
          </cell>
          <cell r="AC155">
            <v>152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</row>
        <row r="156">
          <cell r="F156">
            <v>154</v>
          </cell>
          <cell r="G156">
            <v>43236.635220206183</v>
          </cell>
          <cell r="N156">
            <v>163</v>
          </cell>
          <cell r="O156">
            <v>153</v>
          </cell>
          <cell r="P156">
            <v>40341.140136486232</v>
          </cell>
          <cell r="Q156">
            <v>34330.31025614978</v>
          </cell>
          <cell r="R156">
            <v>27552.998713220099</v>
          </cell>
          <cell r="S156">
            <v>24204.684081891737</v>
          </cell>
          <cell r="T156">
            <v>24204.684081891737</v>
          </cell>
          <cell r="V156">
            <v>153</v>
          </cell>
          <cell r="W156">
            <v>2701.592439943408</v>
          </cell>
          <cell r="X156">
            <v>2536.1843168800551</v>
          </cell>
          <cell r="Y156">
            <v>2127.4842442054214</v>
          </cell>
          <cell r="Z156">
            <v>5949.5034490684666</v>
          </cell>
          <cell r="AA156">
            <v>10089.853695688178</v>
          </cell>
          <cell r="AC156">
            <v>153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</row>
        <row r="157">
          <cell r="F157">
            <v>155</v>
          </cell>
          <cell r="G157">
            <v>46339.950011841604</v>
          </cell>
          <cell r="N157">
            <v>164</v>
          </cell>
          <cell r="O157">
            <v>154</v>
          </cell>
          <cell r="P157">
            <v>43236.635220206183</v>
          </cell>
          <cell r="Q157">
            <v>36967.323113276288</v>
          </cell>
          <cell r="R157">
            <v>33940.758647861854</v>
          </cell>
          <cell r="S157">
            <v>34156.941823962887</v>
          </cell>
          <cell r="T157">
            <v>34156.941823962887</v>
          </cell>
          <cell r="V157">
            <v>154</v>
          </cell>
          <cell r="W157">
            <v>2895.4950837199503</v>
          </cell>
          <cell r="X157">
            <v>2637.0128571265086</v>
          </cell>
          <cell r="Y157">
            <v>6387.7599346417555</v>
          </cell>
          <cell r="Z157">
            <v>9952.2577420711496</v>
          </cell>
          <cell r="AA157">
            <v>9952.2577420711496</v>
          </cell>
          <cell r="AC157">
            <v>154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</row>
        <row r="158">
          <cell r="F158">
            <v>156</v>
          </cell>
          <cell r="G158">
            <v>49666.000451412707</v>
          </cell>
          <cell r="N158">
            <v>165</v>
          </cell>
          <cell r="O158">
            <v>155</v>
          </cell>
          <cell r="P158">
            <v>46339.950011841604</v>
          </cell>
          <cell r="Q158">
            <v>44078.560451263736</v>
          </cell>
          <cell r="R158">
            <v>44402.940101346627</v>
          </cell>
          <cell r="S158">
            <v>44402.940101346627</v>
          </cell>
          <cell r="T158">
            <v>44541.959951382152</v>
          </cell>
          <cell r="V158">
            <v>155</v>
          </cell>
          <cell r="W158">
            <v>3103.314791635421</v>
          </cell>
          <cell r="X158">
            <v>7111.237337987448</v>
          </cell>
          <cell r="Y158">
            <v>10462.181453484773</v>
          </cell>
          <cell r="Z158">
            <v>10245.99827738374</v>
          </cell>
          <cell r="AA158">
            <v>10385.018127419266</v>
          </cell>
          <cell r="AC158">
            <v>155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</row>
        <row r="159">
          <cell r="F159">
            <v>157</v>
          </cell>
          <cell r="G159">
            <v>53230.773047602182</v>
          </cell>
          <cell r="N159">
            <v>166</v>
          </cell>
          <cell r="O159">
            <v>156</v>
          </cell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V159">
            <v>156</v>
          </cell>
          <cell r="W159">
            <v>3326.0504395711032</v>
          </cell>
          <cell r="X159">
            <v>5587.4400001489703</v>
          </cell>
          <cell r="Y159">
            <v>5759.720354580204</v>
          </cell>
          <cell r="Z159">
            <v>5759.720354580204</v>
          </cell>
          <cell r="AA159">
            <v>5769.6985058989158</v>
          </cell>
          <cell r="AC159">
            <v>156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</row>
        <row r="160">
          <cell r="F160">
            <v>158</v>
          </cell>
          <cell r="G160">
            <v>57051.401716174769</v>
          </cell>
          <cell r="N160">
            <v>167</v>
          </cell>
          <cell r="O160">
            <v>157</v>
          </cell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V160">
            <v>157</v>
          </cell>
          <cell r="W160">
            <v>3564.7725961894757</v>
          </cell>
          <cell r="X160">
            <v>3564.7725961894757</v>
          </cell>
          <cell r="Y160">
            <v>3600.4203221513744</v>
          </cell>
          <cell r="Z160">
            <v>3600.4203221513744</v>
          </cell>
          <cell r="AA160">
            <v>3451.4223207971372</v>
          </cell>
          <cell r="AC160">
            <v>157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</row>
        <row r="161">
          <cell r="F161">
            <v>159</v>
          </cell>
          <cell r="G161">
            <v>61146.25013335624</v>
          </cell>
          <cell r="N161">
            <v>168</v>
          </cell>
          <cell r="O161">
            <v>158</v>
          </cell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V161">
            <v>158</v>
          </cell>
          <cell r="W161">
            <v>3820.6286685725863</v>
          </cell>
          <cell r="X161">
            <v>3820.6286685725863</v>
          </cell>
          <cell r="Y161">
            <v>3858.8349552583095</v>
          </cell>
          <cell r="Z161">
            <v>3858.8349552583095</v>
          </cell>
          <cell r="AA161">
            <v>3858.8349552583095</v>
          </cell>
          <cell r="AC161">
            <v>158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</row>
        <row r="162">
          <cell r="F162">
            <v>160</v>
          </cell>
          <cell r="G162">
            <v>65535</v>
          </cell>
          <cell r="N162">
            <v>169</v>
          </cell>
          <cell r="O162">
            <v>159</v>
          </cell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V162">
            <v>159</v>
          </cell>
          <cell r="W162">
            <v>4094.8484171814707</v>
          </cell>
          <cell r="X162">
            <v>4094.8484171814707</v>
          </cell>
          <cell r="Y162">
            <v>4135.7969013532856</v>
          </cell>
          <cell r="Z162">
            <v>4135.7969013532856</v>
          </cell>
          <cell r="AA162">
            <v>4135.7969013532856</v>
          </cell>
          <cell r="AC162">
            <v>159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</row>
        <row r="163">
          <cell r="N163">
            <v>170</v>
          </cell>
          <cell r="O163">
            <v>160</v>
          </cell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V163">
            <v>160</v>
          </cell>
          <cell r="W163">
            <v>4388.7498666437605</v>
          </cell>
          <cell r="X163">
            <v>4388.7498666437605</v>
          </cell>
          <cell r="Y163">
            <v>4432.6373653102055</v>
          </cell>
          <cell r="Z163">
            <v>4432.6373653102055</v>
          </cell>
          <cell r="AA163">
            <v>4432.6373653102055</v>
          </cell>
          <cell r="AC163">
            <v>160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</row>
        <row r="164">
          <cell r="AC164">
            <v>161</v>
          </cell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</row>
        <row r="165">
          <cell r="AC165">
            <v>162</v>
          </cell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</row>
        <row r="166">
          <cell r="AC166">
            <v>163</v>
          </cell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</row>
        <row r="167">
          <cell r="AC167">
            <v>164</v>
          </cell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</row>
        <row r="168">
          <cell r="AC168">
            <v>165</v>
          </cell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</row>
        <row r="169">
          <cell r="AC169">
            <v>166</v>
          </cell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</row>
        <row r="170">
          <cell r="AC170">
            <v>167</v>
          </cell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</row>
        <row r="171">
          <cell r="AC171">
            <v>168</v>
          </cell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</row>
        <row r="172">
          <cell r="AC172">
            <v>169</v>
          </cell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</row>
        <row r="173">
          <cell r="AC173">
            <v>170</v>
          </cell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</row>
        <row r="174">
          <cell r="AC174">
            <v>171</v>
          </cell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</row>
        <row r="175">
          <cell r="AC175">
            <v>172</v>
          </cell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</row>
        <row r="176">
          <cell r="AC176">
            <v>173</v>
          </cell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</row>
        <row r="177">
          <cell r="AC177">
            <v>174</v>
          </cell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</row>
        <row r="178">
          <cell r="AC178">
            <v>175</v>
          </cell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</row>
        <row r="179">
          <cell r="AC179">
            <v>176</v>
          </cell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</row>
        <row r="180">
          <cell r="AC180">
            <v>177</v>
          </cell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</row>
        <row r="181">
          <cell r="AC181">
            <v>178</v>
          </cell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</row>
        <row r="182">
          <cell r="AC182">
            <v>179</v>
          </cell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</row>
        <row r="183">
          <cell r="AC183">
            <v>180</v>
          </cell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</row>
        <row r="184">
          <cell r="AC184">
            <v>181</v>
          </cell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</row>
        <row r="185">
          <cell r="AC185">
            <v>182</v>
          </cell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</row>
        <row r="186">
          <cell r="AC186">
            <v>183</v>
          </cell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</row>
        <row r="187">
          <cell r="AC187">
            <v>184</v>
          </cell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</row>
        <row r="188">
          <cell r="AC188">
            <v>185</v>
          </cell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</row>
        <row r="189">
          <cell r="AC189">
            <v>186</v>
          </cell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</row>
        <row r="190">
          <cell r="AC190">
            <v>187</v>
          </cell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</row>
        <row r="191">
          <cell r="AC191">
            <v>188</v>
          </cell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</row>
        <row r="192">
          <cell r="AC192">
            <v>189</v>
          </cell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</row>
        <row r="193">
          <cell r="AC193">
            <v>190</v>
          </cell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</row>
        <row r="194">
          <cell r="AC194">
            <v>191</v>
          </cell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</row>
        <row r="195">
          <cell r="AC195">
            <v>192</v>
          </cell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</row>
        <row r="196">
          <cell r="AC196">
            <v>193</v>
          </cell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</row>
        <row r="197">
          <cell r="AC197">
            <v>194</v>
          </cell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</row>
        <row r="198">
          <cell r="AC198">
            <v>195</v>
          </cell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</row>
        <row r="199">
          <cell r="AC199">
            <v>196</v>
          </cell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</row>
        <row r="200">
          <cell r="AC200">
            <v>197</v>
          </cell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</row>
        <row r="201">
          <cell r="AC201">
            <v>198</v>
          </cell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</row>
        <row r="202">
          <cell r="AC202">
            <v>199</v>
          </cell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</row>
        <row r="203">
          <cell r="AC203">
            <v>200</v>
          </cell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</row>
        <row r="204">
          <cell r="AC204">
            <v>201</v>
          </cell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</row>
        <row r="205">
          <cell r="AC205">
            <v>202</v>
          </cell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</row>
        <row r="206">
          <cell r="AC206">
            <v>203</v>
          </cell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</row>
        <row r="207">
          <cell r="AC207">
            <v>204</v>
          </cell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</row>
        <row r="208">
          <cell r="AC208">
            <v>205</v>
          </cell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</row>
        <row r="209">
          <cell r="AC209">
            <v>206</v>
          </cell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</row>
        <row r="210">
          <cell r="AC210">
            <v>207</v>
          </cell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</row>
        <row r="211">
          <cell r="AC211">
            <v>208</v>
          </cell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</row>
        <row r="212">
          <cell r="AC212">
            <v>209</v>
          </cell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</row>
        <row r="213">
          <cell r="AC213">
            <v>210</v>
          </cell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</row>
        <row r="214">
          <cell r="AC214">
            <v>211</v>
          </cell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</row>
        <row r="215">
          <cell r="AC215">
            <v>212</v>
          </cell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</row>
        <row r="216">
          <cell r="AC216">
            <v>213</v>
          </cell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</row>
        <row r="217">
          <cell r="AC217">
            <v>214</v>
          </cell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</row>
        <row r="218">
          <cell r="AC218">
            <v>215</v>
          </cell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</row>
        <row r="219">
          <cell r="AC219">
            <v>216</v>
          </cell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</row>
        <row r="220">
          <cell r="AC220">
            <v>217</v>
          </cell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</row>
        <row r="221">
          <cell r="AC221">
            <v>218</v>
          </cell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</row>
        <row r="222">
          <cell r="AC222">
            <v>219</v>
          </cell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</row>
        <row r="223">
          <cell r="AC223">
            <v>220</v>
          </cell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</row>
        <row r="224">
          <cell r="AC224">
            <v>221</v>
          </cell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</row>
        <row r="225">
          <cell r="AC225">
            <v>222</v>
          </cell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</row>
        <row r="226">
          <cell r="AC226">
            <v>223</v>
          </cell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</row>
        <row r="227">
          <cell r="AC227">
            <v>224</v>
          </cell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</row>
        <row r="228">
          <cell r="AC228">
            <v>225</v>
          </cell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</row>
        <row r="229">
          <cell r="AC229">
            <v>226</v>
          </cell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</row>
        <row r="230">
          <cell r="AC230">
            <v>227</v>
          </cell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</row>
        <row r="231">
          <cell r="AC231">
            <v>228</v>
          </cell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</row>
        <row r="232">
          <cell r="AC232">
            <v>229</v>
          </cell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</row>
        <row r="233">
          <cell r="AC233">
            <v>230</v>
          </cell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</row>
        <row r="234">
          <cell r="AC234">
            <v>231</v>
          </cell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</row>
        <row r="235">
          <cell r="AC235">
            <v>232</v>
          </cell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</row>
        <row r="236">
          <cell r="AC236">
            <v>233</v>
          </cell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</row>
        <row r="237">
          <cell r="AC237">
            <v>234</v>
          </cell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</row>
        <row r="238">
          <cell r="AC238">
            <v>235</v>
          </cell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</row>
        <row r="239">
          <cell r="AC239">
            <v>236</v>
          </cell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</row>
        <row r="240">
          <cell r="AC240">
            <v>237</v>
          </cell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</row>
        <row r="241">
          <cell r="AC241">
            <v>238</v>
          </cell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</row>
        <row r="242">
          <cell r="AC242">
            <v>239</v>
          </cell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</row>
        <row r="243">
          <cell r="AC243">
            <v>240</v>
          </cell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</row>
        <row r="244">
          <cell r="AC244">
            <v>241</v>
          </cell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</row>
        <row r="245">
          <cell r="AC245">
            <v>242</v>
          </cell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</row>
        <row r="246">
          <cell r="AC246">
            <v>243</v>
          </cell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</row>
        <row r="247">
          <cell r="AC247">
            <v>244</v>
          </cell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</row>
        <row r="248">
          <cell r="AC248">
            <v>245</v>
          </cell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</row>
        <row r="249">
          <cell r="AC249">
            <v>246</v>
          </cell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</row>
        <row r="250">
          <cell r="AC250">
            <v>247</v>
          </cell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</row>
        <row r="251">
          <cell r="AC251">
            <v>248</v>
          </cell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</row>
        <row r="252">
          <cell r="AC252">
            <v>249</v>
          </cell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</row>
        <row r="253">
          <cell r="AC253">
            <v>250</v>
          </cell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</row>
        <row r="254">
          <cell r="AC254">
            <v>251</v>
          </cell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</row>
        <row r="255">
          <cell r="AC255">
            <v>252</v>
          </cell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</row>
        <row r="256">
          <cell r="AC256">
            <v>253</v>
          </cell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</row>
        <row r="257">
          <cell r="AC257">
            <v>254</v>
          </cell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</row>
        <row r="258">
          <cell r="AC258">
            <v>255</v>
          </cell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</row>
        <row r="259">
          <cell r="AC259">
            <v>256</v>
          </cell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</row>
        <row r="260">
          <cell r="AC260">
            <v>257</v>
          </cell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</row>
        <row r="261">
          <cell r="AC261">
            <v>258</v>
          </cell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</row>
        <row r="262">
          <cell r="AC262">
            <v>259</v>
          </cell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</row>
        <row r="263">
          <cell r="AC263">
            <v>260</v>
          </cell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</row>
        <row r="264">
          <cell r="AC264">
            <v>261</v>
          </cell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</row>
        <row r="265">
          <cell r="AC265">
            <v>262</v>
          </cell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</row>
        <row r="266">
          <cell r="AC266">
            <v>263</v>
          </cell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</row>
        <row r="267">
          <cell r="AC267">
            <v>264</v>
          </cell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</row>
        <row r="268">
          <cell r="AC268">
            <v>265</v>
          </cell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</row>
        <row r="269">
          <cell r="AC269">
            <v>266</v>
          </cell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</row>
        <row r="270">
          <cell r="AC270">
            <v>267</v>
          </cell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</row>
        <row r="271">
          <cell r="AC271">
            <v>268</v>
          </cell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</row>
        <row r="272">
          <cell r="AC272">
            <v>269</v>
          </cell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</row>
        <row r="273">
          <cell r="AC273">
            <v>270</v>
          </cell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</row>
        <row r="274">
          <cell r="AC274">
            <v>271</v>
          </cell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</row>
        <row r="275">
          <cell r="AC275">
            <v>272</v>
          </cell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</row>
        <row r="276">
          <cell r="AC276">
            <v>273</v>
          </cell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</row>
        <row r="277">
          <cell r="AC277">
            <v>274</v>
          </cell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</row>
        <row r="278">
          <cell r="AC278">
            <v>275</v>
          </cell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</row>
        <row r="279">
          <cell r="AC279">
            <v>276</v>
          </cell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</row>
        <row r="280">
          <cell r="AC280">
            <v>277</v>
          </cell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</row>
        <row r="281">
          <cell r="AC281">
            <v>278</v>
          </cell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</row>
        <row r="282">
          <cell r="AC282">
            <v>279</v>
          </cell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</row>
        <row r="283">
          <cell r="AC283">
            <v>280</v>
          </cell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</row>
        <row r="284">
          <cell r="AC284">
            <v>281</v>
          </cell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</row>
        <row r="285">
          <cell r="AC285">
            <v>282</v>
          </cell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</row>
        <row r="286">
          <cell r="AC286">
            <v>283</v>
          </cell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</row>
        <row r="287">
          <cell r="AC287">
            <v>284</v>
          </cell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</row>
        <row r="288">
          <cell r="AC288">
            <v>285</v>
          </cell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</row>
        <row r="289">
          <cell r="AC289">
            <v>286</v>
          </cell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</row>
        <row r="290">
          <cell r="AC290">
            <v>287</v>
          </cell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</row>
        <row r="291">
          <cell r="AC291">
            <v>288</v>
          </cell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</row>
        <row r="292">
          <cell r="AC292">
            <v>289</v>
          </cell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</row>
        <row r="293">
          <cell r="AC293">
            <v>290</v>
          </cell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</row>
        <row r="294">
          <cell r="AC294">
            <v>291</v>
          </cell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</row>
        <row r="295">
          <cell r="AC295">
            <v>292</v>
          </cell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</row>
        <row r="296">
          <cell r="AC296">
            <v>293</v>
          </cell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</row>
        <row r="297">
          <cell r="AC297">
            <v>294</v>
          </cell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</row>
        <row r="298">
          <cell r="AC298">
            <v>295</v>
          </cell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</row>
        <row r="299">
          <cell r="AC299">
            <v>296</v>
          </cell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</row>
        <row r="300">
          <cell r="AC300">
            <v>297</v>
          </cell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</row>
        <row r="301">
          <cell r="AC301">
            <v>298</v>
          </cell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</row>
        <row r="302">
          <cell r="AC302">
            <v>299</v>
          </cell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</row>
        <row r="303">
          <cell r="AC303">
            <v>300</v>
          </cell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</row>
        <row r="304">
          <cell r="AC304">
            <v>301</v>
          </cell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</row>
        <row r="305">
          <cell r="AC305">
            <v>302</v>
          </cell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</row>
        <row r="306">
          <cell r="AC306">
            <v>303</v>
          </cell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</row>
        <row r="307">
          <cell r="AC307">
            <v>304</v>
          </cell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</row>
        <row r="308">
          <cell r="AC308">
            <v>305</v>
          </cell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</row>
        <row r="309">
          <cell r="AC309">
            <v>306</v>
          </cell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</row>
        <row r="310">
          <cell r="AC310">
            <v>307</v>
          </cell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</row>
        <row r="311">
          <cell r="AC311">
            <v>308</v>
          </cell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</row>
        <row r="312">
          <cell r="AC312">
            <v>309</v>
          </cell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</row>
        <row r="313">
          <cell r="AC313">
            <v>310</v>
          </cell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</row>
        <row r="314">
          <cell r="AC314">
            <v>311</v>
          </cell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</row>
        <row r="315">
          <cell r="AC315">
            <v>312</v>
          </cell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</row>
        <row r="316">
          <cell r="AC316">
            <v>313</v>
          </cell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</row>
        <row r="317">
          <cell r="AC317">
            <v>314</v>
          </cell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</row>
        <row r="318">
          <cell r="AC318">
            <v>315</v>
          </cell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</row>
        <row r="319">
          <cell r="AC319">
            <v>316</v>
          </cell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</row>
        <row r="320">
          <cell r="AC320">
            <v>317</v>
          </cell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</row>
        <row r="321">
          <cell r="AC321">
            <v>318</v>
          </cell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</row>
        <row r="322">
          <cell r="AC322">
            <v>319</v>
          </cell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</row>
        <row r="323">
          <cell r="AC323">
            <v>320</v>
          </cell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</row>
        <row r="324">
          <cell r="AC324">
            <v>321</v>
          </cell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</row>
        <row r="325">
          <cell r="AC325">
            <v>322</v>
          </cell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</row>
        <row r="326">
          <cell r="AC326">
            <v>323</v>
          </cell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</row>
        <row r="327">
          <cell r="AC327">
            <v>324</v>
          </cell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</row>
        <row r="328">
          <cell r="AC328">
            <v>325</v>
          </cell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</row>
        <row r="329">
          <cell r="AC329">
            <v>326</v>
          </cell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</row>
        <row r="330">
          <cell r="AC330">
            <v>327</v>
          </cell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</row>
        <row r="331">
          <cell r="AC331">
            <v>328</v>
          </cell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</row>
        <row r="332">
          <cell r="AC332">
            <v>329</v>
          </cell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</row>
        <row r="333">
          <cell r="AC333">
            <v>330</v>
          </cell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</row>
        <row r="334">
          <cell r="AC334">
            <v>331</v>
          </cell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</row>
        <row r="335">
          <cell r="AC335">
            <v>332</v>
          </cell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</row>
        <row r="336">
          <cell r="AC336">
            <v>333</v>
          </cell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</row>
        <row r="337">
          <cell r="AC337">
            <v>334</v>
          </cell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</row>
        <row r="338">
          <cell r="AC338">
            <v>335</v>
          </cell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</row>
        <row r="339">
          <cell r="AC339">
            <v>336</v>
          </cell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</row>
        <row r="340">
          <cell r="AC340">
            <v>337</v>
          </cell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</row>
        <row r="341">
          <cell r="AC341">
            <v>338</v>
          </cell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</row>
        <row r="342">
          <cell r="AC342">
            <v>339</v>
          </cell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</row>
        <row r="343">
          <cell r="AC343">
            <v>340</v>
          </cell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</row>
        <row r="344">
          <cell r="AC344">
            <v>341</v>
          </cell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</row>
        <row r="345">
          <cell r="AC345">
            <v>342</v>
          </cell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</row>
        <row r="346">
          <cell r="AC346">
            <v>343</v>
          </cell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</row>
        <row r="347">
          <cell r="AC347">
            <v>344</v>
          </cell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</row>
        <row r="348">
          <cell r="AC348">
            <v>345</v>
          </cell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</row>
        <row r="349">
          <cell r="AC349">
            <v>346</v>
          </cell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</row>
        <row r="350">
          <cell r="AC350">
            <v>347</v>
          </cell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</row>
        <row r="351">
          <cell r="AC351">
            <v>348</v>
          </cell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</row>
        <row r="352">
          <cell r="AC352">
            <v>349</v>
          </cell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</row>
        <row r="353">
          <cell r="AC353">
            <v>350</v>
          </cell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</row>
        <row r="354">
          <cell r="AC354">
            <v>351</v>
          </cell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</row>
        <row r="355">
          <cell r="AC355">
            <v>352</v>
          </cell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</row>
        <row r="356">
          <cell r="AC356">
            <v>353</v>
          </cell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</row>
        <row r="357">
          <cell r="AC357">
            <v>354</v>
          </cell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</row>
        <row r="358">
          <cell r="AC358">
            <v>355</v>
          </cell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</row>
        <row r="359">
          <cell r="AC359">
            <v>356</v>
          </cell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</row>
        <row r="360">
          <cell r="AC360">
            <v>357</v>
          </cell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</row>
        <row r="361">
          <cell r="AC361">
            <v>358</v>
          </cell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</row>
        <row r="362">
          <cell r="AC362">
            <v>359</v>
          </cell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</row>
        <row r="363">
          <cell r="AC363">
            <v>360</v>
          </cell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</row>
      </sheetData>
      <sheetData sheetId="2"/>
      <sheetData sheetId="3"/>
      <sheetData sheetId="4"/>
      <sheetData sheetId="5">
        <row r="6">
          <cell r="S6">
            <v>1</v>
          </cell>
          <cell r="Z6">
            <v>0.33522582164473247</v>
          </cell>
        </row>
        <row r="7">
          <cell r="S7">
            <v>2</v>
          </cell>
          <cell r="Z7">
            <v>0.40245318274658992</v>
          </cell>
        </row>
        <row r="8">
          <cell r="S8">
            <v>3</v>
          </cell>
          <cell r="Z8">
            <v>0.45706012972204696</v>
          </cell>
        </row>
        <row r="9">
          <cell r="S9">
            <v>4</v>
          </cell>
          <cell r="Z9">
            <v>0.56397405795757161</v>
          </cell>
        </row>
        <row r="10">
          <cell r="S10">
            <v>5</v>
          </cell>
          <cell r="Z10">
            <v>0.6653213272715458</v>
          </cell>
        </row>
        <row r="11">
          <cell r="S11">
            <v>6</v>
          </cell>
          <cell r="Z11">
            <v>0.74860411861226617</v>
          </cell>
        </row>
        <row r="12">
          <cell r="S12">
            <v>7</v>
          </cell>
          <cell r="Z12">
            <v>0.84034347859536407</v>
          </cell>
        </row>
        <row r="13">
          <cell r="S13">
            <v>8</v>
          </cell>
          <cell r="Z13">
            <v>0.9309758996431704</v>
          </cell>
        </row>
        <row r="14">
          <cell r="S14">
            <v>9</v>
          </cell>
          <cell r="Z14">
            <v>1.0582034734016854</v>
          </cell>
        </row>
        <row r="15">
          <cell r="S15">
            <v>10</v>
          </cell>
          <cell r="Z15">
            <v>1.2085933841283347</v>
          </cell>
        </row>
        <row r="16">
          <cell r="S16">
            <v>11</v>
          </cell>
          <cell r="Z16">
            <v>0.8702016154298301</v>
          </cell>
        </row>
        <row r="17">
          <cell r="S17">
            <v>12</v>
          </cell>
          <cell r="Z17">
            <v>0.74807103612891923</v>
          </cell>
        </row>
        <row r="18">
          <cell r="S18">
            <v>13</v>
          </cell>
          <cell r="Z18">
            <v>0.70101624921797046</v>
          </cell>
        </row>
        <row r="19">
          <cell r="S19">
            <v>14</v>
          </cell>
          <cell r="Z19">
            <v>0.68506299583078845</v>
          </cell>
        </row>
        <row r="20">
          <cell r="S20">
            <v>15</v>
          </cell>
          <cell r="Z20">
            <v>0.70421135709890104</v>
          </cell>
        </row>
        <row r="21">
          <cell r="S21">
            <v>16</v>
          </cell>
          <cell r="Z21">
            <v>0.74237355710029806</v>
          </cell>
        </row>
        <row r="22">
          <cell r="S22">
            <v>17</v>
          </cell>
          <cell r="Z22">
            <v>0.79191694429575077</v>
          </cell>
        </row>
        <row r="23">
          <cell r="S23">
            <v>18</v>
          </cell>
          <cell r="Z23">
            <v>0.85398141855694087</v>
          </cell>
        </row>
        <row r="24">
          <cell r="S24">
            <v>19</v>
          </cell>
          <cell r="Z24">
            <v>0.93013889408664208</v>
          </cell>
        </row>
        <row r="25">
          <cell r="S25">
            <v>20</v>
          </cell>
          <cell r="Z25">
            <v>1.0167538872235589</v>
          </cell>
        </row>
        <row r="26">
          <cell r="S26">
            <v>21</v>
          </cell>
          <cell r="Z26">
            <v>0.87887371911677448</v>
          </cell>
        </row>
        <row r="27">
          <cell r="S27">
            <v>22</v>
          </cell>
          <cell r="Z27">
            <v>0.83032136777619392</v>
          </cell>
        </row>
        <row r="28">
          <cell r="S28">
            <v>23</v>
          </cell>
          <cell r="Z28">
            <v>0.82347036277619601</v>
          </cell>
        </row>
        <row r="29">
          <cell r="S29">
            <v>24</v>
          </cell>
          <cell r="Z29">
            <v>0.8484630427857629</v>
          </cell>
        </row>
        <row r="30">
          <cell r="S30">
            <v>25</v>
          </cell>
          <cell r="Z30">
            <v>0.89562574622262281</v>
          </cell>
        </row>
        <row r="31">
          <cell r="S31">
            <v>26</v>
          </cell>
          <cell r="Z31">
            <v>0.95883243806582463</v>
          </cell>
        </row>
        <row r="32">
          <cell r="S32">
            <v>27</v>
          </cell>
          <cell r="Z32">
            <v>1.0324869590465715</v>
          </cell>
        </row>
        <row r="33">
          <cell r="S33">
            <v>28</v>
          </cell>
          <cell r="Z33">
            <v>1.1194556210468152</v>
          </cell>
        </row>
        <row r="34">
          <cell r="S34">
            <v>29</v>
          </cell>
          <cell r="Z34">
            <v>0.89771709837878344</v>
          </cell>
        </row>
        <row r="35">
          <cell r="S35">
            <v>30</v>
          </cell>
          <cell r="Z35">
            <v>0.79400896119993791</v>
          </cell>
        </row>
        <row r="36">
          <cell r="S36">
            <v>31</v>
          </cell>
          <cell r="Z36">
            <v>0.75230922938672184</v>
          </cell>
        </row>
        <row r="37">
          <cell r="S37">
            <v>32</v>
          </cell>
          <cell r="Z37">
            <v>0.74218838172795998</v>
          </cell>
        </row>
        <row r="38">
          <cell r="S38">
            <v>33</v>
          </cell>
          <cell r="Z38">
            <v>0.75194473474816048</v>
          </cell>
        </row>
        <row r="39">
          <cell r="S39">
            <v>34</v>
          </cell>
          <cell r="Z39">
            <v>0.77896036651927036</v>
          </cell>
        </row>
        <row r="40">
          <cell r="S40">
            <v>35</v>
          </cell>
          <cell r="Z40">
            <v>0.77750766133317717</v>
          </cell>
        </row>
        <row r="41">
          <cell r="S41">
            <v>36</v>
          </cell>
          <cell r="Z41">
            <v>0.74823998987980189</v>
          </cell>
        </row>
        <row r="42">
          <cell r="S42">
            <v>37</v>
          </cell>
          <cell r="Z42">
            <v>0.74475895341738674</v>
          </cell>
        </row>
        <row r="43">
          <cell r="S43">
            <v>38</v>
          </cell>
          <cell r="Z43">
            <v>0.7598419857721791</v>
          </cell>
        </row>
        <row r="44">
          <cell r="S44">
            <v>39</v>
          </cell>
          <cell r="Z44">
            <v>0.789073850743919</v>
          </cell>
        </row>
        <row r="45">
          <cell r="S45">
            <v>40</v>
          </cell>
          <cell r="Z45">
            <v>0.83097714175273663</v>
          </cell>
        </row>
        <row r="46">
          <cell r="S46">
            <v>41</v>
          </cell>
          <cell r="Z46">
            <v>0.83934881032503317</v>
          </cell>
        </row>
        <row r="47">
          <cell r="S47">
            <v>42</v>
          </cell>
          <cell r="Z47">
            <v>0.86387805038476251</v>
          </cell>
        </row>
        <row r="48">
          <cell r="S48">
            <v>43</v>
          </cell>
          <cell r="Z48">
            <v>0.90835557874637096</v>
          </cell>
        </row>
        <row r="49">
          <cell r="S49">
            <v>44</v>
          </cell>
          <cell r="Z49">
            <v>0.96199211457074851</v>
          </cell>
        </row>
        <row r="50">
          <cell r="S50">
            <v>45</v>
          </cell>
          <cell r="Z50">
            <v>0.9681217545152786</v>
          </cell>
        </row>
        <row r="51">
          <cell r="S51">
            <v>46</v>
          </cell>
          <cell r="Z51">
            <v>0.99644583124329378</v>
          </cell>
        </row>
        <row r="52">
          <cell r="S52">
            <v>47</v>
          </cell>
          <cell r="Z52">
            <v>1.0419742557392195</v>
          </cell>
        </row>
        <row r="53">
          <cell r="S53">
            <v>48</v>
          </cell>
          <cell r="Z53">
            <v>1.1025914503323198</v>
          </cell>
        </row>
        <row r="54">
          <cell r="S54">
            <v>49</v>
          </cell>
          <cell r="Z54">
            <v>1.1827899605875904</v>
          </cell>
        </row>
        <row r="55">
          <cell r="S55">
            <v>50</v>
          </cell>
          <cell r="Z55">
            <v>1.2347890152328624</v>
          </cell>
        </row>
        <row r="56">
          <cell r="S56">
            <v>51</v>
          </cell>
          <cell r="Z56">
            <v>1.2611965477045857</v>
          </cell>
        </row>
        <row r="57">
          <cell r="S57">
            <v>52</v>
          </cell>
          <cell r="Z57">
            <v>1.3112770951422896</v>
          </cell>
        </row>
        <row r="58">
          <cell r="S58">
            <v>53</v>
          </cell>
          <cell r="Z58">
            <v>1.3818155731828283</v>
          </cell>
        </row>
        <row r="59">
          <cell r="S59">
            <v>54</v>
          </cell>
          <cell r="Z59">
            <v>1.4040761355383082</v>
          </cell>
        </row>
        <row r="60">
          <cell r="S60">
            <v>55</v>
          </cell>
          <cell r="Z60">
            <v>1.3825737762812955</v>
          </cell>
        </row>
        <row r="61">
          <cell r="S61">
            <v>56</v>
          </cell>
          <cell r="Z61">
            <v>1.398249118734487</v>
          </cell>
        </row>
        <row r="62">
          <cell r="S62">
            <v>57</v>
          </cell>
          <cell r="Z62">
            <v>1.4416970247203533</v>
          </cell>
        </row>
        <row r="63">
          <cell r="S63">
            <v>58</v>
          </cell>
          <cell r="Z63">
            <v>1.5076648758431801</v>
          </cell>
        </row>
        <row r="64">
          <cell r="S64">
            <v>59</v>
          </cell>
          <cell r="Z64">
            <v>1.5941220639238476</v>
          </cell>
        </row>
        <row r="65">
          <cell r="S65">
            <v>60</v>
          </cell>
          <cell r="Z65">
            <v>1.5542435343434973</v>
          </cell>
        </row>
        <row r="66">
          <cell r="S66">
            <v>61</v>
          </cell>
          <cell r="Z66">
            <v>1.5168666346005522</v>
          </cell>
        </row>
        <row r="67">
          <cell r="S67">
            <v>62</v>
          </cell>
          <cell r="Z67">
            <v>1.5267286490740382</v>
          </cell>
        </row>
        <row r="68">
          <cell r="S68">
            <v>63</v>
          </cell>
          <cell r="Z68">
            <v>1.5708697122224646</v>
          </cell>
        </row>
        <row r="69">
          <cell r="S69">
            <v>64</v>
          </cell>
          <cell r="Z69">
            <v>1.6424056115187189</v>
          </cell>
        </row>
        <row r="70">
          <cell r="S70">
            <v>65</v>
          </cell>
          <cell r="Z70">
            <v>1.738309239298315</v>
          </cell>
        </row>
        <row r="71">
          <cell r="S71">
            <v>66</v>
          </cell>
          <cell r="Z71">
            <v>1.6865646891796608</v>
          </cell>
        </row>
        <row r="72">
          <cell r="S72">
            <v>67</v>
          </cell>
          <cell r="Z72">
            <v>1.6803326677366546</v>
          </cell>
        </row>
        <row r="73">
          <cell r="S73">
            <v>68</v>
          </cell>
          <cell r="Z73">
            <v>1.7158046445034763</v>
          </cell>
        </row>
        <row r="74">
          <cell r="S74">
            <v>69</v>
          </cell>
          <cell r="Z74">
            <v>1.7837193989269415</v>
          </cell>
        </row>
        <row r="75">
          <cell r="S75">
            <v>70</v>
          </cell>
          <cell r="Z75">
            <v>1.7578722395007453</v>
          </cell>
        </row>
        <row r="76">
          <cell r="S76">
            <v>71</v>
          </cell>
          <cell r="Z76">
            <v>1.7569962275946636</v>
          </cell>
        </row>
        <row r="77">
          <cell r="S77">
            <v>72</v>
          </cell>
          <cell r="Z77">
            <v>1.7947802090997587</v>
          </cell>
        </row>
        <row r="78">
          <cell r="S78">
            <v>73</v>
          </cell>
          <cell r="Z78">
            <v>1.7883883012815101</v>
          </cell>
        </row>
        <row r="79">
          <cell r="S79">
            <v>74</v>
          </cell>
          <cell r="Z79">
            <v>1.7841942039035354</v>
          </cell>
        </row>
        <row r="80">
          <cell r="S80">
            <v>75</v>
          </cell>
          <cell r="Z80">
            <v>1.8185153498615525</v>
          </cell>
        </row>
        <row r="81">
          <cell r="S81">
            <v>76</v>
          </cell>
          <cell r="Z81">
            <v>1.7646029407683996</v>
          </cell>
        </row>
        <row r="82">
          <cell r="S82">
            <v>77</v>
          </cell>
          <cell r="Z82">
            <v>1.7620459656222043</v>
          </cell>
        </row>
        <row r="83">
          <cell r="S83">
            <v>78</v>
          </cell>
          <cell r="Z83">
            <v>1.7809013137894549</v>
          </cell>
        </row>
        <row r="84">
          <cell r="S84">
            <v>79</v>
          </cell>
          <cell r="Z84">
            <v>1.7438606768587115</v>
          </cell>
        </row>
        <row r="85">
          <cell r="S85">
            <v>80</v>
          </cell>
          <cell r="Z85">
            <v>1.7547950445691591</v>
          </cell>
        </row>
        <row r="86">
          <cell r="S86">
            <v>81</v>
          </cell>
          <cell r="Z86">
            <v>1.7338077631952635</v>
          </cell>
        </row>
        <row r="87">
          <cell r="S87">
            <v>82</v>
          </cell>
          <cell r="Z87">
            <v>1.7341758394773021</v>
          </cell>
        </row>
        <row r="88">
          <cell r="S88">
            <v>83</v>
          </cell>
          <cell r="Z88">
            <v>1.717745556656308</v>
          </cell>
        </row>
        <row r="89">
          <cell r="S89">
            <v>84</v>
          </cell>
          <cell r="Z89">
            <v>1.7195259455831846</v>
          </cell>
        </row>
        <row r="90">
          <cell r="S90">
            <v>85</v>
          </cell>
          <cell r="Z90">
            <v>1.6761648801997182</v>
          </cell>
        </row>
        <row r="91">
          <cell r="S91">
            <v>86</v>
          </cell>
          <cell r="Z91">
            <v>1.6656495416891897</v>
          </cell>
        </row>
        <row r="92">
          <cell r="S92">
            <v>87</v>
          </cell>
          <cell r="Z92">
            <v>1.6176912437368907</v>
          </cell>
        </row>
        <row r="93">
          <cell r="S93">
            <v>88</v>
          </cell>
          <cell r="Z93">
            <v>1.5633246206653708</v>
          </cell>
        </row>
        <row r="94">
          <cell r="S94">
            <v>89</v>
          </cell>
          <cell r="Z94">
            <v>1.5526032387908879</v>
          </cell>
        </row>
        <row r="95">
          <cell r="S95">
            <v>90</v>
          </cell>
          <cell r="Z95">
            <v>1.5732114490655813</v>
          </cell>
        </row>
        <row r="96">
          <cell r="S96">
            <v>91</v>
          </cell>
          <cell r="Z96">
            <v>1.528225666850445</v>
          </cell>
        </row>
        <row r="97">
          <cell r="S97">
            <v>92</v>
          </cell>
          <cell r="Z97">
            <v>1.5003644051684613</v>
          </cell>
        </row>
        <row r="98">
          <cell r="S98">
            <v>93</v>
          </cell>
          <cell r="Z98">
            <v>1.507924420566827</v>
          </cell>
        </row>
        <row r="99">
          <cell r="S99">
            <v>94</v>
          </cell>
          <cell r="Z99">
            <v>1.4543082263190812</v>
          </cell>
        </row>
        <row r="100">
          <cell r="S100">
            <v>95</v>
          </cell>
          <cell r="Z100">
            <v>1.4218935372784431</v>
          </cell>
        </row>
        <row r="101">
          <cell r="S101">
            <v>96</v>
          </cell>
          <cell r="Z101">
            <v>1.4254831645087096</v>
          </cell>
        </row>
        <row r="102">
          <cell r="S102">
            <v>97</v>
          </cell>
          <cell r="Z102">
            <v>1.4319432165392167</v>
          </cell>
        </row>
        <row r="103">
          <cell r="S103">
            <v>98</v>
          </cell>
          <cell r="Z103">
            <v>1.3801561288973687</v>
          </cell>
        </row>
        <row r="104">
          <cell r="S104">
            <v>99</v>
          </cell>
          <cell r="Z104">
            <v>1.3702925236530803</v>
          </cell>
        </row>
        <row r="105">
          <cell r="S105">
            <v>100</v>
          </cell>
          <cell r="Z105">
            <v>1.3905008386659512</v>
          </cell>
        </row>
        <row r="106">
          <cell r="Z106">
            <v>1.381213977215799</v>
          </cell>
        </row>
        <row r="107">
          <cell r="Z107">
            <v>1.3576426652902944</v>
          </cell>
        </row>
        <row r="108">
          <cell r="Z108">
            <v>1.368229918879343</v>
          </cell>
        </row>
        <row r="109">
          <cell r="Z109">
            <v>1.4051228842135459</v>
          </cell>
        </row>
        <row r="110">
          <cell r="Z110">
            <v>1.3778949822368689</v>
          </cell>
        </row>
        <row r="111">
          <cell r="Z111">
            <v>1.3790524824144088</v>
          </cell>
        </row>
        <row r="112">
          <cell r="Z112">
            <v>1.4094515096699543</v>
          </cell>
        </row>
        <row r="113">
          <cell r="Z113">
            <v>1.4129972876302583</v>
          </cell>
        </row>
        <row r="114">
          <cell r="Z114">
            <v>1.4064618856663424</v>
          </cell>
        </row>
        <row r="115">
          <cell r="Z115">
            <v>1.4321757511621633</v>
          </cell>
        </row>
        <row r="116">
          <cell r="Z116">
            <v>1.4838522648538979</v>
          </cell>
        </row>
        <row r="117">
          <cell r="Z117">
            <v>1.4546055161542326</v>
          </cell>
        </row>
        <row r="118">
          <cell r="Z118">
            <v>1.4619601409944254</v>
          </cell>
        </row>
        <row r="119">
          <cell r="Z119">
            <v>1.5001465773096001</v>
          </cell>
        </row>
        <row r="120">
          <cell r="Z120">
            <v>1.5013755381211384</v>
          </cell>
        </row>
        <row r="121">
          <cell r="Z121">
            <v>1.482320420965755</v>
          </cell>
        </row>
        <row r="122">
          <cell r="Z122">
            <v>1.5015392039321256</v>
          </cell>
        </row>
        <row r="123">
          <cell r="Z123">
            <v>1.5504136694114365</v>
          </cell>
        </row>
        <row r="124">
          <cell r="Z124">
            <v>1.4977116725468573</v>
          </cell>
        </row>
        <row r="125">
          <cell r="Z125">
            <v>1.4878337139522593</v>
          </cell>
        </row>
        <row r="126">
          <cell r="Z126">
            <v>1.5143620962706865</v>
          </cell>
        </row>
        <row r="127">
          <cell r="Z127">
            <v>1.4934189647967731</v>
          </cell>
        </row>
        <row r="128">
          <cell r="Z128">
            <v>1.4560164416169867</v>
          </cell>
        </row>
        <row r="129">
          <cell r="Z129">
            <v>1.4623457046988122</v>
          </cell>
        </row>
        <row r="130">
          <cell r="Z130">
            <v>1.5008414604398927</v>
          </cell>
        </row>
        <row r="131">
          <cell r="Z131">
            <v>1.4226641878302555</v>
          </cell>
        </row>
        <row r="132">
          <cell r="Z132">
            <v>1.399331632618884</v>
          </cell>
        </row>
        <row r="133">
          <cell r="Z133">
            <v>1.4145643821552361</v>
          </cell>
        </row>
        <row r="134">
          <cell r="Z134">
            <v>1.3938501553051734</v>
          </cell>
        </row>
        <row r="135">
          <cell r="Z135">
            <v>1.3436749316789443</v>
          </cell>
        </row>
        <row r="136">
          <cell r="Z136">
            <v>1.3392871987348736</v>
          </cell>
        </row>
        <row r="137">
          <cell r="Z137">
            <v>1.3671536582947781</v>
          </cell>
        </row>
        <row r="138">
          <cell r="Z138">
            <v>1.2946739775073191</v>
          </cell>
        </row>
        <row r="139">
          <cell r="Z139">
            <v>1.2672979362568695</v>
          </cell>
        </row>
        <row r="140">
          <cell r="Z140">
            <v>1.2769458921208032</v>
          </cell>
        </row>
        <row r="141">
          <cell r="Z141">
            <v>1.2568366536511095</v>
          </cell>
        </row>
        <row r="142">
          <cell r="Z142">
            <v>1.2161777547459858</v>
          </cell>
        </row>
        <row r="143">
          <cell r="Z143">
            <v>1.2156174877619386</v>
          </cell>
        </row>
        <row r="144">
          <cell r="Z144">
            <v>1.2436519091805673</v>
          </cell>
        </row>
        <row r="145">
          <cell r="Z145">
            <v>1.1956202163142524</v>
          </cell>
        </row>
        <row r="146">
          <cell r="Z146">
            <v>1.185770326611908</v>
          </cell>
        </row>
        <row r="147">
          <cell r="Z147">
            <v>1.2062478873587714</v>
          </cell>
        </row>
        <row r="148">
          <cell r="Z148">
            <v>1.2049700832024453</v>
          </cell>
        </row>
        <row r="149">
          <cell r="Z149">
            <v>1.1893266266694809</v>
          </cell>
        </row>
        <row r="150">
          <cell r="Z150">
            <v>1.2057127550681606</v>
          </cell>
        </row>
        <row r="151">
          <cell r="Z151">
            <v>1.2466931673723898</v>
          </cell>
        </row>
        <row r="152">
          <cell r="Z152">
            <v>1.2203682510751772</v>
          </cell>
        </row>
        <row r="153">
          <cell r="Z153">
            <v>1.227968821415534</v>
          </cell>
        </row>
        <row r="154">
          <cell r="Z154">
            <v>1.2626332569630649</v>
          </cell>
        </row>
        <row r="155">
          <cell r="Z155">
            <v>1.3815175525641619</v>
          </cell>
        </row>
      </sheetData>
      <sheetData sheetId="6"/>
      <sheetData sheetId="7"/>
      <sheetData sheetId="8"/>
      <sheetData sheetId="9"/>
      <sheetData sheetId="10">
        <row r="4">
          <cell r="N4">
            <v>3.301579276669484</v>
          </cell>
          <cell r="O4">
            <v>4.0057487176130557</v>
          </cell>
          <cell r="P4">
            <v>4.2565036636761029</v>
          </cell>
          <cell r="Q4">
            <v>3.3562706551221395</v>
          </cell>
          <cell r="R4">
            <v>1.7550190606299467</v>
          </cell>
        </row>
        <row r="5">
          <cell r="N5">
            <v>6.840124329863615</v>
          </cell>
          <cell r="O5">
            <v>8.3787062090179365</v>
          </cell>
          <cell r="P5">
            <v>8.9944214875541597</v>
          </cell>
          <cell r="Q5">
            <v>7.192360993180591</v>
          </cell>
          <cell r="R5">
            <v>3.819793082834837</v>
          </cell>
        </row>
        <row r="6">
          <cell r="N6">
            <v>10.632643013866151</v>
          </cell>
          <cell r="O6">
            <v>13.120311648049476</v>
          </cell>
          <cell r="P6">
            <v>14.210666074680118</v>
          </cell>
          <cell r="Q6">
            <v>11.453968457804642</v>
          </cell>
          <cell r="R6">
            <v>6.1162429781958272</v>
          </cell>
        </row>
        <row r="7">
          <cell r="N7">
            <v>14.697363895553133</v>
          </cell>
          <cell r="O7">
            <v>18.221663954542464</v>
          </cell>
          <cell r="P7">
            <v>19.852560134291625</v>
          </cell>
          <cell r="Q7">
            <v>16.076200284493559</v>
          </cell>
          <cell r="R7">
            <v>8.6584407264078909</v>
          </cell>
        </row>
        <row r="8">
          <cell r="N8">
            <v>19.053823869162375</v>
          </cell>
          <cell r="O8">
            <v>23.611664224090969</v>
          </cell>
          <cell r="P8">
            <v>25.76723160268055</v>
          </cell>
          <cell r="Q8">
            <v>20.905358492970112</v>
          </cell>
          <cell r="R8">
            <v>11.280360786818976</v>
          </cell>
        </row>
        <row r="9">
          <cell r="N9">
            <v>23.722962059478306</v>
          </cell>
          <cell r="O9">
            <v>29.439164482679558</v>
          </cell>
          <cell r="P9">
            <v>32.156578214936147</v>
          </cell>
          <cell r="Q9">
            <v>26.203507172736675</v>
          </cell>
          <cell r="R9">
            <v>14.251775743858198</v>
          </cell>
        </row>
        <row r="10">
          <cell r="N10">
            <v>28.727220464773662</v>
          </cell>
          <cell r="O10">
            <v>35.787309596867416</v>
          </cell>
          <cell r="P10">
            <v>39.195606953575002</v>
          </cell>
          <cell r="Q10">
            <v>31.878971252634962</v>
          </cell>
          <cell r="R10">
            <v>17.200235901845417</v>
          </cell>
        </row>
        <row r="11">
          <cell r="N11">
            <v>34.090651823243419</v>
          </cell>
          <cell r="O11">
            <v>42.270259067554726</v>
          </cell>
          <cell r="P11">
            <v>46.0009621388201</v>
          </cell>
          <cell r="Q11">
            <v>37.281240393448371</v>
          </cell>
          <cell r="R11">
            <v>20.167288517504215</v>
          </cell>
        </row>
        <row r="12">
          <cell r="N12">
            <v>39.839035221386283</v>
          </cell>
          <cell r="O12">
            <v>49.380484156908295</v>
          </cell>
          <cell r="P12">
            <v>53.946817052663931</v>
          </cell>
          <cell r="Q12">
            <v>44.049328391500353</v>
          </cell>
          <cell r="R12">
            <v>23.889044437512744</v>
          </cell>
        </row>
        <row r="13">
          <cell r="N13">
            <v>46</v>
          </cell>
          <cell r="O13">
            <v>57.271599999999999</v>
          </cell>
          <cell r="P13">
            <v>62.744500000000002</v>
          </cell>
          <cell r="Q13">
            <v>51.479400000000005</v>
          </cell>
          <cell r="R13">
            <v>28.139600000000002</v>
          </cell>
        </row>
        <row r="14">
          <cell r="N14">
            <v>52.603158553338972</v>
          </cell>
          <cell r="O14">
            <v>65.684306183936783</v>
          </cell>
          <cell r="P14">
            <v>72.302812722179397</v>
          </cell>
          <cell r="Q14">
            <v>59.304915307726851</v>
          </cell>
          <cell r="R14">
            <v>32.720765585871938</v>
          </cell>
        </row>
        <row r="15">
          <cell r="N15">
            <v>59.680248659727226</v>
          </cell>
          <cell r="O15">
            <v>74.54737703889127</v>
          </cell>
          <cell r="P15">
            <v>82.431656845525254</v>
          </cell>
          <cell r="Q15">
            <v>68.205701920440248</v>
          </cell>
          <cell r="R15">
            <v>37.657458466261879</v>
          </cell>
        </row>
        <row r="16">
          <cell r="N16">
            <v>67.265286027732301</v>
          </cell>
          <cell r="O16">
            <v>84.609786258865753</v>
          </cell>
          <cell r="P16">
            <v>93.680071393057432</v>
          </cell>
          <cell r="Q16">
            <v>77.82315758531557</v>
          </cell>
          <cell r="R16">
            <v>43.121288981373802</v>
          </cell>
        </row>
        <row r="17">
          <cell r="N17">
            <v>75.394727791106263</v>
          </cell>
          <cell r="O17">
            <v>94.714626787577259</v>
          </cell>
          <cell r="P17">
            <v>105.06156976741366</v>
          </cell>
          <cell r="Q17">
            <v>87.144176609439413</v>
          </cell>
          <cell r="R17">
            <v>48.214600619248152</v>
          </cell>
          <cell r="AD17">
            <v>0.2</v>
          </cell>
        </row>
        <row r="18">
          <cell r="N18">
            <v>84.107647738324729</v>
          </cell>
          <cell r="O18">
            <v>105.81948847383583</v>
          </cell>
          <cell r="P18">
            <v>117.65215461163081</v>
          </cell>
          <cell r="Q18">
            <v>97.742228807557069</v>
          </cell>
          <cell r="R18">
            <v>54.294960626625631</v>
          </cell>
        </row>
        <row r="19">
          <cell r="N19">
            <v>93.445924118956611</v>
          </cell>
          <cell r="O19">
            <v>117.82698143815891</v>
          </cell>
          <cell r="P19">
            <v>131.02906222634775</v>
          </cell>
          <cell r="Q19">
            <v>109.36850015888693</v>
          </cell>
          <cell r="R19">
            <v>61.243849237624261</v>
          </cell>
        </row>
        <row r="20">
          <cell r="N20">
            <v>103.45444092954733</v>
          </cell>
          <cell r="O20">
            <v>130.20573524530138</v>
          </cell>
          <cell r="P20">
            <v>144.73546167193922</v>
          </cell>
          <cell r="Q20">
            <v>120.9434141686873</v>
          </cell>
          <cell r="R20">
            <v>67.270575511562512</v>
          </cell>
        </row>
        <row r="21">
          <cell r="N21">
            <v>114.18130364648684</v>
          </cell>
          <cell r="O21">
            <v>144.15538517504154</v>
          </cell>
          <cell r="P21">
            <v>160.98496467185777</v>
          </cell>
          <cell r="Q21">
            <v>134.58302040586085</v>
          </cell>
          <cell r="R21">
            <v>74.731415016400319</v>
          </cell>
        </row>
        <row r="22">
          <cell r="N22">
            <v>125.67807044277257</v>
          </cell>
          <cell r="O22">
            <v>159.01800361247061</v>
          </cell>
          <cell r="P22">
            <v>177.54240476934203</v>
          </cell>
          <cell r="Q22">
            <v>148.27471429518647</v>
          </cell>
          <cell r="R22">
            <v>82.678138280367776</v>
          </cell>
        </row>
        <row r="23">
          <cell r="N23">
            <v>138</v>
          </cell>
          <cell r="O23">
            <v>174.4479</v>
          </cell>
          <cell r="P23">
            <v>194.48519999999999</v>
          </cell>
          <cell r="Q23">
            <v>162.75029999999998</v>
          </cell>
          <cell r="R23">
            <v>90.6297</v>
          </cell>
        </row>
        <row r="24">
          <cell r="N24">
            <v>151.20631710667794</v>
          </cell>
          <cell r="O24">
            <v>191.07613583385876</v>
          </cell>
          <cell r="P24">
            <v>213.54572326529612</v>
          </cell>
          <cell r="Q24">
            <v>178.86688314626454</v>
          </cell>
          <cell r="R24">
            <v>100.08148903660003</v>
          </cell>
        </row>
        <row r="25">
          <cell r="N25">
            <v>165.36049731945442</v>
          </cell>
          <cell r="O25">
            <v>209.32374240788337</v>
          </cell>
          <cell r="P25">
            <v>234.3204979331129</v>
          </cell>
          <cell r="Q25">
            <v>196.49895740273368</v>
          </cell>
          <cell r="R25">
            <v>110.07940462753481</v>
          </cell>
        </row>
        <row r="26">
          <cell r="N26">
            <v>180.53057205546457</v>
          </cell>
          <cell r="O26">
            <v>228.34291669105832</v>
          </cell>
          <cell r="P26">
            <v>255.38835867379359</v>
          </cell>
          <cell r="Q26">
            <v>214.20227094816607</v>
          </cell>
          <cell r="R26">
            <v>119.57167719657959</v>
          </cell>
          <cell r="GI26">
            <v>9936.4493992228599</v>
          </cell>
          <cell r="GJ26">
            <v>11385.994180179781</v>
          </cell>
          <cell r="GK26">
            <v>9958.3231503101069</v>
          </cell>
          <cell r="GL26">
            <v>6023.0605319285523</v>
          </cell>
        </row>
        <row r="27">
          <cell r="N27">
            <v>196.78945558221253</v>
          </cell>
          <cell r="O27">
            <v>249.3378016637993</v>
          </cell>
          <cell r="P27">
            <v>279.36231114450891</v>
          </cell>
          <cell r="Q27">
            <v>234.24276701115065</v>
          </cell>
          <cell r="R27">
            <v>130.73707481604291</v>
          </cell>
        </row>
        <row r="28">
          <cell r="N28">
            <v>214.21529547664952</v>
          </cell>
          <cell r="O28">
            <v>271.6352397437405</v>
          </cell>
          <cell r="P28">
            <v>304.3542977006739</v>
          </cell>
          <cell r="Q28">
            <v>255.27291665272404</v>
          </cell>
          <cell r="R28">
            <v>142.17003475360278</v>
          </cell>
        </row>
        <row r="29">
          <cell r="N29">
            <v>232.89184823791322</v>
          </cell>
          <cell r="O29">
            <v>295.38584427942419</v>
          </cell>
          <cell r="P29">
            <v>330.98184442270946</v>
          </cell>
          <cell r="Q29">
            <v>277.21622982385412</v>
          </cell>
          <cell r="R29">
            <v>154.46096176415654</v>
          </cell>
        </row>
        <row r="30">
          <cell r="N30">
            <v>252.90888185909469</v>
          </cell>
          <cell r="O30">
            <v>320.81106802484203</v>
          </cell>
          <cell r="P30">
            <v>359.37967250835402</v>
          </cell>
          <cell r="Q30">
            <v>300.81642170621222</v>
          </cell>
          <cell r="R30">
            <v>167.79349727325055</v>
          </cell>
        </row>
        <row r="31">
          <cell r="N31">
            <v>274.36260729297362</v>
          </cell>
          <cell r="O31">
            <v>347.82498471701922</v>
          </cell>
          <cell r="P31">
            <v>389.05094866504174</v>
          </cell>
          <cell r="Q31">
            <v>326.02687556759241</v>
          </cell>
          <cell r="R31">
            <v>182.70283171999623</v>
          </cell>
        </row>
        <row r="32">
          <cell r="N32">
            <v>297.35614088554507</v>
          </cell>
          <cell r="O32">
            <v>377.36498200194677</v>
          </cell>
          <cell r="P32">
            <v>423.24444883501349</v>
          </cell>
          <cell r="Q32">
            <v>355.68060864106502</v>
          </cell>
          <cell r="R32">
            <v>199.4794278338882</v>
          </cell>
        </row>
        <row r="33">
          <cell r="N33">
            <v>322</v>
          </cell>
          <cell r="O33">
            <v>408.87419999999997</v>
          </cell>
          <cell r="P33">
            <v>458.83110000000005</v>
          </cell>
          <cell r="Q33">
            <v>385.51869999999997</v>
          </cell>
          <cell r="R33">
            <v>216.37209999999999</v>
          </cell>
        </row>
        <row r="34">
          <cell r="N34">
            <v>348.41263421335577</v>
          </cell>
          <cell r="O34">
            <v>442.97106572009051</v>
          </cell>
          <cell r="P34">
            <v>497.15680452796772</v>
          </cell>
          <cell r="Q34">
            <v>417.37561322449938</v>
          </cell>
          <cell r="R34">
            <v>234.66651300547557</v>
          </cell>
        </row>
        <row r="35">
          <cell r="N35">
            <v>376.72099463890885</v>
          </cell>
          <cell r="O35">
            <v>479.18173455253606</v>
          </cell>
          <cell r="P35">
            <v>537.4760326381712</v>
          </cell>
          <cell r="Q35">
            <v>451.70894653915161</v>
          </cell>
          <cell r="R35">
            <v>253.90176079978457</v>
          </cell>
        </row>
        <row r="36">
          <cell r="N36">
            <v>407.06114411092915</v>
          </cell>
          <cell r="O36">
            <v>516.70660293933065</v>
          </cell>
          <cell r="P36">
            <v>579.63560107228818</v>
          </cell>
          <cell r="Q36">
            <v>487.81499577829209</v>
          </cell>
          <cell r="R36">
            <v>274.25921567579985</v>
          </cell>
        </row>
        <row r="37">
          <cell r="N37">
            <v>439.57891116442499</v>
          </cell>
          <cell r="O37">
            <v>558.17539018392961</v>
          </cell>
          <cell r="P37">
            <v>627.15678862157131</v>
          </cell>
          <cell r="Q37">
            <v>528.26013406653317</v>
          </cell>
          <cell r="R37">
            <v>296.75876732077467</v>
          </cell>
        </row>
        <row r="38">
          <cell r="N38">
            <v>474.43059095329892</v>
          </cell>
          <cell r="O38">
            <v>603.32822566106074</v>
          </cell>
          <cell r="P38">
            <v>678.38211377902269</v>
          </cell>
          <cell r="Q38">
            <v>570.67399318242508</v>
          </cell>
          <cell r="R38">
            <v>320.39329177926174</v>
          </cell>
        </row>
        <row r="39">
          <cell r="N39">
            <v>511.78369647582645</v>
          </cell>
          <cell r="O39">
            <v>651.64973042965698</v>
          </cell>
          <cell r="P39">
            <v>731.69158798522301</v>
          </cell>
          <cell r="Q39">
            <v>614.91701190173114</v>
          </cell>
          <cell r="R39">
            <v>343.89973028645079</v>
          </cell>
        </row>
        <row r="40">
          <cell r="N40">
            <v>551.81776371818933</v>
          </cell>
          <cell r="O40">
            <v>702.3836397563656</v>
          </cell>
          <cell r="P40">
            <v>788.70953087090561</v>
          </cell>
          <cell r="Q40">
            <v>660.91813362444623</v>
          </cell>
          <cell r="R40">
            <v>370.80114395344231</v>
          </cell>
        </row>
        <row r="41">
          <cell r="N41">
            <v>594.72521458594724</v>
          </cell>
          <cell r="O41">
            <v>756.5654600455988</v>
          </cell>
          <cell r="P41">
            <v>848.03678381072007</v>
          </cell>
          <cell r="Q41">
            <v>710.3113529216273</v>
          </cell>
          <cell r="R41">
            <v>398.70119809661651</v>
          </cell>
        </row>
        <row r="42">
          <cell r="N42">
            <v>640.71228177109015</v>
          </cell>
          <cell r="O42">
            <v>813.85363309743559</v>
          </cell>
          <cell r="P42">
            <v>911.45639925575597</v>
          </cell>
          <cell r="Q42">
            <v>764.23185972705107</v>
          </cell>
          <cell r="R42">
            <v>429.53072799376594</v>
          </cell>
        </row>
        <row r="43">
          <cell r="N43">
            <v>690</v>
          </cell>
          <cell r="O43">
            <v>874.95300000000009</v>
          </cell>
          <cell r="P43">
            <v>981.16200000000003</v>
          </cell>
          <cell r="Q43">
            <v>824.10299999999995</v>
          </cell>
          <cell r="R43">
            <v>463.5</v>
          </cell>
        </row>
        <row r="44">
          <cell r="N44">
            <v>742.82526842671143</v>
          </cell>
          <cell r="O44">
            <v>942.37074325168692</v>
          </cell>
          <cell r="P44">
            <v>1057.6007055976104</v>
          </cell>
          <cell r="Q44">
            <v>888.85825684924259</v>
          </cell>
          <cell r="R44">
            <v>500.64808254420291</v>
          </cell>
        </row>
        <row r="45">
          <cell r="N45">
            <v>799.4419892778177</v>
          </cell>
          <cell r="O45">
            <v>1017.2238904960392</v>
          </cell>
          <cell r="P45">
            <v>1141.846469120243</v>
          </cell>
          <cell r="Q45">
            <v>960.18544247843488</v>
          </cell>
          <cell r="R45">
            <v>540.59657648860423</v>
          </cell>
        </row>
        <row r="46">
          <cell r="N46">
            <v>860.12228822185841</v>
          </cell>
          <cell r="O46">
            <v>1094.6851155442046</v>
          </cell>
          <cell r="P46">
            <v>1229.3671770623182</v>
          </cell>
          <cell r="Q46">
            <v>1032.1037397518191</v>
          </cell>
          <cell r="R46">
            <v>580.8592795468345</v>
          </cell>
        </row>
        <row r="47">
          <cell r="N47">
            <v>925.1578223288501</v>
          </cell>
          <cell r="O47">
            <v>1177.4564053285565</v>
          </cell>
          <cell r="P47">
            <v>1321.4069400576111</v>
          </cell>
          <cell r="Q47">
            <v>1109.1073543850268</v>
          </cell>
          <cell r="R47">
            <v>623.53626012307257</v>
          </cell>
        </row>
        <row r="48">
          <cell r="N48">
            <v>994.86118190659784</v>
          </cell>
          <cell r="O48">
            <v>1266.3133808732127</v>
          </cell>
          <cell r="P48">
            <v>1419.9805041271859</v>
          </cell>
          <cell r="Q48">
            <v>1192.0015760681895</v>
          </cell>
          <cell r="R48">
            <v>669.40099721265346</v>
          </cell>
        </row>
        <row r="49">
          <cell r="N49">
            <v>1069.5673929516524</v>
          </cell>
          <cell r="O49">
            <v>1360.7803671478041</v>
          </cell>
          <cell r="P49">
            <v>1524.9171093287671</v>
          </cell>
          <cell r="Q49">
            <v>1279.8350418199216</v>
          </cell>
          <cell r="R49">
            <v>716.31485967129208</v>
          </cell>
        </row>
        <row r="50">
          <cell r="N50">
            <v>1149.6355274363787</v>
          </cell>
          <cell r="O50">
            <v>1462.1464511162799</v>
          </cell>
          <cell r="P50">
            <v>1637.7082921941562</v>
          </cell>
          <cell r="Q50">
            <v>1373.584528180985</v>
          </cell>
          <cell r="R50">
            <v>766.59196494058733</v>
          </cell>
        </row>
        <row r="51">
          <cell r="N51">
            <v>1235.4504291718947</v>
          </cell>
          <cell r="O51">
            <v>1569.4893676019494</v>
          </cell>
          <cell r="P51">
            <v>1758.9779200570902</v>
          </cell>
          <cell r="Q51">
            <v>1469.7536030643444</v>
          </cell>
          <cell r="R51">
            <v>819.941592223361</v>
          </cell>
        </row>
        <row r="52">
          <cell r="N52">
            <v>1327.4245635421805</v>
          </cell>
          <cell r="O52">
            <v>1686.1379661948713</v>
          </cell>
          <cell r="P52">
            <v>1885.4623072330214</v>
          </cell>
          <cell r="Q52">
            <v>1572.6316231897233</v>
          </cell>
          <cell r="R52">
            <v>880.3883704191951</v>
          </cell>
        </row>
        <row r="53">
          <cell r="N53">
            <v>1426</v>
          </cell>
          <cell r="O53">
            <v>1811.3516999999999</v>
          </cell>
          <cell r="P53">
            <v>2020.6823000000002</v>
          </cell>
          <cell r="Q53">
            <v>1687.8197999999998</v>
          </cell>
          <cell r="R53">
            <v>946.40519999999992</v>
          </cell>
        </row>
        <row r="54">
          <cell r="N54">
            <v>1531.6505368534229</v>
          </cell>
          <cell r="O54">
            <v>1938.1905454352827</v>
          </cell>
          <cell r="P54">
            <v>2164.3320878515306</v>
          </cell>
          <cell r="Q54">
            <v>1811.4964086368636</v>
          </cell>
          <cell r="R54">
            <v>1014.1224688260519</v>
          </cell>
        </row>
        <row r="55">
          <cell r="N55">
            <v>1644.8839785556356</v>
          </cell>
          <cell r="O55">
            <v>2082.4374201903788</v>
          </cell>
          <cell r="P55">
            <v>2330.1962815429533</v>
          </cell>
          <cell r="Q55">
            <v>1949.8383165103787</v>
          </cell>
          <cell r="R55">
            <v>1088.7272503975591</v>
          </cell>
        </row>
        <row r="56">
          <cell r="N56">
            <v>1766.2445764437161</v>
          </cell>
          <cell r="O56">
            <v>2239.6825954973315</v>
          </cell>
          <cell r="P56">
            <v>2509.806665491662</v>
          </cell>
          <cell r="Q56">
            <v>2092.9076711948587</v>
          </cell>
          <cell r="R56">
            <v>1167.8677915794442</v>
          </cell>
        </row>
        <row r="57">
          <cell r="N57">
            <v>1896.3156446577002</v>
          </cell>
          <cell r="O57">
            <v>2408.4857657278585</v>
          </cell>
          <cell r="P57">
            <v>2689.3837042307518</v>
          </cell>
          <cell r="Q57">
            <v>2241.5151732157478</v>
          </cell>
          <cell r="R57">
            <v>1247.5036141140115</v>
          </cell>
        </row>
        <row r="58">
          <cell r="N58">
            <v>2035.7223638131961</v>
          </cell>
          <cell r="O58">
            <v>2581.6898253376967</v>
          </cell>
          <cell r="P58">
            <v>2879.4407739457738</v>
          </cell>
          <cell r="Q58">
            <v>2398.0942210221438</v>
          </cell>
          <cell r="R58">
            <v>1333.2875112126535</v>
          </cell>
        </row>
        <row r="59">
          <cell r="N59">
            <v>2185.1347859033053</v>
          </cell>
          <cell r="O59">
            <v>2765.4448312300565</v>
          </cell>
          <cell r="P59">
            <v>3083.8617221732834</v>
          </cell>
          <cell r="Q59">
            <v>2565.7852656076611</v>
          </cell>
          <cell r="R59">
            <v>1425.2731652774821</v>
          </cell>
        </row>
        <row r="60">
          <cell r="N60">
            <v>2345.2710548727578</v>
          </cell>
          <cell r="O60">
            <v>2968.7919553027004</v>
          </cell>
          <cell r="P60">
            <v>3304.7571323285597</v>
          </cell>
          <cell r="Q60">
            <v>2746.4653577160998</v>
          </cell>
          <cell r="R60">
            <v>1526.0474817443567</v>
          </cell>
        </row>
        <row r="61">
          <cell r="N61">
            <v>2516.9008583437885</v>
          </cell>
          <cell r="O61">
            <v>3179.8197152899115</v>
          </cell>
          <cell r="P61">
            <v>3541.126305028768</v>
          </cell>
          <cell r="Q61">
            <v>2942.9465153781307</v>
          </cell>
          <cell r="R61">
            <v>1633.2169669792843</v>
          </cell>
        </row>
        <row r="62">
          <cell r="N62">
            <v>2700.8491270843624</v>
          </cell>
          <cell r="O62">
            <v>3413.0043277850505</v>
          </cell>
          <cell r="P62">
            <v>3797.2588302242589</v>
          </cell>
          <cell r="Q62">
            <v>3152.5896292338052</v>
          </cell>
          <cell r="R62">
            <v>1751.3714878690009</v>
          </cell>
        </row>
        <row r="63">
          <cell r="N63">
            <v>2898</v>
          </cell>
          <cell r="O63">
            <v>3657.4965000000002</v>
          </cell>
          <cell r="P63">
            <v>4069.2833999999998</v>
          </cell>
          <cell r="Q63">
            <v>3379.4712</v>
          </cell>
          <cell r="R63">
            <v>1882.4589000000003</v>
          </cell>
        </row>
        <row r="64">
          <cell r="N64">
            <v>3109.3010737068457</v>
          </cell>
          <cell r="O64">
            <v>3925.9860381165895</v>
          </cell>
          <cell r="P64">
            <v>4365.9859367969093</v>
          </cell>
          <cell r="Q64">
            <v>3628.6625026184524</v>
          </cell>
          <cell r="R64">
            <v>2019.01789286138</v>
          </cell>
        </row>
        <row r="65">
          <cell r="N65">
            <v>3335.7679571112699</v>
          </cell>
          <cell r="O65">
            <v>4210.4788321605647</v>
          </cell>
          <cell r="P65">
            <v>4687.2833516127894</v>
          </cell>
          <cell r="Q65">
            <v>3898.1856863497019</v>
          </cell>
          <cell r="R65">
            <v>2175.7836567037139</v>
          </cell>
        </row>
        <row r="66">
          <cell r="N66">
            <v>3578.4891528874323</v>
          </cell>
          <cell r="O66">
            <v>4520.4953050880667</v>
          </cell>
          <cell r="P66">
            <v>5030.4689059957536</v>
          </cell>
          <cell r="Q66">
            <v>4189.8429073612688</v>
          </cell>
          <cell r="R66">
            <v>2338.1070192541943</v>
          </cell>
        </row>
        <row r="67">
          <cell r="N67">
            <v>3838.631289315399</v>
          </cell>
          <cell r="O67">
            <v>4850.7949118015804</v>
          </cell>
          <cell r="P67">
            <v>5402.2393310636253</v>
          </cell>
          <cell r="Q67">
            <v>4503.0232618402342</v>
          </cell>
          <cell r="R67">
            <v>2507.2187163176109</v>
          </cell>
        </row>
        <row r="68">
          <cell r="N68">
            <v>4117.4447276263909</v>
          </cell>
          <cell r="O68">
            <v>5202.5256778579324</v>
          </cell>
          <cell r="P68">
            <v>5806.0267123595722</v>
          </cell>
          <cell r="Q68">
            <v>4833.7816495985917</v>
          </cell>
          <cell r="R68">
            <v>2677.3415812386629</v>
          </cell>
        </row>
        <row r="69">
          <cell r="N69">
            <v>4416.2695718066107</v>
          </cell>
          <cell r="O69">
            <v>5584.6032876140744</v>
          </cell>
          <cell r="P69">
            <v>6232.6428443465666</v>
          </cell>
          <cell r="Q69">
            <v>5166.7953843630921</v>
          </cell>
          <cell r="R69">
            <v>2868.6839062272406</v>
          </cell>
        </row>
        <row r="70">
          <cell r="N70">
            <v>4736.5421097455128</v>
          </cell>
          <cell r="O70">
            <v>5994.4338352951672</v>
          </cell>
          <cell r="P70">
            <v>6669.648506700737</v>
          </cell>
          <cell r="Q70">
            <v>5523.467097126364</v>
          </cell>
          <cell r="R70">
            <v>3069.2998807764393</v>
          </cell>
        </row>
        <row r="71">
          <cell r="N71">
            <v>5079.8017166875779</v>
          </cell>
          <cell r="O71">
            <v>6420.7147672321553</v>
          </cell>
          <cell r="P71">
            <v>7120.8439603582265</v>
          </cell>
          <cell r="Q71">
            <v>5913.5186519153212</v>
          </cell>
          <cell r="R71">
            <v>3281.4966937441241</v>
          </cell>
        </row>
        <row r="72">
          <cell r="N72">
            <v>5447.6982541687212</v>
          </cell>
          <cell r="O72">
            <v>6868.2684736992569</v>
          </cell>
          <cell r="P72">
            <v>7634.4043333920454</v>
          </cell>
          <cell r="Q72">
            <v>6338.1363766348895</v>
          </cell>
          <cell r="R72">
            <v>3508.175561817156</v>
          </cell>
        </row>
        <row r="73">
          <cell r="N73">
            <v>5842</v>
          </cell>
          <cell r="O73">
            <v>7367.9431000000004</v>
          </cell>
          <cell r="P73">
            <v>8199.691499999999</v>
          </cell>
          <cell r="Q73">
            <v>6790.3471000000009</v>
          </cell>
          <cell r="R73">
            <v>3759.4794000000002</v>
          </cell>
        </row>
        <row r="74">
          <cell r="N74">
            <v>6264.6021474136924</v>
          </cell>
          <cell r="O74">
            <v>7908.2294703902389</v>
          </cell>
          <cell r="P74">
            <v>8789.1278632188478</v>
          </cell>
          <cell r="Q74">
            <v>7273.1349996456938</v>
          </cell>
          <cell r="R74">
            <v>4030.0321801315486</v>
          </cell>
        </row>
        <row r="75">
          <cell r="N75">
            <v>6717.5359142225398</v>
          </cell>
          <cell r="O75">
            <v>8480.9767117396204</v>
          </cell>
          <cell r="P75">
            <v>9401.9946955963624</v>
          </cell>
          <cell r="Q75">
            <v>7785.4488845165961</v>
          </cell>
          <cell r="R75">
            <v>4315.3888813133908</v>
          </cell>
        </row>
        <row r="76">
          <cell r="N76">
            <v>7202.9783057748664</v>
          </cell>
          <cell r="O76">
            <v>9072.871473954021</v>
          </cell>
          <cell r="P76">
            <v>10062.905183434286</v>
          </cell>
          <cell r="Q76">
            <v>8338.3869078438565</v>
          </cell>
          <cell r="R76">
            <v>4622.4017171915848</v>
          </cell>
        </row>
        <row r="77">
          <cell r="N77">
            <v>7723.2625786307999</v>
          </cell>
          <cell r="O77">
            <v>9725.9717240747977</v>
          </cell>
          <cell r="P77">
            <v>10801.990098290646</v>
          </cell>
          <cell r="Q77">
            <v>8947.6011737588742</v>
          </cell>
          <cell r="R77">
            <v>4961.4742496161989</v>
          </cell>
        </row>
        <row r="78">
          <cell r="N78">
            <v>8280.8894552527818</v>
          </cell>
          <cell r="O78">
            <v>10435.432876040768</v>
          </cell>
          <cell r="P78">
            <v>11591.73307493163</v>
          </cell>
          <cell r="Q78">
            <v>9601.0432537560609</v>
          </cell>
          <cell r="R78">
            <v>5330.8225868189775</v>
          </cell>
        </row>
        <row r="79">
          <cell r="N79">
            <v>8878.5391436132213</v>
          </cell>
          <cell r="O79">
            <v>11187.287440877531</v>
          </cell>
          <cell r="P79">
            <v>12423.064282636185</v>
          </cell>
          <cell r="Q79">
            <v>10303.911398432119</v>
          </cell>
          <cell r="R79">
            <v>5733.4517601925972</v>
          </cell>
        </row>
        <row r="80">
          <cell r="N80">
            <v>9519.0842194910274</v>
          </cell>
          <cell r="O80">
            <v>12001.33028535274</v>
          </cell>
          <cell r="P80">
            <v>13334.39525564707</v>
          </cell>
          <cell r="Q80">
            <v>11064.341993234622</v>
          </cell>
          <cell r="R80">
            <v>6132.1733605347736</v>
          </cell>
        </row>
        <row r="81">
          <cell r="N81">
            <v>10205.603433375156</v>
          </cell>
          <cell r="O81">
            <v>12866.869831288672</v>
          </cell>
          <cell r="P81">
            <v>14308.189455308708</v>
          </cell>
          <cell r="Q81">
            <v>11862.30566202825</v>
          </cell>
          <cell r="R81">
            <v>6556.1462038834607</v>
          </cell>
        </row>
        <row r="82">
          <cell r="N82">
            <v>10941.396508337442</v>
          </cell>
          <cell r="O82">
            <v>13807.281252895182</v>
          </cell>
          <cell r="P82">
            <v>15354.918003354933</v>
          </cell>
          <cell r="Q82">
            <v>12680.793125428094</v>
          </cell>
          <cell r="R82">
            <v>7016.5748669292998</v>
          </cell>
        </row>
        <row r="83">
          <cell r="N83">
            <v>11730</v>
          </cell>
          <cell r="O83">
            <v>14812.695</v>
          </cell>
          <cell r="P83">
            <v>16410.576000000001</v>
          </cell>
          <cell r="Q83">
            <v>13552.740000000002</v>
          </cell>
          <cell r="R83">
            <v>7496.0309999999999</v>
          </cell>
        </row>
        <row r="84">
          <cell r="N84">
            <v>12575.204294827385</v>
          </cell>
          <cell r="O84">
            <v>15836.064118078692</v>
          </cell>
          <cell r="P84">
            <v>17533.333974271412</v>
          </cell>
          <cell r="Q84">
            <v>14498.308417714825</v>
          </cell>
          <cell r="R84">
            <v>8019.2624536127059</v>
          </cell>
        </row>
        <row r="85">
          <cell r="N85">
            <v>13481.07182844507</v>
          </cell>
          <cell r="O85">
            <v>16961.1226009245</v>
          </cell>
          <cell r="P85">
            <v>18780.363937495276</v>
          </cell>
          <cell r="Q85">
            <v>15533.652934359494</v>
          </cell>
          <cell r="R85">
            <v>8572.7894157755472</v>
          </cell>
        </row>
        <row r="86">
          <cell r="N86">
            <v>14451.956611549746</v>
          </cell>
          <cell r="O86">
            <v>18193.159753419211</v>
          </cell>
          <cell r="P86">
            <v>20161.484826615306</v>
          </cell>
          <cell r="Q86">
            <v>16642.653312781815</v>
          </cell>
          <cell r="R86">
            <v>9186.9517314772656</v>
          </cell>
        </row>
        <row r="87">
          <cell r="N87">
            <v>15492.5251572616</v>
          </cell>
          <cell r="O87">
            <v>19514.384688086713</v>
          </cell>
          <cell r="P87">
            <v>21591.696555857881</v>
          </cell>
          <cell r="Q87">
            <v>17816.673366070961</v>
          </cell>
          <cell r="R87">
            <v>9851.8988239177452</v>
          </cell>
        </row>
        <row r="88">
          <cell r="N88">
            <v>16607.778910505567</v>
          </cell>
          <cell r="O88">
            <v>20885.292888242257</v>
          </cell>
          <cell r="P88">
            <v>23106.583317522378</v>
          </cell>
          <cell r="Q88">
            <v>19114.109371304035</v>
          </cell>
          <cell r="R88">
            <v>10561.103232393669</v>
          </cell>
        </row>
        <row r="89">
          <cell r="N89">
            <v>17803.078287226446</v>
          </cell>
          <cell r="O89">
            <v>22378.082383602617</v>
          </cell>
          <cell r="P89">
            <v>24773.138246052011</v>
          </cell>
          <cell r="Q89">
            <v>20537.631112144427</v>
          </cell>
          <cell r="R89">
            <v>11221.551160847546</v>
          </cell>
        </row>
        <row r="90">
          <cell r="N90">
            <v>19084.16843898204</v>
          </cell>
          <cell r="O90">
            <v>24005.062758296252</v>
          </cell>
          <cell r="P90">
            <v>26608.641181245723</v>
          </cell>
          <cell r="Q90">
            <v>21895.847272561801</v>
          </cell>
          <cell r="R90">
            <v>11922.21192241363</v>
          </cell>
        </row>
        <row r="91">
          <cell r="N91">
            <v>20457.206866750312</v>
          </cell>
          <cell r="O91">
            <v>25779.816315968015</v>
          </cell>
          <cell r="P91">
            <v>28474.475182207443</v>
          </cell>
          <cell r="Q91">
            <v>23278.789359941271</v>
          </cell>
          <cell r="R91">
            <v>12688.360198157678</v>
          </cell>
        </row>
        <row r="92">
          <cell r="N92">
            <v>21928.793016674885</v>
          </cell>
          <cell r="O92">
            <v>27589.567920062011</v>
          </cell>
          <cell r="P92">
            <v>30266.835190952177</v>
          </cell>
          <cell r="Q92">
            <v>24752.029774993443</v>
          </cell>
          <cell r="R92">
            <v>13453.791228621709</v>
          </cell>
        </row>
        <row r="93">
          <cell r="N93">
            <v>23506</v>
          </cell>
          <cell r="O93">
            <v>29354.803800000002</v>
          </cell>
          <cell r="P93">
            <v>32225.192999999999</v>
          </cell>
          <cell r="Q93">
            <v>26253.340400000001</v>
          </cell>
          <cell r="R93">
            <v>14263.543000000001</v>
          </cell>
        </row>
        <row r="94">
          <cell r="N94">
            <v>25196.408589654777</v>
          </cell>
          <cell r="O94">
            <v>31465.822794773703</v>
          </cell>
          <cell r="P94">
            <v>34437.958287128611</v>
          </cell>
          <cell r="Q94">
            <v>28079.261155920252</v>
          </cell>
          <cell r="R94">
            <v>15232.872236484771</v>
          </cell>
        </row>
        <row r="95">
          <cell r="N95">
            <v>27008.143656890144</v>
          </cell>
          <cell r="O95">
            <v>33653.614830379513</v>
          </cell>
          <cell r="P95">
            <v>36866.116091655043</v>
          </cell>
          <cell r="Q95">
            <v>30031.764052634771</v>
          </cell>
          <cell r="R95">
            <v>16237.472106589683</v>
          </cell>
        </row>
        <row r="96">
          <cell r="N96">
            <v>28949.913223099466</v>
          </cell>
          <cell r="O96">
            <v>36068.948623035481</v>
          </cell>
          <cell r="P96">
            <v>39465.088117074862</v>
          </cell>
          <cell r="Q96">
            <v>32087.20273216796</v>
          </cell>
          <cell r="R96">
            <v>17340.054001727131</v>
          </cell>
        </row>
        <row r="97">
          <cell r="N97">
            <v>31031.050314523203</v>
          </cell>
          <cell r="O97">
            <v>38612.138282776315</v>
          </cell>
          <cell r="P97">
            <v>42228.469902908837</v>
          </cell>
          <cell r="Q97">
            <v>34268.803120818542</v>
          </cell>
          <cell r="R97">
            <v>18503.208173304902</v>
          </cell>
        </row>
        <row r="98">
          <cell r="N98">
            <v>33261.557821011134</v>
          </cell>
          <cell r="O98">
            <v>41416.641029113518</v>
          </cell>
          <cell r="P98">
            <v>45132.246268658033</v>
          </cell>
          <cell r="Q98">
            <v>36605.428998038653</v>
          </cell>
          <cell r="R98">
            <v>19863.00694562952</v>
          </cell>
        </row>
        <row r="99">
          <cell r="N99">
            <v>35652.156574452893</v>
          </cell>
          <cell r="O99">
            <v>44289.511542119748</v>
          </cell>
          <cell r="P99">
            <v>48227.912273273716</v>
          </cell>
          <cell r="Q99">
            <v>39212.411931853043</v>
          </cell>
          <cell r="R99">
            <v>21306.581320463309</v>
          </cell>
        </row>
        <row r="100">
          <cell r="N100">
            <v>38214.336877964088</v>
          </cell>
          <cell r="O100">
            <v>47416.764571404769</v>
          </cell>
          <cell r="P100">
            <v>51807.259580101301</v>
          </cell>
          <cell r="Q100">
            <v>42210.144246427553</v>
          </cell>
          <cell r="R100">
            <v>23000.378620392712</v>
          </cell>
        </row>
        <row r="101">
          <cell r="N101">
            <v>40960.413733500631</v>
          </cell>
          <cell r="O101">
            <v>50943.446048509235</v>
          </cell>
          <cell r="P101">
            <v>55781.316132324064</v>
          </cell>
          <cell r="Q101">
            <v>45518.506382640116</v>
          </cell>
          <cell r="R101">
            <v>24799.927716836362</v>
          </cell>
        </row>
        <row r="102">
          <cell r="N102">
            <v>43903.586033349777</v>
          </cell>
          <cell r="O102">
            <v>54706.25426201216</v>
          </cell>
          <cell r="P102">
            <v>59937.080210150787</v>
          </cell>
          <cell r="Q102">
            <v>48966.146715886673</v>
          </cell>
          <cell r="R102">
            <v>26532.750448941599</v>
          </cell>
        </row>
        <row r="103">
          <cell r="N103">
            <v>47058</v>
          </cell>
          <cell r="O103">
            <v>58650.533700000007</v>
          </cell>
          <cell r="P103">
            <v>64308.644399999997</v>
          </cell>
          <cell r="Q103">
            <v>52347.319199999998</v>
          </cell>
          <cell r="R103">
            <v>28302.113400000002</v>
          </cell>
        </row>
        <row r="104">
          <cell r="N104">
            <v>50438.81717930951</v>
          </cell>
          <cell r="O104">
            <v>62922.972679201433</v>
          </cell>
          <cell r="P104">
            <v>68819.051108257583</v>
          </cell>
          <cell r="Q104">
            <v>55825.792503662335</v>
          </cell>
          <cell r="R104">
            <v>30222.500655432003</v>
          </cell>
        </row>
        <row r="105">
          <cell r="N105">
            <v>54062.287313780289</v>
          </cell>
          <cell r="O105">
            <v>67285.805264019393</v>
          </cell>
          <cell r="P105">
            <v>73367.224953261932</v>
          </cell>
          <cell r="Q105">
            <v>59533.625843357957</v>
          </cell>
          <cell r="R105">
            <v>32296.810441252339</v>
          </cell>
        </row>
        <row r="106">
          <cell r="N106">
            <v>57945.826446198938</v>
          </cell>
          <cell r="O106">
            <v>71916.691171565428</v>
          </cell>
          <cell r="P106">
            <v>78396.798136881436</v>
          </cell>
          <cell r="Q106">
            <v>63758.296715504403</v>
          </cell>
          <cell r="R106">
            <v>34590.887066246381</v>
          </cell>
        </row>
        <row r="107">
          <cell r="N107">
            <v>62108.100629046407</v>
          </cell>
          <cell r="O107">
            <v>77100.591068068024</v>
          </cell>
          <cell r="P107">
            <v>84212.373642924023</v>
          </cell>
          <cell r="Q107">
            <v>68504.96495861806</v>
          </cell>
          <cell r="R107">
            <v>37131.192943465336</v>
          </cell>
        </row>
        <row r="108">
          <cell r="N108">
            <v>66569.115642022269</v>
          </cell>
          <cell r="O108">
            <v>82735.42537568738</v>
          </cell>
          <cell r="P108">
            <v>90379.585867954564</v>
          </cell>
          <cell r="Q108">
            <v>73499.973588638299</v>
          </cell>
          <cell r="R108">
            <v>39798.201071114236</v>
          </cell>
        </row>
        <row r="109">
          <cell r="N109">
            <v>71350.313148905741</v>
          </cell>
          <cell r="O109">
            <v>88740.090666434582</v>
          </cell>
          <cell r="P109">
            <v>96885.039131134996</v>
          </cell>
          <cell r="Q109">
            <v>78731.037716030813</v>
          </cell>
          <cell r="R109">
            <v>42496.866948993898</v>
          </cell>
        </row>
        <row r="110">
          <cell r="N110">
            <v>76474.673755928176</v>
          </cell>
          <cell r="O110">
            <v>95068.825682519018</v>
          </cell>
          <cell r="P110">
            <v>103888.68305664834</v>
          </cell>
          <cell r="Q110">
            <v>84060.13014606238</v>
          </cell>
          <cell r="R110">
            <v>45343.496562797547</v>
          </cell>
        </row>
        <row r="111">
          <cell r="N111">
            <v>81966.827467001276</v>
          </cell>
          <cell r="O111">
            <v>101896.34881058118</v>
          </cell>
          <cell r="P111">
            <v>110846.94818122237</v>
          </cell>
          <cell r="Q111">
            <v>89785.037297310293</v>
          </cell>
          <cell r="R111">
            <v>48526.500125529114</v>
          </cell>
        </row>
        <row r="112">
          <cell r="N112">
            <v>87853.172066699568</v>
          </cell>
          <cell r="O112">
            <v>108855.61876018409</v>
          </cell>
          <cell r="P112">
            <v>118442.30968422769</v>
          </cell>
          <cell r="Q112">
            <v>95977.107675832609</v>
          </cell>
          <cell r="R112">
            <v>51972.026743092792</v>
          </cell>
        </row>
        <row r="113">
          <cell r="N113">
            <v>94162</v>
          </cell>
          <cell r="O113">
            <v>116672.65430000001</v>
          </cell>
          <cell r="P113">
            <v>127152.68019999999</v>
          </cell>
          <cell r="Q113">
            <v>103143.41720000001</v>
          </cell>
          <cell r="R113">
            <v>55830.696799999991</v>
          </cell>
        </row>
        <row r="114">
          <cell r="N114">
            <v>100923.63435861902</v>
          </cell>
          <cell r="O114">
            <v>125227.14250820011</v>
          </cell>
          <cell r="P114">
            <v>136542.87591185258</v>
          </cell>
          <cell r="Q114">
            <v>110888.96565471216</v>
          </cell>
          <cell r="R114">
            <v>60065.79798455775</v>
          </cell>
        </row>
        <row r="115">
          <cell r="N115">
            <v>108170.57462756058</v>
          </cell>
          <cell r="O115">
            <v>134313.75644108024</v>
          </cell>
          <cell r="P115">
            <v>146454.49252248529</v>
          </cell>
          <cell r="Q115">
            <v>118996.80307381767</v>
          </cell>
          <cell r="R115">
            <v>64185.126836071002</v>
          </cell>
        </row>
        <row r="116">
          <cell r="N116">
            <v>115937.65289239788</v>
          </cell>
          <cell r="O116">
            <v>144025.56561258808</v>
          </cell>
          <cell r="P116">
            <v>157131.05708019441</v>
          </cell>
          <cell r="Q116">
            <v>127281.6481511673</v>
          </cell>
          <cell r="R116">
            <v>68560.235114671188</v>
          </cell>
        </row>
        <row r="117">
          <cell r="N117">
            <v>124262.20125809284</v>
          </cell>
          <cell r="O117">
            <v>154403.07871412375</v>
          </cell>
          <cell r="P117">
            <v>168020.05489024971</v>
          </cell>
          <cell r="Q117">
            <v>135892.06275496984</v>
          </cell>
          <cell r="R117">
            <v>73232.577635356385</v>
          </cell>
        </row>
        <row r="118">
          <cell r="N118">
            <v>133184.23128404454</v>
          </cell>
          <cell r="O118">
            <v>165023.65895812085</v>
          </cell>
          <cell r="P118">
            <v>179267.13343207428</v>
          </cell>
          <cell r="Q118">
            <v>144933.39673079786</v>
          </cell>
          <cell r="R118">
            <v>78162.640500292429</v>
          </cell>
        </row>
        <row r="119">
          <cell r="N119">
            <v>142746.62629781148</v>
          </cell>
          <cell r="O119">
            <v>176664.15566242993</v>
          </cell>
          <cell r="P119">
            <v>191912.2882198116</v>
          </cell>
          <cell r="Q119">
            <v>155435.24978192279</v>
          </cell>
          <cell r="R119">
            <v>83774.581467904514</v>
          </cell>
        </row>
        <row r="120">
          <cell r="N120">
            <v>152995.34751185621</v>
          </cell>
          <cell r="O120">
            <v>189392.60808634528</v>
          </cell>
          <cell r="P120">
            <v>205902.80167436381</v>
          </cell>
          <cell r="Q120">
            <v>166663.48622055128</v>
          </cell>
          <cell r="R120">
            <v>89926.341485908968</v>
          </cell>
        </row>
        <row r="121">
          <cell r="N121">
            <v>163979.6549340027</v>
          </cell>
          <cell r="O121">
            <v>203037.82635172849</v>
          </cell>
          <cell r="P121">
            <v>220782.92035816269</v>
          </cell>
          <cell r="Q121">
            <v>178959.55288973456</v>
          </cell>
          <cell r="R121">
            <v>96419.324146172134</v>
          </cell>
        </row>
        <row r="122">
          <cell r="N122">
            <v>175752.34413339914</v>
          </cell>
          <cell r="O122">
            <v>217768.23442036819</v>
          </cell>
          <cell r="P122">
            <v>237016.17266548204</v>
          </cell>
          <cell r="Q122">
            <v>191925.76256711851</v>
          </cell>
          <cell r="R122">
            <v>103026.78827162522</v>
          </cell>
        </row>
        <row r="123">
          <cell r="N123">
            <v>188370</v>
          </cell>
          <cell r="O123">
            <v>233566.92449999999</v>
          </cell>
          <cell r="P123">
            <v>254069.361</v>
          </cell>
          <cell r="Q123">
            <v>204818.796</v>
          </cell>
          <cell r="R123">
            <v>110001.52799999999</v>
          </cell>
        </row>
        <row r="124">
          <cell r="N124">
            <v>201893.26871723824</v>
          </cell>
          <cell r="O124">
            <v>250011.4570271202</v>
          </cell>
          <cell r="P124">
            <v>271071.11944637942</v>
          </cell>
          <cell r="Q124">
            <v>218573.6027989744</v>
          </cell>
          <cell r="R124">
            <v>117763.02694753431</v>
          </cell>
        </row>
        <row r="125">
          <cell r="N125">
            <v>216387.14925512118</v>
          </cell>
          <cell r="O125">
            <v>267297.87099954294</v>
          </cell>
          <cell r="P125">
            <v>289717.93169660447</v>
          </cell>
          <cell r="Q125">
            <v>233925.79810909499</v>
          </cell>
          <cell r="R125">
            <v>126071.85722449567</v>
          </cell>
        </row>
        <row r="126">
          <cell r="N126">
            <v>231921.30578479578</v>
          </cell>
          <cell r="O126">
            <v>286486.84309168946</v>
          </cell>
          <cell r="P126">
            <v>311204.61252083164</v>
          </cell>
          <cell r="Q126">
            <v>251601.8452876425</v>
          </cell>
          <cell r="R126">
            <v>135589.76636657064</v>
          </cell>
        </row>
        <row r="127">
          <cell r="N127">
            <v>248570.40251618548</v>
          </cell>
          <cell r="O127">
            <v>307632.35126535187</v>
          </cell>
          <cell r="P127">
            <v>334086.18616791681</v>
          </cell>
          <cell r="Q127">
            <v>270276.00236025098</v>
          </cell>
          <cell r="R127">
            <v>145824.36700656047</v>
          </cell>
        </row>
        <row r="128">
          <cell r="N128">
            <v>266414.46256808913</v>
          </cell>
          <cell r="O128">
            <v>329561.0609773529</v>
          </cell>
          <cell r="P128">
            <v>358543.47953351011</v>
          </cell>
          <cell r="Q128">
            <v>290095.8124810165</v>
          </cell>
          <cell r="R128">
            <v>155517.12587662143</v>
          </cell>
        </row>
        <row r="129">
          <cell r="N129">
            <v>285539.25259562297</v>
          </cell>
          <cell r="O129">
            <v>353717.95652788441</v>
          </cell>
          <cell r="P129">
            <v>384564.26539578498</v>
          </cell>
          <cell r="Q129">
            <v>309705.805165303</v>
          </cell>
          <cell r="R129">
            <v>165849.88823261682</v>
          </cell>
        </row>
        <row r="130">
          <cell r="N130">
            <v>306036.69502371247</v>
          </cell>
          <cell r="O130">
            <v>379109.60893225478</v>
          </cell>
          <cell r="P130">
            <v>410293.41756084486</v>
          </cell>
          <cell r="Q130">
            <v>329950.8015511632</v>
          </cell>
          <cell r="R130">
            <v>177138.69615986643</v>
          </cell>
        </row>
        <row r="131">
          <cell r="N131">
            <v>328005.30986800481</v>
          </cell>
          <cell r="O131">
            <v>404412.72069171362</v>
          </cell>
          <cell r="P131">
            <v>437345.16685748287</v>
          </cell>
          <cell r="Q131">
            <v>352167.17926991213</v>
          </cell>
          <cell r="R131">
            <v>189413.79673349392</v>
          </cell>
        </row>
        <row r="132">
          <cell r="N132">
            <v>351550.68826679827</v>
          </cell>
          <cell r="O132">
            <v>433442.89261729561</v>
          </cell>
          <cell r="P132">
            <v>469504.35082720249</v>
          </cell>
          <cell r="Q132">
            <v>378706.45045415516</v>
          </cell>
          <cell r="R132">
            <v>203482.88805320952</v>
          </cell>
        </row>
        <row r="133">
          <cell r="N133">
            <v>376786</v>
          </cell>
          <cell r="O133">
            <v>465105.45750000002</v>
          </cell>
          <cell r="P133">
            <v>504324.78460000001</v>
          </cell>
          <cell r="Q133">
            <v>406987.85519999999</v>
          </cell>
          <cell r="R133">
            <v>218848.77620000002</v>
          </cell>
        </row>
        <row r="134">
          <cell r="N134">
            <v>403832.53743447649</v>
          </cell>
          <cell r="O134">
            <v>498727.03845383495</v>
          </cell>
          <cell r="P134">
            <v>541005.67143276311</v>
          </cell>
          <cell r="Q134">
            <v>437197.00609794882</v>
          </cell>
          <cell r="R134">
            <v>234377.38155240606</v>
          </cell>
        </row>
        <row r="135">
          <cell r="N135">
            <v>432820.29851024237</v>
          </cell>
          <cell r="O135">
            <v>534904.72956865281</v>
          </cell>
          <cell r="P135">
            <v>581124.29196739208</v>
          </cell>
          <cell r="Q135">
            <v>468095.15283882717</v>
          </cell>
          <cell r="R135">
            <v>250426.06106325664</v>
          </cell>
        </row>
        <row r="136">
          <cell r="N136">
            <v>463888.61156959157</v>
          </cell>
          <cell r="O136">
            <v>573706.17273066507</v>
          </cell>
          <cell r="P136">
            <v>621277.94984712673</v>
          </cell>
          <cell r="Q136">
            <v>499306.50706292992</v>
          </cell>
          <cell r="R136">
            <v>267363.20973163756</v>
          </cell>
        </row>
        <row r="137">
          <cell r="N137">
            <v>497186.80503237102</v>
          </cell>
          <cell r="O137">
            <v>613149.14226088859</v>
          </cell>
          <cell r="P137">
            <v>662824.58912890544</v>
          </cell>
          <cell r="Q137">
            <v>533031.81199344399</v>
          </cell>
          <cell r="R137">
            <v>285886.73625713534</v>
          </cell>
        </row>
        <row r="138">
          <cell r="N138">
            <v>532874.92513617827</v>
          </cell>
          <cell r="O138">
            <v>656384.90696899174</v>
          </cell>
          <cell r="P138">
            <v>709453.45739380363</v>
          </cell>
          <cell r="Q138">
            <v>571531.52568355715</v>
          </cell>
          <cell r="R138">
            <v>306884.98623342562</v>
          </cell>
        </row>
        <row r="139">
          <cell r="N139">
            <v>571124.50519124593</v>
          </cell>
          <cell r="O139">
            <v>703999.10447401193</v>
          </cell>
          <cell r="P139">
            <v>762976.40066008712</v>
          </cell>
          <cell r="Q139">
            <v>614601.97893643519</v>
          </cell>
          <cell r="R139">
            <v>330064.0257251226</v>
          </cell>
        </row>
        <row r="140">
          <cell r="N140">
            <v>612119.39004742505</v>
          </cell>
          <cell r="O140">
            <v>755423.19272915821</v>
          </cell>
          <cell r="P140">
            <v>818589.92169907386</v>
          </cell>
          <cell r="Q140">
            <v>659951.19760232652</v>
          </cell>
          <cell r="R140">
            <v>354166.95630413538</v>
          </cell>
        </row>
        <row r="141">
          <cell r="N141">
            <v>656056.61973600974</v>
          </cell>
          <cell r="O141">
            <v>809646.60546642425</v>
          </cell>
          <cell r="P141">
            <v>877996.29556257313</v>
          </cell>
          <cell r="Q141">
            <v>707762.43863146473</v>
          </cell>
          <cell r="R141">
            <v>378119.65899489215</v>
          </cell>
        </row>
        <row r="142">
          <cell r="N142">
            <v>703147.37653359666</v>
          </cell>
          <cell r="O142">
            <v>868171.48006227182</v>
          </cell>
          <cell r="P142">
            <v>941156.64916520589</v>
          </cell>
          <cell r="Q142">
            <v>755573.12777918961</v>
          </cell>
          <cell r="R142">
            <v>403843.52422455128</v>
          </cell>
        </row>
        <row r="143">
          <cell r="N143">
            <v>753618</v>
          </cell>
          <cell r="O143">
            <v>930048.16530000011</v>
          </cell>
          <cell r="P143">
            <v>1004387.6661</v>
          </cell>
          <cell r="Q143">
            <v>806263.13219999999</v>
          </cell>
          <cell r="R143">
            <v>431818.19910000003</v>
          </cell>
        </row>
        <row r="144">
          <cell r="N144">
            <v>807711.07486895169</v>
          </cell>
          <cell r="O144">
            <v>994216.82973711565</v>
          </cell>
          <cell r="P144">
            <v>1072805.3614282238</v>
          </cell>
          <cell r="Q144">
            <v>863230.67590434593</v>
          </cell>
          <cell r="R144">
            <v>462451.46412893618</v>
          </cell>
        </row>
        <row r="145">
          <cell r="N145">
            <v>865686.59702048497</v>
          </cell>
          <cell r="O145">
            <v>1065579.2780546695</v>
          </cell>
          <cell r="P145">
            <v>1152720.0436817054</v>
          </cell>
          <cell r="Q145">
            <v>927323.48272834357</v>
          </cell>
          <cell r="R145">
            <v>496808.12839313212</v>
          </cell>
        </row>
        <row r="146">
          <cell r="N146">
            <v>927823.22313918336</v>
          </cell>
          <cell r="O146">
            <v>1143415.0510776134</v>
          </cell>
          <cell r="P146">
            <v>1237111.0775656232</v>
          </cell>
          <cell r="Q146">
            <v>995961.75384372217</v>
          </cell>
          <cell r="R146">
            <v>534129.6764981664</v>
          </cell>
        </row>
        <row r="147">
          <cell r="N147">
            <v>994419.61006474204</v>
          </cell>
          <cell r="O147">
            <v>1225485.977153851</v>
          </cell>
          <cell r="P147">
            <v>1327284.2802798264</v>
          </cell>
          <cell r="Q147">
            <v>1069230.2296862649</v>
          </cell>
          <cell r="R147">
            <v>571354.59587150253</v>
          </cell>
        </row>
        <row r="148">
          <cell r="N148">
            <v>1065795.8502723568</v>
          </cell>
          <cell r="O148">
            <v>1315310.2435586185</v>
          </cell>
          <cell r="P148">
            <v>1424239.2133514546</v>
          </cell>
          <cell r="Q148">
            <v>1143828.3251447973</v>
          </cell>
          <cell r="R148">
            <v>610455.42577099777</v>
          </cell>
        </row>
        <row r="149">
          <cell r="N149">
            <v>1142295.0103824921</v>
          </cell>
          <cell r="O149">
            <v>1409385.933060122</v>
          </cell>
          <cell r="P149">
            <v>1521494.7385790958</v>
          </cell>
          <cell r="Q149">
            <v>1220301.3433415035</v>
          </cell>
          <cell r="R149">
            <v>651458.29417120293</v>
          </cell>
        </row>
        <row r="150">
          <cell r="N150">
            <v>1224284.7800948501</v>
          </cell>
          <cell r="O150">
            <v>1505553.5623670323</v>
          </cell>
          <cell r="P150">
            <v>1623194.0222908854</v>
          </cell>
          <cell r="Q150">
            <v>1301036.7898521877</v>
          </cell>
          <cell r="R150">
            <v>695750.39457329374</v>
          </cell>
        </row>
        <row r="151">
          <cell r="N151">
            <v>1312159.2394720195</v>
          </cell>
          <cell r="O151">
            <v>1613616.414660373</v>
          </cell>
          <cell r="P151">
            <v>1740738.9722844393</v>
          </cell>
          <cell r="Q151">
            <v>1397358.3093949549</v>
          </cell>
          <cell r="R151">
            <v>745982.49528044381</v>
          </cell>
        </row>
        <row r="152">
          <cell r="N152">
            <v>1406340.7530671936</v>
          </cell>
          <cell r="O152">
            <v>1729844.985210248</v>
          </cell>
          <cell r="P152">
            <v>1867351.4809726463</v>
          </cell>
          <cell r="Q152">
            <v>1498599.763730908</v>
          </cell>
          <cell r="R152">
            <v>800155.91503261973</v>
          </cell>
        </row>
        <row r="153">
          <cell r="N153">
            <v>1507282</v>
          </cell>
          <cell r="O153">
            <v>1854006.0105000001</v>
          </cell>
          <cell r="P153">
            <v>2001680.3260999999</v>
          </cell>
          <cell r="Q153">
            <v>1607175.4762000002</v>
          </cell>
          <cell r="R153">
            <v>860625.25500000012</v>
          </cell>
        </row>
        <row r="154">
          <cell r="N154">
            <v>1615468.1497379036</v>
          </cell>
          <cell r="O154">
            <v>1988019.6882784385</v>
          </cell>
          <cell r="P154">
            <v>2146950.1472271094</v>
          </cell>
          <cell r="Q154">
            <v>1730851.2063892924</v>
          </cell>
          <cell r="R154">
            <v>936866.17022952298</v>
          </cell>
        </row>
        <row r="155">
          <cell r="N155">
            <v>1731419.1940409699</v>
          </cell>
          <cell r="O155">
            <v>2130206.4379310715</v>
          </cell>
          <cell r="P155">
            <v>2313721.8166803354</v>
          </cell>
          <cell r="Q155">
            <v>1880283.6051807969</v>
          </cell>
          <cell r="R155">
            <v>1453827.5297789667</v>
          </cell>
        </row>
        <row r="156">
          <cell r="N156">
            <v>1855692.4462783667</v>
          </cell>
          <cell r="O156">
            <v>2300130.7871620352</v>
          </cell>
          <cell r="P156">
            <v>2507322.8829030287</v>
          </cell>
          <cell r="Q156">
            <v>2493082.4604348489</v>
          </cell>
          <cell r="R156">
            <v>2493082.4604348489</v>
          </cell>
        </row>
        <row r="157">
          <cell r="N157">
            <v>1988885.2201294843</v>
          </cell>
          <cell r="O157">
            <v>2476810.6485895114</v>
          </cell>
          <cell r="P157">
            <v>3088609.0369554288</v>
          </cell>
          <cell r="Q157">
            <v>3518165.0078681773</v>
          </cell>
          <cell r="R157">
            <v>3518165.0078681773</v>
          </cell>
        </row>
        <row r="158">
          <cell r="N158">
            <v>2131637.700544714</v>
          </cell>
          <cell r="O158">
            <v>2953263.5502346703</v>
          </cell>
          <cell r="P158">
            <v>4040667.5492225429</v>
          </cell>
          <cell r="Q158">
            <v>4573502.8304387024</v>
          </cell>
          <cell r="R158">
            <v>4587821.8749923613</v>
          </cell>
        </row>
        <row r="159">
          <cell r="N159">
            <v>2284636.0207649847</v>
          </cell>
          <cell r="O159">
            <v>3327622.0302446513</v>
          </cell>
          <cell r="P159">
            <v>4564802.1014893418</v>
          </cell>
          <cell r="Q159">
            <v>5166754.0269604633</v>
          </cell>
          <cell r="R159">
            <v>5182100.82109995</v>
          </cell>
        </row>
        <row r="160">
          <cell r="N160">
            <v>2448615.5601897002</v>
          </cell>
          <cell r="O160">
            <v>3566461.794189346</v>
          </cell>
          <cell r="P160">
            <v>4892440.3508051168</v>
          </cell>
          <cell r="Q160">
            <v>5537597.3201420549</v>
          </cell>
          <cell r="R160">
            <v>5537597.3201420549</v>
          </cell>
        </row>
        <row r="161">
          <cell r="N161">
            <v>2624364.4789440394</v>
          </cell>
          <cell r="O161">
            <v>3822443.9149837093</v>
          </cell>
          <cell r="P161">
            <v>5243594.3317336226</v>
          </cell>
          <cell r="Q161">
            <v>5935057.3205336612</v>
          </cell>
          <cell r="R161">
            <v>5935057.3205336612</v>
          </cell>
        </row>
        <row r="162">
          <cell r="N162">
            <v>2812727.5061343871</v>
          </cell>
          <cell r="O162">
            <v>4096798.758934868</v>
          </cell>
          <cell r="P162">
            <v>5619951.8497567717</v>
          </cell>
          <cell r="Q162">
            <v>6361044.4013730492</v>
          </cell>
          <cell r="R162">
            <v>6361044.4013730492</v>
          </cell>
        </row>
        <row r="163">
          <cell r="N163">
            <v>3014610</v>
          </cell>
          <cell r="O163">
            <v>4390845</v>
          </cell>
          <cell r="P163">
            <v>6023321.8500000006</v>
          </cell>
          <cell r="Q163">
            <v>6817606.0500000007</v>
          </cell>
          <cell r="R163">
            <v>6817606.0500000007</v>
          </cell>
        </row>
      </sheetData>
      <sheetData sheetId="11">
        <row r="6">
          <cell r="H6">
            <v>15</v>
          </cell>
          <cell r="I6">
            <v>24</v>
          </cell>
          <cell r="J6">
            <v>41.303030303030305</v>
          </cell>
          <cell r="K6">
            <v>131.62222222222223</v>
          </cell>
          <cell r="L6">
            <v>131.62222222222223</v>
          </cell>
          <cell r="U6">
            <v>9.6563133424753585E-3</v>
          </cell>
          <cell r="V6">
            <v>9.6215223942175254E-3</v>
          </cell>
          <cell r="W6">
            <v>9.6040441736902887E-3</v>
          </cell>
          <cell r="X6">
            <v>1.4552770363116594E-2</v>
          </cell>
          <cell r="Y6">
            <v>1.4552288901694087E-2</v>
          </cell>
          <cell r="Z6">
            <v>1.4551224502069663E-2</v>
          </cell>
          <cell r="AA6">
            <v>1.4547248364456733E-2</v>
          </cell>
          <cell r="AB6">
            <v>1.454524079337809E-2</v>
          </cell>
          <cell r="AF6">
            <v>30.913636018605509</v>
          </cell>
          <cell r="AG6">
            <v>1</v>
          </cell>
          <cell r="AH6">
            <v>3.2348184451616933E-2</v>
          </cell>
          <cell r="AI6">
            <v>3.2348184451616933E-2</v>
          </cell>
          <cell r="AJ6">
            <v>3.2348184451616933E-2</v>
          </cell>
          <cell r="AK6">
            <v>3.2348184451616933E-2</v>
          </cell>
          <cell r="AL6">
            <v>3.2348184451616933E-2</v>
          </cell>
          <cell r="AO6">
            <v>0.15643808148819094</v>
          </cell>
          <cell r="AP6">
            <v>1</v>
          </cell>
          <cell r="AQ6">
            <v>3.0487804878048782E-3</v>
          </cell>
          <cell r="AR6">
            <v>3.0487804878048782E-3</v>
          </cell>
          <cell r="AS6">
            <v>3.0487804878048782E-3</v>
          </cell>
          <cell r="AT6">
            <v>3.0487804878048782E-3</v>
          </cell>
          <cell r="AU6">
            <v>3.0487804878048782E-3</v>
          </cell>
          <cell r="AY6">
            <v>1</v>
          </cell>
          <cell r="AZ6">
            <v>3.7499999999999999E-2</v>
          </cell>
          <cell r="BA6">
            <v>3.7499999999999999E-2</v>
          </cell>
          <cell r="BB6">
            <v>3.7499999999999999E-2</v>
          </cell>
          <cell r="BC6">
            <v>6.5811111111111112E-2</v>
          </cell>
          <cell r="BD6">
            <v>6.5811111111111112E-2</v>
          </cell>
        </row>
        <row r="7">
          <cell r="U7">
            <v>4.6597325662776279E-3</v>
          </cell>
          <cell r="V7">
            <v>4.6234219918369172E-3</v>
          </cell>
          <cell r="W7">
            <v>4.6040552194140487E-3</v>
          </cell>
          <cell r="X7">
            <v>7.0593018684573907E-3</v>
          </cell>
          <cell r="Y7">
            <v>7.0587757825874018E-3</v>
          </cell>
          <cell r="Z7">
            <v>7.0576396012214469E-3</v>
          </cell>
          <cell r="AA7">
            <v>7.0534309941251462E-3</v>
          </cell>
          <cell r="AB7">
            <v>7.05116121212315E-3</v>
          </cell>
          <cell r="AF7">
            <v>31.855096396360789</v>
          </cell>
          <cell r="AG7">
            <v>2</v>
          </cell>
          <cell r="AH7">
            <v>3.1392151119474958E-2</v>
          </cell>
          <cell r="AI7">
            <v>3.1392151119474958E-2</v>
          </cell>
          <cell r="AJ7">
            <v>3.1392151119474958E-2</v>
          </cell>
          <cell r="AK7">
            <v>3.1392151119474958E-2</v>
          </cell>
          <cell r="AL7">
            <v>3.1392151119474958E-2</v>
          </cell>
          <cell r="AO7">
            <v>0.13867074544392194</v>
          </cell>
          <cell r="AP7">
            <v>2</v>
          </cell>
          <cell r="AQ7">
            <v>2.976190476190476E-3</v>
          </cell>
          <cell r="AR7">
            <v>2.976190476190476E-3</v>
          </cell>
          <cell r="AS7">
            <v>2.976190476190476E-3</v>
          </cell>
          <cell r="AT7">
            <v>2.976190476190476E-3</v>
          </cell>
          <cell r="AU7">
            <v>2.976190476190476E-3</v>
          </cell>
          <cell r="AY7">
            <v>2</v>
          </cell>
          <cell r="AZ7">
            <v>3.125E-2</v>
          </cell>
          <cell r="BA7">
            <v>3.125E-2</v>
          </cell>
          <cell r="BB7">
            <v>3.125E-2</v>
          </cell>
          <cell r="BC7">
            <v>5.4842592592592596E-2</v>
          </cell>
          <cell r="BD7">
            <v>5.4842592592592596E-2</v>
          </cell>
        </row>
        <row r="8">
          <cell r="U8">
            <v>2.9965606418941543E-3</v>
          </cell>
          <cell r="V8">
            <v>2.9593843034993335E-3</v>
          </cell>
          <cell r="W8">
            <v>2.9393394997772842E-3</v>
          </cell>
          <cell r="X8">
            <v>4.5657027029479156E-3</v>
          </cell>
          <cell r="Y8">
            <v>4.5651409714035111E-3</v>
          </cell>
          <cell r="Z8">
            <v>4.5639401499815218E-3</v>
          </cell>
          <cell r="AA8">
            <v>4.5595641698712172E-3</v>
          </cell>
          <cell r="AB8">
            <v>4.5571623611576463E-3</v>
          </cell>
          <cell r="AF8">
            <v>32.825228511156311</v>
          </cell>
          <cell r="AG8">
            <v>3</v>
          </cell>
          <cell r="AH8">
            <v>3.0464372842374271E-2</v>
          </cell>
          <cell r="AI8">
            <v>3.0464372842374271E-2</v>
          </cell>
          <cell r="AJ8">
            <v>3.0464372842374271E-2</v>
          </cell>
          <cell r="AK8">
            <v>3.0464372842374271E-2</v>
          </cell>
          <cell r="AL8">
            <v>3.0464372842374271E-2</v>
          </cell>
          <cell r="AO8">
            <v>7.7301236694066633E-2</v>
          </cell>
          <cell r="AP8">
            <v>3</v>
          </cell>
          <cell r="AQ8">
            <v>2.9069767441860465E-3</v>
          </cell>
          <cell r="AR8">
            <v>2.9069767441860465E-3</v>
          </cell>
          <cell r="AS8">
            <v>2.9069767441860465E-3</v>
          </cell>
          <cell r="AT8">
            <v>2.9069767441860465E-3</v>
          </cell>
          <cell r="AU8">
            <v>2.9069767441860465E-3</v>
          </cell>
          <cell r="AY8">
            <v>3</v>
          </cell>
          <cell r="AZ8">
            <v>2.615062761506276E-2</v>
          </cell>
          <cell r="BA8">
            <v>2.615062761506276E-2</v>
          </cell>
          <cell r="BB8">
            <v>2.615062761506276E-2</v>
          </cell>
          <cell r="BC8">
            <v>4.589338292267163E-2</v>
          </cell>
          <cell r="BD8">
            <v>4.589338292267163E-2</v>
          </cell>
        </row>
        <row r="9">
          <cell r="U9">
            <v>2.1669141579560808E-3</v>
          </cell>
          <cell r="V9">
            <v>2.129385870511626E-3</v>
          </cell>
          <cell r="W9">
            <v>2.1085414337760596E-3</v>
          </cell>
          <cell r="X9">
            <v>3.3219757107404574E-3</v>
          </cell>
          <cell r="Y9">
            <v>3.3213895573772629E-3</v>
          </cell>
          <cell r="Z9">
            <v>3.3201427346308374E-3</v>
          </cell>
          <cell r="AA9">
            <v>3.3156515779771321E-3</v>
          </cell>
          <cell r="AB9">
            <v>3.3130934273234427E-3</v>
          </cell>
          <cell r="AF9">
            <v>33.82490554738127</v>
          </cell>
          <cell r="AG9">
            <v>4</v>
          </cell>
          <cell r="AH9">
            <v>2.9564014557238585E-2</v>
          </cell>
          <cell r="AI9">
            <v>2.9564014557238585E-2</v>
          </cell>
          <cell r="AJ9">
            <v>2.9564014557238585E-2</v>
          </cell>
          <cell r="AK9">
            <v>2.9564014557238585E-2</v>
          </cell>
          <cell r="AL9">
            <v>2.9564014557238585E-2</v>
          </cell>
          <cell r="AO9">
            <v>5.4197795043649903E-2</v>
          </cell>
          <cell r="AP9">
            <v>4</v>
          </cell>
          <cell r="AQ9">
            <v>2.840909090909091E-3</v>
          </cell>
          <cell r="AR9">
            <v>2.840909090909091E-3</v>
          </cell>
          <cell r="AS9">
            <v>2.840909090909091E-3</v>
          </cell>
          <cell r="AT9">
            <v>2.840909090909091E-3</v>
          </cell>
          <cell r="AU9">
            <v>2.840909090909091E-3</v>
          </cell>
          <cell r="AY9">
            <v>4</v>
          </cell>
          <cell r="AZ9">
            <v>2.1975317323582152E-2</v>
          </cell>
          <cell r="BA9">
            <v>2.1975317323582152E-2</v>
          </cell>
          <cell r="BB9">
            <v>2.1975317323582152E-2</v>
          </cell>
          <cell r="BC9">
            <v>3.8565868002245068E-2</v>
          </cell>
          <cell r="BD9">
            <v>3.8565868002245068E-2</v>
          </cell>
        </row>
        <row r="10">
          <cell r="U10">
            <v>1.6709846795908742E-3</v>
          </cell>
          <cell r="V10">
            <v>1.6337042858325427E-3</v>
          </cell>
          <cell r="W10">
            <v>1.6145578011259845E-3</v>
          </cell>
          <cell r="X10">
            <v>2.5781236677172741E-3</v>
          </cell>
          <cell r="Y10">
            <v>2.5775363194982595E-3</v>
          </cell>
          <cell r="Z10">
            <v>2.5762735961297814E-3</v>
          </cell>
          <cell r="AA10">
            <v>2.5717349882665307E-3</v>
          </cell>
          <cell r="AB10">
            <v>2.5691336989479992E-3</v>
          </cell>
          <cell r="AF10">
            <v>34.855027281848493</v>
          </cell>
          <cell r="AG10">
            <v>5</v>
          </cell>
          <cell r="AH10">
            <v>2.8690265880835262E-2</v>
          </cell>
          <cell r="AI10">
            <v>2.8690265880835262E-2</v>
          </cell>
          <cell r="AJ10">
            <v>2.8690265880835262E-2</v>
          </cell>
          <cell r="AK10">
            <v>2.8690265880835262E-2</v>
          </cell>
          <cell r="AL10">
            <v>2.8690265880835262E-2</v>
          </cell>
          <cell r="AO10">
            <v>4.9183312938574718E-2</v>
          </cell>
          <cell r="AP10">
            <v>5</v>
          </cell>
          <cell r="AQ10">
            <v>2.7777777777777779E-3</v>
          </cell>
          <cell r="AR10">
            <v>2.7777777777777779E-3</v>
          </cell>
          <cell r="AS10">
            <v>2.7777777777777779E-3</v>
          </cell>
          <cell r="AT10">
            <v>2.7777777777777779E-3</v>
          </cell>
          <cell r="AU10">
            <v>2.7777777777777779E-3</v>
          </cell>
          <cell r="AY10">
            <v>5</v>
          </cell>
          <cell r="AZ10">
            <v>1.8544571581081984E-2</v>
          </cell>
          <cell r="BA10">
            <v>1.8544571581081984E-2</v>
          </cell>
          <cell r="BB10">
            <v>1.8544571581081984E-2</v>
          </cell>
          <cell r="BC10">
            <v>3.2545036288814402E-2</v>
          </cell>
          <cell r="BD10">
            <v>3.2545036288814402E-2</v>
          </cell>
        </row>
        <row r="11">
          <cell r="U11">
            <v>1.5680888437836352E-3</v>
          </cell>
          <cell r="V11">
            <v>1.5260231652219844E-3</v>
          </cell>
          <cell r="W11">
            <v>1.5044817075060969E-3</v>
          </cell>
          <cell r="X11">
            <v>2.4399796486216023E-3</v>
          </cell>
          <cell r="Y11">
            <v>2.4392802489723153E-3</v>
          </cell>
          <cell r="Z11">
            <v>2.4377847654234058E-3</v>
          </cell>
          <cell r="AA11">
            <v>2.4323770722400871E-3</v>
          </cell>
          <cell r="AB11">
            <v>2.4291753285015996E-3</v>
          </cell>
          <cell r="AF11">
            <v>35.916520893654308</v>
          </cell>
          <cell r="AG11">
            <v>6</v>
          </cell>
          <cell r="AH11">
            <v>2.7842340380375731E-2</v>
          </cell>
          <cell r="AI11">
            <v>2.7842340380375731E-2</v>
          </cell>
          <cell r="AJ11">
            <v>2.7842340380375731E-2</v>
          </cell>
          <cell r="AK11">
            <v>2.7842340380375731E-2</v>
          </cell>
          <cell r="AL11">
            <v>2.7842340380375731E-2</v>
          </cell>
          <cell r="AO11">
            <v>4.4913157138743706E-2</v>
          </cell>
          <cell r="AP11">
            <v>6</v>
          </cell>
          <cell r="AQ11">
            <v>2.717391304347826E-3</v>
          </cell>
          <cell r="AR11">
            <v>2.717391304347826E-3</v>
          </cell>
          <cell r="AS11">
            <v>2.717391304347826E-3</v>
          </cell>
          <cell r="AT11">
            <v>2.717391304347826E-3</v>
          </cell>
          <cell r="AU11">
            <v>2.717391304347826E-3</v>
          </cell>
          <cell r="AY11">
            <v>6</v>
          </cell>
          <cell r="AZ11">
            <v>1.5715738628035578E-2</v>
          </cell>
          <cell r="BA11">
            <v>1.5715738628035578E-2</v>
          </cell>
          <cell r="BB11">
            <v>1.5715738628035578E-2</v>
          </cell>
          <cell r="BC11">
            <v>2.7580539227808815E-2</v>
          </cell>
          <cell r="BD11">
            <v>2.7580539227808815E-2</v>
          </cell>
        </row>
        <row r="12">
          <cell r="U12">
            <v>1.4715277578317852E-3</v>
          </cell>
          <cell r="V12">
            <v>1.426300584041122E-3</v>
          </cell>
          <cell r="W12">
            <v>1.4049814887925171E-3</v>
          </cell>
          <cell r="X12">
            <v>2.3105497926199843E-3</v>
          </cell>
          <cell r="Y12">
            <v>2.3097241822025924E-3</v>
          </cell>
          <cell r="Z12">
            <v>2.3079825574655131E-3</v>
          </cell>
          <cell r="AA12">
            <v>2.301775690013374E-3</v>
          </cell>
          <cell r="AB12">
            <v>2.2982361110882935E-3</v>
          </cell>
          <cell r="AF12">
            <v>37.010341798702292</v>
          </cell>
          <cell r="AG12">
            <v>7</v>
          </cell>
          <cell r="AH12">
            <v>2.7019474865672907E-2</v>
          </cell>
          <cell r="AI12">
            <v>2.7019474865672907E-2</v>
          </cell>
          <cell r="AJ12">
            <v>2.7019474865672907E-2</v>
          </cell>
          <cell r="AK12">
            <v>2.7019474865672907E-2</v>
          </cell>
          <cell r="AL12">
            <v>2.7019474865672907E-2</v>
          </cell>
          <cell r="AO12">
            <v>4.1201238560704283E-2</v>
          </cell>
          <cell r="AP12">
            <v>7</v>
          </cell>
          <cell r="AQ12">
            <v>2.6595744680851063E-3</v>
          </cell>
          <cell r="AR12">
            <v>2.6595744680851063E-3</v>
          </cell>
          <cell r="AS12">
            <v>2.6595744680851063E-3</v>
          </cell>
          <cell r="AT12">
            <v>2.6595744680851063E-3</v>
          </cell>
          <cell r="AU12">
            <v>2.6595744680851063E-3</v>
          </cell>
          <cell r="AY12">
            <v>7</v>
          </cell>
          <cell r="AZ12">
            <v>1.3375096704711131E-2</v>
          </cell>
          <cell r="BA12">
            <v>1.3375096704711131E-2</v>
          </cell>
          <cell r="BB12">
            <v>1.3375096704711131E-2</v>
          </cell>
          <cell r="BC12">
            <v>2.3472799342816011E-2</v>
          </cell>
          <cell r="BD12">
            <v>2.3472799342816011E-2</v>
          </cell>
        </row>
        <row r="13">
          <cell r="U13">
            <v>1.3822431654344758E-3</v>
          </cell>
          <cell r="V13">
            <v>1.3362864476960782E-3</v>
          </cell>
          <cell r="W13">
            <v>1.3130112482800935E-3</v>
          </cell>
          <cell r="X13">
            <v>2.1891631689172431E-3</v>
          </cell>
          <cell r="Y13">
            <v>2.1882680107908441E-3</v>
          </cell>
          <cell r="Z13">
            <v>2.1863768884591473E-3</v>
          </cell>
          <cell r="AA13">
            <v>2.1795389954766993E-3</v>
          </cell>
          <cell r="AB13">
            <v>2.1755739770309775E-3</v>
          </cell>
          <cell r="AF13">
            <v>38.137474509642139</v>
          </cell>
          <cell r="AG13">
            <v>8</v>
          </cell>
          <cell r="AH13">
            <v>2.6220928702218448E-2</v>
          </cell>
          <cell r="AI13">
            <v>2.6220928702218448E-2</v>
          </cell>
          <cell r="AJ13">
            <v>2.6220928702218448E-2</v>
          </cell>
          <cell r="AK13">
            <v>2.6220928702218448E-2</v>
          </cell>
          <cell r="AL13">
            <v>2.6220928702218448E-2</v>
          </cell>
          <cell r="AO13">
            <v>3.8139532657772278E-2</v>
          </cell>
          <cell r="AP13">
            <v>8</v>
          </cell>
          <cell r="AQ13">
            <v>2.6041666666666665E-3</v>
          </cell>
          <cell r="AR13">
            <v>2.6041666666666665E-3</v>
          </cell>
          <cell r="AS13">
            <v>2.6041666666666665E-3</v>
          </cell>
          <cell r="AT13">
            <v>2.6041666666666665E-3</v>
          </cell>
          <cell r="AU13">
            <v>2.6041666666666665E-3</v>
          </cell>
          <cell r="AY13">
            <v>8</v>
          </cell>
          <cell r="AZ13">
            <v>1.1431706585223189E-2</v>
          </cell>
          <cell r="BA13">
            <v>1.1431706585223189E-2</v>
          </cell>
          <cell r="BB13">
            <v>1.1431706585223189E-2</v>
          </cell>
          <cell r="BC13">
            <v>2.0062221660526507E-2</v>
          </cell>
          <cell r="BD13">
            <v>2.0062221660526507E-2</v>
          </cell>
        </row>
        <row r="14">
          <cell r="U14">
            <v>1.298255251595168E-3</v>
          </cell>
          <cell r="V14">
            <v>1.2497612019319766E-3</v>
          </cell>
          <cell r="W14">
            <v>1.2242067484802065E-3</v>
          </cell>
          <cell r="X14">
            <v>2.0752116167473259E-3</v>
          </cell>
          <cell r="Y14">
            <v>2.0742232113137712E-3</v>
          </cell>
          <cell r="Z14">
            <v>2.072092722828434E-3</v>
          </cell>
          <cell r="AA14">
            <v>2.0643723354448629E-3</v>
          </cell>
          <cell r="AB14">
            <v>2.0598869295679312E-3</v>
          </cell>
          <cell r="AF14">
            <v>39.298933521997419</v>
          </cell>
          <cell r="AG14">
            <v>9</v>
          </cell>
          <cell r="AH14">
            <v>2.5445983144561774E-2</v>
          </cell>
          <cell r="AI14">
            <v>2.5445983144561774E-2</v>
          </cell>
          <cell r="AJ14">
            <v>2.5445983144561774E-2</v>
          </cell>
          <cell r="AK14">
            <v>2.5445983144561774E-2</v>
          </cell>
          <cell r="AL14">
            <v>2.5445983144561774E-2</v>
          </cell>
          <cell r="AO14">
            <v>3.4130516567073201E-2</v>
          </cell>
          <cell r="AP14">
            <v>9</v>
          </cell>
          <cell r="AQ14">
            <v>2.5510204081632651E-3</v>
          </cell>
          <cell r="AR14">
            <v>2.5510204081632651E-3</v>
          </cell>
          <cell r="AS14">
            <v>2.5510204081632651E-3</v>
          </cell>
          <cell r="AT14">
            <v>2.5510204081632651E-3</v>
          </cell>
          <cell r="AU14">
            <v>2.5510204081632651E-3</v>
          </cell>
          <cell r="AY14">
            <v>9</v>
          </cell>
          <cell r="AZ14">
            <v>9.8126236783031666E-3</v>
          </cell>
          <cell r="BA14">
            <v>9.8126236783031666E-3</v>
          </cell>
          <cell r="BB14">
            <v>9.8126236783031666E-3</v>
          </cell>
          <cell r="BC14">
            <v>1.7220791124915456E-2</v>
          </cell>
          <cell r="BD14">
            <v>1.7220791124915456E-2</v>
          </cell>
        </row>
        <row r="15">
          <cell r="U15">
            <v>1.2198489564228319E-3</v>
          </cell>
          <cell r="V15">
            <v>1.1682918949016689E-3</v>
          </cell>
          <cell r="W15">
            <v>1.1414864596206683E-3</v>
          </cell>
          <cell r="X15">
            <v>1.9681427189096857E-3</v>
          </cell>
          <cell r="Y15">
            <v>1.9670461293595093E-3</v>
          </cell>
          <cell r="Z15">
            <v>1.9646514484512431E-3</v>
          </cell>
          <cell r="AA15">
            <v>1.9560570649438621E-3</v>
          </cell>
          <cell r="AB15">
            <v>1.9509080731612298E-3</v>
          </cell>
          <cell r="AF15">
            <v>40.495764227280098</v>
          </cell>
          <cell r="AG15">
            <v>10</v>
          </cell>
          <cell r="AH15">
            <v>2.4693940689390591E-2</v>
          </cell>
          <cell r="AI15">
            <v>2.4693940689390591E-2</v>
          </cell>
          <cell r="AJ15">
            <v>2.4693940689390591E-2</v>
          </cell>
          <cell r="AK15">
            <v>2.4693940689390591E-2</v>
          </cell>
          <cell r="AL15">
            <v>2.4693940689390591E-2</v>
          </cell>
          <cell r="AO15">
            <v>3.1638732344644475E-2</v>
          </cell>
          <cell r="AP15">
            <v>10</v>
          </cell>
          <cell r="AQ15">
            <v>2.5000000000000001E-3</v>
          </cell>
          <cell r="AR15">
            <v>2.5000000000000001E-3</v>
          </cell>
          <cell r="AS15">
            <v>2.5000000000000001E-3</v>
          </cell>
          <cell r="AT15">
            <v>2.5000000000000001E-3</v>
          </cell>
          <cell r="AU15">
            <v>2.5000000000000001E-3</v>
          </cell>
          <cell r="AY15">
            <v>10</v>
          </cell>
          <cell r="AZ15">
            <v>8.4591583433647997E-3</v>
          </cell>
          <cell r="BA15">
            <v>8.4591583433647997E-3</v>
          </cell>
          <cell r="BB15">
            <v>8.4591583433647997E-3</v>
          </cell>
          <cell r="BC15">
            <v>1.484550959044436E-2</v>
          </cell>
          <cell r="BD15">
            <v>1.484550959044436E-2</v>
          </cell>
        </row>
        <row r="16">
          <cell r="U16">
            <v>1.1546355801328742E-3</v>
          </cell>
          <cell r="V16">
            <v>1.1018071594352961E-3</v>
          </cell>
          <cell r="W16">
            <v>1.0702228523686481E-3</v>
          </cell>
          <cell r="X16">
            <v>1.8747504309621168E-3</v>
          </cell>
          <cell r="Y16">
            <v>1.8735876002471139E-3</v>
          </cell>
          <cell r="Z16">
            <v>1.8709759959439423E-3</v>
          </cell>
          <cell r="AA16">
            <v>1.8618754373335151E-3</v>
          </cell>
          <cell r="AB16">
            <v>1.8555237691999719E-3</v>
          </cell>
          <cell r="AF16">
            <v>41.72904385391341</v>
          </cell>
          <cell r="AG16">
            <v>11</v>
          </cell>
          <cell r="AH16">
            <v>2.396412444773087E-2</v>
          </cell>
          <cell r="AI16">
            <v>2.396412444773087E-2</v>
          </cell>
          <cell r="AJ16">
            <v>2.396412444773087E-2</v>
          </cell>
          <cell r="AK16">
            <v>2.396412444773087E-2</v>
          </cell>
          <cell r="AL16">
            <v>2.396412444773087E-2</v>
          </cell>
          <cell r="AO16">
            <v>2.9494307012591855E-2</v>
          </cell>
          <cell r="AP16">
            <v>11</v>
          </cell>
          <cell r="AQ16">
            <v>2.4509803921568627E-3</v>
          </cell>
          <cell r="AR16">
            <v>2.4509803921568627E-3</v>
          </cell>
          <cell r="AS16">
            <v>2.4509803921568627E-3</v>
          </cell>
          <cell r="AT16">
            <v>2.4509803921568627E-3</v>
          </cell>
          <cell r="AU16">
            <v>2.4509803921568627E-3</v>
          </cell>
          <cell r="AY16">
            <v>11</v>
          </cell>
          <cell r="AZ16">
            <v>7.323946617631861E-3</v>
          </cell>
          <cell r="BA16">
            <v>7.323946617631861E-3</v>
          </cell>
          <cell r="BB16">
            <v>7.323946617631861E-3</v>
          </cell>
          <cell r="BC16">
            <v>1.2853255056661782E-2</v>
          </cell>
          <cell r="BD16">
            <v>1.2853255056661782E-2</v>
          </cell>
        </row>
        <row r="17">
          <cell r="U17">
            <v>1.0938282818711766E-3</v>
          </cell>
          <cell r="V17">
            <v>1.0389274246432737E-3</v>
          </cell>
          <cell r="W17">
            <v>1.0043686813197129E-3</v>
          </cell>
          <cell r="X17">
            <v>1.7863464143981211E-3</v>
          </cell>
          <cell r="Y17">
            <v>1.7851284100882311E-3</v>
          </cell>
          <cell r="Z17">
            <v>1.7823725574705265E-3</v>
          </cell>
          <cell r="AA17">
            <v>1.7725764536904395E-3</v>
          </cell>
          <cell r="AB17">
            <v>1.7651689542392615E-3</v>
          </cell>
          <cell r="AF17">
            <v>42.999882436810204</v>
          </cell>
          <cell r="AG17">
            <v>12</v>
          </cell>
          <cell r="AH17">
            <v>2.3255877535701037E-2</v>
          </cell>
          <cell r="AI17">
            <v>2.3255877535701037E-2</v>
          </cell>
          <cell r="AJ17">
            <v>2.3255877535701037E-2</v>
          </cell>
          <cell r="AK17">
            <v>2.3255877535701037E-2</v>
          </cell>
          <cell r="AL17">
            <v>2.3255877535701037E-2</v>
          </cell>
          <cell r="AO17">
            <v>2.6721082077880178E-2</v>
          </cell>
          <cell r="AP17">
            <v>12</v>
          </cell>
          <cell r="AQ17">
            <v>2.403846153846154E-3</v>
          </cell>
          <cell r="AR17">
            <v>2.403846153846154E-3</v>
          </cell>
          <cell r="AS17">
            <v>2.403846153846154E-3</v>
          </cell>
          <cell r="AT17">
            <v>2.403846153846154E-3</v>
          </cell>
          <cell r="AU17">
            <v>2.403846153846154E-3</v>
          </cell>
          <cell r="AY17">
            <v>12</v>
          </cell>
          <cell r="AZ17">
            <v>6.3686492327233576E-3</v>
          </cell>
          <cell r="BA17">
            <v>6.3686492327233576E-3</v>
          </cell>
          <cell r="BB17">
            <v>6.3686492327233576E-3</v>
          </cell>
          <cell r="BC17">
            <v>1.1176743527531985E-2</v>
          </cell>
          <cell r="BD17">
            <v>1.1176743527531985E-2</v>
          </cell>
        </row>
        <row r="18">
          <cell r="U18">
            <v>1.0362568571900459E-3</v>
          </cell>
          <cell r="V18">
            <v>9.7932167076470334E-4</v>
          </cell>
          <cell r="W18">
            <v>9.4284320852769214E-4</v>
          </cell>
          <cell r="X18">
            <v>1.7026194066510306E-3</v>
          </cell>
          <cell r="Y18">
            <v>1.7013087834974561E-3</v>
          </cell>
          <cell r="Z18">
            <v>1.6984140198070239E-3</v>
          </cell>
          <cell r="AA18">
            <v>1.6879473276549867E-3</v>
          </cell>
          <cell r="AB18">
            <v>1.6794155444712635E-3</v>
          </cell>
          <cell r="AF18">
            <v>44.309423816479281</v>
          </cell>
          <cell r="AG18">
            <v>13</v>
          </cell>
          <cell r="AH18">
            <v>2.2568562483272155E-2</v>
          </cell>
          <cell r="AI18">
            <v>2.2568562483272155E-2</v>
          </cell>
          <cell r="AJ18">
            <v>2.2568562483272155E-2</v>
          </cell>
          <cell r="AK18">
            <v>2.2568562483272155E-2</v>
          </cell>
          <cell r="AL18">
            <v>2.2568562483272155E-2</v>
          </cell>
          <cell r="AO18">
            <v>2.3446662211716245E-2</v>
          </cell>
          <cell r="AP18">
            <v>13</v>
          </cell>
          <cell r="AQ18">
            <v>2.3584905660377358E-3</v>
          </cell>
          <cell r="AR18">
            <v>2.3584905660377358E-3</v>
          </cell>
          <cell r="AS18">
            <v>2.3584905660377358E-3</v>
          </cell>
          <cell r="AT18">
            <v>2.3584905660377358E-3</v>
          </cell>
          <cell r="AU18">
            <v>2.3584905660377358E-3</v>
          </cell>
          <cell r="AY18">
            <v>13</v>
          </cell>
          <cell r="AZ18">
            <v>5.5621390678806618E-3</v>
          </cell>
          <cell r="BA18">
            <v>5.5621390678806618E-3</v>
          </cell>
          <cell r="BB18">
            <v>5.5621390678806618E-3</v>
          </cell>
          <cell r="BC18">
            <v>9.7613480589799004E-3</v>
          </cell>
          <cell r="BD18">
            <v>9.7613480589799004E-3</v>
          </cell>
        </row>
        <row r="19">
          <cell r="U19">
            <v>9.8201863695566429E-4</v>
          </cell>
          <cell r="V19">
            <v>9.2384239821395662E-4</v>
          </cell>
          <cell r="W19">
            <v>8.9025118908861846E-4</v>
          </cell>
          <cell r="X19">
            <v>1.6232810013603661E-3</v>
          </cell>
          <cell r="Y19">
            <v>1.6219216284471451E-3</v>
          </cell>
          <cell r="Z19">
            <v>1.6188985701546602E-3</v>
          </cell>
          <cell r="AA19">
            <v>1.607916389649493E-3</v>
          </cell>
          <cell r="AB19">
            <v>1.5985541286164162E-3</v>
          </cell>
          <cell r="AF19">
            <v>45.658846668559008</v>
          </cell>
          <cell r="AG19">
            <v>14</v>
          </cell>
          <cell r="AH19">
            <v>2.1901560660501897E-2</v>
          </cell>
          <cell r="AI19">
            <v>2.1901560660501897E-2</v>
          </cell>
          <cell r="AJ19">
            <v>2.1901560660501897E-2</v>
          </cell>
          <cell r="AK19">
            <v>2.1901560660501897E-2</v>
          </cell>
          <cell r="AL19">
            <v>2.1901560660501897E-2</v>
          </cell>
          <cell r="AO19">
            <v>1.8280922415443268E-2</v>
          </cell>
          <cell r="AP19">
            <v>14</v>
          </cell>
          <cell r="AQ19">
            <v>2.3148148148148147E-3</v>
          </cell>
          <cell r="AR19">
            <v>2.3148148148148147E-3</v>
          </cell>
          <cell r="AS19">
            <v>2.3148148148148147E-3</v>
          </cell>
          <cell r="AT19">
            <v>2.3148148148148147E-3</v>
          </cell>
          <cell r="AU19">
            <v>2.3148148148148147E-3</v>
          </cell>
          <cell r="AY19">
            <v>14</v>
          </cell>
          <cell r="AZ19">
            <v>4.8790693577900543E-3</v>
          </cell>
          <cell r="BA19">
            <v>4.8790693577900543E-3</v>
          </cell>
          <cell r="BB19">
            <v>4.8790693577900543E-3</v>
          </cell>
          <cell r="BC19">
            <v>8.5625860166490351E-3</v>
          </cell>
          <cell r="BD19">
            <v>8.5625860166490351E-3</v>
          </cell>
        </row>
        <row r="20">
          <cell r="U20">
            <v>9.3042361365905206E-4</v>
          </cell>
          <cell r="V20">
            <v>8.714248390400296E-4</v>
          </cell>
          <cell r="W20">
            <v>8.3973029217417517E-4</v>
          </cell>
          <cell r="X20">
            <v>1.5480636704115515E-3</v>
          </cell>
          <cell r="Y20">
            <v>1.5466385494685166E-3</v>
          </cell>
          <cell r="Z20">
            <v>1.5434738863870385E-3</v>
          </cell>
          <cell r="AA20">
            <v>1.5318898677544649E-3</v>
          </cell>
          <cell r="AB20">
            <v>1.5214697102300895E-3</v>
          </cell>
          <cell r="AF20">
            <v>47.049365564705063</v>
          </cell>
          <cell r="AG20">
            <v>15</v>
          </cell>
          <cell r="AH20">
            <v>2.1254271720725776E-2</v>
          </cell>
          <cell r="AI20">
            <v>2.1254271720725776E-2</v>
          </cell>
          <cell r="AJ20">
            <v>2.1254271720725776E-2</v>
          </cell>
          <cell r="AK20">
            <v>2.1254271720725776E-2</v>
          </cell>
          <cell r="AL20">
            <v>2.1254271720725776E-2</v>
          </cell>
          <cell r="AO20">
            <v>1.5312223689284128E-2</v>
          </cell>
          <cell r="AP20">
            <v>15</v>
          </cell>
          <cell r="AQ20">
            <v>2.2727272727272726E-3</v>
          </cell>
          <cell r="AR20">
            <v>2.2727272727272726E-3</v>
          </cell>
          <cell r="AS20">
            <v>2.2727272727272726E-3</v>
          </cell>
          <cell r="AT20">
            <v>2.2727272727272726E-3</v>
          </cell>
          <cell r="AU20">
            <v>2.2727272727272726E-3</v>
          </cell>
          <cell r="AY20">
            <v>15</v>
          </cell>
          <cell r="AZ20">
            <v>4.298739522281987E-3</v>
          </cell>
          <cell r="BA20">
            <v>4.298739522281987E-3</v>
          </cell>
          <cell r="BB20">
            <v>4.298739522281987E-3</v>
          </cell>
          <cell r="BC20">
            <v>7.5441286490299875E-3</v>
          </cell>
          <cell r="BD20">
            <v>7.5441286490299875E-3</v>
          </cell>
        </row>
        <row r="21">
          <cell r="U21">
            <v>8.8152685543027511E-4</v>
          </cell>
          <cell r="V21">
            <v>8.2239305952870427E-4</v>
          </cell>
          <cell r="W21">
            <v>7.9125608765390253E-4</v>
          </cell>
          <cell r="X21">
            <v>1.4767189849802271E-3</v>
          </cell>
          <cell r="Y21">
            <v>1.4752219687546781E-3</v>
          </cell>
          <cell r="Z21">
            <v>1.471930099606063E-3</v>
          </cell>
          <cell r="AA21">
            <v>1.4596903432481916E-3</v>
          </cell>
          <cell r="AB21">
            <v>1.4480464417517072E-3</v>
          </cell>
          <cell r="AF21">
            <v>48.482232065786803</v>
          </cell>
          <cell r="AG21">
            <v>16</v>
          </cell>
          <cell r="AH21">
            <v>2.0626113060204693E-2</v>
          </cell>
          <cell r="AI21">
            <v>2.0626113060204693E-2</v>
          </cell>
          <cell r="AJ21">
            <v>2.0626113060204693E-2</v>
          </cell>
          <cell r="AK21">
            <v>2.0626113060204693E-2</v>
          </cell>
          <cell r="AL21">
            <v>2.0626113060204693E-2</v>
          </cell>
          <cell r="AO21">
            <v>1.3200712358531002E-2</v>
          </cell>
          <cell r="AP21">
            <v>16</v>
          </cell>
          <cell r="AQ21">
            <v>2.232142857142857E-3</v>
          </cell>
          <cell r="AR21">
            <v>2.232142857142857E-3</v>
          </cell>
          <cell r="AS21">
            <v>2.232142857142857E-3</v>
          </cell>
          <cell r="AT21">
            <v>2.232142857142857E-3</v>
          </cell>
          <cell r="AU21">
            <v>2.232142857142857E-3</v>
          </cell>
          <cell r="AY21">
            <v>16</v>
          </cell>
          <cell r="AZ21">
            <v>3.8041942675061829E-3</v>
          </cell>
          <cell r="BA21">
            <v>3.8041942675061829E-3</v>
          </cell>
          <cell r="BB21">
            <v>3.8041942675061829E-3</v>
          </cell>
          <cell r="BC21">
            <v>6.6762200433893703E-3</v>
          </cell>
          <cell r="BD21">
            <v>6.6762200433893703E-3</v>
          </cell>
        </row>
        <row r="22">
          <cell r="U22">
            <v>8.353616062799213E-4</v>
          </cell>
          <cell r="V22">
            <v>7.7699291391476375E-4</v>
          </cell>
          <cell r="W22">
            <v>7.4750498633002044E-4</v>
          </cell>
          <cell r="X22">
            <v>1.3708734163316752E-3</v>
          </cell>
          <cell r="Y22">
            <v>1.4074739872605864E-3</v>
          </cell>
          <cell r="Z22">
            <v>1.404070572303458E-3</v>
          </cell>
          <cell r="AA22">
            <v>1.3912921463991774E-3</v>
          </cell>
          <cell r="AB22">
            <v>1.3790428899502238E-3</v>
          </cell>
          <cell r="AF22">
            <v>49.958735848376591</v>
          </cell>
          <cell r="AG22">
            <v>17</v>
          </cell>
          <cell r="AH22">
            <v>2.0016519293742197E-2</v>
          </cell>
          <cell r="AI22">
            <v>2.0016519293742197E-2</v>
          </cell>
          <cell r="AJ22">
            <v>2.0016519293742197E-2</v>
          </cell>
          <cell r="AK22">
            <v>2.0016519293742197E-2</v>
          </cell>
          <cell r="AL22">
            <v>2.0016519293742197E-2</v>
          </cell>
          <cell r="AO22">
            <v>1.2145153191817719E-2</v>
          </cell>
          <cell r="AP22">
            <v>17</v>
          </cell>
          <cell r="AQ22">
            <v>2.1929824561403508E-3</v>
          </cell>
          <cell r="AR22">
            <v>2.1929824561403508E-3</v>
          </cell>
          <cell r="AS22">
            <v>2.1929824561403508E-3</v>
          </cell>
          <cell r="AT22">
            <v>2.1929824561403508E-3</v>
          </cell>
          <cell r="AU22">
            <v>2.1929824561403508E-3</v>
          </cell>
          <cell r="AY22">
            <v>17</v>
          </cell>
          <cell r="AZ22">
            <v>3.3815060155610514E-3</v>
          </cell>
          <cell r="BA22">
            <v>3.3815060155610514E-3</v>
          </cell>
          <cell r="BB22">
            <v>3.3815060155610514E-3</v>
          </cell>
          <cell r="BC22">
            <v>5.9344178163461062E-3</v>
          </cell>
          <cell r="BD22">
            <v>5.9344178163461062E-3</v>
          </cell>
        </row>
        <row r="23">
          <cell r="U23">
            <v>7.9095146965216625E-4</v>
          </cell>
          <cell r="V23">
            <v>7.3553631010782219E-4</v>
          </cell>
          <cell r="W23">
            <v>7.0502289777078103E-4</v>
          </cell>
          <cell r="X23">
            <v>1.2700110410086762E-3</v>
          </cell>
          <cell r="Y23">
            <v>1.3234911217122061E-3</v>
          </cell>
          <cell r="Z23">
            <v>1.3395339009564283E-3</v>
          </cell>
          <cell r="AA23">
            <v>1.3261131640686658E-3</v>
          </cell>
          <cell r="AB23">
            <v>1.3129725133187659E-3</v>
          </cell>
          <cell r="AF23">
            <v>51.480205865545756</v>
          </cell>
          <cell r="AG23">
            <v>18</v>
          </cell>
          <cell r="AH23">
            <v>1.9424941745799656E-2</v>
          </cell>
          <cell r="AI23">
            <v>1.9424941745799656E-2</v>
          </cell>
          <cell r="AJ23">
            <v>1.9424941745799656E-2</v>
          </cell>
          <cell r="AK23">
            <v>1.9424941745799656E-2</v>
          </cell>
          <cell r="AL23">
            <v>1.9424941745799656E-2</v>
          </cell>
          <cell r="AO23">
            <v>1.1511076590103499E-2</v>
          </cell>
          <cell r="AP23">
            <v>18</v>
          </cell>
          <cell r="AQ23">
            <v>2.1551724137931034E-3</v>
          </cell>
          <cell r="AR23">
            <v>2.1551724137931034E-3</v>
          </cell>
          <cell r="AS23">
            <v>2.1551724137931034E-3</v>
          </cell>
          <cell r="AT23">
            <v>2.1551724137931034E-3</v>
          </cell>
          <cell r="AU23">
            <v>2.1551724137931034E-3</v>
          </cell>
          <cell r="AY23">
            <v>18</v>
          </cell>
          <cell r="AZ23">
            <v>3.0192017996080811E-3</v>
          </cell>
          <cell r="BA23">
            <v>3.0192017996080811E-3</v>
          </cell>
          <cell r="BB23">
            <v>3.0192017996080811E-3</v>
          </cell>
          <cell r="BC23">
            <v>5.2985873360233086E-3</v>
          </cell>
          <cell r="BD23">
            <v>5.2985873360233086E-3</v>
          </cell>
        </row>
        <row r="24">
          <cell r="U24">
            <v>6.2144930594921555E-4</v>
          </cell>
          <cell r="V24">
            <v>5.7936755421012951E-4</v>
          </cell>
          <cell r="W24">
            <v>5.5585044483136942E-4</v>
          </cell>
          <cell r="X24">
            <v>1.1754812507341437E-3</v>
          </cell>
          <cell r="Y24">
            <v>1.2276249019372402E-3</v>
          </cell>
          <cell r="Z24">
            <v>1.2782777441231674E-3</v>
          </cell>
          <cell r="AA24">
            <v>1.2643120311437662E-3</v>
          </cell>
          <cell r="AB24">
            <v>1.2501730170341619E-3</v>
          </cell>
          <cell r="AF24">
            <v>53.048011543012052</v>
          </cell>
          <cell r="AG24">
            <v>19</v>
          </cell>
          <cell r="AH24">
            <v>1.8850847956651238E-2</v>
          </cell>
          <cell r="AI24">
            <v>1.8850847956651238E-2</v>
          </cell>
          <cell r="AJ24">
            <v>1.8850847956651238E-2</v>
          </cell>
          <cell r="AK24">
            <v>1.8850847956651238E-2</v>
          </cell>
          <cell r="AL24">
            <v>1.8850847956651238E-2</v>
          </cell>
          <cell r="AO24">
            <v>1.056539163758353E-2</v>
          </cell>
          <cell r="AP24">
            <v>19</v>
          </cell>
          <cell r="AQ24">
            <v>2.1186440677966102E-3</v>
          </cell>
          <cell r="AR24">
            <v>2.1186440677966102E-3</v>
          </cell>
          <cell r="AS24">
            <v>2.1186440677966102E-3</v>
          </cell>
          <cell r="AT24">
            <v>2.1186440677966102E-3</v>
          </cell>
          <cell r="AU24">
            <v>2.1186440677966102E-3</v>
          </cell>
          <cell r="AY24">
            <v>19</v>
          </cell>
          <cell r="AZ24">
            <v>2.6957158925072153E-3</v>
          </cell>
          <cell r="BA24">
            <v>2.6957158925072153E-3</v>
          </cell>
          <cell r="BB24">
            <v>2.6957158925072153E-3</v>
          </cell>
          <cell r="BC24">
            <v>4.7308815500208112E-3</v>
          </cell>
          <cell r="BD24">
            <v>4.7308815500208112E-3</v>
          </cell>
        </row>
        <row r="25">
          <cell r="U25">
            <v>5.8464213214602255E-4</v>
          </cell>
          <cell r="V25">
            <v>5.504229333584442E-4</v>
          </cell>
          <cell r="W25">
            <v>5.2699635449361757E-4</v>
          </cell>
          <cell r="X25">
            <v>1.0869636163917027E-3</v>
          </cell>
          <cell r="Y25">
            <v>1.1387390419379203E-3</v>
          </cell>
          <cell r="Z25">
            <v>1.2046580879972295E-3</v>
          </cell>
          <cell r="AA25">
            <v>1.2060540899232917E-3</v>
          </cell>
          <cell r="AB25">
            <v>1.1918289089668346E-3</v>
          </cell>
          <cell r="AF25">
            <v>54.663564011715266</v>
          </cell>
          <cell r="AG25">
            <v>20</v>
          </cell>
          <cell r="AH25">
            <v>1.8293721203134217E-2</v>
          </cell>
          <cell r="AI25">
            <v>1.8293721203134217E-2</v>
          </cell>
          <cell r="AJ25">
            <v>1.8293721203134217E-2</v>
          </cell>
          <cell r="AK25">
            <v>1.8293721203134217E-2</v>
          </cell>
          <cell r="AL25">
            <v>1.8293721203134217E-2</v>
          </cell>
          <cell r="AO25">
            <v>1.009308756034992E-2</v>
          </cell>
          <cell r="AP25">
            <v>20</v>
          </cell>
          <cell r="AQ25">
            <v>2.0833333333333333E-3</v>
          </cell>
          <cell r="AR25">
            <v>2.0833333333333333E-3</v>
          </cell>
          <cell r="AS25">
            <v>2.0833333333333333E-3</v>
          </cell>
          <cell r="AT25">
            <v>2.0833333333333333E-3</v>
          </cell>
          <cell r="AU25">
            <v>2.0833333333333333E-3</v>
          </cell>
          <cell r="AY25">
            <v>20</v>
          </cell>
          <cell r="AZ25">
            <v>2.4068891897385848E-3</v>
          </cell>
          <cell r="BA25">
            <v>2.4068891897385848E-3</v>
          </cell>
          <cell r="BB25">
            <v>2.4068891897385848E-3</v>
          </cell>
          <cell r="BC25">
            <v>4.2240013839471525E-3</v>
          </cell>
          <cell r="BD25">
            <v>4.2240013839471525E-3</v>
          </cell>
        </row>
        <row r="26">
          <cell r="U26">
            <v>5.4471600335712479E-4</v>
          </cell>
          <cell r="V26">
            <v>5.2342322566346813E-4</v>
          </cell>
          <cell r="W26">
            <v>5.0006334603396778E-4</v>
          </cell>
          <cell r="X26">
            <v>1.0189510651671442E-3</v>
          </cell>
          <cell r="Y26">
            <v>1.0551948999055116E-3</v>
          </cell>
          <cell r="Z26">
            <v>1.1196353241254998E-3</v>
          </cell>
          <cell r="AA26">
            <v>1.150958172244842E-3</v>
          </cell>
          <cell r="AB26">
            <v>1.1365785197163659E-3</v>
          </cell>
          <cell r="AF26">
            <v>56.328317377930297</v>
          </cell>
          <cell r="AG26">
            <v>21</v>
          </cell>
          <cell r="AH26">
            <v>1.775306003356324E-2</v>
          </cell>
          <cell r="AI26">
            <v>1.775306003356324E-2</v>
          </cell>
          <cell r="AJ26">
            <v>1.775306003356324E-2</v>
          </cell>
          <cell r="AK26">
            <v>1.775306003356324E-2</v>
          </cell>
          <cell r="AL26">
            <v>1.775306003356324E-2</v>
          </cell>
          <cell r="AO26">
            <v>9.1636877152615707E-3</v>
          </cell>
          <cell r="AP26">
            <v>21</v>
          </cell>
          <cell r="AQ26">
            <v>2.0491803278688526E-3</v>
          </cell>
          <cell r="AR26">
            <v>2.0491803278688526E-3</v>
          </cell>
          <cell r="AS26">
            <v>2.0491803278688526E-3</v>
          </cell>
          <cell r="AT26">
            <v>2.0491803278688526E-3</v>
          </cell>
          <cell r="AU26">
            <v>2.0491803278688526E-3</v>
          </cell>
          <cell r="AY26">
            <v>21</v>
          </cell>
          <cell r="AZ26">
            <v>2.1490082051237361E-3</v>
          </cell>
          <cell r="BA26">
            <v>2.1490082051237361E-3</v>
          </cell>
          <cell r="BB26">
            <v>2.1490082051237361E-3</v>
          </cell>
          <cell r="BC26">
            <v>3.7714298070956713E-3</v>
          </cell>
          <cell r="BD26">
            <v>3.7714298070956713E-3</v>
          </cell>
        </row>
        <row r="27">
          <cell r="U27">
            <v>5.0685444711850709E-4</v>
          </cell>
          <cell r="V27">
            <v>4.9771695532274598E-4</v>
          </cell>
          <cell r="W27">
            <v>4.7472112525367462E-4</v>
          </cell>
          <cell r="X27">
            <v>9.7341263790818862E-4</v>
          </cell>
          <cell r="Y27">
            <v>9.761168358792628E-4</v>
          </cell>
          <cell r="Z27">
            <v>1.0391521124140711E-3</v>
          </cell>
          <cell r="AA27">
            <v>1.0985115604517451E-3</v>
          </cell>
          <cell r="AB27">
            <v>1.0840276240979244E-3</v>
          </cell>
          <cell r="AF27">
            <v>58.043770032060941</v>
          </cell>
          <cell r="AG27">
            <v>22</v>
          </cell>
          <cell r="AH27">
            <v>1.7228377816389976E-2</v>
          </cell>
          <cell r="AI27">
            <v>1.7228377816389976E-2</v>
          </cell>
          <cell r="AJ27">
            <v>1.7228377816389976E-2</v>
          </cell>
          <cell r="AK27">
            <v>1.7228377816389976E-2</v>
          </cell>
          <cell r="AL27">
            <v>1.7228377816389976E-2</v>
          </cell>
          <cell r="AO27">
            <v>8.7503047600174782E-3</v>
          </cell>
          <cell r="AP27">
            <v>22</v>
          </cell>
          <cell r="AQ27">
            <v>2.0161290322580645E-3</v>
          </cell>
          <cell r="AR27">
            <v>2.0161290322580645E-3</v>
          </cell>
          <cell r="AS27">
            <v>2.0161290322580645E-3</v>
          </cell>
          <cell r="AT27">
            <v>2.0161290322580645E-3</v>
          </cell>
          <cell r="AU27">
            <v>2.0161290322580645E-3</v>
          </cell>
          <cell r="AY27">
            <v>22</v>
          </cell>
          <cell r="AZ27">
            <v>1.9187573260033358E-3</v>
          </cell>
          <cell r="BA27">
            <v>1.9187573260033358E-3</v>
          </cell>
          <cell r="BB27">
            <v>1.9187573260033358E-3</v>
          </cell>
          <cell r="BC27">
            <v>3.3673480420497062E-3</v>
          </cell>
          <cell r="BD27">
            <v>3.3673480420497062E-3</v>
          </cell>
        </row>
        <row r="28">
          <cell r="U28">
            <v>4.2860383385489654E-4</v>
          </cell>
          <cell r="V28">
            <v>4.2658225787215126E-4</v>
          </cell>
          <cell r="W28">
            <v>4.0838579717232949E-4</v>
          </cell>
          <cell r="X28">
            <v>9.2320328108142793E-4</v>
          </cell>
          <cell r="Y28">
            <v>9.2188536378793044E-4</v>
          </cell>
          <cell r="Z28">
            <v>9.5795101974079772E-4</v>
          </cell>
          <cell r="AA28">
            <v>1.0355762486317494E-3</v>
          </cell>
          <cell r="AB28">
            <v>1.0265951754766577E-3</v>
          </cell>
          <cell r="AF28">
            <v>59.811465997292466</v>
          </cell>
          <cell r="AG28">
            <v>23</v>
          </cell>
          <cell r="AH28">
            <v>1.6719202302201853E-2</v>
          </cell>
          <cell r="AI28">
            <v>1.6719202302201853E-2</v>
          </cell>
          <cell r="AJ28">
            <v>1.6719202302201853E-2</v>
          </cell>
          <cell r="AK28">
            <v>1.6719202302201853E-2</v>
          </cell>
          <cell r="AL28">
            <v>1.6719202302201853E-2</v>
          </cell>
          <cell r="AO28">
            <v>8.0046238926281908E-3</v>
          </cell>
          <cell r="AP28">
            <v>23</v>
          </cell>
          <cell r="AQ28">
            <v>1.984126984126984E-3</v>
          </cell>
          <cell r="AR28">
            <v>1.984126984126984E-3</v>
          </cell>
          <cell r="AS28">
            <v>1.984126984126984E-3</v>
          </cell>
          <cell r="AT28">
            <v>1.984126984126984E-3</v>
          </cell>
          <cell r="AU28">
            <v>1.984126984126984E-3</v>
          </cell>
          <cell r="AY28">
            <v>23</v>
          </cell>
          <cell r="AZ28">
            <v>1.7131761839315495E-3</v>
          </cell>
          <cell r="BA28">
            <v>1.7131761839315495E-3</v>
          </cell>
          <cell r="BB28">
            <v>1.7131761839315495E-3</v>
          </cell>
          <cell r="BC28">
            <v>3.0065607518300944E-3</v>
          </cell>
          <cell r="BD28">
            <v>3.0065607518300944E-3</v>
          </cell>
        </row>
        <row r="29">
          <cell r="U29">
            <v>3.9613041498527788E-4</v>
          </cell>
          <cell r="V29">
            <v>3.9667997603086419E-4</v>
          </cell>
          <cell r="W29">
            <v>3.8508806748786367E-4</v>
          </cell>
          <cell r="X29">
            <v>8.7598604830708764E-4</v>
          </cell>
          <cell r="Y29">
            <v>8.7465906226305427E-4</v>
          </cell>
          <cell r="Z29">
            <v>8.8088406944783406E-4</v>
          </cell>
          <cell r="AA29">
            <v>9.5749442680915955E-4</v>
          </cell>
          <cell r="AB29">
            <v>9.7235418766767885E-4</v>
          </cell>
          <cell r="AF29">
            <v>61.632996319316632</v>
          </cell>
          <cell r="AG29">
            <v>24</v>
          </cell>
          <cell r="AH29">
            <v>1.6225075198665721E-2</v>
          </cell>
          <cell r="AI29">
            <v>1.6225075198665721E-2</v>
          </cell>
          <cell r="AJ29">
            <v>1.6225075198665721E-2</v>
          </cell>
          <cell r="AK29">
            <v>1.6225075198665721E-2</v>
          </cell>
          <cell r="AL29">
            <v>1.6225075198665721E-2</v>
          </cell>
          <cell r="AO29">
            <v>7.6353295052544604E-3</v>
          </cell>
          <cell r="AP29">
            <v>24</v>
          </cell>
          <cell r="AQ29">
            <v>1.953125E-3</v>
          </cell>
          <cell r="AR29">
            <v>1.953125E-3</v>
          </cell>
          <cell r="AS29">
            <v>1.953125E-3</v>
          </cell>
          <cell r="AT29">
            <v>1.953125E-3</v>
          </cell>
          <cell r="AU29">
            <v>1.953125E-3</v>
          </cell>
          <cell r="AY29">
            <v>24</v>
          </cell>
          <cell r="AZ29">
            <v>1.5296215927960263E-3</v>
          </cell>
          <cell r="BA29">
            <v>1.5296215927960263E-3</v>
          </cell>
          <cell r="BB29">
            <v>1.5296215927960263E-3</v>
          </cell>
          <cell r="BC29">
            <v>2.6844292427054411E-3</v>
          </cell>
          <cell r="BD29">
            <v>2.6844292427054411E-3</v>
          </cell>
        </row>
        <row r="30">
          <cell r="U30">
            <v>3.7168698339770689E-4</v>
          </cell>
          <cell r="V30">
            <v>3.6885109115267786E-4</v>
          </cell>
          <cell r="W30">
            <v>3.6326940642995381E-4</v>
          </cell>
          <cell r="X30">
            <v>8.3154592718819812E-4</v>
          </cell>
          <cell r="Y30">
            <v>8.3021346092379327E-4</v>
          </cell>
          <cell r="Z30">
            <v>8.27322871083632E-4</v>
          </cell>
          <cell r="AA30">
            <v>8.8521021550421017E-4</v>
          </cell>
          <cell r="AB30">
            <v>9.2136870365873999E-4</v>
          </cell>
          <cell r="AF30">
            <v>63.510000498380244</v>
          </cell>
          <cell r="AG30">
            <v>25</v>
          </cell>
          <cell r="AH30">
            <v>1.5745551758033823E-2</v>
          </cell>
          <cell r="AI30">
            <v>1.5745551758033823E-2</v>
          </cell>
          <cell r="AJ30">
            <v>1.5745551758033823E-2</v>
          </cell>
          <cell r="AK30">
            <v>1.5745551758033823E-2</v>
          </cell>
          <cell r="AL30">
            <v>1.5745551758033823E-2</v>
          </cell>
          <cell r="AO30">
            <v>7.0520171493666456E-3</v>
          </cell>
          <cell r="AP30">
            <v>25</v>
          </cell>
          <cell r="AQ30">
            <v>1.9230769230769232E-3</v>
          </cell>
          <cell r="AR30">
            <v>1.9230769230769232E-3</v>
          </cell>
          <cell r="AS30">
            <v>1.9230769230769232E-3</v>
          </cell>
          <cell r="AT30">
            <v>1.9230769230769232E-3</v>
          </cell>
          <cell r="AU30">
            <v>1.9230769230769232E-3</v>
          </cell>
          <cell r="AY30">
            <v>25</v>
          </cell>
          <cell r="AZ30">
            <v>1.365733564996452E-3</v>
          </cell>
          <cell r="BA30">
            <v>1.365733564996452E-3</v>
          </cell>
          <cell r="BB30">
            <v>1.365733564996452E-3</v>
          </cell>
          <cell r="BC30">
            <v>2.3968118238441439E-3</v>
          </cell>
          <cell r="BD30">
            <v>2.3968118238441439E-3</v>
          </cell>
        </row>
        <row r="31">
          <cell r="U31">
            <v>3.5139308635419948E-4</v>
          </cell>
          <cell r="V31">
            <v>3.4295310566949839E-4</v>
          </cell>
          <cell r="W31">
            <v>3.4271870280684472E-4</v>
          </cell>
          <cell r="X31">
            <v>7.8968649944763944E-4</v>
          </cell>
          <cell r="Y31">
            <v>7.8835046385151346E-4</v>
          </cell>
          <cell r="Z31">
            <v>7.8546185208512424E-4</v>
          </cell>
          <cell r="AA31">
            <v>8.1841282188647101E-4</v>
          </cell>
          <cell r="AB31">
            <v>8.7330317743588518E-4</v>
          </cell>
          <cell r="AF31">
            <v>65.444167964946033</v>
          </cell>
          <cell r="AG31">
            <v>26</v>
          </cell>
          <cell r="AH31">
            <v>1.5280200376840785E-2</v>
          </cell>
          <cell r="AI31">
            <v>1.5280200376840785E-2</v>
          </cell>
          <cell r="AJ31">
            <v>1.5280200376840785E-2</v>
          </cell>
          <cell r="AK31">
            <v>1.5280200376840785E-2</v>
          </cell>
          <cell r="AL31">
            <v>1.5280200376840785E-2</v>
          </cell>
          <cell r="AO31">
            <v>6.6977622496806003E-3</v>
          </cell>
          <cell r="AP31">
            <v>26</v>
          </cell>
          <cell r="AQ31">
            <v>1.893939393939394E-3</v>
          </cell>
          <cell r="AR31">
            <v>1.893939393939394E-3</v>
          </cell>
          <cell r="AS31">
            <v>1.893939393939394E-3</v>
          </cell>
          <cell r="AT31">
            <v>1.893939393939394E-3</v>
          </cell>
          <cell r="AU31">
            <v>1.893939393939394E-3</v>
          </cell>
          <cell r="AY31">
            <v>26</v>
          </cell>
          <cell r="AZ31">
            <v>1.219404968746832E-3</v>
          </cell>
          <cell r="BA31">
            <v>1.219404968746832E-3</v>
          </cell>
          <cell r="BB31">
            <v>1.219404968746832E-3</v>
          </cell>
          <cell r="BC31">
            <v>2.1400105570036996E-3</v>
          </cell>
          <cell r="BD31">
            <v>2.1400105570036996E-3</v>
          </cell>
        </row>
        <row r="32">
          <cell r="U32">
            <v>3.3225676818335727E-4</v>
          </cell>
          <cell r="V32">
            <v>3.186694319951927E-4</v>
          </cell>
          <cell r="W32">
            <v>3.2332622063234077E-4</v>
          </cell>
          <cell r="X32">
            <v>7.5022802384217967E-4</v>
          </cell>
          <cell r="Y32">
            <v>7.4888756647340188E-4</v>
          </cell>
          <cell r="Z32">
            <v>7.4600021163156657E-4</v>
          </cell>
          <cell r="AA32">
            <v>7.5603547804051891E-4</v>
          </cell>
          <cell r="AB32">
            <v>8.2793336069760036E-4</v>
          </cell>
          <cell r="AF32">
            <v>67.437239600294134</v>
          </cell>
          <cell r="AG32">
            <v>27</v>
          </cell>
          <cell r="AH32">
            <v>1.4828602207431372E-2</v>
          </cell>
          <cell r="AI32">
            <v>1.4828602207431372E-2</v>
          </cell>
          <cell r="AJ32">
            <v>1.4828602207431372E-2</v>
          </cell>
          <cell r="AK32">
            <v>1.4828602207431372E-2</v>
          </cell>
          <cell r="AL32">
            <v>1.4828602207431372E-2</v>
          </cell>
          <cell r="AO32">
            <v>6.2558286970794286E-3</v>
          </cell>
          <cell r="AP32">
            <v>27</v>
          </cell>
          <cell r="AQ32">
            <v>1.8656716417910447E-3</v>
          </cell>
          <cell r="AR32">
            <v>1.8656716417910447E-3</v>
          </cell>
          <cell r="AS32">
            <v>1.8656716417910447E-3</v>
          </cell>
          <cell r="AT32">
            <v>1.8656716417910447E-3</v>
          </cell>
          <cell r="AU32">
            <v>1.8656716417910447E-3</v>
          </cell>
          <cell r="AY32">
            <v>27</v>
          </cell>
          <cell r="AZ32">
            <v>1.0887544363810998E-3</v>
          </cell>
          <cell r="BA32">
            <v>1.0887544363810998E-3</v>
          </cell>
          <cell r="BB32">
            <v>1.0887544363810998E-3</v>
          </cell>
          <cell r="BC32">
            <v>1.9107237116104459E-3</v>
          </cell>
          <cell r="BD32">
            <v>1.9107237116104459E-3</v>
          </cell>
        </row>
        <row r="33">
          <cell r="U33">
            <v>3.1468475245546417E-4</v>
          </cell>
          <cell r="V33">
            <v>2.9611383704587231E-4</v>
          </cell>
          <cell r="W33">
            <v>3.0539094382229002E-4</v>
          </cell>
          <cell r="X33">
            <v>7.1300574975457262E-4</v>
          </cell>
          <cell r="Y33">
            <v>7.1169023295498534E-4</v>
          </cell>
          <cell r="Z33">
            <v>7.088002113607388E-4</v>
          </cell>
          <cell r="AA33">
            <v>6.9842555582753506E-4</v>
          </cell>
          <cell r="AB33">
            <v>7.8547144352231202E-4</v>
          </cell>
          <cell r="AF33">
            <v>69.491009303432747</v>
          </cell>
          <cell r="AG33">
            <v>28</v>
          </cell>
          <cell r="AH33">
            <v>1.4390350780969324E-2</v>
          </cell>
          <cell r="AI33">
            <v>1.4390350780969324E-2</v>
          </cell>
          <cell r="AJ33">
            <v>1.4390350780969324E-2</v>
          </cell>
          <cell r="AK33">
            <v>1.4390350780969324E-2</v>
          </cell>
          <cell r="AL33">
            <v>1.4390350780969324E-2</v>
          </cell>
          <cell r="AO33">
            <v>5.9037336537310029E-3</v>
          </cell>
          <cell r="AP33">
            <v>28</v>
          </cell>
          <cell r="AQ33">
            <v>1.838235294117647E-3</v>
          </cell>
          <cell r="AR33">
            <v>1.838235294117647E-3</v>
          </cell>
          <cell r="AS33">
            <v>1.838235294117647E-3</v>
          </cell>
          <cell r="AT33">
            <v>1.838235294117647E-3</v>
          </cell>
          <cell r="AU33">
            <v>1.838235294117647E-3</v>
          </cell>
          <cell r="AY33">
            <v>28</v>
          </cell>
          <cell r="AZ33">
            <v>9.7210217534026756E-4</v>
          </cell>
          <cell r="BA33">
            <v>9.7210217534026756E-4</v>
          </cell>
          <cell r="BB33">
            <v>9.7210217534026756E-4</v>
          </cell>
          <cell r="BC33">
            <v>1.7060033139378978E-3</v>
          </cell>
          <cell r="BD33">
            <v>1.7060033139378978E-3</v>
          </cell>
        </row>
        <row r="34">
          <cell r="U34">
            <v>2.9824080838944297E-4</v>
          </cell>
          <cell r="V34">
            <v>2.8017689118891128E-4</v>
          </cell>
          <cell r="W34">
            <v>2.8852250746115257E-4</v>
          </cell>
          <cell r="X34">
            <v>6.7802296152447898E-4</v>
          </cell>
          <cell r="Y34">
            <v>6.7665657247249788E-4</v>
          </cell>
          <cell r="Z34">
            <v>6.7367416992855959E-4</v>
          </cell>
          <cell r="AA34">
            <v>6.6326184827453357E-4</v>
          </cell>
          <cell r="AB34">
            <v>7.4534720441533562E-4</v>
          </cell>
          <cell r="AF34">
            <v>71.607325605728292</v>
          </cell>
          <cell r="AG34">
            <v>29</v>
          </cell>
          <cell r="AH34">
            <v>1.3965051641587968E-2</v>
          </cell>
          <cell r="AI34">
            <v>1.3965051641587968E-2</v>
          </cell>
          <cell r="AJ34">
            <v>1.3965051641587968E-2</v>
          </cell>
          <cell r="AK34">
            <v>1.3965051641587968E-2</v>
          </cell>
          <cell r="AL34">
            <v>1.3965051641587968E-2</v>
          </cell>
          <cell r="AO34">
            <v>5.5517498417071241E-3</v>
          </cell>
          <cell r="AP34">
            <v>29</v>
          </cell>
          <cell r="AQ34">
            <v>1.8115942028985507E-3</v>
          </cell>
          <cell r="AR34">
            <v>1.8115942028985507E-3</v>
          </cell>
          <cell r="AS34">
            <v>1.8115942028985507E-3</v>
          </cell>
          <cell r="AT34">
            <v>1.8115942028985507E-3</v>
          </cell>
          <cell r="AU34">
            <v>1.8115942028985507E-3</v>
          </cell>
          <cell r="AY34">
            <v>29</v>
          </cell>
          <cell r="AZ34">
            <v>8.6794837083952457E-4</v>
          </cell>
          <cell r="BA34">
            <v>8.6794837083952457E-4</v>
          </cell>
          <cell r="BB34">
            <v>8.6794837083952457E-4</v>
          </cell>
          <cell r="BC34">
            <v>1.5232172445874088E-3</v>
          </cell>
          <cell r="BD34">
            <v>1.5232172445874088E-3</v>
          </cell>
        </row>
        <row r="35">
          <cell r="U35">
            <v>2.8272587306881836E-4</v>
          </cell>
          <cell r="V35">
            <v>2.6528034418511537E-4</v>
          </cell>
          <cell r="W35">
            <v>2.7148501428886764E-4</v>
          </cell>
          <cell r="X35">
            <v>6.4499339431504455E-4</v>
          </cell>
          <cell r="Y35">
            <v>6.4356623090691656E-4</v>
          </cell>
          <cell r="Z35">
            <v>6.4050911297095674E-4</v>
          </cell>
          <cell r="AA35">
            <v>6.3010570475182509E-4</v>
          </cell>
          <cell r="AB35">
            <v>7.0215597961887266E-4</v>
          </cell>
          <cell r="AF35">
            <v>73.788093334708478</v>
          </cell>
          <cell r="AG35">
            <v>30</v>
          </cell>
          <cell r="AH35">
            <v>1.3552321991353306E-2</v>
          </cell>
          <cell r="AI35">
            <v>1.3552321991353306E-2</v>
          </cell>
          <cell r="AJ35">
            <v>1.3552321991353306E-2</v>
          </cell>
          <cell r="AK35">
            <v>1.3552321991353306E-2</v>
          </cell>
          <cell r="AL35">
            <v>1.3552321991353306E-2</v>
          </cell>
          <cell r="AO35">
            <v>5.162789330039357E-3</v>
          </cell>
          <cell r="AP35">
            <v>30</v>
          </cell>
          <cell r="AQ35">
            <v>1.7857142857142857E-3</v>
          </cell>
          <cell r="AR35">
            <v>1.7857142857142857E-3</v>
          </cell>
          <cell r="AS35">
            <v>1.7857142857142857E-3</v>
          </cell>
          <cell r="AT35">
            <v>1.7857142857142857E-3</v>
          </cell>
          <cell r="AU35">
            <v>1.7857142857142857E-3</v>
          </cell>
          <cell r="AY35">
            <v>30</v>
          </cell>
          <cell r="AZ35">
            <v>7.7495390253528977E-4</v>
          </cell>
          <cell r="BA35">
            <v>7.7495390253528977E-4</v>
          </cell>
          <cell r="BB35">
            <v>7.7495390253528977E-4</v>
          </cell>
          <cell r="BC35">
            <v>1.3600153969530434E-3</v>
          </cell>
          <cell r="BD35">
            <v>1.3600153969530434E-3</v>
          </cell>
        </row>
        <row r="36">
          <cell r="U36">
            <v>2.6544919824755874E-4</v>
          </cell>
          <cell r="V36">
            <v>2.4879050173264521E-4</v>
          </cell>
          <cell r="W36">
            <v>2.5081543852982372E-4</v>
          </cell>
          <cell r="X36">
            <v>6.0690635236496863E-4</v>
          </cell>
          <cell r="Y36">
            <v>6.0543072530730088E-4</v>
          </cell>
          <cell r="Z36">
            <v>6.0233402714545423E-4</v>
          </cell>
          <cell r="AA36">
            <v>5.9205276452543594E-4</v>
          </cell>
          <cell r="AB36">
            <v>6.4488412404138142E-4</v>
          </cell>
          <cell r="AF36">
            <v>76.035275328535633</v>
          </cell>
          <cell r="AG36">
            <v>31</v>
          </cell>
          <cell r="AH36">
            <v>1.3151790345720039E-2</v>
          </cell>
          <cell r="AI36">
            <v>1.3151790345720039E-2</v>
          </cell>
          <cell r="AJ36">
            <v>1.3151790345720039E-2</v>
          </cell>
          <cell r="AK36">
            <v>1.3151790345720039E-2</v>
          </cell>
          <cell r="AL36">
            <v>1.3151790345720039E-2</v>
          </cell>
          <cell r="AO36">
            <v>4.9288410283633063E-3</v>
          </cell>
          <cell r="AP36">
            <v>31</v>
          </cell>
          <cell r="AQ36">
            <v>1.7605633802816902E-3</v>
          </cell>
          <cell r="AR36">
            <v>1.7605633802816902E-3</v>
          </cell>
          <cell r="AS36">
            <v>1.7605633802816902E-3</v>
          </cell>
          <cell r="AT36">
            <v>1.7605633802816902E-3</v>
          </cell>
          <cell r="AU36">
            <v>1.7605633802816902E-3</v>
          </cell>
          <cell r="AY36">
            <v>31</v>
          </cell>
          <cell r="AZ36">
            <v>6.9502592155631373E-4</v>
          </cell>
          <cell r="BA36">
            <v>6.9502592155631373E-4</v>
          </cell>
          <cell r="BB36">
            <v>6.9502592155631373E-4</v>
          </cell>
          <cell r="BC36">
            <v>1.2197447506305324E-3</v>
          </cell>
          <cell r="BD36">
            <v>1.2197447506305324E-3</v>
          </cell>
        </row>
        <row r="37">
          <cell r="U37">
            <v>2.4938172053620505E-4</v>
          </cell>
          <cell r="V37">
            <v>2.3343099262899605E-4</v>
          </cell>
          <cell r="W37">
            <v>2.3190778793841539E-4</v>
          </cell>
          <cell r="X37">
            <v>5.715548917487502E-4</v>
          </cell>
          <cell r="Y37">
            <v>5.700357954543094E-4</v>
          </cell>
          <cell r="Z37">
            <v>5.6690641472889949E-4</v>
          </cell>
          <cell r="AA37">
            <v>5.5671051462896897E-4</v>
          </cell>
          <cell r="AB37">
            <v>5.9243936537615657E-4</v>
          </cell>
          <cell r="AF37">
            <v>78.350894202693539</v>
          </cell>
          <cell r="AG37">
            <v>32</v>
          </cell>
          <cell r="AH37">
            <v>1.2763096199170399E-2</v>
          </cell>
          <cell r="AI37">
            <v>1.2763096199170399E-2</v>
          </cell>
          <cell r="AJ37">
            <v>1.2763096199170399E-2</v>
          </cell>
          <cell r="AK37">
            <v>1.2763096199170399E-2</v>
          </cell>
          <cell r="AL37">
            <v>1.2763096199170399E-2</v>
          </cell>
          <cell r="AO37">
            <v>4.5379897597050307E-3</v>
          </cell>
          <cell r="AP37">
            <v>32</v>
          </cell>
          <cell r="AQ37">
            <v>1.736111111111111E-3</v>
          </cell>
          <cell r="AR37">
            <v>1.736111111111111E-3</v>
          </cell>
          <cell r="AS37">
            <v>1.736111111111111E-3</v>
          </cell>
          <cell r="AT37">
            <v>1.736111111111111E-3</v>
          </cell>
          <cell r="AU37">
            <v>1.736111111111111E-3</v>
          </cell>
          <cell r="AY37">
            <v>32</v>
          </cell>
          <cell r="AZ37">
            <v>6.2614947887956187E-4</v>
          </cell>
          <cell r="BA37">
            <v>6.2614947887956187E-4</v>
          </cell>
          <cell r="BB37">
            <v>6.2614947887956187E-4</v>
          </cell>
          <cell r="BC37">
            <v>1.0988691447121912E-3</v>
          </cell>
          <cell r="BD37">
            <v>1.0988691447121912E-3</v>
          </cell>
        </row>
        <row r="38">
          <cell r="U38">
            <v>2.3443450163974241E-4</v>
          </cell>
          <cell r="V38">
            <v>2.1913444416027996E-4</v>
          </cell>
          <cell r="W38">
            <v>2.1448712078435685E-4</v>
          </cell>
          <cell r="X38">
            <v>5.3869222496812606E-4</v>
          </cell>
          <cell r="Y38">
            <v>5.3714570229552896E-4</v>
          </cell>
          <cell r="Z38">
            <v>5.3398269059646707E-4</v>
          </cell>
          <cell r="AA38">
            <v>5.2386295735401957E-4</v>
          </cell>
          <cell r="AB38">
            <v>5.4428320459135862E-4</v>
          </cell>
          <cell r="AF38">
            <v>80.737034170477855</v>
          </cell>
          <cell r="AG38">
            <v>33</v>
          </cell>
          <cell r="AH38">
            <v>1.2385889700734858E-2</v>
          </cell>
          <cell r="AI38">
            <v>1.2385889700734858E-2</v>
          </cell>
          <cell r="AJ38">
            <v>1.2385889700734858E-2</v>
          </cell>
          <cell r="AK38">
            <v>1.2385889700734858E-2</v>
          </cell>
          <cell r="AL38">
            <v>1.2385889700734858E-2</v>
          </cell>
          <cell r="AO38">
            <v>4.3817885241991261E-3</v>
          </cell>
          <cell r="AP38">
            <v>33</v>
          </cell>
          <cell r="AQ38">
            <v>1.7123287671232876E-3</v>
          </cell>
          <cell r="AR38">
            <v>1.7123287671232876E-3</v>
          </cell>
          <cell r="AS38">
            <v>1.7123287671232876E-3</v>
          </cell>
          <cell r="AT38">
            <v>1.7123287671232876E-3</v>
          </cell>
          <cell r="AU38">
            <v>1.7123287671232876E-3</v>
          </cell>
          <cell r="AY38">
            <v>33</v>
          </cell>
          <cell r="AZ38">
            <v>5.6665111210820081E-4</v>
          </cell>
          <cell r="BA38">
            <v>5.6665111210820081E-4</v>
          </cell>
          <cell r="BB38">
            <v>5.6665111210820081E-4</v>
          </cell>
          <cell r="BC38">
            <v>9.9445171467166618E-4</v>
          </cell>
          <cell r="BD38">
            <v>9.9445171467166618E-4</v>
          </cell>
        </row>
        <row r="39">
          <cell r="U39">
            <v>2.2051109615255324E-4</v>
          </cell>
          <cell r="V39">
            <v>2.0577228619813413E-4</v>
          </cell>
          <cell r="W39">
            <v>1.98231205606735E-4</v>
          </cell>
          <cell r="X39">
            <v>5.0809904539081071E-4</v>
          </cell>
          <cell r="Y39">
            <v>5.0651009885604407E-4</v>
          </cell>
          <cell r="Z39">
            <v>5.032909327256505E-4</v>
          </cell>
          <cell r="AA39">
            <v>4.9324797817605062E-4</v>
          </cell>
          <cell r="AB39">
            <v>4.9948964650395756E-4</v>
          </cell>
          <cell r="AF39">
            <v>83.195842918928932</v>
          </cell>
          <cell r="AG39">
            <v>34</v>
          </cell>
          <cell r="AH39">
            <v>1.201983133910261E-2</v>
          </cell>
          <cell r="AI39">
            <v>1.201983133910261E-2</v>
          </cell>
          <cell r="AJ39">
            <v>1.201983133910261E-2</v>
          </cell>
          <cell r="AK39">
            <v>1.201983133910261E-2</v>
          </cell>
          <cell r="AL39">
            <v>1.201983133910261E-2</v>
          </cell>
          <cell r="AO39">
            <v>3.4342375254578909E-3</v>
          </cell>
          <cell r="AP39">
            <v>34</v>
          </cell>
          <cell r="AQ39">
            <v>1.6891891891891893E-3</v>
          </cell>
          <cell r="AR39">
            <v>1.6891891891891893E-3</v>
          </cell>
          <cell r="AS39">
            <v>1.6891891891891893E-3</v>
          </cell>
          <cell r="AT39">
            <v>1.6891891891891893E-3</v>
          </cell>
          <cell r="AU39">
            <v>1.6891891891891893E-3</v>
          </cell>
          <cell r="AY39">
            <v>34</v>
          </cell>
          <cell r="AZ39">
            <v>5.1513737464381883E-4</v>
          </cell>
          <cell r="BA39">
            <v>5.1513737464381883E-4</v>
          </cell>
          <cell r="BB39">
            <v>5.1513737464381883E-4</v>
          </cell>
          <cell r="BC39">
            <v>9.0404701333787827E-4</v>
          </cell>
          <cell r="BD39">
            <v>9.0404701333787827E-4</v>
          </cell>
        </row>
        <row r="40">
          <cell r="U40">
            <v>2.0773692561636779E-4</v>
          </cell>
          <cell r="V40">
            <v>1.9337691587565083E-4</v>
          </cell>
          <cell r="W40">
            <v>1.8364989895219852E-4</v>
          </cell>
          <cell r="X40">
            <v>4.7960438034815169E-4</v>
          </cell>
          <cell r="Y40">
            <v>4.780330884547162E-4</v>
          </cell>
          <cell r="Z40">
            <v>4.7483239216774886E-4</v>
          </cell>
          <cell r="AA40">
            <v>4.6478545564674858E-4</v>
          </cell>
          <cell r="AB40">
            <v>4.584814795282357E-4</v>
          </cell>
          <cell r="AF40">
            <v>85.729533541894909</v>
          </cell>
          <cell r="AG40">
            <v>35</v>
          </cell>
          <cell r="AH40">
            <v>1.1664591637038512E-2</v>
          </cell>
          <cell r="AI40">
            <v>1.1664591637038512E-2</v>
          </cell>
          <cell r="AJ40">
            <v>1.1664591637038512E-2</v>
          </cell>
          <cell r="AK40">
            <v>1.1664591637038512E-2</v>
          </cell>
          <cell r="AL40">
            <v>1.1664591637038512E-2</v>
          </cell>
          <cell r="AO40">
            <v>3.3327404677252915E-3</v>
          </cell>
          <cell r="AP40">
            <v>35</v>
          </cell>
          <cell r="AQ40">
            <v>1.6666666666666668E-3</v>
          </cell>
          <cell r="AR40">
            <v>1.6666666666666668E-3</v>
          </cell>
          <cell r="AS40">
            <v>1.6666666666666668E-3</v>
          </cell>
          <cell r="AT40">
            <v>1.6666666666666668E-3</v>
          </cell>
          <cell r="AU40">
            <v>1.6666666666666668E-3</v>
          </cell>
          <cell r="AY40">
            <v>35</v>
          </cell>
          <cell r="AZ40">
            <v>4.6830670422165342E-4</v>
          </cell>
          <cell r="BA40">
            <v>4.6830670422165342E-4</v>
          </cell>
          <cell r="BB40">
            <v>4.6830670422165342E-4</v>
          </cell>
          <cell r="BC40">
            <v>8.2186092121625291E-4</v>
          </cell>
          <cell r="BD40">
            <v>8.2186092121625291E-4</v>
          </cell>
        </row>
        <row r="41">
          <cell r="U41">
            <v>1.9584862585210578E-4</v>
          </cell>
          <cell r="V41">
            <v>1.8184378320636814E-4</v>
          </cell>
          <cell r="W41">
            <v>1.724775543455162E-4</v>
          </cell>
          <cell r="X41">
            <v>4.5304292272022278E-4</v>
          </cell>
          <cell r="Y41">
            <v>4.5148321547464662E-4</v>
          </cell>
          <cell r="Z41">
            <v>4.4831933177279031E-4</v>
          </cell>
          <cell r="AA41">
            <v>4.3823420438664852E-4</v>
          </cell>
          <cell r="AB41">
            <v>4.2973618700137717E-4</v>
          </cell>
          <cell r="AF41">
            <v>88.34038653196572</v>
          </cell>
          <cell r="AG41">
            <v>36</v>
          </cell>
          <cell r="AH41">
            <v>1.1319850854831304E-2</v>
          </cell>
          <cell r="AI41">
            <v>1.1319850854831304E-2</v>
          </cell>
          <cell r="AJ41">
            <v>1.1319850854831304E-2</v>
          </cell>
          <cell r="AK41">
            <v>1.1319850854831304E-2</v>
          </cell>
          <cell r="AL41">
            <v>1.1319850854831304E-2</v>
          </cell>
          <cell r="AO41">
            <v>2.7599181740012475E-3</v>
          </cell>
          <cell r="AP41">
            <v>36</v>
          </cell>
          <cell r="AQ41">
            <v>1.6447368421052631E-3</v>
          </cell>
          <cell r="AR41">
            <v>1.6447368421052631E-3</v>
          </cell>
          <cell r="AS41">
            <v>1.6447368421052631E-3</v>
          </cell>
          <cell r="AT41">
            <v>1.6447368421052631E-3</v>
          </cell>
          <cell r="AU41">
            <v>1.6447368421052631E-3</v>
          </cell>
          <cell r="AY41">
            <v>36</v>
          </cell>
          <cell r="AZ41">
            <v>4.2573336747423038E-4</v>
          </cell>
          <cell r="BA41">
            <v>4.2573336747423038E-4</v>
          </cell>
          <cell r="BB41">
            <v>4.2573336747423038E-4</v>
          </cell>
          <cell r="BC41">
            <v>7.4714629201477528E-4</v>
          </cell>
          <cell r="BD41">
            <v>7.4714629201477528E-4</v>
          </cell>
        </row>
        <row r="42">
          <cell r="U42">
            <v>1.8472130509047808E-4</v>
          </cell>
          <cell r="V42">
            <v>1.7108766650699312E-4</v>
          </cell>
          <cell r="W42">
            <v>1.6255003167256268E-4</v>
          </cell>
          <cell r="X42">
            <v>4.28221405714443E-4</v>
          </cell>
          <cell r="Y42">
            <v>4.2667853756414646E-4</v>
          </cell>
          <cell r="Z42">
            <v>4.2353948841396754E-4</v>
          </cell>
          <cell r="AA42">
            <v>4.1344025424376238E-4</v>
          </cell>
          <cell r="AB42">
            <v>4.0507534942118949E-4</v>
          </cell>
          <cell r="AF42">
            <v>91.030751833070255</v>
          </cell>
          <cell r="AG42">
            <v>37</v>
          </cell>
          <cell r="AH42">
            <v>1.0985298702506304E-2</v>
          </cell>
          <cell r="AI42">
            <v>1.0985298702506304E-2</v>
          </cell>
          <cell r="AJ42">
            <v>1.0985298702506304E-2</v>
          </cell>
          <cell r="AK42">
            <v>1.0985298702506304E-2</v>
          </cell>
          <cell r="AL42">
            <v>1.0985298702506304E-2</v>
          </cell>
          <cell r="AO42">
            <v>2.5847761652956032E-3</v>
          </cell>
          <cell r="AP42">
            <v>37</v>
          </cell>
          <cell r="AQ42">
            <v>1.6233766233766235E-3</v>
          </cell>
          <cell r="AR42">
            <v>1.6233766233766235E-3</v>
          </cell>
          <cell r="AS42">
            <v>1.6233766233766235E-3</v>
          </cell>
          <cell r="AT42">
            <v>1.6233766233766235E-3</v>
          </cell>
          <cell r="AU42">
            <v>1.6233766233766235E-3</v>
          </cell>
          <cell r="AY42">
            <v>37</v>
          </cell>
          <cell r="AZ42">
            <v>3.8703033406748213E-4</v>
          </cell>
          <cell r="BA42">
            <v>3.8703033406748213E-4</v>
          </cell>
          <cell r="BB42">
            <v>3.8703033406748213E-4</v>
          </cell>
          <cell r="BC42">
            <v>6.792239018316139E-4</v>
          </cell>
          <cell r="BD42">
            <v>6.792239018316139E-4</v>
          </cell>
        </row>
        <row r="43">
          <cell r="U43">
            <v>1.7429869516872351E-4</v>
          </cell>
          <cell r="V43">
            <v>1.6100326234983191E-4</v>
          </cell>
          <cell r="W43">
            <v>1.5315823596667743E-4</v>
          </cell>
          <cell r="X43">
            <v>4.0499916320532866E-4</v>
          </cell>
          <cell r="Y43">
            <v>4.0347186564284259E-4</v>
          </cell>
          <cell r="Z43">
            <v>4.0036681200233265E-4</v>
          </cell>
          <cell r="AA43">
            <v>3.9022738068324544E-4</v>
          </cell>
          <cell r="AB43">
            <v>3.820303673805548E-4</v>
          </cell>
          <cell r="AF43">
            <v>93.803050955584666</v>
          </cell>
          <cell r="AG43">
            <v>38</v>
          </cell>
          <cell r="AH43">
            <v>1.0660634060543463E-2</v>
          </cell>
          <cell r="AI43">
            <v>1.0660634060543463E-2</v>
          </cell>
          <cell r="AJ43">
            <v>1.0660634060543463E-2</v>
          </cell>
          <cell r="AK43">
            <v>1.0660634060543463E-2</v>
          </cell>
          <cell r="AL43">
            <v>1.0660634060543463E-2</v>
          </cell>
          <cell r="AO43">
            <v>2.4144468785694227E-3</v>
          </cell>
          <cell r="AP43">
            <v>38</v>
          </cell>
          <cell r="AQ43">
            <v>1.6025641025641025E-3</v>
          </cell>
          <cell r="AR43">
            <v>1.6025641025641025E-3</v>
          </cell>
          <cell r="AS43">
            <v>1.6025641025641025E-3</v>
          </cell>
          <cell r="AT43">
            <v>1.6025641025641025E-3</v>
          </cell>
          <cell r="AU43">
            <v>1.6025641025641025E-3</v>
          </cell>
          <cell r="AY43">
            <v>38</v>
          </cell>
          <cell r="AZ43">
            <v>3.5184575824316556E-4</v>
          </cell>
          <cell r="BA43">
            <v>3.5184575824316556E-4</v>
          </cell>
          <cell r="BB43">
            <v>3.5184575824316556E-4</v>
          </cell>
          <cell r="BC43">
            <v>6.1747627439237627E-4</v>
          </cell>
          <cell r="BD43">
            <v>6.1747627439237627E-4</v>
          </cell>
        </row>
        <row r="44">
          <cell r="U44">
            <v>1.6451890789886609E-4</v>
          </cell>
          <cell r="V44">
            <v>1.515746522940669E-4</v>
          </cell>
          <cell r="W44">
            <v>1.443212034893033E-4</v>
          </cell>
          <cell r="X44">
            <v>3.8324941649858107E-4</v>
          </cell>
          <cell r="Y44">
            <v>3.8174028513017526E-4</v>
          </cell>
          <cell r="Z44">
            <v>3.7866047722187618E-4</v>
          </cell>
          <cell r="AA44">
            <v>3.6845177458919275E-4</v>
          </cell>
          <cell r="AB44">
            <v>3.603923745225103E-4</v>
          </cell>
          <cell r="AF44">
            <v>96.659779155854991</v>
          </cell>
          <cell r="AG44">
            <v>39</v>
          </cell>
          <cell r="AH44">
            <v>1.0345564708849501E-2</v>
          </cell>
          <cell r="AI44">
            <v>1.0345564708849501E-2</v>
          </cell>
          <cell r="AJ44">
            <v>1.0345564708849501E-2</v>
          </cell>
          <cell r="AK44">
            <v>1.0345564708849501E-2</v>
          </cell>
          <cell r="AL44">
            <v>1.0345564708849501E-2</v>
          </cell>
          <cell r="AO44">
            <v>2.2779225047008076E-3</v>
          </cell>
          <cell r="AP44">
            <v>39</v>
          </cell>
          <cell r="AQ44">
            <v>1.5822784810126582E-3</v>
          </cell>
          <cell r="AR44">
            <v>1.5822784810126582E-3</v>
          </cell>
          <cell r="AS44">
            <v>1.5822784810126582E-3</v>
          </cell>
          <cell r="AT44">
            <v>1.5822784810126582E-3</v>
          </cell>
          <cell r="AU44">
            <v>1.5822784810126582E-3</v>
          </cell>
          <cell r="AY44">
            <v>39</v>
          </cell>
          <cell r="AZ44">
            <v>3.1985978022105956E-4</v>
          </cell>
          <cell r="BA44">
            <v>3.1985978022105956E-4</v>
          </cell>
          <cell r="BB44">
            <v>3.1985978022105956E-4</v>
          </cell>
          <cell r="BC44">
            <v>5.6134206762943292E-4</v>
          </cell>
          <cell r="BD44">
            <v>5.6134206762943292E-4</v>
          </cell>
        </row>
        <row r="45">
          <cell r="U45">
            <v>1.5532103913430703E-4</v>
          </cell>
          <cell r="V45">
            <v>1.4285402840195362E-4</v>
          </cell>
          <cell r="W45">
            <v>1.3602298888102651E-4</v>
          </cell>
          <cell r="X45">
            <v>3.6285763111314104E-4</v>
          </cell>
          <cell r="Y45">
            <v>3.6137171497211052E-4</v>
          </cell>
          <cell r="Z45">
            <v>3.5829912265154037E-4</v>
          </cell>
          <cell r="AA45">
            <v>3.4813673959319466E-4</v>
          </cell>
          <cell r="AB45">
            <v>3.4008280102340078E-4</v>
          </cell>
          <cell r="AF45">
            <v>99.603507682096421</v>
          </cell>
          <cell r="AG45">
            <v>40</v>
          </cell>
          <cell r="AH45">
            <v>1.003980706374007E-2</v>
          </cell>
          <cell r="AI45">
            <v>1.003980706374007E-2</v>
          </cell>
          <cell r="AJ45">
            <v>1.003980706374007E-2</v>
          </cell>
          <cell r="AK45">
            <v>1.003980706374007E-2</v>
          </cell>
          <cell r="AL45">
            <v>1.003980706374007E-2</v>
          </cell>
          <cell r="AO45">
            <v>2.1665683569099727E-3</v>
          </cell>
          <cell r="AP45">
            <v>40</v>
          </cell>
          <cell r="AQ45">
            <v>1.5625000000000001E-3</v>
          </cell>
          <cell r="AR45">
            <v>1.5625000000000001E-3</v>
          </cell>
          <cell r="AS45">
            <v>1.5625000000000001E-3</v>
          </cell>
          <cell r="AT45">
            <v>1.5625000000000001E-3</v>
          </cell>
          <cell r="AU45">
            <v>1.5625000000000001E-3</v>
          </cell>
          <cell r="AY45">
            <v>40</v>
          </cell>
          <cell r="AZ45">
            <v>2.9078161838278139E-4</v>
          </cell>
          <cell r="BA45">
            <v>2.9078161838278139E-4</v>
          </cell>
          <cell r="BB45">
            <v>2.9078161838278139E-4</v>
          </cell>
          <cell r="BC45">
            <v>5.1031097057221172E-4</v>
          </cell>
          <cell r="BD45">
            <v>5.1031097057221172E-4</v>
          </cell>
        </row>
        <row r="46">
          <cell r="U46">
            <v>1.4672599571354013E-4</v>
          </cell>
          <cell r="V46">
            <v>1.3471470154679822E-4</v>
          </cell>
          <cell r="W46">
            <v>1.2826925620038553E-4</v>
          </cell>
          <cell r="X46">
            <v>3.4372728321368064E-4</v>
          </cell>
          <cell r="Y46">
            <v>3.4225535489982212E-4</v>
          </cell>
          <cell r="Z46">
            <v>3.3918632874590881E-4</v>
          </cell>
          <cell r="AA46">
            <v>3.2907464157396014E-4</v>
          </cell>
          <cell r="AB46">
            <v>3.2097597304616636E-4</v>
          </cell>
          <cell r="AF46">
            <v>102.6368860886902</v>
          </cell>
          <cell r="AG46">
            <v>41</v>
          </cell>
          <cell r="AH46">
            <v>9.7430859226953128E-3</v>
          </cell>
          <cell r="AI46">
            <v>9.7430859226953128E-3</v>
          </cell>
          <cell r="AJ46">
            <v>9.7430859226953128E-3</v>
          </cell>
          <cell r="AK46">
            <v>9.7430859226953128E-3</v>
          </cell>
          <cell r="AL46">
            <v>9.7430859226953128E-3</v>
          </cell>
          <cell r="AO46">
            <v>2.0158108805576509E-3</v>
          </cell>
          <cell r="AP46">
            <v>41</v>
          </cell>
          <cell r="AQ46">
            <v>1.5432098765432098E-3</v>
          </cell>
          <cell r="AR46">
            <v>1.5432098765432098E-3</v>
          </cell>
          <cell r="AS46">
            <v>1.5432098765432098E-3</v>
          </cell>
          <cell r="AT46">
            <v>1.5432098765432098E-3</v>
          </cell>
          <cell r="AU46">
            <v>1.5432098765432098E-3</v>
          </cell>
          <cell r="AY46">
            <v>41</v>
          </cell>
          <cell r="AZ46">
            <v>2.6434692580252849E-4</v>
          </cell>
          <cell r="BA46">
            <v>2.6434692580252849E-4</v>
          </cell>
          <cell r="BB46">
            <v>2.6434692580252849E-4</v>
          </cell>
          <cell r="BC46">
            <v>4.6391906415655602E-4</v>
          </cell>
          <cell r="BD46">
            <v>4.6391906415655602E-4</v>
          </cell>
        </row>
        <row r="47">
          <cell r="U47">
            <v>1.3865928225082017E-4</v>
          </cell>
          <cell r="V47">
            <v>1.2733063845996585E-4</v>
          </cell>
          <cell r="W47">
            <v>1.2095817283919909E-4</v>
          </cell>
          <cell r="X47">
            <v>3.2575681018159495E-4</v>
          </cell>
          <cell r="Y47">
            <v>3.2428298960723693E-4</v>
          </cell>
          <cell r="Z47">
            <v>3.2121251606560949E-4</v>
          </cell>
          <cell r="AA47">
            <v>3.1112765748542241E-4</v>
          </cell>
          <cell r="AB47">
            <v>3.0300550609356502E-4</v>
          </cell>
          <cell r="AF47">
            <v>105.76264462096147</v>
          </cell>
          <cell r="AG47">
            <v>42</v>
          </cell>
          <cell r="AH47">
            <v>9.4551342166590124E-3</v>
          </cell>
          <cell r="AI47">
            <v>9.4551342166590124E-3</v>
          </cell>
          <cell r="AJ47">
            <v>9.4551342166590124E-3</v>
          </cell>
          <cell r="AK47">
            <v>9.4551342166590124E-3</v>
          </cell>
          <cell r="AL47">
            <v>9.4551342166590124E-3</v>
          </cell>
          <cell r="AO47">
            <v>1.9500213782652368E-3</v>
          </cell>
          <cell r="AP47">
            <v>42</v>
          </cell>
          <cell r="AQ47">
            <v>1.5243902439024391E-3</v>
          </cell>
          <cell r="AR47">
            <v>1.5243902439024391E-3</v>
          </cell>
          <cell r="AS47">
            <v>1.5243902439024391E-3</v>
          </cell>
          <cell r="AT47">
            <v>1.5243902439024391E-3</v>
          </cell>
          <cell r="AU47">
            <v>1.5243902439024391E-3</v>
          </cell>
          <cell r="AY47">
            <v>42</v>
          </cell>
          <cell r="AZ47">
            <v>2.403153870932077E-4</v>
          </cell>
          <cell r="BA47">
            <v>2.403153870932077E-4</v>
          </cell>
          <cell r="BB47">
            <v>2.403153870932077E-4</v>
          </cell>
          <cell r="BC47">
            <v>4.217446037786872E-4</v>
          </cell>
          <cell r="BD47">
            <v>4.217446037786872E-4</v>
          </cell>
        </row>
        <row r="48">
          <cell r="U48">
            <v>1.3109635688255338E-4</v>
          </cell>
          <cell r="V48">
            <v>1.2040284037753372E-4</v>
          </cell>
          <cell r="W48">
            <v>1.1414726075159508E-4</v>
          </cell>
          <cell r="X48">
            <v>3.0886067226116687E-4</v>
          </cell>
          <cell r="Y48">
            <v>3.0739710963860977E-4</v>
          </cell>
          <cell r="Z48">
            <v>3.0432546359140445E-4</v>
          </cell>
          <cell r="AA48">
            <v>2.9430535537843796E-4</v>
          </cell>
          <cell r="AB48">
            <v>2.8623210690306727E-4</v>
          </cell>
          <cell r="AF48">
            <v>108.98359667258428</v>
          </cell>
          <cell r="AG48">
            <v>43</v>
          </cell>
          <cell r="AH48">
            <v>9.1756927696584108E-3</v>
          </cell>
          <cell r="AI48">
            <v>9.1756927696584108E-3</v>
          </cell>
          <cell r="AJ48">
            <v>9.1756927696584108E-3</v>
          </cell>
          <cell r="AK48">
            <v>9.1756927696584108E-3</v>
          </cell>
          <cell r="AL48">
            <v>9.1756927696584108E-3</v>
          </cell>
          <cell r="AO48">
            <v>1.7903790770065183E-3</v>
          </cell>
          <cell r="AP48">
            <v>43</v>
          </cell>
          <cell r="AQ48">
            <v>1.5060240963855422E-3</v>
          </cell>
          <cell r="AR48">
            <v>1.5060240963855422E-3</v>
          </cell>
          <cell r="AS48">
            <v>1.5060240963855422E-3</v>
          </cell>
          <cell r="AT48">
            <v>1.5060240963855422E-3</v>
          </cell>
          <cell r="AU48">
            <v>1.5060240963855422E-3</v>
          </cell>
          <cell r="AY48">
            <v>43</v>
          </cell>
          <cell r="AZ48">
            <v>2.184685337210979E-4</v>
          </cell>
          <cell r="BA48">
            <v>2.184685337210979E-4</v>
          </cell>
          <cell r="BB48">
            <v>2.184685337210979E-4</v>
          </cell>
          <cell r="BC48">
            <v>3.83404185253352E-4</v>
          </cell>
          <cell r="BD48">
            <v>3.83404185253352E-4</v>
          </cell>
        </row>
        <row r="49">
          <cell r="U49">
            <v>1.2401401472846439E-4</v>
          </cell>
          <cell r="V49">
            <v>1.1386420480240646E-4</v>
          </cell>
          <cell r="W49">
            <v>1.0779758027804962E-4</v>
          </cell>
          <cell r="X49">
            <v>2.9296217673914596E-4</v>
          </cell>
          <cell r="Y49">
            <v>2.9151745521272503E-4</v>
          </cell>
          <cell r="Z49">
            <v>2.8847104114370536E-4</v>
          </cell>
          <cell r="AA49">
            <v>2.7853518135520646E-4</v>
          </cell>
          <cell r="AB49">
            <v>2.7053875431898468E-4</v>
          </cell>
          <cell r="AF49">
            <v>112.30264131782586</v>
          </cell>
          <cell r="AG49">
            <v>44</v>
          </cell>
          <cell r="AH49">
            <v>8.9045100655283475E-3</v>
          </cell>
          <cell r="AI49">
            <v>8.9045100655283475E-3</v>
          </cell>
          <cell r="AJ49">
            <v>8.9045100655283475E-3</v>
          </cell>
          <cell r="AK49">
            <v>8.9045100655283475E-3</v>
          </cell>
          <cell r="AL49">
            <v>8.9045100655283475E-3</v>
          </cell>
          <cell r="AO49">
            <v>1.737465378639677E-3</v>
          </cell>
          <cell r="AP49">
            <v>44</v>
          </cell>
          <cell r="AQ49">
            <v>1.488095238095238E-3</v>
          </cell>
          <cell r="AR49">
            <v>1.488095238095238E-3</v>
          </cell>
          <cell r="AS49">
            <v>1.488095238095238E-3</v>
          </cell>
          <cell r="AT49">
            <v>1.488095238095238E-3</v>
          </cell>
          <cell r="AU49">
            <v>1.488095238095238E-3</v>
          </cell>
          <cell r="AY49">
            <v>44</v>
          </cell>
          <cell r="AZ49">
            <v>1.9860775792827079E-4</v>
          </cell>
          <cell r="BA49">
            <v>1.9860775792827079E-4</v>
          </cell>
          <cell r="BB49">
            <v>1.9860775792827079E-4</v>
          </cell>
          <cell r="BC49">
            <v>3.4854925932122901E-4</v>
          </cell>
          <cell r="BD49">
            <v>3.4854925932122901E-4</v>
          </cell>
        </row>
        <row r="50">
          <cell r="U50">
            <v>1.1207074189738519E-4</v>
          </cell>
          <cell r="V50">
            <v>1.0297533232977378E-4</v>
          </cell>
          <cell r="W50">
            <v>9.7365876184589591E-5</v>
          </cell>
          <cell r="X50">
            <v>2.7800348476142889E-4</v>
          </cell>
          <cell r="Y50">
            <v>2.7657261266243282E-4</v>
          </cell>
          <cell r="Z50">
            <v>2.735654455044451E-4</v>
          </cell>
          <cell r="AA50">
            <v>2.636680325802105E-4</v>
          </cell>
          <cell r="AB50">
            <v>2.5574147301560523E-4</v>
          </cell>
          <cell r="AF50">
            <v>115.72276592090923</v>
          </cell>
          <cell r="AG50">
            <v>45</v>
          </cell>
          <cell r="AH50">
            <v>8.641342021529717E-3</v>
          </cell>
          <cell r="AI50">
            <v>8.641342021529717E-3</v>
          </cell>
          <cell r="AJ50">
            <v>8.641342021529717E-3</v>
          </cell>
          <cell r="AK50">
            <v>8.641342021529717E-3</v>
          </cell>
          <cell r="AL50">
            <v>8.641342021529717E-3</v>
          </cell>
          <cell r="AO50">
            <v>1.6133339955043426E-3</v>
          </cell>
          <cell r="AP50">
            <v>45</v>
          </cell>
          <cell r="AQ50">
            <v>1.4705882352941176E-3</v>
          </cell>
          <cell r="AR50">
            <v>1.4705882352941176E-3</v>
          </cell>
          <cell r="AS50">
            <v>1.4705882352941176E-3</v>
          </cell>
          <cell r="AT50">
            <v>1.4705882352941176E-3</v>
          </cell>
          <cell r="AU50">
            <v>1.4705882352941176E-3</v>
          </cell>
          <cell r="AY50">
            <v>45</v>
          </cell>
          <cell r="AZ50">
            <v>1.8055250720751888E-4</v>
          </cell>
          <cell r="BA50">
            <v>1.8055250720751888E-4</v>
          </cell>
          <cell r="BB50">
            <v>1.8055250720751888E-4</v>
          </cell>
          <cell r="BC50">
            <v>3.1686296301929907E-4</v>
          </cell>
          <cell r="BD50">
            <v>3.1686296301929907E-4</v>
          </cell>
        </row>
        <row r="51">
          <cell r="U51">
            <v>1.0611025376511635E-4</v>
          </cell>
          <cell r="V51">
            <v>9.7403248022929928E-5</v>
          </cell>
          <cell r="W51">
            <v>9.2023753153113737E-5</v>
          </cell>
          <cell r="X51">
            <v>2.6390448521289593E-4</v>
          </cell>
          <cell r="Y51">
            <v>2.6248844062612295E-4</v>
          </cell>
          <cell r="Z51">
            <v>2.5951620906272438E-4</v>
          </cell>
          <cell r="AA51">
            <v>2.4965537699089824E-4</v>
          </cell>
          <cell r="AB51">
            <v>2.4183938574363201E-4</v>
          </cell>
          <cell r="AF51">
            <v>119.24704882484244</v>
          </cell>
          <cell r="AG51">
            <v>46</v>
          </cell>
          <cell r="AH51">
            <v>8.3859517686585509E-3</v>
          </cell>
          <cell r="AI51">
            <v>8.3859517686585509E-3</v>
          </cell>
          <cell r="AJ51">
            <v>8.3859517686585509E-3</v>
          </cell>
          <cell r="AK51">
            <v>8.3859517686585509E-3</v>
          </cell>
          <cell r="AL51">
            <v>8.3859517686585509E-3</v>
          </cell>
          <cell r="AO51">
            <v>1.5481757111369637E-3</v>
          </cell>
          <cell r="AP51">
            <v>46</v>
          </cell>
          <cell r="AQ51">
            <v>1.4534883720930232E-3</v>
          </cell>
          <cell r="AR51">
            <v>1.4534883720930232E-3</v>
          </cell>
          <cell r="AS51">
            <v>1.4534883720930232E-3</v>
          </cell>
          <cell r="AT51">
            <v>1.4534883720930232E-3</v>
          </cell>
          <cell r="AU51">
            <v>1.4534883720930232E-3</v>
          </cell>
          <cell r="AY51">
            <v>46</v>
          </cell>
          <cell r="AZ51">
            <v>1.6413864291592623E-4</v>
          </cell>
          <cell r="BA51">
            <v>1.6413864291592623E-4</v>
          </cell>
          <cell r="BB51">
            <v>1.6413864291592623E-4</v>
          </cell>
          <cell r="BC51">
            <v>2.8805723910845367E-4</v>
          </cell>
          <cell r="BD51">
            <v>2.8805723910845367E-4</v>
          </cell>
        </row>
        <row r="52">
          <cell r="U52">
            <v>1.0047020857188199E-4</v>
          </cell>
          <cell r="V52">
            <v>9.2163421197018972E-5</v>
          </cell>
          <cell r="W52">
            <v>8.6999241785635294E-5</v>
          </cell>
          <cell r="X52">
            <v>2.5060566855066892E-4</v>
          </cell>
          <cell r="Y52">
            <v>2.49201942766261E-4</v>
          </cell>
          <cell r="Z52">
            <v>2.4625937111069808E-4</v>
          </cell>
          <cell r="AA52">
            <v>2.3643153744314785E-4</v>
          </cell>
          <cell r="AB52">
            <v>2.2871377853329351E-4</v>
          </cell>
          <cell r="AF52">
            <v>122.87866212213527</v>
          </cell>
          <cell r="AG52">
            <v>47</v>
          </cell>
          <cell r="AH52">
            <v>8.138109438447904E-3</v>
          </cell>
          <cell r="AI52">
            <v>8.138109438447904E-3</v>
          </cell>
          <cell r="AJ52">
            <v>8.138109438447904E-3</v>
          </cell>
          <cell r="AK52">
            <v>8.138109438447904E-3</v>
          </cell>
          <cell r="AL52">
            <v>8.138109438447904E-3</v>
          </cell>
          <cell r="AO52">
            <v>1.4552225890460677E-3</v>
          </cell>
          <cell r="AP52">
            <v>47</v>
          </cell>
          <cell r="AQ52">
            <v>1.4367816091954023E-3</v>
          </cell>
          <cell r="AR52">
            <v>1.4367816091954023E-3</v>
          </cell>
          <cell r="AS52">
            <v>1.4367816091954023E-3</v>
          </cell>
          <cell r="AT52">
            <v>1.4367816091954023E-3</v>
          </cell>
          <cell r="AU52">
            <v>1.4367816091954023E-3</v>
          </cell>
          <cell r="AY52">
            <v>47</v>
          </cell>
          <cell r="AZ52">
            <v>1.4921694810538747E-4</v>
          </cell>
          <cell r="BA52">
            <v>1.4921694810538747E-4</v>
          </cell>
          <cell r="BB52">
            <v>1.4921694810538747E-4</v>
          </cell>
          <cell r="BC52">
            <v>2.618702173713215E-4</v>
          </cell>
          <cell r="BD52">
            <v>2.618702173713215E-4</v>
          </cell>
        </row>
        <row r="53">
          <cell r="U53">
            <v>9.5134972221053353E-5</v>
          </cell>
          <cell r="V53">
            <v>8.7247872258981095E-5</v>
          </cell>
          <cell r="W53">
            <v>8.2255590442324838E-5</v>
          </cell>
          <cell r="X53">
            <v>2.3805244731096126E-4</v>
          </cell>
          <cell r="Y53">
            <v>2.3666376122626149E-4</v>
          </cell>
          <cell r="Z53">
            <v>2.3374062506102919E-4</v>
          </cell>
          <cell r="AA53">
            <v>2.2398009238209989E-4</v>
          </cell>
          <cell r="AB53">
            <v>2.1615377519414882E-4</v>
          </cell>
          <cell r="AF53">
            <v>126.62087450989657</v>
          </cell>
          <cell r="AG53">
            <v>48</v>
          </cell>
          <cell r="AH53">
            <v>7.8975919560707267E-3</v>
          </cell>
          <cell r="AI53">
            <v>7.8975919560707267E-3</v>
          </cell>
          <cell r="AJ53">
            <v>7.8975919560707267E-3</v>
          </cell>
          <cell r="AK53">
            <v>7.8975919560707267E-3</v>
          </cell>
          <cell r="AL53">
            <v>7.8975919560707267E-3</v>
          </cell>
          <cell r="AO53">
            <v>1.3734942532296918E-3</v>
          </cell>
          <cell r="AP53">
            <v>48</v>
          </cell>
          <cell r="AQ53">
            <v>1.4204545454545455E-3</v>
          </cell>
          <cell r="AR53">
            <v>1.4204545454545455E-3</v>
          </cell>
          <cell r="AS53">
            <v>1.4204545454545455E-3</v>
          </cell>
          <cell r="AT53">
            <v>1.4204545454545455E-3</v>
          </cell>
          <cell r="AU53">
            <v>1.4204545454545455E-3</v>
          </cell>
          <cell r="AY53">
            <v>48</v>
          </cell>
          <cell r="AZ53">
            <v>1.3565177100489771E-4</v>
          </cell>
          <cell r="BA53">
            <v>1.3565177100489771E-4</v>
          </cell>
          <cell r="BB53">
            <v>1.3565177100489771E-4</v>
          </cell>
          <cell r="BC53">
            <v>2.3806383397392865E-4</v>
          </cell>
          <cell r="BD53">
            <v>2.3806383397392865E-4</v>
          </cell>
        </row>
        <row r="54">
          <cell r="U54">
            <v>9.0106794442492119E-5</v>
          </cell>
          <cell r="V54">
            <v>8.2615421158848581E-5</v>
          </cell>
          <cell r="W54">
            <v>7.7688271493307157E-5</v>
          </cell>
          <cell r="X54">
            <v>2.2619467282421776E-4</v>
          </cell>
          <cell r="Y54">
            <v>2.2481362918768704E-4</v>
          </cell>
          <cell r="Z54">
            <v>2.2192568527822128E-4</v>
          </cell>
          <cell r="AA54">
            <v>2.1224175605043033E-4</v>
          </cell>
          <cell r="AB54">
            <v>2.0345081906498712E-4</v>
          </cell>
          <cell r="AF54">
            <v>130.47705423188225</v>
          </cell>
          <cell r="AG54">
            <v>49</v>
          </cell>
          <cell r="AH54">
            <v>7.6641828395574603E-3</v>
          </cell>
          <cell r="AI54">
            <v>7.6641828395574603E-3</v>
          </cell>
          <cell r="AJ54">
            <v>7.6641828395574603E-3</v>
          </cell>
          <cell r="AK54">
            <v>7.6641828395574603E-3</v>
          </cell>
          <cell r="AL54">
            <v>7.6641828395574603E-3</v>
          </cell>
          <cell r="AO54">
            <v>1.3135897539625124E-3</v>
          </cell>
          <cell r="AP54">
            <v>49</v>
          </cell>
          <cell r="AQ54">
            <v>1.4044943820224719E-3</v>
          </cell>
          <cell r="AR54">
            <v>1.4044943820224719E-3</v>
          </cell>
          <cell r="AS54">
            <v>1.4044943820224719E-3</v>
          </cell>
          <cell r="AT54">
            <v>1.4044943820224719E-3</v>
          </cell>
          <cell r="AU54">
            <v>1.4044943820224719E-3</v>
          </cell>
          <cell r="AY54">
            <v>49</v>
          </cell>
          <cell r="AZ54">
            <v>1.2331979182263425E-4</v>
          </cell>
          <cell r="BA54">
            <v>1.2331979182263425E-4</v>
          </cell>
          <cell r="BB54">
            <v>1.2331979182263425E-4</v>
          </cell>
          <cell r="BC54">
            <v>2.1642166724902603E-4</v>
          </cell>
          <cell r="BD54">
            <v>2.1642166724902603E-4</v>
          </cell>
        </row>
        <row r="55">
          <cell r="U55">
            <v>8.5373040461349017E-5</v>
          </cell>
          <cell r="V55">
            <v>7.8254024154727263E-5</v>
          </cell>
          <cell r="W55">
            <v>7.3542058702147711E-5</v>
          </cell>
          <cell r="X55">
            <v>2.1498500996950561E-4</v>
          </cell>
          <cell r="Y55">
            <v>2.1361323052581266E-4</v>
          </cell>
          <cell r="Z55">
            <v>2.1076982063745927E-4</v>
          </cell>
          <cell r="AA55">
            <v>2.0118600475797847E-4</v>
          </cell>
          <cell r="AB55">
            <v>1.9151245267707786E-4</v>
          </cell>
          <cell r="AF55">
            <v>134.45067211014194</v>
          </cell>
          <cell r="AG55">
            <v>50</v>
          </cell>
          <cell r="AH55">
            <v>7.4376720049476614E-3</v>
          </cell>
          <cell r="AI55">
            <v>7.4376720049476614E-3</v>
          </cell>
          <cell r="AJ55">
            <v>7.4376720049476614E-3</v>
          </cell>
          <cell r="AK55">
            <v>7.4376720049476614E-3</v>
          </cell>
          <cell r="AL55">
            <v>7.4376720049476614E-3</v>
          </cell>
          <cell r="AO55">
            <v>1.2226310145119451E-3</v>
          </cell>
          <cell r="AP55">
            <v>50</v>
          </cell>
          <cell r="AQ55">
            <v>1.3888888888888889E-3</v>
          </cell>
          <cell r="AR55">
            <v>1.3888888888888889E-3</v>
          </cell>
          <cell r="AS55">
            <v>1.3888888888888889E-3</v>
          </cell>
          <cell r="AT55">
            <v>1.3888888888888889E-3</v>
          </cell>
          <cell r="AU55">
            <v>1.3888888888888889E-3</v>
          </cell>
          <cell r="AY55">
            <v>50</v>
          </cell>
          <cell r="AZ55">
            <v>1.1210890165694024E-4</v>
          </cell>
          <cell r="BA55">
            <v>1.1210890165694024E-4</v>
          </cell>
          <cell r="BB55">
            <v>1.1210890165694024E-4</v>
          </cell>
          <cell r="BC55">
            <v>1.9674697022638727E-4</v>
          </cell>
          <cell r="BD55">
            <v>1.9674697022638727E-4</v>
          </cell>
        </row>
        <row r="56">
          <cell r="U56">
            <v>8.0895236235284485E-5</v>
          </cell>
          <cell r="V56">
            <v>7.4130508929984198E-5</v>
          </cell>
          <cell r="W56">
            <v>6.9637494939951854E-5</v>
          </cell>
          <cell r="X56">
            <v>2.0438079828771644E-4</v>
          </cell>
          <cell r="Y56">
            <v>2.0304086516531448E-4</v>
          </cell>
          <cell r="Z56">
            <v>2.0022264025918438E-4</v>
          </cell>
          <cell r="AA56">
            <v>1.9071926471782172E-4</v>
          </cell>
          <cell r="AB56">
            <v>1.803112467738883E-4</v>
          </cell>
          <cell r="AF56">
            <v>138.54530466899342</v>
          </cell>
          <cell r="AG56">
            <v>51</v>
          </cell>
          <cell r="AH56">
            <v>7.2178555772002351E-3</v>
          </cell>
          <cell r="AI56">
            <v>7.2178555772002351E-3</v>
          </cell>
          <cell r="AJ56">
            <v>7.2178555772002351E-3</v>
          </cell>
          <cell r="AK56">
            <v>7.2178555772002351E-3</v>
          </cell>
          <cell r="AL56">
            <v>7.2178555772002351E-3</v>
          </cell>
          <cell r="AO56">
            <v>1.186496807210996E-3</v>
          </cell>
          <cell r="AP56">
            <v>51</v>
          </cell>
          <cell r="AQ56">
            <v>1.3736263736263737E-3</v>
          </cell>
          <cell r="AR56">
            <v>1.3736263736263737E-3</v>
          </cell>
          <cell r="AS56">
            <v>1.3736263736263737E-3</v>
          </cell>
          <cell r="AT56">
            <v>1.3736263736263737E-3</v>
          </cell>
          <cell r="AU56">
            <v>1.3736263736263737E-3</v>
          </cell>
          <cell r="AY56">
            <v>51</v>
          </cell>
          <cell r="AZ56">
            <v>1.0191718332449112E-4</v>
          </cell>
          <cell r="BA56">
            <v>1.0191718332449112E-4</v>
          </cell>
          <cell r="BB56">
            <v>1.0191718332449112E-4</v>
          </cell>
          <cell r="BC56">
            <v>1.7886088202398844E-4</v>
          </cell>
          <cell r="BD56">
            <v>1.7886088202398844E-4</v>
          </cell>
        </row>
        <row r="57">
          <cell r="U57">
            <v>7.6624703476077023E-5</v>
          </cell>
          <cell r="V57">
            <v>7.0209819355219758E-5</v>
          </cell>
          <cell r="W57">
            <v>6.592484388694985E-5</v>
          </cell>
          <cell r="X57">
            <v>1.9434426153389965E-4</v>
          </cell>
          <cell r="Y57">
            <v>1.9300993946494045E-4</v>
          </cell>
          <cell r="Z57">
            <v>1.9019855642104326E-4</v>
          </cell>
          <cell r="AA57">
            <v>1.8076693366322059E-4</v>
          </cell>
          <cell r="AB57">
            <v>1.6965293431563344E-4</v>
          </cell>
          <cell r="AF57">
            <v>142.76463735413563</v>
          </cell>
          <cell r="AG57">
            <v>52</v>
          </cell>
          <cell r="AH57">
            <v>7.0045357066921572E-3</v>
          </cell>
          <cell r="AI57">
            <v>7.0045357066921572E-3</v>
          </cell>
          <cell r="AJ57">
            <v>7.0045357066921572E-3</v>
          </cell>
          <cell r="AK57">
            <v>7.0045357066921572E-3</v>
          </cell>
          <cell r="AL57">
            <v>7.0045357066921572E-3</v>
          </cell>
          <cell r="AO57">
            <v>1.093021365624695E-3</v>
          </cell>
          <cell r="AP57">
            <v>52</v>
          </cell>
          <cell r="AQ57">
            <v>1.358695652173913E-3</v>
          </cell>
          <cell r="AR57">
            <v>1.358695652173913E-3</v>
          </cell>
          <cell r="AS57">
            <v>1.358695652173913E-3</v>
          </cell>
          <cell r="AT57">
            <v>1.358695652173913E-3</v>
          </cell>
          <cell r="AU57">
            <v>1.358695652173913E-3</v>
          </cell>
          <cell r="AY57">
            <v>52</v>
          </cell>
          <cell r="AZ57">
            <v>9.2651984840446463E-5</v>
          </cell>
          <cell r="BA57">
            <v>9.2651984840446463E-5</v>
          </cell>
          <cell r="BB57">
            <v>9.2651984840446463E-5</v>
          </cell>
          <cell r="BC57">
            <v>1.6260080183998945E-4</v>
          </cell>
          <cell r="BD57">
            <v>1.6260080183998945E-4</v>
          </cell>
        </row>
        <row r="58">
          <cell r="U58">
            <v>7.2600506541030423E-5</v>
          </cell>
          <cell r="V58">
            <v>6.6507459684214608E-5</v>
          </cell>
          <cell r="W58">
            <v>6.2667746886818914E-5</v>
          </cell>
          <cell r="X58">
            <v>1.8483917494636846E-4</v>
          </cell>
          <cell r="Y58">
            <v>1.8350183154958646E-4</v>
          </cell>
          <cell r="Z58">
            <v>1.8069624588267592E-4</v>
          </cell>
          <cell r="AA58">
            <v>1.7137640629248229E-4</v>
          </cell>
          <cell r="AB58">
            <v>1.5968351926860068E-4</v>
          </cell>
          <cell r="AF58">
            <v>147.11246784979863</v>
          </cell>
          <cell r="AG58">
            <v>53</v>
          </cell>
          <cell r="AH58">
            <v>6.7975203911404495E-3</v>
          </cell>
          <cell r="AI58">
            <v>6.7975203911404495E-3</v>
          </cell>
          <cell r="AJ58">
            <v>6.7975203911404495E-3</v>
          </cell>
          <cell r="AK58">
            <v>6.7975203911404495E-3</v>
          </cell>
          <cell r="AL58">
            <v>6.7975203911404495E-3</v>
          </cell>
          <cell r="AO58">
            <v>1.0593538271907192E-3</v>
          </cell>
          <cell r="AP58">
            <v>53</v>
          </cell>
          <cell r="AQ58">
            <v>1.3440860215053765E-3</v>
          </cell>
          <cell r="AR58">
            <v>1.3440860215053765E-3</v>
          </cell>
          <cell r="AS58">
            <v>1.3440860215053765E-3</v>
          </cell>
          <cell r="AT58">
            <v>1.3440860215053765E-3</v>
          </cell>
          <cell r="AU58">
            <v>1.3440860215053765E-3</v>
          </cell>
          <cell r="AY58">
            <v>53</v>
          </cell>
          <cell r="AZ58">
            <v>8.4229077127678589E-5</v>
          </cell>
          <cell r="BA58">
            <v>8.4229077127678589E-5</v>
          </cell>
          <cell r="BB58">
            <v>8.4229077127678589E-5</v>
          </cell>
          <cell r="BC58">
            <v>1.4781891076362676E-4</v>
          </cell>
          <cell r="BD58">
            <v>1.4781891076362676E-4</v>
          </cell>
        </row>
        <row r="59">
          <cell r="U59">
            <v>6.8806212371493212E-5</v>
          </cell>
          <cell r="V59">
            <v>6.3039175974520401E-5</v>
          </cell>
          <cell r="W59">
            <v>5.9629616369490476E-5</v>
          </cell>
          <cell r="X59">
            <v>1.3170412590110539E-4</v>
          </cell>
          <cell r="Y59">
            <v>1.3045384948973639E-4</v>
          </cell>
          <cell r="Z59">
            <v>1.2785540895681287E-4</v>
          </cell>
          <cell r="AA59">
            <v>1.2126430482034499E-4</v>
          </cell>
          <cell r="AB59">
            <v>1.1278179664446988E-4</v>
          </cell>
          <cell r="AF59">
            <v>151.592709496916</v>
          </cell>
          <cell r="AG59">
            <v>54</v>
          </cell>
          <cell r="AH59">
            <v>6.5966233027871567E-3</v>
          </cell>
          <cell r="AI59">
            <v>6.5966233027871567E-3</v>
          </cell>
          <cell r="AJ59">
            <v>6.5966233027871567E-3</v>
          </cell>
          <cell r="AK59">
            <v>6.5966233027871567E-3</v>
          </cell>
          <cell r="AL59">
            <v>6.5966233027871567E-3</v>
          </cell>
          <cell r="AO59">
            <v>9.9154959367252346E-4</v>
          </cell>
          <cell r="AP59">
            <v>54</v>
          </cell>
          <cell r="AQ59">
            <v>1.3297872340425532E-3</v>
          </cell>
          <cell r="AR59">
            <v>1.3297872340425532E-3</v>
          </cell>
          <cell r="AS59">
            <v>1.3297872340425532E-3</v>
          </cell>
          <cell r="AT59">
            <v>1.3297872340425532E-3</v>
          </cell>
          <cell r="AU59">
            <v>1.3297872340425532E-3</v>
          </cell>
          <cell r="AY59">
            <v>54</v>
          </cell>
          <cell r="AZ59">
            <v>7.6571888297889614E-5</v>
          </cell>
          <cell r="BA59">
            <v>7.6571888297889614E-5</v>
          </cell>
          <cell r="BB59">
            <v>7.6571888297889614E-5</v>
          </cell>
          <cell r="BC59">
            <v>1.343808279669334E-4</v>
          </cell>
          <cell r="BD59">
            <v>1.343808279669334E-4</v>
          </cell>
        </row>
        <row r="60">
          <cell r="U60">
            <v>6.5347526871099168E-5</v>
          </cell>
          <cell r="V60">
            <v>5.9763394866860696E-5</v>
          </cell>
          <cell r="W60">
            <v>5.6746124490357268E-5</v>
          </cell>
          <cell r="X60">
            <v>1.2547567983734614E-4</v>
          </cell>
          <cell r="Y60">
            <v>1.242516760771481E-4</v>
          </cell>
          <cell r="Z60">
            <v>1.2171898381083614E-4</v>
          </cell>
          <cell r="AA60">
            <v>1.152563129286806E-4</v>
          </cell>
          <cell r="AB60">
            <v>1.0665176195754535E-4</v>
          </cell>
          <cell r="AF60">
            <v>156.20939481539546</v>
          </cell>
          <cell r="AG60">
            <v>55</v>
          </cell>
          <cell r="AH60">
            <v>6.4016636206918037E-3</v>
          </cell>
          <cell r="AI60">
            <v>6.4016636206918037E-3</v>
          </cell>
          <cell r="AJ60">
            <v>6.4016636206918037E-3</v>
          </cell>
          <cell r="AK60">
            <v>6.4016636206918037E-3</v>
          </cell>
          <cell r="AL60">
            <v>6.4016636206918037E-3</v>
          </cell>
          <cell r="AO60">
            <v>9.4839461047285876E-4</v>
          </cell>
          <cell r="AP60">
            <v>55</v>
          </cell>
          <cell r="AQ60">
            <v>1.3157894736842105E-3</v>
          </cell>
          <cell r="AR60">
            <v>1.3157894736842105E-3</v>
          </cell>
          <cell r="AS60">
            <v>1.3157894736842105E-3</v>
          </cell>
          <cell r="AT60">
            <v>1.3157894736842105E-3</v>
          </cell>
          <cell r="AU60">
            <v>1.3157894736842105E-3</v>
          </cell>
          <cell r="AY60">
            <v>55</v>
          </cell>
          <cell r="AZ60">
            <v>6.9610807543536008E-5</v>
          </cell>
          <cell r="BA60">
            <v>6.9610807543536008E-5</v>
          </cell>
          <cell r="BB60">
            <v>6.9610807543536008E-5</v>
          </cell>
          <cell r="BC60">
            <v>1.2216438906084852E-4</v>
          </cell>
          <cell r="BD60">
            <v>1.2216438906084852E-4</v>
          </cell>
        </row>
        <row r="61">
          <cell r="U61">
            <v>6.2092244723923771E-5</v>
          </cell>
          <cell r="V61">
            <v>5.659121058679592E-5</v>
          </cell>
          <cell r="W61">
            <v>5.4006926709665688E-5</v>
          </cell>
          <cell r="X61">
            <v>1.1956470056369601E-4</v>
          </cell>
          <cell r="Y61">
            <v>1.1836698303509968E-4</v>
          </cell>
          <cell r="Z61">
            <v>1.1588946598804522E-4</v>
          </cell>
          <cell r="AA61">
            <v>1.0917998835827164E-4</v>
          </cell>
          <cell r="AB61">
            <v>1.0082672365798868E-4</v>
          </cell>
          <cell r="AF61">
            <v>160.96667913365923</v>
          </cell>
          <cell r="AG61">
            <v>56</v>
          </cell>
          <cell r="AH61">
            <v>6.2124658679803329E-3</v>
          </cell>
          <cell r="AI61">
            <v>6.2124658679803329E-3</v>
          </cell>
          <cell r="AJ61">
            <v>6.2124658679803329E-3</v>
          </cell>
          <cell r="AK61">
            <v>6.2124658679803329E-3</v>
          </cell>
          <cell r="AL61">
            <v>6.2124658679803329E-3</v>
          </cell>
          <cell r="AO61">
            <v>8.9854001331177657E-4</v>
          </cell>
          <cell r="AP61">
            <v>56</v>
          </cell>
          <cell r="AQ61">
            <v>1.3020833333333333E-3</v>
          </cell>
          <cell r="AR61">
            <v>1.3020833333333333E-3</v>
          </cell>
          <cell r="AS61">
            <v>1.3020833333333333E-3</v>
          </cell>
          <cell r="AT61">
            <v>1.3020833333333333E-3</v>
          </cell>
          <cell r="AU61">
            <v>1.3020833333333333E-3</v>
          </cell>
          <cell r="AY61">
            <v>56</v>
          </cell>
          <cell r="AZ61">
            <v>6.328255231230545E-5</v>
          </cell>
          <cell r="BA61">
            <v>6.328255231230545E-5</v>
          </cell>
          <cell r="BB61">
            <v>6.328255231230545E-5</v>
          </cell>
          <cell r="BC61">
            <v>1.1105853550986229E-4</v>
          </cell>
          <cell r="BD61">
            <v>1.1105853550986229E-4</v>
          </cell>
        </row>
        <row r="62">
          <cell r="U62">
            <v>5.8981945679811826E-5</v>
          </cell>
          <cell r="V62">
            <v>5.3658245460105597E-5</v>
          </cell>
          <cell r="W62">
            <v>5.1403242332621671E-5</v>
          </cell>
          <cell r="X62">
            <v>1.1394994671972924E-4</v>
          </cell>
          <cell r="Y62">
            <v>1.1277458541705595E-4</v>
          </cell>
          <cell r="Z62">
            <v>1.1035033300503778E-4</v>
          </cell>
          <cell r="AA62">
            <v>1.0339893848358769E-4</v>
          </cell>
          <cell r="AB62">
            <v>9.5296558191904811E-5</v>
          </cell>
          <cell r="AF62">
            <v>165.86884432872012</v>
          </cell>
          <cell r="AG62">
            <v>57</v>
          </cell>
          <cell r="AH62">
            <v>6.0288597539040695E-3</v>
          </cell>
          <cell r="AI62">
            <v>6.0288597539040695E-3</v>
          </cell>
          <cell r="AJ62">
            <v>6.0288597539040695E-3</v>
          </cell>
          <cell r="AK62">
            <v>6.0288597539040695E-3</v>
          </cell>
          <cell r="AL62">
            <v>6.0288597539040695E-3</v>
          </cell>
          <cell r="AO62">
            <v>8.4615575493390415E-4</v>
          </cell>
          <cell r="AP62">
            <v>57</v>
          </cell>
          <cell r="AQ62">
            <v>1.288659793814433E-3</v>
          </cell>
          <cell r="AR62">
            <v>1.288659793814433E-3</v>
          </cell>
          <cell r="AS62">
            <v>1.288659793814433E-3</v>
          </cell>
          <cell r="AT62">
            <v>1.288659793814433E-3</v>
          </cell>
          <cell r="AU62">
            <v>1.288659793814433E-3</v>
          </cell>
          <cell r="AY62">
            <v>57</v>
          </cell>
          <cell r="AZ62">
            <v>5.7529593011186771E-5</v>
          </cell>
          <cell r="BA62">
            <v>5.7529593011186771E-5</v>
          </cell>
          <cell r="BB62">
            <v>5.7529593011186771E-5</v>
          </cell>
          <cell r="BC62">
            <v>1.0096230500896572E-4</v>
          </cell>
          <cell r="BD62">
            <v>1.0096230500896572E-4</v>
          </cell>
        </row>
        <row r="63">
          <cell r="U63">
            <v>5.083315956845069E-5</v>
          </cell>
          <cell r="V63">
            <v>4.6417321601933126E-5</v>
          </cell>
          <cell r="W63">
            <v>4.455023595747605E-5</v>
          </cell>
          <cell r="X63">
            <v>9.6672237209185195E-5</v>
          </cell>
          <cell r="Y63">
            <v>9.5597301384098342E-5</v>
          </cell>
          <cell r="Z63">
            <v>9.3391608308810199E-5</v>
          </cell>
          <cell r="AA63">
            <v>8.7237078658561589E-5</v>
          </cell>
          <cell r="AB63">
            <v>8.0586324043477344E-5</v>
          </cell>
          <cell r="AF63">
            <v>170.92030268015972</v>
          </cell>
          <cell r="AG63">
            <v>58</v>
          </cell>
          <cell r="AH63">
            <v>5.8506800205665628E-3</v>
          </cell>
          <cell r="AI63">
            <v>5.8506800205665628E-3</v>
          </cell>
          <cell r="AJ63">
            <v>5.8506800205665628E-3</v>
          </cell>
          <cell r="AK63">
            <v>5.8506800205665628E-3</v>
          </cell>
          <cell r="AL63">
            <v>5.8506800205665628E-3</v>
          </cell>
          <cell r="AO63">
            <v>8.14207384625071E-4</v>
          </cell>
          <cell r="AP63">
            <v>58</v>
          </cell>
          <cell r="AQ63">
            <v>1.2755102040816326E-3</v>
          </cell>
          <cell r="AR63">
            <v>1.2755102040816326E-3</v>
          </cell>
          <cell r="AS63">
            <v>1.2755102040816326E-3</v>
          </cell>
          <cell r="AT63">
            <v>1.2755102040816326E-3</v>
          </cell>
          <cell r="AU63">
            <v>1.2755102040816326E-3</v>
          </cell>
          <cell r="AY63">
            <v>58</v>
          </cell>
          <cell r="AZ63">
            <v>5.2299630010169788E-5</v>
          </cell>
          <cell r="BA63">
            <v>5.2299630010169788E-5</v>
          </cell>
          <cell r="BB63">
            <v>5.2299630010169788E-5</v>
          </cell>
          <cell r="BC63">
            <v>9.1783913644514277E-5</v>
          </cell>
          <cell r="BD63">
            <v>9.1783913644514277E-5</v>
          </cell>
        </row>
        <row r="64">
          <cell r="U64">
            <v>4.8286982068079675E-5</v>
          </cell>
          <cell r="V64">
            <v>4.4062620097096846E-5</v>
          </cell>
          <cell r="W64">
            <v>4.2442371840032192E-5</v>
          </cell>
          <cell r="X64">
            <v>9.2199618859144068E-5</v>
          </cell>
          <cell r="Y64">
            <v>9.1152324313863617E-5</v>
          </cell>
          <cell r="Z64">
            <v>8.8998155428197498E-5</v>
          </cell>
          <cell r="AA64">
            <v>8.267538391851203E-5</v>
          </cell>
          <cell r="AB64">
            <v>7.6375506256924226E-5</v>
          </cell>
          <cell r="AF64">
            <v>176.12560084147805</v>
          </cell>
          <cell r="AG64">
            <v>59</v>
          </cell>
          <cell r="AH64">
            <v>5.6777662941803137E-3</v>
          </cell>
          <cell r="AI64">
            <v>5.6777662941803137E-3</v>
          </cell>
          <cell r="AJ64">
            <v>5.6777662941803137E-3</v>
          </cell>
          <cell r="AK64">
            <v>5.6777662941803137E-3</v>
          </cell>
          <cell r="AL64">
            <v>5.6777662941803137E-3</v>
          </cell>
          <cell r="AO64">
            <v>7.5703550589070886E-4</v>
          </cell>
          <cell r="AP64">
            <v>59</v>
          </cell>
          <cell r="AQ64">
            <v>1.2626262626262627E-3</v>
          </cell>
          <cell r="AR64">
            <v>1.2626262626262627E-3</v>
          </cell>
          <cell r="AS64">
            <v>1.2626262626262627E-3</v>
          </cell>
          <cell r="AT64">
            <v>1.2626262626262627E-3</v>
          </cell>
          <cell r="AU64">
            <v>1.2626262626262627E-3</v>
          </cell>
          <cell r="AY64">
            <v>59</v>
          </cell>
          <cell r="AZ64">
            <v>4.7545118191063442E-5</v>
          </cell>
          <cell r="BA64">
            <v>4.7545118191063442E-5</v>
          </cell>
          <cell r="BB64">
            <v>4.7545118191063442E-5</v>
          </cell>
          <cell r="BC64">
            <v>8.3439921495012971E-5</v>
          </cell>
          <cell r="BD64">
            <v>8.3439921495012971E-5</v>
          </cell>
        </row>
        <row r="65">
          <cell r="U65">
            <v>4.627175239163545E-5</v>
          </cell>
          <cell r="V65">
            <v>4.2296966611736511E-5</v>
          </cell>
          <cell r="W65">
            <v>4.0774690917976917E-5</v>
          </cell>
          <cell r="X65">
            <v>8.8686822180027156E-5</v>
          </cell>
          <cell r="Y65">
            <v>8.7655894563419895E-5</v>
          </cell>
          <cell r="Z65">
            <v>8.5536523279476799E-5</v>
          </cell>
          <cell r="AA65">
            <v>7.8968960051793455E-5</v>
          </cell>
          <cell r="AB65">
            <v>7.2987893257381986E-5</v>
          </cell>
          <cell r="AF65">
            <v>180</v>
          </cell>
          <cell r="AG65">
            <v>60</v>
          </cell>
          <cell r="AH65">
            <v>5.5555555555555558E-3</v>
          </cell>
          <cell r="AI65">
            <v>5.5555555555555558E-3</v>
          </cell>
          <cell r="AJ65">
            <v>5.5555555555555558E-3</v>
          </cell>
          <cell r="AK65">
            <v>5.5555555555555558E-3</v>
          </cell>
          <cell r="AL65">
            <v>5.5555555555555558E-3</v>
          </cell>
          <cell r="AO65">
            <v>7.4074074074074114E-4</v>
          </cell>
          <cell r="AP65">
            <v>60</v>
          </cell>
          <cell r="AQ65">
            <v>1.25E-3</v>
          </cell>
          <cell r="AR65">
            <v>1.25E-3</v>
          </cell>
          <cell r="AS65">
            <v>1.25E-3</v>
          </cell>
          <cell r="AT65">
            <v>1.25E-3</v>
          </cell>
          <cell r="AU65">
            <v>1.25E-3</v>
          </cell>
          <cell r="AY65">
            <v>60</v>
          </cell>
          <cell r="AZ65">
            <v>4.3222834719148579E-5</v>
          </cell>
          <cell r="BA65">
            <v>4.3222834719148579E-5</v>
          </cell>
          <cell r="BB65">
            <v>4.3222834719148579E-5</v>
          </cell>
          <cell r="BC65">
            <v>7.5854474086375418E-5</v>
          </cell>
          <cell r="BD65">
            <v>7.5854474086375418E-5</v>
          </cell>
        </row>
        <row r="66">
          <cell r="U66">
            <v>4.5317045039102676E-5</v>
          </cell>
          <cell r="V66">
            <v>4.1543976663619897E-5</v>
          </cell>
          <cell r="W66">
            <v>4.0039814660895337E-5</v>
          </cell>
          <cell r="X66">
            <v>8.719786928371688E-5</v>
          </cell>
          <cell r="Y66">
            <v>8.6159933548752936E-5</v>
          </cell>
          <cell r="Z66">
            <v>8.4015597724219473E-5</v>
          </cell>
          <cell r="AA66">
            <v>7.7047647898572001E-5</v>
          </cell>
          <cell r="AB66">
            <v>7.1283776518609587E-5</v>
          </cell>
          <cell r="AF66">
            <v>180</v>
          </cell>
          <cell r="AG66">
            <v>61</v>
          </cell>
          <cell r="AH66">
            <v>5.5555555555555558E-3</v>
          </cell>
          <cell r="AI66">
            <v>5.5555555555555558E-3</v>
          </cell>
          <cell r="AJ66">
            <v>5.5555555555555558E-3</v>
          </cell>
          <cell r="AK66">
            <v>5.5555555555555558E-3</v>
          </cell>
          <cell r="AL66">
            <v>5.5555555555555558E-3</v>
          </cell>
          <cell r="AO66">
            <v>7.0914307760939089E-4</v>
          </cell>
          <cell r="AP66">
            <v>61</v>
          </cell>
          <cell r="AQ66">
            <v>1.2376237623762376E-3</v>
          </cell>
          <cell r="AR66">
            <v>1.2376237623762376E-3</v>
          </cell>
          <cell r="AS66">
            <v>1.2376237623762376E-3</v>
          </cell>
          <cell r="AT66">
            <v>1.2376237623762376E-3</v>
          </cell>
          <cell r="AU66">
            <v>1.2376237623762376E-3</v>
          </cell>
          <cell r="AY66">
            <v>61</v>
          </cell>
          <cell r="AZ66">
            <v>3.9293486108316887E-5</v>
          </cell>
          <cell r="BA66">
            <v>3.9293486108316887E-5</v>
          </cell>
          <cell r="BB66">
            <v>3.9293486108316887E-5</v>
          </cell>
          <cell r="BC66">
            <v>6.8958612805795826E-5</v>
          </cell>
          <cell r="BD66">
            <v>6.8958612805795826E-5</v>
          </cell>
        </row>
        <row r="67">
          <cell r="U67">
            <v>4.437482024856386E-5</v>
          </cell>
          <cell r="V67">
            <v>4.0803262919811528E-5</v>
          </cell>
          <cell r="W67">
            <v>3.9308040309152457E-5</v>
          </cell>
          <cell r="X67">
            <v>8.5747926198526814E-5</v>
          </cell>
          <cell r="Y67">
            <v>8.4692157361396532E-5</v>
          </cell>
          <cell r="Z67">
            <v>8.2527954603959497E-5</v>
          </cell>
          <cell r="AA67">
            <v>7.5136449037954749E-5</v>
          </cell>
          <cell r="AB67">
            <v>6.9551112630245095E-5</v>
          </cell>
          <cell r="AF67">
            <v>180</v>
          </cell>
          <cell r="AG67">
            <v>62</v>
          </cell>
          <cell r="AH67">
            <v>5.5555555555555558E-3</v>
          </cell>
          <cell r="AI67">
            <v>5.5555555555555558E-3</v>
          </cell>
          <cell r="AJ67">
            <v>5.5555555555555558E-3</v>
          </cell>
          <cell r="AK67">
            <v>5.5555555555555558E-3</v>
          </cell>
          <cell r="AL67">
            <v>5.5555555555555558E-3</v>
          </cell>
          <cell r="AO67">
            <v>7.0546737213404015E-4</v>
          </cell>
          <cell r="AP67">
            <v>62</v>
          </cell>
          <cell r="AQ67">
            <v>1.2254901960784314E-3</v>
          </cell>
          <cell r="AR67">
            <v>1.2254901960784314E-3</v>
          </cell>
          <cell r="AS67">
            <v>1.2254901960784314E-3</v>
          </cell>
          <cell r="AT67">
            <v>1.2254901960784314E-3</v>
          </cell>
          <cell r="AU67">
            <v>1.2254901960784314E-3</v>
          </cell>
          <cell r="AY67">
            <v>62</v>
          </cell>
          <cell r="AZ67">
            <v>3.5721351007560798E-5</v>
          </cell>
          <cell r="BA67">
            <v>3.5721351007560798E-5</v>
          </cell>
          <cell r="BB67">
            <v>3.5721351007560798E-5</v>
          </cell>
          <cell r="BC67">
            <v>6.2689648005268919E-5</v>
          </cell>
          <cell r="BD67">
            <v>6.2689648005268919E-5</v>
          </cell>
        </row>
        <row r="68">
          <cell r="U68">
            <v>4.3443883019722118E-5</v>
          </cell>
          <cell r="V68">
            <v>4.0075214771365756E-5</v>
          </cell>
          <cell r="W68">
            <v>3.8593722460572894E-5</v>
          </cell>
          <cell r="X68">
            <v>8.4326085904919089E-5</v>
          </cell>
          <cell r="Y68">
            <v>8.3256690389474434E-5</v>
          </cell>
          <cell r="Z68">
            <v>8.1061226248432033E-5</v>
          </cell>
          <cell r="AA68">
            <v>7.3236604012124173E-5</v>
          </cell>
          <cell r="AB68">
            <v>6.7858550225449052E-5</v>
          </cell>
          <cell r="AF68">
            <v>180</v>
          </cell>
          <cell r="AG68">
            <v>63</v>
          </cell>
          <cell r="AH68">
            <v>5.5555555555555558E-3</v>
          </cell>
          <cell r="AI68">
            <v>5.5555555555555558E-3</v>
          </cell>
          <cell r="AJ68">
            <v>5.5555555555555558E-3</v>
          </cell>
          <cell r="AK68">
            <v>5.5555555555555558E-3</v>
          </cell>
          <cell r="AL68">
            <v>5.5555555555555558E-3</v>
          </cell>
          <cell r="AO68">
            <v>6.8061327455537816E-4</v>
          </cell>
          <cell r="AP68">
            <v>63</v>
          </cell>
          <cell r="AQ68">
            <v>1.2135922330097086E-3</v>
          </cell>
          <cell r="AR68">
            <v>1.2135922330097086E-3</v>
          </cell>
          <cell r="AS68">
            <v>1.2135922330097086E-3</v>
          </cell>
          <cell r="AT68">
            <v>1.2135922330097086E-3</v>
          </cell>
          <cell r="AU68">
            <v>1.2135922330097086E-3</v>
          </cell>
          <cell r="AY68">
            <v>63</v>
          </cell>
          <cell r="AZ68">
            <v>3.2473955461418906E-5</v>
          </cell>
          <cell r="BA68">
            <v>3.2473955461418906E-5</v>
          </cell>
          <cell r="BB68">
            <v>3.2473955461418906E-5</v>
          </cell>
          <cell r="BC68">
            <v>5.6990589095699022E-5</v>
          </cell>
          <cell r="BD68">
            <v>5.6990589095699022E-5</v>
          </cell>
        </row>
        <row r="69">
          <cell r="U69">
            <v>4.253309377691956E-5</v>
          </cell>
          <cell r="V69">
            <v>3.9362159241887973E-5</v>
          </cell>
          <cell r="W69">
            <v>3.789195783449803E-5</v>
          </cell>
          <cell r="X69">
            <v>8.2936333084694571E-5</v>
          </cell>
          <cell r="Y69">
            <v>8.1845854093097069E-5</v>
          </cell>
          <cell r="Z69">
            <v>7.9622813510033593E-5</v>
          </cell>
          <cell r="AA69">
            <v>7.1466442010099566E-5</v>
          </cell>
          <cell r="AB69">
            <v>6.6194027842637359E-5</v>
          </cell>
          <cell r="AF69">
            <v>180</v>
          </cell>
          <cell r="AG69">
            <v>64</v>
          </cell>
          <cell r="AH69">
            <v>5.5555555555555558E-3</v>
          </cell>
          <cell r="AI69">
            <v>5.5555555555555558E-3</v>
          </cell>
          <cell r="AJ69">
            <v>5.5555555555555558E-3</v>
          </cell>
          <cell r="AK69">
            <v>5.5555555555555558E-3</v>
          </cell>
          <cell r="AL69">
            <v>5.5555555555555558E-3</v>
          </cell>
          <cell r="AO69">
            <v>6.7340067340067311E-4</v>
          </cell>
          <cell r="AP69">
            <v>64</v>
          </cell>
          <cell r="AQ69">
            <v>1.201923076923077E-3</v>
          </cell>
          <cell r="AR69">
            <v>1.201923076923077E-3</v>
          </cell>
          <cell r="AS69">
            <v>1.201923076923077E-3</v>
          </cell>
          <cell r="AT69">
            <v>1.201923076923077E-3</v>
          </cell>
          <cell r="AU69">
            <v>1.201923076923077E-3</v>
          </cell>
          <cell r="AY69">
            <v>64</v>
          </cell>
          <cell r="AZ69">
            <v>2.9521777692199E-5</v>
          </cell>
          <cell r="BA69">
            <v>2.9521777692199E-5</v>
          </cell>
          <cell r="BB69">
            <v>2.9521777692199E-5</v>
          </cell>
          <cell r="BC69">
            <v>5.1809626450635464E-5</v>
          </cell>
          <cell r="BD69">
            <v>5.1809626450635464E-5</v>
          </cell>
        </row>
        <row r="70">
          <cell r="U70">
            <v>4.1627232662744268E-5</v>
          </cell>
          <cell r="V70">
            <v>3.8668087495824493E-5</v>
          </cell>
          <cell r="W70">
            <v>3.7232593051313765E-5</v>
          </cell>
          <cell r="X70">
            <v>8.1571978111065864E-5</v>
          </cell>
          <cell r="Y70">
            <v>8.0473016021528248E-5</v>
          </cell>
          <cell r="Z70">
            <v>7.8199946444023645E-5</v>
          </cell>
          <cell r="AA70">
            <v>6.9772294647946594E-5</v>
          </cell>
          <cell r="AB70">
            <v>6.4576287546158921E-5</v>
          </cell>
          <cell r="AF70">
            <v>180</v>
          </cell>
          <cell r="AG70">
            <v>65</v>
          </cell>
          <cell r="AH70">
            <v>5.5555555555555558E-3</v>
          </cell>
          <cell r="AI70">
            <v>5.5555555555555558E-3</v>
          </cell>
          <cell r="AJ70">
            <v>5.5555555555555558E-3</v>
          </cell>
          <cell r="AK70">
            <v>5.5555555555555558E-3</v>
          </cell>
          <cell r="AL70">
            <v>5.5555555555555558E-3</v>
          </cell>
          <cell r="AO70">
            <v>6.5229967218612237E-4</v>
          </cell>
          <cell r="AP70">
            <v>65</v>
          </cell>
          <cell r="AQ70">
            <v>1.1904761904761906E-3</v>
          </cell>
          <cell r="AR70">
            <v>1.1904761904761906E-3</v>
          </cell>
          <cell r="AS70">
            <v>1.1904761904761906E-3</v>
          </cell>
          <cell r="AT70">
            <v>1.1904761904761906E-3</v>
          </cell>
          <cell r="AU70">
            <v>1.1904761904761906E-3</v>
          </cell>
          <cell r="AY70">
            <v>65</v>
          </cell>
          <cell r="AZ70">
            <v>2.6837979720180906E-5</v>
          </cell>
          <cell r="BA70">
            <v>2.6837979720180906E-5</v>
          </cell>
          <cell r="BB70">
            <v>2.6837979720180906E-5</v>
          </cell>
          <cell r="BC70">
            <v>4.7099660409668599E-5</v>
          </cell>
          <cell r="BD70">
            <v>4.7099660409668599E-5</v>
          </cell>
        </row>
        <row r="71">
          <cell r="U71">
            <v>4.075987753538526E-5</v>
          </cell>
          <cell r="V71">
            <v>3.7992608135572476E-5</v>
          </cell>
          <cell r="W71">
            <v>3.6579727374379867E-5</v>
          </cell>
          <cell r="X71">
            <v>8.0302913098044174E-5</v>
          </cell>
          <cell r="Y71">
            <v>7.9151289521412827E-5</v>
          </cell>
          <cell r="Z71">
            <v>7.6817631629550183E-5</v>
          </cell>
          <cell r="AA71">
            <v>6.8137844301924898E-5</v>
          </cell>
          <cell r="AB71">
            <v>6.2936096109416807E-5</v>
          </cell>
          <cell r="AF71">
            <v>180</v>
          </cell>
          <cell r="AG71">
            <v>66</v>
          </cell>
          <cell r="AH71">
            <v>5.5555555555555558E-3</v>
          </cell>
          <cell r="AI71">
            <v>5.5555555555555558E-3</v>
          </cell>
          <cell r="AJ71">
            <v>5.5555555555555558E-3</v>
          </cell>
          <cell r="AK71">
            <v>5.5555555555555558E-3</v>
          </cell>
          <cell r="AL71">
            <v>5.5555555555555558E-3</v>
          </cell>
          <cell r="AO71">
            <v>6.4102564102564048E-4</v>
          </cell>
          <cell r="AP71">
            <v>66</v>
          </cell>
          <cell r="AQ71">
            <v>1.1792452830188679E-3</v>
          </cell>
          <cell r="AR71">
            <v>1.1792452830188679E-3</v>
          </cell>
          <cell r="AS71">
            <v>1.1792452830188679E-3</v>
          </cell>
          <cell r="AT71">
            <v>1.1792452830188679E-3</v>
          </cell>
          <cell r="AU71">
            <v>1.1792452830188679E-3</v>
          </cell>
          <cell r="AY71">
            <v>66</v>
          </cell>
          <cell r="AZ71">
            <v>2.4398163381982642E-5</v>
          </cell>
          <cell r="BA71">
            <v>2.4398163381982642E-5</v>
          </cell>
          <cell r="BB71">
            <v>2.4398163381982642E-5</v>
          </cell>
          <cell r="BC71">
            <v>4.2817873099698727E-5</v>
          </cell>
          <cell r="BD71">
            <v>4.2817873099698727E-5</v>
          </cell>
        </row>
        <row r="72">
          <cell r="U72">
            <v>3.9905842140913832E-5</v>
          </cell>
          <cell r="V72">
            <v>3.7328781614118228E-5</v>
          </cell>
          <cell r="W72">
            <v>3.5938335418291436E-5</v>
          </cell>
          <cell r="X72">
            <v>7.9065149950028295E-5</v>
          </cell>
          <cell r="Y72">
            <v>7.7853524040934116E-5</v>
          </cell>
          <cell r="Z72">
            <v>7.5377986829774492E-5</v>
          </cell>
          <cell r="AA72">
            <v>6.651904066127066E-5</v>
          </cell>
          <cell r="AB72">
            <v>6.132132141163959E-5</v>
          </cell>
          <cell r="AF72">
            <v>180</v>
          </cell>
          <cell r="AG72">
            <v>67</v>
          </cell>
          <cell r="AH72">
            <v>5.5555555555555558E-3</v>
          </cell>
          <cell r="AI72">
            <v>5.5555555555555558E-3</v>
          </cell>
          <cell r="AJ72">
            <v>5.5555555555555558E-3</v>
          </cell>
          <cell r="AK72">
            <v>5.5555555555555558E-3</v>
          </cell>
          <cell r="AL72">
            <v>5.5555555555555558E-3</v>
          </cell>
          <cell r="AO72">
            <v>6.2561509325159573E-4</v>
          </cell>
          <cell r="AP72">
            <v>67</v>
          </cell>
          <cell r="AQ72">
            <v>1.1682242990654205E-3</v>
          </cell>
          <cell r="AR72">
            <v>1.1682242990654205E-3</v>
          </cell>
          <cell r="AS72">
            <v>1.1682242990654205E-3</v>
          </cell>
          <cell r="AT72">
            <v>1.1682242990654205E-3</v>
          </cell>
          <cell r="AU72">
            <v>1.1682242990654205E-3</v>
          </cell>
          <cell r="AY72">
            <v>67</v>
          </cell>
          <cell r="AZ72">
            <v>2.2180148529075128E-5</v>
          </cell>
          <cell r="BA72">
            <v>2.2180148529075128E-5</v>
          </cell>
          <cell r="BB72">
            <v>2.2180148529075128E-5</v>
          </cell>
          <cell r="BC72">
            <v>3.8925339181544299E-5</v>
          </cell>
          <cell r="BD72">
            <v>3.8925339181544299E-5</v>
          </cell>
        </row>
        <row r="73">
          <cell r="U73">
            <v>3.9052754797125652E-5</v>
          </cell>
          <cell r="V73">
            <v>3.6668260422174014E-5</v>
          </cell>
          <cell r="W73">
            <v>3.5306990251531013E-5</v>
          </cell>
          <cell r="X73">
            <v>7.7851047980500497E-5</v>
          </cell>
          <cell r="Y73">
            <v>7.658077292767312E-5</v>
          </cell>
          <cell r="Z73">
            <v>7.3789979291368098E-5</v>
          </cell>
          <cell r="AA73">
            <v>6.4890881910001784E-5</v>
          </cell>
          <cell r="AB73">
            <v>5.9725595598392547E-5</v>
          </cell>
          <cell r="AF73">
            <v>180</v>
          </cell>
          <cell r="AG73">
            <v>68</v>
          </cell>
          <cell r="AH73">
            <v>5.5555555555555558E-3</v>
          </cell>
          <cell r="AI73">
            <v>5.5555555555555558E-3</v>
          </cell>
          <cell r="AJ73">
            <v>5.5555555555555558E-3</v>
          </cell>
          <cell r="AK73">
            <v>5.5555555555555558E-3</v>
          </cell>
          <cell r="AL73">
            <v>5.5555555555555558E-3</v>
          </cell>
          <cell r="AO73">
            <v>6.1162079510703393E-4</v>
          </cell>
          <cell r="AP73">
            <v>68</v>
          </cell>
          <cell r="AQ73">
            <v>1.1574074074074073E-3</v>
          </cell>
          <cell r="AR73">
            <v>1.1574074074074073E-3</v>
          </cell>
          <cell r="AS73">
            <v>1.1574074074074073E-3</v>
          </cell>
          <cell r="AT73">
            <v>1.1574074074074073E-3</v>
          </cell>
          <cell r="AU73">
            <v>1.1574074074074073E-3</v>
          </cell>
          <cell r="AY73">
            <v>68</v>
          </cell>
          <cell r="AZ73">
            <v>2.0163771390068297E-5</v>
          </cell>
          <cell r="BA73">
            <v>2.0163771390068297E-5</v>
          </cell>
          <cell r="BB73">
            <v>2.0163771390068297E-5</v>
          </cell>
          <cell r="BC73">
            <v>3.5386671983222081E-5</v>
          </cell>
          <cell r="BD73">
            <v>3.5386671983222081E-5</v>
          </cell>
        </row>
        <row r="74">
          <cell r="U74">
            <v>3.8266927576482423E-5</v>
          </cell>
          <cell r="V74">
            <v>3.6017640496275657E-5</v>
          </cell>
          <cell r="W74">
            <v>3.4681523402150399E-5</v>
          </cell>
          <cell r="X74">
            <v>7.6660446938396084E-5</v>
          </cell>
          <cell r="Y74">
            <v>7.5334415338644114E-5</v>
          </cell>
          <cell r="Z74">
            <v>7.2177221590157285E-5</v>
          </cell>
          <cell r="AA74">
            <v>6.327512896565118E-5</v>
          </cell>
          <cell r="AB74">
            <v>5.8134638704542159E-5</v>
          </cell>
          <cell r="AF74">
            <v>180</v>
          </cell>
          <cell r="AG74">
            <v>69</v>
          </cell>
          <cell r="AH74">
            <v>5.5555555555555558E-3</v>
          </cell>
          <cell r="AI74">
            <v>5.5555555555555558E-3</v>
          </cell>
          <cell r="AJ74">
            <v>5.5555555555555558E-3</v>
          </cell>
          <cell r="AK74">
            <v>5.5555555555555558E-3</v>
          </cell>
          <cell r="AL74">
            <v>5.5555555555555558E-3</v>
          </cell>
          <cell r="AO74">
            <v>6.0106970357036427E-4</v>
          </cell>
          <cell r="AP74">
            <v>69</v>
          </cell>
          <cell r="AQ74">
            <v>1.1467889908256881E-3</v>
          </cell>
          <cell r="AR74">
            <v>1.1467889908256881E-3</v>
          </cell>
          <cell r="AS74">
            <v>1.1467889908256881E-3</v>
          </cell>
          <cell r="AT74">
            <v>1.1467889908256881E-3</v>
          </cell>
          <cell r="AU74">
            <v>1.1467889908256881E-3</v>
          </cell>
          <cell r="AY74">
            <v>69</v>
          </cell>
          <cell r="AZ74">
            <v>1.833070126369845E-5</v>
          </cell>
          <cell r="BA74">
            <v>1.833070126369845E-5</v>
          </cell>
          <cell r="BB74">
            <v>1.833070126369845E-5</v>
          </cell>
          <cell r="BC74">
            <v>3.2169701802929162E-5</v>
          </cell>
          <cell r="BD74">
            <v>3.2169701802929162E-5</v>
          </cell>
        </row>
        <row r="75">
          <cell r="U75">
            <v>3.7523889638732006E-5</v>
          </cell>
          <cell r="V75">
            <v>3.538843315822332E-5</v>
          </cell>
          <cell r="W75">
            <v>3.4058851592797702E-5</v>
          </cell>
          <cell r="X75">
            <v>7.5493634819557981E-5</v>
          </cell>
          <cell r="Y75">
            <v>7.4143901769465047E-5</v>
          </cell>
          <cell r="Z75">
            <v>7.0660938989862662E-5</v>
          </cell>
          <cell r="AA75">
            <v>6.167921308030102E-5</v>
          </cell>
          <cell r="AB75">
            <v>5.6527581836634851E-5</v>
          </cell>
          <cell r="AF75">
            <v>180</v>
          </cell>
          <cell r="AG75">
            <v>70</v>
          </cell>
          <cell r="AH75">
            <v>5.5555555555555558E-3</v>
          </cell>
          <cell r="AI75">
            <v>5.5555555555555558E-3</v>
          </cell>
          <cell r="AJ75">
            <v>5.5555555555555558E-3</v>
          </cell>
          <cell r="AK75">
            <v>5.5555555555555558E-3</v>
          </cell>
          <cell r="AL75">
            <v>5.5555555555555558E-3</v>
          </cell>
          <cell r="AO75">
            <v>5.8479532163742648E-4</v>
          </cell>
          <cell r="AP75">
            <v>70</v>
          </cell>
          <cell r="AQ75">
            <v>1.1363636363636363E-3</v>
          </cell>
          <cell r="AR75">
            <v>1.1363636363636363E-3</v>
          </cell>
          <cell r="AS75">
            <v>1.1363636363636363E-3</v>
          </cell>
          <cell r="AT75">
            <v>1.1363636363636363E-3</v>
          </cell>
          <cell r="AU75">
            <v>1.1363636363636363E-3</v>
          </cell>
          <cell r="AY75">
            <v>70</v>
          </cell>
          <cell r="AZ75">
            <v>1.66642738760895E-5</v>
          </cell>
          <cell r="BA75">
            <v>1.66642738760895E-5</v>
          </cell>
          <cell r="BB75">
            <v>1.66642738760895E-5</v>
          </cell>
          <cell r="BC75">
            <v>2.9245183457208326E-5</v>
          </cell>
          <cell r="BD75">
            <v>2.9245183457208326E-5</v>
          </cell>
        </row>
        <row r="76">
          <cell r="U76">
            <v>3.6840075294541414E-5</v>
          </cell>
          <cell r="V76">
            <v>3.4783555176241617E-5</v>
          </cell>
          <cell r="W76">
            <v>3.346304989408155E-5</v>
          </cell>
          <cell r="X76">
            <v>7.4349720763103473E-5</v>
          </cell>
          <cell r="Y76">
            <v>7.2967242199606461E-5</v>
          </cell>
          <cell r="Z76">
            <v>6.9168254701545132E-5</v>
          </cell>
          <cell r="AA76">
            <v>6.0085792179423043E-5</v>
          </cell>
          <cell r="AB76">
            <v>5.5031044508341581E-5</v>
          </cell>
          <cell r="AF76">
            <v>180</v>
          </cell>
          <cell r="AG76">
            <v>71</v>
          </cell>
          <cell r="AH76">
            <v>5.5555555555555558E-3</v>
          </cell>
          <cell r="AI76">
            <v>5.5555555555555558E-3</v>
          </cell>
          <cell r="AJ76">
            <v>5.5555555555555558E-3</v>
          </cell>
          <cell r="AK76">
            <v>5.5555555555555558E-3</v>
          </cell>
          <cell r="AL76">
            <v>5.5555555555555558E-3</v>
          </cell>
          <cell r="AO76">
            <v>5.7841097815899988E-4</v>
          </cell>
          <cell r="AP76">
            <v>71</v>
          </cell>
          <cell r="AQ76">
            <v>1.1261261261261261E-3</v>
          </cell>
          <cell r="AR76">
            <v>1.1261261261261261E-3</v>
          </cell>
          <cell r="AS76">
            <v>1.1261261261261261E-3</v>
          </cell>
          <cell r="AT76">
            <v>1.1261261261261261E-3</v>
          </cell>
          <cell r="AU76">
            <v>1.1261261261261261E-3</v>
          </cell>
          <cell r="AY76">
            <v>71</v>
          </cell>
          <cell r="AZ76">
            <v>1.5149339887354088E-5</v>
          </cell>
          <cell r="BA76">
            <v>1.5149339887354088E-5</v>
          </cell>
          <cell r="BB76">
            <v>1.5149339887354088E-5</v>
          </cell>
          <cell r="BC76">
            <v>2.6586530415643932E-5</v>
          </cell>
          <cell r="BD76">
            <v>2.6586530415643932E-5</v>
          </cell>
        </row>
        <row r="77">
          <cell r="U77">
            <v>3.6274656043405024E-5</v>
          </cell>
          <cell r="V77">
            <v>3.4186072639195746E-5</v>
          </cell>
          <cell r="W77">
            <v>3.2878889252673727E-5</v>
          </cell>
          <cell r="X77">
            <v>7.3220463724681125E-5</v>
          </cell>
          <cell r="Y77">
            <v>7.1810240841491978E-5</v>
          </cell>
          <cell r="Z77">
            <v>6.7698174822948627E-5</v>
          </cell>
          <cell r="AA77">
            <v>5.8509519078513623E-5</v>
          </cell>
          <cell r="AB77">
            <v>5.356510830120834E-5</v>
          </cell>
          <cell r="AF77">
            <v>180</v>
          </cell>
          <cell r="AG77">
            <v>72</v>
          </cell>
          <cell r="AH77">
            <v>5.5555555555555558E-3</v>
          </cell>
          <cell r="AI77">
            <v>5.5555555555555558E-3</v>
          </cell>
          <cell r="AJ77">
            <v>5.5555555555555558E-3</v>
          </cell>
          <cell r="AK77">
            <v>5.5555555555555558E-3</v>
          </cell>
          <cell r="AL77">
            <v>5.5555555555555558E-3</v>
          </cell>
          <cell r="AO77">
            <v>5.6022408963585398E-4</v>
          </cell>
          <cell r="AP77">
            <v>72</v>
          </cell>
          <cell r="AQ77">
            <v>1.1160714285714285E-3</v>
          </cell>
          <cell r="AR77">
            <v>1.1160714285714285E-3</v>
          </cell>
          <cell r="AS77">
            <v>1.1160714285714285E-3</v>
          </cell>
          <cell r="AT77">
            <v>1.1160714285714285E-3</v>
          </cell>
          <cell r="AU77">
            <v>1.1160714285714285E-3</v>
          </cell>
          <cell r="AY77">
            <v>72</v>
          </cell>
          <cell r="AZ77">
            <v>1.3772127170321899E-5</v>
          </cell>
          <cell r="BA77">
            <v>1.3772127170321899E-5</v>
          </cell>
          <cell r="BB77">
            <v>1.3772127170321899E-5</v>
          </cell>
          <cell r="BC77">
            <v>2.4169573105130849E-5</v>
          </cell>
          <cell r="BD77">
            <v>2.4169573105130849E-5</v>
          </cell>
        </row>
        <row r="78">
          <cell r="U78">
            <v>3.5726136267474101E-5</v>
          </cell>
          <cell r="V78">
            <v>3.3602952768196486E-5</v>
          </cell>
          <cell r="W78">
            <v>3.2303906247809088E-5</v>
          </cell>
          <cell r="X78">
            <v>7.2118062085840243E-5</v>
          </cell>
          <cell r="Y78">
            <v>7.0683283923009399E-5</v>
          </cell>
          <cell r="Z78">
            <v>6.6282767806482348E-5</v>
          </cell>
          <cell r="AA78">
            <v>5.6980380710438997E-5</v>
          </cell>
          <cell r="AB78">
            <v>5.2130573950101798E-5</v>
          </cell>
          <cell r="AF78">
            <v>180</v>
          </cell>
          <cell r="AG78">
            <v>73</v>
          </cell>
          <cell r="AH78">
            <v>5.5555555555555558E-3</v>
          </cell>
          <cell r="AI78">
            <v>5.5555555555555558E-3</v>
          </cell>
          <cell r="AJ78">
            <v>5.5555555555555558E-3</v>
          </cell>
          <cell r="AK78">
            <v>5.5555555555555558E-3</v>
          </cell>
          <cell r="AL78">
            <v>5.5555555555555558E-3</v>
          </cell>
          <cell r="AO78">
            <v>5.5714691321707955E-4</v>
          </cell>
          <cell r="AP78">
            <v>73</v>
          </cell>
          <cell r="AQ78">
            <v>1.1061946902654867E-3</v>
          </cell>
          <cell r="AR78">
            <v>1.1061946902654867E-3</v>
          </cell>
          <cell r="AS78">
            <v>1.1061946902654867E-3</v>
          </cell>
          <cell r="AT78">
            <v>1.1061946902654867E-3</v>
          </cell>
          <cell r="AU78">
            <v>1.1061946902654867E-3</v>
          </cell>
          <cell r="AY78">
            <v>73</v>
          </cell>
          <cell r="AZ78">
            <v>1.2520115609383542E-5</v>
          </cell>
          <cell r="BA78">
            <v>1.2520115609383542E-5</v>
          </cell>
          <cell r="BB78">
            <v>1.2520115609383542E-5</v>
          </cell>
          <cell r="BC78">
            <v>2.1972339186482587E-5</v>
          </cell>
          <cell r="BD78">
            <v>2.1972339186482587E-5</v>
          </cell>
        </row>
        <row r="79">
          <cell r="U79">
            <v>3.5183547538068648E-5</v>
          </cell>
          <cell r="V79">
            <v>3.3020159460340154E-5</v>
          </cell>
          <cell r="W79">
            <v>3.1730388562996357E-5</v>
          </cell>
          <cell r="X79">
            <v>7.1030791283448313E-5</v>
          </cell>
          <cell r="Y79">
            <v>6.9411941397073173E-5</v>
          </cell>
          <cell r="Z79">
            <v>6.4863137054690465E-5</v>
          </cell>
          <cell r="AA79">
            <v>5.5433201974090538E-5</v>
          </cell>
          <cell r="AB79">
            <v>5.0681293313976533E-5</v>
          </cell>
          <cell r="AF79">
            <v>180</v>
          </cell>
          <cell r="AG79">
            <v>74</v>
          </cell>
          <cell r="AH79">
            <v>5.5555555555555558E-3</v>
          </cell>
          <cell r="AI79">
            <v>5.5555555555555558E-3</v>
          </cell>
          <cell r="AJ79">
            <v>5.5555555555555558E-3</v>
          </cell>
          <cell r="AK79">
            <v>5.5555555555555558E-3</v>
          </cell>
          <cell r="AL79">
            <v>5.5555555555555558E-3</v>
          </cell>
          <cell r="AO79">
            <v>5.3547523427041512E-4</v>
          </cell>
          <cell r="AP79">
            <v>74</v>
          </cell>
          <cell r="AQ79">
            <v>1.0964912280701754E-3</v>
          </cell>
          <cell r="AR79">
            <v>1.0964912280701754E-3</v>
          </cell>
          <cell r="AS79">
            <v>1.0964912280701754E-3</v>
          </cell>
          <cell r="AT79">
            <v>1.0964912280701754E-3</v>
          </cell>
          <cell r="AU79">
            <v>1.0964912280701754E-3</v>
          </cell>
          <cell r="AY79">
            <v>74</v>
          </cell>
          <cell r="AZ79">
            <v>1.1381923281257766E-5</v>
          </cell>
          <cell r="BA79">
            <v>1.1381923281257766E-5</v>
          </cell>
          <cell r="BB79">
            <v>1.1381923281257766E-5</v>
          </cell>
          <cell r="BC79">
            <v>1.9974853805893261E-5</v>
          </cell>
          <cell r="BD79">
            <v>1.9974853805893261E-5</v>
          </cell>
        </row>
        <row r="80">
          <cell r="U80">
            <v>3.4648627585527814E-5</v>
          </cell>
          <cell r="V80">
            <v>3.2446659755217717E-5</v>
          </cell>
          <cell r="W80">
            <v>3.1163203938356992E-5</v>
          </cell>
          <cell r="X80">
            <v>6.9962018733832335E-5</v>
          </cell>
          <cell r="Y80">
            <v>6.8085474769922564E-5</v>
          </cell>
          <cell r="Z80">
            <v>6.3449753487670636E-5</v>
          </cell>
          <cell r="AA80">
            <v>5.3915827178811132E-5</v>
          </cell>
          <cell r="AB80">
            <v>4.9254009284194581E-5</v>
          </cell>
          <cell r="AF80">
            <v>180</v>
          </cell>
          <cell r="AG80">
            <v>75</v>
          </cell>
          <cell r="AH80">
            <v>5.5555555555555558E-3</v>
          </cell>
          <cell r="AI80">
            <v>5.5555555555555558E-3</v>
          </cell>
          <cell r="AJ80">
            <v>5.5555555555555558E-3</v>
          </cell>
          <cell r="AK80">
            <v>5.5555555555555558E-3</v>
          </cell>
          <cell r="AL80">
            <v>5.5555555555555558E-3</v>
          </cell>
          <cell r="AO80">
            <v>5.3547523427041458E-4</v>
          </cell>
          <cell r="AP80">
            <v>75</v>
          </cell>
          <cell r="AQ80">
            <v>1.0869565217391304E-3</v>
          </cell>
          <cell r="AR80">
            <v>1.0869565217391304E-3</v>
          </cell>
          <cell r="AS80">
            <v>1.0869565217391304E-3</v>
          </cell>
          <cell r="AT80">
            <v>1.0869565217391304E-3</v>
          </cell>
          <cell r="AU80">
            <v>1.0869565217391304E-3</v>
          </cell>
          <cell r="AY80">
            <v>75</v>
          </cell>
          <cell r="AZ80">
            <v>1.0347202982961605E-5</v>
          </cell>
          <cell r="BA80">
            <v>1.0347202982961605E-5</v>
          </cell>
          <cell r="BB80">
            <v>1.0347202982961605E-5</v>
          </cell>
          <cell r="BC80">
            <v>1.8158958005357509E-5</v>
          </cell>
          <cell r="BD80">
            <v>1.8158958005357509E-5</v>
          </cell>
        </row>
        <row r="81">
          <cell r="U81">
            <v>3.4122556470564916E-5</v>
          </cell>
          <cell r="V81">
            <v>3.1905043372656602E-5</v>
          </cell>
          <cell r="W81">
            <v>3.0612902191337084E-5</v>
          </cell>
          <cell r="X81">
            <v>6.8926010083398333E-5</v>
          </cell>
          <cell r="Y81">
            <v>6.6775862835848719E-5</v>
          </cell>
          <cell r="Z81">
            <v>6.2132501905529244E-5</v>
          </cell>
          <cell r="AA81">
            <v>5.2532951890862104E-5</v>
          </cell>
          <cell r="AB81">
            <v>4.7884567270423056E-5</v>
          </cell>
          <cell r="AF81">
            <v>180</v>
          </cell>
          <cell r="AG81">
            <v>76</v>
          </cell>
          <cell r="AH81">
            <v>5.5555555555555558E-3</v>
          </cell>
          <cell r="AI81">
            <v>5.5555555555555558E-3</v>
          </cell>
          <cell r="AJ81">
            <v>5.5555555555555558E-3</v>
          </cell>
          <cell r="AK81">
            <v>5.5555555555555558E-3</v>
          </cell>
          <cell r="AL81">
            <v>5.5555555555555558E-3</v>
          </cell>
          <cell r="AO81">
            <v>5.1309697935646083E-4</v>
          </cell>
          <cell r="AP81">
            <v>76</v>
          </cell>
          <cell r="AQ81">
            <v>1.0775862068965517E-3</v>
          </cell>
          <cell r="AR81">
            <v>1.0775862068965517E-3</v>
          </cell>
          <cell r="AS81">
            <v>1.0775862068965517E-3</v>
          </cell>
          <cell r="AT81">
            <v>1.0775862068965517E-3</v>
          </cell>
          <cell r="AU81">
            <v>1.0775862068965517E-3</v>
          </cell>
          <cell r="AY81">
            <v>76</v>
          </cell>
          <cell r="AZ81">
            <v>9.406548166328731E-6</v>
          </cell>
          <cell r="BA81">
            <v>9.406548166328731E-6</v>
          </cell>
          <cell r="BB81">
            <v>9.406548166328731E-6</v>
          </cell>
          <cell r="BC81">
            <v>1.6508143641234095E-5</v>
          </cell>
          <cell r="BD81">
            <v>1.6508143641234095E-5</v>
          </cell>
        </row>
        <row r="82">
          <cell r="U82">
            <v>3.3602188675640583E-5</v>
          </cell>
          <cell r="V82">
            <v>3.1365005540886288E-5</v>
          </cell>
          <cell r="W82">
            <v>3.0075763314938796E-5</v>
          </cell>
          <cell r="X82">
            <v>6.7906333809628522E-5</v>
          </cell>
          <cell r="Y82">
            <v>6.5459995035942433E-5</v>
          </cell>
          <cell r="Z82">
            <v>6.0833443858047916E-5</v>
          </cell>
          <cell r="AA82">
            <v>5.1144338105980344E-5</v>
          </cell>
          <cell r="AB82">
            <v>4.6572686730944389E-5</v>
          </cell>
          <cell r="AF82">
            <v>180</v>
          </cell>
          <cell r="AG82">
            <v>77</v>
          </cell>
          <cell r="AH82">
            <v>5.5555555555555558E-3</v>
          </cell>
          <cell r="AI82">
            <v>5.5555555555555558E-3</v>
          </cell>
          <cell r="AJ82">
            <v>5.5555555555555558E-3</v>
          </cell>
          <cell r="AK82">
            <v>5.5555555555555558E-3</v>
          </cell>
          <cell r="AL82">
            <v>5.5555555555555558E-3</v>
          </cell>
          <cell r="AO82">
            <v>5.1282051282051325E-4</v>
          </cell>
          <cell r="AP82">
            <v>77</v>
          </cell>
          <cell r="AQ82">
            <v>1.0683760683760685E-3</v>
          </cell>
          <cell r="AR82">
            <v>1.0683760683760685E-3</v>
          </cell>
          <cell r="AS82">
            <v>1.0683760683760685E-3</v>
          </cell>
          <cell r="AT82">
            <v>1.0683760683760685E-3</v>
          </cell>
          <cell r="AU82">
            <v>1.0683760683760685E-3</v>
          </cell>
          <cell r="AY82">
            <v>77</v>
          </cell>
          <cell r="AZ82">
            <v>8.5514074239352094E-6</v>
          </cell>
          <cell r="BA82">
            <v>8.5514074239352094E-6</v>
          </cell>
          <cell r="BB82">
            <v>8.5514074239352094E-6</v>
          </cell>
          <cell r="BC82">
            <v>1.5007403310212815E-5</v>
          </cell>
          <cell r="BD82">
            <v>1.5007403310212815E-5</v>
          </cell>
        </row>
        <row r="83">
          <cell r="U83">
            <v>3.3087461562885362E-5</v>
          </cell>
          <cell r="V83">
            <v>3.0838797028194961E-5</v>
          </cell>
          <cell r="W83">
            <v>2.9551711185050956E-5</v>
          </cell>
          <cell r="X83">
            <v>6.6895367150863019E-5</v>
          </cell>
          <cell r="Y83">
            <v>6.4181955460761305E-5</v>
          </cell>
          <cell r="Z83">
            <v>5.9544396294294497E-5</v>
          </cell>
          <cell r="AA83">
            <v>4.980702476782434E-5</v>
          </cell>
          <cell r="AB83">
            <v>4.5304734215916884E-5</v>
          </cell>
          <cell r="AF83">
            <v>180</v>
          </cell>
          <cell r="AG83">
            <v>78</v>
          </cell>
          <cell r="AH83">
            <v>5.5555555555555558E-3</v>
          </cell>
          <cell r="AI83">
            <v>5.5555555555555558E-3</v>
          </cell>
          <cell r="AJ83">
            <v>5.5555555555555558E-3</v>
          </cell>
          <cell r="AK83">
            <v>5.5555555555555558E-3</v>
          </cell>
          <cell r="AL83">
            <v>5.5555555555555558E-3</v>
          </cell>
          <cell r="AO83">
            <v>4.9477164432729353E-4</v>
          </cell>
          <cell r="AP83">
            <v>78</v>
          </cell>
          <cell r="AQ83">
            <v>1.0593220338983051E-3</v>
          </cell>
          <cell r="AR83">
            <v>1.0593220338983051E-3</v>
          </cell>
          <cell r="AS83">
            <v>1.0593220338983051E-3</v>
          </cell>
          <cell r="AT83">
            <v>1.0593220338983051E-3</v>
          </cell>
          <cell r="AU83">
            <v>1.0593220338983051E-3</v>
          </cell>
          <cell r="AY83">
            <v>78</v>
          </cell>
          <cell r="AZ83">
            <v>7.7740067490320079E-6</v>
          </cell>
          <cell r="BA83">
            <v>7.7740067490320079E-6</v>
          </cell>
          <cell r="BB83">
            <v>7.7740067490320079E-6</v>
          </cell>
          <cell r="BC83">
            <v>1.3643093918375286E-5</v>
          </cell>
          <cell r="BD83">
            <v>1.3643093918375286E-5</v>
          </cell>
        </row>
        <row r="84">
          <cell r="U84">
            <v>3.258440065750347E-5</v>
          </cell>
          <cell r="V84">
            <v>3.0324359802691198E-5</v>
          </cell>
          <cell r="W84">
            <v>2.9074579999006542E-5</v>
          </cell>
          <cell r="X84">
            <v>6.5788896232957627E-5</v>
          </cell>
          <cell r="Y84">
            <v>6.2940748997953696E-5</v>
          </cell>
          <cell r="Z84">
            <v>5.8285063855943321E-5</v>
          </cell>
          <cell r="AA84">
            <v>4.8516562177420143E-5</v>
          </cell>
          <cell r="AB84">
            <v>4.4216568040478511E-5</v>
          </cell>
          <cell r="AF84">
            <v>180</v>
          </cell>
          <cell r="AG84">
            <v>79</v>
          </cell>
          <cell r="AH84">
            <v>5.5555555555555558E-3</v>
          </cell>
          <cell r="AI84">
            <v>5.5555555555555558E-3</v>
          </cell>
          <cell r="AJ84">
            <v>5.5555555555555558E-3</v>
          </cell>
          <cell r="AK84">
            <v>5.5555555555555558E-3</v>
          </cell>
          <cell r="AL84">
            <v>5.5555555555555558E-3</v>
          </cell>
          <cell r="AO84">
            <v>4.9200492004919968E-4</v>
          </cell>
          <cell r="AP84">
            <v>79</v>
          </cell>
          <cell r="AQ84">
            <v>1.0504201680672268E-3</v>
          </cell>
          <cell r="AR84">
            <v>1.0504201680672268E-3</v>
          </cell>
          <cell r="AS84">
            <v>1.0504201680672268E-3</v>
          </cell>
          <cell r="AT84">
            <v>1.0504201680672268E-3</v>
          </cell>
          <cell r="AU84">
            <v>1.0504201680672268E-3</v>
          </cell>
          <cell r="AY84">
            <v>79</v>
          </cell>
          <cell r="AZ84">
            <v>7.0672788627563706E-6</v>
          </cell>
          <cell r="BA84">
            <v>7.0672788627563706E-6</v>
          </cell>
          <cell r="BB84">
            <v>7.0672788627563706E-6</v>
          </cell>
          <cell r="BC84">
            <v>1.240281265306844E-5</v>
          </cell>
          <cell r="BD84">
            <v>1.240281265306844E-5</v>
          </cell>
        </row>
        <row r="85">
          <cell r="U85">
            <v>3.2089421996187035E-5</v>
          </cell>
          <cell r="V85">
            <v>2.9816277729276131E-5</v>
          </cell>
          <cell r="W85">
            <v>2.8751722335763408E-5</v>
          </cell>
          <cell r="X85">
            <v>6.4619796447964301E-5</v>
          </cell>
          <cell r="Y85">
            <v>6.1704380823936436E-5</v>
          </cell>
          <cell r="Z85">
            <v>5.7053379288967913E-5</v>
          </cell>
          <cell r="AA85">
            <v>4.7241986298738093E-5</v>
          </cell>
          <cell r="AB85">
            <v>4.3720345062956834E-5</v>
          </cell>
          <cell r="AF85">
            <v>180</v>
          </cell>
          <cell r="AG85">
            <v>80</v>
          </cell>
          <cell r="AH85">
            <v>5.5555555555555558E-3</v>
          </cell>
          <cell r="AI85">
            <v>5.5555555555555558E-3</v>
          </cell>
          <cell r="AJ85">
            <v>5.5555555555555558E-3</v>
          </cell>
          <cell r="AK85">
            <v>5.5555555555555558E-3</v>
          </cell>
          <cell r="AL85">
            <v>5.5555555555555558E-3</v>
          </cell>
          <cell r="AO85">
            <v>4.7772307974465618E-4</v>
          </cell>
          <cell r="AP85">
            <v>80</v>
          </cell>
          <cell r="AQ85">
            <v>1.0416666666666667E-3</v>
          </cell>
          <cell r="AR85">
            <v>1.0416666666666667E-3</v>
          </cell>
          <cell r="AS85">
            <v>1.0416666666666667E-3</v>
          </cell>
          <cell r="AT85">
            <v>1.0416666666666667E-3</v>
          </cell>
          <cell r="AU85">
            <v>1.0416666666666667E-3</v>
          </cell>
          <cell r="AY85">
            <v>80</v>
          </cell>
          <cell r="AZ85">
            <v>6.4247989661421547E-6</v>
          </cell>
          <cell r="BA85">
            <v>6.4247989661421547E-6</v>
          </cell>
          <cell r="BB85">
            <v>6.4247989661421547E-6</v>
          </cell>
          <cell r="BC85">
            <v>1.1275284230062217E-5</v>
          </cell>
          <cell r="BD85">
            <v>1.1275284230062217E-5</v>
          </cell>
        </row>
        <row r="86">
          <cell r="U86">
            <v>3.1357068002243442E-5</v>
          </cell>
          <cell r="V86">
            <v>2.9093636607363366E-5</v>
          </cell>
          <cell r="W86">
            <v>2.8214141589238741E-5</v>
          </cell>
          <cell r="X86">
            <v>6.2882471583600212E-5</v>
          </cell>
          <cell r="Y86">
            <v>5.9942420451765163E-5</v>
          </cell>
          <cell r="Z86">
            <v>5.5351522439558099E-5</v>
          </cell>
          <cell r="AA86">
            <v>4.5618587974877251E-5</v>
          </cell>
          <cell r="AB86">
            <v>4.2852111111751116E-5</v>
          </cell>
          <cell r="AF86">
            <v>180</v>
          </cell>
          <cell r="AG86">
            <v>81</v>
          </cell>
          <cell r="AH86">
            <v>5.5555555555555558E-3</v>
          </cell>
          <cell r="AI86">
            <v>5.5555555555555558E-3</v>
          </cell>
          <cell r="AJ86">
            <v>5.5555555555555558E-3</v>
          </cell>
          <cell r="AK86">
            <v>5.5555555555555558E-3</v>
          </cell>
          <cell r="AL86">
            <v>5.5555555555555558E-3</v>
          </cell>
          <cell r="AO86">
            <v>4.728132387706855E-4</v>
          </cell>
          <cell r="AP86">
            <v>81</v>
          </cell>
          <cell r="AQ86">
            <v>1.0330578512396695E-3</v>
          </cell>
          <cell r="AR86">
            <v>1.0330578512396695E-3</v>
          </cell>
          <cell r="AS86">
            <v>1.0330578512396695E-3</v>
          </cell>
          <cell r="AT86">
            <v>1.0330578512396695E-3</v>
          </cell>
          <cell r="AU86">
            <v>1.0330578512396695E-3</v>
          </cell>
          <cell r="AY86">
            <v>81</v>
          </cell>
          <cell r="AZ86">
            <v>5.8407263328565037E-6</v>
          </cell>
          <cell r="BA86">
            <v>5.8407263328565037E-6</v>
          </cell>
          <cell r="BB86">
            <v>5.8407263328565037E-6</v>
          </cell>
          <cell r="BC86">
            <v>1.0250258390965652E-5</v>
          </cell>
          <cell r="BD86">
            <v>1.0250258390965652E-5</v>
          </cell>
        </row>
        <row r="87">
          <cell r="U87">
            <v>3.0640314480246875E-5</v>
          </cell>
          <cell r="V87">
            <v>2.8388073975105203E-5</v>
          </cell>
          <cell r="W87">
            <v>2.7696605194098175E-5</v>
          </cell>
          <cell r="X87">
            <v>6.1185509118091901E-5</v>
          </cell>
          <cell r="Y87">
            <v>5.8211877131280025E-5</v>
          </cell>
          <cell r="Z87">
            <v>5.3671180628152079E-5</v>
          </cell>
          <cell r="AA87">
            <v>4.4024033660977825E-5</v>
          </cell>
          <cell r="AB87">
            <v>4.2018250516330529E-5</v>
          </cell>
          <cell r="AF87">
            <v>180</v>
          </cell>
          <cell r="AG87">
            <v>82</v>
          </cell>
          <cell r="AH87">
            <v>5.5555555555555558E-3</v>
          </cell>
          <cell r="AI87">
            <v>5.5555555555555558E-3</v>
          </cell>
          <cell r="AJ87">
            <v>5.5555555555555558E-3</v>
          </cell>
          <cell r="AK87">
            <v>5.5555555555555558E-3</v>
          </cell>
          <cell r="AL87">
            <v>5.5555555555555558E-3</v>
          </cell>
          <cell r="AO87">
            <v>4.6084666578026544E-4</v>
          </cell>
          <cell r="AP87">
            <v>82</v>
          </cell>
          <cell r="AQ87">
            <v>1.0245901639344263E-3</v>
          </cell>
          <cell r="AR87">
            <v>1.0245901639344263E-3</v>
          </cell>
          <cell r="AS87">
            <v>1.0245901639344263E-3</v>
          </cell>
          <cell r="AT87">
            <v>1.0245901639344263E-3</v>
          </cell>
          <cell r="AU87">
            <v>1.0245901639344263E-3</v>
          </cell>
          <cell r="AY87">
            <v>82</v>
          </cell>
          <cell r="AZ87">
            <v>5.3097512116877295E-6</v>
          </cell>
          <cell r="BA87">
            <v>5.3097512116877295E-6</v>
          </cell>
          <cell r="BB87">
            <v>5.3097512116877295E-6</v>
          </cell>
          <cell r="BC87">
            <v>9.3184167190596817E-6</v>
          </cell>
          <cell r="BD87">
            <v>9.3184167190596817E-6</v>
          </cell>
        </row>
        <row r="88">
          <cell r="U88">
            <v>2.9959408192657436E-5</v>
          </cell>
          <cell r="V88">
            <v>2.7705153426328123E-5</v>
          </cell>
          <cell r="W88">
            <v>2.720033106548045E-5</v>
          </cell>
          <cell r="X88">
            <v>5.9546260943845337E-5</v>
          </cell>
          <cell r="Y88">
            <v>5.6577599485527663E-5</v>
          </cell>
          <cell r="Z88">
            <v>5.2025761527381008E-5</v>
          </cell>
          <cell r="AA88">
            <v>4.2494644980247687E-5</v>
          </cell>
          <cell r="AB88">
            <v>4.1220284684848945E-5</v>
          </cell>
          <cell r="AF88">
            <v>180</v>
          </cell>
          <cell r="AG88">
            <v>83</v>
          </cell>
          <cell r="AH88">
            <v>5.5555555555555558E-3</v>
          </cell>
          <cell r="AI88">
            <v>5.5555555555555558E-3</v>
          </cell>
          <cell r="AJ88">
            <v>5.5555555555555558E-3</v>
          </cell>
          <cell r="AK88">
            <v>5.5555555555555558E-3</v>
          </cell>
          <cell r="AL88">
            <v>5.5555555555555558E-3</v>
          </cell>
          <cell r="AO88">
            <v>4.5351473922902486E-4</v>
          </cell>
          <cell r="AP88">
            <v>83</v>
          </cell>
          <cell r="AQ88">
            <v>1.0162601626016261E-3</v>
          </cell>
          <cell r="AR88">
            <v>1.0162601626016261E-3</v>
          </cell>
          <cell r="AS88">
            <v>1.0162601626016261E-3</v>
          </cell>
          <cell r="AT88">
            <v>1.0162601626016261E-3</v>
          </cell>
          <cell r="AU88">
            <v>1.0162601626016261E-3</v>
          </cell>
          <cell r="AY88">
            <v>83</v>
          </cell>
          <cell r="AZ88">
            <v>4.8270465560797545E-6</v>
          </cell>
          <cell r="BA88">
            <v>4.8270465560797545E-6</v>
          </cell>
          <cell r="BB88">
            <v>4.8270465560797545E-6</v>
          </cell>
          <cell r="BC88">
            <v>8.4712879264178923E-6</v>
          </cell>
          <cell r="BD88">
            <v>8.4712879264178923E-6</v>
          </cell>
        </row>
        <row r="89">
          <cell r="U89">
            <v>2.7257544512686981E-5</v>
          </cell>
          <cell r="V89">
            <v>2.5223442257063818E-5</v>
          </cell>
          <cell r="W89">
            <v>2.4861039057158364E-5</v>
          </cell>
          <cell r="X89">
            <v>5.2932232133869656E-5</v>
          </cell>
          <cell r="Y89">
            <v>5.0441384810859468E-5</v>
          </cell>
          <cell r="Z89">
            <v>4.6453054934735116E-5</v>
          </cell>
          <cell r="AA89">
            <v>3.8240683264175232E-5</v>
          </cell>
          <cell r="AB89">
            <v>3.7626173795066034E-5</v>
          </cell>
          <cell r="AF89">
            <v>180</v>
          </cell>
          <cell r="AG89">
            <v>84</v>
          </cell>
          <cell r="AH89">
            <v>5.5555555555555558E-3</v>
          </cell>
          <cell r="AI89">
            <v>5.5555555555555558E-3</v>
          </cell>
          <cell r="AJ89">
            <v>5.5555555555555558E-3</v>
          </cell>
          <cell r="AK89">
            <v>5.5555555555555558E-3</v>
          </cell>
          <cell r="AL89">
            <v>5.5555555555555558E-3</v>
          </cell>
          <cell r="AO89">
            <v>4.4473984414449707E-4</v>
          </cell>
          <cell r="AP89">
            <v>84</v>
          </cell>
          <cell r="AQ89">
            <v>1.0080645161290322E-3</v>
          </cell>
          <cell r="AR89">
            <v>1.0080645161290322E-3</v>
          </cell>
          <cell r="AS89">
            <v>1.0080645161290322E-3</v>
          </cell>
          <cell r="AT89">
            <v>1.0080645161290322E-3</v>
          </cell>
          <cell r="AU89">
            <v>1.0080645161290322E-3</v>
          </cell>
          <cell r="AY89">
            <v>84</v>
          </cell>
          <cell r="AZ89">
            <v>4.3882241418906856E-6</v>
          </cell>
          <cell r="BA89">
            <v>4.3882241418906856E-6</v>
          </cell>
          <cell r="BB89">
            <v>4.3882241418906856E-6</v>
          </cell>
          <cell r="BC89">
            <v>7.7011708421980828E-6</v>
          </cell>
          <cell r="BD89">
            <v>7.7011708421980828E-6</v>
          </cell>
        </row>
        <row r="90">
          <cell r="U90">
            <v>2.6680289794533695E-5</v>
          </cell>
          <cell r="V90">
            <v>2.4763948587982764E-5</v>
          </cell>
          <cell r="W90">
            <v>2.4432845261869371E-5</v>
          </cell>
          <cell r="X90">
            <v>5.1584058056918139E-5</v>
          </cell>
          <cell r="Y90">
            <v>4.9123024359316258E-5</v>
          </cell>
          <cell r="Z90">
            <v>4.5083126917411824E-5</v>
          </cell>
          <cell r="AA90">
            <v>3.7443034106788005E-5</v>
          </cell>
          <cell r="AB90">
            <v>3.6940719093123706E-5</v>
          </cell>
          <cell r="AF90">
            <v>180</v>
          </cell>
          <cell r="AG90">
            <v>85</v>
          </cell>
          <cell r="AH90">
            <v>5.5555555555555558E-3</v>
          </cell>
          <cell r="AI90">
            <v>5.5555555555555558E-3</v>
          </cell>
          <cell r="AJ90">
            <v>5.5555555555555558E-3</v>
          </cell>
          <cell r="AK90">
            <v>5.5555555555555558E-3</v>
          </cell>
          <cell r="AL90">
            <v>5.5555555555555558E-3</v>
          </cell>
          <cell r="AO90">
            <v>4.3572984749455358E-4</v>
          </cell>
          <cell r="AP90">
            <v>85</v>
          </cell>
          <cell r="AQ90">
            <v>1E-3</v>
          </cell>
          <cell r="AR90">
            <v>1E-3</v>
          </cell>
          <cell r="AS90">
            <v>1E-3</v>
          </cell>
          <cell r="AT90">
            <v>1E-3</v>
          </cell>
          <cell r="AU90">
            <v>1E-3</v>
          </cell>
          <cell r="AY90">
            <v>85</v>
          </cell>
          <cell r="AZ90">
            <v>3.9892946744460772E-6</v>
          </cell>
          <cell r="BA90">
            <v>3.9892946744460772E-6</v>
          </cell>
          <cell r="BB90">
            <v>3.9892946744460772E-6</v>
          </cell>
          <cell r="BC90">
            <v>7.0010644019982568E-6</v>
          </cell>
          <cell r="BD90">
            <v>7.0010644019982568E-6</v>
          </cell>
        </row>
        <row r="91">
          <cell r="U91">
            <v>2.6114243786332068E-5</v>
          </cell>
          <cell r="V91">
            <v>2.4344478292560372E-5</v>
          </cell>
          <cell r="W91">
            <v>2.4015783034269261E-5</v>
          </cell>
          <cell r="X91">
            <v>5.02692501453875E-5</v>
          </cell>
          <cell r="Y91">
            <v>4.7824789685601681E-5</v>
          </cell>
          <cell r="Z91">
            <v>4.3725464570195748E-5</v>
          </cell>
          <cell r="AA91">
            <v>3.6772932229795135E-5</v>
          </cell>
          <cell r="AB91">
            <v>3.6274754994872297E-5</v>
          </cell>
          <cell r="AF91">
            <v>180</v>
          </cell>
          <cell r="AG91">
            <v>86</v>
          </cell>
          <cell r="AH91">
            <v>5.5555555555555558E-3</v>
          </cell>
          <cell r="AI91">
            <v>5.5555555555555558E-3</v>
          </cell>
          <cell r="AJ91">
            <v>5.5555555555555558E-3</v>
          </cell>
          <cell r="AK91">
            <v>5.5555555555555558E-3</v>
          </cell>
          <cell r="AL91">
            <v>5.5555555555555558E-3</v>
          </cell>
          <cell r="AO91">
            <v>4.2972819920064327E-4</v>
          </cell>
          <cell r="AP91">
            <v>86</v>
          </cell>
          <cell r="AQ91">
            <v>9.9206349206349201E-4</v>
          </cell>
          <cell r="AR91">
            <v>9.9206349206349201E-4</v>
          </cell>
          <cell r="AS91">
            <v>9.9206349206349201E-4</v>
          </cell>
          <cell r="AT91">
            <v>9.9206349206349201E-4</v>
          </cell>
          <cell r="AU91">
            <v>9.9206349206349201E-4</v>
          </cell>
          <cell r="AY91">
            <v>86</v>
          </cell>
          <cell r="AZ91">
            <v>3.626631522223706E-6</v>
          </cell>
          <cell r="BA91">
            <v>3.626631522223706E-6</v>
          </cell>
          <cell r="BB91">
            <v>3.626631522223706E-6</v>
          </cell>
          <cell r="BC91">
            <v>6.3646040018165961E-6</v>
          </cell>
          <cell r="BD91">
            <v>6.3646040018165961E-6</v>
          </cell>
        </row>
        <row r="92">
          <cell r="U92">
            <v>2.5559528929674589E-5</v>
          </cell>
          <cell r="V92">
            <v>2.3935471483455787E-5</v>
          </cell>
          <cell r="W92">
            <v>2.3614538561151873E-5</v>
          </cell>
          <cell r="X92">
            <v>4.8996674775754454E-5</v>
          </cell>
          <cell r="Y92">
            <v>4.6581413568746713E-5</v>
          </cell>
          <cell r="Z92">
            <v>4.239113641883768E-5</v>
          </cell>
          <cell r="AA92">
            <v>3.6121140798979384E-5</v>
          </cell>
          <cell r="AB92">
            <v>3.5635184027034673E-5</v>
          </cell>
          <cell r="AF92">
            <v>180</v>
          </cell>
          <cell r="AG92">
            <v>87</v>
          </cell>
          <cell r="AH92">
            <v>5.5555555555555558E-3</v>
          </cell>
          <cell r="AI92">
            <v>5.5555555555555558E-3</v>
          </cell>
          <cell r="AJ92">
            <v>5.5555555555555558E-3</v>
          </cell>
          <cell r="AK92">
            <v>5.5555555555555558E-3</v>
          </cell>
          <cell r="AL92">
            <v>5.5555555555555558E-3</v>
          </cell>
          <cell r="AO92">
            <v>4.1928721174004169E-4</v>
          </cell>
          <cell r="AP92">
            <v>87</v>
          </cell>
          <cell r="AQ92">
            <v>9.8425196850393699E-4</v>
          </cell>
          <cell r="AR92">
            <v>9.8425196850393699E-4</v>
          </cell>
          <cell r="AS92">
            <v>9.8425196850393699E-4</v>
          </cell>
          <cell r="AT92">
            <v>9.8425196850393699E-4</v>
          </cell>
          <cell r="AU92">
            <v>9.8425196850393699E-4</v>
          </cell>
          <cell r="AY92">
            <v>87</v>
          </cell>
          <cell r="AZ92">
            <v>3.296937747476096E-6</v>
          </cell>
          <cell r="BA92">
            <v>3.296937747476096E-6</v>
          </cell>
          <cell r="BB92">
            <v>3.296937747476096E-6</v>
          </cell>
          <cell r="BC92">
            <v>5.7860036380150865E-6</v>
          </cell>
          <cell r="BD92">
            <v>5.7860036380150865E-6</v>
          </cell>
        </row>
        <row r="93">
          <cell r="U93">
            <v>2.5021495800548888E-5</v>
          </cell>
          <cell r="V93">
            <v>2.3540163082271999E-5</v>
          </cell>
          <cell r="W93">
            <v>2.3226811475719713E-5</v>
          </cell>
          <cell r="X93">
            <v>4.7765978756819808E-5</v>
          </cell>
          <cell r="Y93">
            <v>4.5361835754312329E-5</v>
          </cell>
          <cell r="Z93">
            <v>4.1113485428579194E-5</v>
          </cell>
          <cell r="AA93">
            <v>3.5492376469749409E-5</v>
          </cell>
          <cell r="AB93">
            <v>3.5018328095510283E-5</v>
          </cell>
          <cell r="AF93">
            <v>180</v>
          </cell>
          <cell r="AG93">
            <v>88</v>
          </cell>
          <cell r="AH93">
            <v>5.5555555555555558E-3</v>
          </cell>
          <cell r="AI93">
            <v>5.5555555555555558E-3</v>
          </cell>
          <cell r="AJ93">
            <v>5.5555555555555558E-3</v>
          </cell>
          <cell r="AK93">
            <v>5.5555555555555558E-3</v>
          </cell>
          <cell r="AL93">
            <v>5.5555555555555558E-3</v>
          </cell>
          <cell r="AO93">
            <v>4.1570276585312251E-4</v>
          </cell>
          <cell r="AP93">
            <v>88</v>
          </cell>
          <cell r="AQ93">
            <v>9.765625E-4</v>
          </cell>
          <cell r="AR93">
            <v>9.765625E-4</v>
          </cell>
          <cell r="AS93">
            <v>9.765625E-4</v>
          </cell>
          <cell r="AT93">
            <v>9.765625E-4</v>
          </cell>
          <cell r="AU93">
            <v>9.765625E-4</v>
          </cell>
          <cell r="AY93">
            <v>88</v>
          </cell>
          <cell r="AZ93">
            <v>2.9972161340691778E-6</v>
          </cell>
          <cell r="BA93">
            <v>2.9972161340691778E-6</v>
          </cell>
          <cell r="BB93">
            <v>2.9972161340691778E-6</v>
          </cell>
          <cell r="BC93">
            <v>5.2600033072864418E-6</v>
          </cell>
          <cell r="BD93">
            <v>5.2600033072864418E-6</v>
          </cell>
        </row>
        <row r="94">
          <cell r="U94">
            <v>2.4514583624870538E-5</v>
          </cell>
          <cell r="V94">
            <v>2.3158523775863076E-5</v>
          </cell>
          <cell r="W94">
            <v>2.2851501091081289E-5</v>
          </cell>
          <cell r="X94">
            <v>4.6615164608947573E-5</v>
          </cell>
          <cell r="Y94">
            <v>4.4176139956686829E-5</v>
          </cell>
          <cell r="Z94">
            <v>3.995499546693013E-5</v>
          </cell>
          <cell r="AA94">
            <v>3.4886417328462306E-5</v>
          </cell>
          <cell r="AB94">
            <v>3.4422348638001542E-5</v>
          </cell>
          <cell r="AF94">
            <v>180</v>
          </cell>
          <cell r="AG94">
            <v>89</v>
          </cell>
          <cell r="AH94">
            <v>5.5555555555555558E-3</v>
          </cell>
          <cell r="AI94">
            <v>5.5555555555555558E-3</v>
          </cell>
          <cell r="AJ94">
            <v>5.5555555555555558E-3</v>
          </cell>
          <cell r="AK94">
            <v>5.5555555555555558E-3</v>
          </cell>
          <cell r="AL94">
            <v>5.5555555555555558E-3</v>
          </cell>
          <cell r="AO94">
            <v>4.0404040404040404E-4</v>
          </cell>
          <cell r="AP94">
            <v>89</v>
          </cell>
          <cell r="AQ94">
            <v>9.6899224806201549E-4</v>
          </cell>
          <cell r="AR94">
            <v>9.6899224806201549E-4</v>
          </cell>
          <cell r="AS94">
            <v>9.6899224806201549E-4</v>
          </cell>
          <cell r="AT94">
            <v>9.6899224806201549E-4</v>
          </cell>
          <cell r="AU94">
            <v>9.6899224806201549E-4</v>
          </cell>
          <cell r="AY94">
            <v>89</v>
          </cell>
          <cell r="AZ94">
            <v>2.7247419400628888E-6</v>
          </cell>
          <cell r="BA94">
            <v>2.7247419400628888E-6</v>
          </cell>
          <cell r="BB94">
            <v>2.7247419400628888E-6</v>
          </cell>
          <cell r="BC94">
            <v>4.7818211884422197E-6</v>
          </cell>
          <cell r="BD94">
            <v>4.7818211884422197E-6</v>
          </cell>
        </row>
        <row r="95">
          <cell r="U95">
            <v>2.4021754192707502E-5</v>
          </cell>
          <cell r="V95">
            <v>2.2788335618306288E-5</v>
          </cell>
          <cell r="W95">
            <v>2.2484541877459248E-5</v>
          </cell>
          <cell r="X95">
            <v>4.5488043303905426E-5</v>
          </cell>
          <cell r="Y95">
            <v>4.3043126506024136E-5</v>
          </cell>
          <cell r="Z95">
            <v>3.8827693708422214E-5</v>
          </cell>
          <cell r="AA95">
            <v>3.4299748554712673E-5</v>
          </cell>
          <cell r="AB95">
            <v>3.3840947546531304E-5</v>
          </cell>
          <cell r="AF95">
            <v>180</v>
          </cell>
          <cell r="AG95">
            <v>90</v>
          </cell>
          <cell r="AH95">
            <v>5.5555555555555558E-3</v>
          </cell>
          <cell r="AI95">
            <v>5.5555555555555558E-3</v>
          </cell>
          <cell r="AJ95">
            <v>5.5555555555555558E-3</v>
          </cell>
          <cell r="AK95">
            <v>5.5555555555555558E-3</v>
          </cell>
          <cell r="AL95">
            <v>5.5555555555555558E-3</v>
          </cell>
          <cell r="AO95">
            <v>4.0244653009220796E-4</v>
          </cell>
          <cell r="AP95">
            <v>90</v>
          </cell>
          <cell r="AQ95">
            <v>9.6153846153846159E-4</v>
          </cell>
          <cell r="AR95">
            <v>9.6153846153846159E-4</v>
          </cell>
          <cell r="AS95">
            <v>9.6153846153846159E-4</v>
          </cell>
          <cell r="AT95">
            <v>9.6153846153846159E-4</v>
          </cell>
          <cell r="AU95">
            <v>9.6153846153846159E-4</v>
          </cell>
          <cell r="AY95">
            <v>90</v>
          </cell>
          <cell r="AZ95">
            <v>2.4770381273298987E-6</v>
          </cell>
          <cell r="BA95">
            <v>2.4770381273298987E-6</v>
          </cell>
          <cell r="BB95">
            <v>2.4770381273298987E-6</v>
          </cell>
          <cell r="BC95">
            <v>4.3471101713111084E-6</v>
          </cell>
          <cell r="BD95">
            <v>4.3471101713111084E-6</v>
          </cell>
        </row>
        <row r="96">
          <cell r="U96">
            <v>1.994085224324097E-5</v>
          </cell>
          <cell r="V96">
            <v>1.9006304887192357E-5</v>
          </cell>
          <cell r="W96">
            <v>1.873711823121604E-5</v>
          </cell>
          <cell r="X96">
            <v>3.7629985130779118E-5</v>
          </cell>
          <cell r="Y96">
            <v>3.5519508539774273E-5</v>
          </cell>
          <cell r="Z96">
            <v>3.1973581068568818E-5</v>
          </cell>
          <cell r="AA96">
            <v>2.8607326854505307E-5</v>
          </cell>
          <cell r="AB96">
            <v>2.8200789622109419E-5</v>
          </cell>
          <cell r="AF96">
            <v>180</v>
          </cell>
          <cell r="AG96">
            <v>91</v>
          </cell>
          <cell r="AH96">
            <v>5.5555555555555558E-3</v>
          </cell>
          <cell r="AI96">
            <v>5.5555555555555558E-3</v>
          </cell>
          <cell r="AJ96">
            <v>5.5555555555555558E-3</v>
          </cell>
          <cell r="AK96">
            <v>5.5555555555555558E-3</v>
          </cell>
          <cell r="AL96">
            <v>5.5555555555555558E-3</v>
          </cell>
          <cell r="AO96">
            <v>3.887269193391643E-4</v>
          </cell>
          <cell r="AP96">
            <v>91</v>
          </cell>
          <cell r="AQ96">
            <v>9.5419847328244271E-4</v>
          </cell>
          <cell r="AR96">
            <v>9.5419847328244271E-4</v>
          </cell>
          <cell r="AS96">
            <v>9.5419847328244271E-4</v>
          </cell>
          <cell r="AT96">
            <v>9.5419847328244271E-4</v>
          </cell>
          <cell r="AU96">
            <v>9.5419847328244271E-4</v>
          </cell>
          <cell r="AY96">
            <v>91</v>
          </cell>
          <cell r="AZ96">
            <v>2.2518528430271806E-6</v>
          </cell>
          <cell r="BA96">
            <v>2.2518528430271806E-6</v>
          </cell>
          <cell r="BB96">
            <v>2.2518528430271806E-6</v>
          </cell>
          <cell r="BC96">
            <v>3.951918337555553E-6</v>
          </cell>
          <cell r="BD96">
            <v>3.951918337555553E-6</v>
          </cell>
        </row>
        <row r="97">
          <cell r="U97">
            <v>1.7021877100212313E-5</v>
          </cell>
          <cell r="V97">
            <v>1.629115553166186E-5</v>
          </cell>
          <cell r="W97">
            <v>1.6060387055328034E-5</v>
          </cell>
          <cell r="X97">
            <v>3.2004430930477439E-5</v>
          </cell>
          <cell r="Y97">
            <v>3.013766351294132E-5</v>
          </cell>
          <cell r="Z97">
            <v>2.7063053937065946E-5</v>
          </cell>
          <cell r="AA97">
            <v>2.4520621842969938E-5</v>
          </cell>
          <cell r="AB97">
            <v>2.4172105390379503E-5</v>
          </cell>
          <cell r="AF97">
            <v>180</v>
          </cell>
          <cell r="AG97">
            <v>92</v>
          </cell>
          <cell r="AH97">
            <v>5.5555555555555558E-3</v>
          </cell>
          <cell r="AI97">
            <v>5.5555555555555558E-3</v>
          </cell>
          <cell r="AJ97">
            <v>5.5555555555555558E-3</v>
          </cell>
          <cell r="AK97">
            <v>5.5555555555555558E-3</v>
          </cell>
          <cell r="AL97">
            <v>5.5555555555555558E-3</v>
          </cell>
          <cell r="AO97">
            <v>3.8872691933916403E-4</v>
          </cell>
          <cell r="AP97">
            <v>92</v>
          </cell>
          <cell r="AQ97">
            <v>9.46969696969697E-4</v>
          </cell>
          <cell r="AR97">
            <v>9.46969696969697E-4</v>
          </cell>
          <cell r="AS97">
            <v>9.46969696969697E-4</v>
          </cell>
          <cell r="AT97">
            <v>9.46969696969697E-4</v>
          </cell>
          <cell r="AU97">
            <v>9.46969696969697E-4</v>
          </cell>
          <cell r="AY97">
            <v>92</v>
          </cell>
          <cell r="AZ97">
            <v>2.0471389482065275E-6</v>
          </cell>
          <cell r="BA97">
            <v>2.0471389482065275E-6</v>
          </cell>
          <cell r="BB97">
            <v>2.0471389482065275E-6</v>
          </cell>
          <cell r="BC97">
            <v>3.5926530341414117E-6</v>
          </cell>
          <cell r="BD97">
            <v>3.5926530341414117E-6</v>
          </cell>
        </row>
        <row r="98">
          <cell r="U98">
            <v>1.4818193256715753E-5</v>
          </cell>
          <cell r="V98">
            <v>1.4254761090204128E-5</v>
          </cell>
          <cell r="W98">
            <v>1.4052838673412029E-5</v>
          </cell>
          <cell r="X98">
            <v>2.7769868188029329E-5</v>
          </cell>
          <cell r="Y98">
            <v>2.6079144899585981E-5</v>
          </cell>
          <cell r="Z98">
            <v>2.3349574845932749E-5</v>
          </cell>
          <cell r="AA98">
            <v>2.1455544112598697E-5</v>
          </cell>
          <cell r="AB98">
            <v>2.1150592216582064E-5</v>
          </cell>
          <cell r="AF98">
            <v>180</v>
          </cell>
          <cell r="AG98">
            <v>93</v>
          </cell>
          <cell r="AH98">
            <v>5.5555555555555558E-3</v>
          </cell>
          <cell r="AI98">
            <v>5.5555555555555558E-3</v>
          </cell>
          <cell r="AJ98">
            <v>5.5555555555555558E-3</v>
          </cell>
          <cell r="AK98">
            <v>5.5555555555555558E-3</v>
          </cell>
          <cell r="AL98">
            <v>5.5555555555555558E-3</v>
          </cell>
          <cell r="AO98">
            <v>3.7488579443303426E-4</v>
          </cell>
          <cell r="AP98">
            <v>93</v>
          </cell>
          <cell r="AQ98">
            <v>9.3984962406015032E-4</v>
          </cell>
          <cell r="AR98">
            <v>9.3984962406015032E-4</v>
          </cell>
          <cell r="AS98">
            <v>9.3984962406015032E-4</v>
          </cell>
          <cell r="AT98">
            <v>9.3984962406015032E-4</v>
          </cell>
          <cell r="AU98">
            <v>9.3984962406015032E-4</v>
          </cell>
          <cell r="AY98">
            <v>93</v>
          </cell>
          <cell r="AZ98">
            <v>1.8610354074604796E-6</v>
          </cell>
          <cell r="BA98">
            <v>1.8610354074604796E-6</v>
          </cell>
          <cell r="BB98">
            <v>1.8610354074604796E-6</v>
          </cell>
          <cell r="BC98">
            <v>3.2660482128558287E-6</v>
          </cell>
          <cell r="BD98">
            <v>3.2660482128558287E-6</v>
          </cell>
        </row>
        <row r="99">
          <cell r="U99">
            <v>1.310404826243421E-5</v>
          </cell>
          <cell r="V99">
            <v>1.2670898746848113E-5</v>
          </cell>
          <cell r="W99">
            <v>1.2491412154144026E-5</v>
          </cell>
          <cell r="X99">
            <v>2.4482839724197353E-5</v>
          </cell>
          <cell r="Y99">
            <v>2.2910447406329703E-5</v>
          </cell>
          <cell r="Z99">
            <v>2.046959933474826E-5</v>
          </cell>
          <cell r="AA99">
            <v>1.9071594766754396E-5</v>
          </cell>
          <cell r="AB99">
            <v>1.8800526414739612E-5</v>
          </cell>
          <cell r="AF99">
            <v>180</v>
          </cell>
          <cell r="AG99">
            <v>94</v>
          </cell>
          <cell r="AH99">
            <v>5.5555555555555558E-3</v>
          </cell>
          <cell r="AI99">
            <v>5.5555555555555558E-3</v>
          </cell>
          <cell r="AJ99">
            <v>5.5555555555555558E-3</v>
          </cell>
          <cell r="AK99">
            <v>5.5555555555555558E-3</v>
          </cell>
          <cell r="AL99">
            <v>5.5555555555555558E-3</v>
          </cell>
          <cell r="AO99">
            <v>3.7453183520599274E-4</v>
          </cell>
          <cell r="AP99">
            <v>94</v>
          </cell>
          <cell r="AQ99">
            <v>9.3283582089552237E-4</v>
          </cell>
          <cell r="AR99">
            <v>9.3283582089552237E-4</v>
          </cell>
          <cell r="AS99">
            <v>9.3283582089552237E-4</v>
          </cell>
          <cell r="AT99">
            <v>9.3283582089552237E-4</v>
          </cell>
          <cell r="AU99">
            <v>9.3283582089552237E-4</v>
          </cell>
          <cell r="AY99">
            <v>94</v>
          </cell>
          <cell r="AZ99">
            <v>1.6918503704186175E-6</v>
          </cell>
          <cell r="BA99">
            <v>1.6918503704186175E-6</v>
          </cell>
          <cell r="BB99">
            <v>1.6918503704186175E-6</v>
          </cell>
          <cell r="BC99">
            <v>2.9691347389598439E-6</v>
          </cell>
          <cell r="BD99">
            <v>2.9691347389598439E-6</v>
          </cell>
        </row>
        <row r="100">
          <cell r="U100">
            <v>1.1736582245990736E-5</v>
          </cell>
          <cell r="V100">
            <v>1.1403808872163303E-5</v>
          </cell>
          <cell r="W100">
            <v>1.1242270938729624E-5</v>
          </cell>
          <cell r="X100">
            <v>2.1831717818677428E-5</v>
          </cell>
          <cell r="Y100">
            <v>2.0355266285183151E-5</v>
          </cell>
          <cell r="Z100">
            <v>1.8185872825411376E-5</v>
          </cell>
          <cell r="AA100">
            <v>1.7164435290078956E-5</v>
          </cell>
          <cell r="AB100">
            <v>1.6920473773265652E-5</v>
          </cell>
          <cell r="AF100">
            <v>180</v>
          </cell>
          <cell r="AG100">
            <v>95</v>
          </cell>
          <cell r="AH100">
            <v>5.5555555555555558E-3</v>
          </cell>
          <cell r="AI100">
            <v>5.5555555555555558E-3</v>
          </cell>
          <cell r="AJ100">
            <v>5.5555555555555558E-3</v>
          </cell>
          <cell r="AK100">
            <v>5.5555555555555558E-3</v>
          </cell>
          <cell r="AL100">
            <v>5.5555555555555558E-3</v>
          </cell>
          <cell r="AO100">
            <v>3.6320180846452683E-4</v>
          </cell>
          <cell r="AP100">
            <v>95</v>
          </cell>
          <cell r="AQ100">
            <v>9.2592592592592596E-4</v>
          </cell>
          <cell r="AR100">
            <v>9.2592592592592596E-4</v>
          </cell>
          <cell r="AS100">
            <v>9.2592592592592596E-4</v>
          </cell>
          <cell r="AT100">
            <v>9.2592592592592596E-4</v>
          </cell>
          <cell r="AU100">
            <v>9.2592592592592596E-4</v>
          </cell>
          <cell r="AY100">
            <v>95</v>
          </cell>
          <cell r="AZ100">
            <v>1.5380457912896521E-6</v>
          </cell>
          <cell r="BA100">
            <v>1.5380457912896521E-6</v>
          </cell>
          <cell r="BB100">
            <v>1.5380457912896521E-6</v>
          </cell>
          <cell r="BC100">
            <v>2.6992133990544032E-6</v>
          </cell>
          <cell r="BD100">
            <v>2.6992133990544032E-6</v>
          </cell>
        </row>
        <row r="101">
          <cell r="U101">
            <v>1.0614868426350037E-5</v>
          </cell>
          <cell r="V101">
            <v>1.0367098974693912E-5</v>
          </cell>
          <cell r="W101">
            <v>1.0220246307936021E-5</v>
          </cell>
          <cell r="X101">
            <v>1.9649804054041014E-5</v>
          </cell>
          <cell r="Y101">
            <v>1.8265106027406092E-5</v>
          </cell>
          <cell r="Z101">
            <v>1.6309156201969178E-5</v>
          </cell>
          <cell r="AA101">
            <v>1.5604032081889959E-5</v>
          </cell>
          <cell r="AB101">
            <v>1.5382248884786955E-5</v>
          </cell>
          <cell r="AF101">
            <v>180</v>
          </cell>
          <cell r="AG101">
            <v>96</v>
          </cell>
          <cell r="AH101">
            <v>5.5555555555555558E-3</v>
          </cell>
          <cell r="AI101">
            <v>5.5555555555555558E-3</v>
          </cell>
          <cell r="AJ101">
            <v>5.5555555555555558E-3</v>
          </cell>
          <cell r="AK101">
            <v>5.5555555555555558E-3</v>
          </cell>
          <cell r="AL101">
            <v>5.5555555555555558E-3</v>
          </cell>
          <cell r="AO101">
            <v>3.6133694670280005E-4</v>
          </cell>
          <cell r="AP101">
            <v>96</v>
          </cell>
          <cell r="AQ101">
            <v>9.1911764705882352E-4</v>
          </cell>
          <cell r="AR101">
            <v>9.1911764705882352E-4</v>
          </cell>
          <cell r="AS101">
            <v>9.1911764705882352E-4</v>
          </cell>
          <cell r="AT101">
            <v>9.1911764705882352E-4</v>
          </cell>
          <cell r="AU101">
            <v>9.1911764705882352E-4</v>
          </cell>
          <cell r="AY101">
            <v>96</v>
          </cell>
          <cell r="AZ101">
            <v>1.3982234466269566E-6</v>
          </cell>
          <cell r="BA101">
            <v>1.3982234466269566E-6</v>
          </cell>
          <cell r="BB101">
            <v>1.3982234466269566E-6</v>
          </cell>
          <cell r="BC101">
            <v>2.45383036277673E-6</v>
          </cell>
          <cell r="BD101">
            <v>2.45383036277673E-6</v>
          </cell>
        </row>
        <row r="102">
          <cell r="U102">
            <v>9.6729034424387814E-6</v>
          </cell>
          <cell r="V102">
            <v>9.5031740601360863E-6</v>
          </cell>
          <cell r="W102">
            <v>9.3685591156080201E-6</v>
          </cell>
          <cell r="X102">
            <v>1.7821719390853956E-5</v>
          </cell>
          <cell r="Y102">
            <v>1.6533919764427194E-5</v>
          </cell>
          <cell r="Z102">
            <v>1.472001761930029E-5</v>
          </cell>
          <cell r="AA102">
            <v>1.4303696075065797E-5</v>
          </cell>
          <cell r="AB102">
            <v>1.4100394811054709E-5</v>
          </cell>
          <cell r="AF102">
            <v>180</v>
          </cell>
          <cell r="AG102">
            <v>97</v>
          </cell>
          <cell r="AH102">
            <v>5.5555555555555558E-3</v>
          </cell>
          <cell r="AI102">
            <v>5.5555555555555558E-3</v>
          </cell>
          <cell r="AJ102">
            <v>5.5555555555555558E-3</v>
          </cell>
          <cell r="AK102">
            <v>5.5555555555555558E-3</v>
          </cell>
          <cell r="AL102">
            <v>5.5555555555555558E-3</v>
          </cell>
          <cell r="AO102">
            <v>3.5222647796932853E-4</v>
          </cell>
          <cell r="AP102">
            <v>97</v>
          </cell>
          <cell r="AQ102">
            <v>9.1240875912408756E-4</v>
          </cell>
          <cell r="AR102">
            <v>9.1240875912408756E-4</v>
          </cell>
          <cell r="AS102">
            <v>9.1240875912408756E-4</v>
          </cell>
          <cell r="AT102">
            <v>9.1240875912408756E-4</v>
          </cell>
          <cell r="AU102">
            <v>9.1240875912408756E-4</v>
          </cell>
          <cell r="AY102">
            <v>97</v>
          </cell>
          <cell r="AZ102">
            <v>1.271112224206324E-6</v>
          </cell>
          <cell r="BA102">
            <v>1.271112224206324E-6</v>
          </cell>
          <cell r="BB102">
            <v>1.271112224206324E-6</v>
          </cell>
          <cell r="BC102">
            <v>2.2307548752515728E-6</v>
          </cell>
          <cell r="BD102">
            <v>2.2307548752515728E-6</v>
          </cell>
        </row>
        <row r="103">
          <cell r="U103">
            <v>8.8727069152650616E-6</v>
          </cell>
          <cell r="V103">
            <v>8.7721606708948474E-6</v>
          </cell>
          <cell r="W103">
            <v>8.6479007220997099E-6</v>
          </cell>
          <cell r="X103">
            <v>1.6276639621832541E-5</v>
          </cell>
          <cell r="Y103">
            <v>1.5073839313179913E-5</v>
          </cell>
          <cell r="Z103">
            <v>1.3367117271874101E-5</v>
          </cell>
          <cell r="AA103">
            <v>1.3203411761599196E-5</v>
          </cell>
          <cell r="AB103">
            <v>1.3015749056358193E-5</v>
          </cell>
          <cell r="AF103">
            <v>180</v>
          </cell>
          <cell r="AG103">
            <v>98</v>
          </cell>
          <cell r="AH103">
            <v>5.5555555555555558E-3</v>
          </cell>
          <cell r="AI103">
            <v>5.5555555555555558E-3</v>
          </cell>
          <cell r="AJ103">
            <v>5.5555555555555558E-3</v>
          </cell>
          <cell r="AK103">
            <v>5.5555555555555558E-3</v>
          </cell>
          <cell r="AL103">
            <v>5.5555555555555558E-3</v>
          </cell>
          <cell r="AO103">
            <v>3.4904013961605597E-4</v>
          </cell>
          <cell r="AP103">
            <v>98</v>
          </cell>
          <cell r="AQ103">
            <v>9.0579710144927537E-4</v>
          </cell>
          <cell r="AR103">
            <v>9.0579710144927537E-4</v>
          </cell>
          <cell r="AS103">
            <v>9.0579710144927537E-4</v>
          </cell>
          <cell r="AT103">
            <v>9.0579710144927537E-4</v>
          </cell>
          <cell r="AU103">
            <v>9.0579710144927537E-4</v>
          </cell>
          <cell r="AY103">
            <v>98</v>
          </cell>
          <cell r="AZ103">
            <v>1.1555565674602945E-6</v>
          </cell>
          <cell r="BA103">
            <v>1.1555565674602945E-6</v>
          </cell>
          <cell r="BB103">
            <v>1.1555565674602945E-6</v>
          </cell>
          <cell r="BC103">
            <v>2.0279589775014296E-6</v>
          </cell>
          <cell r="BD103">
            <v>2.0279589775014296E-6</v>
          </cell>
        </row>
        <row r="104">
          <cell r="U104">
            <v>8.2343156871948158E-6</v>
          </cell>
          <cell r="V104">
            <v>8.1455777658309301E-6</v>
          </cell>
          <cell r="W104">
            <v>8.0301935276640168E-6</v>
          </cell>
          <cell r="X104">
            <v>1.4944436875387291E-5</v>
          </cell>
          <cell r="Y104">
            <v>1.381533125241964E-5</v>
          </cell>
          <cell r="Z104">
            <v>1.2394338266279964E-5</v>
          </cell>
          <cell r="AA104">
            <v>1.2260310921484969E-5</v>
          </cell>
          <cell r="AB104">
            <v>1.2086052695189752E-5</v>
          </cell>
          <cell r="AF104">
            <v>180</v>
          </cell>
          <cell r="AG104">
            <v>99</v>
          </cell>
          <cell r="AH104">
            <v>5.5555555555555558E-3</v>
          </cell>
          <cell r="AI104">
            <v>5.5555555555555558E-3</v>
          </cell>
          <cell r="AJ104">
            <v>5.5555555555555558E-3</v>
          </cell>
          <cell r="AK104">
            <v>5.5555555555555558E-3</v>
          </cell>
          <cell r="AL104">
            <v>5.5555555555555558E-3</v>
          </cell>
          <cell r="AO104">
            <v>3.4189692141273881E-4</v>
          </cell>
          <cell r="AP104">
            <v>99</v>
          </cell>
          <cell r="AQ104">
            <v>8.9928057553956839E-4</v>
          </cell>
          <cell r="AR104">
            <v>8.9928057553956839E-4</v>
          </cell>
          <cell r="AS104">
            <v>8.9928057553956839E-4</v>
          </cell>
          <cell r="AT104">
            <v>8.9928057553956839E-4</v>
          </cell>
          <cell r="AU104">
            <v>8.9928057553956839E-4</v>
          </cell>
          <cell r="AY104">
            <v>99</v>
          </cell>
          <cell r="AZ104">
            <v>1.0505059704184495E-6</v>
          </cell>
          <cell r="BA104">
            <v>1.0505059704184495E-6</v>
          </cell>
          <cell r="BB104">
            <v>1.0505059704184495E-6</v>
          </cell>
          <cell r="BC104">
            <v>1.8435990704558452E-6</v>
          </cell>
          <cell r="BD104">
            <v>1.8435990704558452E-6</v>
          </cell>
        </row>
        <row r="105">
          <cell r="U105">
            <v>7.685361308048496E-6</v>
          </cell>
          <cell r="V105">
            <v>7.602539248108868E-6</v>
          </cell>
          <cell r="W105">
            <v>7.4948472924864153E-6</v>
          </cell>
          <cell r="X105">
            <v>1.3782397487910224E-5</v>
          </cell>
          <cell r="Y105">
            <v>1.2721109203253025E-5</v>
          </cell>
          <cell r="Z105">
            <v>1.1568049048527965E-5</v>
          </cell>
          <cell r="AA105">
            <v>1.1442956860052638E-5</v>
          </cell>
          <cell r="AB105">
            <v>1.1280315848843767E-5</v>
          </cell>
          <cell r="AF105">
            <v>180</v>
          </cell>
          <cell r="AG105">
            <v>100</v>
          </cell>
          <cell r="AH105">
            <v>5.5555555555555558E-3</v>
          </cell>
          <cell r="AI105">
            <v>5.5555555555555558E-3</v>
          </cell>
          <cell r="AJ105">
            <v>5.5555555555555558E-3</v>
          </cell>
          <cell r="AK105">
            <v>5.5555555555555558E-3</v>
          </cell>
          <cell r="AL105">
            <v>5.5555555555555558E-3</v>
          </cell>
          <cell r="AO105">
            <v>3.3755274261603374E-4</v>
          </cell>
          <cell r="AP105">
            <v>100</v>
          </cell>
          <cell r="AQ105">
            <v>8.9285714285714283E-4</v>
          </cell>
          <cell r="AR105">
            <v>8.9285714285714283E-4</v>
          </cell>
          <cell r="AS105">
            <v>8.9285714285714283E-4</v>
          </cell>
          <cell r="AT105">
            <v>8.9285714285714283E-4</v>
          </cell>
          <cell r="AU105">
            <v>8.9285714285714283E-4</v>
          </cell>
          <cell r="AY105">
            <v>100</v>
          </cell>
          <cell r="AZ105">
            <v>9.5500542765313594E-7</v>
          </cell>
          <cell r="BA105">
            <v>9.5500542765313594E-7</v>
          </cell>
          <cell r="BB105">
            <v>9.5500542765313594E-7</v>
          </cell>
          <cell r="BC105">
            <v>1.675999154959859E-6</v>
          </cell>
          <cell r="BD105">
            <v>1.675999154959859E-6</v>
          </cell>
        </row>
        <row r="106">
          <cell r="U106">
            <v>7.685361308048496E-6</v>
          </cell>
          <cell r="V106">
            <v>7.602539248108868E-6</v>
          </cell>
          <cell r="W106">
            <v>7.4948472924864153E-6</v>
          </cell>
          <cell r="X106">
            <v>1.359780041237391E-5</v>
          </cell>
          <cell r="Y106">
            <v>1.2526049921344289E-5</v>
          </cell>
          <cell r="Z106">
            <v>1.1568049048527965E-5</v>
          </cell>
          <cell r="AA106">
            <v>1.1442956860052638E-5</v>
          </cell>
          <cell r="AB106">
            <v>1.1280315848843767E-5</v>
          </cell>
          <cell r="AF106">
            <v>180</v>
          </cell>
          <cell r="AG106">
            <v>101</v>
          </cell>
          <cell r="AH106">
            <v>5.5555555555555558E-3</v>
          </cell>
          <cell r="AI106">
            <v>5.5555555555555558E-3</v>
          </cell>
          <cell r="AJ106">
            <v>5.5555555555555558E-3</v>
          </cell>
          <cell r="AK106">
            <v>5.5555555555555558E-3</v>
          </cell>
          <cell r="AL106">
            <v>5.5555555555555558E-3</v>
          </cell>
          <cell r="AO106">
            <v>3.3215752275740971E-4</v>
          </cell>
          <cell r="AP106">
            <v>101</v>
          </cell>
          <cell r="AQ106">
            <v>8.8652482269503544E-4</v>
          </cell>
          <cell r="AR106">
            <v>8.8652482269503544E-4</v>
          </cell>
          <cell r="AS106">
            <v>8.8652482269503544E-4</v>
          </cell>
          <cell r="AT106">
            <v>8.8652482269503544E-4</v>
          </cell>
          <cell r="AU106">
            <v>8.8652482269503544E-4</v>
          </cell>
          <cell r="AY106">
            <v>101</v>
          </cell>
          <cell r="AZ106">
            <v>8.6818675241194168E-7</v>
          </cell>
        </row>
        <row r="107">
          <cell r="U107">
            <v>7.685361308048496E-6</v>
          </cell>
          <cell r="V107">
            <v>7.602539248108868E-6</v>
          </cell>
          <cell r="W107">
            <v>7.4948472924864153E-6</v>
          </cell>
          <cell r="X107">
            <v>1.3393479277383865E-5</v>
          </cell>
          <cell r="Y107">
            <v>1.2337224444959826E-5</v>
          </cell>
          <cell r="Z107">
            <v>1.1568049048527965E-5</v>
          </cell>
          <cell r="AA107">
            <v>1.1442956860052638E-5</v>
          </cell>
          <cell r="AB107">
            <v>1.1280315848843767E-5</v>
          </cell>
          <cell r="AF107">
            <v>180</v>
          </cell>
          <cell r="AG107">
            <v>102</v>
          </cell>
          <cell r="AH107">
            <v>5.5555555555555558E-3</v>
          </cell>
          <cell r="AI107">
            <v>5.5555555555555558E-3</v>
          </cell>
          <cell r="AJ107">
            <v>5.5555555555555558E-3</v>
          </cell>
          <cell r="AK107">
            <v>5.5555555555555558E-3</v>
          </cell>
          <cell r="AL107">
            <v>5.5555555555555558E-3</v>
          </cell>
          <cell r="AO107">
            <v>3.2679738562091463E-4</v>
          </cell>
          <cell r="AP107">
            <v>102</v>
          </cell>
          <cell r="AQ107">
            <v>8.8028169014084509E-4</v>
          </cell>
          <cell r="AR107">
            <v>8.8028169014084509E-4</v>
          </cell>
          <cell r="AS107">
            <v>8.8028169014084509E-4</v>
          </cell>
          <cell r="AT107">
            <v>8.8028169014084509E-4</v>
          </cell>
          <cell r="AU107">
            <v>8.8028169014084509E-4</v>
          </cell>
          <cell r="AY107">
            <v>102</v>
          </cell>
          <cell r="AZ107">
            <v>7.8926068401085601E-7</v>
          </cell>
        </row>
        <row r="108">
          <cell r="U108">
            <v>7.685361308048496E-6</v>
          </cell>
          <cell r="V108">
            <v>7.602539248108868E-6</v>
          </cell>
          <cell r="W108">
            <v>7.4948472924864153E-6</v>
          </cell>
          <cell r="X108">
            <v>1.3207582469165474E-5</v>
          </cell>
          <cell r="Y108">
            <v>1.2153404739294331E-5</v>
          </cell>
          <cell r="Z108">
            <v>1.1568049048527965E-5</v>
          </cell>
          <cell r="AA108">
            <v>1.1442956860052638E-5</v>
          </cell>
          <cell r="AB108">
            <v>1.1280315848843767E-5</v>
          </cell>
          <cell r="AF108">
            <v>180</v>
          </cell>
          <cell r="AG108">
            <v>103</v>
          </cell>
          <cell r="AH108">
            <v>5.5555555555555558E-3</v>
          </cell>
          <cell r="AI108">
            <v>5.5555555555555558E-3</v>
          </cell>
          <cell r="AJ108">
            <v>5.5555555555555558E-3</v>
          </cell>
          <cell r="AK108">
            <v>5.5555555555555558E-3</v>
          </cell>
          <cell r="AL108">
            <v>5.5555555555555558E-3</v>
          </cell>
          <cell r="AO108">
            <v>3.229589065325138E-4</v>
          </cell>
          <cell r="AP108">
            <v>103</v>
          </cell>
          <cell r="AQ108">
            <v>8.7412587412587413E-4</v>
          </cell>
          <cell r="AR108">
            <v>8.7412587412587413E-4</v>
          </cell>
          <cell r="AS108">
            <v>8.7412587412587413E-4</v>
          </cell>
          <cell r="AT108">
            <v>8.7412587412587413E-4</v>
          </cell>
          <cell r="AU108">
            <v>8.7412587412587413E-4</v>
          </cell>
          <cell r="AY108">
            <v>103</v>
          </cell>
          <cell r="AZ108">
            <v>7.1750971273714184E-7</v>
          </cell>
        </row>
        <row r="109">
          <cell r="U109">
            <v>7.685361308048496E-6</v>
          </cell>
          <cell r="V109">
            <v>7.602539248108868E-6</v>
          </cell>
          <cell r="W109">
            <v>7.4948472924864153E-6</v>
          </cell>
          <cell r="X109">
            <v>1.301485693481486E-5</v>
          </cell>
          <cell r="Y109">
            <v>1.1954024881754347E-5</v>
          </cell>
          <cell r="Z109">
            <v>1.1568049048527965E-5</v>
          </cell>
          <cell r="AA109">
            <v>1.1442956860052638E-5</v>
          </cell>
          <cell r="AB109">
            <v>1.1280315848843767E-5</v>
          </cell>
          <cell r="AF109">
            <v>180</v>
          </cell>
          <cell r="AG109">
            <v>104</v>
          </cell>
          <cell r="AH109">
            <v>5.5555555555555558E-3</v>
          </cell>
          <cell r="AI109">
            <v>5.5555555555555558E-3</v>
          </cell>
          <cell r="AJ109">
            <v>5.5555555555555558E-3</v>
          </cell>
          <cell r="AK109">
            <v>5.5555555555555558E-3</v>
          </cell>
          <cell r="AL109">
            <v>5.5555555555555558E-3</v>
          </cell>
          <cell r="AO109">
            <v>3.1670625494853568E-4</v>
          </cell>
          <cell r="AP109">
            <v>104</v>
          </cell>
          <cell r="AQ109">
            <v>8.6805555555555551E-4</v>
          </cell>
          <cell r="AR109">
            <v>8.6805555555555551E-4</v>
          </cell>
          <cell r="AS109">
            <v>8.6805555555555551E-4</v>
          </cell>
          <cell r="AT109">
            <v>8.6805555555555551E-4</v>
          </cell>
          <cell r="AU109">
            <v>8.6805555555555551E-4</v>
          </cell>
          <cell r="AY109">
            <v>104</v>
          </cell>
          <cell r="AZ109">
            <v>6.5228155703376527E-7</v>
          </cell>
        </row>
        <row r="110">
          <cell r="U110">
            <v>7.3104224693145021E-6</v>
          </cell>
          <cell r="V110">
            <v>7.2206336828120038E-6</v>
          </cell>
          <cell r="W110">
            <v>7.1042909917590236E-6</v>
          </cell>
          <cell r="X110">
            <v>1.2160412567271987E-5</v>
          </cell>
          <cell r="Y110">
            <v>1.1179936532663682E-5</v>
          </cell>
          <cell r="Z110">
            <v>1.1001826303166326E-5</v>
          </cell>
          <cell r="AA110">
            <v>1.0866258095362281E-5</v>
          </cell>
          <cell r="AB110">
            <v>1.0690613641223006E-5</v>
          </cell>
          <cell r="AF110">
            <v>180</v>
          </cell>
          <cell r="AG110">
            <v>105</v>
          </cell>
          <cell r="AH110">
            <v>5.5555555555555558E-3</v>
          </cell>
          <cell r="AI110">
            <v>5.5555555555555558E-3</v>
          </cell>
          <cell r="AJ110">
            <v>5.5555555555555558E-3</v>
          </cell>
          <cell r="AK110">
            <v>5.5555555555555558E-3</v>
          </cell>
          <cell r="AL110">
            <v>5.5555555555555558E-3</v>
          </cell>
          <cell r="AO110">
            <v>3.142570822764577E-4</v>
          </cell>
          <cell r="AP110">
            <v>105</v>
          </cell>
          <cell r="AQ110">
            <v>8.6206896551724137E-4</v>
          </cell>
          <cell r="AR110">
            <v>8.6206896551724137E-4</v>
          </cell>
          <cell r="AS110">
            <v>8.6206896551724137E-4</v>
          </cell>
          <cell r="AT110">
            <v>8.6206896551724137E-4</v>
          </cell>
          <cell r="AU110">
            <v>8.6206896551724137E-4</v>
          </cell>
          <cell r="AY110">
            <v>105</v>
          </cell>
          <cell r="AZ110">
            <v>5.9298323366705923E-7</v>
          </cell>
        </row>
        <row r="111">
          <cell r="U111">
            <v>7.3104224693145021E-6</v>
          </cell>
          <cell r="V111">
            <v>7.2206336828120038E-6</v>
          </cell>
          <cell r="W111">
            <v>7.1042909917590236E-6</v>
          </cell>
          <cell r="X111">
            <v>1.1983657566038577E-5</v>
          </cell>
          <cell r="Y111">
            <v>1.1094100157536222E-5</v>
          </cell>
          <cell r="Z111">
            <v>1.1001826303166326E-5</v>
          </cell>
          <cell r="AA111">
            <v>1.0866258095362281E-5</v>
          </cell>
          <cell r="AB111">
            <v>1.0690613641223006E-5</v>
          </cell>
          <cell r="AF111">
            <v>180</v>
          </cell>
          <cell r="AG111">
            <v>106</v>
          </cell>
          <cell r="AH111">
            <v>5.5555555555555558E-3</v>
          </cell>
          <cell r="AI111">
            <v>5.5555555555555558E-3</v>
          </cell>
          <cell r="AJ111">
            <v>5.5555555555555558E-3</v>
          </cell>
          <cell r="AK111">
            <v>5.5555555555555558E-3</v>
          </cell>
          <cell r="AL111">
            <v>5.5555555555555558E-3</v>
          </cell>
          <cell r="AO111">
            <v>3.072196620583719E-4</v>
          </cell>
          <cell r="AP111">
            <v>106</v>
          </cell>
          <cell r="AQ111">
            <v>8.5616438356164379E-4</v>
          </cell>
          <cell r="AR111">
            <v>8.5616438356164379E-4</v>
          </cell>
          <cell r="AS111">
            <v>8.5616438356164379E-4</v>
          </cell>
          <cell r="AT111">
            <v>8.5616438356164379E-4</v>
          </cell>
          <cell r="AU111">
            <v>8.5616438356164379E-4</v>
          </cell>
          <cell r="AY111">
            <v>106</v>
          </cell>
          <cell r="AZ111">
            <v>5.3907566697005388E-7</v>
          </cell>
        </row>
        <row r="112">
          <cell r="U112">
            <v>7.3104224693145021E-6</v>
          </cell>
          <cell r="V112">
            <v>7.2206336828120038E-6</v>
          </cell>
          <cell r="W112">
            <v>7.1042909917590236E-6</v>
          </cell>
          <cell r="X112">
            <v>1.1806035206269447E-5</v>
          </cell>
          <cell r="Y112">
            <v>1.1094100157536222E-5</v>
          </cell>
          <cell r="Z112">
            <v>1.1001826303166326E-5</v>
          </cell>
          <cell r="AA112">
            <v>1.0866258095362281E-5</v>
          </cell>
          <cell r="AB112">
            <v>1.0690613641223006E-5</v>
          </cell>
          <cell r="AF112">
            <v>180</v>
          </cell>
          <cell r="AG112">
            <v>107</v>
          </cell>
          <cell r="AH112">
            <v>5.5555555555555558E-3</v>
          </cell>
          <cell r="AI112">
            <v>5.5555555555555558E-3</v>
          </cell>
          <cell r="AJ112">
            <v>5.5555555555555558E-3</v>
          </cell>
          <cell r="AK112">
            <v>5.5555555555555558E-3</v>
          </cell>
          <cell r="AL112">
            <v>5.5555555555555558E-3</v>
          </cell>
          <cell r="AO112">
            <v>3.0601272649664131E-4</v>
          </cell>
          <cell r="AP112">
            <v>107</v>
          </cell>
          <cell r="AQ112">
            <v>8.5034013605442174E-4</v>
          </cell>
          <cell r="AR112">
            <v>8.5034013605442174E-4</v>
          </cell>
          <cell r="AS112">
            <v>8.5034013605442174E-4</v>
          </cell>
          <cell r="AT112">
            <v>8.5034013605442174E-4</v>
          </cell>
          <cell r="AU112">
            <v>8.5034013605442174E-4</v>
          </cell>
          <cell r="AY112">
            <v>107</v>
          </cell>
          <cell r="AZ112">
            <v>4.9006878815459436E-7</v>
          </cell>
        </row>
        <row r="113">
          <cell r="U113">
            <v>7.3104224693145021E-6</v>
          </cell>
          <cell r="V113">
            <v>7.2206336828120038E-6</v>
          </cell>
          <cell r="W113">
            <v>7.1042909917590236E-6</v>
          </cell>
          <cell r="X113">
            <v>1.1639206042257942E-5</v>
          </cell>
          <cell r="Y113">
            <v>1.1094100157536222E-5</v>
          </cell>
          <cell r="Z113">
            <v>1.1001826303166326E-5</v>
          </cell>
          <cell r="AA113">
            <v>1.0866258095362281E-5</v>
          </cell>
          <cell r="AB113">
            <v>1.0690613641223006E-5</v>
          </cell>
          <cell r="AF113">
            <v>180</v>
          </cell>
          <cell r="AG113">
            <v>108</v>
          </cell>
          <cell r="AH113">
            <v>5.5555555555555558E-3</v>
          </cell>
          <cell r="AI113">
            <v>5.5555555555555558E-3</v>
          </cell>
          <cell r="AJ113">
            <v>5.5555555555555558E-3</v>
          </cell>
          <cell r="AK113">
            <v>5.5555555555555558E-3</v>
          </cell>
          <cell r="AL113">
            <v>5.5555555555555558E-3</v>
          </cell>
          <cell r="AO113">
            <v>2.9828486204325124E-4</v>
          </cell>
          <cell r="AP113">
            <v>108</v>
          </cell>
          <cell r="AQ113">
            <v>8.4459459459459464E-4</v>
          </cell>
          <cell r="AR113">
            <v>8.4459459459459464E-4</v>
          </cell>
          <cell r="AS113">
            <v>8.4459459459459464E-4</v>
          </cell>
          <cell r="AT113">
            <v>8.4459459459459464E-4</v>
          </cell>
          <cell r="AU113">
            <v>8.4459459459459464E-4</v>
          </cell>
          <cell r="AY113">
            <v>108</v>
          </cell>
          <cell r="AZ113">
            <v>4.4551708014054032E-7</v>
          </cell>
        </row>
        <row r="114">
          <cell r="U114">
            <v>7.3104224693145021E-6</v>
          </cell>
          <cell r="V114">
            <v>7.2206336828120038E-6</v>
          </cell>
          <cell r="W114">
            <v>7.1042909917590236E-6</v>
          </cell>
          <cell r="X114">
            <v>1.1468037534958736E-5</v>
          </cell>
          <cell r="Y114">
            <v>1.1094100157536222E-5</v>
          </cell>
          <cell r="Z114">
            <v>1.1001826303166326E-5</v>
          </cell>
          <cell r="AA114">
            <v>1.0866258095362281E-5</v>
          </cell>
          <cell r="AB114">
            <v>1.0690613641223006E-5</v>
          </cell>
          <cell r="AF114">
            <v>180</v>
          </cell>
          <cell r="AG114">
            <v>109</v>
          </cell>
          <cell r="AH114">
            <v>5.5555555555555558E-3</v>
          </cell>
          <cell r="AI114">
            <v>5.5555555555555558E-3</v>
          </cell>
          <cell r="AJ114">
            <v>5.5555555555555558E-3</v>
          </cell>
          <cell r="AK114">
            <v>5.5555555555555558E-3</v>
          </cell>
          <cell r="AL114">
            <v>5.5555555555555558E-3</v>
          </cell>
          <cell r="AO114">
            <v>2.9819057696736342E-4</v>
          </cell>
          <cell r="AP114">
            <v>109</v>
          </cell>
          <cell r="AQ114">
            <v>8.3892617449664428E-4</v>
          </cell>
          <cell r="AR114">
            <v>8.3892617449664428E-4</v>
          </cell>
          <cell r="AS114">
            <v>8.3892617449664428E-4</v>
          </cell>
          <cell r="AT114">
            <v>8.3892617449664428E-4</v>
          </cell>
          <cell r="AU114">
            <v>8.3892617449664428E-4</v>
          </cell>
          <cell r="AY114">
            <v>109</v>
          </cell>
          <cell r="AZ114">
            <v>4.0501552740049114E-7</v>
          </cell>
        </row>
        <row r="115">
          <cell r="U115">
            <v>7.3104224693145021E-6</v>
          </cell>
          <cell r="V115">
            <v>7.2206336828120038E-6</v>
          </cell>
          <cell r="W115">
            <v>7.1042909917590236E-6</v>
          </cell>
          <cell r="X115">
            <v>1.1290086396036494E-5</v>
          </cell>
          <cell r="Y115">
            <v>1.1094100157536222E-5</v>
          </cell>
          <cell r="Z115">
            <v>1.1001826303166326E-5</v>
          </cell>
          <cell r="AA115">
            <v>1.0866258095362281E-5</v>
          </cell>
          <cell r="AB115">
            <v>1.0690613641223006E-5</v>
          </cell>
          <cell r="AF115">
            <v>180</v>
          </cell>
          <cell r="AG115">
            <v>110</v>
          </cell>
          <cell r="AH115">
            <v>5.5555555555555558E-3</v>
          </cell>
          <cell r="AI115">
            <v>5.5555555555555558E-3</v>
          </cell>
          <cell r="AJ115">
            <v>5.5555555555555558E-3</v>
          </cell>
          <cell r="AK115">
            <v>5.5555555555555558E-3</v>
          </cell>
          <cell r="AL115">
            <v>5.5555555555555558E-3</v>
          </cell>
          <cell r="AO115">
            <v>2.8985507246376849E-4</v>
          </cell>
          <cell r="AP115">
            <v>110</v>
          </cell>
          <cell r="AQ115">
            <v>8.3333333333333339E-4</v>
          </cell>
          <cell r="AR115">
            <v>8.3333333333333339E-4</v>
          </cell>
          <cell r="AS115">
            <v>8.3333333333333339E-4</v>
          </cell>
          <cell r="AT115">
            <v>8.3333333333333339E-4</v>
          </cell>
          <cell r="AU115">
            <v>8.3333333333333339E-4</v>
          </cell>
          <cell r="AY115">
            <v>110</v>
          </cell>
          <cell r="AZ115">
            <v>3.6819593400044644E-7</v>
          </cell>
        </row>
        <row r="116">
          <cell r="U116">
            <v>7.3104224693145021E-6</v>
          </cell>
          <cell r="V116">
            <v>7.2206336828120038E-6</v>
          </cell>
          <cell r="W116">
            <v>7.1042909917590236E-6</v>
          </cell>
          <cell r="X116">
            <v>1.1140819964349376E-5</v>
          </cell>
          <cell r="Y116">
            <v>1.1094100157536222E-5</v>
          </cell>
          <cell r="Z116">
            <v>1.1001826303166326E-5</v>
          </cell>
          <cell r="AA116">
            <v>1.0866258095362281E-5</v>
          </cell>
          <cell r="AB116">
            <v>1.0690613641223006E-5</v>
          </cell>
          <cell r="AF116">
            <v>180</v>
          </cell>
          <cell r="AG116">
            <v>111</v>
          </cell>
          <cell r="AH116">
            <v>5.5555555555555558E-3</v>
          </cell>
          <cell r="AI116">
            <v>5.5555555555555558E-3</v>
          </cell>
          <cell r="AJ116">
            <v>5.5555555555555558E-3</v>
          </cell>
          <cell r="AK116">
            <v>5.5555555555555558E-3</v>
          </cell>
          <cell r="AL116">
            <v>5.5555555555555558E-3</v>
          </cell>
          <cell r="AO116">
            <v>2.8985507246376833E-4</v>
          </cell>
          <cell r="AP116">
            <v>111</v>
          </cell>
          <cell r="AQ116">
            <v>8.2781456953642384E-4</v>
          </cell>
          <cell r="AR116">
            <v>8.2781456953642384E-4</v>
          </cell>
          <cell r="AS116">
            <v>8.2781456953642384E-4</v>
          </cell>
          <cell r="AT116">
            <v>8.2781456953642384E-4</v>
          </cell>
          <cell r="AU116">
            <v>8.2781456953642384E-4</v>
          </cell>
          <cell r="AY116">
            <v>111</v>
          </cell>
          <cell r="AZ116">
            <v>3.3472357636404218E-7</v>
          </cell>
        </row>
        <row r="117">
          <cell r="U117">
            <v>7.3104224693145021E-6</v>
          </cell>
          <cell r="V117">
            <v>7.2206336828120038E-6</v>
          </cell>
          <cell r="W117">
            <v>7.1042909917590236E-6</v>
          </cell>
          <cell r="X117">
            <v>1.1140819964349376E-5</v>
          </cell>
          <cell r="Y117">
            <v>1.1094100157536222E-5</v>
          </cell>
          <cell r="Z117">
            <v>1.1001826303166326E-5</v>
          </cell>
          <cell r="AA117">
            <v>1.0866258095362281E-5</v>
          </cell>
          <cell r="AB117">
            <v>1.0690613641223006E-5</v>
          </cell>
          <cell r="AF117">
            <v>180</v>
          </cell>
          <cell r="AG117">
            <v>112</v>
          </cell>
          <cell r="AH117">
            <v>5.5555555555555558E-3</v>
          </cell>
          <cell r="AI117">
            <v>5.5555555555555558E-3</v>
          </cell>
          <cell r="AJ117">
            <v>5.5555555555555558E-3</v>
          </cell>
          <cell r="AK117">
            <v>5.5555555555555558E-3</v>
          </cell>
          <cell r="AL117">
            <v>5.5555555555555558E-3</v>
          </cell>
          <cell r="AO117">
            <v>2.8268602388422412E-4</v>
          </cell>
          <cell r="AP117">
            <v>112</v>
          </cell>
          <cell r="AQ117">
            <v>8.2236842105263153E-4</v>
          </cell>
          <cell r="AR117">
            <v>8.2236842105263153E-4</v>
          </cell>
          <cell r="AS117">
            <v>8.2236842105263153E-4</v>
          </cell>
          <cell r="AT117">
            <v>8.2236842105263153E-4</v>
          </cell>
          <cell r="AU117">
            <v>8.2236842105263153E-4</v>
          </cell>
          <cell r="AY117">
            <v>112</v>
          </cell>
          <cell r="AZ117">
            <v>3.0429416033094746E-7</v>
          </cell>
        </row>
        <row r="118">
          <cell r="U118">
            <v>7.3104224693145021E-6</v>
          </cell>
          <cell r="V118">
            <v>7.2206336828120038E-6</v>
          </cell>
          <cell r="W118">
            <v>7.1042909917590236E-6</v>
          </cell>
          <cell r="X118">
            <v>1.1140819964349376E-5</v>
          </cell>
          <cell r="Y118">
            <v>1.1094100157536222E-5</v>
          </cell>
          <cell r="Z118">
            <v>1.1001826303166326E-5</v>
          </cell>
          <cell r="AA118">
            <v>1.0866258095362281E-5</v>
          </cell>
          <cell r="AB118">
            <v>1.0690613641223006E-5</v>
          </cell>
          <cell r="AF118">
            <v>180</v>
          </cell>
          <cell r="AG118">
            <v>113</v>
          </cell>
          <cell r="AH118">
            <v>5.5555555555555558E-3</v>
          </cell>
          <cell r="AI118">
            <v>5.5555555555555558E-3</v>
          </cell>
          <cell r="AJ118">
            <v>5.5555555555555558E-3</v>
          </cell>
          <cell r="AK118">
            <v>5.5555555555555558E-3</v>
          </cell>
          <cell r="AL118">
            <v>5.5555555555555558E-3</v>
          </cell>
          <cell r="AO118">
            <v>2.8188865398167729E-4</v>
          </cell>
          <cell r="AP118">
            <v>113</v>
          </cell>
          <cell r="AQ118">
            <v>8.1699346405228761E-4</v>
          </cell>
          <cell r="AR118">
            <v>8.1699346405228761E-4</v>
          </cell>
          <cell r="AS118">
            <v>8.1699346405228761E-4</v>
          </cell>
          <cell r="AT118">
            <v>8.1699346405228761E-4</v>
          </cell>
          <cell r="AU118">
            <v>8.1699346405228761E-4</v>
          </cell>
          <cell r="AY118">
            <v>113</v>
          </cell>
          <cell r="AZ118">
            <v>2.766310548463158E-7</v>
          </cell>
        </row>
        <row r="119">
          <cell r="U119">
            <v>7.3104224693145021E-6</v>
          </cell>
          <cell r="V119">
            <v>7.2206336828120038E-6</v>
          </cell>
          <cell r="W119">
            <v>7.1042909917590236E-6</v>
          </cell>
          <cell r="X119">
            <v>1.1140819964349376E-5</v>
          </cell>
          <cell r="Y119">
            <v>1.1094100157536222E-5</v>
          </cell>
          <cell r="Z119">
            <v>1.1001826303166326E-5</v>
          </cell>
          <cell r="AA119">
            <v>1.0866258095362281E-5</v>
          </cell>
          <cell r="AB119">
            <v>1.0690613641223006E-5</v>
          </cell>
          <cell r="AF119">
            <v>180</v>
          </cell>
          <cell r="AG119">
            <v>114</v>
          </cell>
          <cell r="AH119">
            <v>5.5555555555555558E-3</v>
          </cell>
          <cell r="AI119">
            <v>5.5555555555555558E-3</v>
          </cell>
          <cell r="AJ119">
            <v>5.5555555555555558E-3</v>
          </cell>
          <cell r="AK119">
            <v>5.5555555555555558E-3</v>
          </cell>
          <cell r="AL119">
            <v>5.5555555555555558E-3</v>
          </cell>
          <cell r="AO119">
            <v>2.7593874049716249E-4</v>
          </cell>
          <cell r="AP119">
            <v>114</v>
          </cell>
          <cell r="AQ119">
            <v>8.1168831168831174E-4</v>
          </cell>
          <cell r="AR119">
            <v>8.1168831168831174E-4</v>
          </cell>
          <cell r="AS119">
            <v>8.1168831168831174E-4</v>
          </cell>
          <cell r="AT119">
            <v>8.1168831168831174E-4</v>
          </cell>
          <cell r="AU119">
            <v>8.1168831168831174E-4</v>
          </cell>
          <cell r="AY119">
            <v>114</v>
          </cell>
          <cell r="AZ119">
            <v>2.5148277713301439E-7</v>
          </cell>
        </row>
        <row r="120">
          <cell r="U120">
            <v>7.3104224693145021E-6</v>
          </cell>
          <cell r="V120">
            <v>7.2206336828120038E-6</v>
          </cell>
          <cell r="W120">
            <v>7.1042909917590236E-6</v>
          </cell>
          <cell r="X120">
            <v>1.1140819964349376E-5</v>
          </cell>
          <cell r="Y120">
            <v>1.1094100157536222E-5</v>
          </cell>
          <cell r="Z120">
            <v>1.1001826303166326E-5</v>
          </cell>
          <cell r="AA120">
            <v>1.0866258095362281E-5</v>
          </cell>
          <cell r="AB120">
            <v>1.0690613641223006E-5</v>
          </cell>
          <cell r="AF120">
            <v>180</v>
          </cell>
          <cell r="AG120">
            <v>115</v>
          </cell>
          <cell r="AH120">
            <v>5.5555555555555558E-3</v>
          </cell>
          <cell r="AI120">
            <v>5.5555555555555558E-3</v>
          </cell>
          <cell r="AJ120">
            <v>5.5555555555555558E-3</v>
          </cell>
          <cell r="AK120">
            <v>5.5555555555555558E-3</v>
          </cell>
          <cell r="AL120">
            <v>5.5555555555555558E-3</v>
          </cell>
          <cell r="AO120">
            <v>2.7434842249657093E-4</v>
          </cell>
          <cell r="AP120">
            <v>115</v>
          </cell>
          <cell r="AQ120">
            <v>8.0645161290322581E-4</v>
          </cell>
          <cell r="AR120">
            <v>8.0645161290322581E-4</v>
          </cell>
          <cell r="AS120">
            <v>8.0645161290322581E-4</v>
          </cell>
          <cell r="AT120">
            <v>8.0645161290322581E-4</v>
          </cell>
          <cell r="AU120">
            <v>8.0645161290322581E-4</v>
          </cell>
          <cell r="AY120">
            <v>115</v>
          </cell>
          <cell r="AZ120">
            <v>2.2862070648455852E-7</v>
          </cell>
        </row>
        <row r="121">
          <cell r="U121">
            <v>7.3104224693145021E-6</v>
          </cell>
          <cell r="V121">
            <v>7.2206336828120038E-6</v>
          </cell>
          <cell r="W121">
            <v>7.1042909917590236E-6</v>
          </cell>
          <cell r="X121">
            <v>1.1140819964349376E-5</v>
          </cell>
          <cell r="Y121">
            <v>1.1094100157536222E-5</v>
          </cell>
          <cell r="Z121">
            <v>1.1001826303166326E-5</v>
          </cell>
          <cell r="AA121">
            <v>1.0866258095362281E-5</v>
          </cell>
          <cell r="AB121">
            <v>1.0690613641223006E-5</v>
          </cell>
          <cell r="AF121">
            <v>180</v>
          </cell>
          <cell r="AG121">
            <v>116</v>
          </cell>
          <cell r="AH121">
            <v>5.5555555555555558E-3</v>
          </cell>
          <cell r="AI121">
            <v>5.5555555555555558E-3</v>
          </cell>
          <cell r="AJ121">
            <v>5.5555555555555558E-3</v>
          </cell>
          <cell r="AK121">
            <v>5.5555555555555558E-3</v>
          </cell>
          <cell r="AL121">
            <v>5.5555555555555558E-3</v>
          </cell>
          <cell r="AO121">
            <v>2.695063800057386E-4</v>
          </cell>
          <cell r="AP121">
            <v>116</v>
          </cell>
          <cell r="AQ121">
            <v>8.0128205128205125E-4</v>
          </cell>
          <cell r="AR121">
            <v>8.0128205128205125E-4</v>
          </cell>
          <cell r="AS121">
            <v>8.0128205128205125E-4</v>
          </cell>
          <cell r="AT121">
            <v>8.0128205128205125E-4</v>
          </cell>
          <cell r="AU121">
            <v>8.0128205128205125E-4</v>
          </cell>
          <cell r="AY121">
            <v>116</v>
          </cell>
          <cell r="AZ121">
            <v>2.0783700589505318E-7</v>
          </cell>
        </row>
        <row r="122">
          <cell r="U122">
            <v>7.3104224693145021E-6</v>
          </cell>
          <cell r="V122">
            <v>7.2206336828120038E-6</v>
          </cell>
          <cell r="W122">
            <v>7.1042909917590236E-6</v>
          </cell>
          <cell r="X122">
            <v>1.1140819964349376E-5</v>
          </cell>
          <cell r="Y122">
            <v>1.1094100157536222E-5</v>
          </cell>
          <cell r="Z122">
            <v>1.1001826303166326E-5</v>
          </cell>
          <cell r="AA122">
            <v>1.0866258095362281E-5</v>
          </cell>
          <cell r="AB122">
            <v>1.0690613641223006E-5</v>
          </cell>
          <cell r="AF122">
            <v>180</v>
          </cell>
          <cell r="AG122">
            <v>117</v>
          </cell>
          <cell r="AH122">
            <v>5.5555555555555558E-3</v>
          </cell>
          <cell r="AI122">
            <v>5.5555555555555558E-3</v>
          </cell>
          <cell r="AJ122">
            <v>5.5555555555555558E-3</v>
          </cell>
          <cell r="AK122">
            <v>5.5555555555555558E-3</v>
          </cell>
          <cell r="AL122">
            <v>5.5555555555555558E-3</v>
          </cell>
          <cell r="AO122">
            <v>2.6720106880427543E-4</v>
          </cell>
          <cell r="AP122">
            <v>117</v>
          </cell>
          <cell r="AQ122">
            <v>7.9617834394904463E-4</v>
          </cell>
          <cell r="AR122">
            <v>7.9617834394904463E-4</v>
          </cell>
          <cell r="AS122">
            <v>7.9617834394904463E-4</v>
          </cell>
          <cell r="AT122">
            <v>7.9617834394904463E-4</v>
          </cell>
          <cell r="AU122">
            <v>7.9617834394904463E-4</v>
          </cell>
          <cell r="AY122">
            <v>117</v>
          </cell>
          <cell r="AZ122">
            <v>1.8894273263186652E-7</v>
          </cell>
        </row>
        <row r="123">
          <cell r="U123">
            <v>7.3104224693145021E-6</v>
          </cell>
          <cell r="V123">
            <v>7.2206336828120038E-6</v>
          </cell>
          <cell r="W123">
            <v>7.1042909917590236E-6</v>
          </cell>
          <cell r="X123">
            <v>1.1140819964349376E-5</v>
          </cell>
          <cell r="Y123">
            <v>1.1094100157536222E-5</v>
          </cell>
          <cell r="Z123">
            <v>1.1001826303166326E-5</v>
          </cell>
          <cell r="AA123">
            <v>1.0866258095362281E-5</v>
          </cell>
          <cell r="AB123">
            <v>1.0690613641223006E-5</v>
          </cell>
          <cell r="AF123">
            <v>180</v>
          </cell>
          <cell r="AG123">
            <v>118</v>
          </cell>
          <cell r="AH123">
            <v>5.5555555555555558E-3</v>
          </cell>
          <cell r="AI123">
            <v>5.5555555555555558E-3</v>
          </cell>
          <cell r="AJ123">
            <v>5.5555555555555558E-3</v>
          </cell>
          <cell r="AK123">
            <v>5.5555555555555558E-3</v>
          </cell>
          <cell r="AL123">
            <v>5.5555555555555558E-3</v>
          </cell>
          <cell r="AO123">
            <v>2.6336735238006981E-4</v>
          </cell>
          <cell r="AP123">
            <v>118</v>
          </cell>
          <cell r="AQ123">
            <v>7.911392405063291E-4</v>
          </cell>
          <cell r="AR123">
            <v>7.911392405063291E-4</v>
          </cell>
          <cell r="AS123">
            <v>7.911392405063291E-4</v>
          </cell>
          <cell r="AT123">
            <v>7.911392405063291E-4</v>
          </cell>
          <cell r="AU123">
            <v>7.911392405063291E-4</v>
          </cell>
          <cell r="AY123">
            <v>118</v>
          </cell>
          <cell r="AZ123">
            <v>1.7176612057442409E-7</v>
          </cell>
        </row>
        <row r="124">
          <cell r="U124">
            <v>7.3104224693145021E-6</v>
          </cell>
          <cell r="V124">
            <v>7.2206336828120038E-6</v>
          </cell>
          <cell r="W124">
            <v>7.1042909917590236E-6</v>
          </cell>
          <cell r="X124">
            <v>1.1140819964349376E-5</v>
          </cell>
          <cell r="Y124">
            <v>1.1094100157536222E-5</v>
          </cell>
          <cell r="Z124">
            <v>1.1001826303166326E-5</v>
          </cell>
          <cell r="AA124">
            <v>1.0866258095362281E-5</v>
          </cell>
          <cell r="AB124">
            <v>1.0690613641223006E-5</v>
          </cell>
          <cell r="AF124">
            <v>180</v>
          </cell>
          <cell r="AG124">
            <v>119</v>
          </cell>
          <cell r="AH124">
            <v>5.5555555555555558E-3</v>
          </cell>
          <cell r="AI124">
            <v>5.5555555555555558E-3</v>
          </cell>
          <cell r="AJ124">
            <v>5.5555555555555558E-3</v>
          </cell>
          <cell r="AK124">
            <v>5.5555555555555558E-3</v>
          </cell>
          <cell r="AL124">
            <v>5.5555555555555558E-3</v>
          </cell>
          <cell r="AO124">
            <v>2.6041666666666699E-4</v>
          </cell>
          <cell r="AP124">
            <v>119</v>
          </cell>
          <cell r="AQ124">
            <v>7.8616352201257866E-4</v>
          </cell>
          <cell r="AR124">
            <v>7.8616352201257866E-4</v>
          </cell>
          <cell r="AS124">
            <v>7.8616352201257866E-4</v>
          </cell>
          <cell r="AT124">
            <v>7.8616352201257866E-4</v>
          </cell>
          <cell r="AU124">
            <v>7.8616352201257866E-4</v>
          </cell>
          <cell r="AY124">
            <v>119</v>
          </cell>
          <cell r="AZ124">
            <v>1.5615101870402188E-7</v>
          </cell>
        </row>
        <row r="125">
          <cell r="U125">
            <v>7.3104224693145021E-6</v>
          </cell>
          <cell r="V125">
            <v>7.2206336828120038E-6</v>
          </cell>
          <cell r="W125">
            <v>7.1042909917590236E-6</v>
          </cell>
          <cell r="X125">
            <v>1.1140819964349376E-5</v>
          </cell>
          <cell r="Y125">
            <v>1.1094100157536222E-5</v>
          </cell>
          <cell r="Z125">
            <v>1.1001826303166326E-5</v>
          </cell>
          <cell r="AA125">
            <v>1.0866258095362281E-5</v>
          </cell>
          <cell r="AB125">
            <v>1.0690613641223006E-5</v>
          </cell>
          <cell r="AF125">
            <v>180</v>
          </cell>
          <cell r="AG125">
            <v>120</v>
          </cell>
          <cell r="AH125">
            <v>5.5555555555555558E-3</v>
          </cell>
          <cell r="AI125">
            <v>5.5555555555555558E-3</v>
          </cell>
          <cell r="AJ125">
            <v>5.5555555555555558E-3</v>
          </cell>
          <cell r="AK125">
            <v>5.5555555555555558E-3</v>
          </cell>
          <cell r="AL125">
            <v>5.5555555555555558E-3</v>
          </cell>
          <cell r="AO125">
            <v>2.5750200292782492E-4</v>
          </cell>
          <cell r="AP125">
            <v>120</v>
          </cell>
          <cell r="AQ125">
            <v>7.8125000000000004E-4</v>
          </cell>
          <cell r="AR125">
            <v>7.8125000000000004E-4</v>
          </cell>
          <cell r="AS125">
            <v>7.8125000000000004E-4</v>
          </cell>
          <cell r="AT125">
            <v>7.8125000000000004E-4</v>
          </cell>
          <cell r="AU125">
            <v>7.8125000000000004E-4</v>
          </cell>
          <cell r="AY125">
            <v>120</v>
          </cell>
          <cell r="AZ125">
            <v>1.419554715491108E-7</v>
          </cell>
        </row>
        <row r="126">
          <cell r="U126">
            <v>7.3104224693145021E-6</v>
          </cell>
          <cell r="V126">
            <v>7.2206336828120038E-6</v>
          </cell>
          <cell r="W126">
            <v>7.1042909917590236E-6</v>
          </cell>
          <cell r="X126">
            <v>1.1140819964349376E-5</v>
          </cell>
          <cell r="Y126">
            <v>1.1094100157536222E-5</v>
          </cell>
          <cell r="Z126">
            <v>1.1001826303166326E-5</v>
          </cell>
          <cell r="AA126">
            <v>1.0866258095362281E-5</v>
          </cell>
          <cell r="AB126">
            <v>1.0690613641223006E-5</v>
          </cell>
          <cell r="AF126">
            <v>180</v>
          </cell>
          <cell r="AG126">
            <v>121</v>
          </cell>
          <cell r="AH126">
            <v>5.5555555555555558E-3</v>
          </cell>
          <cell r="AI126">
            <v>5.5555555555555558E-3</v>
          </cell>
          <cell r="AJ126">
            <v>5.5555555555555558E-3</v>
          </cell>
          <cell r="AK126">
            <v>5.5555555555555558E-3</v>
          </cell>
          <cell r="AL126">
            <v>5.5555555555555558E-3</v>
          </cell>
          <cell r="AO126">
            <v>2.5396825396825379E-4</v>
          </cell>
          <cell r="AP126">
            <v>121</v>
          </cell>
          <cell r="AQ126">
            <v>7.7639751552795026E-4</v>
          </cell>
          <cell r="AR126">
            <v>7.7639751552795026E-4</v>
          </cell>
          <cell r="AS126">
            <v>7.7639751552795026E-4</v>
          </cell>
          <cell r="AT126">
            <v>7.7639751552795026E-4</v>
          </cell>
          <cell r="AU126">
            <v>7.7639751552795026E-4</v>
          </cell>
          <cell r="AY126">
            <v>121</v>
          </cell>
          <cell r="AZ126">
            <v>1.290504286810098E-7</v>
          </cell>
        </row>
        <row r="127">
          <cell r="U127">
            <v>7.3104224693145021E-6</v>
          </cell>
          <cell r="V127">
            <v>7.2206336828120038E-6</v>
          </cell>
          <cell r="W127">
            <v>7.1042909917590236E-6</v>
          </cell>
          <cell r="X127">
            <v>1.1140819964349376E-5</v>
          </cell>
          <cell r="Y127">
            <v>1.1094100157536222E-5</v>
          </cell>
          <cell r="Z127">
            <v>1.1001826303166326E-5</v>
          </cell>
          <cell r="AA127">
            <v>1.0866258095362281E-5</v>
          </cell>
          <cell r="AB127">
            <v>1.0690613641223006E-5</v>
          </cell>
          <cell r="AF127">
            <v>180</v>
          </cell>
          <cell r="AG127">
            <v>122</v>
          </cell>
          <cell r="AH127">
            <v>5.5555555555555558E-3</v>
          </cell>
          <cell r="AI127">
            <v>5.5555555555555558E-3</v>
          </cell>
          <cell r="AJ127">
            <v>5.5555555555555558E-3</v>
          </cell>
          <cell r="AK127">
            <v>5.5555555555555558E-3</v>
          </cell>
          <cell r="AL127">
            <v>5.5555555555555558E-3</v>
          </cell>
          <cell r="AO127">
            <v>2.5189239941656941E-4</v>
          </cell>
          <cell r="AP127">
            <v>122</v>
          </cell>
          <cell r="AQ127">
            <v>7.716049382716049E-4</v>
          </cell>
          <cell r="AR127">
            <v>7.716049382716049E-4</v>
          </cell>
          <cell r="AS127">
            <v>7.716049382716049E-4</v>
          </cell>
          <cell r="AT127">
            <v>7.716049382716049E-4</v>
          </cell>
          <cell r="AU127">
            <v>7.716049382716049E-4</v>
          </cell>
          <cell r="AY127">
            <v>122</v>
          </cell>
          <cell r="AZ127">
            <v>1.1731857152819073E-7</v>
          </cell>
        </row>
        <row r="128">
          <cell r="U128">
            <v>7.3104224693145021E-6</v>
          </cell>
          <cell r="V128">
            <v>7.2206336828120038E-6</v>
          </cell>
          <cell r="W128">
            <v>7.1042909917590236E-6</v>
          </cell>
          <cell r="X128">
            <v>1.1140819964349376E-5</v>
          </cell>
          <cell r="Y128">
            <v>1.1094100157536222E-5</v>
          </cell>
          <cell r="Z128">
            <v>1.1001826303166326E-5</v>
          </cell>
          <cell r="AA128">
            <v>1.0866258095362281E-5</v>
          </cell>
          <cell r="AB128">
            <v>1.0690613641223006E-5</v>
          </cell>
          <cell r="AF128">
            <v>180</v>
          </cell>
          <cell r="AG128">
            <v>123</v>
          </cell>
          <cell r="AH128">
            <v>5.5555555555555558E-3</v>
          </cell>
          <cell r="AI128">
            <v>5.5555555555555558E-3</v>
          </cell>
          <cell r="AJ128">
            <v>5.5555555555555558E-3</v>
          </cell>
          <cell r="AK128">
            <v>5.5555555555555558E-3</v>
          </cell>
          <cell r="AL128">
            <v>5.5555555555555558E-3</v>
          </cell>
          <cell r="AO128">
            <v>2.478314745972737E-4</v>
          </cell>
          <cell r="AP128">
            <v>123</v>
          </cell>
          <cell r="AQ128">
            <v>7.668711656441718E-4</v>
          </cell>
          <cell r="AR128">
            <v>7.668711656441718E-4</v>
          </cell>
          <cell r="AS128">
            <v>7.668711656441718E-4</v>
          </cell>
          <cell r="AT128">
            <v>7.668711656441718E-4</v>
          </cell>
          <cell r="AU128">
            <v>7.668711656441718E-4</v>
          </cell>
          <cell r="AY128">
            <v>123</v>
          </cell>
          <cell r="AZ128">
            <v>1.0665324684380974E-7</v>
          </cell>
        </row>
        <row r="129">
          <cell r="U129">
            <v>7.3104224693145021E-6</v>
          </cell>
          <cell r="V129">
            <v>7.2206336828120038E-6</v>
          </cell>
          <cell r="W129">
            <v>7.1042909917590236E-6</v>
          </cell>
          <cell r="X129">
            <v>1.1140819964349376E-5</v>
          </cell>
          <cell r="Y129">
            <v>1.1094100157536222E-5</v>
          </cell>
          <cell r="Z129">
            <v>1.1001826303166326E-5</v>
          </cell>
          <cell r="AA129">
            <v>1.0866258095362281E-5</v>
          </cell>
          <cell r="AB129">
            <v>1.0690613641223006E-5</v>
          </cell>
          <cell r="AF129">
            <v>180</v>
          </cell>
          <cell r="AG129">
            <v>124</v>
          </cell>
          <cell r="AH129">
            <v>5.5555555555555558E-3</v>
          </cell>
          <cell r="AI129">
            <v>5.5555555555555558E-3</v>
          </cell>
          <cell r="AJ129">
            <v>5.5555555555555558E-3</v>
          </cell>
          <cell r="AK129">
            <v>5.5555555555555558E-3</v>
          </cell>
          <cell r="AL129">
            <v>5.5555555555555558E-3</v>
          </cell>
          <cell r="AO129">
            <v>2.4652214679067385E-4</v>
          </cell>
          <cell r="AP129">
            <v>124</v>
          </cell>
          <cell r="AQ129">
            <v>7.6219512195121954E-4</v>
          </cell>
          <cell r="AR129">
            <v>7.6219512195121954E-4</v>
          </cell>
          <cell r="AS129">
            <v>7.6219512195121954E-4</v>
          </cell>
          <cell r="AT129">
            <v>7.6219512195121954E-4</v>
          </cell>
          <cell r="AU129">
            <v>7.6219512195121954E-4</v>
          </cell>
          <cell r="AY129">
            <v>124</v>
          </cell>
          <cell r="AZ129">
            <v>9.695749713073611E-8</v>
          </cell>
        </row>
        <row r="130">
          <cell r="U130">
            <v>7.3104224693145021E-6</v>
          </cell>
          <cell r="V130">
            <v>7.2206336828120038E-6</v>
          </cell>
          <cell r="W130">
            <v>7.1042909917590236E-6</v>
          </cell>
          <cell r="X130">
            <v>1.1140819964349376E-5</v>
          </cell>
          <cell r="Y130">
            <v>1.1094100157536222E-5</v>
          </cell>
          <cell r="Z130">
            <v>1.1001826303166326E-5</v>
          </cell>
          <cell r="AA130">
            <v>1.0866258095362281E-5</v>
          </cell>
          <cell r="AB130">
            <v>1.0690613641223006E-5</v>
          </cell>
          <cell r="AF130">
            <v>180</v>
          </cell>
          <cell r="AG130">
            <v>125</v>
          </cell>
          <cell r="AH130">
            <v>5.5555555555555558E-3</v>
          </cell>
          <cell r="AI130">
            <v>5.5555555555555558E-3</v>
          </cell>
          <cell r="AJ130">
            <v>5.5555555555555558E-3</v>
          </cell>
          <cell r="AK130">
            <v>5.5555555555555558E-3</v>
          </cell>
          <cell r="AL130">
            <v>5.5555555555555558E-3</v>
          </cell>
          <cell r="AO130">
            <v>2.4198427102238362E-4</v>
          </cell>
          <cell r="AP130">
            <v>125</v>
          </cell>
          <cell r="AQ130">
            <v>7.5757575757575758E-4</v>
          </cell>
          <cell r="AR130">
            <v>7.5757575757575758E-4</v>
          </cell>
          <cell r="AS130">
            <v>7.5757575757575758E-4</v>
          </cell>
          <cell r="AT130">
            <v>7.5757575757575758E-4</v>
          </cell>
          <cell r="AU130">
            <v>7.5757575757575758E-4</v>
          </cell>
          <cell r="AY130">
            <v>125</v>
          </cell>
          <cell r="AZ130">
            <v>8.8143179209760097E-8</v>
          </cell>
        </row>
        <row r="131">
          <cell r="U131">
            <v>7.3104224693145021E-6</v>
          </cell>
          <cell r="V131">
            <v>7.2206336828120038E-6</v>
          </cell>
          <cell r="W131">
            <v>7.1042909917590236E-6</v>
          </cell>
          <cell r="X131">
            <v>1.1140819964349376E-5</v>
          </cell>
          <cell r="Y131">
            <v>1.1094100157536222E-5</v>
          </cell>
          <cell r="Z131">
            <v>1.1001826303166326E-5</v>
          </cell>
          <cell r="AA131">
            <v>1.0866258095362281E-5</v>
          </cell>
          <cell r="AB131">
            <v>1.0690613641223006E-5</v>
          </cell>
          <cell r="AF131">
            <v>180</v>
          </cell>
          <cell r="AG131">
            <v>126</v>
          </cell>
          <cell r="AH131">
            <v>5.5555555555555558E-3</v>
          </cell>
          <cell r="AI131">
            <v>5.5555555555555558E-3</v>
          </cell>
          <cell r="AJ131">
            <v>5.5555555555555558E-3</v>
          </cell>
          <cell r="AK131">
            <v>5.5555555555555558E-3</v>
          </cell>
          <cell r="AL131">
            <v>5.5555555555555558E-3</v>
          </cell>
          <cell r="AO131">
            <v>2.4137622538494884E-4</v>
          </cell>
          <cell r="AP131">
            <v>126</v>
          </cell>
          <cell r="AQ131">
            <v>7.5301204819277112E-4</v>
          </cell>
          <cell r="AR131">
            <v>7.5301204819277112E-4</v>
          </cell>
          <cell r="AS131">
            <v>7.5301204819277112E-4</v>
          </cell>
          <cell r="AT131">
            <v>7.5301204819277112E-4</v>
          </cell>
          <cell r="AU131">
            <v>7.5301204819277112E-4</v>
          </cell>
          <cell r="AY131">
            <v>126</v>
          </cell>
          <cell r="AZ131">
            <v>8.013016291796372E-8</v>
          </cell>
        </row>
        <row r="132">
          <cell r="U132">
            <v>7.3104224693145021E-6</v>
          </cell>
          <cell r="V132">
            <v>7.2206336828120038E-6</v>
          </cell>
          <cell r="W132">
            <v>7.1042909917590236E-6</v>
          </cell>
          <cell r="X132">
            <v>1.1140819964349376E-5</v>
          </cell>
          <cell r="Y132">
            <v>1.1094100157536222E-5</v>
          </cell>
          <cell r="Z132">
            <v>1.1001826303166326E-5</v>
          </cell>
          <cell r="AA132">
            <v>1.0866258095362281E-5</v>
          </cell>
          <cell r="AB132">
            <v>1.0690613641223006E-5</v>
          </cell>
          <cell r="AF132">
            <v>180</v>
          </cell>
          <cell r="AG132">
            <v>127</v>
          </cell>
          <cell r="AH132">
            <v>5.5555555555555558E-3</v>
          </cell>
          <cell r="AI132">
            <v>5.5555555555555558E-3</v>
          </cell>
          <cell r="AJ132">
            <v>5.5555555555555558E-3</v>
          </cell>
          <cell r="AK132">
            <v>5.5555555555555558E-3</v>
          </cell>
          <cell r="AL132">
            <v>5.5555555555555558E-3</v>
          </cell>
          <cell r="AO132">
            <v>2.3640661938534267E-4</v>
          </cell>
          <cell r="AP132">
            <v>127</v>
          </cell>
          <cell r="AQ132">
            <v>7.4850299401197609E-4</v>
          </cell>
          <cell r="AR132">
            <v>7.4850299401197609E-4</v>
          </cell>
          <cell r="AS132">
            <v>7.4850299401197609E-4</v>
          </cell>
          <cell r="AT132">
            <v>7.4850299401197609E-4</v>
          </cell>
          <cell r="AU132">
            <v>7.4850299401197609E-4</v>
          </cell>
          <cell r="AY132">
            <v>127</v>
          </cell>
          <cell r="AZ132">
            <v>7.2845602652694289E-8</v>
          </cell>
        </row>
        <row r="133">
          <cell r="U133">
            <v>7.3104224693145021E-6</v>
          </cell>
          <cell r="V133">
            <v>7.2206336828120038E-6</v>
          </cell>
          <cell r="W133">
            <v>7.1042909917590236E-6</v>
          </cell>
          <cell r="X133">
            <v>1.1140819964349376E-5</v>
          </cell>
          <cell r="Y133">
            <v>1.1094100157536222E-5</v>
          </cell>
          <cell r="Z133">
            <v>1.1001826303166326E-5</v>
          </cell>
          <cell r="AA133">
            <v>1.0866258095362281E-5</v>
          </cell>
          <cell r="AB133">
            <v>1.0690613641223006E-5</v>
          </cell>
          <cell r="AF133">
            <v>180</v>
          </cell>
          <cell r="AG133">
            <v>128</v>
          </cell>
          <cell r="AH133">
            <v>5.5555555555555558E-3</v>
          </cell>
          <cell r="AI133">
            <v>5.5555555555555558E-3</v>
          </cell>
          <cell r="AJ133">
            <v>5.5555555555555558E-3</v>
          </cell>
          <cell r="AK133">
            <v>5.5555555555555558E-3</v>
          </cell>
          <cell r="AL133">
            <v>5.5555555555555558E-3</v>
          </cell>
          <cell r="AO133">
            <v>2.3640661938534262E-4</v>
          </cell>
          <cell r="AP133">
            <v>128</v>
          </cell>
          <cell r="AQ133">
            <v>7.4404761904761901E-4</v>
          </cell>
          <cell r="AR133">
            <v>7.4404761904761901E-4</v>
          </cell>
          <cell r="AS133">
            <v>7.4404761904761901E-4</v>
          </cell>
          <cell r="AT133">
            <v>7.4404761904761901E-4</v>
          </cell>
          <cell r="AU133">
            <v>7.4404761904761901E-4</v>
          </cell>
          <cell r="AY133">
            <v>128</v>
          </cell>
          <cell r="AZ133">
            <v>6.6223275138812992E-8</v>
          </cell>
        </row>
        <row r="134">
          <cell r="U134">
            <v>7.3104224693145021E-6</v>
          </cell>
          <cell r="V134">
            <v>7.2206336828120038E-6</v>
          </cell>
          <cell r="W134">
            <v>7.1042909917590236E-6</v>
          </cell>
          <cell r="X134">
            <v>1.1140819964349376E-5</v>
          </cell>
          <cell r="Y134">
            <v>1.1094100157536222E-5</v>
          </cell>
          <cell r="Z134">
            <v>1.1001826303166326E-5</v>
          </cell>
          <cell r="AA134">
            <v>1.0866258095362281E-5</v>
          </cell>
          <cell r="AB134">
            <v>1.0690613641223006E-5</v>
          </cell>
          <cell r="AF134">
            <v>180</v>
          </cell>
          <cell r="AG134">
            <v>129</v>
          </cell>
          <cell r="AH134">
            <v>5.5555555555555558E-3</v>
          </cell>
          <cell r="AI134">
            <v>5.5555555555555558E-3</v>
          </cell>
          <cell r="AJ134">
            <v>5.5555555555555558E-3</v>
          </cell>
          <cell r="AK134">
            <v>5.5555555555555558E-3</v>
          </cell>
          <cell r="AL134">
            <v>5.5555555555555558E-3</v>
          </cell>
          <cell r="AO134">
            <v>2.3111081466480513E-4</v>
          </cell>
          <cell r="AP134">
            <v>129</v>
          </cell>
          <cell r="AQ134">
            <v>7.3964497041420117E-4</v>
          </cell>
          <cell r="AR134">
            <v>7.3964497041420117E-4</v>
          </cell>
          <cell r="AS134">
            <v>7.3964497041420117E-4</v>
          </cell>
          <cell r="AT134">
            <v>7.3964497041420117E-4</v>
          </cell>
          <cell r="AU134">
            <v>7.3964497041420117E-4</v>
          </cell>
          <cell r="AY134">
            <v>129</v>
          </cell>
          <cell r="AZ134">
            <v>6.0202977398920896E-8</v>
          </cell>
        </row>
        <row r="135">
          <cell r="U135">
            <v>7.3104224693145021E-6</v>
          </cell>
          <cell r="V135">
            <v>7.2206336828120038E-6</v>
          </cell>
          <cell r="W135">
            <v>7.1042909917590236E-6</v>
          </cell>
          <cell r="X135">
            <v>1.1140819964349376E-5</v>
          </cell>
          <cell r="Y135">
            <v>1.1094100157536222E-5</v>
          </cell>
          <cell r="Z135">
            <v>1.1001826303166326E-5</v>
          </cell>
          <cell r="AA135">
            <v>1.0866258095362281E-5</v>
          </cell>
          <cell r="AB135">
            <v>1.0690613641223006E-5</v>
          </cell>
          <cell r="AF135">
            <v>180</v>
          </cell>
          <cell r="AG135">
            <v>130</v>
          </cell>
          <cell r="AH135">
            <v>5.5555555555555558E-3</v>
          </cell>
          <cell r="AI135">
            <v>5.5555555555555558E-3</v>
          </cell>
          <cell r="AJ135">
            <v>5.5555555555555558E-3</v>
          </cell>
          <cell r="AK135">
            <v>5.5555555555555558E-3</v>
          </cell>
          <cell r="AL135">
            <v>5.5555555555555558E-3</v>
          </cell>
          <cell r="AO135">
            <v>2.3108030040439062E-4</v>
          </cell>
          <cell r="AP135">
            <v>130</v>
          </cell>
          <cell r="AQ135">
            <v>7.3529411764705881E-4</v>
          </cell>
          <cell r="AR135">
            <v>7.3529411764705881E-4</v>
          </cell>
          <cell r="AS135">
            <v>7.3529411764705881E-4</v>
          </cell>
          <cell r="AT135">
            <v>7.3529411764705881E-4</v>
          </cell>
          <cell r="AU135">
            <v>7.3529411764705881E-4</v>
          </cell>
          <cell r="AY135">
            <v>130</v>
          </cell>
          <cell r="AZ135">
            <v>5.4729979453564449E-8</v>
          </cell>
        </row>
        <row r="136">
          <cell r="U136">
            <v>6.970365491114527E-6</v>
          </cell>
          <cell r="V136">
            <v>6.8752621193683013E-6</v>
          </cell>
          <cell r="W136">
            <v>6.7524224315473176E-6</v>
          </cell>
          <cell r="X136">
            <v>1.0636034886194427E-5</v>
          </cell>
          <cell r="Y136">
            <v>1.058637956405289E-5</v>
          </cell>
          <cell r="Z136">
            <v>1.0488446975656315E-5</v>
          </cell>
          <cell r="AA136">
            <v>1.0344898930337451E-5</v>
          </cell>
          <cell r="AB136">
            <v>1.0159504216194249E-5</v>
          </cell>
          <cell r="AF136">
            <v>180</v>
          </cell>
          <cell r="AG136">
            <v>131</v>
          </cell>
          <cell r="AH136">
            <v>5.5555555555555558E-3</v>
          </cell>
          <cell r="AI136">
            <v>5.5555555555555558E-3</v>
          </cell>
          <cell r="AJ136">
            <v>5.5555555555555558E-3</v>
          </cell>
          <cell r="AK136">
            <v>5.5555555555555558E-3</v>
          </cell>
          <cell r="AL136">
            <v>5.5555555555555558E-3</v>
          </cell>
          <cell r="AO136">
            <v>2.265445521331975E-4</v>
          </cell>
          <cell r="AP136">
            <v>131</v>
          </cell>
          <cell r="AQ136">
            <v>7.3099415204678359E-4</v>
          </cell>
          <cell r="AR136">
            <v>7.3099415204678359E-4</v>
          </cell>
          <cell r="AS136">
            <v>7.3099415204678359E-4</v>
          </cell>
          <cell r="AT136">
            <v>7.3099415204678359E-4</v>
          </cell>
          <cell r="AU136">
            <v>7.3099415204678359E-4</v>
          </cell>
          <cell r="AY136">
            <v>131</v>
          </cell>
          <cell r="AZ136">
            <v>4.9754526775967676E-8</v>
          </cell>
        </row>
        <row r="137">
          <cell r="U137">
            <v>6.970365491114527E-6</v>
          </cell>
          <cell r="V137">
            <v>6.8752621193683013E-6</v>
          </cell>
          <cell r="W137">
            <v>6.7524224315473176E-6</v>
          </cell>
          <cell r="X137">
            <v>1.0636034886194427E-5</v>
          </cell>
          <cell r="Y137">
            <v>1.058637956405289E-5</v>
          </cell>
          <cell r="Z137">
            <v>1.0488446975656315E-5</v>
          </cell>
          <cell r="AA137">
            <v>1.0344898930337451E-5</v>
          </cell>
          <cell r="AB137">
            <v>1.0159504216194249E-5</v>
          </cell>
          <cell r="AF137">
            <v>180</v>
          </cell>
          <cell r="AG137">
            <v>132</v>
          </cell>
          <cell r="AH137">
            <v>5.5555555555555558E-3</v>
          </cell>
          <cell r="AI137">
            <v>5.5555555555555558E-3</v>
          </cell>
          <cell r="AJ137">
            <v>5.5555555555555558E-3</v>
          </cell>
          <cell r="AK137">
            <v>5.5555555555555558E-3</v>
          </cell>
          <cell r="AL137">
            <v>5.5555555555555558E-3</v>
          </cell>
          <cell r="AO137">
            <v>2.2598870056497194E-4</v>
          </cell>
          <cell r="AP137">
            <v>132</v>
          </cell>
          <cell r="AQ137">
            <v>7.2674418604651162E-4</v>
          </cell>
          <cell r="AR137">
            <v>7.2674418604651162E-4</v>
          </cell>
          <cell r="AS137">
            <v>7.2674418604651162E-4</v>
          </cell>
          <cell r="AT137">
            <v>7.2674418604651162E-4</v>
          </cell>
          <cell r="AU137">
            <v>7.2674418604651162E-4</v>
          </cell>
          <cell r="AY137">
            <v>132</v>
          </cell>
          <cell r="AZ137">
            <v>4.5231387978152427E-8</v>
          </cell>
        </row>
        <row r="138">
          <cell r="U138">
            <v>6.970365491114527E-6</v>
          </cell>
          <cell r="V138">
            <v>6.8752621193683013E-6</v>
          </cell>
          <cell r="W138">
            <v>6.7524224315473176E-6</v>
          </cell>
          <cell r="X138">
            <v>1.0636034886194427E-5</v>
          </cell>
          <cell r="Y138">
            <v>1.058637956405289E-5</v>
          </cell>
          <cell r="Z138">
            <v>1.0488446975656315E-5</v>
          </cell>
          <cell r="AA138">
            <v>1.0344898930337451E-5</v>
          </cell>
          <cell r="AB138">
            <v>1.0159504216194249E-5</v>
          </cell>
          <cell r="AF138">
            <v>180</v>
          </cell>
          <cell r="AG138">
            <v>133</v>
          </cell>
          <cell r="AH138">
            <v>5.5555555555555558E-3</v>
          </cell>
          <cell r="AI138">
            <v>5.5555555555555558E-3</v>
          </cell>
          <cell r="AJ138">
            <v>5.5555555555555558E-3</v>
          </cell>
          <cell r="AK138">
            <v>5.5555555555555558E-3</v>
          </cell>
          <cell r="AL138">
            <v>5.5555555555555558E-3</v>
          </cell>
          <cell r="AO138">
            <v>2.2215529717235045E-4</v>
          </cell>
          <cell r="AP138">
            <v>133</v>
          </cell>
          <cell r="AQ138">
            <v>7.2254335260115603E-4</v>
          </cell>
          <cell r="AR138">
            <v>7.2254335260115603E-4</v>
          </cell>
          <cell r="AS138">
            <v>7.2254335260115603E-4</v>
          </cell>
          <cell r="AT138">
            <v>7.2254335260115603E-4</v>
          </cell>
          <cell r="AU138">
            <v>7.2254335260115603E-4</v>
          </cell>
          <cell r="AY138">
            <v>133</v>
          </cell>
          <cell r="AZ138">
            <v>4.1119443616502208E-8</v>
          </cell>
        </row>
        <row r="139">
          <cell r="U139">
            <v>6.970365491114527E-6</v>
          </cell>
          <cell r="V139">
            <v>6.8752621193683013E-6</v>
          </cell>
          <cell r="W139">
            <v>6.7524224315473176E-6</v>
          </cell>
          <cell r="X139">
            <v>1.0636034886194427E-5</v>
          </cell>
          <cell r="Y139">
            <v>1.058637956405289E-5</v>
          </cell>
          <cell r="Z139">
            <v>1.0488446975656315E-5</v>
          </cell>
          <cell r="AA139">
            <v>1.0344898930337451E-5</v>
          </cell>
          <cell r="AB139">
            <v>1.0159504216194249E-5</v>
          </cell>
          <cell r="AF139">
            <v>180</v>
          </cell>
          <cell r="AG139">
            <v>134</v>
          </cell>
          <cell r="AH139">
            <v>5.5555555555555558E-3</v>
          </cell>
          <cell r="AI139">
            <v>5.5555555555555558E-3</v>
          </cell>
          <cell r="AJ139">
            <v>5.5555555555555558E-3</v>
          </cell>
          <cell r="AK139">
            <v>5.5555555555555558E-3</v>
          </cell>
          <cell r="AL139">
            <v>5.5555555555555558E-3</v>
          </cell>
          <cell r="AO139">
            <v>2.2111663902708717E-4</v>
          </cell>
          <cell r="AP139">
            <v>134</v>
          </cell>
          <cell r="AQ139">
            <v>7.1839080459770114E-4</v>
          </cell>
          <cell r="AR139">
            <v>7.1839080459770114E-4</v>
          </cell>
          <cell r="AS139">
            <v>7.1839080459770114E-4</v>
          </cell>
          <cell r="AT139">
            <v>7.1839080459770114E-4</v>
          </cell>
          <cell r="AU139">
            <v>7.1839080459770114E-4</v>
          </cell>
          <cell r="AY139">
            <v>134</v>
          </cell>
          <cell r="AZ139">
            <v>3.7381312378638361E-8</v>
          </cell>
        </row>
        <row r="140">
          <cell r="U140">
            <v>6.970365491114527E-6</v>
          </cell>
          <cell r="V140">
            <v>6.8752621193683013E-6</v>
          </cell>
          <cell r="W140">
            <v>6.7524224315473176E-6</v>
          </cell>
          <cell r="X140">
            <v>1.0636034886194427E-5</v>
          </cell>
          <cell r="Y140">
            <v>1.058637956405289E-5</v>
          </cell>
          <cell r="Z140">
            <v>1.0488446975656315E-5</v>
          </cell>
          <cell r="AA140">
            <v>1.0344898930337451E-5</v>
          </cell>
          <cell r="AB140">
            <v>1.0159504216194249E-5</v>
          </cell>
          <cell r="AF140">
            <v>180</v>
          </cell>
          <cell r="AG140">
            <v>135</v>
          </cell>
          <cell r="AH140">
            <v>5.5555555555555558E-3</v>
          </cell>
          <cell r="AI140">
            <v>5.5555555555555558E-3</v>
          </cell>
          <cell r="AJ140">
            <v>5.5555555555555558E-3</v>
          </cell>
          <cell r="AK140">
            <v>5.5555555555555558E-3</v>
          </cell>
          <cell r="AL140">
            <v>5.5555555555555558E-3</v>
          </cell>
          <cell r="AO140">
            <v>2.179329444872201E-4</v>
          </cell>
          <cell r="AP140">
            <v>135</v>
          </cell>
          <cell r="AQ140">
            <v>7.1428571428571429E-4</v>
          </cell>
          <cell r="AR140">
            <v>7.1428571428571429E-4</v>
          </cell>
          <cell r="AS140">
            <v>7.1428571428571429E-4</v>
          </cell>
          <cell r="AT140">
            <v>7.1428571428571429E-4</v>
          </cell>
          <cell r="AU140">
            <v>7.1428571428571429E-4</v>
          </cell>
          <cell r="AY140">
            <v>135</v>
          </cell>
          <cell r="AZ140">
            <v>3.3983011253307599E-8</v>
          </cell>
        </row>
        <row r="141">
          <cell r="U141">
            <v>6.970365491114527E-6</v>
          </cell>
          <cell r="V141">
            <v>6.8752621193683013E-6</v>
          </cell>
          <cell r="W141">
            <v>6.7524224315473176E-6</v>
          </cell>
          <cell r="X141">
            <v>1.0636034886194427E-5</v>
          </cell>
          <cell r="Y141">
            <v>1.058637956405289E-5</v>
          </cell>
          <cell r="Z141">
            <v>1.0488446975656315E-5</v>
          </cell>
          <cell r="AA141">
            <v>1.0344898930337451E-5</v>
          </cell>
          <cell r="AB141">
            <v>1.0159504216194249E-5</v>
          </cell>
          <cell r="AF141">
            <v>180</v>
          </cell>
          <cell r="AG141">
            <v>136</v>
          </cell>
          <cell r="AH141">
            <v>5.5555555555555558E-3</v>
          </cell>
          <cell r="AI141">
            <v>5.5555555555555558E-3</v>
          </cell>
          <cell r="AJ141">
            <v>5.5555555555555558E-3</v>
          </cell>
          <cell r="AK141">
            <v>5.5555555555555558E-3</v>
          </cell>
          <cell r="AL141">
            <v>5.5555555555555558E-3</v>
          </cell>
          <cell r="AO141">
            <v>2.1645021645021648E-4</v>
          </cell>
          <cell r="AP141">
            <v>136</v>
          </cell>
          <cell r="AQ141">
            <v>7.1022727272727275E-4</v>
          </cell>
          <cell r="AR141">
            <v>7.1022727272727275E-4</v>
          </cell>
          <cell r="AS141">
            <v>7.1022727272727275E-4</v>
          </cell>
          <cell r="AT141">
            <v>7.1022727272727275E-4</v>
          </cell>
          <cell r="AU141">
            <v>7.1022727272727275E-4</v>
          </cell>
          <cell r="AY141">
            <v>136</v>
          </cell>
          <cell r="AZ141">
            <v>3.0893646593915996E-8</v>
          </cell>
        </row>
        <row r="142">
          <cell r="U142">
            <v>6.970365491114527E-6</v>
          </cell>
          <cell r="V142">
            <v>6.8752621193683013E-6</v>
          </cell>
          <cell r="W142">
            <v>6.7524224315473176E-6</v>
          </cell>
          <cell r="X142">
            <v>1.0636034886194427E-5</v>
          </cell>
          <cell r="Y142">
            <v>1.058637956405289E-5</v>
          </cell>
          <cell r="Z142">
            <v>1.0488446975656315E-5</v>
          </cell>
          <cell r="AA142">
            <v>1.0344898930337451E-5</v>
          </cell>
          <cell r="AB142">
            <v>1.0159504216194249E-5</v>
          </cell>
          <cell r="AF142">
            <v>180</v>
          </cell>
          <cell r="AG142">
            <v>137</v>
          </cell>
          <cell r="AH142">
            <v>5.5555555555555558E-3</v>
          </cell>
          <cell r="AI142">
            <v>5.5555555555555558E-3</v>
          </cell>
          <cell r="AJ142">
            <v>5.5555555555555558E-3</v>
          </cell>
          <cell r="AK142">
            <v>5.5555555555555558E-3</v>
          </cell>
          <cell r="AL142">
            <v>5.5555555555555558E-3</v>
          </cell>
          <cell r="AO142">
            <v>2.1386814478794897E-4</v>
          </cell>
          <cell r="AP142">
            <v>137</v>
          </cell>
          <cell r="AQ142">
            <v>7.0621468926553672E-4</v>
          </cell>
          <cell r="AR142">
            <v>7.0621468926553672E-4</v>
          </cell>
          <cell r="AS142">
            <v>7.0621468926553672E-4</v>
          </cell>
          <cell r="AT142">
            <v>7.0621468926553672E-4</v>
          </cell>
          <cell r="AU142">
            <v>7.0621468926553672E-4</v>
          </cell>
          <cell r="AY142">
            <v>137</v>
          </cell>
          <cell r="AZ142">
            <v>2.8085133267196357E-8</v>
          </cell>
        </row>
        <row r="143">
          <cell r="U143">
            <v>6.970365491114527E-6</v>
          </cell>
          <cell r="V143">
            <v>6.8752621193683013E-6</v>
          </cell>
          <cell r="W143">
            <v>6.7524224315473176E-6</v>
          </cell>
          <cell r="X143">
            <v>1.0636034886194427E-5</v>
          </cell>
          <cell r="Y143">
            <v>1.058637956405289E-5</v>
          </cell>
          <cell r="Z143">
            <v>1.0488446975656315E-5</v>
          </cell>
          <cell r="AA143">
            <v>1.0344898930337451E-5</v>
          </cell>
          <cell r="AB143">
            <v>1.0159504216194249E-5</v>
          </cell>
          <cell r="AF143">
            <v>180</v>
          </cell>
          <cell r="AG143">
            <v>138</v>
          </cell>
          <cell r="AH143">
            <v>5.5555555555555558E-3</v>
          </cell>
          <cell r="AI143">
            <v>5.5555555555555558E-3</v>
          </cell>
          <cell r="AJ143">
            <v>5.5555555555555558E-3</v>
          </cell>
          <cell r="AK143">
            <v>5.5555555555555558E-3</v>
          </cell>
          <cell r="AL143">
            <v>5.5555555555555558E-3</v>
          </cell>
          <cell r="AO143">
            <v>2.1197668256491776E-4</v>
          </cell>
          <cell r="AP143">
            <v>138</v>
          </cell>
          <cell r="AQ143">
            <v>7.0224719101123594E-4</v>
          </cell>
          <cell r="AR143">
            <v>7.0224719101123594E-4</v>
          </cell>
          <cell r="AS143">
            <v>7.0224719101123594E-4</v>
          </cell>
          <cell r="AT143">
            <v>7.0224719101123594E-4</v>
          </cell>
          <cell r="AU143">
            <v>7.0224719101123594E-4</v>
          </cell>
          <cell r="AY143">
            <v>138</v>
          </cell>
          <cell r="AZ143">
            <v>2.5531939333814868E-8</v>
          </cell>
        </row>
        <row r="144">
          <cell r="U144">
            <v>6.970365491114527E-6</v>
          </cell>
          <cell r="V144">
            <v>6.8752621193683013E-6</v>
          </cell>
          <cell r="W144">
            <v>6.7524224315473176E-6</v>
          </cell>
          <cell r="X144">
            <v>1.0636034886194427E-5</v>
          </cell>
          <cell r="Y144">
            <v>1.058637956405289E-5</v>
          </cell>
          <cell r="Z144">
            <v>1.0488446975656315E-5</v>
          </cell>
          <cell r="AA144">
            <v>1.0344898930337451E-5</v>
          </cell>
          <cell r="AB144">
            <v>1.0159504216194249E-5</v>
          </cell>
          <cell r="AF144">
            <v>180</v>
          </cell>
          <cell r="AG144">
            <v>139</v>
          </cell>
          <cell r="AH144">
            <v>5.5555555555555558E-3</v>
          </cell>
          <cell r="AI144">
            <v>5.5555555555555558E-3</v>
          </cell>
          <cell r="AJ144">
            <v>5.5555555555555558E-3</v>
          </cell>
          <cell r="AK144">
            <v>5.5555555555555558E-3</v>
          </cell>
          <cell r="AL144">
            <v>5.5555555555555558E-3</v>
          </cell>
          <cell r="AO144">
            <v>2.0995223523469973E-4</v>
          </cell>
          <cell r="AP144">
            <v>139</v>
          </cell>
          <cell r="AQ144">
            <v>6.9832402234636874E-4</v>
          </cell>
          <cell r="AR144">
            <v>6.9832402234636874E-4</v>
          </cell>
          <cell r="AS144">
            <v>6.9832402234636874E-4</v>
          </cell>
          <cell r="AT144">
            <v>6.9832402234636874E-4</v>
          </cell>
          <cell r="AU144">
            <v>6.9832402234636874E-4</v>
          </cell>
          <cell r="AY144">
            <v>139</v>
          </cell>
          <cell r="AZ144">
            <v>2.3210853939831698E-8</v>
          </cell>
        </row>
        <row r="145">
          <cell r="U145">
            <v>6.970365491114527E-6</v>
          </cell>
          <cell r="V145">
            <v>6.8752621193683013E-6</v>
          </cell>
          <cell r="W145">
            <v>6.7524224315473176E-6</v>
          </cell>
          <cell r="X145">
            <v>1.0636034886194427E-5</v>
          </cell>
          <cell r="Y145">
            <v>1.058637956405289E-5</v>
          </cell>
          <cell r="Z145">
            <v>1.0488446975656315E-5</v>
          </cell>
          <cell r="AA145">
            <v>1.0344898930337451E-5</v>
          </cell>
          <cell r="AB145">
            <v>1.0159504216194249E-5</v>
          </cell>
          <cell r="AF145">
            <v>180</v>
          </cell>
          <cell r="AG145">
            <v>140</v>
          </cell>
          <cell r="AH145">
            <v>5.5555555555555558E-3</v>
          </cell>
          <cell r="AI145">
            <v>5.5555555555555558E-3</v>
          </cell>
          <cell r="AJ145">
            <v>5.5555555555555558E-3</v>
          </cell>
          <cell r="AK145">
            <v>5.5555555555555558E-3</v>
          </cell>
          <cell r="AL145">
            <v>5.5555555555555558E-3</v>
          </cell>
          <cell r="AO145">
            <v>2.0768431983385252E-4</v>
          </cell>
          <cell r="AP145">
            <v>140</v>
          </cell>
          <cell r="AQ145">
            <v>6.9444444444444447E-4</v>
          </cell>
          <cell r="AR145">
            <v>6.9444444444444447E-4</v>
          </cell>
          <cell r="AS145">
            <v>6.9444444444444447E-4</v>
          </cell>
          <cell r="AT145">
            <v>6.9444444444444447E-4</v>
          </cell>
          <cell r="AU145">
            <v>6.9444444444444447E-4</v>
          </cell>
          <cell r="AY145">
            <v>140</v>
          </cell>
          <cell r="AZ145">
            <v>2.1100776308937906E-8</v>
          </cell>
        </row>
        <row r="146">
          <cell r="U146">
            <v>6.970365491114527E-6</v>
          </cell>
          <cell r="V146">
            <v>6.8752621193683013E-6</v>
          </cell>
          <cell r="W146">
            <v>6.7524224315473176E-6</v>
          </cell>
          <cell r="X146">
            <v>1.0636034886194427E-5</v>
          </cell>
          <cell r="Y146">
            <v>1.058637956405289E-5</v>
          </cell>
          <cell r="Z146">
            <v>1.0488446975656315E-5</v>
          </cell>
          <cell r="AA146">
            <v>1.0344898930337451E-5</v>
          </cell>
          <cell r="AB146">
            <v>1.0159504216194249E-5</v>
          </cell>
          <cell r="AF146">
            <v>180</v>
          </cell>
          <cell r="AG146">
            <v>141</v>
          </cell>
          <cell r="AH146">
            <v>5.5555555555555558E-3</v>
          </cell>
          <cell r="AI146">
            <v>5.5555555555555558E-3</v>
          </cell>
          <cell r="AJ146">
            <v>5.5555555555555558E-3</v>
          </cell>
          <cell r="AK146">
            <v>5.5555555555555558E-3</v>
          </cell>
          <cell r="AL146">
            <v>5.5555555555555558E-3</v>
          </cell>
          <cell r="AO146">
            <v>2.0617717744340506E-4</v>
          </cell>
          <cell r="AP146">
            <v>141</v>
          </cell>
          <cell r="AQ146">
            <v>6.9060773480662981E-4</v>
          </cell>
          <cell r="AR146">
            <v>6.9060773480662981E-4</v>
          </cell>
          <cell r="AS146">
            <v>6.9060773480662981E-4</v>
          </cell>
          <cell r="AT146">
            <v>6.9060773480662981E-4</v>
          </cell>
          <cell r="AU146">
            <v>6.9060773480662981E-4</v>
          </cell>
          <cell r="AY146">
            <v>141</v>
          </cell>
          <cell r="AZ146">
            <v>1.9182523917216278E-8</v>
          </cell>
        </row>
        <row r="147">
          <cell r="U147">
            <v>6.970365491114527E-6</v>
          </cell>
          <cell r="V147">
            <v>6.8752621193683013E-6</v>
          </cell>
          <cell r="W147">
            <v>6.7524224315473176E-6</v>
          </cell>
          <cell r="X147">
            <v>1.0636034886194427E-5</v>
          </cell>
          <cell r="Y147">
            <v>1.058637956405289E-5</v>
          </cell>
          <cell r="Z147">
            <v>1.0488446975656315E-5</v>
          </cell>
          <cell r="AA147">
            <v>1.0344898930337451E-5</v>
          </cell>
          <cell r="AB147">
            <v>1.0159504216194249E-5</v>
          </cell>
          <cell r="AF147">
            <v>180</v>
          </cell>
          <cell r="AG147">
            <v>142</v>
          </cell>
          <cell r="AH147">
            <v>5.5555555555555558E-3</v>
          </cell>
          <cell r="AI147">
            <v>5.5555555555555558E-3</v>
          </cell>
          <cell r="AJ147">
            <v>5.5555555555555558E-3</v>
          </cell>
          <cell r="AK147">
            <v>5.5555555555555558E-3</v>
          </cell>
          <cell r="AL147">
            <v>5.5555555555555558E-3</v>
          </cell>
          <cell r="AO147">
            <v>2.0356234096692149E-4</v>
          </cell>
          <cell r="AP147">
            <v>142</v>
          </cell>
          <cell r="AQ147">
            <v>6.8681318681318687E-4</v>
          </cell>
          <cell r="AR147">
            <v>6.8681318681318687E-4</v>
          </cell>
          <cell r="AS147">
            <v>6.8681318681318687E-4</v>
          </cell>
          <cell r="AT147">
            <v>6.8681318681318687E-4</v>
          </cell>
          <cell r="AU147">
            <v>6.8681318681318687E-4</v>
          </cell>
          <cell r="AY147">
            <v>142</v>
          </cell>
          <cell r="AZ147">
            <v>1.7438658106560254E-8</v>
          </cell>
        </row>
        <row r="148">
          <cell r="U148">
            <v>6.970365491114527E-6</v>
          </cell>
          <cell r="V148">
            <v>6.8752621193683013E-6</v>
          </cell>
          <cell r="W148">
            <v>6.7524224315473176E-6</v>
          </cell>
          <cell r="X148">
            <v>1.0636034886194427E-5</v>
          </cell>
          <cell r="Y148">
            <v>1.058637956405289E-5</v>
          </cell>
          <cell r="Z148">
            <v>1.0488446975656315E-5</v>
          </cell>
          <cell r="AA148">
            <v>1.0344898930337451E-5</v>
          </cell>
          <cell r="AB148">
            <v>1.0159504216194249E-5</v>
          </cell>
          <cell r="AF148">
            <v>180</v>
          </cell>
          <cell r="AG148">
            <v>143</v>
          </cell>
          <cell r="AH148">
            <v>5.5555555555555558E-3</v>
          </cell>
          <cell r="AI148">
            <v>5.5555555555555558E-3</v>
          </cell>
          <cell r="AJ148">
            <v>5.5555555555555558E-3</v>
          </cell>
          <cell r="AK148">
            <v>5.5555555555555558E-3</v>
          </cell>
          <cell r="AL148">
            <v>5.5555555555555558E-3</v>
          </cell>
          <cell r="AO148">
            <v>2.0253550210792547E-4</v>
          </cell>
          <cell r="AP148">
            <v>143</v>
          </cell>
          <cell r="AQ148">
            <v>6.8306010928961749E-4</v>
          </cell>
          <cell r="AR148">
            <v>6.8306010928961749E-4</v>
          </cell>
          <cell r="AS148">
            <v>6.8306010928961749E-4</v>
          </cell>
          <cell r="AT148">
            <v>6.8306010928961749E-4</v>
          </cell>
          <cell r="AU148">
            <v>6.8306010928961749E-4</v>
          </cell>
          <cell r="AY148">
            <v>143</v>
          </cell>
          <cell r="AZ148">
            <v>1.585332555141841E-8</v>
          </cell>
        </row>
        <row r="149">
          <cell r="U149">
            <v>6.970365491114527E-6</v>
          </cell>
          <cell r="V149">
            <v>6.8752621193683013E-6</v>
          </cell>
          <cell r="W149">
            <v>6.7524224315473176E-6</v>
          </cell>
          <cell r="X149">
            <v>1.0636034886194427E-5</v>
          </cell>
          <cell r="Y149">
            <v>1.058637956405289E-5</v>
          </cell>
          <cell r="Z149">
            <v>1.0488446975656315E-5</v>
          </cell>
          <cell r="AA149">
            <v>1.0344898930337451E-5</v>
          </cell>
          <cell r="AB149">
            <v>1.0159504216194249E-5</v>
          </cell>
          <cell r="AF149">
            <v>180</v>
          </cell>
          <cell r="AG149">
            <v>144</v>
          </cell>
          <cell r="AH149">
            <v>5.5555555555555558E-3</v>
          </cell>
          <cell r="AI149">
            <v>5.5555555555555558E-3</v>
          </cell>
          <cell r="AJ149">
            <v>5.5555555555555558E-3</v>
          </cell>
          <cell r="AK149">
            <v>5.5555555555555558E-3</v>
          </cell>
          <cell r="AL149">
            <v>5.5555555555555558E-3</v>
          </cell>
          <cell r="AO149">
            <v>1.9960079840319338E-4</v>
          </cell>
          <cell r="AP149">
            <v>144</v>
          </cell>
          <cell r="AQ149">
            <v>6.793478260869565E-4</v>
          </cell>
          <cell r="AR149">
            <v>6.793478260869565E-4</v>
          </cell>
          <cell r="AS149">
            <v>6.793478260869565E-4</v>
          </cell>
          <cell r="AT149">
            <v>6.793478260869565E-4</v>
          </cell>
          <cell r="AU149">
            <v>6.793478260869565E-4</v>
          </cell>
          <cell r="AY149">
            <v>144</v>
          </cell>
          <cell r="AZ149">
            <v>1.44121141376531E-8</v>
          </cell>
        </row>
        <row r="150">
          <cell r="U150">
            <v>6.970365491114527E-6</v>
          </cell>
          <cell r="V150">
            <v>6.8752621193683013E-6</v>
          </cell>
          <cell r="W150">
            <v>6.7524224315473176E-6</v>
          </cell>
          <cell r="X150">
            <v>1.0636034886194427E-5</v>
          </cell>
          <cell r="Y150">
            <v>1.058637956405289E-5</v>
          </cell>
          <cell r="Z150">
            <v>1.0488446975656315E-5</v>
          </cell>
          <cell r="AA150">
            <v>1.0344898930337451E-5</v>
          </cell>
          <cell r="AB150">
            <v>1.0159504216194249E-5</v>
          </cell>
          <cell r="AF150">
            <v>180</v>
          </cell>
          <cell r="AG150">
            <v>145</v>
          </cell>
          <cell r="AH150">
            <v>5.5555555555555558E-3</v>
          </cell>
          <cell r="AI150">
            <v>5.5555555555555558E-3</v>
          </cell>
          <cell r="AJ150">
            <v>5.5555555555555558E-3</v>
          </cell>
          <cell r="AK150">
            <v>5.5555555555555558E-3</v>
          </cell>
          <cell r="AL150">
            <v>5.5555555555555558E-3</v>
          </cell>
          <cell r="AO150">
            <v>1.9902025942692211E-4</v>
          </cell>
          <cell r="AP150">
            <v>145</v>
          </cell>
          <cell r="AQ150">
            <v>6.7567567567567571E-4</v>
          </cell>
          <cell r="AR150">
            <v>6.7567567567567571E-4</v>
          </cell>
          <cell r="AS150">
            <v>6.7567567567567571E-4</v>
          </cell>
          <cell r="AT150">
            <v>6.7567567567567571E-4</v>
          </cell>
          <cell r="AU150">
            <v>6.7567567567567571E-4</v>
          </cell>
          <cell r="AY150">
            <v>145</v>
          </cell>
          <cell r="AZ150">
            <v>1.3101921943320998E-8</v>
          </cell>
        </row>
        <row r="151">
          <cell r="U151">
            <v>6.970365491114527E-6</v>
          </cell>
          <cell r="V151">
            <v>6.8752621193683013E-6</v>
          </cell>
          <cell r="W151">
            <v>6.7524224315473176E-6</v>
          </cell>
          <cell r="X151">
            <v>1.0636034886194427E-5</v>
          </cell>
          <cell r="Y151">
            <v>1.058637956405289E-5</v>
          </cell>
          <cell r="Z151">
            <v>1.0488446975656315E-5</v>
          </cell>
          <cell r="AA151">
            <v>1.0344898930337451E-5</v>
          </cell>
          <cell r="AB151">
            <v>1.0159504216194249E-5</v>
          </cell>
          <cell r="AF151">
            <v>180</v>
          </cell>
          <cell r="AG151">
            <v>146</v>
          </cell>
          <cell r="AH151">
            <v>5.5555555555555558E-3</v>
          </cell>
          <cell r="AI151">
            <v>5.5555555555555558E-3</v>
          </cell>
          <cell r="AJ151">
            <v>5.5555555555555558E-3</v>
          </cell>
          <cell r="AK151">
            <v>5.5555555555555558E-3</v>
          </cell>
          <cell r="AL151">
            <v>5.5555555555555558E-3</v>
          </cell>
          <cell r="AO151">
            <v>1.9579050416054832E-4</v>
          </cell>
          <cell r="AP151">
            <v>146</v>
          </cell>
          <cell r="AQ151">
            <v>6.7204301075268823E-4</v>
          </cell>
          <cell r="AR151">
            <v>6.7204301075268823E-4</v>
          </cell>
          <cell r="AS151">
            <v>6.7204301075268823E-4</v>
          </cell>
          <cell r="AT151">
            <v>6.7204301075268823E-4</v>
          </cell>
          <cell r="AU151">
            <v>6.7204301075268823E-4</v>
          </cell>
          <cell r="AY151">
            <v>146</v>
          </cell>
          <cell r="AZ151">
            <v>1.1910838130291815E-8</v>
          </cell>
        </row>
        <row r="152">
          <cell r="U152">
            <v>6.970365491114527E-6</v>
          </cell>
          <cell r="V152">
            <v>6.8752621193683013E-6</v>
          </cell>
          <cell r="W152">
            <v>6.7524224315473176E-6</v>
          </cell>
          <cell r="X152">
            <v>1.0636034886194427E-5</v>
          </cell>
          <cell r="Y152">
            <v>1.058637956405289E-5</v>
          </cell>
          <cell r="Z152">
            <v>1.0488446975656315E-5</v>
          </cell>
          <cell r="AA152">
            <v>1.0344898930337451E-5</v>
          </cell>
          <cell r="AB152">
            <v>1.0159504216194249E-5</v>
          </cell>
          <cell r="AF152">
            <v>180</v>
          </cell>
          <cell r="AG152">
            <v>147</v>
          </cell>
          <cell r="AH152">
            <v>5.5555555555555558E-3</v>
          </cell>
          <cell r="AI152">
            <v>5.5555555555555558E-3</v>
          </cell>
          <cell r="AJ152">
            <v>5.5555555555555558E-3</v>
          </cell>
          <cell r="AK152">
            <v>5.5555555555555558E-3</v>
          </cell>
          <cell r="AL152">
            <v>5.5555555555555558E-3</v>
          </cell>
          <cell r="AO152">
            <v>1.9562497463591221E-4</v>
          </cell>
          <cell r="AP152">
            <v>147</v>
          </cell>
          <cell r="AQ152">
            <v>6.6844919786096253E-4</v>
          </cell>
          <cell r="AR152">
            <v>6.6844919786096253E-4</v>
          </cell>
          <cell r="AS152">
            <v>6.6844919786096253E-4</v>
          </cell>
          <cell r="AT152">
            <v>6.6844919786096253E-4</v>
          </cell>
          <cell r="AU152">
            <v>6.6844919786096253E-4</v>
          </cell>
          <cell r="AY152">
            <v>147</v>
          </cell>
          <cell r="AZ152">
            <v>1.0828034663901648E-8</v>
          </cell>
        </row>
        <row r="153">
          <cell r="U153">
            <v>6.970365491114527E-6</v>
          </cell>
          <cell r="V153">
            <v>6.8752621193683013E-6</v>
          </cell>
          <cell r="W153">
            <v>6.7524224315473176E-6</v>
          </cell>
          <cell r="X153">
            <v>1.0636034886194427E-5</v>
          </cell>
          <cell r="Y153">
            <v>1.058637956405289E-5</v>
          </cell>
          <cell r="Z153">
            <v>1.0488446975656315E-5</v>
          </cell>
          <cell r="AA153">
            <v>1.0344898930337451E-5</v>
          </cell>
          <cell r="AB153">
            <v>1.0159504216194249E-5</v>
          </cell>
          <cell r="AF153">
            <v>180</v>
          </cell>
          <cell r="AG153">
            <v>148</v>
          </cell>
          <cell r="AH153">
            <v>5.5555555555555558E-3</v>
          </cell>
          <cell r="AI153">
            <v>5.5555555555555558E-3</v>
          </cell>
          <cell r="AJ153">
            <v>5.5555555555555558E-3</v>
          </cell>
          <cell r="AK153">
            <v>5.5555555555555558E-3</v>
          </cell>
          <cell r="AL153">
            <v>5.5555555555555558E-3</v>
          </cell>
          <cell r="AO153">
            <v>1.9212295869356385E-4</v>
          </cell>
          <cell r="AP153">
            <v>148</v>
          </cell>
          <cell r="AQ153">
            <v>6.6489361702127658E-4</v>
          </cell>
          <cell r="AR153">
            <v>6.6489361702127658E-4</v>
          </cell>
          <cell r="AS153">
            <v>6.6489361702127658E-4</v>
          </cell>
          <cell r="AT153">
            <v>6.6489361702127658E-4</v>
          </cell>
          <cell r="AU153">
            <v>6.6489361702127658E-4</v>
          </cell>
          <cell r="AY153">
            <v>148</v>
          </cell>
          <cell r="AZ153">
            <v>9.8436678762742253E-9</v>
          </cell>
        </row>
        <row r="154">
          <cell r="U154">
            <v>6.970365491114527E-6</v>
          </cell>
          <cell r="V154">
            <v>6.8752621193683013E-6</v>
          </cell>
          <cell r="W154">
            <v>6.7524224315473176E-6</v>
          </cell>
          <cell r="X154">
            <v>1.0636034886194427E-5</v>
          </cell>
          <cell r="Y154">
            <v>1.058637956405289E-5</v>
          </cell>
          <cell r="Z154">
            <v>1.0488446975656315E-5</v>
          </cell>
          <cell r="AA154">
            <v>1.0344898930337451E-5</v>
          </cell>
          <cell r="AB154">
            <v>1.0159504216194249E-5</v>
          </cell>
          <cell r="AF154">
            <v>180</v>
          </cell>
          <cell r="AG154">
            <v>149</v>
          </cell>
          <cell r="AH154">
            <v>5.5555555555555558E-3</v>
          </cell>
          <cell r="AI154">
            <v>5.5555555555555558E-3</v>
          </cell>
          <cell r="AJ154">
            <v>5.5555555555555558E-3</v>
          </cell>
          <cell r="AK154">
            <v>5.5555555555555558E-3</v>
          </cell>
          <cell r="AL154">
            <v>5.5555555555555558E-3</v>
          </cell>
          <cell r="AO154">
            <v>1.9212295869356385E-4</v>
          </cell>
          <cell r="AP154">
            <v>149</v>
          </cell>
          <cell r="AQ154">
            <v>6.6137566137566134E-4</v>
          </cell>
          <cell r="AR154">
            <v>6.6137566137566134E-4</v>
          </cell>
          <cell r="AS154">
            <v>6.6137566137566134E-4</v>
          </cell>
          <cell r="AT154">
            <v>6.6137566137566134E-4</v>
          </cell>
          <cell r="AU154">
            <v>6.6137566137566134E-4</v>
          </cell>
          <cell r="AY154">
            <v>149</v>
          </cell>
          <cell r="AZ154">
            <v>8.9487889784311135E-9</v>
          </cell>
        </row>
        <row r="155">
          <cell r="U155">
            <v>6.8119310973169508E-6</v>
          </cell>
          <cell r="V155">
            <v>6.7146766043880416E-6</v>
          </cell>
          <cell r="W155">
            <v>6.5892430607034019E-6</v>
          </cell>
          <cell r="X155">
            <v>1.0400416016640667E-5</v>
          </cell>
          <cell r="Y155">
            <v>1.0349556262775234E-5</v>
          </cell>
          <cell r="Z155">
            <v>1.0249314577087659E-5</v>
          </cell>
          <cell r="AA155">
            <v>1.0102540789008437E-5</v>
          </cell>
          <cell r="AB155">
            <v>9.9132589838909529E-6</v>
          </cell>
          <cell r="AF155">
            <v>180</v>
          </cell>
          <cell r="AG155">
            <v>150</v>
          </cell>
          <cell r="AH155">
            <v>5.5555555555555558E-3</v>
          </cell>
          <cell r="AI155">
            <v>5.5555555555555558E-3</v>
          </cell>
          <cell r="AJ155">
            <v>5.5555555555555558E-3</v>
          </cell>
          <cell r="AK155">
            <v>5.5555555555555558E-3</v>
          </cell>
          <cell r="AL155">
            <v>5.5555555555555558E-3</v>
          </cell>
          <cell r="AO155">
            <v>1.8878864015660831E-4</v>
          </cell>
          <cell r="AP155">
            <v>150</v>
          </cell>
          <cell r="AQ155">
            <v>6.5789473684210525E-4</v>
          </cell>
          <cell r="AR155">
            <v>6.5789473684210525E-4</v>
          </cell>
          <cell r="AS155">
            <v>6.5789473684210525E-4</v>
          </cell>
          <cell r="AT155">
            <v>6.5789473684210525E-4</v>
          </cell>
          <cell r="AU155">
            <v>6.5789473684210525E-4</v>
          </cell>
          <cell r="AY155">
            <v>150</v>
          </cell>
          <cell r="AZ155">
            <v>8.1352627076646464E-9</v>
          </cell>
        </row>
        <row r="156">
          <cell r="U156">
            <v>6.8119310973169508E-6</v>
          </cell>
          <cell r="V156">
            <v>6.7146766043880416E-6</v>
          </cell>
          <cell r="W156">
            <v>6.5892430607034019E-6</v>
          </cell>
          <cell r="X156">
            <v>1.0400416016640667E-5</v>
          </cell>
          <cell r="Y156">
            <v>1.0349556262775234E-5</v>
          </cell>
          <cell r="Z156">
            <v>1.0249314577087659E-5</v>
          </cell>
          <cell r="AA156">
            <v>1.0102540789008437E-5</v>
          </cell>
          <cell r="AB156">
            <v>9.9132589838909529E-6</v>
          </cell>
          <cell r="AF156">
            <v>180</v>
          </cell>
          <cell r="AG156">
            <v>151</v>
          </cell>
          <cell r="AH156">
            <v>5.5555555555555558E-3</v>
          </cell>
          <cell r="AI156">
            <v>5.5555555555555558E-3</v>
          </cell>
          <cell r="AJ156">
            <v>5.5555555555555558E-3</v>
          </cell>
          <cell r="AK156">
            <v>5.5555555555555558E-3</v>
          </cell>
          <cell r="AL156">
            <v>5.5555555555555558E-3</v>
          </cell>
          <cell r="AO156">
            <v>1.8859028760018846E-4</v>
          </cell>
          <cell r="AP156">
            <v>151</v>
          </cell>
          <cell r="AQ156">
            <v>6.5445026178010475E-4</v>
          </cell>
          <cell r="AR156">
            <v>6.5445026178010475E-4</v>
          </cell>
          <cell r="AS156">
            <v>6.5445026178010475E-4</v>
          </cell>
          <cell r="AT156">
            <v>6.5445026178010475E-4</v>
          </cell>
          <cell r="AU156">
            <v>6.5445026178010475E-4</v>
          </cell>
          <cell r="AY156">
            <v>151</v>
          </cell>
          <cell r="AZ156">
            <v>7.3956933706042241E-9</v>
          </cell>
        </row>
        <row r="157">
          <cell r="U157">
            <v>6.8119310973169508E-6</v>
          </cell>
          <cell r="V157">
            <v>6.7146766043880416E-6</v>
          </cell>
          <cell r="W157">
            <v>6.5892430607034019E-6</v>
          </cell>
          <cell r="X157">
            <v>1.0400416016640667E-5</v>
          </cell>
          <cell r="Y157">
            <v>1.0349556262775234E-5</v>
          </cell>
          <cell r="Z157">
            <v>1.0249314577087659E-5</v>
          </cell>
          <cell r="AA157">
            <v>1.0102540789008437E-5</v>
          </cell>
          <cell r="AB157">
            <v>9.9132589838909529E-6</v>
          </cell>
          <cell r="AF157">
            <v>180</v>
          </cell>
          <cell r="AG157">
            <v>152</v>
          </cell>
          <cell r="AH157">
            <v>5.5555555555555558E-3</v>
          </cell>
          <cell r="AI157">
            <v>5.5555555555555558E-3</v>
          </cell>
          <cell r="AJ157">
            <v>5.5555555555555558E-3</v>
          </cell>
          <cell r="AK157">
            <v>5.5555555555555558E-3</v>
          </cell>
          <cell r="AL157">
            <v>5.5555555555555558E-3</v>
          </cell>
          <cell r="AO157">
            <v>1.8570705250781452E-4</v>
          </cell>
          <cell r="AP157">
            <v>152</v>
          </cell>
          <cell r="AQ157">
            <v>6.5104166666666663E-4</v>
          </cell>
          <cell r="AR157">
            <v>6.5104166666666663E-4</v>
          </cell>
          <cell r="AS157">
            <v>6.5104166666666663E-4</v>
          </cell>
          <cell r="AT157">
            <v>6.5104166666666663E-4</v>
          </cell>
          <cell r="AU157">
            <v>6.5104166666666663E-4</v>
          </cell>
          <cell r="AY157">
            <v>152</v>
          </cell>
          <cell r="AZ157">
            <v>6.7233576096402026E-9</v>
          </cell>
        </row>
        <row r="158">
          <cell r="U158">
            <v>6.8119310973169508E-6</v>
          </cell>
          <cell r="V158">
            <v>6.7146766043880416E-6</v>
          </cell>
          <cell r="W158">
            <v>6.5892430607034019E-6</v>
          </cell>
          <cell r="X158">
            <v>1.0400416016640667E-5</v>
          </cell>
          <cell r="Y158">
            <v>1.0349556262775234E-5</v>
          </cell>
          <cell r="Z158">
            <v>1.0249314577087659E-5</v>
          </cell>
          <cell r="AA158">
            <v>1.0102540789008437E-5</v>
          </cell>
          <cell r="AB158">
            <v>9.9132589838909529E-6</v>
          </cell>
          <cell r="AF158">
            <v>180</v>
          </cell>
          <cell r="AG158">
            <v>153</v>
          </cell>
          <cell r="AH158">
            <v>5.5555555555555558E-3</v>
          </cell>
          <cell r="AI158">
            <v>5.5555555555555558E-3</v>
          </cell>
          <cell r="AJ158">
            <v>5.5555555555555558E-3</v>
          </cell>
          <cell r="AK158">
            <v>5.5555555555555558E-3</v>
          </cell>
          <cell r="AL158">
            <v>5.5555555555555558E-3</v>
          </cell>
          <cell r="AO158">
            <v>1.8518518518518518E-4</v>
          </cell>
          <cell r="AP158">
            <v>153</v>
          </cell>
          <cell r="AQ158">
            <v>6.4766839378238344E-4</v>
          </cell>
          <cell r="AR158">
            <v>6.4766839378238344E-4</v>
          </cell>
          <cell r="AS158">
            <v>6.4766839378238344E-4</v>
          </cell>
          <cell r="AT158">
            <v>6.4766839378238344E-4</v>
          </cell>
          <cell r="AU158">
            <v>6.4766839378238344E-4</v>
          </cell>
          <cell r="AY158">
            <v>153</v>
          </cell>
          <cell r="AZ158">
            <v>6.1121432814910924E-9</v>
          </cell>
        </row>
        <row r="159">
          <cell r="U159">
            <v>6.8119310973169508E-6</v>
          </cell>
          <cell r="V159">
            <v>6.7146766043880416E-6</v>
          </cell>
          <cell r="W159">
            <v>6.5892430607034019E-6</v>
          </cell>
          <cell r="X159">
            <v>1.0400416016640667E-5</v>
          </cell>
          <cell r="Y159">
            <v>1.0349556262775234E-5</v>
          </cell>
          <cell r="Z159">
            <v>1.0249314577087659E-5</v>
          </cell>
          <cell r="AA159">
            <v>1.0102540789008437E-5</v>
          </cell>
          <cell r="AB159">
            <v>9.9132589838909529E-6</v>
          </cell>
          <cell r="AF159">
            <v>180</v>
          </cell>
          <cell r="AG159">
            <v>154</v>
          </cell>
          <cell r="AH159">
            <v>5.5555555555555558E-3</v>
          </cell>
          <cell r="AI159">
            <v>5.5555555555555558E-3</v>
          </cell>
          <cell r="AJ159">
            <v>5.5555555555555558E-3</v>
          </cell>
          <cell r="AK159">
            <v>5.5555555555555558E-3</v>
          </cell>
          <cell r="AL159">
            <v>5.5555555555555558E-3</v>
          </cell>
          <cell r="AO159">
            <v>1.8272445921100434E-4</v>
          </cell>
          <cell r="AP159">
            <v>154</v>
          </cell>
          <cell r="AQ159">
            <v>6.4432989690721648E-4</v>
          </cell>
          <cell r="AR159">
            <v>6.4432989690721648E-4</v>
          </cell>
          <cell r="AS159">
            <v>6.4432989690721648E-4</v>
          </cell>
          <cell r="AT159">
            <v>6.4432989690721648E-4</v>
          </cell>
          <cell r="AU159">
            <v>6.4432989690721648E-4</v>
          </cell>
          <cell r="AY159">
            <v>154</v>
          </cell>
          <cell r="AZ159">
            <v>5.5564938922646285E-9</v>
          </cell>
        </row>
        <row r="160">
          <cell r="U160">
            <v>6.8119310973169508E-6</v>
          </cell>
          <cell r="V160">
            <v>6.7146766043880416E-6</v>
          </cell>
          <cell r="W160">
            <v>6.5892430607034019E-6</v>
          </cell>
          <cell r="X160">
            <v>1.0400416016640667E-5</v>
          </cell>
          <cell r="Y160">
            <v>1.0349556262775234E-5</v>
          </cell>
          <cell r="Z160">
            <v>1.0249314577087659E-5</v>
          </cell>
          <cell r="AA160">
            <v>1.0102540789008437E-5</v>
          </cell>
          <cell r="AB160">
            <v>9.9132589838909529E-6</v>
          </cell>
          <cell r="AF160">
            <v>180</v>
          </cell>
          <cell r="AG160">
            <v>155</v>
          </cell>
          <cell r="AH160">
            <v>5.5555555555555558E-3</v>
          </cell>
          <cell r="AI160">
            <v>5.5555555555555558E-3</v>
          </cell>
          <cell r="AJ160">
            <v>5.5555555555555558E-3</v>
          </cell>
          <cell r="AK160">
            <v>5.5555555555555558E-3</v>
          </cell>
          <cell r="AL160">
            <v>5.5555555555555558E-3</v>
          </cell>
          <cell r="AO160">
            <v>1.8190086402910432E-4</v>
          </cell>
          <cell r="AP160">
            <v>155</v>
          </cell>
          <cell r="AQ160">
            <v>6.4102564102564103E-4</v>
          </cell>
          <cell r="AR160">
            <v>6.4102564102564103E-4</v>
          </cell>
          <cell r="AS160">
            <v>6.4102564102564103E-4</v>
          </cell>
          <cell r="AT160">
            <v>6.4102564102564103E-4</v>
          </cell>
          <cell r="AU160">
            <v>6.4102564102564103E-4</v>
          </cell>
          <cell r="AY160">
            <v>155</v>
          </cell>
          <cell r="AZ160">
            <v>5.0513580838769347E-9</v>
          </cell>
        </row>
        <row r="161">
          <cell r="U161">
            <v>6.8119310973169508E-6</v>
          </cell>
          <cell r="V161">
            <v>6.7146766043880416E-6</v>
          </cell>
          <cell r="W161">
            <v>6.5892430607034019E-6</v>
          </cell>
          <cell r="X161">
            <v>1.0400416016640667E-5</v>
          </cell>
          <cell r="Y161">
            <v>1.0349556262775234E-5</v>
          </cell>
          <cell r="Z161">
            <v>1.0249314577087659E-5</v>
          </cell>
          <cell r="AA161">
            <v>1.0102540789008437E-5</v>
          </cell>
          <cell r="AB161">
            <v>9.9132589838909529E-6</v>
          </cell>
          <cell r="AF161">
            <v>180</v>
          </cell>
          <cell r="AG161">
            <v>156</v>
          </cell>
          <cell r="AH161">
            <v>5.5555555555555558E-3</v>
          </cell>
          <cell r="AI161">
            <v>5.5555555555555558E-3</v>
          </cell>
          <cell r="AJ161">
            <v>5.5555555555555558E-3</v>
          </cell>
          <cell r="AK161">
            <v>5.5555555555555558E-3</v>
          </cell>
          <cell r="AL161">
            <v>5.5555555555555558E-3</v>
          </cell>
          <cell r="AO161">
            <v>5.1581427190181179E-4</v>
          </cell>
          <cell r="AP161">
            <v>156</v>
          </cell>
          <cell r="AQ161">
            <v>6.3775510204081628E-4</v>
          </cell>
          <cell r="AR161">
            <v>6.3775510204081628E-4</v>
          </cell>
          <cell r="AS161">
            <v>6.3775510204081628E-4</v>
          </cell>
          <cell r="AT161">
            <v>6.3775510204081628E-4</v>
          </cell>
          <cell r="AU161">
            <v>6.3775510204081628E-4</v>
          </cell>
          <cell r="AY161">
            <v>156</v>
          </cell>
          <cell r="AZ161">
            <v>4.5921437126153946E-9</v>
          </cell>
        </row>
        <row r="162">
          <cell r="U162">
            <v>6.8119310973169508E-6</v>
          </cell>
          <cell r="V162">
            <v>6.7146766043880416E-6</v>
          </cell>
          <cell r="W162">
            <v>6.5892430607034019E-6</v>
          </cell>
          <cell r="X162">
            <v>1.0400416016640667E-5</v>
          </cell>
          <cell r="Y162">
            <v>1.0349556262775234E-5</v>
          </cell>
          <cell r="Z162">
            <v>1.0249314577087659E-5</v>
          </cell>
          <cell r="AA162">
            <v>1.0102540789008437E-5</v>
          </cell>
          <cell r="AB162">
            <v>9.9132589838909529E-6</v>
          </cell>
          <cell r="AF162">
            <v>180</v>
          </cell>
          <cell r="AG162">
            <v>157</v>
          </cell>
          <cell r="AH162">
            <v>5.5555555555555558E-3</v>
          </cell>
          <cell r="AI162">
            <v>5.5555555555555558E-3</v>
          </cell>
          <cell r="AJ162">
            <v>5.5555555555555558E-3</v>
          </cell>
          <cell r="AK162">
            <v>5.5555555555555558E-3</v>
          </cell>
          <cell r="AL162">
            <v>5.5555555555555558E-3</v>
          </cell>
          <cell r="AO162">
            <v>6.3775510204081628E-4</v>
          </cell>
          <cell r="AP162">
            <v>157</v>
          </cell>
          <cell r="AQ162">
            <v>6.3451776649746188E-4</v>
          </cell>
          <cell r="AR162">
            <v>6.3451776649746188E-4</v>
          </cell>
          <cell r="AS162">
            <v>6.3451776649746188E-4</v>
          </cell>
          <cell r="AT162">
            <v>6.3451776649746188E-4</v>
          </cell>
          <cell r="AU162">
            <v>6.3451776649746188E-4</v>
          </cell>
          <cell r="AY162">
            <v>157</v>
          </cell>
          <cell r="AZ162">
            <v>4.1746761023776317E-9</v>
          </cell>
        </row>
        <row r="163">
          <cell r="U163">
            <v>6.8119310973169508E-6</v>
          </cell>
          <cell r="V163">
            <v>6.7146766043880416E-6</v>
          </cell>
          <cell r="W163">
            <v>6.5892430607034019E-6</v>
          </cell>
          <cell r="X163">
            <v>1.0400416016640667E-5</v>
          </cell>
          <cell r="Y163">
            <v>1.0349556262775234E-5</v>
          </cell>
          <cell r="Z163">
            <v>1.0249314577087659E-5</v>
          </cell>
          <cell r="AA163">
            <v>1.0102540789008437E-5</v>
          </cell>
          <cell r="AB163">
            <v>9.9132589838909529E-6</v>
          </cell>
          <cell r="AF163">
            <v>180</v>
          </cell>
          <cell r="AG163">
            <v>158</v>
          </cell>
          <cell r="AH163">
            <v>5.5555555555555558E-3</v>
          </cell>
          <cell r="AI163">
            <v>5.5555555555555558E-3</v>
          </cell>
          <cell r="AJ163">
            <v>5.5555555555555558E-3</v>
          </cell>
          <cell r="AK163">
            <v>5.5555555555555558E-3</v>
          </cell>
          <cell r="AL163">
            <v>5.5555555555555558E-3</v>
          </cell>
          <cell r="AO163">
            <v>6.3451776649746188E-4</v>
          </cell>
          <cell r="AP163">
            <v>158</v>
          </cell>
          <cell r="AQ163">
            <v>6.3131313131313137E-4</v>
          </cell>
          <cell r="AR163">
            <v>6.3131313131313137E-4</v>
          </cell>
          <cell r="AS163">
            <v>6.3131313131313137E-4</v>
          </cell>
          <cell r="AT163">
            <v>6.3131313131313137E-4</v>
          </cell>
          <cell r="AU163">
            <v>6.3131313131313137E-4</v>
          </cell>
          <cell r="AY163">
            <v>158</v>
          </cell>
          <cell r="AZ163">
            <v>3.795160093070574E-9</v>
          </cell>
        </row>
        <row r="164">
          <cell r="U164">
            <v>6.8119310973169508E-6</v>
          </cell>
          <cell r="V164">
            <v>6.7146766043880416E-6</v>
          </cell>
          <cell r="W164">
            <v>6.5892430607034019E-6</v>
          </cell>
          <cell r="X164">
            <v>1.0400416016640667E-5</v>
          </cell>
          <cell r="Y164">
            <v>1.0349556262775234E-5</v>
          </cell>
          <cell r="Z164">
            <v>1.0249314577087659E-5</v>
          </cell>
          <cell r="AA164">
            <v>1.0102540789008437E-5</v>
          </cell>
          <cell r="AB164">
            <v>9.9132589838909529E-6</v>
          </cell>
          <cell r="AF164">
            <v>180</v>
          </cell>
          <cell r="AG164">
            <v>159</v>
          </cell>
          <cell r="AH164">
            <v>5.5555555555555558E-3</v>
          </cell>
          <cell r="AI164">
            <v>5.5555555555555558E-3</v>
          </cell>
          <cell r="AJ164">
            <v>5.5555555555555558E-3</v>
          </cell>
          <cell r="AK164">
            <v>5.5555555555555558E-3</v>
          </cell>
          <cell r="AL164">
            <v>5.5555555555555558E-3</v>
          </cell>
          <cell r="AO164">
            <v>6.3131313131313137E-4</v>
          </cell>
          <cell r="AP164">
            <v>159</v>
          </cell>
          <cell r="AQ164">
            <v>6.2814070351758795E-4</v>
          </cell>
          <cell r="AR164">
            <v>6.2814070351758795E-4</v>
          </cell>
          <cell r="AS164">
            <v>6.2814070351758795E-4</v>
          </cell>
          <cell r="AT164">
            <v>6.2814070351758795E-4</v>
          </cell>
          <cell r="AU164">
            <v>6.2814070351758795E-4</v>
          </cell>
          <cell r="AY164">
            <v>159</v>
          </cell>
          <cell r="AZ164">
            <v>3.450145539155067E-9</v>
          </cell>
        </row>
        <row r="165">
          <cell r="U165">
            <v>6.8119310973169508E-6</v>
          </cell>
          <cell r="V165">
            <v>6.7146766043880416E-6</v>
          </cell>
          <cell r="W165">
            <v>6.5892430607034019E-6</v>
          </cell>
          <cell r="X165">
            <v>1.0400416016640667E-5</v>
          </cell>
          <cell r="Y165">
            <v>1.0349556262775234E-5</v>
          </cell>
          <cell r="Z165">
            <v>1.0249314577087659E-5</v>
          </cell>
          <cell r="AA165">
            <v>1.0102540789008437E-5</v>
          </cell>
          <cell r="AB165">
            <v>9.9132589838909529E-6</v>
          </cell>
          <cell r="AF165">
            <v>180</v>
          </cell>
          <cell r="AG165">
            <v>160</v>
          </cell>
          <cell r="AH165">
            <v>5.5555555555555558E-3</v>
          </cell>
          <cell r="AI165">
            <v>5.5555555555555558E-3</v>
          </cell>
          <cell r="AJ165">
            <v>5.5555555555555558E-3</v>
          </cell>
          <cell r="AK165">
            <v>5.5555555555555558E-3</v>
          </cell>
          <cell r="AL165">
            <v>5.5555555555555558E-3</v>
          </cell>
          <cell r="AO165">
            <v>6.2814070351758795E-4</v>
          </cell>
          <cell r="AP165">
            <v>160</v>
          </cell>
          <cell r="AQ165">
            <v>6.2500000000000001E-4</v>
          </cell>
          <cell r="AR165">
            <v>6.2500000000000001E-4</v>
          </cell>
          <cell r="AS165">
            <v>6.2500000000000001E-4</v>
          </cell>
          <cell r="AT165">
            <v>6.2500000000000001E-4</v>
          </cell>
          <cell r="AU165">
            <v>6.2500000000000001E-4</v>
          </cell>
          <cell r="AY165">
            <v>160</v>
          </cell>
          <cell r="AZ165">
            <v>3.1364959446864238E-9</v>
          </cell>
        </row>
      </sheetData>
      <sheetData sheetId="12"/>
      <sheetData sheetId="13"/>
      <sheetData sheetId="14">
        <row r="5">
          <cell r="BF5">
            <v>22716</v>
          </cell>
          <cell r="BG5">
            <v>22782</v>
          </cell>
          <cell r="BH5">
            <v>22866</v>
          </cell>
          <cell r="BI5">
            <v>22956</v>
          </cell>
          <cell r="BJ5">
            <v>23034</v>
          </cell>
        </row>
        <row r="6">
          <cell r="BF6">
            <v>27276</v>
          </cell>
          <cell r="BG6">
            <v>27450</v>
          </cell>
          <cell r="BH6">
            <v>27714</v>
          </cell>
          <cell r="BI6">
            <v>28086</v>
          </cell>
          <cell r="BJ6">
            <v>28314</v>
          </cell>
        </row>
        <row r="7">
          <cell r="BF7">
            <v>31857</v>
          </cell>
          <cell r="BG7">
            <v>32166</v>
          </cell>
          <cell r="BH7">
            <v>32676</v>
          </cell>
          <cell r="BI7">
            <v>33426</v>
          </cell>
          <cell r="BJ7">
            <v>33876</v>
          </cell>
        </row>
        <row r="8">
          <cell r="BF8">
            <v>42955.5</v>
          </cell>
          <cell r="BG8">
            <v>43515.5</v>
          </cell>
          <cell r="BH8">
            <v>44464</v>
          </cell>
          <cell r="BI8">
            <v>45860.5</v>
          </cell>
          <cell r="BJ8">
            <v>46704</v>
          </cell>
        </row>
        <row r="9">
          <cell r="BF9">
            <v>56256</v>
          </cell>
          <cell r="BG9">
            <v>57168</v>
          </cell>
          <cell r="BH9">
            <v>58724</v>
          </cell>
          <cell r="BI9">
            <v>61028</v>
          </cell>
          <cell r="BJ9">
            <v>62428</v>
          </cell>
        </row>
        <row r="10">
          <cell r="BF10">
            <v>63984</v>
          </cell>
          <cell r="BG10">
            <v>65212</v>
          </cell>
          <cell r="BH10">
            <v>67324</v>
          </cell>
          <cell r="BI10">
            <v>70456</v>
          </cell>
          <cell r="BJ10">
            <v>72368</v>
          </cell>
        </row>
        <row r="11">
          <cell r="BF11">
            <v>72304</v>
          </cell>
          <cell r="BG11">
            <v>73888</v>
          </cell>
          <cell r="BH11">
            <v>76652</v>
          </cell>
          <cell r="BI11">
            <v>80644</v>
          </cell>
          <cell r="BJ11">
            <v>82920</v>
          </cell>
        </row>
        <row r="12">
          <cell r="BF12">
            <v>81240</v>
          </cell>
          <cell r="BG12">
            <v>83092</v>
          </cell>
          <cell r="BH12">
            <v>86368</v>
          </cell>
          <cell r="BI12">
            <v>91236</v>
          </cell>
          <cell r="BJ12">
            <v>94124</v>
          </cell>
        </row>
        <row r="13">
          <cell r="BF13">
            <v>99413.6</v>
          </cell>
          <cell r="BG13">
            <v>101864.40000000001</v>
          </cell>
          <cell r="BH13">
            <v>106304</v>
          </cell>
          <cell r="BI13">
            <v>112882.00000000001</v>
          </cell>
          <cell r="BJ13">
            <v>116820</v>
          </cell>
        </row>
        <row r="14">
          <cell r="BF14">
            <v>120374.39999999999</v>
          </cell>
          <cell r="BG14">
            <v>123321.59999999999</v>
          </cell>
          <cell r="BH14">
            <v>129148.79999999999</v>
          </cell>
          <cell r="BI14">
            <v>137803.20000000001</v>
          </cell>
          <cell r="BJ14">
            <v>143035.20000000001</v>
          </cell>
        </row>
        <row r="15">
          <cell r="BF15">
            <v>139575</v>
          </cell>
          <cell r="BG15">
            <v>143025</v>
          </cell>
          <cell r="BH15">
            <v>149780</v>
          </cell>
          <cell r="BI15">
            <v>160330</v>
          </cell>
          <cell r="BJ15">
            <v>166520</v>
          </cell>
        </row>
        <row r="16">
          <cell r="BF16">
            <v>151330</v>
          </cell>
          <cell r="BG16">
            <v>155545</v>
          </cell>
          <cell r="BH16">
            <v>162445</v>
          </cell>
          <cell r="BI16">
            <v>174130</v>
          </cell>
          <cell r="BJ16">
            <v>181420</v>
          </cell>
        </row>
        <row r="17">
          <cell r="BF17">
            <v>163705</v>
          </cell>
          <cell r="BG17">
            <v>168275</v>
          </cell>
          <cell r="BH17">
            <v>176240</v>
          </cell>
          <cell r="BI17">
            <v>188405</v>
          </cell>
          <cell r="BJ17">
            <v>196955</v>
          </cell>
        </row>
        <row r="18">
          <cell r="BF18">
            <v>176565</v>
          </cell>
          <cell r="BG18">
            <v>181520</v>
          </cell>
          <cell r="BH18">
            <v>189810</v>
          </cell>
          <cell r="BI18">
            <v>203045</v>
          </cell>
          <cell r="BJ18">
            <v>212530</v>
          </cell>
        </row>
        <row r="19">
          <cell r="BF19">
            <v>189950</v>
          </cell>
          <cell r="BG19">
            <v>195240</v>
          </cell>
          <cell r="BH19">
            <v>204085</v>
          </cell>
          <cell r="BI19">
            <v>218170</v>
          </cell>
          <cell r="BJ19">
            <v>231020</v>
          </cell>
        </row>
        <row r="20">
          <cell r="BF20">
            <v>216102.2</v>
          </cell>
          <cell r="BG20">
            <v>222075.3</v>
          </cell>
          <cell r="BH20">
            <v>231890.9</v>
          </cell>
          <cell r="BI20">
            <v>250811.9</v>
          </cell>
          <cell r="BJ20">
            <v>263913.5</v>
          </cell>
        </row>
        <row r="21">
          <cell r="BF21">
            <v>244456.8</v>
          </cell>
          <cell r="BG21">
            <v>251115.19999999998</v>
          </cell>
          <cell r="BH21">
            <v>263855.19999999995</v>
          </cell>
          <cell r="BI21">
            <v>283981.59999999998</v>
          </cell>
          <cell r="BJ21">
            <v>299112.8</v>
          </cell>
        </row>
        <row r="22">
          <cell r="BF22">
            <v>275282.2</v>
          </cell>
          <cell r="BG22">
            <v>284138.09999999998</v>
          </cell>
          <cell r="BH22">
            <v>297596</v>
          </cell>
          <cell r="BI22">
            <v>320216.59999999998</v>
          </cell>
          <cell r="BJ22">
            <v>337627.5</v>
          </cell>
        </row>
        <row r="23">
          <cell r="BF23">
            <v>300102</v>
          </cell>
          <cell r="BG23">
            <v>308550</v>
          </cell>
          <cell r="BH23">
            <v>323226</v>
          </cell>
          <cell r="BI23">
            <v>347550</v>
          </cell>
          <cell r="BJ23">
            <v>366954</v>
          </cell>
        </row>
        <row r="24">
          <cell r="BF24">
            <v>320136</v>
          </cell>
          <cell r="BG24">
            <v>328038</v>
          </cell>
          <cell r="BH24">
            <v>343860</v>
          </cell>
          <cell r="BI24">
            <v>368832</v>
          </cell>
          <cell r="BJ24">
            <v>389466</v>
          </cell>
        </row>
        <row r="25">
          <cell r="BF25">
            <v>340218</v>
          </cell>
          <cell r="BG25">
            <v>348960</v>
          </cell>
          <cell r="BH25">
            <v>366348</v>
          </cell>
          <cell r="BI25">
            <v>393216</v>
          </cell>
          <cell r="BJ25">
            <v>415788</v>
          </cell>
        </row>
        <row r="26">
          <cell r="BF26">
            <v>360942</v>
          </cell>
          <cell r="BG26">
            <v>370518</v>
          </cell>
          <cell r="BH26">
            <v>389370</v>
          </cell>
          <cell r="BI26">
            <v>418140</v>
          </cell>
          <cell r="BJ26">
            <v>444690</v>
          </cell>
        </row>
        <row r="27">
          <cell r="BF27">
            <v>382134</v>
          </cell>
          <cell r="BG27">
            <v>392688</v>
          </cell>
          <cell r="BH27">
            <v>412656</v>
          </cell>
          <cell r="BI27">
            <v>443994</v>
          </cell>
          <cell r="BJ27">
            <v>473790</v>
          </cell>
        </row>
        <row r="28">
          <cell r="BF28">
            <v>403752</v>
          </cell>
          <cell r="BG28">
            <v>415230</v>
          </cell>
          <cell r="BH28">
            <v>436914</v>
          </cell>
          <cell r="BI28">
            <v>471630</v>
          </cell>
          <cell r="BJ28">
            <v>504396</v>
          </cell>
        </row>
        <row r="29">
          <cell r="BF29">
            <v>425748</v>
          </cell>
          <cell r="BG29">
            <v>438384</v>
          </cell>
          <cell r="BH29">
            <v>462456</v>
          </cell>
          <cell r="BI29">
            <v>500430</v>
          </cell>
          <cell r="BJ29">
            <v>535614</v>
          </cell>
        </row>
        <row r="30">
          <cell r="BF30">
            <v>448344</v>
          </cell>
          <cell r="BG30">
            <v>462828</v>
          </cell>
          <cell r="BH30">
            <v>489168</v>
          </cell>
          <cell r="BI30">
            <v>529776</v>
          </cell>
          <cell r="BJ30">
            <v>568140</v>
          </cell>
        </row>
        <row r="31">
          <cell r="BF31">
            <v>472098</v>
          </cell>
          <cell r="BG31">
            <v>488496</v>
          </cell>
          <cell r="BH31">
            <v>516582</v>
          </cell>
          <cell r="BI31">
            <v>560268</v>
          </cell>
          <cell r="BJ31">
            <v>601572</v>
          </cell>
        </row>
        <row r="32">
          <cell r="BF32">
            <v>497016</v>
          </cell>
          <cell r="BG32">
            <v>516204</v>
          </cell>
          <cell r="BH32">
            <v>547308</v>
          </cell>
          <cell r="BI32">
            <v>602190</v>
          </cell>
          <cell r="BJ32">
            <v>651012</v>
          </cell>
        </row>
        <row r="33">
          <cell r="BF33">
            <v>526374</v>
          </cell>
          <cell r="BG33">
            <v>549714</v>
          </cell>
          <cell r="BH33">
            <v>588126</v>
          </cell>
          <cell r="BI33">
            <v>651858</v>
          </cell>
          <cell r="BJ33">
            <v>705498</v>
          </cell>
        </row>
        <row r="34">
          <cell r="BF34">
            <v>556782</v>
          </cell>
          <cell r="BG34">
            <v>584490</v>
          </cell>
          <cell r="BH34">
            <v>630630</v>
          </cell>
          <cell r="BI34">
            <v>703770</v>
          </cell>
          <cell r="BJ34">
            <v>763236</v>
          </cell>
        </row>
        <row r="35">
          <cell r="BF35">
            <v>593082</v>
          </cell>
          <cell r="BG35">
            <v>625512</v>
          </cell>
          <cell r="BH35">
            <v>680424</v>
          </cell>
          <cell r="BI35">
            <v>764400</v>
          </cell>
          <cell r="BJ35">
            <v>829824</v>
          </cell>
        </row>
        <row r="36">
          <cell r="BF36">
            <v>630618</v>
          </cell>
          <cell r="BG36">
            <v>668484</v>
          </cell>
          <cell r="BH36">
            <v>732672</v>
          </cell>
          <cell r="BI36">
            <v>828552</v>
          </cell>
          <cell r="BJ36">
            <v>900492</v>
          </cell>
        </row>
        <row r="37">
          <cell r="BF37">
            <v>669864</v>
          </cell>
          <cell r="BG37">
            <v>712956</v>
          </cell>
          <cell r="BH37">
            <v>787848</v>
          </cell>
          <cell r="BI37">
            <v>896214</v>
          </cell>
          <cell r="BJ37">
            <v>974514</v>
          </cell>
        </row>
        <row r="38">
          <cell r="BF38">
            <v>710406</v>
          </cell>
          <cell r="BG38">
            <v>760146</v>
          </cell>
          <cell r="BH38">
            <v>845724</v>
          </cell>
          <cell r="BI38">
            <v>963042</v>
          </cell>
          <cell r="BJ38">
            <v>1043610</v>
          </cell>
        </row>
        <row r="39">
          <cell r="BF39">
            <v>756708</v>
          </cell>
          <cell r="BG39">
            <v>810648</v>
          </cell>
          <cell r="BH39">
            <v>898578</v>
          </cell>
          <cell r="BI39">
            <v>1023120</v>
          </cell>
          <cell r="BJ39">
            <v>1108788</v>
          </cell>
        </row>
        <row r="40">
          <cell r="BF40">
            <v>810294</v>
          </cell>
          <cell r="BG40">
            <v>864180</v>
          </cell>
          <cell r="BH40">
            <v>950784</v>
          </cell>
          <cell r="BI40">
            <v>1085424</v>
          </cell>
          <cell r="BJ40">
            <v>1175982</v>
          </cell>
        </row>
        <row r="41">
          <cell r="BF41">
            <v>866298</v>
          </cell>
          <cell r="BG41">
            <v>919602</v>
          </cell>
          <cell r="BH41">
            <v>1004988</v>
          </cell>
          <cell r="BI41">
            <v>1149348</v>
          </cell>
          <cell r="BJ41">
            <v>1245846</v>
          </cell>
        </row>
        <row r="42">
          <cell r="BF42">
            <v>924600</v>
          </cell>
          <cell r="BG42">
            <v>977262</v>
          </cell>
          <cell r="BH42">
            <v>1060746</v>
          </cell>
          <cell r="BI42">
            <v>1215882</v>
          </cell>
          <cell r="BJ42">
            <v>1318008</v>
          </cell>
        </row>
        <row r="43">
          <cell r="BF43">
            <v>985470</v>
          </cell>
          <cell r="BG43">
            <v>1036968</v>
          </cell>
          <cell r="BH43">
            <v>1118580</v>
          </cell>
          <cell r="BI43">
            <v>1284486</v>
          </cell>
          <cell r="BJ43">
            <v>1393284</v>
          </cell>
        </row>
        <row r="44">
          <cell r="BF44">
            <v>1049100</v>
          </cell>
          <cell r="BG44">
            <v>1095396</v>
          </cell>
          <cell r="BH44">
            <v>1177734</v>
          </cell>
          <cell r="BI44">
            <v>1357020</v>
          </cell>
          <cell r="BJ44">
            <v>1472544</v>
          </cell>
        </row>
        <row r="45">
          <cell r="BF45">
            <v>1094052</v>
          </cell>
          <cell r="BG45">
            <v>1140186</v>
          </cell>
          <cell r="BH45">
            <v>1228284</v>
          </cell>
          <cell r="BI45">
            <v>1421778</v>
          </cell>
          <cell r="BJ45">
            <v>1544616</v>
          </cell>
        </row>
        <row r="46">
          <cell r="BF46">
            <v>1140696</v>
          </cell>
          <cell r="BG46">
            <v>1186374</v>
          </cell>
          <cell r="BH46">
            <v>1280298</v>
          </cell>
          <cell r="BI46">
            <v>1489464</v>
          </cell>
          <cell r="BJ46">
            <v>1618332</v>
          </cell>
        </row>
        <row r="47">
          <cell r="BF47">
            <v>1188312</v>
          </cell>
          <cell r="BG47">
            <v>1236078</v>
          </cell>
          <cell r="BH47">
            <v>1333440</v>
          </cell>
          <cell r="BI47">
            <v>1559238</v>
          </cell>
          <cell r="BJ47">
            <v>1695978</v>
          </cell>
        </row>
        <row r="48">
          <cell r="BF48">
            <v>1238298</v>
          </cell>
          <cell r="BG48">
            <v>1287846</v>
          </cell>
          <cell r="BH48">
            <v>1390134</v>
          </cell>
          <cell r="BI48">
            <v>1633878</v>
          </cell>
          <cell r="BJ48">
            <v>1774320</v>
          </cell>
        </row>
        <row r="49">
          <cell r="BF49">
            <v>1289202</v>
          </cell>
          <cell r="BG49">
            <v>1342668</v>
          </cell>
          <cell r="BH49">
            <v>1451298</v>
          </cell>
          <cell r="BI49">
            <v>1709832</v>
          </cell>
          <cell r="BJ49">
            <v>1854648</v>
          </cell>
        </row>
        <row r="50">
          <cell r="BF50">
            <v>1342164</v>
          </cell>
          <cell r="BG50">
            <v>1399230</v>
          </cell>
          <cell r="BH50">
            <v>1516614</v>
          </cell>
          <cell r="BI50">
            <v>1784754</v>
          </cell>
          <cell r="BJ50">
            <v>1936656</v>
          </cell>
        </row>
        <row r="51">
          <cell r="BF51">
            <v>1396848</v>
          </cell>
          <cell r="BG51">
            <v>1457616</v>
          </cell>
          <cell r="BH51">
            <v>1581354</v>
          </cell>
          <cell r="BI51">
            <v>1862010</v>
          </cell>
          <cell r="BJ51">
            <v>2021106</v>
          </cell>
        </row>
        <row r="52">
          <cell r="BF52">
            <v>1453716</v>
          </cell>
          <cell r="BG52">
            <v>1516644</v>
          </cell>
          <cell r="BH52">
            <v>1647492</v>
          </cell>
          <cell r="BI52">
            <v>1940562</v>
          </cell>
          <cell r="BJ52">
            <v>2108280</v>
          </cell>
        </row>
        <row r="53">
          <cell r="BF53">
            <v>1512072</v>
          </cell>
          <cell r="BG53">
            <v>1575648</v>
          </cell>
          <cell r="BH53">
            <v>1714980</v>
          </cell>
          <cell r="BI53">
            <v>2047788</v>
          </cell>
          <cell r="BJ53">
            <v>2197350</v>
          </cell>
        </row>
        <row r="54">
          <cell r="BF54">
            <v>1572492</v>
          </cell>
          <cell r="BG54">
            <v>1642182</v>
          </cell>
          <cell r="BH54">
            <v>1827534</v>
          </cell>
          <cell r="BI54">
            <v>2132826</v>
          </cell>
          <cell r="BJ54">
            <v>2289162</v>
          </cell>
        </row>
        <row r="55">
          <cell r="BF55">
            <v>1657446</v>
          </cell>
          <cell r="BG55">
            <v>1730064</v>
          </cell>
          <cell r="BH55">
            <v>1975692</v>
          </cell>
          <cell r="BI55">
            <v>2253024</v>
          </cell>
          <cell r="BJ55">
            <v>2425980</v>
          </cell>
        </row>
        <row r="56">
          <cell r="BF56">
            <v>1744656</v>
          </cell>
          <cell r="BG56">
            <v>1823052</v>
          </cell>
          <cell r="BH56">
            <v>2129112</v>
          </cell>
          <cell r="BI56">
            <v>2377938</v>
          </cell>
          <cell r="BJ56">
            <v>2568096</v>
          </cell>
        </row>
        <row r="57">
          <cell r="BF57">
            <v>1835064</v>
          </cell>
          <cell r="BG57">
            <v>1919556</v>
          </cell>
          <cell r="BH57">
            <v>2288376</v>
          </cell>
          <cell r="BI57">
            <v>2509338</v>
          </cell>
          <cell r="BJ57">
            <v>2714076</v>
          </cell>
        </row>
        <row r="58">
          <cell r="BF58">
            <v>1930578</v>
          </cell>
          <cell r="BG58">
            <v>2023896</v>
          </cell>
          <cell r="BH58">
            <v>2387496</v>
          </cell>
          <cell r="BI58">
            <v>2655384</v>
          </cell>
          <cell r="BJ58">
            <v>2863866</v>
          </cell>
        </row>
        <row r="59">
          <cell r="BF59">
            <v>2032668</v>
          </cell>
          <cell r="BG59">
            <v>2132664</v>
          </cell>
          <cell r="BH59">
            <v>2474268</v>
          </cell>
          <cell r="BI59">
            <v>2806188</v>
          </cell>
          <cell r="BJ59">
            <v>3019692</v>
          </cell>
        </row>
        <row r="60">
          <cell r="BF60">
            <v>2140152</v>
          </cell>
          <cell r="BG60">
            <v>2244600</v>
          </cell>
          <cell r="BH60">
            <v>2563104</v>
          </cell>
          <cell r="BI60">
            <v>2962128</v>
          </cell>
          <cell r="BJ60">
            <v>3180276</v>
          </cell>
        </row>
        <row r="61">
          <cell r="BF61">
            <v>2251128</v>
          </cell>
          <cell r="BG61">
            <v>2360580</v>
          </cell>
          <cell r="BH61">
            <v>2654628</v>
          </cell>
          <cell r="BI61">
            <v>3123636</v>
          </cell>
          <cell r="BJ61">
            <v>3677058</v>
          </cell>
        </row>
        <row r="62">
          <cell r="BF62">
            <v>2366166</v>
          </cell>
          <cell r="BG62">
            <v>2479410</v>
          </cell>
          <cell r="BH62">
            <v>2749380</v>
          </cell>
          <cell r="BI62">
            <v>3292596</v>
          </cell>
          <cell r="BJ62">
            <v>4019490</v>
          </cell>
        </row>
        <row r="63">
          <cell r="BF63">
            <v>2484480</v>
          </cell>
          <cell r="BG63">
            <v>2602194</v>
          </cell>
          <cell r="BH63">
            <v>2847624</v>
          </cell>
          <cell r="BI63">
            <v>3833340</v>
          </cell>
          <cell r="BJ63">
            <v>4279656</v>
          </cell>
        </row>
        <row r="64">
          <cell r="BF64">
            <v>2627670</v>
          </cell>
          <cell r="BG64">
            <v>2783250</v>
          </cell>
          <cell r="BH64">
            <v>3381930</v>
          </cell>
          <cell r="BI64">
            <v>4215522</v>
          </cell>
          <cell r="BJ64">
            <v>4740816</v>
          </cell>
        </row>
        <row r="65">
          <cell r="BF65">
            <v>2805408</v>
          </cell>
          <cell r="BG65">
            <v>3006762</v>
          </cell>
          <cell r="BH65">
            <v>3701694</v>
          </cell>
          <cell r="BI65">
            <v>4602228</v>
          </cell>
          <cell r="BJ65">
            <v>5147544</v>
          </cell>
        </row>
        <row r="66">
          <cell r="BF66">
            <v>2993460</v>
          </cell>
          <cell r="BG66">
            <v>3467118</v>
          </cell>
          <cell r="BH66">
            <v>4042200</v>
          </cell>
          <cell r="BI66">
            <v>5012946</v>
          </cell>
          <cell r="BJ66">
            <v>5579226</v>
          </cell>
        </row>
        <row r="67">
          <cell r="BF67">
            <v>3534324</v>
          </cell>
          <cell r="BG67">
            <v>3894132</v>
          </cell>
          <cell r="BH67">
            <v>4403154</v>
          </cell>
          <cell r="BI67">
            <v>5449938</v>
          </cell>
          <cell r="BJ67">
            <v>6034878</v>
          </cell>
        </row>
        <row r="68">
          <cell r="BF68">
            <v>3805836</v>
          </cell>
          <cell r="BG68">
            <v>4225758</v>
          </cell>
          <cell r="BH68">
            <v>4788342</v>
          </cell>
          <cell r="BI68">
            <v>5913024</v>
          </cell>
          <cell r="BJ68">
            <v>6512496</v>
          </cell>
        </row>
        <row r="69">
          <cell r="BF69">
            <v>4092432</v>
          </cell>
          <cell r="BG69">
            <v>4580088</v>
          </cell>
          <cell r="BH69">
            <v>5201664</v>
          </cell>
          <cell r="BI69">
            <v>6396246</v>
          </cell>
          <cell r="BJ69">
            <v>7004832</v>
          </cell>
        </row>
        <row r="70">
          <cell r="BF70">
            <v>4369608</v>
          </cell>
          <cell r="BG70">
            <v>4935402</v>
          </cell>
          <cell r="BH70">
            <v>5628414</v>
          </cell>
          <cell r="BI70">
            <v>6888342</v>
          </cell>
          <cell r="BJ70">
            <v>7527522</v>
          </cell>
        </row>
        <row r="71">
          <cell r="BF71">
            <v>4657770</v>
          </cell>
          <cell r="BG71">
            <v>5309232</v>
          </cell>
          <cell r="BH71">
            <v>6071502</v>
          </cell>
          <cell r="BI71">
            <v>7413366</v>
          </cell>
          <cell r="BJ71">
            <v>8088714</v>
          </cell>
        </row>
        <row r="72">
          <cell r="BF72">
            <v>4956642</v>
          </cell>
          <cell r="BG72">
            <v>5701410</v>
          </cell>
          <cell r="BH72">
            <v>6536208</v>
          </cell>
          <cell r="BI72">
            <v>7987770</v>
          </cell>
          <cell r="BJ72">
            <v>8693394</v>
          </cell>
        </row>
        <row r="73">
          <cell r="BF73">
            <v>5268684</v>
          </cell>
          <cell r="BG73">
            <v>6112692</v>
          </cell>
          <cell r="BH73">
            <v>7040916</v>
          </cell>
          <cell r="BI73">
            <v>8587782</v>
          </cell>
          <cell r="BJ73">
            <v>9333948</v>
          </cell>
        </row>
        <row r="74">
          <cell r="BF74">
            <v>5602770</v>
          </cell>
          <cell r="BG74">
            <v>6559248</v>
          </cell>
          <cell r="BH74">
            <v>7552314</v>
          </cell>
          <cell r="BI74">
            <v>9199062</v>
          </cell>
          <cell r="BJ74">
            <v>10017786</v>
          </cell>
        </row>
        <row r="75">
          <cell r="BF75">
            <v>5970864</v>
          </cell>
          <cell r="BG75">
            <v>6985362</v>
          </cell>
          <cell r="BH75">
            <v>8007984</v>
          </cell>
          <cell r="BI75">
            <v>9790638</v>
          </cell>
          <cell r="BJ75">
            <v>10695138</v>
          </cell>
        </row>
        <row r="76">
          <cell r="BF76">
            <v>6368574</v>
          </cell>
          <cell r="BG76">
            <v>7434516</v>
          </cell>
          <cell r="BH76">
            <v>8483466</v>
          </cell>
          <cell r="BI76">
            <v>10421238</v>
          </cell>
          <cell r="BJ76">
            <v>11428950</v>
          </cell>
        </row>
        <row r="77">
          <cell r="BF77">
            <v>6796284</v>
          </cell>
          <cell r="BG77">
            <v>7899996</v>
          </cell>
          <cell r="BH77">
            <v>8998134</v>
          </cell>
          <cell r="BI77">
            <v>11178198</v>
          </cell>
          <cell r="BJ77">
            <v>12259176</v>
          </cell>
        </row>
        <row r="78">
          <cell r="BF78">
            <v>7250856</v>
          </cell>
          <cell r="BG78">
            <v>8391630</v>
          </cell>
          <cell r="BH78">
            <v>9549504</v>
          </cell>
          <cell r="BI78">
            <v>11985168</v>
          </cell>
          <cell r="BJ78">
            <v>13188354</v>
          </cell>
        </row>
        <row r="79">
          <cell r="BF79">
            <v>7733088</v>
          </cell>
          <cell r="BG79">
            <v>8935428</v>
          </cell>
          <cell r="BH79">
            <v>10147566</v>
          </cell>
          <cell r="BI79">
            <v>12838602</v>
          </cell>
          <cell r="BJ79">
            <v>14169498</v>
          </cell>
        </row>
        <row r="80">
          <cell r="BF80">
            <v>8255886</v>
          </cell>
          <cell r="BG80">
            <v>9518898</v>
          </cell>
          <cell r="BH80">
            <v>10826880</v>
          </cell>
          <cell r="BI80">
            <v>13757484</v>
          </cell>
          <cell r="BJ80">
            <v>15275772</v>
          </cell>
        </row>
        <row r="81">
          <cell r="BF81">
            <v>8810046</v>
          </cell>
          <cell r="BG81">
            <v>10132434</v>
          </cell>
          <cell r="BH81">
            <v>11553960</v>
          </cell>
          <cell r="BI81">
            <v>14710278</v>
          </cell>
          <cell r="BJ81">
            <v>16425684</v>
          </cell>
        </row>
        <row r="82">
          <cell r="BF82">
            <v>9319722</v>
          </cell>
          <cell r="BG82">
            <v>10719852</v>
          </cell>
          <cell r="BH82">
            <v>12291678</v>
          </cell>
          <cell r="BI82">
            <v>15722964</v>
          </cell>
          <cell r="BJ82">
            <v>17581740</v>
          </cell>
        </row>
        <row r="83">
          <cell r="BF83">
            <v>9837834</v>
          </cell>
          <cell r="BG83">
            <v>11369448</v>
          </cell>
          <cell r="BH83">
            <v>13054872</v>
          </cell>
          <cell r="BI83">
            <v>16761750</v>
          </cell>
          <cell r="BJ83">
            <v>18803538</v>
          </cell>
        </row>
        <row r="84">
          <cell r="BF84">
            <v>10377846</v>
          </cell>
          <cell r="BG84">
            <v>12075708</v>
          </cell>
          <cell r="BH84">
            <v>13840038</v>
          </cell>
          <cell r="BI84">
            <v>17822838</v>
          </cell>
          <cell r="BJ84">
            <v>20116668</v>
          </cell>
        </row>
        <row r="85">
          <cell r="BF85">
            <v>10921032</v>
          </cell>
          <cell r="BG85">
            <v>12914160</v>
          </cell>
          <cell r="BH85">
            <v>14675118</v>
          </cell>
          <cell r="BI85">
            <v>19204578</v>
          </cell>
          <cell r="BJ85">
            <v>21716766</v>
          </cell>
        </row>
        <row r="86">
          <cell r="BF86">
            <v>11539548</v>
          </cell>
          <cell r="BG86">
            <v>13732176</v>
          </cell>
          <cell r="BH86">
            <v>15548166</v>
          </cell>
          <cell r="BI86">
            <v>20661156</v>
          </cell>
          <cell r="BJ86">
            <v>23367870</v>
          </cell>
        </row>
        <row r="87">
          <cell r="BF87">
            <v>12166800</v>
          </cell>
          <cell r="BG87">
            <v>14536902</v>
          </cell>
          <cell r="BH87">
            <v>16499406</v>
          </cell>
          <cell r="BI87">
            <v>22101444</v>
          </cell>
          <cell r="BJ87">
            <v>24853368</v>
          </cell>
        </row>
        <row r="88">
          <cell r="BF88">
            <v>12808284</v>
          </cell>
          <cell r="BG88">
            <v>15375210</v>
          </cell>
          <cell r="BH88">
            <v>17502642</v>
          </cell>
          <cell r="BI88">
            <v>23575740</v>
          </cell>
          <cell r="BJ88">
            <v>26399580</v>
          </cell>
        </row>
        <row r="89">
          <cell r="BF89">
            <v>13486830</v>
          </cell>
          <cell r="BG89">
            <v>16266216</v>
          </cell>
          <cell r="BH89">
            <v>18574098</v>
          </cell>
          <cell r="BI89">
            <v>24980514</v>
          </cell>
          <cell r="BJ89">
            <v>27979920</v>
          </cell>
        </row>
        <row r="90">
          <cell r="BF90">
            <v>14263044</v>
          </cell>
          <cell r="BG90">
            <v>17245998</v>
          </cell>
          <cell r="BH90">
            <v>19704816</v>
          </cell>
          <cell r="BI90">
            <v>26446188</v>
          </cell>
          <cell r="BJ90">
            <v>29414394</v>
          </cell>
        </row>
        <row r="91">
          <cell r="BF91">
            <v>15095742</v>
          </cell>
          <cell r="BG91">
            <v>18222336</v>
          </cell>
          <cell r="BH91">
            <v>20950584</v>
          </cell>
          <cell r="BI91">
            <v>27938652</v>
          </cell>
          <cell r="BJ91">
            <v>30931314</v>
          </cell>
        </row>
        <row r="92">
          <cell r="BF92">
            <v>15817002</v>
          </cell>
          <cell r="BG92">
            <v>19186452</v>
          </cell>
          <cell r="BH92">
            <v>22276332</v>
          </cell>
          <cell r="BI92">
            <v>29472528</v>
          </cell>
          <cell r="BJ92">
            <v>32437440</v>
          </cell>
        </row>
        <row r="93">
          <cell r="BF93">
            <v>16538184</v>
          </cell>
          <cell r="BG93">
            <v>20189460</v>
          </cell>
          <cell r="BH93">
            <v>23650704</v>
          </cell>
          <cell r="BI93">
            <v>31061574</v>
          </cell>
          <cell r="BJ93">
            <v>33944052</v>
          </cell>
        </row>
        <row r="94">
          <cell r="BF94">
            <v>17291256</v>
          </cell>
          <cell r="BG94">
            <v>21228654</v>
          </cell>
          <cell r="BH94">
            <v>25183194</v>
          </cell>
          <cell r="BI94">
            <v>32642424</v>
          </cell>
          <cell r="BJ94">
            <v>35527968</v>
          </cell>
        </row>
        <row r="95">
          <cell r="BF95">
            <v>18098580</v>
          </cell>
          <cell r="BG95">
            <v>22438716</v>
          </cell>
          <cell r="BH95">
            <v>26665692</v>
          </cell>
          <cell r="BI95">
            <v>34201908</v>
          </cell>
          <cell r="BJ95">
            <v>37126566</v>
          </cell>
        </row>
        <row r="96">
          <cell r="BF96">
            <v>19006596</v>
          </cell>
          <cell r="BG96">
            <v>23634072</v>
          </cell>
          <cell r="BH96">
            <v>28180896</v>
          </cell>
          <cell r="BI96">
            <v>35877588</v>
          </cell>
          <cell r="BJ96">
            <v>38795148</v>
          </cell>
        </row>
        <row r="97">
          <cell r="BF97">
            <v>19904082</v>
          </cell>
          <cell r="BG97">
            <v>24859284</v>
          </cell>
          <cell r="BH97">
            <v>29798394</v>
          </cell>
          <cell r="BI97">
            <v>37686966</v>
          </cell>
          <cell r="BJ97">
            <v>40509822</v>
          </cell>
        </row>
        <row r="98">
          <cell r="BF98">
            <v>20815824</v>
          </cell>
          <cell r="BG98">
            <v>26229192</v>
          </cell>
          <cell r="BH98">
            <v>31489416</v>
          </cell>
          <cell r="BI98">
            <v>39570000</v>
          </cell>
          <cell r="BJ98">
            <v>42273102</v>
          </cell>
        </row>
        <row r="99">
          <cell r="BF99">
            <v>21781194</v>
          </cell>
          <cell r="BG99">
            <v>27716802</v>
          </cell>
          <cell r="BH99">
            <v>33124146</v>
          </cell>
          <cell r="BI99">
            <v>41333814</v>
          </cell>
          <cell r="BJ99">
            <v>43861572</v>
          </cell>
        </row>
        <row r="100">
          <cell r="BF100">
            <v>22829142</v>
          </cell>
          <cell r="BG100">
            <v>29476164</v>
          </cell>
          <cell r="BH100">
            <v>34755150</v>
          </cell>
          <cell r="BI100">
            <v>43071978</v>
          </cell>
          <cell r="BJ100">
            <v>45475242</v>
          </cell>
        </row>
        <row r="101">
          <cell r="BF101">
            <v>24095190</v>
          </cell>
          <cell r="BG101">
            <v>31042554</v>
          </cell>
          <cell r="BH101">
            <v>36402156</v>
          </cell>
          <cell r="BI101">
            <v>44869992</v>
          </cell>
          <cell r="BJ101">
            <v>47178978</v>
          </cell>
        </row>
        <row r="102">
          <cell r="BF102">
            <v>25382688</v>
          </cell>
          <cell r="BG102">
            <v>32405550</v>
          </cell>
          <cell r="BH102">
            <v>38074512</v>
          </cell>
          <cell r="BI102">
            <v>46679910</v>
          </cell>
          <cell r="BJ102">
            <v>48939996</v>
          </cell>
        </row>
        <row r="103">
          <cell r="BF103">
            <v>26683890</v>
          </cell>
          <cell r="BG103">
            <v>33707160</v>
          </cell>
          <cell r="BH103">
            <v>39800592</v>
          </cell>
          <cell r="BI103">
            <v>48540606</v>
          </cell>
          <cell r="BJ103">
            <v>50718744</v>
          </cell>
        </row>
        <row r="104">
          <cell r="BF104">
            <v>28032600</v>
          </cell>
          <cell r="BG104">
            <v>35026062</v>
          </cell>
          <cell r="BH104">
            <v>41578920</v>
          </cell>
          <cell r="BI104">
            <v>50433888</v>
          </cell>
          <cell r="BJ104">
            <v>52547082</v>
          </cell>
        </row>
        <row r="105">
          <cell r="BF105">
            <v>29383224</v>
          </cell>
          <cell r="BG105">
            <v>36499212</v>
          </cell>
          <cell r="BH105">
            <v>42905862</v>
          </cell>
          <cell r="BI105">
            <v>51779076</v>
          </cell>
          <cell r="BJ105">
            <v>53863188</v>
          </cell>
        </row>
        <row r="106">
          <cell r="BF106">
            <v>30593802</v>
          </cell>
          <cell r="BG106">
            <v>38009940</v>
          </cell>
          <cell r="BH106">
            <v>44243268</v>
          </cell>
          <cell r="BI106">
            <v>53160024</v>
          </cell>
          <cell r="BJ106">
            <v>55209306</v>
          </cell>
        </row>
        <row r="107">
          <cell r="BF107">
            <v>31843374</v>
          </cell>
          <cell r="BG107">
            <v>39568560</v>
          </cell>
          <cell r="BH107">
            <v>45640866</v>
          </cell>
          <cell r="BI107">
            <v>54594072</v>
          </cell>
          <cell r="BJ107">
            <v>56636340</v>
          </cell>
        </row>
        <row r="108">
          <cell r="BF108">
            <v>33129204</v>
          </cell>
          <cell r="BG108">
            <v>41090652</v>
          </cell>
          <cell r="BH108">
            <v>47102370</v>
          </cell>
          <cell r="BI108">
            <v>56104620</v>
          </cell>
          <cell r="BJ108">
            <v>58171056</v>
          </cell>
        </row>
        <row r="109">
          <cell r="BF109">
            <v>34317504</v>
          </cell>
          <cell r="BG109">
            <v>42634938</v>
          </cell>
          <cell r="BH109">
            <v>48616944</v>
          </cell>
          <cell r="BI109">
            <v>57633126</v>
          </cell>
          <cell r="BJ109">
            <v>59767812</v>
          </cell>
        </row>
        <row r="110">
          <cell r="BF110">
            <v>35566662</v>
          </cell>
          <cell r="BG110">
            <v>44054688</v>
          </cell>
          <cell r="BH110">
            <v>50141880</v>
          </cell>
          <cell r="BI110">
            <v>59210448</v>
          </cell>
          <cell r="BJ110">
            <v>61224870</v>
          </cell>
        </row>
        <row r="111">
          <cell r="BF111">
            <v>36864570</v>
          </cell>
          <cell r="BG111">
            <v>45500322</v>
          </cell>
          <cell r="BH111">
            <v>51598524</v>
          </cell>
          <cell r="BI111">
            <v>60739788</v>
          </cell>
          <cell r="BJ111">
            <v>62672808</v>
          </cell>
        </row>
        <row r="112">
          <cell r="BF112">
            <v>38184822</v>
          </cell>
          <cell r="BG112">
            <v>46986714</v>
          </cell>
          <cell r="BH112">
            <v>53021196</v>
          </cell>
          <cell r="BI112">
            <v>62188602</v>
          </cell>
          <cell r="BJ112">
            <v>64131576</v>
          </cell>
        </row>
        <row r="113">
          <cell r="BF113">
            <v>39549222</v>
          </cell>
          <cell r="BG113">
            <v>48483138</v>
          </cell>
          <cell r="BH113">
            <v>54495672</v>
          </cell>
          <cell r="BI113">
            <v>63660042</v>
          </cell>
          <cell r="BJ113">
            <v>65634492</v>
          </cell>
        </row>
        <row r="114">
          <cell r="BF114">
            <v>40933854</v>
          </cell>
          <cell r="BG114">
            <v>50029830</v>
          </cell>
          <cell r="BH114">
            <v>56013246</v>
          </cell>
          <cell r="BI114">
            <v>65189592</v>
          </cell>
          <cell r="BJ114">
            <v>67275450</v>
          </cell>
        </row>
        <row r="115">
          <cell r="BF115">
            <v>42433902</v>
          </cell>
          <cell r="BG115">
            <v>51414678</v>
          </cell>
          <cell r="BH115">
            <v>57675132</v>
          </cell>
          <cell r="BI115">
            <v>66742326</v>
          </cell>
          <cell r="BJ115">
            <v>69008196</v>
          </cell>
        </row>
        <row r="116">
          <cell r="BF116">
            <v>43968048</v>
          </cell>
          <cell r="BG116">
            <v>52831218</v>
          </cell>
          <cell r="BH116">
            <v>59444214</v>
          </cell>
          <cell r="BI116">
            <v>68359926</v>
          </cell>
          <cell r="BJ116">
            <v>70740000</v>
          </cell>
        </row>
        <row r="117">
          <cell r="BF117">
            <v>45552240</v>
          </cell>
          <cell r="BG117">
            <v>54349854</v>
          </cell>
          <cell r="BH117">
            <v>61300356</v>
          </cell>
          <cell r="BI117">
            <v>69989712</v>
          </cell>
          <cell r="BJ117">
            <v>72512370</v>
          </cell>
        </row>
        <row r="118">
          <cell r="BF118">
            <v>47248842</v>
          </cell>
          <cell r="BG118">
            <v>55940922</v>
          </cell>
          <cell r="BH118">
            <v>63179628</v>
          </cell>
          <cell r="BI118">
            <v>71645928</v>
          </cell>
          <cell r="BJ118">
            <v>74326314</v>
          </cell>
        </row>
        <row r="119">
          <cell r="BF119">
            <v>48995598</v>
          </cell>
          <cell r="BG119">
            <v>57538848</v>
          </cell>
          <cell r="BH119">
            <v>65092602</v>
          </cell>
          <cell r="BI119">
            <v>73356756</v>
          </cell>
          <cell r="BJ119">
            <v>76191246</v>
          </cell>
        </row>
        <row r="120">
          <cell r="BF120">
            <v>50674194</v>
          </cell>
          <cell r="BG120">
            <v>59188842</v>
          </cell>
          <cell r="BH120">
            <v>67113756</v>
          </cell>
          <cell r="BI120">
            <v>75182988</v>
          </cell>
          <cell r="BJ120">
            <v>78129366</v>
          </cell>
        </row>
        <row r="121">
          <cell r="BF121">
            <v>52369938</v>
          </cell>
          <cell r="BG121">
            <v>60858264</v>
          </cell>
          <cell r="BH121">
            <v>69091866</v>
          </cell>
          <cell r="BI121">
            <v>76969926</v>
          </cell>
          <cell r="BJ121">
            <v>80050692</v>
          </cell>
        </row>
        <row r="122">
          <cell r="BF122">
            <v>54105114</v>
          </cell>
          <cell r="BG122">
            <v>62540472</v>
          </cell>
          <cell r="BH122">
            <v>71126316</v>
          </cell>
          <cell r="BI122">
            <v>78785904</v>
          </cell>
          <cell r="BJ122">
            <v>81985734</v>
          </cell>
        </row>
        <row r="123">
          <cell r="BF123">
            <v>55883148</v>
          </cell>
          <cell r="BG123">
            <v>64267350</v>
          </cell>
          <cell r="BH123">
            <v>73199424</v>
          </cell>
          <cell r="BI123">
            <v>80642184</v>
          </cell>
          <cell r="BJ123">
            <v>83929488</v>
          </cell>
        </row>
        <row r="124">
          <cell r="BF124">
            <v>57708882</v>
          </cell>
          <cell r="BG124">
            <v>66026406</v>
          </cell>
          <cell r="BH124">
            <v>75322968</v>
          </cell>
          <cell r="BI124">
            <v>82496298</v>
          </cell>
          <cell r="BJ124">
            <v>85922364</v>
          </cell>
        </row>
        <row r="125">
          <cell r="BF125">
            <v>59317812</v>
          </cell>
          <cell r="BG125">
            <v>67802112</v>
          </cell>
          <cell r="BH125">
            <v>77339316</v>
          </cell>
          <cell r="BI125">
            <v>84399756</v>
          </cell>
          <cell r="BJ125">
            <v>87944130</v>
          </cell>
        </row>
        <row r="126">
          <cell r="BF126">
            <v>60961596</v>
          </cell>
          <cell r="BG126">
            <v>69599814</v>
          </cell>
          <cell r="BH126">
            <v>79424652</v>
          </cell>
          <cell r="BI126">
            <v>86332248</v>
          </cell>
          <cell r="BJ126">
            <v>89997378</v>
          </cell>
        </row>
        <row r="127">
          <cell r="BF127">
            <v>62589396</v>
          </cell>
          <cell r="BG127">
            <v>71465646</v>
          </cell>
          <cell r="BH127">
            <v>81554952</v>
          </cell>
          <cell r="BI127">
            <v>88327206</v>
          </cell>
          <cell r="BJ127">
            <v>92138070</v>
          </cell>
        </row>
        <row r="128">
          <cell r="BF128">
            <v>64244052</v>
          </cell>
          <cell r="BG128">
            <v>73367694</v>
          </cell>
          <cell r="BH128">
            <v>83732370</v>
          </cell>
          <cell r="BI128">
            <v>90353760</v>
          </cell>
          <cell r="BJ128">
            <v>94315230</v>
          </cell>
        </row>
        <row r="129">
          <cell r="BF129">
            <v>65924928</v>
          </cell>
          <cell r="BG129">
            <v>75289248</v>
          </cell>
          <cell r="BH129">
            <v>85959024</v>
          </cell>
          <cell r="BI129">
            <v>92422560</v>
          </cell>
          <cell r="BJ129">
            <v>96601926</v>
          </cell>
        </row>
        <row r="130">
          <cell r="BF130">
            <v>67646706</v>
          </cell>
          <cell r="BG130">
            <v>77216958</v>
          </cell>
          <cell r="BH130">
            <v>88225662</v>
          </cell>
          <cell r="BI130">
            <v>94591998</v>
          </cell>
          <cell r="BJ130">
            <v>98957538</v>
          </cell>
        </row>
        <row r="131">
          <cell r="BF131">
            <v>69451152</v>
          </cell>
          <cell r="BG131">
            <v>79236594</v>
          </cell>
          <cell r="BH131">
            <v>90620022</v>
          </cell>
          <cell r="BI131">
            <v>96828396</v>
          </cell>
          <cell r="BJ131">
            <v>101355666</v>
          </cell>
        </row>
        <row r="132">
          <cell r="BF132">
            <v>71310624</v>
          </cell>
          <cell r="BG132">
            <v>81249540</v>
          </cell>
          <cell r="BH132">
            <v>93101382</v>
          </cell>
          <cell r="BI132">
            <v>99109356</v>
          </cell>
          <cell r="BJ132">
            <v>103893618</v>
          </cell>
        </row>
        <row r="133">
          <cell r="BF133">
            <v>73198032</v>
          </cell>
          <cell r="BG133">
            <v>83330970</v>
          </cell>
          <cell r="BH133">
            <v>95665662</v>
          </cell>
          <cell r="BI133">
            <v>101546814</v>
          </cell>
          <cell r="BJ133">
            <v>106578024</v>
          </cell>
        </row>
        <row r="134">
          <cell r="BF134">
            <v>75141834</v>
          </cell>
          <cell r="BG134">
            <v>85450524</v>
          </cell>
          <cell r="BH134">
            <v>98372712</v>
          </cell>
          <cell r="BI134">
            <v>104108616</v>
          </cell>
          <cell r="BJ134">
            <v>109316220</v>
          </cell>
        </row>
        <row r="135">
          <cell r="BF135">
            <v>77059878</v>
          </cell>
          <cell r="BG135">
            <v>87775836</v>
          </cell>
          <cell r="BH135">
            <v>100879110</v>
          </cell>
          <cell r="BI135">
            <v>106712472</v>
          </cell>
          <cell r="BJ135">
            <v>112003542</v>
          </cell>
        </row>
        <row r="136">
          <cell r="BF136">
            <v>79120008</v>
          </cell>
          <cell r="BG136">
            <v>90223890</v>
          </cell>
          <cell r="BH136">
            <v>103439688</v>
          </cell>
          <cell r="BI136">
            <v>109272654</v>
          </cell>
          <cell r="BJ136">
            <v>114599448</v>
          </cell>
        </row>
        <row r="137">
          <cell r="BF137">
            <v>81230610</v>
          </cell>
          <cell r="BG137">
            <v>92741574</v>
          </cell>
          <cell r="BH137">
            <v>105946002</v>
          </cell>
          <cell r="BI137">
            <v>111730386</v>
          </cell>
          <cell r="BJ137">
            <v>117240318</v>
          </cell>
        </row>
        <row r="138">
          <cell r="BF138">
            <v>83394600</v>
          </cell>
          <cell r="BG138">
            <v>95210142</v>
          </cell>
          <cell r="BH138">
            <v>108373848</v>
          </cell>
          <cell r="BI138">
            <v>114245094</v>
          </cell>
          <cell r="BJ138">
            <v>119914644</v>
          </cell>
        </row>
        <row r="139">
          <cell r="BF139">
            <v>85494264</v>
          </cell>
          <cell r="BG139">
            <v>97652370</v>
          </cell>
          <cell r="BH139">
            <v>110876592</v>
          </cell>
          <cell r="BI139">
            <v>116803524</v>
          </cell>
          <cell r="BJ139">
            <v>122651460</v>
          </cell>
        </row>
        <row r="140">
          <cell r="BF140">
            <v>87590436</v>
          </cell>
          <cell r="BG140">
            <v>100156956</v>
          </cell>
          <cell r="BH140">
            <v>113430534</v>
          </cell>
          <cell r="BI140">
            <v>119435652</v>
          </cell>
          <cell r="BJ140">
            <v>125149140</v>
          </cell>
        </row>
        <row r="141">
          <cell r="BF141">
            <v>89723004</v>
          </cell>
          <cell r="BG141">
            <v>102705768</v>
          </cell>
          <cell r="BH141">
            <v>116037036</v>
          </cell>
          <cell r="BI141">
            <v>122029644</v>
          </cell>
          <cell r="BJ141">
            <v>127682880</v>
          </cell>
        </row>
        <row r="142">
          <cell r="BF142">
            <v>91896750</v>
          </cell>
          <cell r="BG142">
            <v>105362190</v>
          </cell>
          <cell r="BH142">
            <v>118683552</v>
          </cell>
          <cell r="BI142">
            <v>124662738</v>
          </cell>
          <cell r="BJ142">
            <v>130193580</v>
          </cell>
        </row>
        <row r="143">
          <cell r="BF143">
            <v>94109028</v>
          </cell>
          <cell r="BG143">
            <v>108193590</v>
          </cell>
          <cell r="BH143">
            <v>121375062</v>
          </cell>
          <cell r="BI143">
            <v>127281102</v>
          </cell>
          <cell r="BJ143">
            <v>132771234</v>
          </cell>
        </row>
        <row r="144">
          <cell r="BF144">
            <v>96355410</v>
          </cell>
          <cell r="BG144">
            <v>111085638</v>
          </cell>
          <cell r="BH144">
            <v>124061742</v>
          </cell>
          <cell r="BI144">
            <v>129964164</v>
          </cell>
          <cell r="BJ144">
            <v>135462516</v>
          </cell>
        </row>
        <row r="145">
          <cell r="BF145">
            <v>98641236</v>
          </cell>
          <cell r="BG145">
            <v>113921532</v>
          </cell>
          <cell r="BH145">
            <v>126800760</v>
          </cell>
          <cell r="BI145">
            <v>132775992</v>
          </cell>
          <cell r="BJ145">
            <v>138240600</v>
          </cell>
        </row>
        <row r="146">
          <cell r="BF146">
            <v>100960920</v>
          </cell>
          <cell r="BG146">
            <v>116852196</v>
          </cell>
          <cell r="BH146">
            <v>129673944</v>
          </cell>
          <cell r="BI146">
            <v>135687930</v>
          </cell>
          <cell r="BJ146">
            <v>141086520</v>
          </cell>
        </row>
        <row r="147">
          <cell r="BF147">
            <v>103352844</v>
          </cell>
          <cell r="BG147">
            <v>119846658</v>
          </cell>
          <cell r="BH147">
            <v>132624810</v>
          </cell>
          <cell r="BI147">
            <v>138648078</v>
          </cell>
          <cell r="BJ147">
            <v>143997360</v>
          </cell>
        </row>
        <row r="148">
          <cell r="BF148">
            <v>105811308</v>
          </cell>
          <cell r="BG148">
            <v>122948148</v>
          </cell>
          <cell r="BH148">
            <v>135616482</v>
          </cell>
          <cell r="BI148">
            <v>141670770</v>
          </cell>
          <cell r="BJ148">
            <v>146906682</v>
          </cell>
        </row>
        <row r="149">
          <cell r="BF149">
            <v>108331206</v>
          </cell>
          <cell r="BG149">
            <v>126103044</v>
          </cell>
          <cell r="BH149">
            <v>138680508</v>
          </cell>
          <cell r="BI149">
            <v>144706404</v>
          </cell>
          <cell r="BJ149">
            <v>149839638</v>
          </cell>
        </row>
        <row r="150">
          <cell r="BF150">
            <v>110879826</v>
          </cell>
          <cell r="BG150">
            <v>129337548</v>
          </cell>
          <cell r="BH150">
            <v>141751986</v>
          </cell>
          <cell r="BI150">
            <v>147772968</v>
          </cell>
          <cell r="BJ150">
            <v>152845512</v>
          </cell>
        </row>
        <row r="151">
          <cell r="BF151">
            <v>113496066</v>
          </cell>
          <cell r="BG151">
            <v>132597576</v>
          </cell>
          <cell r="BH151">
            <v>144874680</v>
          </cell>
          <cell r="BI151">
            <v>151024818</v>
          </cell>
          <cell r="BJ151">
            <v>155955066</v>
          </cell>
        </row>
        <row r="152">
          <cell r="BF152">
            <v>116136426</v>
          </cell>
          <cell r="BG152">
            <v>135960870</v>
          </cell>
          <cell r="BH152">
            <v>148244508</v>
          </cell>
          <cell r="BI152">
            <v>154546440</v>
          </cell>
          <cell r="BJ152">
            <v>159119640</v>
          </cell>
        </row>
        <row r="153">
          <cell r="BF153">
            <v>118850778</v>
          </cell>
          <cell r="BG153">
            <v>139578180</v>
          </cell>
          <cell r="BH153">
            <v>151817922</v>
          </cell>
          <cell r="BI153">
            <v>158127654</v>
          </cell>
          <cell r="BJ153">
            <v>162577584</v>
          </cell>
        </row>
        <row r="154">
          <cell r="BF154">
            <v>121855020</v>
          </cell>
          <cell r="BG154">
            <v>143279748</v>
          </cell>
          <cell r="BH154">
            <v>155452284</v>
          </cell>
          <cell r="BI154">
            <v>162049002</v>
          </cell>
          <cell r="BJ154">
            <v>166945284</v>
          </cell>
        </row>
        <row r="155">
          <cell r="BF155">
            <v>124912644</v>
          </cell>
          <cell r="BG155">
            <v>146662800</v>
          </cell>
          <cell r="BH155">
            <v>159138936</v>
          </cell>
          <cell r="BI155">
            <v>166548528</v>
          </cell>
          <cell r="BJ155">
            <v>171347400</v>
          </cell>
        </row>
        <row r="156">
          <cell r="BF156">
            <v>128011944</v>
          </cell>
          <cell r="BG156">
            <v>150217434</v>
          </cell>
          <cell r="BH156">
            <v>163356186</v>
          </cell>
          <cell r="BI156">
            <v>171136092</v>
          </cell>
          <cell r="BJ156">
            <v>172845240</v>
          </cell>
        </row>
        <row r="157">
          <cell r="BF157">
            <v>131460714</v>
          </cell>
          <cell r="BG157">
            <v>154184406</v>
          </cell>
          <cell r="BH157">
            <v>167687346</v>
          </cell>
          <cell r="BI157">
            <v>172769778</v>
          </cell>
          <cell r="BJ157">
            <v>173783244</v>
          </cell>
        </row>
        <row r="158">
          <cell r="BF158">
            <v>135016020</v>
          </cell>
          <cell r="BG158">
            <v>158256786</v>
          </cell>
          <cell r="BH158">
            <v>169277160</v>
          </cell>
          <cell r="BI158">
            <v>173704008</v>
          </cell>
          <cell r="BJ158">
            <v>174070206</v>
          </cell>
        </row>
        <row r="159">
          <cell r="BF159">
            <v>138657468</v>
          </cell>
          <cell r="BG159">
            <v>161000088</v>
          </cell>
          <cell r="BH159">
            <v>170176302</v>
          </cell>
          <cell r="BI159">
            <v>174020988</v>
          </cell>
          <cell r="BJ159">
            <v>174299520</v>
          </cell>
        </row>
        <row r="160">
          <cell r="BF160">
            <v>140785044</v>
          </cell>
          <cell r="BG160">
            <v>162609276</v>
          </cell>
          <cell r="BH160">
            <v>170489976</v>
          </cell>
          <cell r="BI160">
            <v>174248634</v>
          </cell>
          <cell r="BJ160">
            <v>174528726</v>
          </cell>
        </row>
        <row r="161">
          <cell r="BF161">
            <v>142055244</v>
          </cell>
          <cell r="BG161">
            <v>163694622</v>
          </cell>
          <cell r="BH161">
            <v>170700456</v>
          </cell>
          <cell r="BI161">
            <v>174476172</v>
          </cell>
          <cell r="BJ161">
            <v>174757806</v>
          </cell>
        </row>
        <row r="162">
          <cell r="BF162">
            <v>142966560</v>
          </cell>
          <cell r="BG162">
            <v>164429502</v>
          </cell>
          <cell r="BH162">
            <v>170910852</v>
          </cell>
          <cell r="BI162">
            <v>174703596</v>
          </cell>
          <cell r="BJ162">
            <v>174986784</v>
          </cell>
        </row>
        <row r="163">
          <cell r="BF163">
            <v>143680632</v>
          </cell>
          <cell r="BG163">
            <v>164982678</v>
          </cell>
          <cell r="BH163">
            <v>171121152</v>
          </cell>
          <cell r="BI163">
            <v>174930900</v>
          </cell>
          <cell r="BJ163">
            <v>175215636</v>
          </cell>
        </row>
        <row r="164">
          <cell r="BF164">
            <v>144395508</v>
          </cell>
          <cell r="BG164">
            <v>165536418</v>
          </cell>
          <cell r="BH164">
            <v>171331320</v>
          </cell>
          <cell r="BI164">
            <v>175158060</v>
          </cell>
          <cell r="BJ164">
            <v>175444344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>
        <row r="4">
          <cell r="K4">
            <v>1</v>
          </cell>
          <cell r="L4">
            <v>1040.8352879799568</v>
          </cell>
          <cell r="M4">
            <v>1168.9516338298708</v>
          </cell>
          <cell r="N4">
            <v>1452.2172869047899</v>
          </cell>
          <cell r="O4">
            <v>2510.7422303165949</v>
          </cell>
          <cell r="P4">
            <v>3045.4164117374748</v>
          </cell>
          <cell r="T4">
            <v>14501.673058529761</v>
          </cell>
          <cell r="U4">
            <v>19413.896977599055</v>
          </cell>
          <cell r="V4">
            <v>30743.578088908678</v>
          </cell>
          <cell r="W4">
            <v>76075.906172330011</v>
          </cell>
          <cell r="X4">
            <v>177081.7886017682</v>
          </cell>
        </row>
        <row r="5">
          <cell r="K5">
            <v>2</v>
          </cell>
          <cell r="L5">
            <v>2156.3749285081976</v>
          </cell>
          <cell r="M5">
            <v>2445.0615859519603</v>
          </cell>
          <cell r="N5">
            <v>3068.6815757732184</v>
          </cell>
          <cell r="O5">
            <v>5380.4255785215355</v>
          </cell>
          <cell r="P5">
            <v>6628.3385775485367</v>
          </cell>
          <cell r="T5">
            <v>23031.394540905989</v>
          </cell>
          <cell r="U5">
            <v>30854.533994996593</v>
          </cell>
          <cell r="V5">
            <v>48567.987394496246</v>
          </cell>
          <cell r="W5">
            <v>119204.78613394586</v>
          </cell>
          <cell r="X5">
            <v>275220.26474734046</v>
          </cell>
        </row>
        <row r="6">
          <cell r="K6">
            <v>3</v>
          </cell>
          <cell r="L6">
            <v>3351.9807116336397</v>
          </cell>
          <cell r="M6">
            <v>3828.7498339345493</v>
          </cell>
          <cell r="N6">
            <v>4848.3395205770648</v>
          </cell>
          <cell r="O6">
            <v>8568.4276587872155</v>
          </cell>
          <cell r="P6">
            <v>10613.278887857712</v>
          </cell>
          <cell r="T6">
            <v>31561.116023282215</v>
          </cell>
          <cell r="U6">
            <v>42157.227625610445</v>
          </cell>
          <cell r="V6">
            <v>66088.950388171492</v>
          </cell>
          <cell r="W6">
            <v>161357.84542698861</v>
          </cell>
          <cell r="X6">
            <v>371708.62996968755</v>
          </cell>
        </row>
        <row r="7">
          <cell r="K7">
            <v>4</v>
          </cell>
          <cell r="L7">
            <v>4633.3992616424111</v>
          </cell>
          <cell r="M7">
            <v>5317.4188778006173</v>
          </cell>
          <cell r="N7">
            <v>6773.2188891002043</v>
          </cell>
          <cell r="O7">
            <v>12026.203815149966</v>
          </cell>
          <cell r="P7">
            <v>15024.655902480066</v>
          </cell>
          <cell r="T7">
            <v>40090.837505658441</v>
          </cell>
          <cell r="U7">
            <v>53459.921256224297</v>
          </cell>
          <cell r="V7">
            <v>83609.913381846723</v>
          </cell>
          <cell r="W7">
            <v>203510.90472003139</v>
          </cell>
          <cell r="X7">
            <v>468196.99519203458</v>
          </cell>
        </row>
        <row r="8">
          <cell r="K8">
            <v>5</v>
          </cell>
          <cell r="L8">
            <v>6006.789657943551</v>
          </cell>
          <cell r="M8">
            <v>6890.3207409975184</v>
          </cell>
          <cell r="N8">
            <v>8791.163388022298</v>
          </cell>
          <cell r="O8">
            <v>15638.776428266865</v>
          </cell>
          <cell r="P8">
            <v>19574.3719490816</v>
          </cell>
          <cell r="T8">
            <v>48620.558988034674</v>
          </cell>
          <cell r="U8">
            <v>64762.61488683815</v>
          </cell>
          <cell r="V8">
            <v>101130.87637552196</v>
          </cell>
          <cell r="W8">
            <v>245663.96401307415</v>
          </cell>
          <cell r="X8">
            <v>564685.3604143816</v>
          </cell>
        </row>
        <row r="9">
          <cell r="K9">
            <v>6</v>
          </cell>
          <cell r="L9">
            <v>7478.7530384013098</v>
          </cell>
          <cell r="M9">
            <v>8590.893200390401</v>
          </cell>
          <cell r="N9">
            <v>10971.055697648706</v>
          </cell>
          <cell r="O9">
            <v>19602.189096576229</v>
          </cell>
          <cell r="P9">
            <v>24730.552915572829</v>
          </cell>
          <cell r="T9">
            <v>57150.2804704109</v>
          </cell>
          <cell r="U9">
            <v>76065.308517452009</v>
          </cell>
          <cell r="V9">
            <v>118651.8393691972</v>
          </cell>
          <cell r="W9">
            <v>287817.02330611687</v>
          </cell>
          <cell r="X9">
            <v>661173.72563672857</v>
          </cell>
        </row>
        <row r="10">
          <cell r="K10">
            <v>7</v>
          </cell>
          <cell r="L10">
            <v>9056.364327401152</v>
          </cell>
          <cell r="M10">
            <v>10443.399467293943</v>
          </cell>
          <cell r="N10">
            <v>13372.604016402558</v>
          </cell>
          <cell r="O10">
            <v>23847.861989582831</v>
          </cell>
          <cell r="P10">
            <v>29846.901310823479</v>
          </cell>
          <cell r="T10">
            <v>65680.001952787134</v>
          </cell>
          <cell r="U10">
            <v>87013.612097199526</v>
          </cell>
          <cell r="V10">
            <v>135833.17555775886</v>
          </cell>
          <cell r="W10">
            <v>329495.38453408948</v>
          </cell>
          <cell r="X10">
            <v>757274.01349916705</v>
          </cell>
        </row>
        <row r="11">
          <cell r="K11">
            <v>8</v>
          </cell>
          <cell r="L11">
            <v>10747.20624114886</v>
          </cell>
          <cell r="M11">
            <v>12335.24414104376</v>
          </cell>
          <cell r="N11">
            <v>15694.428505331771</v>
          </cell>
          <cell r="O11">
            <v>27889.164573650749</v>
          </cell>
          <cell r="P11">
            <v>34995.512475748721</v>
          </cell>
          <cell r="T11">
            <v>71369.493447807283</v>
          </cell>
          <cell r="U11">
            <v>95426.442792588015</v>
          </cell>
          <cell r="V11">
            <v>149807.08707184682</v>
          </cell>
          <cell r="W11">
            <v>366417.79577903147</v>
          </cell>
          <cell r="X11">
            <v>844742.07535693469</v>
          </cell>
        </row>
        <row r="12">
          <cell r="K12">
            <v>9</v>
          </cell>
          <cell r="L12">
            <v>12559.405733647733</v>
          </cell>
          <cell r="M12">
            <v>14410.139453011971</v>
          </cell>
          <cell r="N12">
            <v>18405.364234952573</v>
          </cell>
          <cell r="O12">
            <v>32952.202123758485</v>
          </cell>
          <cell r="P12">
            <v>41453.73097236536</v>
          </cell>
          <cell r="T12">
            <v>77058.984942827432</v>
          </cell>
          <cell r="U12">
            <v>103484.8834371102</v>
          </cell>
          <cell r="V12">
            <v>163441.37178082121</v>
          </cell>
          <cell r="W12">
            <v>402865.50895890332</v>
          </cell>
          <cell r="X12">
            <v>931822.0598547936</v>
          </cell>
        </row>
        <row r="13">
          <cell r="K13">
            <v>10</v>
          </cell>
          <cell r="L13">
            <v>14501.673058529761</v>
          </cell>
          <cell r="M13">
            <v>16712.913143474369</v>
          </cell>
          <cell r="N13">
            <v>21406.923324366089</v>
          </cell>
          <cell r="O13">
            <v>38510.453075083373</v>
          </cell>
          <cell r="P13">
            <v>48829.554950228208</v>
          </cell>
          <cell r="T13">
            <v>82748.476437847581</v>
          </cell>
          <cell r="U13">
            <v>111543.32408163235</v>
          </cell>
          <cell r="V13">
            <v>177075.6564897956</v>
          </cell>
          <cell r="W13">
            <v>439313.22213877511</v>
          </cell>
          <cell r="X13">
            <v>1018902.0443526527</v>
          </cell>
        </row>
        <row r="14">
          <cell r="K14">
            <v>11</v>
          </cell>
          <cell r="L14">
            <v>15726.088349050451</v>
          </cell>
          <cell r="M14">
            <v>19167.896551545822</v>
          </cell>
          <cell r="N14">
            <v>24667.991108060392</v>
          </cell>
          <cell r="O14">
            <v>44364.525578775363</v>
          </cell>
          <cell r="P14">
            <v>56779.073660921611</v>
          </cell>
          <cell r="T14">
            <v>88437.96793286773</v>
          </cell>
          <cell r="U14">
            <v>119601.76472615452</v>
          </cell>
          <cell r="V14">
            <v>190709.94119876999</v>
          </cell>
          <cell r="W14">
            <v>475760.93531864701</v>
          </cell>
          <cell r="X14">
            <v>1105982.0288505116</v>
          </cell>
        </row>
        <row r="15">
          <cell r="K15">
            <v>12</v>
          </cell>
          <cell r="L15">
            <v>17038.384164554194</v>
          </cell>
          <cell r="M15">
            <v>20825.059623865094</v>
          </cell>
          <cell r="N15">
            <v>28123.71056574865</v>
          </cell>
          <cell r="O15">
            <v>51022.981683163329</v>
          </cell>
          <cell r="P15">
            <v>65345.525077267288</v>
          </cell>
          <cell r="T15">
            <v>94127.459427887894</v>
          </cell>
          <cell r="U15">
            <v>127660.20537067669</v>
          </cell>
          <cell r="V15">
            <v>204344.22590774437</v>
          </cell>
          <cell r="W15">
            <v>512208.6484985188</v>
          </cell>
          <cell r="X15">
            <v>1193062.0133483706</v>
          </cell>
        </row>
        <row r="16">
          <cell r="K16">
            <v>13</v>
          </cell>
          <cell r="L16">
            <v>18444.867994608529</v>
          </cell>
          <cell r="M16">
            <v>22522.557065644731</v>
          </cell>
          <cell r="N16">
            <v>31563.040133767903</v>
          </cell>
          <cell r="O16">
            <v>58217.56000155623</v>
          </cell>
          <cell r="P16">
            <v>74826.697957350567</v>
          </cell>
          <cell r="T16">
            <v>99816.950922908043</v>
          </cell>
          <cell r="U16">
            <v>135718.64601519887</v>
          </cell>
          <cell r="V16">
            <v>217978.51061671876</v>
          </cell>
          <cell r="W16">
            <v>548656.36167839065</v>
          </cell>
          <cell r="X16">
            <v>1280141.9978462297</v>
          </cell>
        </row>
        <row r="17">
          <cell r="K17">
            <v>14</v>
          </cell>
          <cell r="L17">
            <v>19952.300039147165</v>
          </cell>
          <cell r="M17">
            <v>24227.212538513926</v>
          </cell>
          <cell r="N17">
            <v>33754.411692335707</v>
          </cell>
          <cell r="O17">
            <v>65190.381474620808</v>
          </cell>
          <cell r="P17">
            <v>83664.923820554817</v>
          </cell>
          <cell r="T17">
            <v>105506.43551656598</v>
          </cell>
          <cell r="U17">
            <v>143763.35342501907</v>
          </cell>
          <cell r="V17">
            <v>231399.60984942626</v>
          </cell>
          <cell r="W17">
            <v>584412.16485232592</v>
          </cell>
          <cell r="X17">
            <v>1365888.7106964437</v>
          </cell>
        </row>
        <row r="18">
          <cell r="K18">
            <v>15</v>
          </cell>
          <cell r="L18">
            <v>21567.925701060507</v>
          </cell>
          <cell r="M18">
            <v>26100.568500456058</v>
          </cell>
          <cell r="N18">
            <v>36178.578407986883</v>
          </cell>
          <cell r="O18">
            <v>73118.519562145026</v>
          </cell>
          <cell r="P18">
            <v>94215.936382830361</v>
          </cell>
          <cell r="T18">
            <v>111195.83045140664</v>
          </cell>
          <cell r="U18">
            <v>151610.41349654732</v>
          </cell>
          <cell r="V18">
            <v>244403.20484620208</v>
          </cell>
          <cell r="W18">
            <v>617942.27533082222</v>
          </cell>
          <cell r="X18">
            <v>1444458.0653639045</v>
          </cell>
        </row>
        <row r="19">
          <cell r="K19">
            <v>16</v>
          </cell>
          <cell r="L19">
            <v>23299.51041089186</v>
          </cell>
          <cell r="M19">
            <v>28126.195578776875</v>
          </cell>
          <cell r="N19">
            <v>38754.142180374445</v>
          </cell>
          <cell r="O19">
            <v>79658.054654546926</v>
          </cell>
          <cell r="P19">
            <v>106274.07289769812</v>
          </cell>
          <cell r="T19">
            <v>116885.21848488509</v>
          </cell>
          <cell r="U19">
            <v>159443.74033337363</v>
          </cell>
          <cell r="V19">
            <v>257193.614366711</v>
          </cell>
          <cell r="W19">
            <v>650780.475803382</v>
          </cell>
          <cell r="X19">
            <v>1521694.1483837203</v>
          </cell>
        </row>
        <row r="20">
          <cell r="K20">
            <v>17</v>
          </cell>
          <cell r="L20">
            <v>25155.376951022714</v>
          </cell>
          <cell r="M20">
            <v>30214.453217745926</v>
          </cell>
          <cell r="N20">
            <v>41393.145668975973</v>
          </cell>
          <cell r="O20">
            <v>84395.12297073126</v>
          </cell>
          <cell r="P20">
            <v>116732.01692544734</v>
          </cell>
          <cell r="T20">
            <v>122574.60651836354</v>
          </cell>
          <cell r="U20">
            <v>167277.06717019991</v>
          </cell>
          <cell r="V20">
            <v>269984.0238872199</v>
          </cell>
          <cell r="W20">
            <v>683618.67627594189</v>
          </cell>
          <cell r="X20">
            <v>1598930.2314035362</v>
          </cell>
        </row>
        <row r="21">
          <cell r="K21">
            <v>18</v>
          </cell>
          <cell r="L21">
            <v>27144.445458744009</v>
          </cell>
          <cell r="M21">
            <v>32567.716194017077</v>
          </cell>
          <cell r="N21">
            <v>44521.793369274732</v>
          </cell>
          <cell r="O21">
            <v>89977.172780918947</v>
          </cell>
          <cell r="P21">
            <v>129678.52194244512</v>
          </cell>
          <cell r="T21">
            <v>128263.99455184198</v>
          </cell>
          <cell r="U21">
            <v>175110.39400702619</v>
          </cell>
          <cell r="V21">
            <v>282774.43340772885</v>
          </cell>
          <cell r="W21">
            <v>716456.87674850167</v>
          </cell>
          <cell r="X21">
            <v>1676166.314423352</v>
          </cell>
        </row>
        <row r="22">
          <cell r="K22">
            <v>19</v>
          </cell>
          <cell r="L22">
            <v>29276.276300486359</v>
          </cell>
          <cell r="M22">
            <v>35074.994145464443</v>
          </cell>
          <cell r="N22">
            <v>47709.730679362823</v>
          </cell>
          <cell r="O22">
            <v>95580.53961916102</v>
          </cell>
          <cell r="P22">
            <v>143468.16217514762</v>
          </cell>
          <cell r="T22">
            <v>133953.38258532042</v>
          </cell>
          <cell r="U22">
            <v>182943.7208438525</v>
          </cell>
          <cell r="V22">
            <v>295564.84292823775</v>
          </cell>
          <cell r="W22">
            <v>749295.07722106157</v>
          </cell>
          <cell r="X22">
            <v>1753402.3974431679</v>
          </cell>
        </row>
        <row r="23">
          <cell r="K23">
            <v>20</v>
          </cell>
          <cell r="L23">
            <v>31561.116023282215</v>
          </cell>
          <cell r="M23">
            <v>37677.97013979817</v>
          </cell>
          <cell r="N23">
            <v>50971.863517228492</v>
          </cell>
          <cell r="O23">
            <v>101504.7165367972</v>
          </cell>
          <cell r="P23">
            <v>157266.19839204173</v>
          </cell>
          <cell r="T23">
            <v>139642.77061879888</v>
          </cell>
          <cell r="U23">
            <v>190777.04768067878</v>
          </cell>
          <cell r="V23">
            <v>308355.25244874664</v>
          </cell>
          <cell r="W23">
            <v>782133.27769362135</v>
          </cell>
          <cell r="X23">
            <v>1830638.4804629835</v>
          </cell>
        </row>
        <row r="24">
          <cell r="K24">
            <v>21</v>
          </cell>
          <cell r="L24">
            <v>34009.946604323595</v>
          </cell>
          <cell r="M24">
            <v>40483.1023076743</v>
          </cell>
          <cell r="N24">
            <v>54641.739591638812</v>
          </cell>
          <cell r="O24">
            <v>108100.47658500832</v>
          </cell>
          <cell r="P24">
            <v>173667.52080389639</v>
          </cell>
          <cell r="T24">
            <v>145332.15865227731</v>
          </cell>
          <cell r="U24">
            <v>198610.37451750509</v>
          </cell>
          <cell r="V24">
            <v>321145.6619692556</v>
          </cell>
          <cell r="W24">
            <v>814971.47816618124</v>
          </cell>
          <cell r="X24">
            <v>1907874.5634827993</v>
          </cell>
        </row>
        <row r="25">
          <cell r="K25">
            <v>22</v>
          </cell>
          <cell r="L25">
            <v>36634.538235331078</v>
          </cell>
          <cell r="M25">
            <v>43561.417331527664</v>
          </cell>
          <cell r="N25">
            <v>58641.674296658151</v>
          </cell>
          <cell r="O25">
            <v>115316.45592085565</v>
          </cell>
          <cell r="P25">
            <v>185363.74592555995</v>
          </cell>
          <cell r="T25">
            <v>151021.54668575578</v>
          </cell>
          <cell r="U25">
            <v>206443.70135433137</v>
          </cell>
          <cell r="V25">
            <v>333936.07148976449</v>
          </cell>
          <cell r="W25">
            <v>847809.67863874102</v>
          </cell>
          <cell r="X25">
            <v>1985110.6465026152</v>
          </cell>
        </row>
        <row r="26">
          <cell r="K26">
            <v>23</v>
          </cell>
          <cell r="L26">
            <v>39447.505895439739</v>
          </cell>
          <cell r="M26">
            <v>46769.893451378055</v>
          </cell>
          <cell r="N26">
            <v>62698.039224057815</v>
          </cell>
          <cell r="O26">
            <v>122561.59014963175</v>
          </cell>
          <cell r="P26">
            <v>194255.91934723043</v>
          </cell>
          <cell r="T26">
            <v>156710.93471923424</v>
          </cell>
          <cell r="U26">
            <v>214277.02819115765</v>
          </cell>
          <cell r="V26">
            <v>346726.48101027345</v>
          </cell>
          <cell r="W26">
            <v>880647.87911130092</v>
          </cell>
          <cell r="X26">
            <v>2062346.729522431</v>
          </cell>
        </row>
        <row r="27">
          <cell r="K27">
            <v>24</v>
          </cell>
          <cell r="L27">
            <v>42462.369984517027</v>
          </cell>
          <cell r="M27">
            <v>50311.665879092536</v>
          </cell>
          <cell r="N27">
            <v>67313.937400448282</v>
          </cell>
          <cell r="O27">
            <v>130763.22334191311</v>
          </cell>
          <cell r="P27">
            <v>204715.44326334211</v>
          </cell>
          <cell r="T27">
            <v>162400.32275271267</v>
          </cell>
          <cell r="U27">
            <v>222110.35502798393</v>
          </cell>
          <cell r="V27">
            <v>359516.8905307824</v>
          </cell>
          <cell r="W27">
            <v>913486.0795838607</v>
          </cell>
          <cell r="X27">
            <v>2139582.8125422467</v>
          </cell>
        </row>
        <row r="28">
          <cell r="K28">
            <v>25</v>
          </cell>
          <cell r="L28">
            <v>45693.621308343718</v>
          </cell>
          <cell r="M28">
            <v>54073.175003945638</v>
          </cell>
          <cell r="N28">
            <v>72125.845879448229</v>
          </cell>
          <cell r="O28">
            <v>139369.87523300829</v>
          </cell>
          <cell r="P28">
            <v>215425.61427332016</v>
          </cell>
          <cell r="T28">
            <v>168089.71078619111</v>
          </cell>
          <cell r="U28">
            <v>229943.68186481023</v>
          </cell>
          <cell r="V28">
            <v>372307.3000512913</v>
          </cell>
          <cell r="W28">
            <v>946324.28005642048</v>
          </cell>
          <cell r="X28">
            <v>2216818.8955620625</v>
          </cell>
        </row>
        <row r="29">
          <cell r="K29">
            <v>26</v>
          </cell>
          <cell r="L29">
            <v>49156.790728006417</v>
          </cell>
          <cell r="M29">
            <v>58079.828833926251</v>
          </cell>
          <cell r="N29">
            <v>77252.661931416835</v>
          </cell>
          <cell r="O29">
            <v>148350.2420406632</v>
          </cell>
          <cell r="P29">
            <v>226939.51188803394</v>
          </cell>
          <cell r="T29">
            <v>173779.09881966957</v>
          </cell>
          <cell r="U29">
            <v>237777.00870163651</v>
          </cell>
          <cell r="V29">
            <v>385097.70957180019</v>
          </cell>
          <cell r="W29">
            <v>979162.48052898038</v>
          </cell>
          <cell r="X29">
            <v>2294054.9785818784</v>
          </cell>
        </row>
        <row r="30">
          <cell r="K30">
            <v>27</v>
          </cell>
          <cell r="L30">
            <v>52868.523808268132</v>
          </cell>
          <cell r="M30">
            <v>62368.985766527236</v>
          </cell>
          <cell r="N30">
            <v>82720.324513717162</v>
          </cell>
          <cell r="O30">
            <v>158008.69143623821</v>
          </cell>
          <cell r="P30">
            <v>239429.1677670764</v>
          </cell>
          <cell r="T30">
            <v>179468.486853148</v>
          </cell>
          <cell r="U30">
            <v>245610.33553846279</v>
          </cell>
          <cell r="V30">
            <v>397888.11909230915</v>
          </cell>
          <cell r="W30">
            <v>1012000.6810015402</v>
          </cell>
          <cell r="X30">
            <v>2371291.0616016942</v>
          </cell>
        </row>
        <row r="31">
          <cell r="K31">
            <v>28</v>
          </cell>
          <cell r="L31">
            <v>56846.660823710707</v>
          </cell>
          <cell r="M31">
            <v>66926.150305849689</v>
          </cell>
          <cell r="N31">
            <v>88433.174310601171</v>
          </cell>
          <cell r="O31">
            <v>168326.14538209527</v>
          </cell>
          <cell r="P31">
            <v>253395.93774105425</v>
          </cell>
          <cell r="T31">
            <v>185157.87488662647</v>
          </cell>
          <cell r="U31">
            <v>253443.6623752891</v>
          </cell>
          <cell r="V31">
            <v>410678.5286128181</v>
          </cell>
          <cell r="W31">
            <v>1044838.8814741001</v>
          </cell>
          <cell r="X31">
            <v>2448527.1446215101</v>
          </cell>
        </row>
        <row r="32">
          <cell r="K32">
            <v>29</v>
          </cell>
          <cell r="L32">
            <v>61110.3225071954</v>
          </cell>
          <cell r="M32">
            <v>71909.456860487029</v>
          </cell>
          <cell r="N32">
            <v>95016.724322714377</v>
          </cell>
          <cell r="O32">
            <v>180462.02468798024</v>
          </cell>
          <cell r="P32">
            <v>269111.9215568311</v>
          </cell>
          <cell r="T32">
            <v>190863.14162790234</v>
          </cell>
          <cell r="U32">
            <v>261290.21329832528</v>
          </cell>
          <cell r="V32">
            <v>423468.938133327</v>
          </cell>
          <cell r="W32">
            <v>1077932.6215086782</v>
          </cell>
          <cell r="X32">
            <v>2525763.2276413259</v>
          </cell>
        </row>
        <row r="33">
          <cell r="K33">
            <v>30</v>
          </cell>
          <cell r="L33">
            <v>65680.001952787134</v>
          </cell>
          <cell r="M33">
            <v>77224.964883952984</v>
          </cell>
          <cell r="N33">
            <v>101868.50891755569</v>
          </cell>
          <cell r="O33">
            <v>192673.35317579008</v>
          </cell>
          <cell r="P33">
            <v>284936.6431252308</v>
          </cell>
          <cell r="T33">
            <v>196663.61286678724</v>
          </cell>
          <cell r="U33">
            <v>269307.76347360696</v>
          </cell>
          <cell r="V33">
            <v>436498.61926985084</v>
          </cell>
          <cell r="W33">
            <v>1111368.2906063378</v>
          </cell>
          <cell r="X33">
            <v>2603895.6752189337</v>
          </cell>
        </row>
        <row r="34">
          <cell r="K34">
            <v>31</v>
          </cell>
          <cell r="L34">
            <v>68946.837990134227</v>
          </cell>
          <cell r="M34">
            <v>82977.001107809148</v>
          </cell>
          <cell r="N34">
            <v>109247.66551910572</v>
          </cell>
          <cell r="O34">
            <v>205710.89057429146</v>
          </cell>
          <cell r="P34">
            <v>302074.48782038403</v>
          </cell>
          <cell r="T34">
            <v>202464.08410567214</v>
          </cell>
          <cell r="U34">
            <v>277325.31364888867</v>
          </cell>
          <cell r="V34">
            <v>449825.11207035818</v>
          </cell>
          <cell r="W34">
            <v>1145354.6959446499</v>
          </cell>
          <cell r="X34">
            <v>2685591.9040212682</v>
          </cell>
        </row>
        <row r="35">
          <cell r="K35">
            <v>32</v>
          </cell>
          <cell r="L35">
            <v>72448.146161420067</v>
          </cell>
          <cell r="M35">
            <v>88592.612648810507</v>
          </cell>
          <cell r="N35">
            <v>117010.65127352798</v>
          </cell>
          <cell r="O35">
            <v>219761.91033099376</v>
          </cell>
          <cell r="P35">
            <v>320093.68795940961</v>
          </cell>
          <cell r="T35">
            <v>208391.51725776092</v>
          </cell>
          <cell r="U35">
            <v>285510.66898353701</v>
          </cell>
          <cell r="V35">
            <v>463203.73588189075</v>
          </cell>
          <cell r="W35">
            <v>1180194.1094700799</v>
          </cell>
          <cell r="X35">
            <v>2767356.0204170877</v>
          </cell>
        </row>
        <row r="36">
          <cell r="K36">
            <v>33</v>
          </cell>
          <cell r="L36">
            <v>76200.755343565717</v>
          </cell>
          <cell r="M36">
            <v>93105.924956101415</v>
          </cell>
          <cell r="N36">
            <v>125127.9725742256</v>
          </cell>
          <cell r="O36">
            <v>234538.41940298415</v>
          </cell>
          <cell r="P36">
            <v>339164.14952323883</v>
          </cell>
          <cell r="T36">
            <v>214318.9504098497</v>
          </cell>
          <cell r="U36">
            <v>293710.84545083466</v>
          </cell>
          <cell r="V36">
            <v>476675.92999591812</v>
          </cell>
          <cell r="W36">
            <v>1215033.5229955099</v>
          </cell>
          <cell r="X36">
            <v>2849534.3752950612</v>
          </cell>
        </row>
        <row r="37">
          <cell r="K37">
            <v>34</v>
          </cell>
          <cell r="L37">
            <v>80222.702280259429</v>
          </cell>
          <cell r="M37">
            <v>98093.593024921094</v>
          </cell>
          <cell r="N37">
            <v>134277.60959034087</v>
          </cell>
          <cell r="O37">
            <v>251090.71369793112</v>
          </cell>
          <cell r="P37">
            <v>360241.28502284456</v>
          </cell>
          <cell r="T37">
            <v>220246.38356193848</v>
          </cell>
          <cell r="U37">
            <v>301911.02191813232</v>
          </cell>
          <cell r="V37">
            <v>490148.12410994555</v>
          </cell>
          <cell r="W37">
            <v>1249872.9365209402</v>
          </cell>
          <cell r="X37">
            <v>2931712.7301730346</v>
          </cell>
        </row>
        <row r="38">
          <cell r="K38">
            <v>35</v>
          </cell>
          <cell r="L38">
            <v>84533.318274736914</v>
          </cell>
          <cell r="M38">
            <v>103524.36085513508</v>
          </cell>
          <cell r="N38">
            <v>142372.9729246567</v>
          </cell>
          <cell r="O38">
            <v>268448.71290335787</v>
          </cell>
          <cell r="P38">
            <v>382381.64063262125</v>
          </cell>
          <cell r="T38">
            <v>226173.81671402726</v>
          </cell>
          <cell r="U38">
            <v>310111.19838542998</v>
          </cell>
          <cell r="V38">
            <v>503620.31822397298</v>
          </cell>
          <cell r="W38">
            <v>1284712.3500463704</v>
          </cell>
          <cell r="X38">
            <v>3013891.0850510076</v>
          </cell>
        </row>
        <row r="39">
          <cell r="K39">
            <v>36</v>
          </cell>
          <cell r="L39">
            <v>89153.322104802355</v>
          </cell>
          <cell r="M39">
            <v>109336.24112426533</v>
          </cell>
          <cell r="N39">
            <v>150360.18774897605</v>
          </cell>
          <cell r="O39">
            <v>286555.30116916471</v>
          </cell>
          <cell r="P39">
            <v>404402.00785357563</v>
          </cell>
          <cell r="T39">
            <v>232101.24986611604</v>
          </cell>
          <cell r="U39">
            <v>318311.37485272769</v>
          </cell>
          <cell r="V39">
            <v>517092.51233800041</v>
          </cell>
          <cell r="W39">
            <v>1319551.7635718007</v>
          </cell>
          <cell r="X39">
            <v>3096069.439928981</v>
          </cell>
        </row>
        <row r="40">
          <cell r="K40">
            <v>37</v>
          </cell>
          <cell r="L40">
            <v>94104.919606682539</v>
          </cell>
          <cell r="M40">
            <v>115438.27391491983</v>
          </cell>
          <cell r="N40">
            <v>158903.03243934349</v>
          </cell>
          <cell r="O40">
            <v>305381.39836842776</v>
          </cell>
          <cell r="P40">
            <v>429602.7207360816</v>
          </cell>
          <cell r="T40">
            <v>238028.68301820479</v>
          </cell>
          <cell r="U40">
            <v>326511.55132002529</v>
          </cell>
          <cell r="V40">
            <v>530564.70645202789</v>
          </cell>
          <cell r="W40">
            <v>1354391.1770972307</v>
          </cell>
          <cell r="X40">
            <v>3178247.794806954</v>
          </cell>
        </row>
        <row r="41">
          <cell r="K41">
            <v>38</v>
          </cell>
          <cell r="L41">
            <v>99411.910406358715</v>
          </cell>
          <cell r="M41">
            <v>121955.00500168031</v>
          </cell>
          <cell r="N41">
            <v>167791.87483036291</v>
          </cell>
          <cell r="O41">
            <v>325595.7216859844</v>
          </cell>
          <cell r="P41">
            <v>455738.94028841017</v>
          </cell>
          <cell r="T41">
            <v>243956.11617029356</v>
          </cell>
          <cell r="U41">
            <v>334711.72778732295</v>
          </cell>
          <cell r="V41">
            <v>544036.90056605532</v>
          </cell>
          <cell r="W41">
            <v>1389230.5906226609</v>
          </cell>
          <cell r="X41">
            <v>3260426.149684927</v>
          </cell>
        </row>
        <row r="42">
          <cell r="K42">
            <v>39</v>
          </cell>
          <cell r="L42">
            <v>105099.80231137591</v>
          </cell>
          <cell r="M42">
            <v>128845.35339229734</v>
          </cell>
          <cell r="N42">
            <v>177293.86486455292</v>
          </cell>
          <cell r="O42">
            <v>345268.16438133456</v>
          </cell>
          <cell r="P42">
            <v>484619.43485490943</v>
          </cell>
          <cell r="T42">
            <v>249883.54932238234</v>
          </cell>
          <cell r="U42">
            <v>342911.9042546206</v>
          </cell>
          <cell r="V42">
            <v>557509.09468008275</v>
          </cell>
          <cell r="W42">
            <v>1424070.004148091</v>
          </cell>
          <cell r="X42">
            <v>3342604.5045629004</v>
          </cell>
        </row>
        <row r="43">
          <cell r="K43">
            <v>40</v>
          </cell>
          <cell r="L43">
            <v>111195.83045140664</v>
          </cell>
          <cell r="M43">
            <v>136194.09401322569</v>
          </cell>
          <cell r="N43">
            <v>187737.66713221357</v>
          </cell>
          <cell r="O43">
            <v>366454.24349221133</v>
          </cell>
          <cell r="P43">
            <v>516441.17780320806</v>
          </cell>
          <cell r="T43">
            <v>255810.98247447115</v>
          </cell>
          <cell r="U43">
            <v>351112.08072191826</v>
          </cell>
          <cell r="V43">
            <v>570981.28879411006</v>
          </cell>
          <cell r="W43">
            <v>1458909.4176735212</v>
          </cell>
          <cell r="X43">
            <v>3424782.8594408734</v>
          </cell>
        </row>
        <row r="44">
          <cell r="K44">
            <v>41</v>
          </cell>
          <cell r="L44">
            <v>117729.3837134114</v>
          </cell>
          <cell r="M44">
            <v>144288.09353151682</v>
          </cell>
          <cell r="N44">
            <v>199190.2723509311</v>
          </cell>
          <cell r="O44">
            <v>389368.62240997958</v>
          </cell>
          <cell r="P44">
            <v>551240.76766568329</v>
          </cell>
          <cell r="T44">
            <v>261738.41562655996</v>
          </cell>
          <cell r="U44">
            <v>359312.25718921592</v>
          </cell>
          <cell r="V44">
            <v>584453.48290813749</v>
          </cell>
          <cell r="W44">
            <v>1493748.8311989512</v>
          </cell>
          <cell r="X44">
            <v>3506961.2143188468</v>
          </cell>
        </row>
        <row r="45">
          <cell r="K45">
            <v>42</v>
          </cell>
          <cell r="L45">
            <v>124731.87271569562</v>
          </cell>
          <cell r="M45">
            <v>153039.57363793612</v>
          </cell>
          <cell r="N45">
            <v>211812.58801458497</v>
          </cell>
          <cell r="O45">
            <v>414608.5525433803</v>
          </cell>
          <cell r="P45">
            <v>588663.72760539316</v>
          </cell>
          <cell r="T45">
            <v>267665.84877864871</v>
          </cell>
          <cell r="U45">
            <v>367512.43365651357</v>
          </cell>
          <cell r="V45">
            <v>597925.67702216492</v>
          </cell>
          <cell r="W45">
            <v>1528588.2447243815</v>
          </cell>
          <cell r="X45">
            <v>3589139.5691968198</v>
          </cell>
        </row>
        <row r="46">
          <cell r="K46">
            <v>43</v>
          </cell>
          <cell r="L46">
            <v>132236.95460004604</v>
          </cell>
          <cell r="M46">
            <v>162095.97801082022</v>
          </cell>
          <cell r="N46">
            <v>224925.57977297233</v>
          </cell>
          <cell r="O46">
            <v>440057.65420750715</v>
          </cell>
          <cell r="P46">
            <v>626381.0324356982</v>
          </cell>
          <cell r="T46">
            <v>273593.28193073749</v>
          </cell>
          <cell r="U46">
            <v>375712.61012381123</v>
          </cell>
          <cell r="V46">
            <v>611397.87113619235</v>
          </cell>
          <cell r="W46">
            <v>1563427.6582498117</v>
          </cell>
          <cell r="X46">
            <v>3671317.9240747932</v>
          </cell>
        </row>
        <row r="47">
          <cell r="K47">
            <v>44</v>
          </cell>
          <cell r="L47">
            <v>140280.7021978547</v>
          </cell>
          <cell r="M47">
            <v>171773.21033300663</v>
          </cell>
          <cell r="N47">
            <v>238276.02804493564</v>
          </cell>
          <cell r="O47">
            <v>467306.25284793961</v>
          </cell>
          <cell r="P47">
            <v>666359.98475052416</v>
          </cell>
          <cell r="T47">
            <v>279520.71508282627</v>
          </cell>
          <cell r="U47">
            <v>383912.78659110889</v>
          </cell>
          <cell r="V47">
            <v>624870.06525021978</v>
          </cell>
          <cell r="W47">
            <v>1598267.071775242</v>
          </cell>
          <cell r="X47">
            <v>3753496.2789527662</v>
          </cell>
        </row>
        <row r="48">
          <cell r="K48">
            <v>45</v>
          </cell>
          <cell r="L48">
            <v>148901.77741252608</v>
          </cell>
          <cell r="M48">
            <v>182161.95258932267</v>
          </cell>
          <cell r="N48">
            <v>252130.93191686951</v>
          </cell>
          <cell r="O48">
            <v>496639.30931567377</v>
          </cell>
          <cell r="P48">
            <v>709325.16439252812</v>
          </cell>
          <cell r="T48">
            <v>285448.14823491505</v>
          </cell>
          <cell r="U48">
            <v>392112.96305840655</v>
          </cell>
          <cell r="V48">
            <v>638342.25936424721</v>
          </cell>
          <cell r="W48">
            <v>1633106.485300672</v>
          </cell>
          <cell r="X48">
            <v>3835674.6338307397</v>
          </cell>
        </row>
        <row r="49">
          <cell r="K49">
            <v>46</v>
          </cell>
          <cell r="L49">
            <v>158141.61704614019</v>
          </cell>
          <cell r="M49">
            <v>193206.59107855934</v>
          </cell>
          <cell r="N49">
            <v>266880.18635884963</v>
          </cell>
          <cell r="O49">
            <v>527720.17307599634</v>
          </cell>
          <cell r="P49">
            <v>753273.14395466493</v>
          </cell>
          <cell r="T49">
            <v>291375.58138700383</v>
          </cell>
          <cell r="U49">
            <v>400313.1395257042</v>
          </cell>
          <cell r="V49">
            <v>651814.45347827463</v>
          </cell>
          <cell r="W49">
            <v>1667945.8988261023</v>
          </cell>
          <cell r="X49">
            <v>3917852.9887087126</v>
          </cell>
        </row>
        <row r="50">
          <cell r="K50">
            <v>47</v>
          </cell>
          <cell r="L50">
            <v>168044.63196353897</v>
          </cell>
          <cell r="M50">
            <v>205057.83982324961</v>
          </cell>
          <cell r="N50">
            <v>282733.43272314564</v>
          </cell>
          <cell r="O50">
            <v>560894.48753860174</v>
          </cell>
          <cell r="P50">
            <v>796207.21319163172</v>
          </cell>
          <cell r="T50">
            <v>297303.0145390926</v>
          </cell>
          <cell r="U50">
            <v>408513.3159930018</v>
          </cell>
          <cell r="V50">
            <v>665286.64759230218</v>
          </cell>
          <cell r="W50">
            <v>1702785.3123515323</v>
          </cell>
          <cell r="X50">
            <v>4000031.3435866856</v>
          </cell>
        </row>
        <row r="51">
          <cell r="K51">
            <v>48</v>
          </cell>
          <cell r="L51">
            <v>178658.42055110796</v>
          </cell>
          <cell r="M51">
            <v>217607.87188967346</v>
          </cell>
          <cell r="N51">
            <v>299778.35802827356</v>
          </cell>
          <cell r="O51">
            <v>593952.40865693032</v>
          </cell>
          <cell r="P51">
            <v>841310.94830571418</v>
          </cell>
          <cell r="T51">
            <v>303230.44769118138</v>
          </cell>
          <cell r="U51">
            <v>416713.49246029946</v>
          </cell>
          <cell r="V51">
            <v>678758.84170632961</v>
          </cell>
          <cell r="W51">
            <v>1737624.7258769625</v>
          </cell>
          <cell r="X51">
            <v>4082209.6984646586</v>
          </cell>
        </row>
        <row r="52">
          <cell r="K52">
            <v>49</v>
          </cell>
          <cell r="L52">
            <v>190033.99749623501</v>
          </cell>
          <cell r="M52">
            <v>231245.88081260055</v>
          </cell>
          <cell r="N52">
            <v>317556.23835718312</v>
          </cell>
          <cell r="O52">
            <v>626751.71981321415</v>
          </cell>
          <cell r="P52">
            <v>892414.87557016802</v>
          </cell>
          <cell r="T52">
            <v>309157.88084327016</v>
          </cell>
          <cell r="U52">
            <v>424913.66892759711</v>
          </cell>
          <cell r="V52">
            <v>692231.03582035704</v>
          </cell>
          <cell r="W52">
            <v>1772464.1394023926</v>
          </cell>
          <cell r="X52">
            <v>4164388.053342632</v>
          </cell>
        </row>
        <row r="53">
          <cell r="K53">
            <v>50</v>
          </cell>
          <cell r="L53">
            <v>202464.08410567214</v>
          </cell>
          <cell r="M53">
            <v>245885.2853104354</v>
          </cell>
          <cell r="N53">
            <v>336561.942564325</v>
          </cell>
          <cell r="O53">
            <v>663475.72410607361</v>
          </cell>
          <cell r="P53">
            <v>948227.92893419019</v>
          </cell>
          <cell r="T53">
            <v>315085.31399535894</v>
          </cell>
          <cell r="U53">
            <v>433113.84539489483</v>
          </cell>
          <cell r="V53">
            <v>705703.22993438446</v>
          </cell>
          <cell r="W53">
            <v>1807303.5529278228</v>
          </cell>
          <cell r="X53">
            <v>4246566.408220605</v>
          </cell>
        </row>
        <row r="54">
          <cell r="K54">
            <v>51</v>
          </cell>
          <cell r="L54">
            <v>216077.92094656249</v>
          </cell>
          <cell r="M54">
            <v>260714.6902641707</v>
          </cell>
          <cell r="N54">
            <v>356752.48777482286</v>
          </cell>
          <cell r="O54">
            <v>702905.98884572077</v>
          </cell>
          <cell r="P54">
            <v>1005478.5961148695</v>
          </cell>
          <cell r="T54">
            <v>321012.74714744772</v>
          </cell>
          <cell r="U54">
            <v>441314.02186219243</v>
          </cell>
          <cell r="V54">
            <v>719175.42404841189</v>
          </cell>
          <cell r="W54">
            <v>1842142.9664532528</v>
          </cell>
          <cell r="X54">
            <v>4328744.763098578</v>
          </cell>
        </row>
        <row r="55">
          <cell r="K55">
            <v>52</v>
          </cell>
          <cell r="L55">
            <v>230668.86999592787</v>
          </cell>
          <cell r="M55">
            <v>277975.98214441777</v>
          </cell>
          <cell r="N55">
            <v>380065.35549023282</v>
          </cell>
          <cell r="O55">
            <v>747011.80733607896</v>
          </cell>
          <cell r="P55">
            <v>1068552.2196363551</v>
          </cell>
          <cell r="T55">
            <v>326940.1802995365</v>
          </cell>
          <cell r="U55">
            <v>449514.19832949014</v>
          </cell>
          <cell r="V55">
            <v>732647.61816243932</v>
          </cell>
          <cell r="W55">
            <v>1876982.3799786831</v>
          </cell>
          <cell r="X55">
            <v>4410923.1179765519</v>
          </cell>
        </row>
        <row r="56">
          <cell r="K56">
            <v>53</v>
          </cell>
          <cell r="L56">
            <v>246307.06198025664</v>
          </cell>
          <cell r="M56">
            <v>297221.32820633071</v>
          </cell>
          <cell r="N56">
            <v>405310.30455440679</v>
          </cell>
          <cell r="O56">
            <v>792624.81850703747</v>
          </cell>
          <cell r="P56">
            <v>1135460.5409884979</v>
          </cell>
          <cell r="T56">
            <v>332867.61345162528</v>
          </cell>
          <cell r="U56">
            <v>457714.3747967878</v>
          </cell>
          <cell r="V56">
            <v>746119.81227646663</v>
          </cell>
          <cell r="W56">
            <v>1911821.7935041133</v>
          </cell>
          <cell r="X56">
            <v>4493101.4728545249</v>
          </cell>
        </row>
        <row r="57">
          <cell r="K57">
            <v>54</v>
          </cell>
          <cell r="L57">
            <v>263067.66115110822</v>
          </cell>
          <cell r="M57">
            <v>317881.26528289204</v>
          </cell>
          <cell r="N57">
            <v>430550.56681762933</v>
          </cell>
          <cell r="O57">
            <v>840003.48785740929</v>
          </cell>
          <cell r="P57">
            <v>1202787.5913941714</v>
          </cell>
          <cell r="T57">
            <v>338795.04660371406</v>
          </cell>
          <cell r="U57">
            <v>465914.55126408546</v>
          </cell>
          <cell r="V57">
            <v>759592.00639049406</v>
          </cell>
          <cell r="W57">
            <v>1946661.2070295434</v>
          </cell>
          <cell r="X57">
            <v>4575279.8277324978</v>
          </cell>
        </row>
        <row r="58">
          <cell r="K58">
            <v>55</v>
          </cell>
          <cell r="L58">
            <v>281031.2265586346</v>
          </cell>
          <cell r="M58">
            <v>339079.83026278776</v>
          </cell>
          <cell r="N58">
            <v>458383.46979831893</v>
          </cell>
          <cell r="O58">
            <v>889923.62534934084</v>
          </cell>
          <cell r="P58">
            <v>1275312.4499331585</v>
          </cell>
          <cell r="T58">
            <v>344722.47975580284</v>
          </cell>
          <cell r="U58">
            <v>474114.72773138311</v>
          </cell>
          <cell r="V58">
            <v>773064.20050452149</v>
          </cell>
          <cell r="W58">
            <v>1981500.6205549736</v>
          </cell>
          <cell r="X58">
            <v>4657458.1826104717</v>
          </cell>
        </row>
        <row r="59">
          <cell r="K59">
            <v>56</v>
          </cell>
          <cell r="L59">
            <v>300284.09925495624</v>
          </cell>
          <cell r="M59">
            <v>361569.73287572316</v>
          </cell>
          <cell r="N59">
            <v>488647.19172683056</v>
          </cell>
          <cell r="O59">
            <v>943386.46165567264</v>
          </cell>
          <cell r="P59">
            <v>1353080.501680641</v>
          </cell>
          <cell r="T59">
            <v>350649.91290789162</v>
          </cell>
          <cell r="U59">
            <v>482314.90419868077</v>
          </cell>
          <cell r="V59">
            <v>786536.39461854892</v>
          </cell>
          <cell r="W59">
            <v>2016340.0340804036</v>
          </cell>
          <cell r="X59">
            <v>4739636.5374884447</v>
          </cell>
        </row>
        <row r="60">
          <cell r="K60">
            <v>57</v>
          </cell>
          <cell r="L60">
            <v>320918.81728846359</v>
          </cell>
          <cell r="M60">
            <v>386457.52842069557</v>
          </cell>
          <cell r="N60">
            <v>521349.89331484796</v>
          </cell>
          <cell r="O60">
            <v>1000990.4333649687</v>
          </cell>
          <cell r="P60">
            <v>1430246.2374665507</v>
          </cell>
          <cell r="T60">
            <v>356577.34605998034</v>
          </cell>
          <cell r="U60">
            <v>490515.08066597843</v>
          </cell>
          <cell r="V60">
            <v>800008.58873257635</v>
          </cell>
          <cell r="W60">
            <v>2051179.4476058339</v>
          </cell>
          <cell r="X60">
            <v>4821814.8923664177</v>
          </cell>
        </row>
        <row r="61">
          <cell r="K61">
            <v>58</v>
          </cell>
          <cell r="L61">
            <v>343034.56048369553</v>
          </cell>
          <cell r="M61">
            <v>412285.36232209357</v>
          </cell>
          <cell r="N61">
            <v>556343.42493231257</v>
          </cell>
          <cell r="O61">
            <v>1063632.0609803707</v>
          </cell>
          <cell r="P61">
            <v>1510608.8710470924</v>
          </cell>
          <cell r="T61">
            <v>362504.77921206912</v>
          </cell>
          <cell r="U61">
            <v>498715.25713327609</v>
          </cell>
          <cell r="V61">
            <v>813480.78284660366</v>
          </cell>
          <cell r="W61">
            <v>2086018.8611312639</v>
          </cell>
          <cell r="X61">
            <v>4903993.2472443907</v>
          </cell>
        </row>
        <row r="62">
          <cell r="K62">
            <v>59</v>
          </cell>
          <cell r="L62">
            <v>366737.62714461319</v>
          </cell>
          <cell r="M62">
            <v>440824.98876863928</v>
          </cell>
          <cell r="N62">
            <v>594262.8435954958</v>
          </cell>
          <cell r="O62">
            <v>1131686.0200432963</v>
          </cell>
          <cell r="P62">
            <v>1599208.7971112158</v>
          </cell>
          <cell r="T62">
            <v>368432.21236415789</v>
          </cell>
          <cell r="U62">
            <v>506915.43360057374</v>
          </cell>
          <cell r="V62">
            <v>826952.97696063109</v>
          </cell>
          <cell r="W62">
            <v>2120858.2746566939</v>
          </cell>
          <cell r="X62">
            <v>4986171.6021223646</v>
          </cell>
        </row>
        <row r="63">
          <cell r="K63">
            <v>60</v>
          </cell>
          <cell r="L63">
            <v>392141.94497251301</v>
          </cell>
          <cell r="M63">
            <v>470748.55529155745</v>
          </cell>
          <cell r="N63">
            <v>634535.01730762306</v>
          </cell>
          <cell r="O63">
            <v>1208427.9701910885</v>
          </cell>
          <cell r="P63">
            <v>1697506.6441617273</v>
          </cell>
          <cell r="T63">
            <v>374359.64551624667</v>
          </cell>
          <cell r="U63">
            <v>515115.61006787134</v>
          </cell>
          <cell r="V63">
            <v>840425.17107465852</v>
          </cell>
          <cell r="W63">
            <v>2155697.6881821244</v>
          </cell>
          <cell r="X63">
            <v>5068349.9570003375</v>
          </cell>
        </row>
        <row r="64">
          <cell r="K64">
            <v>61</v>
          </cell>
          <cell r="L64">
            <v>419369.61865429371</v>
          </cell>
          <cell r="M64">
            <v>503609.17607035255</v>
          </cell>
          <cell r="N64">
            <v>678460.66752578062</v>
          </cell>
          <cell r="O64">
            <v>1292716.1142577378</v>
          </cell>
          <cell r="P64">
            <v>1799907.4374602123</v>
          </cell>
          <cell r="T64">
            <v>380287.07866833545</v>
          </cell>
          <cell r="U64">
            <v>523315.786535169</v>
          </cell>
          <cell r="V64">
            <v>853897.36518868594</v>
          </cell>
          <cell r="W64">
            <v>2190537.1017075544</v>
          </cell>
          <cell r="X64">
            <v>5150528.3118783105</v>
          </cell>
        </row>
        <row r="65">
          <cell r="K65">
            <v>62</v>
          </cell>
          <cell r="L65">
            <v>448551.51675302436</v>
          </cell>
          <cell r="M65">
            <v>538428.44644102664</v>
          </cell>
          <cell r="N65">
            <v>726027.49324814021</v>
          </cell>
          <cell r="O65">
            <v>1383881.4506917524</v>
          </cell>
          <cell r="P65">
            <v>1917460.5787300309</v>
          </cell>
          <cell r="T65">
            <v>386214.51182042423</v>
          </cell>
          <cell r="U65">
            <v>531515.9630024666</v>
          </cell>
          <cell r="V65">
            <v>867369.55930271337</v>
          </cell>
          <cell r="W65">
            <v>2225376.5152329844</v>
          </cell>
          <cell r="X65">
            <v>5232706.6667562826</v>
          </cell>
        </row>
        <row r="66">
          <cell r="K66">
            <v>63</v>
          </cell>
          <cell r="L66">
            <v>479827.90072168206</v>
          </cell>
          <cell r="M66">
            <v>576371.57757199276</v>
          </cell>
          <cell r="N66">
            <v>776834.77243250725</v>
          </cell>
          <cell r="O66">
            <v>1482533.5529296137</v>
          </cell>
          <cell r="P66">
            <v>2039181.1681087164</v>
          </cell>
          <cell r="T66">
            <v>392141.94497251301</v>
          </cell>
          <cell r="U66">
            <v>539716.13946976431</v>
          </cell>
          <cell r="V66">
            <v>880841.7534167408</v>
          </cell>
          <cell r="W66">
            <v>2260215.9287584145</v>
          </cell>
          <cell r="X66">
            <v>5314885.0216342555</v>
          </cell>
        </row>
        <row r="67">
          <cell r="K67">
            <v>64</v>
          </cell>
          <cell r="L67">
            <v>513349.09906338493</v>
          </cell>
          <cell r="M67">
            <v>616797.17551422887</v>
          </cell>
          <cell r="N67">
            <v>831873.929931066</v>
          </cell>
          <cell r="O67">
            <v>1588465.7847522693</v>
          </cell>
          <cell r="P67">
            <v>2165992.0911573763</v>
          </cell>
          <cell r="T67">
            <v>398069.37812460179</v>
          </cell>
          <cell r="U67">
            <v>547916.31593706203</v>
          </cell>
          <cell r="V67">
            <v>894313.94753076823</v>
          </cell>
          <cell r="W67">
            <v>2295055.3422838449</v>
          </cell>
          <cell r="X67">
            <v>5397063.3765122285</v>
          </cell>
        </row>
        <row r="68">
          <cell r="K68">
            <v>65</v>
          </cell>
          <cell r="L68">
            <v>549276.22987843782</v>
          </cell>
          <cell r="M68">
            <v>659845.74791183905</v>
          </cell>
          <cell r="N68">
            <v>891653.07258616271</v>
          </cell>
          <cell r="O68">
            <v>1700343.7289087544</v>
          </cell>
          <cell r="P68">
            <v>2293561.2534739906</v>
          </cell>
          <cell r="T68">
            <v>403996.81127669057</v>
          </cell>
          <cell r="U68">
            <v>556116.49240435963</v>
          </cell>
          <cell r="V68">
            <v>907786.14164479566</v>
          </cell>
          <cell r="W68">
            <v>2329894.755809275</v>
          </cell>
          <cell r="X68">
            <v>5479241.7313902024</v>
          </cell>
        </row>
        <row r="69">
          <cell r="K69">
            <v>66</v>
          </cell>
          <cell r="L69">
            <v>578208.18137042806</v>
          </cell>
          <cell r="M69">
            <v>706608.49155666959</v>
          </cell>
          <cell r="N69">
            <v>954811.92250159499</v>
          </cell>
          <cell r="O69">
            <v>1812984.5368224278</v>
          </cell>
          <cell r="P69">
            <v>2437042.1437460529</v>
          </cell>
          <cell r="T69">
            <v>409924.24442877935</v>
          </cell>
          <cell r="U69">
            <v>564316.66887165734</v>
          </cell>
          <cell r="V69">
            <v>921258.33575882309</v>
          </cell>
          <cell r="W69">
            <v>2364734.169334705</v>
          </cell>
          <cell r="X69">
            <v>5561420.0862681754</v>
          </cell>
        </row>
        <row r="70">
          <cell r="K70">
            <v>67</v>
          </cell>
          <cell r="L70">
            <v>608378.95300539816</v>
          </cell>
          <cell r="M70">
            <v>756767.93652195623</v>
          </cell>
          <cell r="N70">
            <v>1019508.9017561502</v>
          </cell>
          <cell r="O70">
            <v>1933627.578509642</v>
          </cell>
          <cell r="P70">
            <v>2587477.018167248</v>
          </cell>
          <cell r="T70">
            <v>415851.67758086813</v>
          </cell>
          <cell r="U70">
            <v>572516.84533895506</v>
          </cell>
          <cell r="V70">
            <v>934730.52987285051</v>
          </cell>
          <cell r="W70">
            <v>2399573.582860135</v>
          </cell>
          <cell r="X70">
            <v>5643598.4411461493</v>
          </cell>
        </row>
        <row r="71">
          <cell r="K71">
            <v>68</v>
          </cell>
          <cell r="L71">
            <v>640715.18538800185</v>
          </cell>
          <cell r="M71">
            <v>798715.20818464796</v>
          </cell>
          <cell r="N71">
            <v>1086306.624119231</v>
          </cell>
          <cell r="O71">
            <v>2065561.2427186659</v>
          </cell>
          <cell r="P71">
            <v>2755784.5849957354</v>
          </cell>
          <cell r="T71">
            <v>421779.11073295691</v>
          </cell>
          <cell r="U71">
            <v>580717.02180625277</v>
          </cell>
          <cell r="V71">
            <v>948202.72398687794</v>
          </cell>
          <cell r="W71">
            <v>2434412.9963855655</v>
          </cell>
          <cell r="X71">
            <v>5725776.7960241223</v>
          </cell>
        </row>
        <row r="72">
          <cell r="K72">
            <v>69</v>
          </cell>
          <cell r="L72">
            <v>675372.30113408319</v>
          </cell>
          <cell r="M72">
            <v>841778.51562049228</v>
          </cell>
          <cell r="N72">
            <v>1162337.2288970766</v>
          </cell>
          <cell r="O72">
            <v>2209186.8009879114</v>
          </cell>
          <cell r="P72">
            <v>2936639.8904699385</v>
          </cell>
          <cell r="T72">
            <v>427706.54388504568</v>
          </cell>
          <cell r="U72">
            <v>588917.19827355037</v>
          </cell>
          <cell r="V72">
            <v>961674.91810090537</v>
          </cell>
          <cell r="W72">
            <v>2469252.4099109955</v>
          </cell>
          <cell r="X72">
            <v>5807955.1509020953</v>
          </cell>
        </row>
        <row r="73">
          <cell r="K73">
            <v>70</v>
          </cell>
          <cell r="L73">
            <v>712516.87807878188</v>
          </cell>
          <cell r="M73">
            <v>889856.8618376099</v>
          </cell>
          <cell r="N73">
            <v>1245820.362646288</v>
          </cell>
          <cell r="O73">
            <v>2362145.6009097658</v>
          </cell>
          <cell r="P73">
            <v>3137142.1816969919</v>
          </cell>
          <cell r="T73">
            <v>433633.97703713446</v>
          </cell>
          <cell r="U73">
            <v>597117.37474084797</v>
          </cell>
          <cell r="V73">
            <v>975147.1122149328</v>
          </cell>
          <cell r="W73">
            <v>2504091.8234364255</v>
          </cell>
          <cell r="X73">
            <v>5890133.5057800682</v>
          </cell>
        </row>
        <row r="74">
          <cell r="K74">
            <v>71</v>
          </cell>
          <cell r="L74">
            <v>752327.44992524723</v>
          </cell>
          <cell r="M74">
            <v>941842.84192293312</v>
          </cell>
          <cell r="N74">
            <v>1320590.4489970768</v>
          </cell>
          <cell r="O74">
            <v>2525447.0308207385</v>
          </cell>
          <cell r="P74">
            <v>3353002.2047928427</v>
          </cell>
          <cell r="T74">
            <v>439561.41018922324</v>
          </cell>
          <cell r="U74">
            <v>605317.55120814568</v>
          </cell>
          <cell r="V74">
            <v>988619.30632896023</v>
          </cell>
          <cell r="W74">
            <v>2538931.236961856</v>
          </cell>
          <cell r="X74">
            <v>5972311.8606580412</v>
          </cell>
        </row>
        <row r="75">
          <cell r="K75">
            <v>72</v>
          </cell>
          <cell r="L75">
            <v>794995.36435868323</v>
          </cell>
          <cell r="M75">
            <v>996952.18451324687</v>
          </cell>
          <cell r="N75">
            <v>1398332.6936868359</v>
          </cell>
          <cell r="O75">
            <v>2698735.5287803207</v>
          </cell>
          <cell r="P75">
            <v>3580673.5082542915</v>
          </cell>
          <cell r="T75">
            <v>445488.84334131208</v>
          </cell>
          <cell r="U75">
            <v>613517.72767544328</v>
          </cell>
          <cell r="V75">
            <v>1002091.5004429877</v>
          </cell>
          <cell r="W75">
            <v>2573770.650487286</v>
          </cell>
          <cell r="X75">
            <v>6054490.2155360151</v>
          </cell>
        </row>
        <row r="76">
          <cell r="K76">
            <v>73</v>
          </cell>
          <cell r="L76">
            <v>840725.70275020949</v>
          </cell>
          <cell r="M76">
            <v>1053903.8882900055</v>
          </cell>
          <cell r="N76">
            <v>1482169.2828920323</v>
          </cell>
          <cell r="O76">
            <v>2885765.0088641308</v>
          </cell>
          <cell r="P76">
            <v>3825623.1177580887</v>
          </cell>
          <cell r="T76">
            <v>451416.27649340086</v>
          </cell>
          <cell r="U76">
            <v>621717.90414274088</v>
          </cell>
          <cell r="V76">
            <v>1015563.6945570151</v>
          </cell>
          <cell r="W76">
            <v>2608610.0640127161</v>
          </cell>
          <cell r="X76">
            <v>6136668.5704139881</v>
          </cell>
        </row>
        <row r="77">
          <cell r="K77">
            <v>74</v>
          </cell>
          <cell r="L77">
            <v>889738.2658710517</v>
          </cell>
          <cell r="M77">
            <v>1116744.7416914625</v>
          </cell>
          <cell r="N77">
            <v>1575922.3092621714</v>
          </cell>
          <cell r="O77">
            <v>3091829.7441632054</v>
          </cell>
          <cell r="P77">
            <v>4096151.4954179237</v>
          </cell>
          <cell r="T77">
            <v>457343.70964548958</v>
          </cell>
          <cell r="U77">
            <v>629918.0806100386</v>
          </cell>
          <cell r="V77">
            <v>1029035.8886710425</v>
          </cell>
          <cell r="W77">
            <v>2643449.4775381461</v>
          </cell>
          <cell r="X77">
            <v>6218846.9252919611</v>
          </cell>
        </row>
        <row r="78">
          <cell r="K78">
            <v>75</v>
          </cell>
          <cell r="L78">
            <v>942260.01727511862</v>
          </cell>
          <cell r="M78">
            <v>1185008.6020046037</v>
          </cell>
          <cell r="N78">
            <v>1676101.3179611163</v>
          </cell>
          <cell r="O78">
            <v>3306035.1774592092</v>
          </cell>
          <cell r="P78">
            <v>4390835.3665658776</v>
          </cell>
          <cell r="T78">
            <v>463271.14279757836</v>
          </cell>
          <cell r="U78">
            <v>638118.25707733631</v>
          </cell>
          <cell r="V78">
            <v>1042508.0827850699</v>
          </cell>
          <cell r="W78">
            <v>2678288.8910635766</v>
          </cell>
          <cell r="X78">
            <v>6301025.280169934</v>
          </cell>
        </row>
        <row r="79">
          <cell r="K79">
            <v>76</v>
          </cell>
          <cell r="L79">
            <v>992773.3004085588</v>
          </cell>
          <cell r="M79">
            <v>1257351.5271212088</v>
          </cell>
          <cell r="N79">
            <v>1781555.799674347</v>
          </cell>
          <cell r="O79">
            <v>3529299.5322354301</v>
          </cell>
          <cell r="P79">
            <v>4712072.2898059003</v>
          </cell>
          <cell r="T79">
            <v>469198.57594966714</v>
          </cell>
          <cell r="U79">
            <v>646318.43354463391</v>
          </cell>
          <cell r="V79">
            <v>1055980.2768990973</v>
          </cell>
          <cell r="W79">
            <v>2713128.3045890066</v>
          </cell>
          <cell r="X79">
            <v>6383203.635047907</v>
          </cell>
        </row>
        <row r="80">
          <cell r="K80">
            <v>77</v>
          </cell>
          <cell r="L80">
            <v>1046912.096776562</v>
          </cell>
          <cell r="M80">
            <v>1335678.1654017968</v>
          </cell>
          <cell r="N80">
            <v>1897158.2629734648</v>
          </cell>
          <cell r="O80">
            <v>3770848.4591382518</v>
          </cell>
          <cell r="P80">
            <v>5030191.5633052476</v>
          </cell>
          <cell r="T80">
            <v>475126.00910175592</v>
          </cell>
          <cell r="U80">
            <v>654518.61001193163</v>
          </cell>
          <cell r="V80">
            <v>1069452.4710131248</v>
          </cell>
          <cell r="W80">
            <v>2747967.7181144371</v>
          </cell>
          <cell r="X80">
            <v>6465381.9899258809</v>
          </cell>
        </row>
        <row r="81">
          <cell r="K81">
            <v>78</v>
          </cell>
          <cell r="L81">
            <v>1104936.6220174441</v>
          </cell>
          <cell r="M81">
            <v>1413058.9444595983</v>
          </cell>
          <cell r="N81">
            <v>2020684.1954405201</v>
          </cell>
          <cell r="O81">
            <v>4024319.6756068617</v>
          </cell>
          <cell r="P81">
            <v>5368457.4932016712</v>
          </cell>
          <cell r="T81">
            <v>481053.4422538447</v>
          </cell>
          <cell r="U81">
            <v>662718.78647922922</v>
          </cell>
          <cell r="V81">
            <v>1082924.6651271521</v>
          </cell>
          <cell r="W81">
            <v>2782807.1316398671</v>
          </cell>
          <cell r="X81">
            <v>6547560.3448038539</v>
          </cell>
        </row>
        <row r="82">
          <cell r="K82">
            <v>79</v>
          </cell>
          <cell r="L82">
            <v>1167125.7683468889</v>
          </cell>
          <cell r="M82">
            <v>1496667.2212345796</v>
          </cell>
          <cell r="N82">
            <v>2153461.8603539318</v>
          </cell>
          <cell r="O82">
            <v>4284310.2254597275</v>
          </cell>
          <cell r="P82">
            <v>5735809.6297819801</v>
          </cell>
          <cell r="T82">
            <v>486980.87540593348</v>
          </cell>
          <cell r="U82">
            <v>670918.96294652694</v>
          </cell>
          <cell r="V82">
            <v>1096396.8592411797</v>
          </cell>
          <cell r="W82">
            <v>2817646.5451652976</v>
          </cell>
          <cell r="X82">
            <v>6629738.6996818269</v>
          </cell>
        </row>
        <row r="83">
          <cell r="K83">
            <v>80</v>
          </cell>
          <cell r="L83">
            <v>1233778.4450405743</v>
          </cell>
          <cell r="M83">
            <v>1586054.5988333216</v>
          </cell>
          <cell r="N83">
            <v>2287191.1277600061</v>
          </cell>
          <cell r="O83">
            <v>4561282.0271056285</v>
          </cell>
          <cell r="P83">
            <v>6118342.7972761998</v>
          </cell>
          <cell r="T83">
            <v>492908.30855802225</v>
          </cell>
          <cell r="U83">
            <v>679119.13941382454</v>
          </cell>
          <cell r="V83">
            <v>1109869.053355207</v>
          </cell>
          <cell r="W83">
            <v>2852485.9586907276</v>
          </cell>
          <cell r="X83">
            <v>6711917.0545597998</v>
          </cell>
        </row>
        <row r="84">
          <cell r="K84">
            <v>81</v>
          </cell>
          <cell r="L84">
            <v>1305215.0151278772</v>
          </cell>
          <cell r="M84">
            <v>1677038.3177689395</v>
          </cell>
          <cell r="N84">
            <v>2422963.1258291933</v>
          </cell>
          <cell r="O84">
            <v>4861639.5326732919</v>
          </cell>
          <cell r="P84">
            <v>6535802.0213373909</v>
          </cell>
          <cell r="T84">
            <v>498835.74171011103</v>
          </cell>
          <cell r="U84">
            <v>687319.31588112214</v>
          </cell>
          <cell r="V84">
            <v>1123341.2474692345</v>
          </cell>
          <cell r="W84">
            <v>2887325.3722161576</v>
          </cell>
          <cell r="X84">
            <v>6794095.4094377728</v>
          </cell>
        </row>
        <row r="85">
          <cell r="K85">
            <v>82</v>
          </cell>
          <cell r="L85">
            <v>1381778.8352020616</v>
          </cell>
          <cell r="M85">
            <v>1777062.8377403398</v>
          </cell>
          <cell r="N85">
            <v>2573762.9897704134</v>
          </cell>
          <cell r="O85">
            <v>5190514.1974744778</v>
          </cell>
          <cell r="P85">
            <v>6977432.4595038407</v>
          </cell>
          <cell r="T85">
            <v>504763.17486219981</v>
          </cell>
          <cell r="U85">
            <v>695519.49234841985</v>
          </cell>
          <cell r="V85">
            <v>1136813.4415832618</v>
          </cell>
          <cell r="W85">
            <v>2922164.7857415881</v>
          </cell>
          <cell r="X85">
            <v>6876273.7643157458</v>
          </cell>
        </row>
        <row r="86">
          <cell r="K86">
            <v>83</v>
          </cell>
          <cell r="L86">
            <v>1463837.9057479792</v>
          </cell>
          <cell r="M86">
            <v>1886598.4100187661</v>
          </cell>
          <cell r="N86">
            <v>2740778.0963098295</v>
          </cell>
          <cell r="O86">
            <v>5542785.4674281906</v>
          </cell>
          <cell r="P86">
            <v>7467440.6996243615</v>
          </cell>
          <cell r="T86">
            <v>510690.60801428859</v>
          </cell>
          <cell r="U86">
            <v>703719.66881571745</v>
          </cell>
          <cell r="V86">
            <v>1150285.6356972894</v>
          </cell>
          <cell r="W86">
            <v>2957004.1992670181</v>
          </cell>
          <cell r="X86">
            <v>6958452.1191937188</v>
          </cell>
        </row>
        <row r="87">
          <cell r="K87">
            <v>84</v>
          </cell>
          <cell r="L87">
            <v>1551786.6399194838</v>
          </cell>
          <cell r="M87">
            <v>2004063.3168475013</v>
          </cell>
          <cell r="N87">
            <v>2913729.6215637578</v>
          </cell>
          <cell r="O87">
            <v>5915710.0787900444</v>
          </cell>
          <cell r="P87">
            <v>7984782.1827939106</v>
          </cell>
          <cell r="T87">
            <v>516618.04116637737</v>
          </cell>
          <cell r="U87">
            <v>711919.84528301517</v>
          </cell>
          <cell r="V87">
            <v>1163754.342828128</v>
          </cell>
          <cell r="W87">
            <v>2991843.6127924481</v>
          </cell>
          <cell r="X87">
            <v>7040630.4740716927</v>
          </cell>
        </row>
        <row r="88">
          <cell r="K88">
            <v>85</v>
          </cell>
          <cell r="L88">
            <v>1645681.2115073304</v>
          </cell>
          <cell r="M88">
            <v>2125945.3671908407</v>
          </cell>
          <cell r="N88">
            <v>3096920.662903918</v>
          </cell>
          <cell r="O88">
            <v>6324532.800104253</v>
          </cell>
          <cell r="P88">
            <v>8534549.653670514</v>
          </cell>
          <cell r="T88">
            <v>522545.47431846615</v>
          </cell>
          <cell r="U88">
            <v>720120.02175031276</v>
          </cell>
          <cell r="V88">
            <v>1177193.4683203346</v>
          </cell>
          <cell r="W88">
            <v>3026683.0263178786</v>
          </cell>
          <cell r="X88">
            <v>7122808.8289496657</v>
          </cell>
        </row>
        <row r="89">
          <cell r="K89">
            <v>86</v>
          </cell>
          <cell r="L89">
            <v>1737537.7421784848</v>
          </cell>
          <cell r="M89">
            <v>2258663.4036026709</v>
          </cell>
          <cell r="N89">
            <v>3298452.5136889042</v>
          </cell>
          <cell r="O89">
            <v>6768516.992928803</v>
          </cell>
          <cell r="P89">
            <v>9046521.636546459</v>
          </cell>
          <cell r="T89">
            <v>528472.90747055493</v>
          </cell>
          <cell r="U89">
            <v>728320.19821761036</v>
          </cell>
          <cell r="V89">
            <v>1190632.5938125413</v>
          </cell>
          <cell r="W89">
            <v>3061522.4398433086</v>
          </cell>
          <cell r="X89">
            <v>7204987.1838276386</v>
          </cell>
        </row>
        <row r="90">
          <cell r="K90">
            <v>87</v>
          </cell>
          <cell r="L90">
            <v>1835987.1341124773</v>
          </cell>
          <cell r="M90">
            <v>2403311.8227408277</v>
          </cell>
          <cell r="N90">
            <v>3520414.7768692896</v>
          </cell>
          <cell r="O90">
            <v>7192132.9366573216</v>
          </cell>
          <cell r="P90">
            <v>9589666.1661418863</v>
          </cell>
          <cell r="T90">
            <v>534400.34062264371</v>
          </cell>
          <cell r="U90">
            <v>736520.37468490808</v>
          </cell>
          <cell r="V90">
            <v>1204071.7193047479</v>
          </cell>
          <cell r="W90">
            <v>3096222.0253897994</v>
          </cell>
          <cell r="X90">
            <v>7287165.5387056116</v>
          </cell>
        </row>
        <row r="91">
          <cell r="K91">
            <v>88</v>
          </cell>
          <cell r="L91">
            <v>1941502.5797901682</v>
          </cell>
          <cell r="M91">
            <v>2551481.3850856088</v>
          </cell>
          <cell r="N91">
            <v>3746044.8914453089</v>
          </cell>
          <cell r="O91">
            <v>7623460.6844343161</v>
          </cell>
          <cell r="P91">
            <v>10183575.897720458</v>
          </cell>
          <cell r="T91">
            <v>540327.77377473249</v>
          </cell>
          <cell r="U91">
            <v>744720.55115220568</v>
          </cell>
          <cell r="V91">
            <v>1217510.8447969547</v>
          </cell>
          <cell r="W91">
            <v>3129986.5476097078</v>
          </cell>
          <cell r="X91">
            <v>7369343.8935835855</v>
          </cell>
        </row>
        <row r="92">
          <cell r="K92">
            <v>89</v>
          </cell>
          <cell r="L92">
            <v>2054591.2343552057</v>
          </cell>
          <cell r="M92">
            <v>2701893.7777782041</v>
          </cell>
          <cell r="N92">
            <v>3962790.0005633235</v>
          </cell>
          <cell r="O92">
            <v>8082951.7043096367</v>
          </cell>
          <cell r="P92">
            <v>10776929.628632817</v>
          </cell>
          <cell r="T92">
            <v>546255.20692682127</v>
          </cell>
          <cell r="U92">
            <v>752920.72761950339</v>
          </cell>
          <cell r="V92">
            <v>1230949.9702891614</v>
          </cell>
          <cell r="W92">
            <v>3163751.0698296167</v>
          </cell>
          <cell r="X92">
            <v>7451522.2484615585</v>
          </cell>
        </row>
        <row r="93">
          <cell r="K93">
            <v>90</v>
          </cell>
          <cell r="L93">
            <v>2175796.6532319468</v>
          </cell>
          <cell r="M93">
            <v>2848606.3717980972</v>
          </cell>
          <cell r="N93">
            <v>4199608.7618296258</v>
          </cell>
          <cell r="O93">
            <v>8551197.5813476294</v>
          </cell>
          <cell r="P93">
            <v>11404640.311290829</v>
          </cell>
          <cell r="T93">
            <v>551460.0109759972</v>
          </cell>
          <cell r="U93">
            <v>760267.74958207726</v>
          </cell>
          <cell r="V93">
            <v>1244389.095781368</v>
          </cell>
          <cell r="W93">
            <v>3197515.5920495256</v>
          </cell>
          <cell r="X93">
            <v>7532053.8318579765</v>
          </cell>
        </row>
        <row r="94">
          <cell r="K94">
            <v>91</v>
          </cell>
          <cell r="L94">
            <v>2305701.4046996329</v>
          </cell>
          <cell r="M94">
            <v>3024057.7526976266</v>
          </cell>
          <cell r="N94">
            <v>4459318.6399757573</v>
          </cell>
          <cell r="O94">
            <v>9120686.5675153062</v>
          </cell>
          <cell r="P94">
            <v>12156053.692849174</v>
          </cell>
          <cell r="T94">
            <v>555913.689425266</v>
          </cell>
          <cell r="U94">
            <v>766860.74258467252</v>
          </cell>
          <cell r="V94">
            <v>1256134.3574138554</v>
          </cell>
          <cell r="W94">
            <v>3231280.1142694345</v>
          </cell>
          <cell r="X94">
            <v>7612189.7906015413</v>
          </cell>
        </row>
        <row r="95">
          <cell r="K95">
            <v>92</v>
          </cell>
          <cell r="L95">
            <v>2444929.8699800698</v>
          </cell>
          <cell r="M95">
            <v>3205889.9080303553</v>
          </cell>
          <cell r="N95">
            <v>4741555.090752501</v>
          </cell>
          <cell r="O95">
            <v>9729655.4351587482</v>
          </cell>
          <cell r="P95">
            <v>12934808.48234269</v>
          </cell>
          <cell r="T95">
            <v>560367.3678745348</v>
          </cell>
          <cell r="U95">
            <v>773453.73558726779</v>
          </cell>
          <cell r="V95">
            <v>1267677.7203322295</v>
          </cell>
          <cell r="W95">
            <v>3265044.6364893434</v>
          </cell>
          <cell r="X95">
            <v>7692325.7493451061</v>
          </cell>
        </row>
        <row r="96">
          <cell r="K96">
            <v>93</v>
          </cell>
          <cell r="L96">
            <v>2594151.2442973014</v>
          </cell>
          <cell r="M96">
            <v>3406633.5537786563</v>
          </cell>
          <cell r="N96">
            <v>5043646.0993167479</v>
          </cell>
          <cell r="O96">
            <v>10370729.088515211</v>
          </cell>
          <cell r="P96">
            <v>13789517.861866554</v>
          </cell>
          <cell r="T96">
            <v>564821.0463238036</v>
          </cell>
          <cell r="U96">
            <v>780046.72858986305</v>
          </cell>
          <cell r="V96">
            <v>1279221.0832506036</v>
          </cell>
          <cell r="W96">
            <v>3298809.1587092523</v>
          </cell>
          <cell r="X96">
            <v>7772461.7080886709</v>
          </cell>
        </row>
        <row r="97">
          <cell r="K97">
            <v>94</v>
          </cell>
          <cell r="L97">
            <v>2754082.7533337036</v>
          </cell>
          <cell r="M97">
            <v>3618003.5787739865</v>
          </cell>
          <cell r="N97">
            <v>5364847.2444486609</v>
          </cell>
          <cell r="O97">
            <v>11051151.494321905</v>
          </cell>
          <cell r="P97">
            <v>14691182.205045251</v>
          </cell>
          <cell r="T97">
            <v>569274.7247730724</v>
          </cell>
          <cell r="U97">
            <v>786639.72159245831</v>
          </cell>
          <cell r="V97">
            <v>1290764.446168978</v>
          </cell>
          <cell r="W97">
            <v>3331750.8907858757</v>
          </cell>
          <cell r="X97">
            <v>7852597.6668322347</v>
          </cell>
        </row>
        <row r="98">
          <cell r="K98">
            <v>95</v>
          </cell>
          <cell r="L98">
            <v>2924661.7427972769</v>
          </cell>
          <cell r="M98">
            <v>3851091.9028485566</v>
          </cell>
          <cell r="N98">
            <v>5702367.1263075275</v>
          </cell>
          <cell r="O98">
            <v>11779925.01724546</v>
          </cell>
          <cell r="P98">
            <v>15736906.296819471</v>
          </cell>
          <cell r="T98">
            <v>573728.40322234121</v>
          </cell>
          <cell r="U98">
            <v>793232.71459505358</v>
          </cell>
          <cell r="V98">
            <v>1302307.8090873521</v>
          </cell>
          <cell r="W98">
            <v>3364468.5899960874</v>
          </cell>
          <cell r="X98">
            <v>7932733.6255757995</v>
          </cell>
        </row>
        <row r="99">
          <cell r="K99">
            <v>96</v>
          </cell>
          <cell r="L99">
            <v>3094335.0091305487</v>
          </cell>
          <cell r="M99">
            <v>4089862.4207360642</v>
          </cell>
          <cell r="N99">
            <v>6062191.2630684217</v>
          </cell>
          <cell r="O99">
            <v>12583296.153171927</v>
          </cell>
          <cell r="P99">
            <v>16846808.909609322</v>
          </cell>
          <cell r="T99">
            <v>578182.08167161001</v>
          </cell>
          <cell r="U99">
            <v>799801.06545975129</v>
          </cell>
          <cell r="V99">
            <v>1313851.1720057263</v>
          </cell>
          <cell r="W99">
            <v>3397186.289206299</v>
          </cell>
          <cell r="X99">
            <v>8012767.4181269277</v>
          </cell>
        </row>
        <row r="100">
          <cell r="K100">
            <v>97</v>
          </cell>
          <cell r="L100">
            <v>3276186.3132883999</v>
          </cell>
          <cell r="M100">
            <v>4349775.2229271745</v>
          </cell>
          <cell r="N100">
            <v>6478236.0020442484</v>
          </cell>
          <cell r="O100">
            <v>13504592.544950774</v>
          </cell>
          <cell r="P100">
            <v>18149097.230531126</v>
          </cell>
          <cell r="T100">
            <v>582516.14456537226</v>
          </cell>
          <cell r="U100">
            <v>806247.75902190967</v>
          </cell>
          <cell r="V100">
            <v>1325394.5349241006</v>
          </cell>
          <cell r="W100">
            <v>3429903.9884165106</v>
          </cell>
          <cell r="X100">
            <v>8092611.8872581609</v>
          </cell>
        </row>
        <row r="101">
          <cell r="K101">
            <v>98</v>
          </cell>
          <cell r="L101">
            <v>3471089.7152124052</v>
          </cell>
          <cell r="M101">
            <v>4630894.6105433023</v>
          </cell>
          <cell r="N101">
            <v>6940159.6934923707</v>
          </cell>
          <cell r="O101">
            <v>14521355.143789764</v>
          </cell>
          <cell r="P101">
            <v>19532693.586081833</v>
          </cell>
          <cell r="T101">
            <v>586849.50234915258</v>
          </cell>
          <cell r="U101">
            <v>812694.45258406794</v>
          </cell>
          <cell r="V101">
            <v>1336937.8978424747</v>
          </cell>
          <cell r="W101">
            <v>3462621.6876267218</v>
          </cell>
          <cell r="X101">
            <v>8172456.356389394</v>
          </cell>
        </row>
        <row r="102">
          <cell r="K102">
            <v>99</v>
          </cell>
          <cell r="L102">
            <v>3679982.0091525968</v>
          </cell>
          <cell r="M102">
            <v>4926940.3423935231</v>
          </cell>
          <cell r="N102">
            <v>7423204.1238851706</v>
          </cell>
          <cell r="O102">
            <v>15580922.265153006</v>
          </cell>
          <cell r="P102">
            <v>20864986.893163215</v>
          </cell>
          <cell r="T102">
            <v>591182.8601329329</v>
          </cell>
          <cell r="U102">
            <v>819141.14614622633</v>
          </cell>
          <cell r="V102">
            <v>1348481.2607608489</v>
          </cell>
          <cell r="W102">
            <v>3495339.3868369334</v>
          </cell>
          <cell r="X102">
            <v>8252300.8255206263</v>
          </cell>
        </row>
        <row r="103">
          <cell r="K103">
            <v>100</v>
          </cell>
          <cell r="L103">
            <v>3903867.2263260251</v>
          </cell>
          <cell r="M103">
            <v>5237263.6505681509</v>
          </cell>
          <cell r="N103">
            <v>7931332.0383830452</v>
          </cell>
          <cell r="O103">
            <v>16620061.748838918</v>
          </cell>
          <cell r="P103">
            <v>22225374.412219442</v>
          </cell>
          <cell r="T103">
            <v>595516.21791671321</v>
          </cell>
          <cell r="U103">
            <v>825587.83970838471</v>
          </cell>
          <cell r="V103">
            <v>1360024.6236792232</v>
          </cell>
          <cell r="W103">
            <v>3528057.0860471451</v>
          </cell>
          <cell r="X103">
            <v>8332145.2946518594</v>
          </cell>
        </row>
        <row r="104">
          <cell r="K104">
            <v>101</v>
          </cell>
          <cell r="L104">
            <v>4143821.4607466767</v>
          </cell>
          <cell r="M104">
            <v>5573405.5033057407</v>
          </cell>
          <cell r="N104">
            <v>8443747.5607369058</v>
          </cell>
          <cell r="O104">
            <v>17689104.801142946</v>
          </cell>
          <cell r="P104">
            <v>23701878.06144619</v>
          </cell>
          <cell r="T104">
            <v>599849.57570049353</v>
          </cell>
          <cell r="U104">
            <v>832034.53327054298</v>
          </cell>
          <cell r="V104">
            <v>1371567.9865975974</v>
          </cell>
          <cell r="W104">
            <v>3560774.7852573567</v>
          </cell>
          <cell r="X104">
            <v>8411989.7637830917</v>
          </cell>
        </row>
        <row r="105">
          <cell r="K105">
            <v>102</v>
          </cell>
          <cell r="L105">
            <v>4400998.041421948</v>
          </cell>
          <cell r="M105">
            <v>5916659.2362165749</v>
          </cell>
          <cell r="N105">
            <v>8956065.887940675</v>
          </cell>
          <cell r="O105">
            <v>18828637.327303059</v>
          </cell>
          <cell r="P105">
            <v>25296726.162904508</v>
          </cell>
          <cell r="T105">
            <v>604182.93348427385</v>
          </cell>
          <cell r="U105">
            <v>838481.22683270136</v>
          </cell>
          <cell r="V105">
            <v>1383111.3495159715</v>
          </cell>
          <cell r="W105">
            <v>3593492.4844675683</v>
          </cell>
          <cell r="X105">
            <v>8491834.2329143248</v>
          </cell>
        </row>
        <row r="106">
          <cell r="K106">
            <v>103</v>
          </cell>
          <cell r="L106">
            <v>4676633.0757755302</v>
          </cell>
          <cell r="M106">
            <v>6281002.5483988523</v>
          </cell>
          <cell r="N106">
            <v>9522610.3094585855</v>
          </cell>
          <cell r="O106">
            <v>20127010.104631633</v>
          </cell>
          <cell r="P106">
            <v>27060543.590263713</v>
          </cell>
          <cell r="T106">
            <v>608516.29126805416</v>
          </cell>
          <cell r="U106">
            <v>844927.92039485974</v>
          </cell>
          <cell r="V106">
            <v>1394654.7124343459</v>
          </cell>
          <cell r="W106">
            <v>3626210.18367778</v>
          </cell>
          <cell r="X106">
            <v>8571678.702045558</v>
          </cell>
        </row>
        <row r="107">
          <cell r="K107">
            <v>104</v>
          </cell>
          <cell r="L107">
            <v>4972051.3909409763</v>
          </cell>
          <cell r="M107">
            <v>6688855.2349086739</v>
          </cell>
          <cell r="N107">
            <v>10177692.110752419</v>
          </cell>
          <cell r="O107">
            <v>21585808.912013665</v>
          </cell>
          <cell r="P107">
            <v>29013419.360997062</v>
          </cell>
          <cell r="T107">
            <v>612849.64905183448</v>
          </cell>
          <cell r="U107">
            <v>851374.61395701801</v>
          </cell>
          <cell r="V107">
            <v>1406198.07535272</v>
          </cell>
          <cell r="W107">
            <v>3658927.8828879916</v>
          </cell>
          <cell r="X107">
            <v>8651523.1711767912</v>
          </cell>
        </row>
        <row r="108">
          <cell r="K108">
            <v>105</v>
          </cell>
          <cell r="L108">
            <v>5287316.0016192785</v>
          </cell>
          <cell r="M108">
            <v>7132186.0006032009</v>
          </cell>
          <cell r="N108">
            <v>10872383.201795192</v>
          </cell>
          <cell r="O108">
            <v>23120930.445503563</v>
          </cell>
          <cell r="P108">
            <v>31050589.295172971</v>
          </cell>
          <cell r="T108">
            <v>617183.0068356148</v>
          </cell>
          <cell r="U108">
            <v>857821.30751917639</v>
          </cell>
          <cell r="V108">
            <v>1417741.4382710941</v>
          </cell>
          <cell r="W108">
            <v>3691645.5820982032</v>
          </cell>
          <cell r="X108">
            <v>8731367.6403080244</v>
          </cell>
        </row>
        <row r="109">
          <cell r="K109">
            <v>106</v>
          </cell>
          <cell r="L109">
            <v>5606950.2951373328</v>
          </cell>
          <cell r="M109">
            <v>7604613.8868121523</v>
          </cell>
          <cell r="N109">
            <v>11605174.657679331</v>
          </cell>
          <cell r="O109">
            <v>24712641.577476706</v>
          </cell>
          <cell r="P109">
            <v>33111940.714318942</v>
          </cell>
          <cell r="T109">
            <v>621516.36461939523</v>
          </cell>
          <cell r="U109">
            <v>864268.00108133478</v>
          </cell>
          <cell r="V109">
            <v>1429284.8011894682</v>
          </cell>
          <cell r="W109">
            <v>3724363.2813084149</v>
          </cell>
          <cell r="X109">
            <v>8811212.1094392557</v>
          </cell>
        </row>
        <row r="110">
          <cell r="K110">
            <v>107</v>
          </cell>
          <cell r="L110">
            <v>5949525.8486465234</v>
          </cell>
          <cell r="M110">
            <v>8102538.543933766</v>
          </cell>
          <cell r="N110">
            <v>12394083.626977185</v>
          </cell>
          <cell r="O110">
            <v>26331833.469624061</v>
          </cell>
          <cell r="P110">
            <v>35286312.889212817</v>
          </cell>
          <cell r="T110">
            <v>625849.72240317555</v>
          </cell>
          <cell r="U110">
            <v>870714.69464349304</v>
          </cell>
          <cell r="V110">
            <v>1440828.1641078424</v>
          </cell>
          <cell r="W110">
            <v>3757080.9805186265</v>
          </cell>
          <cell r="X110">
            <v>8891056.5785704888</v>
          </cell>
        </row>
        <row r="111">
          <cell r="K111">
            <v>108</v>
          </cell>
          <cell r="L111">
            <v>6316689.235811362</v>
          </cell>
          <cell r="M111">
            <v>8622841.4403145257</v>
          </cell>
          <cell r="N111">
            <v>13177881.008156372</v>
          </cell>
          <cell r="O111">
            <v>28071289.739956029</v>
          </cell>
          <cell r="P111">
            <v>37717621.249749318</v>
          </cell>
          <cell r="T111">
            <v>630183.08018695586</v>
          </cell>
          <cell r="U111">
            <v>877161.38820565143</v>
          </cell>
          <cell r="V111">
            <v>1452371.5270262167</v>
          </cell>
          <cell r="W111">
            <v>3789798.6797288381</v>
          </cell>
          <cell r="X111">
            <v>8970901.047701722</v>
          </cell>
        </row>
        <row r="112">
          <cell r="K112">
            <v>109</v>
          </cell>
          <cell r="L112">
            <v>6710205.2105895681</v>
          </cell>
          <cell r="M112">
            <v>9148705.5819281265</v>
          </cell>
          <cell r="N112">
            <v>14033442.609875198</v>
          </cell>
          <cell r="O112">
            <v>29952688.924554098</v>
          </cell>
          <cell r="P112">
            <v>40349455.46125254</v>
          </cell>
          <cell r="T112">
            <v>634516.43797073618</v>
          </cell>
          <cell r="U112">
            <v>883608.08176780981</v>
          </cell>
          <cell r="V112">
            <v>1463914.8899445909</v>
          </cell>
          <cell r="W112">
            <v>3822516.3789390498</v>
          </cell>
          <cell r="X112">
            <v>9050745.5168329552</v>
          </cell>
        </row>
        <row r="113">
          <cell r="K113">
            <v>110</v>
          </cell>
          <cell r="L113">
            <v>7131965.1894409508</v>
          </cell>
          <cell r="M113">
            <v>9739385.1666944623</v>
          </cell>
          <cell r="N113">
            <v>15014601.77485897</v>
          </cell>
          <cell r="O113">
            <v>32130101.013103947</v>
          </cell>
          <cell r="P113">
            <v>43296865.536363885</v>
          </cell>
          <cell r="T113">
            <v>638849.7957545165</v>
          </cell>
          <cell r="U113">
            <v>890054.77532996819</v>
          </cell>
          <cell r="V113">
            <v>1475458.252862965</v>
          </cell>
          <cell r="W113">
            <v>3855234.0781492614</v>
          </cell>
          <cell r="X113">
            <v>9130589.9859641884</v>
          </cell>
        </row>
        <row r="114">
          <cell r="L114">
            <v>7583996.3423337257</v>
          </cell>
          <cell r="M114">
            <v>10385788.975014254</v>
          </cell>
          <cell r="N114">
            <v>16058461.400235761</v>
          </cell>
          <cell r="O114">
            <v>34483509.107027754</v>
          </cell>
          <cell r="P114">
            <v>46531809.109250382</v>
          </cell>
          <cell r="T114">
            <v>643183.15353829681</v>
          </cell>
          <cell r="U114">
            <v>896501.46889212646</v>
          </cell>
          <cell r="V114">
            <v>1487001.6157813391</v>
          </cell>
          <cell r="W114">
            <v>3887951.7773594731</v>
          </cell>
          <cell r="X114">
            <v>9210434.4550954197</v>
          </cell>
        </row>
        <row r="115">
          <cell r="L115">
            <v>8068471.336243894</v>
          </cell>
          <cell r="M115">
            <v>11072401.862657852</v>
          </cell>
          <cell r="N115">
            <v>17149937.536610078</v>
          </cell>
          <cell r="O115">
            <v>36946995.110363379</v>
          </cell>
          <cell r="P115">
            <v>49678321.037087649</v>
          </cell>
          <cell r="T115">
            <v>647516.51132207713</v>
          </cell>
          <cell r="U115">
            <v>902948.16245428484</v>
          </cell>
          <cell r="V115">
            <v>1498544.9786997135</v>
          </cell>
          <cell r="W115">
            <v>3920669.4765696847</v>
          </cell>
          <cell r="X115">
            <v>9290278.9242266528</v>
          </cell>
        </row>
        <row r="116">
          <cell r="L116">
            <v>8587718.777979251</v>
          </cell>
          <cell r="M116">
            <v>11806256.452359673</v>
          </cell>
          <cell r="N116">
            <v>18325650.428964917</v>
          </cell>
          <cell r="O116">
            <v>39464263.135467231</v>
          </cell>
          <cell r="P116">
            <v>53020207.757090084</v>
          </cell>
          <cell r="T116">
            <v>651849.86910585745</v>
          </cell>
          <cell r="U116">
            <v>909394.85601644323</v>
          </cell>
          <cell r="V116">
            <v>1510088.3416180876</v>
          </cell>
          <cell r="W116">
            <v>3953387.1757798963</v>
          </cell>
          <cell r="X116">
            <v>9370123.393357886</v>
          </cell>
        </row>
        <row r="117">
          <cell r="L117">
            <v>9144234.4065210596</v>
          </cell>
          <cell r="M117">
            <v>12590413.70717838</v>
          </cell>
          <cell r="N117">
            <v>19524756.662145667</v>
          </cell>
          <cell r="O117">
            <v>42080452.23287075</v>
          </cell>
          <cell r="P117">
            <v>56589134.153164648</v>
          </cell>
          <cell r="T117">
            <v>656183.22688963776</v>
          </cell>
          <cell r="U117">
            <v>915841.54957860161</v>
          </cell>
          <cell r="V117">
            <v>1521631.7045364617</v>
          </cell>
          <cell r="W117">
            <v>3986104.874990108</v>
          </cell>
          <cell r="X117">
            <v>9449967.8624891192</v>
          </cell>
        </row>
        <row r="118">
          <cell r="L118">
            <v>9738538.8935887981</v>
          </cell>
          <cell r="M118">
            <v>13392937.873347066</v>
          </cell>
          <cell r="N118">
            <v>20763295.067592066</v>
          </cell>
          <cell r="O118">
            <v>44827571.908513241</v>
          </cell>
          <cell r="P118">
            <v>60339547.251220301</v>
          </cell>
          <cell r="T118">
            <v>660516.58467341808</v>
          </cell>
          <cell r="U118">
            <v>922288.24314075988</v>
          </cell>
          <cell r="V118">
            <v>1533175.0674548359</v>
          </cell>
          <cell r="W118">
            <v>4018822.5742003196</v>
          </cell>
          <cell r="X118">
            <v>9529812.3316203505</v>
          </cell>
        </row>
        <row r="119">
          <cell r="L119">
            <v>10348556.771582669</v>
          </cell>
          <cell r="M119">
            <v>14272530.10812116</v>
          </cell>
          <cell r="N119">
            <v>22155790.886767384</v>
          </cell>
          <cell r="O119">
            <v>48001018.167546235</v>
          </cell>
          <cell r="P119">
            <v>64604626.828710958</v>
          </cell>
          <cell r="T119">
            <v>664849.9424571984</v>
          </cell>
          <cell r="U119">
            <v>928734.93670291826</v>
          </cell>
          <cell r="V119">
            <v>1544718.4303732102</v>
          </cell>
          <cell r="W119">
            <v>4051540.2734105312</v>
          </cell>
          <cell r="X119">
            <v>9609656.8007515837</v>
          </cell>
        </row>
        <row r="120">
          <cell r="L120">
            <v>11002357.744889198</v>
          </cell>
          <cell r="M120">
            <v>15234331.670130363</v>
          </cell>
          <cell r="N120">
            <v>23696438.812443428</v>
          </cell>
          <cell r="O120">
            <v>51385088.939006463</v>
          </cell>
          <cell r="P120">
            <v>69279969.311791047</v>
          </cell>
          <cell r="T120">
            <v>669183.30024097872</v>
          </cell>
          <cell r="U120">
            <v>935181.63026507664</v>
          </cell>
          <cell r="V120">
            <v>1556261.7932915844</v>
          </cell>
          <cell r="W120">
            <v>4084257.9726207429</v>
          </cell>
          <cell r="X120">
            <v>9689501.2698828168</v>
          </cell>
        </row>
        <row r="121">
          <cell r="L121">
            <v>11703084.277859572</v>
          </cell>
          <cell r="M121">
            <v>16242125.346185649</v>
          </cell>
          <cell r="N121">
            <v>25335050.866138194</v>
          </cell>
          <cell r="O121">
            <v>55090992.359062366</v>
          </cell>
          <cell r="P121">
            <v>74214641.27308093</v>
          </cell>
          <cell r="T121">
            <v>673516.65802475903</v>
          </cell>
          <cell r="U121">
            <v>941628.32382723503</v>
          </cell>
          <cell r="V121">
            <v>1567805.1562099585</v>
          </cell>
          <cell r="W121">
            <v>4116975.6718309545</v>
          </cell>
          <cell r="X121">
            <v>9769345.73901405</v>
          </cell>
        </row>
        <row r="122">
          <cell r="L122">
            <v>12454104.380392246</v>
          </cell>
          <cell r="M122">
            <v>17321171.056574348</v>
          </cell>
          <cell r="N122">
            <v>27122671.211559452</v>
          </cell>
          <cell r="O122">
            <v>58998869.738176376</v>
          </cell>
          <cell r="P122">
            <v>79236319.238532424</v>
          </cell>
          <cell r="T122">
            <v>677850.01580853935</v>
          </cell>
          <cell r="U122">
            <v>948075.0173893933</v>
          </cell>
          <cell r="V122">
            <v>1579348.5191283328</v>
          </cell>
          <cell r="W122">
            <v>4149693.3710411661</v>
          </cell>
          <cell r="X122">
            <v>9849190.2081452813</v>
          </cell>
        </row>
        <row r="123">
          <cell r="L123">
            <v>13259027.79611806</v>
          </cell>
          <cell r="M123">
            <v>18478471.56588478</v>
          </cell>
          <cell r="N123">
            <v>29000583.64980448</v>
          </cell>
          <cell r="O123">
            <v>62884692.577243991</v>
          </cell>
          <cell r="P123">
            <v>84537126.952919662</v>
          </cell>
          <cell r="T123">
            <v>682183.37359231967</v>
          </cell>
          <cell r="U123">
            <v>954521.71095155168</v>
          </cell>
          <cell r="V123">
            <v>1590891.882046707</v>
          </cell>
          <cell r="W123">
            <v>4182411.0702513778</v>
          </cell>
          <cell r="X123">
            <v>9929034.6772765145</v>
          </cell>
        </row>
        <row r="124">
          <cell r="L124">
            <v>14121723.352467058</v>
          </cell>
          <cell r="M124">
            <v>19683081.933774956</v>
          </cell>
          <cell r="N124">
            <v>30856010.285562344</v>
          </cell>
          <cell r="O124">
            <v>67030244.722490549</v>
          </cell>
          <cell r="P124">
            <v>90435872.296623737</v>
          </cell>
          <cell r="T124">
            <v>686516.73137609998</v>
          </cell>
          <cell r="U124">
            <v>960968.40451371006</v>
          </cell>
          <cell r="V124">
            <v>1602435.2449650811</v>
          </cell>
          <cell r="W124">
            <v>4215128.7694615889</v>
          </cell>
          <cell r="X124">
            <v>10008879.146407748</v>
          </cell>
        </row>
        <row r="125">
          <cell r="L125">
            <v>15046337.556009885</v>
          </cell>
          <cell r="M125">
            <v>20949362.593348604</v>
          </cell>
          <cell r="N125">
            <v>32874526.018650733</v>
          </cell>
          <cell r="O125">
            <v>71657232.737099364</v>
          </cell>
          <cell r="P125">
            <v>96750589.883929878</v>
          </cell>
          <cell r="T125">
            <v>690850.0891598803</v>
          </cell>
          <cell r="U125">
            <v>967415.09807586845</v>
          </cell>
          <cell r="V125">
            <v>1613978.6078834552</v>
          </cell>
          <cell r="W125">
            <v>4247846.4686718006</v>
          </cell>
          <cell r="X125">
            <v>10088723.615538979</v>
          </cell>
        </row>
        <row r="126">
          <cell r="L126">
            <v>16037314.522451241</v>
          </cell>
          <cell r="M126">
            <v>22355011.230257772</v>
          </cell>
          <cell r="N126">
            <v>35200457.267034888</v>
          </cell>
          <cell r="O126">
            <v>76984604.932975695</v>
          </cell>
          <cell r="P126">
            <v>103984208.36576307</v>
          </cell>
          <cell r="T126">
            <v>695183.44694366062</v>
          </cell>
          <cell r="U126">
            <v>973861.79163802683</v>
          </cell>
          <cell r="V126">
            <v>1625521.9708018296</v>
          </cell>
          <cell r="W126">
            <v>4280564.1678820122</v>
          </cell>
          <cell r="X126">
            <v>10168568.084670212</v>
          </cell>
        </row>
        <row r="127">
          <cell r="L127">
            <v>17099417.337067779</v>
          </cell>
          <cell r="M127">
            <v>23903981.888942767</v>
          </cell>
          <cell r="N127">
            <v>37677385.53684704</v>
          </cell>
          <cell r="O127">
            <v>82612796.811235681</v>
          </cell>
          <cell r="P127">
            <v>111762512.95330533</v>
          </cell>
          <cell r="T127">
            <v>699516.80472744093</v>
          </cell>
          <cell r="U127">
            <v>980308.4852001851</v>
          </cell>
          <cell r="V127">
            <v>1637065.3337202037</v>
          </cell>
          <cell r="W127">
            <v>4313281.8670922238</v>
          </cell>
          <cell r="X127">
            <v>10248412.553801445</v>
          </cell>
        </row>
        <row r="128">
          <cell r="L128">
            <v>18234405.740156852</v>
          </cell>
          <cell r="M128">
            <v>25510324.363559552</v>
          </cell>
          <cell r="N128">
            <v>40324885.3231235</v>
          </cell>
          <cell r="O128">
            <v>88586276.3057383</v>
          </cell>
          <cell r="P128">
            <v>119109615.22291803</v>
          </cell>
          <cell r="T128">
            <v>703850.16251122125</v>
          </cell>
          <cell r="U128">
            <v>986755.17876234348</v>
          </cell>
          <cell r="V128">
            <v>1648608.6966385779</v>
          </cell>
          <cell r="W128">
            <v>4345999.5663024355</v>
          </cell>
          <cell r="X128">
            <v>10328257.022932678</v>
          </cell>
        </row>
        <row r="129">
          <cell r="L129">
            <v>19410455.212857489</v>
          </cell>
          <cell r="M129">
            <v>27279888.003524348</v>
          </cell>
          <cell r="N129">
            <v>43141633.030211702</v>
          </cell>
          <cell r="O129">
            <v>94472761.352526248</v>
          </cell>
          <cell r="P129">
            <v>126934667.54212233</v>
          </cell>
          <cell r="T129">
            <v>708183.52029500157</v>
          </cell>
          <cell r="U129">
            <v>993201.87232450186</v>
          </cell>
          <cell r="V129">
            <v>1660152.059556952</v>
          </cell>
          <cell r="W129">
            <v>4378717.2655126471</v>
          </cell>
          <cell r="X129">
            <v>10408101.49206391</v>
          </cell>
        </row>
        <row r="130">
          <cell r="L130">
            <v>20670913.828327835</v>
          </cell>
          <cell r="M130">
            <v>29139901.214220621</v>
          </cell>
          <cell r="N130">
            <v>45926811.416054659</v>
          </cell>
          <cell r="O130">
            <v>100537575.73712525</v>
          </cell>
          <cell r="P130">
            <v>135483737.92705396</v>
          </cell>
          <cell r="T130">
            <v>712516.87807878188</v>
          </cell>
          <cell r="U130">
            <v>999648.56588666025</v>
          </cell>
          <cell r="V130">
            <v>1671695.4224753263</v>
          </cell>
          <cell r="W130">
            <v>4411434.9647228587</v>
          </cell>
          <cell r="X130">
            <v>10487945.961195143</v>
          </cell>
        </row>
        <row r="131">
          <cell r="L131">
            <v>22021839.923014224</v>
          </cell>
          <cell r="M131">
            <v>30961306.966293775</v>
          </cell>
          <cell r="N131">
            <v>48855160.821308494</v>
          </cell>
          <cell r="O131">
            <v>107192958.85472654</v>
          </cell>
          <cell r="P131">
            <v>144779732.63812914</v>
          </cell>
          <cell r="T131">
            <v>716850.2358625622</v>
          </cell>
          <cell r="U131">
            <v>1006095.2594488186</v>
          </cell>
          <cell r="V131">
            <v>1683238.7853937005</v>
          </cell>
          <cell r="W131">
            <v>4444152.6639330704</v>
          </cell>
          <cell r="X131">
            <v>10567790.430326376</v>
          </cell>
        </row>
        <row r="132">
          <cell r="L132">
            <v>23469726.661146887</v>
          </cell>
          <cell r="M132">
            <v>33037427.43138627</v>
          </cell>
          <cell r="N132">
            <v>52336389.566204518</v>
          </cell>
          <cell r="O132">
            <v>115143355.61287996</v>
          </cell>
          <cell r="P132">
            <v>155434325.46311164</v>
          </cell>
          <cell r="T132">
            <v>721183.59364634252</v>
          </cell>
          <cell r="U132">
            <v>1012541.9530109769</v>
          </cell>
          <cell r="V132">
            <v>1694782.1483120746</v>
          </cell>
          <cell r="W132">
            <v>4476870.363143282</v>
          </cell>
          <cell r="X132">
            <v>10647634.899457609</v>
          </cell>
        </row>
        <row r="133">
          <cell r="L133">
            <v>25021533.243835688</v>
          </cell>
          <cell r="M133">
            <v>35301805.992381781</v>
          </cell>
          <cell r="N133">
            <v>56105698.360661089</v>
          </cell>
          <cell r="O133">
            <v>123615645.11346307</v>
          </cell>
          <cell r="P133">
            <v>167070988.97448242</v>
          </cell>
          <cell r="T133">
            <v>725516.95143012283</v>
          </cell>
          <cell r="U133">
            <v>1018988.6465731353</v>
          </cell>
          <cell r="V133">
            <v>1706325.5112304487</v>
          </cell>
          <cell r="W133">
            <v>4509588.0623534936</v>
          </cell>
          <cell r="X133">
            <v>10727479.368588842</v>
          </cell>
        </row>
        <row r="134">
          <cell r="L134">
            <v>26684718.358150683</v>
          </cell>
          <cell r="M134">
            <v>37706285.458295979</v>
          </cell>
          <cell r="N134">
            <v>60052703.082792744</v>
          </cell>
          <cell r="O134">
            <v>132665431.5110721</v>
          </cell>
          <cell r="P134">
            <v>178830879.03489286</v>
          </cell>
          <cell r="T134">
            <v>729850.30921390315</v>
          </cell>
          <cell r="U134">
            <v>1025435.3401352937</v>
          </cell>
          <cell r="V134">
            <v>1717868.8741488231</v>
          </cell>
          <cell r="W134">
            <v>4542305.7615637053</v>
          </cell>
          <cell r="X134">
            <v>10807323.837720074</v>
          </cell>
        </row>
        <row r="135">
          <cell r="L135">
            <v>28467276.026958864</v>
          </cell>
          <cell r="M135">
            <v>40293567.583107665</v>
          </cell>
          <cell r="N135">
            <v>64339102.531990744</v>
          </cell>
          <cell r="O135">
            <v>141921621.10182008</v>
          </cell>
          <cell r="P135">
            <v>190984623.84193194</v>
          </cell>
          <cell r="T135">
            <v>734183.66699768347</v>
          </cell>
          <cell r="U135">
            <v>1031882.033697452</v>
          </cell>
          <cell r="V135">
            <v>1729412.2370671972</v>
          </cell>
          <cell r="W135">
            <v>4575023.4607739169</v>
          </cell>
          <cell r="X135">
            <v>10887168.306851307</v>
          </cell>
        </row>
        <row r="136">
          <cell r="L136">
            <v>30377774.031828076</v>
          </cell>
          <cell r="M136">
            <v>43068489.840897977</v>
          </cell>
          <cell r="N136">
            <v>68629245.481208459</v>
          </cell>
          <cell r="O136">
            <v>151271638.58037889</v>
          </cell>
          <cell r="P136">
            <v>203811210.76051348</v>
          </cell>
          <cell r="T136">
            <v>738517.0247814639</v>
          </cell>
          <cell r="U136">
            <v>1038328.7272596103</v>
          </cell>
          <cell r="V136">
            <v>1740955.5999855713</v>
          </cell>
          <cell r="W136">
            <v>4607741.1599841285</v>
          </cell>
          <cell r="X136">
            <v>10967012.77598254</v>
          </cell>
        </row>
        <row r="137">
          <cell r="L137">
            <v>32425395.093675382</v>
          </cell>
          <cell r="M137">
            <v>45889291.469480656</v>
          </cell>
          <cell r="N137">
            <v>73068218.939424127</v>
          </cell>
          <cell r="O137">
            <v>161374762.85707304</v>
          </cell>
          <cell r="P137">
            <v>217839169.51968169</v>
          </cell>
          <cell r="T137">
            <v>742850.38256524422</v>
          </cell>
          <cell r="U137">
            <v>1044775.4208217687</v>
          </cell>
          <cell r="V137">
            <v>1752498.9629039457</v>
          </cell>
          <cell r="W137">
            <v>4640458.8591943402</v>
          </cell>
          <cell r="X137">
            <v>11046857.245113773</v>
          </cell>
        </row>
        <row r="138">
          <cell r="L138">
            <v>34614884.26629331</v>
          </cell>
          <cell r="M138">
            <v>48981338.466808848</v>
          </cell>
          <cell r="N138">
            <v>78050193.707845315</v>
          </cell>
          <cell r="O138">
            <v>172908161.67525318</v>
          </cell>
          <cell r="P138">
            <v>233720757.21706653</v>
          </cell>
          <cell r="T138">
            <v>747183.74034902453</v>
          </cell>
          <cell r="U138">
            <v>1051222.1143839271</v>
          </cell>
          <cell r="V138">
            <v>1764042.3258223198</v>
          </cell>
          <cell r="W138">
            <v>4673176.5584045518</v>
          </cell>
          <cell r="X138">
            <v>11126701.714245005</v>
          </cell>
        </row>
        <row r="139">
          <cell r="L139">
            <v>36901009.197876357</v>
          </cell>
          <cell r="M139">
            <v>52386513.266411647</v>
          </cell>
          <cell r="N139">
            <v>83768753.10691601</v>
          </cell>
          <cell r="O139">
            <v>185781671.09349987</v>
          </cell>
          <cell r="P139">
            <v>251227997.70278466</v>
          </cell>
          <cell r="T139">
            <v>751517.09813280485</v>
          </cell>
          <cell r="U139">
            <v>1057668.8079460855</v>
          </cell>
          <cell r="V139">
            <v>1775585.688740694</v>
          </cell>
          <cell r="W139">
            <v>4705894.2576147635</v>
          </cell>
          <cell r="X139">
            <v>11206546.183376238</v>
          </cell>
        </row>
        <row r="140">
          <cell r="L140">
            <v>39351217.23158966</v>
          </cell>
          <cell r="M140">
            <v>56064156.040933087</v>
          </cell>
          <cell r="N140">
            <v>89710676.40270111</v>
          </cell>
          <cell r="O140">
            <v>199304983.53542653</v>
          </cell>
          <cell r="P140">
            <v>269433057.58926111</v>
          </cell>
          <cell r="T140">
            <v>755850.45591658517</v>
          </cell>
          <cell r="U140">
            <v>1064115.5015082438</v>
          </cell>
          <cell r="V140">
            <v>1787129.0516590683</v>
          </cell>
          <cell r="W140">
            <v>4738611.9568249751</v>
          </cell>
          <cell r="X140">
            <v>11286390.652507471</v>
          </cell>
        </row>
        <row r="141">
          <cell r="L141">
            <v>41977285.179816887</v>
          </cell>
          <cell r="M141">
            <v>59892747.061179705</v>
          </cell>
          <cell r="N141">
            <v>96057840.009374917</v>
          </cell>
          <cell r="O141">
            <v>213562480.57053208</v>
          </cell>
          <cell r="P141">
            <v>287524649.62611848</v>
          </cell>
          <cell r="T141">
            <v>760183.81370036548</v>
          </cell>
          <cell r="U141">
            <v>1070562.1950704022</v>
          </cell>
          <cell r="V141">
            <v>1798672.4145774425</v>
          </cell>
          <cell r="W141">
            <v>4771329.6560351867</v>
          </cell>
          <cell r="X141">
            <v>11366235.121638704</v>
          </cell>
        </row>
        <row r="142">
          <cell r="L142">
            <v>44791835.117543951</v>
          </cell>
          <cell r="M142">
            <v>64001972.940322354</v>
          </cell>
          <cell r="N142">
            <v>102806090.60437706</v>
          </cell>
          <cell r="O142">
            <v>227819813.03246519</v>
          </cell>
          <cell r="P142">
            <v>306954009.28354383</v>
          </cell>
          <cell r="T142">
            <v>764517.1714841458</v>
          </cell>
          <cell r="U142">
            <v>1077008.8886325604</v>
          </cell>
          <cell r="V142">
            <v>1810215.7774958166</v>
          </cell>
          <cell r="W142">
            <v>4804047.3552453984</v>
          </cell>
          <cell r="X142">
            <v>11446079.590769937</v>
          </cell>
        </row>
        <row r="143">
          <cell r="L143">
            <v>47808395.049782947</v>
          </cell>
          <cell r="M143">
            <v>68346540.580155924</v>
          </cell>
          <cell r="N143">
            <v>109561891.09177381</v>
          </cell>
          <cell r="O143">
            <v>242935768.4476099</v>
          </cell>
          <cell r="P143">
            <v>328083416.33812416</v>
          </cell>
          <cell r="T143">
            <v>768850.52926792612</v>
          </cell>
          <cell r="U143">
            <v>1083455.5821947188</v>
          </cell>
          <cell r="V143">
            <v>1821759.1404141907</v>
          </cell>
          <cell r="W143">
            <v>4836765.05445561</v>
          </cell>
          <cell r="X143">
            <v>11525924.059901169</v>
          </cell>
        </row>
        <row r="144">
          <cell r="L144">
            <v>51041463.933306925</v>
          </cell>
          <cell r="M144">
            <v>72852035.694086939</v>
          </cell>
          <cell r="N144">
            <v>116846020.79875034</v>
          </cell>
          <cell r="O144">
            <v>259923710.36208475</v>
          </cell>
          <cell r="P144">
            <v>351220869.37695414</v>
          </cell>
          <cell r="T144">
            <v>773183.88705170644</v>
          </cell>
          <cell r="U144">
            <v>1089902.2757568771</v>
          </cell>
          <cell r="V144">
            <v>1833302.5033325651</v>
          </cell>
          <cell r="W144">
            <v>4869482.7536658216</v>
          </cell>
          <cell r="X144">
            <v>11605768.529032402</v>
          </cell>
        </row>
        <row r="145">
          <cell r="L145">
            <v>54506581.365219891</v>
          </cell>
          <cell r="M145">
            <v>77862630.273750991</v>
          </cell>
          <cell r="N145">
            <v>125300047.36711799</v>
          </cell>
          <cell r="O145">
            <v>279036433.30328238</v>
          </cell>
          <cell r="P145">
            <v>377170623.84265661</v>
          </cell>
          <cell r="T145">
            <v>777517.24483548675</v>
          </cell>
          <cell r="U145">
            <v>1096348.9693190355</v>
          </cell>
          <cell r="V145">
            <v>1844845.8662509392</v>
          </cell>
          <cell r="W145">
            <v>4902200.4528760333</v>
          </cell>
          <cell r="X145">
            <v>11685612.998163635</v>
          </cell>
        </row>
        <row r="146">
          <cell r="L146">
            <v>58220402.273316115</v>
          </cell>
          <cell r="M146">
            <v>83327738.486928567</v>
          </cell>
          <cell r="N146">
            <v>134227618.90301773</v>
          </cell>
          <cell r="O146">
            <v>299504631.2805295</v>
          </cell>
          <cell r="P146">
            <v>405359769.3941015</v>
          </cell>
          <cell r="T146">
            <v>781850.60261926707</v>
          </cell>
          <cell r="U146">
            <v>1102795.6628811939</v>
          </cell>
          <cell r="V146">
            <v>1856389.2291693133</v>
          </cell>
          <cell r="W146">
            <v>4934918.1520862449</v>
          </cell>
          <cell r="X146">
            <v>11765457.467294868</v>
          </cell>
        </row>
        <row r="147">
          <cell r="L147">
            <v>62200776.967225976</v>
          </cell>
          <cell r="M147">
            <v>89090210.866179213</v>
          </cell>
          <cell r="N147">
            <v>143766875.39511824</v>
          </cell>
          <cell r="O147">
            <v>321353574.21959931</v>
          </cell>
          <cell r="P147">
            <v>433475930.79776585</v>
          </cell>
          <cell r="T147">
            <v>786183.96040304727</v>
          </cell>
          <cell r="U147">
            <v>1109242.3564433521</v>
          </cell>
          <cell r="V147">
            <v>1867932.5920876875</v>
          </cell>
          <cell r="W147">
            <v>4967635.8512964556</v>
          </cell>
          <cell r="X147">
            <v>11845301.936426101</v>
          </cell>
        </row>
        <row r="148">
          <cell r="L148">
            <v>66459132.484107137</v>
          </cell>
          <cell r="M148">
            <v>95397071.028365076</v>
          </cell>
          <cell r="N148">
            <v>154023558.61037484</v>
          </cell>
          <cell r="O148">
            <v>343599014.87185836</v>
          </cell>
          <cell r="P148">
            <v>462983146.77745134</v>
          </cell>
          <cell r="T148">
            <v>790517.3181868277</v>
          </cell>
          <cell r="U148">
            <v>1115689.0500055104</v>
          </cell>
          <cell r="V148">
            <v>1879475.9550060616</v>
          </cell>
          <cell r="W148">
            <v>5000353.5505066672</v>
          </cell>
          <cell r="X148">
            <v>11925146.405557334</v>
          </cell>
        </row>
        <row r="149">
          <cell r="L149">
            <v>70932423.507837355</v>
          </cell>
          <cell r="M149">
            <v>102002437.73042709</v>
          </cell>
          <cell r="N149">
            <v>164312040.91437861</v>
          </cell>
          <cell r="O149">
            <v>366368970.22120637</v>
          </cell>
          <cell r="P149">
            <v>493891148.11210066</v>
          </cell>
          <cell r="T149">
            <v>794850.6759706079</v>
          </cell>
          <cell r="U149">
            <v>1122135.7435676688</v>
          </cell>
          <cell r="V149">
            <v>1891019.3179244359</v>
          </cell>
          <cell r="W149">
            <v>5033071.2497168789</v>
          </cell>
          <cell r="X149">
            <v>12004990.874688568</v>
          </cell>
        </row>
        <row r="150">
          <cell r="L150">
            <v>75726778.117273211</v>
          </cell>
          <cell r="M150">
            <v>108754686.476156</v>
          </cell>
          <cell r="N150">
            <v>175070620.21719462</v>
          </cell>
          <cell r="O150">
            <v>390361815.80146009</v>
          </cell>
          <cell r="P150">
            <v>527278575.66912967</v>
          </cell>
          <cell r="T150">
            <v>799184.03375438834</v>
          </cell>
          <cell r="U150">
            <v>1128582.4371298272</v>
          </cell>
          <cell r="V150">
            <v>1902562.6808428101</v>
          </cell>
          <cell r="W150">
            <v>5065788.9489270905</v>
          </cell>
          <cell r="X150">
            <v>12084835.343819801</v>
          </cell>
        </row>
        <row r="151">
          <cell r="L151">
            <v>80865240.157655239</v>
          </cell>
          <cell r="M151">
            <v>116273813.76123451</v>
          </cell>
          <cell r="N151">
            <v>187505483.27616221</v>
          </cell>
          <cell r="O151">
            <v>418986508.47767115</v>
          </cell>
          <cell r="P151">
            <v>565143581.12545681</v>
          </cell>
          <cell r="T151">
            <v>803517.39153816865</v>
          </cell>
          <cell r="U151">
            <v>1135029.1306919856</v>
          </cell>
          <cell r="V151">
            <v>1914106.0437611842</v>
          </cell>
          <cell r="W151">
            <v>5098506.6481373021</v>
          </cell>
          <cell r="X151">
            <v>12164679.812951032</v>
          </cell>
        </row>
        <row r="152">
          <cell r="L152">
            <v>86372507.410786808</v>
          </cell>
          <cell r="M152">
            <v>124321057.99618401</v>
          </cell>
          <cell r="N152">
            <v>200899586.61430249</v>
          </cell>
          <cell r="O152">
            <v>449073300.40346277</v>
          </cell>
          <cell r="P152">
            <v>605979556.6396575</v>
          </cell>
          <cell r="T152">
            <v>807850.74932194897</v>
          </cell>
          <cell r="U152">
            <v>1141475.824254144</v>
          </cell>
          <cell r="V152">
            <v>1925649.4066795586</v>
          </cell>
          <cell r="W152">
            <v>5131224.3473475138</v>
          </cell>
          <cell r="X152">
            <v>12244524.282082265</v>
          </cell>
        </row>
        <row r="153">
          <cell r="L153">
            <v>92275050.303788245</v>
          </cell>
          <cell r="M153">
            <v>132917516.59703743</v>
          </cell>
          <cell r="N153">
            <v>215109986.92600882</v>
          </cell>
          <cell r="O153">
            <v>481339676.76755732</v>
          </cell>
          <cell r="P153">
            <v>651561402.82112622</v>
          </cell>
          <cell r="T153">
            <v>812184.10710572929</v>
          </cell>
          <cell r="U153">
            <v>1147922.5178163024</v>
          </cell>
          <cell r="V153">
            <v>1937192.7695979327</v>
          </cell>
          <cell r="W153">
            <v>5163942.0465577254</v>
          </cell>
          <cell r="X153">
            <v>12324368.751213498</v>
          </cell>
        </row>
        <row r="154">
          <cell r="L154">
            <v>98601239.137989312</v>
          </cell>
          <cell r="M154">
            <v>142196137.08427939</v>
          </cell>
          <cell r="N154">
            <v>230438006.2499252</v>
          </cell>
          <cell r="O154">
            <v>518093454.99883437</v>
          </cell>
          <cell r="P154">
            <v>709031877.48814201</v>
          </cell>
          <cell r="T154">
            <v>816517.4648895096</v>
          </cell>
          <cell r="U154">
            <v>1154369.2113784607</v>
          </cell>
          <cell r="V154">
            <v>1948736.1325163068</v>
          </cell>
          <cell r="W154">
            <v>5196659.745767937</v>
          </cell>
          <cell r="X154">
            <v>12404213.220344732</v>
          </cell>
        </row>
        <row r="155">
          <cell r="L155">
            <v>105381480.44947961</v>
          </cell>
          <cell r="M155">
            <v>152040631.39419919</v>
          </cell>
          <cell r="N155">
            <v>247948519.16521761</v>
          </cell>
          <cell r="O155">
            <v>562501563.50439644</v>
          </cell>
          <cell r="P155">
            <v>1098416415.5899403</v>
          </cell>
          <cell r="T155">
            <v>820850.82267328992</v>
          </cell>
          <cell r="U155">
            <v>1160815.9049406191</v>
          </cell>
          <cell r="V155">
            <v>1960279.4954346812</v>
          </cell>
          <cell r="W155">
            <v>5229377.4449781487</v>
          </cell>
          <cell r="X155">
            <v>12484057.689475963</v>
          </cell>
        </row>
        <row r="156">
          <cell r="L156">
            <v>112648363.15672721</v>
          </cell>
          <cell r="M156">
            <v>163805576.3922936</v>
          </cell>
          <cell r="N156">
            <v>268276036.31259289</v>
          </cell>
          <cell r="O156">
            <v>744520014.07159317</v>
          </cell>
          <cell r="P156">
            <v>1880534218.3901145</v>
          </cell>
          <cell r="T156">
            <v>825184.18045707024</v>
          </cell>
          <cell r="U156">
            <v>1167262.5985027773</v>
          </cell>
          <cell r="V156">
            <v>1971822.8583530553</v>
          </cell>
          <cell r="W156">
            <v>5262095.1441883603</v>
          </cell>
          <cell r="X156">
            <v>12563902.158607196</v>
          </cell>
        </row>
        <row r="157">
          <cell r="L157">
            <v>120436815.19771889</v>
          </cell>
          <cell r="M157">
            <v>176038248.52770308</v>
          </cell>
          <cell r="N157">
            <v>329309296.58627486</v>
          </cell>
          <cell r="O157">
            <v>1048364358.3480647</v>
          </cell>
          <cell r="P157">
            <v>2651219260.3727632</v>
          </cell>
          <cell r="T157">
            <v>829517.53824085055</v>
          </cell>
          <cell r="U157">
            <v>1173709.2920649357</v>
          </cell>
          <cell r="V157">
            <v>1983366.2212714294</v>
          </cell>
          <cell r="W157">
            <v>5294812.8433985729</v>
          </cell>
          <cell r="X157">
            <v>12643746.627738429</v>
          </cell>
        </row>
        <row r="158">
          <cell r="L158">
            <v>128770912.15692526</v>
          </cell>
          <cell r="M158">
            <v>209026117.58476669</v>
          </cell>
          <cell r="N158">
            <v>429272515.33814478</v>
          </cell>
          <cell r="O158">
            <v>1361176657.7009187</v>
          </cell>
          <cell r="P158">
            <v>3455416492.6939464</v>
          </cell>
          <cell r="T158">
            <v>833850.89602463087</v>
          </cell>
          <cell r="U158">
            <v>1180155.9856270941</v>
          </cell>
          <cell r="V158">
            <v>1994909.5841898038</v>
          </cell>
          <cell r="W158">
            <v>5327530.5426087845</v>
          </cell>
          <cell r="X158">
            <v>12723591.096869662</v>
          </cell>
        </row>
        <row r="159">
          <cell r="L159">
            <v>137546563.07977226</v>
          </cell>
          <cell r="M159">
            <v>234742620.14612284</v>
          </cell>
          <cell r="N159">
            <v>484051157.41935933</v>
          </cell>
          <cell r="O159">
            <v>1536742765.4889503</v>
          </cell>
          <cell r="P159">
            <v>3901893226.6270924</v>
          </cell>
          <cell r="T159">
            <v>838184.25380841119</v>
          </cell>
          <cell r="U159">
            <v>1186602.6791892524</v>
          </cell>
          <cell r="V159">
            <v>2006452.9471081779</v>
          </cell>
          <cell r="W159">
            <v>5360248.2418189961</v>
          </cell>
          <cell r="X159">
            <v>12803435.566000894</v>
          </cell>
        </row>
        <row r="160">
          <cell r="L160">
            <v>146952072.85536182</v>
          </cell>
          <cell r="M160">
            <v>251077498.86086968</v>
          </cell>
          <cell r="N160">
            <v>518228278.94566095</v>
          </cell>
          <cell r="O160">
            <v>1646418014.0173526</v>
          </cell>
          <cell r="P160">
            <v>4168905505.4417071</v>
          </cell>
          <cell r="T160">
            <v>842517.6115921915</v>
          </cell>
          <cell r="U160">
            <v>1193049.3727514108</v>
          </cell>
          <cell r="V160">
            <v>2017996.3100265521</v>
          </cell>
          <cell r="W160">
            <v>5392965.9410292078</v>
          </cell>
          <cell r="X160">
            <v>12883280.035132127</v>
          </cell>
        </row>
        <row r="161">
          <cell r="L161">
            <v>157032648.63446465</v>
          </cell>
          <cell r="M161">
            <v>268584788.38108474</v>
          </cell>
          <cell r="N161">
            <v>554858410.82342982</v>
          </cell>
          <cell r="O161">
            <v>1763965034.8871698</v>
          </cell>
          <cell r="P161">
            <v>4467436435.3613586</v>
          </cell>
          <cell r="T161">
            <v>846850.96937597182</v>
          </cell>
          <cell r="U161">
            <v>1199496.0663135692</v>
          </cell>
          <cell r="V161">
            <v>2029539.6729449264</v>
          </cell>
          <cell r="W161">
            <v>5425683.6402394194</v>
          </cell>
          <cell r="X161">
            <v>12963124.50426336</v>
          </cell>
        </row>
        <row r="162">
          <cell r="L162">
            <v>167836742.24159318</v>
          </cell>
          <cell r="M162">
            <v>287348636.68979102</v>
          </cell>
          <cell r="N162">
            <v>594117614.09922743</v>
          </cell>
          <cell r="O162">
            <v>1889948812.4556398</v>
          </cell>
          <cell r="P162">
            <v>4787393963.7955246</v>
          </cell>
          <cell r="T162">
            <v>851184.32715975214</v>
          </cell>
          <cell r="U162">
            <v>1205942.7598757276</v>
          </cell>
          <cell r="V162">
            <v>2041083.0358633006</v>
          </cell>
          <cell r="W162">
            <v>5458401.3394496311</v>
          </cell>
          <cell r="X162">
            <v>13042968.973394593</v>
          </cell>
        </row>
        <row r="163">
          <cell r="L163">
            <v>179416283.05647135</v>
          </cell>
          <cell r="M163">
            <v>307459231.36211848</v>
          </cell>
          <cell r="N163">
            <v>636194586.33054423</v>
          </cell>
          <cell r="O163">
            <v>2024974881.9635987</v>
          </cell>
          <cell r="P163">
            <v>5130315951.9099579</v>
          </cell>
          <cell r="T163">
            <v>855517.68494353245</v>
          </cell>
          <cell r="U163">
            <v>1212389.453437886</v>
          </cell>
          <cell r="V163">
            <v>2052626.3987816747</v>
          </cell>
          <cell r="W163">
            <v>5491119.0386598427</v>
          </cell>
          <cell r="X163">
            <v>13122813.442525825</v>
          </cell>
        </row>
        <row r="164">
          <cell r="T164">
            <v>859851.04272731277</v>
          </cell>
          <cell r="U164">
            <v>1218836.1470000444</v>
          </cell>
          <cell r="V164">
            <v>2064169.761700049</v>
          </cell>
          <cell r="W164">
            <v>5523836.7378700543</v>
          </cell>
          <cell r="X164">
            <v>13202657.911657058</v>
          </cell>
        </row>
        <row r="165">
          <cell r="T165">
            <v>864184.40051109309</v>
          </cell>
          <cell r="U165">
            <v>1225282.8405622025</v>
          </cell>
          <cell r="V165">
            <v>2075713.1246184232</v>
          </cell>
          <cell r="W165">
            <v>5556554.437080266</v>
          </cell>
          <cell r="X165">
            <v>13282502.380788291</v>
          </cell>
        </row>
        <row r="166">
          <cell r="T166">
            <v>868517.75829487341</v>
          </cell>
          <cell r="U166">
            <v>1231729.5341243609</v>
          </cell>
          <cell r="V166">
            <v>2087256.4875367973</v>
          </cell>
          <cell r="W166">
            <v>5589272.1362904776</v>
          </cell>
          <cell r="X166">
            <v>13362346.849919524</v>
          </cell>
        </row>
        <row r="167">
          <cell r="T167">
            <v>872851.11607865372</v>
          </cell>
          <cell r="U167">
            <v>1238176.2276865193</v>
          </cell>
          <cell r="V167">
            <v>2098799.8504551714</v>
          </cell>
          <cell r="W167">
            <v>5621989.8355006892</v>
          </cell>
          <cell r="X167">
            <v>13442191.319050755</v>
          </cell>
        </row>
        <row r="168">
          <cell r="T168">
            <v>877184.47386243404</v>
          </cell>
          <cell r="U168">
            <v>1244622.9212486777</v>
          </cell>
          <cell r="V168">
            <v>2110343.2133735456</v>
          </cell>
          <cell r="W168">
            <v>5654707.5347109009</v>
          </cell>
          <cell r="X168">
            <v>13522035.788181989</v>
          </cell>
        </row>
        <row r="169">
          <cell r="T169">
            <v>881517.83164621436</v>
          </cell>
          <cell r="U169">
            <v>1251069.614810836</v>
          </cell>
          <cell r="V169">
            <v>2121886.5762919202</v>
          </cell>
          <cell r="W169">
            <v>5687425.2339211125</v>
          </cell>
          <cell r="X169">
            <v>13601880.257313222</v>
          </cell>
        </row>
        <row r="170">
          <cell r="T170">
            <v>885851.18942999467</v>
          </cell>
          <cell r="U170">
            <v>1257516.3083729944</v>
          </cell>
          <cell r="V170">
            <v>2133429.9392102943</v>
          </cell>
          <cell r="W170">
            <v>5720142.9331313241</v>
          </cell>
          <cell r="X170">
            <v>13681724.726444455</v>
          </cell>
        </row>
        <row r="171">
          <cell r="T171">
            <v>890184.47403977695</v>
          </cell>
          <cell r="U171">
            <v>1263963.0019351528</v>
          </cell>
          <cell r="V171">
            <v>2144973.3021286684</v>
          </cell>
          <cell r="W171">
            <v>5752860.6323415348</v>
          </cell>
          <cell r="X171">
            <v>13761569.195575688</v>
          </cell>
        </row>
        <row r="172">
          <cell r="T172">
            <v>894517.12130961951</v>
          </cell>
          <cell r="U172">
            <v>1270409.6954973112</v>
          </cell>
          <cell r="V172">
            <v>2156512.5337531343</v>
          </cell>
          <cell r="W172">
            <v>5785578.3315517465</v>
          </cell>
          <cell r="X172">
            <v>13841413.664706919</v>
          </cell>
        </row>
        <row r="173">
          <cell r="T173">
            <v>898849.76857946208</v>
          </cell>
          <cell r="U173">
            <v>1276856.3890594693</v>
          </cell>
          <cell r="V173">
            <v>2168040.2855180311</v>
          </cell>
          <cell r="W173">
            <v>5818296.0307619581</v>
          </cell>
          <cell r="X173">
            <v>13921258.133838153</v>
          </cell>
        </row>
        <row r="174">
          <cell r="T174">
            <v>903182.41584930464</v>
          </cell>
          <cell r="U174">
            <v>1283303.0826216277</v>
          </cell>
          <cell r="V174">
            <v>2179568.0372829279</v>
          </cell>
          <cell r="W174">
            <v>5851013.7299721697</v>
          </cell>
          <cell r="X174">
            <v>14001102.602969386</v>
          </cell>
        </row>
        <row r="175">
          <cell r="T175">
            <v>907515.06311914721</v>
          </cell>
          <cell r="U175">
            <v>1289749.7761837861</v>
          </cell>
          <cell r="V175">
            <v>2191095.7890478252</v>
          </cell>
          <cell r="W175">
            <v>5883731.4291823814</v>
          </cell>
          <cell r="X175">
            <v>14080947.072100619</v>
          </cell>
        </row>
        <row r="176">
          <cell r="T176">
            <v>911847.71038898989</v>
          </cell>
          <cell r="U176">
            <v>1296196.4697459445</v>
          </cell>
          <cell r="V176">
            <v>2202623.5408127219</v>
          </cell>
          <cell r="W176">
            <v>5916443.2022817116</v>
          </cell>
          <cell r="X176">
            <v>14160791.54123185</v>
          </cell>
        </row>
        <row r="177">
          <cell r="T177">
            <v>916180.35765883245</v>
          </cell>
          <cell r="U177">
            <v>1302643.1633081029</v>
          </cell>
          <cell r="V177">
            <v>2214151.2925776187</v>
          </cell>
          <cell r="W177">
            <v>5948898.5527772438</v>
          </cell>
          <cell r="X177">
            <v>14240636.010363083</v>
          </cell>
        </row>
        <row r="178">
          <cell r="T178">
            <v>920513.00492867501</v>
          </cell>
          <cell r="U178">
            <v>1309089.856870261</v>
          </cell>
          <cell r="V178">
            <v>2225679.044342516</v>
          </cell>
          <cell r="W178">
            <v>5981353.9032727769</v>
          </cell>
          <cell r="X178">
            <v>14320480.479494317</v>
          </cell>
        </row>
        <row r="179">
          <cell r="T179">
            <v>924845.65219851758</v>
          </cell>
          <cell r="U179">
            <v>1315536.5504324194</v>
          </cell>
          <cell r="V179">
            <v>2237206.7961074128</v>
          </cell>
          <cell r="W179">
            <v>6013809.25376831</v>
          </cell>
          <cell r="X179">
            <v>14400324.94862555</v>
          </cell>
        </row>
        <row r="180">
          <cell r="T180">
            <v>929178.29946836014</v>
          </cell>
          <cell r="U180">
            <v>1321983.2439945778</v>
          </cell>
          <cell r="V180">
            <v>2248734.5478723096</v>
          </cell>
          <cell r="W180">
            <v>6046264.604263843</v>
          </cell>
          <cell r="X180">
            <v>14480169.417756781</v>
          </cell>
        </row>
        <row r="181">
          <cell r="T181">
            <v>933510.94673820282</v>
          </cell>
          <cell r="U181">
            <v>1328429.9375567362</v>
          </cell>
          <cell r="V181">
            <v>2260262.2996372068</v>
          </cell>
          <cell r="W181">
            <v>6078719.9547593761</v>
          </cell>
          <cell r="X181">
            <v>14560013.886888014</v>
          </cell>
        </row>
        <row r="182">
          <cell r="T182">
            <v>937843.59400804539</v>
          </cell>
          <cell r="U182">
            <v>1334876.6311188946</v>
          </cell>
          <cell r="V182">
            <v>2271790.0514021036</v>
          </cell>
          <cell r="W182">
            <v>6111175.3052549092</v>
          </cell>
          <cell r="X182">
            <v>14639858.356019247</v>
          </cell>
        </row>
        <row r="183">
          <cell r="T183">
            <v>942176.24127788795</v>
          </cell>
          <cell r="U183">
            <v>1340923.342526078</v>
          </cell>
          <cell r="V183">
            <v>2283317.8031670004</v>
          </cell>
          <cell r="W183">
            <v>6143630.6557504414</v>
          </cell>
          <cell r="X183">
            <v>14719476.170548452</v>
          </cell>
        </row>
        <row r="184">
          <cell r="T184">
            <v>946072.75534475804</v>
          </cell>
          <cell r="U184">
            <v>1346913.262017586</v>
          </cell>
          <cell r="V184">
            <v>2294498.0339671574</v>
          </cell>
          <cell r="W184">
            <v>6176086.0062459745</v>
          </cell>
          <cell r="X184">
            <v>14798686.112228729</v>
          </cell>
        </row>
        <row r="185">
          <cell r="T185">
            <v>949960.67007037718</v>
          </cell>
          <cell r="U185">
            <v>1352903.1815090941</v>
          </cell>
          <cell r="V185">
            <v>2305502.4107851568</v>
          </cell>
          <cell r="W185">
            <v>6208541.3567415075</v>
          </cell>
          <cell r="X185">
            <v>14877896.053909006</v>
          </cell>
        </row>
        <row r="186">
          <cell r="T186">
            <v>953848.58479599631</v>
          </cell>
          <cell r="U186">
            <v>1358893.1010006021</v>
          </cell>
          <cell r="V186">
            <v>2316506.7876031557</v>
          </cell>
          <cell r="W186">
            <v>6240996.7072370406</v>
          </cell>
          <cell r="X186">
            <v>14957105.995589282</v>
          </cell>
        </row>
        <row r="187">
          <cell r="T187">
            <v>957736.49952161545</v>
          </cell>
          <cell r="U187">
            <v>1364883.0204921104</v>
          </cell>
          <cell r="V187">
            <v>2327511.1644211551</v>
          </cell>
          <cell r="W187">
            <v>6273452.0577325737</v>
          </cell>
          <cell r="X187">
            <v>15036315.937269557</v>
          </cell>
        </row>
        <row r="188">
          <cell r="T188">
            <v>961624.41424723458</v>
          </cell>
          <cell r="U188">
            <v>1370872.9399836184</v>
          </cell>
          <cell r="V188">
            <v>2338515.5412391541</v>
          </cell>
          <cell r="W188">
            <v>6305907.4082281068</v>
          </cell>
          <cell r="X188">
            <v>15115525.878949834</v>
          </cell>
        </row>
        <row r="189">
          <cell r="T189">
            <v>965512.32897285372</v>
          </cell>
          <cell r="U189">
            <v>1376862.8594751265</v>
          </cell>
          <cell r="V189">
            <v>2349519.918057153</v>
          </cell>
          <cell r="W189">
            <v>6338221.9098628685</v>
          </cell>
          <cell r="X189">
            <v>15194735.820630111</v>
          </cell>
        </row>
        <row r="190">
          <cell r="T190">
            <v>969400.24369847286</v>
          </cell>
          <cell r="U190">
            <v>1382852.7789666345</v>
          </cell>
          <cell r="V190">
            <v>2360524.2948751524</v>
          </cell>
          <cell r="W190">
            <v>6370346.7243626676</v>
          </cell>
          <cell r="X190">
            <v>15273945.762310388</v>
          </cell>
        </row>
        <row r="191">
          <cell r="T191">
            <v>973288.15842409199</v>
          </cell>
          <cell r="U191">
            <v>1388842.6984581426</v>
          </cell>
          <cell r="V191">
            <v>2371528.6716931514</v>
          </cell>
          <cell r="W191">
            <v>6402471.5388624668</v>
          </cell>
          <cell r="X191">
            <v>15353155.703990664</v>
          </cell>
        </row>
        <row r="192">
          <cell r="T192">
            <v>977176.07314971113</v>
          </cell>
          <cell r="U192">
            <v>1394832.6179496506</v>
          </cell>
          <cell r="V192">
            <v>2382533.0485111508</v>
          </cell>
          <cell r="W192">
            <v>6434596.353362266</v>
          </cell>
          <cell r="X192">
            <v>15432365.645670941</v>
          </cell>
        </row>
        <row r="193">
          <cell r="T193">
            <v>981063.98787533026</v>
          </cell>
          <cell r="U193">
            <v>1400822.5374411589</v>
          </cell>
          <cell r="V193">
            <v>2393537.4253291497</v>
          </cell>
          <cell r="W193">
            <v>6466721.1678620651</v>
          </cell>
          <cell r="X193">
            <v>15511575.587351218</v>
          </cell>
        </row>
        <row r="194">
          <cell r="T194">
            <v>984951.9026009494</v>
          </cell>
          <cell r="U194">
            <v>1406812.4569326669</v>
          </cell>
          <cell r="V194">
            <v>2404541.8021471491</v>
          </cell>
          <cell r="W194">
            <v>6498845.9823618643</v>
          </cell>
          <cell r="X194">
            <v>15590785.529031493</v>
          </cell>
        </row>
        <row r="195">
          <cell r="T195">
            <v>988839.81732656853</v>
          </cell>
          <cell r="U195">
            <v>1412802.376424175</v>
          </cell>
          <cell r="V195">
            <v>2415546.1789651481</v>
          </cell>
          <cell r="W195">
            <v>6530970.7968616635</v>
          </cell>
          <cell r="X195">
            <v>15669995.47071177</v>
          </cell>
        </row>
        <row r="196">
          <cell r="T196">
            <v>992727.73205218767</v>
          </cell>
          <cell r="U196">
            <v>1418760.5052574067</v>
          </cell>
          <cell r="V196">
            <v>2426550.5557831475</v>
          </cell>
          <cell r="W196">
            <v>6563095.6113614617</v>
          </cell>
          <cell r="X196">
            <v>15749202.672497608</v>
          </cell>
        </row>
        <row r="197">
          <cell r="T197">
            <v>996615.64677780692</v>
          </cell>
          <cell r="U197">
            <v>1424717.2114555878</v>
          </cell>
          <cell r="V197">
            <v>2437554.9326011464</v>
          </cell>
          <cell r="W197">
            <v>6595220.4258612609</v>
          </cell>
          <cell r="X197">
            <v>15828394.968447385</v>
          </cell>
        </row>
        <row r="198">
          <cell r="T198">
            <v>1000503.5615034261</v>
          </cell>
          <cell r="U198">
            <v>1430673.9176537688</v>
          </cell>
          <cell r="V198">
            <v>2448559.3094191458</v>
          </cell>
          <cell r="W198">
            <v>6627345.24036106</v>
          </cell>
          <cell r="X198">
            <v>15907587.264397165</v>
          </cell>
        </row>
        <row r="199">
          <cell r="T199">
            <v>1004391.4762290452</v>
          </cell>
          <cell r="U199">
            <v>1436630.6238519498</v>
          </cell>
          <cell r="V199">
            <v>2459563.6862371447</v>
          </cell>
          <cell r="W199">
            <v>6659470.0548608592</v>
          </cell>
          <cell r="X199">
            <v>15986779.560346944</v>
          </cell>
        </row>
        <row r="200">
          <cell r="T200">
            <v>1008279.3909546643</v>
          </cell>
          <cell r="U200">
            <v>1442587.3300501308</v>
          </cell>
          <cell r="V200">
            <v>2470568.0630551442</v>
          </cell>
          <cell r="W200">
            <v>6691594.8693606583</v>
          </cell>
          <cell r="X200">
            <v>16065971.856296724</v>
          </cell>
        </row>
        <row r="201">
          <cell r="T201">
            <v>1012167.3056802835</v>
          </cell>
          <cell r="U201">
            <v>1448544.0362483119</v>
          </cell>
          <cell r="V201">
            <v>2481572.4398731431</v>
          </cell>
          <cell r="W201">
            <v>6723719.6838604575</v>
          </cell>
          <cell r="X201">
            <v>16145164.152246501</v>
          </cell>
        </row>
        <row r="202">
          <cell r="T202">
            <v>1016055.2204059026</v>
          </cell>
          <cell r="U202">
            <v>1454500.7424464929</v>
          </cell>
          <cell r="V202">
            <v>2492576.8166911425</v>
          </cell>
          <cell r="W202">
            <v>6755844.4983602567</v>
          </cell>
          <cell r="X202">
            <v>16224356.448196281</v>
          </cell>
        </row>
        <row r="203">
          <cell r="T203">
            <v>1019943.1351315217</v>
          </cell>
          <cell r="U203">
            <v>1460457.4486446739</v>
          </cell>
          <cell r="V203">
            <v>2503581.1935091414</v>
          </cell>
          <cell r="W203">
            <v>6787969.3128600558</v>
          </cell>
          <cell r="X203">
            <v>16303548.74414606</v>
          </cell>
        </row>
        <row r="204">
          <cell r="T204">
            <v>1023831.0498571409</v>
          </cell>
          <cell r="U204">
            <v>1466414.1548428549</v>
          </cell>
          <cell r="V204">
            <v>2514585.5703271409</v>
          </cell>
          <cell r="W204">
            <v>6820094.127359855</v>
          </cell>
          <cell r="X204">
            <v>16382741.04009584</v>
          </cell>
        </row>
        <row r="205">
          <cell r="T205">
            <v>1027718.96458276</v>
          </cell>
          <cell r="U205">
            <v>1472370.861041036</v>
          </cell>
          <cell r="V205">
            <v>2525589.9471451398</v>
          </cell>
          <cell r="W205">
            <v>6852218.9418596542</v>
          </cell>
          <cell r="X205">
            <v>16461933.336045617</v>
          </cell>
        </row>
        <row r="206">
          <cell r="T206">
            <v>1031606.8793083791</v>
          </cell>
          <cell r="U206">
            <v>1478327.567239217</v>
          </cell>
          <cell r="V206">
            <v>2536594.3239631392</v>
          </cell>
          <cell r="W206">
            <v>6884343.7563594533</v>
          </cell>
          <cell r="X206">
            <v>16541125.631995397</v>
          </cell>
        </row>
        <row r="207">
          <cell r="T207">
            <v>1035494.7940339983</v>
          </cell>
          <cell r="U207">
            <v>1484284.273437398</v>
          </cell>
          <cell r="V207">
            <v>2547598.7007811381</v>
          </cell>
          <cell r="W207">
            <v>6916468.5708592515</v>
          </cell>
          <cell r="X207">
            <v>16620317.927945176</v>
          </cell>
        </row>
        <row r="208">
          <cell r="T208">
            <v>1039382.7087596174</v>
          </cell>
          <cell r="U208">
            <v>1490240.9796355793</v>
          </cell>
          <cell r="V208">
            <v>2558603.0775991376</v>
          </cell>
          <cell r="W208">
            <v>6948593.3853590507</v>
          </cell>
          <cell r="X208">
            <v>16699510.223894954</v>
          </cell>
        </row>
        <row r="209">
          <cell r="T209">
            <v>1043270.6234852365</v>
          </cell>
          <cell r="U209">
            <v>1496197.6858337603</v>
          </cell>
          <cell r="V209">
            <v>2569607.4544171365</v>
          </cell>
          <cell r="W209">
            <v>6980718.1998588499</v>
          </cell>
          <cell r="X209">
            <v>16778702.519844733</v>
          </cell>
        </row>
        <row r="210">
          <cell r="T210">
            <v>1047158.5382108557</v>
          </cell>
          <cell r="U210">
            <v>1502154.3920319413</v>
          </cell>
          <cell r="V210">
            <v>2580611.8312351359</v>
          </cell>
          <cell r="W210">
            <v>7012843.014358649</v>
          </cell>
          <cell r="X210">
            <v>16857894.815794513</v>
          </cell>
        </row>
        <row r="211">
          <cell r="T211">
            <v>1051046.4529364747</v>
          </cell>
          <cell r="U211">
            <v>1508111.0982301224</v>
          </cell>
          <cell r="V211">
            <v>2591616.2080531348</v>
          </cell>
          <cell r="W211">
            <v>7044967.8288584482</v>
          </cell>
          <cell r="X211">
            <v>16937087.111744292</v>
          </cell>
        </row>
        <row r="212">
          <cell r="T212">
            <v>1054934.3676620938</v>
          </cell>
          <cell r="U212">
            <v>1514067.8044283034</v>
          </cell>
          <cell r="V212">
            <v>2602620.5848711343</v>
          </cell>
          <cell r="W212">
            <v>7077092.6433582474</v>
          </cell>
          <cell r="X212">
            <v>17016279.407694072</v>
          </cell>
        </row>
        <row r="213">
          <cell r="T213">
            <v>1058822.282387713</v>
          </cell>
          <cell r="U213">
            <v>1520024.5106264844</v>
          </cell>
          <cell r="V213">
            <v>2613624.9616891332</v>
          </cell>
          <cell r="W213">
            <v>7109217.4578580465</v>
          </cell>
          <cell r="X213">
            <v>17095471.703643851</v>
          </cell>
        </row>
        <row r="214">
          <cell r="T214">
            <v>1062710.1971133321</v>
          </cell>
          <cell r="U214">
            <v>1525981.2168246654</v>
          </cell>
          <cell r="V214">
            <v>2624629.3385071326</v>
          </cell>
          <cell r="W214">
            <v>7141342.2723578457</v>
          </cell>
          <cell r="X214">
            <v>17174663.99959363</v>
          </cell>
        </row>
        <row r="215">
          <cell r="T215">
            <v>1066598.1118389512</v>
          </cell>
          <cell r="U215">
            <v>1531937.9230228467</v>
          </cell>
          <cell r="V215">
            <v>2635633.7153251315</v>
          </cell>
          <cell r="W215">
            <v>7173467.0868576448</v>
          </cell>
          <cell r="X215">
            <v>17253856.295543406</v>
          </cell>
        </row>
        <row r="216">
          <cell r="T216">
            <v>1070486.0265645704</v>
          </cell>
          <cell r="U216">
            <v>1537894.6292210277</v>
          </cell>
          <cell r="V216">
            <v>2646638.092143131</v>
          </cell>
          <cell r="W216">
            <v>7205591.901357444</v>
          </cell>
          <cell r="X216">
            <v>17333048.591493186</v>
          </cell>
        </row>
        <row r="217">
          <cell r="T217">
            <v>1074373.9412901895</v>
          </cell>
          <cell r="U217">
            <v>1543851.3354192087</v>
          </cell>
          <cell r="V217">
            <v>2657642.4689611299</v>
          </cell>
          <cell r="W217">
            <v>7237716.7158572432</v>
          </cell>
          <cell r="X217">
            <v>17412240.887442965</v>
          </cell>
        </row>
        <row r="218">
          <cell r="T218">
            <v>1078261.8560158086</v>
          </cell>
          <cell r="U218">
            <v>1549808.0416173898</v>
          </cell>
          <cell r="V218">
            <v>2668646.8457791293</v>
          </cell>
          <cell r="W218">
            <v>7269841.5303570414</v>
          </cell>
          <cell r="X218">
            <v>17491433.183392745</v>
          </cell>
        </row>
        <row r="219">
          <cell r="T219">
            <v>1082149.7707414278</v>
          </cell>
          <cell r="U219">
            <v>1555764.7478155708</v>
          </cell>
          <cell r="V219">
            <v>2679651.2225971282</v>
          </cell>
          <cell r="W219">
            <v>7301966.3448568406</v>
          </cell>
          <cell r="X219">
            <v>17570625.479342524</v>
          </cell>
        </row>
        <row r="220">
          <cell r="T220">
            <v>1086037.6854670469</v>
          </cell>
          <cell r="U220">
            <v>1561721.4540137518</v>
          </cell>
          <cell r="V220">
            <v>2690655.5994151277</v>
          </cell>
          <cell r="W220">
            <v>7334091.1593566397</v>
          </cell>
          <cell r="X220">
            <v>17649817.775292303</v>
          </cell>
        </row>
        <row r="221">
          <cell r="T221">
            <v>1089925.6001926661</v>
          </cell>
          <cell r="U221">
            <v>1567678.1602119331</v>
          </cell>
          <cell r="V221">
            <v>2701659.9762331266</v>
          </cell>
          <cell r="W221">
            <v>7366215.9738564389</v>
          </cell>
          <cell r="X221">
            <v>17729010.071242083</v>
          </cell>
        </row>
        <row r="222">
          <cell r="T222">
            <v>1093813.5149182852</v>
          </cell>
          <cell r="U222">
            <v>1573634.8664101141</v>
          </cell>
          <cell r="V222">
            <v>2712664.353051126</v>
          </cell>
          <cell r="W222">
            <v>7398340.788356238</v>
          </cell>
          <cell r="X222">
            <v>17808202.367191862</v>
          </cell>
        </row>
        <row r="223">
          <cell r="T223">
            <v>1097701.4296439043</v>
          </cell>
          <cell r="U223">
            <v>1579591.5726082951</v>
          </cell>
          <cell r="V223">
            <v>2723668.7298691249</v>
          </cell>
          <cell r="W223">
            <v>7430465.6028560372</v>
          </cell>
          <cell r="X223">
            <v>17887394.663141642</v>
          </cell>
        </row>
        <row r="224">
          <cell r="T224">
            <v>1101589.3443695235</v>
          </cell>
          <cell r="U224">
            <v>1585548.2788064762</v>
          </cell>
          <cell r="V224">
            <v>2734673.1066871239</v>
          </cell>
          <cell r="W224">
            <v>7462590.4173558364</v>
          </cell>
          <cell r="X224">
            <v>17966586.959091417</v>
          </cell>
        </row>
        <row r="225">
          <cell r="T225">
            <v>1105477.2590951426</v>
          </cell>
          <cell r="U225">
            <v>1591504.9850046572</v>
          </cell>
          <cell r="V225">
            <v>2745677.4835051233</v>
          </cell>
          <cell r="W225">
            <v>7494715.2318556355</v>
          </cell>
          <cell r="X225">
            <v>18045779.255041197</v>
          </cell>
        </row>
        <row r="226">
          <cell r="T226">
            <v>1109365.1738207617</v>
          </cell>
          <cell r="U226">
            <v>1597461.6912028382</v>
          </cell>
          <cell r="V226">
            <v>2756681.8603231222</v>
          </cell>
          <cell r="W226">
            <v>7526840.0463554347</v>
          </cell>
          <cell r="X226">
            <v>18124971.550990976</v>
          </cell>
        </row>
        <row r="227">
          <cell r="T227">
            <v>1113253.0885463809</v>
          </cell>
          <cell r="U227">
            <v>1603418.3974010192</v>
          </cell>
          <cell r="V227">
            <v>2767686.2371411216</v>
          </cell>
          <cell r="W227">
            <v>7558964.8608552339</v>
          </cell>
          <cell r="X227">
            <v>18204163.846940756</v>
          </cell>
        </row>
        <row r="228">
          <cell r="T228">
            <v>1117141.003272</v>
          </cell>
          <cell r="U228">
            <v>1609375.1035992003</v>
          </cell>
          <cell r="V228">
            <v>2778690.6139591206</v>
          </cell>
          <cell r="W228">
            <v>7591089.675355033</v>
          </cell>
          <cell r="X228">
            <v>18283356.142890535</v>
          </cell>
        </row>
        <row r="229">
          <cell r="T229">
            <v>1121028.9179976194</v>
          </cell>
          <cell r="U229">
            <v>1615331.8097973813</v>
          </cell>
          <cell r="V229">
            <v>2789694.99077712</v>
          </cell>
          <cell r="W229">
            <v>7623214.4898548322</v>
          </cell>
          <cell r="X229">
            <v>18362548.438840315</v>
          </cell>
        </row>
        <row r="230">
          <cell r="T230">
            <v>1124916.8327232385</v>
          </cell>
          <cell r="U230">
            <v>1621288.5159955623</v>
          </cell>
          <cell r="V230">
            <v>2800699.3675951189</v>
          </cell>
          <cell r="W230">
            <v>7655339.3043546304</v>
          </cell>
          <cell r="X230">
            <v>18441740.734790094</v>
          </cell>
        </row>
        <row r="231">
          <cell r="T231">
            <v>1128804.7474488576</v>
          </cell>
          <cell r="U231">
            <v>1627245.2221937433</v>
          </cell>
          <cell r="V231">
            <v>2811703.7444131183</v>
          </cell>
          <cell r="W231">
            <v>7687464.1188544296</v>
          </cell>
          <cell r="X231">
            <v>18520933.030739874</v>
          </cell>
        </row>
        <row r="232">
          <cell r="T232">
            <v>1132692.6621744768</v>
          </cell>
          <cell r="U232">
            <v>1633201.9283919244</v>
          </cell>
          <cell r="V232">
            <v>2822708.1212311173</v>
          </cell>
          <cell r="W232">
            <v>7719588.9333542287</v>
          </cell>
          <cell r="X232">
            <v>18600125.326689649</v>
          </cell>
        </row>
        <row r="233">
          <cell r="T233">
            <v>1136580.5769000959</v>
          </cell>
          <cell r="U233">
            <v>1639158.6345901056</v>
          </cell>
          <cell r="V233">
            <v>2833712.4980491167</v>
          </cell>
          <cell r="W233">
            <v>7751713.7478540279</v>
          </cell>
          <cell r="X233">
            <v>18679317.622639429</v>
          </cell>
        </row>
        <row r="234">
          <cell r="T234">
            <v>1140468.491625715</v>
          </cell>
          <cell r="U234">
            <v>1645115.3407882866</v>
          </cell>
          <cell r="V234">
            <v>2844716.8748671156</v>
          </cell>
          <cell r="W234">
            <v>7783838.5623538271</v>
          </cell>
          <cell r="X234">
            <v>18758509.918589208</v>
          </cell>
        </row>
        <row r="235">
          <cell r="T235">
            <v>1144356.4063513342</v>
          </cell>
          <cell r="U235">
            <v>1651072.0469864677</v>
          </cell>
          <cell r="V235">
            <v>2855721.2516851146</v>
          </cell>
          <cell r="W235">
            <v>7815963.3768536262</v>
          </cell>
          <cell r="X235">
            <v>18837702.214538988</v>
          </cell>
        </row>
        <row r="236">
          <cell r="T236">
            <v>1148244.3210769533</v>
          </cell>
          <cell r="U236">
            <v>1657028.7531846487</v>
          </cell>
          <cell r="V236">
            <v>2866725.628503114</v>
          </cell>
          <cell r="W236">
            <v>7848088.1913534254</v>
          </cell>
          <cell r="X236">
            <v>18916894.510488767</v>
          </cell>
        </row>
        <row r="237">
          <cell r="T237">
            <v>1152132.2358025725</v>
          </cell>
          <cell r="U237">
            <v>1662985.4593828297</v>
          </cell>
          <cell r="V237">
            <v>2877730.0053211129</v>
          </cell>
          <cell r="W237">
            <v>7880213.0058532245</v>
          </cell>
          <cell r="X237">
            <v>18996086.806438547</v>
          </cell>
        </row>
        <row r="238">
          <cell r="T238">
            <v>1156020.1505281916</v>
          </cell>
          <cell r="U238">
            <v>1668942.1655810107</v>
          </cell>
          <cell r="V238">
            <v>2888734.3821391123</v>
          </cell>
          <cell r="W238">
            <v>7912337.8203530237</v>
          </cell>
          <cell r="X238">
            <v>19075279.102388322</v>
          </cell>
        </row>
        <row r="239">
          <cell r="T239">
            <v>1159908.0652538107</v>
          </cell>
          <cell r="U239">
            <v>1674898.8717791918</v>
          </cell>
          <cell r="V239">
            <v>2899738.7589571113</v>
          </cell>
          <cell r="W239">
            <v>7944462.6348528229</v>
          </cell>
          <cell r="X239">
            <v>19154471.398338102</v>
          </cell>
        </row>
        <row r="240">
          <cell r="T240">
            <v>1163795.9799794299</v>
          </cell>
          <cell r="U240">
            <v>1680855.5779773728</v>
          </cell>
          <cell r="V240">
            <v>2910743.1357751107</v>
          </cell>
          <cell r="W240">
            <v>7976587.449352622</v>
          </cell>
          <cell r="X240">
            <v>19233663.694287881</v>
          </cell>
        </row>
        <row r="241">
          <cell r="T241">
            <v>1167683.894705049</v>
          </cell>
          <cell r="U241">
            <v>1686812.2841755538</v>
          </cell>
          <cell r="V241">
            <v>2921747.5125931096</v>
          </cell>
          <cell r="W241">
            <v>8008712.2638524203</v>
          </cell>
          <cell r="X241">
            <v>19312855.990237661</v>
          </cell>
        </row>
        <row r="242">
          <cell r="T242">
            <v>1171571.8094306681</v>
          </cell>
          <cell r="U242">
            <v>1692768.9903737349</v>
          </cell>
          <cell r="V242">
            <v>2932751.889411109</v>
          </cell>
          <cell r="W242">
            <v>8040837.0783522194</v>
          </cell>
          <cell r="X242">
            <v>19392048.28618744</v>
          </cell>
        </row>
        <row r="243">
          <cell r="T243">
            <v>1175459.7241562873</v>
          </cell>
          <cell r="U243">
            <v>1698725.6965719159</v>
          </cell>
          <cell r="V243">
            <v>2943756.266229108</v>
          </cell>
          <cell r="W243">
            <v>8072961.8928520186</v>
          </cell>
          <cell r="X243">
            <v>19471240.58213722</v>
          </cell>
        </row>
        <row r="244">
          <cell r="T244">
            <v>1179347.6388819064</v>
          </cell>
          <cell r="U244">
            <v>1704682.4027700971</v>
          </cell>
          <cell r="V244">
            <v>2954760.6430471069</v>
          </cell>
          <cell r="W244">
            <v>8105086.7073518177</v>
          </cell>
          <cell r="X244">
            <v>19550432.878086999</v>
          </cell>
        </row>
        <row r="245">
          <cell r="T245">
            <v>1183235.5536075255</v>
          </cell>
          <cell r="U245">
            <v>1710639.1089682782</v>
          </cell>
          <cell r="V245">
            <v>2965765.0198651063</v>
          </cell>
          <cell r="W245">
            <v>8137211.5218516169</v>
          </cell>
          <cell r="X245">
            <v>19629625.174036775</v>
          </cell>
        </row>
        <row r="246">
          <cell r="T246">
            <v>1187123.4683331447</v>
          </cell>
          <cell r="U246">
            <v>1716595.8151664592</v>
          </cell>
          <cell r="V246">
            <v>2976769.3966831053</v>
          </cell>
          <cell r="W246">
            <v>8169336.3363514161</v>
          </cell>
          <cell r="X246">
            <v>19708817.469986554</v>
          </cell>
        </row>
        <row r="247">
          <cell r="T247">
            <v>1191011.3830587638</v>
          </cell>
          <cell r="U247">
            <v>1722552.5213646402</v>
          </cell>
          <cell r="V247">
            <v>2987773.7735011047</v>
          </cell>
          <cell r="W247">
            <v>8201461.1508512152</v>
          </cell>
          <cell r="X247">
            <v>19788009.765936334</v>
          </cell>
        </row>
        <row r="248">
          <cell r="T248">
            <v>1194899.2977843829</v>
          </cell>
          <cell r="U248">
            <v>1728509.2275628212</v>
          </cell>
          <cell r="V248">
            <v>2998778.1503191036</v>
          </cell>
          <cell r="W248">
            <v>8233585.9653510144</v>
          </cell>
          <cell r="X248">
            <v>19867202.061886113</v>
          </cell>
        </row>
        <row r="249">
          <cell r="T249">
            <v>1198787.2125100021</v>
          </cell>
          <cell r="U249">
            <v>1734465.9337610023</v>
          </cell>
          <cell r="V249">
            <v>3009782.527137103</v>
          </cell>
          <cell r="W249">
            <v>8265710.7798508136</v>
          </cell>
          <cell r="X249">
            <v>19946394.357835893</v>
          </cell>
        </row>
        <row r="250">
          <cell r="T250">
            <v>1202675.1272356212</v>
          </cell>
          <cell r="U250">
            <v>1740422.6399591835</v>
          </cell>
          <cell r="V250">
            <v>3020786.903955102</v>
          </cell>
          <cell r="W250">
            <v>8297835.5943506127</v>
          </cell>
          <cell r="X250">
            <v>20025586.653785672</v>
          </cell>
        </row>
        <row r="251">
          <cell r="T251">
            <v>1206563.0419612403</v>
          </cell>
          <cell r="U251">
            <v>1746379.3461573645</v>
          </cell>
          <cell r="V251">
            <v>3031791.2807731009</v>
          </cell>
          <cell r="W251">
            <v>8329960.4088504119</v>
          </cell>
          <cell r="X251">
            <v>20104778.949735451</v>
          </cell>
        </row>
        <row r="252">
          <cell r="T252">
            <v>1210450.9566868595</v>
          </cell>
          <cell r="U252">
            <v>1752336.0523555456</v>
          </cell>
          <cell r="V252">
            <v>3042795.6575911003</v>
          </cell>
          <cell r="W252">
            <v>8362085.223350211</v>
          </cell>
          <cell r="X252">
            <v>20183971.245685227</v>
          </cell>
        </row>
        <row r="253">
          <cell r="T253">
            <v>1214338.8714124786</v>
          </cell>
          <cell r="U253">
            <v>1758292.7585537266</v>
          </cell>
          <cell r="V253">
            <v>3053800.0344090993</v>
          </cell>
          <cell r="W253">
            <v>8394210.0378500111</v>
          </cell>
          <cell r="X253">
            <v>20263163.541635007</v>
          </cell>
        </row>
        <row r="254">
          <cell r="T254">
            <v>1218226.7861380978</v>
          </cell>
          <cell r="U254">
            <v>1764249.4647519076</v>
          </cell>
          <cell r="V254">
            <v>3064804.4112270987</v>
          </cell>
          <cell r="W254">
            <v>8426334.8523498103</v>
          </cell>
          <cell r="X254">
            <v>20342355.837584786</v>
          </cell>
        </row>
        <row r="255">
          <cell r="T255">
            <v>1222114.7008637169</v>
          </cell>
          <cell r="U255">
            <v>1770206.1709500886</v>
          </cell>
          <cell r="V255">
            <v>3075808.7880450976</v>
          </cell>
          <cell r="W255">
            <v>8458459.6668496095</v>
          </cell>
          <cell r="X255">
            <v>20421548.133534566</v>
          </cell>
        </row>
        <row r="256">
          <cell r="T256">
            <v>1226002.615589336</v>
          </cell>
          <cell r="U256">
            <v>1776162.8771482697</v>
          </cell>
          <cell r="V256">
            <v>3086813.1648630966</v>
          </cell>
          <cell r="W256">
            <v>8490584.4813494068</v>
          </cell>
          <cell r="X256">
            <v>20500740.429484345</v>
          </cell>
        </row>
        <row r="257">
          <cell r="T257">
            <v>1229890.5303149552</v>
          </cell>
          <cell r="U257">
            <v>1782119.5833464509</v>
          </cell>
          <cell r="V257">
            <v>3097817.541681096</v>
          </cell>
          <cell r="W257">
            <v>8522709.2958492059</v>
          </cell>
          <cell r="X257">
            <v>20579932.725434124</v>
          </cell>
        </row>
        <row r="258">
          <cell r="T258">
            <v>1233778.4450405743</v>
          </cell>
          <cell r="U258">
            <v>1788076.289544632</v>
          </cell>
          <cell r="V258">
            <v>3108821.9184990949</v>
          </cell>
          <cell r="W258">
            <v>8554834.1103490051</v>
          </cell>
          <cell r="X258">
            <v>20659125.021383904</v>
          </cell>
        </row>
        <row r="259">
          <cell r="T259">
            <v>1237666.3597661934</v>
          </cell>
          <cell r="U259">
            <v>1794032.995742813</v>
          </cell>
          <cell r="V259">
            <v>3119826.2953170943</v>
          </cell>
          <cell r="W259">
            <v>8586958.9248488043</v>
          </cell>
          <cell r="X259">
            <v>20738317.31733368</v>
          </cell>
        </row>
        <row r="260">
          <cell r="T260">
            <v>1241554.2744918126</v>
          </cell>
          <cell r="U260">
            <v>1799989.701940994</v>
          </cell>
          <cell r="V260">
            <v>3130830.6721350932</v>
          </cell>
          <cell r="W260">
            <v>8619083.7393486034</v>
          </cell>
          <cell r="X260">
            <v>20817509.613283459</v>
          </cell>
        </row>
        <row r="261">
          <cell r="T261">
            <v>1245442.1892174317</v>
          </cell>
          <cell r="U261">
            <v>1805946.408139175</v>
          </cell>
          <cell r="V261">
            <v>3141835.0489530927</v>
          </cell>
          <cell r="W261">
            <v>8651208.5538484026</v>
          </cell>
          <cell r="X261">
            <v>20896701.909233239</v>
          </cell>
        </row>
        <row r="262">
          <cell r="T262">
            <v>1249330.1039430508</v>
          </cell>
          <cell r="U262">
            <v>1811903.1143373561</v>
          </cell>
          <cell r="V262">
            <v>3152839.4257710916</v>
          </cell>
          <cell r="W262">
            <v>8683333.3683482017</v>
          </cell>
          <cell r="X262">
            <v>20975894.205183018</v>
          </cell>
        </row>
        <row r="263">
          <cell r="T263">
            <v>1253218.01866867</v>
          </cell>
          <cell r="U263">
            <v>1817859.8205355371</v>
          </cell>
          <cell r="V263">
            <v>3163843.802589091</v>
          </cell>
          <cell r="W263">
            <v>8715458.1828480009</v>
          </cell>
          <cell r="X263">
            <v>21055086.501132797</v>
          </cell>
        </row>
        <row r="264">
          <cell r="T264">
            <v>1257105.9333942891</v>
          </cell>
          <cell r="U264">
            <v>1823816.5267337181</v>
          </cell>
          <cell r="V264">
            <v>3174848.1794070899</v>
          </cell>
          <cell r="W264">
            <v>8747582.9973478001</v>
          </cell>
          <cell r="X264">
            <v>21134278.797082577</v>
          </cell>
        </row>
        <row r="265">
          <cell r="T265">
            <v>1260993.8481199082</v>
          </cell>
          <cell r="U265">
            <v>1829773.2329318991</v>
          </cell>
          <cell r="V265">
            <v>3185852.5562250894</v>
          </cell>
          <cell r="W265">
            <v>8779707.8118475992</v>
          </cell>
          <cell r="X265">
            <v>21213471.093032356</v>
          </cell>
        </row>
        <row r="266">
          <cell r="T266">
            <v>1264881.7628455274</v>
          </cell>
          <cell r="U266">
            <v>1835729.9391300802</v>
          </cell>
          <cell r="V266">
            <v>3196856.9330430883</v>
          </cell>
          <cell r="W266">
            <v>8811832.6263473984</v>
          </cell>
          <cell r="X266">
            <v>21292663.388982136</v>
          </cell>
        </row>
        <row r="267">
          <cell r="T267">
            <v>1268769.6775711465</v>
          </cell>
          <cell r="U267">
            <v>1841686.6453282614</v>
          </cell>
          <cell r="V267">
            <v>3207861.3098610877</v>
          </cell>
          <cell r="W267">
            <v>8843957.4408471957</v>
          </cell>
          <cell r="X267">
            <v>21371855.684931912</v>
          </cell>
        </row>
        <row r="268">
          <cell r="T268">
            <v>1272657.5922967657</v>
          </cell>
          <cell r="U268">
            <v>1847643.3515264424</v>
          </cell>
          <cell r="V268">
            <v>3218865.6866790866</v>
          </cell>
          <cell r="W268">
            <v>8876082.2553469948</v>
          </cell>
          <cell r="X268">
            <v>21451047.980881691</v>
          </cell>
        </row>
        <row r="269">
          <cell r="T269">
            <v>1276545.5070223848</v>
          </cell>
          <cell r="U269">
            <v>1853600.0577246235</v>
          </cell>
          <cell r="V269">
            <v>3229870.0634970861</v>
          </cell>
          <cell r="W269">
            <v>8908207.069846794</v>
          </cell>
          <cell r="X269">
            <v>21530240.27683147</v>
          </cell>
        </row>
        <row r="270">
          <cell r="T270">
            <v>1280433.4217480039</v>
          </cell>
          <cell r="U270">
            <v>1859556.7639228045</v>
          </cell>
          <cell r="V270">
            <v>3240874.440315085</v>
          </cell>
          <cell r="W270">
            <v>8940331.8843465932</v>
          </cell>
          <cell r="X270">
            <v>21609432.57278125</v>
          </cell>
        </row>
        <row r="271">
          <cell r="T271">
            <v>1284321.3364736231</v>
          </cell>
          <cell r="U271">
            <v>1865513.4701209855</v>
          </cell>
          <cell r="V271">
            <v>3251878.8171330839</v>
          </cell>
          <cell r="W271">
            <v>8972456.6988463923</v>
          </cell>
          <cell r="X271">
            <v>21688624.868731029</v>
          </cell>
        </row>
        <row r="272">
          <cell r="T272">
            <v>1288209.2511992422</v>
          </cell>
          <cell r="U272">
            <v>1871470.1763191666</v>
          </cell>
          <cell r="V272">
            <v>3262883.1939510833</v>
          </cell>
          <cell r="W272">
            <v>9004581.5133461915</v>
          </cell>
          <cell r="X272">
            <v>21767817.164680809</v>
          </cell>
        </row>
        <row r="273">
          <cell r="T273">
            <v>1292097.1659248616</v>
          </cell>
          <cell r="U273">
            <v>1877426.8825173476</v>
          </cell>
          <cell r="V273">
            <v>3273887.5707690823</v>
          </cell>
          <cell r="W273">
            <v>9036706.3278459907</v>
          </cell>
          <cell r="X273">
            <v>21847009.460630588</v>
          </cell>
        </row>
        <row r="274">
          <cell r="T274">
            <v>1295985.0806504807</v>
          </cell>
          <cell r="U274">
            <v>1883383.5887155286</v>
          </cell>
          <cell r="V274">
            <v>3284891.9475870817</v>
          </cell>
          <cell r="W274">
            <v>9068831.1423457898</v>
          </cell>
          <cell r="X274">
            <v>21926201.756580368</v>
          </cell>
        </row>
        <row r="275">
          <cell r="T275">
            <v>1299872.9953760998</v>
          </cell>
          <cell r="U275">
            <v>1889340.2949137096</v>
          </cell>
          <cell r="V275">
            <v>3295896.3244050806</v>
          </cell>
          <cell r="W275">
            <v>9100955.956845589</v>
          </cell>
          <cell r="X275">
            <v>22005394.052530147</v>
          </cell>
        </row>
        <row r="276">
          <cell r="T276">
            <v>1303760.910101719</v>
          </cell>
          <cell r="U276">
            <v>1895297.0011118907</v>
          </cell>
          <cell r="V276">
            <v>3306900.70122308</v>
          </cell>
          <cell r="W276">
            <v>9133080.7713453881</v>
          </cell>
          <cell r="X276">
            <v>22084586.348479923</v>
          </cell>
        </row>
        <row r="277">
          <cell r="T277">
            <v>1307648.8248273381</v>
          </cell>
          <cell r="U277">
            <v>1901253.7073100717</v>
          </cell>
          <cell r="V277">
            <v>3317905.078041079</v>
          </cell>
          <cell r="W277">
            <v>9165205.5858451873</v>
          </cell>
          <cell r="X277">
            <v>22163778.644429702</v>
          </cell>
        </row>
        <row r="278">
          <cell r="T278">
            <v>1311536.7395529572</v>
          </cell>
          <cell r="U278">
            <v>1907210.4135082529</v>
          </cell>
          <cell r="V278">
            <v>3328909.4548590784</v>
          </cell>
          <cell r="W278">
            <v>9197330.4003449865</v>
          </cell>
          <cell r="X278">
            <v>22242970.940379482</v>
          </cell>
        </row>
        <row r="279">
          <cell r="T279">
            <v>1315424.6542785764</v>
          </cell>
          <cell r="U279">
            <v>1913167.119706434</v>
          </cell>
          <cell r="V279">
            <v>3339913.8316770773</v>
          </cell>
          <cell r="W279">
            <v>9229455.2148447856</v>
          </cell>
          <cell r="X279">
            <v>22322163.236329261</v>
          </cell>
        </row>
        <row r="280">
          <cell r="T280">
            <v>1319312.5690041955</v>
          </cell>
          <cell r="U280">
            <v>1919123.825904615</v>
          </cell>
          <cell r="V280">
            <v>3350918.2084950767</v>
          </cell>
          <cell r="W280">
            <v>9261580.0293445848</v>
          </cell>
          <cell r="X280">
            <v>22401355.532279041</v>
          </cell>
        </row>
        <row r="281">
          <cell r="T281">
            <v>1323200.4837298146</v>
          </cell>
          <cell r="U281">
            <v>1925080.532102796</v>
          </cell>
          <cell r="V281">
            <v>3361922.5853130757</v>
          </cell>
          <cell r="W281">
            <v>9293704.843844384</v>
          </cell>
          <cell r="X281">
            <v>22480547.82822882</v>
          </cell>
        </row>
        <row r="282">
          <cell r="T282">
            <v>1327088.3984554338</v>
          </cell>
          <cell r="U282">
            <v>1931037.238300977</v>
          </cell>
          <cell r="V282">
            <v>3372926.9621310751</v>
          </cell>
          <cell r="W282">
            <v>9325829.6583441831</v>
          </cell>
          <cell r="X282">
            <v>22559740.1241786</v>
          </cell>
        </row>
        <row r="283">
          <cell r="T283">
            <v>1330976.3131810529</v>
          </cell>
          <cell r="U283">
            <v>1936993.9444991581</v>
          </cell>
          <cell r="V283">
            <v>3383931.338949074</v>
          </cell>
          <cell r="W283">
            <v>9357954.4728439823</v>
          </cell>
          <cell r="X283">
            <v>22638932.420128379</v>
          </cell>
        </row>
        <row r="284">
          <cell r="T284">
            <v>1334864.2279066721</v>
          </cell>
          <cell r="U284">
            <v>1942950.6506973391</v>
          </cell>
          <cell r="V284">
            <v>3394935.715767073</v>
          </cell>
          <cell r="W284">
            <v>9390079.2873437814</v>
          </cell>
          <cell r="X284">
            <v>22718124.716078155</v>
          </cell>
        </row>
        <row r="285">
          <cell r="T285">
            <v>1338752.1426322912</v>
          </cell>
          <cell r="U285">
            <v>1948907.3568955201</v>
          </cell>
          <cell r="V285">
            <v>3405940.0925850724</v>
          </cell>
          <cell r="W285">
            <v>9422204.1018435806</v>
          </cell>
          <cell r="X285">
            <v>22797317.012027934</v>
          </cell>
        </row>
        <row r="286">
          <cell r="T286">
            <v>1342640.0573579101</v>
          </cell>
          <cell r="U286">
            <v>1954864.0630937011</v>
          </cell>
          <cell r="V286">
            <v>3416944.4694030713</v>
          </cell>
          <cell r="W286">
            <v>9454328.9163433798</v>
          </cell>
          <cell r="X286">
            <v>22876509.307977714</v>
          </cell>
        </row>
        <row r="287">
          <cell r="T287">
            <v>1346527.9720835295</v>
          </cell>
          <cell r="U287">
            <v>1960820.7692918822</v>
          </cell>
          <cell r="V287">
            <v>3427948.8462210707</v>
          </cell>
          <cell r="W287">
            <v>9486453.7308431789</v>
          </cell>
          <cell r="X287">
            <v>22955701.603927493</v>
          </cell>
        </row>
        <row r="288">
          <cell r="T288">
            <v>1350415.8868091484</v>
          </cell>
          <cell r="U288">
            <v>1966777.4754900634</v>
          </cell>
          <cell r="V288">
            <v>3438953.2230390697</v>
          </cell>
          <cell r="W288">
            <v>9518578.5453429781</v>
          </cell>
          <cell r="X288">
            <v>23034893.899877273</v>
          </cell>
        </row>
        <row r="289">
          <cell r="T289">
            <v>1354303.8015347675</v>
          </cell>
          <cell r="U289">
            <v>1972734.1816882445</v>
          </cell>
          <cell r="V289">
            <v>3449957.5998570691</v>
          </cell>
          <cell r="W289">
            <v>9550703.3598427773</v>
          </cell>
          <cell r="X289">
            <v>23114086.195827052</v>
          </cell>
        </row>
        <row r="290">
          <cell r="T290">
            <v>1358191.7162603866</v>
          </cell>
          <cell r="U290">
            <v>1978690.8878864255</v>
          </cell>
          <cell r="V290">
            <v>3460961.976675068</v>
          </cell>
          <cell r="W290">
            <v>9582828.1743425764</v>
          </cell>
          <cell r="X290">
            <v>23193278.491776831</v>
          </cell>
        </row>
        <row r="291">
          <cell r="T291">
            <v>1362079.6309860058</v>
          </cell>
          <cell r="U291">
            <v>1984647.5940846065</v>
          </cell>
          <cell r="V291">
            <v>3471966.3534930674</v>
          </cell>
          <cell r="W291">
            <v>9614952.9888423756</v>
          </cell>
          <cell r="X291">
            <v>23272470.787726611</v>
          </cell>
        </row>
        <row r="292">
          <cell r="T292">
            <v>1365967.5457116249</v>
          </cell>
          <cell r="U292">
            <v>1990604.3002827875</v>
          </cell>
          <cell r="V292">
            <v>3482970.7303110664</v>
          </cell>
          <cell r="W292">
            <v>9647077.8033421747</v>
          </cell>
          <cell r="X292">
            <v>23351663.08367639</v>
          </cell>
        </row>
        <row r="293">
          <cell r="T293">
            <v>1369855.460437244</v>
          </cell>
          <cell r="U293">
            <v>1996561.0064809686</v>
          </cell>
          <cell r="V293">
            <v>3493975.1071290653</v>
          </cell>
          <cell r="W293">
            <v>9679202.6178419739</v>
          </cell>
          <cell r="X293">
            <v>23430855.37962617</v>
          </cell>
        </row>
        <row r="294">
          <cell r="T294">
            <v>1373743.3751628632</v>
          </cell>
          <cell r="U294">
            <v>2002517.7126791496</v>
          </cell>
          <cell r="V294">
            <v>3504979.4839470647</v>
          </cell>
          <cell r="W294">
            <v>9711327.4323417731</v>
          </cell>
          <cell r="X294">
            <v>23510047.675575946</v>
          </cell>
        </row>
        <row r="295">
          <cell r="T295">
            <v>1377631.2898884823</v>
          </cell>
          <cell r="U295">
            <v>2008474.4188773306</v>
          </cell>
          <cell r="V295">
            <v>3515983.8607650637</v>
          </cell>
          <cell r="W295">
            <v>9743452.2468415722</v>
          </cell>
          <cell r="X295">
            <v>23589239.971525725</v>
          </cell>
        </row>
        <row r="296">
          <cell r="T296">
            <v>1381519.2046141014</v>
          </cell>
          <cell r="U296">
            <v>2014431.1250755116</v>
          </cell>
          <cell r="V296">
            <v>3526988.2375830631</v>
          </cell>
          <cell r="W296">
            <v>9775577.0613413714</v>
          </cell>
          <cell r="X296">
            <v>23668432.267475504</v>
          </cell>
        </row>
        <row r="297">
          <cell r="T297">
            <v>1385407.1193397206</v>
          </cell>
          <cell r="U297">
            <v>2020387.8312736927</v>
          </cell>
          <cell r="V297">
            <v>3537992.614401062</v>
          </cell>
          <cell r="W297">
            <v>9807701.8758411705</v>
          </cell>
          <cell r="X297">
            <v>23747624.563425284</v>
          </cell>
        </row>
        <row r="298">
          <cell r="T298">
            <v>1389295.0340653397</v>
          </cell>
          <cell r="U298">
            <v>2026344.5374718737</v>
          </cell>
          <cell r="V298">
            <v>3548996.9912190614</v>
          </cell>
          <cell r="W298">
            <v>9839826.6903409697</v>
          </cell>
          <cell r="X298">
            <v>23826816.859375063</v>
          </cell>
        </row>
        <row r="299">
          <cell r="T299">
            <v>1393182.9487909588</v>
          </cell>
          <cell r="U299">
            <v>2032301.2436700547</v>
          </cell>
          <cell r="V299">
            <v>3560001.3680370604</v>
          </cell>
          <cell r="W299">
            <v>9871951.5048407689</v>
          </cell>
          <cell r="X299">
            <v>23906009.155324843</v>
          </cell>
        </row>
        <row r="300">
          <cell r="T300">
            <v>1397070.863516578</v>
          </cell>
          <cell r="U300">
            <v>2038257.949868236</v>
          </cell>
          <cell r="V300">
            <v>3571005.7448550598</v>
          </cell>
          <cell r="W300">
            <v>9904076.3193405662</v>
          </cell>
          <cell r="X300">
            <v>23985201.451274622</v>
          </cell>
        </row>
        <row r="301">
          <cell r="T301">
            <v>1400958.7782421971</v>
          </cell>
          <cell r="U301">
            <v>2044214.656066417</v>
          </cell>
          <cell r="V301">
            <v>3582010.1216730587</v>
          </cell>
          <cell r="W301">
            <v>9936201.1338403653</v>
          </cell>
          <cell r="X301">
            <v>24064393.747224402</v>
          </cell>
        </row>
        <row r="302">
          <cell r="T302">
            <v>1404846.6929678163</v>
          </cell>
          <cell r="U302">
            <v>2050171.362264598</v>
          </cell>
          <cell r="V302">
            <v>3593014.4984910581</v>
          </cell>
          <cell r="W302">
            <v>9968325.9483401645</v>
          </cell>
          <cell r="X302">
            <v>24143586.043174177</v>
          </cell>
        </row>
        <row r="303">
          <cell r="T303">
            <v>1408734.6076934354</v>
          </cell>
          <cell r="U303">
            <v>2056128.068462779</v>
          </cell>
          <cell r="V303">
            <v>3604018.8753090571</v>
          </cell>
          <cell r="W303">
            <v>10000450.762839964</v>
          </cell>
          <cell r="X303">
            <v>24222778.339123957</v>
          </cell>
        </row>
        <row r="304">
          <cell r="T304">
            <v>1412622.5224190545</v>
          </cell>
          <cell r="U304">
            <v>2062084.7746609601</v>
          </cell>
          <cell r="V304">
            <v>3615023.2521270565</v>
          </cell>
          <cell r="W304">
            <v>10032575.577339763</v>
          </cell>
          <cell r="X304">
            <v>24301970.635073736</v>
          </cell>
        </row>
        <row r="305">
          <cell r="T305">
            <v>1416510.4371446737</v>
          </cell>
          <cell r="U305">
            <v>2068041.4808591411</v>
          </cell>
          <cell r="V305">
            <v>3626027.6289450554</v>
          </cell>
          <cell r="W305">
            <v>10064700.391839562</v>
          </cell>
          <cell r="X305">
            <v>24381162.931023516</v>
          </cell>
        </row>
        <row r="306">
          <cell r="T306">
            <v>1420398.3518702928</v>
          </cell>
          <cell r="U306">
            <v>2073998.1870573221</v>
          </cell>
          <cell r="V306">
            <v>3637032.0057630544</v>
          </cell>
          <cell r="W306">
            <v>10096825.206339361</v>
          </cell>
          <cell r="X306">
            <v>24460355.226973295</v>
          </cell>
        </row>
        <row r="307">
          <cell r="T307">
            <v>1424286.2665959122</v>
          </cell>
          <cell r="U307">
            <v>2079954.8932555031</v>
          </cell>
          <cell r="V307">
            <v>3648036.3825810538</v>
          </cell>
          <cell r="W307">
            <v>10128950.02083916</v>
          </cell>
          <cell r="X307">
            <v>24539547.522923075</v>
          </cell>
        </row>
        <row r="308">
          <cell r="T308">
            <v>1428174.1813215311</v>
          </cell>
          <cell r="U308">
            <v>2085911.5994536842</v>
          </cell>
          <cell r="V308">
            <v>3659040.7593990527</v>
          </cell>
          <cell r="W308">
            <v>10161074.835338959</v>
          </cell>
          <cell r="X308">
            <v>24618739.818872854</v>
          </cell>
        </row>
        <row r="309">
          <cell r="T309">
            <v>1432062.0960471504</v>
          </cell>
          <cell r="U309">
            <v>2091868.3056518652</v>
          </cell>
          <cell r="V309">
            <v>3670045.1362170521</v>
          </cell>
          <cell r="W309">
            <v>10193199.649838759</v>
          </cell>
          <cell r="X309">
            <v>24697932.114822634</v>
          </cell>
        </row>
        <row r="310">
          <cell r="T310">
            <v>1435950.0107727696</v>
          </cell>
          <cell r="U310">
            <v>2097825.0118500465</v>
          </cell>
          <cell r="V310">
            <v>3681049.5130350511</v>
          </cell>
          <cell r="W310">
            <v>10225324.464338558</v>
          </cell>
          <cell r="X310">
            <v>24777124.410772413</v>
          </cell>
        </row>
        <row r="311">
          <cell r="T311">
            <v>1439837.9254983887</v>
          </cell>
          <cell r="U311">
            <v>2103781.7180482275</v>
          </cell>
          <cell r="V311">
            <v>3692053.8898530505</v>
          </cell>
          <cell r="W311">
            <v>10257449.278838357</v>
          </cell>
          <cell r="X311">
            <v>24856316.706722189</v>
          </cell>
        </row>
        <row r="312">
          <cell r="T312">
            <v>1443725.8402240078</v>
          </cell>
          <cell r="U312">
            <v>2109738.4242464085</v>
          </cell>
          <cell r="V312">
            <v>3703058.2666710494</v>
          </cell>
          <cell r="W312">
            <v>10289574.093338156</v>
          </cell>
          <cell r="X312">
            <v>24935509.002671968</v>
          </cell>
        </row>
        <row r="313">
          <cell r="T313">
            <v>1447613.754949627</v>
          </cell>
          <cell r="U313">
            <v>2115695.1304445895</v>
          </cell>
          <cell r="V313">
            <v>3714062.6434890488</v>
          </cell>
          <cell r="W313">
            <v>10321698.907837955</v>
          </cell>
          <cell r="X313">
            <v>25014701.298621748</v>
          </cell>
        </row>
        <row r="314">
          <cell r="T314">
            <v>1451501.6696752461</v>
          </cell>
          <cell r="U314">
            <v>2121651.8366427706</v>
          </cell>
          <cell r="V314">
            <v>3725067.0203070478</v>
          </cell>
          <cell r="W314">
            <v>10353823.722337754</v>
          </cell>
          <cell r="X314">
            <v>25093893.594571527</v>
          </cell>
        </row>
        <row r="315">
          <cell r="T315">
            <v>1455389.5844008652</v>
          </cell>
          <cell r="U315">
            <v>2127608.5428409516</v>
          </cell>
          <cell r="V315">
            <v>3736071.3971250472</v>
          </cell>
          <cell r="W315">
            <v>10385948.536837554</v>
          </cell>
          <cell r="X315">
            <v>25173085.890521307</v>
          </cell>
        </row>
        <row r="316">
          <cell r="T316">
            <v>1459277.4991264844</v>
          </cell>
          <cell r="U316">
            <v>2133565.2490391326</v>
          </cell>
          <cell r="V316">
            <v>3747075.7739430461</v>
          </cell>
          <cell r="W316">
            <v>10418073.351337353</v>
          </cell>
          <cell r="X316">
            <v>25252278.186471086</v>
          </cell>
        </row>
        <row r="317">
          <cell r="T317">
            <v>1463165.4138521035</v>
          </cell>
          <cell r="U317">
            <v>2139521.9552373136</v>
          </cell>
          <cell r="V317">
            <v>3758080.1507610455</v>
          </cell>
          <cell r="W317">
            <v>10450198.165837152</v>
          </cell>
          <cell r="X317">
            <v>25331470.482420865</v>
          </cell>
        </row>
        <row r="318">
          <cell r="T318">
            <v>1467053.3285777227</v>
          </cell>
          <cell r="U318">
            <v>2145478.6614354947</v>
          </cell>
          <cell r="V318">
            <v>3769084.5275790445</v>
          </cell>
          <cell r="W318">
            <v>10482322.980336951</v>
          </cell>
          <cell r="X318">
            <v>25410662.778370641</v>
          </cell>
        </row>
        <row r="319">
          <cell r="T319">
            <v>1470941.2433033418</v>
          </cell>
          <cell r="U319">
            <v>2151435.3676336757</v>
          </cell>
          <cell r="V319">
            <v>3780088.9043970439</v>
          </cell>
          <cell r="W319">
            <v>10514447.794836748</v>
          </cell>
          <cell r="X319">
            <v>25489855.074320421</v>
          </cell>
        </row>
        <row r="320">
          <cell r="T320">
            <v>1474829.1580289609</v>
          </cell>
          <cell r="U320">
            <v>2157392.0738318567</v>
          </cell>
          <cell r="V320">
            <v>3791093.2812150428</v>
          </cell>
          <cell r="W320">
            <v>10546572.609336548</v>
          </cell>
          <cell r="X320">
            <v>25569047.3702702</v>
          </cell>
        </row>
        <row r="321">
          <cell r="T321">
            <v>1478717.0727545801</v>
          </cell>
          <cell r="U321">
            <v>2163348.7800300377</v>
          </cell>
          <cell r="V321">
            <v>3802097.6580330422</v>
          </cell>
          <cell r="W321">
            <v>10578697.423836347</v>
          </cell>
          <cell r="X321">
            <v>25648239.66621998</v>
          </cell>
        </row>
        <row r="322">
          <cell r="T322">
            <v>1482604.9874801992</v>
          </cell>
          <cell r="U322">
            <v>2169305.4862282188</v>
          </cell>
          <cell r="V322">
            <v>3813102.0348510412</v>
          </cell>
          <cell r="W322">
            <v>10610822.238336146</v>
          </cell>
          <cell r="X322">
            <v>25727431.962169759</v>
          </cell>
        </row>
        <row r="323">
          <cell r="T323">
            <v>1486492.9022058183</v>
          </cell>
          <cell r="U323">
            <v>2175262.1924263998</v>
          </cell>
          <cell r="V323">
            <v>3824106.4116690401</v>
          </cell>
          <cell r="W323">
            <v>10642947.052835945</v>
          </cell>
          <cell r="X323">
            <v>25806624.258119538</v>
          </cell>
        </row>
        <row r="324">
          <cell r="T324">
            <v>1490380.8169314375</v>
          </cell>
          <cell r="U324">
            <v>2181218.8986245808</v>
          </cell>
          <cell r="V324">
            <v>3835110.7884870395</v>
          </cell>
          <cell r="W324">
            <v>10675071.867335744</v>
          </cell>
          <cell r="X324">
            <v>25885816.554069318</v>
          </cell>
        </row>
        <row r="325">
          <cell r="T325">
            <v>1494268.7316570566</v>
          </cell>
          <cell r="U325">
            <v>2187175.6048227618</v>
          </cell>
          <cell r="V325">
            <v>3846115.1653050384</v>
          </cell>
          <cell r="W325">
            <v>10707196.681835543</v>
          </cell>
          <cell r="X325">
            <v>25965008.850019094</v>
          </cell>
        </row>
        <row r="326">
          <cell r="T326">
            <v>1498156.6463826757</v>
          </cell>
          <cell r="U326">
            <v>2193132.3110209429</v>
          </cell>
          <cell r="V326">
            <v>3857119.5421230379</v>
          </cell>
          <cell r="W326">
            <v>10739321.496335343</v>
          </cell>
          <cell r="X326">
            <v>26044201.145968873</v>
          </cell>
        </row>
        <row r="327">
          <cell r="T327">
            <v>1502044.5611082949</v>
          </cell>
          <cell r="U327">
            <v>2199089.0172191239</v>
          </cell>
          <cell r="V327">
            <v>3868123.9189410368</v>
          </cell>
          <cell r="W327">
            <v>10771446.310835142</v>
          </cell>
          <cell r="X327">
            <v>26123393.441918653</v>
          </cell>
        </row>
        <row r="328">
          <cell r="T328">
            <v>1505932.475833914</v>
          </cell>
          <cell r="U328">
            <v>2205045.7234173049</v>
          </cell>
          <cell r="V328">
            <v>3879128.2957590362</v>
          </cell>
          <cell r="W328">
            <v>10803571.125334941</v>
          </cell>
          <cell r="X328">
            <v>26202585.737868432</v>
          </cell>
        </row>
        <row r="329">
          <cell r="T329">
            <v>1509820.3905595331</v>
          </cell>
          <cell r="U329">
            <v>2211002.4296154864</v>
          </cell>
          <cell r="V329">
            <v>3890132.6725770351</v>
          </cell>
          <cell r="W329">
            <v>10835695.93983474</v>
          </cell>
          <cell r="X329">
            <v>26281778.033818211</v>
          </cell>
        </row>
        <row r="330">
          <cell r="T330">
            <v>1513708.3052851523</v>
          </cell>
          <cell r="U330">
            <v>2216959.1358136674</v>
          </cell>
          <cell r="V330">
            <v>3901137.0493950346</v>
          </cell>
          <cell r="W330">
            <v>10867820.754334539</v>
          </cell>
          <cell r="X330">
            <v>26360970.329767991</v>
          </cell>
        </row>
        <row r="331">
          <cell r="T331">
            <v>1517596.2200107714</v>
          </cell>
          <cell r="U331">
            <v>2222915.8420118485</v>
          </cell>
          <cell r="V331">
            <v>3912141.4262130335</v>
          </cell>
          <cell r="W331">
            <v>10899945.568834338</v>
          </cell>
          <cell r="X331">
            <v>26440162.625717767</v>
          </cell>
        </row>
        <row r="332">
          <cell r="T332">
            <v>1521484.1347363906</v>
          </cell>
          <cell r="U332">
            <v>2228872.5482100295</v>
          </cell>
          <cell r="V332">
            <v>3923145.8030310329</v>
          </cell>
          <cell r="W332">
            <v>10932070.383334137</v>
          </cell>
          <cell r="X332">
            <v>26519354.921667546</v>
          </cell>
        </row>
        <row r="333">
          <cell r="T333">
            <v>1525372.0494620097</v>
          </cell>
          <cell r="U333">
            <v>2234829.2544082105</v>
          </cell>
          <cell r="V333">
            <v>3934150.1798490318</v>
          </cell>
          <cell r="W333">
            <v>10964195.197833937</v>
          </cell>
          <cell r="X333">
            <v>26598547.217617325</v>
          </cell>
        </row>
        <row r="334">
          <cell r="T334">
            <v>1529259.9641876288</v>
          </cell>
          <cell r="U334">
            <v>2240785.9606063915</v>
          </cell>
          <cell r="V334">
            <v>3945154.5566670313</v>
          </cell>
          <cell r="W334">
            <v>10996320.012333736</v>
          </cell>
          <cell r="X334">
            <v>26677739.513567105</v>
          </cell>
        </row>
        <row r="335">
          <cell r="T335">
            <v>1533147.878913248</v>
          </cell>
          <cell r="U335">
            <v>2246742.6668045726</v>
          </cell>
          <cell r="V335">
            <v>3956158.9334850302</v>
          </cell>
          <cell r="W335">
            <v>11028444.826833533</v>
          </cell>
          <cell r="X335">
            <v>26756931.809516884</v>
          </cell>
        </row>
        <row r="336">
          <cell r="T336">
            <v>1537035.7936388671</v>
          </cell>
          <cell r="U336">
            <v>2252699.3730027536</v>
          </cell>
          <cell r="V336">
            <v>3967163.3103030296</v>
          </cell>
          <cell r="W336">
            <v>11060569.641333332</v>
          </cell>
          <cell r="X336">
            <v>26836124.105466664</v>
          </cell>
        </row>
        <row r="337">
          <cell r="T337">
            <v>1540923.7083644862</v>
          </cell>
          <cell r="U337">
            <v>2258656.0792009346</v>
          </cell>
          <cell r="V337">
            <v>3978167.6871210285</v>
          </cell>
          <cell r="W337">
            <v>11092694.455833131</v>
          </cell>
          <cell r="X337">
            <v>26915316.40141644</v>
          </cell>
        </row>
        <row r="338">
          <cell r="T338">
            <v>1544811.6230901054</v>
          </cell>
          <cell r="U338">
            <v>2264612.7853991156</v>
          </cell>
          <cell r="V338">
            <v>3989172.063939028</v>
          </cell>
          <cell r="W338">
            <v>11124819.270332931</v>
          </cell>
          <cell r="X338">
            <v>26994508.697366219</v>
          </cell>
        </row>
        <row r="339">
          <cell r="T339">
            <v>1548699.5378157245</v>
          </cell>
          <cell r="U339">
            <v>2270569.4915972967</v>
          </cell>
          <cell r="V339">
            <v>4000176.4407570269</v>
          </cell>
          <cell r="W339">
            <v>11156944.08483273</v>
          </cell>
          <cell r="X339">
            <v>27073699.263363283</v>
          </cell>
        </row>
        <row r="340">
          <cell r="T340">
            <v>1552584.3384676364</v>
          </cell>
          <cell r="U340">
            <v>2276526.1977954777</v>
          </cell>
          <cell r="V340">
            <v>4011180.8175750263</v>
          </cell>
          <cell r="W340">
            <v>11189068.899332529</v>
          </cell>
          <cell r="X340">
            <v>27152881.147005476</v>
          </cell>
        </row>
        <row r="341">
          <cell r="T341">
            <v>1556457.134484218</v>
          </cell>
          <cell r="U341">
            <v>2282482.9039936587</v>
          </cell>
          <cell r="V341">
            <v>4022185.1943930252</v>
          </cell>
          <cell r="W341">
            <v>11221193.713832328</v>
          </cell>
          <cell r="X341">
            <v>27232063.030647673</v>
          </cell>
        </row>
        <row r="342">
          <cell r="T342">
            <v>1560329.9305007996</v>
          </cell>
          <cell r="U342">
            <v>2288439.6101918397</v>
          </cell>
          <cell r="V342">
            <v>4033189.5712110247</v>
          </cell>
          <cell r="W342">
            <v>11253318.528332127</v>
          </cell>
          <cell r="X342">
            <v>27311244.914289866</v>
          </cell>
        </row>
        <row r="343">
          <cell r="T343">
            <v>1564202.7265173811</v>
          </cell>
          <cell r="U343">
            <v>2294396.3163900208</v>
          </cell>
          <cell r="V343">
            <v>4044193.9480290236</v>
          </cell>
          <cell r="W343">
            <v>11285443.342831926</v>
          </cell>
          <cell r="X343">
            <v>27390426.797932062</v>
          </cell>
        </row>
        <row r="344">
          <cell r="T344">
            <v>1568075.5225339627</v>
          </cell>
          <cell r="U344">
            <v>2300353.0225882018</v>
          </cell>
          <cell r="V344">
            <v>4055198.324847023</v>
          </cell>
          <cell r="W344">
            <v>11317568.157331726</v>
          </cell>
          <cell r="X344">
            <v>27469608.681574255</v>
          </cell>
        </row>
        <row r="345">
          <cell r="T345">
            <v>1571948.3185505446</v>
          </cell>
          <cell r="U345">
            <v>2306309.7287863828</v>
          </cell>
          <cell r="V345">
            <v>4066202.7016650219</v>
          </cell>
          <cell r="W345">
            <v>11349692.971831525</v>
          </cell>
          <cell r="X345">
            <v>27548790.565216452</v>
          </cell>
        </row>
        <row r="346">
          <cell r="T346">
            <v>1575821.1145671261</v>
          </cell>
          <cell r="U346">
            <v>2312266.4349845638</v>
          </cell>
          <cell r="V346">
            <v>4077207.0784830214</v>
          </cell>
          <cell r="W346">
            <v>11381817.786331324</v>
          </cell>
          <cell r="X346">
            <v>27627972.448858645</v>
          </cell>
        </row>
        <row r="347">
          <cell r="T347">
            <v>1579693.9105837077</v>
          </cell>
          <cell r="U347">
            <v>2318223.1411827449</v>
          </cell>
          <cell r="V347">
            <v>4088211.4553010203</v>
          </cell>
          <cell r="W347">
            <v>11413942.600831123</v>
          </cell>
          <cell r="X347">
            <v>27707154.332500841</v>
          </cell>
        </row>
        <row r="348">
          <cell r="T348">
            <v>1583566.7066002893</v>
          </cell>
          <cell r="U348">
            <v>2324179.8473809259</v>
          </cell>
          <cell r="V348">
            <v>4099215.8321190197</v>
          </cell>
          <cell r="W348">
            <v>11446067.415330922</v>
          </cell>
          <cell r="X348">
            <v>27786336.216143034</v>
          </cell>
        </row>
        <row r="349">
          <cell r="T349">
            <v>1587439.5026168709</v>
          </cell>
          <cell r="U349">
            <v>2330136.5535791074</v>
          </cell>
          <cell r="V349">
            <v>4110220.2089370186</v>
          </cell>
          <cell r="W349">
            <v>11478192.229830721</v>
          </cell>
          <cell r="X349">
            <v>27865518.099785231</v>
          </cell>
        </row>
        <row r="350">
          <cell r="T350">
            <v>1591312.2986334525</v>
          </cell>
          <cell r="U350">
            <v>2336093.2597772884</v>
          </cell>
          <cell r="V350">
            <v>4121224.5857550181</v>
          </cell>
          <cell r="W350">
            <v>11510317.044330521</v>
          </cell>
          <cell r="X350">
            <v>27944699.983427424</v>
          </cell>
        </row>
        <row r="351">
          <cell r="T351">
            <v>1595185.0946500343</v>
          </cell>
          <cell r="U351">
            <v>2342049.9659754694</v>
          </cell>
          <cell r="V351">
            <v>4132228.962573017</v>
          </cell>
          <cell r="W351">
            <v>11542441.85883032</v>
          </cell>
          <cell r="X351">
            <v>28023881.867069621</v>
          </cell>
        </row>
        <row r="352">
          <cell r="T352">
            <v>1599057.8906666159</v>
          </cell>
          <cell r="U352">
            <v>2348006.6721736505</v>
          </cell>
          <cell r="V352">
            <v>4143233.3393910164</v>
          </cell>
          <cell r="W352">
            <v>11574566.673330119</v>
          </cell>
          <cell r="X352">
            <v>28103063.750711814</v>
          </cell>
        </row>
        <row r="353">
          <cell r="T353">
            <v>1602930.6866831975</v>
          </cell>
          <cell r="U353">
            <v>2353963.3783718315</v>
          </cell>
          <cell r="V353">
            <v>4154237.7162090153</v>
          </cell>
          <cell r="W353">
            <v>11606691.487829918</v>
          </cell>
          <cell r="X353">
            <v>28182245.63435401</v>
          </cell>
        </row>
        <row r="354">
          <cell r="T354">
            <v>1606803.4826997791</v>
          </cell>
          <cell r="U354">
            <v>2359920.0845700125</v>
          </cell>
          <cell r="V354">
            <v>4165242.0930270143</v>
          </cell>
          <cell r="W354">
            <v>11638816.302329717</v>
          </cell>
          <cell r="X354">
            <v>28261427.517996203</v>
          </cell>
        </row>
        <row r="355">
          <cell r="T355">
            <v>1610676.2787163607</v>
          </cell>
          <cell r="U355">
            <v>2365876.7907681935</v>
          </cell>
          <cell r="V355">
            <v>4176246.4698450137</v>
          </cell>
          <cell r="W355">
            <v>11670941.116829516</v>
          </cell>
          <cell r="X355">
            <v>28340609.4016384</v>
          </cell>
        </row>
        <row r="356">
          <cell r="T356">
            <v>1614549.0747329423</v>
          </cell>
          <cell r="U356">
            <v>2371833.4969663746</v>
          </cell>
          <cell r="V356">
            <v>4187250.8466630131</v>
          </cell>
          <cell r="W356">
            <v>11703065.931329316</v>
          </cell>
          <cell r="X356">
            <v>28419791.285280593</v>
          </cell>
        </row>
        <row r="357">
          <cell r="T357">
            <v>1618421.8707495241</v>
          </cell>
          <cell r="U357">
            <v>2377790.2031645556</v>
          </cell>
          <cell r="V357">
            <v>4198255.2234810125</v>
          </cell>
          <cell r="W357">
            <v>11735190.745829113</v>
          </cell>
          <cell r="X357">
            <v>28498973.168922789</v>
          </cell>
        </row>
        <row r="358">
          <cell r="T358">
            <v>1622294.6667661057</v>
          </cell>
          <cell r="U358">
            <v>2383746.9093627366</v>
          </cell>
          <cell r="V358">
            <v>4208975.6234510429</v>
          </cell>
          <cell r="W358">
            <v>11767315.560328912</v>
          </cell>
          <cell r="X358">
            <v>28578155.052564986</v>
          </cell>
        </row>
        <row r="359">
          <cell r="T359">
            <v>1626167.4627826873</v>
          </cell>
          <cell r="U359">
            <v>2389703.6155609176</v>
          </cell>
          <cell r="V359">
            <v>4219656.1954252925</v>
          </cell>
          <cell r="W359">
            <v>11799206.97581517</v>
          </cell>
          <cell r="X359">
            <v>28657336.936207179</v>
          </cell>
        </row>
        <row r="360">
          <cell r="T360">
            <v>1630040.2587992689</v>
          </cell>
          <cell r="U360">
            <v>2395660.3217590987</v>
          </cell>
          <cell r="V360">
            <v>4230336.767399542</v>
          </cell>
          <cell r="W360">
            <v>11830947.585209705</v>
          </cell>
          <cell r="X360">
            <v>28736518.819849376</v>
          </cell>
        </row>
        <row r="361">
          <cell r="T361">
            <v>1633913.0548158505</v>
          </cell>
          <cell r="U361">
            <v>2401617.0279572797</v>
          </cell>
          <cell r="V361">
            <v>4241017.3393737916</v>
          </cell>
          <cell r="W361">
            <v>11862688.194604242</v>
          </cell>
          <cell r="X361">
            <v>28815700.703491569</v>
          </cell>
        </row>
        <row r="362">
          <cell r="T362">
            <v>1637785.850832432</v>
          </cell>
          <cell r="U362">
            <v>2407313.9784725667</v>
          </cell>
          <cell r="V362">
            <v>4251697.9113480402</v>
          </cell>
          <cell r="W362">
            <v>11894428.80399878</v>
          </cell>
          <cell r="X362">
            <v>28894882.587133765</v>
          </cell>
        </row>
        <row r="363">
          <cell r="T363">
            <v>1641658.6468490139</v>
          </cell>
          <cell r="U363">
            <v>2412907.6343546393</v>
          </cell>
          <cell r="V363">
            <v>4262378.4833222898</v>
          </cell>
          <cell r="W363">
            <v>11926169.413393315</v>
          </cell>
          <cell r="X363">
            <v>28974064.470775958</v>
          </cell>
        </row>
        <row r="364">
          <cell r="T364">
            <v>1645531.4428655955</v>
          </cell>
          <cell r="U364">
            <v>2418501.2902367124</v>
          </cell>
          <cell r="V364">
            <v>4273059.0552965393</v>
          </cell>
          <cell r="W364">
            <v>11957910.022787852</v>
          </cell>
          <cell r="X364">
            <v>29052991.710573517</v>
          </cell>
        </row>
        <row r="365">
          <cell r="T365">
            <v>1649079.5198663634</v>
          </cell>
          <cell r="U365">
            <v>2424094.9461187851</v>
          </cell>
          <cell r="V365">
            <v>4283739.6272707889</v>
          </cell>
          <cell r="W365">
            <v>11989650.632182389</v>
          </cell>
          <cell r="X365">
            <v>29131667.325036339</v>
          </cell>
        </row>
        <row r="366">
          <cell r="T366">
            <v>1652614.5341842531</v>
          </cell>
          <cell r="U366">
            <v>2429688.6020008582</v>
          </cell>
          <cell r="V366">
            <v>4294420.1992450384</v>
          </cell>
          <cell r="W366">
            <v>12021391.241576927</v>
          </cell>
          <cell r="X366">
            <v>29210342.939499162</v>
          </cell>
        </row>
        <row r="367">
          <cell r="T367">
            <v>1656149.548502143</v>
          </cell>
          <cell r="U367">
            <v>2435282.2578829308</v>
          </cell>
          <cell r="V367">
            <v>4305100.771219288</v>
          </cell>
          <cell r="W367">
            <v>12053131.850971462</v>
          </cell>
          <cell r="X367">
            <v>29289018.553961985</v>
          </cell>
        </row>
        <row r="368">
          <cell r="T368">
            <v>1659684.5628200327</v>
          </cell>
          <cell r="U368">
            <v>2440875.9137650039</v>
          </cell>
          <cell r="V368">
            <v>4315781.3431935376</v>
          </cell>
          <cell r="W368">
            <v>12084872.460365999</v>
          </cell>
          <cell r="X368">
            <v>29367694.168424807</v>
          </cell>
        </row>
        <row r="369">
          <cell r="T369">
            <v>1663219.5771379226</v>
          </cell>
          <cell r="U369">
            <v>2446469.5696470765</v>
          </cell>
          <cell r="V369">
            <v>4326461.9151677871</v>
          </cell>
          <cell r="W369">
            <v>12116613.069760537</v>
          </cell>
          <cell r="X369">
            <v>29446369.78288763</v>
          </cell>
        </row>
        <row r="370">
          <cell r="T370">
            <v>1666754.5914558123</v>
          </cell>
          <cell r="U370">
            <v>2452063.2255291492</v>
          </cell>
          <cell r="V370">
            <v>4337142.4871420367</v>
          </cell>
          <cell r="W370">
            <v>12148353.679155072</v>
          </cell>
          <cell r="X370">
            <v>29525045.397350453</v>
          </cell>
        </row>
        <row r="371">
          <cell r="T371">
            <v>1670289.6057737023</v>
          </cell>
          <cell r="U371">
            <v>2457656.8814112223</v>
          </cell>
          <cell r="V371">
            <v>4347823.0591162862</v>
          </cell>
          <cell r="W371">
            <v>12180094.288549609</v>
          </cell>
          <cell r="X371">
            <v>29603721.011813276</v>
          </cell>
        </row>
        <row r="372">
          <cell r="T372">
            <v>1673824.6200915922</v>
          </cell>
          <cell r="U372">
            <v>2463250.5372932949</v>
          </cell>
          <cell r="V372">
            <v>4358503.6310905358</v>
          </cell>
          <cell r="W372">
            <v>12211834.897944147</v>
          </cell>
          <cell r="X372">
            <v>29682396.626276098</v>
          </cell>
        </row>
        <row r="373">
          <cell r="T373">
            <v>1677359.6344094819</v>
          </cell>
          <cell r="U373">
            <v>2468844.193175368</v>
          </cell>
          <cell r="V373">
            <v>4369184.2030647853</v>
          </cell>
          <cell r="W373">
            <v>12243575.507338684</v>
          </cell>
          <cell r="X373">
            <v>29761072.240738921</v>
          </cell>
        </row>
        <row r="374">
          <cell r="T374">
            <v>1680894.6487273718</v>
          </cell>
          <cell r="U374">
            <v>2474437.8490574406</v>
          </cell>
          <cell r="V374">
            <v>4379864.7750390349</v>
          </cell>
          <cell r="W374">
            <v>12275316.116733219</v>
          </cell>
          <cell r="X374">
            <v>29839747.855201744</v>
          </cell>
        </row>
        <row r="375">
          <cell r="T375">
            <v>1684429.6630452615</v>
          </cell>
          <cell r="U375">
            <v>2480031.5049395133</v>
          </cell>
          <cell r="V375">
            <v>4390545.3470132835</v>
          </cell>
          <cell r="W375">
            <v>12307056.726127757</v>
          </cell>
          <cell r="X375">
            <v>29918423.469664566</v>
          </cell>
        </row>
        <row r="376">
          <cell r="T376">
            <v>1687964.6773631515</v>
          </cell>
          <cell r="U376">
            <v>2485625.1608215864</v>
          </cell>
          <cell r="V376">
            <v>4401225.9189875331</v>
          </cell>
          <cell r="W376">
            <v>12338797.335522294</v>
          </cell>
          <cell r="X376">
            <v>29997099.084127389</v>
          </cell>
        </row>
        <row r="377">
          <cell r="T377">
            <v>1691499.6916810411</v>
          </cell>
          <cell r="U377">
            <v>2491218.816703659</v>
          </cell>
          <cell r="V377">
            <v>4411906.4909617826</v>
          </cell>
          <cell r="W377">
            <v>12370537.944916829</v>
          </cell>
          <cell r="X377">
            <v>30075774.698590212</v>
          </cell>
        </row>
        <row r="378">
          <cell r="T378">
            <v>1695034.7059989311</v>
          </cell>
          <cell r="U378">
            <v>2496812.4725857321</v>
          </cell>
          <cell r="V378">
            <v>4422587.0629360322</v>
          </cell>
          <cell r="W378">
            <v>12402278.554311367</v>
          </cell>
          <cell r="X378">
            <v>30154450.313053031</v>
          </cell>
        </row>
        <row r="379">
          <cell r="T379">
            <v>1698569.7203168208</v>
          </cell>
          <cell r="U379">
            <v>2502406.1284678048</v>
          </cell>
          <cell r="V379">
            <v>4433267.6349102817</v>
          </cell>
          <cell r="W379">
            <v>12434019.163705904</v>
          </cell>
          <cell r="X379">
            <v>30233125.927515853</v>
          </cell>
        </row>
        <row r="380">
          <cell r="T380">
            <v>1702104.7346347107</v>
          </cell>
          <cell r="U380">
            <v>2507999.7843498774</v>
          </cell>
          <cell r="V380">
            <v>4443948.2068845313</v>
          </cell>
          <cell r="W380">
            <v>12465759.773100439</v>
          </cell>
          <cell r="X380">
            <v>30311801.541978676</v>
          </cell>
        </row>
        <row r="381">
          <cell r="T381">
            <v>1705639.7489526006</v>
          </cell>
          <cell r="U381">
            <v>2513593.4402319505</v>
          </cell>
          <cell r="V381">
            <v>4454628.7788587809</v>
          </cell>
          <cell r="W381">
            <v>12497500.382494977</v>
          </cell>
          <cell r="X381">
            <v>30390477.156441499</v>
          </cell>
        </row>
        <row r="382">
          <cell r="T382">
            <v>1709174.7632704903</v>
          </cell>
          <cell r="U382">
            <v>2519187.0961140231</v>
          </cell>
          <cell r="V382">
            <v>4465251.4635572936</v>
          </cell>
          <cell r="W382">
            <v>12529240.991889514</v>
          </cell>
          <cell r="X382">
            <v>30469152.770904321</v>
          </cell>
        </row>
        <row r="383">
          <cell r="T383">
            <v>1712709.7775883803</v>
          </cell>
          <cell r="U383">
            <v>2524780.7519960962</v>
          </cell>
          <cell r="V383">
            <v>4475828.8308819402</v>
          </cell>
          <cell r="W383">
            <v>12560981.601284051</v>
          </cell>
          <cell r="X383">
            <v>30547828.385367144</v>
          </cell>
        </row>
        <row r="384">
          <cell r="T384">
            <v>1716244.79190627</v>
          </cell>
          <cell r="U384">
            <v>2530374.4078781689</v>
          </cell>
          <cell r="V384">
            <v>4486406.1982065868</v>
          </cell>
          <cell r="W384">
            <v>12592696.818027247</v>
          </cell>
          <cell r="X384">
            <v>30626503.999829967</v>
          </cell>
        </row>
        <row r="385">
          <cell r="T385">
            <v>1719779.8062241599</v>
          </cell>
          <cell r="U385">
            <v>2535968.0637602415</v>
          </cell>
          <cell r="V385">
            <v>4496983.5655312343</v>
          </cell>
          <cell r="W385">
            <v>12624351.922084358</v>
          </cell>
          <cell r="X385">
            <v>30705179.614292789</v>
          </cell>
        </row>
        <row r="386">
          <cell r="T386">
            <v>1723314.8205420496</v>
          </cell>
          <cell r="U386">
            <v>2541561.7196423146</v>
          </cell>
          <cell r="V386">
            <v>4507560.9328558808</v>
          </cell>
          <cell r="W386">
            <v>12656007.026141468</v>
          </cell>
          <cell r="X386">
            <v>30783855.228755612</v>
          </cell>
        </row>
        <row r="387">
          <cell r="T387">
            <v>1726849.8348599395</v>
          </cell>
          <cell r="U387">
            <v>2547155.3755243872</v>
          </cell>
          <cell r="V387">
            <v>4518138.3001805274</v>
          </cell>
          <cell r="W387">
            <v>12687662.130198581</v>
          </cell>
          <cell r="X387">
            <v>30862530.843218435</v>
          </cell>
        </row>
        <row r="388">
          <cell r="T388">
            <v>1730384.8491778295</v>
          </cell>
          <cell r="U388">
            <v>2552743.3340956126</v>
          </cell>
          <cell r="V388">
            <v>4528715.6675051739</v>
          </cell>
          <cell r="W388">
            <v>12719317.234255692</v>
          </cell>
          <cell r="X388">
            <v>30941206.457681257</v>
          </cell>
        </row>
        <row r="389">
          <cell r="T389">
            <v>1733919.8634957192</v>
          </cell>
          <cell r="U389">
            <v>2558311.8498452911</v>
          </cell>
          <cell r="V389">
            <v>4539293.0348298205</v>
          </cell>
          <cell r="W389">
            <v>12750972.338312803</v>
          </cell>
          <cell r="X389">
            <v>31019882.07214408</v>
          </cell>
        </row>
        <row r="390">
          <cell r="T390">
            <v>1737454.8778136091</v>
          </cell>
          <cell r="U390">
            <v>2563880.3655949701</v>
          </cell>
          <cell r="V390">
            <v>4549870.4021544671</v>
          </cell>
          <cell r="W390">
            <v>12782627.442369914</v>
          </cell>
          <cell r="X390">
            <v>31098557.686606903</v>
          </cell>
        </row>
        <row r="391">
          <cell r="T391">
            <v>1740989.8921314988</v>
          </cell>
          <cell r="U391">
            <v>2569448.881344649</v>
          </cell>
          <cell r="V391">
            <v>4560447.7694791136</v>
          </cell>
          <cell r="W391">
            <v>12814282.546427026</v>
          </cell>
          <cell r="X391">
            <v>31177233.301069725</v>
          </cell>
        </row>
        <row r="392">
          <cell r="T392">
            <v>1744524.9064493887</v>
          </cell>
          <cell r="U392">
            <v>2575017.397094328</v>
          </cell>
          <cell r="V392">
            <v>4571025.1368037602</v>
          </cell>
          <cell r="W392">
            <v>12845937.650484137</v>
          </cell>
          <cell r="X392">
            <v>31255908.915532548</v>
          </cell>
        </row>
        <row r="393">
          <cell r="T393">
            <v>1748059.9207672784</v>
          </cell>
          <cell r="U393">
            <v>2580585.9128440064</v>
          </cell>
          <cell r="V393">
            <v>4581602.5041284077</v>
          </cell>
          <cell r="W393">
            <v>12877592.754541248</v>
          </cell>
          <cell r="X393">
            <v>31334584.529995371</v>
          </cell>
        </row>
        <row r="394">
          <cell r="T394">
            <v>1751594.9350851683</v>
          </cell>
          <cell r="U394">
            <v>2586154.4285936854</v>
          </cell>
          <cell r="V394">
            <v>4592179.8714530542</v>
          </cell>
          <cell r="W394">
            <v>12909247.858598361</v>
          </cell>
          <cell r="X394">
            <v>31413260.144458193</v>
          </cell>
        </row>
        <row r="395">
          <cell r="T395">
            <v>1755129.949403058</v>
          </cell>
          <cell r="U395">
            <v>2591722.9443433643</v>
          </cell>
          <cell r="V395">
            <v>4602757.2387777008</v>
          </cell>
          <cell r="W395">
            <v>12940902.962655472</v>
          </cell>
          <cell r="X395">
            <v>31491935.758921012</v>
          </cell>
        </row>
        <row r="396">
          <cell r="T396">
            <v>1758664.963720948</v>
          </cell>
          <cell r="U396">
            <v>2597291.4600930428</v>
          </cell>
          <cell r="V396">
            <v>4613334.6061023474</v>
          </cell>
          <cell r="W396">
            <v>12972558.066712582</v>
          </cell>
          <cell r="X396">
            <v>31570611.373383835</v>
          </cell>
        </row>
        <row r="397">
          <cell r="T397">
            <v>1762199.9780388377</v>
          </cell>
          <cell r="U397">
            <v>2602859.9758427218</v>
          </cell>
          <cell r="V397">
            <v>4623911.9734269939</v>
          </cell>
          <cell r="W397">
            <v>13004213.170769693</v>
          </cell>
          <cell r="X397">
            <v>31649286.987846658</v>
          </cell>
        </row>
        <row r="398">
          <cell r="T398">
            <v>1765734.9923567276</v>
          </cell>
          <cell r="U398">
            <v>2608428.4915924007</v>
          </cell>
          <cell r="V398">
            <v>4634489.3407516405</v>
          </cell>
          <cell r="W398">
            <v>13035868.274826806</v>
          </cell>
          <cell r="X398">
            <v>31727962.60230948</v>
          </cell>
        </row>
        <row r="399">
          <cell r="T399">
            <v>1769270.0066746173</v>
          </cell>
          <cell r="U399">
            <v>2613997.0073420792</v>
          </cell>
          <cell r="V399">
            <v>4645066.7080762871</v>
          </cell>
          <cell r="W399">
            <v>13067523.378883917</v>
          </cell>
          <cell r="X399">
            <v>31806638.216772303</v>
          </cell>
        </row>
        <row r="400">
          <cell r="T400">
            <v>1772805.0209925072</v>
          </cell>
          <cell r="U400">
            <v>2619565.5230917581</v>
          </cell>
          <cell r="V400">
            <v>4655644.0754009336</v>
          </cell>
          <cell r="W400">
            <v>13099178.482941028</v>
          </cell>
          <cell r="X400">
            <v>31885313.831235126</v>
          </cell>
        </row>
        <row r="401">
          <cell r="T401">
            <v>1776340.0353103969</v>
          </cell>
          <cell r="U401">
            <v>2625134.0388414371</v>
          </cell>
          <cell r="V401">
            <v>4666221.4427255802</v>
          </cell>
          <cell r="W401">
            <v>13130833.586998139</v>
          </cell>
          <cell r="X401">
            <v>31963989.445697948</v>
          </cell>
        </row>
        <row r="402">
          <cell r="T402">
            <v>1779875.0496282869</v>
          </cell>
          <cell r="U402">
            <v>2630702.5545911156</v>
          </cell>
          <cell r="V402">
            <v>4676798.8100502277</v>
          </cell>
          <cell r="W402">
            <v>13162488.691055251</v>
          </cell>
          <cell r="X402">
            <v>32042665.060160771</v>
          </cell>
        </row>
        <row r="403">
          <cell r="T403">
            <v>1783410.0639461766</v>
          </cell>
          <cell r="U403">
            <v>2636271.0703407945</v>
          </cell>
          <cell r="V403">
            <v>4687376.1773748742</v>
          </cell>
          <cell r="W403">
            <v>13194143.795112362</v>
          </cell>
          <cell r="X403">
            <v>32121340.674623594</v>
          </cell>
        </row>
        <row r="404">
          <cell r="T404">
            <v>1786945.0782640665</v>
          </cell>
          <cell r="U404">
            <v>2641839.5860904735</v>
          </cell>
          <cell r="V404">
            <v>4697953.5446995208</v>
          </cell>
          <cell r="W404">
            <v>13225798.899169473</v>
          </cell>
          <cell r="X404">
            <v>32200016.289086416</v>
          </cell>
        </row>
        <row r="405">
          <cell r="T405">
            <v>1790480.0925819562</v>
          </cell>
          <cell r="U405">
            <v>2647408.1018401524</v>
          </cell>
          <cell r="V405">
            <v>4708530.9120241674</v>
          </cell>
          <cell r="W405">
            <v>13257454.003226584</v>
          </cell>
          <cell r="X405">
            <v>32278691.903549239</v>
          </cell>
        </row>
        <row r="406">
          <cell r="T406">
            <v>1794015.1068998461</v>
          </cell>
          <cell r="U406">
            <v>2652976.6175898309</v>
          </cell>
          <cell r="V406">
            <v>4719108.2793488139</v>
          </cell>
          <cell r="W406">
            <v>13289109.107283697</v>
          </cell>
          <cell r="X406">
            <v>32357367.518012062</v>
          </cell>
        </row>
        <row r="407">
          <cell r="T407">
            <v>1797550.1212177358</v>
          </cell>
          <cell r="U407">
            <v>2658545.1333395098</v>
          </cell>
          <cell r="V407">
            <v>4729685.6466734605</v>
          </cell>
          <cell r="W407">
            <v>13320764.211340807</v>
          </cell>
          <cell r="X407">
            <v>32436043.132474884</v>
          </cell>
        </row>
        <row r="408">
          <cell r="T408">
            <v>1801085.1355356257</v>
          </cell>
          <cell r="U408">
            <v>2664113.6490891888</v>
          </cell>
          <cell r="V408">
            <v>4740263.0139981071</v>
          </cell>
          <cell r="W408">
            <v>13352419.315397918</v>
          </cell>
          <cell r="X408">
            <v>32514718.746937707</v>
          </cell>
        </row>
        <row r="409">
          <cell r="T409">
            <v>1804620.1498535154</v>
          </cell>
          <cell r="U409">
            <v>2669682.1648388673</v>
          </cell>
          <cell r="V409">
            <v>4750840.3813227536</v>
          </cell>
          <cell r="W409">
            <v>13384074.419455029</v>
          </cell>
          <cell r="X409">
            <v>32593394.36140053</v>
          </cell>
        </row>
        <row r="410">
          <cell r="T410">
            <v>1808155.1641714054</v>
          </cell>
          <cell r="U410">
            <v>2675250.6805885462</v>
          </cell>
          <cell r="V410">
            <v>4761417.7486474002</v>
          </cell>
          <cell r="W410">
            <v>13415729.523512142</v>
          </cell>
          <cell r="X410">
            <v>32672069.975863352</v>
          </cell>
        </row>
        <row r="411">
          <cell r="T411">
            <v>1811690.1784892951</v>
          </cell>
          <cell r="U411">
            <v>2680819.1963382252</v>
          </cell>
          <cell r="V411">
            <v>4771995.1159720477</v>
          </cell>
          <cell r="W411">
            <v>13447384.627569253</v>
          </cell>
          <cell r="X411">
            <v>32750745.590326175</v>
          </cell>
        </row>
        <row r="412">
          <cell r="T412">
            <v>1815225.192807185</v>
          </cell>
          <cell r="U412">
            <v>2686387.7120879041</v>
          </cell>
          <cell r="V412">
            <v>4782572.4832966942</v>
          </cell>
          <cell r="W412">
            <v>13479039.731626363</v>
          </cell>
          <cell r="X412">
            <v>32829421.204788998</v>
          </cell>
        </row>
        <row r="413">
          <cell r="T413">
            <v>1818760.2071250747</v>
          </cell>
          <cell r="U413">
            <v>2691956.2278375826</v>
          </cell>
          <cell r="V413">
            <v>4793149.8506213408</v>
          </cell>
          <cell r="W413">
            <v>13510694.835683476</v>
          </cell>
          <cell r="X413">
            <v>32908096.81925182</v>
          </cell>
        </row>
        <row r="414">
          <cell r="T414">
            <v>1822295.2214429646</v>
          </cell>
          <cell r="U414">
            <v>2697524.7435872615</v>
          </cell>
          <cell r="V414">
            <v>4803727.2179459874</v>
          </cell>
          <cell r="W414">
            <v>13542349.939740587</v>
          </cell>
          <cell r="X414">
            <v>32986772.433714643</v>
          </cell>
        </row>
        <row r="415">
          <cell r="T415">
            <v>1825830.2357608543</v>
          </cell>
          <cell r="U415">
            <v>2703093.2593369405</v>
          </cell>
          <cell r="V415">
            <v>4814304.5852706339</v>
          </cell>
          <cell r="W415">
            <v>13574005.043797698</v>
          </cell>
          <cell r="X415">
            <v>33065448.048177466</v>
          </cell>
        </row>
        <row r="416">
          <cell r="T416">
            <v>1829365.2500787443</v>
          </cell>
          <cell r="U416">
            <v>2708661.775086619</v>
          </cell>
          <cell r="V416">
            <v>4824881.9525952805</v>
          </cell>
          <cell r="W416">
            <v>13605660.147854809</v>
          </cell>
          <cell r="X416">
            <v>33144123.662640288</v>
          </cell>
        </row>
        <row r="417">
          <cell r="T417">
            <v>1832900.264396634</v>
          </cell>
          <cell r="U417">
            <v>2714230.2908362979</v>
          </cell>
          <cell r="V417">
            <v>4835459.319919928</v>
          </cell>
          <cell r="W417">
            <v>13637315.251911921</v>
          </cell>
          <cell r="X417">
            <v>33222799.277103111</v>
          </cell>
        </row>
        <row r="418">
          <cell r="T418">
            <v>1836435.2787145239</v>
          </cell>
          <cell r="U418">
            <v>2719798.8065859769</v>
          </cell>
          <cell r="V418">
            <v>4846036.6872445745</v>
          </cell>
          <cell r="W418">
            <v>13668970.355969032</v>
          </cell>
          <cell r="X418">
            <v>33301474.891565934</v>
          </cell>
        </row>
        <row r="419">
          <cell r="T419">
            <v>1839970.2930324136</v>
          </cell>
          <cell r="U419">
            <v>2725367.3223356553</v>
          </cell>
          <cell r="V419">
            <v>4856614.0545692211</v>
          </cell>
          <cell r="W419">
            <v>13700625.460026143</v>
          </cell>
          <cell r="X419">
            <v>33380150.506028753</v>
          </cell>
        </row>
        <row r="420">
          <cell r="T420">
            <v>1843505.3073503035</v>
          </cell>
          <cell r="U420">
            <v>2730935.8380853343</v>
          </cell>
          <cell r="V420">
            <v>4867191.4218938677</v>
          </cell>
          <cell r="W420">
            <v>13732280.564083254</v>
          </cell>
          <cell r="X420">
            <v>33458826.120491575</v>
          </cell>
        </row>
        <row r="421">
          <cell r="T421">
            <v>1847040.3216681932</v>
          </cell>
          <cell r="U421">
            <v>2736504.3538350132</v>
          </cell>
          <cell r="V421">
            <v>4877768.7892185142</v>
          </cell>
          <cell r="W421">
            <v>13763935.668140367</v>
          </cell>
          <cell r="X421">
            <v>33537501.734954398</v>
          </cell>
        </row>
        <row r="422">
          <cell r="T422">
            <v>1850575.3359860831</v>
          </cell>
          <cell r="U422">
            <v>2742072.8695846917</v>
          </cell>
          <cell r="V422">
            <v>4888346.1565431608</v>
          </cell>
          <cell r="W422">
            <v>13795590.772197478</v>
          </cell>
          <cell r="X422">
            <v>33616177.349417225</v>
          </cell>
        </row>
        <row r="423">
          <cell r="T423">
            <v>1854110.3503039728</v>
          </cell>
          <cell r="U423">
            <v>2747641.3853343707</v>
          </cell>
          <cell r="V423">
            <v>4898923.5238678074</v>
          </cell>
          <cell r="W423">
            <v>13827245.876254588</v>
          </cell>
          <cell r="X423">
            <v>33694852.963880047</v>
          </cell>
        </row>
        <row r="424">
          <cell r="T424">
            <v>1857645.3646218628</v>
          </cell>
          <cell r="U424">
            <v>2753209.9010840496</v>
          </cell>
          <cell r="V424">
            <v>4909500.8911924548</v>
          </cell>
          <cell r="W424">
            <v>13858900.980311701</v>
          </cell>
          <cell r="X424">
            <v>33773528.57834287</v>
          </cell>
        </row>
        <row r="425">
          <cell r="T425">
            <v>1861180.3789397525</v>
          </cell>
          <cell r="U425">
            <v>2758778.4168337281</v>
          </cell>
          <cell r="V425">
            <v>4920078.2585171014</v>
          </cell>
          <cell r="W425">
            <v>13890556.084368812</v>
          </cell>
          <cell r="X425">
            <v>33852204.192805693</v>
          </cell>
        </row>
        <row r="426">
          <cell r="T426">
            <v>1864715.3932576424</v>
          </cell>
          <cell r="U426">
            <v>2764346.932583407</v>
          </cell>
          <cell r="V426">
            <v>4930655.625841748</v>
          </cell>
          <cell r="W426">
            <v>13922211.188425923</v>
          </cell>
          <cell r="X426">
            <v>33930879.807268515</v>
          </cell>
        </row>
        <row r="427">
          <cell r="T427">
            <v>1868250.4075755323</v>
          </cell>
          <cell r="U427">
            <v>2769915.448333086</v>
          </cell>
          <cell r="V427">
            <v>4941232.9931663945</v>
          </cell>
          <cell r="W427">
            <v>13953866.292483034</v>
          </cell>
          <cell r="X427">
            <v>34009555.421731338</v>
          </cell>
        </row>
        <row r="428">
          <cell r="T428">
            <v>1871785.421893422</v>
          </cell>
          <cell r="U428">
            <v>2775483.9640827649</v>
          </cell>
          <cell r="V428">
            <v>4951810.3604910411</v>
          </cell>
          <cell r="W428">
            <v>13985521.396540146</v>
          </cell>
          <cell r="X428">
            <v>34088231.036194153</v>
          </cell>
        </row>
        <row r="429">
          <cell r="T429">
            <v>1875320.436211312</v>
          </cell>
          <cell r="U429">
            <v>2781052.4798324434</v>
          </cell>
          <cell r="V429">
            <v>4962387.7278156877</v>
          </cell>
          <cell r="W429">
            <v>14017176.500597257</v>
          </cell>
          <cell r="X429">
            <v>34166906.650656976</v>
          </cell>
        </row>
        <row r="430">
          <cell r="T430">
            <v>1878855.4505292017</v>
          </cell>
          <cell r="U430">
            <v>2786620.9955821224</v>
          </cell>
          <cell r="V430">
            <v>4972965.0951403352</v>
          </cell>
          <cell r="W430">
            <v>14048831.604654368</v>
          </cell>
          <cell r="X430">
            <v>34245582.265119798</v>
          </cell>
        </row>
        <row r="431">
          <cell r="T431">
            <v>1882390.4648470916</v>
          </cell>
          <cell r="U431">
            <v>2792189.5113318013</v>
          </cell>
          <cell r="V431">
            <v>4983542.4624649817</v>
          </cell>
          <cell r="W431">
            <v>14080486.708711479</v>
          </cell>
          <cell r="X431">
            <v>34324257.879582621</v>
          </cell>
        </row>
        <row r="432">
          <cell r="T432">
            <v>1885925.4791649813</v>
          </cell>
          <cell r="U432">
            <v>2797758.0270814798</v>
          </cell>
          <cell r="V432">
            <v>4994119.8297896283</v>
          </cell>
          <cell r="W432">
            <v>14112141.812768592</v>
          </cell>
          <cell r="X432">
            <v>34402933.494045444</v>
          </cell>
        </row>
        <row r="433">
          <cell r="T433">
            <v>1889460.4934828712</v>
          </cell>
          <cell r="U433">
            <v>2803326.5428311587</v>
          </cell>
          <cell r="V433">
            <v>5004697.1971142748</v>
          </cell>
          <cell r="W433">
            <v>14143796.916825702</v>
          </cell>
          <cell r="X433">
            <v>34481609.108508267</v>
          </cell>
        </row>
        <row r="434">
          <cell r="T434">
            <v>1892995.5078007609</v>
          </cell>
          <cell r="U434">
            <v>2808895.0585808377</v>
          </cell>
          <cell r="V434">
            <v>5015274.5644389214</v>
          </cell>
          <cell r="W434">
            <v>14175452.020882813</v>
          </cell>
          <cell r="X434">
            <v>34560284.722971089</v>
          </cell>
        </row>
        <row r="435">
          <cell r="T435">
            <v>1896530.5221186508</v>
          </cell>
          <cell r="U435">
            <v>2814463.5743305162</v>
          </cell>
          <cell r="V435">
            <v>5025851.931763568</v>
          </cell>
          <cell r="W435">
            <v>14207107.124939926</v>
          </cell>
          <cell r="X435">
            <v>34638960.337433912</v>
          </cell>
        </row>
        <row r="436">
          <cell r="T436">
            <v>1900065.5364365405</v>
          </cell>
          <cell r="U436">
            <v>2820032.0900801951</v>
          </cell>
          <cell r="V436">
            <v>5036429.2990882145</v>
          </cell>
          <cell r="W436">
            <v>14238762.228997037</v>
          </cell>
          <cell r="X436">
            <v>34717635.951896735</v>
          </cell>
        </row>
        <row r="437">
          <cell r="T437">
            <v>1903600.5507544305</v>
          </cell>
          <cell r="U437">
            <v>2825600.6058298741</v>
          </cell>
          <cell r="V437">
            <v>5047006.666412862</v>
          </cell>
          <cell r="W437">
            <v>14270417.333054148</v>
          </cell>
          <cell r="X437">
            <v>34796311.566359557</v>
          </cell>
        </row>
        <row r="438">
          <cell r="T438">
            <v>1907135.5650723204</v>
          </cell>
          <cell r="U438">
            <v>2831169.1215795525</v>
          </cell>
          <cell r="V438">
            <v>5057584.0337375086</v>
          </cell>
          <cell r="W438">
            <v>14302072.437111259</v>
          </cell>
          <cell r="X438">
            <v>34874987.18082238</v>
          </cell>
        </row>
        <row r="439">
          <cell r="T439">
            <v>1910670.5793902101</v>
          </cell>
          <cell r="U439">
            <v>2836737.6373292315</v>
          </cell>
          <cell r="V439">
            <v>5068161.4010621551</v>
          </cell>
          <cell r="W439">
            <v>14333727.541168371</v>
          </cell>
          <cell r="X439">
            <v>34953662.795285203</v>
          </cell>
        </row>
        <row r="440">
          <cell r="T440">
            <v>1914205.5937081</v>
          </cell>
          <cell r="U440">
            <v>2842306.1530789104</v>
          </cell>
          <cell r="V440">
            <v>5078738.7683868017</v>
          </cell>
          <cell r="W440">
            <v>14365382.645225482</v>
          </cell>
          <cell r="X440">
            <v>35032338.409748025</v>
          </cell>
        </row>
        <row r="441">
          <cell r="T441">
            <v>1917740.6080259897</v>
          </cell>
          <cell r="U441">
            <v>2847874.6688285889</v>
          </cell>
          <cell r="V441">
            <v>5089316.1357114483</v>
          </cell>
          <cell r="W441">
            <v>14397037.749282593</v>
          </cell>
          <cell r="X441">
            <v>35111014.024210848</v>
          </cell>
        </row>
        <row r="442">
          <cell r="T442">
            <v>1921275.6223438797</v>
          </cell>
          <cell r="U442">
            <v>2853443.1845782679</v>
          </cell>
          <cell r="V442">
            <v>5099893.5030360948</v>
          </cell>
          <cell r="W442">
            <v>14428692.853339704</v>
          </cell>
          <cell r="X442">
            <v>35189689.638673671</v>
          </cell>
        </row>
        <row r="443">
          <cell r="T443">
            <v>1924810.6366617694</v>
          </cell>
          <cell r="U443">
            <v>2859011.7003279468</v>
          </cell>
          <cell r="V443">
            <v>5110470.8703607414</v>
          </cell>
          <cell r="W443">
            <v>14460347.957396816</v>
          </cell>
          <cell r="X443">
            <v>35268365.253136493</v>
          </cell>
        </row>
        <row r="444">
          <cell r="T444">
            <v>1928345.6509796593</v>
          </cell>
          <cell r="U444">
            <v>2864580.2160776258</v>
          </cell>
          <cell r="V444">
            <v>5121048.237685388</v>
          </cell>
          <cell r="W444">
            <v>14492003.061453927</v>
          </cell>
          <cell r="X444">
            <v>35347040.867599316</v>
          </cell>
        </row>
        <row r="445">
          <cell r="T445">
            <v>1931880.665297549</v>
          </cell>
          <cell r="U445">
            <v>2870148.7318273042</v>
          </cell>
          <cell r="V445">
            <v>5131625.6050100354</v>
          </cell>
          <cell r="W445">
            <v>14523658.165511038</v>
          </cell>
          <cell r="X445">
            <v>35425716.482062139</v>
          </cell>
        </row>
        <row r="446">
          <cell r="T446">
            <v>1935415.6796154389</v>
          </cell>
          <cell r="U446">
            <v>2875717.2475769832</v>
          </cell>
          <cell r="V446">
            <v>5142202.972334682</v>
          </cell>
          <cell r="W446">
            <v>14555313.269568151</v>
          </cell>
          <cell r="X446">
            <v>35504392.096524961</v>
          </cell>
        </row>
        <row r="447">
          <cell r="T447">
            <v>1938950.6939333288</v>
          </cell>
          <cell r="U447">
            <v>2881285.7633266621</v>
          </cell>
          <cell r="V447">
            <v>5152780.3396593286</v>
          </cell>
          <cell r="W447">
            <v>14586968.373625262</v>
          </cell>
          <cell r="X447">
            <v>35583067.710987784</v>
          </cell>
        </row>
        <row r="448">
          <cell r="T448">
            <v>1942485.7082512185</v>
          </cell>
          <cell r="U448">
            <v>2886854.2790763406</v>
          </cell>
          <cell r="V448">
            <v>5163357.7069839751</v>
          </cell>
          <cell r="W448">
            <v>14618623.477682373</v>
          </cell>
          <cell r="X448">
            <v>35661743.325450607</v>
          </cell>
        </row>
        <row r="449">
          <cell r="T449">
            <v>1946020.7225691085</v>
          </cell>
          <cell r="U449">
            <v>2892422.7948260196</v>
          </cell>
          <cell r="V449">
            <v>5173935.0743086217</v>
          </cell>
          <cell r="W449">
            <v>14650278.581739483</v>
          </cell>
          <cell r="X449">
            <v>35740418.939913429</v>
          </cell>
        </row>
        <row r="450">
          <cell r="T450">
            <v>1949555.7368869982</v>
          </cell>
          <cell r="U450">
            <v>2897991.3105756985</v>
          </cell>
          <cell r="V450">
            <v>5184512.4416332683</v>
          </cell>
          <cell r="W450">
            <v>14681933.685796596</v>
          </cell>
          <cell r="X450">
            <v>35819094.554376252</v>
          </cell>
        </row>
        <row r="451">
          <cell r="T451">
            <v>1953090.7512048881</v>
          </cell>
          <cell r="U451">
            <v>2903559.826325377</v>
          </cell>
          <cell r="V451">
            <v>5195089.8089579148</v>
          </cell>
          <cell r="W451">
            <v>14713588.789853707</v>
          </cell>
          <cell r="X451">
            <v>35897770.168839075</v>
          </cell>
        </row>
        <row r="452">
          <cell r="T452">
            <v>1956625.7655227778</v>
          </cell>
          <cell r="U452">
            <v>2909128.3420750559</v>
          </cell>
          <cell r="V452">
            <v>5205667.1762825623</v>
          </cell>
          <cell r="W452">
            <v>14745243.893910818</v>
          </cell>
          <cell r="X452">
            <v>35976445.783301897</v>
          </cell>
        </row>
        <row r="453">
          <cell r="T453">
            <v>1960160.7798406677</v>
          </cell>
          <cell r="U453">
            <v>2914696.8578247349</v>
          </cell>
          <cell r="V453">
            <v>5216244.5436072089</v>
          </cell>
          <cell r="W453">
            <v>14776898.997967931</v>
          </cell>
          <cell r="X453">
            <v>36055121.39776472</v>
          </cell>
        </row>
        <row r="454">
          <cell r="T454">
            <v>1963695.7941585574</v>
          </cell>
          <cell r="U454">
            <v>2920265.3735744134</v>
          </cell>
          <cell r="V454">
            <v>5226821.9109318554</v>
          </cell>
          <cell r="W454">
            <v>14808554.102025041</v>
          </cell>
          <cell r="X454">
            <v>36133797.012227543</v>
          </cell>
        </row>
        <row r="455">
          <cell r="T455">
            <v>1967230.8084764474</v>
          </cell>
          <cell r="U455">
            <v>2925833.8893240923</v>
          </cell>
          <cell r="V455">
            <v>5237399.278256502</v>
          </cell>
          <cell r="W455">
            <v>14840209.206082152</v>
          </cell>
          <cell r="X455">
            <v>36212472.626690365</v>
          </cell>
        </row>
        <row r="456">
          <cell r="T456">
            <v>1970765.8227943371</v>
          </cell>
          <cell r="U456">
            <v>2931402.4050737713</v>
          </cell>
          <cell r="V456">
            <v>5247976.6455811486</v>
          </cell>
          <cell r="W456">
            <v>14871864.310139263</v>
          </cell>
          <cell r="X456">
            <v>36291148.241153188</v>
          </cell>
        </row>
        <row r="457">
          <cell r="T457">
            <v>1974300.837112227</v>
          </cell>
          <cell r="U457">
            <v>2936970.9208234502</v>
          </cell>
          <cell r="V457">
            <v>5258554.0129057951</v>
          </cell>
          <cell r="W457">
            <v>14903519.414196376</v>
          </cell>
          <cell r="X457">
            <v>36369823.855616011</v>
          </cell>
        </row>
        <row r="458">
          <cell r="T458">
            <v>1977835.8514301167</v>
          </cell>
          <cell r="U458">
            <v>2942539.4365731287</v>
          </cell>
          <cell r="V458">
            <v>5269131.3802304417</v>
          </cell>
          <cell r="W458">
            <v>14935174.518253487</v>
          </cell>
          <cell r="X458">
            <v>36448499.470078833</v>
          </cell>
        </row>
        <row r="459">
          <cell r="T459">
            <v>1981370.8657480066</v>
          </cell>
          <cell r="U459">
            <v>2948107.9523228076</v>
          </cell>
          <cell r="V459">
            <v>5279708.7475550883</v>
          </cell>
          <cell r="W459">
            <v>14966829.622310597</v>
          </cell>
          <cell r="X459">
            <v>36527175.084541656</v>
          </cell>
        </row>
        <row r="460">
          <cell r="T460">
            <v>1984905.8800658965</v>
          </cell>
          <cell r="U460">
            <v>2953676.4680724866</v>
          </cell>
          <cell r="V460">
            <v>5290286.1148797348</v>
          </cell>
          <cell r="W460">
            <v>14998484.72636771</v>
          </cell>
          <cell r="X460">
            <v>36605850.699004479</v>
          </cell>
        </row>
        <row r="461">
          <cell r="T461">
            <v>1988440.8943837862</v>
          </cell>
          <cell r="U461">
            <v>2959244.9838221651</v>
          </cell>
          <cell r="V461">
            <v>5300863.4822043823</v>
          </cell>
          <cell r="W461">
            <v>15030139.830424821</v>
          </cell>
          <cell r="X461">
            <v>36684526.313467301</v>
          </cell>
        </row>
        <row r="462">
          <cell r="T462">
            <v>1991975.9087016762</v>
          </cell>
          <cell r="U462">
            <v>2964813.499571844</v>
          </cell>
          <cell r="V462">
            <v>5311440.8495290289</v>
          </cell>
          <cell r="W462">
            <v>15061794.934481932</v>
          </cell>
          <cell r="X462">
            <v>36763201.927930124</v>
          </cell>
        </row>
        <row r="463">
          <cell r="T463">
            <v>1995510.9230195659</v>
          </cell>
          <cell r="U463">
            <v>2970382.015321523</v>
          </cell>
          <cell r="V463">
            <v>5322018.2168536754</v>
          </cell>
          <cell r="W463">
            <v>15093450.038539043</v>
          </cell>
          <cell r="X463">
            <v>36841877.542392947</v>
          </cell>
        </row>
        <row r="464">
          <cell r="T464">
            <v>1999045.9373374558</v>
          </cell>
          <cell r="U464">
            <v>2975950.5310712014</v>
          </cell>
          <cell r="V464">
            <v>5332595.584178322</v>
          </cell>
          <cell r="W464">
            <v>15125105.142596155</v>
          </cell>
          <cell r="X464">
            <v>36920553.156855769</v>
          </cell>
        </row>
        <row r="465">
          <cell r="T465">
            <v>2002580.9516553455</v>
          </cell>
          <cell r="U465">
            <v>2981519.0468208804</v>
          </cell>
          <cell r="V465">
            <v>5343172.9515029686</v>
          </cell>
          <cell r="W465">
            <v>15156760.246653266</v>
          </cell>
          <cell r="X465">
            <v>36999228.771318592</v>
          </cell>
        </row>
        <row r="466">
          <cell r="T466">
            <v>2006115.9659732354</v>
          </cell>
          <cell r="U466">
            <v>2987087.5625705593</v>
          </cell>
          <cell r="V466">
            <v>5353750.3188276151</v>
          </cell>
          <cell r="W466">
            <v>15188415.350710377</v>
          </cell>
          <cell r="X466">
            <v>37077904.385781415</v>
          </cell>
        </row>
        <row r="467">
          <cell r="T467">
            <v>2009650.9802911251</v>
          </cell>
          <cell r="U467">
            <v>2992656.0783202378</v>
          </cell>
          <cell r="V467">
            <v>5364327.6861522617</v>
          </cell>
          <cell r="W467">
            <v>15220070.45476749</v>
          </cell>
          <cell r="X467">
            <v>37156580.000244237</v>
          </cell>
        </row>
        <row r="468">
          <cell r="T468">
            <v>2013185.9946090151</v>
          </cell>
          <cell r="U468">
            <v>2998224.5940699168</v>
          </cell>
          <cell r="V468">
            <v>5374905.0534769092</v>
          </cell>
          <cell r="W468">
            <v>15251725.558824601</v>
          </cell>
          <cell r="X468">
            <v>37235255.61470706</v>
          </cell>
        </row>
        <row r="469">
          <cell r="T469">
            <v>2016721.0089269048</v>
          </cell>
          <cell r="U469">
            <v>3003793.1098195957</v>
          </cell>
          <cell r="V469">
            <v>5385482.4208015557</v>
          </cell>
          <cell r="W469">
            <v>15283380.662881711</v>
          </cell>
          <cell r="X469">
            <v>37313931.229169883</v>
          </cell>
        </row>
        <row r="470">
          <cell r="T470">
            <v>2020256.0232447947</v>
          </cell>
          <cell r="U470">
            <v>3009361.6255692746</v>
          </cell>
          <cell r="V470">
            <v>5396059.7881262023</v>
          </cell>
          <cell r="W470">
            <v>15315035.766938822</v>
          </cell>
          <cell r="X470">
            <v>37392606.843632706</v>
          </cell>
        </row>
        <row r="471">
          <cell r="T471">
            <v>2023791.0375626844</v>
          </cell>
          <cell r="U471">
            <v>3014930.1413189531</v>
          </cell>
          <cell r="V471">
            <v>5406637.1554508489</v>
          </cell>
          <cell r="W471">
            <v>15346690.870995935</v>
          </cell>
          <cell r="X471">
            <v>37471282.458095528</v>
          </cell>
        </row>
        <row r="472">
          <cell r="T472">
            <v>2027326.0518805743</v>
          </cell>
          <cell r="U472">
            <v>3020498.6570686321</v>
          </cell>
          <cell r="V472">
            <v>5417214.5227754954</v>
          </cell>
          <cell r="W472">
            <v>15378345.975053046</v>
          </cell>
          <cell r="X472">
            <v>37549958.072558351</v>
          </cell>
        </row>
        <row r="473">
          <cell r="T473">
            <v>2030861.066198464</v>
          </cell>
          <cell r="U473">
            <v>3026067.172818311</v>
          </cell>
          <cell r="V473">
            <v>5427791.890100142</v>
          </cell>
          <cell r="W473">
            <v>15410001.079110157</v>
          </cell>
          <cell r="X473">
            <v>37628633.687021174</v>
          </cell>
        </row>
        <row r="474">
          <cell r="T474">
            <v>2034396.0805163539</v>
          </cell>
          <cell r="U474">
            <v>3031635.6885679895</v>
          </cell>
          <cell r="V474">
            <v>5438369.2574247885</v>
          </cell>
          <cell r="W474">
            <v>15441656.183167269</v>
          </cell>
          <cell r="X474">
            <v>37707309.301483996</v>
          </cell>
        </row>
        <row r="475">
          <cell r="T475">
            <v>2037931.0948342439</v>
          </cell>
          <cell r="U475">
            <v>3037204.2043176685</v>
          </cell>
          <cell r="V475">
            <v>5448946.6247494351</v>
          </cell>
          <cell r="W475">
            <v>15473311.28722438</v>
          </cell>
          <cell r="X475">
            <v>37785984.915946819</v>
          </cell>
        </row>
        <row r="476">
          <cell r="T476">
            <v>2041466.1091521336</v>
          </cell>
          <cell r="U476">
            <v>3042772.7200673474</v>
          </cell>
          <cell r="V476">
            <v>5459523.9920740826</v>
          </cell>
          <cell r="W476">
            <v>15504966.391281491</v>
          </cell>
          <cell r="X476">
            <v>37864660.530409642</v>
          </cell>
        </row>
        <row r="477">
          <cell r="T477">
            <v>2045001.1234700235</v>
          </cell>
          <cell r="U477">
            <v>3048341.2358170259</v>
          </cell>
          <cell r="V477">
            <v>5470101.3593987292</v>
          </cell>
          <cell r="W477">
            <v>15536621.495338602</v>
          </cell>
          <cell r="X477">
            <v>37943336.144872457</v>
          </cell>
        </row>
        <row r="478">
          <cell r="T478">
            <v>2048536.1377879132</v>
          </cell>
          <cell r="U478">
            <v>3053909.7515667048</v>
          </cell>
          <cell r="V478">
            <v>5480678.7267233757</v>
          </cell>
          <cell r="W478">
            <v>15568276.599395715</v>
          </cell>
          <cell r="X478">
            <v>38022011.759335279</v>
          </cell>
        </row>
        <row r="479">
          <cell r="T479">
            <v>2052071.1521058031</v>
          </cell>
          <cell r="U479">
            <v>3059478.2673163838</v>
          </cell>
          <cell r="V479">
            <v>5491256.0940480223</v>
          </cell>
          <cell r="W479">
            <v>15599931.703452826</v>
          </cell>
          <cell r="X479">
            <v>38100687.373798102</v>
          </cell>
        </row>
        <row r="480">
          <cell r="T480">
            <v>2055606.1664236928</v>
          </cell>
          <cell r="U480">
            <v>3065046.7830660627</v>
          </cell>
          <cell r="V480">
            <v>5501833.4613726689</v>
          </cell>
          <cell r="W480">
            <v>15631586.807509936</v>
          </cell>
          <cell r="X480">
            <v>38179362.988260925</v>
          </cell>
        </row>
        <row r="481">
          <cell r="T481">
            <v>2059141.1807415828</v>
          </cell>
          <cell r="U481">
            <v>3070615.2988157412</v>
          </cell>
          <cell r="V481">
            <v>5512410.8286973154</v>
          </cell>
          <cell r="W481">
            <v>15663241.911567047</v>
          </cell>
          <cell r="X481">
            <v>38258038.602723747</v>
          </cell>
        </row>
        <row r="482">
          <cell r="T482">
            <v>2062676.1950594725</v>
          </cell>
          <cell r="U482">
            <v>3076183.8145654202</v>
          </cell>
          <cell r="V482">
            <v>5522988.196021962</v>
          </cell>
          <cell r="W482">
            <v>15694897.01562416</v>
          </cell>
          <cell r="X482">
            <v>38336714.21718657</v>
          </cell>
        </row>
        <row r="483">
          <cell r="T483">
            <v>2066211.2093773624</v>
          </cell>
          <cell r="U483">
            <v>3081752.3303150991</v>
          </cell>
          <cell r="V483">
            <v>5533565.5633466095</v>
          </cell>
          <cell r="W483">
            <v>15726552.119681271</v>
          </cell>
          <cell r="X483">
            <v>38415389.831649393</v>
          </cell>
        </row>
        <row r="484">
          <cell r="T484">
            <v>2069746.2236952521</v>
          </cell>
          <cell r="U484">
            <v>3087320.8460647776</v>
          </cell>
          <cell r="V484">
            <v>5544142.930671256</v>
          </cell>
          <cell r="W484">
            <v>15758207.223738382</v>
          </cell>
          <cell r="X484">
            <v>38494065.446112216</v>
          </cell>
        </row>
        <row r="485">
          <cell r="T485">
            <v>2073281.238013142</v>
          </cell>
          <cell r="U485">
            <v>3092889.3618144565</v>
          </cell>
          <cell r="V485">
            <v>5554720.2979959026</v>
          </cell>
          <cell r="W485">
            <v>15789862.327795492</v>
          </cell>
          <cell r="X485">
            <v>38572741.060575038</v>
          </cell>
        </row>
        <row r="486">
          <cell r="T486">
            <v>2076816.2523310317</v>
          </cell>
          <cell r="U486">
            <v>3098457.8775641355</v>
          </cell>
          <cell r="V486">
            <v>5565297.6653205492</v>
          </cell>
          <cell r="W486">
            <v>15821517.431852605</v>
          </cell>
          <cell r="X486">
            <v>38651416.675037861</v>
          </cell>
        </row>
        <row r="487">
          <cell r="T487">
            <v>2080351.2666489216</v>
          </cell>
          <cell r="U487">
            <v>3104026.3933138144</v>
          </cell>
          <cell r="V487">
            <v>5575875.0326451957</v>
          </cell>
          <cell r="W487">
            <v>15853172.535909716</v>
          </cell>
          <cell r="X487">
            <v>38730092.289500684</v>
          </cell>
        </row>
        <row r="488">
          <cell r="T488">
            <v>2083886.2809668113</v>
          </cell>
          <cell r="U488">
            <v>3109594.9090634929</v>
          </cell>
          <cell r="V488">
            <v>5586452.3999698423</v>
          </cell>
          <cell r="W488">
            <v>15884827.639966827</v>
          </cell>
          <cell r="X488">
            <v>38808767.903963506</v>
          </cell>
        </row>
        <row r="489">
          <cell r="T489">
            <v>2087421.2952847013</v>
          </cell>
          <cell r="U489">
            <v>3115163.4248131718</v>
          </cell>
          <cell r="V489">
            <v>5597029.7672944888</v>
          </cell>
          <cell r="W489">
            <v>15916482.74402394</v>
          </cell>
          <cell r="X489">
            <v>38887443.518426329</v>
          </cell>
        </row>
        <row r="490">
          <cell r="T490">
            <v>2090956.309602591</v>
          </cell>
          <cell r="U490">
            <v>3120731.9405628508</v>
          </cell>
          <cell r="V490">
            <v>5607607.1346191354</v>
          </cell>
          <cell r="W490">
            <v>15948137.84808105</v>
          </cell>
          <cell r="X490">
            <v>38966119.132889152</v>
          </cell>
        </row>
        <row r="491">
          <cell r="T491">
            <v>2094491.3239204809</v>
          </cell>
          <cell r="U491">
            <v>3126300.4563125293</v>
          </cell>
          <cell r="V491">
            <v>5618184.5019437829</v>
          </cell>
          <cell r="W491">
            <v>15979792.952138161</v>
          </cell>
          <cell r="X491">
            <v>39044794.747351974</v>
          </cell>
        </row>
        <row r="492">
          <cell r="T492">
            <v>2098026.3382383706</v>
          </cell>
          <cell r="U492">
            <v>3131868.9720622082</v>
          </cell>
          <cell r="V492">
            <v>5628761.8692684295</v>
          </cell>
          <cell r="W492">
            <v>16011448.056195272</v>
          </cell>
          <cell r="X492">
            <v>39123470.361814797</v>
          </cell>
        </row>
        <row r="493">
          <cell r="T493">
            <v>2101561.3525562608</v>
          </cell>
          <cell r="U493">
            <v>3137437.4878118872</v>
          </cell>
          <cell r="V493">
            <v>5639339.236593076</v>
          </cell>
          <cell r="W493">
            <v>16043103.160252385</v>
          </cell>
          <cell r="X493">
            <v>39202145.97627762</v>
          </cell>
        </row>
        <row r="494">
          <cell r="T494">
            <v>2105096.3668741505</v>
          </cell>
          <cell r="U494">
            <v>3143006.0035615657</v>
          </cell>
          <cell r="V494">
            <v>5649916.6039177226</v>
          </cell>
          <cell r="W494">
            <v>16074758.264309496</v>
          </cell>
          <cell r="X494">
            <v>39280821.590740442</v>
          </cell>
        </row>
        <row r="495">
          <cell r="T495">
            <v>2108631.3811920402</v>
          </cell>
          <cell r="U495">
            <v>3148574.5193112446</v>
          </cell>
          <cell r="V495">
            <v>5660493.9712423692</v>
          </cell>
          <cell r="W495">
            <v>16106413.368366607</v>
          </cell>
          <cell r="X495">
            <v>39359497.205203265</v>
          </cell>
        </row>
        <row r="496">
          <cell r="T496">
            <v>2112166.3955099299</v>
          </cell>
          <cell r="U496">
            <v>3154143.0350609235</v>
          </cell>
          <cell r="V496">
            <v>5671071.3385670157</v>
          </cell>
          <cell r="W496">
            <v>16138068.472423717</v>
          </cell>
          <cell r="X496">
            <v>39438172.819666088</v>
          </cell>
        </row>
        <row r="497">
          <cell r="T497">
            <v>2115701.40982782</v>
          </cell>
          <cell r="U497">
            <v>3159711.5508106025</v>
          </cell>
          <cell r="V497">
            <v>5681648.7058916623</v>
          </cell>
          <cell r="W497">
            <v>16169723.57648083</v>
          </cell>
          <cell r="X497">
            <v>39516848.43412891</v>
          </cell>
        </row>
        <row r="498">
          <cell r="T498">
            <v>2119236.4241457097</v>
          </cell>
          <cell r="U498">
            <v>3165280.066560281</v>
          </cell>
          <cell r="V498">
            <v>5692226.0732163088</v>
          </cell>
          <cell r="W498">
            <v>16201378.680537941</v>
          </cell>
          <cell r="X498">
            <v>39595524.048591733</v>
          </cell>
        </row>
        <row r="499">
          <cell r="T499">
            <v>2122771.4384635994</v>
          </cell>
          <cell r="U499">
            <v>3170848.5823099599</v>
          </cell>
          <cell r="V499">
            <v>5702803.4405409563</v>
          </cell>
          <cell r="W499">
            <v>16233033.784595052</v>
          </cell>
          <cell r="X499">
            <v>39674199.663054548</v>
          </cell>
        </row>
        <row r="500">
          <cell r="T500">
            <v>2126306.4527814891</v>
          </cell>
          <cell r="U500">
            <v>3176417.0980596389</v>
          </cell>
          <cell r="V500">
            <v>5713380.8078656029</v>
          </cell>
          <cell r="W500">
            <v>16264688.888652163</v>
          </cell>
          <cell r="X500">
            <v>39752875.277517371</v>
          </cell>
        </row>
        <row r="501">
          <cell r="T501">
            <v>2129841.4670993793</v>
          </cell>
          <cell r="U501">
            <v>3181985.6138093174</v>
          </cell>
          <cell r="V501">
            <v>5723958.1751902495</v>
          </cell>
          <cell r="W501">
            <v>16296343.992709275</v>
          </cell>
          <cell r="X501">
            <v>39831550.891980194</v>
          </cell>
        </row>
        <row r="502">
          <cell r="T502">
            <v>2133376.481417269</v>
          </cell>
          <cell r="U502">
            <v>3187554.1295589963</v>
          </cell>
          <cell r="V502">
            <v>5734535.542514896</v>
          </cell>
          <cell r="W502">
            <v>16327999.096766386</v>
          </cell>
          <cell r="X502">
            <v>39910226.506443016</v>
          </cell>
        </row>
        <row r="503">
          <cell r="T503">
            <v>2136911.4957351587</v>
          </cell>
          <cell r="U503">
            <v>3193122.6453086752</v>
          </cell>
          <cell r="V503">
            <v>5745112.9098395426</v>
          </cell>
          <cell r="W503">
            <v>16359654.200823497</v>
          </cell>
          <cell r="X503">
            <v>39988902.120905839</v>
          </cell>
        </row>
      </sheetData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>
        <row r="3">
          <cell r="D3">
            <v>2</v>
          </cell>
          <cell r="E3">
            <v>3</v>
          </cell>
          <cell r="F3">
            <v>4</v>
          </cell>
          <cell r="G3">
            <v>4</v>
          </cell>
          <cell r="H3">
            <v>4</v>
          </cell>
          <cell r="I3">
            <v>4</v>
          </cell>
        </row>
      </sheetData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总纲"/>
      <sheetName val="纲要"/>
      <sheetName val="节奏总纲"/>
      <sheetName val="圣人"/>
      <sheetName val="爵位"/>
      <sheetName val="士兵训练"/>
      <sheetName val="功能-大地图城池-附加属性"/>
      <sheetName val="养成属性buff汇总"/>
      <sheetName val="士兵属性"/>
      <sheetName val="武将属性"/>
      <sheetName val="战法技能效用"/>
      <sheetName val="攻城值"/>
      <sheetName val="带兵数"/>
      <sheetName val="职业属性对比"/>
      <sheetName val="非r将兵属性验证"/>
      <sheetName val="小r将兵属性验证"/>
      <sheetName val="中r将兵属性验证"/>
      <sheetName val="大r将兵属性验证"/>
      <sheetName val="超r将兵属性验证"/>
      <sheetName val="各R部队能量汇总"/>
      <sheetName val="消耗转换战力汇总"/>
      <sheetName val="战力汇总"/>
      <sheetName val="将兵属性对比验证"/>
      <sheetName val="将兵攻城值对比验证"/>
      <sheetName val="各职业士兵属性"/>
      <sheetName val="实力验证"/>
      <sheetName val="实力验证（按等级）"/>
      <sheetName val="索引信息"/>
      <sheetName val="各r兵营医馆情况"/>
      <sheetName val="各职业武将属性"/>
      <sheetName val="各职业羁绊加成值"/>
      <sheetName val="Sheet2"/>
      <sheetName val="Sheet1"/>
      <sheetName val="超r各职业士兵属性"/>
      <sheetName val="功能-大地图城池-城防"/>
      <sheetName val="属性-玩家城防"/>
      <sheetName val="Sheet9"/>
      <sheetName val="属性-城池"/>
      <sheetName val="功能-城池"/>
      <sheetName val="城池"/>
      <sheetName val="养成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C6">
            <v>0</v>
          </cell>
        </row>
      </sheetData>
      <sheetData sheetId="8">
        <row r="5">
          <cell r="AV5">
            <v>1.2402098837099819E-2</v>
          </cell>
        </row>
      </sheetData>
      <sheetData sheetId="9">
        <row r="5">
          <cell r="BG5">
            <v>1.2402098837099819E-2</v>
          </cell>
        </row>
      </sheetData>
      <sheetData sheetId="10">
        <row r="4">
          <cell r="AB4" t="str">
            <v>武将第4特性</v>
          </cell>
          <cell r="AC4" t="str">
            <v>阵法</v>
          </cell>
          <cell r="AH4">
            <v>0.7</v>
          </cell>
          <cell r="AI4">
            <v>0.30000000000000004</v>
          </cell>
        </row>
      </sheetData>
      <sheetData sheetId="11"/>
      <sheetData sheetId="12">
        <row r="4">
          <cell r="D4">
            <v>1249.1935266914652</v>
          </cell>
        </row>
      </sheetData>
      <sheetData sheetId="13"/>
      <sheetData sheetId="14">
        <row r="7">
          <cell r="M7">
            <v>60</v>
          </cell>
          <cell r="S7">
            <v>1.2402098837099819E-2</v>
          </cell>
          <cell r="T7">
            <v>1.0768562145385289E-2</v>
          </cell>
          <cell r="U7">
            <v>1005265.4533322965</v>
          </cell>
          <cell r="V7">
            <v>25080.636652695488</v>
          </cell>
          <cell r="W7">
            <v>1881.0477489521613</v>
          </cell>
          <cell r="X7">
            <v>1881.0477489521613</v>
          </cell>
          <cell r="Y7">
            <v>1504838.1991617293</v>
          </cell>
          <cell r="AA7">
            <v>1486403.6738863622</v>
          </cell>
          <cell r="AB7">
            <v>1486403.6738863622</v>
          </cell>
          <cell r="AC7">
            <v>2977611.7998951534</v>
          </cell>
          <cell r="AG7">
            <v>200</v>
          </cell>
          <cell r="AM7">
            <v>1000</v>
          </cell>
          <cell r="AP7">
            <v>18561.30474194944</v>
          </cell>
          <cell r="AQ7">
            <v>4980.5206984905763</v>
          </cell>
          <cell r="AR7">
            <v>4980.5206984905763</v>
          </cell>
          <cell r="AU7">
            <v>1100035.5350865016</v>
          </cell>
          <cell r="AV7">
            <v>1100035.5350865016</v>
          </cell>
          <cell r="AX7">
            <v>1983056.2797831665</v>
          </cell>
        </row>
        <row r="8">
          <cell r="S8">
            <v>2.4804197674199637E-2</v>
          </cell>
          <cell r="T8">
            <v>2.1537124290770589E-2</v>
          </cell>
          <cell r="U8">
            <v>1351214.3732182707</v>
          </cell>
          <cell r="V8">
            <v>32727.22609408728</v>
          </cell>
          <cell r="W8">
            <v>2329.4467601183842</v>
          </cell>
          <cell r="X8">
            <v>2329.4467601183842</v>
          </cell>
          <cell r="Y8">
            <v>2061276.7636834285</v>
          </cell>
          <cell r="AA8">
            <v>2011385.9490051959</v>
          </cell>
          <cell r="AB8">
            <v>2011385.9490051959</v>
          </cell>
          <cell r="AC8">
            <v>4035637.4685130902</v>
          </cell>
          <cell r="AG8">
            <v>207.10729986944429</v>
          </cell>
          <cell r="AM8">
            <v>1130.4772933163429</v>
          </cell>
          <cell r="AP8">
            <v>25851.742845804536</v>
          </cell>
          <cell r="AQ8">
            <v>7031.8002417403213</v>
          </cell>
          <cell r="AR8">
            <v>7031.8002417403213</v>
          </cell>
          <cell r="AU8">
            <v>1588824.9180623689</v>
          </cell>
          <cell r="AV8">
            <v>1588824.9180623689</v>
          </cell>
          <cell r="AX8">
            <v>2871238.3432038086</v>
          </cell>
        </row>
        <row r="9">
          <cell r="S9">
            <v>2.9063350051901429E-2</v>
          </cell>
          <cell r="T9">
            <v>3.2305686436155889E-2</v>
          </cell>
          <cell r="U9">
            <v>1750223.8879237338</v>
          </cell>
          <cell r="V9">
            <v>41196.660214303505</v>
          </cell>
          <cell r="W9">
            <v>2802.3776379785891</v>
          </cell>
          <cell r="X9">
            <v>2802.3776379785891</v>
          </cell>
          <cell r="Y9">
            <v>2717623.9085227968</v>
          </cell>
          <cell r="AA9">
            <v>2640871.3403171254</v>
          </cell>
          <cell r="AB9">
            <v>2640871.3403171254</v>
          </cell>
          <cell r="AC9">
            <v>5265153.3454167768</v>
          </cell>
          <cell r="AG9">
            <v>214.21459973888858</v>
          </cell>
          <cell r="AM9">
            <v>1260.9545866326857</v>
          </cell>
          <cell r="AP9">
            <v>34520.768787360379</v>
          </cell>
          <cell r="AQ9">
            <v>9508.3187199866006</v>
          </cell>
          <cell r="AR9">
            <v>9508.3187199866006</v>
          </cell>
          <cell r="AU9">
            <v>2212919.8935549026</v>
          </cell>
          <cell r="AV9">
            <v>2212919.8935549026</v>
          </cell>
          <cell r="AX9">
            <v>3977203.3653132012</v>
          </cell>
        </row>
        <row r="10">
          <cell r="S10">
            <v>3.3191880675974512E-2</v>
          </cell>
          <cell r="T10">
            <v>4.3074248581541179E-2</v>
          </cell>
          <cell r="U10">
            <v>2226767.4636353673</v>
          </cell>
          <cell r="V10">
            <v>50992.572828955454</v>
          </cell>
          <cell r="W10">
            <v>3333.827688874876</v>
          </cell>
          <cell r="X10">
            <v>3333.827688874876</v>
          </cell>
          <cell r="Y10">
            <v>3515970.4930806533</v>
          </cell>
          <cell r="AA10">
            <v>3403017.9280738244</v>
          </cell>
          <cell r="AB10">
            <v>3403017.9280738244</v>
          </cell>
          <cell r="AC10">
            <v>6741553.4953668173</v>
          </cell>
          <cell r="AG10">
            <v>221.32189960833287</v>
          </cell>
          <cell r="AM10">
            <v>1391.4318799490286</v>
          </cell>
          <cell r="AP10">
            <v>45109.938537289352</v>
          </cell>
          <cell r="AQ10">
            <v>12569.880143687918</v>
          </cell>
          <cell r="AR10">
            <v>12569.880143687918</v>
          </cell>
          <cell r="AU10">
            <v>3010437.0315187434</v>
          </cell>
          <cell r="AV10">
            <v>3010437.0315187434</v>
          </cell>
          <cell r="AX10">
            <v>5380691.6643902697</v>
          </cell>
        </row>
        <row r="11">
          <cell r="S11">
            <v>3.7320411300047596E-2</v>
          </cell>
          <cell r="T11">
            <v>5.3842810726926482E-2</v>
          </cell>
          <cell r="U11">
            <v>2790560.3434136161</v>
          </cell>
          <cell r="V11">
            <v>62239.958431273262</v>
          </cell>
          <cell r="W11">
            <v>3929.0300196682883</v>
          </cell>
          <cell r="X11">
            <v>3929.0300196682883</v>
          </cell>
          <cell r="Y11">
            <v>4477180.7249029065</v>
          </cell>
          <cell r="AA11">
            <v>4316102.0222206637</v>
          </cell>
          <cell r="AB11">
            <v>4316102.0222206637</v>
          </cell>
          <cell r="AC11">
            <v>8496866.07863863</v>
          </cell>
          <cell r="AG11">
            <v>228.42919947777716</v>
          </cell>
          <cell r="AM11">
            <v>1521.9091732653715</v>
          </cell>
          <cell r="AP11">
            <v>57902.086986934861</v>
          </cell>
          <cell r="AQ11">
            <v>16308.834463095183</v>
          </cell>
          <cell r="AR11">
            <v>16308.834463095183</v>
          </cell>
          <cell r="AU11">
            <v>4015287.3015020401</v>
          </cell>
          <cell r="AV11">
            <v>4015287.3015020401</v>
          </cell>
          <cell r="AX11">
            <v>7137626.8696307149</v>
          </cell>
        </row>
        <row r="12">
          <cell r="S12">
            <v>4.1448941924120672E-2</v>
          </cell>
          <cell r="T12">
            <v>6.4611372872311779E-2</v>
          </cell>
          <cell r="U12">
            <v>3451621.9350581765</v>
          </cell>
          <cell r="V12">
            <v>75061.794204269769</v>
          </cell>
          <cell r="W12">
            <v>4592.8615336328839</v>
          </cell>
          <cell r="X12">
            <v>4592.8615336328839</v>
          </cell>
          <cell r="Y12">
            <v>5623459.3867170643</v>
          </cell>
          <cell r="AA12">
            <v>5399649.6230794443</v>
          </cell>
          <cell r="AB12">
            <v>5399649.6230794443</v>
          </cell>
          <cell r="AC12">
            <v>10564341.824792627</v>
          </cell>
          <cell r="AG12">
            <v>235.53649934722145</v>
          </cell>
          <cell r="AM12">
            <v>1652.3864665817143</v>
          </cell>
          <cell r="AP12">
            <v>73199.335701496457</v>
          </cell>
          <cell r="AQ12">
            <v>20824.689705047673</v>
          </cell>
          <cell r="AR12">
            <v>20824.689705047673</v>
          </cell>
          <cell r="AU12">
            <v>5265671.6991687343</v>
          </cell>
          <cell r="AV12">
            <v>5265671.6991687343</v>
          </cell>
          <cell r="AX12">
            <v>9310032.0845781174</v>
          </cell>
        </row>
        <row r="13">
          <cell r="S13">
            <v>4.5577472548193748E-2</v>
          </cell>
          <cell r="T13">
            <v>7.5379935017697075E-2</v>
          </cell>
          <cell r="U13">
            <v>4220646.4436599193</v>
          </cell>
          <cell r="V13">
            <v>89587.597423204599</v>
          </cell>
          <cell r="W13">
            <v>5330.4445702186895</v>
          </cell>
          <cell r="X13">
            <v>5330.4445702186895</v>
          </cell>
          <cell r="Y13">
            <v>6978988.3753313497</v>
          </cell>
          <cell r="AA13">
            <v>6674769.2625040449</v>
          </cell>
          <cell r="AB13">
            <v>6674769.2625040449</v>
          </cell>
          <cell r="AC13">
            <v>12979576.660284679</v>
          </cell>
          <cell r="AG13">
            <v>242.64379921666574</v>
          </cell>
          <cell r="AM13">
            <v>1782.8637598980572</v>
          </cell>
          <cell r="AP13">
            <v>91331.260495623268</v>
          </cell>
          <cell r="AQ13">
            <v>26226.469577318756</v>
          </cell>
          <cell r="AR13">
            <v>26226.469577318756</v>
          </cell>
          <cell r="AU13">
            <v>6804681.7617193526</v>
          </cell>
          <cell r="AV13">
            <v>6804681.7617193526</v>
          </cell>
          <cell r="AX13">
            <v>11967302.547681915</v>
          </cell>
        </row>
        <row r="14">
          <cell r="S14">
            <v>4.9706003172266838E-2</v>
          </cell>
          <cell r="T14">
            <v>8.6148497163082371E-2</v>
          </cell>
          <cell r="U14">
            <v>5109029.603008315</v>
          </cell>
          <cell r="V14">
            <v>105953.64364504674</v>
          </cell>
          <cell r="W14">
            <v>6147.1548314710326</v>
          </cell>
          <cell r="X14">
            <v>6147.1548314710326</v>
          </cell>
          <cell r="Y14">
            <v>8570041.9131949991</v>
          </cell>
          <cell r="AA14">
            <v>8164230.6391464658</v>
          </cell>
          <cell r="AB14">
            <v>8164230.6391464658</v>
          </cell>
          <cell r="AC14">
            <v>15780607.598771535</v>
          </cell>
          <cell r="AG14">
            <v>249.75109908611003</v>
          </cell>
          <cell r="AM14">
            <v>1913.3410532144001</v>
          </cell>
          <cell r="AP14">
            <v>112656.52890099341</v>
          </cell>
          <cell r="AQ14">
            <v>32633.300560384923</v>
          </cell>
          <cell r="AR14">
            <v>32633.300560384923</v>
          </cell>
          <cell r="AU14">
            <v>8680719.7309290245</v>
          </cell>
          <cell r="AV14">
            <v>8680719.7309290245</v>
          </cell>
          <cell r="AX14">
            <v>15186771.839135069</v>
          </cell>
        </row>
        <row r="15">
          <cell r="S15">
            <v>0.05</v>
          </cell>
          <cell r="T15">
            <v>9.6917059308467668E-2</v>
          </cell>
          <cell r="U15">
            <v>6084375.3299811678</v>
          </cell>
          <cell r="V15">
            <v>123400.24352755482</v>
          </cell>
          <cell r="W15">
            <v>6997.4278052341533</v>
          </cell>
          <cell r="X15">
            <v>6997.4278052341533</v>
          </cell>
          <cell r="Y15">
            <v>10349377.44370804</v>
          </cell>
          <cell r="AA15">
            <v>9856549.9463886097</v>
          </cell>
          <cell r="AB15">
            <v>9856549.9463886097</v>
          </cell>
          <cell r="AC15">
            <v>18869935.45521386</v>
          </cell>
          <cell r="AG15">
            <v>256.85839895555432</v>
          </cell>
          <cell r="AM15">
            <v>2043.8183465307429</v>
          </cell>
          <cell r="AP15">
            <v>136565.32219187226</v>
          </cell>
          <cell r="AQ15">
            <v>39883.187959308052</v>
          </cell>
          <cell r="AR15">
            <v>39883.187959308052</v>
          </cell>
          <cell r="AU15">
            <v>10908105.856600443</v>
          </cell>
          <cell r="AV15">
            <v>10908105.856600443</v>
          </cell>
          <cell r="AX15">
            <v>18915892.697259642</v>
          </cell>
        </row>
        <row r="16">
          <cell r="S16">
            <v>0.05</v>
          </cell>
          <cell r="T16">
            <v>0.10768562145385296</v>
          </cell>
          <cell r="U16">
            <v>7221156.4933986953</v>
          </cell>
          <cell r="V16">
            <v>143357.90589778329</v>
          </cell>
          <cell r="W16">
            <v>7961.4268718227559</v>
          </cell>
          <cell r="X16">
            <v>7961.4268718227559</v>
          </cell>
          <cell r="Y16">
            <v>12418620.634166155</v>
          </cell>
          <cell r="AA16">
            <v>11858008.616966654</v>
          </cell>
          <cell r="AB16">
            <v>11858008.616966654</v>
          </cell>
          <cell r="AC16">
            <v>22480942.802831516</v>
          </cell>
          <cell r="AG16">
            <v>263.96569882499864</v>
          </cell>
          <cell r="AM16">
            <v>2174.295639847086</v>
          </cell>
          <cell r="AP16">
            <v>164834.64234737618</v>
          </cell>
          <cell r="AQ16">
            <v>48509.343817977802</v>
          </cell>
          <cell r="AR16">
            <v>48509.343817977802</v>
          </cell>
          <cell r="AU16">
            <v>13634480.757018555</v>
          </cell>
          <cell r="AV16">
            <v>13634480.757018555</v>
          </cell>
          <cell r="AX16">
            <v>23431382.792942211</v>
          </cell>
        </row>
        <row r="17">
          <cell r="S17">
            <v>5.0004196648313778E-2</v>
          </cell>
          <cell r="T17">
            <v>0.14002705930846765</v>
          </cell>
          <cell r="U17">
            <v>8797579.5208160989</v>
          </cell>
          <cell r="V17">
            <v>169718.19715010998</v>
          </cell>
          <cell r="W17">
            <v>9247.255696643133</v>
          </cell>
          <cell r="X17">
            <v>9247.255696643133</v>
          </cell>
          <cell r="Y17">
            <v>15204008.063360229</v>
          </cell>
          <cell r="AA17">
            <v>14520621.024063889</v>
          </cell>
          <cell r="AB17">
            <v>14520621.024063889</v>
          </cell>
          <cell r="AC17">
            <v>26748177.631580912</v>
          </cell>
          <cell r="AG17">
            <v>271.07299869444296</v>
          </cell>
          <cell r="AM17">
            <v>2304.7729331634296</v>
          </cell>
          <cell r="AP17">
            <v>197934.70845011613</v>
          </cell>
          <cell r="AQ17">
            <v>58671.677448357557</v>
          </cell>
          <cell r="AR17">
            <v>58671.677448357557</v>
          </cell>
          <cell r="AU17">
            <v>16934747.936136976</v>
          </cell>
          <cell r="AV17">
            <v>16934747.936136976</v>
          </cell>
          <cell r="AX17">
            <v>28845337.554329854</v>
          </cell>
        </row>
        <row r="18">
          <cell r="S18">
            <v>5.0008694504608084E-2</v>
          </cell>
          <cell r="T18">
            <v>0.17236849716308239</v>
          </cell>
          <cell r="U18">
            <v>10517101.714230629</v>
          </cell>
          <cell r="V18">
            <v>198508.86702145479</v>
          </cell>
          <cell r="W18">
            <v>10375.557939306469</v>
          </cell>
          <cell r="X18">
            <v>10375.557939306469</v>
          </cell>
          <cell r="Y18">
            <v>18011776.293558344</v>
          </cell>
          <cell r="AA18">
            <v>17205951.233754635</v>
          </cell>
          <cell r="AB18">
            <v>17205951.233754635</v>
          </cell>
          <cell r="AC18">
            <v>30820802.811337307</v>
          </cell>
          <cell r="AG18">
            <v>276.21936672560975</v>
          </cell>
          <cell r="AM18">
            <v>2384.2132297048984</v>
          </cell>
          <cell r="AP18">
            <v>225881.10201382515</v>
          </cell>
          <cell r="AQ18">
            <v>66567.529336960244</v>
          </cell>
          <cell r="AR18">
            <v>66567.529336960244</v>
          </cell>
          <cell r="AU18">
            <v>19578466.615582366</v>
          </cell>
          <cell r="AV18">
            <v>19578466.615582366</v>
          </cell>
          <cell r="AX18">
            <v>33055795.984306019</v>
          </cell>
        </row>
        <row r="19">
          <cell r="S19">
            <v>5.001351518762262E-2</v>
          </cell>
          <cell r="T19">
            <v>0.20470993501769708</v>
          </cell>
          <cell r="U19">
            <v>12481210.174973281</v>
          </cell>
          <cell r="V19">
            <v>230795.89291411673</v>
          </cell>
          <cell r="W19">
            <v>11602.74300227461</v>
          </cell>
          <cell r="X19">
            <v>11602.74300227461</v>
          </cell>
          <cell r="Y19">
            <v>21206662.581778921</v>
          </cell>
          <cell r="AA19">
            <v>20262653.178429455</v>
          </cell>
          <cell r="AB19">
            <v>20262653.178429455</v>
          </cell>
          <cell r="AC19">
            <v>35322287.9927736</v>
          </cell>
          <cell r="AG19">
            <v>281.41852595302555</v>
          </cell>
          <cell r="AM19">
            <v>2464.3190924164546</v>
          </cell>
          <cell r="AP19">
            <v>256986.41049959906</v>
          </cell>
          <cell r="AQ19">
            <v>75294.905380206663</v>
          </cell>
          <cell r="AR19">
            <v>75294.905380206663</v>
          </cell>
          <cell r="AU19">
            <v>22562041.472118314</v>
          </cell>
          <cell r="AV19">
            <v>22562041.472118314</v>
          </cell>
          <cell r="AX19">
            <v>37761853.824553959</v>
          </cell>
        </row>
        <row r="20">
          <cell r="S20">
            <v>5.0018681867748903E-2</v>
          </cell>
          <cell r="T20">
            <v>0.23705137287231182</v>
          </cell>
          <cell r="U20">
            <v>14713783.905267227</v>
          </cell>
          <cell r="V20">
            <v>266684.74833541957</v>
          </cell>
          <cell r="W20">
            <v>12926.081811614626</v>
          </cell>
          <cell r="X20">
            <v>12926.081811614626</v>
          </cell>
          <cell r="Y20">
            <v>24810301.99118194</v>
          </cell>
          <cell r="AA20">
            <v>23711834.679926321</v>
          </cell>
          <cell r="AB20">
            <v>23711834.679926321</v>
          </cell>
          <cell r="AC20">
            <v>40254871.416324154</v>
          </cell>
          <cell r="AG20">
            <v>286.67047637669037</v>
          </cell>
          <cell r="AM20">
            <v>2540.9487920387801</v>
          </cell>
          <cell r="AP20">
            <v>290785.30122775899</v>
          </cell>
          <cell r="AQ20">
            <v>84702.939165008924</v>
          </cell>
          <cell r="AR20">
            <v>84702.939165008924</v>
          </cell>
          <cell r="AU20">
            <v>25854695.602588519</v>
          </cell>
          <cell r="AV20">
            <v>25854695.602588519</v>
          </cell>
          <cell r="AX20">
            <v>42899642.198399797</v>
          </cell>
        </row>
        <row r="21">
          <cell r="S21">
            <v>5.0024219378397662E-2</v>
          </cell>
          <cell r="T21">
            <v>0.2693928107269265</v>
          </cell>
          <cell r="U21">
            <v>17240176.979567796</v>
          </cell>
          <cell r="V21">
            <v>306456.79527263844</v>
          </cell>
          <cell r="W21">
            <v>14351.828022409365</v>
          </cell>
          <cell r="X21">
            <v>14351.828022409365</v>
          </cell>
          <cell r="Y21">
            <v>28861306.662299268</v>
          </cell>
          <cell r="AA21">
            <v>27590909.775153454</v>
          </cell>
          <cell r="AB21">
            <v>27590909.775153454</v>
          </cell>
          <cell r="AC21">
            <v>45647547.936670288</v>
          </cell>
          <cell r="AG21">
            <v>291.78375432272264</v>
          </cell>
          <cell r="AM21">
            <v>2616.6658834916134</v>
          </cell>
          <cell r="AP21">
            <v>327541.81925910723</v>
          </cell>
          <cell r="AQ21">
            <v>94917.594679736867</v>
          </cell>
          <cell r="AR21">
            <v>94917.594679736867</v>
          </cell>
          <cell r="AU21">
            <v>29489236.075603247</v>
          </cell>
          <cell r="AV21">
            <v>29489236.075603247</v>
          </cell>
          <cell r="AX21">
            <v>48512081.713554278</v>
          </cell>
        </row>
        <row r="22">
          <cell r="S22">
            <v>5.0030154335359518E-2</v>
          </cell>
          <cell r="T22">
            <v>0.30173424858154119</v>
          </cell>
          <cell r="U22">
            <v>20087275.349932503</v>
          </cell>
          <cell r="V22">
            <v>350375.12528680009</v>
          </cell>
          <cell r="W22">
            <v>15884.937798032999</v>
          </cell>
          <cell r="X22">
            <v>15884.937798032999</v>
          </cell>
          <cell r="Y22">
            <v>33397752.118344456</v>
          </cell>
          <cell r="AA22">
            <v>31936884.536037493</v>
          </cell>
          <cell r="AB22">
            <v>31936884.536037493</v>
          </cell>
          <cell r="AC22">
            <v>51525782.15540877</v>
          </cell>
          <cell r="AG22">
            <v>296.76896897086817</v>
          </cell>
          <cell r="AM22">
            <v>2691.4845624513546</v>
          </cell>
          <cell r="AP22">
            <v>367404.33500206831</v>
          </cell>
          <cell r="AQ22">
            <v>105981.9326967471</v>
          </cell>
          <cell r="AR22">
            <v>105981.9326967471</v>
          </cell>
          <cell r="AU22">
            <v>33489106.326814774</v>
          </cell>
          <cell r="AV22">
            <v>33489106.326814774</v>
          </cell>
          <cell r="AX22">
            <v>54625370.359590456</v>
          </cell>
        </row>
        <row r="23">
          <cell r="S23">
            <v>5.0036515264732524E-2</v>
          </cell>
          <cell r="T23">
            <v>0.33407568643615593</v>
          </cell>
          <cell r="U23">
            <v>23282719.520176761</v>
          </cell>
          <cell r="V23">
            <v>398700.94879377133</v>
          </cell>
          <cell r="W23">
            <v>17530.013916374512</v>
          </cell>
          <cell r="X23">
            <v>17530.013916374512</v>
          </cell>
          <cell r="Y23">
            <v>38459328.18522203</v>
          </cell>
          <cell r="AA23">
            <v>36787766.787258677</v>
          </cell>
          <cell r="AB23">
            <v>36787766.787258677</v>
          </cell>
          <cell r="AC23">
            <v>57914156.84488675</v>
          </cell>
          <cell r="AG23">
            <v>301.80030561768223</v>
          </cell>
          <cell r="AM23">
            <v>2763.9606019664152</v>
          </cell>
          <cell r="AP23">
            <v>410522.07590022398</v>
          </cell>
          <cell r="AQ23">
            <v>117875.18629755311</v>
          </cell>
          <cell r="AR23">
            <v>117875.18629755311</v>
          </cell>
          <cell r="AU23">
            <v>37878491.222378246</v>
          </cell>
          <cell r="AV23">
            <v>37878491.222378246</v>
          </cell>
          <cell r="AX23">
            <v>61266031.449787244</v>
          </cell>
        </row>
        <row r="24">
          <cell r="S24">
            <v>5.0043332740031587E-2</v>
          </cell>
          <cell r="T24">
            <v>0.36641712429077061</v>
          </cell>
          <cell r="U24">
            <v>26856678.381962832</v>
          </cell>
          <cell r="V24">
            <v>451904.88237063523</v>
          </cell>
          <cell r="W24">
            <v>19300.395977276919</v>
          </cell>
          <cell r="X24">
            <v>19300.395977276919</v>
          </cell>
          <cell r="Y24">
            <v>44106505.778241865</v>
          </cell>
          <cell r="AA24">
            <v>42202286.828226671</v>
          </cell>
          <cell r="AB24">
            <v>42202286.828226671</v>
          </cell>
          <cell r="AC24">
            <v>64866790.47219155</v>
          </cell>
          <cell r="AG24">
            <v>306.87776426316486</v>
          </cell>
          <cell r="AM24">
            <v>2837.1072726902107</v>
          </cell>
          <cell r="AP24">
            <v>457804.43307733076</v>
          </cell>
          <cell r="AQ24">
            <v>130844.5804259888</v>
          </cell>
          <cell r="AR24">
            <v>130844.5804259888</v>
          </cell>
          <cell r="AU24">
            <v>42753231.37606059</v>
          </cell>
          <cell r="AV24">
            <v>42753231.37606059</v>
          </cell>
          <cell r="AX24">
            <v>68574645.236661211</v>
          </cell>
        </row>
        <row r="25">
          <cell r="S25">
            <v>5.0050639529138616E-2</v>
          </cell>
          <cell r="T25">
            <v>0.3987585621453853</v>
          </cell>
          <cell r="U25">
            <v>31152975.413315479</v>
          </cell>
          <cell r="V25">
            <v>510080.50983976561</v>
          </cell>
          <cell r="W25">
            <v>21406.83952743428</v>
          </cell>
          <cell r="X25">
            <v>21406.83952743428</v>
          </cell>
          <cell r="Y25">
            <v>50873485.520167887</v>
          </cell>
          <cell r="AA25">
            <v>48692920.68064677</v>
          </cell>
          <cell r="AB25">
            <v>48692920.68064677</v>
          </cell>
          <cell r="AC25">
            <v>73114126.823691338</v>
          </cell>
          <cell r="AG25">
            <v>312.00134490731602</v>
          </cell>
          <cell r="AM25">
            <v>2907.2441911687642</v>
          </cell>
          <cell r="AP25">
            <v>508583.83099450485</v>
          </cell>
          <cell r="AQ25">
            <v>146146.49882988416</v>
          </cell>
          <cell r="AR25">
            <v>146146.49882988416</v>
          </cell>
          <cell r="AU25">
            <v>48550045.854240291</v>
          </cell>
          <cell r="AV25">
            <v>48550045.854240291</v>
          </cell>
          <cell r="AX25">
            <v>77229397.570177734</v>
          </cell>
        </row>
        <row r="26">
          <cell r="S26">
            <v>5.005847075179988E-2</v>
          </cell>
          <cell r="T26">
            <v>0.43110000000000004</v>
          </cell>
          <cell r="U26">
            <v>35684161.415113993</v>
          </cell>
          <cell r="V26">
            <v>574093.60704228026</v>
          </cell>
          <cell r="W26">
            <v>23508.091783435229</v>
          </cell>
          <cell r="X26">
            <v>23508.091783435229</v>
          </cell>
          <cell r="Y26">
            <v>58009244.110003173</v>
          </cell>
          <cell r="AA26">
            <v>55542139.46432966</v>
          </cell>
          <cell r="AB26">
            <v>55542139.46432966</v>
          </cell>
          <cell r="AC26">
            <v>81515458.251215041</v>
          </cell>
          <cell r="AG26">
            <v>317.51908835885251</v>
          </cell>
          <cell r="AM26">
            <v>2978.8397947066123</v>
          </cell>
          <cell r="AP26">
            <v>565256.42180291656</v>
          </cell>
          <cell r="AQ26">
            <v>161761.07936931759</v>
          </cell>
          <cell r="AR26">
            <v>161761.07936931759</v>
          </cell>
          <cell r="AU26">
            <v>54687163.604964785</v>
          </cell>
          <cell r="AV26">
            <v>54687163.604964785</v>
          </cell>
          <cell r="AX26">
            <v>86279407.414824635</v>
          </cell>
        </row>
        <row r="27">
          <cell r="S27">
            <v>5.0066864048427431E-2</v>
          </cell>
          <cell r="T27">
            <v>0.43859614688308585</v>
          </cell>
          <cell r="U27">
            <v>40669250.126435474</v>
          </cell>
          <cell r="V27">
            <v>643024.16987483657</v>
          </cell>
          <cell r="W27">
            <v>25259.300622419199</v>
          </cell>
          <cell r="X27">
            <v>25259.300622419199</v>
          </cell>
          <cell r="Y27">
            <v>65743749.06134969</v>
          </cell>
          <cell r="AA27">
            <v>62971162.826147527</v>
          </cell>
          <cell r="AB27">
            <v>62971162.826147527</v>
          </cell>
          <cell r="AC27">
            <v>91939030.57434994</v>
          </cell>
          <cell r="AG27">
            <v>323.34114120436072</v>
          </cell>
          <cell r="AM27">
            <v>3047.3487155583607</v>
          </cell>
          <cell r="AP27">
            <v>623188.16567805433</v>
          </cell>
          <cell r="AQ27">
            <v>177269.73437642877</v>
          </cell>
          <cell r="AR27">
            <v>177269.73437642877</v>
          </cell>
          <cell r="AU27">
            <v>61028628.923667856</v>
          </cell>
          <cell r="AV27">
            <v>61028628.923667856</v>
          </cell>
          <cell r="AX27">
            <v>95854201.544887006</v>
          </cell>
        </row>
        <row r="28">
          <cell r="S28">
            <v>5.0075859761016042E-2</v>
          </cell>
          <cell r="T28">
            <v>0.44609229376617177</v>
          </cell>
          <cell r="U28">
            <v>46083885.418881819</v>
          </cell>
          <cell r="V28">
            <v>716891.8257888318</v>
          </cell>
          <cell r="W28">
            <v>27085.205995344018</v>
          </cell>
          <cell r="X28">
            <v>27085.205995344018</v>
          </cell>
          <cell r="Y28">
            <v>74157013.664245948</v>
          </cell>
          <cell r="AA28">
            <v>71052431.164479345</v>
          </cell>
          <cell r="AB28">
            <v>71052431.164479345</v>
          </cell>
          <cell r="AC28">
            <v>103202562.80771172</v>
          </cell>
          <cell r="AG28">
            <v>329.26069121755421</v>
          </cell>
          <cell r="AM28">
            <v>3117.4992861074707</v>
          </cell>
          <cell r="AP28">
            <v>685841.54247776826</v>
          </cell>
          <cell r="AQ28">
            <v>193898.69406656985</v>
          </cell>
          <cell r="AR28">
            <v>193898.69406656985</v>
          </cell>
          <cell r="AU28">
            <v>67974982.045612156</v>
          </cell>
          <cell r="AV28">
            <v>67974982.045612156</v>
          </cell>
          <cell r="AX28">
            <v>106319813.39060803</v>
          </cell>
        </row>
        <row r="29">
          <cell r="S29">
            <v>5.0085501127045115E-2</v>
          </cell>
          <cell r="T29">
            <v>0.45358844064925763</v>
          </cell>
          <cell r="U29">
            <v>51953903.629796036</v>
          </cell>
          <cell r="V29">
            <v>795611.6640244117</v>
          </cell>
          <cell r="W29">
            <v>28978.472128572401</v>
          </cell>
          <cell r="X29">
            <v>28978.472128572401</v>
          </cell>
          <cell r="Y29">
            <v>83253150.479488179</v>
          </cell>
          <cell r="AA29">
            <v>79794915.039639354</v>
          </cell>
          <cell r="AB29">
            <v>79794915.039639354</v>
          </cell>
          <cell r="AC29">
            <v>115306160.80611247</v>
          </cell>
          <cell r="AG29">
            <v>335.2381251038193</v>
          </cell>
          <cell r="AM29">
            <v>3184.9419791058081</v>
          </cell>
          <cell r="AP29">
            <v>752220.45121381734</v>
          </cell>
          <cell r="AQ29">
            <v>211366.16341365204</v>
          </cell>
          <cell r="AR29">
            <v>211366.16341365204</v>
          </cell>
          <cell r="AU29">
            <v>75443045.533133417</v>
          </cell>
          <cell r="AV29">
            <v>75443045.533133417</v>
          </cell>
          <cell r="AX29">
            <v>117511467.97339594</v>
          </cell>
        </row>
        <row r="30">
          <cell r="S30">
            <v>5.009583448729768E-2</v>
          </cell>
          <cell r="T30">
            <v>0.46108458753234338</v>
          </cell>
          <cell r="U30">
            <v>58301292.305893391</v>
          </cell>
          <cell r="V30">
            <v>879230.45009078016</v>
          </cell>
          <cell r="W30">
            <v>30937.583254744401</v>
          </cell>
          <cell r="X30">
            <v>30937.583254744401</v>
          </cell>
          <cell r="Y30">
            <v>93053332.520157918</v>
          </cell>
          <cell r="AA30">
            <v>89220540.782164156</v>
          </cell>
          <cell r="AB30">
            <v>89220540.782164156</v>
          </cell>
          <cell r="AC30">
            <v>128268572.07042357</v>
          </cell>
          <cell r="AG30">
            <v>340.7589151302513</v>
          </cell>
          <cell r="AM30">
            <v>3253.7411459307195</v>
          </cell>
          <cell r="AP30">
            <v>822067.19397947041</v>
          </cell>
          <cell r="AQ30">
            <v>229930.27057517576</v>
          </cell>
          <cell r="AR30">
            <v>229930.27057517576</v>
          </cell>
          <cell r="AU30">
            <v>83419858.35289456</v>
          </cell>
          <cell r="AV30">
            <v>83419858.35289456</v>
          </cell>
          <cell r="AX30">
            <v>129400151.7986635</v>
          </cell>
        </row>
        <row r="31">
          <cell r="S31">
            <v>5.0106909508595199E-2</v>
          </cell>
          <cell r="T31">
            <v>0.4685807344154293</v>
          </cell>
          <cell r="U31">
            <v>65148517.575214893</v>
          </cell>
          <cell r="V31">
            <v>967775.62414382852</v>
          </cell>
          <cell r="W31">
            <v>32960.700974306834</v>
          </cell>
          <cell r="X31">
            <v>32960.700974306834</v>
          </cell>
          <cell r="Y31">
            <v>103576907.30347353</v>
          </cell>
          <cell r="AA31">
            <v>99349466.648686394</v>
          </cell>
          <cell r="AB31">
            <v>99349466.648686394</v>
          </cell>
          <cell r="AC31">
            <v>142105654.3253608</v>
          </cell>
          <cell r="AG31">
            <v>346.09669661279719</v>
          </cell>
          <cell r="AM31">
            <v>3320.561657309669</v>
          </cell>
          <cell r="AP31">
            <v>895059.31147327484</v>
          </cell>
          <cell r="AQ31">
            <v>249358.24419463181</v>
          </cell>
          <cell r="AR31">
            <v>249358.24419463181</v>
          </cell>
          <cell r="AU31">
            <v>91884588.736649856</v>
          </cell>
          <cell r="AV31">
            <v>91884588.736649856</v>
          </cell>
          <cell r="AX31">
            <v>141945186.38087088</v>
          </cell>
        </row>
        <row r="32">
          <cell r="S32">
            <v>5.0118779422518911E-2</v>
          </cell>
          <cell r="T32">
            <v>0.47607688129851516</v>
          </cell>
          <cell r="U32">
            <v>72499807.080933779</v>
          </cell>
          <cell r="V32">
            <v>1061548.0370650659</v>
          </cell>
          <cell r="W32">
            <v>35058.16319429734</v>
          </cell>
          <cell r="X32">
            <v>35058.16319429734</v>
          </cell>
          <cell r="Y32">
            <v>114901564.53436717</v>
          </cell>
          <cell r="AA32">
            <v>110239174.52050282</v>
          </cell>
          <cell r="AB32">
            <v>110239174.52050282</v>
          </cell>
          <cell r="AC32">
            <v>156886084.20012957</v>
          </cell>
          <cell r="AG32">
            <v>351.47903756373859</v>
          </cell>
          <cell r="AM32">
            <v>3388.0926419241737</v>
          </cell>
          <cell r="AP32">
            <v>972948.1229831872</v>
          </cell>
          <cell r="AQ32">
            <v>270003.861654685</v>
          </cell>
          <cell r="AR32">
            <v>270003.861654685</v>
          </cell>
          <cell r="AU32">
            <v>101038289.53937869</v>
          </cell>
          <cell r="AV32">
            <v>101038289.53937869</v>
          </cell>
          <cell r="AX32">
            <v>155447947.74648631</v>
          </cell>
        </row>
        <row r="33">
          <cell r="S33">
            <v>5.1426504495795895E-2</v>
          </cell>
          <cell r="T33">
            <v>0.48357302818160097</v>
          </cell>
          <cell r="U33">
            <v>80578763.348402932</v>
          </cell>
          <cell r="V33">
            <v>1163447.7188685886</v>
          </cell>
          <cell r="W33">
            <v>37319.628876577481</v>
          </cell>
          <cell r="X33">
            <v>37319.628876577481</v>
          </cell>
          <cell r="Y33">
            <v>127360032.1507374</v>
          </cell>
          <cell r="AA33">
            <v>122061758.50594516</v>
          </cell>
          <cell r="AB33">
            <v>122061758.50594516</v>
          </cell>
          <cell r="AC33">
            <v>173052569.31957179</v>
          </cell>
          <cell r="AG33">
            <v>356.90593798307555</v>
          </cell>
          <cell r="AM33">
            <v>3454.6416839245758</v>
          </cell>
          <cell r="AP33">
            <v>1057903.9379721251</v>
          </cell>
          <cell r="AQ33">
            <v>292448.31556068349</v>
          </cell>
          <cell r="AR33">
            <v>292448.31556068349</v>
          </cell>
          <cell r="AU33">
            <v>110988756.0094371</v>
          </cell>
          <cell r="AV33">
            <v>110988756.0094371</v>
          </cell>
          <cell r="AX33">
            <v>170271703.20686629</v>
          </cell>
        </row>
        <row r="34">
          <cell r="S34">
            <v>5.3712239657874451E-2</v>
          </cell>
          <cell r="T34">
            <v>0.49106917506468684</v>
          </cell>
          <cell r="U34">
            <v>89426326.86462006</v>
          </cell>
          <cell r="V34">
            <v>1273930.9454687166</v>
          </cell>
          <cell r="W34">
            <v>39747.442412696379</v>
          </cell>
          <cell r="X34">
            <v>39747.442412696379</v>
          </cell>
          <cell r="Y34">
            <v>141016611.52875304</v>
          </cell>
          <cell r="AA34">
            <v>134882649.51522985</v>
          </cell>
          <cell r="AB34">
            <v>134882649.51522985</v>
          </cell>
          <cell r="AC34">
            <v>190685966.92935717</v>
          </cell>
          <cell r="AG34">
            <v>362.37739787080812</v>
          </cell>
          <cell r="AM34">
            <v>3520.9789085251496</v>
          </cell>
          <cell r="AP34">
            <v>1150616.3139147898</v>
          </cell>
          <cell r="AQ34">
            <v>316844.84408400638</v>
          </cell>
          <cell r="AR34">
            <v>316844.84408400638</v>
          </cell>
          <cell r="AU34">
            <v>121826208.51491469</v>
          </cell>
          <cell r="AV34">
            <v>121826208.51491469</v>
          </cell>
          <cell r="AX34">
            <v>186543101.54463249</v>
          </cell>
        </row>
        <row r="35">
          <cell r="S35">
            <v>5.5998953447568937E-2</v>
          </cell>
          <cell r="T35">
            <v>0.51193427733218078</v>
          </cell>
          <cell r="U35">
            <v>101063135.59013548</v>
          </cell>
          <cell r="V35">
            <v>1413854.8781342753</v>
          </cell>
          <cell r="W35">
            <v>43035.420598757337</v>
          </cell>
          <cell r="X35">
            <v>43035.420598757337</v>
          </cell>
          <cell r="Y35">
            <v>158591038.14529201</v>
          </cell>
          <cell r="AA35">
            <v>151394935.85028735</v>
          </cell>
          <cell r="AB35">
            <v>151394935.85028735</v>
          </cell>
          <cell r="AC35">
            <v>211539260.5405508</v>
          </cell>
          <cell r="AG35">
            <v>367.84072066694489</v>
          </cell>
          <cell r="AM35">
            <v>3587.5328404170023</v>
          </cell>
          <cell r="AP35">
            <v>1258218.1988422556</v>
          </cell>
          <cell r="AQ35">
            <v>345948.26168545109</v>
          </cell>
          <cell r="AR35">
            <v>345948.26168545109</v>
          </cell>
          <cell r="AU35">
            <v>134729431.17808202</v>
          </cell>
          <cell r="AV35">
            <v>134729431.17808202</v>
          </cell>
          <cell r="AX35">
            <v>205573675.76723766</v>
          </cell>
        </row>
        <row r="36">
          <cell r="S36">
            <v>5.8286716104371902E-2</v>
          </cell>
          <cell r="T36">
            <v>0.53382438829222401</v>
          </cell>
          <cell r="U36">
            <v>113931844.66107659</v>
          </cell>
          <cell r="V36">
            <v>1566455.3975418678</v>
          </cell>
          <cell r="W36">
            <v>46544.375612733333</v>
          </cell>
          <cell r="X36">
            <v>46544.375612733333</v>
          </cell>
          <cell r="Y36">
            <v>177916031.12770879</v>
          </cell>
          <cell r="AA36">
            <v>169512843.40162501</v>
          </cell>
          <cell r="AB36">
            <v>169512843.40162501</v>
          </cell>
          <cell r="AC36">
            <v>233986475.78242424</v>
          </cell>
          <cell r="AG36">
            <v>373.27297725105331</v>
          </cell>
          <cell r="AM36">
            <v>3652.7432338833255</v>
          </cell>
          <cell r="AP36">
            <v>1373456.9157402373</v>
          </cell>
          <cell r="AQ36">
            <v>376895.89153071889</v>
          </cell>
          <cell r="AR36">
            <v>376895.89153071889</v>
          </cell>
          <cell r="AU36">
            <v>148627651.60252896</v>
          </cell>
          <cell r="AV36">
            <v>148627651.60252896</v>
          </cell>
          <cell r="AX36">
            <v>225959205.06408286</v>
          </cell>
        </row>
        <row r="37">
          <cell r="S37">
            <v>6.0575602909107441E-2</v>
          </cell>
          <cell r="T37">
            <v>0.55571449925226724</v>
          </cell>
          <cell r="U37">
            <v>131373067.25678596</v>
          </cell>
          <cell r="V37">
            <v>1763411.9439749094</v>
          </cell>
          <cell r="W37">
            <v>50805.526564737433</v>
          </cell>
          <cell r="X37">
            <v>50805.526564737433</v>
          </cell>
          <cell r="Y37">
            <v>203444420.50147605</v>
          </cell>
          <cell r="AA37">
            <v>193462356.19624853</v>
          </cell>
          <cell r="AB37">
            <v>193462356.19624853</v>
          </cell>
          <cell r="AC37">
            <v>263864412.86375743</v>
          </cell>
          <cell r="AG37">
            <v>378.74762043415313</v>
          </cell>
          <cell r="AM37">
            <v>3719.5189537639744</v>
          </cell>
          <cell r="AP37">
            <v>1506116.0993195393</v>
          </cell>
          <cell r="AQ37">
            <v>413845.13928725</v>
          </cell>
          <cell r="AR37">
            <v>413845.13928725</v>
          </cell>
          <cell r="AU37">
            <v>165234657.88865435</v>
          </cell>
          <cell r="AV37">
            <v>165234657.88865435</v>
          </cell>
          <cell r="AX37">
            <v>250305729.11256588</v>
          </cell>
        </row>
        <row r="38">
          <cell r="S38">
            <v>6.28656945457651E-2</v>
          </cell>
          <cell r="T38">
            <v>0.57760461021231047</v>
          </cell>
          <cell r="U38">
            <v>150760626.9539414</v>
          </cell>
          <cell r="V38">
            <v>1977163.929324735</v>
          </cell>
          <cell r="W38">
            <v>55335.7368299472</v>
          </cell>
          <cell r="X38">
            <v>55335.7368299472</v>
          </cell>
          <cell r="Y38">
            <v>231640548.3232218</v>
          </cell>
          <cell r="AA38">
            <v>219855442.56789148</v>
          </cell>
          <cell r="AB38">
            <v>219855442.56789148</v>
          </cell>
          <cell r="AC38">
            <v>296348734.33113718</v>
          </cell>
          <cell r="AG38">
            <v>384.26465021624449</v>
          </cell>
          <cell r="AM38">
            <v>3783.6630202092224</v>
          </cell>
          <cell r="AP38">
            <v>1647155.956411123</v>
          </cell>
          <cell r="AQ38">
            <v>453129.37042499142</v>
          </cell>
          <cell r="AR38">
            <v>453129.37042499142</v>
          </cell>
          <cell r="AU38">
            <v>183159421.63621566</v>
          </cell>
          <cell r="AV38">
            <v>183159421.63621566</v>
          </cell>
          <cell r="AX38">
            <v>276472461.78552127</v>
          </cell>
        </row>
        <row r="39">
          <cell r="S39">
            <v>6.5157077489303675E-2</v>
          </cell>
          <cell r="T39">
            <v>0.59949472117235358</v>
          </cell>
          <cell r="U39">
            <v>172260945.38464382</v>
          </cell>
          <cell r="V39">
            <v>2209905.6183070429</v>
          </cell>
          <cell r="W39">
            <v>60181.960243834466</v>
          </cell>
          <cell r="X39">
            <v>60181.960243834466</v>
          </cell>
          <cell r="Y39">
            <v>262843242.12209719</v>
          </cell>
          <cell r="AA39">
            <v>249010191.28182542</v>
          </cell>
          <cell r="AB39">
            <v>249010191.28182542</v>
          </cell>
          <cell r="AC39">
            <v>331777950.394054</v>
          </cell>
          <cell r="AG39">
            <v>389.82406659732737</v>
          </cell>
          <cell r="AM39">
            <v>3850.8297311415272</v>
          </cell>
          <cell r="AP39">
            <v>1800981.4000944579</v>
          </cell>
          <cell r="AQ39">
            <v>495955.40393199434</v>
          </cell>
          <cell r="AR39">
            <v>495955.40393199434</v>
          </cell>
          <cell r="AU39">
            <v>202932975.606482</v>
          </cell>
          <cell r="AV39">
            <v>202932975.606482</v>
          </cell>
          <cell r="AX39">
            <v>305240316.52969503</v>
          </cell>
        </row>
        <row r="40">
          <cell r="S40">
            <v>6.7449844421289235E-2</v>
          </cell>
          <cell r="T40">
            <v>0.62138483213239692</v>
          </cell>
          <cell r="U40">
            <v>196082037.69632384</v>
          </cell>
          <cell r="V40">
            <v>2461867.4278894658</v>
          </cell>
          <cell r="W40">
            <v>65334.996756797256</v>
          </cell>
          <cell r="X40">
            <v>65334.996756797256</v>
          </cell>
          <cell r="Y40">
            <v>297144556.51849467</v>
          </cell>
          <cell r="AA40">
            <v>281032820.53513968</v>
          </cell>
          <cell r="AB40">
            <v>281032820.53513968</v>
          </cell>
          <cell r="AC40">
            <v>370196961.42382586</v>
          </cell>
          <cell r="AG40">
            <v>395.42586957740161</v>
          </cell>
          <cell r="AM40">
            <v>3913.962430455269</v>
          </cell>
          <cell r="AP40">
            <v>1963757.9477688954</v>
          </cell>
          <cell r="AQ40">
            <v>541262.23798254749</v>
          </cell>
          <cell r="AR40">
            <v>541262.23798254749</v>
          </cell>
          <cell r="AU40">
            <v>224171467.82875782</v>
          </cell>
          <cell r="AV40">
            <v>224171467.82875782</v>
          </cell>
          <cell r="AX40">
            <v>336008210.7930572</v>
          </cell>
        </row>
        <row r="41">
          <cell r="S41">
            <v>6.9744094675364715E-2</v>
          </cell>
          <cell r="T41">
            <v>0.65502784340884002</v>
          </cell>
          <cell r="U41">
            <v>225928901.62430239</v>
          </cell>
          <cell r="V41">
            <v>2770035.0183416829</v>
          </cell>
          <cell r="W41">
            <v>71794.459661462286</v>
          </cell>
          <cell r="X41">
            <v>71794.459661462286</v>
          </cell>
          <cell r="Y41">
            <v>339562366.99134678</v>
          </cell>
          <cell r="AA41">
            <v>320622224.62346977</v>
          </cell>
          <cell r="AB41">
            <v>320622224.62346977</v>
          </cell>
          <cell r="AC41">
            <v>414666152.67194438</v>
          </cell>
          <cell r="AG41">
            <v>401.06733337137814</v>
          </cell>
          <cell r="AM41">
            <v>3980.1909129472951</v>
          </cell>
          <cell r="AP41">
            <v>2152179.6884996886</v>
          </cell>
          <cell r="AQ41">
            <v>594284.62264004094</v>
          </cell>
          <cell r="AR41">
            <v>594284.62264004094</v>
          </cell>
          <cell r="AU41">
            <v>249107550.96854904</v>
          </cell>
          <cell r="AV41">
            <v>249107550.96854904</v>
          </cell>
          <cell r="AX41">
            <v>371696165.06239152</v>
          </cell>
        </row>
        <row r="42">
          <cell r="S42">
            <v>7.2039934714692569E-2</v>
          </cell>
          <cell r="T42">
            <v>0.70530267677861125</v>
          </cell>
          <cell r="U42">
            <v>264744815.77333754</v>
          </cell>
          <cell r="V42">
            <v>3161015.2334541199</v>
          </cell>
          <cell r="W42">
            <v>80120.599358038977</v>
          </cell>
          <cell r="X42">
            <v>80120.599358038977</v>
          </cell>
          <cell r="Y42">
            <v>393630298.58554536</v>
          </cell>
          <cell r="AA42">
            <v>371073511.46743053</v>
          </cell>
          <cell r="AB42">
            <v>371073511.46743053</v>
          </cell>
          <cell r="AC42">
            <v>466784989.1829524</v>
          </cell>
          <cell r="AG42">
            <v>406.75072652253391</v>
          </cell>
          <cell r="AM42">
            <v>4043.8224722802161</v>
          </cell>
          <cell r="AP42">
            <v>2370383.5810083114</v>
          </cell>
          <cell r="AQ42">
            <v>655963.41056704568</v>
          </cell>
          <cell r="AR42">
            <v>655963.41056704568</v>
          </cell>
          <cell r="AU42">
            <v>278260778.25267255</v>
          </cell>
          <cell r="AV42">
            <v>278260778.25267255</v>
          </cell>
          <cell r="AX42">
            <v>412719597.46014172</v>
          </cell>
        </row>
        <row r="43">
          <cell r="S43">
            <v>7.4337478643665036E-2</v>
          </cell>
          <cell r="T43">
            <v>0.75557751014838259</v>
          </cell>
          <cell r="U43">
            <v>308547611.64351064</v>
          </cell>
          <cell r="V43">
            <v>3591974.4154905844</v>
          </cell>
          <cell r="W43">
            <v>89139.793956867783</v>
          </cell>
          <cell r="X43">
            <v>89139.793956867783</v>
          </cell>
          <cell r="Y43">
            <v>454394903.52886814</v>
          </cell>
          <cell r="AA43">
            <v>427543288.6142875</v>
          </cell>
          <cell r="AB43">
            <v>427543288.6142875</v>
          </cell>
          <cell r="AC43">
            <v>523560041.67888582</v>
          </cell>
          <cell r="AG43">
            <v>412.47645516718927</v>
          </cell>
          <cell r="AM43">
            <v>4109.020743671972</v>
          </cell>
          <cell r="AP43">
            <v>2606678.8330751243</v>
          </cell>
          <cell r="AQ43">
            <v>722804.6549799256</v>
          </cell>
          <cell r="AR43">
            <v>722804.6549799256</v>
          </cell>
          <cell r="AU43">
            <v>310266141.05267239</v>
          </cell>
          <cell r="AV43">
            <v>310266141.05267239</v>
          </cell>
          <cell r="AX43">
            <v>457475651.75065947</v>
          </cell>
        </row>
        <row r="44">
          <cell r="S44">
            <v>7.6601520187459402E-2</v>
          </cell>
          <cell r="T44">
            <v>0.80585234351815382</v>
          </cell>
          <cell r="U44">
            <v>357814176.13004684</v>
          </cell>
          <cell r="V44">
            <v>4066759.1205607606</v>
          </cell>
          <cell r="W44">
            <v>98879.972335285245</v>
          </cell>
          <cell r="X44">
            <v>98879.972335285245</v>
          </cell>
          <cell r="Y44">
            <v>522279517.1503942</v>
          </cell>
          <cell r="AA44">
            <v>490509981.88936001</v>
          </cell>
          <cell r="AB44">
            <v>490509981.88936001</v>
          </cell>
          <cell r="AC44">
            <v>585201992.40890074</v>
          </cell>
          <cell r="AG44">
            <v>418.24451930534428</v>
          </cell>
          <cell r="AM44">
            <v>4173.3890826430224</v>
          </cell>
          <cell r="AP44">
            <v>2861247.9093493368</v>
          </cell>
          <cell r="AQ44">
            <v>794556.18431921909</v>
          </cell>
          <cell r="AR44">
            <v>794556.18431921909</v>
          </cell>
          <cell r="AU44">
            <v>345107890.23628944</v>
          </cell>
          <cell r="AV44">
            <v>345107890.23628944</v>
          </cell>
          <cell r="AX44">
            <v>505863123.75925267</v>
          </cell>
        </row>
        <row r="45">
          <cell r="S45">
            <v>7.8840531195189925E-2</v>
          </cell>
          <cell r="T45">
            <v>0.85612717688792506</v>
          </cell>
          <cell r="U45">
            <v>413177056.44127035</v>
          </cell>
          <cell r="V45">
            <v>4588732.3743276298</v>
          </cell>
          <cell r="W45">
            <v>109423.49330378231</v>
          </cell>
          <cell r="X45">
            <v>109423.49330378231</v>
          </cell>
          <cell r="Y45">
            <v>598126115.48062074</v>
          </cell>
          <cell r="AA45">
            <v>560732685.35959637</v>
          </cell>
          <cell r="AB45">
            <v>560732685.35959637</v>
          </cell>
          <cell r="AC45">
            <v>652246052.35100877</v>
          </cell>
          <cell r="AG45">
            <v>424.05491893699889</v>
          </cell>
          <cell r="AM45">
            <v>4237.6063828071456</v>
          </cell>
          <cell r="AP45">
            <v>3135908.4363889536</v>
          </cell>
          <cell r="AQ45">
            <v>871980.27033662132</v>
          </cell>
          <cell r="AR45">
            <v>871980.27033662132</v>
          </cell>
          <cell r="AU45">
            <v>383200896.26840442</v>
          </cell>
          <cell r="AV45">
            <v>383200896.26840442</v>
          </cell>
          <cell r="AX45">
            <v>558426925.33279169</v>
          </cell>
        </row>
        <row r="46">
          <cell r="S46">
            <v>8.1081639937137392E-2</v>
          </cell>
          <cell r="T46">
            <v>0.90640201025769629</v>
          </cell>
          <cell r="U46">
            <v>475217076.16020846</v>
          </cell>
          <cell r="V46">
            <v>5161759.5187760964</v>
          </cell>
          <cell r="W46">
            <v>120830.65767695918</v>
          </cell>
          <cell r="X46">
            <v>120830.65767695918</v>
          </cell>
          <cell r="Y46">
            <v>682710980.483145</v>
          </cell>
          <cell r="AA46">
            <v>638892642.53833163</v>
          </cell>
          <cell r="AB46">
            <v>638892642.53833163</v>
          </cell>
          <cell r="AC46">
            <v>725103940.24458361</v>
          </cell>
          <cell r="AG46">
            <v>429.88556816836683</v>
          </cell>
          <cell r="AM46">
            <v>4302.7796402772656</v>
          </cell>
          <cell r="AP46">
            <v>3433116.4567459854</v>
          </cell>
          <cell r="AQ46">
            <v>955804.94898234226</v>
          </cell>
          <cell r="AR46">
            <v>955804.94898234226</v>
          </cell>
          <cell r="AU46">
            <v>424931234.6330213</v>
          </cell>
          <cell r="AV46">
            <v>424931234.6330213</v>
          </cell>
          <cell r="AX46">
            <v>615669977.63316751</v>
          </cell>
        </row>
        <row r="47">
          <cell r="S47">
            <v>8.3324996974950022E-2</v>
          </cell>
          <cell r="T47">
            <v>0.91594198990092268</v>
          </cell>
          <cell r="U47">
            <v>513380841.3302182</v>
          </cell>
          <cell r="V47">
            <v>5512856.7656499296</v>
          </cell>
          <cell r="W47">
            <v>127482.7781081947</v>
          </cell>
          <cell r="X47">
            <v>127482.7781081947</v>
          </cell>
          <cell r="Y47">
            <v>738220287.23022413</v>
          </cell>
          <cell r="AA47">
            <v>689628271.6148926</v>
          </cell>
          <cell r="AB47">
            <v>689628271.6148926</v>
          </cell>
          <cell r="AC47">
            <v>780447123.27033556</v>
          </cell>
          <cell r="AG47">
            <v>435.71012872592098</v>
          </cell>
          <cell r="AM47">
            <v>4366.0612527540407</v>
          </cell>
          <cell r="AP47">
            <v>3683649.438285348</v>
          </cell>
          <cell r="AQ47">
            <v>1024761.3646784347</v>
          </cell>
          <cell r="AR47">
            <v>1024761.3646784347</v>
          </cell>
          <cell r="AU47">
            <v>460804425.60897994</v>
          </cell>
          <cell r="AV47">
            <v>460804425.60897994</v>
          </cell>
          <cell r="AX47">
            <v>665191229.90646672</v>
          </cell>
        </row>
        <row r="48">
          <cell r="S48">
            <v>8.5570763676606848E-2</v>
          </cell>
          <cell r="T48">
            <v>0.92548196954414907</v>
          </cell>
          <cell r="U48">
            <v>553975756.50028741</v>
          </cell>
          <cell r="V48">
            <v>5883760.9623046182</v>
          </cell>
          <cell r="W48">
            <v>134468.00779949463</v>
          </cell>
          <cell r="X48">
            <v>134468.00779949463</v>
          </cell>
          <cell r="Y48">
            <v>797452527.66443706</v>
          </cell>
          <cell r="AA48">
            <v>743761170.93730247</v>
          </cell>
          <cell r="AB48">
            <v>743761170.93730247</v>
          </cell>
          <cell r="AC48">
            <v>839323730.44371653</v>
          </cell>
          <cell r="AG48">
            <v>441.57593171622523</v>
          </cell>
          <cell r="AM48">
            <v>4432.088233338909</v>
          </cell>
          <cell r="AP48">
            <v>3953965.2961648931</v>
          </cell>
          <cell r="AQ48">
            <v>1099028.7979987916</v>
          </cell>
          <cell r="AR48">
            <v>1099028.7979987916</v>
          </cell>
          <cell r="AU48">
            <v>499817357.87056369</v>
          </cell>
          <cell r="AV48">
            <v>499817357.87056369</v>
          </cell>
          <cell r="AX48">
            <v>718881145.30873895</v>
          </cell>
        </row>
        <row r="49">
          <cell r="S49">
            <v>8.7819112992025564E-2</v>
          </cell>
          <cell r="T49">
            <v>0.93502194918737536</v>
          </cell>
          <cell r="U49">
            <v>597031875.90165639</v>
          </cell>
          <cell r="V49">
            <v>6273180.4262933731</v>
          </cell>
          <cell r="W49">
            <v>141716.23519205075</v>
          </cell>
          <cell r="X49">
            <v>141716.23519205075</v>
          </cell>
          <cell r="Y49">
            <v>860065151.8338604</v>
          </cell>
          <cell r="AA49">
            <v>801005915.63993573</v>
          </cell>
          <cell r="AB49">
            <v>801005915.63993573</v>
          </cell>
          <cell r="AC49">
            <v>901386193.36898899</v>
          </cell>
          <cell r="AG49">
            <v>447.4829771392794</v>
          </cell>
          <cell r="AM49">
            <v>4494.4759493295178</v>
          </cell>
          <cell r="AP49">
            <v>4237064.9721287712</v>
          </cell>
          <cell r="AQ49">
            <v>1176354.5271667889</v>
          </cell>
          <cell r="AR49">
            <v>1176354.5271667889</v>
          </cell>
          <cell r="AU49">
            <v>541019686.50553584</v>
          </cell>
          <cell r="AV49">
            <v>541019686.50553584</v>
          </cell>
          <cell r="AX49">
            <v>775336204.53799582</v>
          </cell>
        </row>
        <row r="50">
          <cell r="S50">
            <v>9.0070230284338207E-2</v>
          </cell>
          <cell r="T50">
            <v>0.94432299661575902</v>
          </cell>
          <cell r="U50">
            <v>643327306.65694916</v>
          </cell>
          <cell r="V50">
            <v>6682762.86489808</v>
          </cell>
          <cell r="W50">
            <v>149447.19499769152</v>
          </cell>
          <cell r="X50">
            <v>149447.19499769152</v>
          </cell>
          <cell r="Y50">
            <v>927691551.31422472</v>
          </cell>
          <cell r="AA50">
            <v>862784863.33585501</v>
          </cell>
          <cell r="AB50">
            <v>862784863.33585501</v>
          </cell>
          <cell r="AC50">
            <v>968326777.80136764</v>
          </cell>
          <cell r="AG50">
            <v>453.43126499508361</v>
          </cell>
          <cell r="AM50">
            <v>4559.9059784657766</v>
          </cell>
          <cell r="AP50">
            <v>4541803.4544908628</v>
          </cell>
          <cell r="AQ50">
            <v>1260848.2307729605</v>
          </cell>
          <cell r="AR50">
            <v>1260848.2307729605</v>
          </cell>
          <cell r="AU50">
            <v>586374131.77775192</v>
          </cell>
          <cell r="AV50">
            <v>586374131.77775192</v>
          </cell>
          <cell r="AX50">
            <v>837329680.21371412</v>
          </cell>
        </row>
        <row r="51">
          <cell r="S51">
            <v>9.2324314220830705E-2</v>
          </cell>
          <cell r="T51">
            <v>0.95085025437425708</v>
          </cell>
          <cell r="U51">
            <v>691809815.60456884</v>
          </cell>
          <cell r="V51">
            <v>7099610.5499204108</v>
          </cell>
          <cell r="W51">
            <v>157234.92227212933</v>
          </cell>
          <cell r="X51">
            <v>157234.92227212933</v>
          </cell>
          <cell r="Y51">
            <v>999055560.63378537</v>
          </cell>
          <cell r="AA51">
            <v>927534117.29026604</v>
          </cell>
          <cell r="AB51">
            <v>927534117.29026604</v>
          </cell>
          <cell r="AC51">
            <v>1039733348.6440041</v>
          </cell>
          <cell r="AG51">
            <v>459.42079528363786</v>
          </cell>
          <cell r="AM51">
            <v>4622.9224478524739</v>
          </cell>
          <cell r="AP51">
            <v>4856662.4592750156</v>
          </cell>
          <cell r="AQ51">
            <v>1349333.2829236276</v>
          </cell>
          <cell r="AR51">
            <v>1349333.2829236276</v>
          </cell>
          <cell r="AU51">
            <v>634502427.34665573</v>
          </cell>
          <cell r="AV51">
            <v>634502427.34665573</v>
          </cell>
          <cell r="AX51">
            <v>902802555.1884656</v>
          </cell>
        </row>
        <row r="52">
          <cell r="S52">
            <v>9.4581577727827937E-2</v>
          </cell>
          <cell r="T52">
            <v>0.95737751213275502</v>
          </cell>
          <cell r="U52">
            <v>743007865.04848731</v>
          </cell>
          <cell r="V52">
            <v>7538041.5038994001</v>
          </cell>
          <cell r="W52">
            <v>165390.177250974</v>
          </cell>
          <cell r="X52">
            <v>165390.177250974</v>
          </cell>
          <cell r="Y52">
            <v>1075049101.007802</v>
          </cell>
          <cell r="AA52">
            <v>996369361.40009296</v>
          </cell>
          <cell r="AB52">
            <v>996369361.40009296</v>
          </cell>
          <cell r="AC52">
            <v>1115556419.8070426</v>
          </cell>
          <cell r="AG52">
            <v>465.88196567286434</v>
          </cell>
          <cell r="AM52">
            <v>4687.4358926933264</v>
          </cell>
          <cell r="AP52">
            <v>5199390.7808976388</v>
          </cell>
          <cell r="AQ52">
            <v>1444213.9269136302</v>
          </cell>
          <cell r="AR52">
            <v>1444213.9269136302</v>
          </cell>
          <cell r="AU52">
            <v>687249290.06462109</v>
          </cell>
          <cell r="AV52">
            <v>687249290.06462109</v>
          </cell>
          <cell r="AX52">
            <v>974377788.79289412</v>
          </cell>
        </row>
        <row r="53">
          <cell r="S53">
            <v>9.6842249014114437E-2</v>
          </cell>
          <cell r="T53">
            <v>0.96390476989125295</v>
          </cell>
          <cell r="U53">
            <v>797034918.4768945</v>
          </cell>
          <cell r="V53">
            <v>7997252.5386480447</v>
          </cell>
          <cell r="W53">
            <v>173889.83454814926</v>
          </cell>
          <cell r="X53">
            <v>173889.83454814926</v>
          </cell>
          <cell r="Y53">
            <v>1155670133.6774018</v>
          </cell>
          <cell r="AA53">
            <v>1069273625.8577383</v>
          </cell>
          <cell r="AB53">
            <v>1069273625.8577383</v>
          </cell>
          <cell r="AC53">
            <v>1195764817.8731873</v>
          </cell>
          <cell r="AG53">
            <v>472.66072296283801</v>
          </cell>
          <cell r="AM53">
            <v>4751.4575269515653</v>
          </cell>
          <cell r="AP53">
            <v>5566386.561142385</v>
          </cell>
          <cell r="AQ53">
            <v>1544760.1464866321</v>
          </cell>
          <cell r="AR53">
            <v>1544760.1464866321</v>
          </cell>
          <cell r="AU53">
            <v>744254393.91772699</v>
          </cell>
          <cell r="AV53">
            <v>744254393.91772699</v>
          </cell>
          <cell r="AX53">
            <v>1051487032.220856</v>
          </cell>
        </row>
        <row r="54">
          <cell r="S54">
            <v>9.9106572667809326E-2</v>
          </cell>
          <cell r="T54">
            <v>0.97043202764975101</v>
          </cell>
          <cell r="U54">
            <v>854008953.28405559</v>
          </cell>
          <cell r="V54">
            <v>8479980.8003473599</v>
          </cell>
          <cell r="W54">
            <v>182788.1812373898</v>
          </cell>
          <cell r="X54">
            <v>182788.1812373898</v>
          </cell>
          <cell r="Y54">
            <v>1241427326.923224</v>
          </cell>
          <cell r="AA54">
            <v>1146702902.4016142</v>
          </cell>
          <cell r="AB54">
            <v>1146702902.4016142</v>
          </cell>
          <cell r="AC54">
            <v>1280856392.1099243</v>
          </cell>
          <cell r="AG54">
            <v>479.91319975813633</v>
          </cell>
          <cell r="AM54">
            <v>4815.0928982110609</v>
          </cell>
          <cell r="AP54">
            <v>5965412.2348410469</v>
          </cell>
          <cell r="AQ54">
            <v>1652413.0139487768</v>
          </cell>
          <cell r="AR54">
            <v>1652413.0139487768</v>
          </cell>
          <cell r="AU54">
            <v>806671109.84898973</v>
          </cell>
          <cell r="AV54">
            <v>806671109.84898973</v>
          </cell>
          <cell r="AX54">
            <v>1135322847.6004102</v>
          </cell>
        </row>
        <row r="55">
          <cell r="S55">
            <v>0.10081441149570805</v>
          </cell>
          <cell r="T55">
            <v>0.97695928540824917</v>
          </cell>
          <cell r="U55">
            <v>913501733.02356648</v>
          </cell>
          <cell r="V55">
            <v>8980565.9600472003</v>
          </cell>
          <cell r="W55">
            <v>191958.43710768613</v>
          </cell>
          <cell r="X55">
            <v>191958.43710768613</v>
          </cell>
          <cell r="Y55">
            <v>1331326946.2825217</v>
          </cell>
          <cell r="AA55">
            <v>1228605758.4399087</v>
          </cell>
          <cell r="AB55">
            <v>1228605758.4399087</v>
          </cell>
          <cell r="AC55">
            <v>1370064656.0555701</v>
          </cell>
          <cell r="AG55">
            <v>487.33510162289809</v>
          </cell>
          <cell r="AM55">
            <v>4880.1255625879667</v>
          </cell>
          <cell r="AP55">
            <v>6390769.0710918028</v>
          </cell>
          <cell r="AQ55">
            <v>1766417.5483813467</v>
          </cell>
          <cell r="AR55">
            <v>1766417.5483813467</v>
          </cell>
          <cell r="AU55">
            <v>874302991.20722532</v>
          </cell>
          <cell r="AV55">
            <v>874302991.20722532</v>
          </cell>
          <cell r="AX55">
            <v>1225136576.956373</v>
          </cell>
        </row>
        <row r="56">
          <cell r="S56">
            <v>0.10087706127699816</v>
          </cell>
          <cell r="T56">
            <v>0.98588908534392949</v>
          </cell>
          <cell r="U56">
            <v>977906167.02555954</v>
          </cell>
          <cell r="V56">
            <v>9506754.7327084634</v>
          </cell>
          <cell r="W56">
            <v>201641.53309051902</v>
          </cell>
          <cell r="X56">
            <v>201641.53309051902</v>
          </cell>
          <cell r="Y56">
            <v>1428025488.3422937</v>
          </cell>
          <cell r="AA56">
            <v>1318827292.2973766</v>
          </cell>
          <cell r="AB56">
            <v>1318827292.2973766</v>
          </cell>
          <cell r="AC56">
            <v>1464296832.8786604</v>
          </cell>
          <cell r="AG56">
            <v>494.81738520664754</v>
          </cell>
          <cell r="AM56">
            <v>4942.9187213831892</v>
          </cell>
          <cell r="AP56">
            <v>6833180.3680612911</v>
          </cell>
          <cell r="AQ56">
            <v>1886328.762873712</v>
          </cell>
          <cell r="AR56">
            <v>1886328.762873712</v>
          </cell>
          <cell r="AU56">
            <v>947934917.43132591</v>
          </cell>
          <cell r="AV56">
            <v>947934917.43132591</v>
          </cell>
          <cell r="AX56">
            <v>1319568111.6039696</v>
          </cell>
        </row>
        <row r="57">
          <cell r="S57">
            <v>0.1009442076500186</v>
          </cell>
          <cell r="T57">
            <v>0.99756485709642961</v>
          </cell>
          <cell r="U57">
            <v>1086132940.4741709</v>
          </cell>
          <cell r="V57">
            <v>10297684.157927323</v>
          </cell>
          <cell r="W57">
            <v>216250.96804679514</v>
          </cell>
          <cell r="X57">
            <v>216250.96804679514</v>
          </cell>
          <cell r="Y57">
            <v>1582857560.0037735</v>
          </cell>
          <cell r="AA57">
            <v>1462933806.6380448</v>
          </cell>
          <cell r="AB57">
            <v>1462933806.6380448</v>
          </cell>
          <cell r="AC57">
            <v>1622354845.5365419</v>
          </cell>
          <cell r="AG57">
            <v>502.36615209479055</v>
          </cell>
          <cell r="AM57">
            <v>5008.7832933580094</v>
          </cell>
          <cell r="AP57">
            <v>7369904.0798349474</v>
          </cell>
          <cell r="AQ57">
            <v>2052281.2542341987</v>
          </cell>
          <cell r="AR57">
            <v>2052281.2542341987</v>
          </cell>
          <cell r="AU57">
            <v>1047000632.8335757</v>
          </cell>
          <cell r="AV57">
            <v>1047000632.8335757</v>
          </cell>
          <cell r="AX57">
            <v>1448652690.7766786</v>
          </cell>
        </row>
        <row r="58">
          <cell r="S58">
            <v>0.10101617335072746</v>
          </cell>
          <cell r="T58">
            <v>1.0092406288489295</v>
          </cell>
          <cell r="U58">
            <v>1203020571.6020775</v>
          </cell>
          <cell r="V58">
            <v>11130220.055313738</v>
          </cell>
          <cell r="W58">
            <v>231543.28817230693</v>
          </cell>
          <cell r="X58">
            <v>231543.28817230693</v>
          </cell>
          <cell r="Y58">
            <v>1749634674.0216372</v>
          </cell>
          <cell r="AA58">
            <v>1618360351.223196</v>
          </cell>
          <cell r="AB58">
            <v>1618360351.223196</v>
          </cell>
          <cell r="AC58">
            <v>1792126710.2991991</v>
          </cell>
          <cell r="AG58">
            <v>509.97494108958813</v>
          </cell>
          <cell r="AM58">
            <v>5070.9452382022582</v>
          </cell>
          <cell r="AP58">
            <v>7932210.6878864476</v>
          </cell>
          <cell r="AQ58">
            <v>2227181.3217254179</v>
          </cell>
          <cell r="AR58">
            <v>2227181.3217254179</v>
          </cell>
          <cell r="AU58">
            <v>1153362216.6522787</v>
          </cell>
          <cell r="AV58">
            <v>1153362216.6522787</v>
          </cell>
          <cell r="AX58">
            <v>1586136391.0619497</v>
          </cell>
        </row>
        <row r="59">
          <cell r="S59">
            <v>0.10109330427896006</v>
          </cell>
          <cell r="T59">
            <v>1.0209164006014295</v>
          </cell>
          <cell r="U59">
            <v>1329060104.6688013</v>
          </cell>
          <cell r="V59">
            <v>12009957.895539166</v>
          </cell>
          <cell r="W59">
            <v>247641.3979807678</v>
          </cell>
          <cell r="X59">
            <v>247641.3979807678</v>
          </cell>
          <cell r="Y59">
            <v>1929804478.7282033</v>
          </cell>
          <cell r="AA59">
            <v>1786449453.5262783</v>
          </cell>
          <cell r="AB59">
            <v>1786449453.5262783</v>
          </cell>
          <cell r="AC59">
            <v>1974969810.4494338</v>
          </cell>
          <cell r="AG59">
            <v>517.64375219104045</v>
          </cell>
          <cell r="AM59">
            <v>5135.9430310817388</v>
          </cell>
          <cell r="AP59">
            <v>8536162.8377079479</v>
          </cell>
          <cell r="AQ59">
            <v>2415739.3722557165</v>
          </cell>
          <cell r="AR59">
            <v>2415739.3722557165</v>
          </cell>
          <cell r="AU59">
            <v>1269731631.8068652</v>
          </cell>
          <cell r="AV59">
            <v>1269731631.8068652</v>
          </cell>
          <cell r="AX59">
            <v>1735561881.0994105</v>
          </cell>
        </row>
        <row r="60">
          <cell r="S60">
            <v>0.10117597116098055</v>
          </cell>
          <cell r="T60">
            <v>1.0359876202649398</v>
          </cell>
          <cell r="U60">
            <v>1470270886.8051822</v>
          </cell>
          <cell r="V60">
            <v>12988122.547703234</v>
          </cell>
          <cell r="W60">
            <v>265221.59640323179</v>
          </cell>
          <cell r="X60">
            <v>265221.59640323179</v>
          </cell>
          <cell r="Y60">
            <v>2130505882.5000806</v>
          </cell>
          <cell r="AA60">
            <v>1973912624.6022434</v>
          </cell>
          <cell r="AB60">
            <v>1973912624.6022434</v>
          </cell>
          <cell r="AC60">
            <v>2174507923.9653621</v>
          </cell>
          <cell r="AG60">
            <v>525.37258539914717</v>
          </cell>
          <cell r="AM60">
            <v>5199.1963103880526</v>
          </cell>
          <cell r="AP60">
            <v>9194545.2691305913</v>
          </cell>
          <cell r="AQ60">
            <v>2619667.1543242</v>
          </cell>
          <cell r="AR60">
            <v>2619667.1543242</v>
          </cell>
          <cell r="AU60">
            <v>1397371245.7327511</v>
          </cell>
          <cell r="AV60">
            <v>1397371245.7327511</v>
          </cell>
          <cell r="AX60">
            <v>1896946430.0026441</v>
          </cell>
        </row>
        <row r="61">
          <cell r="S61">
            <v>0.10126457133136073</v>
          </cell>
          <cell r="T61">
            <v>1.0555057871375619</v>
          </cell>
          <cell r="U61">
            <v>1630394491.481878</v>
          </cell>
          <cell r="V61">
            <v>14095076.104097076</v>
          </cell>
          <cell r="W61">
            <v>284698.05423967016</v>
          </cell>
          <cell r="X61">
            <v>284698.05423967016</v>
          </cell>
          <cell r="Y61">
            <v>2356922906.063446</v>
          </cell>
          <cell r="AA61">
            <v>2185547034.0279646</v>
          </cell>
          <cell r="AB61">
            <v>2185547034.0279646</v>
          </cell>
          <cell r="AC61">
            <v>2393558698.5502353</v>
          </cell>
          <cell r="AG61">
            <v>533.15666966452943</v>
          </cell>
          <cell r="AM61">
            <v>5263.360901484315</v>
          </cell>
          <cell r="AP61">
            <v>9926261.6073843092</v>
          </cell>
          <cell r="AQ61">
            <v>2843546.0359775084</v>
          </cell>
          <cell r="AR61">
            <v>2843546.0359775084</v>
          </cell>
          <cell r="AU61">
            <v>1539141147.9288473</v>
          </cell>
          <cell r="AV61">
            <v>1539141147.9288473</v>
          </cell>
          <cell r="AX61">
            <v>2073029952.8095946</v>
          </cell>
        </row>
        <row r="62">
          <cell r="S62">
            <v>0.10135953064275038</v>
          </cell>
          <cell r="T62">
            <v>1.075023954010184</v>
          </cell>
          <cell r="U62">
            <v>1805927192.919966</v>
          </cell>
          <cell r="V62">
            <v>15267487.288835455</v>
          </cell>
          <cell r="W62">
            <v>305685.48836115887</v>
          </cell>
          <cell r="X62">
            <v>305685.48836115887</v>
          </cell>
          <cell r="Y62">
            <v>2606042345.1633224</v>
          </cell>
          <cell r="AA62">
            <v>2418232588.3086333</v>
          </cell>
          <cell r="AB62">
            <v>2418232588.3086333</v>
          </cell>
          <cell r="AC62">
            <v>2632618596.5492969</v>
          </cell>
          <cell r="AG62">
            <v>540.99641620955617</v>
          </cell>
          <cell r="AM62">
            <v>5327.689290730219</v>
          </cell>
          <cell r="AP62">
            <v>10713300.714564687</v>
          </cell>
          <cell r="AQ62">
            <v>3089822.4009077637</v>
          </cell>
          <cell r="AR62">
            <v>3089822.4009077637</v>
          </cell>
          <cell r="AU62">
            <v>1696890419.8961084</v>
          </cell>
          <cell r="AV62">
            <v>1696890419.8961084</v>
          </cell>
          <cell r="AX62">
            <v>2266144175.9040961</v>
          </cell>
        </row>
        <row r="63">
          <cell r="S63">
            <v>0.10146130551271855</v>
          </cell>
          <cell r="T63">
            <v>1.0945421208828057</v>
          </cell>
          <cell r="U63">
            <v>2017941851.4379563</v>
          </cell>
          <cell r="V63">
            <v>16655853.649768775</v>
          </cell>
          <cell r="W63">
            <v>329016.53285328881</v>
          </cell>
          <cell r="X63">
            <v>329016.53285328881</v>
          </cell>
          <cell r="Y63">
            <v>2903041601.0861087</v>
          </cell>
          <cell r="AA63">
            <v>2694901630.182869</v>
          </cell>
          <cell r="AB63">
            <v>2694901630.182869</v>
          </cell>
          <cell r="AC63">
            <v>2888716976.8300791</v>
          </cell>
          <cell r="AG63">
            <v>548.89603960771342</v>
          </cell>
          <cell r="AM63">
            <v>5391.052169328852</v>
          </cell>
          <cell r="AP63">
            <v>11578333.202313567</v>
          </cell>
          <cell r="AQ63">
            <v>3362375.4470672617</v>
          </cell>
          <cell r="AR63">
            <v>3362375.4470672617</v>
          </cell>
          <cell r="AU63">
            <v>1873363544.0023475</v>
          </cell>
          <cell r="AV63">
            <v>1873363544.0023475</v>
          </cell>
          <cell r="AX63">
            <v>2473118175.8845959</v>
          </cell>
        </row>
        <row r="64">
          <cell r="S64">
            <v>0.10157038511750351</v>
          </cell>
          <cell r="T64">
            <v>1.1140602877554278</v>
          </cell>
          <cell r="U64">
            <v>2227863105.4454355</v>
          </cell>
          <cell r="V64">
            <v>17995011.903236635</v>
          </cell>
          <cell r="W64">
            <v>352573.42774126073</v>
          </cell>
          <cell r="X64">
            <v>352573.42774126073</v>
          </cell>
          <cell r="Y64">
            <v>3201115844.7721148</v>
          </cell>
          <cell r="AA64">
            <v>2972873392.8984389</v>
          </cell>
          <cell r="AB64">
            <v>2972873392.8984389</v>
          </cell>
          <cell r="AC64">
            <v>3163489397.1309853</v>
          </cell>
          <cell r="AG64">
            <v>556.8555398590014</v>
          </cell>
          <cell r="AM64">
            <v>5456.4362584006394</v>
          </cell>
          <cell r="AP64">
            <v>12477478.83116737</v>
          </cell>
          <cell r="AQ64">
            <v>3647252.3955833348</v>
          </cell>
          <cell r="AR64">
            <v>3647252.3955833348</v>
          </cell>
          <cell r="AU64">
            <v>2061347057.0119026</v>
          </cell>
          <cell r="AV64">
            <v>2061347057.0119026</v>
          </cell>
          <cell r="AX64">
            <v>2697033133.3113194</v>
          </cell>
        </row>
        <row r="65">
          <cell r="S65">
            <v>0.10168729374321599</v>
          </cell>
          <cell r="T65">
            <v>1.1335784546280501</v>
          </cell>
          <cell r="U65">
            <v>2454223889.1174264</v>
          </cell>
          <cell r="V65">
            <v>19407935.374324169</v>
          </cell>
          <cell r="W65">
            <v>377306.89160582772</v>
          </cell>
          <cell r="X65">
            <v>377306.89160582772</v>
          </cell>
          <cell r="Y65">
            <v>3522064005.5205708</v>
          </cell>
          <cell r="AA65">
            <v>3272369759.9937029</v>
          </cell>
          <cell r="AB65">
            <v>3272369759.9937029</v>
          </cell>
          <cell r="AC65">
            <v>3456883521.8063421</v>
          </cell>
          <cell r="AG65">
            <v>564.87491696342011</v>
          </cell>
          <cell r="AM65">
            <v>5519.0270152469757</v>
          </cell>
          <cell r="AP65">
            <v>13424047.387061439</v>
          </cell>
          <cell r="AQ65">
            <v>3948367.3630349995</v>
          </cell>
          <cell r="AR65">
            <v>3948367.3630349995</v>
          </cell>
          <cell r="AU65">
            <v>2263427092.0057626</v>
          </cell>
          <cell r="AV65">
            <v>2263427092.0057626</v>
          </cell>
          <cell r="AX65">
            <v>2935291884.6597166</v>
          </cell>
        </row>
        <row r="66">
          <cell r="S66">
            <v>0.10181259330579619</v>
          </cell>
          <cell r="T66">
            <v>1.1585802136093086</v>
          </cell>
          <cell r="U66">
            <v>2720208913.7067237</v>
          </cell>
          <cell r="V66">
            <v>21120422.670261782</v>
          </cell>
          <cell r="W66">
            <v>407452.49830579467</v>
          </cell>
          <cell r="X66">
            <v>407452.49830579467</v>
          </cell>
          <cell r="Y66">
            <v>3911912006.0709438</v>
          </cell>
          <cell r="AA66">
            <v>3636145848.2031107</v>
          </cell>
          <cell r="AB66">
            <v>3636145848.2031107</v>
          </cell>
          <cell r="AC66">
            <v>3803434079.2229643</v>
          </cell>
          <cell r="AG66">
            <v>576.32854308872709</v>
          </cell>
          <cell r="AM66">
            <v>5584.6746581842135</v>
          </cell>
          <cell r="AP66">
            <v>14748767.136381162</v>
          </cell>
          <cell r="AQ66">
            <v>4341871.886338098</v>
          </cell>
          <cell r="AR66">
            <v>4341871.886338098</v>
          </cell>
          <cell r="AU66">
            <v>2539185376.4639707</v>
          </cell>
          <cell r="AV66">
            <v>2539185376.4639707</v>
          </cell>
          <cell r="AX66">
            <v>3241086328.2416439</v>
          </cell>
        </row>
        <row r="67">
          <cell r="S67">
            <v>0.10194688605183706</v>
          </cell>
          <cell r="T67">
            <v>1.1859324020104165</v>
          </cell>
          <cell r="U67">
            <v>3034866023.1563354</v>
          </cell>
          <cell r="V67">
            <v>23289411.947020821</v>
          </cell>
          <cell r="W67">
            <v>443603.39382144896</v>
          </cell>
          <cell r="X67">
            <v>443603.39382144896</v>
          </cell>
          <cell r="Y67">
            <v>4394359228.7868118</v>
          </cell>
          <cell r="AA67">
            <v>4086468507.6349192</v>
          </cell>
          <cell r="AB67">
            <v>4086468507.6349192</v>
          </cell>
          <cell r="AC67">
            <v>4218008532.7539272</v>
          </cell>
          <cell r="AG67">
            <v>589.53184963646981</v>
          </cell>
          <cell r="AM67">
            <v>5649.948832484999</v>
          </cell>
          <cell r="AP67">
            <v>16703948.098235188</v>
          </cell>
          <cell r="AQ67">
            <v>4900124.877610811</v>
          </cell>
          <cell r="AR67">
            <v>4900124.877610811</v>
          </cell>
          <cell r="AU67">
            <v>2930952400.6825824</v>
          </cell>
          <cell r="AV67">
            <v>2930952400.6825824</v>
          </cell>
          <cell r="AX67">
            <v>3619115258.9358845</v>
          </cell>
        </row>
        <row r="68">
          <cell r="S68">
            <v>0.10209081745325481</v>
          </cell>
          <cell r="T68">
            <v>1.2132845904115241</v>
          </cell>
          <cell r="U68">
            <v>3378091642.4504714</v>
          </cell>
          <cell r="V68">
            <v>25617717.289050557</v>
          </cell>
          <cell r="W68">
            <v>482536.24594562664</v>
          </cell>
          <cell r="X68">
            <v>482536.24594562664</v>
          </cell>
          <cell r="Y68">
            <v>4928722549.7270699</v>
          </cell>
          <cell r="AA68">
            <v>4583960353.7795773</v>
          </cell>
          <cell r="AB68">
            <v>4583960353.7795773</v>
          </cell>
          <cell r="AC68">
            <v>4670145501.2393084</v>
          </cell>
          <cell r="AG68">
            <v>603.14632617301004</v>
          </cell>
          <cell r="AM68">
            <v>5717.9946954767738</v>
          </cell>
          <cell r="AP68">
            <v>18894061.177771717</v>
          </cell>
          <cell r="AQ68">
            <v>5525421.739007052</v>
          </cell>
          <cell r="AR68">
            <v>5525421.739007052</v>
          </cell>
          <cell r="AU68">
            <v>3380848745.5597706</v>
          </cell>
          <cell r="AV68">
            <v>3380848745.5597706</v>
          </cell>
          <cell r="AX68">
            <v>4041348574.3510094</v>
          </cell>
        </row>
        <row r="69">
          <cell r="S69">
            <v>0.10224507930971999</v>
          </cell>
          <cell r="T69">
            <v>1.240636778812632</v>
          </cell>
          <cell r="U69">
            <v>3749886040.5019693</v>
          </cell>
          <cell r="V69">
            <v>28109423.675589822</v>
          </cell>
          <cell r="W69">
            <v>524035.82014670398</v>
          </cell>
          <cell r="X69">
            <v>524035.82014670398</v>
          </cell>
          <cell r="Y69">
            <v>5515409824.2794113</v>
          </cell>
          <cell r="AA69">
            <v>5128891184.0067062</v>
          </cell>
          <cell r="AB69">
            <v>5128891184.0067062</v>
          </cell>
          <cell r="AC69">
            <v>5158774321.7173767</v>
          </cell>
          <cell r="AG69">
            <v>617.19695041671628</v>
          </cell>
          <cell r="AM69">
            <v>5784.0586819184891</v>
          </cell>
          <cell r="AP69">
            <v>21323169.854277655</v>
          </cell>
          <cell r="AQ69">
            <v>6214736.2292376719</v>
          </cell>
          <cell r="AR69">
            <v>6214736.2292376719</v>
          </cell>
          <cell r="AU69">
            <v>3890660269.0561018</v>
          </cell>
          <cell r="AV69">
            <v>3890660269.0561018</v>
          </cell>
          <cell r="AX69">
            <v>4505303062.2991104</v>
          </cell>
        </row>
        <row r="70">
          <cell r="S70">
            <v>0.10241041307376096</v>
          </cell>
          <cell r="T70">
            <v>1.2679889672137399</v>
          </cell>
          <cell r="U70">
            <v>4152600553.6971688</v>
          </cell>
          <cell r="V70">
            <v>30792995.090800129</v>
          </cell>
          <cell r="W70">
            <v>568491.23144607712</v>
          </cell>
          <cell r="X70">
            <v>568491.23144607712</v>
          </cell>
          <cell r="Y70">
            <v>6159762046.6083908</v>
          </cell>
          <cell r="AA70">
            <v>5727228283.4933233</v>
          </cell>
          <cell r="AB70">
            <v>5727228283.4933233</v>
          </cell>
          <cell r="AC70">
            <v>5688764204.8847427</v>
          </cell>
          <cell r="AG70">
            <v>631.74774688320451</v>
          </cell>
          <cell r="AM70">
            <v>5851.6594496836879</v>
          </cell>
          <cell r="AP70">
            <v>24050282.66870629</v>
          </cell>
          <cell r="AQ70">
            <v>6981638.295023689</v>
          </cell>
          <cell r="AR70">
            <v>6981638.295023689</v>
          </cell>
          <cell r="AU70">
            <v>4473142632.6040068</v>
          </cell>
          <cell r="AV70">
            <v>4473142632.6040068</v>
          </cell>
          <cell r="AX70">
            <v>5020956714.457799</v>
          </cell>
        </row>
        <row r="71">
          <cell r="S71">
            <v>0.10258761341452131</v>
          </cell>
          <cell r="T71">
            <v>1.2953411556148478</v>
          </cell>
          <cell r="U71">
            <v>4588040218.5652504</v>
          </cell>
          <cell r="V71">
            <v>33677467.905657426</v>
          </cell>
          <cell r="W71">
            <v>615991.57604706124</v>
          </cell>
          <cell r="X71">
            <v>615991.57604706124</v>
          </cell>
          <cell r="Y71">
            <v>6865603478.841958</v>
          </cell>
          <cell r="AA71">
            <v>6382480158.6695595</v>
          </cell>
          <cell r="AB71">
            <v>6382480158.6695595</v>
          </cell>
          <cell r="AC71">
            <v>6262022841.7831211</v>
          </cell>
          <cell r="AG71">
            <v>646.80961194800557</v>
          </cell>
          <cell r="AM71">
            <v>5918.1858261446177</v>
          </cell>
          <cell r="AP71">
            <v>27095243.82818358</v>
          </cell>
          <cell r="AQ71">
            <v>7829332.6140947342</v>
          </cell>
          <cell r="AR71">
            <v>7829332.6140947342</v>
          </cell>
          <cell r="AU71">
            <v>5135031428.4953861</v>
          </cell>
          <cell r="AV71">
            <v>5135031428.4953861</v>
          </cell>
          <cell r="AX71">
            <v>5590244803.6206312</v>
          </cell>
        </row>
        <row r="72">
          <cell r="S72">
            <v>0.10277753203730064</v>
          </cell>
          <cell r="T72">
            <v>1.3125285407913931</v>
          </cell>
          <cell r="U72">
            <v>5024402210.3005819</v>
          </cell>
          <cell r="V72">
            <v>36370822.904025704</v>
          </cell>
          <cell r="W72">
            <v>660922.58365369681</v>
          </cell>
          <cell r="X72">
            <v>660922.58365369681</v>
          </cell>
          <cell r="Y72">
            <v>7570823428.0307865</v>
          </cell>
          <cell r="AA72">
            <v>7036862638.4646692</v>
          </cell>
          <cell r="AB72">
            <v>7036862638.4646692</v>
          </cell>
          <cell r="AC72">
            <v>6851110213.0501728</v>
          </cell>
          <cell r="AG72">
            <v>659.05809024935832</v>
          </cell>
          <cell r="AM72">
            <v>5985.3500482504596</v>
          </cell>
          <cell r="AP72">
            <v>29946004.248529259</v>
          </cell>
          <cell r="AQ72">
            <v>8671096.8162580319</v>
          </cell>
          <cell r="AR72">
            <v>8671096.8162580319</v>
          </cell>
          <cell r="AU72">
            <v>5793817726.4736996</v>
          </cell>
          <cell r="AV72">
            <v>5793817726.4736996</v>
          </cell>
          <cell r="AX72">
            <v>6155849423.9288769</v>
          </cell>
        </row>
        <row r="73">
          <cell r="S73">
            <v>0.10298108177723697</v>
          </cell>
          <cell r="T73">
            <v>1.3288860484542666</v>
          </cell>
          <cell r="U73">
            <v>5488433426.3708467</v>
          </cell>
          <cell r="V73">
            <v>39192277.728981853</v>
          </cell>
          <cell r="W73">
            <v>707902.04861291172</v>
          </cell>
          <cell r="X73">
            <v>707902.04861291172</v>
          </cell>
          <cell r="Y73">
            <v>8327879527.4787951</v>
          </cell>
          <cell r="AA73">
            <v>7739096034.0965748</v>
          </cell>
          <cell r="AB73">
            <v>7739096034.0965748</v>
          </cell>
          <cell r="AC73">
            <v>7480651344.5798531</v>
          </cell>
          <cell r="AG73">
            <v>671.33129232668671</v>
          </cell>
          <cell r="AM73">
            <v>6052.3420039247139</v>
          </cell>
          <cell r="AP73">
            <v>33018774.645648528</v>
          </cell>
          <cell r="AQ73">
            <v>9581353.1983873434</v>
          </cell>
          <cell r="AR73">
            <v>9581353.1983873434</v>
          </cell>
          <cell r="AU73">
            <v>6520046364.1821985</v>
          </cell>
          <cell r="AV73">
            <v>6520046364.1821985</v>
          </cell>
          <cell r="AX73">
            <v>6766753123.4471073</v>
          </cell>
        </row>
        <row r="74">
          <cell r="S74">
            <v>0.1031992409868069</v>
          </cell>
          <cell r="T74">
            <v>1.3452435561171401</v>
          </cell>
          <cell r="U74">
            <v>5977234748.314702</v>
          </cell>
          <cell r="V74">
            <v>42181064.089464843</v>
          </cell>
          <cell r="W74">
            <v>756632.95208120183</v>
          </cell>
          <cell r="X74">
            <v>756632.95208120183</v>
          </cell>
          <cell r="Y74">
            <v>9135137033.8524971</v>
          </cell>
          <cell r="AA74">
            <v>8487601433.9197559</v>
          </cell>
          <cell r="AB74">
            <v>8487601433.9197559</v>
          </cell>
          <cell r="AC74">
            <v>8146180358.4511776</v>
          </cell>
          <cell r="AG74">
            <v>683.91593747590093</v>
          </cell>
          <cell r="AM74">
            <v>6119.0779383138506</v>
          </cell>
          <cell r="AP74">
            <v>36379731.725139871</v>
          </cell>
          <cell r="AQ74">
            <v>10561440.624023998</v>
          </cell>
          <cell r="AR74">
            <v>10561440.624023998</v>
          </cell>
          <cell r="AU74">
            <v>7320267276.8284502</v>
          </cell>
          <cell r="AV74">
            <v>7320267276.8284502</v>
          </cell>
          <cell r="AX74">
            <v>7423579511.1173773</v>
          </cell>
        </row>
        <row r="75">
          <cell r="S75">
            <v>0.10343305823823183</v>
          </cell>
          <cell r="T75">
            <v>1.3616010637800136</v>
          </cell>
          <cell r="U75">
            <v>6495524935.4427309</v>
          </cell>
          <cell r="V75">
            <v>45348679.145851284</v>
          </cell>
          <cell r="W75">
            <v>807745.26498045237</v>
          </cell>
          <cell r="X75">
            <v>807745.26498045237</v>
          </cell>
          <cell r="Y75">
            <v>10002021481.162888</v>
          </cell>
          <cell r="AA75">
            <v>9291068399.3469143</v>
          </cell>
          <cell r="AB75">
            <v>9291068399.3469143</v>
          </cell>
          <cell r="AC75">
            <v>8855370274.4749928</v>
          </cell>
          <cell r="AG75">
            <v>696.82880989540104</v>
          </cell>
          <cell r="AM75">
            <v>6186.536882419874</v>
          </cell>
          <cell r="AP75">
            <v>40066177.361661568</v>
          </cell>
          <cell r="AQ75">
            <v>11626361.194746954</v>
          </cell>
          <cell r="AR75">
            <v>11626361.194746954</v>
          </cell>
          <cell r="AU75">
            <v>8208785820.8681345</v>
          </cell>
          <cell r="AV75">
            <v>8208785820.8681345</v>
          </cell>
          <cell r="AX75">
            <v>8136955340.7589016</v>
          </cell>
        </row>
        <row r="76">
          <cell r="S76">
            <v>0.10347900973209269</v>
          </cell>
          <cell r="T76">
            <v>1.3769611190604734</v>
          </cell>
          <cell r="U76">
            <v>7050045770.6340008</v>
          </cell>
          <cell r="V76">
            <v>48784134.65808107</v>
          </cell>
          <cell r="W76">
            <v>862453.48450976366</v>
          </cell>
          <cell r="X76">
            <v>862453.48450976366</v>
          </cell>
          <cell r="Y76">
            <v>10954773943.692162</v>
          </cell>
          <cell r="AA76">
            <v>10175674564.947639</v>
          </cell>
          <cell r="AB76">
            <v>10175674564.947639</v>
          </cell>
          <cell r="AC76">
            <v>9631059812.0207729</v>
          </cell>
          <cell r="AG76">
            <v>713.33335311828955</v>
          </cell>
          <cell r="AM76">
            <v>6252.8525141348637</v>
          </cell>
          <cell r="AP76">
            <v>44357780.055965163</v>
          </cell>
          <cell r="AQ76">
            <v>12801797.279745631</v>
          </cell>
          <cell r="AR76">
            <v>12801797.279745631</v>
          </cell>
          <cell r="AU76">
            <v>9252400138.6228733</v>
          </cell>
          <cell r="AV76">
            <v>9252400138.6228733</v>
          </cell>
          <cell r="AX76">
            <v>8967221139.1691341</v>
          </cell>
        </row>
        <row r="77">
          <cell r="S77">
            <v>0.1040702361930198</v>
          </cell>
          <cell r="T77">
            <v>1.3920972067985975</v>
          </cell>
          <cell r="U77">
            <v>7668030931.9150925</v>
          </cell>
          <cell r="V77">
            <v>52730556.19452665</v>
          </cell>
          <cell r="W77">
            <v>922547.74057516782</v>
          </cell>
          <cell r="X77">
            <v>922547.74057516782</v>
          </cell>
          <cell r="Y77">
            <v>12037542676.432966</v>
          </cell>
          <cell r="AA77">
            <v>11175449567.310593</v>
          </cell>
          <cell r="AB77">
            <v>11175449567.310593</v>
          </cell>
          <cell r="AC77">
            <v>10537376463.295721</v>
          </cell>
          <cell r="AG77">
            <v>731.32716829590845</v>
          </cell>
          <cell r="AM77">
            <v>6320.7783723382399</v>
          </cell>
          <cell r="AP77">
            <v>49500272.181302518</v>
          </cell>
          <cell r="AQ77">
            <v>14165771.297926629</v>
          </cell>
          <cell r="AR77">
            <v>14165771.297926629</v>
          </cell>
          <cell r="AU77">
            <v>10490839377.638004</v>
          </cell>
          <cell r="AV77">
            <v>10490839377.638004</v>
          </cell>
          <cell r="AX77">
            <v>9932177467.4563446</v>
          </cell>
        </row>
        <row r="78">
          <cell r="S78">
            <v>0.10641954063182628</v>
          </cell>
          <cell r="T78">
            <v>1.4072332945367219</v>
          </cell>
          <cell r="U78">
            <v>8352071947.1375685</v>
          </cell>
          <cell r="V78">
            <v>57114954.853510596</v>
          </cell>
          <cell r="W78">
            <v>989317.98695626971</v>
          </cell>
          <cell r="X78">
            <v>989317.98695626971</v>
          </cell>
          <cell r="Y78">
            <v>13251351291.350231</v>
          </cell>
          <cell r="AA78">
            <v>12276206786.692825</v>
          </cell>
          <cell r="AB78">
            <v>12276206786.692825</v>
          </cell>
          <cell r="AC78">
            <v>11548936066.009821</v>
          </cell>
          <cell r="AG78">
            <v>750.12277986637105</v>
          </cell>
          <cell r="AM78">
            <v>6386.6814302636958</v>
          </cell>
          <cell r="AP78">
            <v>55390803.321970053</v>
          </cell>
          <cell r="AQ78">
            <v>15706683.682059929</v>
          </cell>
          <cell r="AR78">
            <v>15706683.682059929</v>
          </cell>
          <cell r="AU78">
            <v>11905620120.082098</v>
          </cell>
          <cell r="AV78">
            <v>11905620120.082098</v>
          </cell>
          <cell r="AX78">
            <v>11029987925.405407</v>
          </cell>
        </row>
        <row r="79">
          <cell r="S79">
            <v>0.10876884507063275</v>
          </cell>
          <cell r="T79">
            <v>1.4236101899991491</v>
          </cell>
          <cell r="U79">
            <v>9108917658.5653496</v>
          </cell>
          <cell r="V79">
            <v>61924823.421115004</v>
          </cell>
          <cell r="W79">
            <v>1062646.9574489491</v>
          </cell>
          <cell r="X79">
            <v>1062646.9574489491</v>
          </cell>
          <cell r="Y79">
            <v>14609910376.19426</v>
          </cell>
          <cell r="AA79">
            <v>13506113742.441187</v>
          </cell>
          <cell r="AB79">
            <v>13506113742.441187</v>
          </cell>
          <cell r="AC79">
            <v>12669552113.924671</v>
          </cell>
          <cell r="AG79">
            <v>769.18133112789951</v>
          </cell>
          <cell r="AM79">
            <v>6455.0728962151661</v>
          </cell>
          <cell r="AP79">
            <v>62053790.07706634</v>
          </cell>
          <cell r="AQ79">
            <v>17449830.43230265</v>
          </cell>
          <cell r="AR79">
            <v>17449830.43230265</v>
          </cell>
          <cell r="AU79">
            <v>13534242015.208569</v>
          </cell>
          <cell r="AV79">
            <v>13534242015.208569</v>
          </cell>
          <cell r="AX79">
            <v>12262958500.235699</v>
          </cell>
        </row>
        <row r="80">
          <cell r="S80">
            <v>0.11111814950943923</v>
          </cell>
          <cell r="T80">
            <v>1.4407343430794501</v>
          </cell>
          <cell r="U80">
            <v>9934936695.4013214</v>
          </cell>
          <cell r="V80">
            <v>67135711.521761537</v>
          </cell>
          <cell r="W80">
            <v>1141945.0620559275</v>
          </cell>
          <cell r="X80">
            <v>1141945.0620559275</v>
          </cell>
          <cell r="Y80">
            <v>16110020498.019726</v>
          </cell>
          <cell r="AA80">
            <v>14861399769.017036</v>
          </cell>
          <cell r="AB80">
            <v>14861399769.017036</v>
          </cell>
          <cell r="AC80">
            <v>13895777130.748756</v>
          </cell>
          <cell r="AG80">
            <v>788.68616786453651</v>
          </cell>
          <cell r="AM80">
            <v>6520.5708681037622</v>
          </cell>
          <cell r="AP80">
            <v>69493116.457493618</v>
          </cell>
          <cell r="AQ80">
            <v>19384246.326787181</v>
          </cell>
          <cell r="AR80">
            <v>19384246.326787181</v>
          </cell>
          <cell r="AU80">
            <v>15383243306.133823</v>
          </cell>
          <cell r="AV80">
            <v>15383243306.133823</v>
          </cell>
          <cell r="AX80">
            <v>13627186260.997601</v>
          </cell>
        </row>
        <row r="81">
          <cell r="S81">
            <v>0.11346745394824571</v>
          </cell>
          <cell r="T81">
            <v>1.4578500472908298</v>
          </cell>
          <cell r="U81">
            <v>10817679266.22892</v>
          </cell>
          <cell r="V81">
            <v>72734081.314955309</v>
          </cell>
          <cell r="W81">
            <v>1226762.7725616803</v>
          </cell>
          <cell r="X81">
            <v>1226762.7725616803</v>
          </cell>
          <cell r="Y81">
            <v>17746907794.181087</v>
          </cell>
          <cell r="AA81">
            <v>16336876686.007847</v>
          </cell>
          <cell r="AB81">
            <v>16336876686.007847</v>
          </cell>
          <cell r="AC81">
            <v>15225336184.703201</v>
          </cell>
          <cell r="AG81">
            <v>808.97907814635209</v>
          </cell>
          <cell r="AM81">
            <v>6589.3343869731825</v>
          </cell>
          <cell r="AP81">
            <v>77888030.894983202</v>
          </cell>
          <cell r="AQ81">
            <v>21537090.277435221</v>
          </cell>
          <cell r="AR81">
            <v>21537090.277435221</v>
          </cell>
          <cell r="AU81">
            <v>17494510593.147125</v>
          </cell>
          <cell r="AV81">
            <v>17494510593.147125</v>
          </cell>
          <cell r="AX81">
            <v>15153346821.323185</v>
          </cell>
        </row>
        <row r="82">
          <cell r="S82">
            <v>0.11581675838705219</v>
          </cell>
          <cell r="T82">
            <v>1.4696773443765605</v>
          </cell>
          <cell r="U82">
            <v>11794612449.868916</v>
          </cell>
          <cell r="V82">
            <v>78422836.385761917</v>
          </cell>
          <cell r="W82">
            <v>1321001.7903436488</v>
          </cell>
          <cell r="X82">
            <v>1321001.7903436488</v>
          </cell>
          <cell r="Y82">
            <v>19587056118.025101</v>
          </cell>
          <cell r="AA82">
            <v>17992858029.841087</v>
          </cell>
          <cell r="AB82">
            <v>17992858029.841087</v>
          </cell>
          <cell r="AC82">
            <v>16835849790.363266</v>
          </cell>
          <cell r="AG82">
            <v>829.87196986578635</v>
          </cell>
          <cell r="AM82">
            <v>6654.5257628160962</v>
          </cell>
          <cell r="AP82">
            <v>86966305.659912959</v>
          </cell>
          <cell r="AQ82">
            <v>23995809.552632365</v>
          </cell>
          <cell r="AR82">
            <v>23995809.552632365</v>
          </cell>
          <cell r="AU82">
            <v>19953019595.229427</v>
          </cell>
          <cell r="AV82">
            <v>19953019595.229427</v>
          </cell>
          <cell r="AX82">
            <v>16969968861.413021</v>
          </cell>
        </row>
        <row r="83">
          <cell r="S83">
            <v>0.11816606282585866</v>
          </cell>
          <cell r="T83">
            <v>1.4815046414622914</v>
          </cell>
          <cell r="U83">
            <v>12836548704.304585</v>
          </cell>
          <cell r="V83">
            <v>84504757.433601394</v>
          </cell>
          <cell r="W83">
            <v>1421718.7328522904</v>
          </cell>
          <cell r="X83">
            <v>1421718.7328522904</v>
          </cell>
          <cell r="Y83">
            <v>21593260474.969181</v>
          </cell>
          <cell r="AA83">
            <v>19794101004.020882</v>
          </cell>
          <cell r="AB83">
            <v>19794101004.020882</v>
          </cell>
          <cell r="AC83">
            <v>18589903454.143238</v>
          </cell>
          <cell r="AG83">
            <v>851.64994456382419</v>
          </cell>
          <cell r="AM83">
            <v>6722.8629024654092</v>
          </cell>
          <cell r="AP83">
            <v>97164280.899208426</v>
          </cell>
          <cell r="AQ83">
            <v>26727075.556023017</v>
          </cell>
          <cell r="AR83">
            <v>26727075.556023017</v>
          </cell>
          <cell r="AU83">
            <v>22759423830.228523</v>
          </cell>
          <cell r="AV83">
            <v>22759423830.228523</v>
          </cell>
          <cell r="AX83">
            <v>19009284032.176544</v>
          </cell>
        </row>
        <row r="84">
          <cell r="S84">
            <v>0.12051536726466514</v>
          </cell>
          <cell r="T84">
            <v>1.4931686639959589</v>
          </cell>
          <cell r="U84">
            <v>13857782574.163828</v>
          </cell>
          <cell r="V84">
            <v>90580818.940346658</v>
          </cell>
          <cell r="W84">
            <v>1512092.3030839723</v>
          </cell>
          <cell r="X84">
            <v>1512092.3030839723</v>
          </cell>
          <cell r="Y84">
            <v>23514158109.676781</v>
          </cell>
          <cell r="AA84">
            <v>21509755927.091911</v>
          </cell>
          <cell r="AB84">
            <v>21509755927.091911</v>
          </cell>
          <cell r="AC84">
            <v>20274225209.913509</v>
          </cell>
          <cell r="AG84">
            <v>866.0189912504128</v>
          </cell>
          <cell r="AM84">
            <v>6788.5499964596729</v>
          </cell>
          <cell r="AP84">
            <v>106684843.76520823</v>
          </cell>
          <cell r="AQ84">
            <v>29318203.822678372</v>
          </cell>
          <cell r="AR84">
            <v>29318203.822678372</v>
          </cell>
          <cell r="AU84">
            <v>25333894938.84808</v>
          </cell>
          <cell r="AV84">
            <v>25333894938.84808</v>
          </cell>
          <cell r="AX84">
            <v>20803890323.648132</v>
          </cell>
        </row>
        <row r="85">
          <cell r="S85">
            <v>0.12286467170347161</v>
          </cell>
          <cell r="T85">
            <v>1.5036865379346254</v>
          </cell>
          <cell r="U85">
            <v>14934474959.370605</v>
          </cell>
          <cell r="V85">
            <v>96966948.083259702</v>
          </cell>
          <cell r="W85">
            <v>1603406.1868647053</v>
          </cell>
          <cell r="X85">
            <v>1603406.1868647053</v>
          </cell>
          <cell r="Y85">
            <v>25537334905.324326</v>
          </cell>
          <cell r="AA85">
            <v>23311596613.193634</v>
          </cell>
          <cell r="AB85">
            <v>23311596613.193634</v>
          </cell>
          <cell r="AC85">
            <v>22067367177.435516</v>
          </cell>
          <cell r="AG85">
            <v>878.47779186459911</v>
          </cell>
          <cell r="AM85">
            <v>6856.4683073228825</v>
          </cell>
          <cell r="AP85">
            <v>116647462.52735671</v>
          </cell>
          <cell r="AQ85">
            <v>32060125.120570127</v>
          </cell>
          <cell r="AR85">
            <v>32060125.120570127</v>
          </cell>
          <cell r="AU85">
            <v>28042942942.326218</v>
          </cell>
          <cell r="AV85">
            <v>28042942942.326218</v>
          </cell>
          <cell r="AX85">
            <v>22654799858.884232</v>
          </cell>
        </row>
        <row r="86">
          <cell r="S86">
            <v>0.12521397614227808</v>
          </cell>
          <cell r="T86">
            <v>1.5142044118732918</v>
          </cell>
          <cell r="U86">
            <v>16072054103.324987</v>
          </cell>
          <cell r="V86">
            <v>103704611.8403194</v>
          </cell>
          <cell r="W86">
            <v>1699131.77894173</v>
          </cell>
          <cell r="X86">
            <v>1699131.77894173</v>
          </cell>
          <cell r="Y86">
            <v>27701138193.152557</v>
          </cell>
          <cell r="AA86">
            <v>25234015262.881088</v>
          </cell>
          <cell r="AB86">
            <v>25234015262.881088</v>
          </cell>
          <cell r="AC86">
            <v>23983797493.578083</v>
          </cell>
          <cell r="AG86">
            <v>891.19487646271932</v>
          </cell>
          <cell r="AM86">
            <v>6922.6465623783333</v>
          </cell>
          <cell r="AP86">
            <v>127463305.61667967</v>
          </cell>
          <cell r="AQ86">
            <v>35025222.159434274</v>
          </cell>
          <cell r="AR86">
            <v>35025222.159434274</v>
          </cell>
          <cell r="AU86">
            <v>31015120179.429291</v>
          </cell>
          <cell r="AV86">
            <v>31015120179.429291</v>
          </cell>
          <cell r="AX86">
            <v>24645979274.749748</v>
          </cell>
        </row>
        <row r="87">
          <cell r="S87">
            <v>0.12756328058108457</v>
          </cell>
          <cell r="T87">
            <v>1.5391966666873156</v>
          </cell>
          <cell r="U87">
            <v>17289677450.612583</v>
          </cell>
          <cell r="V87">
            <v>110930047.43179739</v>
          </cell>
          <cell r="W87">
            <v>1804548.8986474797</v>
          </cell>
          <cell r="X87">
            <v>1804548.8986474797</v>
          </cell>
          <cell r="Y87">
            <v>29976425552.207268</v>
          </cell>
          <cell r="AA87">
            <v>27249766572.017162</v>
          </cell>
          <cell r="AB87">
            <v>27249766572.017162</v>
          </cell>
          <cell r="AC87">
            <v>25878777761.175968</v>
          </cell>
          <cell r="AG87">
            <v>904.18238603221982</v>
          </cell>
          <cell r="AM87">
            <v>6990.1533759886324</v>
          </cell>
          <cell r="AP87">
            <v>138527951.69789848</v>
          </cell>
          <cell r="AQ87">
            <v>37956038.273600116</v>
          </cell>
          <cell r="AR87">
            <v>37956038.273600116</v>
          </cell>
          <cell r="AU87">
            <v>34029142102.262943</v>
          </cell>
          <cell r="AV87">
            <v>34029142102.262943</v>
          </cell>
          <cell r="AX87">
            <v>26789996483.686836</v>
          </cell>
        </row>
        <row r="88">
          <cell r="S88">
            <v>0.12991331001680462</v>
          </cell>
          <cell r="T88">
            <v>1.5696003070025837</v>
          </cell>
          <cell r="U88">
            <v>18666386906.026012</v>
          </cell>
          <cell r="V88">
            <v>119333409.39711544</v>
          </cell>
          <cell r="W88">
            <v>1927734.871682921</v>
          </cell>
          <cell r="X88">
            <v>1927734.871682921</v>
          </cell>
          <cell r="Y88">
            <v>32622111007.832851</v>
          </cell>
          <cell r="AA88">
            <v>29593123195.027565</v>
          </cell>
          <cell r="AB88">
            <v>29593123195.027565</v>
          </cell>
          <cell r="AC88">
            <v>28044646741.867851</v>
          </cell>
          <cell r="AG88">
            <v>917.45568702740911</v>
          </cell>
          <cell r="AM88">
            <v>7056.8177050953855</v>
          </cell>
          <cell r="AP88">
            <v>152218168.59061143</v>
          </cell>
          <cell r="AQ88">
            <v>41581510.993724637</v>
          </cell>
          <cell r="AR88">
            <v>41581510.993724637</v>
          </cell>
          <cell r="AU88">
            <v>37748112941.557549</v>
          </cell>
          <cell r="AV88">
            <v>37748112941.557549</v>
          </cell>
          <cell r="AX88">
            <v>29280279159.512646</v>
          </cell>
        </row>
        <row r="89">
          <cell r="S89">
            <v>0.13226380256095982</v>
          </cell>
          <cell r="T89">
            <v>1.6023779951503889</v>
          </cell>
          <cell r="U89">
            <v>20192544048.851547</v>
          </cell>
          <cell r="V89">
            <v>128332889.11724181</v>
          </cell>
          <cell r="W89">
            <v>2058487.8505857396</v>
          </cell>
          <cell r="X89">
            <v>2058487.8505857396</v>
          </cell>
          <cell r="Y89">
            <v>35493058859.010101</v>
          </cell>
          <cell r="AA89">
            <v>32130661819.445267</v>
          </cell>
          <cell r="AB89">
            <v>32130661819.445267</v>
          </cell>
          <cell r="AC89">
            <v>30322613810.35318</v>
          </cell>
          <cell r="AG89">
            <v>932.78340141768695</v>
          </cell>
          <cell r="AM89">
            <v>7123.9201449359607</v>
          </cell>
          <cell r="AP89">
            <v>166206080.61936671</v>
          </cell>
          <cell r="AQ89">
            <v>45179395.486005567</v>
          </cell>
          <cell r="AR89">
            <v>45179395.486005567</v>
          </cell>
          <cell r="AU89">
            <v>41612959900.22908</v>
          </cell>
          <cell r="AV89">
            <v>41612959900.22908</v>
          </cell>
          <cell r="AX89">
            <v>31939660317.608337</v>
          </cell>
        </row>
        <row r="90">
          <cell r="S90">
            <v>0.13461429510511502</v>
          </cell>
          <cell r="T90">
            <v>1.6363170347148408</v>
          </cell>
          <cell r="U90">
            <v>21850074628.339069</v>
          </cell>
          <cell r="V90">
            <v>137902739.41530532</v>
          </cell>
          <cell r="W90">
            <v>2196563.9090247136</v>
          </cell>
          <cell r="X90">
            <v>2196563.9090247136</v>
          </cell>
          <cell r="Y90">
            <v>38585203816.21225</v>
          </cell>
          <cell r="AA90">
            <v>34857514207.463341</v>
          </cell>
          <cell r="AB90">
            <v>34857514207.463341</v>
          </cell>
          <cell r="AC90">
            <v>32728160356.524639</v>
          </cell>
          <cell r="AG90">
            <v>949.53139442740417</v>
          </cell>
          <cell r="AM90">
            <v>7191.0650393413598</v>
          </cell>
          <cell r="AP90">
            <v>180788198.13643968</v>
          </cell>
          <cell r="AQ90">
            <v>48840208.79932183</v>
          </cell>
          <cell r="AR90">
            <v>48840208.79932183</v>
          </cell>
          <cell r="AU90">
            <v>45697621467.142723</v>
          </cell>
          <cell r="AV90">
            <v>45697621467.142723</v>
          </cell>
          <cell r="AX90">
            <v>34798712630.081467</v>
          </cell>
        </row>
        <row r="91">
          <cell r="S91">
            <v>0.13696478764927025</v>
          </cell>
          <cell r="T91">
            <v>1.67109343458208</v>
          </cell>
          <cell r="U91">
            <v>23656975696.15255</v>
          </cell>
          <cell r="V91">
            <v>148228295.13101363</v>
          </cell>
          <cell r="W91">
            <v>2345733.6044574883</v>
          </cell>
          <cell r="X91">
            <v>2345733.6044574883</v>
          </cell>
          <cell r="Y91">
            <v>41976420061.966797</v>
          </cell>
          <cell r="AA91">
            <v>37842711604.529068</v>
          </cell>
          <cell r="AB91">
            <v>37842711604.529068</v>
          </cell>
          <cell r="AC91">
            <v>35054300589.923546</v>
          </cell>
          <cell r="AG91">
            <v>966.60518423712551</v>
          </cell>
          <cell r="AM91">
            <v>7257.7700307679652</v>
          </cell>
          <cell r="AP91">
            <v>196765601.8053076</v>
          </cell>
          <cell r="AQ91">
            <v>52849782.056282088</v>
          </cell>
          <cell r="AR91">
            <v>52849782.056282088</v>
          </cell>
          <cell r="AU91">
            <v>50234295120.432167</v>
          </cell>
          <cell r="AV91">
            <v>50234295120.432167</v>
          </cell>
          <cell r="AX91">
            <v>37628723536.894958</v>
          </cell>
        </row>
        <row r="92">
          <cell r="S92">
            <v>0.13931528019342546</v>
          </cell>
          <cell r="T92">
            <v>1.7059974354722687</v>
          </cell>
          <cell r="U92">
            <v>25811153388.614758</v>
          </cell>
          <cell r="V92">
            <v>159279273.11246562</v>
          </cell>
          <cell r="W92">
            <v>2526521.2778080693</v>
          </cell>
          <cell r="X92">
            <v>2526521.2778080693</v>
          </cell>
          <cell r="Y92">
            <v>46043700324.281815</v>
          </cell>
          <cell r="AA92">
            <v>41423821529.345627</v>
          </cell>
          <cell r="AB92">
            <v>41423821529.345627</v>
          </cell>
          <cell r="AC92">
            <v>37864964847.276077</v>
          </cell>
          <cell r="AG92">
            <v>983.86767349719514</v>
          </cell>
          <cell r="AM92">
            <v>7325.3896513009249</v>
          </cell>
          <cell r="AP92">
            <v>214378857.28470048</v>
          </cell>
          <cell r="AQ92">
            <v>57746420.99609299</v>
          </cell>
          <cell r="AR92">
            <v>57746420.99609299</v>
          </cell>
          <cell r="AU92">
            <v>55753591476.752464</v>
          </cell>
          <cell r="AV92">
            <v>55753591476.752464</v>
          </cell>
          <cell r="AX92">
            <v>41053068839.388565</v>
          </cell>
        </row>
        <row r="93">
          <cell r="S93">
            <v>0.14166577273758066</v>
          </cell>
          <cell r="T93">
            <v>1.7346804508232723</v>
          </cell>
          <cell r="U93">
            <v>27975026911.421329</v>
          </cell>
          <cell r="V93">
            <v>170750319.60589182</v>
          </cell>
          <cell r="W93">
            <v>2713751.9184965808</v>
          </cell>
          <cell r="X93">
            <v>2713751.9184965808</v>
          </cell>
          <cell r="Y93">
            <v>50343176933.132568</v>
          </cell>
          <cell r="AA93">
            <v>45198654097.097015</v>
          </cell>
          <cell r="AB93">
            <v>45198654097.097015</v>
          </cell>
          <cell r="AC93">
            <v>40757515317.999512</v>
          </cell>
          <cell r="AG93">
            <v>1000.7477813182971</v>
          </cell>
          <cell r="AM93">
            <v>7391.703930648232</v>
          </cell>
          <cell r="AP93">
            <v>235053901.13709393</v>
          </cell>
          <cell r="AQ93">
            <v>63487873.328489162</v>
          </cell>
          <cell r="AR93">
            <v>63487873.328489162</v>
          </cell>
          <cell r="AU93">
            <v>62220205480.084831</v>
          </cell>
          <cell r="AV93">
            <v>62220205480.084831</v>
          </cell>
          <cell r="AX93">
            <v>44824052710.078949</v>
          </cell>
        </row>
        <row r="94">
          <cell r="S94">
            <v>0.14401626528173586</v>
          </cell>
          <cell r="T94">
            <v>1.7579357949582297</v>
          </cell>
          <cell r="U94">
            <v>29974178071.902203</v>
          </cell>
          <cell r="V94">
            <v>181506934.57265469</v>
          </cell>
          <cell r="W94">
            <v>2872863.0074659074</v>
          </cell>
          <cell r="X94">
            <v>2872863.0074659074</v>
          </cell>
          <cell r="Y94">
            <v>54228313840.347916</v>
          </cell>
          <cell r="AA94">
            <v>48586740742.421165</v>
          </cell>
          <cell r="AB94">
            <v>48586740742.421165</v>
          </cell>
          <cell r="AC94">
            <v>43226779192.588104</v>
          </cell>
          <cell r="AG94">
            <v>1017.6265919116049</v>
          </cell>
          <cell r="AM94">
            <v>7459.7921847068637</v>
          </cell>
          <cell r="AP94">
            <v>253268467.61687705</v>
          </cell>
          <cell r="AQ94">
            <v>68170175.666755423</v>
          </cell>
          <cell r="AR94">
            <v>68170175.666755423</v>
          </cell>
          <cell r="AU94">
            <v>67796249235.897827</v>
          </cell>
          <cell r="AV94">
            <v>67796249235.897827</v>
          </cell>
          <cell r="AX94">
            <v>48317081930.936668</v>
          </cell>
        </row>
        <row r="95">
          <cell r="S95">
            <v>0.14636675782589106</v>
          </cell>
          <cell r="T95">
            <v>1.7811911390931869</v>
          </cell>
          <cell r="U95">
            <v>32049316500.861195</v>
          </cell>
          <cell r="V95">
            <v>192661055.5906969</v>
          </cell>
          <cell r="W95">
            <v>3033716.1890350459</v>
          </cell>
          <cell r="X95">
            <v>3033716.1890350459</v>
          </cell>
          <cell r="Y95">
            <v>58250296817.999451</v>
          </cell>
          <cell r="AA95">
            <v>52083291696.005013</v>
          </cell>
          <cell r="AB95">
            <v>52083291696.005013</v>
          </cell>
          <cell r="AC95">
            <v>45733285748.444115</v>
          </cell>
          <cell r="AG95">
            <v>1035.1262670458379</v>
          </cell>
          <cell r="AM95">
            <v>7525.7223076748915</v>
          </cell>
          <cell r="AP95">
            <v>271987184.13382798</v>
          </cell>
          <cell r="AQ95">
            <v>72832996.432379365</v>
          </cell>
          <cell r="AR95">
            <v>72832996.432379365</v>
          </cell>
          <cell r="AU95">
            <v>73528029862.518967</v>
          </cell>
          <cell r="AV95">
            <v>73528029862.518967</v>
          </cell>
          <cell r="AX95">
            <v>51944961806.180618</v>
          </cell>
        </row>
        <row r="96">
          <cell r="S96">
            <v>0.14871725037004627</v>
          </cell>
          <cell r="T96">
            <v>1.8044464832281444</v>
          </cell>
          <cell r="U96">
            <v>34236804724.767616</v>
          </cell>
          <cell r="V96">
            <v>204462303.87160629</v>
          </cell>
          <cell r="W96">
            <v>3203215.6971941339</v>
          </cell>
          <cell r="X96">
            <v>3203215.6971941339</v>
          </cell>
          <cell r="Y96">
            <v>62546013786.006081</v>
          </cell>
          <cell r="AA96">
            <v>55809786185.420319</v>
          </cell>
          <cell r="AB96">
            <v>55809786185.420319</v>
          </cell>
          <cell r="AC96">
            <v>48379612495.228592</v>
          </cell>
          <cell r="AG96">
            <v>1053.5470795957408</v>
          </cell>
          <cell r="AM96">
            <v>7594.2729140195461</v>
          </cell>
          <cell r="AP96">
            <v>292398692.47497314</v>
          </cell>
          <cell r="AQ96">
            <v>77835321.513365582</v>
          </cell>
          <cell r="AR96">
            <v>77835321.513365582</v>
          </cell>
          <cell r="AU96">
            <v>79812797757.43985</v>
          </cell>
          <cell r="AV96">
            <v>79812797757.43985</v>
          </cell>
          <cell r="AX96">
            <v>55903836864.947113</v>
          </cell>
        </row>
        <row r="97">
          <cell r="S97">
            <v>0.15106774291420147</v>
          </cell>
          <cell r="T97">
            <v>1.8288695352460058</v>
          </cell>
          <cell r="U97">
            <v>36385957102.171638</v>
          </cell>
          <cell r="V97">
            <v>216625656.41188705</v>
          </cell>
          <cell r="W97">
            <v>3392975.382362423</v>
          </cell>
          <cell r="X97">
            <v>3392975.382362423</v>
          </cell>
          <cell r="Y97">
            <v>67133515610.410233</v>
          </cell>
          <cell r="AA97">
            <v>59780889460.473389</v>
          </cell>
          <cell r="AB97">
            <v>59780889460.473389</v>
          </cell>
          <cell r="AC97">
            <v>51062955348.447113</v>
          </cell>
          <cell r="AG97">
            <v>1073.8008821700166</v>
          </cell>
          <cell r="AM97">
            <v>7659.8252634231749</v>
          </cell>
          <cell r="AP97">
            <v>317542832.05007225</v>
          </cell>
          <cell r="AQ97">
            <v>84018885.274561882</v>
          </cell>
          <cell r="AR97">
            <v>84018885.274561882</v>
          </cell>
          <cell r="AU97">
            <v>87630400092.855148</v>
          </cell>
          <cell r="AV97">
            <v>87630400092.855148</v>
          </cell>
          <cell r="AX97">
            <v>60231630731.196541</v>
          </cell>
        </row>
        <row r="98">
          <cell r="S98">
            <v>0.15341823545835667</v>
          </cell>
          <cell r="T98">
            <v>1.8536713304558519</v>
          </cell>
          <cell r="U98">
            <v>38572979060.637901</v>
          </cell>
          <cell r="V98">
            <v>229852874.50558558</v>
          </cell>
          <cell r="W98">
            <v>3603461.743384907</v>
          </cell>
          <cell r="X98">
            <v>3603461.743384907</v>
          </cell>
          <cell r="Y98">
            <v>72156816115.821823</v>
          </cell>
          <cell r="AA98">
            <v>64123085837.39888</v>
          </cell>
          <cell r="AB98">
            <v>64123085837.39888</v>
          </cell>
          <cell r="AC98">
            <v>54046801139.011467</v>
          </cell>
          <cell r="AG98">
            <v>1095.0579250157678</v>
          </cell>
          <cell r="AM98">
            <v>7728.6470626701648</v>
          </cell>
          <cell r="AP98">
            <v>348567093.45974612</v>
          </cell>
          <cell r="AQ98">
            <v>91610567.605850548</v>
          </cell>
          <cell r="AR98">
            <v>91610567.605850548</v>
          </cell>
          <cell r="AU98">
            <v>97241323181.576263</v>
          </cell>
          <cell r="AV98">
            <v>97241323181.576263</v>
          </cell>
          <cell r="AX98">
            <v>65229486476.579796</v>
          </cell>
        </row>
        <row r="99">
          <cell r="S99">
            <v>0.15347900973209266</v>
          </cell>
          <cell r="T99">
            <v>1.8784731256656977</v>
          </cell>
          <cell r="U99">
            <v>40704893311.344177</v>
          </cell>
          <cell r="V99">
            <v>242747761.12996173</v>
          </cell>
          <cell r="W99">
            <v>3809032.0545267486</v>
          </cell>
          <cell r="X99">
            <v>3809032.0545267486</v>
          </cell>
          <cell r="Y99">
            <v>77180811584.785461</v>
          </cell>
          <cell r="AA99">
            <v>68584110509.977348</v>
          </cell>
          <cell r="AB99">
            <v>68584110509.977348</v>
          </cell>
          <cell r="AC99">
            <v>56942500170.222191</v>
          </cell>
          <cell r="AG99">
            <v>1117.8933963347554</v>
          </cell>
          <cell r="AM99">
            <v>7794.0125995524631</v>
          </cell>
          <cell r="AP99">
            <v>380381418.26426846</v>
          </cell>
          <cell r="AQ99">
            <v>99184057.213957101</v>
          </cell>
          <cell r="AR99">
            <v>99184057.213957101</v>
          </cell>
          <cell r="AU99">
            <v>107470079661.04991</v>
          </cell>
          <cell r="AV99">
            <v>107470079661.04991</v>
          </cell>
          <cell r="AX99">
            <v>70349529528.941055</v>
          </cell>
        </row>
        <row r="100">
          <cell r="S100">
            <v>0.15347900973209266</v>
          </cell>
          <cell r="T100">
            <v>1.9034920622333209</v>
          </cell>
          <cell r="U100">
            <v>42944953237.458641</v>
          </cell>
          <cell r="V100">
            <v>256084207.73957387</v>
          </cell>
          <cell r="W100">
            <v>4023454.2498940504</v>
          </cell>
          <cell r="X100">
            <v>4023454.2498940504</v>
          </cell>
          <cell r="Y100">
            <v>82481715328.378143</v>
          </cell>
          <cell r="AA100">
            <v>73294578833.492371</v>
          </cell>
          <cell r="AB100">
            <v>73294578833.492371</v>
          </cell>
          <cell r="AC100">
            <v>59888167806.454376</v>
          </cell>
          <cell r="AG100">
            <v>1143.6437947639824</v>
          </cell>
          <cell r="AM100">
            <v>7862.436174456041</v>
          </cell>
          <cell r="AP100">
            <v>413796321.90486884</v>
          </cell>
          <cell r="AQ100">
            <v>106841405.87848151</v>
          </cell>
          <cell r="AR100">
            <v>106841405.87848151</v>
          </cell>
          <cell r="AU100">
            <v>118433805054.11273</v>
          </cell>
          <cell r="AV100">
            <v>118433805054.11273</v>
          </cell>
          <cell r="AX100">
            <v>75914758269.581772</v>
          </cell>
        </row>
        <row r="101">
          <cell r="S101">
            <v>0.15347900973209266</v>
          </cell>
          <cell r="T101">
            <v>1.9285778842458567</v>
          </cell>
          <cell r="U101">
            <v>45289928768.741196</v>
          </cell>
          <cell r="V101">
            <v>270302657.32136095</v>
          </cell>
          <cell r="W101">
            <v>4252843.0931066032</v>
          </cell>
          <cell r="X101">
            <v>4252843.0931066032</v>
          </cell>
          <cell r="Y101">
            <v>88194085802.357605</v>
          </cell>
          <cell r="AA101">
            <v>78370683111.444412</v>
          </cell>
          <cell r="AB101">
            <v>78370683111.444412</v>
          </cell>
          <cell r="AC101">
            <v>63013316525.027679</v>
          </cell>
          <cell r="AG101">
            <v>1172.2120066579776</v>
          </cell>
          <cell r="AM101">
            <v>7928.2838700936845</v>
          </cell>
          <cell r="AP101">
            <v>451199292.32264781</v>
          </cell>
          <cell r="AQ101">
            <v>115138416.11207873</v>
          </cell>
          <cell r="AR101">
            <v>115138416.11207873</v>
          </cell>
          <cell r="AU101">
            <v>130819271660.67775</v>
          </cell>
          <cell r="AV101">
            <v>130819271660.67775</v>
          </cell>
          <cell r="AX101">
            <v>82108704528.079819</v>
          </cell>
        </row>
        <row r="102">
          <cell r="S102">
            <v>0.15347900973209266</v>
          </cell>
          <cell r="T102">
            <v>1.9536637062583928</v>
          </cell>
          <cell r="U102">
            <v>47819530481.478462</v>
          </cell>
          <cell r="V102">
            <v>285521704.77766055</v>
          </cell>
          <cell r="W102">
            <v>4506399.3858098444</v>
          </cell>
          <cell r="X102">
            <v>4506399.3858098444</v>
          </cell>
          <cell r="Y102">
            <v>94522309504.019165</v>
          </cell>
          <cell r="AA102">
            <v>83994044472.575409</v>
          </cell>
          <cell r="AB102">
            <v>83994044472.575409</v>
          </cell>
          <cell r="AC102">
            <v>66389540030.708328</v>
          </cell>
          <cell r="AG102">
            <v>1202.6132948850413</v>
          </cell>
          <cell r="AM102">
            <v>7996.3157135581278</v>
          </cell>
          <cell r="AP102">
            <v>493420885.89238662</v>
          </cell>
          <cell r="AQ102">
            <v>124524722.70054984</v>
          </cell>
          <cell r="AR102">
            <v>124524722.70054984</v>
          </cell>
          <cell r="AU102">
            <v>145153293567.00217</v>
          </cell>
          <cell r="AV102">
            <v>145153293567.00217</v>
          </cell>
          <cell r="AX102">
            <v>89062508238.885483</v>
          </cell>
        </row>
        <row r="103">
          <cell r="S103">
            <v>0.15347900973209266</v>
          </cell>
          <cell r="T103">
            <v>1.9780058826983264</v>
          </cell>
          <cell r="U103">
            <v>50450453398.173172</v>
          </cell>
          <cell r="V103">
            <v>303139982.23540616</v>
          </cell>
          <cell r="W103">
            <v>4800526.4388109744</v>
          </cell>
          <cell r="X103">
            <v>4800526.4388109744</v>
          </cell>
          <cell r="Y103">
            <v>101832263841.24673</v>
          </cell>
          <cell r="AA103">
            <v>90489787466.111572</v>
          </cell>
          <cell r="AB103">
            <v>90489787466.111572</v>
          </cell>
          <cell r="AC103">
            <v>70283786833.755859</v>
          </cell>
          <cell r="AG103">
            <v>1230.3068971018783</v>
          </cell>
          <cell r="AM103">
            <v>8062.6384257945538</v>
          </cell>
          <cell r="AP103">
            <v>549454377.55329752</v>
          </cell>
          <cell r="AQ103">
            <v>137540062.0396916</v>
          </cell>
          <cell r="AR103">
            <v>137540062.0396916</v>
          </cell>
          <cell r="AU103">
            <v>164016668076.83582</v>
          </cell>
          <cell r="AV103">
            <v>164016668076.83582</v>
          </cell>
          <cell r="AX103">
            <v>96933430584.929794</v>
          </cell>
        </row>
        <row r="104">
          <cell r="S104">
            <v>0.15347900973209266</v>
          </cell>
          <cell r="T104">
            <v>1.9992373411708373</v>
          </cell>
          <cell r="U104">
            <v>53077354163.383034</v>
          </cell>
          <cell r="V104">
            <v>320849196.19199675</v>
          </cell>
          <cell r="W104">
            <v>5096874.3090385376</v>
          </cell>
          <cell r="X104">
            <v>5096874.3090385376</v>
          </cell>
          <cell r="Y104">
            <v>109329968802.62756</v>
          </cell>
          <cell r="AA104">
            <v>97152368683.952972</v>
          </cell>
          <cell r="AB104">
            <v>97152368683.952972</v>
          </cell>
          <cell r="AC104">
            <v>73965929359.287247</v>
          </cell>
          <cell r="AG104">
            <v>1254.210236385484</v>
          </cell>
          <cell r="AM104">
            <v>8130.2848669690393</v>
          </cell>
          <cell r="AP104">
            <v>608488392.93451893</v>
          </cell>
          <cell r="AQ104">
            <v>151561566.30736434</v>
          </cell>
          <cell r="AR104">
            <v>151561566.30736434</v>
          </cell>
          <cell r="AU104">
            <v>184248829019.67831</v>
          </cell>
          <cell r="AV104">
            <v>184248829019.67831</v>
          </cell>
          <cell r="AX104">
            <v>104386953865.66061</v>
          </cell>
        </row>
        <row r="105">
          <cell r="S105">
            <v>0.15347900973209266</v>
          </cell>
          <cell r="T105">
            <v>2.0204687996433486</v>
          </cell>
          <cell r="U105">
            <v>55810528579.21714</v>
          </cell>
          <cell r="V105">
            <v>338722020.87778044</v>
          </cell>
          <cell r="W105">
            <v>5397217.0525531843</v>
          </cell>
          <cell r="X105">
            <v>5397217.0525531843</v>
          </cell>
          <cell r="Y105">
            <v>117055178953.47417</v>
          </cell>
          <cell r="AA105">
            <v>104017114672.22794</v>
          </cell>
          <cell r="AB105">
            <v>104017114672.22794</v>
          </cell>
          <cell r="AC105">
            <v>77658931157.468292</v>
          </cell>
          <cell r="AG105">
            <v>1269.2208620900194</v>
          </cell>
          <cell r="AM105">
            <v>8197.0754516970574</v>
          </cell>
          <cell r="AP105">
            <v>668320280.64202249</v>
          </cell>
          <cell r="AQ105">
            <v>166825908.53923759</v>
          </cell>
          <cell r="AR105">
            <v>166825908.53923759</v>
          </cell>
          <cell r="AU105">
            <v>205232441307.38181</v>
          </cell>
          <cell r="AV105">
            <v>205232441307.38181</v>
          </cell>
          <cell r="AX105">
            <v>111239449348.48993</v>
          </cell>
        </row>
        <row r="106">
          <cell r="S106">
            <v>0.15347900973209266</v>
          </cell>
          <cell r="T106">
            <v>2.0417002581158594</v>
          </cell>
          <cell r="U106">
            <v>58653008897.33213</v>
          </cell>
          <cell r="V106">
            <v>357319349.74535513</v>
          </cell>
          <cell r="W106">
            <v>5710487.0083116433</v>
          </cell>
          <cell r="X106">
            <v>5710487.0083116433</v>
          </cell>
          <cell r="Y106">
            <v>125206590684.0593</v>
          </cell>
          <cell r="AA106">
            <v>111260590239.06149</v>
          </cell>
          <cell r="AB106">
            <v>111260590239.06149</v>
          </cell>
          <cell r="AC106">
            <v>81491429140.454346</v>
          </cell>
          <cell r="AG106">
            <v>1282.7316888906832</v>
          </cell>
          <cell r="AM106">
            <v>8264.3426622219631</v>
          </cell>
          <cell r="AP106">
            <v>732338454.82972753</v>
          </cell>
          <cell r="AQ106">
            <v>183406840.55342221</v>
          </cell>
          <cell r="AR106">
            <v>183406840.55342221</v>
          </cell>
          <cell r="AU106">
            <v>228032455553.23288</v>
          </cell>
          <cell r="AV106">
            <v>228032455553.23288</v>
          </cell>
          <cell r="AX106">
            <v>118313246408.58868</v>
          </cell>
        </row>
        <row r="107">
          <cell r="S107">
            <v>0.15347900973209266</v>
          </cell>
          <cell r="T107">
            <v>2.057931760969598</v>
          </cell>
          <cell r="U107">
            <v>61462609122.091049</v>
          </cell>
          <cell r="V107">
            <v>378004583.32131648</v>
          </cell>
          <cell r="W107">
            <v>6064078.8622681443</v>
          </cell>
          <cell r="X107">
            <v>6064078.8622681443</v>
          </cell>
          <cell r="AA107">
            <v>119430517348.11328</v>
          </cell>
          <cell r="AB107">
            <v>119430517348.11328</v>
          </cell>
          <cell r="AC107">
            <v>85636742636.445541</v>
          </cell>
          <cell r="AG107">
            <v>1296.3354206516033</v>
          </cell>
          <cell r="AM107">
            <v>8331.5939989486415</v>
          </cell>
          <cell r="AP107">
            <v>815195520.71470118</v>
          </cell>
          <cell r="AQ107">
            <v>204982758.97529167</v>
          </cell>
          <cell r="AR107">
            <v>204982758.97529167</v>
          </cell>
          <cell r="AU107">
            <v>257560958450.23859</v>
          </cell>
          <cell r="AV107">
            <v>257560958450.23859</v>
          </cell>
          <cell r="AX107">
            <v>126073538801.40872</v>
          </cell>
        </row>
        <row r="108">
          <cell r="S108">
            <v>0.15347900973209266</v>
          </cell>
          <cell r="T108">
            <v>2.0690942637153849</v>
          </cell>
          <cell r="U108">
            <v>64091622762.342255</v>
          </cell>
          <cell r="V108">
            <v>397005214.101143</v>
          </cell>
          <cell r="W108">
            <v>6385463.5526462551</v>
          </cell>
          <cell r="X108">
            <v>6385463.5526462551</v>
          </cell>
          <cell r="AA108">
            <v>127108683812.42368</v>
          </cell>
          <cell r="AB108">
            <v>127108683812.42368</v>
          </cell>
          <cell r="AC108">
            <v>89847811456.642548</v>
          </cell>
          <cell r="AG108">
            <v>1310.0318117774186</v>
          </cell>
          <cell r="AM108">
            <v>8398.4879988131961</v>
          </cell>
          <cell r="AP108">
            <v>893222724.60364544</v>
          </cell>
          <cell r="AQ108">
            <v>225222420.76978984</v>
          </cell>
          <cell r="AR108">
            <v>225222420.76978984</v>
          </cell>
          <cell r="AU108">
            <v>285982049713.81378</v>
          </cell>
          <cell r="AV108">
            <v>285982049713.81378</v>
          </cell>
          <cell r="AX108">
            <v>134055208268.22391</v>
          </cell>
        </row>
        <row r="109">
          <cell r="S109">
            <v>0.15347900973209266</v>
          </cell>
          <cell r="T109">
            <v>2.0802567664611722</v>
          </cell>
          <cell r="U109">
            <v>66801928028.748611</v>
          </cell>
          <cell r="V109">
            <v>416775785.99096477</v>
          </cell>
          <cell r="W109">
            <v>6720230.0775377098</v>
          </cell>
          <cell r="X109">
            <v>6720230.0775377098</v>
          </cell>
          <cell r="AA109">
            <v>135191659873.67874</v>
          </cell>
          <cell r="AB109">
            <v>135191659873.67874</v>
          </cell>
          <cell r="AC109">
            <v>94230426119.453033</v>
          </cell>
          <cell r="AG109">
            <v>1323.8207233923367</v>
          </cell>
          <cell r="AM109">
            <v>8466.1930117011798</v>
          </cell>
          <cell r="AP109">
            <v>977198581.83812213</v>
          </cell>
          <cell r="AQ109">
            <v>247033449.74396005</v>
          </cell>
          <cell r="AR109">
            <v>247033449.74396005</v>
          </cell>
          <cell r="AU109">
            <v>316978823495.67346</v>
          </cell>
          <cell r="AV109">
            <v>316978823495.67346</v>
          </cell>
          <cell r="AX109">
            <v>142486991965.69418</v>
          </cell>
        </row>
        <row r="110">
          <cell r="S110">
            <v>0.15347900973209266</v>
          </cell>
          <cell r="T110">
            <v>2.0914192692069591</v>
          </cell>
          <cell r="U110">
            <v>69597595229.36676</v>
          </cell>
          <cell r="V110">
            <v>437285841.45071894</v>
          </cell>
          <cell r="W110">
            <v>7068194.910342616</v>
          </cell>
          <cell r="X110">
            <v>7068194.910342616</v>
          </cell>
          <cell r="AA110">
            <v>143683935616.23737</v>
          </cell>
          <cell r="AB110">
            <v>143683935616.23737</v>
          </cell>
          <cell r="AC110">
            <v>98782161911.129089</v>
          </cell>
          <cell r="AG110">
            <v>1337.7025297474995</v>
          </cell>
          <cell r="AM110">
            <v>8532.7196747503149</v>
          </cell>
          <cell r="AP110">
            <v>1067090873.0775977</v>
          </cell>
          <cell r="AQ110">
            <v>270420334.51287538</v>
          </cell>
          <cell r="AR110">
            <v>270420334.51287538</v>
          </cell>
          <cell r="AU110">
            <v>350626070570.44464</v>
          </cell>
          <cell r="AV110">
            <v>350626070570.44464</v>
          </cell>
          <cell r="AX110">
            <v>151338667121.90747</v>
          </cell>
        </row>
        <row r="111">
          <cell r="S111">
            <v>0.15347900973209266</v>
          </cell>
          <cell r="T111">
            <v>2.098598505489941</v>
          </cell>
          <cell r="U111">
            <v>72226529948.319305</v>
          </cell>
          <cell r="V111">
            <v>456621575.98652428</v>
          </cell>
          <cell r="W111">
            <v>7391387.4019992314</v>
          </cell>
          <cell r="X111">
            <v>7391387.4019992314</v>
          </cell>
          <cell r="AA111">
            <v>151814327038.45154</v>
          </cell>
          <cell r="AB111">
            <v>151814327038.45154</v>
          </cell>
          <cell r="AC111">
            <v>103227785359.95879</v>
          </cell>
          <cell r="AG111">
            <v>1351.677230842907</v>
          </cell>
          <cell r="AM111">
            <v>8600.8713498260877</v>
          </cell>
          <cell r="AP111">
            <v>1154533421.2329617</v>
          </cell>
          <cell r="AQ111">
            <v>292984422.84454674</v>
          </cell>
          <cell r="AR111">
            <v>292984422.84454674</v>
          </cell>
          <cell r="AU111">
            <v>383851144154.11639</v>
          </cell>
          <cell r="AV111">
            <v>383851144154.11639</v>
          </cell>
          <cell r="AX111">
            <v>160190662729.06076</v>
          </cell>
        </row>
        <row r="112">
          <cell r="S112">
            <v>0.15347900973209266</v>
          </cell>
          <cell r="T112">
            <v>2.1053287560689391</v>
          </cell>
          <cell r="U112">
            <v>75076298213.735641</v>
          </cell>
          <cell r="V112">
            <v>476421266.61001897</v>
          </cell>
          <cell r="W112">
            <v>7740314.2873128094</v>
          </cell>
          <cell r="X112">
            <v>7740314.2873128094</v>
          </cell>
          <cell r="AA112">
            <v>160615183086.76871</v>
          </cell>
          <cell r="AB112">
            <v>160615183086.76871</v>
          </cell>
          <cell r="AC112">
            <v>107833890917.4335</v>
          </cell>
          <cell r="AG112">
            <v>1365.7460186214248</v>
          </cell>
          <cell r="AM112">
            <v>8667.0364089495706</v>
          </cell>
          <cell r="AP112">
            <v>1246757682.2623346</v>
          </cell>
          <cell r="AQ112">
            <v>317513545.04443073</v>
          </cell>
          <cell r="AR112">
            <v>317513545.04443073</v>
          </cell>
          <cell r="AU112">
            <v>420317537095.41296</v>
          </cell>
          <cell r="AV112">
            <v>420317537095.41296</v>
          </cell>
          <cell r="AX112">
            <v>169439086983.10126</v>
          </cell>
        </row>
        <row r="113">
          <cell r="S113">
            <v>0.15347900973209266</v>
          </cell>
          <cell r="T113">
            <v>2.1120590066479377</v>
          </cell>
          <cell r="U113">
            <v>78015082174.296555</v>
          </cell>
          <cell r="V113">
            <v>497055802.43549645</v>
          </cell>
          <cell r="W113">
            <v>8105486.6422044672</v>
          </cell>
          <cell r="X113">
            <v>8105486.6422044672</v>
          </cell>
          <cell r="AA113">
            <v>169903899825.43814</v>
          </cell>
          <cell r="AB113">
            <v>169903899825.43814</v>
          </cell>
          <cell r="AC113">
            <v>112657231650.13541</v>
          </cell>
          <cell r="AG113">
            <v>1379.914400973722</v>
          </cell>
          <cell r="AM113">
            <v>8735.6278080669254</v>
          </cell>
          <cell r="AP113">
            <v>1346104019.4670973</v>
          </cell>
          <cell r="AQ113">
            <v>344016571.16484857</v>
          </cell>
          <cell r="AR113">
            <v>344016571.16484857</v>
          </cell>
          <cell r="AU113">
            <v>460126048941.63165</v>
          </cell>
          <cell r="AV113">
            <v>460126048941.63165</v>
          </cell>
          <cell r="AX113">
            <v>179289818269.28839</v>
          </cell>
        </row>
        <row r="114">
          <cell r="S114">
            <v>0.15347900973209266</v>
          </cell>
          <cell r="T114">
            <v>2.1187892572269362</v>
          </cell>
          <cell r="U114">
            <v>81007272062.487213</v>
          </cell>
          <cell r="V114">
            <v>518310539.1473828</v>
          </cell>
          <cell r="W114">
            <v>8479620.7023044378</v>
          </cell>
          <cell r="X114">
            <v>8479620.7023044378</v>
          </cell>
          <cell r="AA114">
            <v>179536549378.48846</v>
          </cell>
          <cell r="AB114">
            <v>179536549378.48846</v>
          </cell>
          <cell r="AC114">
            <v>117341243745.02278</v>
          </cell>
          <cell r="AG114">
            <v>1394.1758022887768</v>
          </cell>
          <cell r="AM114">
            <v>8801.4368600997659</v>
          </cell>
          <cell r="AP114">
            <v>1451086968.6302226</v>
          </cell>
          <cell r="AQ114">
            <v>371957589.78406692</v>
          </cell>
          <cell r="AR114">
            <v>371957589.78406692</v>
          </cell>
          <cell r="AU114">
            <v>502639108254.52222</v>
          </cell>
          <cell r="AV114">
            <v>502639108254.52222</v>
          </cell>
          <cell r="AX114">
            <v>189004809375.56964</v>
          </cell>
        </row>
        <row r="115">
          <cell r="S115">
            <v>0.15347900973209266</v>
          </cell>
          <cell r="T115">
            <v>2.1255195078059348</v>
          </cell>
          <cell r="U115">
            <v>84082094068.634964</v>
          </cell>
          <cell r="V115">
            <v>540401084.61187565</v>
          </cell>
          <cell r="W115">
            <v>8869164.4047494251</v>
          </cell>
          <cell r="X115">
            <v>8869164.4047494251</v>
          </cell>
          <cell r="AA115">
            <v>189656689270.32727</v>
          </cell>
          <cell r="AB115">
            <v>189656689270.32727</v>
          </cell>
          <cell r="AC115">
            <v>121967769898.68161</v>
          </cell>
          <cell r="AG115">
            <v>1408.4768834445056</v>
          </cell>
          <cell r="AM115">
            <v>8870.4611321594093</v>
          </cell>
          <cell r="AP115">
            <v>1563607651.3690112</v>
          </cell>
          <cell r="AQ115">
            <v>401961729.21838957</v>
          </cell>
          <cell r="AR115">
            <v>401961729.21838957</v>
          </cell>
          <cell r="AU115">
            <v>548756578994.25677</v>
          </cell>
          <cell r="AV115">
            <v>548756578994.25677</v>
          </cell>
          <cell r="AX115">
            <v>198847533570.76563</v>
          </cell>
        </row>
        <row r="116">
          <cell r="S116">
            <v>0.15347900973209266</v>
          </cell>
          <cell r="T116">
            <v>2.1322497583849334</v>
          </cell>
          <cell r="U116">
            <v>87241134537.889359</v>
          </cell>
          <cell r="V116">
            <v>563006902.77283311</v>
          </cell>
          <cell r="W116">
            <v>9268913.3967842218</v>
          </cell>
          <cell r="X116">
            <v>9268913.3967842218</v>
          </cell>
          <cell r="AA116">
            <v>200161814086.57465</v>
          </cell>
          <cell r="AB116">
            <v>200161814086.57465</v>
          </cell>
          <cell r="AC116">
            <v>126695137710.19363</v>
          </cell>
          <cell r="AG116">
            <v>1422.5166929561894</v>
          </cell>
          <cell r="AM116">
            <v>8935.9196425189639</v>
          </cell>
          <cell r="AP116">
            <v>1681184036.9998565</v>
          </cell>
          <cell r="AQ116">
            <v>433490999.2684586</v>
          </cell>
          <cell r="AR116">
            <v>433490999.2684586</v>
          </cell>
          <cell r="AU116">
            <v>597699326601.43555</v>
          </cell>
          <cell r="AV116">
            <v>597699326601.43555</v>
          </cell>
          <cell r="AX116">
            <v>208897255428.40024</v>
          </cell>
        </row>
        <row r="117">
          <cell r="S117">
            <v>0.15347900973209266</v>
          </cell>
          <cell r="T117">
            <v>2.1389800089639319</v>
          </cell>
          <cell r="U117">
            <v>89981246598.092026</v>
          </cell>
          <cell r="V117">
            <v>582534523.28111136</v>
          </cell>
          <cell r="W117">
            <v>9579622.5213522036</v>
          </cell>
          <cell r="X117">
            <v>9579622.5213522036</v>
          </cell>
          <cell r="AA117">
            <v>208794497543.55933</v>
          </cell>
          <cell r="AB117">
            <v>208794497543.55933</v>
          </cell>
          <cell r="AC117">
            <v>131693914294.75937</v>
          </cell>
          <cell r="AG117">
            <v>1436.658185047025</v>
          </cell>
          <cell r="AM117">
            <v>9004.6408675687671</v>
          </cell>
          <cell r="AP117">
            <v>1775901958.9279926</v>
          </cell>
          <cell r="AQ117">
            <v>457106719.05355668</v>
          </cell>
          <cell r="AR117">
            <v>457106719.05355668</v>
          </cell>
          <cell r="AU117">
            <v>636526321414.35864</v>
          </cell>
          <cell r="AV117">
            <v>636526321414.35864</v>
          </cell>
          <cell r="AX117">
            <v>220390084634.17419</v>
          </cell>
        </row>
        <row r="118">
          <cell r="S118">
            <v>0.15347900973209266</v>
          </cell>
          <cell r="T118">
            <v>2.1457102595429305</v>
          </cell>
          <cell r="U118">
            <v>92784745080.814285</v>
          </cell>
          <cell r="V118">
            <v>602502299.14234877</v>
          </cell>
          <cell r="W118">
            <v>9897042.5658580568</v>
          </cell>
          <cell r="X118">
            <v>9897042.5658580568</v>
          </cell>
          <cell r="AA118">
            <v>217699535474.10852</v>
          </cell>
          <cell r="AB118">
            <v>217699535474.10852</v>
          </cell>
          <cell r="AC118">
            <v>136837171998.41904</v>
          </cell>
          <cell r="AG118">
            <v>1450.8896149099382</v>
          </cell>
          <cell r="AM118">
            <v>9070.4833394530542</v>
          </cell>
          <cell r="AP118">
            <v>1874193132.4559479</v>
          </cell>
          <cell r="AQ118">
            <v>481541202.86929923</v>
          </cell>
          <cell r="AR118">
            <v>481541202.86929923</v>
          </cell>
          <cell r="AU118">
            <v>677194053707.71265</v>
          </cell>
          <cell r="AV118">
            <v>677194053707.71265</v>
          </cell>
          <cell r="AX118">
            <v>232309229707.00665</v>
          </cell>
        </row>
        <row r="119">
          <cell r="S119">
            <v>0.15347900973209266</v>
          </cell>
          <cell r="T119">
            <v>2.1524405101219295</v>
          </cell>
          <cell r="U119">
            <v>95649382774.681732</v>
          </cell>
          <cell r="V119">
            <v>623140086.86150992</v>
          </cell>
          <cell r="W119">
            <v>10224590.484856237</v>
          </cell>
          <cell r="X119">
            <v>10224590.484856237</v>
          </cell>
          <cell r="AA119">
            <v>226956815826.55908</v>
          </cell>
          <cell r="AB119">
            <v>226956815826.55908</v>
          </cell>
          <cell r="AC119">
            <v>142171534080.34674</v>
          </cell>
          <cell r="AG119">
            <v>1465.2097896431774</v>
          </cell>
          <cell r="AM119">
            <v>9138.8345847910641</v>
          </cell>
          <cell r="AP119">
            <v>1978128146.0644197</v>
          </cell>
          <cell r="AQ119">
            <v>507302309.4023248</v>
          </cell>
          <cell r="AR119">
            <v>507302309.4023248</v>
          </cell>
          <cell r="AU119">
            <v>720463463663.27148</v>
          </cell>
          <cell r="AV119">
            <v>720463463663.27148</v>
          </cell>
          <cell r="AX119">
            <v>244901452906.12155</v>
          </cell>
        </row>
        <row r="120">
          <cell r="S120">
            <v>0.15533551841056878</v>
          </cell>
          <cell r="T120">
            <v>2.1591707607009281</v>
          </cell>
          <cell r="U120">
            <v>98895182468.001068</v>
          </cell>
          <cell r="V120">
            <v>646343703.60398722</v>
          </cell>
          <cell r="W120">
            <v>10593470.969884576</v>
          </cell>
          <cell r="X120">
            <v>10593470.969884576</v>
          </cell>
          <cell r="AA120">
            <v>236890085330.59106</v>
          </cell>
          <cell r="AB120">
            <v>236890085330.59106</v>
          </cell>
          <cell r="AC120">
            <v>148136325963.26892</v>
          </cell>
          <cell r="AG120">
            <v>1479.6187092467419</v>
          </cell>
          <cell r="AM120">
            <v>9205.1265141991007</v>
          </cell>
          <cell r="AP120">
            <v>2092925446.8828235</v>
          </cell>
          <cell r="AQ120">
            <v>535723163.43830788</v>
          </cell>
          <cell r="AR120">
            <v>535723163.43830788</v>
          </cell>
          <cell r="AU120">
            <v>767073748747.16565</v>
          </cell>
          <cell r="AV120">
            <v>767073748747.16565</v>
          </cell>
          <cell r="AX120">
            <v>258813964615.33478</v>
          </cell>
        </row>
        <row r="121">
          <cell r="S121">
            <v>0.15770188062559162</v>
          </cell>
          <cell r="T121">
            <v>2.1659010112799266</v>
          </cell>
          <cell r="U121">
            <v>102276418990.43593</v>
          </cell>
          <cell r="V121">
            <v>670761174.22184491</v>
          </cell>
          <cell r="W121">
            <v>10977231.855401482</v>
          </cell>
          <cell r="X121">
            <v>10977231.855401482</v>
          </cell>
          <cell r="AA121">
            <v>247165396768.3703</v>
          </cell>
          <cell r="AB121">
            <v>247165396768.3703</v>
          </cell>
          <cell r="AC121">
            <v>154361799267.41785</v>
          </cell>
          <cell r="AG121">
            <v>1494.1161918106382</v>
          </cell>
          <cell r="AM121">
            <v>9273.11336971315</v>
          </cell>
          <cell r="AP121">
            <v>2214501957.9533105</v>
          </cell>
          <cell r="AQ121">
            <v>565526788.14867783</v>
          </cell>
          <cell r="AR121">
            <v>565526788.14867783</v>
          </cell>
          <cell r="AU121">
            <v>816010640026.7511</v>
          </cell>
          <cell r="AV121">
            <v>816010640026.7511</v>
          </cell>
          <cell r="AX121">
            <v>273538726862.52435</v>
          </cell>
        </row>
        <row r="122">
          <cell r="S122">
            <v>0.16006824284061449</v>
          </cell>
          <cell r="T122">
            <v>2.1726312618589252</v>
          </cell>
          <cell r="U122">
            <v>105352609945.62222</v>
          </cell>
          <cell r="V122">
            <v>695687206.75750852</v>
          </cell>
          <cell r="W122">
            <v>11325787.447772678</v>
          </cell>
          <cell r="X122">
            <v>11325787.447772678</v>
          </cell>
          <cell r="AA122">
            <v>256753969843.89563</v>
          </cell>
          <cell r="AB122">
            <v>256753969843.89563</v>
          </cell>
          <cell r="AC122">
            <v>160679225983.51736</v>
          </cell>
          <cell r="AG122">
            <v>1508.7023343863607</v>
          </cell>
          <cell r="AM122">
            <v>9339.8477193800427</v>
          </cell>
          <cell r="AP122">
            <v>2339700661.2174764</v>
          </cell>
          <cell r="AQ122">
            <v>593865939.06858397</v>
          </cell>
          <cell r="AR122">
            <v>593865939.06858397</v>
          </cell>
          <cell r="AU122">
            <v>863502199233.86719</v>
          </cell>
          <cell r="AV122">
            <v>863502199233.86719</v>
          </cell>
          <cell r="AX122">
            <v>288693890567.6532</v>
          </cell>
        </row>
        <row r="123">
          <cell r="S123">
            <v>0.16243460505563734</v>
          </cell>
          <cell r="T123">
            <v>2.1793615124379238</v>
          </cell>
          <cell r="U123">
            <v>108455670221.27246</v>
          </cell>
          <cell r="V123">
            <v>721219539.0612241</v>
          </cell>
          <cell r="W123">
            <v>11676056.625909016</v>
          </cell>
          <cell r="X123">
            <v>11676056.625909016</v>
          </cell>
          <cell r="AA123">
            <v>266481647882.34381</v>
          </cell>
          <cell r="AB123">
            <v>266481647882.34381</v>
          </cell>
          <cell r="AC123">
            <v>167103625337.92612</v>
          </cell>
          <cell r="AG123">
            <v>1523.3772181044226</v>
          </cell>
          <cell r="AM123">
            <v>9407.4756475513695</v>
          </cell>
          <cell r="AP123">
            <v>2469402954.2441263</v>
          </cell>
          <cell r="AQ123">
            <v>622727223.34141839</v>
          </cell>
          <cell r="AR123">
            <v>622727223.34141839</v>
          </cell>
          <cell r="AU123">
            <v>912413672803.50537</v>
          </cell>
          <cell r="AV123">
            <v>912413672803.50537</v>
          </cell>
          <cell r="AX123">
            <v>304387190851.48395</v>
          </cell>
        </row>
        <row r="124">
          <cell r="S124">
            <v>0.16480096727066021</v>
          </cell>
          <cell r="T124">
            <v>2.1860917630169223</v>
          </cell>
          <cell r="U124">
            <v>111613699793.29411</v>
          </cell>
          <cell r="V124">
            <v>747531866.75815094</v>
          </cell>
          <cell r="W124">
            <v>12033661.000632772</v>
          </cell>
          <cell r="X124">
            <v>12033661.000632772</v>
          </cell>
          <cell r="AA124">
            <v>276477599249.40527</v>
          </cell>
          <cell r="AB124">
            <v>276477599249.40527</v>
          </cell>
          <cell r="AC124">
            <v>173724215672.63123</v>
          </cell>
          <cell r="AG124">
            <v>1538.1408429648241</v>
          </cell>
          <cell r="AM124">
            <v>9474.645504649312</v>
          </cell>
          <cell r="AP124">
            <v>2605270173.9066153</v>
          </cell>
          <cell r="AQ124">
            <v>652654922.52261806</v>
          </cell>
          <cell r="AR124">
            <v>652654922.52261806</v>
          </cell>
          <cell r="AU124">
            <v>963569414373.63477</v>
          </cell>
          <cell r="AV124">
            <v>963569414373.63477</v>
          </cell>
          <cell r="AX124">
            <v>320768600521.84857</v>
          </cell>
        </row>
        <row r="125">
          <cell r="S125">
            <v>0.16716732948568305</v>
          </cell>
          <cell r="T125">
            <v>2.1928220135959209</v>
          </cell>
          <cell r="U125">
            <v>114830207738.29089</v>
          </cell>
          <cell r="V125">
            <v>774673216.64758742</v>
          </cell>
          <cell r="W125">
            <v>12399505.760694832</v>
          </cell>
          <cell r="X125">
            <v>12399505.760694832</v>
          </cell>
          <cell r="AA125">
            <v>286765492589.22729</v>
          </cell>
          <cell r="AB125">
            <v>286765492589.22729</v>
          </cell>
          <cell r="AC125">
            <v>180557304637.37128</v>
          </cell>
          <cell r="AG125">
            <v>1552.993115859379</v>
          </cell>
          <cell r="AM125">
            <v>9541.9198446077917</v>
          </cell>
          <cell r="AP125">
            <v>2747836556.8423409</v>
          </cell>
          <cell r="AQ125">
            <v>683766519.11594927</v>
          </cell>
          <cell r="AR125">
            <v>683766519.11594927</v>
          </cell>
          <cell r="AU125">
            <v>1017183357890.6969</v>
          </cell>
          <cell r="AV125">
            <v>1017183357890.6969</v>
          </cell>
          <cell r="AX125">
            <v>337906371565.43115</v>
          </cell>
        </row>
        <row r="126">
          <cell r="S126">
            <v>0.16953369170070592</v>
          </cell>
          <cell r="T126">
            <v>2.1995522641749194</v>
          </cell>
          <cell r="U126">
            <v>118119010381.18631</v>
          </cell>
          <cell r="V126">
            <v>802678182.52083302</v>
          </cell>
          <cell r="W126">
            <v>12775366.981464036</v>
          </cell>
          <cell r="X126">
            <v>12775366.981464036</v>
          </cell>
          <cell r="AA126">
            <v>297389794718.36755</v>
          </cell>
          <cell r="AB126">
            <v>297389794718.36755</v>
          </cell>
          <cell r="AC126">
            <v>187633220482.01221</v>
          </cell>
          <cell r="AG126">
            <v>1567.9340201777914</v>
          </cell>
          <cell r="AM126">
            <v>9609.5184230627638</v>
          </cell>
          <cell r="AP126">
            <v>2897514909.527916</v>
          </cell>
          <cell r="AQ126">
            <v>716209750.84577608</v>
          </cell>
          <cell r="AR126">
            <v>716209750.84577608</v>
          </cell>
          <cell r="AU126">
            <v>1073520350873.0619</v>
          </cell>
          <cell r="AV126">
            <v>1073520350873.0619</v>
          </cell>
          <cell r="AX126">
            <v>355886582731.81396</v>
          </cell>
        </row>
        <row r="127">
          <cell r="S127">
            <v>0.1719000539157288</v>
          </cell>
          <cell r="T127">
            <v>2.206282514753918</v>
          </cell>
          <cell r="U127">
            <v>120950981752.94374</v>
          </cell>
          <cell r="V127">
            <v>826635315.48031962</v>
          </cell>
          <cell r="W127">
            <v>13112027.979483593</v>
          </cell>
          <cell r="X127">
            <v>13112027.979483593</v>
          </cell>
          <cell r="AA127">
            <v>306529987803.62311</v>
          </cell>
          <cell r="AB127">
            <v>306529987803.62311</v>
          </cell>
          <cell r="AC127">
            <v>194259880162.91058</v>
          </cell>
          <cell r="AG127">
            <v>1582.9636628769363</v>
          </cell>
          <cell r="AM127">
            <v>9676.4443944555514</v>
          </cell>
          <cell r="AP127">
            <v>3028319867.9986796</v>
          </cell>
          <cell r="AQ127">
            <v>743576028.63818562</v>
          </cell>
          <cell r="AR127">
            <v>743576028.63818562</v>
          </cell>
          <cell r="AU127">
            <v>1122950876667.699</v>
          </cell>
          <cell r="AV127">
            <v>1122950876667.699</v>
          </cell>
          <cell r="AX127">
            <v>373081659131.521</v>
          </cell>
        </row>
        <row r="128">
          <cell r="S128">
            <v>0.17426641613075164</v>
          </cell>
          <cell r="T128">
            <v>2.2119617075736491</v>
          </cell>
          <cell r="U128">
            <v>123757001617.92067</v>
          </cell>
          <cell r="V128">
            <v>850903458.80766153</v>
          </cell>
          <cell r="W128">
            <v>13451589.920066204</v>
          </cell>
          <cell r="X128">
            <v>13451589.920066204</v>
          </cell>
          <cell r="AA128">
            <v>315799823040.2688</v>
          </cell>
          <cell r="AB128">
            <v>315799823040.2688</v>
          </cell>
          <cell r="AC128">
            <v>201084584548.48199</v>
          </cell>
          <cell r="AG128">
            <v>1598.0820439568131</v>
          </cell>
          <cell r="AM128">
            <v>9744.4650363204728</v>
          </cell>
          <cell r="AP128">
            <v>3164772329.2435799</v>
          </cell>
          <cell r="AQ128">
            <v>771945478.96920669</v>
          </cell>
          <cell r="AR128">
            <v>771945478.96920669</v>
          </cell>
          <cell r="AU128">
            <v>1174556914997.5381</v>
          </cell>
          <cell r="AV128">
            <v>1174556914997.5381</v>
          </cell>
          <cell r="AX128">
            <v>391074337718.32227</v>
          </cell>
        </row>
        <row r="129">
          <cell r="S129">
            <v>0.17663277834577448</v>
          </cell>
          <cell r="T129">
            <v>2.2166734601627085</v>
          </cell>
          <cell r="U129">
            <v>126456434781.46472</v>
          </cell>
          <cell r="V129">
            <v>875208641.84087491</v>
          </cell>
          <cell r="W129">
            <v>13778577.164534934</v>
          </cell>
          <cell r="X129">
            <v>13778577.164534934</v>
          </cell>
          <cell r="AA129">
            <v>324851560411.8161</v>
          </cell>
          <cell r="AB129">
            <v>324851560411.8161</v>
          </cell>
          <cell r="AC129">
            <v>207864700838.92859</v>
          </cell>
          <cell r="AG129">
            <v>1613.2891271868507</v>
          </cell>
          <cell r="AM129">
            <v>9811.0477430073333</v>
          </cell>
          <cell r="AP129">
            <v>3303555248.7886834</v>
          </cell>
          <cell r="AQ129">
            <v>799887046.19923842</v>
          </cell>
          <cell r="AR129">
            <v>799887046.19923842</v>
          </cell>
          <cell r="AU129">
            <v>1226181993836.8086</v>
          </cell>
          <cell r="AV129">
            <v>1226181993836.8086</v>
          </cell>
          <cell r="AX129">
            <v>409269690344.5863</v>
          </cell>
        </row>
        <row r="130">
          <cell r="S130">
            <v>0.17900025321390514</v>
          </cell>
          <cell r="T130">
            <v>2.2213852127517675</v>
          </cell>
          <cell r="U130">
            <v>129165348322.86285</v>
          </cell>
          <cell r="V130">
            <v>900163046.52618766</v>
          </cell>
          <cell r="W130">
            <v>14108984.529177545</v>
          </cell>
          <cell r="X130">
            <v>14108984.529177545</v>
          </cell>
          <cell r="AA130">
            <v>334045316538.32947</v>
          </cell>
          <cell r="AB130">
            <v>334045316538.32947</v>
          </cell>
          <cell r="AC130">
            <v>214788540682.51013</v>
          </cell>
          <cell r="AG130">
            <v>1628.5848309975088</v>
          </cell>
          <cell r="AM130">
            <v>9879.4839190509247</v>
          </cell>
          <cell r="AP130">
            <v>3448158592.1456347</v>
          </cell>
          <cell r="AQ130">
            <v>828552334.98763371</v>
          </cell>
          <cell r="AR130">
            <v>828552334.98763371</v>
          </cell>
          <cell r="AU130">
            <v>1279591772660.198</v>
          </cell>
          <cell r="AV130">
            <v>1279591772660.198</v>
          </cell>
          <cell r="AX130">
            <v>428194225793.87085</v>
          </cell>
        </row>
        <row r="131">
          <cell r="S131">
            <v>0.18137167750202071</v>
          </cell>
          <cell r="T131">
            <v>2.2260969653408265</v>
          </cell>
          <cell r="U131">
            <v>131920966041.26253</v>
          </cell>
          <cell r="V131">
            <v>925611840.40920115</v>
          </cell>
          <cell r="W131">
            <v>14444435.522904105</v>
          </cell>
          <cell r="X131">
            <v>14444435.522904105</v>
          </cell>
          <cell r="AA131">
            <v>343417832141.38342</v>
          </cell>
          <cell r="AB131">
            <v>343417832141.38342</v>
          </cell>
          <cell r="AC131">
            <v>221887493670.12518</v>
          </cell>
          <cell r="AG131">
            <v>1643.9692711442049</v>
          </cell>
          <cell r="AM131">
            <v>9945.7283526381671</v>
          </cell>
          <cell r="AP131">
            <v>3597068277.1983128</v>
          </cell>
          <cell r="AQ131">
            <v>857789004.64975047</v>
          </cell>
          <cell r="AR131">
            <v>857789004.64975047</v>
          </cell>
          <cell r="AU131">
            <v>1334573884960.1106</v>
          </cell>
          <cell r="AV131">
            <v>1334573884960.1106</v>
          </cell>
          <cell r="AX131">
            <v>447736910491.17401</v>
          </cell>
        </row>
        <row r="132">
          <cell r="S132">
            <v>0.18374310179013631</v>
          </cell>
          <cell r="T132">
            <v>2.2286114359515055</v>
          </cell>
          <cell r="U132">
            <v>134539848084.10063</v>
          </cell>
          <cell r="V132">
            <v>950980547.22762537</v>
          </cell>
          <cell r="W132">
            <v>14775952.872687671</v>
          </cell>
          <cell r="X132">
            <v>14775952.872687671</v>
          </cell>
          <cell r="AA132">
            <v>352757008777.66882</v>
          </cell>
          <cell r="AB132">
            <v>352757008777.66882</v>
          </cell>
          <cell r="AC132">
            <v>229176805837.31592</v>
          </cell>
          <cell r="AG132">
            <v>1659.4485046608715</v>
          </cell>
          <cell r="AM132">
            <v>10014.573662284723</v>
          </cell>
          <cell r="AP132">
            <v>3752802621.151371</v>
          </cell>
          <cell r="AQ132">
            <v>888174736.5812614</v>
          </cell>
          <cell r="AR132">
            <v>888174736.5812614</v>
          </cell>
          <cell r="AU132">
            <v>1392065727348.136</v>
          </cell>
          <cell r="AV132">
            <v>1392065727348.136</v>
          </cell>
          <cell r="AX132">
            <v>468228650868.94592</v>
          </cell>
        </row>
        <row r="133">
          <cell r="S133">
            <v>0.18611452607825191</v>
          </cell>
          <cell r="T133">
            <v>2.2310807001460375</v>
          </cell>
          <cell r="U133">
            <v>137194871100.00392</v>
          </cell>
          <cell r="V133">
            <v>976759174.08156788</v>
          </cell>
          <cell r="W133">
            <v>15111182.537964653</v>
          </cell>
          <cell r="X133">
            <v>15111182.537964653</v>
          </cell>
          <cell r="AA133">
            <v>362244612501.79449</v>
          </cell>
          <cell r="AB133">
            <v>362244612501.79449</v>
          </cell>
          <cell r="AC133">
            <v>236635935630.22232</v>
          </cell>
          <cell r="AG133">
            <v>1675.0383903341924</v>
          </cell>
          <cell r="AM133">
            <v>10080.484705508437</v>
          </cell>
          <cell r="AP133">
            <v>3912661591.8685637</v>
          </cell>
          <cell r="AQ133">
            <v>919038227.63632154</v>
          </cell>
          <cell r="AR133">
            <v>919038227.63632154</v>
          </cell>
          <cell r="AU133">
            <v>1451064520105.262</v>
          </cell>
          <cell r="AV133">
            <v>1451064520105.262</v>
          </cell>
          <cell r="AX133">
            <v>489324763617.4939</v>
          </cell>
        </row>
        <row r="134">
          <cell r="S134">
            <v>0.18848595036636748</v>
          </cell>
          <cell r="T134">
            <v>2.2335499643405692</v>
          </cell>
          <cell r="U134">
            <v>139903591034.3183</v>
          </cell>
          <cell r="V134">
            <v>1003447785.4823427</v>
          </cell>
          <cell r="W134">
            <v>15457053.636351131</v>
          </cell>
          <cell r="X134">
            <v>15457053.636351131</v>
          </cell>
          <cell r="AA134">
            <v>372065988855.79565</v>
          </cell>
          <cell r="AB134">
            <v>372065988855.79565</v>
          </cell>
          <cell r="AC134">
            <v>244368862886.72223</v>
          </cell>
          <cell r="AG134">
            <v>1690.7404733204921</v>
          </cell>
          <cell r="AM134">
            <v>10149.690943272972</v>
          </cell>
          <cell r="AP134">
            <v>4081219933.8788342</v>
          </cell>
          <cell r="AQ134">
            <v>951430981.39535534</v>
          </cell>
          <cell r="AR134">
            <v>951430981.39535534</v>
          </cell>
          <cell r="AU134">
            <v>1513265714873.9441</v>
          </cell>
          <cell r="AV134">
            <v>1513265714873.9441</v>
          </cell>
          <cell r="AX134">
            <v>511596563426.21783</v>
          </cell>
        </row>
        <row r="135">
          <cell r="S135">
            <v>0.19085737465448308</v>
          </cell>
          <cell r="T135">
            <v>2.2360192285351013</v>
          </cell>
          <cell r="U135">
            <v>142685271439.77173</v>
          </cell>
          <cell r="V135">
            <v>1030582550.0117816</v>
          </cell>
          <cell r="W135">
            <v>15808706.501851792</v>
          </cell>
          <cell r="X135">
            <v>15808706.501851792</v>
          </cell>
          <cell r="AA135">
            <v>382104343866.20178</v>
          </cell>
          <cell r="AB135">
            <v>382104343866.20178</v>
          </cell>
          <cell r="AC135">
            <v>252305571682.11963</v>
          </cell>
          <cell r="AG135">
            <v>1706.5318762872869</v>
          </cell>
          <cell r="AM135">
            <v>10215.315306211396</v>
          </cell>
          <cell r="AP135">
            <v>4253662931.8674812</v>
          </cell>
          <cell r="AQ135">
            <v>984356927.39940631</v>
          </cell>
          <cell r="AR135">
            <v>984356927.39940631</v>
          </cell>
          <cell r="AU135">
            <v>1577111007352.7124</v>
          </cell>
          <cell r="AV135">
            <v>1577111007352.7124</v>
          </cell>
          <cell r="AX135">
            <v>534527052683.19104</v>
          </cell>
        </row>
        <row r="136">
          <cell r="S136">
            <v>0.19322879894259865</v>
          </cell>
          <cell r="T136">
            <v>2.2384884927296334</v>
          </cell>
          <cell r="U136">
            <v>145509681307.02884</v>
          </cell>
          <cell r="V136">
            <v>1058590662.1067753</v>
          </cell>
          <cell r="W136">
            <v>16171047.281648997</v>
          </cell>
          <cell r="X136">
            <v>16171047.281648997</v>
          </cell>
          <cell r="AA136">
            <v>392465709576.75897</v>
          </cell>
          <cell r="AB136">
            <v>392465709576.75897</v>
          </cell>
          <cell r="AC136">
            <v>260529537860.32501</v>
          </cell>
          <cell r="AG136">
            <v>1722.4125992345771</v>
          </cell>
          <cell r="AM136">
            <v>10284.169345009299</v>
          </cell>
          <cell r="AP136">
            <v>4435225355.1357746</v>
          </cell>
          <cell r="AQ136">
            <v>1018874931.142591</v>
          </cell>
          <cell r="AR136">
            <v>1018874931.142591</v>
          </cell>
          <cell r="AU136">
            <v>1644331400649.197</v>
          </cell>
          <cell r="AV136">
            <v>1644331400649.197</v>
          </cell>
          <cell r="AX136">
            <v>558708718733.20776</v>
          </cell>
        </row>
        <row r="137">
          <cell r="S137">
            <v>0.19560022323071424</v>
          </cell>
          <cell r="T137">
            <v>2.240957756924165</v>
          </cell>
          <cell r="U137">
            <v>148377187128.8096</v>
          </cell>
          <cell r="V137">
            <v>1085968961.603276</v>
          </cell>
          <cell r="W137">
            <v>16521078.538742673</v>
          </cell>
          <cell r="X137">
            <v>16521078.538742673</v>
          </cell>
          <cell r="AA137">
            <v>402592462996.63531</v>
          </cell>
          <cell r="AB137">
            <v>402592462996.63531</v>
          </cell>
          <cell r="AC137">
            <v>268776991667.88504</v>
          </cell>
          <cell r="AG137">
            <v>1738.3826421623619</v>
          </cell>
          <cell r="AM137">
            <v>10350.218683850997</v>
          </cell>
          <cell r="AP137">
            <v>4609294614.1664486</v>
          </cell>
          <cell r="AQ137">
            <v>1051158724.9797742</v>
          </cell>
          <cell r="AR137">
            <v>1051158724.9797742</v>
          </cell>
          <cell r="AU137">
            <v>1708766398493.353</v>
          </cell>
          <cell r="AV137">
            <v>1708766398493.353</v>
          </cell>
          <cell r="AX137">
            <v>583166239888.53247</v>
          </cell>
        </row>
        <row r="138">
          <cell r="S138">
            <v>0.19797164751882981</v>
          </cell>
          <cell r="T138">
            <v>2.2434270211186971</v>
          </cell>
          <cell r="U138">
            <v>151288027110.3316</v>
          </cell>
          <cell r="V138">
            <v>1114142997.3428526</v>
          </cell>
          <cell r="W138">
            <v>16880579.333698414</v>
          </cell>
          <cell r="X138">
            <v>16880579.333698414</v>
          </cell>
          <cell r="AA138">
            <v>413013103006.38501</v>
          </cell>
          <cell r="AB138">
            <v>413013103006.38501</v>
          </cell>
          <cell r="AC138">
            <v>277303129226.85828</v>
          </cell>
          <cell r="AG138">
            <v>1754.4428839551679</v>
          </cell>
          <cell r="AM138">
            <v>10418.725533783756</v>
          </cell>
          <cell r="AP138">
            <v>4791570923.6330776</v>
          </cell>
          <cell r="AQ138">
            <v>1084808588.3663883</v>
          </cell>
          <cell r="AR138">
            <v>1084808588.3663883</v>
          </cell>
          <cell r="AU138">
            <v>1776236605323.1858</v>
          </cell>
          <cell r="AV138">
            <v>1776236605323.1858</v>
          </cell>
          <cell r="AX138">
            <v>608856234970.1698</v>
          </cell>
        </row>
        <row r="139">
          <cell r="S139">
            <v>0.20034307180694541</v>
          </cell>
          <cell r="T139">
            <v>2.2458962853132287</v>
          </cell>
          <cell r="U139">
            <v>154242403187.04501</v>
          </cell>
          <cell r="V139">
            <v>1142793897.9966946</v>
          </cell>
          <cell r="W139">
            <v>17244654.482617825</v>
          </cell>
          <cell r="X139">
            <v>17244654.482617825</v>
          </cell>
          <cell r="AA139">
            <v>423609385850.62372</v>
          </cell>
          <cell r="AB139">
            <v>423609385850.62372</v>
          </cell>
          <cell r="AC139">
            <v>286032530374.23059</v>
          </cell>
          <cell r="AG139">
            <v>1770.5926802517533</v>
          </cell>
          <cell r="AM139">
            <v>10485.193393640169</v>
          </cell>
          <cell r="AP139">
            <v>4978561433.5217123</v>
          </cell>
          <cell r="AQ139">
            <v>1119008153.6466942</v>
          </cell>
          <cell r="AR139">
            <v>1119008153.6466942</v>
          </cell>
          <cell r="AU139">
            <v>1845446808012.1252</v>
          </cell>
          <cell r="AV139">
            <v>1845446808012.1252</v>
          </cell>
          <cell r="AX139">
            <v>635346970222.08118</v>
          </cell>
        </row>
        <row r="140">
          <cell r="S140">
            <v>0.20271449609506098</v>
          </cell>
          <cell r="T140">
            <v>2.2483655495077608</v>
          </cell>
          <cell r="U140">
            <v>157241336535.21268</v>
          </cell>
          <cell r="V140">
            <v>1172215811.6760421</v>
          </cell>
          <cell r="W140">
            <v>17617656.162118524</v>
          </cell>
          <cell r="X140">
            <v>17617656.162118524</v>
          </cell>
          <cell r="AA140">
            <v>434490315605.2312</v>
          </cell>
          <cell r="AB140">
            <v>434490315605.2312</v>
          </cell>
          <cell r="AC140">
            <v>295040590656.86493</v>
          </cell>
          <cell r="AG140">
            <v>1786.8318104684404</v>
          </cell>
          <cell r="AM140">
            <v>10553.357958132943</v>
          </cell>
          <cell r="AP140">
            <v>5173632708.8829679</v>
          </cell>
          <cell r="AQ140">
            <v>1154494804.5255597</v>
          </cell>
          <cell r="AR140">
            <v>1154494804.5255597</v>
          </cell>
          <cell r="AU140">
            <v>1917644589091.5388</v>
          </cell>
          <cell r="AV140">
            <v>1917644589091.5388</v>
          </cell>
          <cell r="AX140">
            <v>663076759634.34229</v>
          </cell>
        </row>
        <row r="141">
          <cell r="S141">
            <v>0.20347900973209265</v>
          </cell>
          <cell r="T141">
            <v>2.2508348137022929</v>
          </cell>
          <cell r="U141">
            <v>159858152188.93982</v>
          </cell>
          <cell r="V141">
            <v>1198989158.4880266</v>
          </cell>
          <cell r="W141">
            <v>17948303.450058855</v>
          </cell>
          <cell r="X141">
            <v>17948303.450058855</v>
          </cell>
          <cell r="AA141">
            <v>444981787297.68909</v>
          </cell>
          <cell r="AB141">
            <v>444981787297.68909</v>
          </cell>
          <cell r="AC141">
            <v>303467628225.72107</v>
          </cell>
          <cell r="AG141">
            <v>1803.1602746052283</v>
          </cell>
          <cell r="AM141">
            <v>10620.238018096192</v>
          </cell>
          <cell r="AP141">
            <v>5360064691.8746538</v>
          </cell>
          <cell r="AQ141">
            <v>1187534386.1772559</v>
          </cell>
          <cell r="AR141">
            <v>1187534386.1772559</v>
          </cell>
          <cell r="AU141">
            <v>1989285015411.9543</v>
          </cell>
          <cell r="AV141">
            <v>1989285015411.9543</v>
          </cell>
          <cell r="AX141">
            <v>689911605634.13037</v>
          </cell>
        </row>
        <row r="142">
          <cell r="S142">
            <v>0.20347900973209265</v>
          </cell>
          <cell r="T142">
            <v>2.2533040778968245</v>
          </cell>
          <cell r="U142">
            <v>162299997862.75015</v>
          </cell>
          <cell r="V142">
            <v>1224801222.4632626</v>
          </cell>
          <cell r="W142">
            <v>18262276.635074403</v>
          </cell>
          <cell r="X142">
            <v>18262276.635074403</v>
          </cell>
          <cell r="AA142">
            <v>455429790261.8125</v>
          </cell>
          <cell r="AB142">
            <v>455429790261.8125</v>
          </cell>
          <cell r="AC142">
            <v>311155674203.27478</v>
          </cell>
          <cell r="AG142">
            <v>1819.5780356113537</v>
          </cell>
          <cell r="AM142">
            <v>10688.065096972121</v>
          </cell>
          <cell r="AP142">
            <v>5546322866.1470413</v>
          </cell>
          <cell r="AQ142">
            <v>1220039239.7480795</v>
          </cell>
          <cell r="AR142">
            <v>1220039239.7480795</v>
          </cell>
          <cell r="AU142">
            <v>2062343352804.2603</v>
          </cell>
          <cell r="AV142">
            <v>2062343352804.2603</v>
          </cell>
          <cell r="AX142">
            <v>715605501187.97961</v>
          </cell>
        </row>
        <row r="143">
          <cell r="S143">
            <v>0.20347900973209265</v>
          </cell>
          <cell r="T143">
            <v>2.2557733420913566</v>
          </cell>
          <cell r="U143">
            <v>164765893479.55203</v>
          </cell>
          <cell r="V143">
            <v>1251025874.946507</v>
          </cell>
          <cell r="W143">
            <v>18580251.976760417</v>
          </cell>
          <cell r="X143">
            <v>18580251.976760417</v>
          </cell>
          <cell r="AA143">
            <v>466068102681.24768</v>
          </cell>
          <cell r="AB143">
            <v>466068102681.24768</v>
          </cell>
          <cell r="AC143">
            <v>319002309307.35364</v>
          </cell>
          <cell r="AG143">
            <v>1836.0851038297026</v>
          </cell>
          <cell r="AM143">
            <v>10755.35116789837</v>
          </cell>
          <cell r="AP143">
            <v>5737756333.581337</v>
          </cell>
          <cell r="AQ143">
            <v>1253187043.8410437</v>
          </cell>
          <cell r="AR143">
            <v>1253187043.8410437</v>
          </cell>
          <cell r="AU143">
            <v>2137593843255.97</v>
          </cell>
          <cell r="AV143">
            <v>2137593843255.97</v>
          </cell>
          <cell r="AX143">
            <v>742082840289.62537</v>
          </cell>
        </row>
        <row r="144">
          <cell r="S144">
            <v>0.20347900973209265</v>
          </cell>
          <cell r="T144">
            <v>2.2582426062858882</v>
          </cell>
          <cell r="U144">
            <v>167257158041.17001</v>
          </cell>
          <cell r="V144">
            <v>1277735724.2742298</v>
          </cell>
          <cell r="W144">
            <v>18903204.850476023</v>
          </cell>
          <cell r="X144">
            <v>18903204.850476023</v>
          </cell>
          <cell r="AA144">
            <v>476924703719.7605</v>
          </cell>
          <cell r="AB144">
            <v>476924703719.7605</v>
          </cell>
          <cell r="AC144">
            <v>327025964065.53564</v>
          </cell>
          <cell r="AG144">
            <v>1852.6815051884016</v>
          </cell>
          <cell r="AM144">
            <v>10822.845460334433</v>
          </cell>
          <cell r="AP144">
            <v>5935225820.1916275</v>
          </cell>
          <cell r="AQ144">
            <v>1287148858.7651036</v>
          </cell>
          <cell r="AR144">
            <v>1287148858.7651036</v>
          </cell>
          <cell r="AU144">
            <v>2215368766818.0474</v>
          </cell>
          <cell r="AV144">
            <v>2215368766818.0474</v>
          </cell>
          <cell r="AX144">
            <v>769459246097.82861</v>
          </cell>
        </row>
        <row r="145">
          <cell r="S145">
            <v>0.20347900973209265</v>
          </cell>
          <cell r="T145">
            <v>2.2607118704804203</v>
          </cell>
          <cell r="U145">
            <v>169762482732.89651</v>
          </cell>
          <cell r="V145">
            <v>1304937053.6566978</v>
          </cell>
          <cell r="W145">
            <v>19229884.137412328</v>
          </cell>
          <cell r="X145">
            <v>19229884.137412328</v>
          </cell>
          <cell r="AA145">
            <v>487970022288.97839</v>
          </cell>
          <cell r="AB145">
            <v>487970022288.97839</v>
          </cell>
          <cell r="AC145">
            <v>335207113830.47571</v>
          </cell>
          <cell r="AG145">
            <v>1869.3672396874506</v>
          </cell>
          <cell r="AM145">
            <v>10890.531482463473</v>
          </cell>
          <cell r="AP145">
            <v>6138885719.0211191</v>
          </cell>
          <cell r="AQ145">
            <v>1321849509.3915594</v>
          </cell>
          <cell r="AR145">
            <v>1321849509.3915594</v>
          </cell>
          <cell r="AU145">
            <v>2295583677960.5347</v>
          </cell>
          <cell r="AV145">
            <v>2295583677960.5347</v>
          </cell>
          <cell r="AX145">
            <v>797706167612.2074</v>
          </cell>
        </row>
        <row r="146">
          <cell r="S146">
            <v>0.20347900973209265</v>
          </cell>
          <cell r="T146">
            <v>2.2631811346749524</v>
          </cell>
          <cell r="U146">
            <v>172279908758.8175</v>
          </cell>
          <cell r="V146">
            <v>1332575838.5704405</v>
          </cell>
          <cell r="W146">
            <v>19559202.673627667</v>
          </cell>
          <cell r="X146">
            <v>19559202.673627667</v>
          </cell>
          <cell r="AA146">
            <v>499177942123.67615</v>
          </cell>
          <cell r="AB146">
            <v>499177942123.67615</v>
          </cell>
          <cell r="AC146">
            <v>343528457131.19824</v>
          </cell>
          <cell r="AG146">
            <v>1886.1422893946842</v>
          </cell>
          <cell r="AM146">
            <v>10957.697589834352</v>
          </cell>
          <cell r="AP146">
            <v>6348154603.9461803</v>
          </cell>
          <cell r="AQ146">
            <v>1357125490.2408397</v>
          </cell>
          <cell r="AR146">
            <v>1357125490.2408397</v>
          </cell>
          <cell r="AU146">
            <v>2377995052709.5562</v>
          </cell>
          <cell r="AV146">
            <v>2377995052709.5562</v>
          </cell>
          <cell r="AX146">
            <v>826739689325.74561</v>
          </cell>
        </row>
        <row r="147">
          <cell r="S147">
            <v>0.20347900973209265</v>
          </cell>
          <cell r="T147">
            <v>2.2656503988694845</v>
          </cell>
          <cell r="U147">
            <v>174824660807.20377</v>
          </cell>
          <cell r="V147">
            <v>1360958432.8368361</v>
          </cell>
          <cell r="W147">
            <v>19896943.576704085</v>
          </cell>
          <cell r="X147">
            <v>19896943.576704085</v>
          </cell>
          <cell r="AA147">
            <v>510701175597.70605</v>
          </cell>
          <cell r="AB147">
            <v>510701175597.70605</v>
          </cell>
          <cell r="AC147">
            <v>351833064016.11603</v>
          </cell>
          <cell r="AG147">
            <v>1903.0066419871096</v>
          </cell>
          <cell r="AM147">
            <v>11025.777630285997</v>
          </cell>
          <cell r="AP147">
            <v>6566754397.4715729</v>
          </cell>
          <cell r="AQ147">
            <v>1393849808.1247065</v>
          </cell>
          <cell r="AR147">
            <v>1393849808.1247065</v>
          </cell>
          <cell r="AU147">
            <v>2464181939531.8765</v>
          </cell>
          <cell r="AV147">
            <v>2464181939531.8765</v>
          </cell>
          <cell r="AX147">
            <v>856303968219.23059</v>
          </cell>
        </row>
        <row r="148">
          <cell r="S148">
            <v>0.20347900973209265</v>
          </cell>
          <cell r="T148">
            <v>2.2681196630640161</v>
          </cell>
          <cell r="U148">
            <v>177395424499.41083</v>
          </cell>
          <cell r="V148">
            <v>1389738022.5859125</v>
          </cell>
          <cell r="W148">
            <v>20238050.766722258</v>
          </cell>
          <cell r="X148">
            <v>20238050.766722258</v>
          </cell>
          <cell r="AA148">
            <v>522410814551.90063</v>
          </cell>
          <cell r="AB148">
            <v>522410814551.90063</v>
          </cell>
          <cell r="AC148">
            <v>360282992082.67548</v>
          </cell>
          <cell r="AG148">
            <v>1919.9603271439096</v>
          </cell>
          <cell r="AM148">
            <v>11092.620058901943</v>
          </cell>
          <cell r="AP148">
            <v>6790607758.7222166</v>
          </cell>
          <cell r="AQ148">
            <v>1431130123.0954664</v>
          </cell>
          <cell r="AR148">
            <v>1431130123.0954664</v>
          </cell>
          <cell r="AU148">
            <v>2552629972615.7393</v>
          </cell>
          <cell r="AV148">
            <v>2552629972615.7393</v>
          </cell>
          <cell r="AX148">
            <v>886624283705.83081</v>
          </cell>
        </row>
        <row r="149">
          <cell r="S149">
            <v>0.20347900973209265</v>
          </cell>
          <cell r="T149">
            <v>2.2705889272585482</v>
          </cell>
          <cell r="U149">
            <v>179991725759.7341</v>
          </cell>
          <cell r="V149">
            <v>1419492336.8489811</v>
          </cell>
          <cell r="W149">
            <v>20590912.771142196</v>
          </cell>
          <cell r="X149">
            <v>20590912.771142196</v>
          </cell>
          <cell r="AA149">
            <v>534525189014.05109</v>
          </cell>
          <cell r="AB149">
            <v>534525189014.05109</v>
          </cell>
          <cell r="AC149">
            <v>369031234772.80145</v>
          </cell>
          <cell r="AG149">
            <v>1937.5055190132812</v>
          </cell>
          <cell r="AM149">
            <v>11161.088309083296</v>
          </cell>
          <cell r="AP149">
            <v>7027086537.3479595</v>
          </cell>
          <cell r="AQ149">
            <v>1470113922.3924558</v>
          </cell>
          <cell r="AR149">
            <v>1470113922.3924558</v>
          </cell>
          <cell r="AU149">
            <v>2646125422509.855</v>
          </cell>
          <cell r="AV149">
            <v>2646125422509.855</v>
          </cell>
          <cell r="AX149">
            <v>918621906624.57153</v>
          </cell>
        </row>
        <row r="150">
          <cell r="S150">
            <v>0.20347900973209265</v>
          </cell>
          <cell r="T150">
            <v>2.2730581914530803</v>
          </cell>
          <cell r="U150">
            <v>182613715189.53125</v>
          </cell>
          <cell r="V150">
            <v>1450173050.7150812</v>
          </cell>
          <cell r="W150">
            <v>20954707.460534275</v>
          </cell>
          <cell r="X150">
            <v>20954707.460534275</v>
          </cell>
          <cell r="AA150">
            <v>547027984957.03003</v>
          </cell>
          <cell r="AB150">
            <v>547027984957.03003</v>
          </cell>
          <cell r="AC150">
            <v>378067667754.60168</v>
          </cell>
          <cell r="AG150">
            <v>1956.0387464933442</v>
          </cell>
          <cell r="AM150">
            <v>11227.611472827422</v>
          </cell>
          <cell r="AP150">
            <v>7275844737.2141294</v>
          </cell>
          <cell r="AQ150">
            <v>1510355555.9799504</v>
          </cell>
          <cell r="AR150">
            <v>1510355555.9799504</v>
          </cell>
          <cell r="AU150">
            <v>2744562577201.3022</v>
          </cell>
          <cell r="AV150">
            <v>2744562577201.3022</v>
          </cell>
          <cell r="AX150">
            <v>952215837962.1178</v>
          </cell>
        </row>
        <row r="151">
          <cell r="S151">
            <v>0.20347900973209265</v>
          </cell>
          <cell r="T151">
            <v>2.2755274556476119</v>
          </cell>
          <cell r="U151">
            <v>185259831254.17047</v>
          </cell>
          <cell r="V151">
            <v>1481627319.4767914</v>
          </cell>
          <cell r="W151">
            <v>21327220.250019025</v>
          </cell>
          <cell r="X151">
            <v>21327220.250019025</v>
          </cell>
          <cell r="AA151">
            <v>559863266823.52185</v>
          </cell>
          <cell r="AB151">
            <v>559863266823.52185</v>
          </cell>
          <cell r="AC151">
            <v>387356047128.49768</v>
          </cell>
          <cell r="AG151">
            <v>1974.6792033831937</v>
          </cell>
          <cell r="AM151">
            <v>11296.46224577941</v>
          </cell>
          <cell r="AP151">
            <v>7535274242.220192</v>
          </cell>
          <cell r="AQ151">
            <v>1552133314.7517428</v>
          </cell>
          <cell r="AR151">
            <v>1552133314.7517428</v>
          </cell>
          <cell r="AU151">
            <v>2847357900467.3706</v>
          </cell>
          <cell r="AV151">
            <v>2847357900467.3706</v>
          </cell>
          <cell r="AX151">
            <v>987280217087.22437</v>
          </cell>
        </row>
        <row r="152">
          <cell r="S152">
            <v>0.20347900973209265</v>
          </cell>
          <cell r="T152">
            <v>2.277996719842144</v>
          </cell>
          <cell r="U152">
            <v>187930575753.30917</v>
          </cell>
          <cell r="V152">
            <v>1513393444.8168602</v>
          </cell>
          <cell r="W152">
            <v>21701725.833587922</v>
          </cell>
          <cell r="X152">
            <v>21701725.833587922</v>
          </cell>
          <cell r="AA152">
            <v>572857789774.5957</v>
          </cell>
          <cell r="AB152">
            <v>572857789774.5957</v>
          </cell>
          <cell r="AC152">
            <v>396775809925.58899</v>
          </cell>
          <cell r="AG152">
            <v>1993.4220946982239</v>
          </cell>
          <cell r="AM152">
            <v>11362.670468649558</v>
          </cell>
          <cell r="AP152">
            <v>7799527408.4557734</v>
          </cell>
          <cell r="AQ152">
            <v>1594217268.2899911</v>
          </cell>
          <cell r="AR152">
            <v>1594217268.2899911</v>
          </cell>
          <cell r="AU152">
            <v>2952318875039.8223</v>
          </cell>
          <cell r="AV152">
            <v>2952318875039.8223</v>
          </cell>
          <cell r="AX152">
            <v>1023050764498.1943</v>
          </cell>
        </row>
        <row r="153">
          <cell r="S153">
            <v>0.20347900973209265</v>
          </cell>
          <cell r="T153">
            <v>2.2804659840366757</v>
          </cell>
          <cell r="U153">
            <v>190627409309.62973</v>
          </cell>
          <cell r="V153">
            <v>1546030992.9831562</v>
          </cell>
          <cell r="W153">
            <v>22086134.394383285</v>
          </cell>
          <cell r="X153">
            <v>22086134.394383285</v>
          </cell>
          <cell r="AA153">
            <v>586224342907.64746</v>
          </cell>
          <cell r="AB153">
            <v>586224342907.64746</v>
          </cell>
          <cell r="AC153">
            <v>406474150045.57343</v>
          </cell>
          <cell r="AG153">
            <v>2012.2674204384357</v>
          </cell>
          <cell r="AM153">
            <v>11431.898196356453</v>
          </cell>
          <cell r="AP153">
            <v>8075905405.8060055</v>
          </cell>
          <cell r="AQ153">
            <v>1638078437.6706266</v>
          </cell>
          <cell r="AR153">
            <v>1638078437.6706266</v>
          </cell>
          <cell r="AU153">
            <v>3062223436263.6235</v>
          </cell>
          <cell r="AV153">
            <v>3062223436263.6235</v>
          </cell>
          <cell r="AX153">
            <v>1060489241621.6583</v>
          </cell>
        </row>
        <row r="154">
          <cell r="S154">
            <v>0.20347900973209265</v>
          </cell>
          <cell r="T154">
            <v>2.2829352482312077</v>
          </cell>
          <cell r="U154">
            <v>193350484079.6167</v>
          </cell>
          <cell r="V154">
            <v>1578926608.7757411</v>
          </cell>
          <cell r="W154">
            <v>22471618.415349804</v>
          </cell>
          <cell r="X154">
            <v>22471618.415349804</v>
          </cell>
          <cell r="AA154">
            <v>599731664366.50806</v>
          </cell>
          <cell r="AB154">
            <v>599731664366.50806</v>
          </cell>
          <cell r="AC154">
            <v>416289971945.73517</v>
          </cell>
          <cell r="AG154">
            <v>2031.2151806038285</v>
          </cell>
          <cell r="AM154">
            <v>11497.795714916256</v>
          </cell>
          <cell r="AP154">
            <v>8356463124.6261072</v>
          </cell>
          <cell r="AQ154">
            <v>1682074071.254302</v>
          </cell>
          <cell r="AR154">
            <v>1682074071.254302</v>
          </cell>
          <cell r="AU154">
            <v>3174077572760.1792</v>
          </cell>
          <cell r="AV154">
            <v>3174077572760.1792</v>
          </cell>
          <cell r="AX154">
            <v>1098553724177.3287</v>
          </cell>
        </row>
        <row r="155">
          <cell r="S155">
            <v>0.20347900973209265</v>
          </cell>
          <cell r="T155">
            <v>2.2854045124257398</v>
          </cell>
          <cell r="U155">
            <v>196130977984.93719</v>
          </cell>
          <cell r="V155">
            <v>1612921461.1840758</v>
          </cell>
          <cell r="W155">
            <v>22868297.513202645</v>
          </cell>
          <cell r="X155">
            <v>22868297.513202645</v>
          </cell>
          <cell r="AA155">
            <v>613700317436.04907</v>
          </cell>
          <cell r="AB155">
            <v>613700317436.04907</v>
          </cell>
          <cell r="AC155">
            <v>426405157524.82288</v>
          </cell>
          <cell r="AG155">
            <v>2050.2849515591706</v>
          </cell>
          <cell r="AM155">
            <v>11566.98745730492</v>
          </cell>
          <cell r="AP155">
            <v>8650442769.4210186</v>
          </cell>
          <cell r="AQ155">
            <v>1728027915.1628597</v>
          </cell>
          <cell r="AR155">
            <v>1728027915.1628597</v>
          </cell>
          <cell r="AU155">
            <v>3291406061184.6406</v>
          </cell>
          <cell r="AV155">
            <v>3291406061184.6406</v>
          </cell>
          <cell r="AX155">
            <v>1138450867660.1514</v>
          </cell>
        </row>
        <row r="156">
          <cell r="S156">
            <v>0.20347900973209265</v>
          </cell>
          <cell r="T156">
            <v>2.2878737766202719</v>
          </cell>
          <cell r="U156">
            <v>199660770482.3045</v>
          </cell>
          <cell r="V156">
            <v>1644215490.9397078</v>
          </cell>
          <cell r="W156">
            <v>23379988.159157921</v>
          </cell>
          <cell r="X156">
            <v>23379988.159157921</v>
          </cell>
          <cell r="AA156">
            <v>630245586790.73438</v>
          </cell>
          <cell r="AB156">
            <v>630245586790.73438</v>
          </cell>
          <cell r="AC156">
            <v>438181056084.27667</v>
          </cell>
          <cell r="AG156">
            <v>2069.4583363638958</v>
          </cell>
          <cell r="AM156">
            <v>11624.742579711263</v>
          </cell>
          <cell r="AP156">
            <v>8935914043.9319801</v>
          </cell>
          <cell r="AQ156">
            <v>1781627413.3370242</v>
          </cell>
          <cell r="AR156">
            <v>1781627413.3370242</v>
          </cell>
          <cell r="AU156">
            <v>3425232532574.3994</v>
          </cell>
          <cell r="AV156">
            <v>3425232532574.3994</v>
          </cell>
          <cell r="AX156">
            <v>1183951908617.7354</v>
          </cell>
        </row>
        <row r="157">
          <cell r="S157">
            <v>0.20347900973209265</v>
          </cell>
          <cell r="T157">
            <v>2.2903430408148036</v>
          </cell>
          <cell r="U157">
            <v>202753019259.672</v>
          </cell>
          <cell r="V157">
            <v>1671886451.0472808</v>
          </cell>
          <cell r="W157">
            <v>23882464.860087655</v>
          </cell>
          <cell r="X157">
            <v>23882464.860087655</v>
          </cell>
          <cell r="AA157">
            <v>645787898205.17578</v>
          </cell>
          <cell r="AB157">
            <v>645787898205.17578</v>
          </cell>
          <cell r="AC157">
            <v>449549015911.45856</v>
          </cell>
          <cell r="AG157">
            <v>2088.7344226305945</v>
          </cell>
          <cell r="AM157">
            <v>11676.328822995258</v>
          </cell>
          <cell r="AP157">
            <v>9210184392.1068401</v>
          </cell>
          <cell r="AQ157">
            <v>1833376830.1355028</v>
          </cell>
          <cell r="AR157">
            <v>1833376830.1355028</v>
          </cell>
          <cell r="AU157">
            <v>3557553574846.5659</v>
          </cell>
          <cell r="AV157">
            <v>3557553574846.5659</v>
          </cell>
          <cell r="AX157">
            <v>1230447826113.1252</v>
          </cell>
        </row>
        <row r="158">
          <cell r="S158">
            <v>0.20347900973209265</v>
          </cell>
          <cell r="T158">
            <v>2.2928123050093356</v>
          </cell>
          <cell r="U158">
            <v>205629807510.83521</v>
          </cell>
          <cell r="V158">
            <v>1698422671.3069491</v>
          </cell>
          <cell r="W158">
            <v>24386225.760554716</v>
          </cell>
          <cell r="X158">
            <v>24386225.760554716</v>
          </cell>
          <cell r="AA158">
            <v>661051931695.51355</v>
          </cell>
          <cell r="AB158">
            <v>661051931695.51355</v>
          </cell>
          <cell r="AC158">
            <v>461100051039.90271</v>
          </cell>
          <cell r="AG158">
            <v>2108.1132103592681</v>
          </cell>
          <cell r="AM158">
            <v>11725.442568885095</v>
          </cell>
          <cell r="AP158">
            <v>9487408323.2358074</v>
          </cell>
          <cell r="AQ158">
            <v>1885501908.7251039</v>
          </cell>
          <cell r="AR158">
            <v>1885501908.7251039</v>
          </cell>
          <cell r="AU158">
            <v>3692643595032.2227</v>
          </cell>
          <cell r="AV158">
            <v>3692643595032.2227</v>
          </cell>
          <cell r="AX158">
            <v>1278064886487.624</v>
          </cell>
        </row>
        <row r="159">
          <cell r="S159">
            <v>0.20347900973209265</v>
          </cell>
          <cell r="T159">
            <v>2.2952815692038677</v>
          </cell>
          <cell r="U159">
            <v>208510562845.82819</v>
          </cell>
          <cell r="V159">
            <v>1726753267.592536</v>
          </cell>
          <cell r="W159">
            <v>24920467.78569828</v>
          </cell>
          <cell r="X159">
            <v>24920467.78569828</v>
          </cell>
          <cell r="AA159">
            <v>677176341104.92432</v>
          </cell>
          <cell r="AB159">
            <v>677176341104.92432</v>
          </cell>
          <cell r="AC159">
            <v>473332080556.44171</v>
          </cell>
          <cell r="AG159">
            <v>2129.7365484735765</v>
          </cell>
          <cell r="AM159">
            <v>11776.704617727821</v>
          </cell>
          <cell r="AP159">
            <v>9793562476.1531887</v>
          </cell>
          <cell r="AQ159">
            <v>1941197922.1234522</v>
          </cell>
          <cell r="AR159">
            <v>1941197922.1234522</v>
          </cell>
          <cell r="AU159">
            <v>3840715942718.4897</v>
          </cell>
          <cell r="AV159">
            <v>3840715942718.4897</v>
          </cell>
          <cell r="AX159">
            <v>1330254517480.4302</v>
          </cell>
        </row>
        <row r="160">
          <cell r="S160">
            <v>0.20347900973209265</v>
          </cell>
          <cell r="T160">
            <v>2.2977508333983994</v>
          </cell>
          <cell r="U160">
            <v>211249929311.59119</v>
          </cell>
          <cell r="V160">
            <v>1754578943.492892</v>
          </cell>
          <cell r="W160">
            <v>25461001.785790548</v>
          </cell>
          <cell r="X160">
            <v>25461001.785790548</v>
          </cell>
          <cell r="AA160">
            <v>693268521404.85693</v>
          </cell>
          <cell r="AB160">
            <v>693268521404.85693</v>
          </cell>
          <cell r="AC160">
            <v>485579899213.90656</v>
          </cell>
          <cell r="AG160">
            <v>2152.1790026333624</v>
          </cell>
          <cell r="AM160">
            <v>11823.556106724936</v>
          </cell>
          <cell r="AP160">
            <v>10107000608.017147</v>
          </cell>
          <cell r="AQ160">
            <v>1997358321.4281836</v>
          </cell>
          <cell r="AR160">
            <v>1997358321.4281836</v>
          </cell>
          <cell r="AU160">
            <v>3993473986077.4023</v>
          </cell>
          <cell r="AV160">
            <v>3993473986077.4023</v>
          </cell>
          <cell r="AX160">
            <v>1384131138237.3267</v>
          </cell>
        </row>
        <row r="161">
          <cell r="S161">
            <v>0.20347900973209265</v>
          </cell>
          <cell r="T161">
            <v>2.3002200975929314</v>
          </cell>
          <cell r="U161">
            <v>214006614111.50156</v>
          </cell>
          <cell r="V161">
            <v>1782949667.8285782</v>
          </cell>
          <cell r="W161">
            <v>26013612.129424732</v>
          </cell>
          <cell r="X161">
            <v>26013612.129424732</v>
          </cell>
          <cell r="AA161">
            <v>709741963693.25903</v>
          </cell>
          <cell r="AB161">
            <v>709741963693.25903</v>
          </cell>
          <cell r="AC161">
            <v>498142650991.47278</v>
          </cell>
          <cell r="AG161">
            <v>2174.7600536466498</v>
          </cell>
          <cell r="AM161">
            <v>11871.775179422561</v>
          </cell>
          <cell r="AP161">
            <v>10431651364.73484</v>
          </cell>
          <cell r="AQ161">
            <v>2055353991.956254</v>
          </cell>
          <cell r="AR161">
            <v>2055353991.956254</v>
          </cell>
          <cell r="AU161">
            <v>4152546119368.1924</v>
          </cell>
          <cell r="AV161">
            <v>4152546119368.1924</v>
          </cell>
          <cell r="AX161">
            <v>1440263472862.0127</v>
          </cell>
        </row>
        <row r="162">
          <cell r="S162">
            <v>0.20347900973209265</v>
          </cell>
          <cell r="T162">
            <v>2.3026893617874631</v>
          </cell>
          <cell r="U162">
            <v>215995087783.21136</v>
          </cell>
          <cell r="V162">
            <v>1803863469.1909664</v>
          </cell>
          <cell r="W162">
            <v>26364288.102261856</v>
          </cell>
          <cell r="X162">
            <v>26364288.102261856</v>
          </cell>
          <cell r="AA162">
            <v>720755469988.98071</v>
          </cell>
          <cell r="AB162">
            <v>720755469988.98071</v>
          </cell>
          <cell r="AC162">
            <v>506880449995.50055</v>
          </cell>
          <cell r="AG162">
            <v>2190.279708898971</v>
          </cell>
          <cell r="AM162">
            <v>11890</v>
          </cell>
          <cell r="AP162">
            <v>10650225155.994455</v>
          </cell>
          <cell r="AQ162">
            <v>2091351376.0110438</v>
          </cell>
          <cell r="AR162">
            <v>2091351376.0110438</v>
          </cell>
          <cell r="AU162">
            <v>4255426294119.7163</v>
          </cell>
          <cell r="AV162">
            <v>4255426294119.7163</v>
          </cell>
          <cell r="AX162">
            <v>1476897167334.7749</v>
          </cell>
        </row>
        <row r="163">
          <cell r="S163">
            <v>0.20347900973209265</v>
          </cell>
          <cell r="T163">
            <v>2.3051586259819952</v>
          </cell>
          <cell r="U163">
            <v>217581501835.86301</v>
          </cell>
          <cell r="V163">
            <v>1820430867.8559346</v>
          </cell>
          <cell r="W163">
            <v>26601402.225330867</v>
          </cell>
          <cell r="X163">
            <v>26601402.225330867</v>
          </cell>
          <cell r="AA163">
            <v>728696620556.70459</v>
          </cell>
          <cell r="AB163">
            <v>728696620556.70459</v>
          </cell>
          <cell r="AC163">
            <v>513461293957.00824</v>
          </cell>
          <cell r="AG163">
            <v>2201.9015730248557</v>
          </cell>
          <cell r="AM163">
            <v>11890</v>
          </cell>
          <cell r="AP163">
            <v>10805807266.607929</v>
          </cell>
          <cell r="AQ163">
            <v>2114537509.3751781</v>
          </cell>
          <cell r="AR163">
            <v>2114537509.3751781</v>
          </cell>
          <cell r="AU163">
            <v>4325434915767.1089</v>
          </cell>
          <cell r="AV163">
            <v>4325434915767.1089</v>
          </cell>
          <cell r="AX163">
            <v>1502107557853.679</v>
          </cell>
        </row>
        <row r="164">
          <cell r="S164">
            <v>0.20347900973209265</v>
          </cell>
          <cell r="T164">
            <v>2.3076278901765273</v>
          </cell>
          <cell r="U164">
            <v>219176845206.32855</v>
          </cell>
          <cell r="V164">
            <v>1831442371.6630628</v>
          </cell>
          <cell r="W164">
            <v>26757273.811253943</v>
          </cell>
          <cell r="X164">
            <v>26757273.811253943</v>
          </cell>
          <cell r="AA164">
            <v>734433832569.53772</v>
          </cell>
          <cell r="AB164">
            <v>734433832569.53772</v>
          </cell>
          <cell r="AC164">
            <v>518483511552.6911</v>
          </cell>
          <cell r="AG164">
            <v>2206.0000000000009</v>
          </cell>
          <cell r="AM164">
            <v>11890</v>
          </cell>
          <cell r="AP164">
            <v>10879763352.64748</v>
          </cell>
          <cell r="AQ164">
            <v>2128907891.0688434</v>
          </cell>
          <cell r="AR164">
            <v>2128907891.0688434</v>
          </cell>
          <cell r="AU164">
            <v>4362936240946.8848</v>
          </cell>
          <cell r="AV164">
            <v>4362936240946.8848</v>
          </cell>
          <cell r="AX164">
            <v>1517060865661.7192</v>
          </cell>
        </row>
        <row r="165">
          <cell r="S165">
            <v>0.20347900973209265</v>
          </cell>
          <cell r="T165">
            <v>2.3100971543710589</v>
          </cell>
          <cell r="U165">
            <v>220781153648.71918</v>
          </cell>
          <cell r="V165">
            <v>1839407885.53263</v>
          </cell>
          <cell r="W165">
            <v>26868611.637246251</v>
          </cell>
          <cell r="X165">
            <v>26868611.637246251</v>
          </cell>
          <cell r="AA165">
            <v>738963335671.59705</v>
          </cell>
          <cell r="AB165">
            <v>738963335671.59705</v>
          </cell>
          <cell r="AC165">
            <v>522650584678.76202</v>
          </cell>
          <cell r="AG165">
            <v>2206.0000000000009</v>
          </cell>
          <cell r="AM165">
            <v>11890</v>
          </cell>
          <cell r="AP165">
            <v>10908691972.77985</v>
          </cell>
          <cell r="AQ165">
            <v>2138432426.3027363</v>
          </cell>
          <cell r="AR165">
            <v>2138432426.3027363</v>
          </cell>
          <cell r="AU165">
            <v>4382455610537.4888</v>
          </cell>
          <cell r="AV165">
            <v>4382455610537.4888</v>
          </cell>
          <cell r="AX165">
            <v>1526330689397.4226</v>
          </cell>
        </row>
        <row r="166">
          <cell r="S166">
            <v>0.20347900973209265</v>
          </cell>
          <cell r="T166">
            <v>2.3125467263412824</v>
          </cell>
          <cell r="U166">
            <v>222391818876.49954</v>
          </cell>
          <cell r="V166">
            <v>1847382133.4418831</v>
          </cell>
          <cell r="W166">
            <v>26980053.524429906</v>
          </cell>
          <cell r="X166">
            <v>26980053.524429906</v>
          </cell>
          <cell r="AA166">
            <v>743507918216.4231</v>
          </cell>
          <cell r="AB166">
            <v>743507918216.4231</v>
          </cell>
          <cell r="AC166">
            <v>526837785315.55658</v>
          </cell>
          <cell r="AG166">
            <v>2206.0000000000009</v>
          </cell>
          <cell r="AM166">
            <v>11890</v>
          </cell>
          <cell r="AP166">
            <v>10937647103.676741</v>
          </cell>
          <cell r="AQ166">
            <v>2147982661.0913115</v>
          </cell>
          <cell r="AR166">
            <v>2147982661.0913115</v>
          </cell>
          <cell r="AU166">
            <v>4402027648220.9551</v>
          </cell>
          <cell r="AV166">
            <v>4402027648220.9551</v>
          </cell>
          <cell r="AX166">
            <v>1535623061023.9514</v>
          </cell>
        </row>
      </sheetData>
      <sheetData sheetId="15">
        <row r="7">
          <cell r="M7">
            <v>60</v>
          </cell>
          <cell r="V7">
            <v>25211.862834446791</v>
          </cell>
          <cell r="W7">
            <v>1890.8897125835092</v>
          </cell>
          <cell r="X7">
            <v>1890.8897125835092</v>
          </cell>
          <cell r="AA7">
            <v>1493293.5851913879</v>
          </cell>
          <cell r="AB7">
            <v>1493293.5851913879</v>
          </cell>
          <cell r="AC7">
            <v>2986538.0741052823</v>
          </cell>
          <cell r="AM7">
            <v>1000</v>
          </cell>
          <cell r="AP7">
            <v>18630.906425974848</v>
          </cell>
          <cell r="AQ7">
            <v>4999.1967901100888</v>
          </cell>
          <cell r="AR7">
            <v>4999.1967901100888</v>
          </cell>
          <cell r="AU7">
            <v>1103504.855428495</v>
          </cell>
          <cell r="AV7">
            <v>1103504.855428495</v>
          </cell>
          <cell r="AX7">
            <v>1988582.215822883</v>
          </cell>
        </row>
        <row r="8">
          <cell r="V8">
            <v>33094.839858658561</v>
          </cell>
          <cell r="W8">
            <v>2355.1433795778285</v>
          </cell>
          <cell r="X8">
            <v>2355.1433795778285</v>
          </cell>
          <cell r="AA8">
            <v>2033922.4501947584</v>
          </cell>
          <cell r="AB8">
            <v>2033922.4501947584</v>
          </cell>
          <cell r="AC8">
            <v>4065052.9560200293</v>
          </cell>
          <cell r="AM8">
            <v>1133.6809833025613</v>
          </cell>
          <cell r="AP8">
            <v>26138.011867680372</v>
          </cell>
          <cell r="AQ8">
            <v>7113.1598816203186</v>
          </cell>
          <cell r="AR8">
            <v>7113.1598816203186</v>
          </cell>
          <cell r="AU8">
            <v>1606373.9654936946</v>
          </cell>
          <cell r="AV8">
            <v>1606373.9654936946</v>
          </cell>
          <cell r="AX8">
            <v>2898295.4021830517</v>
          </cell>
        </row>
        <row r="9">
          <cell r="V9">
            <v>41901.08619075529</v>
          </cell>
          <cell r="W9">
            <v>2849.3784718695442</v>
          </cell>
          <cell r="X9">
            <v>2849.3784718695442</v>
          </cell>
          <cell r="AA9">
            <v>2686943.0179721545</v>
          </cell>
          <cell r="AB9">
            <v>2686943.0179721545</v>
          </cell>
          <cell r="AC9">
            <v>5325359.563089963</v>
          </cell>
          <cell r="AM9">
            <v>1267.3619666051227</v>
          </cell>
          <cell r="AP9">
            <v>35133.696939425128</v>
          </cell>
          <cell r="AQ9">
            <v>9686.2211288937378</v>
          </cell>
          <cell r="AR9">
            <v>9686.2211288937378</v>
          </cell>
          <cell r="AU9">
            <v>2252978.3895617994</v>
          </cell>
          <cell r="AV9">
            <v>2252978.3895617994</v>
          </cell>
          <cell r="AX9">
            <v>4038409.8955669189</v>
          </cell>
        </row>
        <row r="10">
          <cell r="V10">
            <v>52158.801681300785</v>
          </cell>
          <cell r="W10">
            <v>3408.73947543131</v>
          </cell>
          <cell r="X10">
            <v>3408.73947543131</v>
          </cell>
          <cell r="AA10">
            <v>3482743.0115544959</v>
          </cell>
          <cell r="AB10">
            <v>3482743.0115544959</v>
          </cell>
          <cell r="AC10">
            <v>6845907.8483008984</v>
          </cell>
          <cell r="AM10">
            <v>1401.042949907684</v>
          </cell>
          <cell r="AP10">
            <v>46191.95937170423</v>
          </cell>
          <cell r="AQ10">
            <v>12888.714934538913</v>
          </cell>
          <cell r="AR10">
            <v>12888.714934538913</v>
          </cell>
          <cell r="AU10">
            <v>3084325.5309963641</v>
          </cell>
          <cell r="AV10">
            <v>3084325.5309963641</v>
          </cell>
          <cell r="AX10">
            <v>5493044.1015614569</v>
          </cell>
        </row>
        <row r="11">
          <cell r="V11">
            <v>64004.576218419912</v>
          </cell>
          <cell r="W11">
            <v>4038.7134478217463</v>
          </cell>
          <cell r="X11">
            <v>4038.7134478217463</v>
          </cell>
          <cell r="AA11">
            <v>4441651.5729964525</v>
          </cell>
          <cell r="AB11">
            <v>4441651.5729964525</v>
          </cell>
          <cell r="AC11">
            <v>8660283.5269786268</v>
          </cell>
          <cell r="AM11">
            <v>1534.7239332102454</v>
          </cell>
          <cell r="AP11">
            <v>59620.012172820658</v>
          </cell>
          <cell r="AQ11">
            <v>16821.604719004721</v>
          </cell>
          <cell r="AR11">
            <v>16821.604719004721</v>
          </cell>
          <cell r="AU11">
            <v>4137381.0514077959</v>
          </cell>
          <cell r="AV11">
            <v>4137381.0514077959</v>
          </cell>
          <cell r="AX11">
            <v>7321819.9062848678</v>
          </cell>
        </row>
        <row r="12">
          <cell r="V12">
            <v>77583.007265018299</v>
          </cell>
          <cell r="W12">
            <v>4745.0903544391695</v>
          </cell>
          <cell r="X12">
            <v>4745.0903544391695</v>
          </cell>
          <cell r="AA12">
            <v>5585815.3246223014</v>
          </cell>
          <cell r="AB12">
            <v>5585815.3246223014</v>
          </cell>
          <cell r="AC12">
            <v>10804620.367661037</v>
          </cell>
          <cell r="AM12">
            <v>1668.4049165128067</v>
          </cell>
          <cell r="AP12">
            <v>75755.24458291012</v>
          </cell>
          <cell r="AQ12">
            <v>21596.337258487518</v>
          </cell>
          <cell r="AR12">
            <v>21596.337258487518</v>
          </cell>
          <cell r="AU12">
            <v>5454220.2091530403</v>
          </cell>
          <cell r="AV12">
            <v>5454220.2091530403</v>
          </cell>
          <cell r="AX12">
            <v>9591952.4701698013</v>
          </cell>
        </row>
        <row r="13">
          <cell r="V13">
            <v>93046.991294459323</v>
          </cell>
          <cell r="W13">
            <v>5533.9737119099955</v>
          </cell>
          <cell r="X13">
            <v>5533.9737119099955</v>
          </cell>
          <cell r="AA13">
            <v>6939297.6927437615</v>
          </cell>
          <cell r="AB13">
            <v>6939297.6927437615</v>
          </cell>
          <cell r="AC13">
            <v>13317711.104205169</v>
          </cell>
          <cell r="AM13">
            <v>1802.0858998153681</v>
          </cell>
          <cell r="AP13">
            <v>94967.164100777823</v>
          </cell>
          <cell r="AQ13">
            <v>27335.542919663298</v>
          </cell>
          <cell r="AR13">
            <v>27335.542919663298</v>
          </cell>
          <cell r="AU13">
            <v>7082501.148752219</v>
          </cell>
          <cell r="AV13">
            <v>7082501.148752219</v>
          </cell>
          <cell r="AX13">
            <v>12378872.585375516</v>
          </cell>
        </row>
        <row r="14">
          <cell r="V14">
            <v>110266.62559949435</v>
          </cell>
          <cell r="W14">
            <v>6394.8920108322818</v>
          </cell>
          <cell r="X14">
            <v>6394.8920108322818</v>
          </cell>
          <cell r="AA14">
            <v>8516935.0527332146</v>
          </cell>
          <cell r="AB14">
            <v>8516935.0527332146</v>
          </cell>
          <cell r="AC14">
            <v>16198314.523280682</v>
          </cell>
          <cell r="AM14">
            <v>1935.7668831179294</v>
          </cell>
          <cell r="AP14">
            <v>117349.30466447584</v>
          </cell>
          <cell r="AQ14">
            <v>34083.693883105268</v>
          </cell>
          <cell r="AR14">
            <v>34083.693883105268</v>
          </cell>
          <cell r="AU14">
            <v>9063997.3870328255</v>
          </cell>
          <cell r="AV14">
            <v>9063997.3870328255</v>
          </cell>
          <cell r="AX14">
            <v>15725323.201168623</v>
          </cell>
        </row>
        <row r="15">
          <cell r="V15">
            <v>128876.50841757216</v>
          </cell>
          <cell r="W15">
            <v>7305.381970239283</v>
          </cell>
          <cell r="X15">
            <v>7305.381970239283</v>
          </cell>
          <cell r="AA15">
            <v>10324349.642345253</v>
          </cell>
          <cell r="AB15">
            <v>10324349.642345253</v>
          </cell>
          <cell r="AC15">
            <v>19406980.316244952</v>
          </cell>
          <cell r="AM15">
            <v>2069.4478664204908</v>
          </cell>
          <cell r="AP15">
            <v>142710.55748923926</v>
          </cell>
          <cell r="AQ15">
            <v>41800.893641318362</v>
          </cell>
          <cell r="AR15">
            <v>41800.893641318362</v>
          </cell>
          <cell r="AU15">
            <v>11432600.9546983</v>
          </cell>
          <cell r="AV15">
            <v>11432600.9546983</v>
          </cell>
          <cell r="AX15">
            <v>19635008.101316508</v>
          </cell>
        </row>
        <row r="16">
          <cell r="V16">
            <v>149653.45447203401</v>
          </cell>
          <cell r="W16">
            <v>8308.4811312238198</v>
          </cell>
          <cell r="X16">
            <v>8308.4811312238198</v>
          </cell>
          <cell r="AA16">
            <v>12418445.924816176</v>
          </cell>
          <cell r="AB16">
            <v>12418445.924816176</v>
          </cell>
          <cell r="AC16">
            <v>23063614.279016405</v>
          </cell>
          <cell r="AM16">
            <v>2203.1288497230521</v>
          </cell>
          <cell r="AP16">
            <v>172057.5200964121</v>
          </cell>
          <cell r="AQ16">
            <v>50797.338714279686</v>
          </cell>
          <cell r="AR16">
            <v>50797.338714279686</v>
          </cell>
          <cell r="AU16">
            <v>14277565.5718295</v>
          </cell>
          <cell r="AV16">
            <v>14277565.5718295</v>
          </cell>
          <cell r="AX16">
            <v>24271770.541301109</v>
          </cell>
        </row>
        <row r="17">
          <cell r="V17">
            <v>177275.07880412182</v>
          </cell>
          <cell r="W17">
            <v>9656.4773510991618</v>
          </cell>
          <cell r="X17">
            <v>9656.4773510991618</v>
          </cell>
          <cell r="AA17">
            <v>15219472.439085882</v>
          </cell>
          <cell r="AB17">
            <v>15219472.439085882</v>
          </cell>
          <cell r="AC17">
            <v>27449810.369036093</v>
          </cell>
          <cell r="AM17">
            <v>2336.8098330256125</v>
          </cell>
          <cell r="AP17">
            <v>206506.29155807578</v>
          </cell>
          <cell r="AQ17">
            <v>61423.312180947862</v>
          </cell>
          <cell r="AR17">
            <v>61423.312180947862</v>
          </cell>
          <cell r="AU17">
            <v>17729039.152416345</v>
          </cell>
          <cell r="AV17">
            <v>17729039.152416345</v>
          </cell>
          <cell r="AX17">
            <v>29897496.306512322</v>
          </cell>
        </row>
        <row r="18">
          <cell r="V18">
            <v>208625.33615014242</v>
          </cell>
          <cell r="W18">
            <v>10895.125678741588</v>
          </cell>
          <cell r="X18">
            <v>10895.125678741588</v>
          </cell>
          <cell r="AA18">
            <v>18141136.321230263</v>
          </cell>
          <cell r="AB18">
            <v>18141136.321230263</v>
          </cell>
          <cell r="AC18">
            <v>31811071.948054709</v>
          </cell>
          <cell r="AM18">
            <v>2419.7943579612602</v>
          </cell>
          <cell r="AP18">
            <v>237099.10261773513</v>
          </cell>
          <cell r="AQ18">
            <v>70098.524576970041</v>
          </cell>
          <cell r="AR18">
            <v>70098.524576970041</v>
          </cell>
          <cell r="AU18">
            <v>20617089.091874231</v>
          </cell>
          <cell r="AV18">
            <v>20617089.091874231</v>
          </cell>
          <cell r="AX18">
            <v>34480527.590615727</v>
          </cell>
        </row>
        <row r="19">
          <cell r="V19">
            <v>242661.88235597269</v>
          </cell>
          <cell r="W19">
            <v>12182.406754970962</v>
          </cell>
          <cell r="X19">
            <v>12182.406754970962</v>
          </cell>
          <cell r="AA19">
            <v>21368503.990575001</v>
          </cell>
          <cell r="AB19">
            <v>21368503.990575001</v>
          </cell>
          <cell r="AC19">
            <v>36464564.564117774</v>
          </cell>
          <cell r="AM19">
            <v>2501.570411481659</v>
          </cell>
          <cell r="AP19">
            <v>269715.91732656263</v>
          </cell>
          <cell r="AQ19">
            <v>79261.798064252274</v>
          </cell>
          <cell r="AR19">
            <v>79261.798064252274</v>
          </cell>
          <cell r="AU19">
            <v>23750848.710798331</v>
          </cell>
          <cell r="AV19">
            <v>23750848.710798331</v>
          </cell>
          <cell r="AX19">
            <v>39388961.12814869</v>
          </cell>
        </row>
        <row r="20">
          <cell r="V20">
            <v>280472.65160016238</v>
          </cell>
          <cell r="W20">
            <v>13568.733976580577</v>
          </cell>
          <cell r="X20">
            <v>13568.733976580577</v>
          </cell>
          <cell r="AA20">
            <v>25007482.678151891</v>
          </cell>
          <cell r="AB20">
            <v>25007482.678151891</v>
          </cell>
          <cell r="AC20">
            <v>41563120.925877497</v>
          </cell>
          <cell r="AM20">
            <v>2580.095688557115</v>
          </cell>
          <cell r="AP20">
            <v>305229.27427494229</v>
          </cell>
          <cell r="AQ20">
            <v>89158.338519468438</v>
          </cell>
          <cell r="AR20">
            <v>89158.338519468438</v>
          </cell>
          <cell r="AU20">
            <v>27214830.91398517</v>
          </cell>
          <cell r="AV20">
            <v>27214830.91398517</v>
          </cell>
          <cell r="AX20">
            <v>44753891.875192001</v>
          </cell>
        </row>
        <row r="21">
          <cell r="V21">
            <v>322272.55562775926</v>
          </cell>
          <cell r="W21">
            <v>15056.930133802747</v>
          </cell>
          <cell r="X21">
            <v>15056.930133802747</v>
          </cell>
          <cell r="AA21">
            <v>29089949.432791166</v>
          </cell>
          <cell r="AB21">
            <v>29089949.432791166</v>
          </cell>
          <cell r="AC21">
            <v>47124543.295854144</v>
          </cell>
          <cell r="AM21">
            <v>2656.0415593263824</v>
          </cell>
          <cell r="AP21">
            <v>343543.62811837863</v>
          </cell>
          <cell r="AQ21">
            <v>99811.764171817573</v>
          </cell>
          <cell r="AR21">
            <v>99811.764171817573</v>
          </cell>
          <cell r="AU21">
            <v>31009983.926352162</v>
          </cell>
          <cell r="AV21">
            <v>31009983.926352162</v>
          </cell>
          <cell r="AX21">
            <v>50565550.787155852</v>
          </cell>
        </row>
        <row r="22">
          <cell r="V22">
            <v>368472.29652696283</v>
          </cell>
          <cell r="W22">
            <v>16658.641957401909</v>
          </cell>
          <cell r="X22">
            <v>16658.641957401909</v>
          </cell>
          <cell r="AA22">
            <v>33666625.860978216</v>
          </cell>
          <cell r="AB22">
            <v>33666625.860978216</v>
          </cell>
          <cell r="AC22">
            <v>53194786.545883171</v>
          </cell>
          <cell r="AM22">
            <v>2732.3953663630509</v>
          </cell>
          <cell r="AP22">
            <v>385382.68643522519</v>
          </cell>
          <cell r="AQ22">
            <v>111432.51414044303</v>
          </cell>
          <cell r="AR22">
            <v>111432.51414044303</v>
          </cell>
          <cell r="AU22">
            <v>35211696.618185252</v>
          </cell>
          <cell r="AV22">
            <v>35211696.618185252</v>
          </cell>
          <cell r="AX22">
            <v>56934615.682086855</v>
          </cell>
        </row>
        <row r="23">
          <cell r="V23">
            <v>419210.96406433155</v>
          </cell>
          <cell r="W23">
            <v>18372.506889883785</v>
          </cell>
          <cell r="X23">
            <v>18372.506889883785</v>
          </cell>
          <cell r="AA23">
            <v>38764935.748229071</v>
          </cell>
          <cell r="AB23">
            <v>38764935.748229071</v>
          </cell>
          <cell r="AC23">
            <v>59779528.568818577</v>
          </cell>
          <cell r="AM23">
            <v>2805.0302066190816</v>
          </cell>
          <cell r="AP23">
            <v>430337.36471628223</v>
          </cell>
          <cell r="AQ23">
            <v>123834.46048088925</v>
          </cell>
          <cell r="AR23">
            <v>123834.46048088925</v>
          </cell>
          <cell r="AU23">
            <v>39793807.231456153</v>
          </cell>
          <cell r="AV23">
            <v>39793807.231456153</v>
          </cell>
          <cell r="AX23">
            <v>63805092.022095278</v>
          </cell>
        </row>
        <row r="24">
          <cell r="V24">
            <v>475101.5022627759</v>
          </cell>
          <cell r="W24">
            <v>20417.747576995924</v>
          </cell>
          <cell r="X24">
            <v>20417.747576995924</v>
          </cell>
          <cell r="AA24">
            <v>44896836.728595026</v>
          </cell>
          <cell r="AB24">
            <v>44896836.728595026</v>
          </cell>
          <cell r="AC24">
            <v>67613795.116007879</v>
          </cell>
          <cell r="AM24">
            <v>2879.0260811148701</v>
          </cell>
          <cell r="AP24">
            <v>479819.15134493669</v>
          </cell>
          <cell r="AQ24">
            <v>138768.12291002224</v>
          </cell>
          <cell r="AR24">
            <v>138768.12291002224</v>
          </cell>
          <cell r="AU24">
            <v>45342652.032431774</v>
          </cell>
          <cell r="AV24">
            <v>45342652.032431774</v>
          </cell>
          <cell r="AX24">
            <v>72096794.225466251</v>
          </cell>
        </row>
        <row r="25">
          <cell r="V25">
            <v>536342.12356298754</v>
          </cell>
          <cell r="W25">
            <v>22452.288983558945</v>
          </cell>
          <cell r="X25">
            <v>22452.288983558945</v>
          </cell>
          <cell r="AA25">
            <v>51368145.182957709</v>
          </cell>
          <cell r="AB25">
            <v>51368145.182957709</v>
          </cell>
          <cell r="AC25">
            <v>75590419.947995082</v>
          </cell>
          <cell r="AM25">
            <v>2952.4360525554048</v>
          </cell>
          <cell r="AP25">
            <v>533636.68748623691</v>
          </cell>
          <cell r="AQ25">
            <v>153848.08343896427</v>
          </cell>
          <cell r="AR25">
            <v>153848.08343896427</v>
          </cell>
          <cell r="AU25">
            <v>51109032.152173325</v>
          </cell>
          <cell r="AV25">
            <v>51109032.152173325</v>
          </cell>
          <cell r="AX25">
            <v>80592934.395843416</v>
          </cell>
        </row>
        <row r="26">
          <cell r="V26">
            <v>599854.09187310073</v>
          </cell>
          <cell r="W26">
            <v>24466.487765448594</v>
          </cell>
          <cell r="X26">
            <v>24466.487765448594</v>
          </cell>
          <cell r="AA26">
            <v>58177825.821528062</v>
          </cell>
          <cell r="AB26">
            <v>58177825.821528062</v>
          </cell>
          <cell r="AC26">
            <v>83996553.645628393</v>
          </cell>
          <cell r="AM26">
            <v>3022.0567635394318</v>
          </cell>
          <cell r="AP26">
            <v>589708.39922954957</v>
          </cell>
          <cell r="AQ26">
            <v>169173.76712631024</v>
          </cell>
          <cell r="AR26">
            <v>169173.76712631024</v>
          </cell>
          <cell r="AU26">
            <v>57193829.300620526</v>
          </cell>
          <cell r="AV26">
            <v>57193829.300620526</v>
          </cell>
          <cell r="AX26">
            <v>89600458.349491447</v>
          </cell>
        </row>
        <row r="27">
          <cell r="V27">
            <v>672723.20637552463</v>
          </cell>
          <cell r="W27">
            <v>26344.176301713691</v>
          </cell>
          <cell r="X27">
            <v>26344.176301713691</v>
          </cell>
          <cell r="AA27">
            <v>66104187.437565431</v>
          </cell>
          <cell r="AB27">
            <v>66104187.437565431</v>
          </cell>
          <cell r="AC27">
            <v>94880549.772950232</v>
          </cell>
          <cell r="AM27">
            <v>3092.6194772754434</v>
          </cell>
          <cell r="AP27">
            <v>650570.73146132461</v>
          </cell>
          <cell r="AQ27">
            <v>185687.5564193243</v>
          </cell>
          <cell r="AR27">
            <v>185687.5564193243</v>
          </cell>
          <cell r="AU27">
            <v>63927406.051021717</v>
          </cell>
          <cell r="AV27">
            <v>63927406.051021717</v>
          </cell>
          <cell r="AX27">
            <v>99709774.351699859</v>
          </cell>
        </row>
        <row r="28">
          <cell r="V28">
            <v>750895.72452809021</v>
          </cell>
          <cell r="W28">
            <v>28305.406866999248</v>
          </cell>
          <cell r="X28">
            <v>28305.406866999248</v>
          </cell>
          <cell r="AA28">
            <v>74744489.072384089</v>
          </cell>
          <cell r="AB28">
            <v>74744489.072384089</v>
          </cell>
          <cell r="AC28">
            <v>106656494.99479677</v>
          </cell>
          <cell r="AM28">
            <v>3162.2795653110925</v>
          </cell>
          <cell r="AP28">
            <v>715953.05799776304</v>
          </cell>
          <cell r="AQ28">
            <v>203284.46317773958</v>
          </cell>
          <cell r="AR28">
            <v>203284.46317773958</v>
          </cell>
          <cell r="AU28">
            <v>71266280.752211004</v>
          </cell>
          <cell r="AV28">
            <v>71266280.752211004</v>
          </cell>
          <cell r="AX28">
            <v>110671005.74490765</v>
          </cell>
        </row>
        <row r="29">
          <cell r="V29">
            <v>834478.06351405848</v>
          </cell>
          <cell r="W29">
            <v>30349.50161221985</v>
          </cell>
          <cell r="X29">
            <v>30349.50161221985</v>
          </cell>
          <cell r="AA29">
            <v>84129782.202255994</v>
          </cell>
          <cell r="AB29">
            <v>84129782.202255994</v>
          </cell>
          <cell r="AC29">
            <v>119352873.04142421</v>
          </cell>
          <cell r="AM29">
            <v>3231.2694466249868</v>
          </cell>
          <cell r="AP29">
            <v>785970.70292250963</v>
          </cell>
          <cell r="AQ29">
            <v>221999.0958521787</v>
          </cell>
          <cell r="AR29">
            <v>221999.0958521787</v>
          </cell>
          <cell r="AU29">
            <v>79239403.580931634</v>
          </cell>
          <cell r="AV29">
            <v>79239403.580931634</v>
          </cell>
          <cell r="AX29">
            <v>122517765.7938408</v>
          </cell>
        </row>
        <row r="30">
          <cell r="V30">
            <v>923157.74300034554</v>
          </cell>
          <cell r="W30">
            <v>32461.362852017977</v>
          </cell>
          <cell r="X30">
            <v>32461.362852017977</v>
          </cell>
          <cell r="AA30">
            <v>94248825.156855822</v>
          </cell>
          <cell r="AB30">
            <v>94248825.156855822</v>
          </cell>
          <cell r="AC30">
            <v>132938130.82225081</v>
          </cell>
          <cell r="AM30">
            <v>3299.9728534552714</v>
          </cell>
          <cell r="AP30">
            <v>858987.4610337218</v>
          </cell>
          <cell r="AQ30">
            <v>241716.79414100666</v>
          </cell>
          <cell r="AR30">
            <v>241716.79414100666</v>
          </cell>
          <cell r="AU30">
            <v>87697427.271504208</v>
          </cell>
          <cell r="AV30">
            <v>87697427.271504208</v>
          </cell>
          <cell r="AX30">
            <v>135008885.77438954</v>
          </cell>
        </row>
        <row r="31">
          <cell r="V31">
            <v>1017402.2848827159</v>
          </cell>
          <cell r="W31">
            <v>34667.800782006685</v>
          </cell>
          <cell r="X31">
            <v>34667.800782006685</v>
          </cell>
          <cell r="AA31">
            <v>105209681.59010036</v>
          </cell>
          <cell r="AB31">
            <v>105209681.59010036</v>
          </cell>
          <cell r="AC31">
            <v>147548522.51267138</v>
          </cell>
          <cell r="AM31">
            <v>3368.6727569248687</v>
          </cell>
          <cell r="AP31">
            <v>936159.6020250353</v>
          </cell>
          <cell r="AQ31">
            <v>262716.08473733341</v>
          </cell>
          <cell r="AR31">
            <v>262716.08473733341</v>
          </cell>
          <cell r="AU31">
            <v>96808366.867313564</v>
          </cell>
          <cell r="AV31">
            <v>96808366.867313564</v>
          </cell>
          <cell r="AX31">
            <v>148393581.69131184</v>
          </cell>
        </row>
        <row r="32">
          <cell r="V32">
            <v>1120353.5136950137</v>
          </cell>
          <cell r="W32">
            <v>37067.256966463159</v>
          </cell>
          <cell r="X32">
            <v>37067.256966463159</v>
          </cell>
          <cell r="AA32">
            <v>117209752.48851381</v>
          </cell>
          <cell r="AB32">
            <v>117209752.48851381</v>
          </cell>
          <cell r="AC32">
            <v>163653140.43196386</v>
          </cell>
          <cell r="AM32">
            <v>3435.9244188823618</v>
          </cell>
          <cell r="AP32">
            <v>1020557.9787192114</v>
          </cell>
          <cell r="AQ32">
            <v>285682.39725289203</v>
          </cell>
          <cell r="AR32">
            <v>285682.39725289203</v>
          </cell>
          <cell r="AU32">
            <v>106769288.99998961</v>
          </cell>
          <cell r="AV32">
            <v>106769288.99998961</v>
          </cell>
          <cell r="AX32">
            <v>163171887.44158581</v>
          </cell>
        </row>
        <row r="33">
          <cell r="V33">
            <v>1232246.6743078195</v>
          </cell>
          <cell r="W33">
            <v>39647.148115932025</v>
          </cell>
          <cell r="X33">
            <v>39647.148115932025</v>
          </cell>
          <cell r="AA33">
            <v>130283697.87373823</v>
          </cell>
          <cell r="AB33">
            <v>130283697.87373823</v>
          </cell>
          <cell r="AC33">
            <v>181274603.06937537</v>
          </cell>
          <cell r="AM33">
            <v>3503.0530825071737</v>
          </cell>
          <cell r="AP33">
            <v>1112809.2637874812</v>
          </cell>
          <cell r="AQ33">
            <v>310707.41908071004</v>
          </cell>
          <cell r="AR33">
            <v>310707.41908071004</v>
          </cell>
          <cell r="AU33">
            <v>117655749.40246789</v>
          </cell>
          <cell r="AV33">
            <v>117655749.40246789</v>
          </cell>
          <cell r="AX33">
            <v>179435335.2005794</v>
          </cell>
        </row>
        <row r="34">
          <cell r="V34">
            <v>1359384.8544927333</v>
          </cell>
          <cell r="W34">
            <v>42606.675291166568</v>
          </cell>
          <cell r="X34">
            <v>42606.675291166568</v>
          </cell>
          <cell r="AA34">
            <v>145307792.47327238</v>
          </cell>
          <cell r="AB34">
            <v>145307792.47327238</v>
          </cell>
          <cell r="AC34">
            <v>200793810.89595741</v>
          </cell>
          <cell r="AM34">
            <v>3569.6432625118296</v>
          </cell>
          <cell r="AP34">
            <v>1214435.3967369855</v>
          </cell>
          <cell r="AQ34">
            <v>338380.95005550887</v>
          </cell>
          <cell r="AR34">
            <v>338380.95005550887</v>
          </cell>
          <cell r="AU34">
            <v>129813809.54630713</v>
          </cell>
          <cell r="AV34">
            <v>129813809.54630713</v>
          </cell>
          <cell r="AX34">
            <v>197395712.2477676</v>
          </cell>
        </row>
        <row r="35">
          <cell r="V35">
            <v>1528424.9655823126</v>
          </cell>
          <cell r="W35">
            <v>46762.612104907501</v>
          </cell>
          <cell r="X35">
            <v>46762.612104907501</v>
          </cell>
          <cell r="AA35">
            <v>165417264.28927565</v>
          </cell>
          <cell r="AB35">
            <v>165417264.28927565</v>
          </cell>
          <cell r="AC35">
            <v>224346791.72142029</v>
          </cell>
          <cell r="AM35">
            <v>3636.151840648989</v>
          </cell>
          <cell r="AP35">
            <v>1335935.5309629829</v>
          </cell>
          <cell r="AQ35">
            <v>372100.92643943586</v>
          </cell>
          <cell r="AR35">
            <v>372100.92643943586</v>
          </cell>
          <cell r="AU35">
            <v>144584657.91583303</v>
          </cell>
          <cell r="AV35">
            <v>144584657.91583303</v>
          </cell>
          <cell r="AX35">
            <v>218686420.88058627</v>
          </cell>
        </row>
        <row r="36">
          <cell r="V36">
            <v>1713174.5548482784</v>
          </cell>
          <cell r="W36">
            <v>51202.175078283937</v>
          </cell>
          <cell r="X36">
            <v>51202.175078283937</v>
          </cell>
          <cell r="AA36">
            <v>187592551.34957367</v>
          </cell>
          <cell r="AB36">
            <v>187592551.34957367</v>
          </cell>
          <cell r="AC36">
            <v>249801861.5390209</v>
          </cell>
          <cell r="AM36">
            <v>3703.3969730796721</v>
          </cell>
          <cell r="AP36">
            <v>1467227.2550897358</v>
          </cell>
          <cell r="AQ36">
            <v>408351.02906761033</v>
          </cell>
          <cell r="AR36">
            <v>408351.02906761033</v>
          </cell>
          <cell r="AU36">
            <v>160661330.98520777</v>
          </cell>
          <cell r="AV36">
            <v>160661330.98520777</v>
          </cell>
          <cell r="AX36">
            <v>241737713.00717708</v>
          </cell>
        </row>
        <row r="37">
          <cell r="V37">
            <v>1949617.463793152</v>
          </cell>
          <cell r="W37">
            <v>56541.801467933663</v>
          </cell>
          <cell r="X37">
            <v>56541.801467933663</v>
          </cell>
          <cell r="AA37">
            <v>216663409.58033001</v>
          </cell>
          <cell r="AB37">
            <v>216663409.58033001</v>
          </cell>
          <cell r="AC37">
            <v>283386329.67138696</v>
          </cell>
          <cell r="AM37">
            <v>3769.0285126353665</v>
          </cell>
          <cell r="AP37">
            <v>1616487.6797441437</v>
          </cell>
          <cell r="AQ37">
            <v>450979.06640254543</v>
          </cell>
          <cell r="AR37">
            <v>450979.06640254543</v>
          </cell>
          <cell r="AU37">
            <v>179642283.03359172</v>
          </cell>
          <cell r="AV37">
            <v>179642283.03359172</v>
          </cell>
          <cell r="AX37">
            <v>268909628.91170001</v>
          </cell>
        </row>
        <row r="38">
          <cell r="V38">
            <v>2209954.9522448191</v>
          </cell>
          <cell r="W38">
            <v>62306.418262048188</v>
          </cell>
          <cell r="X38">
            <v>62306.418262048188</v>
          </cell>
          <cell r="AA38">
            <v>249184171.5438543</v>
          </cell>
          <cell r="AB38">
            <v>249184171.5438543</v>
          </cell>
          <cell r="AC38">
            <v>320252824.39961952</v>
          </cell>
          <cell r="AM38">
            <v>3836.370132315777</v>
          </cell>
          <cell r="AP38">
            <v>1779080.0316950108</v>
          </cell>
          <cell r="AQ38">
            <v>497447.21700350766</v>
          </cell>
          <cell r="AR38">
            <v>497447.21700350766</v>
          </cell>
          <cell r="AU38">
            <v>200600733.22210619</v>
          </cell>
          <cell r="AV38">
            <v>200600733.22210619</v>
          </cell>
          <cell r="AX38">
            <v>298761523.03300899</v>
          </cell>
        </row>
        <row r="39">
          <cell r="V39">
            <v>2494466.9879672574</v>
          </cell>
          <cell r="W39">
            <v>68482.078077108497</v>
          </cell>
          <cell r="X39">
            <v>68482.078077108497</v>
          </cell>
          <cell r="AA39">
            <v>285297852.10598391</v>
          </cell>
          <cell r="AB39">
            <v>285297852.10598391</v>
          </cell>
          <cell r="AC39">
            <v>360420922.87949383</v>
          </cell>
          <cell r="AM39">
            <v>3899.0868763053822</v>
          </cell>
          <cell r="AP39">
            <v>1951249.3121046419</v>
          </cell>
          <cell r="AQ39">
            <v>546707.64264743333</v>
          </cell>
          <cell r="AR39">
            <v>546707.64264743333</v>
          </cell>
          <cell r="AU39">
            <v>223168813.35855153</v>
          </cell>
          <cell r="AV39">
            <v>223168813.35855153</v>
          </cell>
          <cell r="AX39">
            <v>330710488.2517857</v>
          </cell>
        </row>
        <row r="40">
          <cell r="V40">
            <v>2806816.324656378</v>
          </cell>
          <cell r="W40">
            <v>75236.55253236444</v>
          </cell>
          <cell r="X40">
            <v>75236.55253236444</v>
          </cell>
          <cell r="AA40">
            <v>325923243.40476257</v>
          </cell>
          <cell r="AB40">
            <v>325923243.40476257</v>
          </cell>
          <cell r="AC40">
            <v>404875375.22031927</v>
          </cell>
          <cell r="AM40">
            <v>3966.2932129146884</v>
          </cell>
          <cell r="AP40">
            <v>2140525.776023434</v>
          </cell>
          <cell r="AQ40">
            <v>601576.72095180023</v>
          </cell>
          <cell r="AR40">
            <v>601576.72095180023</v>
          </cell>
          <cell r="AU40">
            <v>248554598.09913382</v>
          </cell>
          <cell r="AV40">
            <v>248554598.09913382</v>
          </cell>
          <cell r="AX40">
            <v>366510754.4453944</v>
          </cell>
        </row>
        <row r="41">
          <cell r="V41">
            <v>3162823.5695383828</v>
          </cell>
          <cell r="W41">
            <v>82877.925059076893</v>
          </cell>
          <cell r="X41">
            <v>82877.925059076893</v>
          </cell>
          <cell r="AA41">
            <v>372892452.74180353</v>
          </cell>
          <cell r="AB41">
            <v>372892452.74180353</v>
          </cell>
          <cell r="AC41">
            <v>454528274.37837136</v>
          </cell>
          <cell r="AM41">
            <v>4030.5941741358338</v>
          </cell>
          <cell r="AP41">
            <v>2345218.2056811857</v>
          </cell>
          <cell r="AQ41">
            <v>661228.41127756541</v>
          </cell>
          <cell r="AR41">
            <v>661228.41127756541</v>
          </cell>
          <cell r="AU41">
            <v>276497929.68338883</v>
          </cell>
          <cell r="AV41">
            <v>276497929.68338883</v>
          </cell>
          <cell r="AX41">
            <v>405805007.08966744</v>
          </cell>
        </row>
        <row r="42">
          <cell r="V42">
            <v>3561586.5307957479</v>
          </cell>
          <cell r="W42">
            <v>91344.040894063306</v>
          </cell>
          <cell r="X42">
            <v>91344.040894063306</v>
          </cell>
          <cell r="AA42">
            <v>426264453.67963886</v>
          </cell>
          <cell r="AB42">
            <v>426264453.67963886</v>
          </cell>
          <cell r="AC42">
            <v>509386617.31566417</v>
          </cell>
          <cell r="AM42">
            <v>4097.4135482075872</v>
          </cell>
          <cell r="AP42">
            <v>2567758.0587704796</v>
          </cell>
          <cell r="AQ42">
            <v>726238.76188394916</v>
          </cell>
          <cell r="AR42">
            <v>726238.76188394916</v>
          </cell>
          <cell r="AU42">
            <v>307319217.61247784</v>
          </cell>
          <cell r="AV42">
            <v>307319217.61247784</v>
          </cell>
          <cell r="AX42">
            <v>449285282.68714237</v>
          </cell>
        </row>
        <row r="43">
          <cell r="V43">
            <v>3996152.7066617119</v>
          </cell>
          <cell r="W43">
            <v>100412.71777575259</v>
          </cell>
          <cell r="X43">
            <v>100412.71777575259</v>
          </cell>
          <cell r="AA43">
            <v>485338343.06069255</v>
          </cell>
          <cell r="AB43">
            <v>485338343.06069255</v>
          </cell>
          <cell r="AC43">
            <v>568867565.07569718</v>
          </cell>
          <cell r="AM43">
            <v>4161.1453581089208</v>
          </cell>
          <cell r="AP43">
            <v>2804367.8193558254</v>
          </cell>
          <cell r="AQ43">
            <v>795370.16652391641</v>
          </cell>
          <cell r="AR43">
            <v>795370.16652391641</v>
          </cell>
          <cell r="AU43">
            <v>340594399.33562654</v>
          </cell>
          <cell r="AV43">
            <v>340594399.33562654</v>
          </cell>
          <cell r="AX43">
            <v>495936447.22560048</v>
          </cell>
        </row>
        <row r="44">
          <cell r="V44">
            <v>4469742.6126523204</v>
          </cell>
          <cell r="W44">
            <v>110127.46233958693</v>
          </cell>
          <cell r="X44">
            <v>110127.46233958693</v>
          </cell>
          <cell r="AA44">
            <v>550602838.46037519</v>
          </cell>
          <cell r="AB44">
            <v>550602838.46037519</v>
          </cell>
          <cell r="AC44">
            <v>633304903.34990656</v>
          </cell>
          <cell r="AM44">
            <v>4225.8552007948474</v>
          </cell>
          <cell r="AP44">
            <v>3059614.4050618568</v>
          </cell>
          <cell r="AQ44">
            <v>869812.79964101664</v>
          </cell>
          <cell r="AR44">
            <v>869812.79964101664</v>
          </cell>
          <cell r="AU44">
            <v>376896954.03325677</v>
          </cell>
          <cell r="AV44">
            <v>376896954.03325677</v>
          </cell>
          <cell r="AX44">
            <v>546565168.07249761</v>
          </cell>
        </row>
        <row r="45">
          <cell r="V45">
            <v>4982449.0829152009</v>
          </cell>
          <cell r="W45">
            <v>120489.69651455115</v>
          </cell>
          <cell r="X45">
            <v>120489.69651455115</v>
          </cell>
          <cell r="AA45">
            <v>622358643.60210109</v>
          </cell>
          <cell r="AB45">
            <v>622358643.60210109</v>
          </cell>
          <cell r="AC45">
            <v>702794540.4614017</v>
          </cell>
          <cell r="AM45">
            <v>4289.7083305655342</v>
          </cell>
          <cell r="AP45">
            <v>3331498.9503987618</v>
          </cell>
          <cell r="AQ45">
            <v>949183.09996784083</v>
          </cell>
          <cell r="AR45">
            <v>949183.09996784083</v>
          </cell>
          <cell r="AU45">
            <v>416138154.83667123</v>
          </cell>
          <cell r="AV45">
            <v>416138154.83667123</v>
          </cell>
          <cell r="AX45">
            <v>601003801.09043622</v>
          </cell>
        </row>
        <row r="46">
          <cell r="V46">
            <v>5491485.3715018583</v>
          </cell>
          <cell r="W46">
            <v>130469.67492895389</v>
          </cell>
          <cell r="X46">
            <v>130469.67492895389</v>
          </cell>
          <cell r="AA46">
            <v>695639566.69621706</v>
          </cell>
          <cell r="AB46">
            <v>695639566.69621706</v>
          </cell>
          <cell r="AC46">
            <v>775541780.75210369</v>
          </cell>
          <cell r="AM46">
            <v>4352.671021168183</v>
          </cell>
          <cell r="AP46">
            <v>3605736.9698972926</v>
          </cell>
          <cell r="AQ46">
            <v>1029840.8811177018</v>
          </cell>
          <cell r="AR46">
            <v>1029840.8811177018</v>
          </cell>
          <cell r="AU46">
            <v>456760445.24796641</v>
          </cell>
          <cell r="AV46">
            <v>456760445.24796641</v>
          </cell>
          <cell r="AX46">
            <v>657839608.61482024</v>
          </cell>
        </row>
        <row r="47">
          <cell r="V47">
            <v>5842576.0440303292</v>
          </cell>
          <cell r="W47">
            <v>137042.93278449008</v>
          </cell>
          <cell r="X47">
            <v>137042.93278449008</v>
          </cell>
          <cell r="AA47">
            <v>747772174.76492286</v>
          </cell>
          <cell r="AB47">
            <v>747772174.76492286</v>
          </cell>
          <cell r="AC47">
            <v>833179360.48387122</v>
          </cell>
          <cell r="AM47">
            <v>4418.5909727083454</v>
          </cell>
          <cell r="AP47">
            <v>3858061.2228307873</v>
          </cell>
          <cell r="AQ47">
            <v>1100702.8072018945</v>
          </cell>
          <cell r="AR47">
            <v>1100702.8072018945</v>
          </cell>
          <cell r="AU47">
            <v>493780621.63522941</v>
          </cell>
          <cell r="AV47">
            <v>493780621.63522941</v>
          </cell>
          <cell r="AX47">
            <v>709633905.70790124</v>
          </cell>
        </row>
        <row r="48">
          <cell r="V48">
            <v>6210728.6465835795</v>
          </cell>
          <cell r="W48">
            <v>143920.86448195617</v>
          </cell>
          <cell r="X48">
            <v>143920.86448195617</v>
          </cell>
          <cell r="AA48">
            <v>803167736.17406368</v>
          </cell>
          <cell r="AB48">
            <v>803167736.17406368</v>
          </cell>
          <cell r="AC48">
            <v>894273579.17381549</v>
          </cell>
          <cell r="AM48">
            <v>4483.4650375663032</v>
          </cell>
          <cell r="AP48">
            <v>4125291.9293114841</v>
          </cell>
          <cell r="AQ48">
            <v>1175832.0659868196</v>
          </cell>
          <cell r="AR48">
            <v>1175832.0659868196</v>
          </cell>
          <cell r="AU48">
            <v>533480299.73018271</v>
          </cell>
          <cell r="AV48">
            <v>533480299.73018271</v>
          </cell>
          <cell r="AX48">
            <v>764880294.98551607</v>
          </cell>
        </row>
        <row r="49">
          <cell r="V49">
            <v>6605309.6210870761</v>
          </cell>
          <cell r="W49">
            <v>151549.29298926221</v>
          </cell>
          <cell r="X49">
            <v>151549.29298926221</v>
          </cell>
          <cell r="AA49">
            <v>864473831.02459037</v>
          </cell>
          <cell r="AB49">
            <v>864473831.02459037</v>
          </cell>
          <cell r="AC49">
            <v>961248779.85020506</v>
          </cell>
          <cell r="AM49">
            <v>4549.9026312380975</v>
          </cell>
          <cell r="AP49">
            <v>4419481.7578851972</v>
          </cell>
          <cell r="AQ49">
            <v>1260616.6010396103</v>
          </cell>
          <cell r="AR49">
            <v>1260616.6010396103</v>
          </cell>
          <cell r="AU49">
            <v>578402307.46875119</v>
          </cell>
          <cell r="AV49">
            <v>578402307.46875119</v>
          </cell>
          <cell r="AX49">
            <v>826325188.31658483</v>
          </cell>
        </row>
        <row r="50">
          <cell r="V50">
            <v>7027889.7522101989</v>
          </cell>
          <cell r="W50">
            <v>159697.05519025476</v>
          </cell>
          <cell r="X50">
            <v>159697.05519025476</v>
          </cell>
          <cell r="AA50">
            <v>931044884.97066772</v>
          </cell>
          <cell r="AB50">
            <v>931044884.97066772</v>
          </cell>
          <cell r="AC50">
            <v>1033549165.7935195</v>
          </cell>
          <cell r="AM50">
            <v>4612.2429488480666</v>
          </cell>
          <cell r="AP50">
            <v>4729296.6227404</v>
          </cell>
          <cell r="AQ50">
            <v>1350381.8192724404</v>
          </cell>
          <cell r="AR50">
            <v>1350381.8192724404</v>
          </cell>
          <cell r="AU50">
            <v>626530521.30289125</v>
          </cell>
          <cell r="AV50">
            <v>626530521.30289125</v>
          </cell>
          <cell r="AX50">
            <v>891805973.30862761</v>
          </cell>
        </row>
        <row r="51">
          <cell r="V51">
            <v>7482885.0378819238</v>
          </cell>
          <cell r="W51">
            <v>168452.68895168242</v>
          </cell>
          <cell r="X51">
            <v>168452.68895168242</v>
          </cell>
          <cell r="AA51">
            <v>1003725485.6877317</v>
          </cell>
          <cell r="AB51">
            <v>1003725485.6877317</v>
          </cell>
          <cell r="AC51">
            <v>1112225451.5063715</v>
          </cell>
          <cell r="AM51">
            <v>4677.6809338257735</v>
          </cell>
          <cell r="AP51">
            <v>5068761.4575020922</v>
          </cell>
          <cell r="AQ51">
            <v>1449300.3264963094</v>
          </cell>
          <cell r="AR51">
            <v>1449300.3264963094</v>
          </cell>
          <cell r="AU51">
            <v>679904212.08002841</v>
          </cell>
          <cell r="AV51">
            <v>679904212.08002841</v>
          </cell>
          <cell r="AX51">
            <v>963815997.28467894</v>
          </cell>
        </row>
        <row r="52">
          <cell r="V52">
            <v>7959663.3296420239</v>
          </cell>
          <cell r="W52">
            <v>177579.10017269358</v>
          </cell>
          <cell r="X52">
            <v>177579.10017269358</v>
          </cell>
          <cell r="AA52">
            <v>1080815809.5458</v>
          </cell>
          <cell r="AB52">
            <v>1080815809.5458</v>
          </cell>
          <cell r="AC52">
            <v>1195516364.7462387</v>
          </cell>
          <cell r="AM52">
            <v>4740.7110785373725</v>
          </cell>
          <cell r="AP52">
            <v>5431641.7956757778</v>
          </cell>
          <cell r="AQ52">
            <v>1553560.3965156763</v>
          </cell>
          <cell r="AR52">
            <v>1553560.3965156763</v>
          </cell>
          <cell r="AU52">
            <v>737544300.73616457</v>
          </cell>
          <cell r="AV52">
            <v>737544300.73616457</v>
          </cell>
          <cell r="AX52">
            <v>1041284734.9090631</v>
          </cell>
        </row>
        <row r="53">
          <cell r="V53">
            <v>8456392.8790838793</v>
          </cell>
          <cell r="W53">
            <v>187030.95764256903</v>
          </cell>
          <cell r="X53">
            <v>187030.95764256903</v>
          </cell>
          <cell r="AA53">
            <v>1162161477.888813</v>
          </cell>
          <cell r="AB53">
            <v>1162161477.888813</v>
          </cell>
          <cell r="AC53">
            <v>1283232631.3134394</v>
          </cell>
          <cell r="AM53">
            <v>4804.9456349782722</v>
          </cell>
          <cell r="AP53">
            <v>5823095.7871149806</v>
          </cell>
          <cell r="AQ53">
            <v>1664928.7181735041</v>
          </cell>
          <cell r="AR53">
            <v>1664928.7181735041</v>
          </cell>
          <cell r="AU53">
            <v>800267643.97148132</v>
          </cell>
          <cell r="AV53">
            <v>800267643.97148132</v>
          </cell>
          <cell r="AX53">
            <v>1124880365.1422048</v>
          </cell>
        </row>
        <row r="54">
          <cell r="V54">
            <v>8961112.3910879791</v>
          </cell>
          <cell r="W54">
            <v>196542.53502886515</v>
          </cell>
          <cell r="X54">
            <v>196542.53502886515</v>
          </cell>
          <cell r="AA54">
            <v>1247354828.557143</v>
          </cell>
          <cell r="AB54">
            <v>1247354828.557143</v>
          </cell>
          <cell r="AC54">
            <v>1373619356.4421446</v>
          </cell>
          <cell r="AM54">
            <v>4868.6017902912299</v>
          </cell>
          <cell r="AP54">
            <v>6233816.5629505413</v>
          </cell>
          <cell r="AQ54">
            <v>1779983.007908595</v>
          </cell>
          <cell r="AR54">
            <v>1779983.007908595</v>
          </cell>
          <cell r="AU54">
            <v>867724993.36901879</v>
          </cell>
          <cell r="AV54">
            <v>867724993.36901879</v>
          </cell>
          <cell r="AX54">
            <v>1213263054.9144592</v>
          </cell>
        </row>
        <row r="55">
          <cell r="V55">
            <v>9467907.0811341293</v>
          </cell>
          <cell r="W55">
            <v>205988.3852604749</v>
          </cell>
          <cell r="X55">
            <v>205988.3852604749</v>
          </cell>
          <cell r="AA55">
            <v>1336018989.2352145</v>
          </cell>
          <cell r="AB55">
            <v>1336018989.2352145</v>
          </cell>
          <cell r="AC55">
            <v>1465787289.1849291</v>
          </cell>
          <cell r="AM55">
            <v>4932.0606377192671</v>
          </cell>
          <cell r="AP55">
            <v>6656681.6645465139</v>
          </cell>
          <cell r="AQ55">
            <v>1897602.601005991</v>
          </cell>
          <cell r="AR55">
            <v>1897602.601005991</v>
          </cell>
          <cell r="AU55">
            <v>939326192.46435428</v>
          </cell>
          <cell r="AV55">
            <v>939326192.46435428</v>
          </cell>
          <cell r="AX55">
            <v>1305105049.5302413</v>
          </cell>
        </row>
        <row r="56">
          <cell r="V56">
            <v>10080989.970416171</v>
          </cell>
          <cell r="W56">
            <v>217428.86337210628</v>
          </cell>
          <cell r="X56">
            <v>217428.86337210628</v>
          </cell>
          <cell r="AA56">
            <v>1442121377.626421</v>
          </cell>
          <cell r="AB56">
            <v>1442121377.626421</v>
          </cell>
          <cell r="AC56">
            <v>1570593206.3524427</v>
          </cell>
          <cell r="AM56">
            <v>4997.4396490101244</v>
          </cell>
          <cell r="AP56">
            <v>7139524.2230633153</v>
          </cell>
          <cell r="AQ56">
            <v>2032174.6928889058</v>
          </cell>
          <cell r="AR56">
            <v>2032174.6928889058</v>
          </cell>
          <cell r="AU56">
            <v>1021334267.6042976</v>
          </cell>
          <cell r="AV56">
            <v>1021334267.6042976</v>
          </cell>
          <cell r="AX56">
            <v>1408272765.2811303</v>
          </cell>
        </row>
        <row r="57">
          <cell r="V57">
            <v>10946555.798754025</v>
          </cell>
          <cell r="W57">
            <v>233219.08861129329</v>
          </cell>
          <cell r="X57">
            <v>233219.08861129329</v>
          </cell>
          <cell r="AA57">
            <v>1600146136.8472688</v>
          </cell>
          <cell r="AB57">
            <v>1600146136.8472688</v>
          </cell>
          <cell r="AC57">
            <v>1737767554.176867</v>
          </cell>
          <cell r="AM57">
            <v>5057.8003617690756</v>
          </cell>
          <cell r="AP57">
            <v>7696575.6753708133</v>
          </cell>
          <cell r="AQ57">
            <v>2205054.0871482007</v>
          </cell>
          <cell r="AR57">
            <v>2205054.0871482007</v>
          </cell>
          <cell r="AU57">
            <v>1125070392.9448817</v>
          </cell>
          <cell r="AV57">
            <v>1125070392.9448817</v>
          </cell>
          <cell r="AX57">
            <v>1541254539.8971059</v>
          </cell>
        </row>
        <row r="58">
          <cell r="V58">
            <v>11873153.613390895</v>
          </cell>
          <cell r="W58">
            <v>250286.61353238093</v>
          </cell>
          <cell r="X58">
            <v>250286.61353238093</v>
          </cell>
          <cell r="AA58">
            <v>1774425143.7315435</v>
          </cell>
          <cell r="AB58">
            <v>1774425143.7315435</v>
          </cell>
          <cell r="AC58">
            <v>1920992288.4298239</v>
          </cell>
          <cell r="AM58">
            <v>5123.7003907261933</v>
          </cell>
          <cell r="AP58">
            <v>8308357.0690067755</v>
          </cell>
          <cell r="AQ58">
            <v>2397411.943999121</v>
          </cell>
          <cell r="AR58">
            <v>2397411.943999121</v>
          </cell>
          <cell r="AU58">
            <v>1241671603.5509086</v>
          </cell>
          <cell r="AV58">
            <v>1241671603.5509086</v>
          </cell>
          <cell r="AX58">
            <v>1689495141.4053819</v>
          </cell>
        </row>
        <row r="59">
          <cell r="V59">
            <v>12854686.199134314</v>
          </cell>
          <cell r="W59">
            <v>268400.83161795227</v>
          </cell>
          <cell r="X59">
            <v>268400.83161795227</v>
          </cell>
          <cell r="AA59">
            <v>1964144693.3899601</v>
          </cell>
          <cell r="AB59">
            <v>1964144693.3899601</v>
          </cell>
          <cell r="AC59">
            <v>2119117669.9388957</v>
          </cell>
          <cell r="AM59">
            <v>5187.3698557428161</v>
          </cell>
          <cell r="AP59">
            <v>8957784.6623422559</v>
          </cell>
          <cell r="AQ59">
            <v>2603715.0854676226</v>
          </cell>
          <cell r="AR59">
            <v>2603715.0854676226</v>
          </cell>
          <cell r="AU59">
            <v>1368713707.7102976</v>
          </cell>
          <cell r="AV59">
            <v>1368713707.7102976</v>
          </cell>
          <cell r="AX59">
            <v>1849281136.2126298</v>
          </cell>
        </row>
        <row r="60">
          <cell r="V60">
            <v>13965673.466726054</v>
          </cell>
          <cell r="W60">
            <v>288386.30272877432</v>
          </cell>
          <cell r="X60">
            <v>288386.30272877432</v>
          </cell>
          <cell r="AA60">
            <v>2178779275.8571172</v>
          </cell>
          <cell r="AB60">
            <v>2178779275.8571172</v>
          </cell>
          <cell r="AC60">
            <v>2338962474.9348836</v>
          </cell>
          <cell r="AM60">
            <v>5253.2647261636957</v>
          </cell>
          <cell r="AP60">
            <v>9704546.6152180564</v>
          </cell>
          <cell r="AQ60">
            <v>2837919.4829042284</v>
          </cell>
          <cell r="AR60">
            <v>2837919.4829042284</v>
          </cell>
          <cell r="AU60">
            <v>1514002536.0898833</v>
          </cell>
          <cell r="AV60">
            <v>1514002536.0898833</v>
          </cell>
          <cell r="AX60">
            <v>2026012585.801558</v>
          </cell>
        </row>
        <row r="61">
          <cell r="V61">
            <v>15171098.238321928</v>
          </cell>
          <cell r="W61">
            <v>309823.29569120827</v>
          </cell>
          <cell r="X61">
            <v>309823.29569120827</v>
          </cell>
          <cell r="AA61">
            <v>2414988932.473444</v>
          </cell>
          <cell r="AB61">
            <v>2414988932.473444</v>
          </cell>
          <cell r="AC61">
            <v>2577099986.8702111</v>
          </cell>
          <cell r="AM61">
            <v>5315.946827408321</v>
          </cell>
          <cell r="AP61">
            <v>10502560.905901285</v>
          </cell>
          <cell r="AQ61">
            <v>3088226.6798962071</v>
          </cell>
          <cell r="AR61">
            <v>3088226.6798962071</v>
          </cell>
          <cell r="AU61">
            <v>1671834691.9876862</v>
          </cell>
          <cell r="AV61">
            <v>1671834691.9876862</v>
          </cell>
          <cell r="AX61">
            <v>2215334923.8094797</v>
          </cell>
        </row>
        <row r="62">
          <cell r="V62">
            <v>16440486.681605235</v>
          </cell>
          <cell r="W62">
            <v>332226.81997768237</v>
          </cell>
          <cell r="X62">
            <v>332226.81997768237</v>
          </cell>
          <cell r="AA62">
            <v>2669217081.4583402</v>
          </cell>
          <cell r="AB62">
            <v>2669217081.4583402</v>
          </cell>
          <cell r="AC62">
            <v>2832190571.8866158</v>
          </cell>
          <cell r="AM62">
            <v>5378.6500470373412</v>
          </cell>
          <cell r="AP62">
            <v>11350934.735700866</v>
          </cell>
          <cell r="AQ62">
            <v>3355125.5194883673</v>
          </cell>
          <cell r="AR62">
            <v>3355125.5194883673</v>
          </cell>
          <cell r="AU62">
            <v>1842896106.0472255</v>
          </cell>
          <cell r="AV62">
            <v>1842896106.0472255</v>
          </cell>
          <cell r="AX62">
            <v>2418552706.7181568</v>
          </cell>
        </row>
        <row r="63">
          <cell r="V63">
            <v>17785810.896808296</v>
          </cell>
          <cell r="W63">
            <v>355826.08185446542</v>
          </cell>
          <cell r="X63">
            <v>355826.08185446542</v>
          </cell>
          <cell r="AA63">
            <v>2944038779.0804381</v>
          </cell>
          <cell r="AB63">
            <v>2944038779.0804381</v>
          </cell>
          <cell r="AC63">
            <v>3106051760.4491301</v>
          </cell>
          <cell r="AM63">
            <v>5443.6006917064578</v>
          </cell>
          <cell r="AP63">
            <v>12262740.702359898</v>
          </cell>
          <cell r="AQ63">
            <v>3642542.3076499794</v>
          </cell>
          <cell r="AR63">
            <v>3642542.3076499794</v>
          </cell>
          <cell r="AU63">
            <v>2029819409.1355269</v>
          </cell>
          <cell r="AV63">
            <v>2029819409.1355269</v>
          </cell>
          <cell r="AX63">
            <v>2638563127.1818104</v>
          </cell>
        </row>
        <row r="64">
          <cell r="V64">
            <v>19194986.717791654</v>
          </cell>
          <cell r="W64">
            <v>380478.10472929454</v>
          </cell>
          <cell r="X64">
            <v>380478.10472929454</v>
          </cell>
          <cell r="AA64">
            <v>3239102102.0368061</v>
          </cell>
          <cell r="AB64">
            <v>3239102102.0368061</v>
          </cell>
          <cell r="AC64">
            <v>3397968445.3899999</v>
          </cell>
          <cell r="AM64">
            <v>5505.5333392643561</v>
          </cell>
          <cell r="AP64">
            <v>13214170.405671282</v>
          </cell>
          <cell r="AQ64">
            <v>3944643.805738606</v>
          </cell>
          <cell r="AR64">
            <v>3944643.805738606</v>
          </cell>
          <cell r="AU64">
            <v>2229855522.5364957</v>
          </cell>
          <cell r="AV64">
            <v>2229855522.5364957</v>
          </cell>
          <cell r="AX64">
            <v>2871909574.015502</v>
          </cell>
        </row>
        <row r="65">
          <cell r="V65">
            <v>20676668.830533508</v>
          </cell>
          <cell r="W65">
            <v>406276.4094330775</v>
          </cell>
          <cell r="X65">
            <v>406276.4094330775</v>
          </cell>
          <cell r="AA65">
            <v>3555955738.2265434</v>
          </cell>
          <cell r="AB65">
            <v>3555955738.2265434</v>
          </cell>
          <cell r="AC65">
            <v>3709022235.395978</v>
          </cell>
          <cell r="AM65">
            <v>5571.71226939807</v>
          </cell>
          <cell r="AP65">
            <v>14233333.725224173</v>
          </cell>
          <cell r="AQ65">
            <v>4269173.9435068481</v>
          </cell>
          <cell r="AR65">
            <v>4269173.9435068481</v>
          </cell>
          <cell r="AU65">
            <v>2447836503.5069499</v>
          </cell>
          <cell r="AV65">
            <v>2447836503.5069499</v>
          </cell>
          <cell r="AX65">
            <v>3124064642.5822697</v>
          </cell>
        </row>
        <row r="66">
          <cell r="V66">
            <v>22700104.171534039</v>
          </cell>
          <cell r="W66">
            <v>442965.38082291919</v>
          </cell>
          <cell r="X66">
            <v>442965.38082291919</v>
          </cell>
          <cell r="AA66">
            <v>3990528004.7332973</v>
          </cell>
          <cell r="AB66">
            <v>3990528004.7332973</v>
          </cell>
          <cell r="AC66">
            <v>4124066113.0887756</v>
          </cell>
          <cell r="AM66">
            <v>5636.2275685369232</v>
          </cell>
          <cell r="AP66">
            <v>16229063.891636452</v>
          </cell>
          <cell r="AQ66">
            <v>4877324.4853431024</v>
          </cell>
          <cell r="AR66">
            <v>4877324.4853431024</v>
          </cell>
          <cell r="AU66">
            <v>2852961971.487052</v>
          </cell>
          <cell r="AV66">
            <v>2852961971.487052</v>
          </cell>
          <cell r="AX66">
            <v>3495530878.28301</v>
          </cell>
        </row>
        <row r="67">
          <cell r="V67">
            <v>25249610.838822968</v>
          </cell>
          <cell r="W67">
            <v>487071.73830671777</v>
          </cell>
          <cell r="X67">
            <v>487071.73830671777</v>
          </cell>
          <cell r="AA67">
            <v>4531175976.1474161</v>
          </cell>
          <cell r="AB67">
            <v>4531175976.1474161</v>
          </cell>
          <cell r="AC67">
            <v>4621861327.1259756</v>
          </cell>
          <cell r="AM67">
            <v>5705.1121278937144</v>
          </cell>
          <cell r="AP67">
            <v>19101103.430534992</v>
          </cell>
          <cell r="AQ67">
            <v>5729403.4546809858</v>
          </cell>
          <cell r="AR67">
            <v>5729403.4546809858</v>
          </cell>
          <cell r="AU67">
            <v>3427793859.2728744</v>
          </cell>
          <cell r="AV67">
            <v>3427793859.2728744</v>
          </cell>
          <cell r="AX67">
            <v>3961881450.43256</v>
          </cell>
        </row>
        <row r="68">
          <cell r="V68">
            <v>27990214.746602483</v>
          </cell>
          <cell r="W68">
            <v>533923.87913386035</v>
          </cell>
          <cell r="X68">
            <v>533923.87913386035</v>
          </cell>
          <cell r="AA68">
            <v>5124064011.3999166</v>
          </cell>
          <cell r="AB68">
            <v>5124064011.3999166</v>
          </cell>
          <cell r="AC68">
            <v>5160661071.2460613</v>
          </cell>
          <cell r="AM68">
            <v>5770.4595889192997</v>
          </cell>
          <cell r="AP68">
            <v>22307958.977894079</v>
          </cell>
          <cell r="AQ68">
            <v>6672619.8355382085</v>
          </cell>
          <cell r="AR68">
            <v>6672619.8355382085</v>
          </cell>
          <cell r="AU68">
            <v>4083834682.9864035</v>
          </cell>
          <cell r="AV68">
            <v>4083834682.9864035</v>
          </cell>
          <cell r="AX68">
            <v>4473095881.646574</v>
          </cell>
        </row>
        <row r="69">
          <cell r="V69">
            <v>30958563.422381185</v>
          </cell>
          <cell r="W69">
            <v>584198.99444196315</v>
          </cell>
          <cell r="X69">
            <v>584198.99444196315</v>
          </cell>
          <cell r="AA69">
            <v>5778270432.9723377</v>
          </cell>
          <cell r="AB69">
            <v>5778270432.9723377</v>
          </cell>
          <cell r="AC69">
            <v>5747802903.2641497</v>
          </cell>
          <cell r="AM69">
            <v>5839.1430076047091</v>
          </cell>
          <cell r="AP69">
            <v>25951473.192634623</v>
          </cell>
          <cell r="AQ69">
            <v>7734986.1841934491</v>
          </cell>
          <cell r="AR69">
            <v>7734986.1841934491</v>
          </cell>
          <cell r="AU69">
            <v>4843720562.7140532</v>
          </cell>
          <cell r="AV69">
            <v>4843720562.7140532</v>
          </cell>
          <cell r="AX69">
            <v>5044399840.968399</v>
          </cell>
        </row>
        <row r="70">
          <cell r="V70">
            <v>34146655.376101136</v>
          </cell>
          <cell r="W70">
            <v>637764.18752218585</v>
          </cell>
          <cell r="X70">
            <v>637764.18752218585</v>
          </cell>
          <cell r="AA70">
            <v>6495442884.1887922</v>
          </cell>
          <cell r="AB70">
            <v>6495442884.1887922</v>
          </cell>
          <cell r="AC70">
            <v>6382851138.9046106</v>
          </cell>
          <cell r="AM70">
            <v>5905.3752318195029</v>
          </cell>
          <cell r="AP70">
            <v>30053591.411990434</v>
          </cell>
          <cell r="AQ70">
            <v>8920194.1084674075</v>
          </cell>
          <cell r="AR70">
            <v>8920194.1084674075</v>
          </cell>
          <cell r="AU70">
            <v>5716852333.8879318</v>
          </cell>
          <cell r="AV70">
            <v>5716852333.8879318</v>
          </cell>
          <cell r="AX70">
            <v>5673902039.0257854</v>
          </cell>
        </row>
        <row r="71">
          <cell r="V71">
            <v>37578694.086380377</v>
          </cell>
          <cell r="W71">
            <v>695930.73155514116</v>
          </cell>
          <cell r="X71">
            <v>695930.73155514116</v>
          </cell>
          <cell r="AA71">
            <v>7293878572.0481939</v>
          </cell>
          <cell r="AB71">
            <v>7293878572.0481939</v>
          </cell>
          <cell r="AC71">
            <v>7082695864.1437788</v>
          </cell>
          <cell r="AM71">
            <v>5973.0182618345607</v>
          </cell>
          <cell r="AP71">
            <v>34679272.852586627</v>
          </cell>
          <cell r="AQ71">
            <v>10259634.064261917</v>
          </cell>
          <cell r="AR71">
            <v>10259634.064261917</v>
          </cell>
          <cell r="AU71">
            <v>6731112171.4942589</v>
          </cell>
          <cell r="AV71">
            <v>6731112171.4942589</v>
          </cell>
          <cell r="AX71">
            <v>6382106878.9035645</v>
          </cell>
        </row>
        <row r="72">
          <cell r="V72">
            <v>41016317.344724938</v>
          </cell>
          <cell r="W72">
            <v>753615.49756988732</v>
          </cell>
          <cell r="X72">
            <v>753615.49756988732</v>
          </cell>
          <cell r="AA72">
            <v>8127930056.9107037</v>
          </cell>
          <cell r="AB72">
            <v>8127930056.9107037</v>
          </cell>
          <cell r="AC72">
            <v>7823167811.8996964</v>
          </cell>
          <cell r="AM72">
            <v>6039.9957868613874</v>
          </cell>
          <cell r="AP72">
            <v>39377549.071989983</v>
          </cell>
          <cell r="AQ72">
            <v>11674424.236890104</v>
          </cell>
          <cell r="AR72">
            <v>11674424.236890104</v>
          </cell>
          <cell r="AU72">
            <v>7803186277.7867308</v>
          </cell>
          <cell r="AV72">
            <v>7803186277.7867308</v>
          </cell>
          <cell r="AX72">
            <v>7101788217.8884888</v>
          </cell>
        </row>
        <row r="73">
          <cell r="V73">
            <v>44677711.513013601</v>
          </cell>
          <cell r="W73">
            <v>814736.51257194579</v>
          </cell>
          <cell r="X73">
            <v>814736.51257194579</v>
          </cell>
          <cell r="AA73">
            <v>9035043768.7704067</v>
          </cell>
          <cell r="AB73">
            <v>9035043768.7704067</v>
          </cell>
          <cell r="AC73">
            <v>8622207687.4715805</v>
          </cell>
          <cell r="AM73">
            <v>6107.8836653495255</v>
          </cell>
          <cell r="AP73">
            <v>44585338.045823269</v>
          </cell>
          <cell r="AQ73">
            <v>13245005.720863063</v>
          </cell>
          <cell r="AR73">
            <v>13245005.720863063</v>
          </cell>
          <cell r="AU73">
            <v>9016363350.9317589</v>
          </cell>
          <cell r="AV73">
            <v>9016363350.9317589</v>
          </cell>
          <cell r="AX73">
            <v>7888449838.1774979</v>
          </cell>
        </row>
        <row r="74">
          <cell r="V74">
            <v>48606722.849288553</v>
          </cell>
          <cell r="W74">
            <v>879130.45718246256</v>
          </cell>
          <cell r="X74">
            <v>879130.45718246256</v>
          </cell>
          <cell r="AA74">
            <v>10016492519.305725</v>
          </cell>
          <cell r="AB74">
            <v>10016492519.305725</v>
          </cell>
          <cell r="AC74">
            <v>9477203035.6931419</v>
          </cell>
          <cell r="AM74">
            <v>6173.8919857187802</v>
          </cell>
          <cell r="AP74">
            <v>50404069.868340947</v>
          </cell>
          <cell r="AQ74">
            <v>14980044.599502895</v>
          </cell>
          <cell r="AR74">
            <v>14980044.599502895</v>
          </cell>
          <cell r="AU74">
            <v>10386875707.383547</v>
          </cell>
          <cell r="AV74">
            <v>10386875707.383547</v>
          </cell>
          <cell r="AX74">
            <v>8742006082.924736</v>
          </cell>
        </row>
        <row r="75">
          <cell r="V75">
            <v>52793052.918251246</v>
          </cell>
          <cell r="W75">
            <v>947036.80697061773</v>
          </cell>
          <cell r="X75">
            <v>947036.80697061773</v>
          </cell>
          <cell r="AA75">
            <v>11078439817.024996</v>
          </cell>
          <cell r="AB75">
            <v>11078439817.024996</v>
          </cell>
          <cell r="AC75">
            <v>10395078838.234779</v>
          </cell>
          <cell r="AM75">
            <v>6239.0086613900839</v>
          </cell>
          <cell r="AP75">
            <v>56853219.227926575</v>
          </cell>
          <cell r="AQ75">
            <v>16890347.580576926</v>
          </cell>
          <cell r="AR75">
            <v>16890347.580576926</v>
          </cell>
          <cell r="AU75">
            <v>11930451694.013838</v>
          </cell>
          <cell r="AV75">
            <v>11930451694.013838</v>
          </cell>
          <cell r="AX75">
            <v>9671913431.2657776</v>
          </cell>
        </row>
        <row r="76">
          <cell r="V76">
            <v>57374655.668832302</v>
          </cell>
          <cell r="W76">
            <v>1019713.8246511804</v>
          </cell>
          <cell r="X76">
            <v>1019713.8246511804</v>
          </cell>
          <cell r="AA76">
            <v>12234252024.847069</v>
          </cell>
          <cell r="AB76">
            <v>12234252024.847069</v>
          </cell>
          <cell r="AC76">
            <v>11413500840.795227</v>
          </cell>
          <cell r="AM76">
            <v>6306.7205562734362</v>
          </cell>
          <cell r="AP76">
            <v>64601476.160469301</v>
          </cell>
          <cell r="AQ76">
            <v>19070273.710441943</v>
          </cell>
          <cell r="AR76">
            <v>19070273.710441943</v>
          </cell>
          <cell r="AU76">
            <v>13775258976.476513</v>
          </cell>
          <cell r="AV76">
            <v>13775258976.476513</v>
          </cell>
          <cell r="AX76">
            <v>10778283635.056086</v>
          </cell>
        </row>
        <row r="77">
          <cell r="V77">
            <v>62162712.575563848</v>
          </cell>
          <cell r="W77">
            <v>1091711.368456322</v>
          </cell>
          <cell r="X77">
            <v>1091711.368456322</v>
          </cell>
          <cell r="AA77">
            <v>13431697167.182549</v>
          </cell>
          <cell r="AB77">
            <v>13431697167.182549</v>
          </cell>
          <cell r="AC77">
            <v>12516941409.006165</v>
          </cell>
          <cell r="AM77">
            <v>6373.7125609793566</v>
          </cell>
          <cell r="AP77">
            <v>71569428.89724572</v>
          </cell>
          <cell r="AQ77">
            <v>20930666.165486626</v>
          </cell>
          <cell r="AR77">
            <v>20930666.165486626</v>
          </cell>
          <cell r="AU77">
            <v>15464236606.59066</v>
          </cell>
          <cell r="AV77">
            <v>15464236606.59066</v>
          </cell>
          <cell r="AX77">
            <v>11941803474.022081</v>
          </cell>
        </row>
        <row r="78">
          <cell r="V78">
            <v>67279517.372974321</v>
          </cell>
          <cell r="W78">
            <v>1168107.6639934012</v>
          </cell>
          <cell r="X78">
            <v>1168107.6639934012</v>
          </cell>
          <cell r="AA78">
            <v>14729313856.857859</v>
          </cell>
          <cell r="AB78">
            <v>14729313856.857859</v>
          </cell>
          <cell r="AC78">
            <v>13703908555.463398</v>
          </cell>
          <cell r="AM78">
            <v>6441.672781355448</v>
          </cell>
          <cell r="AP78">
            <v>79371804.257859707</v>
          </cell>
          <cell r="AQ78">
            <v>22979693.837415136</v>
          </cell>
          <cell r="AR78">
            <v>22979693.837415136</v>
          </cell>
          <cell r="AU78">
            <v>17376643917.019508</v>
          </cell>
          <cell r="AV78">
            <v>17376643917.019508</v>
          </cell>
          <cell r="AX78">
            <v>13229802269.026047</v>
          </cell>
        </row>
        <row r="79">
          <cell r="V79">
            <v>72639304.754179984</v>
          </cell>
          <cell r="W79">
            <v>1246703.8022617167</v>
          </cell>
          <cell r="X79">
            <v>1246703.8022617167</v>
          </cell>
          <cell r="AA79">
            <v>16113399011.377062</v>
          </cell>
          <cell r="AB79">
            <v>16113399011.377062</v>
          </cell>
          <cell r="AC79">
            <v>14983452863.707653</v>
          </cell>
          <cell r="AM79">
            <v>6506.0938373564059</v>
          </cell>
          <cell r="AP79">
            <v>87815381.716927558</v>
          </cell>
          <cell r="AQ79">
            <v>25176069.843137302</v>
          </cell>
          <cell r="AR79">
            <v>25176069.843137302</v>
          </cell>
          <cell r="AU79">
            <v>19479870983.48177</v>
          </cell>
          <cell r="AV79">
            <v>19479870983.48177</v>
          </cell>
          <cell r="AX79">
            <v>14623567300.403049</v>
          </cell>
        </row>
        <row r="80">
          <cell r="V80">
            <v>78362178.067565978</v>
          </cell>
          <cell r="W80">
            <v>1330050.4552130029</v>
          </cell>
          <cell r="X80">
            <v>1330050.4552130029</v>
          </cell>
          <cell r="AA80">
            <v>17609658584.073902</v>
          </cell>
          <cell r="AB80">
            <v>17609658584.073902</v>
          </cell>
          <cell r="AC80">
            <v>16366704024.00725</v>
          </cell>
          <cell r="AM80">
            <v>6574.4081480508385</v>
          </cell>
          <cell r="AP80">
            <v>97239587.174956813</v>
          </cell>
          <cell r="AQ80">
            <v>27601448.308103077</v>
          </cell>
          <cell r="AR80">
            <v>27601448.308103077</v>
          </cell>
          <cell r="AU80">
            <v>21851816440.462406</v>
          </cell>
          <cell r="AV80">
            <v>21851816440.462406</v>
          </cell>
          <cell r="AX80">
            <v>16170424686.800045</v>
          </cell>
        </row>
        <row r="81">
          <cell r="V81">
            <v>84610911.043577671</v>
          </cell>
          <cell r="W81">
            <v>1426611.5355727486</v>
          </cell>
          <cell r="X81">
            <v>1426611.5355727486</v>
          </cell>
          <cell r="AA81">
            <v>19341538216.396976</v>
          </cell>
          <cell r="AB81">
            <v>19341538216.396976</v>
          </cell>
          <cell r="AC81">
            <v>17957763317.987103</v>
          </cell>
          <cell r="AM81">
            <v>6640.3546986076808</v>
          </cell>
          <cell r="AP81">
            <v>107827201.06090844</v>
          </cell>
          <cell r="AQ81">
            <v>30417271.507575147</v>
          </cell>
          <cell r="AR81">
            <v>30417271.507575147</v>
          </cell>
          <cell r="AU81">
            <v>24648640516.49971</v>
          </cell>
          <cell r="AV81">
            <v>24648640516.49971</v>
          </cell>
          <cell r="AX81">
            <v>17966026916.571159</v>
          </cell>
        </row>
        <row r="82">
          <cell r="V82">
            <v>91048724.707256198</v>
          </cell>
          <cell r="W82">
            <v>1529996.0408377261</v>
          </cell>
          <cell r="X82">
            <v>1529996.0408377261</v>
          </cell>
          <cell r="AA82">
            <v>21245342409.399773</v>
          </cell>
          <cell r="AB82">
            <v>21245342409.399773</v>
          </cell>
          <cell r="AC82">
            <v>19752396144.023041</v>
          </cell>
          <cell r="AM82">
            <v>6709.0467569098701</v>
          </cell>
          <cell r="AP82">
            <v>119488441.17653206</v>
          </cell>
          <cell r="AQ82">
            <v>33611147.10403239</v>
          </cell>
          <cell r="AR82">
            <v>33611147.10403239</v>
          </cell>
          <cell r="AU82">
            <v>27881476153.817371</v>
          </cell>
          <cell r="AV82">
            <v>27881476153.817371</v>
          </cell>
          <cell r="AX82">
            <v>20022682584.665329</v>
          </cell>
        </row>
        <row r="83">
          <cell r="V83">
            <v>97885009.044473857</v>
          </cell>
          <cell r="W83">
            <v>1639601.8691448264</v>
          </cell>
          <cell r="X83">
            <v>1639601.8691448264</v>
          </cell>
          <cell r="AA83">
            <v>23303181251.321716</v>
          </cell>
          <cell r="AB83">
            <v>23303181251.321716</v>
          </cell>
          <cell r="AC83">
            <v>21692835385.399506</v>
          </cell>
          <cell r="AM83">
            <v>6774.6746949155558</v>
          </cell>
          <cell r="AP83">
            <v>132361060.68103513</v>
          </cell>
          <cell r="AQ83">
            <v>37092745.970204711</v>
          </cell>
          <cell r="AR83">
            <v>37092745.970204711</v>
          </cell>
          <cell r="AU83">
            <v>31510788197.056282</v>
          </cell>
          <cell r="AV83">
            <v>31510788197.056282</v>
          </cell>
          <cell r="AX83">
            <v>22294464588.105278</v>
          </cell>
        </row>
        <row r="84">
          <cell r="V84">
            <v>105246523.83913958</v>
          </cell>
          <cell r="W84">
            <v>1746127.2678873353</v>
          </cell>
          <cell r="X84">
            <v>1746127.2678873353</v>
          </cell>
          <cell r="AA84">
            <v>25389248267.711273</v>
          </cell>
          <cell r="AB84">
            <v>25389248267.711273</v>
          </cell>
          <cell r="AC84">
            <v>23638328446.847107</v>
          </cell>
          <cell r="AM84">
            <v>6843.0502277742426</v>
          </cell>
          <cell r="AP84">
            <v>144874197.15258566</v>
          </cell>
          <cell r="AQ84">
            <v>40542153.291214474</v>
          </cell>
          <cell r="AR84">
            <v>40542153.291214474</v>
          </cell>
          <cell r="AU84">
            <v>34948868854.939438</v>
          </cell>
          <cell r="AV84">
            <v>34948868854.939438</v>
          </cell>
          <cell r="AX84">
            <v>24370879839.563171</v>
          </cell>
        </row>
        <row r="85">
          <cell r="V85">
            <v>114007584.9466171</v>
          </cell>
          <cell r="W85">
            <v>1873593.2475683563</v>
          </cell>
          <cell r="X85">
            <v>1873593.2475683563</v>
          </cell>
          <cell r="AA85">
            <v>27860182087.250526</v>
          </cell>
          <cell r="AB85">
            <v>27860182087.250526</v>
          </cell>
          <cell r="AC85">
            <v>25882147264.178165</v>
          </cell>
          <cell r="AM85">
            <v>6909.3651798323854</v>
          </cell>
          <cell r="AP85">
            <v>159137144.71807408</v>
          </cell>
          <cell r="AQ85">
            <v>44565670.058545828</v>
          </cell>
          <cell r="AR85">
            <v>44565670.058545828</v>
          </cell>
          <cell r="AU85">
            <v>38888551413.19471</v>
          </cell>
          <cell r="AV85">
            <v>38888551413.19471</v>
          </cell>
          <cell r="AX85">
            <v>26669611541.147919</v>
          </cell>
        </row>
        <row r="86">
          <cell r="V86">
            <v>123585090.62691495</v>
          </cell>
          <cell r="W86">
            <v>2012304.1388427874</v>
          </cell>
          <cell r="X86">
            <v>2012304.1388427874</v>
          </cell>
          <cell r="AA86">
            <v>30583460917.246227</v>
          </cell>
          <cell r="AB86">
            <v>30583460917.246227</v>
          </cell>
          <cell r="AC86">
            <v>28342984792.895615</v>
          </cell>
          <cell r="AM86">
            <v>6977.864099891106</v>
          </cell>
          <cell r="AP86">
            <v>175843843.92369014</v>
          </cell>
          <cell r="AQ86">
            <v>49259609.081601299</v>
          </cell>
          <cell r="AR86">
            <v>49259609.081601299</v>
          </cell>
          <cell r="AU86">
            <v>43515874778.24202</v>
          </cell>
          <cell r="AV86">
            <v>43515874778.24202</v>
          </cell>
          <cell r="AX86">
            <v>29240126596.018669</v>
          </cell>
        </row>
        <row r="87">
          <cell r="V87">
            <v>134585221.39843029</v>
          </cell>
          <cell r="W87">
            <v>2181254.8912551934</v>
          </cell>
          <cell r="X87">
            <v>2181254.8912551934</v>
          </cell>
          <cell r="AA87">
            <v>33761682791.961525</v>
          </cell>
          <cell r="AB87">
            <v>33761682791.961525</v>
          </cell>
          <cell r="AC87">
            <v>30967166289.527828</v>
          </cell>
          <cell r="AM87">
            <v>7042.1339851414859</v>
          </cell>
          <cell r="AP87">
            <v>197188079.88835841</v>
          </cell>
          <cell r="AQ87">
            <v>55304719.480343968</v>
          </cell>
          <cell r="AR87">
            <v>55304719.480343968</v>
          </cell>
          <cell r="AU87">
            <v>49466065697.049652</v>
          </cell>
          <cell r="AV87">
            <v>49466065697.049652</v>
          </cell>
          <cell r="AX87">
            <v>32205695661.942486</v>
          </cell>
        </row>
        <row r="88">
          <cell r="V88">
            <v>145907261.54851276</v>
          </cell>
          <cell r="W88">
            <v>2354171.720734227</v>
          </cell>
          <cell r="X88">
            <v>2354171.720734227</v>
          </cell>
          <cell r="AA88">
            <v>37094531326.536835</v>
          </cell>
          <cell r="AB88">
            <v>37094531326.536835</v>
          </cell>
          <cell r="AC88">
            <v>33666183257.973892</v>
          </cell>
          <cell r="AM88">
            <v>7108.9768933125815</v>
          </cell>
          <cell r="AP88">
            <v>217701269.96488827</v>
          </cell>
          <cell r="AQ88">
            <v>61109633.990722984</v>
          </cell>
          <cell r="AR88">
            <v>61109633.990722984</v>
          </cell>
          <cell r="AU88">
            <v>55346981999.62014</v>
          </cell>
          <cell r="AV88">
            <v>55346981999.62014</v>
          </cell>
          <cell r="AX88">
            <v>35266259789.388306</v>
          </cell>
        </row>
        <row r="89">
          <cell r="V89">
            <v>157464613.70292932</v>
          </cell>
          <cell r="W89">
            <v>2530829.51773099</v>
          </cell>
          <cell r="X89">
            <v>2530829.51773099</v>
          </cell>
          <cell r="AA89">
            <v>40532138351.743378</v>
          </cell>
          <cell r="AB89">
            <v>40532138351.743378</v>
          </cell>
          <cell r="AC89">
            <v>36161080712.863861</v>
          </cell>
          <cell r="AM89">
            <v>7176.132632872982</v>
          </cell>
          <cell r="AP89">
            <v>238056195.95211238</v>
          </cell>
          <cell r="AQ89">
            <v>66681323.112160414</v>
          </cell>
          <cell r="AR89">
            <v>66681323.112160414</v>
          </cell>
          <cell r="AU89">
            <v>61276793832.703819</v>
          </cell>
          <cell r="AV89">
            <v>61276793832.703819</v>
          </cell>
          <cell r="AX89">
            <v>38434548044.031326</v>
          </cell>
        </row>
        <row r="90">
          <cell r="V90">
            <v>169613387.99709243</v>
          </cell>
          <cell r="W90">
            <v>2717362.6900189882</v>
          </cell>
          <cell r="X90">
            <v>2717362.6900189882</v>
          </cell>
          <cell r="AA90">
            <v>44191669955.212219</v>
          </cell>
          <cell r="AB90">
            <v>44191669955.212219</v>
          </cell>
          <cell r="AC90">
            <v>38779936934.160812</v>
          </cell>
          <cell r="AM90">
            <v>7243.6179569673941</v>
          </cell>
          <cell r="AP90">
            <v>260256987.55332106</v>
          </cell>
          <cell r="AQ90">
            <v>72635457.269393519</v>
          </cell>
          <cell r="AR90">
            <v>72635457.269393519</v>
          </cell>
          <cell r="AU90">
            <v>67808272880.506905</v>
          </cell>
          <cell r="AV90">
            <v>67808272880.506905</v>
          </cell>
          <cell r="AX90">
            <v>41917549959.727264</v>
          </cell>
        </row>
        <row r="91">
          <cell r="V91">
            <v>181200112.76560104</v>
          </cell>
          <cell r="W91">
            <v>2914617.4536842457</v>
          </cell>
          <cell r="X91">
            <v>2914617.4536842457</v>
          </cell>
          <cell r="AA91">
            <v>47940681701.040688</v>
          </cell>
          <cell r="AB91">
            <v>47940681701.040688</v>
          </cell>
          <cell r="AC91">
            <v>41695680975.750381</v>
          </cell>
          <cell r="AM91">
            <v>7309.7592678461178</v>
          </cell>
          <cell r="AP91">
            <v>284771772.8953377</v>
          </cell>
          <cell r="AQ91">
            <v>79442593.232821062</v>
          </cell>
          <cell r="AR91">
            <v>79442593.232821062</v>
          </cell>
          <cell r="AU91">
            <v>75342960406.855499</v>
          </cell>
          <cell r="AV91">
            <v>75342960406.855499</v>
          </cell>
          <cell r="AX91">
            <v>45909611854.621155</v>
          </cell>
        </row>
        <row r="92">
          <cell r="V92">
            <v>193334762.26592273</v>
          </cell>
          <cell r="W92">
            <v>3135083.7925832397</v>
          </cell>
          <cell r="X92">
            <v>3135083.7925832397</v>
          </cell>
          <cell r="AA92">
            <v>52146674467.957657</v>
          </cell>
          <cell r="AB92">
            <v>52146674467.957657</v>
          </cell>
          <cell r="AC92">
            <v>45024565468.997833</v>
          </cell>
          <cell r="AM92">
            <v>7376.0748183577853</v>
          </cell>
          <cell r="AP92">
            <v>312245369.78813595</v>
          </cell>
          <cell r="AQ92">
            <v>87421563.512982294</v>
          </cell>
          <cell r="AR92">
            <v>87421563.512982294</v>
          </cell>
          <cell r="AU92">
            <v>84219503319.703598</v>
          </cell>
          <cell r="AV92">
            <v>84219503319.703598</v>
          </cell>
          <cell r="AX92">
            <v>50513232531.898529</v>
          </cell>
        </row>
        <row r="93">
          <cell r="V93">
            <v>205511040.62112617</v>
          </cell>
          <cell r="W93">
            <v>3363374.9476320469</v>
          </cell>
          <cell r="X93">
            <v>3363374.9476320469</v>
          </cell>
          <cell r="AA93">
            <v>56556121653.519859</v>
          </cell>
          <cell r="AB93">
            <v>56556121653.519859</v>
          </cell>
          <cell r="AC93">
            <v>48525611214.988731</v>
          </cell>
          <cell r="AM93">
            <v>7444.2913866891213</v>
          </cell>
          <cell r="AP93">
            <v>338868100.55486077</v>
          </cell>
          <cell r="AQ93">
            <v>95361712.548253536</v>
          </cell>
          <cell r="AR93">
            <v>95361712.548253536</v>
          </cell>
          <cell r="AU93">
            <v>93255649241.784683</v>
          </cell>
          <cell r="AV93">
            <v>93255649241.784683</v>
          </cell>
          <cell r="AX93">
            <v>55419544183.965393</v>
          </cell>
        </row>
        <row r="94">
          <cell r="V94">
            <v>218241685.0567894</v>
          </cell>
          <cell r="W94">
            <v>3584800.3258493193</v>
          </cell>
          <cell r="X94">
            <v>3584800.3258493193</v>
          </cell>
          <cell r="AA94">
            <v>60926843177.610229</v>
          </cell>
          <cell r="AB94">
            <v>60926843177.610229</v>
          </cell>
          <cell r="AC94">
            <v>51977236553.145164</v>
          </cell>
          <cell r="AM94">
            <v>7511.829617379196</v>
          </cell>
          <cell r="AP94">
            <v>367403784.34901494</v>
          </cell>
          <cell r="AQ94">
            <v>103354367.96292937</v>
          </cell>
          <cell r="AR94">
            <v>103354367.96292937</v>
          </cell>
          <cell r="AU94">
            <v>102568639653.18152</v>
          </cell>
          <cell r="AV94">
            <v>102568639653.18152</v>
          </cell>
          <cell r="AX94">
            <v>60414680641.563545</v>
          </cell>
        </row>
        <row r="95">
          <cell r="V95">
            <v>231674091.06974894</v>
          </cell>
          <cell r="W95">
            <v>3817574.2402836452</v>
          </cell>
          <cell r="X95">
            <v>3817574.2402836452</v>
          </cell>
          <cell r="AA95">
            <v>65569685473.48587</v>
          </cell>
          <cell r="AB95">
            <v>65569685473.48587</v>
          </cell>
          <cell r="AC95">
            <v>55622294978.138008</v>
          </cell>
          <cell r="AM95">
            <v>7578.897495775007</v>
          </cell>
          <cell r="AP95">
            <v>398295132.92218876</v>
          </cell>
          <cell r="AQ95">
            <v>111896724.31782869</v>
          </cell>
          <cell r="AR95">
            <v>111896724.31782869</v>
          </cell>
          <cell r="AU95">
            <v>112727696354.55492</v>
          </cell>
          <cell r="AV95">
            <v>112727696354.55492</v>
          </cell>
          <cell r="AX95">
            <v>65819183249.922821</v>
          </cell>
        </row>
        <row r="96">
          <cell r="V96">
            <v>245775996.09468266</v>
          </cell>
          <cell r="W96">
            <v>4062151.9558939701</v>
          </cell>
          <cell r="X96">
            <v>4062151.9558939701</v>
          </cell>
          <cell r="AA96">
            <v>70498182042.237198</v>
          </cell>
          <cell r="AB96">
            <v>70498182042.237198</v>
          </cell>
          <cell r="AC96">
            <v>59469700808.975555</v>
          </cell>
          <cell r="AM96">
            <v>7639.7214321439733</v>
          </cell>
          <cell r="AP96">
            <v>431364462.75580072</v>
          </cell>
          <cell r="AQ96">
            <v>120916217.61445653</v>
          </cell>
          <cell r="AR96">
            <v>120916217.61445653</v>
          </cell>
          <cell r="AU96">
            <v>123732223264.77721</v>
          </cell>
          <cell r="AV96">
            <v>123732223264.77721</v>
          </cell>
          <cell r="AX96">
            <v>71624453412.974899</v>
          </cell>
        </row>
        <row r="97">
          <cell r="V97">
            <v>262346213.68606582</v>
          </cell>
          <cell r="W97">
            <v>4349461.2027002415</v>
          </cell>
          <cell r="X97">
            <v>4349461.2027002415</v>
          </cell>
          <cell r="AA97">
            <v>76289737606.566833</v>
          </cell>
          <cell r="AB97">
            <v>76289737606.566833</v>
          </cell>
          <cell r="AC97">
            <v>63647376266.321991</v>
          </cell>
          <cell r="AM97">
            <v>7708.542162617312</v>
          </cell>
          <cell r="AP97">
            <v>476849833.54525059</v>
          </cell>
          <cell r="AQ97">
            <v>133222855.01392378</v>
          </cell>
          <cell r="AR97">
            <v>133222855.01392378</v>
          </cell>
          <cell r="AU97">
            <v>138666947648.17355</v>
          </cell>
          <cell r="AV97">
            <v>138666947648.17355</v>
          </cell>
          <cell r="AX97">
            <v>78488121392.739624</v>
          </cell>
        </row>
        <row r="98">
          <cell r="V98">
            <v>278522494.89330274</v>
          </cell>
          <cell r="W98">
            <v>4631788.5266927751</v>
          </cell>
          <cell r="X98">
            <v>4631788.5266927751</v>
          </cell>
          <cell r="AA98">
            <v>82256198536.963867</v>
          </cell>
          <cell r="AB98">
            <v>82256198536.963867</v>
          </cell>
          <cell r="AC98">
            <v>67754246865.310631</v>
          </cell>
          <cell r="AM98">
            <v>7772.4285339835969</v>
          </cell>
          <cell r="AP98">
            <v>522958697.90454584</v>
          </cell>
          <cell r="AQ98">
            <v>145510169.12229693</v>
          </cell>
          <cell r="AR98">
            <v>145510169.12229693</v>
          </cell>
          <cell r="AU98">
            <v>154445674120.31607</v>
          </cell>
          <cell r="AV98">
            <v>154445674120.31607</v>
          </cell>
          <cell r="AX98">
            <v>85517331957.526703</v>
          </cell>
        </row>
        <row r="99">
          <cell r="V99">
            <v>295348721.84411407</v>
          </cell>
          <cell r="W99">
            <v>4926232.7564981487</v>
          </cell>
          <cell r="X99">
            <v>4926232.7564981487</v>
          </cell>
          <cell r="AA99">
            <v>88569169580.610901</v>
          </cell>
          <cell r="AB99">
            <v>88569169580.610901</v>
          </cell>
          <cell r="AC99">
            <v>72046839901.209595</v>
          </cell>
          <cell r="AM99">
            <v>7840.659544186844</v>
          </cell>
          <cell r="AP99">
            <v>571921897.76885009</v>
          </cell>
          <cell r="AQ99">
            <v>158284540.90751809</v>
          </cell>
          <cell r="AR99">
            <v>158284540.90751809</v>
          </cell>
          <cell r="AU99">
            <v>171507928776.78262</v>
          </cell>
          <cell r="AV99">
            <v>171507928776.78262</v>
          </cell>
          <cell r="AX99">
            <v>93198633295.535187</v>
          </cell>
        </row>
        <row r="100">
          <cell r="V100">
            <v>313505111.53286815</v>
          </cell>
          <cell r="W100">
            <v>5241201.4809651747</v>
          </cell>
          <cell r="X100">
            <v>5241201.4809651747</v>
          </cell>
          <cell r="AA100">
            <v>95385241448.32048</v>
          </cell>
          <cell r="AB100">
            <v>95385241448.32048</v>
          </cell>
          <cell r="AC100">
            <v>76185252553.901611</v>
          </cell>
          <cell r="AM100">
            <v>7905.7869409358391</v>
          </cell>
          <cell r="AP100">
            <v>632697257.96603858</v>
          </cell>
          <cell r="AQ100">
            <v>173658650.17940953</v>
          </cell>
          <cell r="AR100">
            <v>173658650.17940953</v>
          </cell>
          <cell r="AU100">
            <v>192500787051.61328</v>
          </cell>
          <cell r="AV100">
            <v>192500787051.61328</v>
          </cell>
          <cell r="AX100">
            <v>101146053551.96053</v>
          </cell>
        </row>
        <row r="101">
          <cell r="V101">
            <v>333221272.06349361</v>
          </cell>
          <cell r="W101">
            <v>5583790.7366614891</v>
          </cell>
          <cell r="X101">
            <v>5583790.7366614891</v>
          </cell>
          <cell r="AA101">
            <v>102848665098.58517</v>
          </cell>
          <cell r="AB101">
            <v>102848665098.58517</v>
          </cell>
          <cell r="AC101">
            <v>80586567292.550232</v>
          </cell>
          <cell r="AM101">
            <v>7974.1452913721341</v>
          </cell>
          <cell r="AP101">
            <v>703446671.91621172</v>
          </cell>
          <cell r="AQ101">
            <v>191093381.04830906</v>
          </cell>
          <cell r="AR101">
            <v>191093381.04830906</v>
          </cell>
          <cell r="AU101">
            <v>217118645297.168</v>
          </cell>
          <cell r="AV101">
            <v>217118645297.168</v>
          </cell>
          <cell r="AX101">
            <v>110085580185.36789</v>
          </cell>
        </row>
        <row r="102">
          <cell r="V102">
            <v>355992439.59834743</v>
          </cell>
          <cell r="W102">
            <v>5987961.6895584706</v>
          </cell>
          <cell r="X102">
            <v>5987961.6895584706</v>
          </cell>
          <cell r="AA102">
            <v>111610680769.33578</v>
          </cell>
          <cell r="AB102">
            <v>111610680769.33578</v>
          </cell>
          <cell r="AC102">
            <v>85625237821.549744</v>
          </cell>
          <cell r="AM102">
            <v>8039.0870529884769</v>
          </cell>
          <cell r="AP102">
            <v>794346700.83715081</v>
          </cell>
          <cell r="AQ102">
            <v>213650428.05422011</v>
          </cell>
          <cell r="AR102">
            <v>213650428.05422011</v>
          </cell>
          <cell r="AU102">
            <v>249043423920.29236</v>
          </cell>
          <cell r="AV102">
            <v>249043423920.29236</v>
          </cell>
          <cell r="AX102">
            <v>120587888036.46083</v>
          </cell>
        </row>
        <row r="103">
          <cell r="V103">
            <v>376876607.40571547</v>
          </cell>
          <cell r="W103">
            <v>6357009.9966164781</v>
          </cell>
          <cell r="X103">
            <v>6357009.9966164781</v>
          </cell>
          <cell r="AA103">
            <v>119888170652.9838</v>
          </cell>
          <cell r="AB103">
            <v>119888170652.9838</v>
          </cell>
          <cell r="AC103">
            <v>90302234127.413239</v>
          </cell>
          <cell r="AM103">
            <v>8105.6535794428028</v>
          </cell>
          <cell r="AP103">
            <v>874600571.58415365</v>
          </cell>
          <cell r="AQ103">
            <v>233307198.73842168</v>
          </cell>
          <cell r="AR103">
            <v>233307198.73842168</v>
          </cell>
          <cell r="AU103">
            <v>278219078920.97003</v>
          </cell>
          <cell r="AV103">
            <v>278219078920.97003</v>
          </cell>
          <cell r="AX103">
            <v>130516568705.28435</v>
          </cell>
        </row>
        <row r="104">
          <cell r="V104">
            <v>394980639.1751883</v>
          </cell>
          <cell r="W104">
            <v>6664027.193344444</v>
          </cell>
          <cell r="X104">
            <v>6664027.193344444</v>
          </cell>
          <cell r="AA104">
            <v>127144557655.70526</v>
          </cell>
          <cell r="AB104">
            <v>127144557655.70526</v>
          </cell>
          <cell r="AC104">
            <v>94817700721.989197</v>
          </cell>
          <cell r="AM104">
            <v>8174.3263351667183</v>
          </cell>
          <cell r="AP104">
            <v>944695866.44431245</v>
          </cell>
          <cell r="AQ104">
            <v>250148746.1920808</v>
          </cell>
          <cell r="AR104">
            <v>250148746.1920808</v>
          </cell>
          <cell r="AU104">
            <v>304098292789.89258</v>
          </cell>
          <cell r="AV104">
            <v>304098292789.89258</v>
          </cell>
          <cell r="AX104">
            <v>140109183629.38116</v>
          </cell>
        </row>
        <row r="105">
          <cell r="V105">
            <v>412344353.03413725</v>
          </cell>
          <cell r="W105">
            <v>6958662.4865418784</v>
          </cell>
          <cell r="X105">
            <v>6958662.4865418784</v>
          </cell>
          <cell r="AA105">
            <v>134297088984.42276</v>
          </cell>
          <cell r="AB105">
            <v>134297088984.42276</v>
          </cell>
          <cell r="AC105">
            <v>99162460832.785004</v>
          </cell>
          <cell r="AM105">
            <v>8242.7153089140375</v>
          </cell>
          <cell r="AP105">
            <v>1008738125.304907</v>
          </cell>
          <cell r="AQ105">
            <v>267056080.33445883</v>
          </cell>
          <cell r="AR105">
            <v>267056080.33445883</v>
          </cell>
          <cell r="AU105">
            <v>328537526412.63293</v>
          </cell>
          <cell r="AV105">
            <v>328537526412.63293</v>
          </cell>
          <cell r="AX105">
            <v>148555640269.38516</v>
          </cell>
        </row>
        <row r="106">
          <cell r="V106">
            <v>430042397.19835806</v>
          </cell>
          <cell r="W106">
            <v>7258861.7379248757</v>
          </cell>
          <cell r="X106">
            <v>7258861.7379248757</v>
          </cell>
          <cell r="AA106">
            <v>141687882082.49371</v>
          </cell>
          <cell r="AB106">
            <v>141687882082.49371</v>
          </cell>
          <cell r="AC106">
            <v>103597326224.83517</v>
          </cell>
          <cell r="AM106">
            <v>8310.2428306858419</v>
          </cell>
          <cell r="AP106">
            <v>1074264438.5597816</v>
          </cell>
          <cell r="AQ106">
            <v>284676422.62503201</v>
          </cell>
          <cell r="AR106">
            <v>284676422.62503201</v>
          </cell>
          <cell r="AU106">
            <v>353942434717.3548</v>
          </cell>
          <cell r="AV106">
            <v>353942434717.3548</v>
          </cell>
          <cell r="AX106">
            <v>157090370766.00946</v>
          </cell>
        </row>
        <row r="107">
          <cell r="V107">
            <v>451337286.9415803</v>
          </cell>
          <cell r="W107">
            <v>7637790.18993406</v>
          </cell>
          <cell r="X107">
            <v>7637790.18993406</v>
          </cell>
          <cell r="AA107">
            <v>150764842349.3902</v>
          </cell>
          <cell r="AB107">
            <v>150764842349.3902</v>
          </cell>
          <cell r="AC107">
            <v>108364318472.1142</v>
          </cell>
          <cell r="AM107">
            <v>8377.6955934140733</v>
          </cell>
          <cell r="AP107">
            <v>1163517508.7595129</v>
          </cell>
          <cell r="AQ107">
            <v>309320774.29622257</v>
          </cell>
          <cell r="AR107">
            <v>309320774.29622257</v>
          </cell>
          <cell r="AU107">
            <v>388661736697.12488</v>
          </cell>
          <cell r="AV107">
            <v>388661736697.12488</v>
          </cell>
          <cell r="AX107">
            <v>166380203338.71393</v>
          </cell>
        </row>
        <row r="108">
          <cell r="V108">
            <v>473242454.78545868</v>
          </cell>
          <cell r="W108">
            <v>8028265.3340722695</v>
          </cell>
          <cell r="X108">
            <v>8028265.3340722695</v>
          </cell>
          <cell r="AA108">
            <v>160239018436.64655</v>
          </cell>
          <cell r="AB108">
            <v>160239018436.64655</v>
          </cell>
          <cell r="AC108">
            <v>113304837360.86722</v>
          </cell>
          <cell r="AM108">
            <v>8443.9512739205456</v>
          </cell>
          <cell r="AP108">
            <v>1258178978.8250875</v>
          </cell>
          <cell r="AQ108">
            <v>335505659.09611243</v>
          </cell>
          <cell r="AR108">
            <v>335505659.09611243</v>
          </cell>
          <cell r="AU108">
            <v>426017071262.02917</v>
          </cell>
          <cell r="AV108">
            <v>426017071262.02917</v>
          </cell>
          <cell r="AX108">
            <v>176111105521.23685</v>
          </cell>
        </row>
        <row r="109">
          <cell r="V109">
            <v>495998222.31038225</v>
          </cell>
          <cell r="W109">
            <v>8434585.1978502125</v>
          </cell>
          <cell r="X109">
            <v>8434585.1978502125</v>
          </cell>
          <cell r="AA109">
            <v>170204763763.6333</v>
          </cell>
          <cell r="AB109">
            <v>170204763763.6333</v>
          </cell>
          <cell r="AC109">
            <v>118434435319.49739</v>
          </cell>
          <cell r="AM109">
            <v>8508.3763667062649</v>
          </cell>
          <cell r="AP109">
            <v>1359101500.4269869</v>
          </cell>
          <cell r="AQ109">
            <v>363470356.69129455</v>
          </cell>
          <cell r="AR109">
            <v>363470356.69129455</v>
          </cell>
          <cell r="AU109">
            <v>466383828420.69464</v>
          </cell>
          <cell r="AV109">
            <v>466383828420.69464</v>
          </cell>
          <cell r="AX109">
            <v>186299328509.18784</v>
          </cell>
        </row>
        <row r="110">
          <cell r="V110">
            <v>518708043.21041942</v>
          </cell>
          <cell r="W110">
            <v>8841657.4659448285</v>
          </cell>
          <cell r="X110">
            <v>8841657.4659448285</v>
          </cell>
          <cell r="AA110">
            <v>180364662829.22879</v>
          </cell>
          <cell r="AB110">
            <v>180364662829.22879</v>
          </cell>
          <cell r="AC110">
            <v>123537991797.70248</v>
          </cell>
          <cell r="AM110">
            <v>8577.0023936067737</v>
          </cell>
          <cell r="AP110">
            <v>1459097959.3274028</v>
          </cell>
          <cell r="AQ110">
            <v>391298391.84761566</v>
          </cell>
          <cell r="AR110">
            <v>391298391.84761566</v>
          </cell>
          <cell r="AU110">
            <v>507356141694.03821</v>
          </cell>
          <cell r="AV110">
            <v>507356141694.03821</v>
          </cell>
          <cell r="AX110">
            <v>196662541840.9364</v>
          </cell>
        </row>
        <row r="111">
          <cell r="V111">
            <v>541785051.3001821</v>
          </cell>
          <cell r="W111">
            <v>9257212.3421525974</v>
          </cell>
          <cell r="X111">
            <v>9257212.3421525974</v>
          </cell>
          <cell r="AA111">
            <v>190878604820.15131</v>
          </cell>
          <cell r="AB111">
            <v>190878604820.15131</v>
          </cell>
          <cell r="AC111">
            <v>128774205526.45137</v>
          </cell>
          <cell r="AM111">
            <v>8643.6952996213076</v>
          </cell>
          <cell r="AP111">
            <v>1563207916.3273699</v>
          </cell>
          <cell r="AQ111">
            <v>420367053.85545582</v>
          </cell>
          <cell r="AR111">
            <v>420367053.85545582</v>
          </cell>
          <cell r="AU111">
            <v>550740455825.27856</v>
          </cell>
          <cell r="AV111">
            <v>550740455825.27856</v>
          </cell>
          <cell r="AX111">
            <v>207391673592.70419</v>
          </cell>
        </row>
        <row r="112">
          <cell r="V112">
            <v>561837438.45366681</v>
          </cell>
          <cell r="W112">
            <v>9578084.7097831815</v>
          </cell>
          <cell r="X112">
            <v>9578084.7097831815</v>
          </cell>
          <cell r="AA112">
            <v>199602281881.81085</v>
          </cell>
          <cell r="AB112">
            <v>199602281881.81085</v>
          </cell>
          <cell r="AC112">
            <v>134368739784.207</v>
          </cell>
          <cell r="AM112">
            <v>8712.9826574193867</v>
          </cell>
          <cell r="AP112">
            <v>1671403647.9091311</v>
          </cell>
          <cell r="AQ112">
            <v>448560387.7379002</v>
          </cell>
          <cell r="AR112">
            <v>448560387.7379002</v>
          </cell>
          <cell r="AU112">
            <v>593794502172.10425</v>
          </cell>
          <cell r="AV112">
            <v>593794502172.10425</v>
          </cell>
          <cell r="AX112">
            <v>218967269803.5079</v>
          </cell>
        </row>
        <row r="113">
          <cell r="V113">
            <v>582372479.49039602</v>
          </cell>
          <cell r="W113">
            <v>9904697.5947327055</v>
          </cell>
          <cell r="X113">
            <v>9904697.5947327055</v>
          </cell>
          <cell r="AA113">
            <v>208588054513.32031</v>
          </cell>
          <cell r="AB113">
            <v>208588054513.32031</v>
          </cell>
          <cell r="AC113">
            <v>140113825790.17297</v>
          </cell>
          <cell r="AM113">
            <v>8778.2847825450335</v>
          </cell>
          <cell r="AP113">
            <v>1784923243.2963431</v>
          </cell>
          <cell r="AQ113">
            <v>477981047.87108898</v>
          </cell>
          <cell r="AR113">
            <v>477981047.87108898</v>
          </cell>
          <cell r="AU113">
            <v>639305049408.55469</v>
          </cell>
          <cell r="AV113">
            <v>639305049408.55469</v>
          </cell>
          <cell r="AX113">
            <v>230910227729.02896</v>
          </cell>
        </row>
        <row r="114">
          <cell r="V114">
            <v>603208685.74119937</v>
          </cell>
          <cell r="W114">
            <v>10235268.273091046</v>
          </cell>
          <cell r="X114">
            <v>10235268.273091046</v>
          </cell>
          <cell r="AA114">
            <v>217801776432.41812</v>
          </cell>
          <cell r="AB114">
            <v>217801776432.41812</v>
          </cell>
          <cell r="AC114">
            <v>146048315658.79755</v>
          </cell>
          <cell r="AM114">
            <v>8847.1573149325686</v>
          </cell>
          <cell r="AP114">
            <v>1905836103.5829759</v>
          </cell>
          <cell r="AQ114">
            <v>509232988.3929587</v>
          </cell>
          <cell r="AR114">
            <v>509232988.3929587</v>
          </cell>
          <cell r="AU114">
            <v>688144084728.08765</v>
          </cell>
          <cell r="AV114">
            <v>688144084728.08765</v>
          </cell>
          <cell r="AX114">
            <v>243527871204.65521</v>
          </cell>
        </row>
        <row r="115">
          <cell r="V115">
            <v>624048193.37672615</v>
          </cell>
          <cell r="W115">
            <v>10564754.553615002</v>
          </cell>
          <cell r="X115">
            <v>10564754.553615002</v>
          </cell>
          <cell r="AA115">
            <v>227137655207.36816</v>
          </cell>
          <cell r="AB115">
            <v>227137655207.36816</v>
          </cell>
          <cell r="AC115">
            <v>152083921345.03552</v>
          </cell>
          <cell r="AM115">
            <v>8910.5793781313932</v>
          </cell>
          <cell r="AP115">
            <v>2030842779.3650136</v>
          </cell>
          <cell r="AQ115">
            <v>541442418.53495419</v>
          </cell>
          <cell r="AR115">
            <v>541442418.53495419</v>
          </cell>
          <cell r="AU115">
            <v>739175069963.41406</v>
          </cell>
          <cell r="AV115">
            <v>739175069963.41406</v>
          </cell>
          <cell r="AX115">
            <v>256387547042.6777</v>
          </cell>
        </row>
        <row r="116">
          <cell r="V116">
            <v>645646844.21695209</v>
          </cell>
          <cell r="W116">
            <v>10905958.035199661</v>
          </cell>
          <cell r="X116">
            <v>10905958.035199661</v>
          </cell>
          <cell r="AA116">
            <v>236873020615.36484</v>
          </cell>
          <cell r="AB116">
            <v>236873020615.36484</v>
          </cell>
          <cell r="AC116">
            <v>158357073605.99042</v>
          </cell>
          <cell r="AM116">
            <v>8978.9188215849863</v>
          </cell>
          <cell r="AP116">
            <v>2164001099.195272</v>
          </cell>
          <cell r="AQ116">
            <v>575804905.64536703</v>
          </cell>
          <cell r="AR116">
            <v>575804905.64536703</v>
          </cell>
          <cell r="AU116">
            <v>793922376563.35681</v>
          </cell>
          <cell r="AV116">
            <v>793922376563.35681</v>
          </cell>
          <cell r="AX116">
            <v>269985303117.69855</v>
          </cell>
        </row>
        <row r="117">
          <cell r="V117">
            <v>661044522.24053872</v>
          </cell>
          <cell r="W117">
            <v>11143578.837475523</v>
          </cell>
          <cell r="X117">
            <v>11143578.837475523</v>
          </cell>
          <cell r="AA117">
            <v>243616494809.04138</v>
          </cell>
          <cell r="AB117">
            <v>243616494809.04138</v>
          </cell>
          <cell r="AC117">
            <v>164403284736.55389</v>
          </cell>
          <cell r="AM117">
            <v>9046.1287240722304</v>
          </cell>
          <cell r="AP117">
            <v>2261496387.9560852</v>
          </cell>
          <cell r="AQ117">
            <v>598512349.28786135</v>
          </cell>
          <cell r="AR117">
            <v>598512349.28786135</v>
          </cell>
          <cell r="AU117">
            <v>833435274812.99658</v>
          </cell>
          <cell r="AV117">
            <v>833435274812.99658</v>
          </cell>
          <cell r="AX117">
            <v>283841054424.25195</v>
          </cell>
        </row>
        <row r="118">
          <cell r="V118">
            <v>676596324.24078691</v>
          </cell>
          <cell r="W118">
            <v>11382917.489134265</v>
          </cell>
          <cell r="X118">
            <v>11382917.489134265</v>
          </cell>
          <cell r="AA118">
            <v>250465254659.09561</v>
          </cell>
          <cell r="AB118">
            <v>250465254659.09561</v>
          </cell>
          <cell r="AC118">
            <v>170632385621.18918</v>
          </cell>
          <cell r="AM118">
            <v>9114.6737906797462</v>
          </cell>
          <cell r="AP118">
            <v>2363294153.4475355</v>
          </cell>
          <cell r="AQ118">
            <v>622093912.30623627</v>
          </cell>
          <cell r="AR118">
            <v>622093912.30623627</v>
          </cell>
          <cell r="AU118">
            <v>874854105425.10632</v>
          </cell>
          <cell r="AV118">
            <v>874854105425.10632</v>
          </cell>
          <cell r="AX118">
            <v>298363821704.33582</v>
          </cell>
        </row>
        <row r="119">
          <cell r="V119">
            <v>694402710.54672551</v>
          </cell>
          <cell r="W119">
            <v>11659138.790496614</v>
          </cell>
          <cell r="X119">
            <v>11659138.790496614</v>
          </cell>
          <cell r="AA119">
            <v>257828949959.8905</v>
          </cell>
          <cell r="AB119">
            <v>257828949959.8905</v>
          </cell>
          <cell r="AC119">
            <v>177538308693.61469</v>
          </cell>
          <cell r="AM119">
            <v>9181.586561984117</v>
          </cell>
          <cell r="AP119">
            <v>2475508737.6629243</v>
          </cell>
          <cell r="AQ119">
            <v>648129988.64812505</v>
          </cell>
          <cell r="AR119">
            <v>648129988.64812505</v>
          </cell>
          <cell r="AU119">
            <v>919146496340.20715</v>
          </cell>
          <cell r="AV119">
            <v>919146496340.20715</v>
          </cell>
          <cell r="AX119">
            <v>314324398543.52435</v>
          </cell>
        </row>
        <row r="120">
          <cell r="V120">
            <v>713552554.70891142</v>
          </cell>
          <cell r="W120">
            <v>11956542.705816958</v>
          </cell>
          <cell r="X120">
            <v>11956542.705816958</v>
          </cell>
          <cell r="AA120">
            <v>265561333766.44644</v>
          </cell>
          <cell r="AB120">
            <v>265561333766.44644</v>
          </cell>
          <cell r="AC120">
            <v>184905725611.8894</v>
          </cell>
          <cell r="AM120">
            <v>9249.487602158224</v>
          </cell>
          <cell r="AP120">
            <v>2596143705.2710042</v>
          </cell>
          <cell r="AQ120">
            <v>676047048.37785757</v>
          </cell>
          <cell r="AR120">
            <v>676047048.37785757</v>
          </cell>
          <cell r="AU120">
            <v>966201270630.13904</v>
          </cell>
          <cell r="AV120">
            <v>966201270630.13904</v>
          </cell>
          <cell r="AX120">
            <v>331483091179.71283</v>
          </cell>
        </row>
        <row r="121">
          <cell r="V121">
            <v>732993734.78101802</v>
          </cell>
          <cell r="W121">
            <v>12254182.573356148</v>
          </cell>
          <cell r="X121">
            <v>12254182.573356148</v>
          </cell>
          <cell r="AA121">
            <v>273351674677.08722</v>
          </cell>
          <cell r="AB121">
            <v>273351674677.08722</v>
          </cell>
          <cell r="AC121">
            <v>192406694393.68658</v>
          </cell>
          <cell r="AM121">
            <v>9314.6342765223671</v>
          </cell>
          <cell r="AP121">
            <v>2719218763.5959835</v>
          </cell>
          <cell r="AQ121">
            <v>704077611.66833723</v>
          </cell>
          <cell r="AR121">
            <v>704077611.66833723</v>
          </cell>
          <cell r="AU121">
            <v>1014064605974.2686</v>
          </cell>
          <cell r="AV121">
            <v>1014064605974.2686</v>
          </cell>
          <cell r="AX121">
            <v>349104162978.24304</v>
          </cell>
        </row>
        <row r="122">
          <cell r="V122">
            <v>755020803.750808</v>
          </cell>
          <cell r="W122">
            <v>12588160.896977892</v>
          </cell>
          <cell r="X122">
            <v>12588160.896977892</v>
          </cell>
          <cell r="AA122">
            <v>282008513920.5235</v>
          </cell>
          <cell r="AB122">
            <v>282008513920.5235</v>
          </cell>
          <cell r="AC122">
            <v>199043737002.73868</v>
          </cell>
          <cell r="AM122">
            <v>9381.0597738310807</v>
          </cell>
          <cell r="AP122">
            <v>2848355847.0439224</v>
          </cell>
          <cell r="AQ122">
            <v>733012934.32882786</v>
          </cell>
          <cell r="AR122">
            <v>733012934.32882786</v>
          </cell>
          <cell r="AU122">
            <v>1063892008738.3497</v>
          </cell>
          <cell r="AV122">
            <v>1063892008738.3497</v>
          </cell>
          <cell r="AX122">
            <v>365730533188.25653</v>
          </cell>
        </row>
        <row r="123">
          <cell r="V123">
            <v>777713548.06863868</v>
          </cell>
          <cell r="W123">
            <v>12925898.354295664</v>
          </cell>
          <cell r="X123">
            <v>12925898.354295664</v>
          </cell>
          <cell r="AA123">
            <v>290808968841.37354</v>
          </cell>
          <cell r="AB123">
            <v>290808968841.37354</v>
          </cell>
          <cell r="AC123">
            <v>205785207925.96326</v>
          </cell>
          <cell r="AM123">
            <v>9448.858139758293</v>
          </cell>
          <cell r="AP123">
            <v>2982303936.1108627</v>
          </cell>
          <cell r="AQ123">
            <v>762477142.57063913</v>
          </cell>
          <cell r="AR123">
            <v>762477142.57063913</v>
          </cell>
          <cell r="AU123">
            <v>1115167319105.8076</v>
          </cell>
          <cell r="AV123">
            <v>1115167319105.8076</v>
          </cell>
          <cell r="AX123">
            <v>382926735391.78058</v>
          </cell>
        </row>
        <row r="124">
          <cell r="V124">
            <v>800691199.74638271</v>
          </cell>
          <cell r="W124">
            <v>13261909.128005736</v>
          </cell>
          <cell r="X124">
            <v>13261909.128005736</v>
          </cell>
          <cell r="AA124">
            <v>299629812972.27515</v>
          </cell>
          <cell r="AB124">
            <v>299629812972.27515</v>
          </cell>
          <cell r="AC124">
            <v>212607422647.00891</v>
          </cell>
          <cell r="AM124">
            <v>9515.8825463840603</v>
          </cell>
          <cell r="AP124">
            <v>3120381175.0105977</v>
          </cell>
          <cell r="AQ124">
            <v>792319960.82560921</v>
          </cell>
          <cell r="AR124">
            <v>792319960.82560921</v>
          </cell>
          <cell r="AU124">
            <v>1167690150918.0818</v>
          </cell>
          <cell r="AV124">
            <v>1167690150918.0818</v>
          </cell>
          <cell r="AX124">
            <v>400585674733.46887</v>
          </cell>
        </row>
        <row r="125">
          <cell r="V125">
            <v>824356340.30416059</v>
          </cell>
          <cell r="W125">
            <v>13607217.218298044</v>
          </cell>
          <cell r="X125">
            <v>13607217.218298044</v>
          </cell>
          <cell r="AA125">
            <v>308720310107.08252</v>
          </cell>
          <cell r="AB125">
            <v>308720310107.08252</v>
          </cell>
          <cell r="AC125">
            <v>219654028902.59326</v>
          </cell>
          <cell r="AM125">
            <v>9584.3850498495958</v>
          </cell>
          <cell r="AP125">
            <v>3265150222.2942467</v>
          </cell>
          <cell r="AQ125">
            <v>823428726.56390452</v>
          </cell>
          <cell r="AR125">
            <v>823428726.56390452</v>
          </cell>
          <cell r="AU125">
            <v>1222794245509.1248</v>
          </cell>
          <cell r="AV125">
            <v>1222794245509.1248</v>
          </cell>
          <cell r="AX125">
            <v>419098552456.56378</v>
          </cell>
        </row>
        <row r="126">
          <cell r="V126">
            <v>848553855.72560644</v>
          </cell>
          <cell r="W126">
            <v>13959193.361167382</v>
          </cell>
          <cell r="X126">
            <v>13959193.361167382</v>
          </cell>
          <cell r="AA126">
            <v>318022837762.4032</v>
          </cell>
          <cell r="AB126">
            <v>318022837762.4032</v>
          </cell>
          <cell r="AC126">
            <v>226886046937.68558</v>
          </cell>
          <cell r="AM126">
            <v>9651.4335426471262</v>
          </cell>
          <cell r="AP126">
            <v>3415057662.0344758</v>
          </cell>
          <cell r="AQ126">
            <v>855386980.00410533</v>
          </cell>
          <cell r="AR126">
            <v>855386980.00410533</v>
          </cell>
          <cell r="AU126">
            <v>1279902650225.7021</v>
          </cell>
          <cell r="AV126">
            <v>1279902650225.7021</v>
          </cell>
          <cell r="AX126">
            <v>438266671358.07727</v>
          </cell>
        </row>
        <row r="127">
          <cell r="V127">
            <v>872311565.95290256</v>
          </cell>
          <cell r="W127">
            <v>14301848.369959619</v>
          </cell>
          <cell r="X127">
            <v>14301848.369959619</v>
          </cell>
          <cell r="AA127">
            <v>327173141643.43127</v>
          </cell>
          <cell r="AB127">
            <v>327173141643.43127</v>
          </cell>
          <cell r="AC127">
            <v>233924794982.1994</v>
          </cell>
          <cell r="AM127">
            <v>9718.9921244478937</v>
          </cell>
          <cell r="AP127">
            <v>3559626402.7248158</v>
          </cell>
          <cell r="AQ127">
            <v>885569285.17697072</v>
          </cell>
          <cell r="AR127">
            <v>885569285.17697072</v>
          </cell>
          <cell r="AU127">
            <v>1335089661437.8528</v>
          </cell>
          <cell r="AV127">
            <v>1335089661437.8528</v>
          </cell>
          <cell r="AX127">
            <v>457508248766.66492</v>
          </cell>
        </row>
        <row r="128">
          <cell r="V128">
            <v>896321201.91103899</v>
          </cell>
          <cell r="W128">
            <v>14646596.036730094</v>
          </cell>
          <cell r="X128">
            <v>14646596.036730094</v>
          </cell>
          <cell r="AA128">
            <v>336430412699.80139</v>
          </cell>
          <cell r="AB128">
            <v>336430412699.80139</v>
          </cell>
          <cell r="AC128">
            <v>241101012044.22266</v>
          </cell>
          <cell r="AM128">
            <v>9783.4793164008734</v>
          </cell>
          <cell r="AP128">
            <v>3707553640.5609183</v>
          </cell>
          <cell r="AQ128">
            <v>916158991.00080335</v>
          </cell>
          <cell r="AR128">
            <v>916158991.00080335</v>
          </cell>
          <cell r="AU128">
            <v>1391614745630.3958</v>
          </cell>
          <cell r="AV128">
            <v>1391614745630.3958</v>
          </cell>
          <cell r="AX128">
            <v>477238098631.48395</v>
          </cell>
        </row>
        <row r="129">
          <cell r="V129">
            <v>921529767.88018751</v>
          </cell>
          <cell r="W129">
            <v>15008855.973380323</v>
          </cell>
          <cell r="X129">
            <v>15008855.973380323</v>
          </cell>
          <cell r="AA129">
            <v>346150105156.85077</v>
          </cell>
          <cell r="AB129">
            <v>346150105156.85077</v>
          </cell>
          <cell r="AC129">
            <v>248583308551.33151</v>
          </cell>
          <cell r="AM129">
            <v>9852.4741214672613</v>
          </cell>
          <cell r="AP129">
            <v>3864756384.4662452</v>
          </cell>
          <cell r="AQ129">
            <v>948598706.35499239</v>
          </cell>
          <cell r="AR129">
            <v>948598706.35499239</v>
          </cell>
          <cell r="AU129">
            <v>1451701155531.7798</v>
          </cell>
          <cell r="AV129">
            <v>1451701155531.7798</v>
          </cell>
          <cell r="AX129">
            <v>498201427328.94104</v>
          </cell>
        </row>
        <row r="130">
          <cell r="V130">
            <v>947451602.24133658</v>
          </cell>
          <cell r="W130">
            <v>15380588.789882131</v>
          </cell>
          <cell r="X130">
            <v>15380588.789882131</v>
          </cell>
          <cell r="AA130">
            <v>356144246634.01416</v>
          </cell>
          <cell r="AB130">
            <v>356144246634.01416</v>
          </cell>
          <cell r="AC130">
            <v>256263994208.31207</v>
          </cell>
          <cell r="AM130">
            <v>9919.5043356939605</v>
          </cell>
          <cell r="AP130">
            <v>4026886675.4838767</v>
          </cell>
          <cell r="AQ130">
            <v>981789801.53512907</v>
          </cell>
          <cell r="AR130">
            <v>981789801.53512907</v>
          </cell>
          <cell r="AU130">
            <v>1513694755413.4229</v>
          </cell>
          <cell r="AV130">
            <v>1513694755413.4229</v>
          </cell>
          <cell r="AX130">
            <v>519854148084.96021</v>
          </cell>
        </row>
        <row r="131">
          <cell r="V131">
            <v>973748737.35621071</v>
          </cell>
          <cell r="W131">
            <v>15749728.61797221</v>
          </cell>
          <cell r="X131">
            <v>15749728.61797221</v>
          </cell>
          <cell r="AA131">
            <v>366140955230.8916</v>
          </cell>
          <cell r="AB131">
            <v>366140955230.8916</v>
          </cell>
          <cell r="AC131">
            <v>264027922973.78488</v>
          </cell>
          <cell r="AM131">
            <v>9988.2764865924219</v>
          </cell>
          <cell r="AP131">
            <v>4194802498.8353214</v>
          </cell>
          <cell r="AQ131">
            <v>1015502863.7416334</v>
          </cell>
          <cell r="AR131">
            <v>1015502863.7416334</v>
          </cell>
          <cell r="AU131">
            <v>1577294978680.5693</v>
          </cell>
          <cell r="AV131">
            <v>1577294978680.5693</v>
          </cell>
          <cell r="AX131">
            <v>542199963202.32483</v>
          </cell>
        </row>
        <row r="132">
          <cell r="V132">
            <v>999544345.62111735</v>
          </cell>
          <cell r="W132">
            <v>16096691.678217661</v>
          </cell>
          <cell r="X132">
            <v>16096691.678217661</v>
          </cell>
          <cell r="AA132">
            <v>375682073421.77161</v>
          </cell>
          <cell r="AB132">
            <v>375682073421.77161</v>
          </cell>
          <cell r="AC132">
            <v>271306615740.78772</v>
          </cell>
          <cell r="AM132">
            <v>10054.946074184756</v>
          </cell>
          <cell r="AP132">
            <v>4364288199.2196093</v>
          </cell>
          <cell r="AQ132">
            <v>1048333734.6023796</v>
          </cell>
          <cell r="AR132">
            <v>1048333734.6023796</v>
          </cell>
          <cell r="AU132">
            <v>1640332264272.0308</v>
          </cell>
          <cell r="AV132">
            <v>1640332264272.0308</v>
          </cell>
          <cell r="AX132">
            <v>564060520888.03113</v>
          </cell>
        </row>
        <row r="133">
          <cell r="V133">
            <v>1026090979.9813447</v>
          </cell>
          <cell r="W133">
            <v>16452918.6961086</v>
          </cell>
          <cell r="X133">
            <v>16452918.6961086</v>
          </cell>
          <cell r="AA133">
            <v>385497824926.47717</v>
          </cell>
          <cell r="AB133">
            <v>385497824926.47717</v>
          </cell>
          <cell r="AC133">
            <v>278817362813.25</v>
          </cell>
          <cell r="AM133">
            <v>10123.755252011966</v>
          </cell>
          <cell r="AP133">
            <v>4541795280.67097</v>
          </cell>
          <cell r="AQ133">
            <v>1082525698.4924545</v>
          </cell>
          <cell r="AR133">
            <v>1082525698.4924545</v>
          </cell>
          <cell r="AU133">
            <v>1706332319568.6118</v>
          </cell>
          <cell r="AV133">
            <v>1706332319568.6118</v>
          </cell>
          <cell r="AX133">
            <v>586972237095.63623</v>
          </cell>
        </row>
        <row r="134">
          <cell r="V134">
            <v>1052833651.9823101</v>
          </cell>
          <cell r="W134">
            <v>16802718.676776253</v>
          </cell>
          <cell r="X134">
            <v>16802718.676776253</v>
          </cell>
          <cell r="AA134">
            <v>395221320048.93182</v>
          </cell>
          <cell r="AB134">
            <v>395221320048.93182</v>
          </cell>
          <cell r="AC134">
            <v>286295107199.1062</v>
          </cell>
          <cell r="AM134">
            <v>10186.642161836602</v>
          </cell>
          <cell r="AP134">
            <v>4720903537.576993</v>
          </cell>
          <cell r="AQ134">
            <v>1116077276.0778461</v>
          </cell>
          <cell r="AR134">
            <v>1116077276.0778461</v>
          </cell>
          <cell r="AU134">
            <v>1772171438889.5696</v>
          </cell>
          <cell r="AV134">
            <v>1772171438889.5696</v>
          </cell>
          <cell r="AX134">
            <v>609863608488.80713</v>
          </cell>
        </row>
        <row r="135">
          <cell r="V135">
            <v>1080581651.549159</v>
          </cell>
          <cell r="W135">
            <v>17164406.598958045</v>
          </cell>
          <cell r="X135">
            <v>17164406.598958045</v>
          </cell>
          <cell r="AA135">
            <v>405282911469.33191</v>
          </cell>
          <cell r="AB135">
            <v>405282911469.33191</v>
          </cell>
          <cell r="AC135">
            <v>294051697681.56079</v>
          </cell>
          <cell r="AM135">
            <v>10254.874070546768</v>
          </cell>
          <cell r="AP135">
            <v>4911057642.9153585</v>
          </cell>
          <cell r="AQ135">
            <v>1151572291.5468647</v>
          </cell>
          <cell r="AR135">
            <v>1151572291.5468647</v>
          </cell>
          <cell r="AU135">
            <v>1841941085211.8308</v>
          </cell>
          <cell r="AV135">
            <v>1841941085211.8308</v>
          </cell>
          <cell r="AX135">
            <v>634143551886.26575</v>
          </cell>
        </row>
        <row r="136">
          <cell r="V136">
            <v>1108914430.1109421</v>
          </cell>
          <cell r="W136">
            <v>17532134.572020747</v>
          </cell>
          <cell r="X136">
            <v>17532134.572020747</v>
          </cell>
          <cell r="AA136">
            <v>415546867224.80432</v>
          </cell>
          <cell r="AB136">
            <v>415546867224.80432</v>
          </cell>
          <cell r="AC136">
            <v>301990611566.21124</v>
          </cell>
          <cell r="AM136">
            <v>10322.39596331937</v>
          </cell>
          <cell r="AP136">
            <v>5107459877.4938526</v>
          </cell>
          <cell r="AQ136">
            <v>1187906617.1883123</v>
          </cell>
          <cell r="AR136">
            <v>1187906617.1883123</v>
          </cell>
          <cell r="AU136">
            <v>1913933928478.699</v>
          </cell>
          <cell r="AV136">
            <v>1913933928478.699</v>
          </cell>
          <cell r="AX136">
            <v>659227636320.11487</v>
          </cell>
        </row>
        <row r="137">
          <cell r="V137">
            <v>1137023245.0309298</v>
          </cell>
          <cell r="W137">
            <v>17893102.122410648</v>
          </cell>
          <cell r="X137">
            <v>17893102.122410648</v>
          </cell>
          <cell r="AA137">
            <v>425709916466.09937</v>
          </cell>
          <cell r="AB137">
            <v>425709916466.09937</v>
          </cell>
          <cell r="AC137">
            <v>310544471608.67908</v>
          </cell>
          <cell r="AM137">
            <v>10390.679555384882</v>
          </cell>
          <cell r="AP137">
            <v>5300428005.7305498</v>
          </cell>
          <cell r="AQ137">
            <v>1222822743.6109679</v>
          </cell>
          <cell r="AR137">
            <v>1222822743.6109679</v>
          </cell>
          <cell r="AU137">
            <v>1984519466436.0142</v>
          </cell>
          <cell r="AV137">
            <v>1984519466436.0142</v>
          </cell>
          <cell r="AX137">
            <v>686341629237.10706</v>
          </cell>
        </row>
        <row r="138">
          <cell r="V138">
            <v>1165687105.7356069</v>
          </cell>
          <cell r="W138">
            <v>18259616.08081327</v>
          </cell>
          <cell r="X138">
            <v>18259616.08081327</v>
          </cell>
          <cell r="AA138">
            <v>436063792462.12085</v>
          </cell>
          <cell r="AB138">
            <v>436063792462.12085</v>
          </cell>
          <cell r="AC138">
            <v>319309439868.66058</v>
          </cell>
          <cell r="AM138">
            <v>10458.209033612722</v>
          </cell>
          <cell r="AP138">
            <v>5499180772.6117344</v>
          </cell>
          <cell r="AQ138">
            <v>1258460481.2258801</v>
          </cell>
          <cell r="AR138">
            <v>1258460481.2258801</v>
          </cell>
          <cell r="AU138">
            <v>2057150337634.2102</v>
          </cell>
          <cell r="AV138">
            <v>2057150337634.2102</v>
          </cell>
          <cell r="AX138">
            <v>714384593983.74988</v>
          </cell>
        </row>
        <row r="139">
          <cell r="V139">
            <v>1195025938.138854</v>
          </cell>
          <cell r="W139">
            <v>18633480.64764547</v>
          </cell>
          <cell r="X139">
            <v>18633480.64764547</v>
          </cell>
          <cell r="AA139">
            <v>446652880232.72284</v>
          </cell>
          <cell r="AB139">
            <v>446652880232.72284</v>
          </cell>
          <cell r="AC139">
            <v>328320666840.33624</v>
          </cell>
          <cell r="AM139">
            <v>10526.375843787282</v>
          </cell>
          <cell r="AP139">
            <v>5705221344.6793098</v>
          </cell>
          <cell r="AQ139">
            <v>1295140824.9184439</v>
          </cell>
          <cell r="AR139">
            <v>1295140824.9184439</v>
          </cell>
          <cell r="AU139">
            <v>2132383461010.8125</v>
          </cell>
          <cell r="AV139">
            <v>2132383461010.8125</v>
          </cell>
          <cell r="AX139">
            <v>743561094912.87476</v>
          </cell>
        </row>
        <row r="140">
          <cell r="V140">
            <v>1222288828.3433924</v>
          </cell>
          <cell r="W140">
            <v>18971907.39887815</v>
          </cell>
          <cell r="X140">
            <v>18971907.39887815</v>
          </cell>
          <cell r="AA140">
            <v>456914870284.03992</v>
          </cell>
          <cell r="AB140">
            <v>456914870284.03992</v>
          </cell>
          <cell r="AC140">
            <v>336823430711.06055</v>
          </cell>
          <cell r="AM140">
            <v>10591.904335866573</v>
          </cell>
          <cell r="AP140">
            <v>5903400141.809227</v>
          </cell>
          <cell r="AQ140">
            <v>1329423983.5884066</v>
          </cell>
          <cell r="AR140">
            <v>1329423983.5884066</v>
          </cell>
          <cell r="AU140">
            <v>2206803537331.9688</v>
          </cell>
          <cell r="AV140">
            <v>2206803537331.9688</v>
          </cell>
          <cell r="AX140">
            <v>771903467944.65967</v>
          </cell>
        </row>
        <row r="141">
          <cell r="V141">
            <v>1247778737.1775429</v>
          </cell>
          <cell r="W141">
            <v>19280068.395094134</v>
          </cell>
          <cell r="X141">
            <v>19280068.395094134</v>
          </cell>
          <cell r="AA141">
            <v>466960667400.54358</v>
          </cell>
          <cell r="AB141">
            <v>466960667400.54358</v>
          </cell>
          <cell r="AC141">
            <v>344897614744.53601</v>
          </cell>
          <cell r="AM141">
            <v>10658.300638407094</v>
          </cell>
          <cell r="AP141">
            <v>6096991708.5554237</v>
          </cell>
          <cell r="AQ141">
            <v>1362095340.5884161</v>
          </cell>
          <cell r="AR141">
            <v>1362095340.5884161</v>
          </cell>
          <cell r="AU141">
            <v>2281698856163.0874</v>
          </cell>
          <cell r="AV141">
            <v>2281698856163.0874</v>
          </cell>
          <cell r="AX141">
            <v>799833427430.16284</v>
          </cell>
        </row>
        <row r="142">
          <cell r="V142">
            <v>1273884066.7792249</v>
          </cell>
          <cell r="W142">
            <v>19595119.352528065</v>
          </cell>
          <cell r="X142">
            <v>19595119.352528065</v>
          </cell>
          <cell r="AA142">
            <v>477258160968.86334</v>
          </cell>
          <cell r="AB142">
            <v>477258160968.86334</v>
          </cell>
          <cell r="AC142">
            <v>353576432071.40259</v>
          </cell>
          <cell r="AM142">
            <v>10726.767223275205</v>
          </cell>
          <cell r="AP142">
            <v>6298363890.3300505</v>
          </cell>
          <cell r="AQ142">
            <v>1395931264.0407181</v>
          </cell>
          <cell r="AR142">
            <v>1395931264.0407181</v>
          </cell>
          <cell r="AU142">
            <v>2359669647970.0708</v>
          </cell>
          <cell r="AV142">
            <v>2359669647970.0708</v>
          </cell>
          <cell r="AX142">
            <v>829598840956.38965</v>
          </cell>
        </row>
        <row r="143">
          <cell r="V143">
            <v>1300373736.9172628</v>
          </cell>
          <cell r="W143">
            <v>19913437.974332765</v>
          </cell>
          <cell r="X143">
            <v>19913437.974332765</v>
          </cell>
          <cell r="AA143">
            <v>487721446700.34949</v>
          </cell>
          <cell r="AB143">
            <v>487721446700.34949</v>
          </cell>
          <cell r="AC143">
            <v>362427002911.23346</v>
          </cell>
          <cell r="AM143">
            <v>10794.47271689071</v>
          </cell>
          <cell r="AP143">
            <v>6504697073.104434</v>
          </cell>
          <cell r="AQ143">
            <v>1430281252.3158684</v>
          </cell>
          <cell r="AR143">
            <v>1430281252.3158684</v>
          </cell>
          <cell r="AU143">
            <v>2439668056018.1714</v>
          </cell>
          <cell r="AV143">
            <v>2439668056018.1714</v>
          </cell>
          <cell r="AX143">
            <v>860233384828.09631</v>
          </cell>
        </row>
        <row r="144">
          <cell r="V144">
            <v>1327370535.9128447</v>
          </cell>
          <cell r="W144">
            <v>20257479.663656864</v>
          </cell>
          <cell r="X144">
            <v>20257479.663656864</v>
          </cell>
          <cell r="AA144">
            <v>498904894589.41028</v>
          </cell>
          <cell r="AB144">
            <v>498904894589.41028</v>
          </cell>
          <cell r="AC144">
            <v>371864211677.28033</v>
          </cell>
          <cell r="AM144">
            <v>10862.773600181163</v>
          </cell>
          <cell r="AP144">
            <v>6717609445.549511</v>
          </cell>
          <cell r="AQ144">
            <v>1466976273.3537474</v>
          </cell>
          <cell r="AR144">
            <v>1466976273.3537474</v>
          </cell>
          <cell r="AU144">
            <v>2524877674808.3267</v>
          </cell>
          <cell r="AV144">
            <v>2524877674808.3267</v>
          </cell>
          <cell r="AX144">
            <v>892869152360.75342</v>
          </cell>
        </row>
        <row r="145">
          <cell r="V145">
            <v>1354707108.7522216</v>
          </cell>
          <cell r="W145">
            <v>20654965.292329554</v>
          </cell>
          <cell r="X145">
            <v>20654965.292329554</v>
          </cell>
          <cell r="AA145">
            <v>511505495416.9259</v>
          </cell>
          <cell r="AB145">
            <v>511505495416.9259</v>
          </cell>
          <cell r="AC145">
            <v>382413079515.99121</v>
          </cell>
          <cell r="AM145">
            <v>10929.711634638872</v>
          </cell>
          <cell r="AP145">
            <v>6935011730.0157433</v>
          </cell>
          <cell r="AQ145">
            <v>1507790422.0528631</v>
          </cell>
          <cell r="AR145">
            <v>1507790422.0528631</v>
          </cell>
          <cell r="AU145">
            <v>2618497081595.1499</v>
          </cell>
          <cell r="AV145">
            <v>2618497081595.1499</v>
          </cell>
          <cell r="AX145">
            <v>928654128994.79492</v>
          </cell>
        </row>
        <row r="146">
          <cell r="V146">
            <v>1382180820.0305624</v>
          </cell>
          <cell r="W146">
            <v>21053964.303498883</v>
          </cell>
          <cell r="X146">
            <v>21053964.303498883</v>
          </cell>
          <cell r="AA146">
            <v>524251979949.2243</v>
          </cell>
          <cell r="AB146">
            <v>524251979949.2243</v>
          </cell>
          <cell r="AC146">
            <v>393232051956.92126</v>
          </cell>
          <cell r="AM146">
            <v>10998.073313452514</v>
          </cell>
          <cell r="AP146">
            <v>7159620997.7590513</v>
          </cell>
          <cell r="AQ146">
            <v>1549795199.1574941</v>
          </cell>
          <cell r="AR146">
            <v>1549795199.1574941</v>
          </cell>
          <cell r="AU146">
            <v>2715596562596.0781</v>
          </cell>
          <cell r="AV146">
            <v>2715596562596.0781</v>
          </cell>
          <cell r="AX146">
            <v>965897791175.67188</v>
          </cell>
        </row>
        <row r="147">
          <cell r="V147">
            <v>1410376983.2147281</v>
          </cell>
          <cell r="W147">
            <v>21463387.641412549</v>
          </cell>
          <cell r="X147">
            <v>21463387.641412549</v>
          </cell>
          <cell r="AA147">
            <v>537368064964.0929</v>
          </cell>
          <cell r="AB147">
            <v>537368064964.0929</v>
          </cell>
          <cell r="AC147">
            <v>404046929816.2063</v>
          </cell>
          <cell r="AM147">
            <v>11062.568268990493</v>
          </cell>
          <cell r="AP147">
            <v>7394605110.2969608</v>
          </cell>
          <cell r="AQ147">
            <v>1593656936.9779458</v>
          </cell>
          <cell r="AR147">
            <v>1593656936.9779458</v>
          </cell>
          <cell r="AU147">
            <v>2817420226354.3975</v>
          </cell>
          <cell r="AV147">
            <v>2817420226354.3975</v>
          </cell>
          <cell r="AX147">
            <v>1003219699399.0592</v>
          </cell>
        </row>
        <row r="148">
          <cell r="V148">
            <v>1439530569.2043481</v>
          </cell>
          <cell r="W148">
            <v>21886786.565135002</v>
          </cell>
          <cell r="X148">
            <v>21886786.565135002</v>
          </cell>
          <cell r="AA148">
            <v>550947401319.77734</v>
          </cell>
          <cell r="AB148">
            <v>550947401319.77734</v>
          </cell>
          <cell r="AC148">
            <v>415260353870.54761</v>
          </cell>
          <cell r="AM148">
            <v>11131.773709759127</v>
          </cell>
          <cell r="AP148">
            <v>7642782486.8071651</v>
          </cell>
          <cell r="AQ148">
            <v>1639955280.7532167</v>
          </cell>
          <cell r="AR148">
            <v>1639955280.7532167</v>
          </cell>
          <cell r="AU148">
            <v>2925100195882.6572</v>
          </cell>
          <cell r="AV148">
            <v>2925100195882.6572</v>
          </cell>
          <cell r="AX148">
            <v>1042669963599.6587</v>
          </cell>
        </row>
        <row r="149">
          <cell r="V149">
            <v>1469004459.648716</v>
          </cell>
          <cell r="W149">
            <v>22314452.502828524</v>
          </cell>
          <cell r="X149">
            <v>22314452.502828524</v>
          </cell>
          <cell r="AA149">
            <v>564749984055.56177</v>
          </cell>
          <cell r="AB149">
            <v>564749984055.56177</v>
          </cell>
          <cell r="AC149">
            <v>426768824635.74255</v>
          </cell>
          <cell r="AM149">
            <v>11198.438665440473</v>
          </cell>
          <cell r="AP149">
            <v>7900152877.1452456</v>
          </cell>
          <cell r="AQ149">
            <v>1687365533.2280462</v>
          </cell>
          <cell r="AR149">
            <v>1687365533.2280462</v>
          </cell>
          <cell r="AU149">
            <v>3037166553239.1821</v>
          </cell>
          <cell r="AV149">
            <v>3037166553239.1821</v>
          </cell>
          <cell r="AX149">
            <v>1083633491322.2612</v>
          </cell>
        </row>
        <row r="150">
          <cell r="V150">
            <v>1499172533.5652375</v>
          </cell>
          <cell r="W150">
            <v>22752055.959993251</v>
          </cell>
          <cell r="X150">
            <v>22752055.959993251</v>
          </cell>
          <cell r="AA150">
            <v>578921840422.29272</v>
          </cell>
          <cell r="AB150">
            <v>578921840422.29272</v>
          </cell>
          <cell r="AC150">
            <v>438742396490.38708</v>
          </cell>
          <cell r="AM150">
            <v>11267.642726495353</v>
          </cell>
          <cell r="AP150">
            <v>8174645001.0355453</v>
          </cell>
          <cell r="AQ150">
            <v>1737173833.4459455</v>
          </cell>
          <cell r="AR150">
            <v>1737173833.4459455</v>
          </cell>
          <cell r="AU150">
            <v>3156728410401.1074</v>
          </cell>
          <cell r="AV150">
            <v>3156728410401.1074</v>
          </cell>
          <cell r="AX150">
            <v>1127390309470.1648</v>
          </cell>
        </row>
        <row r="151">
          <cell r="V151">
            <v>1529629360.0618241</v>
          </cell>
          <cell r="W151">
            <v>23193430.63064649</v>
          </cell>
          <cell r="X151">
            <v>23193430.63064649</v>
          </cell>
          <cell r="AA151">
            <v>593309288291.69836</v>
          </cell>
          <cell r="AB151">
            <v>593309288291.69836</v>
          </cell>
          <cell r="AC151">
            <v>450940257372.28754</v>
          </cell>
          <cell r="AM151">
            <v>11334.525663222885</v>
          </cell>
          <cell r="AP151">
            <v>8454370900.6145906</v>
          </cell>
          <cell r="AQ151">
            <v>1787570563.0298576</v>
          </cell>
          <cell r="AR151">
            <v>1787570563.0298576</v>
          </cell>
          <cell r="AU151">
            <v>3279262880907.9277</v>
          </cell>
          <cell r="AV151">
            <v>3279262880907.9277</v>
          </cell>
          <cell r="AX151">
            <v>1172278435157.364</v>
          </cell>
        </row>
        <row r="152">
          <cell r="V152">
            <v>1560794350.9572673</v>
          </cell>
          <cell r="W152">
            <v>23644928.262245696</v>
          </cell>
          <cell r="X152">
            <v>23644928.262245696</v>
          </cell>
          <cell r="AA152">
            <v>608077215560.73218</v>
          </cell>
          <cell r="AB152">
            <v>608077215560.73218</v>
          </cell>
          <cell r="AC152">
            <v>463492483669.00916</v>
          </cell>
          <cell r="AM152">
            <v>11403.293450531875</v>
          </cell>
          <cell r="AP152">
            <v>8745211003.8821049</v>
          </cell>
          <cell r="AQ152">
            <v>1839787165.2947407</v>
          </cell>
          <cell r="AR152">
            <v>1839787165.2947407</v>
          </cell>
          <cell r="AU152">
            <v>3407087905892.4141</v>
          </cell>
          <cell r="AV152">
            <v>3407087905892.4141</v>
          </cell>
          <cell r="AX152">
            <v>1219134141880.4128</v>
          </cell>
        </row>
        <row r="153">
          <cell r="V153">
            <v>1591998492.0480149</v>
          </cell>
          <cell r="W153">
            <v>24096403.899370778</v>
          </cell>
          <cell r="X153">
            <v>24096403.899370778</v>
          </cell>
          <cell r="AA153">
            <v>622967476741.24365</v>
          </cell>
          <cell r="AB153">
            <v>622967476741.24365</v>
          </cell>
          <cell r="AC153">
            <v>476198786171.53314</v>
          </cell>
          <cell r="AM153">
            <v>11467.307935688159</v>
          </cell>
          <cell r="AP153">
            <v>9037917607.582922</v>
          </cell>
          <cell r="AQ153">
            <v>1891859662.922899</v>
          </cell>
          <cell r="AR153">
            <v>1891859662.922899</v>
          </cell>
          <cell r="AU153">
            <v>3536641997536.126</v>
          </cell>
          <cell r="AV153">
            <v>3536641997536.126</v>
          </cell>
          <cell r="AX153">
            <v>1266676594582.7571</v>
          </cell>
        </row>
        <row r="154">
          <cell r="V154">
            <v>1624188201.1626477</v>
          </cell>
          <cell r="W154">
            <v>24562178.078602478</v>
          </cell>
          <cell r="X154">
            <v>24562178.078602478</v>
          </cell>
          <cell r="AA154">
            <v>638352242657.3175</v>
          </cell>
          <cell r="AB154">
            <v>638352242657.3175</v>
          </cell>
          <cell r="AC154">
            <v>489352639959.07245</v>
          </cell>
          <cell r="AM154">
            <v>11535.74702933821</v>
          </cell>
          <cell r="AP154">
            <v>9345916188.3001308</v>
          </cell>
          <cell r="AQ154">
            <v>1946585567.8431168</v>
          </cell>
          <cell r="AR154">
            <v>1946585567.8431168</v>
          </cell>
          <cell r="AU154">
            <v>3673211364433.0542</v>
          </cell>
          <cell r="AV154">
            <v>3673211364433.0542</v>
          </cell>
          <cell r="AX154">
            <v>1316813976863.6147</v>
          </cell>
        </row>
        <row r="155">
          <cell r="V155">
            <v>1656777094.7125511</v>
          </cell>
          <cell r="W155">
            <v>25104301.911794439</v>
          </cell>
          <cell r="X155">
            <v>25104301.911794439</v>
          </cell>
          <cell r="AA155">
            <v>655858458117.198</v>
          </cell>
          <cell r="AB155">
            <v>655858458117.198</v>
          </cell>
          <cell r="AC155">
            <v>504203130673.2804</v>
          </cell>
          <cell r="AM155">
            <v>11602.727148234306</v>
          </cell>
          <cell r="AP155">
            <v>9661073618.2073669</v>
          </cell>
          <cell r="AQ155">
            <v>2007893726.6207626</v>
          </cell>
          <cell r="AR155">
            <v>2007893726.6207626</v>
          </cell>
          <cell r="AU155">
            <v>3824471540085.8213</v>
          </cell>
          <cell r="AV155">
            <v>3824471540085.8213</v>
          </cell>
          <cell r="AX155">
            <v>1372297612197.5266</v>
          </cell>
        </row>
        <row r="156">
          <cell r="V156">
            <v>1687080120.8367486</v>
          </cell>
          <cell r="W156">
            <v>25667189.263103452</v>
          </cell>
          <cell r="X156">
            <v>25667189.263103452</v>
          </cell>
          <cell r="AA156">
            <v>673348848203.57361</v>
          </cell>
          <cell r="AB156">
            <v>673348848203.57361</v>
          </cell>
          <cell r="AC156">
            <v>519112991519.16937</v>
          </cell>
          <cell r="AM156">
            <v>11664.058947922429</v>
          </cell>
          <cell r="AP156">
            <v>9975134566.5909348</v>
          </cell>
          <cell r="AQ156">
            <v>2070856487.0148399</v>
          </cell>
          <cell r="AR156">
            <v>2070856487.0148399</v>
          </cell>
          <cell r="AU156">
            <v>3981284165542.9644</v>
          </cell>
          <cell r="AV156">
            <v>3981284165542.9644</v>
          </cell>
          <cell r="AX156">
            <v>1429868389494.4006</v>
          </cell>
        </row>
        <row r="157">
          <cell r="V157">
            <v>1713000515.9218113</v>
          </cell>
          <cell r="W157">
            <v>26210247.120455164</v>
          </cell>
          <cell r="X157">
            <v>26210247.120455164</v>
          </cell>
          <cell r="AA157">
            <v>689273148294.98657</v>
          </cell>
          <cell r="AB157">
            <v>689273148294.98657</v>
          </cell>
          <cell r="AC157">
            <v>531981984827.28729</v>
          </cell>
          <cell r="AM157">
            <v>11713.827000093619</v>
          </cell>
          <cell r="AP157">
            <v>10277358529.514601</v>
          </cell>
          <cell r="AQ157">
            <v>2131158071.4324017</v>
          </cell>
          <cell r="AR157">
            <v>2131158071.4324017</v>
          </cell>
          <cell r="AU157">
            <v>4135379530801.1475</v>
          </cell>
          <cell r="AV157">
            <v>4135379530801.1475</v>
          </cell>
          <cell r="AX157">
            <v>1483708530416.5825</v>
          </cell>
        </row>
        <row r="158">
          <cell r="V158">
            <v>1739299850.6617904</v>
          </cell>
          <cell r="W158">
            <v>26762902.969263736</v>
          </cell>
          <cell r="X158">
            <v>26762902.969263736</v>
          </cell>
          <cell r="AA158">
            <v>705519995369.09717</v>
          </cell>
          <cell r="AB158">
            <v>705519995369.09717</v>
          </cell>
          <cell r="AC158">
            <v>545126719131.55835</v>
          </cell>
          <cell r="AM158">
            <v>11763.745670637551</v>
          </cell>
          <cell r="AP158">
            <v>10588024923.315449</v>
          </cell>
          <cell r="AQ158">
            <v>2193003908.7647347</v>
          </cell>
          <cell r="AR158">
            <v>2193003908.7647347</v>
          </cell>
          <cell r="AU158">
            <v>4294868013714.3101</v>
          </cell>
          <cell r="AV158">
            <v>4294868013714.3101</v>
          </cell>
          <cell r="AX158">
            <v>1539371363906.9307</v>
          </cell>
        </row>
        <row r="159">
          <cell r="V159">
            <v>1767863464.3364387</v>
          </cell>
          <cell r="W159">
            <v>27354399.284219015</v>
          </cell>
          <cell r="X159">
            <v>27354399.284219015</v>
          </cell>
          <cell r="AA159">
            <v>722863990667.36987</v>
          </cell>
          <cell r="AB159">
            <v>722863990667.36987</v>
          </cell>
          <cell r="AC159">
            <v>559164155135.04858</v>
          </cell>
          <cell r="AM159">
            <v>11818.502895887566</v>
          </cell>
          <cell r="AP159">
            <v>10935888900.932995</v>
          </cell>
          <cell r="AQ159">
            <v>2260058025.886322</v>
          </cell>
          <cell r="AR159">
            <v>2260058025.886322</v>
          </cell>
          <cell r="AU159">
            <v>4471589832527.3643</v>
          </cell>
          <cell r="AV159">
            <v>4471589832527.3643</v>
          </cell>
          <cell r="AX159">
            <v>1601121839940.4277</v>
          </cell>
        </row>
        <row r="160">
          <cell r="V160">
            <v>1796126584.3183739</v>
          </cell>
          <cell r="W160">
            <v>27954966.924362116</v>
          </cell>
          <cell r="X160">
            <v>27954966.924362116</v>
          </cell>
          <cell r="AA160">
            <v>740270191008.57666</v>
          </cell>
          <cell r="AB160">
            <v>740270191008.57666</v>
          </cell>
          <cell r="AC160">
            <v>573279915801.97778</v>
          </cell>
          <cell r="AM160">
            <v>11869.742879106872</v>
          </cell>
          <cell r="AP160">
            <v>11293971721.247644</v>
          </cell>
          <cell r="AQ160">
            <v>2328118813.2802114</v>
          </cell>
          <cell r="AR160">
            <v>2328118813.2802114</v>
          </cell>
          <cell r="AU160">
            <v>4654789187091.8896</v>
          </cell>
          <cell r="AV160">
            <v>4654789187091.8896</v>
          </cell>
          <cell r="AX160">
            <v>1665072081484.6597</v>
          </cell>
        </row>
        <row r="161">
          <cell r="V161">
            <v>1821175578.5396094</v>
          </cell>
          <cell r="W161">
            <v>28364080.188274294</v>
          </cell>
          <cell r="X161">
            <v>28364080.188274294</v>
          </cell>
          <cell r="AA161">
            <v>752659356661.48547</v>
          </cell>
          <cell r="AB161">
            <v>752659356661.48547</v>
          </cell>
          <cell r="AC161">
            <v>583502284323.18188</v>
          </cell>
          <cell r="AM161">
            <v>11890</v>
          </cell>
          <cell r="AP161">
            <v>11606063742.679375</v>
          </cell>
          <cell r="AQ161">
            <v>2374126003.2231631</v>
          </cell>
          <cell r="AR161">
            <v>2374126003.2231631</v>
          </cell>
          <cell r="AU161">
            <v>4796578964089.8486</v>
          </cell>
          <cell r="AV161">
            <v>4796578964089.8486</v>
          </cell>
          <cell r="AX161">
            <v>1714033848555.0706</v>
          </cell>
        </row>
        <row r="162">
          <cell r="V162">
            <v>1839506648.4941289</v>
          </cell>
          <cell r="W162">
            <v>28644470.326673847</v>
          </cell>
          <cell r="X162">
            <v>28644470.326673847</v>
          </cell>
          <cell r="AA162">
            <v>761670583332.38367</v>
          </cell>
          <cell r="AB162">
            <v>761670583332.38367</v>
          </cell>
          <cell r="AC162">
            <v>591057917240.83838</v>
          </cell>
          <cell r="AM162">
            <v>11890</v>
          </cell>
          <cell r="AP162">
            <v>11815331850.965698</v>
          </cell>
          <cell r="AQ162">
            <v>2404338876.4714479</v>
          </cell>
          <cell r="AR162">
            <v>2404338876.4714479</v>
          </cell>
          <cell r="AU162">
            <v>4892284956163.5918</v>
          </cell>
          <cell r="AV162">
            <v>4892284956163.5918</v>
          </cell>
          <cell r="AX162">
            <v>1746321324699.6655</v>
          </cell>
        </row>
        <row r="163">
          <cell r="V163">
            <v>1854166991.4042101</v>
          </cell>
          <cell r="W163">
            <v>28867630.125986993</v>
          </cell>
          <cell r="X163">
            <v>28867630.125986993</v>
          </cell>
          <cell r="AA163">
            <v>769187642266.48926</v>
          </cell>
          <cell r="AB163">
            <v>769187642266.48926</v>
          </cell>
          <cell r="AC163">
            <v>597473667753.93555</v>
          </cell>
          <cell r="AM163">
            <v>11890</v>
          </cell>
          <cell r="AP163">
            <v>11967581051.286158</v>
          </cell>
          <cell r="AQ163">
            <v>2427031663.0572009</v>
          </cell>
          <cell r="AR163">
            <v>2427031663.0572009</v>
          </cell>
          <cell r="AU163">
            <v>4964663644184.7559</v>
          </cell>
          <cell r="AV163">
            <v>4964663644184.7559</v>
          </cell>
          <cell r="AX163">
            <v>1771878099546.2144</v>
          </cell>
        </row>
        <row r="164">
          <cell r="V164">
            <v>1863809463.7008319</v>
          </cell>
          <cell r="W164">
            <v>29012620.373108894</v>
          </cell>
          <cell r="X164">
            <v>29012620.373108894</v>
          </cell>
          <cell r="AA164">
            <v>774642037104.30957</v>
          </cell>
          <cell r="AB164">
            <v>774642037104.30957</v>
          </cell>
          <cell r="AC164">
            <v>602255927160.04272</v>
          </cell>
          <cell r="AM164">
            <v>11890</v>
          </cell>
          <cell r="AP164">
            <v>12040862487.405966</v>
          </cell>
          <cell r="AQ164">
            <v>2441940907.8318496</v>
          </cell>
          <cell r="AR164">
            <v>2441940907.8318496</v>
          </cell>
          <cell r="AU164">
            <v>5004459107754.6943</v>
          </cell>
          <cell r="AV164">
            <v>5004459107754.6943</v>
          </cell>
          <cell r="AX164">
            <v>1786005453529.3145</v>
          </cell>
        </row>
        <row r="165">
          <cell r="V165">
            <v>1870823059.9075089</v>
          </cell>
          <cell r="W165">
            <v>29116663.987849217</v>
          </cell>
          <cell r="X165">
            <v>29116663.987849217</v>
          </cell>
          <cell r="AA165">
            <v>779016806965.21655</v>
          </cell>
          <cell r="AB165">
            <v>779016806965.21655</v>
          </cell>
          <cell r="AC165">
            <v>606178909908.03076</v>
          </cell>
          <cell r="AM165">
            <v>11890</v>
          </cell>
          <cell r="AP165">
            <v>12072554974.214993</v>
          </cell>
          <cell r="AQ165">
            <v>2452964766.3854856</v>
          </cell>
          <cell r="AR165">
            <v>2452964766.3854856</v>
          </cell>
          <cell r="AU165">
            <v>5027051157039.9189</v>
          </cell>
          <cell r="AV165">
            <v>5027051157039.9189</v>
          </cell>
          <cell r="AX165">
            <v>1793939975190.2644</v>
          </cell>
        </row>
        <row r="166">
          <cell r="V166">
            <v>1877845842.9917197</v>
          </cell>
          <cell r="W166">
            <v>29220833.152717602</v>
          </cell>
          <cell r="X166">
            <v>29220833.152717602</v>
          </cell>
          <cell r="AA166">
            <v>783406354520.15833</v>
          </cell>
          <cell r="AB166">
            <v>783406354520.15833</v>
          </cell>
          <cell r="AC166">
            <v>610118584423.25635</v>
          </cell>
          <cell r="AM166">
            <v>11890</v>
          </cell>
          <cell r="AP166">
            <v>12104289215.514261</v>
          </cell>
          <cell r="AQ166">
            <v>2464021257.7983932</v>
          </cell>
          <cell r="AR166">
            <v>2464021257.7983932</v>
          </cell>
          <cell r="AU166">
            <v>5049710083377.4385</v>
          </cell>
          <cell r="AV166">
            <v>5049710083377.4385</v>
          </cell>
          <cell r="AX166">
            <v>1801891451964.8594</v>
          </cell>
        </row>
      </sheetData>
      <sheetData sheetId="16">
        <row r="7">
          <cell r="M7">
            <v>60</v>
          </cell>
          <cell r="V7">
            <v>25391.09184811241</v>
          </cell>
          <cell r="W7">
            <v>1904.3318886084305</v>
          </cell>
          <cell r="X7">
            <v>1904.3318886084305</v>
          </cell>
          <cell r="AA7">
            <v>1502936.0238731434</v>
          </cell>
          <cell r="AB7">
            <v>1502936.0238731434</v>
          </cell>
          <cell r="AC7">
            <v>2998173.8332368759</v>
          </cell>
          <cell r="AM7">
            <v>1000</v>
          </cell>
          <cell r="AP7">
            <v>18723.681814557141</v>
          </cell>
          <cell r="AQ7">
            <v>5024.0910391711659</v>
          </cell>
          <cell r="AR7">
            <v>5024.0910391711659</v>
          </cell>
          <cell r="AU7">
            <v>1108282.2301211271</v>
          </cell>
          <cell r="AV7">
            <v>1108282.2301211271</v>
          </cell>
          <cell r="AX7">
            <v>1995727.0854589012</v>
          </cell>
        </row>
        <row r="8">
          <cell r="V8">
            <v>33648.984829154339</v>
          </cell>
          <cell r="W8">
            <v>2393.7800999693</v>
          </cell>
          <cell r="X8">
            <v>2393.7800999693</v>
          </cell>
          <cell r="AA8">
            <v>2069167.3625581544</v>
          </cell>
          <cell r="AB8">
            <v>2069167.3625581544</v>
          </cell>
          <cell r="AC8">
            <v>4111310.724731727</v>
          </cell>
          <cell r="AM8">
            <v>1137.44330976574</v>
          </cell>
          <cell r="AP8">
            <v>26616.386789438897</v>
          </cell>
          <cell r="AQ8">
            <v>7231.4917995896521</v>
          </cell>
          <cell r="AR8">
            <v>7231.4917995896521</v>
          </cell>
          <cell r="AU8">
            <v>1636713.830552584</v>
          </cell>
          <cell r="AV8">
            <v>1636713.830552584</v>
          </cell>
          <cell r="AX8">
            <v>2945490.9605606357</v>
          </cell>
        </row>
        <row r="9">
          <cell r="V9">
            <v>43016.636381181503</v>
          </cell>
          <cell r="W9">
            <v>2923.7120745246812</v>
          </cell>
          <cell r="X9">
            <v>2923.7120745246812</v>
          </cell>
          <cell r="AA9">
            <v>2761890.2438903721</v>
          </cell>
          <cell r="AB9">
            <v>2761890.2438903721</v>
          </cell>
          <cell r="AC9">
            <v>5426877.4368589045</v>
          </cell>
          <cell r="AM9">
            <v>1274.8866195314799</v>
          </cell>
          <cell r="AP9">
            <v>36231.162945695549</v>
          </cell>
          <cell r="AQ9">
            <v>9957.0107473124863</v>
          </cell>
          <cell r="AR9">
            <v>9957.0107473124863</v>
          </cell>
          <cell r="AU9">
            <v>2326227.8012116961</v>
          </cell>
          <cell r="AV9">
            <v>2326227.8012116961</v>
          </cell>
          <cell r="AX9">
            <v>4153566.5379248373</v>
          </cell>
        </row>
        <row r="10">
          <cell r="V10">
            <v>54033.286991405985</v>
          </cell>
          <cell r="W10">
            <v>3529.0837524288872</v>
          </cell>
          <cell r="X10">
            <v>3529.0837524288872</v>
          </cell>
          <cell r="AA10">
            <v>3614474.3135078303</v>
          </cell>
          <cell r="AB10">
            <v>3614474.3135078303</v>
          </cell>
          <cell r="AC10">
            <v>7024952.7536826786</v>
          </cell>
          <cell r="AM10">
            <v>1412.3299292972199</v>
          </cell>
          <cell r="AP10">
            <v>48184.636162248018</v>
          </cell>
          <cell r="AQ10">
            <v>13382.321513670937</v>
          </cell>
          <cell r="AR10">
            <v>13382.321513670937</v>
          </cell>
          <cell r="AU10">
            <v>3223237.7375425361</v>
          </cell>
          <cell r="AV10">
            <v>3223237.7375425361</v>
          </cell>
          <cell r="AX10">
            <v>5710865.9836901482</v>
          </cell>
        </row>
        <row r="11">
          <cell r="V11">
            <v>66871.010505363389</v>
          </cell>
          <cell r="W11">
            <v>4216.9181522143526</v>
          </cell>
          <cell r="X11">
            <v>4216.9181522143526</v>
          </cell>
          <cell r="AA11">
            <v>4651411.2218975332</v>
          </cell>
          <cell r="AB11">
            <v>4651411.2218975332</v>
          </cell>
          <cell r="AC11">
            <v>8943969.9711638037</v>
          </cell>
          <cell r="AM11">
            <v>1549.7732390629599</v>
          </cell>
          <cell r="AP11">
            <v>62852.104105929124</v>
          </cell>
          <cell r="AQ11">
            <v>17626.73779396242</v>
          </cell>
          <cell r="AR11">
            <v>17626.73779396242</v>
          </cell>
          <cell r="AU11">
            <v>4371864.2824268779</v>
          </cell>
          <cell r="AV11">
            <v>4371864.2824268779</v>
          </cell>
          <cell r="AX11">
            <v>7687271.3775407383</v>
          </cell>
        </row>
        <row r="12">
          <cell r="V12">
            <v>81713.103135736004</v>
          </cell>
          <cell r="W12">
            <v>4994.6677753195145</v>
          </cell>
          <cell r="X12">
            <v>4994.6677753195145</v>
          </cell>
          <cell r="AA12">
            <v>5899599.6845007995</v>
          </cell>
          <cell r="AB12">
            <v>5899599.6845007995</v>
          </cell>
          <cell r="AC12">
            <v>11225486.894782901</v>
          </cell>
          <cell r="AM12">
            <v>1687.2165488286998</v>
          </cell>
          <cell r="AP12">
            <v>80648.928190833001</v>
          </cell>
          <cell r="AQ12">
            <v>22822.92137785472</v>
          </cell>
          <cell r="AR12">
            <v>22822.92137785472</v>
          </cell>
          <cell r="AU12">
            <v>5822767.3781964546</v>
          </cell>
          <cell r="AV12">
            <v>5822767.3781964546</v>
          </cell>
          <cell r="AX12">
            <v>10162128.033925965</v>
          </cell>
        </row>
        <row r="13">
          <cell r="V13">
            <v>98754.533403629757</v>
          </cell>
          <cell r="W13">
            <v>5870.2311880404059</v>
          </cell>
          <cell r="X13">
            <v>5870.2311880404059</v>
          </cell>
          <cell r="AA13">
            <v>7388490.9694324844</v>
          </cell>
          <cell r="AB13">
            <v>7388490.9694324844</v>
          </cell>
          <cell r="AC13">
            <v>13914331.275776707</v>
          </cell>
          <cell r="AM13">
            <v>1824.6598585944398</v>
          </cell>
          <cell r="AP13">
            <v>102033.34238563596</v>
          </cell>
          <cell r="AQ13">
            <v>29117.848508673931</v>
          </cell>
          <cell r="AR13">
            <v>29117.848508673931</v>
          </cell>
          <cell r="AU13">
            <v>7633800.7260492519</v>
          </cell>
          <cell r="AV13">
            <v>7633800.7260492519</v>
          </cell>
          <cell r="AX13">
            <v>13225073.669331942</v>
          </cell>
        </row>
        <row r="14">
          <cell r="V14">
            <v>117436.44043744223</v>
          </cell>
          <cell r="W14">
            <v>6807.5686104673932</v>
          </cell>
          <cell r="X14">
            <v>6807.5686104673932</v>
          </cell>
          <cell r="AA14">
            <v>9120543.8871048689</v>
          </cell>
          <cell r="AB14">
            <v>9120543.8871048689</v>
          </cell>
          <cell r="AC14">
            <v>16948207.686608355</v>
          </cell>
          <cell r="AM14">
            <v>1962.1031683601798</v>
          </cell>
          <cell r="AP14">
            <v>126683.11408877699</v>
          </cell>
          <cell r="AQ14">
            <v>36436.170271537907</v>
          </cell>
          <cell r="AR14">
            <v>36436.170271537907</v>
          </cell>
          <cell r="AU14">
            <v>9838674.4139889814</v>
          </cell>
          <cell r="AV14">
            <v>9838674.4139889814</v>
          </cell>
          <cell r="AX14">
            <v>16866899.397021271</v>
          </cell>
        </row>
        <row r="15">
          <cell r="V15">
            <v>138156.58113484422</v>
          </cell>
          <cell r="W15">
            <v>7828.6062932559271</v>
          </cell>
          <cell r="X15">
            <v>7828.6062932559271</v>
          </cell>
          <cell r="AA15">
            <v>11134757.880660478</v>
          </cell>
          <cell r="AB15">
            <v>11134757.880660478</v>
          </cell>
          <cell r="AC15">
            <v>20397586.791457649</v>
          </cell>
          <cell r="AM15">
            <v>2099.5464781259197</v>
          </cell>
          <cell r="AP15">
            <v>155247.8872437402</v>
          </cell>
          <cell r="AQ15">
            <v>44979.365227240065</v>
          </cell>
          <cell r="AR15">
            <v>44979.365227240065</v>
          </cell>
          <cell r="AU15">
            <v>12512235.188100979</v>
          </cell>
          <cell r="AV15">
            <v>12512235.188100979</v>
          </cell>
          <cell r="AX15">
            <v>21205161.282319333</v>
          </cell>
        </row>
        <row r="16">
          <cell r="V16">
            <v>161305.20011366156</v>
          </cell>
          <cell r="W16">
            <v>8953.1417363884466</v>
          </cell>
          <cell r="X16">
            <v>8953.1417363884466</v>
          </cell>
          <cell r="AA16">
            <v>13473298.750030888</v>
          </cell>
          <cell r="AB16">
            <v>13473298.750030888</v>
          </cell>
          <cell r="AC16">
            <v>24336287.708666593</v>
          </cell>
          <cell r="AM16">
            <v>2236.9897878916599</v>
          </cell>
          <cell r="AP16">
            <v>188439.14275362642</v>
          </cell>
          <cell r="AQ16">
            <v>54970.610102925384</v>
          </cell>
          <cell r="AR16">
            <v>54970.610102925384</v>
          </cell>
          <cell r="AU16">
            <v>15739708.730594719</v>
          </cell>
          <cell r="AV16">
            <v>15739708.730594719</v>
          </cell>
          <cell r="AX16">
            <v>26373521.124093451</v>
          </cell>
        </row>
        <row r="17">
          <cell r="V17">
            <v>190789.41629408023</v>
          </cell>
          <cell r="W17">
            <v>10391.282384645845</v>
          </cell>
          <cell r="X17">
            <v>10391.282384645845</v>
          </cell>
          <cell r="AA17">
            <v>16495326.888478555</v>
          </cell>
          <cell r="AB17">
            <v>16495326.888478555</v>
          </cell>
          <cell r="AC17">
            <v>28975657.028511539</v>
          </cell>
          <cell r="AM17">
            <v>2374.4330976574001</v>
          </cell>
          <cell r="AP17">
            <v>226166.33703104113</v>
          </cell>
          <cell r="AQ17">
            <v>66401.229183002448</v>
          </cell>
          <cell r="AR17">
            <v>66401.229183002448</v>
          </cell>
          <cell r="AU17">
            <v>19553954.998983819</v>
          </cell>
          <cell r="AV17">
            <v>19553954.998983819</v>
          </cell>
          <cell r="AX17">
            <v>32566551.614636008</v>
          </cell>
        </row>
        <row r="18">
          <cell r="V18">
            <v>223274.58230987479</v>
          </cell>
          <cell r="W18">
            <v>11639.483635809956</v>
          </cell>
          <cell r="X18">
            <v>11639.483635809956</v>
          </cell>
          <cell r="AA18">
            <v>19536274.317342963</v>
          </cell>
          <cell r="AB18">
            <v>19536274.317342963</v>
          </cell>
          <cell r="AC18">
            <v>33401718.356520854</v>
          </cell>
          <cell r="AM18">
            <v>2459.5232951964472</v>
          </cell>
          <cell r="AP18">
            <v>258618.93710996091</v>
          </cell>
          <cell r="AQ18">
            <v>75270.956833758697</v>
          </cell>
          <cell r="AR18">
            <v>75270.956833758697</v>
          </cell>
          <cell r="AU18">
            <v>22628865.528579284</v>
          </cell>
          <cell r="AV18">
            <v>22628865.528579284</v>
          </cell>
          <cell r="AX18">
            <v>37418573.262312472</v>
          </cell>
        </row>
        <row r="19">
          <cell r="V19">
            <v>260938.94930556527</v>
          </cell>
          <cell r="W19">
            <v>13056.619565746807</v>
          </cell>
          <cell r="X19">
            <v>13056.619565746807</v>
          </cell>
          <cell r="AA19">
            <v>23103373.384224769</v>
          </cell>
          <cell r="AB19">
            <v>23103373.384224769</v>
          </cell>
          <cell r="AC19">
            <v>38490580.265070602</v>
          </cell>
          <cell r="AM19">
            <v>2545.537901279793</v>
          </cell>
          <cell r="AP19">
            <v>296537.40788627166</v>
          </cell>
          <cell r="AQ19">
            <v>85563.428576314385</v>
          </cell>
          <cell r="AR19">
            <v>85563.428576314385</v>
          </cell>
          <cell r="AU19">
            <v>26255238.917069461</v>
          </cell>
          <cell r="AV19">
            <v>26255238.917069461</v>
          </cell>
          <cell r="AX19">
            <v>43086857.670270488</v>
          </cell>
        </row>
        <row r="20">
          <cell r="V20">
            <v>300996.06819197873</v>
          </cell>
          <cell r="W20">
            <v>14492.421482184222</v>
          </cell>
          <cell r="X20">
            <v>14492.421482184222</v>
          </cell>
          <cell r="AA20">
            <v>26963122.854910187</v>
          </cell>
          <cell r="AB20">
            <v>26963122.854910187</v>
          </cell>
          <cell r="AC20">
            <v>43813094.834088847</v>
          </cell>
          <cell r="AM20">
            <v>2622.5291242595772</v>
          </cell>
          <cell r="AP20">
            <v>334565.81844081811</v>
          </cell>
          <cell r="AQ20">
            <v>95869.809946313413</v>
          </cell>
          <cell r="AR20">
            <v>95869.809946313413</v>
          </cell>
          <cell r="AU20">
            <v>29970289.379061583</v>
          </cell>
          <cell r="AV20">
            <v>29970289.379061583</v>
          </cell>
          <cell r="AX20">
            <v>48800352.665336445</v>
          </cell>
        </row>
        <row r="21">
          <cell r="V21">
            <v>345507.59679001465</v>
          </cell>
          <cell r="W21">
            <v>16043.83914643796</v>
          </cell>
          <cell r="X21">
            <v>16043.83914643796</v>
          </cell>
          <cell r="AA21">
            <v>31309856.859304026</v>
          </cell>
          <cell r="AB21">
            <v>31309856.859304026</v>
          </cell>
          <cell r="AC21">
            <v>49660397.102038264</v>
          </cell>
          <cell r="AM21">
            <v>2702.4897159472612</v>
          </cell>
          <cell r="AP21">
            <v>377074.87438817258</v>
          </cell>
          <cell r="AQ21">
            <v>107319.89510771286</v>
          </cell>
          <cell r="AR21">
            <v>107319.89510771286</v>
          </cell>
          <cell r="AU21">
            <v>34170479.757957473</v>
          </cell>
          <cell r="AV21">
            <v>34170479.757957473</v>
          </cell>
          <cell r="AX21">
            <v>55198446.188831173</v>
          </cell>
        </row>
        <row r="22">
          <cell r="V22">
            <v>394434.52525948704</v>
          </cell>
          <cell r="W22">
            <v>17700.472276140044</v>
          </cell>
          <cell r="X22">
            <v>17700.472276140044</v>
          </cell>
          <cell r="AA22">
            <v>36153899.339632854</v>
          </cell>
          <cell r="AB22">
            <v>36153899.339632854</v>
          </cell>
          <cell r="AC22">
            <v>56011912.951036841</v>
          </cell>
          <cell r="AM22">
            <v>2778.3269964511292</v>
          </cell>
          <cell r="AP22">
            <v>422878.86178174644</v>
          </cell>
          <cell r="AQ22">
            <v>119544.47693295238</v>
          </cell>
          <cell r="AR22">
            <v>119544.47693295238</v>
          </cell>
          <cell r="AU22">
            <v>38761109.443088867</v>
          </cell>
          <cell r="AV22">
            <v>38761109.443088867</v>
          </cell>
          <cell r="AX22">
            <v>62113075.670078084</v>
          </cell>
        </row>
        <row r="23">
          <cell r="V23">
            <v>448125.1220506184</v>
          </cell>
          <cell r="W23">
            <v>19737.799533456528</v>
          </cell>
          <cell r="X23">
            <v>19737.799533456528</v>
          </cell>
          <cell r="AA23">
            <v>42111728.471712187</v>
          </cell>
          <cell r="AB23">
            <v>42111728.471712187</v>
          </cell>
          <cell r="AC23">
            <v>63767058.184092745</v>
          </cell>
          <cell r="AM23">
            <v>2851.5846584296787</v>
          </cell>
          <cell r="AP23">
            <v>472438.13734884519</v>
          </cell>
          <cell r="AQ23">
            <v>134477.95698781495</v>
          </cell>
          <cell r="AR23">
            <v>134477.95698781495</v>
          </cell>
          <cell r="AU23">
            <v>44396499.059628174</v>
          </cell>
          <cell r="AV23">
            <v>44396499.059628174</v>
          </cell>
          <cell r="AX23">
            <v>70571743.46172446</v>
          </cell>
        </row>
        <row r="24">
          <cell r="V24">
            <v>507506.10469915438</v>
          </cell>
          <cell r="W24">
            <v>21742.437336236413</v>
          </cell>
          <cell r="X24">
            <v>21742.437336236413</v>
          </cell>
          <cell r="AA24">
            <v>48367653.059482679</v>
          </cell>
          <cell r="AB24">
            <v>48367653.059482679</v>
          </cell>
          <cell r="AC24">
            <v>71625408.440070823</v>
          </cell>
          <cell r="AM24">
            <v>2928.9090226438066</v>
          </cell>
          <cell r="AP24">
            <v>528417.71056262637</v>
          </cell>
          <cell r="AQ24">
            <v>149732.3464234109</v>
          </cell>
          <cell r="AR24">
            <v>149732.3464234109</v>
          </cell>
          <cell r="AU24">
            <v>50360624.74584423</v>
          </cell>
          <cell r="AV24">
            <v>50360624.74584423</v>
          </cell>
          <cell r="AX24">
            <v>79408115.211158633</v>
          </cell>
        </row>
        <row r="25">
          <cell r="V25">
            <v>572203.26302478276</v>
          </cell>
          <cell r="W25">
            <v>23879.63814959523</v>
          </cell>
          <cell r="X25">
            <v>23879.63814959523</v>
          </cell>
          <cell r="AA25">
            <v>55295421.555035442</v>
          </cell>
          <cell r="AB25">
            <v>55295421.555035442</v>
          </cell>
          <cell r="AC25">
            <v>80122097.409014925</v>
          </cell>
          <cell r="AM25">
            <v>3001.5787914321945</v>
          </cell>
          <cell r="AP25">
            <v>588289.45663742989</v>
          </cell>
          <cell r="AQ25">
            <v>165817.02384930977</v>
          </cell>
          <cell r="AR25">
            <v>165817.02384930977</v>
          </cell>
          <cell r="AU25">
            <v>56849926.596347518</v>
          </cell>
          <cell r="AV25">
            <v>56849926.596347518</v>
          </cell>
          <cell r="AX25">
            <v>88981675.343256429</v>
          </cell>
        </row>
        <row r="26">
          <cell r="V26">
            <v>639749.59692151274</v>
          </cell>
          <cell r="W26">
            <v>26031.768507298511</v>
          </cell>
          <cell r="X26">
            <v>26031.768507298511</v>
          </cell>
          <cell r="AA26">
            <v>62671989.71557726</v>
          </cell>
          <cell r="AB26">
            <v>62671989.71557726</v>
          </cell>
          <cell r="AC26">
            <v>89154256.931720048</v>
          </cell>
          <cell r="AM26">
            <v>3072.1544339079664</v>
          </cell>
          <cell r="AP26">
            <v>650611.45780148788</v>
          </cell>
          <cell r="AQ26">
            <v>182396.42090396711</v>
          </cell>
          <cell r="AR26">
            <v>182396.42090396711</v>
          </cell>
          <cell r="AU26">
            <v>63736053.58781343</v>
          </cell>
          <cell r="AV26">
            <v>63736053.58781343</v>
          </cell>
          <cell r="AX26">
            <v>99186284.080851108</v>
          </cell>
        </row>
        <row r="27">
          <cell r="V27">
            <v>717291.92758948833</v>
          </cell>
          <cell r="W27">
            <v>28099.197195762696</v>
          </cell>
          <cell r="X27">
            <v>28099.197195762696</v>
          </cell>
          <cell r="AA27">
            <v>71406051.994905099</v>
          </cell>
          <cell r="AB27">
            <v>71406051.994905099</v>
          </cell>
          <cell r="AC27">
            <v>101020788.98855758</v>
          </cell>
          <cell r="AM27">
            <v>3143.0803528855713</v>
          </cell>
          <cell r="AP27">
            <v>718009.9365132784</v>
          </cell>
          <cell r="AQ27">
            <v>200726.66113510926</v>
          </cell>
          <cell r="AR27">
            <v>200726.66113510926</v>
          </cell>
          <cell r="AU27">
            <v>71477529.423512504</v>
          </cell>
          <cell r="AV27">
            <v>71477529.423512504</v>
          </cell>
          <cell r="AX27">
            <v>110751984.65520832</v>
          </cell>
        </row>
        <row r="28">
          <cell r="V28">
            <v>800110.19218561915</v>
          </cell>
          <cell r="W28">
            <v>30251.416158085558</v>
          </cell>
          <cell r="X28">
            <v>30251.416158085558</v>
          </cell>
          <cell r="AA28">
            <v>80919635.406044856</v>
          </cell>
          <cell r="AB28">
            <v>80919635.406044856</v>
          </cell>
          <cell r="AC28">
            <v>113854616.89389926</v>
          </cell>
          <cell r="AM28">
            <v>3215.6122636792888</v>
          </cell>
          <cell r="AP28">
            <v>789212.8309268459</v>
          </cell>
          <cell r="AQ28">
            <v>220357.50833918274</v>
          </cell>
          <cell r="AR28">
            <v>220357.50833918274</v>
          </cell>
          <cell r="AU28">
            <v>79817524.086178914</v>
          </cell>
          <cell r="AV28">
            <v>79817524.086178914</v>
          </cell>
          <cell r="AX28">
            <v>123141539.6723524</v>
          </cell>
        </row>
        <row r="29">
          <cell r="V29">
            <v>887858.11523291422</v>
          </cell>
          <cell r="W29">
            <v>32472.593135608189</v>
          </cell>
          <cell r="X29">
            <v>32472.593135608189</v>
          </cell>
          <cell r="AA29">
            <v>91202294.335419983</v>
          </cell>
          <cell r="AB29">
            <v>91202294.335419983</v>
          </cell>
          <cell r="AC29">
            <v>127625269.23281749</v>
          </cell>
          <cell r="AM29">
            <v>3282.9718771762273</v>
          </cell>
          <cell r="AP29">
            <v>862486.48133942508</v>
          </cell>
          <cell r="AQ29">
            <v>240677.26107477085</v>
          </cell>
          <cell r="AR29">
            <v>240677.26107477085</v>
          </cell>
          <cell r="AU29">
            <v>88596076.987823293</v>
          </cell>
          <cell r="AV29">
            <v>88596076.987823293</v>
          </cell>
          <cell r="AX29">
            <v>136098510.04571965</v>
          </cell>
        </row>
        <row r="30">
          <cell r="V30">
            <v>981940.63023683487</v>
          </cell>
          <cell r="W30">
            <v>34809.924236835017</v>
          </cell>
          <cell r="X30">
            <v>34809.924236835017</v>
          </cell>
          <cell r="AA30">
            <v>102420453.55876634</v>
          </cell>
          <cell r="AB30">
            <v>102420453.55876634</v>
          </cell>
          <cell r="AC30">
            <v>142549533.06223714</v>
          </cell>
          <cell r="AM30">
            <v>3354.3744575465457</v>
          </cell>
          <cell r="AP30">
            <v>942663.71850886429</v>
          </cell>
          <cell r="AQ30">
            <v>262858.60044425924</v>
          </cell>
          <cell r="AR30">
            <v>262858.60044425924</v>
          </cell>
          <cell r="AU30">
            <v>98323709.835476145</v>
          </cell>
          <cell r="AV30">
            <v>98323709.835476145</v>
          </cell>
          <cell r="AX30">
            <v>150396872.67932287</v>
          </cell>
        </row>
        <row r="31">
          <cell r="V31">
            <v>1085091.9166685406</v>
          </cell>
          <cell r="W31">
            <v>37352.467997632855</v>
          </cell>
          <cell r="X31">
            <v>37352.467997632855</v>
          </cell>
          <cell r="AA31">
            <v>114713545.03778675</v>
          </cell>
          <cell r="AB31">
            <v>114713545.03778675</v>
          </cell>
          <cell r="AC31">
            <v>159052402.85585684</v>
          </cell>
          <cell r="AM31">
            <v>3422.2159685304628</v>
          </cell>
          <cell r="AP31">
            <v>1030003.7091612774</v>
          </cell>
          <cell r="AQ31">
            <v>286966.27258818084</v>
          </cell>
          <cell r="AR31">
            <v>286966.27258818084</v>
          </cell>
          <cell r="AU31">
            <v>108889740.18230762</v>
          </cell>
          <cell r="AV31">
            <v>108889740.18230762</v>
          </cell>
          <cell r="AX31">
            <v>166112604.61231065</v>
          </cell>
        </row>
        <row r="32">
          <cell r="V32">
            <v>1196661.8788521402</v>
          </cell>
          <cell r="W32">
            <v>40066.703614702841</v>
          </cell>
          <cell r="X32">
            <v>40066.703614702841</v>
          </cell>
          <cell r="AA32">
            <v>128111777.84584233</v>
          </cell>
          <cell r="AB32">
            <v>128111777.84584233</v>
          </cell>
          <cell r="AC32">
            <v>177073839.48325172</v>
          </cell>
          <cell r="AM32">
            <v>3490.6693001307258</v>
          </cell>
          <cell r="AP32">
            <v>1125231.709760569</v>
          </cell>
          <cell r="AQ32">
            <v>313194.73103278712</v>
          </cell>
          <cell r="AR32">
            <v>313194.73103278712</v>
          </cell>
          <cell r="AU32">
            <v>120464633.63921966</v>
          </cell>
          <cell r="AV32">
            <v>120464633.63921966</v>
          </cell>
          <cell r="AX32">
            <v>183399817.21987772</v>
          </cell>
        </row>
        <row r="33">
          <cell r="V33">
            <v>1315367.4157034652</v>
          </cell>
          <cell r="W33">
            <v>42902.129079474602</v>
          </cell>
          <cell r="X33">
            <v>42902.129079474602</v>
          </cell>
          <cell r="AA33">
            <v>142574540.20535615</v>
          </cell>
          <cell r="AB33">
            <v>142574540.20535615</v>
          </cell>
          <cell r="AC33">
            <v>196452756.26873517</v>
          </cell>
          <cell r="AM33">
            <v>3557.472326623385</v>
          </cell>
          <cell r="AP33">
            <v>1225958.8248230992</v>
          </cell>
          <cell r="AQ33">
            <v>340959.94273124146</v>
          </cell>
          <cell r="AR33">
            <v>340959.94273124146</v>
          </cell>
          <cell r="AU33">
            <v>132883416.20228843</v>
          </cell>
          <cell r="AV33">
            <v>132883416.20228843</v>
          </cell>
          <cell r="AX33">
            <v>201901773.041152</v>
          </cell>
        </row>
        <row r="34">
          <cell r="V34">
            <v>1458285.6442809321</v>
          </cell>
          <cell r="W34">
            <v>46399.901481865425</v>
          </cell>
          <cell r="X34">
            <v>46399.901481865425</v>
          </cell>
          <cell r="AA34">
            <v>160082396.4158777</v>
          </cell>
          <cell r="AB34">
            <v>160082396.4158777</v>
          </cell>
          <cell r="AC34">
            <v>218526448.60753396</v>
          </cell>
          <cell r="AM34">
            <v>3623.3320028260919</v>
          </cell>
          <cell r="AP34">
            <v>1340315.9432865081</v>
          </cell>
          <cell r="AQ34">
            <v>372678.7759332764</v>
          </cell>
          <cell r="AR34">
            <v>372678.7759332764</v>
          </cell>
          <cell r="AU34">
            <v>147132346.11968631</v>
          </cell>
          <cell r="AV34">
            <v>147132346.11968631</v>
          </cell>
          <cell r="AX34">
            <v>222747068.538389</v>
          </cell>
        </row>
        <row r="35">
          <cell r="V35">
            <v>1675375.7117592709</v>
          </cell>
          <cell r="W35">
            <v>52058.165665322362</v>
          </cell>
          <cell r="X35">
            <v>52058.165665322362</v>
          </cell>
          <cell r="AA35">
            <v>186448859.37368292</v>
          </cell>
          <cell r="AB35">
            <v>186448859.37368292</v>
          </cell>
          <cell r="AC35">
            <v>246995446.08811146</v>
          </cell>
          <cell r="AM35">
            <v>3692.2544796364009</v>
          </cell>
          <cell r="AP35">
            <v>1491168.2246924641</v>
          </cell>
          <cell r="AQ35">
            <v>414991.54999142431</v>
          </cell>
          <cell r="AR35">
            <v>414991.54999142431</v>
          </cell>
          <cell r="AU35">
            <v>165948815.34735915</v>
          </cell>
          <cell r="AV35">
            <v>165948815.34735915</v>
          </cell>
          <cell r="AX35">
            <v>249154289.92774564</v>
          </cell>
        </row>
        <row r="36">
          <cell r="V36">
            <v>1916030.7818255282</v>
          </cell>
          <cell r="W36">
            <v>58196.876526812615</v>
          </cell>
          <cell r="X36">
            <v>58196.876526812615</v>
          </cell>
          <cell r="AA36">
            <v>216053318.36495933</v>
          </cell>
          <cell r="AB36">
            <v>216053318.36495933</v>
          </cell>
          <cell r="AC36">
            <v>278009032.05150151</v>
          </cell>
          <cell r="AM36">
            <v>3759.0075277664141</v>
          </cell>
          <cell r="AP36">
            <v>1653770.7182043917</v>
          </cell>
          <cell r="AQ36">
            <v>460448.56235593127</v>
          </cell>
          <cell r="AR36">
            <v>460448.56235593127</v>
          </cell>
          <cell r="AU36">
            <v>186480642.62435031</v>
          </cell>
          <cell r="AV36">
            <v>186480642.62435031</v>
          </cell>
          <cell r="AX36">
            <v>277722343.88438439</v>
          </cell>
        </row>
        <row r="37">
          <cell r="V37">
            <v>2222196.6568027651</v>
          </cell>
          <cell r="W37">
            <v>65545.146519285758</v>
          </cell>
          <cell r="X37">
            <v>65545.146519285758</v>
          </cell>
          <cell r="AA37">
            <v>254643031.52957577</v>
          </cell>
          <cell r="AB37">
            <v>254643031.52957577</v>
          </cell>
          <cell r="AC37">
            <v>318560408.27365005</v>
          </cell>
          <cell r="AM37">
            <v>3826.4669534623122</v>
          </cell>
          <cell r="AP37">
            <v>1840525.5426269763</v>
          </cell>
          <cell r="AQ37">
            <v>514237.86724385177</v>
          </cell>
          <cell r="AR37">
            <v>514237.86724385177</v>
          </cell>
          <cell r="AU37">
            <v>210907078.06953055</v>
          </cell>
          <cell r="AV37">
            <v>210907078.06953055</v>
          </cell>
          <cell r="AX37">
            <v>311616450.24296927</v>
          </cell>
        </row>
        <row r="38">
          <cell r="V38">
            <v>2564093.0084583377</v>
          </cell>
          <cell r="W38">
            <v>73594.012457254867</v>
          </cell>
          <cell r="X38">
            <v>73594.012457254867</v>
          </cell>
          <cell r="AA38">
            <v>298555168.7362802</v>
          </cell>
          <cell r="AB38">
            <v>298555168.7362802</v>
          </cell>
          <cell r="AC38">
            <v>363428440.74889088</v>
          </cell>
          <cell r="AM38">
            <v>3891.5240622314541</v>
          </cell>
          <cell r="AP38">
            <v>2042270.6110257483</v>
          </cell>
          <cell r="AQ38">
            <v>572607.00147372938</v>
          </cell>
          <cell r="AR38">
            <v>572607.00147372938</v>
          </cell>
          <cell r="AU38">
            <v>237795760.47693333</v>
          </cell>
          <cell r="AV38">
            <v>237795760.47693333</v>
          </cell>
          <cell r="AX38">
            <v>348618298.04416519</v>
          </cell>
        </row>
        <row r="39">
          <cell r="V39">
            <v>2945255.5764181577</v>
          </cell>
          <cell r="W39">
            <v>82444.650223122182</v>
          </cell>
          <cell r="X39">
            <v>82444.650223122182</v>
          </cell>
          <cell r="AA39">
            <v>348560529.28322649</v>
          </cell>
          <cell r="AB39">
            <v>348560529.28322649</v>
          </cell>
          <cell r="AC39">
            <v>413199445.34136307</v>
          </cell>
          <cell r="AM39">
            <v>3957.3520379044335</v>
          </cell>
          <cell r="AP39">
            <v>2262272.8087571221</v>
          </cell>
          <cell r="AQ39">
            <v>636806.61127956165</v>
          </cell>
          <cell r="AR39">
            <v>636806.61127956165</v>
          </cell>
          <cell r="AU39">
            <v>267731946.22464898</v>
          </cell>
          <cell r="AV39">
            <v>267731946.22464898</v>
          </cell>
          <cell r="AX39">
            <v>389514795.09338248</v>
          </cell>
        </row>
        <row r="40">
          <cell r="V40">
            <v>3368633.359146812</v>
          </cell>
          <cell r="W40">
            <v>92101.36286785538</v>
          </cell>
          <cell r="X40">
            <v>92101.36286785538</v>
          </cell>
          <cell r="AA40">
            <v>405069301.82345128</v>
          </cell>
          <cell r="AB40">
            <v>405069301.82345128</v>
          </cell>
          <cell r="AC40">
            <v>467987485.34651947</v>
          </cell>
          <cell r="AM40">
            <v>4022.5526780322962</v>
          </cell>
          <cell r="AP40">
            <v>2500933.4017142472</v>
          </cell>
          <cell r="AQ40">
            <v>706612.46155890008</v>
          </cell>
          <cell r="AR40">
            <v>706612.46155890008</v>
          </cell>
          <cell r="AU40">
            <v>300730664.02094853</v>
          </cell>
          <cell r="AV40">
            <v>300730664.02094853</v>
          </cell>
          <cell r="AX40">
            <v>434248130.16876054</v>
          </cell>
        </row>
        <row r="41">
          <cell r="V41">
            <v>3754822.9988937839</v>
          </cell>
          <cell r="W41">
            <v>100379.80655248297</v>
          </cell>
          <cell r="X41">
            <v>100379.80655248297</v>
          </cell>
          <cell r="AA41">
            <v>458733381.08546674</v>
          </cell>
          <cell r="AB41">
            <v>458733381.08546674</v>
          </cell>
          <cell r="AC41">
            <v>523570556.50671953</v>
          </cell>
          <cell r="AM41">
            <v>4091.0872039771339</v>
          </cell>
          <cell r="AP41">
            <v>2727628.548106919</v>
          </cell>
          <cell r="AQ41">
            <v>773562.3471387173</v>
          </cell>
          <cell r="AR41">
            <v>773562.3471387173</v>
          </cell>
          <cell r="AU41">
            <v>333239214.36162615</v>
          </cell>
          <cell r="AV41">
            <v>333239214.36162615</v>
          </cell>
          <cell r="AX41">
            <v>479823715.9635995</v>
          </cell>
        </row>
        <row r="42">
          <cell r="V42">
            <v>4150976.8091650549</v>
          </cell>
          <cell r="W42">
            <v>108635.82895916306</v>
          </cell>
          <cell r="X42">
            <v>108635.82895916306</v>
          </cell>
          <cell r="AA42">
            <v>515169414.77424276</v>
          </cell>
          <cell r="AB42">
            <v>515169414.77424276</v>
          </cell>
          <cell r="AC42">
            <v>582370990.81659234</v>
          </cell>
          <cell r="AM42">
            <v>4154.2715250695746</v>
          </cell>
          <cell r="AP42">
            <v>2952654.8011718481</v>
          </cell>
          <cell r="AQ42">
            <v>840392.95523319219</v>
          </cell>
          <cell r="AR42">
            <v>840392.95523319219</v>
          </cell>
          <cell r="AU42">
            <v>366448071.35311908</v>
          </cell>
          <cell r="AV42">
            <v>366448071.35311908</v>
          </cell>
          <cell r="AX42">
            <v>527071952.73825598</v>
          </cell>
        </row>
        <row r="43">
          <cell r="V43">
            <v>4576747.3246510774</v>
          </cell>
          <cell r="W43">
            <v>117362.10084441041</v>
          </cell>
          <cell r="X43">
            <v>117362.10084441041</v>
          </cell>
          <cell r="AA43">
            <v>576675053.81925726</v>
          </cell>
          <cell r="AB43">
            <v>576675053.81925726</v>
          </cell>
          <cell r="AC43">
            <v>645860164.6225667</v>
          </cell>
          <cell r="AM43">
            <v>4220.4599594946012</v>
          </cell>
          <cell r="AP43">
            <v>3196506.3876458518</v>
          </cell>
          <cell r="AQ43">
            <v>912620.68794411095</v>
          </cell>
          <cell r="AR43">
            <v>912620.68794411095</v>
          </cell>
          <cell r="AU43">
            <v>402763220.77050734</v>
          </cell>
          <cell r="AV43">
            <v>402763220.77050734</v>
          </cell>
          <cell r="AX43">
            <v>578562393.09166455</v>
          </cell>
        </row>
        <row r="44">
          <cell r="V44">
            <v>5032465.7387401117</v>
          </cell>
          <cell r="W44">
            <v>126567.89087228745</v>
          </cell>
          <cell r="X44">
            <v>126567.89087228745</v>
          </cell>
          <cell r="AA44">
            <v>643521216.54389477</v>
          </cell>
          <cell r="AB44">
            <v>643521216.54389477</v>
          </cell>
          <cell r="AC44">
            <v>714225335.07268488</v>
          </cell>
          <cell r="AM44">
            <v>4282.8232260907926</v>
          </cell>
          <cell r="AP44">
            <v>3452633.6740556834</v>
          </cell>
          <cell r="AQ44">
            <v>988676.72520683217</v>
          </cell>
          <cell r="AR44">
            <v>988676.72520683217</v>
          </cell>
          <cell r="AU44">
            <v>441501867.58449227</v>
          </cell>
          <cell r="AV44">
            <v>441501867.58449227</v>
          </cell>
          <cell r="AX44">
            <v>633291885.60515881</v>
          </cell>
        </row>
        <row r="45">
          <cell r="V45">
            <v>5520544.1459794026</v>
          </cell>
          <cell r="W45">
            <v>136309.40253991869</v>
          </cell>
          <cell r="X45">
            <v>136309.40253991869</v>
          </cell>
          <cell r="AA45">
            <v>716229298.18443298</v>
          </cell>
          <cell r="AB45">
            <v>716229298.18443298</v>
          </cell>
          <cell r="AC45">
            <v>787926612.18674874</v>
          </cell>
          <cell r="AM45">
            <v>4346.6006813599324</v>
          </cell>
          <cell r="AP45">
            <v>3727493.4647409241</v>
          </cell>
          <cell r="AQ45">
            <v>1070399.1636795783</v>
          </cell>
          <cell r="AR45">
            <v>1070399.1636795783</v>
          </cell>
          <cell r="AU45">
            <v>483600883.83367389</v>
          </cell>
          <cell r="AV45">
            <v>483600883.83367389</v>
          </cell>
          <cell r="AX45">
            <v>692582814.26113629</v>
          </cell>
        </row>
        <row r="46">
          <cell r="V46">
            <v>6029232.681293305</v>
          </cell>
          <cell r="W46">
            <v>146304.55794512923</v>
          </cell>
          <cell r="X46">
            <v>146304.55794512923</v>
          </cell>
          <cell r="AA46">
            <v>793873911.06021369</v>
          </cell>
          <cell r="AB46">
            <v>793873911.06021369</v>
          </cell>
          <cell r="AC46">
            <v>867278337.0760721</v>
          </cell>
          <cell r="AM46">
            <v>4411.073205722515</v>
          </cell>
          <cell r="AP46">
            <v>4016442.0761803049</v>
          </cell>
          <cell r="AQ46">
            <v>1157082.1565111233</v>
          </cell>
          <cell r="AR46">
            <v>1157082.1565111233</v>
          </cell>
          <cell r="AU46">
            <v>528848154.99940223</v>
          </cell>
          <cell r="AV46">
            <v>528848154.99940223</v>
          </cell>
          <cell r="AX46">
            <v>756436838.23522544</v>
          </cell>
        </row>
        <row r="47">
          <cell r="V47">
            <v>6437609.0084468983</v>
          </cell>
          <cell r="W47">
            <v>154306.08004424028</v>
          </cell>
          <cell r="X47">
            <v>154306.08004424028</v>
          </cell>
          <cell r="AA47">
            <v>857465861.57785511</v>
          </cell>
          <cell r="AB47">
            <v>857465861.57785511</v>
          </cell>
          <cell r="AC47">
            <v>934978427.87128425</v>
          </cell>
          <cell r="AM47">
            <v>4476.0585260415355</v>
          </cell>
          <cell r="AP47">
            <v>4303312.1248707697</v>
          </cell>
          <cell r="AQ47">
            <v>1239766.8719240217</v>
          </cell>
          <cell r="AR47">
            <v>1239766.8719240217</v>
          </cell>
          <cell r="AU47">
            <v>573185360.27104259</v>
          </cell>
          <cell r="AV47">
            <v>573185360.27104259</v>
          </cell>
          <cell r="AX47">
            <v>817760729.40854311</v>
          </cell>
        </row>
        <row r="48">
          <cell r="V48">
            <v>6864997.5216926541</v>
          </cell>
          <cell r="W48">
            <v>162611.57476411335</v>
          </cell>
          <cell r="X48">
            <v>162611.57476411335</v>
          </cell>
          <cell r="AA48">
            <v>924789128.96277857</v>
          </cell>
          <cell r="AB48">
            <v>924789128.96277857</v>
          </cell>
          <cell r="AC48">
            <v>1006493118.0175959</v>
          </cell>
          <cell r="AM48">
            <v>4543.3393592464981</v>
          </cell>
          <cell r="AP48">
            <v>4609414.2723982222</v>
          </cell>
          <cell r="AQ48">
            <v>1327827.4137488955</v>
          </cell>
          <cell r="AR48">
            <v>1327827.4137488955</v>
          </cell>
          <cell r="AU48">
            <v>620937763.85642743</v>
          </cell>
          <cell r="AV48">
            <v>620937763.85642743</v>
          </cell>
          <cell r="AX48">
            <v>883649605.1814177</v>
          </cell>
        </row>
        <row r="49">
          <cell r="V49">
            <v>7311208.7718970748</v>
          </cell>
          <cell r="W49">
            <v>171210.31811741815</v>
          </cell>
          <cell r="X49">
            <v>171210.31811741815</v>
          </cell>
          <cell r="AA49">
            <v>995888047.61352253</v>
          </cell>
          <cell r="AB49">
            <v>995888047.61352253</v>
          </cell>
          <cell r="AC49">
            <v>1081847208.7255194</v>
          </cell>
          <cell r="AM49">
            <v>4607.2743465906497</v>
          </cell>
          <cell r="AP49">
            <v>4929779.273485492</v>
          </cell>
          <cell r="AQ49">
            <v>1419462.9842017908</v>
          </cell>
          <cell r="AR49">
            <v>1419462.9842017908</v>
          </cell>
          <cell r="AU49">
            <v>671504317.41305363</v>
          </cell>
          <cell r="AV49">
            <v>671504317.41305363</v>
          </cell>
          <cell r="AX49">
            <v>953215872.80501318</v>
          </cell>
        </row>
        <row r="50">
          <cell r="V50">
            <v>7805760.1695836913</v>
          </cell>
          <cell r="W50">
            <v>180586.39897335222</v>
          </cell>
          <cell r="X50">
            <v>180586.39897335222</v>
          </cell>
          <cell r="AA50">
            <v>1074327771.3177905</v>
          </cell>
          <cell r="AB50">
            <v>1074327771.3177905</v>
          </cell>
          <cell r="AC50">
            <v>1163479367.7453251</v>
          </cell>
          <cell r="AM50">
            <v>4672.9679451959646</v>
          </cell>
          <cell r="AP50">
            <v>5288378.0667450754</v>
          </cell>
          <cell r="AQ50">
            <v>1519229.0081909345</v>
          </cell>
          <cell r="AR50">
            <v>1519229.0081909345</v>
          </cell>
          <cell r="AU50">
            <v>727853700.20343995</v>
          </cell>
          <cell r="AV50">
            <v>727853700.20343995</v>
          </cell>
          <cell r="AX50">
            <v>1030265831.5952973</v>
          </cell>
        </row>
        <row r="51">
          <cell r="V51">
            <v>8354917.7287614308</v>
          </cell>
          <cell r="W51">
            <v>191056.46406783603</v>
          </cell>
          <cell r="X51">
            <v>191056.46406783603</v>
          </cell>
          <cell r="AA51">
            <v>1162379408.815022</v>
          </cell>
          <cell r="AB51">
            <v>1162379408.815022</v>
          </cell>
          <cell r="AC51">
            <v>1253259946.1602054</v>
          </cell>
          <cell r="AM51">
            <v>4735.1960522840582</v>
          </cell>
          <cell r="AP51">
            <v>5685933.5993644651</v>
          </cell>
          <cell r="AQ51">
            <v>1630109.9863720981</v>
          </cell>
          <cell r="AR51">
            <v>1630109.9863720981</v>
          </cell>
          <cell r="AU51">
            <v>791056519.08920884</v>
          </cell>
          <cell r="AV51">
            <v>791056519.08920884</v>
          </cell>
          <cell r="AX51">
            <v>1114519331.2352664</v>
          </cell>
        </row>
        <row r="52">
          <cell r="V52">
            <v>8944823.4391209837</v>
          </cell>
          <cell r="W52">
            <v>202440.72731706584</v>
          </cell>
          <cell r="X52">
            <v>202440.72731706584</v>
          </cell>
          <cell r="AA52">
            <v>1258825654.2112069</v>
          </cell>
          <cell r="AB52">
            <v>1258825654.2112069</v>
          </cell>
          <cell r="AC52">
            <v>1350762188.6463466</v>
          </cell>
          <cell r="AM52">
            <v>4800.1500340512757</v>
          </cell>
          <cell r="AP52">
            <v>6129881.3010055078</v>
          </cell>
          <cell r="AQ52">
            <v>1754196.3227809628</v>
          </cell>
          <cell r="AR52">
            <v>1754196.3227809628</v>
          </cell>
          <cell r="AU52">
            <v>862672348.03391552</v>
          </cell>
          <cell r="AV52">
            <v>862672348.03391552</v>
          </cell>
          <cell r="AX52">
            <v>1208548610.5280976</v>
          </cell>
        </row>
        <row r="53">
          <cell r="V53">
            <v>9538277.3990628533</v>
          </cell>
          <cell r="W53">
            <v>213730.30585225619</v>
          </cell>
          <cell r="X53">
            <v>213730.30585225619</v>
          </cell>
          <cell r="AA53">
            <v>1359793537.244225</v>
          </cell>
          <cell r="AB53">
            <v>1359793537.244225</v>
          </cell>
          <cell r="AC53">
            <v>1449895721.0295479</v>
          </cell>
          <cell r="AM53">
            <v>4862.8427037480733</v>
          </cell>
          <cell r="AP53">
            <v>6580779.3506507603</v>
          </cell>
          <cell r="AQ53">
            <v>1879680.7583204051</v>
          </cell>
          <cell r="AR53">
            <v>1879680.7583204051</v>
          </cell>
          <cell r="AU53">
            <v>938167433.87274015</v>
          </cell>
          <cell r="AV53">
            <v>938167433.87274015</v>
          </cell>
          <cell r="AX53">
            <v>1304849440.3001361</v>
          </cell>
        </row>
        <row r="54">
          <cell r="V54">
            <v>10153647.188695734</v>
          </cell>
          <cell r="W54">
            <v>225342.33311968922</v>
          </cell>
          <cell r="X54">
            <v>225342.33311968922</v>
          </cell>
          <cell r="AA54">
            <v>1466681636.5776589</v>
          </cell>
          <cell r="AB54">
            <v>1466681636.5776589</v>
          </cell>
          <cell r="AC54">
            <v>1553464702.8669605</v>
          </cell>
          <cell r="AM54">
            <v>4927.1956904722538</v>
          </cell>
          <cell r="AP54">
            <v>7057309.791000939</v>
          </cell>
          <cell r="AQ54">
            <v>2011960.0029653285</v>
          </cell>
          <cell r="AR54">
            <v>2011960.0029653285</v>
          </cell>
          <cell r="AU54">
            <v>1019419572.2719796</v>
          </cell>
          <cell r="AV54">
            <v>1019419572.2719796</v>
          </cell>
          <cell r="AX54">
            <v>1407148004.0093806</v>
          </cell>
        </row>
        <row r="55">
          <cell r="V55">
            <v>10793226.05112841</v>
          </cell>
          <cell r="W55">
            <v>237324.60024320829</v>
          </cell>
          <cell r="X55">
            <v>237324.60024320829</v>
          </cell>
          <cell r="AA55">
            <v>1579430944.5871649</v>
          </cell>
          <cell r="AB55">
            <v>1579430944.5871649</v>
          </cell>
          <cell r="AC55">
            <v>1661867513.615083</v>
          </cell>
          <cell r="AM55">
            <v>4990.0336585588084</v>
          </cell>
          <cell r="AP55">
            <v>7556706.4992736829</v>
          </cell>
          <cell r="AQ55">
            <v>2150165.1945364708</v>
          </cell>
          <cell r="AR55">
            <v>2150165.1945364708</v>
          </cell>
          <cell r="AU55">
            <v>1105813593.4128785</v>
          </cell>
          <cell r="AV55">
            <v>1105813593.4128785</v>
          </cell>
          <cell r="AX55">
            <v>1514949421.1421533</v>
          </cell>
        </row>
        <row r="56">
          <cell r="V56">
            <v>12266930.497673292</v>
          </cell>
          <cell r="W56">
            <v>256891.00808055242</v>
          </cell>
          <cell r="X56">
            <v>256891.00808055242</v>
          </cell>
          <cell r="AA56">
            <v>1816291202.2435746</v>
          </cell>
          <cell r="AB56">
            <v>1816291202.2435746</v>
          </cell>
          <cell r="AC56">
            <v>1895362075.8836632</v>
          </cell>
          <cell r="AM56">
            <v>5052.2732396398733</v>
          </cell>
          <cell r="AP56">
            <v>8262461.8350218246</v>
          </cell>
          <cell r="AQ56">
            <v>2343793.8263529465</v>
          </cell>
          <cell r="AR56">
            <v>2343793.8263529465</v>
          </cell>
          <cell r="AU56">
            <v>1223373421.9550583</v>
          </cell>
          <cell r="AV56">
            <v>1223373421.9550583</v>
          </cell>
          <cell r="AX56">
            <v>1662085317.7581177</v>
          </cell>
        </row>
        <row r="57">
          <cell r="V57">
            <v>14310308.391728319</v>
          </cell>
          <cell r="W57">
            <v>283652.59353412513</v>
          </cell>
          <cell r="X57">
            <v>283652.59353412513</v>
          </cell>
          <cell r="AA57">
            <v>2163743201.5583372</v>
          </cell>
          <cell r="AB57">
            <v>2163743201.5583372</v>
          </cell>
          <cell r="AC57">
            <v>2248672638.5015721</v>
          </cell>
          <cell r="AM57">
            <v>5116.1058431778374</v>
          </cell>
          <cell r="AP57">
            <v>9115158.907874234</v>
          </cell>
          <cell r="AQ57">
            <v>2601944.8200113839</v>
          </cell>
          <cell r="AR57">
            <v>2601944.8200113839</v>
          </cell>
          <cell r="AU57">
            <v>1378227678.8274562</v>
          </cell>
          <cell r="AV57">
            <v>1378227678.8274562</v>
          </cell>
          <cell r="AX57">
            <v>1858438999.7115717</v>
          </cell>
        </row>
        <row r="58">
          <cell r="V58">
            <v>16546897.38166522</v>
          </cell>
          <cell r="W58">
            <v>311977.15284687758</v>
          </cell>
          <cell r="X58">
            <v>311977.15284687758</v>
          </cell>
          <cell r="AA58">
            <v>2553817322.4057779</v>
          </cell>
          <cell r="AB58">
            <v>2553817322.4057779</v>
          </cell>
          <cell r="AC58">
            <v>2642172783.937151</v>
          </cell>
          <cell r="AM58">
            <v>5180.3757225034651</v>
          </cell>
          <cell r="AP58">
            <v>10028929.723172307</v>
          </cell>
          <cell r="AQ58">
            <v>2879844.4229830354</v>
          </cell>
          <cell r="AR58">
            <v>2879844.4229830354</v>
          </cell>
          <cell r="AU58">
            <v>1547846334.0569842</v>
          </cell>
          <cell r="AV58">
            <v>1547846334.0569842</v>
          </cell>
          <cell r="AX58">
            <v>2071441113.2919364</v>
          </cell>
        </row>
        <row r="59">
          <cell r="V59">
            <v>18987597.3838518</v>
          </cell>
          <cell r="W59">
            <v>341970.09520721942</v>
          </cell>
          <cell r="X59">
            <v>341970.09520721942</v>
          </cell>
          <cell r="AA59">
            <v>2990045739.3378525</v>
          </cell>
          <cell r="AB59">
            <v>2990045739.3378525</v>
          </cell>
          <cell r="AC59">
            <v>3078730436.8881269</v>
          </cell>
          <cell r="AM59">
            <v>5248.3145201793022</v>
          </cell>
          <cell r="AP59">
            <v>11017166.816903019</v>
          </cell>
          <cell r="AQ59">
            <v>3181374.6270579146</v>
          </cell>
          <cell r="AR59">
            <v>3181374.6270579146</v>
          </cell>
          <cell r="AU59">
            <v>1734913166.44785</v>
          </cell>
          <cell r="AV59">
            <v>1734913166.44785</v>
          </cell>
          <cell r="AX59">
            <v>2304243291.88901</v>
          </cell>
        </row>
        <row r="60">
          <cell r="V60">
            <v>20072669.999871328</v>
          </cell>
          <cell r="W60">
            <v>363102.27928428474</v>
          </cell>
          <cell r="X60">
            <v>363102.27928428474</v>
          </cell>
          <cell r="AA60">
            <v>3227016001.8078871</v>
          </cell>
          <cell r="AB60">
            <v>3227016001.8078871</v>
          </cell>
          <cell r="AC60">
            <v>3304029932.9238033</v>
          </cell>
          <cell r="AM60">
            <v>5309.5273053426445</v>
          </cell>
          <cell r="AP60">
            <v>11809965.232812496</v>
          </cell>
          <cell r="AQ60">
            <v>3431793.8580624508</v>
          </cell>
          <cell r="AR60">
            <v>3431793.8580624508</v>
          </cell>
          <cell r="AU60">
            <v>1898648599.679317</v>
          </cell>
          <cell r="AV60">
            <v>1898648599.679317</v>
          </cell>
          <cell r="AX60">
            <v>2496221996.3989706</v>
          </cell>
        </row>
        <row r="61">
          <cell r="V61">
            <v>20800825.100159004</v>
          </cell>
          <cell r="W61">
            <v>383120.73207255418</v>
          </cell>
          <cell r="X61">
            <v>383120.73207255418</v>
          </cell>
          <cell r="AA61">
            <v>3417157068.7687697</v>
          </cell>
          <cell r="AB61">
            <v>3417157068.7687697</v>
          </cell>
          <cell r="AC61">
            <v>3476418348.4610119</v>
          </cell>
          <cell r="AM61">
            <v>5372.8861415776682</v>
          </cell>
          <cell r="AP61">
            <v>12590761.618430253</v>
          </cell>
          <cell r="AQ61">
            <v>3685504.2600161033</v>
          </cell>
          <cell r="AR61">
            <v>3685504.2600161033</v>
          </cell>
          <cell r="AU61">
            <v>2068408818.3248351</v>
          </cell>
          <cell r="AV61">
            <v>2068408818.3248351</v>
          </cell>
          <cell r="AX61">
            <v>2690831336.8273072</v>
          </cell>
        </row>
        <row r="62">
          <cell r="V62">
            <v>21538670.264815543</v>
          </cell>
          <cell r="W62">
            <v>403865.51259540638</v>
          </cell>
          <cell r="X62">
            <v>403865.51259540638</v>
          </cell>
          <cell r="AA62">
            <v>3615061125.7006016</v>
          </cell>
          <cell r="AB62">
            <v>3615061125.7006016</v>
          </cell>
          <cell r="AC62">
            <v>3655816865.368329</v>
          </cell>
          <cell r="AM62">
            <v>5435.242680354555</v>
          </cell>
          <cell r="AP62">
            <v>13411004.739996815</v>
          </cell>
          <cell r="AQ62">
            <v>3954093.1065024631</v>
          </cell>
          <cell r="AR62">
            <v>3954093.1065024631</v>
          </cell>
          <cell r="AU62">
            <v>2250909703.1559105</v>
          </cell>
          <cell r="AV62">
            <v>2250909703.1559105</v>
          </cell>
          <cell r="AX62">
            <v>2897907861.1825256</v>
          </cell>
        </row>
        <row r="63">
          <cell r="V63">
            <v>22300210.028775051</v>
          </cell>
          <cell r="W63">
            <v>425499.19692382024</v>
          </cell>
          <cell r="X63">
            <v>425499.19692382024</v>
          </cell>
          <cell r="AA63">
            <v>3822252984.2188663</v>
          </cell>
          <cell r="AB63">
            <v>3822252984.2188663</v>
          </cell>
          <cell r="AC63">
            <v>3842890148.5592966</v>
          </cell>
          <cell r="AM63">
            <v>5498.332188215918</v>
          </cell>
          <cell r="AP63">
            <v>14284662.912870742</v>
          </cell>
          <cell r="AQ63">
            <v>4240161.8891698718</v>
          </cell>
          <cell r="AR63">
            <v>4240161.8891698718</v>
          </cell>
          <cell r="AU63">
            <v>2448389292.1559138</v>
          </cell>
          <cell r="AV63">
            <v>2448389292.1559138</v>
          </cell>
          <cell r="AX63">
            <v>3119963893.4463434</v>
          </cell>
        </row>
        <row r="64">
          <cell r="V64">
            <v>23090079.088909987</v>
          </cell>
          <cell r="W64">
            <v>448130.29764160857</v>
          </cell>
          <cell r="X64">
            <v>448130.29764160857</v>
          </cell>
          <cell r="AA64">
            <v>4039793682.0607033</v>
          </cell>
          <cell r="AB64">
            <v>4039793682.0607033</v>
          </cell>
          <cell r="AC64">
            <v>4038153302.684566</v>
          </cell>
          <cell r="AM64">
            <v>5563.2313012164523</v>
          </cell>
          <cell r="AP64">
            <v>15220621.63015713</v>
          </cell>
          <cell r="AQ64">
            <v>4546173.6147668604</v>
          </cell>
          <cell r="AR64">
            <v>4546173.6147668604</v>
          </cell>
          <cell r="AU64">
            <v>2662969271.8583031</v>
          </cell>
          <cell r="AV64">
            <v>2662969271.8583031</v>
          </cell>
          <cell r="AX64">
            <v>3359123947.8372259</v>
          </cell>
        </row>
        <row r="65">
          <cell r="V65">
            <v>23909517.500522826</v>
          </cell>
          <cell r="W65">
            <v>471880.99589913606</v>
          </cell>
          <cell r="X65">
            <v>471880.99589913606</v>
          </cell>
          <cell r="AA65">
            <v>4268875072.6093364</v>
          </cell>
          <cell r="AB65">
            <v>4268875072.6093364</v>
          </cell>
          <cell r="AC65">
            <v>4242671396.9951382</v>
          </cell>
          <cell r="AM65">
            <v>5629.0118732830306</v>
          </cell>
          <cell r="AP65">
            <v>16217046.81343773</v>
          </cell>
          <cell r="AQ65">
            <v>4873235.0668222448</v>
          </cell>
          <cell r="AR65">
            <v>4873235.0668222448</v>
          </cell>
          <cell r="AU65">
            <v>2895438893.3908505</v>
          </cell>
          <cell r="AV65">
            <v>2895438893.3908505</v>
          </cell>
          <cell r="AX65">
            <v>3615879751.5884671</v>
          </cell>
        </row>
        <row r="66">
          <cell r="V66">
            <v>26361754.481422193</v>
          </cell>
          <cell r="W66">
            <v>518121.72027804574</v>
          </cell>
          <cell r="X66">
            <v>518121.72027804574</v>
          </cell>
          <cell r="AA66">
            <v>4817962813.8224525</v>
          </cell>
          <cell r="AB66">
            <v>4817962813.8224525</v>
          </cell>
          <cell r="AC66">
            <v>4745050521.2109165</v>
          </cell>
          <cell r="AM66">
            <v>5696.5833153381827</v>
          </cell>
          <cell r="AP66">
            <v>19054023.645313829</v>
          </cell>
          <cell r="AQ66">
            <v>5608934.6046545934</v>
          </cell>
          <cell r="AR66">
            <v>5608934.6046545934</v>
          </cell>
          <cell r="AU66">
            <v>3482377375.20508</v>
          </cell>
          <cell r="AV66">
            <v>3482377375.20508</v>
          </cell>
          <cell r="AX66">
            <v>4191063535.7840815</v>
          </cell>
        </row>
        <row r="67">
          <cell r="V67">
            <v>29421696.820180073</v>
          </cell>
          <cell r="W67">
            <v>570126.86159751343</v>
          </cell>
          <cell r="X67">
            <v>570126.86159751343</v>
          </cell>
          <cell r="AA67">
            <v>5485840137.5586205</v>
          </cell>
          <cell r="AB67">
            <v>5485840137.5586205</v>
          </cell>
          <cell r="AC67">
            <v>5326473527.5819035</v>
          </cell>
          <cell r="AM67">
            <v>5762.3226353203409</v>
          </cell>
          <cell r="AP67">
            <v>22525220.588304233</v>
          </cell>
          <cell r="AQ67">
            <v>6630569.2333119158</v>
          </cell>
          <cell r="AR67">
            <v>6630569.2333119158</v>
          </cell>
          <cell r="AU67">
            <v>4199953522.9363718</v>
          </cell>
          <cell r="AV67">
            <v>4199953522.9363718</v>
          </cell>
          <cell r="AX67">
            <v>4740299869.3511019</v>
          </cell>
        </row>
        <row r="68">
          <cell r="V68">
            <v>32742452.306870617</v>
          </cell>
          <cell r="W68">
            <v>625965.19036262087</v>
          </cell>
          <cell r="X68">
            <v>625965.19036262087</v>
          </cell>
          <cell r="AA68">
            <v>6225380348.9177952</v>
          </cell>
          <cell r="AB68">
            <v>6225380348.9177952</v>
          </cell>
          <cell r="AC68">
            <v>5961442683.7501583</v>
          </cell>
          <cell r="AM68">
            <v>5831.598744426452</v>
          </cell>
          <cell r="AP68">
            <v>26515728.835270472</v>
          </cell>
          <cell r="AQ68">
            <v>7797434.5767227802</v>
          </cell>
          <cell r="AR68">
            <v>7797434.5767227802</v>
          </cell>
          <cell r="AU68">
            <v>5041482405.8150234</v>
          </cell>
          <cell r="AV68">
            <v>5041482405.8150234</v>
          </cell>
          <cell r="AX68">
            <v>5355502554.4457664</v>
          </cell>
        </row>
        <row r="69">
          <cell r="V69">
            <v>36341652.938288853</v>
          </cell>
          <cell r="W69">
            <v>685924.21265006694</v>
          </cell>
          <cell r="X69">
            <v>685924.21265006694</v>
          </cell>
          <cell r="AA69">
            <v>7043230750.9886627</v>
          </cell>
          <cell r="AB69">
            <v>7043230750.9886627</v>
          </cell>
          <cell r="AC69">
            <v>6654027474.0741358</v>
          </cell>
          <cell r="AM69">
            <v>5897.2329150700543</v>
          </cell>
          <cell r="AP69">
            <v>31039962.253763359</v>
          </cell>
          <cell r="AQ69">
            <v>9114083.7479229085</v>
          </cell>
          <cell r="AR69">
            <v>9114083.7479229085</v>
          </cell>
          <cell r="AU69">
            <v>6015731233.4271402</v>
          </cell>
          <cell r="AV69">
            <v>6015731233.4271402</v>
          </cell>
          <cell r="AX69">
            <v>6033828838.309576</v>
          </cell>
        </row>
        <row r="70">
          <cell r="V70">
            <v>40256692.692245536</v>
          </cell>
          <cell r="W70">
            <v>750614.3143271032</v>
          </cell>
          <cell r="X70">
            <v>750614.3143271032</v>
          </cell>
          <cell r="AA70">
            <v>7949805937.3059044</v>
          </cell>
          <cell r="AB70">
            <v>7949805937.3059044</v>
          </cell>
          <cell r="AC70">
            <v>7411854880.5414829</v>
          </cell>
          <cell r="AM70">
            <v>5966.6680815597847</v>
          </cell>
          <cell r="AP70">
            <v>36231491.238270879</v>
          </cell>
          <cell r="AQ70">
            <v>10615822.098821213</v>
          </cell>
          <cell r="AR70">
            <v>10615822.098821213</v>
          </cell>
          <cell r="AU70">
            <v>7154917726.7345467</v>
          </cell>
          <cell r="AV70">
            <v>7154917726.7345467</v>
          </cell>
          <cell r="AX70">
            <v>6794734586.1310997</v>
          </cell>
        </row>
        <row r="71">
          <cell r="V71">
            <v>44536497.140843108</v>
          </cell>
          <cell r="W71">
            <v>822154.29401893355</v>
          </cell>
          <cell r="X71">
            <v>822154.29401893355</v>
          </cell>
          <cell r="AA71">
            <v>8979133070.7504482</v>
          </cell>
          <cell r="AB71">
            <v>8979133070.7504482</v>
          </cell>
          <cell r="AC71">
            <v>8262260506.4231863</v>
          </cell>
          <cell r="AM71">
            <v>6033.4433483033172</v>
          </cell>
          <cell r="AP71">
            <v>42042050.849544458</v>
          </cell>
          <cell r="AQ71">
            <v>12307510.544652727</v>
          </cell>
          <cell r="AR71">
            <v>12307510.544652727</v>
          </cell>
          <cell r="AU71">
            <v>8476220479.3856897</v>
          </cell>
          <cell r="AV71">
            <v>8476220479.3856897</v>
          </cell>
          <cell r="AX71">
            <v>7654563769.778204</v>
          </cell>
        </row>
        <row r="72">
          <cell r="V72">
            <v>49109074.952988267</v>
          </cell>
          <cell r="W72">
            <v>894627.33624584647</v>
          </cell>
          <cell r="X72">
            <v>894627.33624584647</v>
          </cell>
          <cell r="AA72">
            <v>10097469566.89263</v>
          </cell>
          <cell r="AB72">
            <v>10097469566.89263</v>
          </cell>
          <cell r="AC72">
            <v>9199863891.9435654</v>
          </cell>
          <cell r="AM72">
            <v>6102.3795989405535</v>
          </cell>
          <cell r="AP72">
            <v>48364687.178004429</v>
          </cell>
          <cell r="AQ72">
            <v>14131096.510041319</v>
          </cell>
          <cell r="AR72">
            <v>14131096.510041319</v>
          </cell>
          <cell r="AU72">
            <v>9944413682.3934479</v>
          </cell>
          <cell r="AV72">
            <v>9944413682.3934479</v>
          </cell>
          <cell r="AX72">
            <v>8589571683.1393337</v>
          </cell>
        </row>
        <row r="73">
          <cell r="V73">
            <v>53947299.629156202</v>
          </cell>
          <cell r="W73">
            <v>970477.31638742064</v>
          </cell>
          <cell r="X73">
            <v>970477.31638742064</v>
          </cell>
          <cell r="AA73">
            <v>11307983640.561144</v>
          </cell>
          <cell r="AB73">
            <v>11307983640.561144</v>
          </cell>
          <cell r="AC73">
            <v>10205010327.091042</v>
          </cell>
          <cell r="AM73">
            <v>6166.6722334610458</v>
          </cell>
          <cell r="AP73">
            <v>55323427.647881038</v>
          </cell>
          <cell r="AQ73">
            <v>16129999.370188672</v>
          </cell>
          <cell r="AR73">
            <v>16129999.370188672</v>
          </cell>
          <cell r="AU73">
            <v>11596436134.569725</v>
          </cell>
          <cell r="AV73">
            <v>11596436134.569725</v>
          </cell>
          <cell r="AX73">
            <v>9598611766.2447891</v>
          </cell>
        </row>
        <row r="74">
          <cell r="V74">
            <v>59138208.043726929</v>
          </cell>
          <cell r="W74">
            <v>1050469.3422356576</v>
          </cell>
          <cell r="X74">
            <v>1050469.3422356576</v>
          </cell>
          <cell r="AA74">
            <v>12623523207.4562</v>
          </cell>
          <cell r="AB74">
            <v>12623523207.4562</v>
          </cell>
          <cell r="AC74">
            <v>11284963829.046692</v>
          </cell>
          <cell r="AM74">
            <v>6231.3229873395803</v>
          </cell>
          <cell r="AP74">
            <v>63104922.127784424</v>
          </cell>
          <cell r="AQ74">
            <v>18341643.269345812</v>
          </cell>
          <cell r="AR74">
            <v>18341643.269345812</v>
          </cell>
          <cell r="AU74">
            <v>13470250035.235935</v>
          </cell>
          <cell r="AV74">
            <v>13470250035.235935</v>
          </cell>
          <cell r="AX74">
            <v>10700136221.793552</v>
          </cell>
        </row>
        <row r="75">
          <cell r="V75">
            <v>64933124.850379139</v>
          </cell>
          <cell r="W75">
            <v>1139177.9925125183</v>
          </cell>
          <cell r="X75">
            <v>1139177.9925125183</v>
          </cell>
          <cell r="AA75">
            <v>14086010459.489759</v>
          </cell>
          <cell r="AB75">
            <v>14086010459.489759</v>
          </cell>
          <cell r="AC75">
            <v>12492673013.664568</v>
          </cell>
          <cell r="AM75">
            <v>6297.7349475328356</v>
          </cell>
          <cell r="AP75">
            <v>72192650.925459296</v>
          </cell>
          <cell r="AQ75">
            <v>20881081.967929937</v>
          </cell>
          <cell r="AR75">
            <v>20881081.967929937</v>
          </cell>
          <cell r="AU75">
            <v>15660827018.220655</v>
          </cell>
          <cell r="AV75">
            <v>15660827018.220655</v>
          </cell>
          <cell r="AX75">
            <v>11968515052.029442</v>
          </cell>
        </row>
        <row r="76">
          <cell r="V76">
            <v>70392025.346134588</v>
          </cell>
          <cell r="W76">
            <v>1223749.6429233942</v>
          </cell>
          <cell r="X76">
            <v>1223749.6429233942</v>
          </cell>
          <cell r="AA76">
            <v>15496964200.760178</v>
          </cell>
          <cell r="AB76">
            <v>15496964200.760178</v>
          </cell>
          <cell r="AC76">
            <v>13719437920.479652</v>
          </cell>
          <cell r="AM76">
            <v>6366.000939224954</v>
          </cell>
          <cell r="AP76">
            <v>82282783.01798752</v>
          </cell>
          <cell r="AQ76">
            <v>23654871.682124097</v>
          </cell>
          <cell r="AR76">
            <v>23654871.682124097</v>
          </cell>
          <cell r="AU76">
            <v>18114741499.460087</v>
          </cell>
          <cell r="AV76">
            <v>18114741499.460087</v>
          </cell>
          <cell r="AX76">
            <v>13359257335.298176</v>
          </cell>
        </row>
        <row r="77">
          <cell r="V77">
            <v>75715683.77519761</v>
          </cell>
          <cell r="W77">
            <v>1300593.7367346366</v>
          </cell>
          <cell r="X77">
            <v>1300593.7367346366</v>
          </cell>
          <cell r="AA77">
            <v>16885027623.962141</v>
          </cell>
          <cell r="AB77">
            <v>16885027623.962141</v>
          </cell>
          <cell r="AC77">
            <v>14967907691.160591</v>
          </cell>
          <cell r="AM77">
            <v>6432.7183381803452</v>
          </cell>
          <cell r="AP77">
            <v>90575693.081072792</v>
          </cell>
          <cell r="AQ77">
            <v>25797924.539855532</v>
          </cell>
          <cell r="AR77">
            <v>25797924.539855532</v>
          </cell>
          <cell r="AU77">
            <v>20198894119.139046</v>
          </cell>
          <cell r="AV77">
            <v>20198894119.139046</v>
          </cell>
          <cell r="AX77">
            <v>14733697973.631592</v>
          </cell>
        </row>
        <row r="78">
          <cell r="V78">
            <v>81342839.355637699</v>
          </cell>
          <cell r="W78">
            <v>1381260.6508227608</v>
          </cell>
          <cell r="X78">
            <v>1381260.6508227608</v>
          </cell>
          <cell r="AA78">
            <v>18370833497.774536</v>
          </cell>
          <cell r="AB78">
            <v>18370833497.774536</v>
          </cell>
          <cell r="AC78">
            <v>16305798266.845463</v>
          </cell>
          <cell r="AM78">
            <v>6497.8709261323856</v>
          </cell>
          <cell r="AP78">
            <v>99614895.146070138</v>
          </cell>
          <cell r="AQ78">
            <v>28104353.125415187</v>
          </cell>
          <cell r="AR78">
            <v>28104353.125415187</v>
          </cell>
          <cell r="AU78">
            <v>22497476939.866486</v>
          </cell>
          <cell r="AV78">
            <v>22497476939.866486</v>
          </cell>
          <cell r="AX78">
            <v>16232004617.870249</v>
          </cell>
        </row>
        <row r="79">
          <cell r="V79">
            <v>87560034.413682386</v>
          </cell>
          <cell r="W79">
            <v>1467628.7397610615</v>
          </cell>
          <cell r="X79">
            <v>1467628.7397610615</v>
          </cell>
          <cell r="AA79">
            <v>20031148797.494423</v>
          </cell>
          <cell r="AB79">
            <v>20031148797.494423</v>
          </cell>
          <cell r="AC79">
            <v>17823082996.86525</v>
          </cell>
          <cell r="AM79">
            <v>6564.2929396202453</v>
          </cell>
          <cell r="AP79">
            <v>109982085.32136428</v>
          </cell>
          <cell r="AQ79">
            <v>30729579.194481753</v>
          </cell>
          <cell r="AR79">
            <v>30729579.194481753</v>
          </cell>
          <cell r="AU79">
            <v>25160651556.193512</v>
          </cell>
          <cell r="AV79">
            <v>25160651556.193512</v>
          </cell>
          <cell r="AX79">
            <v>17926936983.588451</v>
          </cell>
        </row>
        <row r="80">
          <cell r="V80">
            <v>94279522.945306346</v>
          </cell>
          <cell r="W80">
            <v>1559808.7966872775</v>
          </cell>
          <cell r="X80">
            <v>1559808.7966872775</v>
          </cell>
          <cell r="AA80">
            <v>21845393795.910435</v>
          </cell>
          <cell r="AB80">
            <v>21845393795.910435</v>
          </cell>
          <cell r="AC80">
            <v>19491909901.756218</v>
          </cell>
          <cell r="AM80">
            <v>6631.2813526599875</v>
          </cell>
          <cell r="AP80">
            <v>121762965.21879326</v>
          </cell>
          <cell r="AQ80">
            <v>33656024.262645684</v>
          </cell>
          <cell r="AR80">
            <v>33656024.262645684</v>
          </cell>
          <cell r="AU80">
            <v>28213548837.167816</v>
          </cell>
          <cell r="AV80">
            <v>28213548837.167816</v>
          </cell>
          <cell r="AX80">
            <v>19837470961.122383</v>
          </cell>
        </row>
        <row r="81">
          <cell r="V81">
            <v>101546106.81769893</v>
          </cell>
          <cell r="W81">
            <v>1669935.880232587</v>
          </cell>
          <cell r="X81">
            <v>1669935.880232587</v>
          </cell>
          <cell r="AA81">
            <v>23964589664.838425</v>
          </cell>
          <cell r="AB81">
            <v>23964589664.838425</v>
          </cell>
          <cell r="AC81">
            <v>21359434118.120186</v>
          </cell>
          <cell r="AM81">
            <v>6699.9163240208773</v>
          </cell>
          <cell r="AP81">
            <v>133898651.60975373</v>
          </cell>
          <cell r="AQ81">
            <v>37091630.966594294</v>
          </cell>
          <cell r="AR81">
            <v>37091630.966594294</v>
          </cell>
          <cell r="AU81">
            <v>31599697349.929562</v>
          </cell>
          <cell r="AV81">
            <v>31599697349.929562</v>
          </cell>
          <cell r="AX81">
            <v>21845124607.020172</v>
          </cell>
        </row>
        <row r="82">
          <cell r="V82">
            <v>109884749.1474162</v>
          </cell>
          <cell r="W82">
            <v>1811326.4090509673</v>
          </cell>
          <cell r="X82">
            <v>1811326.4090509673</v>
          </cell>
          <cell r="AA82">
            <v>26502952079.084133</v>
          </cell>
          <cell r="AB82">
            <v>26502952079.084133</v>
          </cell>
          <cell r="AC82">
            <v>23382481921.743446</v>
          </cell>
          <cell r="AM82">
            <v>6765.5289501711122</v>
          </cell>
          <cell r="AP82">
            <v>147826314.96665263</v>
          </cell>
          <cell r="AQ82">
            <v>41235080.369178131</v>
          </cell>
          <cell r="AR82">
            <v>41235080.369178131</v>
          </cell>
          <cell r="AU82">
            <v>35654026350.215454</v>
          </cell>
          <cell r="AV82">
            <v>35654026350.215454</v>
          </cell>
          <cell r="AX82">
            <v>24112050016.958073</v>
          </cell>
        </row>
        <row r="83">
          <cell r="V83">
            <v>118829748.8968533</v>
          </cell>
          <cell r="W83">
            <v>1965638.2799364384</v>
          </cell>
          <cell r="X83">
            <v>1965638.2799364384</v>
          </cell>
          <cell r="AA83">
            <v>29311209940.458939</v>
          </cell>
          <cell r="AB83">
            <v>29311209940.458939</v>
          </cell>
          <cell r="AC83">
            <v>25603970760.001129</v>
          </cell>
          <cell r="AM83">
            <v>6834.7735983456605</v>
          </cell>
          <cell r="AP83">
            <v>163349281.95174778</v>
          </cell>
          <cell r="AQ83">
            <v>45899666.640430331</v>
          </cell>
          <cell r="AR83">
            <v>45899666.640430331</v>
          </cell>
          <cell r="AU83">
            <v>40292646760.256592</v>
          </cell>
          <cell r="AV83">
            <v>40292646760.256592</v>
          </cell>
          <cell r="AX83">
            <v>26659288633.076302</v>
          </cell>
        </row>
        <row r="84">
          <cell r="V84">
            <v>128466787.27142276</v>
          </cell>
          <cell r="W84">
            <v>2124513.8576807291</v>
          </cell>
          <cell r="X84">
            <v>2124513.8576807291</v>
          </cell>
          <cell r="AA84">
            <v>32260774643.944721</v>
          </cell>
          <cell r="AB84">
            <v>32260774643.944721</v>
          </cell>
          <cell r="AC84">
            <v>27869415022.317184</v>
          </cell>
          <cell r="AM84">
            <v>6900.8869383463989</v>
          </cell>
          <cell r="AP84">
            <v>179998984.05157429</v>
          </cell>
          <cell r="AQ84">
            <v>50809772.014126159</v>
          </cell>
          <cell r="AR84">
            <v>50809772.014126159</v>
          </cell>
          <cell r="AU84">
            <v>45201618129.969185</v>
          </cell>
          <cell r="AV84">
            <v>45201618129.969185</v>
          </cell>
          <cell r="AX84">
            <v>29243522240.586548</v>
          </cell>
        </row>
        <row r="85">
          <cell r="V85">
            <v>138712844.1461795</v>
          </cell>
          <cell r="W85">
            <v>2291471.4006120944</v>
          </cell>
          <cell r="X85">
            <v>2291471.4006120944</v>
          </cell>
          <cell r="AA85">
            <v>35389768096.543869</v>
          </cell>
          <cell r="AB85">
            <v>35389768096.543869</v>
          </cell>
          <cell r="AC85">
            <v>30218863069.463913</v>
          </cell>
          <cell r="AM85">
            <v>6970.3918944161269</v>
          </cell>
          <cell r="AP85">
            <v>198125209.64283481</v>
          </cell>
          <cell r="AQ85">
            <v>56121745.962327942</v>
          </cell>
          <cell r="AR85">
            <v>56121745.962327942</v>
          </cell>
          <cell r="AU85">
            <v>50547627845.839813</v>
          </cell>
          <cell r="AV85">
            <v>50547627845.839813</v>
          </cell>
          <cell r="AX85">
            <v>31976243553.369968</v>
          </cell>
        </row>
        <row r="86">
          <cell r="V86">
            <v>149521252.02205169</v>
          </cell>
          <cell r="W86">
            <v>2467437.632786449</v>
          </cell>
          <cell r="X86">
            <v>2467437.632786449</v>
          </cell>
          <cell r="AA86">
            <v>38746498615.531036</v>
          </cell>
          <cell r="AB86">
            <v>38746498615.531036</v>
          </cell>
          <cell r="AC86">
            <v>32705443888.339615</v>
          </cell>
          <cell r="AM86">
            <v>7033.5402391663247</v>
          </cell>
          <cell r="AP86">
            <v>217375370.94216651</v>
          </cell>
          <cell r="AQ86">
            <v>61771871.007760793</v>
          </cell>
          <cell r="AR86">
            <v>61771871.007760793</v>
          </cell>
          <cell r="AU86">
            <v>56330015936.590935</v>
          </cell>
          <cell r="AV86">
            <v>56330015936.590935</v>
          </cell>
          <cell r="AX86">
            <v>34867853288.084229</v>
          </cell>
        </row>
        <row r="87">
          <cell r="V87">
            <v>160406119.91714031</v>
          </cell>
          <cell r="W87">
            <v>2653100.7669467782</v>
          </cell>
          <cell r="X87">
            <v>2653100.7669467782</v>
          </cell>
          <cell r="AA87">
            <v>42210350761.962494</v>
          </cell>
          <cell r="AB87">
            <v>42210350761.962494</v>
          </cell>
          <cell r="AC87">
            <v>35218768133.196869</v>
          </cell>
          <cell r="AM87">
            <v>7099.4311889804285</v>
          </cell>
          <cell r="AP87">
            <v>237723042.94313484</v>
          </cell>
          <cell r="AQ87">
            <v>67566371.729418695</v>
          </cell>
          <cell r="AR87">
            <v>67566371.729418695</v>
          </cell>
          <cell r="AU87">
            <v>62556048559.831573</v>
          </cell>
          <cell r="AV87">
            <v>62556048559.831573</v>
          </cell>
          <cell r="AX87">
            <v>38211618609.449692</v>
          </cell>
        </row>
        <row r="88">
          <cell r="V88">
            <v>172036602.4899607</v>
          </cell>
          <cell r="W88">
            <v>2851564.0714742681</v>
          </cell>
          <cell r="X88">
            <v>2851564.0714742681</v>
          </cell>
          <cell r="AA88">
            <v>45954875400.001648</v>
          </cell>
          <cell r="AB88">
            <v>45954875400.001648</v>
          </cell>
          <cell r="AC88">
            <v>37901946838.356537</v>
          </cell>
          <cell r="AM88">
            <v>7164.874823510946</v>
          </cell>
          <cell r="AP88">
            <v>259715886.79241064</v>
          </cell>
          <cell r="AQ88">
            <v>73768708.592467785</v>
          </cell>
          <cell r="AR88">
            <v>73768708.592467785</v>
          </cell>
          <cell r="AU88">
            <v>69375999317.602478</v>
          </cell>
          <cell r="AV88">
            <v>69375999317.602478</v>
          </cell>
          <cell r="AX88">
            <v>41863259689.297783</v>
          </cell>
        </row>
        <row r="89">
          <cell r="V89">
            <v>184668815.54557794</v>
          </cell>
          <cell r="W89">
            <v>3068312.0278492644</v>
          </cell>
          <cell r="X89">
            <v>3068312.0278492644</v>
          </cell>
          <cell r="AA89">
            <v>50077008640.47924</v>
          </cell>
          <cell r="AB89">
            <v>50077008640.47924</v>
          </cell>
          <cell r="AC89">
            <v>40847817235.386818</v>
          </cell>
          <cell r="AM89">
            <v>7233.6037098586512</v>
          </cell>
          <cell r="AP89">
            <v>285375564.04827917</v>
          </cell>
          <cell r="AQ89">
            <v>80995035.70630452</v>
          </cell>
          <cell r="AR89">
            <v>80995035.70630452</v>
          </cell>
          <cell r="AU89">
            <v>77385857186.592651</v>
          </cell>
          <cell r="AV89">
            <v>77385857186.592651</v>
          </cell>
          <cell r="AX89">
            <v>45989128353.250328</v>
          </cell>
        </row>
        <row r="90">
          <cell r="V90">
            <v>198127505.24394149</v>
          </cell>
          <cell r="W90">
            <v>3299941.3049453176</v>
          </cell>
          <cell r="X90">
            <v>3299941.3049453176</v>
          </cell>
          <cell r="AA90">
            <v>54531236719.93045</v>
          </cell>
          <cell r="AB90">
            <v>54531236719.93045</v>
          </cell>
          <cell r="AC90">
            <v>44003070944.397125</v>
          </cell>
          <cell r="AM90">
            <v>7299.4068993376604</v>
          </cell>
          <cell r="AP90">
            <v>313597242.37001854</v>
          </cell>
          <cell r="AQ90">
            <v>88935432.78825666</v>
          </cell>
          <cell r="AR90">
            <v>88935432.78825666</v>
          </cell>
          <cell r="AU90">
            <v>86312324163.884918</v>
          </cell>
          <cell r="AV90">
            <v>86312324163.884918</v>
          </cell>
          <cell r="AX90">
            <v>50474495506.227081</v>
          </cell>
        </row>
        <row r="91">
          <cell r="V91">
            <v>212444028.43926013</v>
          </cell>
          <cell r="W91">
            <v>3567041.8595818277</v>
          </cell>
          <cell r="X91">
            <v>3567041.8595818277</v>
          </cell>
          <cell r="AA91">
            <v>59670558300.720673</v>
          </cell>
          <cell r="AB91">
            <v>59670558300.720673</v>
          </cell>
          <cell r="AC91">
            <v>47560162141.254837</v>
          </cell>
          <cell r="AM91">
            <v>7365.5472167192656</v>
          </cell>
          <cell r="AP91">
            <v>342090331.28541607</v>
          </cell>
          <cell r="AQ91">
            <v>97583867.939622477</v>
          </cell>
          <cell r="AR91">
            <v>97583867.939622477</v>
          </cell>
          <cell r="AU91">
            <v>96085172207.678558</v>
          </cell>
          <cell r="AV91">
            <v>96085172207.678558</v>
          </cell>
          <cell r="AX91">
            <v>55465570590.319138</v>
          </cell>
        </row>
        <row r="92">
          <cell r="V92">
            <v>227260633.12683338</v>
          </cell>
          <cell r="W92">
            <v>3855253.2133479314</v>
          </cell>
          <cell r="X92">
            <v>3855253.2133479314</v>
          </cell>
          <cell r="AA92">
            <v>65272846497.469284</v>
          </cell>
          <cell r="AB92">
            <v>65272846497.469284</v>
          </cell>
          <cell r="AC92">
            <v>51481327897.963394</v>
          </cell>
          <cell r="AM92">
            <v>7432.7116435634034</v>
          </cell>
          <cell r="AP92">
            <v>372476565.64675385</v>
          </cell>
          <cell r="AQ92">
            <v>107066777.20258611</v>
          </cell>
          <cell r="AR92">
            <v>107066777.20258611</v>
          </cell>
          <cell r="AU92">
            <v>106981157972.02908</v>
          </cell>
          <cell r="AV92">
            <v>106981157972.02908</v>
          </cell>
          <cell r="AX92">
            <v>61060336348.156876</v>
          </cell>
        </row>
        <row r="93">
          <cell r="V93">
            <v>243521972.39268059</v>
          </cell>
          <cell r="W93">
            <v>4162692.4018288245</v>
          </cell>
          <cell r="X93">
            <v>4162692.4018288245</v>
          </cell>
          <cell r="AA93">
            <v>71317989847.533722</v>
          </cell>
          <cell r="AB93">
            <v>71317989847.533722</v>
          </cell>
          <cell r="AC93">
            <v>55802199831.619293</v>
          </cell>
          <cell r="AM93">
            <v>7500.9766300257579</v>
          </cell>
          <cell r="AP93">
            <v>410688663.38769633</v>
          </cell>
          <cell r="AQ93">
            <v>118527727.54116148</v>
          </cell>
          <cell r="AR93">
            <v>118527727.54116148</v>
          </cell>
          <cell r="AU93">
            <v>120274526516.85757</v>
          </cell>
          <cell r="AV93">
            <v>120274526516.85757</v>
          </cell>
          <cell r="AX93">
            <v>67514695896.240952</v>
          </cell>
        </row>
        <row r="94">
          <cell r="V94">
            <v>260918618.99905962</v>
          </cell>
          <cell r="W94">
            <v>4482403.3061709013</v>
          </cell>
          <cell r="X94">
            <v>4482403.3061709013</v>
          </cell>
          <cell r="AA94">
            <v>77696330472.228485</v>
          </cell>
          <cell r="AB94">
            <v>77696330472.228485</v>
          </cell>
          <cell r="AC94">
            <v>60425304153.089912</v>
          </cell>
          <cell r="AM94">
            <v>7567.301633179989</v>
          </cell>
          <cell r="AP94">
            <v>455392972.31250578</v>
          </cell>
          <cell r="AQ94">
            <v>131549437.13758808</v>
          </cell>
          <cell r="AR94">
            <v>131549437.13758808</v>
          </cell>
          <cell r="AU94">
            <v>135606891555.90839</v>
          </cell>
          <cell r="AV94">
            <v>135606891555.90839</v>
          </cell>
          <cell r="AX94">
            <v>74663194801.863464</v>
          </cell>
        </row>
        <row r="95">
          <cell r="V95">
            <v>279344597.75540602</v>
          </cell>
          <cell r="W95">
            <v>4816143.1188074425</v>
          </cell>
          <cell r="X95">
            <v>4816143.1188074425</v>
          </cell>
          <cell r="AA95">
            <v>84445331660.005737</v>
          </cell>
          <cell r="AB95">
            <v>84445331660.005737</v>
          </cell>
          <cell r="AC95">
            <v>65280547195.354416</v>
          </cell>
          <cell r="AM95">
            <v>7627.993678963393</v>
          </cell>
          <cell r="AP95">
            <v>504228385.81733173</v>
          </cell>
          <cell r="AQ95">
            <v>145567556.1033535</v>
          </cell>
          <cell r="AR95">
            <v>145567556.1033535</v>
          </cell>
          <cell r="AU95">
            <v>152427265874.73407</v>
          </cell>
          <cell r="AV95">
            <v>152427265874.73407</v>
          </cell>
          <cell r="AX95">
            <v>82295650900.674866</v>
          </cell>
        </row>
        <row r="96">
          <cell r="V96">
            <v>299817410.13824493</v>
          </cell>
          <cell r="W96">
            <v>5187079.2198806982</v>
          </cell>
          <cell r="X96">
            <v>5187079.2198806982</v>
          </cell>
          <cell r="AA96">
            <v>91993523431.056778</v>
          </cell>
          <cell r="AB96">
            <v>91993523431.056778</v>
          </cell>
          <cell r="AC96">
            <v>70679894254.872879</v>
          </cell>
          <cell r="AM96">
            <v>7692.1192353066954</v>
          </cell>
          <cell r="AP96">
            <v>563547678.20632815</v>
          </cell>
          <cell r="AQ96">
            <v>162430375.19018972</v>
          </cell>
          <cell r="AR96">
            <v>162430375.19018972</v>
          </cell>
          <cell r="AU96">
            <v>172914363164.19037</v>
          </cell>
          <cell r="AV96">
            <v>172914363164.19037</v>
          </cell>
          <cell r="AX96">
            <v>91087417676.603409</v>
          </cell>
        </row>
        <row r="97">
          <cell r="V97">
            <v>320906548.06243151</v>
          </cell>
          <cell r="W97">
            <v>5563032.4679797031</v>
          </cell>
          <cell r="X97">
            <v>5563032.4679797031</v>
          </cell>
          <cell r="AA97">
            <v>100058759055.12541</v>
          </cell>
          <cell r="AB97">
            <v>100058759055.12541</v>
          </cell>
          <cell r="AC97">
            <v>75282035095.549179</v>
          </cell>
          <cell r="AM97">
            <v>7755.4959541611015</v>
          </cell>
          <cell r="AP97">
            <v>630203045.36561859</v>
          </cell>
          <cell r="AQ97">
            <v>180861809.8221415</v>
          </cell>
          <cell r="AR97">
            <v>180861809.8221415</v>
          </cell>
          <cell r="AU97">
            <v>196497500760.80426</v>
          </cell>
          <cell r="AV97">
            <v>196497500760.80426</v>
          </cell>
          <cell r="AX97">
            <v>99348073263.512024</v>
          </cell>
        </row>
        <row r="98">
          <cell r="V98">
            <v>342615932.47478902</v>
          </cell>
          <cell r="W98">
            <v>5945939.0028523654</v>
          </cell>
          <cell r="X98">
            <v>5945939.0028523654</v>
          </cell>
          <cell r="AA98">
            <v>108439714954.46297</v>
          </cell>
          <cell r="AB98">
            <v>108439714954.46297</v>
          </cell>
          <cell r="AC98">
            <v>79730080695.408356</v>
          </cell>
          <cell r="AM98">
            <v>7823.0950009437602</v>
          </cell>
          <cell r="AP98">
            <v>702770014.09096968</v>
          </cell>
          <cell r="AQ98">
            <v>200259400.29246777</v>
          </cell>
          <cell r="AR98">
            <v>200259400.29246777</v>
          </cell>
          <cell r="AU98">
            <v>222430344835.68961</v>
          </cell>
          <cell r="AV98">
            <v>222430344835.68961</v>
          </cell>
          <cell r="AX98">
            <v>107926680038.82706</v>
          </cell>
        </row>
        <row r="99">
          <cell r="V99">
            <v>365934840.70219171</v>
          </cell>
          <cell r="W99">
            <v>6357450.4554126095</v>
          </cell>
          <cell r="X99">
            <v>6357450.4554126095</v>
          </cell>
          <cell r="AA99">
            <v>117541945708.09518</v>
          </cell>
          <cell r="AB99">
            <v>117541945708.09518</v>
          </cell>
          <cell r="AC99">
            <v>84496605012.358582</v>
          </cell>
          <cell r="AM99">
            <v>7888.0310631705115</v>
          </cell>
          <cell r="AP99">
            <v>784877999.55359435</v>
          </cell>
          <cell r="AQ99">
            <v>221576358.08995831</v>
          </cell>
          <cell r="AR99">
            <v>221576358.08995831</v>
          </cell>
          <cell r="AU99">
            <v>252110695537.97305</v>
          </cell>
          <cell r="AV99">
            <v>252110695537.97305</v>
          </cell>
          <cell r="AX99">
            <v>117544994267.98996</v>
          </cell>
        </row>
        <row r="100">
          <cell r="V100">
            <v>390265439.13264179</v>
          </cell>
          <cell r="W100">
            <v>6780735.7445150055</v>
          </cell>
          <cell r="X100">
            <v>6780735.7445150055</v>
          </cell>
          <cell r="AA100">
            <v>127071595440.82481</v>
          </cell>
          <cell r="AB100">
            <v>127071595440.82481</v>
          </cell>
          <cell r="AC100">
            <v>89740461615.925583</v>
          </cell>
          <cell r="AM100">
            <v>7954.8076625951617</v>
          </cell>
          <cell r="AP100">
            <v>877160003.23307443</v>
          </cell>
          <cell r="AQ100">
            <v>244839281.86428335</v>
          </cell>
          <cell r="AR100">
            <v>244839281.86428335</v>
          </cell>
          <cell r="AU100">
            <v>285605923279.87964</v>
          </cell>
          <cell r="AV100">
            <v>285605923279.87964</v>
          </cell>
          <cell r="AX100">
            <v>128518064100.74277</v>
          </cell>
        </row>
        <row r="101">
          <cell r="V101">
            <v>414304873.46712941</v>
          </cell>
          <cell r="W101">
            <v>7187861.7126847375</v>
          </cell>
          <cell r="X101">
            <v>7187861.7126847375</v>
          </cell>
          <cell r="AA101">
            <v>136507050527.78929</v>
          </cell>
          <cell r="AB101">
            <v>136507050527.78929</v>
          </cell>
          <cell r="AC101">
            <v>95082035179.98465</v>
          </cell>
          <cell r="AM101">
            <v>8019.3273390033364</v>
          </cell>
          <cell r="AP101">
            <v>970107710.37352204</v>
          </cell>
          <cell r="AQ101">
            <v>267982471.96993387</v>
          </cell>
          <cell r="AR101">
            <v>267982471.96993387</v>
          </cell>
          <cell r="AU101">
            <v>319635492407.17041</v>
          </cell>
          <cell r="AV101">
            <v>319635492407.17041</v>
          </cell>
          <cell r="AX101">
            <v>139706529012.29608</v>
          </cell>
        </row>
        <row r="102">
          <cell r="V102">
            <v>438734750.26074004</v>
          </cell>
          <cell r="W102">
            <v>7624923.0104310326</v>
          </cell>
          <cell r="X102">
            <v>7624923.0104310326</v>
          </cell>
          <cell r="AA102">
            <v>146723110883.94608</v>
          </cell>
          <cell r="AB102">
            <v>146723110883.94608</v>
          </cell>
          <cell r="AC102">
            <v>100423394802.70532</v>
          </cell>
          <cell r="AM102">
            <v>8084.5792648501019</v>
          </cell>
          <cell r="AP102">
            <v>1059393434.2220118</v>
          </cell>
          <cell r="AQ102">
            <v>291494513.15852869</v>
          </cell>
          <cell r="AR102">
            <v>291494513.15852869</v>
          </cell>
          <cell r="AU102">
            <v>354285818998.16278</v>
          </cell>
          <cell r="AV102">
            <v>354285818998.16278</v>
          </cell>
          <cell r="AX102">
            <v>150652006288.2179</v>
          </cell>
        </row>
        <row r="103">
          <cell r="V103">
            <v>463555379.13030922</v>
          </cell>
          <cell r="W103">
            <v>8070775.0857364917</v>
          </cell>
          <cell r="X103">
            <v>8070775.0857364917</v>
          </cell>
          <cell r="AA103">
            <v>157330151493.17276</v>
          </cell>
          <cell r="AB103">
            <v>157330151493.17276</v>
          </cell>
          <cell r="AC103">
            <v>105829975408.33223</v>
          </cell>
          <cell r="AM103">
            <v>8153.232771226174</v>
          </cell>
          <cell r="AP103">
            <v>1149566033.7587404</v>
          </cell>
          <cell r="AQ103">
            <v>316919084.77668804</v>
          </cell>
          <cell r="AR103">
            <v>316919084.77668804</v>
          </cell>
          <cell r="AU103">
            <v>390161362342.4845</v>
          </cell>
          <cell r="AV103">
            <v>390161362342.4845</v>
          </cell>
          <cell r="AX103">
            <v>161110298099.7785</v>
          </cell>
        </row>
        <row r="104">
          <cell r="V104">
            <v>488251106.52469933</v>
          </cell>
          <cell r="W104">
            <v>8515917.5143048577</v>
          </cell>
          <cell r="X104">
            <v>8515917.5143048577</v>
          </cell>
          <cell r="AA104">
            <v>168147211792.00143</v>
          </cell>
          <cell r="AB104">
            <v>168147211792.00143</v>
          </cell>
          <cell r="AC104">
            <v>111338615357.65768</v>
          </cell>
          <cell r="AM104">
            <v>8223.4023573310569</v>
          </cell>
          <cell r="AP104">
            <v>1243292714.5818105</v>
          </cell>
          <cell r="AQ104">
            <v>344137064.09417129</v>
          </cell>
          <cell r="AR104">
            <v>344137064.09417129</v>
          </cell>
          <cell r="AU104">
            <v>428173537355.1366</v>
          </cell>
          <cell r="AV104">
            <v>428173537355.1366</v>
          </cell>
          <cell r="AX104">
            <v>171645141835.26608</v>
          </cell>
        </row>
        <row r="105">
          <cell r="V105">
            <v>513888741.27291113</v>
          </cell>
          <cell r="W105">
            <v>8978637.999982927</v>
          </cell>
          <cell r="X105">
            <v>8978637.999982927</v>
          </cell>
          <cell r="AA105">
            <v>179539443122.68512</v>
          </cell>
          <cell r="AB105">
            <v>179539443122.68512</v>
          </cell>
          <cell r="AC105">
            <v>117071800113.24155</v>
          </cell>
          <cell r="AM105">
            <v>8292.339753941611</v>
          </cell>
          <cell r="AP105">
            <v>1343146746.6552253</v>
          </cell>
          <cell r="AQ105">
            <v>373207281.02063209</v>
          </cell>
          <cell r="AR105">
            <v>373207281.02063209</v>
          </cell>
          <cell r="AU105">
            <v>469260755410.20447</v>
          </cell>
          <cell r="AV105">
            <v>469260755410.20447</v>
          </cell>
          <cell r="AX105">
            <v>182730905550.60516</v>
          </cell>
        </row>
        <row r="106">
          <cell r="V106">
            <v>540544171.97887087</v>
          </cell>
          <cell r="W106">
            <v>9459428.7896136232</v>
          </cell>
          <cell r="X106">
            <v>9459428.7896136232</v>
          </cell>
          <cell r="AA106">
            <v>191530061197.74768</v>
          </cell>
          <cell r="AB106">
            <v>191530061197.74768</v>
          </cell>
          <cell r="AC106">
            <v>123023020900.38857</v>
          </cell>
          <cell r="AM106">
            <v>8360.0042099102466</v>
          </cell>
          <cell r="AP106">
            <v>1449250391.6161041</v>
          </cell>
          <cell r="AQ106">
            <v>404174374.56800079</v>
          </cell>
          <cell r="AR106">
            <v>404174374.56800079</v>
          </cell>
          <cell r="AU106">
            <v>513510330119.59344</v>
          </cell>
          <cell r="AV106">
            <v>513510330119.59344</v>
          </cell>
          <cell r="AX106">
            <v>194342416105.87863</v>
          </cell>
        </row>
        <row r="107">
          <cell r="V107">
            <v>555384203.90130806</v>
          </cell>
          <cell r="W107">
            <v>9688658.1367604006</v>
          </cell>
          <cell r="X107">
            <v>9688658.1367604006</v>
          </cell>
          <cell r="AA107">
            <v>197597625859.19324</v>
          </cell>
          <cell r="AB107">
            <v>197597625859.19324</v>
          </cell>
          <cell r="AC107">
            <v>128529789245.50049</v>
          </cell>
          <cell r="AM107">
            <v>8426.5685304832405</v>
          </cell>
          <cell r="AP107">
            <v>1535348609.8775115</v>
          </cell>
          <cell r="AQ107">
            <v>425572907.01652014</v>
          </cell>
          <cell r="AR107">
            <v>425572907.01652014</v>
          </cell>
          <cell r="AU107">
            <v>546254715288.80548</v>
          </cell>
          <cell r="AV107">
            <v>546254715288.80548</v>
          </cell>
          <cell r="AX107">
            <v>205333283418.52112</v>
          </cell>
        </row>
        <row r="108">
          <cell r="V108">
            <v>569960009.09256506</v>
          </cell>
          <cell r="W108">
            <v>9912112.4385157991</v>
          </cell>
          <cell r="X108">
            <v>9912112.4385157991</v>
          </cell>
          <cell r="AA108">
            <v>203614048123.38116</v>
          </cell>
          <cell r="AB108">
            <v>203614048123.38116</v>
          </cell>
          <cell r="AC108">
            <v>134180532289.68536</v>
          </cell>
          <cell r="AM108">
            <v>8489.4010346323121</v>
          </cell>
          <cell r="AP108">
            <v>1623987619.205678</v>
          </cell>
          <cell r="AQ108">
            <v>447404369.23253071</v>
          </cell>
          <cell r="AR108">
            <v>447404369.23253071</v>
          </cell>
          <cell r="AU108">
            <v>580157709266.6123</v>
          </cell>
          <cell r="AV108">
            <v>580157709266.6123</v>
          </cell>
          <cell r="AX108">
            <v>216674329325.51361</v>
          </cell>
        </row>
        <row r="109">
          <cell r="V109">
            <v>585232549.924914</v>
          </cell>
          <cell r="W109">
            <v>10146519.902324375</v>
          </cell>
          <cell r="X109">
            <v>10146519.902324375</v>
          </cell>
          <cell r="AA109">
            <v>209922870001.12808</v>
          </cell>
          <cell r="AB109">
            <v>209922870001.12808</v>
          </cell>
          <cell r="AC109">
            <v>140103588532.02576</v>
          </cell>
          <cell r="AM109">
            <v>8555.8453389976094</v>
          </cell>
          <cell r="AP109">
            <v>1719544360.8105085</v>
          </cell>
          <cell r="AQ109">
            <v>470858443.13837844</v>
          </cell>
          <cell r="AR109">
            <v>470858443.13837844</v>
          </cell>
          <cell r="AU109">
            <v>616800428072.41382</v>
          </cell>
          <cell r="AV109">
            <v>616800428072.41382</v>
          </cell>
          <cell r="AX109">
            <v>228791216215.40872</v>
          </cell>
        </row>
        <row r="110">
          <cell r="V110">
            <v>601251838.72340441</v>
          </cell>
          <cell r="W110">
            <v>10393118.274200298</v>
          </cell>
          <cell r="X110">
            <v>10393118.274200298</v>
          </cell>
          <cell r="AA110">
            <v>216554718750.91064</v>
          </cell>
          <cell r="AB110">
            <v>216554718750.91064</v>
          </cell>
          <cell r="AC110">
            <v>146317454586.08289</v>
          </cell>
          <cell r="AM110">
            <v>8623.1533402271834</v>
          </cell>
          <cell r="AP110">
            <v>1822475283.1774147</v>
          </cell>
          <cell r="AQ110">
            <v>496048422.19197345</v>
          </cell>
          <cell r="AR110">
            <v>496048422.19197345</v>
          </cell>
          <cell r="AU110">
            <v>656406512147.94934</v>
          </cell>
          <cell r="AV110">
            <v>656406512147.94934</v>
          </cell>
          <cell r="AX110">
            <v>241668618705.19238</v>
          </cell>
        </row>
        <row r="111">
          <cell r="V111">
            <v>617677173.92111003</v>
          </cell>
          <cell r="W111">
            <v>10645965.394096598</v>
          </cell>
          <cell r="X111">
            <v>10645965.394096598</v>
          </cell>
          <cell r="AA111">
            <v>223390290435.45526</v>
          </cell>
          <cell r="AB111">
            <v>223390290435.45526</v>
          </cell>
          <cell r="AC111">
            <v>152801865041.48276</v>
          </cell>
          <cell r="AM111">
            <v>8692.869497085283</v>
          </cell>
          <cell r="AP111">
            <v>1932381023.6125183</v>
          </cell>
          <cell r="AQ111">
            <v>522802855.23278177</v>
          </cell>
          <cell r="AR111">
            <v>522802855.23278177</v>
          </cell>
          <cell r="AU111">
            <v>698868561641.06274</v>
          </cell>
          <cell r="AV111">
            <v>698868561641.06274</v>
          </cell>
          <cell r="AX111">
            <v>255362456234.32797</v>
          </cell>
        </row>
        <row r="112">
          <cell r="V112">
            <v>632887548.54243219</v>
          </cell>
          <cell r="W112">
            <v>10875950.336521385</v>
          </cell>
          <cell r="X112">
            <v>10875950.336521385</v>
          </cell>
          <cell r="AA112">
            <v>229817208350.33514</v>
          </cell>
          <cell r="AB112">
            <v>229817208350.33514</v>
          </cell>
          <cell r="AC112">
            <v>158659203266.79208</v>
          </cell>
          <cell r="AM112">
            <v>8758.5837231091937</v>
          </cell>
          <cell r="AP112">
            <v>2046575739.0521307</v>
          </cell>
          <cell r="AQ112">
            <v>550343341.03863692</v>
          </cell>
          <cell r="AR112">
            <v>550343341.03863692</v>
          </cell>
          <cell r="AU112">
            <v>743162547769.65442</v>
          </cell>
          <cell r="AV112">
            <v>743162547769.65442</v>
          </cell>
          <cell r="AX112">
            <v>268310459305.07556</v>
          </cell>
        </row>
        <row r="113">
          <cell r="V113">
            <v>647248819.18063688</v>
          </cell>
          <cell r="W113">
            <v>11091997.373766329</v>
          </cell>
          <cell r="X113">
            <v>11091997.373766329</v>
          </cell>
          <cell r="AA113">
            <v>236015266550.65784</v>
          </cell>
          <cell r="AB113">
            <v>236015266550.65784</v>
          </cell>
          <cell r="AC113">
            <v>164414952189.51385</v>
          </cell>
          <cell r="AM113">
            <v>8827.7987660046656</v>
          </cell>
          <cell r="AP113">
            <v>2155032609.3585043</v>
          </cell>
          <cell r="AQ113">
            <v>576106353.68667531</v>
          </cell>
          <cell r="AR113">
            <v>576106353.68667531</v>
          </cell>
          <cell r="AU113">
            <v>785819271740.00647</v>
          </cell>
          <cell r="AV113">
            <v>785819271740.00647</v>
          </cell>
          <cell r="AX113">
            <v>281326966985.97491</v>
          </cell>
        </row>
        <row r="114">
          <cell r="V114">
            <v>661160075.23663747</v>
          </cell>
          <cell r="W114">
            <v>11299420.992595989</v>
          </cell>
          <cell r="X114">
            <v>11299420.992595989</v>
          </cell>
          <cell r="AA114">
            <v>242092173628.17834</v>
          </cell>
          <cell r="AB114">
            <v>242092173628.17834</v>
          </cell>
          <cell r="AC114">
            <v>170119514864.7955</v>
          </cell>
          <cell r="AM114">
            <v>8890.3392312856377</v>
          </cell>
          <cell r="AP114">
            <v>2260767123.7589288</v>
          </cell>
          <cell r="AQ114">
            <v>600961998.88043523</v>
          </cell>
          <cell r="AR114">
            <v>600961998.88043523</v>
          </cell>
          <cell r="AU114">
            <v>827808646585.37256</v>
          </cell>
          <cell r="AV114">
            <v>827808646585.37256</v>
          </cell>
          <cell r="AX114">
            <v>294144422234.0141</v>
          </cell>
        </row>
        <row r="115">
          <cell r="V115">
            <v>675641205.53317118</v>
          </cell>
          <cell r="W115">
            <v>11515685.741523881</v>
          </cell>
          <cell r="X115">
            <v>11515685.741523881</v>
          </cell>
          <cell r="AA115">
            <v>248420873370.39185</v>
          </cell>
          <cell r="AB115">
            <v>248420873370.39185</v>
          </cell>
          <cell r="AC115">
            <v>176031677769.70816</v>
          </cell>
          <cell r="AM115">
            <v>8956.4476422637272</v>
          </cell>
          <cell r="AP115">
            <v>2373228897.888032</v>
          </cell>
          <cell r="AQ115">
            <v>627267977.5409615</v>
          </cell>
          <cell r="AR115">
            <v>627267977.5409615</v>
          </cell>
          <cell r="AU115">
            <v>872592717396.44165</v>
          </cell>
          <cell r="AV115">
            <v>872592717396.44165</v>
          </cell>
          <cell r="AX115">
            <v>307711596664.8927</v>
          </cell>
        </row>
        <row r="116">
          <cell r="V116">
            <v>690582409.15141606</v>
          </cell>
          <cell r="W116">
            <v>11738864.964463059</v>
          </cell>
          <cell r="X116">
            <v>11738864.964463059</v>
          </cell>
          <cell r="AA116">
            <v>254963424006.73251</v>
          </cell>
          <cell r="AB116">
            <v>254963424006.73251</v>
          </cell>
          <cell r="AC116">
            <v>182139655553.1813</v>
          </cell>
          <cell r="AM116">
            <v>9023.9742830719788</v>
          </cell>
          <cell r="AP116">
            <v>2491593768.3069129</v>
          </cell>
          <cell r="AQ116">
            <v>654807410.37472868</v>
          </cell>
          <cell r="AR116">
            <v>654807410.37472868</v>
          </cell>
          <cell r="AU116">
            <v>919897857204.29578</v>
          </cell>
          <cell r="AV116">
            <v>919897857204.29578</v>
          </cell>
          <cell r="AX116">
            <v>321935015977.2652</v>
          </cell>
        </row>
        <row r="117">
          <cell r="V117">
            <v>706184220.5638535</v>
          </cell>
          <cell r="W117">
            <v>11975158.93468827</v>
          </cell>
          <cell r="X117">
            <v>11975158.93468827</v>
          </cell>
          <cell r="AA117">
            <v>261796168627.53122</v>
          </cell>
          <cell r="AB117">
            <v>261796168627.53122</v>
          </cell>
          <cell r="AC117">
            <v>188066416888.8877</v>
          </cell>
          <cell r="AM117">
            <v>9093.2224211633438</v>
          </cell>
          <cell r="AP117">
            <v>2593289561.5007987</v>
          </cell>
          <cell r="AQ117">
            <v>677669628.91782367</v>
          </cell>
          <cell r="AR117">
            <v>677669628.91782367</v>
          </cell>
          <cell r="AU117">
            <v>961382669809.02063</v>
          </cell>
          <cell r="AV117">
            <v>961382669809.02063</v>
          </cell>
          <cell r="AX117">
            <v>336983554801.61755</v>
          </cell>
        </row>
        <row r="118">
          <cell r="V118">
            <v>723948953.18527985</v>
          </cell>
          <cell r="W118">
            <v>12246178.198868008</v>
          </cell>
          <cell r="X118">
            <v>12246178.198868008</v>
          </cell>
          <cell r="AA118">
            <v>269091750135.45447</v>
          </cell>
          <cell r="AB118">
            <v>269091750135.45447</v>
          </cell>
          <cell r="AC118">
            <v>194645946049.47943</v>
          </cell>
          <cell r="AM118">
            <v>9160.4169527518316</v>
          </cell>
          <cell r="AP118">
            <v>2704893892.3871322</v>
          </cell>
          <cell r="AQ118">
            <v>702783439.75206029</v>
          </cell>
          <cell r="AR118">
            <v>702783439.75206029</v>
          </cell>
          <cell r="AU118">
            <v>1005408776724.7219</v>
          </cell>
          <cell r="AV118">
            <v>1005408776724.7219</v>
          </cell>
          <cell r="AX118">
            <v>353445335152.15881</v>
          </cell>
        </row>
        <row r="119">
          <cell r="V119">
            <v>743133450.67859459</v>
          </cell>
          <cell r="W119">
            <v>12540069.104258655</v>
          </cell>
          <cell r="X119">
            <v>12540069.104258655</v>
          </cell>
          <cell r="AA119">
            <v>276769237765.01868</v>
          </cell>
          <cell r="AB119">
            <v>276769237765.01868</v>
          </cell>
          <cell r="AC119">
            <v>201702147469.28009</v>
          </cell>
          <cell r="AM119">
            <v>9228.7957794339563</v>
          </cell>
          <cell r="AP119">
            <v>2824821754.1628256</v>
          </cell>
          <cell r="AQ119">
            <v>729806710.38756979</v>
          </cell>
          <cell r="AR119">
            <v>729806710.38756979</v>
          </cell>
          <cell r="AU119">
            <v>1052063748452.937</v>
          </cell>
          <cell r="AV119">
            <v>1052063748452.937</v>
          </cell>
          <cell r="AX119">
            <v>371150932461.87506</v>
          </cell>
        </row>
        <row r="120">
          <cell r="V120">
            <v>762441461.96380353</v>
          </cell>
          <cell r="W120">
            <v>12833600.593778843</v>
          </cell>
          <cell r="X120">
            <v>12833600.593778843</v>
          </cell>
          <cell r="AA120">
            <v>284490907710.84399</v>
          </cell>
          <cell r="AB120">
            <v>284490907710.84399</v>
          </cell>
          <cell r="AC120">
            <v>208895535841.90161</v>
          </cell>
          <cell r="AM120">
            <v>9294.3116472404508</v>
          </cell>
          <cell r="AP120">
            <v>2947011752.9370952</v>
          </cell>
          <cell r="AQ120">
            <v>757063144.79995501</v>
          </cell>
          <cell r="AR120">
            <v>757063144.79995501</v>
          </cell>
          <cell r="AU120">
            <v>1099622843789.4189</v>
          </cell>
          <cell r="AV120">
            <v>1099622843789.4189</v>
          </cell>
          <cell r="AX120">
            <v>389326210864.75525</v>
          </cell>
        </row>
        <row r="121">
          <cell r="V121">
            <v>782333313.09915125</v>
          </cell>
          <cell r="W121">
            <v>13133692.829120059</v>
          </cell>
          <cell r="X121">
            <v>13133692.829120059</v>
          </cell>
          <cell r="AA121">
            <v>292410413521.37366</v>
          </cell>
          <cell r="AB121">
            <v>292410413521.37366</v>
          </cell>
          <cell r="AC121">
            <v>216266075734.54196</v>
          </cell>
          <cell r="AM121">
            <v>9358.3465384084921</v>
          </cell>
          <cell r="AP121">
            <v>3072578857.2080035</v>
          </cell>
          <cell r="AQ121">
            <v>784744065.84908271</v>
          </cell>
          <cell r="AR121">
            <v>784744065.84908271</v>
          </cell>
          <cell r="AU121">
            <v>1148428731296.2139</v>
          </cell>
          <cell r="AV121">
            <v>1148428731296.2139</v>
          </cell>
          <cell r="AX121">
            <v>408111197935.19373</v>
          </cell>
        </row>
        <row r="122">
          <cell r="V122">
            <v>805770930.67481279</v>
          </cell>
          <cell r="W122">
            <v>13488998.430260248</v>
          </cell>
          <cell r="X122">
            <v>13488998.430260248</v>
          </cell>
          <cell r="AA122">
            <v>301617219790.51575</v>
          </cell>
          <cell r="AB122">
            <v>301617219790.51575</v>
          </cell>
          <cell r="AC122">
            <v>223903307760.67743</v>
          </cell>
          <cell r="AM122">
            <v>9425.4284734329576</v>
          </cell>
          <cell r="AP122">
            <v>3207918592.1763048</v>
          </cell>
          <cell r="AQ122">
            <v>814405224.29500997</v>
          </cell>
          <cell r="AR122">
            <v>814405224.29500997</v>
          </cell>
          <cell r="AU122">
            <v>1200792247836.7546</v>
          </cell>
          <cell r="AV122">
            <v>1200792247836.7546</v>
          </cell>
          <cell r="AX122">
            <v>427911007980.18335</v>
          </cell>
        </row>
        <row r="123">
          <cell r="V123">
            <v>828751752.15058851</v>
          </cell>
          <cell r="W123">
            <v>13819243.420676913</v>
          </cell>
          <cell r="X123">
            <v>13819243.420676913</v>
          </cell>
          <cell r="AA123">
            <v>310324235751.21747</v>
          </cell>
          <cell r="AB123">
            <v>310324235751.21747</v>
          </cell>
          <cell r="AC123">
            <v>231349473154.06183</v>
          </cell>
          <cell r="AM123">
            <v>9492.7597957455237</v>
          </cell>
          <cell r="AP123">
            <v>3342689541.8510084</v>
          </cell>
          <cell r="AQ123">
            <v>842586135.54057324</v>
          </cell>
          <cell r="AR123">
            <v>842586135.54057324</v>
          </cell>
          <cell r="AU123">
            <v>1251662605522.9329</v>
          </cell>
          <cell r="AV123">
            <v>1251662605522.9329</v>
          </cell>
          <cell r="AX123">
            <v>447737261804.39447</v>
          </cell>
        </row>
        <row r="124">
          <cell r="V124">
            <v>852404939.73692751</v>
          </cell>
          <cell r="W124">
            <v>14158331.310610414</v>
          </cell>
          <cell r="X124">
            <v>14158331.310610414</v>
          </cell>
          <cell r="AA124">
            <v>319288485132.23853</v>
          </cell>
          <cell r="AB124">
            <v>319288485132.23853</v>
          </cell>
          <cell r="AC124">
            <v>239046547894.9462</v>
          </cell>
          <cell r="AM124">
            <v>9561.3208154410822</v>
          </cell>
          <cell r="AP124">
            <v>3483647001.1803026</v>
          </cell>
          <cell r="AQ124">
            <v>871858520.96597481</v>
          </cell>
          <cell r="AR124">
            <v>871858520.96597481</v>
          </cell>
          <cell r="AU124">
            <v>1304882599678.0398</v>
          </cell>
          <cell r="AV124">
            <v>1304882599678.0398</v>
          </cell>
          <cell r="AX124">
            <v>468541823793.3418</v>
          </cell>
        </row>
        <row r="125">
          <cell r="V125">
            <v>876229810.46033978</v>
          </cell>
          <cell r="W125">
            <v>14497891.688218743</v>
          </cell>
          <cell r="X125">
            <v>14497891.688218743</v>
          </cell>
          <cell r="AA125">
            <v>328322583353.98175</v>
          </cell>
          <cell r="AB125">
            <v>328322583353.98175</v>
          </cell>
          <cell r="AC125">
            <v>246927748573.92343</v>
          </cell>
          <cell r="AM125">
            <v>9628.7780384292182</v>
          </cell>
          <cell r="AP125">
            <v>3628773961.0248237</v>
          </cell>
          <cell r="AQ125">
            <v>901732722.68959248</v>
          </cell>
          <cell r="AR125">
            <v>901732722.68959248</v>
          </cell>
          <cell r="AU125">
            <v>1359698593985.7583</v>
          </cell>
          <cell r="AV125">
            <v>1359698593985.7583</v>
          </cell>
          <cell r="AX125">
            <v>490080555921.29156</v>
          </cell>
        </row>
        <row r="126">
          <cell r="V126">
            <v>900424897.66253829</v>
          </cell>
          <cell r="W126">
            <v>14841207.858098615</v>
          </cell>
          <cell r="X126">
            <v>14841207.858098615</v>
          </cell>
          <cell r="AA126">
            <v>337500976971.45349</v>
          </cell>
          <cell r="AB126">
            <v>337500976971.45349</v>
          </cell>
          <cell r="AC126">
            <v>255043629813.8302</v>
          </cell>
          <cell r="AM126">
            <v>9697.4598905166167</v>
          </cell>
          <cell r="AP126">
            <v>3779856745.640595</v>
          </cell>
          <cell r="AQ126">
            <v>932634938.40379238</v>
          </cell>
          <cell r="AR126">
            <v>932634938.40379238</v>
          </cell>
          <cell r="AU126">
            <v>1416781508127.4539</v>
          </cell>
          <cell r="AV126">
            <v>1416781508127.4539</v>
          </cell>
          <cell r="AX126">
            <v>512602001723.65247</v>
          </cell>
        </row>
        <row r="127">
          <cell r="V127">
            <v>924532718.67504382</v>
          </cell>
          <cell r="W127">
            <v>15180741.467851665</v>
          </cell>
          <cell r="X127">
            <v>15180741.467851665</v>
          </cell>
          <cell r="AA127">
            <v>346652238851.5545</v>
          </cell>
          <cell r="AB127">
            <v>346652238851.5545</v>
          </cell>
          <cell r="AC127">
            <v>262909735553.51501</v>
          </cell>
          <cell r="AM127">
            <v>9760.4131448162898</v>
          </cell>
          <cell r="AP127">
            <v>3929119104.5549569</v>
          </cell>
          <cell r="AQ127">
            <v>962635746.34418571</v>
          </cell>
          <cell r="AR127">
            <v>962635746.34418571</v>
          </cell>
          <cell r="AU127">
            <v>1473217666390.801</v>
          </cell>
          <cell r="AV127">
            <v>1473217666390.801</v>
          </cell>
          <cell r="AX127">
            <v>534578617287.98535</v>
          </cell>
        </row>
        <row r="128">
          <cell r="V128">
            <v>949362607.88281178</v>
          </cell>
          <cell r="W128">
            <v>15529790.618261142</v>
          </cell>
          <cell r="X128">
            <v>15529790.618261142</v>
          </cell>
          <cell r="AA128">
            <v>356079862486.10376</v>
          </cell>
          <cell r="AB128">
            <v>356079862486.10376</v>
          </cell>
          <cell r="AC128">
            <v>271079768817.65808</v>
          </cell>
          <cell r="AM128">
            <v>9827.522464183945</v>
          </cell>
          <cell r="AP128">
            <v>4087321526.0337367</v>
          </cell>
          <cell r="AQ128">
            <v>994294813.96765161</v>
          </cell>
          <cell r="AR128">
            <v>994294813.96765161</v>
          </cell>
          <cell r="AU128">
            <v>1533042143056.7224</v>
          </cell>
          <cell r="AV128">
            <v>1533042143056.7224</v>
          </cell>
          <cell r="AX128">
            <v>557909092185.21826</v>
          </cell>
        </row>
        <row r="129">
          <cell r="V129">
            <v>974435513.69632864</v>
          </cell>
          <cell r="W129">
            <v>15880457.450900555</v>
          </cell>
          <cell r="X129">
            <v>15880457.450900555</v>
          </cell>
          <cell r="AA129">
            <v>365590988317.24603</v>
          </cell>
          <cell r="AB129">
            <v>365590988317.24603</v>
          </cell>
          <cell r="AC129">
            <v>279474866923.22675</v>
          </cell>
          <cell r="AM129">
            <v>9894.7726095039707</v>
          </cell>
          <cell r="AP129">
            <v>4251273665.7896376</v>
          </cell>
          <cell r="AQ129">
            <v>1026874719.3522797</v>
          </cell>
          <cell r="AR129">
            <v>1026874719.3522797</v>
          </cell>
          <cell r="AU129">
            <v>1595002767486.8508</v>
          </cell>
          <cell r="AV129">
            <v>1595002767486.8508</v>
          </cell>
          <cell r="AX129">
            <v>582184377823.88477</v>
          </cell>
        </row>
        <row r="130">
          <cell r="V130">
            <v>1000243845.3236772</v>
          </cell>
          <cell r="W130">
            <v>16236746.666015755</v>
          </cell>
          <cell r="X130">
            <v>16236746.666015755</v>
          </cell>
          <cell r="AA130">
            <v>375290332728.56665</v>
          </cell>
          <cell r="AB130">
            <v>375290332728.56665</v>
          </cell>
          <cell r="AC130">
            <v>288074949105.77704</v>
          </cell>
          <cell r="AM130">
            <v>9964.7319695259612</v>
          </cell>
          <cell r="AP130">
            <v>4422561918.6486654</v>
          </cell>
          <cell r="AQ130">
            <v>1060474133.4370048</v>
          </cell>
          <cell r="AR130">
            <v>1060474133.4370048</v>
          </cell>
          <cell r="AU130">
            <v>1659340111635.7332</v>
          </cell>
          <cell r="AV130">
            <v>1659340111635.7332</v>
          </cell>
          <cell r="AX130">
            <v>607532141288.81799</v>
          </cell>
        </row>
        <row r="131">
          <cell r="V131">
            <v>1025849553.2832754</v>
          </cell>
          <cell r="W131">
            <v>16576236.078533236</v>
          </cell>
          <cell r="X131">
            <v>16576236.078533236</v>
          </cell>
          <cell r="AA131">
            <v>384659396421.21008</v>
          </cell>
          <cell r="AB131">
            <v>384659396421.21008</v>
          </cell>
          <cell r="AC131">
            <v>296583582719.98486</v>
          </cell>
          <cell r="AM131">
            <v>10031.59903320772</v>
          </cell>
          <cell r="AP131">
            <v>4595295172.3658504</v>
          </cell>
          <cell r="AQ131">
            <v>1093102323.6167893</v>
          </cell>
          <cell r="AR131">
            <v>1093102323.6167893</v>
          </cell>
          <cell r="AU131">
            <v>1723082553111.4133</v>
          </cell>
          <cell r="AV131">
            <v>1723082553111.4133</v>
          </cell>
          <cell r="AX131">
            <v>633010968950.15881</v>
          </cell>
        </row>
        <row r="132">
          <cell r="V132">
            <v>1051540705.5814641</v>
          </cell>
          <cell r="W132">
            <v>16910078.390902944</v>
          </cell>
          <cell r="X132">
            <v>16910078.390902944</v>
          </cell>
          <cell r="AA132">
            <v>393953035915.53979</v>
          </cell>
          <cell r="AB132">
            <v>393953035915.53979</v>
          </cell>
          <cell r="AC132">
            <v>304861569440.51624</v>
          </cell>
          <cell r="AM132">
            <v>10100.701474338126</v>
          </cell>
          <cell r="AP132">
            <v>4773944088.5578213</v>
          </cell>
          <cell r="AQ132">
            <v>1126409997.3123324</v>
          </cell>
          <cell r="AR132">
            <v>1126409997.3123324</v>
          </cell>
          <cell r="AU132">
            <v>1788527783086.0894</v>
          </cell>
          <cell r="AV132">
            <v>1788527783086.0894</v>
          </cell>
          <cell r="AX132">
            <v>658807844126.37695</v>
          </cell>
        </row>
        <row r="133">
          <cell r="V133">
            <v>1077321908.6947205</v>
          </cell>
          <cell r="W133">
            <v>17287751.588006467</v>
          </cell>
          <cell r="X133">
            <v>17287751.588006467</v>
          </cell>
          <cell r="AA133">
            <v>404326564516.6925</v>
          </cell>
          <cell r="AB133">
            <v>404326564516.6925</v>
          </cell>
          <cell r="AC133">
            <v>314044728091.36145</v>
          </cell>
          <cell r="AM133">
            <v>10163.927642580593</v>
          </cell>
          <cell r="AP133">
            <v>4953376390.6297684</v>
          </cell>
          <cell r="AQ133">
            <v>1162403625.8148632</v>
          </cell>
          <cell r="AR133">
            <v>1162403625.8148632</v>
          </cell>
          <cell r="AU133">
            <v>1859037343079.741</v>
          </cell>
          <cell r="AV133">
            <v>1859037343079.741</v>
          </cell>
          <cell r="AX133">
            <v>686615918934.93555</v>
          </cell>
        </row>
        <row r="134">
          <cell r="V134">
            <v>1103714874.4818103</v>
          </cell>
          <cell r="W134">
            <v>17684845.331461195</v>
          </cell>
          <cell r="X134">
            <v>17684845.331461195</v>
          </cell>
          <cell r="AA134">
            <v>415218461131.32684</v>
          </cell>
          <cell r="AB134">
            <v>415218461131.32684</v>
          </cell>
          <cell r="AC134">
            <v>323707605793.19104</v>
          </cell>
          <cell r="AM134">
            <v>10228.049353201317</v>
          </cell>
          <cell r="AP134">
            <v>5139684795.5784178</v>
          </cell>
          <cell r="AQ134">
            <v>1200344329.0829239</v>
          </cell>
          <cell r="AR134">
            <v>1200344329.0829239</v>
          </cell>
          <cell r="AU134">
            <v>1933553729193.0549</v>
          </cell>
          <cell r="AV134">
            <v>1933553729193.0549</v>
          </cell>
          <cell r="AX134">
            <v>716065433459.92407</v>
          </cell>
        </row>
        <row r="135">
          <cell r="V135">
            <v>1130991367.0119891</v>
          </cell>
          <cell r="W135">
            <v>18095125.540825117</v>
          </cell>
          <cell r="X135">
            <v>18095125.540825117</v>
          </cell>
          <cell r="AA135">
            <v>426486686909.75757</v>
          </cell>
          <cell r="AB135">
            <v>426486686909.75757</v>
          </cell>
          <cell r="AC135">
            <v>333747112128.78259</v>
          </cell>
          <cell r="AM135">
            <v>10296.36426273693</v>
          </cell>
          <cell r="AP135">
            <v>5336258435.291028</v>
          </cell>
          <cell r="AQ135">
            <v>1240298071.6117792</v>
          </cell>
          <cell r="AR135">
            <v>1240298071.6117792</v>
          </cell>
          <cell r="AU135">
            <v>2012255130270.4963</v>
          </cell>
          <cell r="AV135">
            <v>2012255130270.4963</v>
          </cell>
          <cell r="AX135">
            <v>747239884949.17737</v>
          </cell>
        </row>
        <row r="136">
          <cell r="V136">
            <v>1158937285.2286005</v>
          </cell>
          <cell r="W136">
            <v>18515126.200073216</v>
          </cell>
          <cell r="X136">
            <v>18515126.200073216</v>
          </cell>
          <cell r="AA136">
            <v>438052409565.74908</v>
          </cell>
          <cell r="AB136">
            <v>438052409565.74908</v>
          </cell>
          <cell r="AC136">
            <v>344103885547.99646</v>
          </cell>
          <cell r="AM136">
            <v>10365.453667385293</v>
          </cell>
          <cell r="AP136">
            <v>5540662213.8069706</v>
          </cell>
          <cell r="AQ136">
            <v>1281628632.0465281</v>
          </cell>
          <cell r="AR136">
            <v>1281628632.0465281</v>
          </cell>
          <cell r="AU136">
            <v>2094246569062.0139</v>
          </cell>
          <cell r="AV136">
            <v>2094246569062.0139</v>
          </cell>
          <cell r="AX136">
            <v>779817583008.2113</v>
          </cell>
        </row>
        <row r="137">
          <cell r="V137">
            <v>1187383232.4583278</v>
          </cell>
          <cell r="W137">
            <v>18942115.308748711</v>
          </cell>
          <cell r="X137">
            <v>18942115.308748711</v>
          </cell>
          <cell r="AA137">
            <v>449852960646.38806</v>
          </cell>
          <cell r="AB137">
            <v>449852960646.38806</v>
          </cell>
          <cell r="AC137">
            <v>353714013956.01105</v>
          </cell>
          <cell r="AM137">
            <v>10433.482422917481</v>
          </cell>
          <cell r="AP137">
            <v>5750904398.3676462</v>
          </cell>
          <cell r="AQ137">
            <v>1323855615.5745053</v>
          </cell>
          <cell r="AR137">
            <v>1323855615.5745053</v>
          </cell>
          <cell r="AU137">
            <v>2178792237653.4111</v>
          </cell>
          <cell r="AV137">
            <v>2178792237653.4111</v>
          </cell>
          <cell r="AX137">
            <v>810889208053.9231</v>
          </cell>
        </row>
        <row r="138">
          <cell r="V138">
            <v>1216501458.4968567</v>
          </cell>
          <cell r="W138">
            <v>19378819.450917825</v>
          </cell>
          <cell r="X138">
            <v>19378819.450917825</v>
          </cell>
          <cell r="AA138">
            <v>461954800710.2572</v>
          </cell>
          <cell r="AB138">
            <v>461954800710.2572</v>
          </cell>
          <cell r="AC138">
            <v>363589848935.65826</v>
          </cell>
          <cell r="AM138">
            <v>10502.372210011868</v>
          </cell>
          <cell r="AP138">
            <v>5969186107.7847929</v>
          </cell>
          <cell r="AQ138">
            <v>1367507903.1148322</v>
          </cell>
          <cell r="AR138">
            <v>1367507903.1148322</v>
          </cell>
          <cell r="AU138">
            <v>2266741366863.1328</v>
          </cell>
          <cell r="AV138">
            <v>2266741366863.1328</v>
          </cell>
          <cell r="AX138">
            <v>843214413692.79028</v>
          </cell>
        </row>
        <row r="139">
          <cell r="V139">
            <v>1243852292.7089291</v>
          </cell>
          <cell r="W139">
            <v>19786401.282753475</v>
          </cell>
          <cell r="X139">
            <v>19786401.282753475</v>
          </cell>
          <cell r="AA139">
            <v>473837909559.00525</v>
          </cell>
          <cell r="AB139">
            <v>473837909559.00525</v>
          </cell>
          <cell r="AC139">
            <v>373000553325.46509</v>
          </cell>
          <cell r="AM139">
            <v>10568.416857784301</v>
          </cell>
          <cell r="AP139">
            <v>6181182508.3748941</v>
          </cell>
          <cell r="AQ139">
            <v>1409298058.7999957</v>
          </cell>
          <cell r="AR139">
            <v>1409298058.7999957</v>
          </cell>
          <cell r="AU139">
            <v>2354683603140.9941</v>
          </cell>
          <cell r="AV139">
            <v>2354683603140.9941</v>
          </cell>
          <cell r="AX139">
            <v>874771507257.15747</v>
          </cell>
        </row>
        <row r="140">
          <cell r="V140">
            <v>1268712554.3277335</v>
          </cell>
          <cell r="W140">
            <v>20153508.653126013</v>
          </cell>
          <cell r="X140">
            <v>20153508.653126013</v>
          </cell>
          <cell r="AA140">
            <v>485372271664.99164</v>
          </cell>
          <cell r="AB140">
            <v>485372271664.99164</v>
          </cell>
          <cell r="AC140">
            <v>381724669571.64423</v>
          </cell>
          <cell r="AM140">
            <v>10632.184008378683</v>
          </cell>
          <cell r="AP140">
            <v>6383310912.4777412</v>
          </cell>
          <cell r="AQ140">
            <v>1448415141.323072</v>
          </cell>
          <cell r="AR140">
            <v>1448415141.323072</v>
          </cell>
          <cell r="AU140">
            <v>2442067833067.9653</v>
          </cell>
          <cell r="AV140">
            <v>2442067833067.9653</v>
          </cell>
          <cell r="AX140">
            <v>905050250645.65051</v>
          </cell>
        </row>
        <row r="141">
          <cell r="V141">
            <v>1294355456.6099315</v>
          </cell>
          <cell r="W141">
            <v>20532244.724946491</v>
          </cell>
          <cell r="X141">
            <v>20532244.724946491</v>
          </cell>
          <cell r="AA141">
            <v>497288209954.27246</v>
          </cell>
          <cell r="AB141">
            <v>497288209954.27246</v>
          </cell>
          <cell r="AC141">
            <v>390747190770.98535</v>
          </cell>
          <cell r="AM141">
            <v>10699.773107342662</v>
          </cell>
          <cell r="AP141">
            <v>6596096874.9694576</v>
          </cell>
          <cell r="AQ141">
            <v>1489490883.3136673</v>
          </cell>
          <cell r="AR141">
            <v>1489490883.3136673</v>
          </cell>
          <cell r="AU141">
            <v>2534204333815.4253</v>
          </cell>
          <cell r="AV141">
            <v>2534204333815.4253</v>
          </cell>
          <cell r="AX141">
            <v>936963656632.59106</v>
          </cell>
        </row>
        <row r="142">
          <cell r="V142">
            <v>1320527095.4324985</v>
          </cell>
          <cell r="W142">
            <v>20918549.266297527</v>
          </cell>
          <cell r="X142">
            <v>20918549.266297527</v>
          </cell>
          <cell r="AA142">
            <v>509491581722.96075</v>
          </cell>
          <cell r="AB142">
            <v>509491581722.96075</v>
          </cell>
          <cell r="AC142">
            <v>400382235281.03064</v>
          </cell>
          <cell r="AM142">
            <v>10768.516295082965</v>
          </cell>
          <cell r="AP142">
            <v>6816448928.227006</v>
          </cell>
          <cell r="AQ142">
            <v>1531860582.5864346</v>
          </cell>
          <cell r="AR142">
            <v>1531860582.5864346</v>
          </cell>
          <cell r="AU142">
            <v>2629952356288.9922</v>
          </cell>
          <cell r="AV142">
            <v>2629952356288.9922</v>
          </cell>
          <cell r="AX142">
            <v>970744128292.92371</v>
          </cell>
        </row>
        <row r="143">
          <cell r="V143">
            <v>1347193625.9644279</v>
          </cell>
          <cell r="W143">
            <v>21313416.780317426</v>
          </cell>
          <cell r="X143">
            <v>21313416.780317426</v>
          </cell>
          <cell r="AA143">
            <v>522009834746.89142</v>
          </cell>
          <cell r="AB143">
            <v>522009834746.89142</v>
          </cell>
          <cell r="AC143">
            <v>410267978959.99585</v>
          </cell>
          <cell r="AM143">
            <v>10837.922051144531</v>
          </cell>
          <cell r="AP143">
            <v>7044045405.7048092</v>
          </cell>
          <cell r="AQ143">
            <v>1575547500.1769025</v>
          </cell>
          <cell r="AR143">
            <v>1575547500.1769025</v>
          </cell>
          <cell r="AU143">
            <v>2729422784753.1831</v>
          </cell>
          <cell r="AV143">
            <v>2729422784753.1831</v>
          </cell>
          <cell r="AX143">
            <v>1005786115013.2946</v>
          </cell>
        </row>
        <row r="144">
          <cell r="V144">
            <v>1374050640.235045</v>
          </cell>
          <cell r="W144">
            <v>21717634.351559214</v>
          </cell>
          <cell r="X144">
            <v>21717634.351559214</v>
          </cell>
          <cell r="AA144">
            <v>534865849888.26172</v>
          </cell>
          <cell r="AB144">
            <v>534865849888.26172</v>
          </cell>
          <cell r="AC144">
            <v>420418948895.57312</v>
          </cell>
          <cell r="AM144">
            <v>10904.694445067988</v>
          </cell>
          <cell r="AP144">
            <v>7274935159.7525702</v>
          </cell>
          <cell r="AQ144">
            <v>1620090558.5386095</v>
          </cell>
          <cell r="AR144">
            <v>1620090558.5386095</v>
          </cell>
          <cell r="AU144">
            <v>2831856602051.7573</v>
          </cell>
          <cell r="AV144">
            <v>2831856602051.7573</v>
          </cell>
          <cell r="AX144">
            <v>1041798446825.6819</v>
          </cell>
        </row>
        <row r="145">
          <cell r="V145">
            <v>1401485971.7392583</v>
          </cell>
          <cell r="W145">
            <v>22130407.377785079</v>
          </cell>
          <cell r="X145">
            <v>22130407.377785079</v>
          </cell>
          <cell r="AA145">
            <v>548043767168.95715</v>
          </cell>
          <cell r="AB145">
            <v>548043767168.95715</v>
          </cell>
          <cell r="AC145">
            <v>430827153332.78589</v>
          </cell>
          <cell r="AM145">
            <v>10973.823552916361</v>
          </cell>
          <cell r="AP145">
            <v>7514331886.4826469</v>
          </cell>
          <cell r="AQ145">
            <v>1666253500.4282064</v>
          </cell>
          <cell r="AR145">
            <v>1666253500.4282064</v>
          </cell>
          <cell r="AU145">
            <v>2938440225495.1289</v>
          </cell>
          <cell r="AV145">
            <v>2938440225495.1289</v>
          </cell>
          <cell r="AX145">
            <v>1079219168287.0564</v>
          </cell>
        </row>
        <row r="146">
          <cell r="V146">
            <v>1428790354.7569902</v>
          </cell>
          <cell r="W146">
            <v>22540530.432156399</v>
          </cell>
          <cell r="X146">
            <v>22540530.432156399</v>
          </cell>
          <cell r="AA146">
            <v>561268060390.88452</v>
          </cell>
          <cell r="AB146">
            <v>561268060390.88452</v>
          </cell>
          <cell r="AC146">
            <v>441267834508.14825</v>
          </cell>
          <cell r="AM146">
            <v>11036.865319740711</v>
          </cell>
          <cell r="AP146">
            <v>7752719744.9863558</v>
          </cell>
          <cell r="AQ146">
            <v>1711788355.5202174</v>
          </cell>
          <cell r="AR146">
            <v>1711788355.5202174</v>
          </cell>
          <cell r="AU146">
            <v>3045481066928.5952</v>
          </cell>
          <cell r="AV146">
            <v>3045481066928.5952</v>
          </cell>
          <cell r="AX146">
            <v>1116673895839.605</v>
          </cell>
        </row>
        <row r="147">
          <cell r="V147">
            <v>1457477767.8600609</v>
          </cell>
          <cell r="W147">
            <v>22971881.173574038</v>
          </cell>
          <cell r="X147">
            <v>22971881.173574038</v>
          </cell>
          <cell r="AA147">
            <v>575135460490.43677</v>
          </cell>
          <cell r="AB147">
            <v>575135460490.43677</v>
          </cell>
          <cell r="AC147">
            <v>452098284159.21442</v>
          </cell>
          <cell r="AM147">
            <v>11103.437692473757</v>
          </cell>
          <cell r="AP147">
            <v>8010778156.242382</v>
          </cell>
          <cell r="AQ147">
            <v>1761106430.4331124</v>
          </cell>
          <cell r="AR147">
            <v>1761106430.4331124</v>
          </cell>
          <cell r="AU147">
            <v>3161134039486.4678</v>
          </cell>
          <cell r="AV147">
            <v>3161134039486.4678</v>
          </cell>
          <cell r="AX147">
            <v>1156106279574.1641</v>
          </cell>
        </row>
        <row r="148">
          <cell r="V148">
            <v>1487850823.4863596</v>
          </cell>
          <cell r="W148">
            <v>23429174.339617506</v>
          </cell>
          <cell r="X148">
            <v>23429174.339617506</v>
          </cell>
          <cell r="AA148">
            <v>589773317296.5061</v>
          </cell>
          <cell r="AB148">
            <v>589773317296.5061</v>
          </cell>
          <cell r="AC148">
            <v>463535843608.78339</v>
          </cell>
          <cell r="AM148">
            <v>11171.3599457823</v>
          </cell>
          <cell r="AP148">
            <v>8293218669.9876289</v>
          </cell>
          <cell r="AQ148">
            <v>1813826915.9717917</v>
          </cell>
          <cell r="AR148">
            <v>1813826915.9717917</v>
          </cell>
          <cell r="AU148">
            <v>3287371965559.666</v>
          </cell>
          <cell r="AV148">
            <v>3287371965559.666</v>
          </cell>
          <cell r="AX148">
            <v>1199017310142.8579</v>
          </cell>
        </row>
        <row r="149">
          <cell r="V149">
            <v>1518966900.5643778</v>
          </cell>
          <cell r="W149">
            <v>23897517.568172537</v>
          </cell>
          <cell r="X149">
            <v>23897517.568172537</v>
          </cell>
          <cell r="AA149">
            <v>604815317063.33423</v>
          </cell>
          <cell r="AB149">
            <v>604815317063.33423</v>
          </cell>
          <cell r="AC149">
            <v>475287400845.00653</v>
          </cell>
          <cell r="AM149">
            <v>11241.028334258455</v>
          </cell>
          <cell r="AP149">
            <v>8587445421.066843</v>
          </cell>
          <cell r="AQ149">
            <v>1868496400.06038</v>
          </cell>
          <cell r="AR149">
            <v>1868496400.06038</v>
          </cell>
          <cell r="AU149">
            <v>3419309876454.0806</v>
          </cell>
          <cell r="AV149">
            <v>3419309876454.0806</v>
          </cell>
          <cell r="AX149">
            <v>1243768995424.4744</v>
          </cell>
        </row>
        <row r="150">
          <cell r="V150">
            <v>1550373431.4774797</v>
          </cell>
          <cell r="W150">
            <v>24369775.954403188</v>
          </cell>
          <cell r="X150">
            <v>24369775.954403188</v>
          </cell>
          <cell r="AA150">
            <v>620084425381.58264</v>
          </cell>
          <cell r="AB150">
            <v>620084425381.58264</v>
          </cell>
          <cell r="AC150">
            <v>487208391842.80005</v>
          </cell>
          <cell r="AM150">
            <v>11308.131233660075</v>
          </cell>
          <cell r="AP150">
            <v>8887245135.8123112</v>
          </cell>
          <cell r="AQ150">
            <v>1923784141.2111585</v>
          </cell>
          <cell r="AR150">
            <v>1923784141.2111585</v>
          </cell>
          <cell r="AU150">
            <v>3554525755781.1099</v>
          </cell>
          <cell r="AV150">
            <v>3554525755781.1099</v>
          </cell>
          <cell r="AX150">
            <v>1289458638319.1702</v>
          </cell>
        </row>
        <row r="151">
          <cell r="V151">
            <v>1582556009.0408244</v>
          </cell>
          <cell r="W151">
            <v>24853573.81989181</v>
          </cell>
          <cell r="X151">
            <v>24853573.81989181</v>
          </cell>
          <cell r="AA151">
            <v>635777278032.37769</v>
          </cell>
          <cell r="AB151">
            <v>635777278032.37769</v>
          </cell>
          <cell r="AC151">
            <v>499458410487.37122</v>
          </cell>
          <cell r="AM151">
            <v>11377.47106937299</v>
          </cell>
          <cell r="AP151">
            <v>9199631218.8984165</v>
          </cell>
          <cell r="AQ151">
            <v>1981202768.3811114</v>
          </cell>
          <cell r="AR151">
            <v>1981202768.3811114</v>
          </cell>
          <cell r="AU151">
            <v>3695866978381.3242</v>
          </cell>
          <cell r="AV151">
            <v>3695866978381.3242</v>
          </cell>
          <cell r="AX151">
            <v>1337117399183.0242</v>
          </cell>
        </row>
        <row r="152">
          <cell r="V152">
            <v>1614783847.0529153</v>
          </cell>
          <cell r="W152">
            <v>25337422.634359777</v>
          </cell>
          <cell r="X152">
            <v>25337422.634359777</v>
          </cell>
          <cell r="AA152">
            <v>651603135949.78369</v>
          </cell>
          <cell r="AB152">
            <v>651603135949.78369</v>
          </cell>
          <cell r="AC152">
            <v>511800668356.38208</v>
          </cell>
          <cell r="AM152">
            <v>11441.962550796872</v>
          </cell>
          <cell r="AP152">
            <v>9514199751.8111515</v>
          </cell>
          <cell r="AQ152">
            <v>2038489560.6601183</v>
          </cell>
          <cell r="AR152">
            <v>2038489560.6601183</v>
          </cell>
          <cell r="AU152">
            <v>3839202631143.0186</v>
          </cell>
          <cell r="AV152">
            <v>3839202631143.0186</v>
          </cell>
          <cell r="AX152">
            <v>1385224439990.8276</v>
          </cell>
        </row>
        <row r="153">
          <cell r="V153">
            <v>1647480087.5941348</v>
          </cell>
          <cell r="W153">
            <v>25829099.118639145</v>
          </cell>
          <cell r="X153">
            <v>25829099.118639145</v>
          </cell>
          <cell r="AA153">
            <v>667733743256.65015</v>
          </cell>
          <cell r="AB153">
            <v>667733743256.65015</v>
          </cell>
          <cell r="AC153">
            <v>524375600656.5603</v>
          </cell>
          <cell r="AM153">
            <v>11506.434798405422</v>
          </cell>
          <cell r="AP153">
            <v>9838350073.3072414</v>
          </cell>
          <cell r="AQ153">
            <v>2097202068.6019907</v>
          </cell>
          <cell r="AR153">
            <v>2097202068.6019907</v>
          </cell>
          <cell r="AU153">
            <v>3987543383005.1782</v>
          </cell>
          <cell r="AV153">
            <v>3987543383005.1782</v>
          </cell>
          <cell r="AX153">
            <v>1434869493251.9263</v>
          </cell>
        </row>
        <row r="154">
          <cell r="V154">
            <v>1680879799.0298133</v>
          </cell>
          <cell r="W154">
            <v>26393960.922148254</v>
          </cell>
          <cell r="X154">
            <v>26393960.922148254</v>
          </cell>
          <cell r="AA154">
            <v>685849405405.97791</v>
          </cell>
          <cell r="AB154">
            <v>685849405405.97791</v>
          </cell>
          <cell r="AC154">
            <v>538505458137.3205</v>
          </cell>
          <cell r="AM154">
            <v>11573.571172452823</v>
          </cell>
          <cell r="AP154">
            <v>10176629028.020641</v>
          </cell>
          <cell r="AQ154">
            <v>2163277169.9132652</v>
          </cell>
          <cell r="AR154">
            <v>2163277169.9132652</v>
          </cell>
          <cell r="AU154">
            <v>4152370069492.0278</v>
          </cell>
          <cell r="AV154">
            <v>4152370069492.0278</v>
          </cell>
          <cell r="AX154">
            <v>1490166010433.1514</v>
          </cell>
        </row>
        <row r="155">
          <cell r="V155">
            <v>1714880939.3710666</v>
          </cell>
          <cell r="W155">
            <v>27020093.345338933</v>
          </cell>
          <cell r="X155">
            <v>27020093.345338933</v>
          </cell>
          <cell r="AA155">
            <v>705715703290.4165</v>
          </cell>
          <cell r="AB155">
            <v>705715703290.4165</v>
          </cell>
          <cell r="AC155">
            <v>554002200393.23022</v>
          </cell>
          <cell r="AM155">
            <v>11641.008196465773</v>
          </cell>
          <cell r="AP155">
            <v>10525671104.229534</v>
          </cell>
          <cell r="AQ155">
            <v>2235422630.4824452</v>
          </cell>
          <cell r="AR155">
            <v>2235422630.4824452</v>
          </cell>
          <cell r="AU155">
            <v>4331572656378.8335</v>
          </cell>
          <cell r="AV155">
            <v>4331572656378.8335</v>
          </cell>
          <cell r="AX155">
            <v>1550306552204.7639</v>
          </cell>
        </row>
        <row r="156">
          <cell r="V156">
            <v>1749425418.502219</v>
          </cell>
          <cell r="W156">
            <v>27657519.254232086</v>
          </cell>
          <cell r="X156">
            <v>27657519.254232086</v>
          </cell>
          <cell r="AA156">
            <v>726045137547.94543</v>
          </cell>
          <cell r="AB156">
            <v>726045137547.94543</v>
          </cell>
          <cell r="AC156">
            <v>569853672559.38025</v>
          </cell>
          <cell r="AM156">
            <v>11708.151587460217</v>
          </cell>
          <cell r="AP156">
            <v>10884758986.669846</v>
          </cell>
          <cell r="AQ156">
            <v>2309487051.8791814</v>
          </cell>
          <cell r="AR156">
            <v>2309487051.8791814</v>
          </cell>
          <cell r="AU156">
            <v>4517383966227.6064</v>
          </cell>
          <cell r="AV156">
            <v>4517383966227.6064</v>
          </cell>
          <cell r="AX156">
            <v>1612477935041.4292</v>
          </cell>
        </row>
        <row r="157">
          <cell r="V157">
            <v>1778143387.1199231</v>
          </cell>
          <cell r="W157">
            <v>28278210.811660577</v>
          </cell>
          <cell r="X157">
            <v>28278210.811660577</v>
          </cell>
          <cell r="AA157">
            <v>744177534626.51074</v>
          </cell>
          <cell r="AB157">
            <v>744177534626.51074</v>
          </cell>
          <cell r="AC157">
            <v>583514559793.67749</v>
          </cell>
          <cell r="AM157">
            <v>11758.457867652043</v>
          </cell>
          <cell r="AP157">
            <v>11239712575.820545</v>
          </cell>
          <cell r="AQ157">
            <v>2380149372.294733</v>
          </cell>
          <cell r="AR157">
            <v>2380149372.294733</v>
          </cell>
          <cell r="AU157">
            <v>4703974749827.4199</v>
          </cell>
          <cell r="AV157">
            <v>4703974749827.4199</v>
          </cell>
          <cell r="AX157">
            <v>1673267654395.7151</v>
          </cell>
        </row>
        <row r="158">
          <cell r="V158">
            <v>1808714005.669168</v>
          </cell>
          <cell r="W158">
            <v>28944247.549588278</v>
          </cell>
          <cell r="X158">
            <v>28944247.549588278</v>
          </cell>
          <cell r="AA158">
            <v>763292480780.80737</v>
          </cell>
          <cell r="AB158">
            <v>763292480780.80737</v>
          </cell>
          <cell r="AC158">
            <v>597938077501.36084</v>
          </cell>
          <cell r="AM158">
            <v>11810.181406204985</v>
          </cell>
          <cell r="AP158">
            <v>11640258217.517962</v>
          </cell>
          <cell r="AQ158">
            <v>2456337073.0595946</v>
          </cell>
          <cell r="AR158">
            <v>2456337073.0595946</v>
          </cell>
          <cell r="AU158">
            <v>4912286599169.29</v>
          </cell>
          <cell r="AV158">
            <v>4912286599169.29</v>
          </cell>
          <cell r="AX158">
            <v>1741372984365.5562</v>
          </cell>
        </row>
        <row r="159">
          <cell r="V159">
            <v>1840172642.5968256</v>
          </cell>
          <cell r="W159">
            <v>29630176.354085267</v>
          </cell>
          <cell r="X159">
            <v>29630176.354085267</v>
          </cell>
          <cell r="AA159">
            <v>783006146336.01489</v>
          </cell>
          <cell r="AB159">
            <v>783006146336.01489</v>
          </cell>
          <cell r="AC159">
            <v>612800840102.25159</v>
          </cell>
          <cell r="AM159">
            <v>11865.275890824516</v>
          </cell>
          <cell r="AP159">
            <v>12059987455.228895</v>
          </cell>
          <cell r="AQ159">
            <v>2535991140.1503038</v>
          </cell>
          <cell r="AR159">
            <v>2535991140.1503038</v>
          </cell>
          <cell r="AU159">
            <v>5131607808739.9277</v>
          </cell>
          <cell r="AV159">
            <v>5131607808739.9277</v>
          </cell>
          <cell r="AX159">
            <v>1812889788733.5042</v>
          </cell>
        </row>
        <row r="160">
          <cell r="V160">
            <v>1860868086.1944089</v>
          </cell>
          <cell r="W160">
            <v>29990307.72375077</v>
          </cell>
          <cell r="X160">
            <v>29990307.72375077</v>
          </cell>
          <cell r="AA160">
            <v>794167665700.91589</v>
          </cell>
          <cell r="AB160">
            <v>794167665700.91589</v>
          </cell>
          <cell r="AC160">
            <v>620830760296.75537</v>
          </cell>
          <cell r="AM160">
            <v>11890</v>
          </cell>
          <cell r="AP160">
            <v>12311495585.78846</v>
          </cell>
          <cell r="AQ160">
            <v>2579952527.4256349</v>
          </cell>
          <cell r="AR160">
            <v>2579952527.4256349</v>
          </cell>
          <cell r="AU160">
            <v>5254210001875.0537</v>
          </cell>
          <cell r="AV160">
            <v>5254210001875.0537</v>
          </cell>
          <cell r="AX160">
            <v>1849636413365.6455</v>
          </cell>
        </row>
        <row r="161">
          <cell r="V161">
            <v>1877393051.1539068</v>
          </cell>
          <cell r="W161">
            <v>30255536.944153823</v>
          </cell>
          <cell r="X161">
            <v>30255536.944153823</v>
          </cell>
          <cell r="AA161">
            <v>802850394607.49402</v>
          </cell>
          <cell r="AB161">
            <v>802850394607.49402</v>
          </cell>
          <cell r="AC161">
            <v>626862346166.10498</v>
          </cell>
          <cell r="AM161">
            <v>11890</v>
          </cell>
          <cell r="AP161">
            <v>12496889191.051682</v>
          </cell>
          <cell r="AQ161">
            <v>2609833906.6549697</v>
          </cell>
          <cell r="AR161">
            <v>2609833906.6549697</v>
          </cell>
          <cell r="AU161">
            <v>5344183207791.9326</v>
          </cell>
          <cell r="AV161">
            <v>5344183207791.9326</v>
          </cell>
          <cell r="AX161">
            <v>1874585634064.2065</v>
          </cell>
        </row>
        <row r="162">
          <cell r="V162">
            <v>1886004847.012532</v>
          </cell>
          <cell r="W162">
            <v>30393229.666423321</v>
          </cell>
          <cell r="X162">
            <v>30393229.666423321</v>
          </cell>
          <cell r="AA162">
            <v>808170956047.41309</v>
          </cell>
          <cell r="AB162">
            <v>808170956047.41309</v>
          </cell>
          <cell r="AC162">
            <v>630226959564.3988</v>
          </cell>
          <cell r="AM162">
            <v>11890</v>
          </cell>
          <cell r="AP162">
            <v>12554575759.837187</v>
          </cell>
          <cell r="AQ162">
            <v>2625067537.5575852</v>
          </cell>
          <cell r="AR162">
            <v>2625067537.5575852</v>
          </cell>
          <cell r="AU162">
            <v>5379754728981.2871</v>
          </cell>
          <cell r="AV162">
            <v>5379754728981.2871</v>
          </cell>
          <cell r="AX162">
            <v>1881989517067.4099</v>
          </cell>
        </row>
        <row r="163">
          <cell r="V163">
            <v>1893230078.2782683</v>
          </cell>
          <cell r="W163">
            <v>30508573.048264567</v>
          </cell>
          <cell r="X163">
            <v>30508573.048264567</v>
          </cell>
          <cell r="AA163">
            <v>812911114265.12512</v>
          </cell>
          <cell r="AB163">
            <v>812911114265.12512</v>
          </cell>
          <cell r="AC163">
            <v>633126299388.32886</v>
          </cell>
          <cell r="AM163">
            <v>11890</v>
          </cell>
          <cell r="AP163">
            <v>12589666771.476101</v>
          </cell>
          <cell r="AQ163">
            <v>2637739520.5461159</v>
          </cell>
          <cell r="AR163">
            <v>2637739520.5461159</v>
          </cell>
          <cell r="AU163">
            <v>5405724407640.124</v>
          </cell>
          <cell r="AV163">
            <v>5405724407640.124</v>
          </cell>
          <cell r="AX163">
            <v>1886289701823.0417</v>
          </cell>
        </row>
        <row r="164">
          <cell r="V164">
            <v>1900469950.0855157</v>
          </cell>
          <cell r="W164">
            <v>30624148.514875524</v>
          </cell>
          <cell r="X164">
            <v>30624148.514875524</v>
          </cell>
          <cell r="AA164">
            <v>817670120281.03967</v>
          </cell>
          <cell r="AB164">
            <v>817670120281.03967</v>
          </cell>
          <cell r="AC164">
            <v>636033548656.74219</v>
          </cell>
          <cell r="AM164">
            <v>11890</v>
          </cell>
          <cell r="AP164">
            <v>12624808183.357319</v>
          </cell>
          <cell r="AQ164">
            <v>2650451823.3260074</v>
          </cell>
          <cell r="AR164">
            <v>2650451823.3260074</v>
          </cell>
          <cell r="AU164">
            <v>5431776716778.042</v>
          </cell>
          <cell r="AV164">
            <v>5431776716778.042</v>
          </cell>
          <cell r="AX164">
            <v>1890592026515.4429</v>
          </cell>
        </row>
        <row r="165">
          <cell r="V165">
            <v>1907724466.1267169</v>
          </cell>
          <cell r="W165">
            <v>30739956.124191143</v>
          </cell>
          <cell r="X165">
            <v>30739956.124191143</v>
          </cell>
          <cell r="AA165">
            <v>822448013828.49451</v>
          </cell>
          <cell r="AB165">
            <v>822448013828.49451</v>
          </cell>
          <cell r="AC165">
            <v>638948715919.22253</v>
          </cell>
          <cell r="AM165">
            <v>11890</v>
          </cell>
          <cell r="AP165">
            <v>12659999998.18144</v>
          </cell>
          <cell r="AQ165">
            <v>2663204510.5348096</v>
          </cell>
          <cell r="AR165">
            <v>2663204510.5348096</v>
          </cell>
          <cell r="AU165">
            <v>5457911788861.79</v>
          </cell>
          <cell r="AV165">
            <v>5457911788861.79</v>
          </cell>
          <cell r="AX165">
            <v>1894896491814.124</v>
          </cell>
        </row>
        <row r="166">
          <cell r="V166">
            <v>1914988781.0883851</v>
          </cell>
          <cell r="W166">
            <v>30855917.802868858</v>
          </cell>
          <cell r="X166">
            <v>30855917.802868858</v>
          </cell>
          <cell r="AA166">
            <v>827242739965.16846</v>
          </cell>
          <cell r="AB166">
            <v>827242739965.16846</v>
          </cell>
          <cell r="AC166">
            <v>641871534701.54712</v>
          </cell>
          <cell r="AM166">
            <v>11890</v>
          </cell>
          <cell r="AP166">
            <v>12695240877.068279</v>
          </cell>
          <cell r="AQ166">
            <v>2675997364.0262666</v>
          </cell>
          <cell r="AR166">
            <v>2675997364.0262666</v>
          </cell>
          <cell r="AU166">
            <v>5484129176827.3057</v>
          </cell>
          <cell r="AV166">
            <v>5484129176827.3057</v>
          </cell>
          <cell r="AX166">
            <v>1899202697273.4189</v>
          </cell>
        </row>
      </sheetData>
      <sheetData sheetId="17">
        <row r="7">
          <cell r="M7">
            <v>60</v>
          </cell>
          <cell r="V7">
            <v>25583.495659324144</v>
          </cell>
          <cell r="W7">
            <v>1918.7621744493104</v>
          </cell>
          <cell r="X7">
            <v>1918.7621744493104</v>
          </cell>
          <cell r="AA7">
            <v>1513219.1889645699</v>
          </cell>
          <cell r="AB7">
            <v>1513219.1889645699</v>
          </cell>
          <cell r="AC7">
            <v>3010760.8591112643</v>
          </cell>
          <cell r="AM7">
            <v>1000</v>
          </cell>
          <cell r="AP7">
            <v>18823.688474268303</v>
          </cell>
          <cell r="AQ7">
            <v>5050.9256418891864</v>
          </cell>
          <cell r="AR7">
            <v>5050.9256418891864</v>
          </cell>
          <cell r="AU7">
            <v>1113388.372943969</v>
          </cell>
          <cell r="AV7">
            <v>1113388.372943969</v>
          </cell>
          <cell r="AX7">
            <v>2003470.4619825557</v>
          </cell>
        </row>
        <row r="8">
          <cell r="V8">
            <v>34396.790650129849</v>
          </cell>
          <cell r="W8">
            <v>2448.7836875865537</v>
          </cell>
          <cell r="X8">
            <v>2448.7836875865537</v>
          </cell>
          <cell r="AA8">
            <v>2124703.1206536228</v>
          </cell>
          <cell r="AB8">
            <v>2124703.1206536228</v>
          </cell>
          <cell r="AC8">
            <v>4195975.2298777485</v>
          </cell>
          <cell r="AM8">
            <v>1141.6997405999255</v>
          </cell>
          <cell r="AP8">
            <v>27137.506383509408</v>
          </cell>
          <cell r="AQ8">
            <v>7397.3177309029397</v>
          </cell>
          <cell r="AR8">
            <v>7397.3177309029397</v>
          </cell>
          <cell r="AU8">
            <v>1676294.3114747356</v>
          </cell>
          <cell r="AV8">
            <v>1676294.3114747356</v>
          </cell>
          <cell r="AX8">
            <v>3008606.1049022302</v>
          </cell>
        </row>
        <row r="9">
          <cell r="V9">
            <v>44577.65690777509</v>
          </cell>
          <cell r="W9">
            <v>3035.1504837836419</v>
          </cell>
          <cell r="X9">
            <v>3035.1504837836419</v>
          </cell>
          <cell r="AA9">
            <v>2887215.6359580164</v>
          </cell>
          <cell r="AB9">
            <v>2887215.6359580164</v>
          </cell>
          <cell r="AC9">
            <v>5622630.055299012</v>
          </cell>
          <cell r="AM9">
            <v>1283.3994811998509</v>
          </cell>
          <cell r="AP9">
            <v>37430.561954738412</v>
          </cell>
          <cell r="AQ9">
            <v>10350.631026250954</v>
          </cell>
          <cell r="AR9">
            <v>10350.631026250954</v>
          </cell>
          <cell r="AU9">
            <v>2424310.9942273959</v>
          </cell>
          <cell r="AV9">
            <v>2424310.9942273959</v>
          </cell>
          <cell r="AX9">
            <v>4311006.1983993128</v>
          </cell>
        </row>
        <row r="10">
          <cell r="V10">
            <v>56685.0666020801</v>
          </cell>
          <cell r="W10">
            <v>3713.2039354808485</v>
          </cell>
          <cell r="X10">
            <v>3713.2039354808485</v>
          </cell>
          <cell r="AA10">
            <v>3839712.8721502996</v>
          </cell>
          <cell r="AB10">
            <v>3839712.8721502996</v>
          </cell>
          <cell r="AC10">
            <v>7376066.9650279358</v>
          </cell>
          <cell r="AM10">
            <v>1425.0992217997764</v>
          </cell>
          <cell r="AP10">
            <v>50366.862944150198</v>
          </cell>
          <cell r="AQ10">
            <v>14112.250725489957</v>
          </cell>
          <cell r="AR10">
            <v>14112.250725489957</v>
          </cell>
          <cell r="AU10">
            <v>3411732.6408748841</v>
          </cell>
          <cell r="AV10">
            <v>3411732.6408748841</v>
          </cell>
          <cell r="AX10">
            <v>6011947.0063401889</v>
          </cell>
        </row>
        <row r="11">
          <cell r="V11">
            <v>70939.533577861323</v>
          </cell>
          <cell r="W11">
            <v>4492.3768752461356</v>
          </cell>
          <cell r="X11">
            <v>4492.3768752461356</v>
          </cell>
          <cell r="AA11">
            <v>5013939.0710995253</v>
          </cell>
          <cell r="AB11">
            <v>5013939.0710995253</v>
          </cell>
          <cell r="AC11">
            <v>9503986.6313445196</v>
          </cell>
          <cell r="AM11">
            <v>1566.7989623997018</v>
          </cell>
          <cell r="AP11">
            <v>66398.298172091396</v>
          </cell>
          <cell r="AQ11">
            <v>18830.337404706272</v>
          </cell>
          <cell r="AR11">
            <v>18830.337404706272</v>
          </cell>
          <cell r="AU11">
            <v>4692968.8520458695</v>
          </cell>
          <cell r="AV11">
            <v>4692968.8520458695</v>
          </cell>
          <cell r="AX11">
            <v>8196152.5069285519</v>
          </cell>
        </row>
        <row r="12">
          <cell r="V12">
            <v>87577.349443454877</v>
          </cell>
          <cell r="W12">
            <v>5382.7370455980181</v>
          </cell>
          <cell r="X12">
            <v>5382.7370455980181</v>
          </cell>
          <cell r="AA12">
            <v>6445066.3010716857</v>
          </cell>
          <cell r="AB12">
            <v>6445066.3010716857</v>
          </cell>
          <cell r="AC12">
            <v>12058259.431033578</v>
          </cell>
          <cell r="AM12">
            <v>1708.4987029996273</v>
          </cell>
          <cell r="AP12">
            <v>86028.507984395692</v>
          </cell>
          <cell r="AQ12">
            <v>24670.969227281061</v>
          </cell>
          <cell r="AR12">
            <v>24670.969227281061</v>
          </cell>
          <cell r="AU12">
            <v>6331082.651681493</v>
          </cell>
          <cell r="AV12">
            <v>6331082.651681493</v>
          </cell>
          <cell r="AX12">
            <v>10960561.311535936</v>
          </cell>
        </row>
        <row r="13">
          <cell r="V13">
            <v>106679.09813369749</v>
          </cell>
          <cell r="W13">
            <v>6384.7093002939228</v>
          </cell>
          <cell r="X13">
            <v>6384.7093002939228</v>
          </cell>
          <cell r="AA13">
            <v>8165335.3084800206</v>
          </cell>
          <cell r="AB13">
            <v>8165335.3084800206</v>
          </cell>
          <cell r="AC13">
            <v>15070809.382812055</v>
          </cell>
          <cell r="AM13">
            <v>1850.1984435995528</v>
          </cell>
          <cell r="AP13">
            <v>109639.83971884142</v>
          </cell>
          <cell r="AQ13">
            <v>31768.274837669705</v>
          </cell>
          <cell r="AR13">
            <v>31768.274837669705</v>
          </cell>
          <cell r="AU13">
            <v>8391953.7204032503</v>
          </cell>
          <cell r="AV13">
            <v>8391953.7204032503</v>
          </cell>
          <cell r="AX13">
            <v>14392239.607216056</v>
          </cell>
        </row>
        <row r="14">
          <cell r="V14">
            <v>127627.80971952865</v>
          </cell>
          <cell r="W14">
            <v>7458.6093875333681</v>
          </cell>
          <cell r="X14">
            <v>7458.6093875333681</v>
          </cell>
          <cell r="AA14">
            <v>10181398.528568286</v>
          </cell>
          <cell r="AB14">
            <v>10181398.528568286</v>
          </cell>
          <cell r="AC14">
            <v>18472318.767257798</v>
          </cell>
          <cell r="AM14">
            <v>1991.8981841994782</v>
          </cell>
          <cell r="AP14">
            <v>136877.07556539204</v>
          </cell>
          <cell r="AQ14">
            <v>40041.958378770039</v>
          </cell>
          <cell r="AR14">
            <v>40041.958378770039</v>
          </cell>
          <cell r="AU14">
            <v>10919250.740248147</v>
          </cell>
          <cell r="AV14">
            <v>10919250.740248147</v>
          </cell>
          <cell r="AX14">
            <v>18482490.565439142</v>
          </cell>
        </row>
        <row r="15">
          <cell r="V15">
            <v>151314.86046078306</v>
          </cell>
          <cell r="W15">
            <v>8654.9547341896887</v>
          </cell>
          <cell r="X15">
            <v>8654.9547341896887</v>
          </cell>
          <cell r="AA15">
            <v>12560219.606500318</v>
          </cell>
          <cell r="AB15">
            <v>12560219.606500318</v>
          </cell>
          <cell r="AC15">
            <v>22407233.150355451</v>
          </cell>
          <cell r="AM15">
            <v>2133.5979247994037</v>
          </cell>
          <cell r="AP15">
            <v>168957.34530776544</v>
          </cell>
          <cell r="AQ15">
            <v>49869.227710498744</v>
          </cell>
          <cell r="AR15">
            <v>49869.227710498744</v>
          </cell>
          <cell r="AU15">
            <v>14024672.492407611</v>
          </cell>
          <cell r="AV15">
            <v>14024672.492407611</v>
          </cell>
          <cell r="AX15">
            <v>23433465.442342021</v>
          </cell>
        </row>
        <row r="16">
          <cell r="V16">
            <v>177959.59951934218</v>
          </cell>
          <cell r="W16">
            <v>9982.7379424476094</v>
          </cell>
          <cell r="X16">
            <v>9982.7379424476094</v>
          </cell>
          <cell r="AA16">
            <v>15347274.743210148</v>
          </cell>
          <cell r="AB16">
            <v>15347274.743210148</v>
          </cell>
          <cell r="AC16">
            <v>26929030.919471741</v>
          </cell>
          <cell r="AM16">
            <v>2275.2976653993292</v>
          </cell>
          <cell r="AP16">
            <v>206473.37043118157</v>
          </cell>
          <cell r="AQ16">
            <v>61451.336382512425</v>
          </cell>
          <cell r="AR16">
            <v>61451.336382512425</v>
          </cell>
          <cell r="AU16">
            <v>17806308.576343667</v>
          </cell>
          <cell r="AV16">
            <v>17806308.576343667</v>
          </cell>
          <cell r="AX16">
            <v>29374177.681471482</v>
          </cell>
        </row>
        <row r="17">
          <cell r="V17">
            <v>211531.05987665328</v>
          </cell>
          <cell r="W17">
            <v>11657.434129910256</v>
          </cell>
          <cell r="X17">
            <v>11657.434129910256</v>
          </cell>
          <cell r="AA17">
            <v>18926373.228384055</v>
          </cell>
          <cell r="AB17">
            <v>18926373.228384055</v>
          </cell>
          <cell r="AC17">
            <v>32239006.856892847</v>
          </cell>
          <cell r="AM17">
            <v>2416.9974059992542</v>
          </cell>
          <cell r="AP17">
            <v>248472.30897650192</v>
          </cell>
          <cell r="AQ17">
            <v>74528.616608248922</v>
          </cell>
          <cell r="AR17">
            <v>74528.616608248922</v>
          </cell>
          <cell r="AU17">
            <v>22231627.163168546</v>
          </cell>
          <cell r="AV17">
            <v>22231627.163168546</v>
          </cell>
          <cell r="AX17">
            <v>36481468.782508753</v>
          </cell>
        </row>
        <row r="18">
          <cell r="V18">
            <v>248982.36322109844</v>
          </cell>
          <cell r="W18">
            <v>13069.156948092135</v>
          </cell>
          <cell r="X18">
            <v>13069.156948092135</v>
          </cell>
          <cell r="AA18">
            <v>22493260.962420784</v>
          </cell>
          <cell r="AB18">
            <v>22493260.962420784</v>
          </cell>
          <cell r="AC18">
            <v>37269457.623588808</v>
          </cell>
          <cell r="AM18">
            <v>2506.223932139796</v>
          </cell>
          <cell r="AP18">
            <v>285236.07181210764</v>
          </cell>
          <cell r="AQ18">
            <v>84514.990146059645</v>
          </cell>
          <cell r="AR18">
            <v>84514.990146059645</v>
          </cell>
          <cell r="AU18">
            <v>25768449.283566989</v>
          </cell>
          <cell r="AV18">
            <v>25768449.283566989</v>
          </cell>
          <cell r="AX18">
            <v>42010912.296717785</v>
          </cell>
        </row>
        <row r="19">
          <cell r="V19">
            <v>290581.73886661208</v>
          </cell>
          <cell r="W19">
            <v>14573.196935484044</v>
          </cell>
          <cell r="X19">
            <v>14573.196935484044</v>
          </cell>
          <cell r="AA19">
            <v>26503466.958037499</v>
          </cell>
          <cell r="AB19">
            <v>26503466.958037499</v>
          </cell>
          <cell r="AC19">
            <v>42775395.126727916</v>
          </cell>
          <cell r="AM19">
            <v>2592.9987921274378</v>
          </cell>
          <cell r="AP19">
            <v>325216.42777694861</v>
          </cell>
          <cell r="AQ19">
            <v>95335.480736084428</v>
          </cell>
          <cell r="AR19">
            <v>95335.480736084428</v>
          </cell>
          <cell r="AU19">
            <v>29662438.119533572</v>
          </cell>
          <cell r="AV19">
            <v>29662438.119533572</v>
          </cell>
          <cell r="AX19">
            <v>48012746.003889456</v>
          </cell>
        </row>
        <row r="20">
          <cell r="V20">
            <v>336498.4093993259</v>
          </cell>
          <cell r="W20">
            <v>16169.220312566002</v>
          </cell>
          <cell r="X20">
            <v>16169.220312566002</v>
          </cell>
          <cell r="AA20">
            <v>30983368.151455224</v>
          </cell>
          <cell r="AB20">
            <v>30983368.151455224</v>
          </cell>
          <cell r="AC20">
            <v>48761387.081985109</v>
          </cell>
          <cell r="AM20">
            <v>2673.4528001908789</v>
          </cell>
          <cell r="AP20">
            <v>367937.68740388117</v>
          </cell>
          <cell r="AQ20">
            <v>106790.79432029296</v>
          </cell>
          <cell r="AR20">
            <v>106790.79432029296</v>
          </cell>
          <cell r="AU20">
            <v>33878165.563930109</v>
          </cell>
          <cell r="AV20">
            <v>33878165.563930109</v>
          </cell>
          <cell r="AX20">
            <v>54421423.967421383</v>
          </cell>
        </row>
        <row r="21">
          <cell r="V21">
            <v>387318.72168412653</v>
          </cell>
          <cell r="W21">
            <v>17876.50174243181</v>
          </cell>
          <cell r="X21">
            <v>17876.50174243181</v>
          </cell>
          <cell r="AA21">
            <v>35998697.621704556</v>
          </cell>
          <cell r="AB21">
            <v>35998697.621704556</v>
          </cell>
          <cell r="AC21">
            <v>55293376.692221344</v>
          </cell>
          <cell r="AM21">
            <v>2752.0787661421978</v>
          </cell>
          <cell r="AP21">
            <v>414721.19365010859</v>
          </cell>
          <cell r="AQ21">
            <v>119186.87326407392</v>
          </cell>
          <cell r="AR21">
            <v>119186.87326407392</v>
          </cell>
          <cell r="AU21">
            <v>38545575.030835107</v>
          </cell>
          <cell r="AV21">
            <v>38545575.030835107</v>
          </cell>
          <cell r="AX21">
            <v>61435256.313832887</v>
          </cell>
        </row>
        <row r="22">
          <cell r="V22">
            <v>445983.19712740352</v>
          </cell>
          <cell r="W22">
            <v>20149.2176609284</v>
          </cell>
          <cell r="X22">
            <v>20149.2176609284</v>
          </cell>
          <cell r="AA22">
            <v>42540841.497196987</v>
          </cell>
          <cell r="AB22">
            <v>42540841.497196987</v>
          </cell>
          <cell r="AC22">
            <v>63820838.149382561</v>
          </cell>
          <cell r="AM22">
            <v>2832.3055450854918</v>
          </cell>
          <cell r="AP22">
            <v>469189.38028911065</v>
          </cell>
          <cell r="AQ22">
            <v>135769.7409314937</v>
          </cell>
          <cell r="AR22">
            <v>135769.7409314937</v>
          </cell>
          <cell r="AU22">
            <v>44754401.483303562</v>
          </cell>
          <cell r="AV22">
            <v>44754401.483303562</v>
          </cell>
          <cell r="AX22">
            <v>70763336.587631002</v>
          </cell>
        </row>
        <row r="23">
          <cell r="V23">
            <v>508206.39876055869</v>
          </cell>
          <cell r="W23">
            <v>22210.837802888895</v>
          </cell>
          <cell r="X23">
            <v>22210.837802888895</v>
          </cell>
          <cell r="AA23">
            <v>49060021.678080477</v>
          </cell>
          <cell r="AB23">
            <v>49060021.678080477</v>
          </cell>
          <cell r="AC23">
            <v>71936206.110982478</v>
          </cell>
          <cell r="AM23">
            <v>2906.4198848718197</v>
          </cell>
          <cell r="AP23">
            <v>525582.71014735731</v>
          </cell>
          <cell r="AQ23">
            <v>150942.85728560737</v>
          </cell>
          <cell r="AR23">
            <v>150942.85728560737</v>
          </cell>
          <cell r="AU23">
            <v>50737454.735595092</v>
          </cell>
          <cell r="AV23">
            <v>50737454.735595092</v>
          </cell>
          <cell r="AX23">
            <v>79577978.6137968</v>
          </cell>
        </row>
        <row r="24">
          <cell r="V24">
            <v>576843.71297337546</v>
          </cell>
          <cell r="W24">
            <v>24431.740549897426</v>
          </cell>
          <cell r="X24">
            <v>24431.740549897426</v>
          </cell>
          <cell r="AA24">
            <v>56348712.391633257</v>
          </cell>
          <cell r="AB24">
            <v>56348712.391633257</v>
          </cell>
          <cell r="AC24">
            <v>80803757.362846285</v>
          </cell>
          <cell r="AM24">
            <v>2984.0049562343138</v>
          </cell>
          <cell r="AP24">
            <v>588341.59701004939</v>
          </cell>
          <cell r="AQ24">
            <v>167611.33476866316</v>
          </cell>
          <cell r="AR24">
            <v>167611.33476866316</v>
          </cell>
          <cell r="AU24">
            <v>57471877.897512302</v>
          </cell>
          <cell r="AV24">
            <v>57471877.897512302</v>
          </cell>
          <cell r="AX24">
            <v>89475713.27577126</v>
          </cell>
        </row>
        <row r="25">
          <cell r="V25">
            <v>651502.82006671408</v>
          </cell>
          <cell r="W25">
            <v>26785.605053480635</v>
          </cell>
          <cell r="X25">
            <v>26785.605053480635</v>
          </cell>
          <cell r="AA25">
            <v>64390268.245317757</v>
          </cell>
          <cell r="AB25">
            <v>64390268.245317757</v>
          </cell>
          <cell r="AC25">
            <v>90351981.775592446</v>
          </cell>
          <cell r="AM25">
            <v>3058.1687348051519</v>
          </cell>
          <cell r="AP25">
            <v>654716.91834609699</v>
          </cell>
          <cell r="AQ25">
            <v>185063.49746285661</v>
          </cell>
          <cell r="AR25">
            <v>185063.49746285661</v>
          </cell>
          <cell r="AU25">
            <v>64707928.65138489</v>
          </cell>
          <cell r="AV25">
            <v>64707928.65138489</v>
          </cell>
          <cell r="AX25">
            <v>100098574.14722157</v>
          </cell>
        </row>
        <row r="26">
          <cell r="V26">
            <v>723929.25571833213</v>
          </cell>
          <cell r="W26">
            <v>28965.074992437359</v>
          </cell>
          <cell r="X26">
            <v>28965.074992437359</v>
          </cell>
          <cell r="AA26">
            <v>72536131.170858905</v>
          </cell>
          <cell r="AB26">
            <v>72536131.170858905</v>
          </cell>
          <cell r="AC26">
            <v>100459921.41277975</v>
          </cell>
          <cell r="AM26">
            <v>3128.4863983569076</v>
          </cell>
          <cell r="AP26">
            <v>721046.18359452789</v>
          </cell>
          <cell r="AQ26">
            <v>202663.7423528065</v>
          </cell>
          <cell r="AR26">
            <v>202663.7423528065</v>
          </cell>
          <cell r="AU26">
            <v>72247253.637459859</v>
          </cell>
          <cell r="AV26">
            <v>72247253.637459859</v>
          </cell>
          <cell r="AX26">
            <v>111285281.69240493</v>
          </cell>
        </row>
        <row r="27">
          <cell r="V27">
            <v>811913.62725563336</v>
          </cell>
          <cell r="W27">
            <v>31312.140651823858</v>
          </cell>
          <cell r="X27">
            <v>31312.140651823858</v>
          </cell>
          <cell r="AA27">
            <v>82815078.112710133</v>
          </cell>
          <cell r="AB27">
            <v>82815078.112710133</v>
          </cell>
          <cell r="AC27">
            <v>114074668.31913027</v>
          </cell>
          <cell r="AM27">
            <v>3202.4940477843729</v>
          </cell>
          <cell r="AP27">
            <v>794485.53589486738</v>
          </cell>
          <cell r="AQ27">
            <v>223447.33937823487</v>
          </cell>
          <cell r="AR27">
            <v>223447.33937823487</v>
          </cell>
          <cell r="AU27">
            <v>81037415.195195347</v>
          </cell>
          <cell r="AV27">
            <v>81037415.195195347</v>
          </cell>
          <cell r="AX27">
            <v>124283277.38729462</v>
          </cell>
        </row>
        <row r="28">
          <cell r="V28">
            <v>905761.90874946956</v>
          </cell>
          <cell r="W28">
            <v>33754.705449463407</v>
          </cell>
          <cell r="X28">
            <v>33754.705449463407</v>
          </cell>
          <cell r="AA28">
            <v>94019760.965506867</v>
          </cell>
          <cell r="AB28">
            <v>94019760.965506867</v>
          </cell>
          <cell r="AC28">
            <v>128811249.21925527</v>
          </cell>
          <cell r="AM28">
            <v>3273.736238230199</v>
          </cell>
          <cell r="AP28">
            <v>871568.08583667444</v>
          </cell>
          <cell r="AQ28">
            <v>245371.17442917105</v>
          </cell>
          <cell r="AR28">
            <v>245371.17442917105</v>
          </cell>
          <cell r="AU28">
            <v>90470378.919626296</v>
          </cell>
          <cell r="AV28">
            <v>90470378.919626296</v>
          </cell>
          <cell r="AX28">
            <v>138150589.07208297</v>
          </cell>
        </row>
        <row r="29">
          <cell r="V29">
            <v>1005951.8617068205</v>
          </cell>
          <cell r="W29">
            <v>36337.951134830349</v>
          </cell>
          <cell r="X29">
            <v>36337.951134830349</v>
          </cell>
          <cell r="AA29">
            <v>106322666.48810646</v>
          </cell>
          <cell r="AB29">
            <v>106322666.48810646</v>
          </cell>
          <cell r="AC29">
            <v>144886602.63298672</v>
          </cell>
          <cell r="AM29">
            <v>3344.0393983271229</v>
          </cell>
          <cell r="AP29">
            <v>953743.58352778736</v>
          </cell>
          <cell r="AQ29">
            <v>268954.84131207661</v>
          </cell>
          <cell r="AR29">
            <v>268954.84131207661</v>
          </cell>
          <cell r="AU29">
            <v>100804585.99136257</v>
          </cell>
          <cell r="AV29">
            <v>100804585.99136257</v>
          </cell>
          <cell r="AX29">
            <v>153268810.61056587</v>
          </cell>
        </row>
        <row r="30">
          <cell r="V30">
            <v>1117220.3666983976</v>
          </cell>
          <cell r="W30">
            <v>39201.342216757483</v>
          </cell>
          <cell r="X30">
            <v>39201.342216757483</v>
          </cell>
          <cell r="AA30">
            <v>119966349.20020401</v>
          </cell>
          <cell r="AB30">
            <v>119966349.20020401</v>
          </cell>
          <cell r="AC30">
            <v>162939592.07608515</v>
          </cell>
          <cell r="AM30">
            <v>3413.2690473143757</v>
          </cell>
          <cell r="AP30">
            <v>1045428.273822951</v>
          </cell>
          <cell r="AQ30">
            <v>295279.62393531628</v>
          </cell>
          <cell r="AR30">
            <v>295279.62393531628</v>
          </cell>
          <cell r="AU30">
            <v>112257363.98973805</v>
          </cell>
          <cell r="AV30">
            <v>112257363.98973805</v>
          </cell>
          <cell r="AX30">
            <v>170297301.92494547</v>
          </cell>
        </row>
        <row r="31">
          <cell r="V31">
            <v>1237085.9831154642</v>
          </cell>
          <cell r="W31">
            <v>42239.449820640642</v>
          </cell>
          <cell r="X31">
            <v>42239.449820640642</v>
          </cell>
          <cell r="AA31">
            <v>134882302.08656874</v>
          </cell>
          <cell r="AB31">
            <v>134882302.08656874</v>
          </cell>
          <cell r="AC31">
            <v>182642145.94322163</v>
          </cell>
          <cell r="AM31">
            <v>3483.9833289691578</v>
          </cell>
          <cell r="AP31">
            <v>1145189.4697001281</v>
          </cell>
          <cell r="AQ31">
            <v>323910.37949200929</v>
          </cell>
          <cell r="AR31">
            <v>323910.37949200929</v>
          </cell>
          <cell r="AU31">
            <v>124862615.94319025</v>
          </cell>
          <cell r="AV31">
            <v>124862615.94319025</v>
          </cell>
          <cell r="AX31">
            <v>189040163.58310851</v>
          </cell>
        </row>
        <row r="32">
          <cell r="V32">
            <v>1364296.9620818435</v>
          </cell>
          <cell r="W32">
            <v>45403.283469819507</v>
          </cell>
          <cell r="X32">
            <v>45403.283469819507</v>
          </cell>
          <cell r="AA32">
            <v>150997290.88645387</v>
          </cell>
          <cell r="AB32">
            <v>150997290.88645387</v>
          </cell>
          <cell r="AC32">
            <v>203847077.50042343</v>
          </cell>
          <cell r="AM32">
            <v>3549.8356957135043</v>
          </cell>
          <cell r="AP32">
            <v>1248778.1527227468</v>
          </cell>
          <cell r="AQ32">
            <v>353807.61145684787</v>
          </cell>
          <cell r="AR32">
            <v>353807.61145684787</v>
          </cell>
          <cell r="AU32">
            <v>138211931.28773773</v>
          </cell>
          <cell r="AV32">
            <v>138211931.28773773</v>
          </cell>
          <cell r="AX32">
            <v>208834245.17721289</v>
          </cell>
        </row>
        <row r="33">
          <cell r="V33">
            <v>1500369.8047763382</v>
          </cell>
          <cell r="W33">
            <v>48738.940802055222</v>
          </cell>
          <cell r="X33">
            <v>48738.940802055222</v>
          </cell>
          <cell r="AA33">
            <v>168515074.01659715</v>
          </cell>
          <cell r="AB33">
            <v>168515074.01659715</v>
          </cell>
          <cell r="AC33">
            <v>226816141.3421019</v>
          </cell>
          <cell r="AM33">
            <v>3618.1755925323187</v>
          </cell>
          <cell r="AP33">
            <v>1361016.400974425</v>
          </cell>
          <cell r="AQ33">
            <v>386213.57766987605</v>
          </cell>
          <cell r="AR33">
            <v>386213.57766987605</v>
          </cell>
          <cell r="AU33">
            <v>152863499.93040386</v>
          </cell>
          <cell r="AV33">
            <v>152863499.93040386</v>
          </cell>
          <cell r="AX33">
            <v>230515695.39517516</v>
          </cell>
        </row>
        <row r="34">
          <cell r="V34">
            <v>1719006.3114540614</v>
          </cell>
          <cell r="W34">
            <v>54574.724197597927</v>
          </cell>
          <cell r="X34">
            <v>54574.724197597927</v>
          </cell>
          <cell r="AA34">
            <v>196232870.38769624</v>
          </cell>
          <cell r="AB34">
            <v>196232870.38769624</v>
          </cell>
          <cell r="AC34">
            <v>257185246.32490602</v>
          </cell>
          <cell r="AM34">
            <v>3683.8424098785335</v>
          </cell>
          <cell r="AP34">
            <v>1511571.9324955107</v>
          </cell>
          <cell r="AQ34">
            <v>430323.13489963842</v>
          </cell>
          <cell r="AR34">
            <v>430323.13489963842</v>
          </cell>
          <cell r="AU34">
            <v>172553234.4672825</v>
          </cell>
          <cell r="AV34">
            <v>172553234.4672825</v>
          </cell>
          <cell r="AX34">
            <v>258080154.00252801</v>
          </cell>
        </row>
        <row r="35">
          <cell r="V35">
            <v>2004245.6035343274</v>
          </cell>
          <cell r="W35">
            <v>62229.395153522921</v>
          </cell>
          <cell r="X35">
            <v>62229.395153522921</v>
          </cell>
          <cell r="AA35">
            <v>232523250.54972497</v>
          </cell>
          <cell r="AB35">
            <v>232523250.54972497</v>
          </cell>
          <cell r="AC35">
            <v>293623178.31303155</v>
          </cell>
          <cell r="AM35">
            <v>3755.4718731192797</v>
          </cell>
          <cell r="AP35">
            <v>1695537.2524165893</v>
          </cell>
          <cell r="AQ35">
            <v>484270.1305704707</v>
          </cell>
          <cell r="AR35">
            <v>484270.1305704707</v>
          </cell>
          <cell r="AU35">
            <v>196708343.86006549</v>
          </cell>
          <cell r="AV35">
            <v>196708343.86006549</v>
          </cell>
          <cell r="AX35">
            <v>291168110.5974946</v>
          </cell>
        </row>
        <row r="36">
          <cell r="V36">
            <v>2323986.2572749704</v>
          </cell>
          <cell r="W36">
            <v>70650.682872834994</v>
          </cell>
          <cell r="X36">
            <v>70650.682872834994</v>
          </cell>
          <cell r="AA36">
            <v>273898109.49198318</v>
          </cell>
          <cell r="AB36">
            <v>273898109.49198318</v>
          </cell>
          <cell r="AC36">
            <v>333708098.55616164</v>
          </cell>
          <cell r="AM36">
            <v>3821.8316384114387</v>
          </cell>
          <cell r="AP36">
            <v>1893354.6325732039</v>
          </cell>
          <cell r="AQ36">
            <v>542362.94845495978</v>
          </cell>
          <cell r="AR36">
            <v>542362.94845495978</v>
          </cell>
          <cell r="AU36">
            <v>223145146.7650958</v>
          </cell>
          <cell r="AV36">
            <v>223145146.7650958</v>
          </cell>
          <cell r="AX36">
            <v>326982131.37662172</v>
          </cell>
        </row>
        <row r="37">
          <cell r="V37">
            <v>2729243.5997350169</v>
          </cell>
          <cell r="W37">
            <v>80768.977274512989</v>
          </cell>
          <cell r="X37">
            <v>80768.977274512989</v>
          </cell>
          <cell r="AA37">
            <v>327801152.94320476</v>
          </cell>
          <cell r="AB37">
            <v>327801152.94320476</v>
          </cell>
          <cell r="AC37">
            <v>385852699.65980059</v>
          </cell>
          <cell r="AM37">
            <v>3889.0108012583764</v>
          </cell>
          <cell r="AP37">
            <v>2121165.2359258267</v>
          </cell>
          <cell r="AQ37">
            <v>611448.64006574498</v>
          </cell>
          <cell r="AR37">
            <v>611448.64006574498</v>
          </cell>
          <cell r="AU37">
            <v>254766708.98377842</v>
          </cell>
          <cell r="AV37">
            <v>254766708.98377842</v>
          </cell>
          <cell r="AX37">
            <v>369652109.30121601</v>
          </cell>
        </row>
        <row r="38">
          <cell r="V38">
            <v>3187146.1044547511</v>
          </cell>
          <cell r="W38">
            <v>92004.872027170233</v>
          </cell>
          <cell r="X38">
            <v>92004.872027170233</v>
          </cell>
          <cell r="AA38">
            <v>390045152.97243196</v>
          </cell>
          <cell r="AB38">
            <v>390045152.97243196</v>
          </cell>
          <cell r="AC38">
            <v>444121115.63443226</v>
          </cell>
          <cell r="AM38">
            <v>3955.4131908524987</v>
          </cell>
          <cell r="AP38">
            <v>2370282.0341826477</v>
          </cell>
          <cell r="AQ38">
            <v>687556.84768404427</v>
          </cell>
          <cell r="AR38">
            <v>687556.84768404427</v>
          </cell>
          <cell r="AU38">
            <v>290076760.93617374</v>
          </cell>
          <cell r="AV38">
            <v>290076760.93617374</v>
          </cell>
          <cell r="AX38">
            <v>416839995.10731006</v>
          </cell>
        </row>
        <row r="39">
          <cell r="V39">
            <v>3702385.0094173402</v>
          </cell>
          <cell r="W39">
            <v>104419.71882077676</v>
          </cell>
          <cell r="X39">
            <v>104419.71882077676</v>
          </cell>
          <cell r="AA39">
            <v>461480860.66548681</v>
          </cell>
          <cell r="AB39">
            <v>461480860.66548681</v>
          </cell>
          <cell r="AC39">
            <v>508889270.07386857</v>
          </cell>
          <cell r="AM39">
            <v>4020.925900972692</v>
          </cell>
          <cell r="AP39">
            <v>2642199.3269429002</v>
          </cell>
          <cell r="AQ39">
            <v>770999.07565085287</v>
          </cell>
          <cell r="AR39">
            <v>770999.07565085287</v>
          </cell>
          <cell r="AU39">
            <v>329334852.08748454</v>
          </cell>
          <cell r="AV39">
            <v>329334852.08748454</v>
          </cell>
          <cell r="AX39">
            <v>468798393.52168441</v>
          </cell>
        </row>
        <row r="40">
          <cell r="V40">
            <v>4230318.42200136</v>
          </cell>
          <cell r="W40">
            <v>116666.90286329224</v>
          </cell>
          <cell r="X40">
            <v>116666.90286329224</v>
          </cell>
          <cell r="AA40">
            <v>536932072.0416497</v>
          </cell>
          <cell r="AB40">
            <v>536932072.0416497</v>
          </cell>
          <cell r="AC40">
            <v>578104961.46091616</v>
          </cell>
          <cell r="AM40">
            <v>4088.6582215718527</v>
          </cell>
          <cell r="AP40">
            <v>2921627.9716785559</v>
          </cell>
          <cell r="AQ40">
            <v>857481.23145676171</v>
          </cell>
          <cell r="AR40">
            <v>857481.23145676171</v>
          </cell>
          <cell r="AU40">
            <v>370826874.97222763</v>
          </cell>
          <cell r="AV40">
            <v>370826874.97222763</v>
          </cell>
          <cell r="AX40">
            <v>524045861.9680196</v>
          </cell>
        </row>
        <row r="41">
          <cell r="V41">
            <v>4705484.8114586081</v>
          </cell>
          <cell r="W41">
            <v>126932.12301870761</v>
          </cell>
          <cell r="X41">
            <v>126932.12301870761</v>
          </cell>
          <cell r="AA41">
            <v>608164852.46824062</v>
          </cell>
          <cell r="AB41">
            <v>608164852.46824062</v>
          </cell>
          <cell r="AC41">
            <v>648543522.48971248</v>
          </cell>
          <cell r="AM41">
            <v>4154.191079838205</v>
          </cell>
          <cell r="AP41">
            <v>3176806.1802272364</v>
          </cell>
          <cell r="AQ41">
            <v>937791.42946645</v>
          </cell>
          <cell r="AR41">
            <v>937791.42946645</v>
          </cell>
          <cell r="AU41">
            <v>410589331.24453193</v>
          </cell>
          <cell r="AV41">
            <v>410589331.24453193</v>
          </cell>
          <cell r="AX41">
            <v>579017114.62838149</v>
          </cell>
        </row>
        <row r="42">
          <cell r="V42">
            <v>5222087.4795204038</v>
          </cell>
          <cell r="W42">
            <v>137962.02031954995</v>
          </cell>
          <cell r="X42">
            <v>137962.02031954995</v>
          </cell>
          <cell r="AA42">
            <v>686976859.18871164</v>
          </cell>
          <cell r="AB42">
            <v>686976859.18871164</v>
          </cell>
          <cell r="AC42">
            <v>725162576.81613135</v>
          </cell>
          <cell r="AM42">
            <v>4219.9593475759102</v>
          </cell>
          <cell r="AP42">
            <v>3445149.9940006048</v>
          </cell>
          <cell r="AQ42">
            <v>1022642.0580476811</v>
          </cell>
          <cell r="AR42">
            <v>1022642.0580476811</v>
          </cell>
          <cell r="AU42">
            <v>453216904.46478403</v>
          </cell>
          <cell r="AV42">
            <v>453216904.46478403</v>
          </cell>
          <cell r="AX42">
            <v>638480726.23260462</v>
          </cell>
        </row>
        <row r="43">
          <cell r="V43">
            <v>5775218.0910457615</v>
          </cell>
          <cell r="W43">
            <v>149560.40672586119</v>
          </cell>
          <cell r="X43">
            <v>149560.40672586119</v>
          </cell>
          <cell r="AA43">
            <v>772760678.2315855</v>
          </cell>
          <cell r="AB43">
            <v>772760678.2315855</v>
          </cell>
          <cell r="AC43">
            <v>807695523.05949759</v>
          </cell>
          <cell r="AM43">
            <v>4282.0408035249629</v>
          </cell>
          <cell r="AP43">
            <v>3726231.4233871829</v>
          </cell>
          <cell r="AQ43">
            <v>1111791.5929750791</v>
          </cell>
          <cell r="AR43">
            <v>1111791.5929750791</v>
          </cell>
          <cell r="AU43">
            <v>498593313.11644304</v>
          </cell>
          <cell r="AV43">
            <v>498593313.11644304</v>
          </cell>
          <cell r="AX43">
            <v>701524761.68521309</v>
          </cell>
        </row>
        <row r="44">
          <cell r="V44">
            <v>6369879.7038433049</v>
          </cell>
          <cell r="W44">
            <v>161880.35358600484</v>
          </cell>
          <cell r="X44">
            <v>161880.35358600484</v>
          </cell>
          <cell r="AA44">
            <v>866628416.77019465</v>
          </cell>
          <cell r="AB44">
            <v>866628416.77019465</v>
          </cell>
          <cell r="AC44">
            <v>897145514.89189661</v>
          </cell>
          <cell r="AM44">
            <v>4347.2253230365786</v>
          </cell>
          <cell r="AP44">
            <v>4030482.0152899902</v>
          </cell>
          <cell r="AQ44">
            <v>1208462.9103092924</v>
          </cell>
          <cell r="AR44">
            <v>1208462.9103092924</v>
          </cell>
          <cell r="AU44">
            <v>548351053.72932363</v>
          </cell>
          <cell r="AV44">
            <v>548351053.72932363</v>
          </cell>
          <cell r="AX44">
            <v>770419945.87147582</v>
          </cell>
        </row>
        <row r="45">
          <cell r="V45">
            <v>7005621.795916996</v>
          </cell>
          <cell r="W45">
            <v>174890.27284696102</v>
          </cell>
          <cell r="X45">
            <v>174890.27284696102</v>
          </cell>
          <cell r="AA45">
            <v>968780584.18921471</v>
          </cell>
          <cell r="AB45">
            <v>968780584.18921471</v>
          </cell>
          <cell r="AC45">
            <v>993546065.94990337</v>
          </cell>
          <cell r="AM45">
            <v>4409.6883495694838</v>
          </cell>
          <cell r="AP45">
            <v>4351280.0149450377</v>
          </cell>
          <cell r="AQ45">
            <v>1310708.4021243886</v>
          </cell>
          <cell r="AR45">
            <v>1310708.4021243886</v>
          </cell>
          <cell r="AU45">
            <v>601721833.92859447</v>
          </cell>
          <cell r="AV45">
            <v>601721833.92859447</v>
          </cell>
          <cell r="AX45">
            <v>844053865.68736148</v>
          </cell>
        </row>
        <row r="46">
          <cell r="V46">
            <v>7712287.586538475</v>
          </cell>
          <cell r="W46">
            <v>188914.30081844484</v>
          </cell>
          <cell r="X46">
            <v>188914.30081844484</v>
          </cell>
          <cell r="AA46">
            <v>1082721462.5122571</v>
          </cell>
          <cell r="AB46">
            <v>1082721462.5122571</v>
          </cell>
          <cell r="AC46">
            <v>1099590664.4457271</v>
          </cell>
          <cell r="AM46">
            <v>4476.3833570485103</v>
          </cell>
          <cell r="AP46">
            <v>4705537.5990957534</v>
          </cell>
          <cell r="AQ46">
            <v>1422415.2632288472</v>
          </cell>
          <cell r="AR46">
            <v>1422415.2632288472</v>
          </cell>
          <cell r="AU46">
            <v>660606401.67155302</v>
          </cell>
          <cell r="AV46">
            <v>660606401.67155302</v>
          </cell>
          <cell r="AX46">
            <v>924894848.9693644</v>
          </cell>
        </row>
        <row r="47">
          <cell r="V47">
            <v>8338398.9101677975</v>
          </cell>
          <cell r="W47">
            <v>201280.90823423161</v>
          </cell>
          <cell r="X47">
            <v>201280.90823423161</v>
          </cell>
          <cell r="AA47">
            <v>1183377299.57477</v>
          </cell>
          <cell r="AB47">
            <v>1183377299.57477</v>
          </cell>
          <cell r="AC47">
            <v>1192904562.3814297</v>
          </cell>
          <cell r="AM47">
            <v>4541.4646355865862</v>
          </cell>
          <cell r="AP47">
            <v>5071279.5212471364</v>
          </cell>
          <cell r="AQ47">
            <v>1531976.5026713479</v>
          </cell>
          <cell r="AR47">
            <v>1531976.5026713479</v>
          </cell>
          <cell r="AU47">
            <v>719710957.69049752</v>
          </cell>
          <cell r="AV47">
            <v>719710957.69049752</v>
          </cell>
          <cell r="AX47">
            <v>1003376394.9446371</v>
          </cell>
        </row>
        <row r="48">
          <cell r="V48">
            <v>9008552.7504421268</v>
          </cell>
          <cell r="W48">
            <v>214384.0339719519</v>
          </cell>
          <cell r="X48">
            <v>214384.0339719519</v>
          </cell>
          <cell r="AA48">
            <v>1291998146.8903306</v>
          </cell>
          <cell r="AB48">
            <v>1291998146.8903306</v>
          </cell>
          <cell r="AC48">
            <v>1292882693.1536539</v>
          </cell>
          <cell r="AM48">
            <v>4608.9161632421728</v>
          </cell>
          <cell r="AP48">
            <v>5473690.4425682817</v>
          </cell>
          <cell r="AQ48">
            <v>1650565.4942673063</v>
          </cell>
          <cell r="AR48">
            <v>1650565.4942673063</v>
          </cell>
          <cell r="AU48">
            <v>785031525.52472425</v>
          </cell>
          <cell r="AV48">
            <v>785031525.52472425</v>
          </cell>
          <cell r="AX48">
            <v>1089840570.3722744</v>
          </cell>
        </row>
        <row r="49">
          <cell r="V49">
            <v>9718928.3334017992</v>
          </cell>
          <cell r="W49">
            <v>228136.945059816</v>
          </cell>
          <cell r="X49">
            <v>228136.945059816</v>
          </cell>
          <cell r="AA49">
            <v>1408427486.0904794</v>
          </cell>
          <cell r="AB49">
            <v>1408427486.0904794</v>
          </cell>
          <cell r="AC49">
            <v>1399234914.4176157</v>
          </cell>
          <cell r="AM49">
            <v>4672.8371965502056</v>
          </cell>
          <cell r="AP49">
            <v>5901356.4720035521</v>
          </cell>
          <cell r="AQ49">
            <v>1775227.4574146236</v>
          </cell>
          <cell r="AR49">
            <v>1775227.4574146236</v>
          </cell>
          <cell r="AU49">
            <v>855200529.85908997</v>
          </cell>
          <cell r="AV49">
            <v>855200529.85908997</v>
          </cell>
          <cell r="AX49">
            <v>1182295768.1947851</v>
          </cell>
        </row>
        <row r="50">
          <cell r="V50">
            <v>10502777.722333079</v>
          </cell>
          <cell r="W50">
            <v>243050.08228356336</v>
          </cell>
          <cell r="X50">
            <v>243050.08228356336</v>
          </cell>
          <cell r="AA50">
            <v>1538729803.5378797</v>
          </cell>
          <cell r="AB50">
            <v>1538729803.5378797</v>
          </cell>
          <cell r="AC50">
            <v>1517935409.2383683</v>
          </cell>
          <cell r="AM50">
            <v>4736.553928970714</v>
          </cell>
          <cell r="AP50">
            <v>6369303.4795800988</v>
          </cell>
          <cell r="AQ50">
            <v>1911587.4483371815</v>
          </cell>
          <cell r="AR50">
            <v>1911587.4483371815</v>
          </cell>
          <cell r="AU50">
            <v>933147149.34577453</v>
          </cell>
          <cell r="AV50">
            <v>933147149.34577453</v>
          </cell>
          <cell r="AX50">
            <v>1284426914.1920547</v>
          </cell>
        </row>
        <row r="51">
          <cell r="V51">
            <v>11313861.022058593</v>
          </cell>
          <cell r="W51">
            <v>258260.47302034334</v>
          </cell>
          <cell r="X51">
            <v>258260.47302034334</v>
          </cell>
          <cell r="AA51">
            <v>1676471589.3104453</v>
          </cell>
          <cell r="AB51">
            <v>1676471589.3104453</v>
          </cell>
          <cell r="AC51">
            <v>1641862018.0436311</v>
          </cell>
          <cell r="AM51">
            <v>4801.6236887917403</v>
          </cell>
          <cell r="AP51">
            <v>6866740.1164164254</v>
          </cell>
          <cell r="AQ51">
            <v>2055632.4904094588</v>
          </cell>
          <cell r="AR51">
            <v>2055632.4904094588</v>
          </cell>
          <cell r="AU51">
            <v>1017503635.0460501</v>
          </cell>
          <cell r="AV51">
            <v>1017503635.0460501</v>
          </cell>
          <cell r="AX51">
            <v>1392932266.7166252</v>
          </cell>
        </row>
        <row r="52">
          <cell r="V52">
            <v>12130207.45826724</v>
          </cell>
          <cell r="W52">
            <v>273273.56702987949</v>
          </cell>
          <cell r="X52">
            <v>273273.56702987949</v>
          </cell>
          <cell r="AA52">
            <v>1820286391.2723665</v>
          </cell>
          <cell r="AB52">
            <v>1820286391.2723665</v>
          </cell>
          <cell r="AC52">
            <v>1767443201.2673855</v>
          </cell>
          <cell r="AM52">
            <v>4864.1959062513097</v>
          </cell>
          <cell r="AP52">
            <v>7367530.9577980535</v>
          </cell>
          <cell r="AQ52">
            <v>2199871.1350786863</v>
          </cell>
          <cell r="AR52">
            <v>2199871.1350786863</v>
          </cell>
          <cell r="AU52">
            <v>1105588373.9743869</v>
          </cell>
          <cell r="AV52">
            <v>1105588373.9743869</v>
          </cell>
          <cell r="AX52">
            <v>1503166557.5432093</v>
          </cell>
        </row>
        <row r="53">
          <cell r="V53">
            <v>12989597.417505573</v>
          </cell>
          <cell r="W53">
            <v>288948.84938602871</v>
          </cell>
          <cell r="X53">
            <v>288948.84938602871</v>
          </cell>
          <cell r="AA53">
            <v>1973712878.6529355</v>
          </cell>
          <cell r="AB53">
            <v>1973712878.6529355</v>
          </cell>
          <cell r="AC53">
            <v>1900201210.1631961</v>
          </cell>
          <cell r="AM53">
            <v>4929.6355742175874</v>
          </cell>
          <cell r="AP53">
            <v>7902694.4170195386</v>
          </cell>
          <cell r="AQ53">
            <v>2353965.9906586353</v>
          </cell>
          <cell r="AR53">
            <v>2353965.9906586353</v>
          </cell>
          <cell r="AU53">
            <v>1200780073.9005022</v>
          </cell>
          <cell r="AV53">
            <v>1200780073.9005022</v>
          </cell>
          <cell r="AX53">
            <v>1621480177.41379</v>
          </cell>
        </row>
        <row r="54">
          <cell r="V54">
            <v>13887293.261547077</v>
          </cell>
          <cell r="W54">
            <v>305168.83884429344</v>
          </cell>
          <cell r="X54">
            <v>305168.83884429344</v>
          </cell>
          <cell r="AA54">
            <v>2136266459.2454143</v>
          </cell>
          <cell r="AB54">
            <v>2136266459.2454143</v>
          </cell>
          <cell r="AC54">
            <v>2039498045.1974008</v>
          </cell>
          <cell r="AM54">
            <v>4989.5003378607553</v>
          </cell>
          <cell r="AP54">
            <v>8455956.9800961632</v>
          </cell>
          <cell r="AQ54">
            <v>2512558.1597255091</v>
          </cell>
          <cell r="AR54">
            <v>2512558.1597255091</v>
          </cell>
          <cell r="AU54">
            <v>1300770203.1770289</v>
          </cell>
          <cell r="AV54">
            <v>1300770203.1770289</v>
          </cell>
          <cell r="AX54">
            <v>1744605256.7452755</v>
          </cell>
        </row>
        <row r="55">
          <cell r="V55">
            <v>15011081.757671189</v>
          </cell>
          <cell r="W55">
            <v>329416.16175960645</v>
          </cell>
          <cell r="X55">
            <v>329416.16175960645</v>
          </cell>
          <cell r="AA55">
            <v>2363018687.8377767</v>
          </cell>
          <cell r="AB55">
            <v>2363018687.8377767</v>
          </cell>
          <cell r="AC55">
            <v>2227011817.7887392</v>
          </cell>
          <cell r="AM55">
            <v>5052.0892668144525</v>
          </cell>
          <cell r="AP55">
            <v>9223249.3979178406</v>
          </cell>
          <cell r="AQ55">
            <v>2763625.9980443232</v>
          </cell>
          <cell r="AR55">
            <v>2763625.9980443232</v>
          </cell>
          <cell r="AU55">
            <v>1451908066.4343538</v>
          </cell>
          <cell r="AV55">
            <v>1451908066.4343538</v>
          </cell>
          <cell r="AX55">
            <v>1912595256.7636256</v>
          </cell>
        </row>
        <row r="56">
          <cell r="V56">
            <v>16023692.649152063</v>
          </cell>
          <cell r="W56">
            <v>346809.82959833008</v>
          </cell>
          <cell r="X56">
            <v>346809.82959833008</v>
          </cell>
          <cell r="AA56">
            <v>2551094839.9571967</v>
          </cell>
          <cell r="AB56">
            <v>2551094839.9571967</v>
          </cell>
          <cell r="AC56">
            <v>2388620246.1869273</v>
          </cell>
          <cell r="AM56">
            <v>5115.4400792232045</v>
          </cell>
          <cell r="AP56">
            <v>9886252.8167937305</v>
          </cell>
          <cell r="AQ56">
            <v>2952611.3257793738</v>
          </cell>
          <cell r="AR56">
            <v>2952611.3257793738</v>
          </cell>
          <cell r="AU56">
            <v>1573967318.2491686</v>
          </cell>
          <cell r="AV56">
            <v>1573967318.2491686</v>
          </cell>
          <cell r="AX56">
            <v>2056485583.340982</v>
          </cell>
        </row>
        <row r="57">
          <cell r="V57">
            <v>17414636.87999792</v>
          </cell>
          <cell r="W57">
            <v>373527.46238244488</v>
          </cell>
          <cell r="X57">
            <v>373527.46238244488</v>
          </cell>
          <cell r="AA57">
            <v>2845772217.7741313</v>
          </cell>
          <cell r="AB57">
            <v>2845772217.7741313</v>
          </cell>
          <cell r="AC57">
            <v>2653772340.4204741</v>
          </cell>
          <cell r="AM57">
            <v>5179.1861136941852</v>
          </cell>
          <cell r="AP57">
            <v>10666241.720320839</v>
          </cell>
          <cell r="AQ57">
            <v>3222566.8613603367</v>
          </cell>
          <cell r="AR57">
            <v>3222566.8613603367</v>
          </cell>
          <cell r="AU57">
            <v>1742998982.1157863</v>
          </cell>
          <cell r="AV57">
            <v>1742998982.1157863</v>
          </cell>
          <cell r="AX57">
            <v>2257987104.2238894</v>
          </cell>
        </row>
        <row r="58">
          <cell r="V58">
            <v>18893481.140186936</v>
          </cell>
          <cell r="W58">
            <v>401817.50808958581</v>
          </cell>
          <cell r="X58">
            <v>401817.50808958581</v>
          </cell>
          <cell r="AA58">
            <v>3166863960.1851425</v>
          </cell>
          <cell r="AB58">
            <v>3166863960.1851425</v>
          </cell>
          <cell r="AC58">
            <v>2940860101.505218</v>
          </cell>
          <cell r="AM58">
            <v>5245.4875618998367</v>
          </cell>
          <cell r="AP58">
            <v>11507351.335405493</v>
          </cell>
          <cell r="AQ58">
            <v>3514878.6170981759</v>
          </cell>
          <cell r="AR58">
            <v>3514878.6170981759</v>
          </cell>
          <cell r="AU58">
            <v>1928824865.6183567</v>
          </cell>
          <cell r="AV58">
            <v>1928824865.6183567</v>
          </cell>
          <cell r="AX58">
            <v>2477642611.581111</v>
          </cell>
        </row>
        <row r="59">
          <cell r="V59">
            <v>20490979.972078118</v>
          </cell>
          <cell r="W59">
            <v>432265.77641391975</v>
          </cell>
          <cell r="X59">
            <v>432265.77641391975</v>
          </cell>
          <cell r="AA59">
            <v>3522335829.3090434</v>
          </cell>
          <cell r="AB59">
            <v>3522335829.3090434</v>
          </cell>
          <cell r="AC59">
            <v>3255473671.7982411</v>
          </cell>
          <cell r="AM59">
            <v>5308.7424938353615</v>
          </cell>
          <cell r="AP59">
            <v>12416010.449972726</v>
          </cell>
          <cell r="AQ59">
            <v>3833753.8678048784</v>
          </cell>
          <cell r="AR59">
            <v>3833753.8678048784</v>
          </cell>
          <cell r="AU59">
            <v>2134273642.5787039</v>
          </cell>
          <cell r="AV59">
            <v>2134273642.5787039</v>
          </cell>
          <cell r="AX59">
            <v>2715593757.0453086</v>
          </cell>
        </row>
        <row r="60">
          <cell r="V60">
            <v>22324976.336661305</v>
          </cell>
          <cell r="W60">
            <v>467197.47130033874</v>
          </cell>
          <cell r="X60">
            <v>467197.47130033874</v>
          </cell>
          <cell r="AA60">
            <v>3938857243.1950912</v>
          </cell>
          <cell r="AB60">
            <v>3938857243.1950912</v>
          </cell>
          <cell r="AC60">
            <v>3616021914.5633001</v>
          </cell>
          <cell r="AM60">
            <v>5373.139573989567</v>
          </cell>
          <cell r="AP60">
            <v>13464095.200188061</v>
          </cell>
          <cell r="AQ60">
            <v>4206593.1673044423</v>
          </cell>
          <cell r="AR60">
            <v>4206593.1673044423</v>
          </cell>
          <cell r="AU60">
            <v>2375507507.9403238</v>
          </cell>
          <cell r="AV60">
            <v>2375507507.9403238</v>
          </cell>
          <cell r="AX60">
            <v>2985014803.7227049</v>
          </cell>
        </row>
        <row r="61">
          <cell r="V61">
            <v>24288247.1310439</v>
          </cell>
          <cell r="W61">
            <v>504460.57611761405</v>
          </cell>
          <cell r="X61">
            <v>504460.57611761405</v>
          </cell>
          <cell r="AA61">
            <v>4395393322.6098347</v>
          </cell>
          <cell r="AB61">
            <v>4395393322.6098347</v>
          </cell>
          <cell r="AC61">
            <v>4005306221.2801304</v>
          </cell>
          <cell r="AM61">
            <v>5433.6170958710936</v>
          </cell>
          <cell r="AP61">
            <v>14557880.406468816</v>
          </cell>
          <cell r="AQ61">
            <v>4599566.5945966477</v>
          </cell>
          <cell r="AR61">
            <v>4599566.5945966477</v>
          </cell>
          <cell r="AU61">
            <v>2634509192.232327</v>
          </cell>
          <cell r="AV61">
            <v>2634509192.232327</v>
          </cell>
          <cell r="AX61">
            <v>3272323271.0899963</v>
          </cell>
        </row>
        <row r="62">
          <cell r="V62">
            <v>26358956.720148008</v>
          </cell>
          <cell r="W62">
            <v>543580.91112026141</v>
          </cell>
          <cell r="X62">
            <v>543580.91112026141</v>
          </cell>
          <cell r="AA62">
            <v>4889643408.6465874</v>
          </cell>
          <cell r="AB62">
            <v>4889643408.6465874</v>
          </cell>
          <cell r="AC62">
            <v>4424315634.137187</v>
          </cell>
          <cell r="AM62">
            <v>5496.9671993596457</v>
          </cell>
          <cell r="AP62">
            <v>15733957.282054294</v>
          </cell>
          <cell r="AQ62">
            <v>5023445.3440912776</v>
          </cell>
          <cell r="AR62">
            <v>5023445.3440912776</v>
          </cell>
          <cell r="AU62">
            <v>2918683062.1910806</v>
          </cell>
          <cell r="AV62">
            <v>2918683062.1910806</v>
          </cell>
          <cell r="AX62">
            <v>3584477800.8025494</v>
          </cell>
        </row>
        <row r="63">
          <cell r="V63">
            <v>28549996.603394505</v>
          </cell>
          <cell r="W63">
            <v>584810.6449575451</v>
          </cell>
          <cell r="X63">
            <v>584810.6449575451</v>
          </cell>
          <cell r="AA63">
            <v>5425509494.4245033</v>
          </cell>
          <cell r="AB63">
            <v>5425509494.4245033</v>
          </cell>
          <cell r="AC63">
            <v>4874852647.1629772</v>
          </cell>
          <cell r="AM63">
            <v>5560.8560867691785</v>
          </cell>
          <cell r="AP63">
            <v>16989115.05239208</v>
          </cell>
          <cell r="AQ63">
            <v>5478303.42996212</v>
          </cell>
          <cell r="AR63">
            <v>5478303.42996212</v>
          </cell>
          <cell r="AU63">
            <v>3228532959.1830564</v>
          </cell>
          <cell r="AV63">
            <v>3228532959.1830564</v>
          </cell>
          <cell r="AX63">
            <v>3921006233.4298453</v>
          </cell>
        </row>
        <row r="64">
          <cell r="V64">
            <v>30885699.249544512</v>
          </cell>
          <cell r="W64">
            <v>628888.83578759874</v>
          </cell>
          <cell r="X64">
            <v>628888.83578759874</v>
          </cell>
          <cell r="AA64">
            <v>6011828969.7330046</v>
          </cell>
          <cell r="AB64">
            <v>6011828969.7330046</v>
          </cell>
          <cell r="AC64">
            <v>5363533594.6033068</v>
          </cell>
          <cell r="AM64">
            <v>5627.396776908311</v>
          </cell>
          <cell r="AP64">
            <v>18345311.375998724</v>
          </cell>
          <cell r="AQ64">
            <v>5974271.3769721128</v>
          </cell>
          <cell r="AR64">
            <v>5974271.3769721128</v>
          </cell>
          <cell r="AU64">
            <v>3570871862.0197034</v>
          </cell>
          <cell r="AV64">
            <v>3570871862.0197034</v>
          </cell>
          <cell r="AX64">
            <v>4289158586.3669367</v>
          </cell>
        </row>
        <row r="65">
          <cell r="V65">
            <v>33389180.738208741</v>
          </cell>
          <cell r="W65">
            <v>676672.96167347871</v>
          </cell>
          <cell r="X65">
            <v>676672.96167347871</v>
          </cell>
          <cell r="AA65">
            <v>6660368727.2664108</v>
          </cell>
          <cell r="AB65">
            <v>6660368727.2664108</v>
          </cell>
          <cell r="AC65">
            <v>5898735833.5592146</v>
          </cell>
          <cell r="AM65">
            <v>5693.3346855347099</v>
          </cell>
          <cell r="AP65">
            <v>19801330.788343437</v>
          </cell>
          <cell r="AQ65">
            <v>6516437.9531781394</v>
          </cell>
          <cell r="AR65">
            <v>6516437.9531781394</v>
          </cell>
          <cell r="AU65">
            <v>3949907168.2827849</v>
          </cell>
          <cell r="AV65">
            <v>3949907168.2827849</v>
          </cell>
          <cell r="AX65">
            <v>4692397770.1955757</v>
          </cell>
        </row>
        <row r="66">
          <cell r="V66">
            <v>37044615.275838003</v>
          </cell>
          <cell r="W66">
            <v>748567.68233955908</v>
          </cell>
          <cell r="X66">
            <v>748567.68233955908</v>
          </cell>
          <cell r="AA66">
            <v>7582483388.5215321</v>
          </cell>
          <cell r="AB66">
            <v>7582483388.5215321</v>
          </cell>
          <cell r="AC66">
            <v>6658263076.2321825</v>
          </cell>
          <cell r="AM66">
            <v>5759.6861105963708</v>
          </cell>
          <cell r="AP66">
            <v>24146324.012352787</v>
          </cell>
          <cell r="AQ66">
            <v>7672389.593889825</v>
          </cell>
          <cell r="AR66">
            <v>7672389.593889825</v>
          </cell>
          <cell r="AU66">
            <v>4942394443.9488277</v>
          </cell>
          <cell r="AV66">
            <v>4942394443.9488277</v>
          </cell>
          <cell r="AX66">
            <v>5598659828.7280197</v>
          </cell>
        </row>
        <row r="67">
          <cell r="V67">
            <v>41156509.379459947</v>
          </cell>
          <cell r="W67">
            <v>820269.87217827782</v>
          </cell>
          <cell r="X67">
            <v>820269.87217827782</v>
          </cell>
          <cell r="AA67">
            <v>8592755047.8893166</v>
          </cell>
          <cell r="AB67">
            <v>8592755047.8893166</v>
          </cell>
          <cell r="AC67">
            <v>7445777391.1220055</v>
          </cell>
          <cell r="AM67">
            <v>5827.76487875979</v>
          </cell>
          <cell r="AP67">
            <v>28491439.501467817</v>
          </cell>
          <cell r="AQ67">
            <v>9051361.8073537406</v>
          </cell>
          <cell r="AR67">
            <v>9051361.8073537406</v>
          </cell>
          <cell r="AU67">
            <v>5948511287.5012999</v>
          </cell>
          <cell r="AV67">
            <v>5948511287.5012999</v>
          </cell>
          <cell r="AX67">
            <v>6324577377.5960913</v>
          </cell>
        </row>
        <row r="68">
          <cell r="V68">
            <v>45612607.83444535</v>
          </cell>
          <cell r="W68">
            <v>897270.50397134258</v>
          </cell>
          <cell r="X68">
            <v>897270.50397134258</v>
          </cell>
          <cell r="AA68">
            <v>9709920701.6628761</v>
          </cell>
          <cell r="AB68">
            <v>9709920701.6628761</v>
          </cell>
          <cell r="AC68">
            <v>8305767036.8327894</v>
          </cell>
          <cell r="AM68">
            <v>5895.2604065282285</v>
          </cell>
          <cell r="AP68">
            <v>33444029.077026185</v>
          </cell>
          <cell r="AQ68">
            <v>10616369.117457269</v>
          </cell>
          <cell r="AR68">
            <v>10616369.117457269</v>
          </cell>
          <cell r="AU68">
            <v>7119498000.6558218</v>
          </cell>
          <cell r="AV68">
            <v>7119498000.6558218</v>
          </cell>
          <cell r="AX68">
            <v>7130684059.5307016</v>
          </cell>
        </row>
        <row r="69">
          <cell r="V69">
            <v>50445261.893349819</v>
          </cell>
          <cell r="W69">
            <v>980084.51628931495</v>
          </cell>
          <cell r="X69">
            <v>980084.51628931495</v>
          </cell>
          <cell r="AA69">
            <v>10945198559.489744</v>
          </cell>
          <cell r="AB69">
            <v>10945198559.489744</v>
          </cell>
          <cell r="AC69">
            <v>9245217738.8894043</v>
          </cell>
          <cell r="AM69">
            <v>5964.3685709059691</v>
          </cell>
          <cell r="AP69">
            <v>39100548.341126688</v>
          </cell>
          <cell r="AQ69">
            <v>12394593.863318639</v>
          </cell>
          <cell r="AR69">
            <v>12394593.863318639</v>
          </cell>
          <cell r="AU69">
            <v>8483715800.3728638</v>
          </cell>
          <cell r="AV69">
            <v>8483715800.3728638</v>
          </cell>
          <cell r="AX69">
            <v>8030206003.7678251</v>
          </cell>
        </row>
        <row r="70">
          <cell r="V70">
            <v>55666659.81552799</v>
          </cell>
          <cell r="W70">
            <v>1068823.8602214388</v>
          </cell>
          <cell r="X70">
            <v>1068823.8602214388</v>
          </cell>
          <cell r="AA70">
            <v>12305879481.206154</v>
          </cell>
          <cell r="AB70">
            <v>12305879481.206154</v>
          </cell>
          <cell r="AC70">
            <v>10267601897.28957</v>
          </cell>
          <cell r="AM70">
            <v>6031.9769456836293</v>
          </cell>
          <cell r="AP70">
            <v>45505535.39128805</v>
          </cell>
          <cell r="AQ70">
            <v>14397659.051876303</v>
          </cell>
          <cell r="AR70">
            <v>14397659.051876303</v>
          </cell>
          <cell r="AU70">
            <v>10059623410.290306</v>
          </cell>
          <cell r="AV70">
            <v>10059623410.290306</v>
          </cell>
          <cell r="AX70">
            <v>9024831125.168293</v>
          </cell>
        </row>
        <row r="71">
          <cell r="V71">
            <v>60835150.119989961</v>
          </cell>
          <cell r="W71">
            <v>1160031.5914007439</v>
          </cell>
          <cell r="X71">
            <v>1160031.5914007439</v>
          </cell>
          <cell r="AA71">
            <v>13714712800.76276</v>
          </cell>
          <cell r="AB71">
            <v>13714712800.76276</v>
          </cell>
          <cell r="AC71">
            <v>11329459605.827335</v>
          </cell>
          <cell r="AM71">
            <v>6100.5747752571242</v>
          </cell>
          <cell r="AP71">
            <v>52776157.547782861</v>
          </cell>
          <cell r="AQ71">
            <v>16683772.068903733</v>
          </cell>
          <cell r="AR71">
            <v>16683772.068903733</v>
          </cell>
          <cell r="AU71">
            <v>11897888672.387964</v>
          </cell>
          <cell r="AV71">
            <v>11897888672.387964</v>
          </cell>
          <cell r="AX71">
            <v>10124226667.71352</v>
          </cell>
        </row>
        <row r="72">
          <cell r="V72">
            <v>65780226.00943955</v>
          </cell>
          <cell r="W72">
            <v>1249689.3395449072</v>
          </cell>
          <cell r="X72">
            <v>1249689.3395449072</v>
          </cell>
          <cell r="AA72">
            <v>15130766839.032658</v>
          </cell>
          <cell r="AB72">
            <v>15130766839.032658</v>
          </cell>
          <cell r="AC72">
            <v>12414958252.010471</v>
          </cell>
          <cell r="AM72">
            <v>6164.2486428831089</v>
          </cell>
          <cell r="AP72">
            <v>60771123.576706812</v>
          </cell>
          <cell r="AQ72">
            <v>19209711.546292529</v>
          </cell>
          <cell r="AR72">
            <v>19209711.546292529</v>
          </cell>
          <cell r="AU72">
            <v>13978573154.388973</v>
          </cell>
          <cell r="AV72">
            <v>13978573154.388973</v>
          </cell>
          <cell r="AX72">
            <v>11300603162.600468</v>
          </cell>
        </row>
        <row r="73">
          <cell r="V73">
            <v>71063392.062468305</v>
          </cell>
          <cell r="W73">
            <v>1345978.6912563392</v>
          </cell>
          <cell r="X73">
            <v>1345978.6912563392</v>
          </cell>
          <cell r="AA73">
            <v>16679147935.244299</v>
          </cell>
          <cell r="AB73">
            <v>16679147935.244299</v>
          </cell>
          <cell r="AC73">
            <v>13597869933.166733</v>
          </cell>
          <cell r="AM73">
            <v>6230.8845309680837</v>
          </cell>
          <cell r="AP73">
            <v>69837029.439620733</v>
          </cell>
          <cell r="AQ73">
            <v>22069737.619142503</v>
          </cell>
          <cell r="AR73">
            <v>22069737.619142503</v>
          </cell>
          <cell r="AU73">
            <v>16391310794.135859</v>
          </cell>
          <cell r="AV73">
            <v>16391310794.135859</v>
          </cell>
          <cell r="AX73">
            <v>12619840405.572186</v>
          </cell>
        </row>
        <row r="74">
          <cell r="V74">
            <v>77026637.974513978</v>
          </cell>
          <cell r="W74">
            <v>1454702.8821612508</v>
          </cell>
          <cell r="X74">
            <v>1454702.8821612508</v>
          </cell>
          <cell r="AA74">
            <v>18401328978.682377</v>
          </cell>
          <cell r="AB74">
            <v>18401328978.682377</v>
          </cell>
          <cell r="AC74">
            <v>14939209291.281652</v>
          </cell>
          <cell r="AM74">
            <v>6295.0201830884398</v>
          </cell>
          <cell r="AP74">
            <v>80390753.670106769</v>
          </cell>
          <cell r="AQ74">
            <v>25373333.121751957</v>
          </cell>
          <cell r="AR74">
            <v>25373333.121751957</v>
          </cell>
          <cell r="AU74">
            <v>19205001594.608238</v>
          </cell>
          <cell r="AV74">
            <v>19205001594.608238</v>
          </cell>
          <cell r="AX74">
            <v>14140064016.552212</v>
          </cell>
        </row>
        <row r="75">
          <cell r="V75">
            <v>83207676.533654302</v>
          </cell>
          <cell r="W75">
            <v>1566294.9817075455</v>
          </cell>
          <cell r="X75">
            <v>1566294.9817075455</v>
          </cell>
          <cell r="AA75">
            <v>20214595129.348648</v>
          </cell>
          <cell r="AB75">
            <v>20214595129.348648</v>
          </cell>
          <cell r="AC75">
            <v>16370580918.809759</v>
          </cell>
          <cell r="AM75">
            <v>6363.0671141986095</v>
          </cell>
          <cell r="AP75">
            <v>92218421.647976995</v>
          </cell>
          <cell r="AQ75">
            <v>29023928.761718217</v>
          </cell>
          <cell r="AR75">
            <v>29023928.761718217</v>
          </cell>
          <cell r="AU75">
            <v>22403678779.895214</v>
          </cell>
          <cell r="AV75">
            <v>22403678779.895214</v>
          </cell>
          <cell r="AX75">
            <v>15828047607.334288</v>
          </cell>
        </row>
        <row r="76">
          <cell r="V76">
            <v>89367221.180928618</v>
          </cell>
          <cell r="W76">
            <v>1675575.8451403254</v>
          </cell>
          <cell r="X76">
            <v>1675575.8451403254</v>
          </cell>
          <cell r="AA76">
            <v>22052610076.645638</v>
          </cell>
          <cell r="AB76">
            <v>22052610076.645638</v>
          </cell>
          <cell r="AC76">
            <v>17865632303.875473</v>
          </cell>
          <cell r="AM76">
            <v>6428.1700810460788</v>
          </cell>
          <cell r="AP76">
            <v>105101109.10624272</v>
          </cell>
          <cell r="AQ76">
            <v>32923342.395557798</v>
          </cell>
          <cell r="AR76">
            <v>32923342.395557798</v>
          </cell>
          <cell r="AU76">
            <v>25935166687.689068</v>
          </cell>
          <cell r="AV76">
            <v>25935166687.689068</v>
          </cell>
          <cell r="AX76">
            <v>17651653591.865181</v>
          </cell>
        </row>
        <row r="77">
          <cell r="V77">
            <v>95729695.170125514</v>
          </cell>
          <cell r="W77">
            <v>1781927.8588115927</v>
          </cell>
          <cell r="X77">
            <v>1781927.8588115927</v>
          </cell>
          <cell r="AA77">
            <v>23945294296.064854</v>
          </cell>
          <cell r="AB77">
            <v>23945294296.064854</v>
          </cell>
          <cell r="AC77">
            <v>19453119035.639973</v>
          </cell>
          <cell r="AM77">
            <v>6495.3077749655904</v>
          </cell>
          <cell r="AP77">
            <v>117459471.26028982</v>
          </cell>
          <cell r="AQ77">
            <v>36537493.45667097</v>
          </cell>
          <cell r="AR77">
            <v>36537493.45667097</v>
          </cell>
          <cell r="AU77">
            <v>29380659806.650501</v>
          </cell>
          <cell r="AV77">
            <v>29380659806.650501</v>
          </cell>
          <cell r="AX77">
            <v>19547800670.741985</v>
          </cell>
        </row>
        <row r="78">
          <cell r="V78">
            <v>102669813.14468491</v>
          </cell>
          <cell r="W78">
            <v>1898060.4841415761</v>
          </cell>
          <cell r="X78">
            <v>1898060.4841415761</v>
          </cell>
          <cell r="AA78">
            <v>26028423921.430958</v>
          </cell>
          <cell r="AB78">
            <v>26028423921.430958</v>
          </cell>
          <cell r="AC78">
            <v>21165873912.63353</v>
          </cell>
          <cell r="AM78">
            <v>6560.486138479986</v>
          </cell>
          <cell r="AP78">
            <v>131196193.42226036</v>
          </cell>
          <cell r="AQ78">
            <v>40510980.955839925</v>
          </cell>
          <cell r="AR78">
            <v>40510980.955839925</v>
          </cell>
          <cell r="AU78">
            <v>33260313179.496876</v>
          </cell>
          <cell r="AV78">
            <v>33260313179.496876</v>
          </cell>
          <cell r="AX78">
            <v>21632260074.673607</v>
          </cell>
        </row>
        <row r="79">
          <cell r="V79">
            <v>112464994.39126238</v>
          </cell>
          <cell r="W79">
            <v>2067139.3041569153</v>
          </cell>
          <cell r="X79">
            <v>2067139.3041569153</v>
          </cell>
          <cell r="AA79">
            <v>28913299138.036846</v>
          </cell>
          <cell r="AB79">
            <v>28913299138.036846</v>
          </cell>
          <cell r="AC79">
            <v>23220468981.068077</v>
          </cell>
          <cell r="AM79">
            <v>6627.0735222023523</v>
          </cell>
          <cell r="AP79">
            <v>148066723.50009906</v>
          </cell>
          <cell r="AQ79">
            <v>45387404.257464558</v>
          </cell>
          <cell r="AR79">
            <v>45387404.257464558</v>
          </cell>
          <cell r="AU79">
            <v>38066044391.14222</v>
          </cell>
          <cell r="AV79">
            <v>38066044391.14222</v>
          </cell>
          <cell r="AX79">
            <v>24127235177.425392</v>
          </cell>
        </row>
        <row r="80">
          <cell r="V80">
            <v>123105108.77915505</v>
          </cell>
          <cell r="W80">
            <v>2250127.1179033751</v>
          </cell>
          <cell r="X80">
            <v>2250127.1179033751</v>
          </cell>
          <cell r="AA80">
            <v>32085952487.811485</v>
          </cell>
          <cell r="AB80">
            <v>32085952487.811485</v>
          </cell>
          <cell r="AC80">
            <v>25456349785.5382</v>
          </cell>
          <cell r="AM80">
            <v>6694.5114997782593</v>
          </cell>
          <cell r="AP80">
            <v>167209452.86382094</v>
          </cell>
          <cell r="AQ80">
            <v>50829944.774246484</v>
          </cell>
          <cell r="AR80">
            <v>50829944.774246484</v>
          </cell>
          <cell r="AU80">
            <v>43581250309.653778</v>
          </cell>
          <cell r="AV80">
            <v>43581250309.653778</v>
          </cell>
          <cell r="AX80">
            <v>26929006888.024811</v>
          </cell>
        </row>
        <row r="81">
          <cell r="V81">
            <v>134279145.13572866</v>
          </cell>
          <cell r="W81">
            <v>2449563.7297785711</v>
          </cell>
          <cell r="X81">
            <v>2449563.7297785711</v>
          </cell>
          <cell r="AA81">
            <v>35593979826.565918</v>
          </cell>
          <cell r="AB81">
            <v>35593979826.565918</v>
          </cell>
          <cell r="AC81">
            <v>27917290207.285332</v>
          </cell>
          <cell r="AM81">
            <v>6762.0246163774536</v>
          </cell>
          <cell r="AP81">
            <v>187519552.52123985</v>
          </cell>
          <cell r="AQ81">
            <v>56984249.28001</v>
          </cell>
          <cell r="AR81">
            <v>56984249.28001</v>
          </cell>
          <cell r="AU81">
            <v>49706655212.773827</v>
          </cell>
          <cell r="AV81">
            <v>49706655212.773827</v>
          </cell>
          <cell r="AX81">
            <v>29916555751.797058</v>
          </cell>
        </row>
        <row r="82">
          <cell r="V82">
            <v>145729985.60176808</v>
          </cell>
          <cell r="W82">
            <v>2672773.0339879729</v>
          </cell>
          <cell r="X82">
            <v>2672773.0339879729</v>
          </cell>
          <cell r="AA82">
            <v>39558277093.032639</v>
          </cell>
          <cell r="AB82">
            <v>39558277093.032639</v>
          </cell>
          <cell r="AC82">
            <v>30668825283.507957</v>
          </cell>
          <cell r="AM82">
            <v>6829.9643027024376</v>
          </cell>
          <cell r="AP82">
            <v>208598297.83600098</v>
          </cell>
          <cell r="AQ82">
            <v>64131728.797488138</v>
          </cell>
          <cell r="AR82">
            <v>64131728.797488138</v>
          </cell>
          <cell r="AU82">
            <v>56623825445.786362</v>
          </cell>
          <cell r="AV82">
            <v>56623825445.786362</v>
          </cell>
          <cell r="AX82">
            <v>33135654591.102135</v>
          </cell>
        </row>
        <row r="83">
          <cell r="V83">
            <v>157820862.42470807</v>
          </cell>
          <cell r="W83">
            <v>2905743.3154181726</v>
          </cell>
          <cell r="X83">
            <v>2905743.3154181726</v>
          </cell>
          <cell r="AA83">
            <v>43785908687.046219</v>
          </cell>
          <cell r="AB83">
            <v>43785908687.046219</v>
          </cell>
          <cell r="AC83">
            <v>33583834590.293526</v>
          </cell>
          <cell r="AM83">
            <v>6897.6858376824393</v>
          </cell>
          <cell r="AP83">
            <v>231572105.43081802</v>
          </cell>
          <cell r="AQ83">
            <v>71885726.606390819</v>
          </cell>
          <cell r="AR83">
            <v>71885726.606390819</v>
          </cell>
          <cell r="AU83">
            <v>64247494957.760452</v>
          </cell>
          <cell r="AV83">
            <v>64247494957.760452</v>
          </cell>
          <cell r="AX83">
            <v>36595002051.34169</v>
          </cell>
        </row>
        <row r="84">
          <cell r="V84">
            <v>171454204.87684429</v>
          </cell>
          <cell r="W84">
            <v>3162842.426944274</v>
          </cell>
          <cell r="X84">
            <v>3162842.426944274</v>
          </cell>
          <cell r="AA84">
            <v>48505396683.540695</v>
          </cell>
          <cell r="AB84">
            <v>48505396683.540695</v>
          </cell>
          <cell r="AC84">
            <v>36718578217.382156</v>
          </cell>
          <cell r="AM84">
            <v>6965.3317888009888</v>
          </cell>
          <cell r="AP84">
            <v>257425534.54976493</v>
          </cell>
          <cell r="AQ84">
            <v>80505039.468683153</v>
          </cell>
          <cell r="AR84">
            <v>80505039.468683153</v>
          </cell>
          <cell r="AU84">
            <v>72827188337.421906</v>
          </cell>
          <cell r="AV84">
            <v>72827188337.421906</v>
          </cell>
          <cell r="AX84">
            <v>40349383468.701591</v>
          </cell>
        </row>
        <row r="85">
          <cell r="V85">
            <v>186003882.20528504</v>
          </cell>
          <cell r="W85">
            <v>3435817.4253482195</v>
          </cell>
          <cell r="X85">
            <v>3435817.4253482195</v>
          </cell>
          <cell r="AA85">
            <v>53612127961.350281</v>
          </cell>
          <cell r="AB85">
            <v>53612127961.350281</v>
          </cell>
          <cell r="AC85">
            <v>40028940289.975243</v>
          </cell>
          <cell r="AM85">
            <v>7029.6669566151886</v>
          </cell>
          <cell r="AP85">
            <v>284841662.56174546</v>
          </cell>
          <cell r="AQ85">
            <v>89559166.531534225</v>
          </cell>
          <cell r="AR85">
            <v>89559166.531534225</v>
          </cell>
          <cell r="AU85">
            <v>82100263074.778732</v>
          </cell>
          <cell r="AV85">
            <v>82100263074.778732</v>
          </cell>
          <cell r="AX85">
            <v>44376485458.21756</v>
          </cell>
        </row>
        <row r="86">
          <cell r="V86">
            <v>201244526.23220265</v>
          </cell>
          <cell r="W86">
            <v>3716823.6019951077</v>
          </cell>
          <cell r="X86">
            <v>3716823.6019951077</v>
          </cell>
          <cell r="AA86">
            <v>58995688362.280922</v>
          </cell>
          <cell r="AB86">
            <v>58995688362.280922</v>
          </cell>
          <cell r="AC86">
            <v>43476645555.616043</v>
          </cell>
          <cell r="AM86">
            <v>7095.9542756901392</v>
          </cell>
          <cell r="AP86">
            <v>314444867.50555724</v>
          </cell>
          <cell r="AQ86">
            <v>99028047.746673912</v>
          </cell>
          <cell r="AR86">
            <v>99028047.746673912</v>
          </cell>
          <cell r="AU86">
            <v>92180849625.057281</v>
          </cell>
          <cell r="AV86">
            <v>92180849625.057281</v>
          </cell>
          <cell r="AX86">
            <v>48746710608.831909</v>
          </cell>
        </row>
        <row r="87">
          <cell r="V87">
            <v>219729766.59680167</v>
          </cell>
          <cell r="W87">
            <v>4078065.4509034222</v>
          </cell>
          <cell r="X87">
            <v>4078065.4509034222</v>
          </cell>
          <cell r="AA87">
            <v>65655514233.522758</v>
          </cell>
          <cell r="AB87">
            <v>65655514233.522758</v>
          </cell>
          <cell r="AC87">
            <v>47482767923.59462</v>
          </cell>
          <cell r="AM87">
            <v>7160.1665826971657</v>
          </cell>
          <cell r="AP87">
            <v>358979884.1646176</v>
          </cell>
          <cell r="AQ87">
            <v>113443814.1547126</v>
          </cell>
          <cell r="AR87">
            <v>113443814.1547126</v>
          </cell>
          <cell r="AU87">
            <v>107263614117.27574</v>
          </cell>
          <cell r="AV87">
            <v>107263614117.27574</v>
          </cell>
          <cell r="AX87">
            <v>54371683727.821594</v>
          </cell>
        </row>
        <row r="88">
          <cell r="V88">
            <v>239679748.50985867</v>
          </cell>
          <cell r="W88">
            <v>4468629.3943679696</v>
          </cell>
          <cell r="X88">
            <v>4468629.3943679696</v>
          </cell>
          <cell r="AA88">
            <v>72954072883.481323</v>
          </cell>
          <cell r="AB88">
            <v>72954072883.481323</v>
          </cell>
          <cell r="AC88">
            <v>51784298097.859009</v>
          </cell>
          <cell r="AM88">
            <v>7228.5765853689554</v>
          </cell>
          <cell r="AP88">
            <v>408368338.06981337</v>
          </cell>
          <cell r="AQ88">
            <v>129485792.34396155</v>
          </cell>
          <cell r="AR88">
            <v>129485792.34396155</v>
          </cell>
          <cell r="AU88">
            <v>124299752833.00114</v>
          </cell>
          <cell r="AV88">
            <v>124299752833.00114</v>
          </cell>
          <cell r="AX88">
            <v>60541203087.213867</v>
          </cell>
        </row>
        <row r="89">
          <cell r="V89">
            <v>259676406.82551974</v>
          </cell>
          <cell r="W89">
            <v>4854904.543060326</v>
          </cell>
          <cell r="X89">
            <v>4854904.543060326</v>
          </cell>
          <cell r="AA89">
            <v>80353926329.789459</v>
          </cell>
          <cell r="AB89">
            <v>80353926329.789459</v>
          </cell>
          <cell r="AC89">
            <v>56125360978.004318</v>
          </cell>
          <cell r="AM89">
            <v>7293.5350717115061</v>
          </cell>
          <cell r="AP89">
            <v>459306919.77262408</v>
          </cell>
          <cell r="AQ89">
            <v>145894469.04840636</v>
          </cell>
          <cell r="AR89">
            <v>145894469.04840636</v>
          </cell>
          <cell r="AU89">
            <v>142127330108.08475</v>
          </cell>
          <cell r="AV89">
            <v>142127330108.08475</v>
          </cell>
          <cell r="AX89">
            <v>66888240338.020737</v>
          </cell>
        </row>
        <row r="90">
          <cell r="V90">
            <v>280441056.03056514</v>
          </cell>
          <cell r="W90">
            <v>5256221.3173590694</v>
          </cell>
          <cell r="X90">
            <v>5256221.3173590694</v>
          </cell>
          <cell r="AA90">
            <v>88175436821.811295</v>
          </cell>
          <cell r="AB90">
            <v>88175436821.811295</v>
          </cell>
          <cell r="AC90">
            <v>60668817460.532639</v>
          </cell>
          <cell r="AM90">
            <v>7360.9233956913004</v>
          </cell>
          <cell r="AP90">
            <v>513469748.14244819</v>
          </cell>
          <cell r="AQ90">
            <v>163269383.09452629</v>
          </cell>
          <cell r="AR90">
            <v>163269383.09452629</v>
          </cell>
          <cell r="AU90">
            <v>161443620196.29266</v>
          </cell>
          <cell r="AV90">
            <v>161443620196.29266</v>
          </cell>
          <cell r="AX90">
            <v>73714238006.09906</v>
          </cell>
        </row>
        <row r="91">
          <cell r="V91">
            <v>300417341.38103944</v>
          </cell>
          <cell r="W91">
            <v>5647793.0573538989</v>
          </cell>
          <cell r="X91">
            <v>5647793.0573538989</v>
          </cell>
          <cell r="AA91">
            <v>96006334349.739487</v>
          </cell>
          <cell r="AB91">
            <v>96006334349.739487</v>
          </cell>
          <cell r="AC91">
            <v>65203909837.886215</v>
          </cell>
          <cell r="AM91">
            <v>7427.3763930639598</v>
          </cell>
          <cell r="AP91">
            <v>564721280.71461701</v>
          </cell>
          <cell r="AQ91">
            <v>179738206.37194565</v>
          </cell>
          <cell r="AR91">
            <v>179738206.37194565</v>
          </cell>
          <cell r="AU91">
            <v>180471672645.33435</v>
          </cell>
          <cell r="AV91">
            <v>180471672645.33435</v>
          </cell>
          <cell r="AX91">
            <v>80703098186.254547</v>
          </cell>
        </row>
        <row r="92">
          <cell r="V92">
            <v>320462800.07172513</v>
          </cell>
          <cell r="W92">
            <v>6057365.4068879765</v>
          </cell>
          <cell r="X92">
            <v>6057365.4068879765</v>
          </cell>
          <cell r="AA92">
            <v>104316893379.59958</v>
          </cell>
          <cell r="AB92">
            <v>104316893379.59958</v>
          </cell>
          <cell r="AC92">
            <v>70427262160.702576</v>
          </cell>
          <cell r="AM92">
            <v>7496.9826703325634</v>
          </cell>
          <cell r="AP92">
            <v>619165713.61790121</v>
          </cell>
          <cell r="AQ92">
            <v>197616054.4312914</v>
          </cell>
          <cell r="AR92">
            <v>197616054.4312914</v>
          </cell>
          <cell r="AU92">
            <v>201550519178.28235</v>
          </cell>
          <cell r="AV92">
            <v>201550519178.28235</v>
          </cell>
          <cell r="AX92">
            <v>88768406204.085114</v>
          </cell>
        </row>
        <row r="93">
          <cell r="V93">
            <v>340834547.7033931</v>
          </cell>
          <cell r="W93">
            <v>6468519.6934240758</v>
          </cell>
          <cell r="X93">
            <v>6468519.6934240758</v>
          </cell>
          <cell r="AA93">
            <v>112831686360.34964</v>
          </cell>
          <cell r="AB93">
            <v>112831686360.34964</v>
          </cell>
          <cell r="AC93">
            <v>75829914485.647522</v>
          </cell>
          <cell r="AM93">
            <v>7559.6256903639569</v>
          </cell>
          <cell r="AP93">
            <v>677283139.0000838</v>
          </cell>
          <cell r="AQ93">
            <v>216472039.67861331</v>
          </cell>
          <cell r="AR93">
            <v>216472039.67861331</v>
          </cell>
          <cell r="AU93">
            <v>224211422321.28778</v>
          </cell>
          <cell r="AV93">
            <v>224211422321.28778</v>
          </cell>
          <cell r="AX93">
            <v>97234096646.0401</v>
          </cell>
        </row>
        <row r="94">
          <cell r="V94">
            <v>362630172.73970652</v>
          </cell>
          <cell r="W94">
            <v>6875980.9544884209</v>
          </cell>
          <cell r="X94">
            <v>6875980.9544884209</v>
          </cell>
          <cell r="AA94">
            <v>121457539110.23994</v>
          </cell>
          <cell r="AB94">
            <v>121457539110.23994</v>
          </cell>
          <cell r="AC94">
            <v>81291245865.111862</v>
          </cell>
          <cell r="AM94">
            <v>7621.234347485708</v>
          </cell>
          <cell r="AP94">
            <v>743737402.90087414</v>
          </cell>
          <cell r="AQ94">
            <v>236746273.35227737</v>
          </cell>
          <cell r="AR94">
            <v>236746273.35227737</v>
          </cell>
          <cell r="AU94">
            <v>249103691560.22009</v>
          </cell>
          <cell r="AV94">
            <v>249103691560.22009</v>
          </cell>
          <cell r="AX94">
            <v>106119981236.40556</v>
          </cell>
        </row>
        <row r="95">
          <cell r="V95">
            <v>385192668.30867958</v>
          </cell>
          <cell r="W95">
            <v>7297411.8450811626</v>
          </cell>
          <cell r="X95">
            <v>7297411.8450811626</v>
          </cell>
          <cell r="AA95">
            <v>130597087855.29152</v>
          </cell>
          <cell r="AB95">
            <v>130597087855.29152</v>
          </cell>
          <cell r="AC95">
            <v>86987623550.390045</v>
          </cell>
          <cell r="AM95">
            <v>7683.4351188384899</v>
          </cell>
          <cell r="AP95">
            <v>815502916.02344072</v>
          </cell>
          <cell r="AQ95">
            <v>258413990.9638412</v>
          </cell>
          <cell r="AR95">
            <v>258413990.9638412</v>
          </cell>
          <cell r="AU95">
            <v>276490999784.06793</v>
          </cell>
          <cell r="AV95">
            <v>276490999784.06793</v>
          </cell>
          <cell r="AX95">
            <v>115657279330.96509</v>
          </cell>
        </row>
        <row r="96">
          <cell r="V96">
            <v>407582473.52604747</v>
          </cell>
          <cell r="W96">
            <v>7714932.5559640173</v>
          </cell>
          <cell r="X96">
            <v>7714932.5559640173</v>
          </cell>
          <cell r="AA96">
            <v>140035764027.46231</v>
          </cell>
          <cell r="AB96">
            <v>140035764027.46231</v>
          </cell>
          <cell r="AC96">
            <v>92708366700.628937</v>
          </cell>
          <cell r="AM96">
            <v>7742.4371596694982</v>
          </cell>
          <cell r="AP96">
            <v>888800063.24807155</v>
          </cell>
          <cell r="AQ96">
            <v>279837969.56256503</v>
          </cell>
          <cell r="AR96">
            <v>279837969.56256503</v>
          </cell>
          <cell r="AU96">
            <v>305370824333.6582</v>
          </cell>
          <cell r="AV96">
            <v>305370824333.6582</v>
          </cell>
          <cell r="AX96">
            <v>125675372224.12863</v>
          </cell>
        </row>
        <row r="97">
          <cell r="V97">
            <v>425173951.83119583</v>
          </cell>
          <cell r="W97">
            <v>7991884.2400545189</v>
          </cell>
          <cell r="X97">
            <v>7991884.2400545189</v>
          </cell>
          <cell r="AA97">
            <v>146779670031.84076</v>
          </cell>
          <cell r="AB97">
            <v>146779670031.84076</v>
          </cell>
          <cell r="AC97">
            <v>97703264478.105743</v>
          </cell>
          <cell r="AM97">
            <v>7809.8721372753316</v>
          </cell>
          <cell r="AP97">
            <v>957511363.98626995</v>
          </cell>
          <cell r="AQ97">
            <v>296421362.01186848</v>
          </cell>
          <cell r="AR97">
            <v>296421362.01186848</v>
          </cell>
          <cell r="AU97">
            <v>330554591720.24133</v>
          </cell>
          <cell r="AV97">
            <v>330554591720.24133</v>
          </cell>
          <cell r="AX97">
            <v>135948489397.91539</v>
          </cell>
        </row>
        <row r="98">
          <cell r="V98">
            <v>444009260.25020087</v>
          </cell>
          <cell r="W98">
            <v>8288768.5771057531</v>
          </cell>
          <cell r="X98">
            <v>8288768.5771057531</v>
          </cell>
          <cell r="AA98">
            <v>154012937195.79312</v>
          </cell>
          <cell r="AB98">
            <v>154012937195.79312</v>
          </cell>
          <cell r="AC98">
            <v>103071289860.14456</v>
          </cell>
          <cell r="AM98">
            <v>7873.689666001048</v>
          </cell>
          <cell r="AP98">
            <v>1034872432.4853187</v>
          </cell>
          <cell r="AQ98">
            <v>314231656.29999292</v>
          </cell>
          <cell r="AR98">
            <v>314231656.29999292</v>
          </cell>
          <cell r="AU98">
            <v>358964907308.9281</v>
          </cell>
          <cell r="AV98">
            <v>358964907308.9281</v>
          </cell>
          <cell r="AX98">
            <v>147525513515.35925</v>
          </cell>
        </row>
        <row r="99">
          <cell r="V99">
            <v>464326792.26481086</v>
          </cell>
          <cell r="W99">
            <v>8609812.4435030259</v>
          </cell>
          <cell r="X99">
            <v>8609812.4435030259</v>
          </cell>
          <cell r="AA99">
            <v>161827859117.02216</v>
          </cell>
          <cell r="AB99">
            <v>161827859117.02216</v>
          </cell>
          <cell r="AC99">
            <v>108867475308.05933</v>
          </cell>
          <cell r="AM99">
            <v>7939.7988787201884</v>
          </cell>
          <cell r="AP99">
            <v>1122942866.7107689</v>
          </cell>
          <cell r="AQ99">
            <v>334675520.32823884</v>
          </cell>
          <cell r="AR99">
            <v>334675520.32823884</v>
          </cell>
          <cell r="AU99">
            <v>391369705685.42249</v>
          </cell>
          <cell r="AV99">
            <v>391369705685.42249</v>
          </cell>
          <cell r="AX99">
            <v>160248478233.54388</v>
          </cell>
        </row>
        <row r="100">
          <cell r="V100">
            <v>485829082.67020738</v>
          </cell>
          <cell r="W100">
            <v>8937252.0680011772</v>
          </cell>
          <cell r="X100">
            <v>8937252.0680011772</v>
          </cell>
          <cell r="AA100">
            <v>169902306734.01529</v>
          </cell>
          <cell r="AB100">
            <v>169902306734.01529</v>
          </cell>
          <cell r="AC100">
            <v>114848011694.7437</v>
          </cell>
          <cell r="AM100">
            <v>8003.4530106928969</v>
          </cell>
          <cell r="AP100">
            <v>1219454269.5535495</v>
          </cell>
          <cell r="AQ100">
            <v>356575871.38092804</v>
          </cell>
          <cell r="AR100">
            <v>356575871.38092804</v>
          </cell>
          <cell r="AU100">
            <v>426462928516.02728</v>
          </cell>
          <cell r="AV100">
            <v>426462928516.02728</v>
          </cell>
          <cell r="AX100">
            <v>173622363448.72153</v>
          </cell>
        </row>
        <row r="101">
          <cell r="V101">
            <v>505994437.99650806</v>
          </cell>
          <cell r="W101">
            <v>9232436.368047202</v>
          </cell>
          <cell r="X101">
            <v>9232436.368047202</v>
          </cell>
          <cell r="AA101">
            <v>177497319339.1741</v>
          </cell>
          <cell r="AB101">
            <v>177497319339.1741</v>
          </cell>
          <cell r="AC101">
            <v>120531810662.35928</v>
          </cell>
          <cell r="AM101">
            <v>8068.7185373346801</v>
          </cell>
          <cell r="AP101">
            <v>1305837988.0102537</v>
          </cell>
          <cell r="AQ101">
            <v>375953201.31600356</v>
          </cell>
          <cell r="AR101">
            <v>375953201.31600356</v>
          </cell>
          <cell r="AU101">
            <v>458073695989.28314</v>
          </cell>
          <cell r="AV101">
            <v>458073695989.28314</v>
          </cell>
          <cell r="AX101">
            <v>186220264068.20505</v>
          </cell>
        </row>
        <row r="102">
          <cell r="V102">
            <v>525003817.24066669</v>
          </cell>
          <cell r="W102">
            <v>9505977.1189027</v>
          </cell>
          <cell r="X102">
            <v>9505977.1189027</v>
          </cell>
          <cell r="AA102">
            <v>184798404234.56955</v>
          </cell>
          <cell r="AB102">
            <v>184798404234.56955</v>
          </cell>
          <cell r="AC102">
            <v>126178908432.12134</v>
          </cell>
          <cell r="AM102">
            <v>8135.2362918407725</v>
          </cell>
          <cell r="AP102">
            <v>1388015594.5435433</v>
          </cell>
          <cell r="AQ102">
            <v>396177623.23730481</v>
          </cell>
          <cell r="AR102">
            <v>396177623.23730481</v>
          </cell>
          <cell r="AU102">
            <v>488573717944.53217</v>
          </cell>
          <cell r="AV102">
            <v>488573717944.53217</v>
          </cell>
          <cell r="AX102">
            <v>197834580297.93762</v>
          </cell>
        </row>
        <row r="103">
          <cell r="V103">
            <v>544616866.3333751</v>
          </cell>
          <cell r="W103">
            <v>9787534.5600658692</v>
          </cell>
          <cell r="X103">
            <v>9787534.5600658692</v>
          </cell>
          <cell r="AA103">
            <v>192374586284.82886</v>
          </cell>
          <cell r="AB103">
            <v>192374586284.82886</v>
          </cell>
          <cell r="AC103">
            <v>132033637433.6676</v>
          </cell>
          <cell r="AM103">
            <v>8205.3890418266001</v>
          </cell>
          <cell r="AP103">
            <v>1474424017.4424086</v>
          </cell>
          <cell r="AQ103">
            <v>417906821.02554399</v>
          </cell>
          <cell r="AR103">
            <v>417906821.02554399</v>
          </cell>
          <cell r="AU103">
            <v>520809633152.77423</v>
          </cell>
          <cell r="AV103">
            <v>520809633152.77423</v>
          </cell>
          <cell r="AX103">
            <v>209818853133.27686</v>
          </cell>
        </row>
        <row r="104">
          <cell r="V104">
            <v>562200989.81031609</v>
          </cell>
          <cell r="W104">
            <v>10028823.725563787</v>
          </cell>
          <cell r="X104">
            <v>10028823.725563787</v>
          </cell>
          <cell r="AA104">
            <v>199271615208.19141</v>
          </cell>
          <cell r="AB104">
            <v>199271615208.19141</v>
          </cell>
          <cell r="AC104">
            <v>137936638734.078</v>
          </cell>
          <cell r="AM104">
            <v>8276.5483052665913</v>
          </cell>
          <cell r="AP104">
            <v>1564098763.5912428</v>
          </cell>
          <cell r="AQ104">
            <v>440225815.13148522</v>
          </cell>
          <cell r="AR104">
            <v>440225815.13148522</v>
          </cell>
          <cell r="AU104">
            <v>554393344400.05432</v>
          </cell>
          <cell r="AV104">
            <v>554393344400.05432</v>
          </cell>
          <cell r="AX104">
            <v>222264439184.48569</v>
          </cell>
        </row>
        <row r="105">
          <cell r="V105">
            <v>580220344.7954278</v>
          </cell>
          <cell r="W105">
            <v>10274593.554205745</v>
          </cell>
          <cell r="X105">
            <v>10274593.554205745</v>
          </cell>
          <cell r="AA105">
            <v>206362308494.57483</v>
          </cell>
          <cell r="AB105">
            <v>206362308494.57483</v>
          </cell>
          <cell r="AC105">
            <v>144036205535.5199</v>
          </cell>
          <cell r="AM105">
            <v>8346.3650287732671</v>
          </cell>
          <cell r="AP105">
            <v>1657975913.4549294</v>
          </cell>
          <cell r="AQ105">
            <v>463465525.38055313</v>
          </cell>
          <cell r="AR105">
            <v>463465525.38055313</v>
          </cell>
          <cell r="AU105">
            <v>589678972821.25208</v>
          </cell>
          <cell r="AV105">
            <v>589678972821.25208</v>
          </cell>
          <cell r="AX105">
            <v>235218633714.30847</v>
          </cell>
        </row>
        <row r="106">
          <cell r="V106">
            <v>598490414.56028926</v>
          </cell>
          <cell r="W106">
            <v>10521389.887930121</v>
          </cell>
          <cell r="X106">
            <v>10521389.887930121</v>
          </cell>
          <cell r="AA106">
            <v>213579436024.66776</v>
          </cell>
          <cell r="AB106">
            <v>213579436024.66776</v>
          </cell>
          <cell r="AC106">
            <v>150283092614.452</v>
          </cell>
          <cell r="AM106">
            <v>8411.7844456964613</v>
          </cell>
          <cell r="AP106">
            <v>1754503216.1871991</v>
          </cell>
          <cell r="AQ106">
            <v>487170977.70128638</v>
          </cell>
          <cell r="AR106">
            <v>487170977.70128638</v>
          </cell>
          <cell r="AU106">
            <v>626118310837.17297</v>
          </cell>
          <cell r="AV106">
            <v>626118310837.17297</v>
          </cell>
          <cell r="AX106">
            <v>248498188765.99692</v>
          </cell>
        </row>
        <row r="107">
          <cell r="V107">
            <v>610701257.45410204</v>
          </cell>
          <cell r="W107">
            <v>10697316.945605787</v>
          </cell>
          <cell r="X107">
            <v>10697316.945605787</v>
          </cell>
          <cell r="AA107">
            <v>218669749861.61865</v>
          </cell>
          <cell r="AB107">
            <v>218669749861.61865</v>
          </cell>
          <cell r="AC107">
            <v>155302959700.24753</v>
          </cell>
          <cell r="AM107">
            <v>8475.197516897897</v>
          </cell>
          <cell r="AP107">
            <v>1833767541.6724694</v>
          </cell>
          <cell r="AQ107">
            <v>505787534.73930418</v>
          </cell>
          <cell r="AR107">
            <v>505787534.73930418</v>
          </cell>
          <cell r="AU107">
            <v>656604984429.74158</v>
          </cell>
          <cell r="AV107">
            <v>656604984429.74158</v>
          </cell>
          <cell r="AX107">
            <v>259446744387.00244</v>
          </cell>
        </row>
        <row r="108">
          <cell r="V108">
            <v>623092126.47132683</v>
          </cell>
          <cell r="W108">
            <v>10875382.232124224</v>
          </cell>
          <cell r="X108">
            <v>10875382.232124224</v>
          </cell>
          <cell r="AA108">
            <v>223854041160.77325</v>
          </cell>
          <cell r="AB108">
            <v>223854041160.77325</v>
          </cell>
          <cell r="AC108">
            <v>160498479532.03598</v>
          </cell>
          <cell r="AM108">
            <v>8539.9103008807124</v>
          </cell>
          <cell r="AP108">
            <v>1916985705.7458901</v>
          </cell>
          <cell r="AQ108">
            <v>525230744.65950501</v>
          </cell>
          <cell r="AR108">
            <v>525230744.65950501</v>
          </cell>
          <cell r="AU108">
            <v>688702326426.20593</v>
          </cell>
          <cell r="AV108">
            <v>688702326426.20593</v>
          </cell>
          <cell r="AX108">
            <v>270941329843.32935</v>
          </cell>
        </row>
        <row r="109">
          <cell r="V109">
            <v>636033128.95678437</v>
          </cell>
          <cell r="W109">
            <v>11062010.038481124</v>
          </cell>
          <cell r="X109">
            <v>11062010.038481124</v>
          </cell>
          <cell r="AA109">
            <v>229266367878.13861</v>
          </cell>
          <cell r="AB109">
            <v>229266367878.13861</v>
          </cell>
          <cell r="AC109">
            <v>165899522101.69678</v>
          </cell>
          <cell r="AM109">
            <v>8605.4541998878703</v>
          </cell>
          <cell r="AP109">
            <v>2005807432.1447747</v>
          </cell>
          <cell r="AQ109">
            <v>545922570.28419244</v>
          </cell>
          <cell r="AR109">
            <v>545922570.28419244</v>
          </cell>
          <cell r="AU109">
            <v>723019232323.75244</v>
          </cell>
          <cell r="AV109">
            <v>723019232323.75244</v>
          </cell>
          <cell r="AX109">
            <v>283040387054.35895</v>
          </cell>
        </row>
        <row r="110">
          <cell r="V110">
            <v>649777185.02306509</v>
          </cell>
          <cell r="W110">
            <v>11261483.414661355</v>
          </cell>
          <cell r="X110">
            <v>11261483.414661355</v>
          </cell>
          <cell r="AA110">
            <v>234999754610.94989</v>
          </cell>
          <cell r="AB110">
            <v>234999754610.94989</v>
          </cell>
          <cell r="AC110">
            <v>171580492601.83749</v>
          </cell>
          <cell r="AM110">
            <v>8675.7233285169023</v>
          </cell>
          <cell r="AP110">
            <v>2102754150.1385717</v>
          </cell>
          <cell r="AQ110">
            <v>568452897.10409021</v>
          </cell>
          <cell r="AR110">
            <v>568452897.10409021</v>
          </cell>
          <cell r="AU110">
            <v>760486395459.05298</v>
          </cell>
          <cell r="AV110">
            <v>760486395459.05298</v>
          </cell>
          <cell r="AX110">
            <v>296078572511.21954</v>
          </cell>
        </row>
        <row r="111">
          <cell r="V111">
            <v>663445389.52496409</v>
          </cell>
          <cell r="W111">
            <v>11458468.356880501</v>
          </cell>
          <cell r="X111">
            <v>11458468.356880501</v>
          </cell>
          <cell r="AA111">
            <v>240737512919.26251</v>
          </cell>
          <cell r="AB111">
            <v>240737512919.26251</v>
          </cell>
          <cell r="AC111">
            <v>177372585936.319</v>
          </cell>
          <cell r="AM111">
            <v>8742.2396624597877</v>
          </cell>
          <cell r="AP111">
            <v>2202513447.7154412</v>
          </cell>
          <cell r="AQ111">
            <v>591422609.28515279</v>
          </cell>
          <cell r="AR111">
            <v>591422609.28515279</v>
          </cell>
          <cell r="AU111">
            <v>799203096360.1925</v>
          </cell>
          <cell r="AV111">
            <v>799203096360.1925</v>
          </cell>
          <cell r="AX111">
            <v>309420330485.65784</v>
          </cell>
        </row>
        <row r="112">
          <cell r="V112">
            <v>676164371.28312731</v>
          </cell>
          <cell r="W112">
            <v>11642762.850572022</v>
          </cell>
          <cell r="X112">
            <v>11642762.850572022</v>
          </cell>
          <cell r="AA112">
            <v>246262793995.65906</v>
          </cell>
          <cell r="AB112">
            <v>246262793995.65906</v>
          </cell>
          <cell r="AC112">
            <v>183509448792.45255</v>
          </cell>
          <cell r="AM112">
            <v>8810.8243903139846</v>
          </cell>
          <cell r="AP112">
            <v>2308304425.2177219</v>
          </cell>
          <cell r="AQ112">
            <v>615946588.2002784</v>
          </cell>
          <cell r="AR112">
            <v>615946588.2002784</v>
          </cell>
          <cell r="AU112">
            <v>840697205130.66736</v>
          </cell>
          <cell r="AV112">
            <v>840697205130.66736</v>
          </cell>
          <cell r="AX112">
            <v>323705585215.90997</v>
          </cell>
        </row>
        <row r="113">
          <cell r="V113">
            <v>688138661.41035521</v>
          </cell>
          <cell r="W113">
            <v>11814115.462503154</v>
          </cell>
          <cell r="X113">
            <v>11814115.462503154</v>
          </cell>
          <cell r="AA113">
            <v>251564837597.48672</v>
          </cell>
          <cell r="AB113">
            <v>251564837597.48672</v>
          </cell>
          <cell r="AC113">
            <v>189576666622.32809</v>
          </cell>
          <cell r="AM113">
            <v>8873.6970459928525</v>
          </cell>
          <cell r="AP113">
            <v>2409455375.4389806</v>
          </cell>
          <cell r="AQ113">
            <v>639051176.31592846</v>
          </cell>
          <cell r="AR113">
            <v>639051176.31592846</v>
          </cell>
          <cell r="AU113">
            <v>880831559410.44373</v>
          </cell>
          <cell r="AV113">
            <v>880831559410.44373</v>
          </cell>
          <cell r="AX113">
            <v>337786670782.7041</v>
          </cell>
        </row>
        <row r="114">
          <cell r="V114">
            <v>699104388.73578429</v>
          </cell>
          <cell r="W114">
            <v>11967460.561649203</v>
          </cell>
          <cell r="X114">
            <v>11967460.561649203</v>
          </cell>
          <cell r="AA114">
            <v>256529545505.80292</v>
          </cell>
          <cell r="AB114">
            <v>256529545505.80292</v>
          </cell>
          <cell r="AC114">
            <v>195479495410.97256</v>
          </cell>
          <cell r="AM114">
            <v>8939.7540390571448</v>
          </cell>
          <cell r="AP114">
            <v>2501892212.816186</v>
          </cell>
          <cell r="AQ114">
            <v>659548981.91105819</v>
          </cell>
          <cell r="AR114">
            <v>659548981.91105819</v>
          </cell>
          <cell r="AU114">
            <v>918044976686.31531</v>
          </cell>
          <cell r="AV114">
            <v>918044976686.31531</v>
          </cell>
          <cell r="AX114">
            <v>351843786954.28442</v>
          </cell>
        </row>
        <row r="115">
          <cell r="V115">
            <v>710250975.8090229</v>
          </cell>
          <cell r="W115">
            <v>12123192.266800785</v>
          </cell>
          <cell r="X115">
            <v>12123192.266800785</v>
          </cell>
          <cell r="AA115">
            <v>261589302224.20477</v>
          </cell>
          <cell r="AB115">
            <v>261589302224.20477</v>
          </cell>
          <cell r="AC115">
            <v>201496585162.35941</v>
          </cell>
          <cell r="AM115">
            <v>9004.1855520531826</v>
          </cell>
          <cell r="AP115">
            <v>2596861905.7153583</v>
          </cell>
          <cell r="AQ115">
            <v>680445543.43958831</v>
          </cell>
          <cell r="AR115">
            <v>680445543.43958831</v>
          </cell>
          <cell r="AU115">
            <v>956438381678.98145</v>
          </cell>
          <cell r="AV115">
            <v>956438381678.98145</v>
          </cell>
          <cell r="AX115">
            <v>366276630751.55713</v>
          </cell>
        </row>
        <row r="116">
          <cell r="V116">
            <v>721946546.09842849</v>
          </cell>
          <cell r="W116">
            <v>12287568.007895123</v>
          </cell>
          <cell r="X116">
            <v>12287568.007895123</v>
          </cell>
          <cell r="AA116">
            <v>266881033344.59177</v>
          </cell>
          <cell r="AB116">
            <v>266881033344.59177</v>
          </cell>
          <cell r="AC116">
            <v>207753695150.92953</v>
          </cell>
          <cell r="AM116">
            <v>9073.9943614471813</v>
          </cell>
          <cell r="AP116">
            <v>2698115593.7925448</v>
          </cell>
          <cell r="AQ116">
            <v>702713100.34198439</v>
          </cell>
          <cell r="AR116">
            <v>702713100.34198439</v>
          </cell>
          <cell r="AU116">
            <v>997408854777.36963</v>
          </cell>
          <cell r="AV116">
            <v>997408854777.36963</v>
          </cell>
          <cell r="AX116">
            <v>381645809374.02832</v>
          </cell>
        </row>
        <row r="117">
          <cell r="V117">
            <v>738774443.71418357</v>
          </cell>
          <cell r="W117">
            <v>12537723.246034136</v>
          </cell>
          <cell r="X117">
            <v>12537723.246034136</v>
          </cell>
          <cell r="AA117">
            <v>273707088034.20984</v>
          </cell>
          <cell r="AB117">
            <v>273707088034.20984</v>
          </cell>
          <cell r="AC117">
            <v>213743074053.63025</v>
          </cell>
          <cell r="AM117">
            <v>9142.6839752914966</v>
          </cell>
          <cell r="AP117">
            <v>2810768675.1525083</v>
          </cell>
          <cell r="AQ117">
            <v>727616154.23876739</v>
          </cell>
          <cell r="AR117">
            <v>727616154.23876739</v>
          </cell>
          <cell r="AU117">
            <v>1041356148361.0331</v>
          </cell>
          <cell r="AV117">
            <v>1041356148361.0331</v>
          </cell>
          <cell r="AX117">
            <v>397489389518.18951</v>
          </cell>
        </row>
        <row r="118">
          <cell r="V118">
            <v>756828120.73839891</v>
          </cell>
          <cell r="W118">
            <v>12807231.581346009</v>
          </cell>
          <cell r="X118">
            <v>12807231.581346009</v>
          </cell>
          <cell r="AA118">
            <v>280841532810.31616</v>
          </cell>
          <cell r="AB118">
            <v>280841532810.31616</v>
          </cell>
          <cell r="AC118">
            <v>220127240553.84659</v>
          </cell>
          <cell r="AM118">
            <v>9211.3722358373288</v>
          </cell>
          <cell r="AP118">
            <v>2930700936.3880463</v>
          </cell>
          <cell r="AQ118">
            <v>754137396.97356939</v>
          </cell>
          <cell r="AR118">
            <v>754137396.97356939</v>
          </cell>
          <cell r="AU118">
            <v>1087515805280.6328</v>
          </cell>
          <cell r="AV118">
            <v>1087515805280.6328</v>
          </cell>
          <cell r="AX118">
            <v>414338155885.46387</v>
          </cell>
        </row>
        <row r="119">
          <cell r="V119">
            <v>775107516.95175767</v>
          </cell>
          <cell r="W119">
            <v>13079273.484262418</v>
          </cell>
          <cell r="X119">
            <v>13079273.484262418</v>
          </cell>
          <cell r="AA119">
            <v>288079306740.35376</v>
          </cell>
          <cell r="AB119">
            <v>288079306740.35376</v>
          </cell>
          <cell r="AC119">
            <v>226617754512.77612</v>
          </cell>
          <cell r="AM119">
            <v>9276.8918714801857</v>
          </cell>
          <cell r="AP119">
            <v>3053162559.0879245</v>
          </cell>
          <cell r="AQ119">
            <v>781019527.59602451</v>
          </cell>
          <cell r="AR119">
            <v>781019527.59602451</v>
          </cell>
          <cell r="AU119">
            <v>1134749611056.0835</v>
          </cell>
          <cell r="AV119">
            <v>1134749611056.0835</v>
          </cell>
          <cell r="AX119">
            <v>431521617013.90466</v>
          </cell>
        </row>
        <row r="120">
          <cell r="V120">
            <v>793766688.63645315</v>
          </cell>
          <cell r="W120">
            <v>13356433.421904448</v>
          </cell>
          <cell r="X120">
            <v>13356433.421904448</v>
          </cell>
          <cell r="AA120">
            <v>295478035964.21216</v>
          </cell>
          <cell r="AB120">
            <v>295478035964.21216</v>
          </cell>
          <cell r="AC120">
            <v>233262719750.03635</v>
          </cell>
          <cell r="AM120">
            <v>9341.5681191539097</v>
          </cell>
          <cell r="AP120">
            <v>3179803101.9506173</v>
          </cell>
          <cell r="AQ120">
            <v>808638264.02944982</v>
          </cell>
          <cell r="AR120">
            <v>808638264.02944982</v>
          </cell>
          <cell r="AU120">
            <v>1183675239548.3799</v>
          </cell>
          <cell r="AV120">
            <v>1183675239548.3799</v>
          </cell>
          <cell r="AX120">
            <v>449274337267.95667</v>
          </cell>
        </row>
        <row r="121">
          <cell r="V121">
            <v>813183214.2525897</v>
          </cell>
          <cell r="W121">
            <v>13653117.588473348</v>
          </cell>
          <cell r="X121">
            <v>13653117.588473348</v>
          </cell>
          <cell r="AA121">
            <v>303359007945.55548</v>
          </cell>
          <cell r="AB121">
            <v>303359007945.55548</v>
          </cell>
          <cell r="AC121">
            <v>240237548459.76437</v>
          </cell>
          <cell r="AM121">
            <v>9405.9685532497842</v>
          </cell>
          <cell r="AP121">
            <v>3311044127.0998645</v>
          </cell>
          <cell r="AQ121">
            <v>837583171.21790361</v>
          </cell>
          <cell r="AR121">
            <v>837583171.21790361</v>
          </cell>
          <cell r="AU121">
            <v>1235189123504.1855</v>
          </cell>
          <cell r="AV121">
            <v>1235189123504.1855</v>
          </cell>
          <cell r="AX121">
            <v>467955809079.74048</v>
          </cell>
        </row>
        <row r="122">
          <cell r="V122">
            <v>835828706.9799943</v>
          </cell>
          <cell r="W122">
            <v>14013641.804221891</v>
          </cell>
          <cell r="X122">
            <v>14013641.804221891</v>
          </cell>
          <cell r="AA122">
            <v>312716477131.45807</v>
          </cell>
          <cell r="AB122">
            <v>312716477131.45807</v>
          </cell>
          <cell r="AC122">
            <v>247621317178.23419</v>
          </cell>
          <cell r="AM122">
            <v>9473.0528781601242</v>
          </cell>
          <cell r="AP122">
            <v>3450784339.5932245</v>
          </cell>
          <cell r="AQ122">
            <v>868995668.86019659</v>
          </cell>
          <cell r="AR122">
            <v>868995668.86019659</v>
          </cell>
          <cell r="AU122">
            <v>1291074490510.2034</v>
          </cell>
          <cell r="AV122">
            <v>1291074490510.2034</v>
          </cell>
          <cell r="AX122">
            <v>487929188417.51227</v>
          </cell>
        </row>
        <row r="123">
          <cell r="V123">
            <v>858106895.6287539</v>
          </cell>
          <cell r="W123">
            <v>14355210.661830526</v>
          </cell>
          <cell r="X123">
            <v>14355210.661830526</v>
          </cell>
          <cell r="AA123">
            <v>321712951130.00439</v>
          </cell>
          <cell r="AB123">
            <v>321712951130.00439</v>
          </cell>
          <cell r="AC123">
            <v>254861424702.6474</v>
          </cell>
          <cell r="AM123">
            <v>9541.5741365011127</v>
          </cell>
          <cell r="AP123">
            <v>3591101974.3958697</v>
          </cell>
          <cell r="AQ123">
            <v>899435627.48194492</v>
          </cell>
          <cell r="AR123">
            <v>899435627.48194492</v>
          </cell>
          <cell r="AU123">
            <v>1346340438326.3508</v>
          </cell>
          <cell r="AV123">
            <v>1346340438326.3508</v>
          </cell>
          <cell r="AX123">
            <v>508097265468.96606</v>
          </cell>
        </row>
        <row r="124">
          <cell r="V124">
            <v>880841264.17508876</v>
          </cell>
          <cell r="W124">
            <v>14703142.46434553</v>
          </cell>
          <cell r="X124">
            <v>14703142.46434553</v>
          </cell>
          <cell r="AA124">
            <v>330912447267.53461</v>
          </cell>
          <cell r="AB124">
            <v>330912447267.53461</v>
          </cell>
          <cell r="AC124">
            <v>262267651094.2345</v>
          </cell>
          <cell r="AM124">
            <v>9609.2126738180541</v>
          </cell>
          <cell r="AP124">
            <v>3735909437.05936</v>
          </cell>
          <cell r="AQ124">
            <v>930655381.08370233</v>
          </cell>
          <cell r="AR124">
            <v>930655381.08370233</v>
          </cell>
          <cell r="AU124">
            <v>1403497979564.969</v>
          </cell>
          <cell r="AV124">
            <v>1403497979564.969</v>
          </cell>
          <cell r="AX124">
            <v>528921108163.27295</v>
          </cell>
        </row>
        <row r="125">
          <cell r="V125">
            <v>904180373.01215482</v>
          </cell>
          <cell r="W125">
            <v>15059885.09489331</v>
          </cell>
          <cell r="X125">
            <v>15059885.09489331</v>
          </cell>
          <cell r="AA125">
            <v>340371748274.96808</v>
          </cell>
          <cell r="AB125">
            <v>340371748274.96808</v>
          </cell>
          <cell r="AC125">
            <v>269886749268.26804</v>
          </cell>
          <cell r="AM125">
            <v>9678.1643983802387</v>
          </cell>
          <cell r="AP125">
            <v>3886912777.6723514</v>
          </cell>
          <cell r="AQ125">
            <v>963064129.19698787</v>
          </cell>
          <cell r="AR125">
            <v>963064129.19698787</v>
          </cell>
          <cell r="AU125">
            <v>1463198424802.4211</v>
          </cell>
          <cell r="AV125">
            <v>1463198424802.4211</v>
          </cell>
          <cell r="AX125">
            <v>550645296046.16077</v>
          </cell>
        </row>
        <row r="126">
          <cell r="V126">
            <v>927669959.12461901</v>
          </cell>
          <cell r="W126">
            <v>15417846.864107665</v>
          </cell>
          <cell r="X126">
            <v>15417846.864107665</v>
          </cell>
          <cell r="AA126">
            <v>349920695324.34967</v>
          </cell>
          <cell r="AB126">
            <v>349920695324.34967</v>
          </cell>
          <cell r="AC126">
            <v>277578811944.64539</v>
          </cell>
          <cell r="AM126">
            <v>9741.3314878136025</v>
          </cell>
          <cell r="AP126">
            <v>4039023148.9653144</v>
          </cell>
          <cell r="AQ126">
            <v>995386744.10505271</v>
          </cell>
          <cell r="AR126">
            <v>995386744.10505271</v>
          </cell>
          <cell r="AU126">
            <v>1523535148266.2661</v>
          </cell>
          <cell r="AV126">
            <v>1523535148266.2661</v>
          </cell>
          <cell r="AX126">
            <v>572542374049.31494</v>
          </cell>
        </row>
        <row r="127">
          <cell r="V127">
            <v>951974231.28168643</v>
          </cell>
          <cell r="W127">
            <v>15788050.824719876</v>
          </cell>
          <cell r="X127">
            <v>15788050.824719876</v>
          </cell>
          <cell r="AA127">
            <v>359810482161.76862</v>
          </cell>
          <cell r="AB127">
            <v>359810482161.76862</v>
          </cell>
          <cell r="AC127">
            <v>285518954921.57251</v>
          </cell>
          <cell r="AM127">
            <v>9807.383875587273</v>
          </cell>
          <cell r="AP127">
            <v>4199800584.4140449</v>
          </cell>
          <cell r="AQ127">
            <v>1029446534.6296116</v>
          </cell>
          <cell r="AR127">
            <v>1029446534.6296116</v>
          </cell>
          <cell r="AU127">
            <v>1587366783265.5393</v>
          </cell>
          <cell r="AV127">
            <v>1587366783265.5393</v>
          </cell>
          <cell r="AX127">
            <v>595555091564.52026</v>
          </cell>
        </row>
        <row r="128">
          <cell r="V128">
            <v>976663862.1331054</v>
          </cell>
          <cell r="W128">
            <v>16163329.337168405</v>
          </cell>
          <cell r="X128">
            <v>16163329.337168405</v>
          </cell>
          <cell r="AA128">
            <v>369866499001.07465</v>
          </cell>
          <cell r="AB128">
            <v>369866499001.07465</v>
          </cell>
          <cell r="AC128">
            <v>293641994725.20996</v>
          </cell>
          <cell r="AM128">
            <v>9872.1609454055506</v>
          </cell>
          <cell r="AP128">
            <v>4365573147.0873394</v>
          </cell>
          <cell r="AQ128">
            <v>1064348248.5263832</v>
          </cell>
          <cell r="AR128">
            <v>1064348248.5263832</v>
          </cell>
          <cell r="AU128">
            <v>1653259958364.5083</v>
          </cell>
          <cell r="AV128">
            <v>1653259958364.5083</v>
          </cell>
          <cell r="AX128">
            <v>619285439585.19788</v>
          </cell>
        </row>
        <row r="129">
          <cell r="V129">
            <v>1002491677.5310206</v>
          </cell>
          <cell r="W129">
            <v>16552102.541727994</v>
          </cell>
          <cell r="X129">
            <v>16552102.541727994</v>
          </cell>
          <cell r="AA129">
            <v>380295466345.83063</v>
          </cell>
          <cell r="AB129">
            <v>380295466345.83063</v>
          </cell>
          <cell r="AC129">
            <v>302035822844.73303</v>
          </cell>
          <cell r="AM129">
            <v>9943.3069314785971</v>
          </cell>
          <cell r="AP129">
            <v>4542111717.9466162</v>
          </cell>
          <cell r="AQ129">
            <v>1101211001.604085</v>
          </cell>
          <cell r="AR129">
            <v>1101211001.604085</v>
          </cell>
          <cell r="AU129">
            <v>1723051205996.5906</v>
          </cell>
          <cell r="AV129">
            <v>1723051205996.5906</v>
          </cell>
          <cell r="AX129">
            <v>644457115559.06299</v>
          </cell>
        </row>
        <row r="130">
          <cell r="V130">
            <v>1028220671.0827509</v>
          </cell>
          <cell r="W130">
            <v>16925444.150970668</v>
          </cell>
          <cell r="X130">
            <v>16925444.150970668</v>
          </cell>
          <cell r="AA130">
            <v>390434182366.18536</v>
          </cell>
          <cell r="AB130">
            <v>390434182366.18536</v>
          </cell>
          <cell r="AC130">
            <v>310273757493.42615</v>
          </cell>
          <cell r="AM130">
            <v>10010.915591206511</v>
          </cell>
          <cell r="AP130">
            <v>4719824506.0065212</v>
          </cell>
          <cell r="AQ130">
            <v>1137020288.5975392</v>
          </cell>
          <cell r="AR130">
            <v>1137020288.5975392</v>
          </cell>
          <cell r="AU130">
            <v>1792203632683.2747</v>
          </cell>
          <cell r="AV130">
            <v>1792203632683.2747</v>
          </cell>
          <cell r="AX130">
            <v>669544910041.81873</v>
          </cell>
        </row>
        <row r="131">
          <cell r="V131">
            <v>1054472919.0950615</v>
          </cell>
          <cell r="W131">
            <v>17303623.208621323</v>
          </cell>
          <cell r="X131">
            <v>17303623.208621323</v>
          </cell>
          <cell r="AA131">
            <v>400747426849.50842</v>
          </cell>
          <cell r="AB131">
            <v>400747426849.50842</v>
          </cell>
          <cell r="AC131">
            <v>318676761950.44073</v>
          </cell>
          <cell r="AM131">
            <v>10080.480874312852</v>
          </cell>
          <cell r="AP131">
            <v>4903987144.3545198</v>
          </cell>
          <cell r="AQ131">
            <v>1173917443.4362288</v>
          </cell>
          <cell r="AR131">
            <v>1173917443.4362288</v>
          </cell>
          <cell r="AU131">
            <v>1863737032800.9087</v>
          </cell>
          <cell r="AV131">
            <v>1863737032800.9087</v>
          </cell>
          <cell r="AX131">
            <v>695501197786.71741</v>
          </cell>
        </row>
        <row r="132">
          <cell r="V132">
            <v>1080426956.4405782</v>
          </cell>
          <cell r="W132">
            <v>17717434.479608275</v>
          </cell>
          <cell r="X132">
            <v>17717434.479608275</v>
          </cell>
          <cell r="AA132">
            <v>411952170302.41785</v>
          </cell>
          <cell r="AB132">
            <v>411952170302.41785</v>
          </cell>
          <cell r="AC132">
            <v>327521232416.18744</v>
          </cell>
          <cell r="AM132">
            <v>10144.15915745983</v>
          </cell>
          <cell r="AP132">
            <v>5088476886.6949883</v>
          </cell>
          <cell r="AQ132">
            <v>1213356882.2924995</v>
          </cell>
          <cell r="AR132">
            <v>1213356882.2924995</v>
          </cell>
          <cell r="AU132">
            <v>1940167342652.7275</v>
          </cell>
          <cell r="AV132">
            <v>1940167342652.7275</v>
          </cell>
          <cell r="AX132">
            <v>722667713282.79309</v>
          </cell>
        </row>
        <row r="133">
          <cell r="V133">
            <v>1106928363.9354043</v>
          </cell>
          <cell r="W133">
            <v>18150510.821155328</v>
          </cell>
          <cell r="X133">
            <v>18150510.821155328</v>
          </cell>
          <cell r="AA133">
            <v>423675730426.25623</v>
          </cell>
          <cell r="AB133">
            <v>423675730426.25623</v>
          </cell>
          <cell r="AC133">
            <v>336783972475.22083</v>
          </cell>
          <cell r="AM133">
            <v>10207.918432479593</v>
          </cell>
          <cell r="AP133">
            <v>5279265319.6871958</v>
          </cell>
          <cell r="AQ133">
            <v>1254717394.3076062</v>
          </cell>
          <cell r="AR133">
            <v>1254717394.3076062</v>
          </cell>
          <cell r="AU133">
            <v>2020633550738.9712</v>
          </cell>
          <cell r="AV133">
            <v>2020633550738.9712</v>
          </cell>
          <cell r="AX133">
            <v>751245832775.75269</v>
          </cell>
        </row>
        <row r="134">
          <cell r="V134">
            <v>1134046398.4243836</v>
          </cell>
          <cell r="W134">
            <v>18593643.127529472</v>
          </cell>
          <cell r="X134">
            <v>18593643.127529472</v>
          </cell>
          <cell r="AA134">
            <v>435707143485.22003</v>
          </cell>
          <cell r="AB134">
            <v>435707143485.22003</v>
          </cell>
          <cell r="AC134">
            <v>346296428333.87964</v>
          </cell>
          <cell r="AM134">
            <v>10272.420579027341</v>
          </cell>
          <cell r="AP134">
            <v>5477195112.6214666</v>
          </cell>
          <cell r="AQ134">
            <v>1297483696.4891059</v>
          </cell>
          <cell r="AR134">
            <v>1297483696.4891059</v>
          </cell>
          <cell r="AU134">
            <v>2104369838965.3079</v>
          </cell>
          <cell r="AV134">
            <v>2104369838965.3079</v>
          </cell>
          <cell r="AX134">
            <v>780945667951.27637</v>
          </cell>
        </row>
        <row r="135">
          <cell r="V135">
            <v>1162207036.8568184</v>
          </cell>
          <cell r="W135">
            <v>19053813.564236127</v>
          </cell>
          <cell r="X135">
            <v>19053813.564236127</v>
          </cell>
          <cell r="AA135">
            <v>448212953074.1272</v>
          </cell>
          <cell r="AB135">
            <v>448212953074.1272</v>
          </cell>
          <cell r="AC135">
            <v>356195912436.18909</v>
          </cell>
          <cell r="AM135">
            <v>10342.004173493671</v>
          </cell>
          <cell r="AP135">
            <v>5687684110.9294043</v>
          </cell>
          <cell r="AQ135">
            <v>1342819823.0452058</v>
          </cell>
          <cell r="AR135">
            <v>1342819823.0452058</v>
          </cell>
          <cell r="AU135">
            <v>2193493595088.7104</v>
          </cell>
          <cell r="AV135">
            <v>2193493595088.7104</v>
          </cell>
          <cell r="AX135">
            <v>812553701791.22424</v>
          </cell>
        </row>
        <row r="136">
          <cell r="V136">
            <v>1191039228.3021708</v>
          </cell>
          <cell r="W136">
            <v>19524936.258150037</v>
          </cell>
          <cell r="X136">
            <v>19524936.258150037</v>
          </cell>
          <cell r="AA136">
            <v>461053616401.67438</v>
          </cell>
          <cell r="AB136">
            <v>461053616401.67438</v>
          </cell>
          <cell r="AC136">
            <v>366367737039.83459</v>
          </cell>
          <cell r="AM136">
            <v>10411.47414391671</v>
          </cell>
          <cell r="AP136">
            <v>5906298919.7130747</v>
          </cell>
          <cell r="AQ136">
            <v>1389619113.5312309</v>
          </cell>
          <cell r="AR136">
            <v>1389619113.5312309</v>
          </cell>
          <cell r="AU136">
            <v>2286339871747.8271</v>
          </cell>
          <cell r="AV136">
            <v>2286339871747.8271</v>
          </cell>
          <cell r="AX136">
            <v>845439129444.77759</v>
          </cell>
        </row>
        <row r="137">
          <cell r="V137">
            <v>1220676525.293355</v>
          </cell>
          <cell r="W137">
            <v>20009198.744929805</v>
          </cell>
          <cell r="X137">
            <v>20009198.744929805</v>
          </cell>
          <cell r="AA137">
            <v>474283481214.13135</v>
          </cell>
          <cell r="AB137">
            <v>474283481214.13135</v>
          </cell>
          <cell r="AC137">
            <v>376777725144.5802</v>
          </cell>
          <cell r="AM137">
            <v>10480.261367048963</v>
          </cell>
          <cell r="AP137">
            <v>6134857341.4014072</v>
          </cell>
          <cell r="AQ137">
            <v>1438411712.7214227</v>
          </cell>
          <cell r="AR137">
            <v>1438411712.7214227</v>
          </cell>
          <cell r="AU137">
            <v>2383646638844.5342</v>
          </cell>
          <cell r="AV137">
            <v>2383646638844.5342</v>
          </cell>
          <cell r="AX137">
            <v>879413374762.66565</v>
          </cell>
        </row>
        <row r="138">
          <cell r="V138">
            <v>1248822528.4669445</v>
          </cell>
          <cell r="W138">
            <v>20468959.523978628</v>
          </cell>
          <cell r="X138">
            <v>20468959.523978628</v>
          </cell>
          <cell r="AA138">
            <v>487397642707.01807</v>
          </cell>
          <cell r="AB138">
            <v>487397642707.01807</v>
          </cell>
          <cell r="AC138">
            <v>386789791809.04486</v>
          </cell>
          <cell r="AM138">
            <v>10547.428454475499</v>
          </cell>
          <cell r="AP138">
            <v>6359419993.8024817</v>
          </cell>
          <cell r="AQ138">
            <v>1485918672.4035089</v>
          </cell>
          <cell r="AR138">
            <v>1485918672.4035089</v>
          </cell>
          <cell r="AU138">
            <v>2481991030197.2515</v>
          </cell>
          <cell r="AV138">
            <v>2481991030197.2515</v>
          </cell>
          <cell r="AX138">
            <v>912902886171.70825</v>
          </cell>
        </row>
        <row r="139">
          <cell r="V139">
            <v>1274210165.4447429</v>
          </cell>
          <cell r="W139">
            <v>20883458.8037242</v>
          </cell>
          <cell r="X139">
            <v>20883458.8037242</v>
          </cell>
          <cell r="AA139">
            <v>500109864472.59796</v>
          </cell>
          <cell r="AB139">
            <v>500109864472.59796</v>
          </cell>
          <cell r="AC139">
            <v>396004110966.43713</v>
          </cell>
          <cell r="AM139">
            <v>10611.001750564903</v>
          </cell>
          <cell r="AP139">
            <v>6571715177.252286</v>
          </cell>
          <cell r="AQ139">
            <v>1530232725.5250602</v>
          </cell>
          <cell r="AR139">
            <v>1530232725.5250602</v>
          </cell>
          <cell r="AU139">
            <v>2579307304067.0864</v>
          </cell>
          <cell r="AV139">
            <v>2579307304067.0864</v>
          </cell>
          <cell r="AX139">
            <v>944714135674.5769</v>
          </cell>
        </row>
        <row r="140">
          <cell r="V140">
            <v>1300225635.1289425</v>
          </cell>
          <cell r="W140">
            <v>21308201.190520324</v>
          </cell>
          <cell r="X140">
            <v>21308201.190520324</v>
          </cell>
          <cell r="AA140">
            <v>513181609959.18262</v>
          </cell>
          <cell r="AB140">
            <v>513181609959.18262</v>
          </cell>
          <cell r="AC140">
            <v>405471374259.61346</v>
          </cell>
          <cell r="AM140">
            <v>10676.989170278477</v>
          </cell>
          <cell r="AP140">
            <v>6792925055.482852</v>
          </cell>
          <cell r="AQ140">
            <v>1576315273.0962243</v>
          </cell>
          <cell r="AR140">
            <v>1576315273.0962243</v>
          </cell>
          <cell r="AU140">
            <v>2681076362533.8423</v>
          </cell>
          <cell r="AV140">
            <v>2681076362533.8423</v>
          </cell>
          <cell r="AX140">
            <v>977891953572.01782</v>
          </cell>
        </row>
        <row r="141">
          <cell r="V141">
            <v>1326722574.7209454</v>
          </cell>
          <cell r="W141">
            <v>21740786.694017068</v>
          </cell>
          <cell r="X141">
            <v>21740786.694017068</v>
          </cell>
          <cell r="AA141">
            <v>526558934149.54346</v>
          </cell>
          <cell r="AB141">
            <v>526558934149.54346</v>
          </cell>
          <cell r="AC141">
            <v>415146025126.61975</v>
          </cell>
          <cell r="AM141">
            <v>10743.454269294487</v>
          </cell>
          <cell r="AP141">
            <v>7021265309.8648758</v>
          </cell>
          <cell r="AQ141">
            <v>1623714924.0955005</v>
          </cell>
          <cell r="AR141">
            <v>1623714924.0955005</v>
          </cell>
          <cell r="AU141">
            <v>2786648880773.9185</v>
          </cell>
          <cell r="AV141">
            <v>2786648880773.9185</v>
          </cell>
          <cell r="AX141">
            <v>1012181090850.7031</v>
          </cell>
        </row>
        <row r="142">
          <cell r="V142">
            <v>1354104688.7580037</v>
          </cell>
          <cell r="W142">
            <v>22185840.836838946</v>
          </cell>
          <cell r="X142">
            <v>22185840.836838946</v>
          </cell>
          <cell r="AA142">
            <v>540357698610.88403</v>
          </cell>
          <cell r="AB142">
            <v>540357698610.88403</v>
          </cell>
          <cell r="AC142">
            <v>425528686563.91296</v>
          </cell>
          <cell r="AM142">
            <v>10814.69941335345</v>
          </cell>
          <cell r="AP142">
            <v>7262286650.4410305</v>
          </cell>
          <cell r="AQ142">
            <v>1673546243.3014226</v>
          </cell>
          <cell r="AR142">
            <v>1673546243.3014226</v>
          </cell>
          <cell r="AU142">
            <v>2898027407824.8711</v>
          </cell>
          <cell r="AV142">
            <v>2898027407824.8711</v>
          </cell>
          <cell r="AX142">
            <v>1049003119779.9456</v>
          </cell>
        </row>
        <row r="143">
          <cell r="V143">
            <v>1381581708.1352949</v>
          </cell>
          <cell r="W143">
            <v>22615067.776938189</v>
          </cell>
          <cell r="X143">
            <v>22615067.776938189</v>
          </cell>
          <cell r="AA143">
            <v>553889970562.16895</v>
          </cell>
          <cell r="AB143">
            <v>553889970562.16895</v>
          </cell>
          <cell r="AC143">
            <v>435671373154.06604</v>
          </cell>
          <cell r="AM143">
            <v>10882.016913289015</v>
          </cell>
          <cell r="AP143">
            <v>7505500407.318903</v>
          </cell>
          <cell r="AQ143">
            <v>1722206938.2450862</v>
          </cell>
          <cell r="AR143">
            <v>1722206938.2450862</v>
          </cell>
          <cell r="AU143">
            <v>3009030428808.418</v>
          </cell>
          <cell r="AV143">
            <v>3009030428808.418</v>
          </cell>
          <cell r="AX143">
            <v>1085421495902.7274</v>
          </cell>
        </row>
        <row r="144">
          <cell r="V144">
            <v>1409640484.841825</v>
          </cell>
          <cell r="W144">
            <v>23053211.310710113</v>
          </cell>
          <cell r="X144">
            <v>23053211.310710113</v>
          </cell>
          <cell r="AA144">
            <v>567758682219.06018</v>
          </cell>
          <cell r="AB144">
            <v>567758682219.06018</v>
          </cell>
          <cell r="AC144">
            <v>446054128771.5719</v>
          </cell>
          <cell r="AM144">
            <v>10951.645543180133</v>
          </cell>
          <cell r="AP144">
            <v>7757552392.2762585</v>
          </cell>
          <cell r="AQ144">
            <v>1772626723.1249692</v>
          </cell>
          <cell r="AR144">
            <v>1772626723.1249692</v>
          </cell>
          <cell r="AU144">
            <v>3124497182682.9336</v>
          </cell>
          <cell r="AV144">
            <v>3124497182682.9336</v>
          </cell>
          <cell r="AX144">
            <v>1123188235106.0129</v>
          </cell>
        </row>
        <row r="145">
          <cell r="V145">
            <v>1437540401.1319685</v>
          </cell>
          <cell r="W145">
            <v>23488154.34436623</v>
          </cell>
          <cell r="X145">
            <v>23488154.34436623</v>
          </cell>
          <cell r="AA145">
            <v>581667403179.12402</v>
          </cell>
          <cell r="AB145">
            <v>581667403179.12402</v>
          </cell>
          <cell r="AC145">
            <v>456434930350.49939</v>
          </cell>
          <cell r="AM145">
            <v>11014.775632169751</v>
          </cell>
          <cell r="AP145">
            <v>8008283177.3741808</v>
          </cell>
          <cell r="AQ145">
            <v>1822314247.1151242</v>
          </cell>
          <cell r="AR145">
            <v>1822314247.1151242</v>
          </cell>
          <cell r="AU145">
            <v>3240366167127.0684</v>
          </cell>
          <cell r="AV145">
            <v>3240366167127.0684</v>
          </cell>
          <cell r="AX145">
            <v>1160819771657.6633</v>
          </cell>
        </row>
        <row r="146">
          <cell r="V146">
            <v>1466197216.1035805</v>
          </cell>
          <cell r="W146">
            <v>23934863.054468963</v>
          </cell>
          <cell r="X146">
            <v>23934863.054468963</v>
          </cell>
          <cell r="AA146">
            <v>595987490300.51331</v>
          </cell>
          <cell r="AB146">
            <v>595987490300.51331</v>
          </cell>
          <cell r="AC146">
            <v>467114850752.9873</v>
          </cell>
          <cell r="AM146">
            <v>11080.503155460588</v>
          </cell>
          <cell r="AP146">
            <v>8270399602.900878</v>
          </cell>
          <cell r="AQ146">
            <v>1874089033.3725913</v>
          </cell>
          <cell r="AR146">
            <v>1874089033.3725913</v>
          </cell>
          <cell r="AU146">
            <v>3361795158917.4478</v>
          </cell>
          <cell r="AV146">
            <v>3361795158917.4478</v>
          </cell>
          <cell r="AX146">
            <v>1200166453683.0083</v>
          </cell>
        </row>
        <row r="147">
          <cell r="V147">
            <v>1495865567.8419676</v>
          </cell>
          <cell r="W147">
            <v>24397467.234403186</v>
          </cell>
          <cell r="X147">
            <v>24397467.234403186</v>
          </cell>
          <cell r="AA147">
            <v>610827143264.19702</v>
          </cell>
          <cell r="AB147">
            <v>610827143264.19702</v>
          </cell>
          <cell r="AC147">
            <v>478523229814.65363</v>
          </cell>
          <cell r="AM147">
            <v>11146.22197249871</v>
          </cell>
          <cell r="AP147">
            <v>8547744689.1835051</v>
          </cell>
          <cell r="AQ147">
            <v>1927095572.423727</v>
          </cell>
          <cell r="AR147">
            <v>1927095572.423727</v>
          </cell>
          <cell r="AU147">
            <v>3490416907836.2476</v>
          </cell>
          <cell r="AV147">
            <v>3490416907836.2476</v>
          </cell>
          <cell r="AX147">
            <v>1243193841565.6082</v>
          </cell>
        </row>
        <row r="148">
          <cell r="V148">
            <v>1526562708.4700682</v>
          </cell>
          <cell r="W148">
            <v>24876214.215630479</v>
          </cell>
          <cell r="X148">
            <v>24876214.215630479</v>
          </cell>
          <cell r="AA148">
            <v>626199078425.16003</v>
          </cell>
          <cell r="AB148">
            <v>626199078425.16003</v>
          </cell>
          <cell r="AC148">
            <v>490340617640.20087</v>
          </cell>
          <cell r="AM148">
            <v>11216.212587489019</v>
          </cell>
          <cell r="AP148">
            <v>8840914113.2754841</v>
          </cell>
          <cell r="AQ148">
            <v>1982928496.511328</v>
          </cell>
          <cell r="AR148">
            <v>1982928496.511328</v>
          </cell>
          <cell r="AU148">
            <v>3626560664329.0078</v>
          </cell>
          <cell r="AV148">
            <v>3626560664329.0078</v>
          </cell>
          <cell r="AX148">
            <v>1288698117666.7542</v>
          </cell>
        </row>
        <row r="149">
          <cell r="V149">
            <v>1557628342.3344274</v>
          </cell>
          <cell r="W149">
            <v>25360319.671997663</v>
          </cell>
          <cell r="X149">
            <v>25360319.671997663</v>
          </cell>
          <cell r="AA149">
            <v>641836949779.03589</v>
          </cell>
          <cell r="AB149">
            <v>641836949779.03589</v>
          </cell>
          <cell r="AC149">
            <v>502350418277.31573</v>
          </cell>
          <cell r="AM149">
            <v>11284.368865338911</v>
          </cell>
          <cell r="AP149">
            <v>9140678722.3964138</v>
          </cell>
          <cell r="AQ149">
            <v>2039578678.463707</v>
          </cell>
          <cell r="AR149">
            <v>2039578678.463707</v>
          </cell>
          <cell r="AU149">
            <v>3766511683589.6807</v>
          </cell>
          <cell r="AV149">
            <v>3766511683589.6807</v>
          </cell>
          <cell r="AX149">
            <v>1335332154290.1602</v>
          </cell>
        </row>
        <row r="150">
          <cell r="V150">
            <v>1589347782.8998351</v>
          </cell>
          <cell r="W150">
            <v>25854419.639190763</v>
          </cell>
          <cell r="X150">
            <v>25854419.639190763</v>
          </cell>
          <cell r="AA150">
            <v>657860908345.57825</v>
          </cell>
          <cell r="AB150">
            <v>657860908345.57825</v>
          </cell>
          <cell r="AC150">
            <v>514649210959.23724</v>
          </cell>
          <cell r="AM150">
            <v>11353.781768653716</v>
          </cell>
          <cell r="AP150">
            <v>9451282265.6373177</v>
          </cell>
          <cell r="AQ150">
            <v>2098037937.531141</v>
          </cell>
          <cell r="AR150">
            <v>2098037937.531141</v>
          </cell>
          <cell r="AU150">
            <v>3912063302443.6489</v>
          </cell>
          <cell r="AV150">
            <v>3912063302443.6489</v>
          </cell>
          <cell r="AX150">
            <v>1383726917339.605</v>
          </cell>
        </row>
        <row r="151">
          <cell r="V151">
            <v>1621202086.3048906</v>
          </cell>
          <cell r="W151">
            <v>26350062.472438261</v>
          </cell>
          <cell r="X151">
            <v>26350062.472438261</v>
          </cell>
          <cell r="AA151">
            <v>674058834198.79248</v>
          </cell>
          <cell r="AB151">
            <v>674058834198.79248</v>
          </cell>
          <cell r="AC151">
            <v>527064961837.99524</v>
          </cell>
          <cell r="AM151">
            <v>11419.478712463875</v>
          </cell>
          <cell r="AP151">
            <v>9765205036.6976337</v>
          </cell>
          <cell r="AQ151">
            <v>2156616749.8125582</v>
          </cell>
          <cell r="AR151">
            <v>2156616749.8125582</v>
          </cell>
          <cell r="AU151">
            <v>4060149427608.5469</v>
          </cell>
          <cell r="AV151">
            <v>4060149427608.5469</v>
          </cell>
          <cell r="AX151">
            <v>1432777887563.9409</v>
          </cell>
        </row>
        <row r="152">
          <cell r="V152">
            <v>1653411414.69945</v>
          </cell>
          <cell r="W152">
            <v>26850828.269078761</v>
          </cell>
          <cell r="X152">
            <v>26850828.269078761</v>
          </cell>
          <cell r="AA152">
            <v>690523426769.32703</v>
          </cell>
          <cell r="AB152">
            <v>690523426769.32703</v>
          </cell>
          <cell r="AC152">
            <v>539672146676.77191</v>
          </cell>
          <cell r="AM152">
            <v>11484.074659052649</v>
          </cell>
          <cell r="AP152">
            <v>10085690447.844618</v>
          </cell>
          <cell r="AQ152">
            <v>2216115797.2215939</v>
          </cell>
          <cell r="AR152">
            <v>2216115797.2215939</v>
          </cell>
          <cell r="AU152">
            <v>4212143128724.1318</v>
          </cell>
          <cell r="AV152">
            <v>4212143128724.1318</v>
          </cell>
          <cell r="AX152">
            <v>1482967192685.9463</v>
          </cell>
        </row>
        <row r="153">
          <cell r="V153">
            <v>1685928806.7157397</v>
          </cell>
          <cell r="W153">
            <v>27411788.592231866</v>
          </cell>
          <cell r="X153">
            <v>27411788.592231866</v>
          </cell>
          <cell r="AA153">
            <v>708646959803.65527</v>
          </cell>
          <cell r="AB153">
            <v>708646959803.65527</v>
          </cell>
          <cell r="AC153">
            <v>553558524997.37756</v>
          </cell>
          <cell r="AM153">
            <v>11547.993015957931</v>
          </cell>
          <cell r="AP153">
            <v>10413506190.783356</v>
          </cell>
          <cell r="AQ153">
            <v>2281221113.9519086</v>
          </cell>
          <cell r="AR153">
            <v>2281221113.9519086</v>
          </cell>
          <cell r="AU153">
            <v>4377112173182.8901</v>
          </cell>
          <cell r="AV153">
            <v>4377112173182.8901</v>
          </cell>
          <cell r="AX153">
            <v>1537473154612.9167</v>
          </cell>
        </row>
        <row r="154">
          <cell r="V154">
            <v>1719047116.0679946</v>
          </cell>
          <cell r="W154">
            <v>28055340.949498981</v>
          </cell>
          <cell r="X154">
            <v>28055340.949498981</v>
          </cell>
          <cell r="AA154">
            <v>728961724445.11047</v>
          </cell>
          <cell r="AB154">
            <v>728961724445.11047</v>
          </cell>
          <cell r="AC154">
            <v>569142943855.74731</v>
          </cell>
          <cell r="AM154">
            <v>11615.331010836411</v>
          </cell>
          <cell r="AP154">
            <v>10756344110.658758</v>
          </cell>
          <cell r="AQ154">
            <v>2354877859.2646799</v>
          </cell>
          <cell r="AR154">
            <v>2354877859.2646799</v>
          </cell>
          <cell r="AU154">
            <v>4561226436635.1885</v>
          </cell>
          <cell r="AV154">
            <v>4561226436635.1885</v>
          </cell>
          <cell r="AX154">
            <v>1598438519251.7893</v>
          </cell>
        </row>
        <row r="155">
          <cell r="V155">
            <v>1752710388.9955158</v>
          </cell>
          <cell r="W155">
            <v>28710793.69421839</v>
          </cell>
          <cell r="X155">
            <v>28710793.69421839</v>
          </cell>
          <cell r="AA155">
            <v>749755980360.1593</v>
          </cell>
          <cell r="AB155">
            <v>749755980360.1593</v>
          </cell>
          <cell r="AC155">
            <v>585082736619.57019</v>
          </cell>
          <cell r="AM155">
            <v>11682.726594348153</v>
          </cell>
          <cell r="AP155">
            <v>11109161500.197613</v>
          </cell>
          <cell r="AQ155">
            <v>2430532451.3907614</v>
          </cell>
          <cell r="AR155">
            <v>2430532451.3907614</v>
          </cell>
          <cell r="AU155">
            <v>4752160039590.7217</v>
          </cell>
          <cell r="AV155">
            <v>4752160039590.7217</v>
          </cell>
          <cell r="AX155">
            <v>1661498696446.9143</v>
          </cell>
        </row>
        <row r="156">
          <cell r="V156">
            <v>1787853850.0649765</v>
          </cell>
          <cell r="W156">
            <v>29393575.962727368</v>
          </cell>
          <cell r="X156">
            <v>29393575.962727368</v>
          </cell>
          <cell r="AA156">
            <v>771439347811.81433</v>
          </cell>
          <cell r="AB156">
            <v>771439347811.81433</v>
          </cell>
          <cell r="AC156">
            <v>601705997491.23438</v>
          </cell>
          <cell r="AM156">
            <v>11748.840204438227</v>
          </cell>
          <cell r="AP156">
            <v>11486756471.916424</v>
          </cell>
          <cell r="AQ156">
            <v>2509419783.590652</v>
          </cell>
          <cell r="AR156">
            <v>2509419783.590652</v>
          </cell>
          <cell r="AU156">
            <v>4956409563816.5791</v>
          </cell>
          <cell r="AV156">
            <v>4956409563816.5791</v>
          </cell>
          <cell r="AX156">
            <v>1728921541258.5327</v>
          </cell>
        </row>
        <row r="157">
          <cell r="V157">
            <v>1822320082.1528859</v>
          </cell>
          <cell r="W157">
            <v>30136827.156703696</v>
          </cell>
          <cell r="X157">
            <v>30136827.156703696</v>
          </cell>
          <cell r="AA157">
            <v>793089417301.22314</v>
          </cell>
          <cell r="AB157">
            <v>793089417301.22314</v>
          </cell>
          <cell r="AC157">
            <v>617586148617.43445</v>
          </cell>
          <cell r="AM157">
            <v>11804.511526652987</v>
          </cell>
          <cell r="AP157">
            <v>11933223472.884056</v>
          </cell>
          <cell r="AQ157">
            <v>2597500040.5651989</v>
          </cell>
          <cell r="AR157">
            <v>2597500040.5651989</v>
          </cell>
          <cell r="AU157">
            <v>5193441779697.6719</v>
          </cell>
          <cell r="AV157">
            <v>5193441779697.6719</v>
          </cell>
          <cell r="AX157">
            <v>1802408989664.5569</v>
          </cell>
        </row>
        <row r="158">
          <cell r="V158">
            <v>1856071419.0657778</v>
          </cell>
          <cell r="W158">
            <v>30894531.96915441</v>
          </cell>
          <cell r="X158">
            <v>30894531.96915441</v>
          </cell>
          <cell r="AA158">
            <v>814723682448.3717</v>
          </cell>
          <cell r="AB158">
            <v>814723682448.3717</v>
          </cell>
          <cell r="AC158">
            <v>633395689007.03357</v>
          </cell>
          <cell r="AM158">
            <v>11860.867580422104</v>
          </cell>
          <cell r="AP158">
            <v>12395611802.283304</v>
          </cell>
          <cell r="AQ158">
            <v>2688468087.8204703</v>
          </cell>
          <cell r="AR158">
            <v>2688468087.8204703</v>
          </cell>
          <cell r="AU158">
            <v>5441061367584.6143</v>
          </cell>
          <cell r="AV158">
            <v>5441061367584.6143</v>
          </cell>
          <cell r="AX158">
            <v>1878789552570.5195</v>
          </cell>
        </row>
        <row r="159">
          <cell r="V159">
            <v>1878698098.3230689</v>
          </cell>
          <cell r="W159">
            <v>31299674.778982691</v>
          </cell>
          <cell r="X159">
            <v>31299674.778982691</v>
          </cell>
          <cell r="AA159">
            <v>827124261340.50916</v>
          </cell>
          <cell r="AB159">
            <v>827124261340.50916</v>
          </cell>
          <cell r="AC159">
            <v>641869237567.76123</v>
          </cell>
          <cell r="AM159">
            <v>11890</v>
          </cell>
          <cell r="AP159">
            <v>12681994602.496042</v>
          </cell>
          <cell r="AQ159">
            <v>2741346681.4229846</v>
          </cell>
          <cell r="AR159">
            <v>2741346681.4229846</v>
          </cell>
          <cell r="AU159">
            <v>5583433244158.2256</v>
          </cell>
          <cell r="AV159">
            <v>5583433244158.2256</v>
          </cell>
          <cell r="AX159">
            <v>1918001186729.7607</v>
          </cell>
        </row>
        <row r="160">
          <cell r="V160">
            <v>1896732470.3072138</v>
          </cell>
          <cell r="W160">
            <v>31603613.109894756</v>
          </cell>
          <cell r="X160">
            <v>31603613.109894756</v>
          </cell>
          <cell r="AA160">
            <v>836889300449.66528</v>
          </cell>
          <cell r="AB160">
            <v>836889300449.66528</v>
          </cell>
          <cell r="AC160">
            <v>648223990647.85486</v>
          </cell>
          <cell r="AM160">
            <v>11890</v>
          </cell>
          <cell r="AP160">
            <v>12894596539.567806</v>
          </cell>
          <cell r="AQ160">
            <v>2778097001.7939076</v>
          </cell>
          <cell r="AR160">
            <v>2778097001.7939076</v>
          </cell>
          <cell r="AU160">
            <v>5689442262688.5811</v>
          </cell>
          <cell r="AV160">
            <v>5689442262688.5811</v>
          </cell>
          <cell r="AX160">
            <v>1944274570428.3291</v>
          </cell>
        </row>
        <row r="161">
          <cell r="V161">
            <v>1906506955.2392731</v>
          </cell>
          <cell r="W161">
            <v>31769960.651367176</v>
          </cell>
          <cell r="X161">
            <v>31769960.651367176</v>
          </cell>
          <cell r="AA161">
            <v>843036614841.60962</v>
          </cell>
          <cell r="AB161">
            <v>843036614841.60962</v>
          </cell>
          <cell r="AC161">
            <v>651727918790.29285</v>
          </cell>
          <cell r="AM161">
            <v>11890</v>
          </cell>
          <cell r="AP161">
            <v>12971614644.58223</v>
          </cell>
          <cell r="AQ161">
            <v>2798852986.1463695</v>
          </cell>
          <cell r="AR161">
            <v>2798852986.1463695</v>
          </cell>
          <cell r="AU161">
            <v>5735906742404.7266</v>
          </cell>
          <cell r="AV161">
            <v>5735906742404.7266</v>
          </cell>
          <cell r="AX161">
            <v>1951751816677.136</v>
          </cell>
        </row>
        <row r="162">
          <cell r="V162">
            <v>1915099982.5377007</v>
          </cell>
          <cell r="W162">
            <v>31916639.555104595</v>
          </cell>
          <cell r="X162">
            <v>31916639.555104595</v>
          </cell>
          <cell r="AA162">
            <v>848679175795.70007</v>
          </cell>
          <cell r="AB162">
            <v>848679175795.70007</v>
          </cell>
          <cell r="AC162">
            <v>654825373220.41626</v>
          </cell>
          <cell r="AM162">
            <v>11890</v>
          </cell>
          <cell r="AP162">
            <v>13028983816.978159</v>
          </cell>
          <cell r="AQ162">
            <v>2817348967.5125895</v>
          </cell>
          <cell r="AR162">
            <v>2817348967.5125895</v>
          </cell>
          <cell r="AU162">
            <v>5773811993145.3037</v>
          </cell>
          <cell r="AV162">
            <v>5773811993145.3037</v>
          </cell>
          <cell r="AX162">
            <v>1956500709404.8872</v>
          </cell>
        </row>
        <row r="163">
          <cell r="V163">
            <v>1923713667.5741963</v>
          </cell>
          <cell r="W163">
            <v>32063679.638115324</v>
          </cell>
          <cell r="X163">
            <v>32063679.638115324</v>
          </cell>
          <cell r="AA163">
            <v>854347448529.48767</v>
          </cell>
          <cell r="AB163">
            <v>854347448529.48767</v>
          </cell>
          <cell r="AC163">
            <v>657931511168.28784</v>
          </cell>
          <cell r="AM163">
            <v>11890</v>
          </cell>
          <cell r="AP163">
            <v>13086481124.316975</v>
          </cell>
          <cell r="AQ163">
            <v>2835926590.3562794</v>
          </cell>
          <cell r="AR163">
            <v>2835926590.3562794</v>
          </cell>
          <cell r="AU163">
            <v>5811884558104.7422</v>
          </cell>
          <cell r="AV163">
            <v>5811884558104.7422</v>
          </cell>
          <cell r="AX163">
            <v>1961251959836.9856</v>
          </cell>
        </row>
        <row r="164">
          <cell r="V164">
            <v>1932348016.1994908</v>
          </cell>
          <cell r="W164">
            <v>32211081.005861476</v>
          </cell>
          <cell r="X164">
            <v>32211081.005861476</v>
          </cell>
          <cell r="AA164">
            <v>860041495281.13403</v>
          </cell>
          <cell r="AB164">
            <v>860041495281.13403</v>
          </cell>
          <cell r="AC164">
            <v>661046342076.79382</v>
          </cell>
          <cell r="AM164">
            <v>11890</v>
          </cell>
          <cell r="AP164">
            <v>13144106573.254217</v>
          </cell>
          <cell r="AQ164">
            <v>2854586036.6147966</v>
          </cell>
          <cell r="AR164">
            <v>2854586036.6147966</v>
          </cell>
          <cell r="AU164">
            <v>5850124810141.3926</v>
          </cell>
          <cell r="AV164">
            <v>5850124810141.3926</v>
          </cell>
          <cell r="AX164">
            <v>1966005568745.4109</v>
          </cell>
        </row>
        <row r="165">
          <cell r="V165">
            <v>1941003034.2473137</v>
          </cell>
          <cell r="W165">
            <v>32358843.763498791</v>
          </cell>
          <cell r="X165">
            <v>32358843.763498791</v>
          </cell>
          <cell r="AA165">
            <v>865761378303.73767</v>
          </cell>
          <cell r="AB165">
            <v>865761378303.73767</v>
          </cell>
          <cell r="AC165">
            <v>664169875391.11768</v>
          </cell>
          <cell r="AM165">
            <v>11890</v>
          </cell>
          <cell r="AP165">
            <v>13201860170.42523</v>
          </cell>
          <cell r="AQ165">
            <v>2873327488.2336054</v>
          </cell>
          <cell r="AR165">
            <v>2873327488.2336054</v>
          </cell>
          <cell r="AU165">
            <v>5888533122130.2207</v>
          </cell>
          <cell r="AV165">
            <v>5888533122130.2207</v>
          </cell>
          <cell r="AX165">
            <v>1970761536899.8923</v>
          </cell>
        </row>
        <row r="166">
          <cell r="V166">
            <v>1949673805.1654227</v>
          </cell>
          <cell r="W166">
            <v>32506885.945282951</v>
          </cell>
          <cell r="X166">
            <v>32506885.945282951</v>
          </cell>
          <cell r="AA166">
            <v>871504959564.38135</v>
          </cell>
          <cell r="AB166">
            <v>871504959564.38135</v>
          </cell>
          <cell r="AC166">
            <v>667301835972.02576</v>
          </cell>
          <cell r="AM166">
            <v>11890</v>
          </cell>
          <cell r="AP166">
            <v>13259740545.813702</v>
          </cell>
          <cell r="AQ166">
            <v>2892150826.9019933</v>
          </cell>
          <cell r="AR166">
            <v>2892150826.9019933</v>
          </cell>
          <cell r="AU166">
            <v>5927109251607.9014</v>
          </cell>
          <cell r="AV166">
            <v>5927109251607.9014</v>
          </cell>
          <cell r="AX166">
            <v>1975519450010.5186</v>
          </cell>
        </row>
      </sheetData>
      <sheetData sheetId="18">
        <row r="7">
          <cell r="M7">
            <v>60</v>
          </cell>
          <cell r="V7">
            <v>25733.356195046705</v>
          </cell>
          <cell r="W7">
            <v>1930.0017146285027</v>
          </cell>
          <cell r="X7">
            <v>1930.0017146285027</v>
          </cell>
          <cell r="AA7">
            <v>1520909.0204085931</v>
          </cell>
          <cell r="AB7">
            <v>1520909.0204085931</v>
          </cell>
          <cell r="AC7">
            <v>3021226.3528824658</v>
          </cell>
          <cell r="AM7">
            <v>1000</v>
          </cell>
          <cell r="AP7">
            <v>18904.325877052539</v>
          </cell>
          <cell r="AQ7">
            <v>5072.5629275877372</v>
          </cell>
          <cell r="AR7">
            <v>5072.5629275877372</v>
          </cell>
          <cell r="AU7">
            <v>1117295.3707720058</v>
          </cell>
          <cell r="AV7">
            <v>1117295.3707720058</v>
          </cell>
          <cell r="AX7">
            <v>2009985.6574360463</v>
          </cell>
        </row>
        <row r="8">
          <cell r="V8">
            <v>34857.624791693779</v>
          </cell>
          <cell r="W8">
            <v>2480.026759174013</v>
          </cell>
          <cell r="X8">
            <v>2480.026759174013</v>
          </cell>
          <cell r="AA8">
            <v>2152736.3028432839</v>
          </cell>
          <cell r="AB8">
            <v>2152736.3028432839</v>
          </cell>
          <cell r="AC8">
            <v>4233941.5176145341</v>
          </cell>
          <cell r="AM8">
            <v>1146.4725389716789</v>
          </cell>
          <cell r="AP8">
            <v>27591.897087674304</v>
          </cell>
          <cell r="AQ8">
            <v>7509.4735630465821</v>
          </cell>
          <cell r="AR8">
            <v>7509.4735630465821</v>
          </cell>
          <cell r="AU8">
            <v>1704019.676610505</v>
          </cell>
          <cell r="AV8">
            <v>1704019.676610505</v>
          </cell>
          <cell r="AX8">
            <v>3052793.3315946963</v>
          </cell>
        </row>
        <row r="9">
          <cell r="V9">
            <v>45530.474251454827</v>
          </cell>
          <cell r="W9">
            <v>3096.567246938343</v>
          </cell>
          <cell r="X9">
            <v>3096.567246938343</v>
          </cell>
          <cell r="AA9">
            <v>2948279.3688839329</v>
          </cell>
          <cell r="AB9">
            <v>2948279.3688839329</v>
          </cell>
          <cell r="AC9">
            <v>5707444.6399529502</v>
          </cell>
          <cell r="AM9">
            <v>1292.9450779433578</v>
          </cell>
          <cell r="AP9">
            <v>38506.106242117938</v>
          </cell>
          <cell r="AQ9">
            <v>10616.092803075237</v>
          </cell>
          <cell r="AR9">
            <v>10616.092803075237</v>
          </cell>
          <cell r="AU9">
            <v>2493423.591037197</v>
          </cell>
          <cell r="AV9">
            <v>2493423.591037197</v>
          </cell>
          <cell r="AX9">
            <v>4421513.7773305587</v>
          </cell>
        </row>
        <row r="10">
          <cell r="V10">
            <v>58317.87350785661</v>
          </cell>
          <cell r="W10">
            <v>3814.4499192823491</v>
          </cell>
          <cell r="X10">
            <v>3814.4499192823491</v>
          </cell>
          <cell r="AA10">
            <v>3949265.695115116</v>
          </cell>
          <cell r="AB10">
            <v>3949265.695115116</v>
          </cell>
          <cell r="AC10">
            <v>7528073.8150154017</v>
          </cell>
          <cell r="AM10">
            <v>1439.4176169150367</v>
          </cell>
          <cell r="AP10">
            <v>52357.731208761659</v>
          </cell>
          <cell r="AQ10">
            <v>14606.313572972416</v>
          </cell>
          <cell r="AR10">
            <v>14606.313572972416</v>
          </cell>
          <cell r="AU10">
            <v>3545646.9740612833</v>
          </cell>
          <cell r="AV10">
            <v>3545646.9740612833</v>
          </cell>
          <cell r="AX10">
            <v>6224607.6638116892</v>
          </cell>
        </row>
        <row r="11">
          <cell r="V11">
            <v>73478.177904495809</v>
          </cell>
          <cell r="W11">
            <v>4644.7745774219802</v>
          </cell>
          <cell r="X11">
            <v>4644.7745774219802</v>
          </cell>
          <cell r="AA11">
            <v>5191632.366000643</v>
          </cell>
          <cell r="AB11">
            <v>5191632.366000643</v>
          </cell>
          <cell r="AC11">
            <v>9748412.2285879999</v>
          </cell>
          <cell r="AM11">
            <v>1585.8901558867155</v>
          </cell>
          <cell r="AP11">
            <v>69677.262743892279</v>
          </cell>
          <cell r="AQ11">
            <v>19649.57348348208</v>
          </cell>
          <cell r="AR11">
            <v>19649.57348348208</v>
          </cell>
          <cell r="AU11">
            <v>4923077.0652165115</v>
          </cell>
          <cell r="AV11">
            <v>4923077.0652165115</v>
          </cell>
          <cell r="AX11">
            <v>8558177.017551994</v>
          </cell>
        </row>
        <row r="12">
          <cell r="V12">
            <v>91289.580935270627</v>
          </cell>
          <cell r="W12">
            <v>5599.4402890440688</v>
          </cell>
          <cell r="X12">
            <v>5599.4402890440688</v>
          </cell>
          <cell r="AA12">
            <v>6715424.7545203324</v>
          </cell>
          <cell r="AB12">
            <v>6715424.7545203324</v>
          </cell>
          <cell r="AC12">
            <v>12425873.50031987</v>
          </cell>
          <cell r="AM12">
            <v>1732.3626948583944</v>
          </cell>
          <cell r="AP12">
            <v>91059.732734006</v>
          </cell>
          <cell r="AQ12">
            <v>25936.9332870211</v>
          </cell>
          <cell r="AR12">
            <v>25936.9332870211</v>
          </cell>
          <cell r="AU12">
            <v>6698516.7099796413</v>
          </cell>
          <cell r="AV12">
            <v>6698516.7099796413</v>
          </cell>
          <cell r="AX12">
            <v>11532812.466029087</v>
          </cell>
        </row>
        <row r="13">
          <cell r="V13">
            <v>111388.55849072585</v>
          </cell>
          <cell r="W13">
            <v>6651.6208807208795</v>
          </cell>
          <cell r="X13">
            <v>6651.6208807208795</v>
          </cell>
          <cell r="AA13">
            <v>8539729.3900130522</v>
          </cell>
          <cell r="AB13">
            <v>8539729.3900130522</v>
          </cell>
          <cell r="AC13">
            <v>15530587.534938857</v>
          </cell>
          <cell r="AM13">
            <v>1878.8352338300733</v>
          </cell>
          <cell r="AP13">
            <v>116477.16098231646</v>
          </cell>
          <cell r="AQ13">
            <v>33483.7324488636</v>
          </cell>
          <cell r="AR13">
            <v>33483.7324488636</v>
          </cell>
          <cell r="AU13">
            <v>8929852.8357271664</v>
          </cell>
          <cell r="AV13">
            <v>8929852.8357271664</v>
          </cell>
          <cell r="AX13">
            <v>15184705.238803115</v>
          </cell>
        </row>
        <row r="14">
          <cell r="V14">
            <v>133939.32623234575</v>
          </cell>
          <cell r="W14">
            <v>7808.6151391218691</v>
          </cell>
          <cell r="X14">
            <v>7808.6151391218691</v>
          </cell>
          <cell r="AA14">
            <v>10704431.689478371</v>
          </cell>
          <cell r="AB14">
            <v>10704431.689478371</v>
          </cell>
          <cell r="AC14">
            <v>19101748.689860448</v>
          </cell>
          <cell r="AM14">
            <v>2025.3077728017522</v>
          </cell>
          <cell r="AP14">
            <v>146404.31939029504</v>
          </cell>
          <cell r="AQ14">
            <v>42447.761317339318</v>
          </cell>
          <cell r="AR14">
            <v>42447.761317339318</v>
          </cell>
          <cell r="AU14">
            <v>11700634.011249205</v>
          </cell>
          <cell r="AV14">
            <v>11700634.011249205</v>
          </cell>
          <cell r="AX14">
            <v>19614744.749582782</v>
          </cell>
        </row>
        <row r="15">
          <cell r="V15">
            <v>159562.44691450644</v>
          </cell>
          <cell r="W15">
            <v>9103.4817023634187</v>
          </cell>
          <cell r="X15">
            <v>9103.4817023634187</v>
          </cell>
          <cell r="AA15">
            <v>13271428.424812075</v>
          </cell>
          <cell r="AB15">
            <v>13271428.424812075</v>
          </cell>
          <cell r="AC15">
            <v>23245887.840999018</v>
          </cell>
          <cell r="AM15">
            <v>2171.7803117734311</v>
          </cell>
          <cell r="AP15">
            <v>181864.62006040406</v>
          </cell>
          <cell r="AQ15">
            <v>53148.999179430175</v>
          </cell>
          <cell r="AR15">
            <v>53148.999179430175</v>
          </cell>
          <cell r="AU15">
            <v>15126386.783417175</v>
          </cell>
          <cell r="AV15">
            <v>15126386.783417175</v>
          </cell>
          <cell r="AX15">
            <v>25003834.915114805</v>
          </cell>
        </row>
        <row r="16">
          <cell r="V16">
            <v>188518.50515969491</v>
          </cell>
          <cell r="W16">
            <v>10546.92176705394</v>
          </cell>
          <cell r="X16">
            <v>10546.92176705394</v>
          </cell>
          <cell r="AA16">
            <v>16293232.5298246</v>
          </cell>
          <cell r="AB16">
            <v>16293232.5298246</v>
          </cell>
          <cell r="AC16">
            <v>28022204.943055756</v>
          </cell>
          <cell r="AM16">
            <v>2318.2528507451102</v>
          </cell>
          <cell r="AP16">
            <v>223567.02681037484</v>
          </cell>
          <cell r="AQ16">
            <v>65821.176163586599</v>
          </cell>
          <cell r="AR16">
            <v>65821.176163586599</v>
          </cell>
          <cell r="AU16">
            <v>19322397.823689926</v>
          </cell>
          <cell r="AV16">
            <v>19322397.823689926</v>
          </cell>
          <cell r="AX16">
            <v>31500332.755821418</v>
          </cell>
        </row>
        <row r="17">
          <cell r="V17">
            <v>224102.1089853546</v>
          </cell>
          <cell r="W17">
            <v>12316.176546829509</v>
          </cell>
          <cell r="X17">
            <v>12316.176546829509</v>
          </cell>
          <cell r="AA17">
            <v>20097844.776375212</v>
          </cell>
          <cell r="AB17">
            <v>20097844.776375212</v>
          </cell>
          <cell r="AC17">
            <v>33570701.296235815</v>
          </cell>
          <cell r="AM17">
            <v>2464.7253897167893</v>
          </cell>
          <cell r="AP17">
            <v>269375.11627195223</v>
          </cell>
          <cell r="AQ17">
            <v>79857.321669593191</v>
          </cell>
          <cell r="AR17">
            <v>79857.321669593191</v>
          </cell>
          <cell r="AU17">
            <v>24158002.340823676</v>
          </cell>
          <cell r="AV17">
            <v>24158002.340823676</v>
          </cell>
          <cell r="AX17">
            <v>39219054.857677385</v>
          </cell>
        </row>
        <row r="18">
          <cell r="V18">
            <v>265611.05240023998</v>
          </cell>
          <cell r="W18">
            <v>13855.373199097754</v>
          </cell>
          <cell r="X18">
            <v>13855.373199097754</v>
          </cell>
          <cell r="AA18">
            <v>24090915.665804669</v>
          </cell>
          <cell r="AB18">
            <v>24090915.665804669</v>
          </cell>
          <cell r="AC18">
            <v>39169102.514568977</v>
          </cell>
          <cell r="AM18">
            <v>2556.5591764569513</v>
          </cell>
          <cell r="AP18">
            <v>309785.63776421011</v>
          </cell>
          <cell r="AQ18">
            <v>90831.483037979633</v>
          </cell>
          <cell r="AR18">
            <v>90831.483037979633</v>
          </cell>
          <cell r="AU18">
            <v>28097549.429567166</v>
          </cell>
          <cell r="AV18">
            <v>28097549.429567166</v>
          </cell>
          <cell r="AX18">
            <v>45349756.05545333</v>
          </cell>
        </row>
        <row r="19">
          <cell r="V19">
            <v>311958.73074666248</v>
          </cell>
          <cell r="W19">
            <v>15502.503547832741</v>
          </cell>
          <cell r="X19">
            <v>15502.503547832741</v>
          </cell>
          <cell r="AA19">
            <v>28612327.069180943</v>
          </cell>
          <cell r="AB19">
            <v>28612327.069180943</v>
          </cell>
          <cell r="AC19">
            <v>45351361.58086554</v>
          </cell>
          <cell r="AM19">
            <v>2648.1817088938906</v>
          </cell>
          <cell r="AP19">
            <v>354418.89310875715</v>
          </cell>
          <cell r="AQ19">
            <v>102922.88623649214</v>
          </cell>
          <cell r="AR19">
            <v>102922.88623649214</v>
          </cell>
          <cell r="AU19">
            <v>32506701.334671102</v>
          </cell>
          <cell r="AV19">
            <v>32506701.334671102</v>
          </cell>
          <cell r="AX19">
            <v>52114388.829943798</v>
          </cell>
        </row>
        <row r="20">
          <cell r="V20">
            <v>362878.61992413847</v>
          </cell>
          <cell r="W20">
            <v>17234.749541089845</v>
          </cell>
          <cell r="X20">
            <v>17234.749541089845</v>
          </cell>
          <cell r="AA20">
            <v>33652144.78026884</v>
          </cell>
          <cell r="AB20">
            <v>33652144.78026884</v>
          </cell>
          <cell r="AC20">
            <v>52058668.537308052</v>
          </cell>
          <cell r="AM20">
            <v>2724.815402260052</v>
          </cell>
          <cell r="AP20">
            <v>400732.02988848794</v>
          </cell>
          <cell r="AQ20">
            <v>115265.68479412587</v>
          </cell>
          <cell r="AR20">
            <v>115265.68479412587</v>
          </cell>
          <cell r="AU20">
            <v>37162542.920598701</v>
          </cell>
          <cell r="AV20">
            <v>37162542.920598701</v>
          </cell>
          <cell r="AX20">
            <v>59146964.107211575</v>
          </cell>
        </row>
        <row r="21">
          <cell r="V21">
            <v>419873.39050447289</v>
          </cell>
          <cell r="W21">
            <v>19431.477732837491</v>
          </cell>
          <cell r="X21">
            <v>19431.477732837491</v>
          </cell>
          <cell r="AA21">
            <v>40018972.025548697</v>
          </cell>
          <cell r="AB21">
            <v>40018972.025548697</v>
          </cell>
          <cell r="AC21">
            <v>60476385.412455112</v>
          </cell>
          <cell r="AM21">
            <v>2808.6655799493046</v>
          </cell>
          <cell r="AP21">
            <v>453793.79277232976</v>
          </cell>
          <cell r="AQ21">
            <v>131443.57841961132</v>
          </cell>
          <cell r="AR21">
            <v>131443.57841961132</v>
          </cell>
          <cell r="AU21">
            <v>43251993.360436693</v>
          </cell>
          <cell r="AV21">
            <v>43251993.360436693</v>
          </cell>
          <cell r="AX21">
            <v>68316827.784099802</v>
          </cell>
        </row>
        <row r="22">
          <cell r="V22">
            <v>483179.85470127664</v>
          </cell>
          <cell r="W22">
            <v>21550.503169031414</v>
          </cell>
          <cell r="X22">
            <v>21550.503169031414</v>
          </cell>
          <cell r="AA22">
            <v>46687197.373526037</v>
          </cell>
          <cell r="AB22">
            <v>46687197.373526037</v>
          </cell>
          <cell r="AC22">
            <v>68974747.894203246</v>
          </cell>
          <cell r="AM22">
            <v>2893.6396297114957</v>
          </cell>
          <cell r="AP22">
            <v>513171.89251444954</v>
          </cell>
          <cell r="AQ22">
            <v>147603.58850687381</v>
          </cell>
          <cell r="AR22">
            <v>147603.58850687381</v>
          </cell>
          <cell r="AU22">
            <v>49585174.545781203</v>
          </cell>
          <cell r="AV22">
            <v>49585174.545781203</v>
          </cell>
          <cell r="AX22">
            <v>77709412.892613679</v>
          </cell>
        </row>
        <row r="23">
          <cell r="V23">
            <v>551914.69291781611</v>
          </cell>
          <cell r="W23">
            <v>23777.191375889557</v>
          </cell>
          <cell r="X23">
            <v>23777.191375889557</v>
          </cell>
          <cell r="AA23">
            <v>54053293.81322071</v>
          </cell>
          <cell r="AB23">
            <v>54053293.81322071</v>
          </cell>
          <cell r="AC23">
            <v>78122533.379743621</v>
          </cell>
          <cell r="AM23">
            <v>2963.8393226762068</v>
          </cell>
          <cell r="AP23">
            <v>573875.31547140237</v>
          </cell>
          <cell r="AQ23">
            <v>163871.08357780645</v>
          </cell>
          <cell r="AR23">
            <v>163871.08357780645</v>
          </cell>
          <cell r="AU23">
            <v>56204068.196367994</v>
          </cell>
          <cell r="AV23">
            <v>56204068.196367994</v>
          </cell>
          <cell r="AX23">
            <v>87440282.833546668</v>
          </cell>
        </row>
        <row r="24">
          <cell r="V24">
            <v>627772.24846528203</v>
          </cell>
          <cell r="W24">
            <v>26176.666954882901</v>
          </cell>
          <cell r="X24">
            <v>26176.666954882901</v>
          </cell>
          <cell r="AA24">
            <v>62306806.524202168</v>
          </cell>
          <cell r="AB24">
            <v>62306806.524202168</v>
          </cell>
          <cell r="AC24">
            <v>88147404.845206529</v>
          </cell>
          <cell r="AM24">
            <v>3042.8688718553117</v>
          </cell>
          <cell r="AP24">
            <v>641557.80127976753</v>
          </cell>
          <cell r="AQ24">
            <v>181950.03052437369</v>
          </cell>
          <cell r="AR24">
            <v>181950.03052437369</v>
          </cell>
          <cell r="AU24">
            <v>63675031.66340059</v>
          </cell>
          <cell r="AV24">
            <v>63675031.66340059</v>
          </cell>
          <cell r="AX24">
            <v>98461495.42759487</v>
          </cell>
        </row>
        <row r="25">
          <cell r="V25">
            <v>710524.4191148323</v>
          </cell>
          <cell r="W25">
            <v>28728.703445163344</v>
          </cell>
          <cell r="X25">
            <v>28728.703445163344</v>
          </cell>
          <cell r="AA25">
            <v>71452850.671105444</v>
          </cell>
          <cell r="AB25">
            <v>71452850.671105444</v>
          </cell>
          <cell r="AC25">
            <v>99002865.802549839</v>
          </cell>
          <cell r="AM25">
            <v>3117.2191841608897</v>
          </cell>
          <cell r="AP25">
            <v>713906.90608536045</v>
          </cell>
          <cell r="AQ25">
            <v>201091.84793138929</v>
          </cell>
          <cell r="AR25">
            <v>201091.84793138929</v>
          </cell>
          <cell r="AU25">
            <v>71793005.534049064</v>
          </cell>
          <cell r="AV25">
            <v>71793005.534049064</v>
          </cell>
          <cell r="AX25">
            <v>110331396.50062039</v>
          </cell>
        </row>
        <row r="26">
          <cell r="V26">
            <v>790088.04022984637</v>
          </cell>
          <cell r="W26">
            <v>31057.65640034619</v>
          </cell>
          <cell r="X26">
            <v>31057.65640034619</v>
          </cell>
          <cell r="AA26">
            <v>80642861.840910703</v>
          </cell>
          <cell r="AB26">
            <v>80642861.840910703</v>
          </cell>
          <cell r="AC26">
            <v>110389860.48551278</v>
          </cell>
          <cell r="AM26">
            <v>3190.4337291338857</v>
          </cell>
          <cell r="AP26">
            <v>783941.97573121975</v>
          </cell>
          <cell r="AQ26">
            <v>220301.35073153069</v>
          </cell>
          <cell r="AR26">
            <v>220301.35073153069</v>
          </cell>
          <cell r="AU26">
            <v>80015544.118085921</v>
          </cell>
          <cell r="AV26">
            <v>80015544.118085921</v>
          </cell>
          <cell r="AX26">
            <v>122473333.88965939</v>
          </cell>
        </row>
        <row r="27">
          <cell r="V27">
            <v>889637.62565411581</v>
          </cell>
          <cell r="W27">
            <v>33683.639870588508</v>
          </cell>
          <cell r="X27">
            <v>33683.639870588508</v>
          </cell>
          <cell r="AA27">
            <v>92463256.955986738</v>
          </cell>
          <cell r="AB27">
            <v>92463256.955986738</v>
          </cell>
          <cell r="AC27">
            <v>125656636.35540394</v>
          </cell>
          <cell r="AM27">
            <v>3264.1473862851608</v>
          </cell>
          <cell r="AP27">
            <v>864109.50590029266</v>
          </cell>
          <cell r="AQ27">
            <v>243118.65671308609</v>
          </cell>
          <cell r="AR27">
            <v>243118.65671308609</v>
          </cell>
          <cell r="AU27">
            <v>89810027.114605621</v>
          </cell>
          <cell r="AV27">
            <v>89810027.114605621</v>
          </cell>
          <cell r="AX27">
            <v>136792616.36219835</v>
          </cell>
        </row>
        <row r="28">
          <cell r="V28">
            <v>1003188.1402431012</v>
          </cell>
          <cell r="W28">
            <v>36712.429866138671</v>
          </cell>
          <cell r="X28">
            <v>36712.429866138671</v>
          </cell>
          <cell r="AA28">
            <v>106181372.38062654</v>
          </cell>
          <cell r="AB28">
            <v>106181372.38062654</v>
          </cell>
          <cell r="AC28">
            <v>143329741.20418277</v>
          </cell>
          <cell r="AM28">
            <v>3339.3055324260185</v>
          </cell>
          <cell r="AP28">
            <v>956937.47798639047</v>
          </cell>
          <cell r="AQ28">
            <v>269740.3081811663</v>
          </cell>
          <cell r="AR28">
            <v>269740.3081811663</v>
          </cell>
          <cell r="AU28">
            <v>101286020.6565319</v>
          </cell>
          <cell r="AV28">
            <v>101286020.6565319</v>
          </cell>
          <cell r="AX28">
            <v>153590960.71188697</v>
          </cell>
        </row>
        <row r="29">
          <cell r="V29">
            <v>1123362.1150018873</v>
          </cell>
          <cell r="W29">
            <v>39826.505993622588</v>
          </cell>
          <cell r="X29">
            <v>39826.505993622588</v>
          </cell>
          <cell r="AA29">
            <v>120819144.50364575</v>
          </cell>
          <cell r="AB29">
            <v>120819144.50364575</v>
          </cell>
          <cell r="AC29">
            <v>162303987.03125012</v>
          </cell>
          <cell r="AM29">
            <v>3405.0868314481486</v>
          </cell>
          <cell r="AP29">
            <v>1051476.5467357861</v>
          </cell>
          <cell r="AQ29">
            <v>296881.04071400349</v>
          </cell>
          <cell r="AR29">
            <v>296881.04071400349</v>
          </cell>
          <cell r="AU29">
            <v>113087752.51162171</v>
          </cell>
          <cell r="AV29">
            <v>113087752.51162171</v>
          </cell>
          <cell r="AX29">
            <v>171053835.04748702</v>
          </cell>
        </row>
        <row r="30">
          <cell r="V30">
            <v>1253706.3974752282</v>
          </cell>
          <cell r="W30">
            <v>43148.223564170054</v>
          </cell>
          <cell r="X30">
            <v>43148.223564170054</v>
          </cell>
          <cell r="AA30">
            <v>136968545.8696686</v>
          </cell>
          <cell r="AB30">
            <v>136968545.8696686</v>
          </cell>
          <cell r="AC30">
            <v>183121565.4403154</v>
          </cell>
          <cell r="AM30">
            <v>3477.5914438033142</v>
          </cell>
          <cell r="AP30">
            <v>1156552.0551546351</v>
          </cell>
          <cell r="AQ30">
            <v>327053.87851731409</v>
          </cell>
          <cell r="AR30">
            <v>327053.87851731409</v>
          </cell>
          <cell r="AU30">
            <v>126354347.02744043</v>
          </cell>
          <cell r="AV30">
            <v>126354347.02744043</v>
          </cell>
          <cell r="AX30">
            <v>190641523.72455943</v>
          </cell>
        </row>
        <row r="31">
          <cell r="V31">
            <v>1392819.2182305907</v>
          </cell>
          <cell r="W31">
            <v>46620.849330197765</v>
          </cell>
          <cell r="X31">
            <v>46620.849330197765</v>
          </cell>
          <cell r="AA31">
            <v>154522942.84133542</v>
          </cell>
          <cell r="AB31">
            <v>154522942.84133542</v>
          </cell>
          <cell r="AC31">
            <v>205615506.77929014</v>
          </cell>
          <cell r="AM31">
            <v>3544.4273429748305</v>
          </cell>
          <cell r="AP31">
            <v>1265752.728592677</v>
          </cell>
          <cell r="AQ31">
            <v>358576.20850864158</v>
          </cell>
          <cell r="AR31">
            <v>358576.20850864158</v>
          </cell>
          <cell r="AU31">
            <v>140425859.99068952</v>
          </cell>
          <cell r="AV31">
            <v>140425859.99068952</v>
          </cell>
          <cell r="AX31">
            <v>211345430.86426443</v>
          </cell>
        </row>
        <row r="32">
          <cell r="V32">
            <v>1542497.8981090416</v>
          </cell>
          <cell r="W32">
            <v>50298.482298978386</v>
          </cell>
          <cell r="X32">
            <v>50298.482298978386</v>
          </cell>
          <cell r="AA32">
            <v>173726044.62211239</v>
          </cell>
          <cell r="AB32">
            <v>173726044.62211239</v>
          </cell>
          <cell r="AC32">
            <v>230086444.51638645</v>
          </cell>
          <cell r="AM32">
            <v>3614.0613536331493</v>
          </cell>
          <cell r="AP32">
            <v>1384637.9412186118</v>
          </cell>
          <cell r="AQ32">
            <v>392884.47973420017</v>
          </cell>
          <cell r="AR32">
            <v>392884.47973420017</v>
          </cell>
          <cell r="AU32">
            <v>155946839.89942768</v>
          </cell>
          <cell r="AV32">
            <v>155946839.89942768</v>
          </cell>
          <cell r="AX32">
            <v>234125797.36693835</v>
          </cell>
        </row>
        <row r="33">
          <cell r="V33">
            <v>1702287.5808652407</v>
          </cell>
          <cell r="W33">
            <v>54158.601554505993</v>
          </cell>
          <cell r="X33">
            <v>54158.601554505993</v>
          </cell>
          <cell r="AA33">
            <v>194575809.5611822</v>
          </cell>
          <cell r="AB33">
            <v>194575809.5611822</v>
          </cell>
          <cell r="AC33">
            <v>256505637.10709831</v>
          </cell>
          <cell r="AM33">
            <v>3680.4873230223789</v>
          </cell>
          <cell r="AP33">
            <v>1510243.3399651691</v>
          </cell>
          <cell r="AQ33">
            <v>429134.12531673047</v>
          </cell>
          <cell r="AR33">
            <v>429134.12531673047</v>
          </cell>
          <cell r="AU33">
            <v>172624663.31261408</v>
          </cell>
          <cell r="AV33">
            <v>172624663.31261408</v>
          </cell>
          <cell r="AX33">
            <v>258529948.52919292</v>
          </cell>
        </row>
        <row r="34">
          <cell r="V34">
            <v>1983497.2700270149</v>
          </cell>
          <cell r="W34">
            <v>61590.941059555007</v>
          </cell>
          <cell r="X34">
            <v>61590.941059555007</v>
          </cell>
          <cell r="AA34">
            <v>230308996.21876666</v>
          </cell>
          <cell r="AB34">
            <v>230308996.21876666</v>
          </cell>
          <cell r="AC34">
            <v>293119571.8027274</v>
          </cell>
          <cell r="AM34">
            <v>3752.0448156730304</v>
          </cell>
          <cell r="AP34">
            <v>1695019.3284567795</v>
          </cell>
          <cell r="AQ34">
            <v>482829.12891139864</v>
          </cell>
          <cell r="AR34">
            <v>482829.12891139864</v>
          </cell>
          <cell r="AU34">
            <v>196813076.58314645</v>
          </cell>
          <cell r="AV34">
            <v>196813076.58314645</v>
          </cell>
          <cell r="AX34">
            <v>291634616.67018533</v>
          </cell>
        </row>
        <row r="35">
          <cell r="V35">
            <v>2321853.4605938969</v>
          </cell>
          <cell r="W35">
            <v>70432.659468767932</v>
          </cell>
          <cell r="X35">
            <v>70432.659468767932</v>
          </cell>
          <cell r="AA35">
            <v>273751818.6404106</v>
          </cell>
          <cell r="AB35">
            <v>273751818.6404106</v>
          </cell>
          <cell r="AC35">
            <v>334996574.91801572</v>
          </cell>
          <cell r="AM35">
            <v>3821.7361184365332</v>
          </cell>
          <cell r="AP35">
            <v>1904030.7481823778</v>
          </cell>
          <cell r="AQ35">
            <v>543543.51880457648</v>
          </cell>
          <cell r="AR35">
            <v>543543.51880457648</v>
          </cell>
          <cell r="AU35">
            <v>224489567.88550466</v>
          </cell>
          <cell r="AV35">
            <v>224489567.88550466</v>
          </cell>
          <cell r="AX35">
            <v>328965838.67221498</v>
          </cell>
        </row>
        <row r="36">
          <cell r="V36">
            <v>2703634.2655602568</v>
          </cell>
          <cell r="W36">
            <v>80280.817731990712</v>
          </cell>
          <cell r="X36">
            <v>80280.817731990712</v>
          </cell>
          <cell r="AA36">
            <v>323807029.68506098</v>
          </cell>
          <cell r="AB36">
            <v>323807029.68506098</v>
          </cell>
          <cell r="AC36">
            <v>381584283.38607174</v>
          </cell>
          <cell r="AM36">
            <v>3891.5075841763833</v>
          </cell>
          <cell r="AP36">
            <v>2133227.0292554288</v>
          </cell>
          <cell r="AQ36">
            <v>610700.88592266815</v>
          </cell>
          <cell r="AR36">
            <v>610700.88592266815</v>
          </cell>
          <cell r="AU36">
            <v>255490883.80263841</v>
          </cell>
          <cell r="AV36">
            <v>255490883.80263841</v>
          </cell>
          <cell r="AX36">
            <v>370372232.43103039</v>
          </cell>
        </row>
        <row r="37">
          <cell r="V37">
            <v>3184221.2708778698</v>
          </cell>
          <cell r="W37">
            <v>92013.017577608916</v>
          </cell>
          <cell r="X37">
            <v>92013.017577608916</v>
          </cell>
          <cell r="AA37">
            <v>388426921.67677015</v>
          </cell>
          <cell r="AB37">
            <v>388426921.67677015</v>
          </cell>
          <cell r="AC37">
            <v>441443086.45772922</v>
          </cell>
          <cell r="AM37">
            <v>3957.6288482572345</v>
          </cell>
          <cell r="AP37">
            <v>2393212.354094638</v>
          </cell>
          <cell r="AQ37">
            <v>688969.45535664726</v>
          </cell>
          <cell r="AR37">
            <v>688969.45535664726</v>
          </cell>
          <cell r="AU37">
            <v>291935775.98441052</v>
          </cell>
          <cell r="AV37">
            <v>291935775.98441052</v>
          </cell>
          <cell r="AX37">
            <v>418762121.46716619</v>
          </cell>
        </row>
        <row r="38">
          <cell r="V38">
            <v>3729395.6146142911</v>
          </cell>
          <cell r="W38">
            <v>105059.23805153646</v>
          </cell>
          <cell r="X38">
            <v>105059.23805153646</v>
          </cell>
          <cell r="AA38">
            <v>463162544.42865086</v>
          </cell>
          <cell r="AB38">
            <v>463162544.42865086</v>
          </cell>
          <cell r="AC38">
            <v>508342392.69039655</v>
          </cell>
          <cell r="AM38">
            <v>4026.1220107826684</v>
          </cell>
          <cell r="AP38">
            <v>2681094.1125020524</v>
          </cell>
          <cell r="AQ38">
            <v>775930.9169257693</v>
          </cell>
          <cell r="AR38">
            <v>775930.9169257693</v>
          </cell>
          <cell r="AU38">
            <v>332971478.30951059</v>
          </cell>
          <cell r="AV38">
            <v>332971478.30951059</v>
          </cell>
          <cell r="AX38">
            <v>472721574.04703623</v>
          </cell>
        </row>
        <row r="39">
          <cell r="V39">
            <v>4341878.557405768</v>
          </cell>
          <cell r="W39">
            <v>119430.45970030298</v>
          </cell>
          <cell r="X39">
            <v>119430.45970030298</v>
          </cell>
          <cell r="AA39">
            <v>548845390.50769603</v>
          </cell>
          <cell r="AB39">
            <v>548845390.50769603</v>
          </cell>
          <cell r="AC39">
            <v>582407358.18847167</v>
          </cell>
          <cell r="AM39">
            <v>4090.4062586103628</v>
          </cell>
          <cell r="AP39">
            <v>2991522.5643655364</v>
          </cell>
          <cell r="AQ39">
            <v>870095.89552277594</v>
          </cell>
          <cell r="AR39">
            <v>870095.89552277594</v>
          </cell>
          <cell r="AU39">
            <v>378150459.14890742</v>
          </cell>
          <cell r="AV39">
            <v>378150459.14890742</v>
          </cell>
          <cell r="AX39">
            <v>531393308.92659402</v>
          </cell>
        </row>
        <row r="40">
          <cell r="V40">
            <v>4924539.4428956341</v>
          </cell>
          <cell r="W40">
            <v>132233.69874904078</v>
          </cell>
          <cell r="X40">
            <v>132233.69874904078</v>
          </cell>
          <cell r="AA40">
            <v>633321305.62556553</v>
          </cell>
          <cell r="AB40">
            <v>633321305.62556553</v>
          </cell>
          <cell r="AC40">
            <v>659424117.64730525</v>
          </cell>
          <cell r="AM40">
            <v>4158.7144728338253</v>
          </cell>
          <cell r="AP40">
            <v>3295108.2742871987</v>
          </cell>
          <cell r="AQ40">
            <v>962842.61570758093</v>
          </cell>
          <cell r="AR40">
            <v>962842.61570758093</v>
          </cell>
          <cell r="AU40">
            <v>423768008.89670521</v>
          </cell>
          <cell r="AV40">
            <v>423768008.89670521</v>
          </cell>
          <cell r="AX40">
            <v>591946195.72943091</v>
          </cell>
        </row>
        <row r="41">
          <cell r="V41">
            <v>5488038.919018209</v>
          </cell>
          <cell r="W41">
            <v>143910.87833479748</v>
          </cell>
          <cell r="X41">
            <v>143910.87833479748</v>
          </cell>
          <cell r="AA41">
            <v>717767736.81463897</v>
          </cell>
          <cell r="AB41">
            <v>717767736.81463897</v>
          </cell>
          <cell r="AC41">
            <v>739753148.76188862</v>
          </cell>
          <cell r="AM41">
            <v>4223.6246235371837</v>
          </cell>
          <cell r="AP41">
            <v>3584222.2077028281</v>
          </cell>
          <cell r="AQ41">
            <v>1052210.2232135292</v>
          </cell>
          <cell r="AR41">
            <v>1052210.2232135292</v>
          </cell>
          <cell r="AU41">
            <v>468772014.96301788</v>
          </cell>
          <cell r="AV41">
            <v>468772014.96301788</v>
          </cell>
          <cell r="AX41">
            <v>653325764.58151698</v>
          </cell>
        </row>
        <row r="42">
          <cell r="V42">
            <v>6100702.7684582816</v>
          </cell>
          <cell r="W42">
            <v>156396.30044817604</v>
          </cell>
          <cell r="X42">
            <v>156396.30044817604</v>
          </cell>
          <cell r="AA42">
            <v>810903443.97488725</v>
          </cell>
          <cell r="AB42">
            <v>810903443.97488725</v>
          </cell>
          <cell r="AC42">
            <v>826748708.80545807</v>
          </cell>
          <cell r="AM42">
            <v>4286.631625084754</v>
          </cell>
          <cell r="AP42">
            <v>3885024.6922133728</v>
          </cell>
          <cell r="AQ42">
            <v>1145300.0748339356</v>
          </cell>
          <cell r="AR42">
            <v>1145300.0748339356</v>
          </cell>
          <cell r="AU42">
            <v>516396228.82978743</v>
          </cell>
          <cell r="AV42">
            <v>516396228.82978743</v>
          </cell>
          <cell r="AX42">
            <v>718895430.5002296</v>
          </cell>
        </row>
        <row r="43">
          <cell r="V43">
            <v>6760840.0152152609</v>
          </cell>
          <cell r="W43">
            <v>169648.47572078509</v>
          </cell>
          <cell r="X43">
            <v>169648.47572078509</v>
          </cell>
          <cell r="AA43">
            <v>912952492.56299508</v>
          </cell>
          <cell r="AB43">
            <v>912952492.56299508</v>
          </cell>
          <cell r="AC43">
            <v>921079667.37711787</v>
          </cell>
          <cell r="AM43">
            <v>4352.0389775920594</v>
          </cell>
          <cell r="AP43">
            <v>4210004.9727935735</v>
          </cell>
          <cell r="AQ43">
            <v>1245951.4560520134</v>
          </cell>
          <cell r="AR43">
            <v>1245951.4560520134</v>
          </cell>
          <cell r="AU43">
            <v>568499554.04426503</v>
          </cell>
          <cell r="AV43">
            <v>568499554.04426503</v>
          </cell>
          <cell r="AX43">
            <v>790350368.75371361</v>
          </cell>
        </row>
        <row r="44">
          <cell r="V44">
            <v>7469202.6182696857</v>
          </cell>
          <cell r="W44">
            <v>183668.5559304012</v>
          </cell>
          <cell r="X44">
            <v>183668.5559304012</v>
          </cell>
          <cell r="AA44">
            <v>1024341713.092514</v>
          </cell>
          <cell r="AB44">
            <v>1024341713.092514</v>
          </cell>
          <cell r="AC44">
            <v>1022971644.6770537</v>
          </cell>
          <cell r="AM44">
            <v>4415.5588848776533</v>
          </cell>
          <cell r="AP44">
            <v>4554599.6967473328</v>
          </cell>
          <cell r="AQ44">
            <v>1352898.4147428097</v>
          </cell>
          <cell r="AR44">
            <v>1352898.4147428097</v>
          </cell>
          <cell r="AU44">
            <v>624627111.38737428</v>
          </cell>
          <cell r="AV44">
            <v>624627111.38737428</v>
          </cell>
          <cell r="AX44">
            <v>867021400.01118457</v>
          </cell>
        </row>
        <row r="45">
          <cell r="V45">
            <v>8234697.1954324897</v>
          </cell>
          <cell r="W45">
            <v>198562.55304508551</v>
          </cell>
          <cell r="X45">
            <v>198562.55304508551</v>
          </cell>
          <cell r="AA45">
            <v>1146594679.8479836</v>
          </cell>
          <cell r="AB45">
            <v>1146594679.8479836</v>
          </cell>
          <cell r="AC45">
            <v>1133897023.523159</v>
          </cell>
          <cell r="AM45">
            <v>4481.6418470149474</v>
          </cell>
          <cell r="AP45">
            <v>4927218.4209974855</v>
          </cell>
          <cell r="AQ45">
            <v>1468656.1888688747</v>
          </cell>
          <cell r="AR45">
            <v>1468656.1888688747</v>
          </cell>
          <cell r="AU45">
            <v>686063165.88037992</v>
          </cell>
          <cell r="AV45">
            <v>686063165.88037992</v>
          </cell>
          <cell r="AX45">
            <v>950692418.87831306</v>
          </cell>
        </row>
        <row r="46">
          <cell r="V46">
            <v>9078536.056393249</v>
          </cell>
          <cell r="W46">
            <v>214371.75995337591</v>
          </cell>
          <cell r="X46">
            <v>214371.75995337591</v>
          </cell>
          <cell r="AA46">
            <v>1283013270.6087158</v>
          </cell>
          <cell r="AB46">
            <v>1283013270.6087158</v>
          </cell>
          <cell r="AC46">
            <v>1257742065.387794</v>
          </cell>
          <cell r="AM46">
            <v>4546.8390277483559</v>
          </cell>
          <cell r="AP46">
            <v>5328234.0282098604</v>
          </cell>
          <cell r="AQ46">
            <v>1592926.0948225446</v>
          </cell>
          <cell r="AR46">
            <v>1592926.0948225446</v>
          </cell>
          <cell r="AU46">
            <v>753006313.4229697</v>
          </cell>
          <cell r="AV46">
            <v>753006313.4229697</v>
          </cell>
          <cell r="AX46">
            <v>1041796221.4241662</v>
          </cell>
        </row>
        <row r="47">
          <cell r="V47">
            <v>9833987.9124296904</v>
          </cell>
          <cell r="W47">
            <v>228378.19990281924</v>
          </cell>
          <cell r="X47">
            <v>228378.19990281924</v>
          </cell>
          <cell r="AA47">
            <v>1404640494.990839</v>
          </cell>
          <cell r="AB47">
            <v>1404640494.990839</v>
          </cell>
          <cell r="AC47">
            <v>1368377623.2380037</v>
          </cell>
          <cell r="AM47">
            <v>4615.3470241147879</v>
          </cell>
          <cell r="AP47">
            <v>5762579.2510289289</v>
          </cell>
          <cell r="AQ47">
            <v>1718399.7023997884</v>
          </cell>
          <cell r="AR47">
            <v>1718399.7023997884</v>
          </cell>
          <cell r="AU47">
            <v>823099666.55117977</v>
          </cell>
          <cell r="AV47">
            <v>823099666.55117977</v>
          </cell>
          <cell r="AX47">
            <v>1134166148.4128416</v>
          </cell>
        </row>
        <row r="48">
          <cell r="V48">
            <v>10629015.448355559</v>
          </cell>
          <cell r="W48">
            <v>242932.51319350878</v>
          </cell>
          <cell r="X48">
            <v>242932.51319350878</v>
          </cell>
          <cell r="AA48">
            <v>1534196087.3429101</v>
          </cell>
          <cell r="AB48">
            <v>1534196087.3429101</v>
          </cell>
          <cell r="AC48">
            <v>1485374088.4389184</v>
          </cell>
          <cell r="AM48">
            <v>4680.7063914299051</v>
          </cell>
          <cell r="AP48">
            <v>6219293.248734517</v>
          </cell>
          <cell r="AQ48">
            <v>1849518.5121657432</v>
          </cell>
          <cell r="AR48">
            <v>1849518.5121657432</v>
          </cell>
          <cell r="AU48">
            <v>897695126.57194209</v>
          </cell>
          <cell r="AV48">
            <v>897695126.57194209</v>
          </cell>
          <cell r="AX48">
            <v>1231921352.4206274</v>
          </cell>
        </row>
        <row r="49">
          <cell r="V49">
            <v>11491769.154434098</v>
          </cell>
          <cell r="W49">
            <v>258550.05294455745</v>
          </cell>
          <cell r="X49">
            <v>258550.05294455745</v>
          </cell>
          <cell r="AA49">
            <v>1676396313.6921439</v>
          </cell>
          <cell r="AB49">
            <v>1676396313.6921439</v>
          </cell>
          <cell r="AC49">
            <v>1612651027.7956302</v>
          </cell>
          <cell r="AM49">
            <v>4746.4225263024609</v>
          </cell>
          <cell r="AP49">
            <v>6715776.6341107981</v>
          </cell>
          <cell r="AQ49">
            <v>1991420.9109603646</v>
          </cell>
          <cell r="AR49">
            <v>1991420.9109603646</v>
          </cell>
          <cell r="AU49">
            <v>979684071.41725099</v>
          </cell>
          <cell r="AV49">
            <v>979684071.41725099</v>
          </cell>
          <cell r="AX49">
            <v>1338703704.6508198</v>
          </cell>
        </row>
        <row r="50">
          <cell r="V50">
            <v>12392167.279047959</v>
          </cell>
          <cell r="W50">
            <v>274430.60968744487</v>
          </cell>
          <cell r="X50">
            <v>274430.60968744487</v>
          </cell>
          <cell r="AA50">
            <v>1831081866.2814841</v>
          </cell>
          <cell r="AB50">
            <v>1831081866.2814841</v>
          </cell>
          <cell r="AC50">
            <v>1746025535.4046612</v>
          </cell>
          <cell r="AM50">
            <v>4808.3161594939065</v>
          </cell>
          <cell r="AP50">
            <v>7218018.8896430423</v>
          </cell>
          <cell r="AQ50">
            <v>2135109.8061780771</v>
          </cell>
          <cell r="AR50">
            <v>2135109.8061780771</v>
          </cell>
          <cell r="AU50">
            <v>1066543341.5871367</v>
          </cell>
          <cell r="AV50">
            <v>1066543341.5871367</v>
          </cell>
          <cell r="AX50">
            <v>1448157516.7228718</v>
          </cell>
        </row>
        <row r="51">
          <cell r="V51">
            <v>13333209.197431238</v>
          </cell>
          <cell r="W51">
            <v>290820.95130891894</v>
          </cell>
          <cell r="X51">
            <v>290820.95130891894</v>
          </cell>
          <cell r="AA51">
            <v>1995535341.2220879</v>
          </cell>
          <cell r="AB51">
            <v>1995535341.2220879</v>
          </cell>
          <cell r="AC51">
            <v>1886637931.1830738</v>
          </cell>
          <cell r="AM51">
            <v>4872.7767428124025</v>
          </cell>
          <cell r="AP51">
            <v>7754345.6876915554</v>
          </cell>
          <cell r="AQ51">
            <v>2288795.6735733962</v>
          </cell>
          <cell r="AR51">
            <v>2288795.6735733962</v>
          </cell>
          <cell r="AU51">
            <v>1160566120.1822898</v>
          </cell>
          <cell r="AV51">
            <v>1160566120.1822898</v>
          </cell>
          <cell r="AX51">
            <v>1564921828.9977098</v>
          </cell>
        </row>
        <row r="52">
          <cell r="V52">
            <v>14320369.160422729</v>
          </cell>
          <cell r="W52">
            <v>307830.62516235257</v>
          </cell>
          <cell r="X52">
            <v>307830.62516235257</v>
          </cell>
          <cell r="AA52">
            <v>2170563743.4289889</v>
          </cell>
          <cell r="AB52">
            <v>2170563743.4289889</v>
          </cell>
          <cell r="AC52">
            <v>2034839824.1171031</v>
          </cell>
          <cell r="AM52">
            <v>4934.1319778905254</v>
          </cell>
          <cell r="AP52">
            <v>8313860.5867300881</v>
          </cell>
          <cell r="AQ52">
            <v>2448793.6274459031</v>
          </cell>
          <cell r="AR52">
            <v>2448793.6274459031</v>
          </cell>
          <cell r="AU52">
            <v>1260146589.4715028</v>
          </cell>
          <cell r="AV52">
            <v>1260146589.4715028</v>
          </cell>
          <cell r="AX52">
            <v>1687496948.4909537</v>
          </cell>
        </row>
        <row r="53">
          <cell r="V53">
            <v>15358524.44025377</v>
          </cell>
          <cell r="W53">
            <v>325604.59058386792</v>
          </cell>
          <cell r="X53">
            <v>325604.59058386792</v>
          </cell>
          <cell r="AA53">
            <v>2357566841.5630183</v>
          </cell>
          <cell r="AB53">
            <v>2357566841.5630183</v>
          </cell>
          <cell r="AC53">
            <v>2191755682.9693785</v>
          </cell>
          <cell r="AM53">
            <v>4995.7589077576049</v>
          </cell>
          <cell r="AP53">
            <v>8906955.4486855194</v>
          </cell>
          <cell r="AQ53">
            <v>2618267.5647379793</v>
          </cell>
          <cell r="AR53">
            <v>2618267.5647379793</v>
          </cell>
          <cell r="AU53">
            <v>1367236996.417676</v>
          </cell>
          <cell r="AV53">
            <v>1367236996.417676</v>
          </cell>
          <cell r="AX53">
            <v>1818358062.1765924</v>
          </cell>
        </row>
        <row r="54">
          <cell r="V54">
            <v>16450140.73872349</v>
          </cell>
          <cell r="W54">
            <v>344222.36865947285</v>
          </cell>
          <cell r="X54">
            <v>344222.36865947285</v>
          </cell>
          <cell r="AA54">
            <v>2557569235.3820524</v>
          </cell>
          <cell r="AB54">
            <v>2557569235.3820524</v>
          </cell>
          <cell r="AC54">
            <v>2358124569.5272846</v>
          </cell>
          <cell r="AM54">
            <v>5058.4842711724432</v>
          </cell>
          <cell r="AP54">
            <v>9537567.5529525969</v>
          </cell>
          <cell r="AQ54">
            <v>2798654.2143632369</v>
          </cell>
          <cell r="AR54">
            <v>2798654.2143632369</v>
          </cell>
          <cell r="AU54">
            <v>1482843809.1346395</v>
          </cell>
          <cell r="AV54">
            <v>1482843809.1346395</v>
          </cell>
          <cell r="AX54">
            <v>1958660542.7420597</v>
          </cell>
        </row>
        <row r="55">
          <cell r="V55">
            <v>17621178.558321565</v>
          </cell>
          <cell r="W55">
            <v>363112.22379317367</v>
          </cell>
          <cell r="X55">
            <v>363112.22379317367</v>
          </cell>
          <cell r="AA55">
            <v>2770502869.4159656</v>
          </cell>
          <cell r="AB55">
            <v>2770502869.4159656</v>
          </cell>
          <cell r="AC55">
            <v>2535033134.1373353</v>
          </cell>
          <cell r="AM55">
            <v>5121.2459036550872</v>
          </cell>
          <cell r="AP55">
            <v>10207533.201837851</v>
          </cell>
          <cell r="AQ55">
            <v>2985546.2390637957</v>
          </cell>
          <cell r="AR55">
            <v>2985546.2390637957</v>
          </cell>
          <cell r="AU55">
            <v>1604886979.1399581</v>
          </cell>
          <cell r="AV55">
            <v>1604886979.1399581</v>
          </cell>
          <cell r="AX55">
            <v>2105832998.9568777</v>
          </cell>
        </row>
        <row r="56">
          <cell r="V56">
            <v>18876920.235550158</v>
          </cell>
          <cell r="W56">
            <v>382267.45043246762</v>
          </cell>
          <cell r="X56">
            <v>382267.45043246762</v>
          </cell>
          <cell r="AA56">
            <v>2996964078.3044181</v>
          </cell>
          <cell r="AB56">
            <v>2996964078.3044181</v>
          </cell>
          <cell r="AC56">
            <v>2723845657.4803205</v>
          </cell>
          <cell r="AM56">
            <v>5187.9479362275724</v>
          </cell>
          <cell r="AP56">
            <v>10940009.358495075</v>
          </cell>
          <cell r="AQ56">
            <v>3184451.6699094493</v>
          </cell>
          <cell r="AR56">
            <v>3184451.6699094493</v>
          </cell>
          <cell r="AU56">
            <v>1736873105.0723939</v>
          </cell>
          <cell r="AV56">
            <v>1736873105.0723939</v>
          </cell>
          <cell r="AX56">
            <v>2263531663.1581659</v>
          </cell>
        </row>
        <row r="57">
          <cell r="V57">
            <v>20611772.281445291</v>
          </cell>
          <cell r="W57">
            <v>414680.29839873582</v>
          </cell>
          <cell r="X57">
            <v>414680.29839873582</v>
          </cell>
          <cell r="AA57">
            <v>3371476528.1636796</v>
          </cell>
          <cell r="AB57">
            <v>3371476528.1636796</v>
          </cell>
          <cell r="AC57">
            <v>3043533441.2398782</v>
          </cell>
          <cell r="AM57">
            <v>5249.1926598102818</v>
          </cell>
          <cell r="AP57">
            <v>11795264.557854561</v>
          </cell>
          <cell r="AQ57">
            <v>3486663.3852621843</v>
          </cell>
          <cell r="AR57">
            <v>3486663.3852621843</v>
          </cell>
          <cell r="AU57">
            <v>1929356537.4815557</v>
          </cell>
          <cell r="AV57">
            <v>1929356537.4815557</v>
          </cell>
          <cell r="AX57">
            <v>2493413473.5067148</v>
          </cell>
        </row>
        <row r="58">
          <cell r="V58">
            <v>22456712.753091086</v>
          </cell>
          <cell r="W58">
            <v>449040.1372227773</v>
          </cell>
          <cell r="X58">
            <v>449040.1372227773</v>
          </cell>
          <cell r="AA58">
            <v>3781193874.7578282</v>
          </cell>
          <cell r="AB58">
            <v>3781193874.7578282</v>
          </cell>
          <cell r="AC58">
            <v>3390257245.1875954</v>
          </cell>
          <cell r="AM58">
            <v>5314.3039941845373</v>
          </cell>
          <cell r="AP58">
            <v>12716617.960431699</v>
          </cell>
          <cell r="AQ58">
            <v>3814403.444047038</v>
          </cell>
          <cell r="AR58">
            <v>3814403.444047038</v>
          </cell>
          <cell r="AU58">
            <v>2141185954.8767281</v>
          </cell>
          <cell r="AV58">
            <v>2141185954.8767281</v>
          </cell>
          <cell r="AX58">
            <v>2744294241.4049959</v>
          </cell>
        </row>
        <row r="59">
          <cell r="V59">
            <v>24336247.955428421</v>
          </cell>
          <cell r="W59">
            <v>485355.15421725507</v>
          </cell>
          <cell r="X59">
            <v>485355.15421725507</v>
          </cell>
          <cell r="AA59">
            <v>4219003519.4746704</v>
          </cell>
          <cell r="AB59">
            <v>4219003519.4746704</v>
          </cell>
          <cell r="AC59">
            <v>3756395425.1198759</v>
          </cell>
          <cell r="AM59">
            <v>5377.4966559784389</v>
          </cell>
          <cell r="AP59">
            <v>13703649.191009199</v>
          </cell>
          <cell r="AQ59">
            <v>4172365.8428555885</v>
          </cell>
          <cell r="AR59">
            <v>4172365.8428555885</v>
          </cell>
          <cell r="AU59">
            <v>2375704926.757935</v>
          </cell>
          <cell r="AV59">
            <v>2375704926.757935</v>
          </cell>
          <cell r="AX59">
            <v>3014866489.068079</v>
          </cell>
        </row>
        <row r="60">
          <cell r="V60">
            <v>26235822.496225692</v>
          </cell>
          <cell r="W60">
            <v>523981.58620395313</v>
          </cell>
          <cell r="X60">
            <v>523981.58620395313</v>
          </cell>
          <cell r="AA60">
            <v>4685112073.8486929</v>
          </cell>
          <cell r="AB60">
            <v>4685112073.8486929</v>
          </cell>
          <cell r="AC60">
            <v>4139394365.1321802</v>
          </cell>
          <cell r="AM60">
            <v>5438.6702458597865</v>
          </cell>
          <cell r="AP60">
            <v>14755007.023752788</v>
          </cell>
          <cell r="AQ60">
            <v>4562459.65306863</v>
          </cell>
          <cell r="AR60">
            <v>4562459.65306863</v>
          </cell>
          <cell r="AU60">
            <v>2634903539.4888573</v>
          </cell>
          <cell r="AV60">
            <v>2634903539.4888573</v>
          </cell>
          <cell r="AX60">
            <v>3306294175.7507744</v>
          </cell>
        </row>
        <row r="61">
          <cell r="V61">
            <v>28270089.756382141</v>
          </cell>
          <cell r="W61">
            <v>565366.03037279914</v>
          </cell>
          <cell r="X61">
            <v>565366.03037279914</v>
          </cell>
          <cell r="AA61">
            <v>5195770264.9372711</v>
          </cell>
          <cell r="AB61">
            <v>5195770264.9372711</v>
          </cell>
          <cell r="AC61">
            <v>4552468729.1696768</v>
          </cell>
          <cell r="AM61">
            <v>5501.9323824093135</v>
          </cell>
          <cell r="AP61">
            <v>15870311.119532179</v>
          </cell>
          <cell r="AQ61">
            <v>4979790.034590967</v>
          </cell>
          <cell r="AR61">
            <v>4979790.034590967</v>
          </cell>
          <cell r="AU61">
            <v>2916810357.5459332</v>
          </cell>
          <cell r="AV61">
            <v>2916810357.5459332</v>
          </cell>
          <cell r="AX61">
            <v>3622381902.5621481</v>
          </cell>
        </row>
        <row r="62">
          <cell r="V62">
            <v>30396087.35097931</v>
          </cell>
          <cell r="W62">
            <v>608711.33911792806</v>
          </cell>
          <cell r="X62">
            <v>608711.33911792806</v>
          </cell>
          <cell r="AA62">
            <v>5745508111.1271172</v>
          </cell>
          <cell r="AB62">
            <v>5745508111.1271172</v>
          </cell>
          <cell r="AC62">
            <v>4994494362.3120937</v>
          </cell>
          <cell r="AM62">
            <v>5565.5098518625491</v>
          </cell>
          <cell r="AP62">
            <v>17049089.204165861</v>
          </cell>
          <cell r="AQ62">
            <v>5425318.4910667948</v>
          </cell>
          <cell r="AR62">
            <v>5425318.4910667948</v>
          </cell>
          <cell r="AU62">
            <v>3222641097.8092127</v>
          </cell>
          <cell r="AV62">
            <v>3222641097.8092127</v>
          </cell>
          <cell r="AX62">
            <v>3962085933.8611512</v>
          </cell>
        </row>
        <row r="63">
          <cell r="V63">
            <v>32638317.288756587</v>
          </cell>
          <cell r="W63">
            <v>654876.75090952218</v>
          </cell>
          <cell r="X63">
            <v>654876.75090952218</v>
          </cell>
          <cell r="AA63">
            <v>6344104100.2932148</v>
          </cell>
          <cell r="AB63">
            <v>6344104100.2932148</v>
          </cell>
          <cell r="AC63">
            <v>5471992599.3182554</v>
          </cell>
          <cell r="AM63">
            <v>5632.8038378653764</v>
          </cell>
          <cell r="AP63">
            <v>18315788.238703243</v>
          </cell>
          <cell r="AQ63">
            <v>5910627.8140109852</v>
          </cell>
          <cell r="AR63">
            <v>5910627.8140109852</v>
          </cell>
          <cell r="AU63">
            <v>3560148834.7957115</v>
          </cell>
          <cell r="AV63">
            <v>3560148834.7957115</v>
          </cell>
          <cell r="AX63">
            <v>4333844844.0024471</v>
          </cell>
        </row>
        <row r="64">
          <cell r="V64">
            <v>35826436.691791996</v>
          </cell>
          <cell r="W64">
            <v>737648.58479461854</v>
          </cell>
          <cell r="X64">
            <v>737648.58479461854</v>
          </cell>
          <cell r="AA64">
            <v>7329365477.9611254</v>
          </cell>
          <cell r="AB64">
            <v>7329365477.9611254</v>
          </cell>
          <cell r="AC64">
            <v>6211166292.6963711</v>
          </cell>
          <cell r="AM64">
            <v>5696.5928362136156</v>
          </cell>
          <cell r="AP64">
            <v>20450254.715523012</v>
          </cell>
          <cell r="AQ64">
            <v>6850464.5905996766</v>
          </cell>
          <cell r="AR64">
            <v>6850464.5905996766</v>
          </cell>
          <cell r="AU64">
            <v>4183709147.9936643</v>
          </cell>
          <cell r="AV64">
            <v>4183709147.9936643</v>
          </cell>
          <cell r="AX64">
            <v>4922039718.2231483</v>
          </cell>
        </row>
        <row r="65">
          <cell r="V65">
            <v>38349290.708385214</v>
          </cell>
          <cell r="W65">
            <v>793822.75809926179</v>
          </cell>
          <cell r="X65">
            <v>793822.75809926179</v>
          </cell>
          <cell r="AA65">
            <v>8077009012.7097397</v>
          </cell>
          <cell r="AB65">
            <v>8077009012.7097397</v>
          </cell>
          <cell r="AC65">
            <v>6790994471.5166702</v>
          </cell>
          <cell r="AM65">
            <v>5764.8702736645391</v>
          </cell>
          <cell r="AP65">
            <v>22012289.368580587</v>
          </cell>
          <cell r="AQ65">
            <v>7483647.0135368183</v>
          </cell>
          <cell r="AR65">
            <v>7483647.0135368183</v>
          </cell>
          <cell r="AU65">
            <v>4636160313.1691036</v>
          </cell>
          <cell r="AV65">
            <v>4636160313.1691036</v>
          </cell>
          <cell r="AX65">
            <v>5390875871.0577164</v>
          </cell>
        </row>
        <row r="66">
          <cell r="V66">
            <v>42398042.292311586</v>
          </cell>
          <cell r="W66">
            <v>883636.21131537715</v>
          </cell>
          <cell r="X66">
            <v>883636.21131537715</v>
          </cell>
          <cell r="AA66">
            <v>9190559194.8973446</v>
          </cell>
          <cell r="AB66">
            <v>9190559194.8973446</v>
          </cell>
          <cell r="AC66">
            <v>7665495419.9914761</v>
          </cell>
          <cell r="AM66">
            <v>5831.7758642742501</v>
          </cell>
          <cell r="AP66">
            <v>28037081.667926781</v>
          </cell>
          <cell r="AQ66">
            <v>9001874.9237444289</v>
          </cell>
          <cell r="AR66">
            <v>9001874.9237444289</v>
          </cell>
          <cell r="AU66">
            <v>6077555584.8714037</v>
          </cell>
          <cell r="AV66">
            <v>6077555584.8714037</v>
          </cell>
          <cell r="AX66">
            <v>6683412685.6862116</v>
          </cell>
        </row>
        <row r="67">
          <cell r="V67">
            <v>46472589.982372887</v>
          </cell>
          <cell r="W67">
            <v>961286.9599450205</v>
          </cell>
          <cell r="X67">
            <v>961286.9599450205</v>
          </cell>
          <cell r="AA67">
            <v>10278165639.234259</v>
          </cell>
          <cell r="AB67">
            <v>10278165639.234259</v>
          </cell>
          <cell r="AC67">
            <v>8469725118.739872</v>
          </cell>
          <cell r="AM67">
            <v>5899.9048700813719</v>
          </cell>
          <cell r="AP67">
            <v>32887679.992687784</v>
          </cell>
          <cell r="AQ67">
            <v>10580245.814375119</v>
          </cell>
          <cell r="AR67">
            <v>10580245.814375119</v>
          </cell>
          <cell r="AU67">
            <v>7273642863.0982027</v>
          </cell>
          <cell r="AV67">
            <v>7273642863.0982027</v>
          </cell>
          <cell r="AX67">
            <v>7500410378.3578854</v>
          </cell>
        </row>
        <row r="68">
          <cell r="V68">
            <v>50843072.436615333</v>
          </cell>
          <cell r="W68">
            <v>1044160.5191557545</v>
          </cell>
          <cell r="X68">
            <v>1044160.5191557545</v>
          </cell>
          <cell r="AA68">
            <v>11468286120.140146</v>
          </cell>
          <cell r="AB68">
            <v>11468286120.140146</v>
          </cell>
          <cell r="AC68">
            <v>9339887597.9084682</v>
          </cell>
          <cell r="AM68">
            <v>5968.9532424015661</v>
          </cell>
          <cell r="AP68">
            <v>38408692.984809726</v>
          </cell>
          <cell r="AQ68">
            <v>12370007.357031286</v>
          </cell>
          <cell r="AR68">
            <v>12370007.357031286</v>
          </cell>
          <cell r="AU68">
            <v>8663557482.674839</v>
          </cell>
          <cell r="AV68">
            <v>8663557482.674839</v>
          </cell>
          <cell r="AX68">
            <v>8407171983.4316921</v>
          </cell>
        </row>
        <row r="69">
          <cell r="V69">
            <v>55512301.568883702</v>
          </cell>
          <cell r="W69">
            <v>1132255.8788727485</v>
          </cell>
          <cell r="X69">
            <v>1132255.8788727485</v>
          </cell>
          <cell r="AA69">
            <v>12765495190.631557</v>
          </cell>
          <cell r="AB69">
            <v>12765495190.631557</v>
          </cell>
          <cell r="AC69">
            <v>10277461334.815868</v>
          </cell>
          <cell r="AM69">
            <v>6038.3046871454753</v>
          </cell>
          <cell r="AP69">
            <v>44612225.308670983</v>
          </cell>
          <cell r="AQ69">
            <v>14381892.260196749</v>
          </cell>
          <cell r="AR69">
            <v>14381892.260196749</v>
          </cell>
          <cell r="AU69">
            <v>10258935975.020555</v>
          </cell>
          <cell r="AV69">
            <v>10258935975.020555</v>
          </cell>
          <cell r="AX69">
            <v>9401063843.4354458</v>
          </cell>
        </row>
        <row r="70">
          <cell r="V70">
            <v>60500882.426282167</v>
          </cell>
          <cell r="W70">
            <v>1225936.9591139932</v>
          </cell>
          <cell r="X70">
            <v>1225936.9591139932</v>
          </cell>
          <cell r="AA70">
            <v>14178545925.247198</v>
          </cell>
          <cell r="AB70">
            <v>14178545925.247198</v>
          </cell>
          <cell r="AC70">
            <v>11287375328.462061</v>
          </cell>
          <cell r="AM70">
            <v>6104.2673018124933</v>
          </cell>
          <cell r="AP70">
            <v>51541394.377358712</v>
          </cell>
          <cell r="AQ70">
            <v>16626848.859433131</v>
          </cell>
          <cell r="AR70">
            <v>16626848.859433131</v>
          </cell>
          <cell r="AU70">
            <v>12078865595.408232</v>
          </cell>
          <cell r="AV70">
            <v>12078865595.408232</v>
          </cell>
          <cell r="AX70">
            <v>10484578985.595352</v>
          </cell>
        </row>
        <row r="71">
          <cell r="V71">
            <v>65459787.453061745</v>
          </cell>
          <cell r="W71">
            <v>1318430.7790867924</v>
          </cell>
          <cell r="X71">
            <v>1318430.7790867924</v>
          </cell>
          <cell r="AA71">
            <v>15632020870.894287</v>
          </cell>
          <cell r="AB71">
            <v>15632020870.894287</v>
          </cell>
          <cell r="AC71">
            <v>12354262551.011597</v>
          </cell>
          <cell r="AM71">
            <v>6168.889626402015</v>
          </cell>
          <cell r="AP71">
            <v>59254908.773898125</v>
          </cell>
          <cell r="AQ71">
            <v>19129769.105096512</v>
          </cell>
          <cell r="AR71">
            <v>19129769.105096512</v>
          </cell>
          <cell r="AU71">
            <v>14150274644.883347</v>
          </cell>
          <cell r="AV71">
            <v>14150274644.883347</v>
          </cell>
          <cell r="AX71">
            <v>11656510195.820505</v>
          </cell>
        </row>
        <row r="72">
          <cell r="V72">
            <v>70612217.38168782</v>
          </cell>
          <cell r="W72">
            <v>1414221.3396256911</v>
          </cell>
          <cell r="X72">
            <v>1414221.3396256911</v>
          </cell>
          <cell r="AA72">
            <v>17158195077.218014</v>
          </cell>
          <cell r="AB72">
            <v>17158195077.218014</v>
          </cell>
          <cell r="AC72">
            <v>13520912638.531925</v>
          </cell>
          <cell r="AM72">
            <v>6235.0881200683125</v>
          </cell>
          <cell r="AP72">
            <v>68098802.429524228</v>
          </cell>
          <cell r="AQ72">
            <v>21982765.777510032</v>
          </cell>
          <cell r="AR72">
            <v>21982765.777510032</v>
          </cell>
          <cell r="AU72">
            <v>16547455666.131292</v>
          </cell>
          <cell r="AV72">
            <v>16547455666.131292</v>
          </cell>
          <cell r="AX72">
            <v>12980315199.164312</v>
          </cell>
        </row>
        <row r="73">
          <cell r="V73">
            <v>76250160.370189592</v>
          </cell>
          <cell r="W73">
            <v>1518919.7563266875</v>
          </cell>
          <cell r="X73">
            <v>1518919.7563266875</v>
          </cell>
          <cell r="AA73">
            <v>18829944173.064259</v>
          </cell>
          <cell r="AB73">
            <v>18829944173.064259</v>
          </cell>
          <cell r="AC73">
            <v>14812029946.894604</v>
          </cell>
          <cell r="AM73">
            <v>6300.4888716037349</v>
          </cell>
          <cell r="AP73">
            <v>78178747.525910169</v>
          </cell>
          <cell r="AQ73">
            <v>25224114.740301564</v>
          </cell>
          <cell r="AR73">
            <v>25224114.740301564</v>
          </cell>
          <cell r="AU73">
            <v>19306207938.26553</v>
          </cell>
          <cell r="AV73">
            <v>19306207938.26553</v>
          </cell>
          <cell r="AX73">
            <v>14467820682.685461</v>
          </cell>
        </row>
        <row r="74">
          <cell r="V74">
            <v>82364734.436605364</v>
          </cell>
          <cell r="W74">
            <v>1633148.7332250194</v>
          </cell>
          <cell r="X74">
            <v>1633148.7332250194</v>
          </cell>
          <cell r="AA74">
            <v>20675785610.40802</v>
          </cell>
          <cell r="AB74">
            <v>20675785610.40802</v>
          </cell>
          <cell r="AC74">
            <v>16230591748.661037</v>
          </cell>
          <cell r="AM74">
            <v>6365.9720729358742</v>
          </cell>
          <cell r="AP74">
            <v>89723357.286218137</v>
          </cell>
          <cell r="AQ74">
            <v>28957014.987444997</v>
          </cell>
          <cell r="AR74">
            <v>28957014.987444997</v>
          </cell>
          <cell r="AU74">
            <v>22522999827.35601</v>
          </cell>
          <cell r="AV74">
            <v>22522999827.35601</v>
          </cell>
          <cell r="AX74">
            <v>16124694920.758316</v>
          </cell>
        </row>
        <row r="75">
          <cell r="V75">
            <v>89050900.233699799</v>
          </cell>
          <cell r="W75">
            <v>1757623.3208801451</v>
          </cell>
          <cell r="X75">
            <v>1757623.3208801451</v>
          </cell>
          <cell r="AA75">
            <v>22712071581.910694</v>
          </cell>
          <cell r="AB75">
            <v>22712071581.910694</v>
          </cell>
          <cell r="AC75">
            <v>17767144552.296555</v>
          </cell>
          <cell r="AM75">
            <v>6430.2363103332473</v>
          </cell>
          <cell r="AP75">
            <v>102565412.79766601</v>
          </cell>
          <cell r="AQ75">
            <v>33091361.898698572</v>
          </cell>
          <cell r="AR75">
            <v>33091361.898698572</v>
          </cell>
          <cell r="AU75">
            <v>26158893297.827217</v>
          </cell>
          <cell r="AV75">
            <v>26158893297.827217</v>
          </cell>
          <cell r="AX75">
            <v>17944049020.500671</v>
          </cell>
        </row>
        <row r="76">
          <cell r="V76">
            <v>96409295.75199762</v>
          </cell>
          <cell r="W76">
            <v>1894039.4488330381</v>
          </cell>
          <cell r="X76">
            <v>1894039.4488330381</v>
          </cell>
          <cell r="AA76">
            <v>24968713678.973228</v>
          </cell>
          <cell r="AB76">
            <v>24968713678.973228</v>
          </cell>
          <cell r="AC76">
            <v>19439407101.463535</v>
          </cell>
          <cell r="AM76">
            <v>6498.0332137364976</v>
          </cell>
          <cell r="AP76">
            <v>117033959.48513037</v>
          </cell>
          <cell r="AQ76">
            <v>37710989.731037274</v>
          </cell>
          <cell r="AR76">
            <v>37710989.731037274</v>
          </cell>
          <cell r="AU76">
            <v>30310224779.75341</v>
          </cell>
          <cell r="AV76">
            <v>30310224779.75341</v>
          </cell>
          <cell r="AX76">
            <v>19974486311.512573</v>
          </cell>
        </row>
        <row r="77">
          <cell r="V77">
            <v>104091842.8915468</v>
          </cell>
          <cell r="W77">
            <v>2025758.6383272605</v>
          </cell>
          <cell r="X77">
            <v>2025758.6383272605</v>
          </cell>
          <cell r="AA77">
            <v>27276750591.325733</v>
          </cell>
          <cell r="AB77">
            <v>27276750591.325733</v>
          </cell>
          <cell r="AC77">
            <v>21206303559.493599</v>
          </cell>
          <cell r="AM77">
            <v>6563.6236620449563</v>
          </cell>
          <cell r="AP77">
            <v>131548125.44185691</v>
          </cell>
          <cell r="AQ77">
            <v>42170366.103884853</v>
          </cell>
          <cell r="AR77">
            <v>42170366.103884853</v>
          </cell>
          <cell r="AU77">
            <v>34471533107.282097</v>
          </cell>
          <cell r="AV77">
            <v>34471533107.282097</v>
          </cell>
          <cell r="AX77">
            <v>22069458046.480843</v>
          </cell>
        </row>
        <row r="78">
          <cell r="V78">
            <v>112740197.26930483</v>
          </cell>
          <cell r="W78">
            <v>2174705.8296991903</v>
          </cell>
          <cell r="X78">
            <v>2174705.8296991903</v>
          </cell>
          <cell r="AA78">
            <v>29893197580.190193</v>
          </cell>
          <cell r="AB78">
            <v>29893197580.190193</v>
          </cell>
          <cell r="AC78">
            <v>23153982579.045074</v>
          </cell>
          <cell r="AM78">
            <v>6631.4746184152809</v>
          </cell>
          <cell r="AP78">
            <v>148077835.01656556</v>
          </cell>
          <cell r="AQ78">
            <v>47214456.143754914</v>
          </cell>
          <cell r="AR78">
            <v>47214456.143754914</v>
          </cell>
          <cell r="AU78">
            <v>39263014316.209518</v>
          </cell>
          <cell r="AV78">
            <v>39263014316.209518</v>
          </cell>
          <cell r="AX78">
            <v>24423619455.268806</v>
          </cell>
        </row>
        <row r="79">
          <cell r="V79">
            <v>123487986.92278917</v>
          </cell>
          <cell r="W79">
            <v>2363539.4409373244</v>
          </cell>
          <cell r="X79">
            <v>2363539.4409373244</v>
          </cell>
          <cell r="AA79">
            <v>33149755388.145309</v>
          </cell>
          <cell r="AB79">
            <v>33149755388.145309</v>
          </cell>
          <cell r="AC79">
            <v>25388200725.444347</v>
          </cell>
          <cell r="AM79">
            <v>6696.121686962174</v>
          </cell>
          <cell r="AP79">
            <v>167406338.55876875</v>
          </cell>
          <cell r="AQ79">
            <v>53106200.245752715</v>
          </cell>
          <cell r="AR79">
            <v>53106200.245752715</v>
          </cell>
          <cell r="AU79">
            <v>44939425380.041473</v>
          </cell>
          <cell r="AV79">
            <v>44939425380.041473</v>
          </cell>
          <cell r="AX79">
            <v>27120833924.077888</v>
          </cell>
        </row>
        <row r="80">
          <cell r="V80">
            <v>135478706.73409089</v>
          </cell>
          <cell r="W80">
            <v>2583538.1582080703</v>
          </cell>
          <cell r="X80">
            <v>2583538.1582080703</v>
          </cell>
          <cell r="AA80">
            <v>36954316845.315269</v>
          </cell>
          <cell r="AB80">
            <v>36954316845.315269</v>
          </cell>
          <cell r="AC80">
            <v>27956200843.264549</v>
          </cell>
          <cell r="AM80">
            <v>6765.431008359853</v>
          </cell>
          <cell r="AP80">
            <v>189970677.45829391</v>
          </cell>
          <cell r="AQ80">
            <v>60145472.831241965</v>
          </cell>
          <cell r="AR80">
            <v>60145472.831241965</v>
          </cell>
          <cell r="AU80">
            <v>51818007237.785812</v>
          </cell>
          <cell r="AV80">
            <v>51818007237.785812</v>
          </cell>
          <cell r="AX80">
            <v>30299297096.640457</v>
          </cell>
        </row>
        <row r="81">
          <cell r="V81">
            <v>148347316.29663962</v>
          </cell>
          <cell r="W81">
            <v>2821473.2999993744</v>
          </cell>
          <cell r="X81">
            <v>2821473.2999993744</v>
          </cell>
          <cell r="AA81">
            <v>41139167816.429321</v>
          </cell>
          <cell r="AB81">
            <v>41139167816.429321</v>
          </cell>
          <cell r="AC81">
            <v>30746455862.087868</v>
          </cell>
          <cell r="AM81">
            <v>6832.414221187697</v>
          </cell>
          <cell r="AP81">
            <v>214846476.62437215</v>
          </cell>
          <cell r="AQ81">
            <v>67896052.632574424</v>
          </cell>
          <cell r="AR81">
            <v>67896052.632574424</v>
          </cell>
          <cell r="AU81">
            <v>59580486369.869141</v>
          </cell>
          <cell r="AV81">
            <v>59580486369.869141</v>
          </cell>
          <cell r="AX81">
            <v>33815001388.805389</v>
          </cell>
        </row>
        <row r="82">
          <cell r="V82">
            <v>162582760.97677675</v>
          </cell>
          <cell r="W82">
            <v>3107301.9095906159</v>
          </cell>
          <cell r="X82">
            <v>3107301.9095906159</v>
          </cell>
          <cell r="AA82">
            <v>46163299942.134705</v>
          </cell>
          <cell r="AB82">
            <v>46163299942.134705</v>
          </cell>
          <cell r="AC82">
            <v>33989096369.410709</v>
          </cell>
          <cell r="AM82">
            <v>6902.948963772873</v>
          </cell>
          <cell r="AP82">
            <v>242917072.49124464</v>
          </cell>
          <cell r="AQ82">
            <v>77140593.627508342</v>
          </cell>
          <cell r="AR82">
            <v>77140593.627508342</v>
          </cell>
          <cell r="AU82">
            <v>68973202393.090042</v>
          </cell>
          <cell r="AV82">
            <v>68973202393.090042</v>
          </cell>
          <cell r="AX82">
            <v>37989530397.172409</v>
          </cell>
        </row>
        <row r="83">
          <cell r="V83">
            <v>177747071.92073017</v>
          </cell>
          <cell r="W83">
            <v>3412941.6785064698</v>
          </cell>
          <cell r="X83">
            <v>3412941.6785064698</v>
          </cell>
          <cell r="AA83">
            <v>51644014448.285355</v>
          </cell>
          <cell r="AB83">
            <v>51644014448.285355</v>
          </cell>
          <cell r="AC83">
            <v>37474309197.349991</v>
          </cell>
          <cell r="AM83">
            <v>6967.1092241532115</v>
          </cell>
          <cell r="AP83">
            <v>273408191.96960747</v>
          </cell>
          <cell r="AQ83">
            <v>87230399.280996203</v>
          </cell>
          <cell r="AR83">
            <v>87230399.280996203</v>
          </cell>
          <cell r="AU83">
            <v>79438139057.812622</v>
          </cell>
          <cell r="AV83">
            <v>79438139057.812622</v>
          </cell>
          <cell r="AX83">
            <v>42505185978.354088</v>
          </cell>
        </row>
        <row r="84">
          <cell r="V84">
            <v>193544931.77453965</v>
          </cell>
          <cell r="W84">
            <v>3723693.4501416311</v>
          </cell>
          <cell r="X84">
            <v>3723693.4501416311</v>
          </cell>
          <cell r="AA84">
            <v>57367773420.683952</v>
          </cell>
          <cell r="AB84">
            <v>57367773420.683952</v>
          </cell>
          <cell r="AC84">
            <v>41062097353.888664</v>
          </cell>
          <cell r="AM84">
            <v>7033.0400612131916</v>
          </cell>
          <cell r="AP84">
            <v>305308562.40155226</v>
          </cell>
          <cell r="AQ84">
            <v>97864674.873019993</v>
          </cell>
          <cell r="AR84">
            <v>97864674.873019993</v>
          </cell>
          <cell r="AU84">
            <v>90495123125.466599</v>
          </cell>
          <cell r="AV84">
            <v>90495123125.466599</v>
          </cell>
          <cell r="AX84">
            <v>47118433309.864708</v>
          </cell>
        </row>
        <row r="85">
          <cell r="V85">
            <v>210509078.51698062</v>
          </cell>
          <cell r="W85">
            <v>4057020.8937919261</v>
          </cell>
          <cell r="X85">
            <v>4057020.8937919261</v>
          </cell>
          <cell r="AA85">
            <v>63610791672.86692</v>
          </cell>
          <cell r="AB85">
            <v>63610791672.86692</v>
          </cell>
          <cell r="AC85">
            <v>44935739671.266266</v>
          </cell>
          <cell r="AM85">
            <v>7098.4169788056379</v>
          </cell>
          <cell r="AP85">
            <v>340796697.21927267</v>
          </cell>
          <cell r="AQ85">
            <v>109691209.16338529</v>
          </cell>
          <cell r="AR85">
            <v>109691209.16338529</v>
          </cell>
          <cell r="AU85">
            <v>102980583366.46791</v>
          </cell>
          <cell r="AV85">
            <v>102980583366.46791</v>
          </cell>
          <cell r="AX85">
            <v>52173469315.412575</v>
          </cell>
        </row>
        <row r="86">
          <cell r="V86">
            <v>228837914.05837727</v>
          </cell>
          <cell r="W86">
            <v>4417388.5051898267</v>
          </cell>
          <cell r="X86">
            <v>4417388.5051898267</v>
          </cell>
          <cell r="AA86">
            <v>70461793684.565552</v>
          </cell>
          <cell r="AB86">
            <v>70461793684.565552</v>
          </cell>
          <cell r="AC86">
            <v>49141868696.257248</v>
          </cell>
          <cell r="AM86">
            <v>7163.2532092773636</v>
          </cell>
          <cell r="AP86">
            <v>381437692.91448915</v>
          </cell>
          <cell r="AQ86">
            <v>123277060.06238054</v>
          </cell>
          <cell r="AR86">
            <v>123277060.06238054</v>
          </cell>
          <cell r="AU86">
            <v>117448999359.43771</v>
          </cell>
          <cell r="AV86">
            <v>117448999359.43771</v>
          </cell>
          <cell r="AX86">
            <v>57739676948.777168</v>
          </cell>
        </row>
        <row r="87">
          <cell r="V87">
            <v>250272104.07679689</v>
          </cell>
          <cell r="W87">
            <v>4851322.6089524943</v>
          </cell>
          <cell r="X87">
            <v>4851322.6089524943</v>
          </cell>
          <cell r="AA87">
            <v>78524846805.479492</v>
          </cell>
          <cell r="AB87">
            <v>78524846805.479492</v>
          </cell>
          <cell r="AC87">
            <v>54018637335.937881</v>
          </cell>
          <cell r="AM87">
            <v>7229.1499408717918</v>
          </cell>
          <cell r="AP87">
            <v>437298522.57420248</v>
          </cell>
          <cell r="AQ87">
            <v>141924343.80657974</v>
          </cell>
          <cell r="AR87">
            <v>141924343.80657974</v>
          </cell>
          <cell r="AU87">
            <v>137205860877.18663</v>
          </cell>
          <cell r="AV87">
            <v>137205860877.18663</v>
          </cell>
          <cell r="AX87">
            <v>64728584268.367302</v>
          </cell>
        </row>
        <row r="88">
          <cell r="V88">
            <v>273024088.04544204</v>
          </cell>
          <cell r="W88">
            <v>5310006.167608154</v>
          </cell>
          <cell r="X88">
            <v>5310006.167608154</v>
          </cell>
          <cell r="AA88">
            <v>87192596632.582352</v>
          </cell>
          <cell r="AB88">
            <v>87192596632.582352</v>
          </cell>
          <cell r="AC88">
            <v>59173539850.946449</v>
          </cell>
          <cell r="AM88">
            <v>7293.8352338376762</v>
          </cell>
          <cell r="AP88">
            <v>497749804.81490123</v>
          </cell>
          <cell r="AQ88">
            <v>162010606.89123392</v>
          </cell>
          <cell r="AR88">
            <v>162010606.89123392</v>
          </cell>
          <cell r="AU88">
            <v>158960691951.65216</v>
          </cell>
          <cell r="AV88">
            <v>158960691951.65216</v>
          </cell>
          <cell r="AX88">
            <v>72266637116.293259</v>
          </cell>
        </row>
        <row r="89">
          <cell r="V89">
            <v>294366162.30731225</v>
          </cell>
          <cell r="W89">
            <v>5723829.059131993</v>
          </cell>
          <cell r="X89">
            <v>5723829.059131993</v>
          </cell>
          <cell r="AA89">
            <v>95320938623.52301</v>
          </cell>
          <cell r="AB89">
            <v>95320938623.52301</v>
          </cell>
          <cell r="AC89">
            <v>64019919882.254105</v>
          </cell>
          <cell r="AM89">
            <v>7361.582013904168</v>
          </cell>
          <cell r="AP89">
            <v>552999938.68259883</v>
          </cell>
          <cell r="AQ89">
            <v>179721163.01763457</v>
          </cell>
          <cell r="AR89">
            <v>179721163.01763457</v>
          </cell>
          <cell r="AU89">
            <v>179071102469.12564</v>
          </cell>
          <cell r="AV89">
            <v>179071102469.12564</v>
          </cell>
          <cell r="AX89">
            <v>79634696214.858215</v>
          </cell>
        </row>
        <row r="90">
          <cell r="V90">
            <v>316710194.72320348</v>
          </cell>
          <cell r="W90">
            <v>6164223.3503300156</v>
          </cell>
          <cell r="X90">
            <v>6164223.3503300156</v>
          </cell>
          <cell r="AA90">
            <v>104083361229.62778</v>
          </cell>
          <cell r="AB90">
            <v>104083361229.62778</v>
          </cell>
          <cell r="AC90">
            <v>69230738936.777939</v>
          </cell>
          <cell r="AM90">
            <v>7427.9255981153665</v>
          </cell>
          <cell r="AP90">
            <v>612500554.75902152</v>
          </cell>
          <cell r="AQ90">
            <v>198962261.71060193</v>
          </cell>
          <cell r="AR90">
            <v>198962261.71060193</v>
          </cell>
          <cell r="AU90">
            <v>201291646295.27469</v>
          </cell>
          <cell r="AV90">
            <v>201291646295.27469</v>
          </cell>
          <cell r="AX90">
            <v>87677150089.731628</v>
          </cell>
        </row>
        <row r="91">
          <cell r="V91">
            <v>339559660.18377531</v>
          </cell>
          <cell r="W91">
            <v>6613158.493878996</v>
          </cell>
          <cell r="X91">
            <v>6613158.493878996</v>
          </cell>
          <cell r="AA91">
            <v>113188324752.62589</v>
          </cell>
          <cell r="AB91">
            <v>113188324752.62589</v>
          </cell>
          <cell r="AC91">
            <v>74663542800.793762</v>
          </cell>
          <cell r="AM91">
            <v>7496.3491154445537</v>
          </cell>
          <cell r="AP91">
            <v>675852724.98091066</v>
          </cell>
          <cell r="AQ91">
            <v>219249689.2912809</v>
          </cell>
          <cell r="AR91">
            <v>219249689.2912809</v>
          </cell>
          <cell r="AU91">
            <v>225287767335.74338</v>
          </cell>
          <cell r="AV91">
            <v>225287767335.74338</v>
          </cell>
          <cell r="AX91">
            <v>96321938211.082108</v>
          </cell>
        </row>
        <row r="92">
          <cell r="V92">
            <v>359544431.3673588</v>
          </cell>
          <cell r="W92">
            <v>6958972.9915930666</v>
          </cell>
          <cell r="X92">
            <v>6958972.9915930666</v>
          </cell>
          <cell r="AA92">
            <v>120706159469.79993</v>
          </cell>
          <cell r="AB92">
            <v>120706159469.79993</v>
          </cell>
          <cell r="AC92">
            <v>79382067949.912552</v>
          </cell>
          <cell r="AM92">
            <v>7556.0909841064313</v>
          </cell>
          <cell r="AP92">
            <v>740141935.08418012</v>
          </cell>
          <cell r="AQ92">
            <v>238211457.54421467</v>
          </cell>
          <cell r="AR92">
            <v>238211457.54421467</v>
          </cell>
          <cell r="AU92">
            <v>248480250707.2511</v>
          </cell>
          <cell r="AV92">
            <v>248480250707.2511</v>
          </cell>
          <cell r="AX92">
            <v>104272742375.59288</v>
          </cell>
        </row>
        <row r="93">
          <cell r="V93">
            <v>380319481.56548899</v>
          </cell>
          <cell r="W93">
            <v>7323905.2380689401</v>
          </cell>
          <cell r="X93">
            <v>7323905.2380689401</v>
          </cell>
          <cell r="AA93">
            <v>128710522291.68408</v>
          </cell>
          <cell r="AB93">
            <v>128710522291.68408</v>
          </cell>
          <cell r="AC93">
            <v>84460284394.156082</v>
          </cell>
          <cell r="AM93">
            <v>7618.2526243554612</v>
          </cell>
          <cell r="AP93">
            <v>810799321.19482696</v>
          </cell>
          <cell r="AQ93">
            <v>259071885.71945208</v>
          </cell>
          <cell r="AR93">
            <v>259071885.71945208</v>
          </cell>
          <cell r="AU93">
            <v>274396682692.04651</v>
          </cell>
          <cell r="AV93">
            <v>274396682692.04651</v>
          </cell>
          <cell r="AX93">
            <v>113048092816.94879</v>
          </cell>
        </row>
        <row r="94">
          <cell r="V94">
            <v>400764679.16513413</v>
          </cell>
          <cell r="W94">
            <v>7665033.0090079857</v>
          </cell>
          <cell r="X94">
            <v>7665033.0090079857</v>
          </cell>
          <cell r="AA94">
            <v>136657661552.64691</v>
          </cell>
          <cell r="AB94">
            <v>136657661552.64691</v>
          </cell>
          <cell r="AC94">
            <v>89391081065.952667</v>
          </cell>
          <cell r="AM94">
            <v>7679.6637451558699</v>
          </cell>
          <cell r="AP94">
            <v>885755802.75791144</v>
          </cell>
          <cell r="AQ94">
            <v>280057580.04669434</v>
          </cell>
          <cell r="AR94">
            <v>280057580.04669434</v>
          </cell>
          <cell r="AU94">
            <v>302035890397.68475</v>
          </cell>
          <cell r="AV94">
            <v>302035890397.68475</v>
          </cell>
          <cell r="AX94">
            <v>122083917449.22162</v>
          </cell>
        </row>
        <row r="95">
          <cell r="V95">
            <v>421764033.34928292</v>
          </cell>
          <cell r="W95">
            <v>7992773.2386968127</v>
          </cell>
          <cell r="X95">
            <v>7992773.2386968127</v>
          </cell>
          <cell r="AA95">
            <v>144621398322.78076</v>
          </cell>
          <cell r="AB95">
            <v>144621398322.78076</v>
          </cell>
          <cell r="AC95">
            <v>94235967095.077148</v>
          </cell>
          <cell r="AM95">
            <v>7739.4334927433802</v>
          </cell>
          <cell r="AP95">
            <v>966501286.392838</v>
          </cell>
          <cell r="AQ95">
            <v>301207560.9430052</v>
          </cell>
          <cell r="AR95">
            <v>301207560.9430052</v>
          </cell>
          <cell r="AU95">
            <v>331409879616.60266</v>
          </cell>
          <cell r="AV95">
            <v>331409879616.60266</v>
          </cell>
          <cell r="AX95">
            <v>131469561039.77965</v>
          </cell>
        </row>
        <row r="96">
          <cell r="V96">
            <v>443938892.91637808</v>
          </cell>
          <cell r="W96">
            <v>8337474.0033720117</v>
          </cell>
          <cell r="X96">
            <v>8337474.0033720117</v>
          </cell>
          <cell r="AA96">
            <v>153070423672.31122</v>
          </cell>
          <cell r="AB96">
            <v>153070423672.31122</v>
          </cell>
          <cell r="AC96">
            <v>99363867068.895538</v>
          </cell>
          <cell r="AM96">
            <v>7799.9355476740957</v>
          </cell>
          <cell r="AP96">
            <v>1055289008.7960806</v>
          </cell>
          <cell r="AQ96">
            <v>323942124.2355144</v>
          </cell>
          <cell r="AR96">
            <v>323942124.2355144</v>
          </cell>
          <cell r="AU96">
            <v>363864347662.76825</v>
          </cell>
          <cell r="AV96">
            <v>363864347662.76825</v>
          </cell>
          <cell r="AX96">
            <v>141721042558.2959</v>
          </cell>
        </row>
        <row r="97">
          <cell r="V97">
            <v>461341080.58199</v>
          </cell>
          <cell r="W97">
            <v>8611792.9120628275</v>
          </cell>
          <cell r="X97">
            <v>8611792.9120628275</v>
          </cell>
          <cell r="AA97">
            <v>159777609628.60605</v>
          </cell>
          <cell r="AB97">
            <v>159777609628.60605</v>
          </cell>
          <cell r="AC97">
            <v>104529814192.97516</v>
          </cell>
          <cell r="AM97">
            <v>7863.425055198697</v>
          </cell>
          <cell r="AP97">
            <v>1128294039.3102918</v>
          </cell>
          <cell r="AQ97">
            <v>339857914.47587895</v>
          </cell>
          <cell r="AR97">
            <v>339857914.47587895</v>
          </cell>
          <cell r="AU97">
            <v>390765384109.69452</v>
          </cell>
          <cell r="AV97">
            <v>390765384109.69452</v>
          </cell>
          <cell r="AX97">
            <v>153083476724.46829</v>
          </cell>
        </row>
        <row r="98">
          <cell r="V98">
            <v>479541668.69145179</v>
          </cell>
          <cell r="W98">
            <v>8898093.1188794635</v>
          </cell>
          <cell r="X98">
            <v>8898093.1188794635</v>
          </cell>
          <cell r="AA98">
            <v>166815861098.78491</v>
          </cell>
          <cell r="AB98">
            <v>166815861098.78491</v>
          </cell>
          <cell r="AC98">
            <v>109930641072.07336</v>
          </cell>
          <cell r="AM98">
            <v>7928.4969997617018</v>
          </cell>
          <cell r="AP98">
            <v>1205722058.773876</v>
          </cell>
          <cell r="AQ98">
            <v>357220626.82397461</v>
          </cell>
          <cell r="AR98">
            <v>357220626.82397461</v>
          </cell>
          <cell r="AU98">
            <v>419428751684.92981</v>
          </cell>
          <cell r="AV98">
            <v>419428751684.92981</v>
          </cell>
          <cell r="AX98">
            <v>164912096389.07501</v>
          </cell>
        </row>
        <row r="99">
          <cell r="V99">
            <v>498533383.50425816</v>
          </cell>
          <cell r="W99">
            <v>9183240.6663162559</v>
          </cell>
          <cell r="X99">
            <v>9183240.6663162559</v>
          </cell>
          <cell r="AA99">
            <v>173943376520.22937</v>
          </cell>
          <cell r="AB99">
            <v>173943376520.22937</v>
          </cell>
          <cell r="AC99">
            <v>115446332759.25128</v>
          </cell>
          <cell r="AM99">
            <v>7991.4208810757218</v>
          </cell>
          <cell r="AP99">
            <v>1288956308.6926351</v>
          </cell>
          <cell r="AQ99">
            <v>375144777.4886229</v>
          </cell>
          <cell r="AR99">
            <v>375144777.4886229</v>
          </cell>
          <cell r="AU99">
            <v>449729987879.80469</v>
          </cell>
          <cell r="AV99">
            <v>449729987879.80469</v>
          </cell>
          <cell r="AX99">
            <v>177316410803.72217</v>
          </cell>
        </row>
        <row r="100">
          <cell r="V100">
            <v>517397980.30723178</v>
          </cell>
          <cell r="W100">
            <v>9461942.3859278895</v>
          </cell>
          <cell r="X100">
            <v>9461942.3859278895</v>
          </cell>
          <cell r="AA100">
            <v>181058197993.0636</v>
          </cell>
          <cell r="AB100">
            <v>181058197993.0636</v>
          </cell>
          <cell r="AC100">
            <v>121141155910.21371</v>
          </cell>
          <cell r="AM100">
            <v>8056.4865346365668</v>
          </cell>
          <cell r="AP100">
            <v>1376871496.2512622</v>
          </cell>
          <cell r="AQ100">
            <v>393855058.4415555</v>
          </cell>
          <cell r="AR100">
            <v>393855058.4415555</v>
          </cell>
          <cell r="AU100">
            <v>481822275052.63074</v>
          </cell>
          <cell r="AV100">
            <v>481822275052.63074</v>
          </cell>
          <cell r="AX100">
            <v>190455113437.71451</v>
          </cell>
        </row>
        <row r="101">
          <cell r="V101">
            <v>532605051.53845161</v>
          </cell>
          <cell r="W101">
            <v>9673206.6477973647</v>
          </cell>
          <cell r="X101">
            <v>9673206.6477973647</v>
          </cell>
          <cell r="AA101">
            <v>186977639749.20313</v>
          </cell>
          <cell r="AB101">
            <v>186977639749.20313</v>
          </cell>
          <cell r="AC101">
            <v>126307435891.14485</v>
          </cell>
          <cell r="AM101">
            <v>8123.8289705589768</v>
          </cell>
          <cell r="AP101">
            <v>1446709102.9082229</v>
          </cell>
          <cell r="AQ101">
            <v>410741371.70325214</v>
          </cell>
          <cell r="AR101">
            <v>410741371.70325214</v>
          </cell>
          <cell r="AU101">
            <v>507885256972.51581</v>
          </cell>
          <cell r="AV101">
            <v>507885256972.51581</v>
          </cell>
          <cell r="AX101">
            <v>201165178270.16965</v>
          </cell>
        </row>
        <row r="102">
          <cell r="V102">
            <v>547098275.99428964</v>
          </cell>
          <cell r="W102">
            <v>9869215.8473998606</v>
          </cell>
          <cell r="X102">
            <v>9869215.8473998606</v>
          </cell>
          <cell r="AA102">
            <v>192681229642.38495</v>
          </cell>
          <cell r="AB102">
            <v>192681229642.38495</v>
          </cell>
          <cell r="AC102">
            <v>131621727149.44434</v>
          </cell>
          <cell r="AM102">
            <v>8192.1316321108388</v>
          </cell>
          <cell r="AP102">
            <v>1518642717.7847266</v>
          </cell>
          <cell r="AQ102">
            <v>428087332.3220523</v>
          </cell>
          <cell r="AR102">
            <v>428087332.3220523</v>
          </cell>
          <cell r="AU102">
            <v>534847136409.67267</v>
          </cell>
          <cell r="AV102">
            <v>534847136409.67267</v>
          </cell>
          <cell r="AX102">
            <v>212313186462.14081</v>
          </cell>
        </row>
        <row r="103">
          <cell r="V103">
            <v>562417434.51173532</v>
          </cell>
          <cell r="W103">
            <v>10079182.701957254</v>
          </cell>
          <cell r="X103">
            <v>10079182.701957254</v>
          </cell>
          <cell r="AA103">
            <v>198736089416.7879</v>
          </cell>
          <cell r="AB103">
            <v>198736089416.7879</v>
          </cell>
          <cell r="AC103">
            <v>137230452835.37645</v>
          </cell>
          <cell r="AM103">
            <v>8263.5165952675561</v>
          </cell>
          <cell r="AP103">
            <v>1596782957.3722506</v>
          </cell>
          <cell r="AQ103">
            <v>446974138.27673316</v>
          </cell>
          <cell r="AR103">
            <v>446974138.27673316</v>
          </cell>
          <cell r="AU103">
            <v>564239977501.82312</v>
          </cell>
          <cell r="AV103">
            <v>564239977501.82312</v>
          </cell>
          <cell r="AX103">
            <v>224280289904.66522</v>
          </cell>
        </row>
        <row r="104">
          <cell r="V104">
            <v>578040823.96136189</v>
          </cell>
          <cell r="W104">
            <v>10292585.624618961</v>
          </cell>
          <cell r="X104">
            <v>10292585.624618961</v>
          </cell>
          <cell r="AA104">
            <v>204940842736.56711</v>
          </cell>
          <cell r="AB104">
            <v>204940842736.56711</v>
          </cell>
          <cell r="AC104">
            <v>143036540385.00232</v>
          </cell>
          <cell r="AM104">
            <v>8335.5218110725364</v>
          </cell>
          <cell r="AP104">
            <v>1678890747.3875005</v>
          </cell>
          <cell r="AQ104">
            <v>466781092.35737813</v>
          </cell>
          <cell r="AR104">
            <v>466781092.35737813</v>
          </cell>
          <cell r="AU104">
            <v>595240457714.13928</v>
          </cell>
          <cell r="AV104">
            <v>595240457714.13928</v>
          </cell>
          <cell r="AX104">
            <v>236814601136.48355</v>
          </cell>
        </row>
        <row r="105">
          <cell r="V105">
            <v>593699692.65113521</v>
          </cell>
          <cell r="W105">
            <v>10503883.564915661</v>
          </cell>
          <cell r="X105">
            <v>10503883.564915661</v>
          </cell>
          <cell r="AA105">
            <v>211186083893.80829</v>
          </cell>
          <cell r="AB105">
            <v>211186083893.80829</v>
          </cell>
          <cell r="AC105">
            <v>148943334820.07031</v>
          </cell>
          <cell r="AM105">
            <v>8400.7477093078123</v>
          </cell>
          <cell r="AP105">
            <v>1761608737.9955256</v>
          </cell>
          <cell r="AQ105">
            <v>486495960.67410076</v>
          </cell>
          <cell r="AR105">
            <v>486495960.67410076</v>
          </cell>
          <cell r="AU105">
            <v>626625304569.58875</v>
          </cell>
          <cell r="AV105">
            <v>626625304569.58875</v>
          </cell>
          <cell r="AX105">
            <v>249523002868.98999</v>
          </cell>
        </row>
        <row r="106">
          <cell r="V106">
            <v>609746585.87496519</v>
          </cell>
          <cell r="W106">
            <v>10719766.181470413</v>
          </cell>
          <cell r="X106">
            <v>10719766.181470413</v>
          </cell>
          <cell r="AA106">
            <v>217606384683.19098</v>
          </cell>
          <cell r="AB106">
            <v>217606384683.19098</v>
          </cell>
          <cell r="AC106">
            <v>155047058569.91516</v>
          </cell>
          <cell r="AM106">
            <v>8464.9127628067745</v>
          </cell>
          <cell r="AP106">
            <v>1847803928.2755075</v>
          </cell>
          <cell r="AQ106">
            <v>506891919.06206226</v>
          </cell>
          <cell r="AR106">
            <v>506891919.06206226</v>
          </cell>
          <cell r="AU106">
            <v>659444335975.15051</v>
          </cell>
          <cell r="AV106">
            <v>659444335975.15051</v>
          </cell>
          <cell r="AX106">
            <v>262772358125.02856</v>
          </cell>
        </row>
        <row r="107">
          <cell r="V107">
            <v>622442830.61171913</v>
          </cell>
          <cell r="W107">
            <v>10902523.006186767</v>
          </cell>
          <cell r="X107">
            <v>10902523.006186767</v>
          </cell>
          <cell r="AA107">
            <v>222864480013.62781</v>
          </cell>
          <cell r="AB107">
            <v>222864480013.62781</v>
          </cell>
          <cell r="AC107">
            <v>160002125579.76685</v>
          </cell>
          <cell r="AM107">
            <v>8529.7353484420164</v>
          </cell>
          <cell r="AP107">
            <v>1932959414.5082886</v>
          </cell>
          <cell r="AQ107">
            <v>526723449.20614541</v>
          </cell>
          <cell r="AR107">
            <v>526723449.20614541</v>
          </cell>
          <cell r="AU107">
            <v>692092467959.61963</v>
          </cell>
          <cell r="AV107">
            <v>692092467959.61963</v>
          </cell>
          <cell r="AX107">
            <v>273880638734.0145</v>
          </cell>
        </row>
        <row r="108">
          <cell r="V108">
            <v>635304385.30821252</v>
          </cell>
          <cell r="W108">
            <v>11087084.061210925</v>
          </cell>
          <cell r="X108">
            <v>11087084.061210925</v>
          </cell>
          <cell r="AA108">
            <v>228211617653.3219</v>
          </cell>
          <cell r="AB108">
            <v>228211617653.3219</v>
          </cell>
          <cell r="AC108">
            <v>165115254127.40634</v>
          </cell>
          <cell r="AM108">
            <v>8594.4593793802942</v>
          </cell>
          <cell r="AP108">
            <v>2022154213.6147633</v>
          </cell>
          <cell r="AQ108">
            <v>547364482.42780352</v>
          </cell>
          <cell r="AR108">
            <v>547364482.42780352</v>
          </cell>
          <cell r="AU108">
            <v>726390522252.7677</v>
          </cell>
          <cell r="AV108">
            <v>726390522252.7677</v>
          </cell>
          <cell r="AX108">
            <v>285468262114.01709</v>
          </cell>
        </row>
        <row r="109">
          <cell r="V109">
            <v>648812445.32515538</v>
          </cell>
          <cell r="W109">
            <v>11291401.199629448</v>
          </cell>
          <cell r="X109">
            <v>11291401.199629448</v>
          </cell>
          <cell r="AA109">
            <v>234020628465.2178</v>
          </cell>
          <cell r="AB109">
            <v>234020628465.2178</v>
          </cell>
          <cell r="AC109">
            <v>170592687269.38211</v>
          </cell>
          <cell r="AM109">
            <v>8662.0261567759662</v>
          </cell>
          <cell r="AP109">
            <v>2118058694.8002636</v>
          </cell>
          <cell r="AQ109">
            <v>569986300.39190161</v>
          </cell>
          <cell r="AR109">
            <v>569986300.39190161</v>
          </cell>
          <cell r="AU109">
            <v>763964116987.56726</v>
          </cell>
          <cell r="AV109">
            <v>763964116987.56726</v>
          </cell>
          <cell r="AX109">
            <v>298026338592.58191</v>
          </cell>
        </row>
        <row r="110">
          <cell r="V110">
            <v>662841695.51513124</v>
          </cell>
          <cell r="W110">
            <v>11528810.17308782</v>
          </cell>
          <cell r="X110">
            <v>11528810.17308782</v>
          </cell>
          <cell r="AA110">
            <v>240578213533.09973</v>
          </cell>
          <cell r="AB110">
            <v>240578213533.09973</v>
          </cell>
          <cell r="AC110">
            <v>176647483869.59839</v>
          </cell>
          <cell r="AM110">
            <v>8729.3396752318149</v>
          </cell>
          <cell r="AP110">
            <v>2219814729.7460451</v>
          </cell>
          <cell r="AQ110">
            <v>595189273.79936302</v>
          </cell>
          <cell r="AR110">
            <v>595189273.79936302</v>
          </cell>
          <cell r="AU110">
            <v>805681153841.31421</v>
          </cell>
          <cell r="AV110">
            <v>805681153841.31421</v>
          </cell>
          <cell r="AX110">
            <v>311829360293.69238</v>
          </cell>
        </row>
        <row r="111">
          <cell r="V111">
            <v>677393214.91157031</v>
          </cell>
          <cell r="W111">
            <v>11778416.938156739</v>
          </cell>
          <cell r="X111">
            <v>11778416.938156739</v>
          </cell>
          <cell r="AA111">
            <v>247459495589.15729</v>
          </cell>
          <cell r="AB111">
            <v>247459495589.15729</v>
          </cell>
          <cell r="AC111">
            <v>182990508187.56842</v>
          </cell>
          <cell r="AM111">
            <v>8797.7862645108053</v>
          </cell>
          <cell r="AP111">
            <v>2327975849.6927252</v>
          </cell>
          <cell r="AQ111">
            <v>622098731.84012771</v>
          </cell>
          <cell r="AR111">
            <v>622098731.84012771</v>
          </cell>
          <cell r="AU111">
            <v>850436226444.79187</v>
          </cell>
          <cell r="AV111">
            <v>850436226444.79187</v>
          </cell>
          <cell r="AX111">
            <v>326444518624.03766</v>
          </cell>
        </row>
        <row r="112">
          <cell r="V112">
            <v>688661705.20141912</v>
          </cell>
          <cell r="W112">
            <v>11970853.524602517</v>
          </cell>
          <cell r="X112">
            <v>11970853.524602517</v>
          </cell>
          <cell r="AA112">
            <v>253202429124.1629</v>
          </cell>
          <cell r="AB112">
            <v>253202429124.1629</v>
          </cell>
          <cell r="AC112">
            <v>189121367707.88727</v>
          </cell>
          <cell r="AM112">
            <v>8861.2079069363099</v>
          </cell>
          <cell r="AP112">
            <v>2424092645.3051486</v>
          </cell>
          <cell r="AQ112">
            <v>645646017.58989298</v>
          </cell>
          <cell r="AR112">
            <v>645646017.58989298</v>
          </cell>
          <cell r="AU112">
            <v>891273816414.34802</v>
          </cell>
          <cell r="AV112">
            <v>891273816414.34802</v>
          </cell>
          <cell r="AX112">
            <v>340610986533.96985</v>
          </cell>
        </row>
        <row r="113">
          <cell r="V113">
            <v>699697239.39217949</v>
          </cell>
          <cell r="W113">
            <v>12161202.925863933</v>
          </cell>
          <cell r="X113">
            <v>12161202.925863933</v>
          </cell>
          <cell r="AA113">
            <v>258955572996.13818</v>
          </cell>
          <cell r="AB113">
            <v>258955572996.13818</v>
          </cell>
          <cell r="AC113">
            <v>195331935935.7843</v>
          </cell>
          <cell r="AM113">
            <v>8927.0102918190023</v>
          </cell>
          <cell r="AP113">
            <v>2518889560.0647292</v>
          </cell>
          <cell r="AQ113">
            <v>668776084.11697721</v>
          </cell>
          <cell r="AR113">
            <v>668776084.11697721</v>
          </cell>
          <cell r="AU113">
            <v>932232475159.08789</v>
          </cell>
          <cell r="AV113">
            <v>932232475159.08789</v>
          </cell>
          <cell r="AX113">
            <v>355216928331.6665</v>
          </cell>
        </row>
        <row r="114">
          <cell r="V114">
            <v>710834743.51934373</v>
          </cell>
          <cell r="W114">
            <v>12354047.354153715</v>
          </cell>
          <cell r="X114">
            <v>12354047.354153715</v>
          </cell>
          <cell r="AA114">
            <v>264816260441.5957</v>
          </cell>
          <cell r="AB114">
            <v>264816260441.5957</v>
          </cell>
          <cell r="AC114">
            <v>201649464116.10394</v>
          </cell>
          <cell r="AM114">
            <v>8991.663449571719</v>
          </cell>
          <cell r="AP114">
            <v>2614867680.0928369</v>
          </cell>
          <cell r="AQ114">
            <v>692102487.48932147</v>
          </cell>
          <cell r="AR114">
            <v>692102487.48932147</v>
          </cell>
          <cell r="AU114">
            <v>974149740013.28076</v>
          </cell>
          <cell r="AV114">
            <v>974149740013.28076</v>
          </cell>
          <cell r="AX114">
            <v>370191937274.69238</v>
          </cell>
        </row>
        <row r="115">
          <cell r="V115">
            <v>722400226.07587647</v>
          </cell>
          <cell r="W115">
            <v>12553906.002386656</v>
          </cell>
          <cell r="X115">
            <v>12553906.002386656</v>
          </cell>
          <cell r="AA115">
            <v>270883067683.8877</v>
          </cell>
          <cell r="AB115">
            <v>270883067683.8877</v>
          </cell>
          <cell r="AC115">
            <v>208163949209.74799</v>
          </cell>
          <cell r="AM115">
            <v>9059.5591141330733</v>
          </cell>
          <cell r="AP115">
            <v>2716011816.9255838</v>
          </cell>
          <cell r="AQ115">
            <v>716611023.71567297</v>
          </cell>
          <cell r="AR115">
            <v>716611023.71567297</v>
          </cell>
          <cell r="AU115">
            <v>1018440452089.8031</v>
          </cell>
          <cell r="AV115">
            <v>1018440452089.8031</v>
          </cell>
          <cell r="AX115">
            <v>385932747055.59344</v>
          </cell>
        </row>
        <row r="116">
          <cell r="V116">
            <v>736613267.65519238</v>
          </cell>
          <cell r="W116">
            <v>12799574.509706771</v>
          </cell>
          <cell r="X116">
            <v>12799574.509706771</v>
          </cell>
          <cell r="AA116">
            <v>277551321253.06775</v>
          </cell>
          <cell r="AB116">
            <v>277551321253.06775</v>
          </cell>
          <cell r="AC116">
            <v>215541568453.70224</v>
          </cell>
          <cell r="AM116">
            <v>9127.3224714907956</v>
          </cell>
          <cell r="AP116">
            <v>2829906967.1624551</v>
          </cell>
          <cell r="AQ116">
            <v>744296286.96945703</v>
          </cell>
          <cell r="AR116">
            <v>744296286.96945703</v>
          </cell>
          <cell r="AU116">
            <v>1066291434390.5991</v>
          </cell>
          <cell r="AV116">
            <v>1066291434390.5991</v>
          </cell>
          <cell r="AX116">
            <v>403547310308.5144</v>
          </cell>
        </row>
        <row r="117">
          <cell r="V117">
            <v>754582463.56495786</v>
          </cell>
          <cell r="W117">
            <v>13110047.590021852</v>
          </cell>
          <cell r="X117">
            <v>13110047.590021852</v>
          </cell>
          <cell r="AA117">
            <v>285568089213.11487</v>
          </cell>
          <cell r="AB117">
            <v>285568089213.11487</v>
          </cell>
          <cell r="AC117">
            <v>222636433629.57513</v>
          </cell>
          <cell r="AM117">
            <v>9198.1867647056097</v>
          </cell>
          <cell r="AP117">
            <v>2950126169.6065254</v>
          </cell>
          <cell r="AQ117">
            <v>773475142.22021389</v>
          </cell>
          <cell r="AR117">
            <v>773475142.22021389</v>
          </cell>
          <cell r="AU117">
            <v>1116461001773.0928</v>
          </cell>
          <cell r="AV117">
            <v>1116461001773.0928</v>
          </cell>
          <cell r="AX117">
            <v>421968695734.89453</v>
          </cell>
        </row>
        <row r="118">
          <cell r="V118">
            <v>772588685.77514124</v>
          </cell>
          <cell r="W118">
            <v>13421103.169636186</v>
          </cell>
          <cell r="X118">
            <v>13421103.169636186</v>
          </cell>
          <cell r="AA118">
            <v>293653166564.14587</v>
          </cell>
          <cell r="AB118">
            <v>293653166564.14587</v>
          </cell>
          <cell r="AC118">
            <v>229817647539.53796</v>
          </cell>
          <cell r="AM118">
            <v>9262.5402417517616</v>
          </cell>
          <cell r="AP118">
            <v>3070982731.5703273</v>
          </cell>
          <cell r="AQ118">
            <v>802641090.33096635</v>
          </cell>
          <cell r="AR118">
            <v>802641090.33096635</v>
          </cell>
          <cell r="AU118">
            <v>1167249560074.3281</v>
          </cell>
          <cell r="AV118">
            <v>1167249560074.3281</v>
          </cell>
          <cell r="AX118">
            <v>440560409633.54236</v>
          </cell>
        </row>
        <row r="119">
          <cell r="V119">
            <v>791075338.81550968</v>
          </cell>
          <cell r="W119">
            <v>13740443.800222237</v>
          </cell>
          <cell r="X119">
            <v>13740443.800222237</v>
          </cell>
          <cell r="AA119">
            <v>301975669952.70428</v>
          </cell>
          <cell r="AB119">
            <v>301975669952.70428</v>
          </cell>
          <cell r="AC119">
            <v>237220749259.33521</v>
          </cell>
          <cell r="AM119">
            <v>9327.9418699074558</v>
          </cell>
          <cell r="AP119">
            <v>3197039114.1560335</v>
          </cell>
          <cell r="AQ119">
            <v>832966346.26824546</v>
          </cell>
          <cell r="AR119">
            <v>832966346.26824546</v>
          </cell>
          <cell r="AU119">
            <v>1220399601645.8054</v>
          </cell>
          <cell r="AV119">
            <v>1220399601645.8054</v>
          </cell>
          <cell r="AX119">
            <v>459984088507.06702</v>
          </cell>
        </row>
        <row r="120">
          <cell r="V120">
            <v>809959963.55971825</v>
          </cell>
          <cell r="W120">
            <v>14070048.303150894</v>
          </cell>
          <cell r="X120">
            <v>14070048.303150894</v>
          </cell>
          <cell r="AA120">
            <v>310581354364.34937</v>
          </cell>
          <cell r="AB120">
            <v>310581354364.34937</v>
          </cell>
          <cell r="AC120">
            <v>244882598329.53833</v>
          </cell>
          <cell r="AM120">
            <v>9392.8360857153821</v>
          </cell>
          <cell r="AP120">
            <v>3327514577.1747036</v>
          </cell>
          <cell r="AQ120">
            <v>864445743.87063944</v>
          </cell>
          <cell r="AR120">
            <v>864445743.87063944</v>
          </cell>
          <cell r="AU120">
            <v>1275944528793.7837</v>
          </cell>
          <cell r="AV120">
            <v>1275944528793.7837</v>
          </cell>
          <cell r="AX120">
            <v>480246895073.1709</v>
          </cell>
        </row>
        <row r="121">
          <cell r="V121">
            <v>829756985.78535151</v>
          </cell>
          <cell r="W121">
            <v>14418457.492084678</v>
          </cell>
          <cell r="X121">
            <v>14418457.492084678</v>
          </cell>
          <cell r="AA121">
            <v>319662203019.92853</v>
          </cell>
          <cell r="AB121">
            <v>319662203019.92853</v>
          </cell>
          <cell r="AC121">
            <v>252846792888.52301</v>
          </cell>
          <cell r="AM121">
            <v>9457.0432709865909</v>
          </cell>
          <cell r="AP121">
            <v>3463244093.2091107</v>
          </cell>
          <cell r="AQ121">
            <v>897235457.82545972</v>
          </cell>
          <cell r="AR121">
            <v>897235457.82545972</v>
          </cell>
          <cell r="AU121">
            <v>1334207792638.4158</v>
          </cell>
          <cell r="AV121">
            <v>1334207792638.4158</v>
          </cell>
          <cell r="AX121">
            <v>501438715531.03149</v>
          </cell>
        </row>
        <row r="122">
          <cell r="V122">
            <v>852624987.66869187</v>
          </cell>
          <cell r="W122">
            <v>14814492.009660648</v>
          </cell>
          <cell r="X122">
            <v>14814492.009660648</v>
          </cell>
          <cell r="AA122">
            <v>329865017079.62628</v>
          </cell>
          <cell r="AB122">
            <v>329865017079.62628</v>
          </cell>
          <cell r="AC122">
            <v>260954370191.94211</v>
          </cell>
          <cell r="AM122">
            <v>9525.0055056035817</v>
          </cell>
          <cell r="AP122">
            <v>3607366829.8125844</v>
          </cell>
          <cell r="AQ122">
            <v>931569710.89299822</v>
          </cell>
          <cell r="AR122">
            <v>931569710.89299822</v>
          </cell>
          <cell r="AU122">
            <v>1395624264053.3389</v>
          </cell>
          <cell r="AV122">
            <v>1395624264053.3389</v>
          </cell>
          <cell r="AX122">
            <v>523546088444.69836</v>
          </cell>
        </row>
        <row r="123">
          <cell r="V123">
            <v>875541076.42206502</v>
          </cell>
          <cell r="W123">
            <v>15203400.023278113</v>
          </cell>
          <cell r="X123">
            <v>15203400.023278113</v>
          </cell>
          <cell r="AA123">
            <v>339978734455.27045</v>
          </cell>
          <cell r="AB123">
            <v>339978734455.27045</v>
          </cell>
          <cell r="AC123">
            <v>269042198851.45947</v>
          </cell>
          <cell r="AM123">
            <v>9592.6729194306481</v>
          </cell>
          <cell r="AP123">
            <v>3752725109.5907879</v>
          </cell>
          <cell r="AQ123">
            <v>965485241.97652054</v>
          </cell>
          <cell r="AR123">
            <v>965485241.97652054</v>
          </cell>
          <cell r="AU123">
            <v>1457209453531.2871</v>
          </cell>
          <cell r="AV123">
            <v>1457209453531.2871</v>
          </cell>
          <cell r="AX123">
            <v>545983668536.85364</v>
          </cell>
        </row>
        <row r="124">
          <cell r="V124">
            <v>898582513.38507378</v>
          </cell>
          <cell r="W124">
            <v>15590760.219655827</v>
          </cell>
          <cell r="X124">
            <v>15590760.219655827</v>
          </cell>
          <cell r="AA124">
            <v>350126183296.64862</v>
          </cell>
          <cell r="AB124">
            <v>350126183296.64862</v>
          </cell>
          <cell r="AC124">
            <v>277241050672.44672</v>
          </cell>
          <cell r="AM124">
            <v>9661.2208257096499</v>
          </cell>
          <cell r="AP124">
            <v>3901958799.6185384</v>
          </cell>
          <cell r="AQ124">
            <v>999914007.69785619</v>
          </cell>
          <cell r="AR124">
            <v>999914007.69785619</v>
          </cell>
          <cell r="AU124">
            <v>1520370051209.4834</v>
          </cell>
          <cell r="AV124">
            <v>1520370051209.4834</v>
          </cell>
          <cell r="AX124">
            <v>569123568748.49402</v>
          </cell>
        </row>
        <row r="125">
          <cell r="V125">
            <v>921860237.21818304</v>
          </cell>
          <cell r="W125">
            <v>15981724.608524341</v>
          </cell>
          <cell r="X125">
            <v>15981724.608524341</v>
          </cell>
          <cell r="AA125">
            <v>360422706119.74243</v>
          </cell>
          <cell r="AB125">
            <v>360422706119.74243</v>
          </cell>
          <cell r="AC125">
            <v>285564154765.0033</v>
          </cell>
          <cell r="AM125">
            <v>9725.4656492906943</v>
          </cell>
          <cell r="AP125">
            <v>4053233833.5480061</v>
          </cell>
          <cell r="AQ125">
            <v>1034580570.6385341</v>
          </cell>
          <cell r="AR125">
            <v>1034580570.6385341</v>
          </cell>
          <cell r="AU125">
            <v>1584706062636.8181</v>
          </cell>
          <cell r="AV125">
            <v>1584706062636.8181</v>
          </cell>
          <cell r="AX125">
            <v>592656662085.83875</v>
          </cell>
        </row>
        <row r="126">
          <cell r="V126">
            <v>945807480.2610271</v>
          </cell>
          <cell r="W126">
            <v>16383797.132021606</v>
          </cell>
          <cell r="X126">
            <v>16383797.132021606</v>
          </cell>
          <cell r="AA126">
            <v>371038429501.85419</v>
          </cell>
          <cell r="AB126">
            <v>371038429501.85419</v>
          </cell>
          <cell r="AC126">
            <v>294151570411.461</v>
          </cell>
          <cell r="AM126">
            <v>9791.8752205023811</v>
          </cell>
          <cell r="AP126">
            <v>4211507408.1804109</v>
          </cell>
          <cell r="AQ126">
            <v>1070737450.5731434</v>
          </cell>
          <cell r="AR126">
            <v>1070737450.5731434</v>
          </cell>
          <cell r="AU126">
            <v>1652166140761.9907</v>
          </cell>
          <cell r="AV126">
            <v>1652166140761.9907</v>
          </cell>
          <cell r="AX126">
            <v>617317317432.82397</v>
          </cell>
        </row>
        <row r="127">
          <cell r="V127">
            <v>970752749.83947539</v>
          </cell>
          <cell r="W127">
            <v>16802422.774588782</v>
          </cell>
          <cell r="X127">
            <v>16802422.774588782</v>
          </cell>
          <cell r="AA127">
            <v>382091169068.42834</v>
          </cell>
          <cell r="AB127">
            <v>382091169068.42834</v>
          </cell>
          <cell r="AC127">
            <v>302935476406.72028</v>
          </cell>
          <cell r="AM127">
            <v>9856.7913166257658</v>
          </cell>
          <cell r="AP127">
            <v>4380498108.8206701</v>
          </cell>
          <cell r="AQ127">
            <v>1109297338.6674976</v>
          </cell>
          <cell r="AR127">
            <v>1109297338.6674976</v>
          </cell>
          <cell r="AU127">
            <v>1724177081937.8079</v>
          </cell>
          <cell r="AV127">
            <v>1724177081937.8079</v>
          </cell>
          <cell r="AX127">
            <v>642731181414.15649</v>
          </cell>
        </row>
        <row r="128">
          <cell r="V128">
            <v>996068113.53478587</v>
          </cell>
          <cell r="W128">
            <v>17222013.566400163</v>
          </cell>
          <cell r="X128">
            <v>17222013.566400163</v>
          </cell>
          <cell r="AA128">
            <v>393237881314.82556</v>
          </cell>
          <cell r="AB128">
            <v>393237881314.82556</v>
          </cell>
          <cell r="AC128">
            <v>311883383265.99011</v>
          </cell>
          <cell r="AM128">
            <v>9924.8748404290436</v>
          </cell>
          <cell r="AP128">
            <v>4556973970.8780985</v>
          </cell>
          <cell r="AQ128">
            <v>1149097769.6612246</v>
          </cell>
          <cell r="AR128">
            <v>1149097769.6612246</v>
          </cell>
          <cell r="AU128">
            <v>1799048443741.1211</v>
          </cell>
          <cell r="AV128">
            <v>1799048443741.1211</v>
          </cell>
          <cell r="AX128">
            <v>669197254680.43982</v>
          </cell>
        </row>
        <row r="129">
          <cell r="V129">
            <v>1021905216.3347452</v>
          </cell>
          <cell r="W129">
            <v>17641330.266292326</v>
          </cell>
          <cell r="X129">
            <v>17641330.266292326</v>
          </cell>
          <cell r="AA129">
            <v>404449995506.04224</v>
          </cell>
          <cell r="AB129">
            <v>404449995506.04224</v>
          </cell>
          <cell r="AC129">
            <v>320892599345.2663</v>
          </cell>
          <cell r="AM129">
            <v>9993.175135493495</v>
          </cell>
          <cell r="AP129">
            <v>4739083235.3734512</v>
          </cell>
          <cell r="AQ129">
            <v>1189305362.4265094</v>
          </cell>
          <cell r="AR129">
            <v>1189305362.4265094</v>
          </cell>
          <cell r="AU129">
            <v>1875635981313.645</v>
          </cell>
          <cell r="AV129">
            <v>1875635981313.645</v>
          </cell>
          <cell r="AX129">
            <v>696329289849.20703</v>
          </cell>
        </row>
        <row r="130">
          <cell r="V130">
            <v>1048347610.7285967</v>
          </cell>
          <cell r="W130">
            <v>18064452.890910093</v>
          </cell>
          <cell r="X130">
            <v>18064452.890910093</v>
          </cell>
          <cell r="AA130">
            <v>415820926439.49939</v>
          </cell>
          <cell r="AB130">
            <v>415820926439.49939</v>
          </cell>
          <cell r="AC130">
            <v>330041877703.76135</v>
          </cell>
          <cell r="AM130">
            <v>10064.364412798423</v>
          </cell>
          <cell r="AP130">
            <v>4928193380.3142452</v>
          </cell>
          <cell r="AQ130">
            <v>1230609861.4900153</v>
          </cell>
          <cell r="AR130">
            <v>1230609861.4900153</v>
          </cell>
          <cell r="AU130">
            <v>1954738977895.9487</v>
          </cell>
          <cell r="AV130">
            <v>1954738977895.9487</v>
          </cell>
          <cell r="AX130">
            <v>724398707867.37524</v>
          </cell>
        </row>
        <row r="131">
          <cell r="V131">
            <v>1074721925.0574579</v>
          </cell>
          <cell r="W131">
            <v>18535525.343184534</v>
          </cell>
          <cell r="X131">
            <v>18535525.343184534</v>
          </cell>
          <cell r="AA131">
            <v>428371505876.56348</v>
          </cell>
          <cell r="AB131">
            <v>428371505876.56348</v>
          </cell>
          <cell r="AC131">
            <v>340126376814.94531</v>
          </cell>
          <cell r="AM131">
            <v>10127.030576080153</v>
          </cell>
          <cell r="AP131">
            <v>5116017034.2073708</v>
          </cell>
          <cell r="AQ131">
            <v>1274659065.0929849</v>
          </cell>
          <cell r="AR131">
            <v>1274659065.0929849</v>
          </cell>
          <cell r="AU131">
            <v>2039184155395.7261</v>
          </cell>
          <cell r="AV131">
            <v>2039184155395.7261</v>
          </cell>
          <cell r="AX131">
            <v>754333242019.58813</v>
          </cell>
        </row>
        <row r="132">
          <cell r="V132">
            <v>1101478706.3535836</v>
          </cell>
          <cell r="W132">
            <v>19020567.532924015</v>
          </cell>
          <cell r="X132">
            <v>19020567.532924015</v>
          </cell>
          <cell r="AA132">
            <v>441326081158.16205</v>
          </cell>
          <cell r="AB132">
            <v>441326081158.16205</v>
          </cell>
          <cell r="AC132">
            <v>350238436441.40851</v>
          </cell>
          <cell r="AM132">
            <v>10191.698817163728</v>
          </cell>
          <cell r="AP132">
            <v>5312078526.3144798</v>
          </cell>
          <cell r="AQ132">
            <v>1321003556.8005116</v>
          </cell>
          <cell r="AR132">
            <v>1321003556.8005116</v>
          </cell>
          <cell r="AU132">
            <v>2128374144048.3518</v>
          </cell>
          <cell r="AV132">
            <v>2128374144048.3518</v>
          </cell>
          <cell r="AX132">
            <v>785293013599.19189</v>
          </cell>
        </row>
        <row r="133">
          <cell r="V133">
            <v>1128801701.7262518</v>
          </cell>
          <cell r="W133">
            <v>19516260.309502441</v>
          </cell>
          <cell r="X133">
            <v>19516260.309502441</v>
          </cell>
          <cell r="AA133">
            <v>454610693760.70288</v>
          </cell>
          <cell r="AB133">
            <v>454610693760.70288</v>
          </cell>
          <cell r="AC133">
            <v>360611966249.06689</v>
          </cell>
          <cell r="AM133">
            <v>10256.363111863811</v>
          </cell>
          <cell r="AP133">
            <v>5514883602.4653702</v>
          </cell>
          <cell r="AQ133">
            <v>1368816312.2829077</v>
          </cell>
          <cell r="AR133">
            <v>1368816312.2829077</v>
          </cell>
          <cell r="AU133">
            <v>2221050036239.5044</v>
          </cell>
          <cell r="AV133">
            <v>2221050036239.5044</v>
          </cell>
          <cell r="AX133">
            <v>817388697825.75134</v>
          </cell>
        </row>
        <row r="134">
          <cell r="V134">
            <v>1156876820.8240254</v>
          </cell>
          <cell r="W134">
            <v>20025842.211241934</v>
          </cell>
          <cell r="X134">
            <v>20025842.211241934</v>
          </cell>
          <cell r="AA134">
            <v>468303501694.64465</v>
          </cell>
          <cell r="AB134">
            <v>468303501694.64465</v>
          </cell>
          <cell r="AC134">
            <v>371309082556.91449</v>
          </cell>
          <cell r="AM134">
            <v>10322.230506235781</v>
          </cell>
          <cell r="AP134">
            <v>5726769461.5960178</v>
          </cell>
          <cell r="AQ134">
            <v>1418544156.9269366</v>
          </cell>
          <cell r="AR134">
            <v>1418544156.9269366</v>
          </cell>
          <cell r="AU134">
            <v>2318195112901.5776</v>
          </cell>
          <cell r="AV134">
            <v>2318195112901.5776</v>
          </cell>
          <cell r="AX134">
            <v>850976652582.04724</v>
          </cell>
        </row>
        <row r="135">
          <cell r="V135">
            <v>1185907201.267894</v>
          </cell>
          <cell r="W135">
            <v>20552865.241441615</v>
          </cell>
          <cell r="X135">
            <v>20552865.241441615</v>
          </cell>
          <cell r="AA135">
            <v>482491177114.26105</v>
          </cell>
          <cell r="AB135">
            <v>482491177114.26105</v>
          </cell>
          <cell r="AC135">
            <v>382400690445.88123</v>
          </cell>
          <cell r="AM135">
            <v>10391.438486586627</v>
          </cell>
          <cell r="AP135">
            <v>5950475028.2333822</v>
          </cell>
          <cell r="AQ135">
            <v>1470829613.7408259</v>
          </cell>
          <cell r="AR135">
            <v>1470829613.7408259</v>
          </cell>
          <cell r="AU135">
            <v>2420975011950.1768</v>
          </cell>
          <cell r="AV135">
            <v>2420975011950.1768</v>
          </cell>
          <cell r="AX135">
            <v>886477035134.67932</v>
          </cell>
        </row>
        <row r="136">
          <cell r="V136">
            <v>1215602132.4370437</v>
          </cell>
          <cell r="W136">
            <v>21092328.338744082</v>
          </cell>
          <cell r="X136">
            <v>21092328.338744082</v>
          </cell>
          <cell r="AA136">
            <v>497060088627.64832</v>
          </cell>
          <cell r="AB136">
            <v>497060088627.64832</v>
          </cell>
          <cell r="AC136">
            <v>393793564290.87976</v>
          </cell>
          <cell r="AM136">
            <v>10461.069740121369</v>
          </cell>
          <cell r="AP136">
            <v>6182478679.3841648</v>
          </cell>
          <cell r="AQ136">
            <v>1524909149.2396386</v>
          </cell>
          <cell r="AR136">
            <v>1524909149.2396386</v>
          </cell>
          <cell r="AU136">
            <v>2528017447742.0088</v>
          </cell>
          <cell r="AV136">
            <v>2528017447742.0088</v>
          </cell>
          <cell r="AX136">
            <v>923370762338.64685</v>
          </cell>
        </row>
        <row r="137">
          <cell r="V137">
            <v>1243144200.4704335</v>
          </cell>
          <cell r="W137">
            <v>21595313.283120938</v>
          </cell>
          <cell r="X137">
            <v>21595313.283120938</v>
          </cell>
          <cell r="AA137">
            <v>511278632089.82104</v>
          </cell>
          <cell r="AB137">
            <v>511278632089.82104</v>
          </cell>
          <cell r="AC137">
            <v>404746273189.81927</v>
          </cell>
          <cell r="AM137">
            <v>10528.349317864413</v>
          </cell>
          <cell r="AP137">
            <v>6402382454.9165163</v>
          </cell>
          <cell r="AQ137">
            <v>1575748304.8568397</v>
          </cell>
          <cell r="AR137">
            <v>1575748304.8568397</v>
          </cell>
          <cell r="AU137">
            <v>2633163025195.9971</v>
          </cell>
          <cell r="AV137">
            <v>2633163025195.9971</v>
          </cell>
          <cell r="AX137">
            <v>959652928927.84558</v>
          </cell>
        </row>
        <row r="138">
          <cell r="V138">
            <v>1268120965.6417999</v>
          </cell>
          <cell r="W138">
            <v>22054502.476842757</v>
          </cell>
          <cell r="X138">
            <v>22054502.476842757</v>
          </cell>
          <cell r="AA138">
            <v>525151877197.12024</v>
          </cell>
          <cell r="AB138">
            <v>525151877197.12024</v>
          </cell>
          <cell r="AC138">
            <v>414950016792.40186</v>
          </cell>
          <cell r="AM138">
            <v>10593.159540397482</v>
          </cell>
          <cell r="AP138">
            <v>6611269264.1046743</v>
          </cell>
          <cell r="AQ138">
            <v>1623657185.393893</v>
          </cell>
          <cell r="AR138">
            <v>1623657185.393893</v>
          </cell>
          <cell r="AU138">
            <v>2737846434817.8672</v>
          </cell>
          <cell r="AV138">
            <v>2737846434817.8672</v>
          </cell>
          <cell r="AX138">
            <v>994502209747.72314</v>
          </cell>
        </row>
        <row r="139">
          <cell r="V139">
            <v>1293565619.1425512</v>
          </cell>
          <cell r="W139">
            <v>22522541.665926095</v>
          </cell>
          <cell r="X139">
            <v>22522541.665926095</v>
          </cell>
          <cell r="AA139">
            <v>539362055203.04175</v>
          </cell>
          <cell r="AB139">
            <v>539362055203.04175</v>
          </cell>
          <cell r="AC139">
            <v>425390463036.48975</v>
          </cell>
          <cell r="AM139">
            <v>10659.034382991296</v>
          </cell>
          <cell r="AP139">
            <v>6826906983.7649517</v>
          </cell>
          <cell r="AQ139">
            <v>1673045991.560667</v>
          </cell>
          <cell r="AR139">
            <v>1673045991.560667</v>
          </cell>
          <cell r="AU139">
            <v>2846530958270.3794</v>
          </cell>
          <cell r="AV139">
            <v>2846530958270.3794</v>
          </cell>
          <cell r="AX139">
            <v>1030581225623.7073</v>
          </cell>
        </row>
        <row r="140">
          <cell r="V140">
            <v>1319321478.3377321</v>
          </cell>
          <cell r="W140">
            <v>22996715.21113424</v>
          </cell>
          <cell r="X140">
            <v>22996715.21113424</v>
          </cell>
          <cell r="AA140">
            <v>553847376899.79138</v>
          </cell>
          <cell r="AB140">
            <v>553847376899.79138</v>
          </cell>
          <cell r="AC140">
            <v>436016229247.46118</v>
          </cell>
          <cell r="AM140">
            <v>10723.746273633435</v>
          </cell>
          <cell r="AP140">
            <v>7047288792.8705177</v>
          </cell>
          <cell r="AQ140">
            <v>1723352695.7119143</v>
          </cell>
          <cell r="AR140">
            <v>1723352695.7119143</v>
          </cell>
          <cell r="AU140">
            <v>2958431645564.0063</v>
          </cell>
          <cell r="AV140">
            <v>2958431645564.0063</v>
          </cell>
          <cell r="AX140">
            <v>1067592427113.8672</v>
          </cell>
        </row>
        <row r="141">
          <cell r="V141">
            <v>1345988443.8400161</v>
          </cell>
          <cell r="W141">
            <v>23477829.411116399</v>
          </cell>
          <cell r="X141">
            <v>23477829.411116399</v>
          </cell>
          <cell r="AA141">
            <v>568629875489.47949</v>
          </cell>
          <cell r="AB141">
            <v>568629875489.47949</v>
          </cell>
          <cell r="AC141">
            <v>446851065906.3396</v>
          </cell>
          <cell r="AM141">
            <v>10793.831295506459</v>
          </cell>
          <cell r="AP141">
            <v>7280596448.8804398</v>
          </cell>
          <cell r="AQ141">
            <v>1775834433.8981948</v>
          </cell>
          <cell r="AR141">
            <v>1775834433.8981948</v>
          </cell>
          <cell r="AU141">
            <v>3075780235085.0693</v>
          </cell>
          <cell r="AV141">
            <v>3075780235085.0693</v>
          </cell>
          <cell r="AX141">
            <v>1106341504177.3967</v>
          </cell>
        </row>
        <row r="142">
          <cell r="V142">
            <v>1372931771.8653343</v>
          </cell>
          <cell r="W142">
            <v>23861875.708069719</v>
          </cell>
          <cell r="X142">
            <v>23861875.708069719</v>
          </cell>
          <cell r="AA142">
            <v>581179155524.34192</v>
          </cell>
          <cell r="AB142">
            <v>581179155524.34192</v>
          </cell>
          <cell r="AC142">
            <v>456333666356.59229</v>
          </cell>
          <cell r="AM142">
            <v>10862.201443082113</v>
          </cell>
          <cell r="AP142">
            <v>7518404786.1236982</v>
          </cell>
          <cell r="AQ142">
            <v>1821309357.3933148</v>
          </cell>
          <cell r="AR142">
            <v>1821309357.3933148</v>
          </cell>
          <cell r="AU142">
            <v>3182634588281.7358</v>
          </cell>
          <cell r="AV142">
            <v>3182634588281.7358</v>
          </cell>
          <cell r="AX142">
            <v>1141844490861.8645</v>
          </cell>
        </row>
        <row r="143">
          <cell r="V143">
            <v>1400395394.0032792</v>
          </cell>
          <cell r="W143">
            <v>24252533.978022389</v>
          </cell>
          <cell r="X143">
            <v>24252533.978022389</v>
          </cell>
          <cell r="AA143">
            <v>593994918062.70044</v>
          </cell>
          <cell r="AB143">
            <v>593994918062.70044</v>
          </cell>
          <cell r="AC143">
            <v>466009370001.89874</v>
          </cell>
          <cell r="AM143">
            <v>10932.161070647198</v>
          </cell>
          <cell r="AP143">
            <v>7764114412.2332792</v>
          </cell>
          <cell r="AQ143">
            <v>1868159236.0780239</v>
          </cell>
          <cell r="AR143">
            <v>1868159236.0780239</v>
          </cell>
          <cell r="AU143">
            <v>3293244553554.3804</v>
          </cell>
          <cell r="AV143">
            <v>3293244553554.3804</v>
          </cell>
          <cell r="AX143">
            <v>1178507215914.5173</v>
          </cell>
        </row>
        <row r="144">
          <cell r="V144">
            <v>1427656664.2691872</v>
          </cell>
          <cell r="W144">
            <v>24637277.652341671</v>
          </cell>
          <cell r="X144">
            <v>24637277.652341671</v>
          </cell>
          <cell r="AA144">
            <v>606771356269.13806</v>
          </cell>
          <cell r="AB144">
            <v>606771356269.13806</v>
          </cell>
          <cell r="AC144">
            <v>475629478485.88257</v>
          </cell>
          <cell r="AM144">
            <v>10995.376603282679</v>
          </cell>
          <cell r="AP144">
            <v>8007729747.889183</v>
          </cell>
          <cell r="AQ144">
            <v>1913846469.9976735</v>
          </cell>
          <cell r="AR144">
            <v>1913846469.9976735</v>
          </cell>
          <cell r="AU144">
            <v>3403382032507.5688</v>
          </cell>
          <cell r="AV144">
            <v>3403382032507.5688</v>
          </cell>
          <cell r="AX144">
            <v>1214797276108.043</v>
          </cell>
        </row>
        <row r="145">
          <cell r="V145">
            <v>1455725966.033021</v>
          </cell>
          <cell r="W145">
            <v>25033558.593395829</v>
          </cell>
          <cell r="X145">
            <v>25033558.593395829</v>
          </cell>
          <cell r="AA145">
            <v>619938238052.56055</v>
          </cell>
          <cell r="AB145">
            <v>619938238052.56055</v>
          </cell>
          <cell r="AC145">
            <v>485542015691.22736</v>
          </cell>
          <cell r="AM145">
            <v>11061.787672283759</v>
          </cell>
          <cell r="AP145">
            <v>8263353538.1219749</v>
          </cell>
          <cell r="AQ145">
            <v>1961643338.348</v>
          </cell>
          <cell r="AR145">
            <v>1961643338.348</v>
          </cell>
          <cell r="AU145">
            <v>3519047507814.0674</v>
          </cell>
          <cell r="AV145">
            <v>3519047507814.0674</v>
          </cell>
          <cell r="AX145">
            <v>1252860587559.8938</v>
          </cell>
        </row>
        <row r="146">
          <cell r="V146">
            <v>1485306006.5318398</v>
          </cell>
          <cell r="W146">
            <v>25453312.459347788</v>
          </cell>
          <cell r="X146">
            <v>25453312.459347788</v>
          </cell>
          <cell r="AA146">
            <v>633797476842.00989</v>
          </cell>
          <cell r="AB146">
            <v>633797476842.00989</v>
          </cell>
          <cell r="AC146">
            <v>495983305666.63232</v>
          </cell>
          <cell r="AM146">
            <v>11126.538424657385</v>
          </cell>
          <cell r="AP146">
            <v>8541263148.958128</v>
          </cell>
          <cell r="AQ146">
            <v>2012130370.619432</v>
          </cell>
          <cell r="AR146">
            <v>2012130370.619432</v>
          </cell>
          <cell r="AU146">
            <v>3644657066656.2896</v>
          </cell>
          <cell r="AV146">
            <v>3644657066656.2896</v>
          </cell>
          <cell r="AX146">
            <v>1294037144250.5359</v>
          </cell>
        </row>
        <row r="147">
          <cell r="V147">
            <v>1515965272.3999279</v>
          </cell>
          <cell r="W147">
            <v>25888941.088093206</v>
          </cell>
          <cell r="X147">
            <v>25888941.088093206</v>
          </cell>
          <cell r="AA147">
            <v>648168425641.98657</v>
          </cell>
          <cell r="AB147">
            <v>648168425641.98657</v>
          </cell>
          <cell r="AC147">
            <v>506892600102.48309</v>
          </cell>
          <cell r="AM147">
            <v>11194.324622012195</v>
          </cell>
          <cell r="AP147">
            <v>8835801324.3110962</v>
          </cell>
          <cell r="AQ147">
            <v>2065499309.8955643</v>
          </cell>
          <cell r="AR147">
            <v>2065499309.8955643</v>
          </cell>
          <cell r="AU147">
            <v>3777848700054.6777</v>
          </cell>
          <cell r="AV147">
            <v>3777848700054.6777</v>
          </cell>
          <cell r="AX147">
            <v>1337563134997.5327</v>
          </cell>
        </row>
        <row r="148">
          <cell r="V148">
            <v>1547261091.2998719</v>
          </cell>
          <cell r="W148">
            <v>26332762.462799869</v>
          </cell>
          <cell r="X148">
            <v>26332762.462799869</v>
          </cell>
          <cell r="AA148">
            <v>662864190011.39807</v>
          </cell>
          <cell r="AB148">
            <v>662864190011.39807</v>
          </cell>
          <cell r="AC148">
            <v>518038909134.41968</v>
          </cell>
          <cell r="AM148">
            <v>11262.7870415328</v>
          </cell>
          <cell r="AP148">
            <v>9140894454.8082047</v>
          </cell>
          <cell r="AQ148">
            <v>2120374745.4125001</v>
          </cell>
          <cell r="AR148">
            <v>2120374745.4125001</v>
          </cell>
          <cell r="AU148">
            <v>3916062798215.7432</v>
          </cell>
          <cell r="AV148">
            <v>3916062798215.7432</v>
          </cell>
          <cell r="AX148">
            <v>1382611619663.1035</v>
          </cell>
        </row>
        <row r="149">
          <cell r="V149">
            <v>1579289398.2353256</v>
          </cell>
          <cell r="W149">
            <v>26786335.682501871</v>
          </cell>
          <cell r="X149">
            <v>26786335.682501871</v>
          </cell>
          <cell r="AA149">
            <v>677927573965.00415</v>
          </cell>
          <cell r="AB149">
            <v>677927573965.00415</v>
          </cell>
          <cell r="AC149">
            <v>529455923362.61981</v>
          </cell>
          <cell r="AM149">
            <v>11333.127000890931</v>
          </cell>
          <cell r="AP149">
            <v>9458143670.1305485</v>
          </cell>
          <cell r="AQ149">
            <v>2177159701.2798162</v>
          </cell>
          <cell r="AR149">
            <v>2177159701.2798162</v>
          </cell>
          <cell r="AU149">
            <v>4060013572983.3081</v>
          </cell>
          <cell r="AV149">
            <v>4060013572983.3081</v>
          </cell>
          <cell r="AX149">
            <v>1429422108999.9102</v>
          </cell>
        </row>
        <row r="150">
          <cell r="V150">
            <v>1611371400.6411393</v>
          </cell>
          <cell r="W150">
            <v>27238103.558189094</v>
          </cell>
          <cell r="X150">
            <v>27238103.558189094</v>
          </cell>
          <cell r="AA150">
            <v>693068488810.29675</v>
          </cell>
          <cell r="AB150">
            <v>693068488810.29675</v>
          </cell>
          <cell r="AC150">
            <v>540909137790.62152</v>
          </cell>
          <cell r="AM150">
            <v>11398.826079488364</v>
          </cell>
          <cell r="AP150">
            <v>9777635517.4257259</v>
          </cell>
          <cell r="AQ150">
            <v>2233542442.0279779</v>
          </cell>
          <cell r="AR150">
            <v>2233542442.0279779</v>
          </cell>
          <cell r="AU150">
            <v>4205468130751.1357</v>
          </cell>
          <cell r="AV150">
            <v>4205468130751.1357</v>
          </cell>
          <cell r="AX150">
            <v>1476480100717.5845</v>
          </cell>
        </row>
        <row r="151">
          <cell r="V151">
            <v>1643896522.4312487</v>
          </cell>
          <cell r="W151">
            <v>27694660.867221333</v>
          </cell>
          <cell r="X151">
            <v>27694660.867221333</v>
          </cell>
          <cell r="AA151">
            <v>708454897866.6134</v>
          </cell>
          <cell r="AB151">
            <v>708454897866.6134</v>
          </cell>
          <cell r="AC151">
            <v>552533558862.1521</v>
          </cell>
          <cell r="AM151">
            <v>11464.430099386973</v>
          </cell>
          <cell r="AP151">
            <v>10105147789.403059</v>
          </cell>
          <cell r="AQ151">
            <v>2290996819.6279449</v>
          </cell>
          <cell r="AR151">
            <v>2290996819.6279449</v>
          </cell>
          <cell r="AU151">
            <v>4354922190893.5474</v>
          </cell>
          <cell r="AV151">
            <v>4354922190893.5474</v>
          </cell>
          <cell r="AX151">
            <v>1524663647171.3042</v>
          </cell>
        </row>
        <row r="152">
          <cell r="V152">
            <v>1676800847.8042967</v>
          </cell>
          <cell r="W152">
            <v>28174449.886890493</v>
          </cell>
          <cell r="X152">
            <v>28174449.886890493</v>
          </cell>
          <cell r="AA152">
            <v>724563037246.81323</v>
          </cell>
          <cell r="AB152">
            <v>724563037246.81323</v>
          </cell>
          <cell r="AC152">
            <v>564699155454.22205</v>
          </cell>
          <cell r="AM152">
            <v>11529.242541576048</v>
          </cell>
          <cell r="AP152">
            <v>10439789762.99095</v>
          </cell>
          <cell r="AQ152">
            <v>2350918475.0326571</v>
          </cell>
          <cell r="AR152">
            <v>2350918475.0326571</v>
          </cell>
          <cell r="AU152">
            <v>4511141432684.7695</v>
          </cell>
          <cell r="AV152">
            <v>4511141432684.7695</v>
          </cell>
          <cell r="AX152">
            <v>1574926782803.4993</v>
          </cell>
        </row>
        <row r="153">
          <cell r="V153">
            <v>1710233189.1307769</v>
          </cell>
          <cell r="W153">
            <v>28683751.200096905</v>
          </cell>
          <cell r="X153">
            <v>28683751.200096905</v>
          </cell>
          <cell r="AA153">
            <v>741564765565.06433</v>
          </cell>
          <cell r="AB153">
            <v>741564765565.06433</v>
          </cell>
          <cell r="AC153">
            <v>577539986044.1322</v>
          </cell>
          <cell r="AM153">
            <v>11593.913679298559</v>
          </cell>
          <cell r="AP153">
            <v>10783910969.059017</v>
          </cell>
          <cell r="AQ153">
            <v>2414041999.0547032</v>
          </cell>
          <cell r="AR153">
            <v>2414041999.0547032</v>
          </cell>
          <cell r="AU153">
            <v>4675952063419.6221</v>
          </cell>
          <cell r="AV153">
            <v>4675952063419.6221</v>
          </cell>
          <cell r="AX153">
            <v>1627889627845.344</v>
          </cell>
        </row>
        <row r="154">
          <cell r="V154">
            <v>1743566155.4738512</v>
          </cell>
          <cell r="W154">
            <v>29201118.290701307</v>
          </cell>
          <cell r="X154">
            <v>29201118.290701307</v>
          </cell>
          <cell r="AA154">
            <v>758623158783.93164</v>
          </cell>
          <cell r="AB154">
            <v>758623158783.93164</v>
          </cell>
          <cell r="AC154">
            <v>590405679911.9502</v>
          </cell>
          <cell r="AM154">
            <v>11660.147051593451</v>
          </cell>
          <cell r="AP154">
            <v>11140198150.475622</v>
          </cell>
          <cell r="AQ154">
            <v>2479108293.5157461</v>
          </cell>
          <cell r="AR154">
            <v>2479108293.5157461</v>
          </cell>
          <cell r="AU154">
            <v>4847084398753.9629</v>
          </cell>
          <cell r="AV154">
            <v>4847084398753.9629</v>
          </cell>
          <cell r="AX154">
            <v>1682752205222.0027</v>
          </cell>
        </row>
        <row r="155">
          <cell r="V155">
            <v>1777963172.6054134</v>
          </cell>
          <cell r="W155">
            <v>29739405.204684947</v>
          </cell>
          <cell r="X155">
            <v>29739405.204684947</v>
          </cell>
          <cell r="AA155">
            <v>776293564140.47534</v>
          </cell>
          <cell r="AB155">
            <v>776293564140.47534</v>
          </cell>
          <cell r="AC155">
            <v>603732474972.75317</v>
          </cell>
          <cell r="AM155">
            <v>11724.403494056831</v>
          </cell>
          <cell r="AP155">
            <v>11517809970.408731</v>
          </cell>
          <cell r="AQ155">
            <v>2546518472.6831064</v>
          </cell>
          <cell r="AR155">
            <v>2546518472.6831064</v>
          </cell>
          <cell r="AU155">
            <v>5028901549135.5361</v>
          </cell>
          <cell r="AV155">
            <v>5028901549135.5361</v>
          </cell>
          <cell r="AX155">
            <v>1741011711892.8647</v>
          </cell>
        </row>
        <row r="156">
          <cell r="V156">
            <v>1816994277.0524259</v>
          </cell>
          <cell r="W156">
            <v>30354475.370937958</v>
          </cell>
          <cell r="X156">
            <v>30354475.370937958</v>
          </cell>
          <cell r="AA156">
            <v>796111213225.72351</v>
          </cell>
          <cell r="AB156">
            <v>796111213225.72351</v>
          </cell>
          <cell r="AC156">
            <v>618744549844.04968</v>
          </cell>
          <cell r="AM156">
            <v>11792.448639298313</v>
          </cell>
          <cell r="AP156">
            <v>11971669456.165951</v>
          </cell>
          <cell r="AQ156">
            <v>2623016762.4044504</v>
          </cell>
          <cell r="AR156">
            <v>2623016762.4044504</v>
          </cell>
          <cell r="AU156">
            <v>5245355153537.7881</v>
          </cell>
          <cell r="AV156">
            <v>5245355153537.7881</v>
          </cell>
          <cell r="AX156">
            <v>1810966416064.1191</v>
          </cell>
        </row>
        <row r="157">
          <cell r="V157">
            <v>1856873751.5848222</v>
          </cell>
          <cell r="W157">
            <v>31023415.398810443</v>
          </cell>
          <cell r="X157">
            <v>31023415.398810443</v>
          </cell>
          <cell r="AA157">
            <v>816421128654.32568</v>
          </cell>
          <cell r="AB157">
            <v>816421128654.32568</v>
          </cell>
          <cell r="AC157">
            <v>632960103479.63623</v>
          </cell>
          <cell r="AM157">
            <v>11858.396875073729</v>
          </cell>
          <cell r="AP157">
            <v>12490062374.874083</v>
          </cell>
          <cell r="AQ157">
            <v>2712086408.6603847</v>
          </cell>
          <cell r="AR157">
            <v>2712086408.6603847</v>
          </cell>
          <cell r="AU157">
            <v>5491569263852.4648</v>
          </cell>
          <cell r="AV157">
            <v>5491569263852.4648</v>
          </cell>
          <cell r="AX157">
            <v>1882472232883.9788</v>
          </cell>
        </row>
        <row r="158">
          <cell r="V158">
            <v>1881063315.9215748</v>
          </cell>
          <cell r="W158">
            <v>31434708.803376295</v>
          </cell>
          <cell r="X158">
            <v>31434708.803376295</v>
          </cell>
          <cell r="AA158">
            <v>828968755330.19946</v>
          </cell>
          <cell r="AB158">
            <v>828968755330.19946</v>
          </cell>
          <cell r="AC158">
            <v>640972537737.35193</v>
          </cell>
          <cell r="AM158">
            <v>11890</v>
          </cell>
          <cell r="AP158">
            <v>12803758421.142471</v>
          </cell>
          <cell r="AQ158">
            <v>2769703970.1335001</v>
          </cell>
          <cell r="AR158">
            <v>2769703970.1335001</v>
          </cell>
          <cell r="AU158">
            <v>5642508464274.1221</v>
          </cell>
          <cell r="AV158">
            <v>5642508464274.1221</v>
          </cell>
          <cell r="AX158">
            <v>1920278011824.9302</v>
          </cell>
        </row>
        <row r="159">
          <cell r="V159">
            <v>1900767688.1211901</v>
          </cell>
          <cell r="W159">
            <v>31767943.07138148</v>
          </cell>
          <cell r="X159">
            <v>31767943.07138148</v>
          </cell>
          <cell r="AA159">
            <v>839498705106.92188</v>
          </cell>
          <cell r="AB159">
            <v>839498705106.92188</v>
          </cell>
          <cell r="AC159">
            <v>647342187464.67004</v>
          </cell>
          <cell r="AM159">
            <v>11890</v>
          </cell>
          <cell r="AP159">
            <v>13045327972.105419</v>
          </cell>
          <cell r="AQ159">
            <v>2812659299.528502</v>
          </cell>
          <cell r="AR159">
            <v>2812659299.528502</v>
          </cell>
          <cell r="AU159">
            <v>5761638315254.9434</v>
          </cell>
          <cell r="AV159">
            <v>5761638315254.9434</v>
          </cell>
          <cell r="AX159">
            <v>1946668465526.3606</v>
          </cell>
        </row>
        <row r="160">
          <cell r="V160">
            <v>1911752066.01226</v>
          </cell>
          <cell r="W160">
            <v>31955485.521870364</v>
          </cell>
          <cell r="X160">
            <v>31955485.521870364</v>
          </cell>
          <cell r="AA160">
            <v>846207167229.0686</v>
          </cell>
          <cell r="AB160">
            <v>846207167229.0686</v>
          </cell>
          <cell r="AC160">
            <v>650708297801.01428</v>
          </cell>
          <cell r="AM160">
            <v>11890</v>
          </cell>
          <cell r="AP160">
            <v>13142781577.807512</v>
          </cell>
          <cell r="AQ160">
            <v>2838640710.6246858</v>
          </cell>
          <cell r="AR160">
            <v>2838640710.6246858</v>
          </cell>
          <cell r="AU160">
            <v>5817446815509.5811</v>
          </cell>
          <cell r="AV160">
            <v>5817446815509.5811</v>
          </cell>
          <cell r="AX160">
            <v>1953216229262.5432</v>
          </cell>
        </row>
        <row r="161">
          <cell r="V161">
            <v>1921987572.884284</v>
          </cell>
          <cell r="W161">
            <v>32130537.864141643</v>
          </cell>
          <cell r="X161">
            <v>32130537.864141643</v>
          </cell>
          <cell r="AA161">
            <v>852604766221.53052</v>
          </cell>
          <cell r="AB161">
            <v>852604766221.53052</v>
          </cell>
          <cell r="AC161">
            <v>653815877887.95654</v>
          </cell>
          <cell r="AM161">
            <v>11890</v>
          </cell>
          <cell r="AP161">
            <v>13227625312.02944</v>
          </cell>
          <cell r="AQ161">
            <v>2863235504.4950175</v>
          </cell>
          <cell r="AR161">
            <v>2863235504.4950175</v>
          </cell>
          <cell r="AU161">
            <v>5867850836259.2129</v>
          </cell>
          <cell r="AV161">
            <v>5867850836259.2129</v>
          </cell>
          <cell r="AX161">
            <v>1958004698968.2251</v>
          </cell>
        </row>
        <row r="162">
          <cell r="V162">
            <v>1932251181.8039603</v>
          </cell>
          <cell r="W162">
            <v>32306085.831116162</v>
          </cell>
          <cell r="X162">
            <v>32306085.831116162</v>
          </cell>
          <cell r="AA162">
            <v>859034744212.34241</v>
          </cell>
          <cell r="AB162">
            <v>859034744212.34241</v>
          </cell>
          <cell r="AC162">
            <v>656932205724.77441</v>
          </cell>
          <cell r="AM162">
            <v>11890</v>
          </cell>
          <cell r="AP162">
            <v>13312743488.0009</v>
          </cell>
          <cell r="AQ162">
            <v>2887970264.9237528</v>
          </cell>
          <cell r="AR162">
            <v>2887970264.9237528</v>
          </cell>
          <cell r="AU162">
            <v>5918541701344.7324</v>
          </cell>
          <cell r="AV162">
            <v>5918541701344.7324</v>
          </cell>
          <cell r="AX162">
            <v>1962795546865.2961</v>
          </cell>
        </row>
        <row r="163">
          <cell r="V163">
            <v>1942542901.3338037</v>
          </cell>
          <cell r="W163">
            <v>32482129.579220176</v>
          </cell>
          <cell r="X163">
            <v>32482129.579220176</v>
          </cell>
          <cell r="AA163">
            <v>865497186911.20728</v>
          </cell>
          <cell r="AB163">
            <v>865497186911.20728</v>
          </cell>
          <cell r="AC163">
            <v>660057290839.20081</v>
          </cell>
          <cell r="AM163">
            <v>11890</v>
          </cell>
          <cell r="AP163">
            <v>13398136117.34938</v>
          </cell>
          <cell r="AQ163">
            <v>2912845384.6915121</v>
          </cell>
          <cell r="AR163">
            <v>2912845384.6915121</v>
          </cell>
          <cell r="AU163">
            <v>5969520215721.9619</v>
          </cell>
          <cell r="AV163">
            <v>5969520215721.9619</v>
          </cell>
          <cell r="AX163">
            <v>1967588773737.8076</v>
          </cell>
        </row>
        <row r="164">
          <cell r="V164">
            <v>1952862740.011013</v>
          </cell>
          <cell r="W164">
            <v>32658669.264417544</v>
          </cell>
          <cell r="X164">
            <v>32658669.264417544</v>
          </cell>
          <cell r="AA164">
            <v>871992180049.79456</v>
          </cell>
          <cell r="AB164">
            <v>871992180049.79456</v>
          </cell>
          <cell r="AC164">
            <v>663191142761.30408</v>
          </cell>
          <cell r="AM164">
            <v>11890</v>
          </cell>
          <cell r="AP164">
            <v>13483803211.666924</v>
          </cell>
          <cell r="AQ164">
            <v>2937861256.5932384</v>
          </cell>
          <cell r="AR164">
            <v>2937861256.5932384</v>
          </cell>
          <cell r="AU164">
            <v>6020787184376.0771</v>
          </cell>
          <cell r="AV164">
            <v>6020787184376.0771</v>
          </cell>
          <cell r="AX164">
            <v>1972384380367.5261</v>
          </cell>
        </row>
        <row r="165">
          <cell r="V165">
            <v>1963210706.3475568</v>
          </cell>
          <cell r="W165">
            <v>32835705.04221113</v>
          </cell>
          <cell r="X165">
            <v>32835705.04221113</v>
          </cell>
          <cell r="AA165">
            <v>878519809381.65454</v>
          </cell>
          <cell r="AB165">
            <v>878519809381.65454</v>
          </cell>
          <cell r="AC165">
            <v>666333771023.47925</v>
          </cell>
          <cell r="AM165">
            <v>11890</v>
          </cell>
          <cell r="AP165">
            <v>13569744782.510267</v>
          </cell>
          <cell r="AQ165">
            <v>2963018273.4381437</v>
          </cell>
          <cell r="AR165">
            <v>2963018273.4381437</v>
          </cell>
          <cell r="AU165">
            <v>6072343412321.498</v>
          </cell>
          <cell r="AV165">
            <v>6072343412321.498</v>
          </cell>
          <cell r="AX165">
            <v>1977182367533.9419</v>
          </cell>
        </row>
        <row r="166">
          <cell r="V166">
            <v>1973581835.8856423</v>
          </cell>
          <cell r="W166">
            <v>33013153.882552925</v>
          </cell>
          <cell r="X166">
            <v>33013153.882552925</v>
          </cell>
          <cell r="AA166">
            <v>885077930501.73523</v>
          </cell>
          <cell r="AB166">
            <v>885077930501.73523</v>
          </cell>
          <cell r="AC166">
            <v>669484899642.71326</v>
          </cell>
          <cell r="AM166">
            <v>11890</v>
          </cell>
          <cell r="AP166">
            <v>13655959440.603788</v>
          </cell>
          <cell r="AQ166">
            <v>2988316521.5149589</v>
          </cell>
          <cell r="AR166">
            <v>2988316521.5149589</v>
          </cell>
          <cell r="AU166">
            <v>6124189076396.418</v>
          </cell>
          <cell r="AV166">
            <v>6124189076396.418</v>
          </cell>
          <cell r="AX166">
            <v>1981982319599.02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羁绊简述"/>
      <sheetName val="羁绊设计"/>
      <sheetName val="羁绊解锁统计"/>
      <sheetName val="分列处理"/>
      <sheetName val="Sheet1"/>
    </sheetNames>
    <sheetDataSet>
      <sheetData sheetId="0"/>
      <sheetData sheetId="1">
        <row r="2">
          <cell r="J2">
            <v>110</v>
          </cell>
        </row>
        <row r="9">
          <cell r="F9" t="str">
            <v>橙</v>
          </cell>
          <cell r="AD9" t="str">
            <v>红颜祸水</v>
          </cell>
          <cell r="AE9" t="str">
            <v>东夷西戎</v>
          </cell>
          <cell r="AF9" t="str">
            <v>红颜薄命</v>
          </cell>
          <cell r="AG9" t="str">
            <v>国色天资</v>
          </cell>
          <cell r="AH9" t="str">
            <v>金枝玉叶</v>
          </cell>
          <cell r="AI9" t="str">
            <v>见血封喉</v>
          </cell>
          <cell r="AJ9" t="str">
            <v>擅宠而骄</v>
          </cell>
          <cell r="AK9" t="str">
            <v>&amp;</v>
          </cell>
        </row>
        <row r="10">
          <cell r="F10" t="str">
            <v>橙+</v>
          </cell>
          <cell r="AD10" t="str">
            <v>&amp;</v>
          </cell>
          <cell r="AE10" t="str">
            <v>&amp;</v>
          </cell>
          <cell r="AF10" t="str">
            <v>&amp;</v>
          </cell>
          <cell r="AG10" t="str">
            <v>&amp;</v>
          </cell>
          <cell r="AH10" t="str">
            <v>&amp;</v>
          </cell>
          <cell r="AI10" t="str">
            <v>&amp;</v>
          </cell>
          <cell r="AJ10" t="str">
            <v>&amp;</v>
          </cell>
          <cell r="AK10" t="str">
            <v>&amp;</v>
          </cell>
        </row>
        <row r="11">
          <cell r="F11" t="str">
            <v>橙</v>
          </cell>
          <cell r="AD11" t="str">
            <v>穷兵黩武</v>
          </cell>
          <cell r="AE11" t="str">
            <v>南征北战</v>
          </cell>
          <cell r="AF11" t="str">
            <v>东夷西戎</v>
          </cell>
          <cell r="AG11" t="str">
            <v>野心勃勃</v>
          </cell>
          <cell r="AH11" t="str">
            <v>恩怨情仇</v>
          </cell>
          <cell r="AI11" t="str">
            <v>起兵边蛮</v>
          </cell>
          <cell r="AJ11" t="str">
            <v>反复无常</v>
          </cell>
          <cell r="AK11" t="str">
            <v>&amp;</v>
          </cell>
        </row>
        <row r="12">
          <cell r="AD12" t="str">
            <v>冲锋陷阵</v>
          </cell>
          <cell r="AE12" t="str">
            <v>身经百战</v>
          </cell>
          <cell r="AF12" t="str">
            <v>英雄美人</v>
          </cell>
          <cell r="AG12" t="str">
            <v>&amp;</v>
          </cell>
          <cell r="AH12" t="str">
            <v>&amp;</v>
          </cell>
          <cell r="AI12" t="str">
            <v>&amp;</v>
          </cell>
          <cell r="AJ12" t="str">
            <v>&amp;</v>
          </cell>
          <cell r="AK12" t="str">
            <v>&amp;</v>
          </cell>
        </row>
        <row r="13">
          <cell r="F13" t="str">
            <v>橙+</v>
          </cell>
          <cell r="AD13" t="str">
            <v>兴国安邦</v>
          </cell>
          <cell r="AE13" t="str">
            <v>老当益壮</v>
          </cell>
          <cell r="AF13" t="str">
            <v>国之柱石</v>
          </cell>
          <cell r="AG13" t="str">
            <v>反间计</v>
          </cell>
          <cell r="AH13" t="str">
            <v>冲锋陷阵</v>
          </cell>
          <cell r="AI13" t="str">
            <v>勇武过人</v>
          </cell>
          <cell r="AJ13" t="str">
            <v>老骥伏枥</v>
          </cell>
          <cell r="AK13" t="str">
            <v>宝刀未老</v>
          </cell>
        </row>
        <row r="14">
          <cell r="F14" t="str">
            <v>橙</v>
          </cell>
          <cell r="AD14" t="str">
            <v>出将入相</v>
          </cell>
          <cell r="AE14" t="str">
            <v>权倾朝野</v>
          </cell>
          <cell r="AF14" t="str">
            <v>门客三千</v>
          </cell>
          <cell r="AG14" t="str">
            <v>大权在握</v>
          </cell>
          <cell r="AH14" t="str">
            <v>一人之下</v>
          </cell>
          <cell r="AI14" t="str">
            <v>国之栋梁</v>
          </cell>
          <cell r="AJ14" t="str">
            <v>年少有为</v>
          </cell>
          <cell r="AK14" t="str">
            <v>好客养士</v>
          </cell>
        </row>
        <row r="15">
          <cell r="F15" t="str">
            <v>橙</v>
          </cell>
          <cell r="AD15" t="str">
            <v>红颜祸水</v>
          </cell>
          <cell r="AE15" t="str">
            <v>忍辱负重</v>
          </cell>
          <cell r="AF15" t="str">
            <v>巾帼英雄</v>
          </cell>
          <cell r="AG15" t="str">
            <v>红颜薄命</v>
          </cell>
          <cell r="AH15" t="str">
            <v>辅佐奇才</v>
          </cell>
          <cell r="AI15" t="str">
            <v>国色天资</v>
          </cell>
          <cell r="AJ15" t="str">
            <v>缓急相济</v>
          </cell>
          <cell r="AK15" t="str">
            <v>楚楚动人</v>
          </cell>
        </row>
        <row r="16">
          <cell r="F16" t="str">
            <v>橙+</v>
          </cell>
          <cell r="AD16" t="str">
            <v>&amp;</v>
          </cell>
          <cell r="AE16" t="str">
            <v>&amp;</v>
          </cell>
          <cell r="AF16" t="str">
            <v>&amp;</v>
          </cell>
          <cell r="AG16" t="str">
            <v>&amp;</v>
          </cell>
          <cell r="AH16" t="str">
            <v>&amp;</v>
          </cell>
          <cell r="AI16" t="str">
            <v>&amp;</v>
          </cell>
          <cell r="AJ16" t="str">
            <v>&amp;</v>
          </cell>
          <cell r="AK16" t="str">
            <v>&amp;</v>
          </cell>
        </row>
        <row r="17">
          <cell r="F17" t="str">
            <v>橙+</v>
          </cell>
          <cell r="AD17" t="str">
            <v>著书立说</v>
          </cell>
          <cell r="AE17" t="str">
            <v>变法强国</v>
          </cell>
          <cell r="AF17" t="str">
            <v>大权在握</v>
          </cell>
          <cell r="AG17" t="str">
            <v>掌控雷电</v>
          </cell>
          <cell r="AH17" t="str">
            <v>身经百战</v>
          </cell>
          <cell r="AI17" t="str">
            <v>能文能武</v>
          </cell>
          <cell r="AJ17" t="str">
            <v>名奉武庙</v>
          </cell>
          <cell r="AK17" t="str">
            <v>文韬武略</v>
          </cell>
        </row>
        <row r="18">
          <cell r="F18" t="str">
            <v>紫</v>
          </cell>
          <cell r="AD18" t="str">
            <v>女中豪杰</v>
          </cell>
          <cell r="AE18" t="str">
            <v>江湖豪侠</v>
          </cell>
          <cell r="AF18" t="str">
            <v>&amp;</v>
          </cell>
          <cell r="AG18" t="str">
            <v>&amp;</v>
          </cell>
          <cell r="AH18" t="str">
            <v>&amp;</v>
          </cell>
          <cell r="AI18" t="str">
            <v>&amp;</v>
          </cell>
          <cell r="AJ18" t="str">
            <v>&amp;</v>
          </cell>
          <cell r="AK18" t="str">
            <v>&amp;</v>
          </cell>
        </row>
        <row r="19">
          <cell r="F19" t="str">
            <v>紫</v>
          </cell>
          <cell r="AD19" t="str">
            <v>敢死之士</v>
          </cell>
          <cell r="AE19" t="str">
            <v>力敌万夫</v>
          </cell>
          <cell r="AF19" t="str">
            <v>江湖豪侠</v>
          </cell>
          <cell r="AG19" t="str">
            <v>&amp;</v>
          </cell>
          <cell r="AH19" t="str">
            <v>&amp;</v>
          </cell>
          <cell r="AI19" t="str">
            <v>&amp;</v>
          </cell>
          <cell r="AJ19" t="str">
            <v>&amp;</v>
          </cell>
          <cell r="AK19" t="str">
            <v>&amp;</v>
          </cell>
        </row>
        <row r="20">
          <cell r="F20" t="str">
            <v>橙+</v>
          </cell>
          <cell r="AD20" t="str">
            <v>位高权重</v>
          </cell>
          <cell r="AE20" t="str">
            <v>大秦宗亲</v>
          </cell>
          <cell r="AF20" t="str">
            <v>国色天资</v>
          </cell>
          <cell r="AG20" t="str">
            <v>心狠手辣</v>
          </cell>
          <cell r="AH20" t="str">
            <v>权倾一时</v>
          </cell>
          <cell r="AI20" t="str">
            <v>执掌天下</v>
          </cell>
          <cell r="AJ20" t="str">
            <v>任人唯亲</v>
          </cell>
          <cell r="AK20" t="str">
            <v>&amp;</v>
          </cell>
        </row>
        <row r="21">
          <cell r="F21" t="str">
            <v>橙+</v>
          </cell>
          <cell r="AD21" t="str">
            <v>老骥伏枥</v>
          </cell>
          <cell r="AE21" t="str">
            <v>技惊当世</v>
          </cell>
          <cell r="AF21" t="str">
            <v>轻敌冒进</v>
          </cell>
          <cell r="AG21" t="str">
            <v>大意败亡</v>
          </cell>
          <cell r="AH21" t="str">
            <v>强弓擅射</v>
          </cell>
          <cell r="AI21" t="str">
            <v>&amp;</v>
          </cell>
          <cell r="AJ21" t="str">
            <v>&amp;</v>
          </cell>
          <cell r="AK21" t="str">
            <v>&amp;</v>
          </cell>
        </row>
        <row r="22">
          <cell r="F22" t="str">
            <v>橙+</v>
          </cell>
          <cell r="AD22" t="str">
            <v>宝刀未老</v>
          </cell>
          <cell r="AE22" t="str">
            <v>大漢飛將</v>
          </cell>
          <cell r="AF22" t="str">
            <v>龙城飞将</v>
          </cell>
          <cell r="AG22" t="str">
            <v>龙城飞将</v>
          </cell>
          <cell r="AH22" t="str">
            <v>驱逐匈奴</v>
          </cell>
          <cell r="AI22" t="str">
            <v>沙场宿将</v>
          </cell>
          <cell r="AJ22" t="str">
            <v>&amp;</v>
          </cell>
          <cell r="AK22" t="str">
            <v>&amp;</v>
          </cell>
        </row>
        <row r="23">
          <cell r="F23" t="str">
            <v>橙</v>
          </cell>
          <cell r="AD23" t="str">
            <v>慧眼识人</v>
          </cell>
          <cell r="AE23" t="str">
            <v>问鼎之心</v>
          </cell>
          <cell r="AF23" t="str">
            <v>君圣臣贤</v>
          </cell>
          <cell r="AG23" t="str">
            <v>英雄美人</v>
          </cell>
          <cell r="AH23" t="str">
            <v>春秋霸主</v>
          </cell>
          <cell r="AI23" t="str">
            <v>春秋霸主</v>
          </cell>
          <cell r="AJ23" t="str">
            <v>楚国翘楚</v>
          </cell>
          <cell r="AK23" t="str">
            <v>万夫莫当</v>
          </cell>
        </row>
        <row r="24">
          <cell r="F24" t="str">
            <v>橙</v>
          </cell>
          <cell r="AD24" t="str">
            <v>齐国宗室</v>
          </cell>
          <cell r="AE24" t="str">
            <v>御敌于国</v>
          </cell>
          <cell r="AF24" t="str">
            <v>棋逢对手</v>
          </cell>
          <cell r="AG24" t="str">
            <v>兴国安邦</v>
          </cell>
          <cell r="AH24" t="str">
            <v>攻守相济</v>
          </cell>
          <cell r="AI24" t="str">
            <v>功高震主</v>
          </cell>
          <cell r="AJ24" t="str">
            <v>古之名将</v>
          </cell>
          <cell r="AK24" t="str">
            <v>七窍玲珑</v>
          </cell>
        </row>
        <row r="25">
          <cell r="F25" t="str">
            <v>橙</v>
          </cell>
          <cell r="AD25" t="str">
            <v>平定蜀乱</v>
          </cell>
          <cell r="AE25" t="str">
            <v>百战名将</v>
          </cell>
          <cell r="AF25" t="str">
            <v>开疆扩土</v>
          </cell>
          <cell r="AG25" t="str">
            <v>老当益壮</v>
          </cell>
          <cell r="AH25" t="str">
            <v>大秦帝国</v>
          </cell>
          <cell r="AI25" t="str">
            <v>一心为国</v>
          </cell>
          <cell r="AJ25" t="str">
            <v>剑风凌厉</v>
          </cell>
          <cell r="AK25" t="str">
            <v>&amp;</v>
          </cell>
        </row>
        <row r="26">
          <cell r="F26" t="str">
            <v>橙</v>
          </cell>
          <cell r="AD26" t="str">
            <v>进献奇人</v>
          </cell>
          <cell r="AE26" t="str">
            <v>权倾朝野</v>
          </cell>
          <cell r="AF26" t="str">
            <v>生死予夺</v>
          </cell>
          <cell r="AG26" t="str">
            <v>著书立说</v>
          </cell>
          <cell r="AH26" t="str">
            <v>权力之路</v>
          </cell>
          <cell r="AI26" t="str">
            <v>国之栋梁</v>
          </cell>
          <cell r="AJ26" t="str">
            <v>野心勃勃</v>
          </cell>
          <cell r="AK26" t="str">
            <v>大秦帝国</v>
          </cell>
        </row>
        <row r="27">
          <cell r="F27" t="str">
            <v>橙+</v>
          </cell>
          <cell r="AD27" t="str">
            <v>王佐之才</v>
          </cell>
          <cell r="AE27" t="str">
            <v>主仆殊途</v>
          </cell>
          <cell r="AF27" t="str">
            <v>人定胜天</v>
          </cell>
          <cell r="AG27" t="str">
            <v>&amp;</v>
          </cell>
          <cell r="AH27" t="str">
            <v>&amp;</v>
          </cell>
          <cell r="AI27" t="str">
            <v>&amp;</v>
          </cell>
          <cell r="AJ27" t="str">
            <v>&amp;</v>
          </cell>
          <cell r="AK27" t="str">
            <v>&amp;</v>
          </cell>
        </row>
        <row r="28">
          <cell r="F28" t="str">
            <v>橙</v>
          </cell>
          <cell r="AD28" t="str">
            <v>力敌万夫</v>
          </cell>
          <cell r="AE28" t="str">
            <v>平定蜀乱</v>
          </cell>
          <cell r="AF28" t="str">
            <v>问鼎之心</v>
          </cell>
          <cell r="AG28" t="str">
            <v>英雄美人</v>
          </cell>
          <cell r="AH28" t="str">
            <v>春秋霸主</v>
          </cell>
          <cell r="AI28" t="str">
            <v>恩怨情仇</v>
          </cell>
          <cell r="AJ28" t="str">
            <v>大秦宗亲</v>
          </cell>
          <cell r="AK28" t="str">
            <v>一脉相传</v>
          </cell>
        </row>
        <row r="29">
          <cell r="F29" t="str">
            <v>蓝</v>
          </cell>
          <cell r="AD29" t="str">
            <v>进献奇人</v>
          </cell>
          <cell r="AE29" t="str">
            <v>&amp;</v>
          </cell>
          <cell r="AF29" t="str">
            <v>&amp;</v>
          </cell>
          <cell r="AG29" t="str">
            <v>&amp;</v>
          </cell>
          <cell r="AH29" t="str">
            <v>&amp;</v>
          </cell>
          <cell r="AI29" t="str">
            <v>&amp;</v>
          </cell>
          <cell r="AJ29" t="str">
            <v>&amp;</v>
          </cell>
          <cell r="AK29" t="str">
            <v>&amp;</v>
          </cell>
        </row>
        <row r="30">
          <cell r="F30" t="str">
            <v>橙</v>
          </cell>
          <cell r="AD30" t="str">
            <v>志在灭秦</v>
          </cell>
          <cell r="AE30" t="str">
            <v>暮年壮志</v>
          </cell>
          <cell r="AF30" t="str">
            <v>王佐之才</v>
          </cell>
          <cell r="AG30" t="str">
            <v>王佐之才</v>
          </cell>
          <cell r="AH30" t="str">
            <v>&amp;</v>
          </cell>
          <cell r="AI30" t="str">
            <v>&amp;</v>
          </cell>
          <cell r="AJ30" t="str">
            <v>&amp;</v>
          </cell>
          <cell r="AK30" t="str">
            <v>&amp;</v>
          </cell>
        </row>
        <row r="31">
          <cell r="F31" t="str">
            <v>橙+</v>
          </cell>
          <cell r="AD31" t="str">
            <v>人生浮沉</v>
          </cell>
          <cell r="AE31" t="str">
            <v>生而富贵</v>
          </cell>
          <cell r="AF31" t="str">
            <v>擅宠而骄</v>
          </cell>
          <cell r="AG31" t="str">
            <v>&amp;</v>
          </cell>
          <cell r="AH31" t="str">
            <v>&amp;</v>
          </cell>
          <cell r="AI31" t="str">
            <v>&amp;</v>
          </cell>
          <cell r="AJ31" t="str">
            <v>&amp;</v>
          </cell>
          <cell r="AK31" t="str">
            <v>&amp;</v>
          </cell>
        </row>
        <row r="32">
          <cell r="F32" t="str">
            <v>橙</v>
          </cell>
          <cell r="AD32" t="str">
            <v>反间计</v>
          </cell>
          <cell r="AE32" t="str">
            <v>相印</v>
          </cell>
          <cell r="AF32" t="str">
            <v>有损无益</v>
          </cell>
          <cell r="AG32" t="str">
            <v>秦相</v>
          </cell>
          <cell r="AH32" t="str">
            <v>未能善终</v>
          </cell>
          <cell r="AI32" t="str">
            <v>&amp;</v>
          </cell>
          <cell r="AJ32" t="str">
            <v>&amp;</v>
          </cell>
          <cell r="AK32" t="str">
            <v>&amp;</v>
          </cell>
        </row>
        <row r="33">
          <cell r="F33" t="str">
            <v>橙+</v>
          </cell>
          <cell r="AD33" t="str">
            <v>&amp;</v>
          </cell>
          <cell r="AE33" t="str">
            <v>&amp;</v>
          </cell>
          <cell r="AF33" t="str">
            <v>&amp;</v>
          </cell>
          <cell r="AG33" t="str">
            <v>&amp;</v>
          </cell>
          <cell r="AH33" t="str">
            <v>&amp;</v>
          </cell>
          <cell r="AI33" t="str">
            <v>&amp;</v>
          </cell>
          <cell r="AJ33" t="str">
            <v>&amp;</v>
          </cell>
          <cell r="AK33" t="str">
            <v>&amp;</v>
          </cell>
        </row>
        <row r="34">
          <cell r="F34" t="str">
            <v>橙</v>
          </cell>
          <cell r="AD34" t="str">
            <v>秦相</v>
          </cell>
          <cell r="AE34" t="str">
            <v>未能善终</v>
          </cell>
          <cell r="AF34" t="str">
            <v>师出同门</v>
          </cell>
          <cell r="AG34" t="str">
            <v>王佐之才</v>
          </cell>
          <cell r="AH34" t="str">
            <v>执掌天下</v>
          </cell>
          <cell r="AI34" t="str">
            <v>不得善终</v>
          </cell>
          <cell r="AJ34" t="str">
            <v>王佐之才</v>
          </cell>
          <cell r="AK34" t="str">
            <v>&amp;</v>
          </cell>
        </row>
        <row r="35">
          <cell r="F35" t="str">
            <v>橙</v>
          </cell>
          <cell r="AD35" t="str">
            <v>人文之士</v>
          </cell>
          <cell r="AE35" t="str">
            <v>南征北战</v>
          </cell>
          <cell r="AF35" t="str">
            <v>建功立业</v>
          </cell>
          <cell r="AG35" t="str">
            <v>兴国安邦</v>
          </cell>
          <cell r="AH35" t="str">
            <v>国之柱石</v>
          </cell>
          <cell r="AI35" t="str">
            <v>大秦帝国</v>
          </cell>
          <cell r="AJ35" t="str">
            <v>大秦宗亲</v>
          </cell>
          <cell r="AK35" t="str">
            <v>&amp;</v>
          </cell>
        </row>
        <row r="36">
          <cell r="F36" t="str">
            <v>橙</v>
          </cell>
          <cell r="AD36" t="str">
            <v>百业翘楚</v>
          </cell>
          <cell r="AE36" t="str">
            <v>慧眼识人</v>
          </cell>
          <cell r="AF36" t="str">
            <v>出类拔萃</v>
          </cell>
          <cell r="AG36" t="str">
            <v>辅佐奇才</v>
          </cell>
          <cell r="AH36" t="str">
            <v>好客养士</v>
          </cell>
          <cell r="AI36" t="str">
            <v>著作留世</v>
          </cell>
          <cell r="AJ36" t="str">
            <v>&amp;</v>
          </cell>
          <cell r="AK36" t="str">
            <v>&amp;</v>
          </cell>
        </row>
        <row r="37">
          <cell r="F37" t="str">
            <v>紫</v>
          </cell>
          <cell r="AD37" t="str">
            <v>女中豪杰</v>
          </cell>
          <cell r="AE37" t="str">
            <v>破秦勇将</v>
          </cell>
          <cell r="AF37" t="str">
            <v>巾帼英雄</v>
          </cell>
          <cell r="AG37" t="str">
            <v>&amp;</v>
          </cell>
          <cell r="AH37" t="str">
            <v>&amp;</v>
          </cell>
          <cell r="AI37" t="str">
            <v>&amp;</v>
          </cell>
          <cell r="AJ37" t="str">
            <v>&amp;</v>
          </cell>
          <cell r="AK37" t="str">
            <v>&amp;</v>
          </cell>
        </row>
        <row r="38">
          <cell r="F38" t="str">
            <v>橙</v>
          </cell>
          <cell r="AD38" t="str">
            <v>合纵攻秦</v>
          </cell>
          <cell r="AE38" t="str">
            <v>位居相国</v>
          </cell>
          <cell r="AF38" t="str">
            <v>好客养士</v>
          </cell>
          <cell r="AG38" t="str">
            <v>才貌双全</v>
          </cell>
          <cell r="AH38" t="str">
            <v>生而富贵</v>
          </cell>
          <cell r="AI38" t="str">
            <v>&amp;</v>
          </cell>
          <cell r="AJ38" t="str">
            <v>&amp;</v>
          </cell>
          <cell r="AK38" t="str">
            <v>&amp;</v>
          </cell>
        </row>
        <row r="39">
          <cell r="F39" t="str">
            <v>橙+</v>
          </cell>
          <cell r="AD39" t="str">
            <v>掌控雷电</v>
          </cell>
          <cell r="AE39" t="str">
            <v>白发红颜</v>
          </cell>
          <cell r="AF39" t="str">
            <v>呼风唤雨</v>
          </cell>
          <cell r="AG39" t="str">
            <v>&amp;</v>
          </cell>
          <cell r="AH39" t="str">
            <v>&amp;</v>
          </cell>
          <cell r="AI39" t="str">
            <v>&amp;</v>
          </cell>
          <cell r="AJ39" t="str">
            <v>&amp;</v>
          </cell>
          <cell r="AK39" t="str">
            <v>&amp;</v>
          </cell>
        </row>
        <row r="40">
          <cell r="F40" t="str">
            <v>橙</v>
          </cell>
          <cell r="AD40" t="str">
            <v>百业翘楚</v>
          </cell>
          <cell r="AE40" t="str">
            <v>颠沛流离</v>
          </cell>
          <cell r="AF40" t="str">
            <v>老当益壮</v>
          </cell>
          <cell r="AG40" t="str">
            <v>出类拔萃</v>
          </cell>
          <cell r="AH40" t="str">
            <v>出类拔粹</v>
          </cell>
          <cell r="AI40" t="str">
            <v>缓急相济</v>
          </cell>
          <cell r="AJ40" t="str">
            <v>白发红颜</v>
          </cell>
          <cell r="AK40" t="str">
            <v>技惊当世</v>
          </cell>
        </row>
        <row r="41">
          <cell r="F41" t="str">
            <v>紫</v>
          </cell>
          <cell r="AD41" t="str">
            <v>田忌赛马</v>
          </cell>
          <cell r="AE41" t="str">
            <v>齐国宗室</v>
          </cell>
          <cell r="AF41" t="str">
            <v>&amp;</v>
          </cell>
          <cell r="AG41" t="str">
            <v>&amp;</v>
          </cell>
          <cell r="AH41" t="str">
            <v>&amp;</v>
          </cell>
          <cell r="AI41" t="str">
            <v>&amp;</v>
          </cell>
          <cell r="AJ41" t="str">
            <v>&amp;</v>
          </cell>
          <cell r="AK41" t="str">
            <v>&amp;</v>
          </cell>
        </row>
        <row r="42">
          <cell r="F42" t="str">
            <v>橙</v>
          </cell>
          <cell r="AD42" t="str">
            <v>御敌于国</v>
          </cell>
          <cell r="AE42" t="str">
            <v>东征西讨</v>
          </cell>
          <cell r="AF42" t="str">
            <v>百战名将</v>
          </cell>
          <cell r="AG42" t="str">
            <v>著书立说</v>
          </cell>
          <cell r="AH42" t="str">
            <v>国之柱石</v>
          </cell>
          <cell r="AI42" t="str">
            <v>攻守相济</v>
          </cell>
          <cell r="AJ42" t="str">
            <v>衔冤而死</v>
          </cell>
          <cell r="AK42" t="str">
            <v>荣辱与共</v>
          </cell>
        </row>
        <row r="43">
          <cell r="F43" t="str">
            <v>橙</v>
          </cell>
          <cell r="AD43" t="str">
            <v>&amp;</v>
          </cell>
          <cell r="AE43" t="str">
            <v>&amp;</v>
          </cell>
          <cell r="AF43" t="str">
            <v>&amp;</v>
          </cell>
          <cell r="AG43" t="str">
            <v>&amp;</v>
          </cell>
          <cell r="AH43" t="str">
            <v>&amp;</v>
          </cell>
          <cell r="AI43" t="str">
            <v>&amp;</v>
          </cell>
          <cell r="AJ43" t="str">
            <v>&amp;</v>
          </cell>
          <cell r="AK43" t="str">
            <v>&amp;</v>
          </cell>
        </row>
        <row r="44">
          <cell r="F44" t="str">
            <v>橙</v>
          </cell>
          <cell r="AD44" t="str">
            <v>田忌赛马</v>
          </cell>
          <cell r="AE44" t="str">
            <v>针锋相对</v>
          </cell>
          <cell r="AF44" t="str">
            <v>报仇雪耻</v>
          </cell>
          <cell r="AG44" t="str">
            <v>著书立说</v>
          </cell>
          <cell r="AH44" t="str">
            <v>为国为民</v>
          </cell>
          <cell r="AI44" t="str">
            <v>权力之路</v>
          </cell>
          <cell r="AJ44" t="str">
            <v>野心勃勃</v>
          </cell>
          <cell r="AK44" t="str">
            <v>古之名将</v>
          </cell>
        </row>
        <row r="45">
          <cell r="F45" t="str">
            <v>橙+</v>
          </cell>
          <cell r="AD45" t="str">
            <v>&amp;</v>
          </cell>
          <cell r="AE45" t="str">
            <v>&amp;</v>
          </cell>
          <cell r="AF45" t="str">
            <v>&amp;</v>
          </cell>
          <cell r="AG45" t="str">
            <v>&amp;</v>
          </cell>
          <cell r="AH45" t="str">
            <v>&amp;</v>
          </cell>
          <cell r="AI45" t="str">
            <v>&amp;</v>
          </cell>
          <cell r="AJ45" t="str">
            <v>&amp;</v>
          </cell>
          <cell r="AK45" t="str">
            <v>&amp;</v>
          </cell>
        </row>
        <row r="46">
          <cell r="F46" t="str">
            <v>橙+</v>
          </cell>
          <cell r="AD46" t="str">
            <v>春秋霸主</v>
          </cell>
          <cell r="AE46" t="str">
            <v>荣辱与共</v>
          </cell>
          <cell r="AF46" t="str">
            <v>能文能武</v>
          </cell>
          <cell r="AG46" t="str">
            <v>乱世枭雄</v>
          </cell>
          <cell r="AH46" t="str">
            <v>众叛亲离</v>
          </cell>
          <cell r="AI46" t="str">
            <v>&amp;</v>
          </cell>
          <cell r="AJ46" t="str">
            <v>&amp;</v>
          </cell>
          <cell r="AK46" t="str">
            <v>&amp;</v>
          </cell>
        </row>
        <row r="47">
          <cell r="F47" t="str">
            <v>橙</v>
          </cell>
          <cell r="AD47" t="str">
            <v>&amp;</v>
          </cell>
          <cell r="AE47" t="str">
            <v>&amp;</v>
          </cell>
          <cell r="AF47" t="str">
            <v>&amp;</v>
          </cell>
          <cell r="AG47" t="str">
            <v>&amp;</v>
          </cell>
          <cell r="AH47" t="str">
            <v>&amp;</v>
          </cell>
          <cell r="AI47" t="str">
            <v>&amp;</v>
          </cell>
          <cell r="AJ47" t="str">
            <v>&amp;</v>
          </cell>
          <cell r="AK47" t="str">
            <v>&amp;</v>
          </cell>
        </row>
        <row r="48">
          <cell r="F48" t="str">
            <v>橙</v>
          </cell>
          <cell r="AD48" t="str">
            <v>优国忘身</v>
          </cell>
          <cell r="AE48" t="str">
            <v>国破家亡</v>
          </cell>
          <cell r="AF48" t="str">
            <v>人文之士</v>
          </cell>
          <cell r="AG48" t="str">
            <v>变法强国</v>
          </cell>
          <cell r="AH48" t="str">
            <v>国破家亡</v>
          </cell>
          <cell r="AI48" t="str">
            <v>为国为民</v>
          </cell>
          <cell r="AJ48" t="str">
            <v>功高震主</v>
          </cell>
          <cell r="AK48" t="str">
            <v>雄辩之才</v>
          </cell>
        </row>
        <row r="49">
          <cell r="F49" t="str">
            <v>橙</v>
          </cell>
          <cell r="AD49" t="str">
            <v>破秦勇将</v>
          </cell>
          <cell r="AE49" t="str">
            <v>国破家亡</v>
          </cell>
          <cell r="AF49" t="str">
            <v>有死无生</v>
          </cell>
          <cell r="AG49" t="str">
            <v>国破家亡</v>
          </cell>
          <cell r="AH49" t="str">
            <v>功高震主</v>
          </cell>
          <cell r="AI49" t="str">
            <v>国之栋梁</v>
          </cell>
          <cell r="AJ49" t="str">
            <v>退避三舍</v>
          </cell>
          <cell r="AK49" t="str">
            <v>国之重将</v>
          </cell>
        </row>
        <row r="50">
          <cell r="F50" t="str">
            <v>紫</v>
          </cell>
          <cell r="AD50" t="str">
            <v>穷兵黩武</v>
          </cell>
          <cell r="AE50" t="str">
            <v>门客三千</v>
          </cell>
          <cell r="AF50" t="str">
            <v>&amp;</v>
          </cell>
          <cell r="AG50" t="str">
            <v>&amp;</v>
          </cell>
          <cell r="AH50" t="str">
            <v>&amp;</v>
          </cell>
          <cell r="AI50" t="str">
            <v>&amp;</v>
          </cell>
          <cell r="AJ50" t="str">
            <v>&amp;</v>
          </cell>
          <cell r="AK50" t="str">
            <v>&amp;</v>
          </cell>
        </row>
        <row r="51">
          <cell r="F51" t="str">
            <v>紫</v>
          </cell>
          <cell r="AD51" t="str">
            <v>女中豪杰</v>
          </cell>
          <cell r="AE51" t="str">
            <v>江湖豪侠</v>
          </cell>
          <cell r="AF51" t="str">
            <v>神兵利刃</v>
          </cell>
          <cell r="AG51" t="str">
            <v>&amp;</v>
          </cell>
          <cell r="AH51" t="str">
            <v>&amp;</v>
          </cell>
          <cell r="AI51" t="str">
            <v>&amp;</v>
          </cell>
          <cell r="AJ51" t="str">
            <v>&amp;</v>
          </cell>
          <cell r="AK51" t="str">
            <v>&amp;</v>
          </cell>
        </row>
        <row r="52">
          <cell r="F52" t="str">
            <v>紫</v>
          </cell>
          <cell r="AD52" t="str">
            <v>&amp;</v>
          </cell>
          <cell r="AE52" t="str">
            <v>&amp;</v>
          </cell>
          <cell r="AF52" t="str">
            <v>&amp;</v>
          </cell>
          <cell r="AG52" t="str">
            <v>&amp;</v>
          </cell>
          <cell r="AH52" t="str">
            <v>&amp;</v>
          </cell>
          <cell r="AI52" t="str">
            <v>&amp;</v>
          </cell>
          <cell r="AJ52" t="str">
            <v>&amp;</v>
          </cell>
          <cell r="AK52" t="str">
            <v>&amp;</v>
          </cell>
        </row>
        <row r="53">
          <cell r="F53" t="str">
            <v>紫</v>
          </cell>
          <cell r="AD53" t="str">
            <v>治水修渠</v>
          </cell>
          <cell r="AE53" t="str">
            <v>君圣臣贤</v>
          </cell>
          <cell r="AF53" t="str">
            <v>&amp;</v>
          </cell>
          <cell r="AG53" t="str">
            <v>&amp;</v>
          </cell>
          <cell r="AH53" t="str">
            <v>&amp;</v>
          </cell>
          <cell r="AI53" t="str">
            <v>&amp;</v>
          </cell>
          <cell r="AJ53" t="str">
            <v>&amp;</v>
          </cell>
          <cell r="AK53" t="str">
            <v>&amp;</v>
          </cell>
        </row>
        <row r="54">
          <cell r="F54" t="str">
            <v>紫</v>
          </cell>
          <cell r="AD54" t="str">
            <v>&amp;</v>
          </cell>
          <cell r="AE54" t="str">
            <v>&amp;</v>
          </cell>
          <cell r="AF54" t="str">
            <v>&amp;</v>
          </cell>
          <cell r="AG54" t="str">
            <v>&amp;</v>
          </cell>
          <cell r="AH54" t="str">
            <v>&amp;</v>
          </cell>
          <cell r="AI54" t="str">
            <v>&amp;</v>
          </cell>
          <cell r="AJ54" t="str">
            <v>&amp;</v>
          </cell>
          <cell r="AK54" t="str">
            <v>&amp;</v>
          </cell>
        </row>
        <row r="55">
          <cell r="F55" t="str">
            <v>橙+</v>
          </cell>
          <cell r="AD55" t="str">
            <v>雄辩之才</v>
          </cell>
          <cell r="AE55" t="str">
            <v>国之栋梁</v>
          </cell>
          <cell r="AF55" t="str">
            <v>辅佐奇才</v>
          </cell>
          <cell r="AG55" t="str">
            <v>相印</v>
          </cell>
          <cell r="AH55" t="str">
            <v>&amp;</v>
          </cell>
          <cell r="AI55" t="str">
            <v>&amp;</v>
          </cell>
          <cell r="AJ55" t="str">
            <v>&amp;</v>
          </cell>
          <cell r="AK55" t="str">
            <v>&amp;</v>
          </cell>
        </row>
        <row r="56">
          <cell r="F56" t="str">
            <v>橙</v>
          </cell>
          <cell r="AD56" t="str">
            <v>知子之明</v>
          </cell>
          <cell r="AE56" t="str">
            <v>秉公执法</v>
          </cell>
          <cell r="AF56" t="str">
            <v>古之名将</v>
          </cell>
          <cell r="AG56" t="str">
            <v>&amp;</v>
          </cell>
          <cell r="AH56" t="str">
            <v>&amp;</v>
          </cell>
          <cell r="AI56" t="str">
            <v>&amp;</v>
          </cell>
          <cell r="AJ56" t="str">
            <v>&amp;</v>
          </cell>
          <cell r="AK56" t="str">
            <v>&amp;</v>
          </cell>
        </row>
        <row r="57">
          <cell r="F57" t="str">
            <v>紫</v>
          </cell>
          <cell r="AD57" t="str">
            <v>针锋相对</v>
          </cell>
          <cell r="AE57" t="str">
            <v>穷兵黩武</v>
          </cell>
          <cell r="AF57" t="str">
            <v>心狠手辣</v>
          </cell>
          <cell r="AG57" t="str">
            <v>&amp;</v>
          </cell>
          <cell r="AH57" t="str">
            <v>&amp;</v>
          </cell>
          <cell r="AI57" t="str">
            <v>&amp;</v>
          </cell>
          <cell r="AJ57" t="str">
            <v>&amp;</v>
          </cell>
          <cell r="AK57" t="str">
            <v>&amp;</v>
          </cell>
        </row>
        <row r="58">
          <cell r="F58" t="str">
            <v>蓝</v>
          </cell>
          <cell r="AD58" t="str">
            <v>敢死之士</v>
          </cell>
          <cell r="AE58" t="str">
            <v>&amp;</v>
          </cell>
          <cell r="AF58" t="str">
            <v>&amp;</v>
          </cell>
          <cell r="AG58" t="str">
            <v>&amp;</v>
          </cell>
          <cell r="AH58" t="str">
            <v>&amp;</v>
          </cell>
          <cell r="AI58" t="str">
            <v>&amp;</v>
          </cell>
          <cell r="AJ58" t="str">
            <v>&amp;</v>
          </cell>
          <cell r="AK58" t="str">
            <v>&amp;</v>
          </cell>
        </row>
        <row r="59">
          <cell r="F59" t="str">
            <v>紫</v>
          </cell>
          <cell r="AD59" t="str">
            <v>治水修渠</v>
          </cell>
          <cell r="AE59" t="str">
            <v>富国强兵</v>
          </cell>
          <cell r="AF59" t="str">
            <v>&amp;</v>
          </cell>
          <cell r="AG59" t="str">
            <v>&amp;</v>
          </cell>
          <cell r="AH59" t="str">
            <v>&amp;</v>
          </cell>
          <cell r="AI59" t="str">
            <v>&amp;</v>
          </cell>
          <cell r="AJ59" t="str">
            <v>&amp;</v>
          </cell>
          <cell r="AK59" t="str">
            <v>&amp;</v>
          </cell>
        </row>
        <row r="60">
          <cell r="F60" t="str">
            <v>橙</v>
          </cell>
          <cell r="AD60" t="str">
            <v>国破家亡</v>
          </cell>
          <cell r="AE60" t="str">
            <v>严刑峻法</v>
          </cell>
          <cell r="AF60" t="str">
            <v>生死予夺</v>
          </cell>
          <cell r="AG60" t="str">
            <v>变法强国</v>
          </cell>
          <cell r="AH60" t="str">
            <v>国破家亡</v>
          </cell>
          <cell r="AI60" t="str">
            <v>为国为民</v>
          </cell>
          <cell r="AJ60" t="str">
            <v>权力之路</v>
          </cell>
          <cell r="AK60" t="str">
            <v>雄辩之才</v>
          </cell>
        </row>
        <row r="61">
          <cell r="F61" t="str">
            <v>紫</v>
          </cell>
          <cell r="AD61" t="str">
            <v>东征西讨</v>
          </cell>
          <cell r="AE61" t="str">
            <v>建功立业</v>
          </cell>
          <cell r="AF61" t="str">
            <v>&amp;</v>
          </cell>
          <cell r="AG61" t="str">
            <v>&amp;</v>
          </cell>
          <cell r="AH61" t="str">
            <v>&amp;</v>
          </cell>
          <cell r="AI61" t="str">
            <v>&amp;</v>
          </cell>
          <cell r="AJ61" t="str">
            <v>&amp;</v>
          </cell>
          <cell r="AK61" t="str">
            <v>&amp;</v>
          </cell>
        </row>
        <row r="62">
          <cell r="F62" t="str">
            <v>橙</v>
          </cell>
          <cell r="AD62" t="str">
            <v>御敌于国</v>
          </cell>
          <cell r="AE62" t="str">
            <v>严刑峻法</v>
          </cell>
          <cell r="AF62" t="str">
            <v>富国强兵</v>
          </cell>
          <cell r="AG62" t="str">
            <v>变法强国</v>
          </cell>
          <cell r="AH62" t="str">
            <v>一人之下</v>
          </cell>
          <cell r="AI62" t="str">
            <v>位高权重</v>
          </cell>
          <cell r="AJ62" t="str">
            <v>有损无益</v>
          </cell>
          <cell r="AK62" t="str">
            <v>权倾一时</v>
          </cell>
        </row>
        <row r="63">
          <cell r="F63" t="str">
            <v>橙</v>
          </cell>
          <cell r="AD63" t="str">
            <v>棋逢对手</v>
          </cell>
          <cell r="AE63" t="str">
            <v>南征北战</v>
          </cell>
          <cell r="AF63" t="str">
            <v>大权在握</v>
          </cell>
          <cell r="AG63" t="str">
            <v>兴国安邦</v>
          </cell>
          <cell r="AH63" t="str">
            <v>国之柱石</v>
          </cell>
          <cell r="AI63" t="str">
            <v>攻守相济</v>
          </cell>
          <cell r="AJ63" t="str">
            <v>国之重将</v>
          </cell>
          <cell r="AK63" t="str">
            <v>身经百战</v>
          </cell>
        </row>
        <row r="64">
          <cell r="F64" t="str">
            <v>橙</v>
          </cell>
          <cell r="AD64" t="str">
            <v>敢死之士</v>
          </cell>
          <cell r="AE64" t="str">
            <v>江湖豪侠</v>
          </cell>
          <cell r="AF64" t="str">
            <v>有死无生</v>
          </cell>
          <cell r="AG64" t="str">
            <v>恩怨情仇</v>
          </cell>
          <cell r="AH64" t="str">
            <v>见血封喉</v>
          </cell>
          <cell r="AI64" t="str">
            <v>春秋大义</v>
          </cell>
          <cell r="AJ64" t="str">
            <v>义贯金石</v>
          </cell>
          <cell r="AK64" t="str">
            <v>&amp;</v>
          </cell>
        </row>
        <row r="65">
          <cell r="F65" t="str">
            <v>橙</v>
          </cell>
          <cell r="AD65" t="str">
            <v>权倾朝野</v>
          </cell>
          <cell r="AE65" t="str">
            <v>优国忘身</v>
          </cell>
          <cell r="AF65" t="str">
            <v>颠沛流离</v>
          </cell>
          <cell r="AG65" t="str">
            <v>大权在握</v>
          </cell>
          <cell r="AH65" t="str">
            <v>一人之下</v>
          </cell>
          <cell r="AI65" t="str">
            <v>辅佐奇才</v>
          </cell>
          <cell r="AJ65" t="str">
            <v>年少有为</v>
          </cell>
          <cell r="AK65" t="str">
            <v>合纵攻秦</v>
          </cell>
        </row>
        <row r="66">
          <cell r="F66" t="str">
            <v>紫</v>
          </cell>
          <cell r="AD66" t="str">
            <v>开疆扩土</v>
          </cell>
          <cell r="AE66" t="str">
            <v>乘胜追击</v>
          </cell>
          <cell r="AF66" t="str">
            <v>&amp;</v>
          </cell>
          <cell r="AG66" t="str">
            <v>&amp;</v>
          </cell>
          <cell r="AH66" t="str">
            <v>&amp;</v>
          </cell>
          <cell r="AI66" t="str">
            <v>&amp;</v>
          </cell>
          <cell r="AJ66" t="str">
            <v>&amp;</v>
          </cell>
          <cell r="AK66" t="str">
            <v>&amp;</v>
          </cell>
        </row>
        <row r="67">
          <cell r="F67" t="str">
            <v>橙+</v>
          </cell>
          <cell r="AD67" t="str">
            <v>出类拔萃</v>
          </cell>
          <cell r="AE67" t="str">
            <v>为国为民</v>
          </cell>
          <cell r="AF67" t="str">
            <v>攻守相济</v>
          </cell>
          <cell r="AG67" t="str">
            <v>&amp;</v>
          </cell>
          <cell r="AH67" t="str">
            <v>&amp;</v>
          </cell>
          <cell r="AI67" t="str">
            <v>&amp;</v>
          </cell>
          <cell r="AJ67" t="str">
            <v>&amp;</v>
          </cell>
          <cell r="AK67" t="str">
            <v>&amp;</v>
          </cell>
        </row>
        <row r="68">
          <cell r="F68" t="str">
            <v>橙+</v>
          </cell>
          <cell r="AD68" t="str">
            <v>红颜薄命</v>
          </cell>
          <cell r="AE68" t="str">
            <v>国破家亡</v>
          </cell>
          <cell r="AF68" t="str">
            <v>英雄美人</v>
          </cell>
          <cell r="AG68" t="str">
            <v>英雄美人</v>
          </cell>
          <cell r="AH68" t="str">
            <v>&amp;</v>
          </cell>
          <cell r="AI68" t="str">
            <v>&amp;</v>
          </cell>
          <cell r="AJ68" t="str">
            <v>&amp;</v>
          </cell>
          <cell r="AK68" t="str">
            <v>&amp;</v>
          </cell>
        </row>
        <row r="69">
          <cell r="F69" t="str">
            <v>橙</v>
          </cell>
          <cell r="AD69" t="str">
            <v>出类拔粹</v>
          </cell>
          <cell r="AE69" t="str">
            <v>著作留世</v>
          </cell>
          <cell r="AF69" t="str">
            <v>七窍玲珑</v>
          </cell>
          <cell r="AG69" t="str">
            <v>技惊当世</v>
          </cell>
          <cell r="AH69" t="str">
            <v>&amp;</v>
          </cell>
          <cell r="AI69" t="str">
            <v>&amp;</v>
          </cell>
          <cell r="AJ69" t="str">
            <v>&amp;</v>
          </cell>
          <cell r="AK69" t="str">
            <v>&amp;</v>
          </cell>
        </row>
        <row r="70">
          <cell r="F70" t="str">
            <v>橙</v>
          </cell>
          <cell r="AD70" t="str">
            <v>治水修渠</v>
          </cell>
          <cell r="AE70" t="str">
            <v>出将入相</v>
          </cell>
          <cell r="AF70" t="str">
            <v>报仇雪耻</v>
          </cell>
          <cell r="AG70" t="str">
            <v>老当益壮</v>
          </cell>
          <cell r="AH70" t="str">
            <v>退避三舍</v>
          </cell>
          <cell r="AI70" t="str">
            <v>位居相国</v>
          </cell>
          <cell r="AJ70" t="str">
            <v>衔冤而死</v>
          </cell>
          <cell r="AK70" t="str">
            <v>暮年壮志</v>
          </cell>
        </row>
        <row r="71">
          <cell r="F71" t="str">
            <v>橙</v>
          </cell>
          <cell r="AD71" t="str">
            <v>百业翘楚</v>
          </cell>
          <cell r="AE71" t="str">
            <v>神兵利刃</v>
          </cell>
          <cell r="AF71" t="str">
            <v>一展身手</v>
          </cell>
          <cell r="AG71" t="str">
            <v>出类拔萃</v>
          </cell>
          <cell r="AH71" t="str">
            <v>剑风凌厉</v>
          </cell>
          <cell r="AI71" t="str">
            <v>&amp;</v>
          </cell>
          <cell r="AJ71" t="str">
            <v>&amp;</v>
          </cell>
          <cell r="AK71" t="str">
            <v>&amp;</v>
          </cell>
        </row>
        <row r="72">
          <cell r="F72" t="str">
            <v>橙</v>
          </cell>
          <cell r="AD72" t="str">
            <v>问鼎之心</v>
          </cell>
          <cell r="AE72" t="str">
            <v>忍辱负重</v>
          </cell>
          <cell r="AF72" t="str">
            <v>乘胜追击</v>
          </cell>
          <cell r="AG72" t="str">
            <v>英雄美人</v>
          </cell>
          <cell r="AH72" t="str">
            <v>春秋霸主</v>
          </cell>
          <cell r="AI72" t="str">
            <v>助越灭吴</v>
          </cell>
          <cell r="AJ72" t="str">
            <v>能文能武</v>
          </cell>
          <cell r="AK72" t="str">
            <v>&amp;</v>
          </cell>
        </row>
        <row r="73">
          <cell r="F73" t="str">
            <v>橙+</v>
          </cell>
          <cell r="AD73" t="str">
            <v>退避三舍</v>
          </cell>
          <cell r="AE73" t="str">
            <v>春秋霸主</v>
          </cell>
          <cell r="AF73" t="str">
            <v>野心勃勃</v>
          </cell>
          <cell r="AG73" t="str">
            <v>剑风凌厉</v>
          </cell>
          <cell r="AH73" t="str">
            <v>春秋霸主</v>
          </cell>
          <cell r="AI73" t="str">
            <v>乱世枭雄</v>
          </cell>
          <cell r="AJ73" t="str">
            <v>&amp;</v>
          </cell>
          <cell r="AK73" t="str">
            <v>&amp;</v>
          </cell>
        </row>
        <row r="74">
          <cell r="F74" t="str">
            <v>橙</v>
          </cell>
          <cell r="AD74" t="str">
            <v>&amp;</v>
          </cell>
          <cell r="AE74" t="str">
            <v>&amp;</v>
          </cell>
          <cell r="AF74" t="str">
            <v>&amp;</v>
          </cell>
          <cell r="AG74" t="str">
            <v>&amp;</v>
          </cell>
          <cell r="AH74" t="str">
            <v>&amp;</v>
          </cell>
          <cell r="AI74" t="str">
            <v>&amp;</v>
          </cell>
          <cell r="AJ74" t="str">
            <v>&amp;</v>
          </cell>
          <cell r="AK74" t="str">
            <v>&amp;</v>
          </cell>
        </row>
        <row r="75">
          <cell r="F75" t="str">
            <v>橙+</v>
          </cell>
          <cell r="AD75" t="str">
            <v>&amp;</v>
          </cell>
          <cell r="AE75" t="str">
            <v>&amp;</v>
          </cell>
          <cell r="AF75" t="str">
            <v>&amp;</v>
          </cell>
          <cell r="AG75" t="str">
            <v>&amp;</v>
          </cell>
          <cell r="AH75" t="str">
            <v>&amp;</v>
          </cell>
          <cell r="AI75" t="str">
            <v>&amp;</v>
          </cell>
          <cell r="AJ75" t="str">
            <v>&amp;</v>
          </cell>
          <cell r="AK75" t="str">
            <v>&amp;</v>
          </cell>
        </row>
        <row r="76">
          <cell r="F76" t="str">
            <v>橙+</v>
          </cell>
          <cell r="AD76" t="str">
            <v>&amp;</v>
          </cell>
          <cell r="AE76" t="str">
            <v>&amp;</v>
          </cell>
          <cell r="AF76" t="str">
            <v>&amp;</v>
          </cell>
          <cell r="AG76" t="str">
            <v>&amp;</v>
          </cell>
          <cell r="AH76" t="str">
            <v>&amp;</v>
          </cell>
          <cell r="AI76" t="str">
            <v>&amp;</v>
          </cell>
          <cell r="AJ76" t="str">
            <v>&amp;</v>
          </cell>
          <cell r="AK76" t="str">
            <v>&amp;</v>
          </cell>
        </row>
        <row r="77">
          <cell r="F77" t="str">
            <v>橙+</v>
          </cell>
          <cell r="AD77" t="str">
            <v>&amp;</v>
          </cell>
          <cell r="AE77" t="str">
            <v>&amp;</v>
          </cell>
          <cell r="AF77" t="str">
            <v>&amp;</v>
          </cell>
          <cell r="AG77" t="str">
            <v>&amp;</v>
          </cell>
          <cell r="AH77" t="str">
            <v>&amp;</v>
          </cell>
          <cell r="AI77" t="str">
            <v>&amp;</v>
          </cell>
          <cell r="AJ77" t="str">
            <v>&amp;</v>
          </cell>
          <cell r="AK77" t="str">
            <v>&amp;</v>
          </cell>
        </row>
        <row r="78">
          <cell r="F78" t="str">
            <v>橙+</v>
          </cell>
          <cell r="AD78" t="str">
            <v>&amp;</v>
          </cell>
          <cell r="AE78" t="str">
            <v>&amp;</v>
          </cell>
          <cell r="AF78" t="str">
            <v>&amp;</v>
          </cell>
          <cell r="AG78" t="str">
            <v>&amp;</v>
          </cell>
          <cell r="AH78" t="str">
            <v>&amp;</v>
          </cell>
          <cell r="AI78" t="str">
            <v>&amp;</v>
          </cell>
          <cell r="AJ78" t="str">
            <v>&amp;</v>
          </cell>
          <cell r="AK78" t="str">
            <v>&amp;</v>
          </cell>
        </row>
        <row r="79">
          <cell r="F79" t="str">
            <v>橙</v>
          </cell>
          <cell r="AD79" t="str">
            <v>敢死之士</v>
          </cell>
          <cell r="AE79" t="str">
            <v>一展身手</v>
          </cell>
          <cell r="AF79" t="str">
            <v>雄辩之才</v>
          </cell>
          <cell r="AG79" t="str">
            <v>知子之明</v>
          </cell>
          <cell r="AH79" t="str">
            <v>反间计</v>
          </cell>
          <cell r="AI79" t="str">
            <v>才貌双全</v>
          </cell>
          <cell r="AJ79" t="str">
            <v>轻敌冒进</v>
          </cell>
          <cell r="AK79" t="str">
            <v>刚愎自用</v>
          </cell>
        </row>
        <row r="80">
          <cell r="F80" t="str">
            <v>橙+</v>
          </cell>
          <cell r="AD80" t="str">
            <v>权力之路</v>
          </cell>
          <cell r="AE80" t="str">
            <v>功高震主</v>
          </cell>
          <cell r="AF80" t="str">
            <v>一人之下</v>
          </cell>
          <cell r="AG80" t="str">
            <v>&amp;</v>
          </cell>
          <cell r="AH80" t="str">
            <v>&amp;</v>
          </cell>
          <cell r="AI80" t="str">
            <v>&amp;</v>
          </cell>
          <cell r="AJ80" t="str">
            <v>&amp;</v>
          </cell>
          <cell r="AK80" t="str">
            <v>&amp;</v>
          </cell>
        </row>
        <row r="81">
          <cell r="F81" t="str">
            <v>橙+</v>
          </cell>
          <cell r="AD81" t="str">
            <v>大秦帝国</v>
          </cell>
          <cell r="AE81" t="str">
            <v>年少有为</v>
          </cell>
          <cell r="AF81" t="str">
            <v>恩怨情仇</v>
          </cell>
          <cell r="AG81" t="str">
            <v>执掌天下</v>
          </cell>
          <cell r="AH81" t="str">
            <v>一统天下</v>
          </cell>
          <cell r="AI81" t="str">
            <v>平步天下</v>
          </cell>
          <cell r="AJ81" t="str">
            <v>少年继位</v>
          </cell>
          <cell r="AK81" t="str">
            <v>主仆殊途</v>
          </cell>
        </row>
        <row r="82">
          <cell r="F82" t="str">
            <v>橙+</v>
          </cell>
          <cell r="AD82" t="str">
            <v>衔冤而死</v>
          </cell>
          <cell r="AE82" t="str">
            <v>一心为国</v>
          </cell>
          <cell r="AF82" t="str">
            <v>国之重将</v>
          </cell>
          <cell r="AG82" t="str">
            <v>抗击匈奴</v>
          </cell>
          <cell r="AH82" t="str">
            <v>驱逐匈奴</v>
          </cell>
          <cell r="AI82" t="str">
            <v>&amp;</v>
          </cell>
          <cell r="AJ82" t="str">
            <v>&amp;</v>
          </cell>
          <cell r="AK82" t="str">
            <v>&amp;</v>
          </cell>
        </row>
        <row r="83">
          <cell r="F83" t="str">
            <v>橙+</v>
          </cell>
          <cell r="AD83" t="str">
            <v>缓急相济</v>
          </cell>
          <cell r="AE83" t="str">
            <v>一脉相传</v>
          </cell>
          <cell r="AF83" t="str">
            <v>金枝玉叶</v>
          </cell>
          <cell r="AG83" t="str">
            <v>英雄美人</v>
          </cell>
          <cell r="AH83" t="str">
            <v>精通音律</v>
          </cell>
          <cell r="AI83" t="str">
            <v>&amp;</v>
          </cell>
          <cell r="AJ83" t="str">
            <v>&amp;</v>
          </cell>
          <cell r="AK83" t="str">
            <v>&amp;</v>
          </cell>
        </row>
        <row r="84">
          <cell r="F84" t="str">
            <v>橙+</v>
          </cell>
          <cell r="AD84" t="str">
            <v>助越灭吴</v>
          </cell>
          <cell r="AE84" t="str">
            <v>见血封喉</v>
          </cell>
          <cell r="AF84" t="str">
            <v>剑风凌厉</v>
          </cell>
          <cell r="AG84" t="str">
            <v>英雄美人</v>
          </cell>
          <cell r="AH84" t="str">
            <v>巾帼义女</v>
          </cell>
          <cell r="AI84" t="str">
            <v>&amp;</v>
          </cell>
          <cell r="AJ84" t="str">
            <v>&amp;</v>
          </cell>
          <cell r="AK84" t="str">
            <v>&amp;</v>
          </cell>
        </row>
        <row r="85">
          <cell r="F85" t="str">
            <v>橙+</v>
          </cell>
          <cell r="AD85" t="str">
            <v>精通音律</v>
          </cell>
          <cell r="AE85" t="str">
            <v>楚楚动人</v>
          </cell>
          <cell r="AF85" t="str">
            <v>才貌双全</v>
          </cell>
          <cell r="AG85" t="str">
            <v>霸王别姬</v>
          </cell>
          <cell r="AH85" t="str">
            <v>巾帼义女</v>
          </cell>
          <cell r="AI85" t="str">
            <v>&amp;</v>
          </cell>
          <cell r="AJ85" t="str">
            <v>&amp;</v>
          </cell>
          <cell r="AK85" t="str">
            <v>&amp;</v>
          </cell>
        </row>
        <row r="86">
          <cell r="F86" t="str">
            <v>红</v>
          </cell>
          <cell r="AD86" t="str">
            <v>勇武过人</v>
          </cell>
          <cell r="AE86" t="str">
            <v>霸王别姬</v>
          </cell>
          <cell r="AF86" t="str">
            <v>楚国翘楚</v>
          </cell>
          <cell r="AG86" t="str">
            <v>&amp;</v>
          </cell>
          <cell r="AH86" t="str">
            <v>&amp;</v>
          </cell>
          <cell r="AI86" t="str">
            <v>&amp;</v>
          </cell>
          <cell r="AJ86" t="str">
            <v>&amp;</v>
          </cell>
          <cell r="AK86" t="str">
            <v>&amp;</v>
          </cell>
        </row>
        <row r="87">
          <cell r="F87" t="str">
            <v>橙+</v>
          </cell>
          <cell r="AD87" t="str">
            <v>一统天下</v>
          </cell>
          <cell r="AE87" t="str">
            <v>知人善用</v>
          </cell>
          <cell r="AF87" t="str">
            <v>任人唯亲</v>
          </cell>
          <cell r="AG87" t="str">
            <v>国士无双</v>
          </cell>
          <cell r="AH87" t="str">
            <v>平定中原</v>
          </cell>
          <cell r="AI87" t="str">
            <v>汉室之胄</v>
          </cell>
          <cell r="AJ87" t="str">
            <v>&amp;</v>
          </cell>
          <cell r="AK87" t="str">
            <v>&amp;</v>
          </cell>
        </row>
        <row r="88">
          <cell r="F88" t="str">
            <v>橙+</v>
          </cell>
          <cell r="AD88" t="str">
            <v>知人善用</v>
          </cell>
          <cell r="AE88" t="str">
            <v>名奉武庙</v>
          </cell>
          <cell r="AF88" t="str">
            <v>平步天下</v>
          </cell>
          <cell r="AG88" t="str">
            <v>国士无双</v>
          </cell>
          <cell r="AH88" t="str">
            <v>英年早逝</v>
          </cell>
          <cell r="AI88" t="str">
            <v>兵出汉中</v>
          </cell>
          <cell r="AJ88" t="str">
            <v>智囊军师</v>
          </cell>
          <cell r="AK88" t="str">
            <v>&amp;</v>
          </cell>
        </row>
        <row r="89">
          <cell r="F89" t="str">
            <v>橙</v>
          </cell>
          <cell r="AD89" t="str">
            <v>知人善用</v>
          </cell>
          <cell r="AE89" t="str">
            <v>因势利导</v>
          </cell>
          <cell r="AF89" t="str">
            <v>不得善终</v>
          </cell>
          <cell r="AG89" t="str">
            <v>反复无常</v>
          </cell>
          <cell r="AH89" t="str">
            <v>&amp;</v>
          </cell>
          <cell r="AI89" t="str">
            <v>&amp;</v>
          </cell>
          <cell r="AJ89" t="str">
            <v>&amp;</v>
          </cell>
          <cell r="AK89" t="str">
            <v>&amp;</v>
          </cell>
        </row>
        <row r="90">
          <cell r="F90" t="str">
            <v>橙+</v>
          </cell>
          <cell r="AD90" t="str">
            <v>龙城飞将</v>
          </cell>
          <cell r="AE90" t="str">
            <v>大汉双壁</v>
          </cell>
          <cell r="AF90" t="str">
            <v>龙城飞将</v>
          </cell>
          <cell r="AG90" t="str">
            <v>抗击匈奴</v>
          </cell>
          <cell r="AH90" t="str">
            <v>大汉双壁</v>
          </cell>
          <cell r="AI90" t="str">
            <v>&amp;</v>
          </cell>
          <cell r="AJ90" t="str">
            <v>&amp;</v>
          </cell>
          <cell r="AK90" t="str">
            <v>&amp;</v>
          </cell>
        </row>
        <row r="91">
          <cell r="F91" t="str">
            <v>橙+</v>
          </cell>
          <cell r="AD91" t="str">
            <v>大漢飛將</v>
          </cell>
          <cell r="AE91" t="str">
            <v>大汉双壁</v>
          </cell>
          <cell r="AF91" t="str">
            <v>大汉双壁</v>
          </cell>
          <cell r="AG91" t="str">
            <v>驱逐匈奴</v>
          </cell>
          <cell r="AH91" t="str">
            <v>英年早逝</v>
          </cell>
          <cell r="AI91" t="str">
            <v>&amp;</v>
          </cell>
          <cell r="AJ91" t="str">
            <v>&amp;</v>
          </cell>
          <cell r="AK91" t="str">
            <v>&amp;</v>
          </cell>
        </row>
        <row r="92">
          <cell r="F92" t="str">
            <v>橙+</v>
          </cell>
          <cell r="AD92" t="str">
            <v>挂印封金</v>
          </cell>
          <cell r="AE92" t="str">
            <v>乱世枭雄</v>
          </cell>
          <cell r="AF92" t="str">
            <v>平定中原</v>
          </cell>
          <cell r="AG92" t="str">
            <v>挂印封金</v>
          </cell>
          <cell r="AH92" t="str">
            <v>官渡之战</v>
          </cell>
          <cell r="AI92" t="str">
            <v>青梅煮酒</v>
          </cell>
          <cell r="AJ92" t="str">
            <v>天下三分</v>
          </cell>
          <cell r="AK92" t="str">
            <v>白地将军</v>
          </cell>
        </row>
        <row r="93">
          <cell r="F93" t="str">
            <v>橙+</v>
          </cell>
          <cell r="AD93" t="str">
            <v>挂印封金</v>
          </cell>
          <cell r="AE93" t="str">
            <v>春秋大义</v>
          </cell>
          <cell r="AF93" t="str">
            <v>大意败亡</v>
          </cell>
          <cell r="AG93" t="str">
            <v>挂印封金</v>
          </cell>
          <cell r="AH93" t="str">
            <v>袭取荆襄</v>
          </cell>
          <cell r="AI93" t="str">
            <v>生死相交</v>
          </cell>
          <cell r="AJ93" t="str">
            <v>义贯金石</v>
          </cell>
          <cell r="AK93" t="str">
            <v>季汉群英</v>
          </cell>
        </row>
        <row r="94">
          <cell r="F94" t="str">
            <v>橙+</v>
          </cell>
          <cell r="AD94" t="str">
            <v>胁上作乱</v>
          </cell>
          <cell r="AE94" t="str">
            <v>起兵边蛮</v>
          </cell>
          <cell r="AF94" t="str">
            <v>手段残暴</v>
          </cell>
          <cell r="AG94" t="str">
            <v>连环计</v>
          </cell>
          <cell r="AH94" t="str">
            <v>会盟讨董</v>
          </cell>
          <cell r="AI94" t="str">
            <v>挟制天子</v>
          </cell>
          <cell r="AJ94" t="str">
            <v>&amp;</v>
          </cell>
          <cell r="AK94" t="str">
            <v>&amp;</v>
          </cell>
        </row>
        <row r="95">
          <cell r="F95" t="str">
            <v>橙+</v>
          </cell>
          <cell r="AD95" t="str">
            <v>连环计</v>
          </cell>
          <cell r="AE95" t="str">
            <v>沉鱼落雁</v>
          </cell>
          <cell r="AF95" t="str">
            <v>巾帼义女</v>
          </cell>
          <cell r="AG95" t="str">
            <v>&amp;</v>
          </cell>
          <cell r="AH95" t="str">
            <v>&amp;</v>
          </cell>
          <cell r="AI95" t="str">
            <v>&amp;</v>
          </cell>
          <cell r="AJ95" t="str">
            <v>&amp;</v>
          </cell>
          <cell r="AK95" t="str">
            <v>&amp;</v>
          </cell>
        </row>
        <row r="96">
          <cell r="F96" t="str">
            <v>红</v>
          </cell>
          <cell r="AD96" t="str">
            <v>万夫莫当</v>
          </cell>
          <cell r="AE96" t="str">
            <v>反复无常</v>
          </cell>
          <cell r="AF96" t="str">
            <v>众叛亲离</v>
          </cell>
          <cell r="AG96" t="str">
            <v>&amp;</v>
          </cell>
          <cell r="AH96" t="str">
            <v>&amp;</v>
          </cell>
          <cell r="AI96" t="str">
            <v>&amp;</v>
          </cell>
          <cell r="AJ96" t="str">
            <v>&amp;</v>
          </cell>
          <cell r="AK96" t="str">
            <v>&amp;</v>
          </cell>
        </row>
        <row r="97">
          <cell r="F97" t="str">
            <v>橙+</v>
          </cell>
          <cell r="AD97" t="str">
            <v>生死相交</v>
          </cell>
          <cell r="AE97" t="str">
            <v>扶危破乱</v>
          </cell>
          <cell r="AF97" t="str">
            <v>沙场宿将</v>
          </cell>
          <cell r="AG97" t="str">
            <v>义贯金石</v>
          </cell>
          <cell r="AH97" t="str">
            <v>季汉群英</v>
          </cell>
          <cell r="AI97" t="str">
            <v>世之勇将</v>
          </cell>
          <cell r="AJ97" t="str">
            <v>甘露寺</v>
          </cell>
          <cell r="AK97" t="str">
            <v>人定胜天</v>
          </cell>
        </row>
        <row r="98">
          <cell r="F98" t="str">
            <v>橙+</v>
          </cell>
          <cell r="AD98" t="str">
            <v>夷陵之战</v>
          </cell>
          <cell r="AE98" t="str">
            <v>生死相交</v>
          </cell>
          <cell r="AF98" t="str">
            <v>青梅煮酒</v>
          </cell>
          <cell r="AG98" t="str">
            <v>汉室之胄</v>
          </cell>
          <cell r="AH98" t="str">
            <v>扶危破乱</v>
          </cell>
          <cell r="AI98" t="str">
            <v>君臣之至合</v>
          </cell>
          <cell r="AJ98" t="str">
            <v>天下三分</v>
          </cell>
          <cell r="AK98" t="str">
            <v>虎步关右</v>
          </cell>
        </row>
        <row r="99">
          <cell r="F99" t="str">
            <v>橙+</v>
          </cell>
          <cell r="AD99" t="str">
            <v>文韬武略</v>
          </cell>
          <cell r="AE99" t="str">
            <v>夷陵之战</v>
          </cell>
          <cell r="AF99" t="str">
            <v>袭取荆襄</v>
          </cell>
          <cell r="AG99" t="str">
            <v>智囊军师</v>
          </cell>
          <cell r="AH99" t="str">
            <v>&amp;</v>
          </cell>
          <cell r="AI99" t="str">
            <v>&amp;</v>
          </cell>
          <cell r="AJ99" t="str">
            <v>&amp;</v>
          </cell>
          <cell r="AK99" t="str">
            <v>&amp;</v>
          </cell>
        </row>
        <row r="100">
          <cell r="F100" t="str">
            <v>橙+</v>
          </cell>
          <cell r="AD100" t="str">
            <v>官渡之战</v>
          </cell>
          <cell r="AE100" t="str">
            <v>会盟讨董</v>
          </cell>
          <cell r="AF100" t="str">
            <v>刚愎自用</v>
          </cell>
          <cell r="AG100" t="str">
            <v>&amp;</v>
          </cell>
          <cell r="AH100" t="str">
            <v>&amp;</v>
          </cell>
          <cell r="AI100" t="str">
            <v>&amp;</v>
          </cell>
          <cell r="AJ100" t="str">
            <v>&amp;</v>
          </cell>
          <cell r="AK100" t="str">
            <v>&amp;</v>
          </cell>
        </row>
        <row r="101">
          <cell r="F101" t="str">
            <v>红</v>
          </cell>
          <cell r="AD101" t="str">
            <v>兵出汉中</v>
          </cell>
          <cell r="AE101" t="str">
            <v>君臣之至合</v>
          </cell>
          <cell r="AF101" t="str">
            <v>季汉群英</v>
          </cell>
          <cell r="AG101" t="str">
            <v>&amp;</v>
          </cell>
          <cell r="AH101" t="str">
            <v>&amp;</v>
          </cell>
          <cell r="AI101" t="str">
            <v>&amp;</v>
          </cell>
          <cell r="AJ101" t="str">
            <v>&amp;</v>
          </cell>
          <cell r="AK101" t="str">
            <v>&amp;</v>
          </cell>
        </row>
        <row r="102">
          <cell r="F102" t="str">
            <v>橙+</v>
          </cell>
          <cell r="AD102" t="str">
            <v>虎踞三江</v>
          </cell>
          <cell r="AE102" t="str">
            <v>世之勇将</v>
          </cell>
          <cell r="AF102" t="str">
            <v>强弓擅射</v>
          </cell>
          <cell r="AG102" t="str">
            <v>&amp;</v>
          </cell>
          <cell r="AH102" t="str">
            <v>&amp;</v>
          </cell>
          <cell r="AI102" t="str">
            <v>&amp;</v>
          </cell>
          <cell r="AJ102" t="str">
            <v>&amp;</v>
          </cell>
          <cell r="AK102" t="str">
            <v>&amp;</v>
          </cell>
        </row>
        <row r="103">
          <cell r="F103" t="str">
            <v>橙+</v>
          </cell>
          <cell r="AD103" t="str">
            <v>虎踞三江</v>
          </cell>
          <cell r="AE103" t="str">
            <v>天下三分</v>
          </cell>
          <cell r="AF103" t="str">
            <v>少年继位</v>
          </cell>
          <cell r="AG103" t="str">
            <v>甘露寺</v>
          </cell>
          <cell r="AH103" t="str">
            <v>&amp;</v>
          </cell>
          <cell r="AI103" t="str">
            <v>&amp;</v>
          </cell>
          <cell r="AJ103" t="str">
            <v>&amp;</v>
          </cell>
          <cell r="AK103" t="str">
            <v>&amp;</v>
          </cell>
        </row>
        <row r="104">
          <cell r="F104" t="str">
            <v>橙+</v>
          </cell>
          <cell r="AD104" t="str">
            <v>虎步关右</v>
          </cell>
          <cell r="AE104" t="str">
            <v>白地将军</v>
          </cell>
          <cell r="AF104" t="str">
            <v>忠义事主</v>
          </cell>
          <cell r="AG104" t="str">
            <v>曹魏军团</v>
          </cell>
          <cell r="AH104" t="str">
            <v>&amp;</v>
          </cell>
          <cell r="AI104" t="str">
            <v>&amp;</v>
          </cell>
          <cell r="AJ104" t="str">
            <v>&amp;</v>
          </cell>
          <cell r="AK104" t="str">
            <v>&amp;</v>
          </cell>
        </row>
      </sheetData>
      <sheetData sheetId="2">
        <row r="9">
          <cell r="B9" t="str">
            <v>骊姬</v>
          </cell>
          <cell r="C9" t="str">
            <v/>
          </cell>
          <cell r="D9" t="str">
            <v/>
          </cell>
          <cell r="E9" t="str">
            <v/>
          </cell>
          <cell r="F9">
            <v>4</v>
          </cell>
          <cell r="G9" t="str">
            <v/>
          </cell>
        </row>
        <row r="10">
          <cell r="B10" t="str">
            <v>王翦</v>
          </cell>
          <cell r="C10" t="str">
            <v/>
          </cell>
          <cell r="D10" t="str">
            <v/>
          </cell>
          <cell r="E10" t="str">
            <v/>
          </cell>
          <cell r="F10" t="str">
            <v/>
          </cell>
          <cell r="G10" t="str">
            <v/>
          </cell>
        </row>
        <row r="11">
          <cell r="B11" t="str">
            <v>义渠骇</v>
          </cell>
          <cell r="C11" t="str">
            <v/>
          </cell>
          <cell r="D11" t="str">
            <v/>
          </cell>
          <cell r="E11">
            <v>2</v>
          </cell>
          <cell r="F11">
            <v>9</v>
          </cell>
          <cell r="G11">
            <v>1</v>
          </cell>
        </row>
        <row r="12">
          <cell r="B12" t="str">
            <v>白起</v>
          </cell>
          <cell r="C12" t="str">
            <v/>
          </cell>
          <cell r="D12" t="str">
            <v/>
          </cell>
          <cell r="E12" t="str">
            <v/>
          </cell>
          <cell r="F12">
            <v>5</v>
          </cell>
          <cell r="G12">
            <v>1</v>
          </cell>
        </row>
        <row r="13">
          <cell r="B13" t="str">
            <v>廉颇</v>
          </cell>
          <cell r="C13" t="str">
            <v/>
          </cell>
          <cell r="D13" t="str">
            <v/>
          </cell>
          <cell r="E13" t="str">
            <v/>
          </cell>
          <cell r="F13">
            <v>10</v>
          </cell>
          <cell r="G13">
            <v>2</v>
          </cell>
        </row>
        <row r="14">
          <cell r="B14" t="str">
            <v>信陵君</v>
          </cell>
          <cell r="C14" t="str">
            <v/>
          </cell>
          <cell r="D14" t="str">
            <v/>
          </cell>
          <cell r="E14">
            <v>1</v>
          </cell>
          <cell r="F14">
            <v>10</v>
          </cell>
          <cell r="G14" t="str">
            <v/>
          </cell>
        </row>
        <row r="15">
          <cell r="B15" t="str">
            <v>西施</v>
          </cell>
          <cell r="C15" t="str">
            <v/>
          </cell>
          <cell r="D15" t="str">
            <v/>
          </cell>
          <cell r="E15">
            <v>1</v>
          </cell>
          <cell r="F15">
            <v>6</v>
          </cell>
          <cell r="G15" t="str">
            <v/>
          </cell>
        </row>
        <row r="16">
          <cell r="B16" t="str">
            <v>李牧</v>
          </cell>
          <cell r="C16" t="str">
            <v/>
          </cell>
          <cell r="D16" t="str">
            <v/>
          </cell>
          <cell r="E16" t="str">
            <v/>
          </cell>
          <cell r="F16" t="str">
            <v/>
          </cell>
          <cell r="G16" t="str">
            <v/>
          </cell>
        </row>
        <row r="17">
          <cell r="B17" t="str">
            <v>吴起</v>
          </cell>
          <cell r="C17" t="str">
            <v/>
          </cell>
          <cell r="D17" t="str">
            <v/>
          </cell>
          <cell r="E17" t="str">
            <v/>
          </cell>
          <cell r="F17">
            <v>12</v>
          </cell>
          <cell r="G17">
            <v>1</v>
          </cell>
        </row>
        <row r="18">
          <cell r="B18" t="str">
            <v>聂荌</v>
          </cell>
          <cell r="C18" t="str">
            <v/>
          </cell>
          <cell r="D18" t="str">
            <v/>
          </cell>
          <cell r="E18">
            <v>4</v>
          </cell>
          <cell r="F18">
            <v>1</v>
          </cell>
          <cell r="G18" t="str">
            <v/>
          </cell>
        </row>
        <row r="19">
          <cell r="B19" t="str">
            <v>专诸</v>
          </cell>
          <cell r="C19" t="str">
            <v/>
          </cell>
          <cell r="D19">
            <v>1</v>
          </cell>
          <cell r="E19">
            <v>3</v>
          </cell>
          <cell r="F19">
            <v>3</v>
          </cell>
          <cell r="G19" t="str">
            <v/>
          </cell>
        </row>
        <row r="20">
          <cell r="B20" t="str">
            <v>吕雉</v>
          </cell>
          <cell r="C20" t="str">
            <v/>
          </cell>
          <cell r="D20" t="str">
            <v/>
          </cell>
          <cell r="E20">
            <v>1</v>
          </cell>
          <cell r="F20">
            <v>8</v>
          </cell>
          <cell r="G20" t="str">
            <v/>
          </cell>
        </row>
        <row r="21">
          <cell r="B21" t="str">
            <v>养由基</v>
          </cell>
          <cell r="C21" t="str">
            <v/>
          </cell>
          <cell r="D21" t="str">
            <v/>
          </cell>
          <cell r="E21" t="str">
            <v/>
          </cell>
          <cell r="F21">
            <v>3</v>
          </cell>
          <cell r="G21" t="str">
            <v/>
          </cell>
        </row>
        <row r="22">
          <cell r="B22" t="str">
            <v>李广</v>
          </cell>
          <cell r="C22" t="str">
            <v/>
          </cell>
          <cell r="D22" t="str">
            <v/>
          </cell>
          <cell r="E22" t="str">
            <v/>
          </cell>
          <cell r="F22">
            <v>1</v>
          </cell>
          <cell r="G22" t="str">
            <v/>
          </cell>
        </row>
        <row r="23">
          <cell r="B23" t="str">
            <v>楚庄王</v>
          </cell>
          <cell r="C23" t="str">
            <v/>
          </cell>
          <cell r="D23" t="str">
            <v/>
          </cell>
          <cell r="E23">
            <v>1</v>
          </cell>
          <cell r="F23">
            <v>6</v>
          </cell>
          <cell r="G23">
            <v>2</v>
          </cell>
        </row>
        <row r="24">
          <cell r="B24" t="str">
            <v>田单</v>
          </cell>
          <cell r="C24" t="str">
            <v/>
          </cell>
          <cell r="D24" t="str">
            <v/>
          </cell>
          <cell r="E24">
            <v>1</v>
          </cell>
          <cell r="F24">
            <v>10</v>
          </cell>
          <cell r="G24" t="str">
            <v/>
          </cell>
        </row>
        <row r="25">
          <cell r="B25" t="str">
            <v>司马错</v>
          </cell>
          <cell r="C25" t="str">
            <v/>
          </cell>
          <cell r="D25" t="str">
            <v/>
          </cell>
          <cell r="E25">
            <v>1</v>
          </cell>
          <cell r="F25">
            <v>10</v>
          </cell>
          <cell r="G25" t="str">
            <v/>
          </cell>
        </row>
        <row r="26">
          <cell r="B26" t="str">
            <v>吕不韦</v>
          </cell>
          <cell r="C26" t="str">
            <v/>
          </cell>
          <cell r="D26">
            <v>1</v>
          </cell>
          <cell r="E26" t="str">
            <v/>
          </cell>
          <cell r="F26">
            <v>10</v>
          </cell>
          <cell r="G26" t="str">
            <v/>
          </cell>
        </row>
        <row r="27">
          <cell r="B27" t="str">
            <v>荀彧</v>
          </cell>
          <cell r="C27" t="str">
            <v/>
          </cell>
          <cell r="D27" t="str">
            <v/>
          </cell>
          <cell r="E27" t="str">
            <v/>
          </cell>
          <cell r="F27">
            <v>3</v>
          </cell>
          <cell r="G27" t="str">
            <v/>
          </cell>
        </row>
        <row r="28">
          <cell r="B28" t="str">
            <v>秦武王</v>
          </cell>
          <cell r="C28" t="str">
            <v/>
          </cell>
          <cell r="D28" t="str">
            <v/>
          </cell>
          <cell r="E28">
            <v>1</v>
          </cell>
          <cell r="F28">
            <v>7</v>
          </cell>
          <cell r="G28" t="str">
            <v/>
          </cell>
        </row>
        <row r="29">
          <cell r="B29" t="str">
            <v>嫪毐</v>
          </cell>
          <cell r="C29" t="str">
            <v/>
          </cell>
          <cell r="D29">
            <v>1</v>
          </cell>
          <cell r="E29" t="str">
            <v/>
          </cell>
          <cell r="F29">
            <v>1</v>
          </cell>
          <cell r="G29" t="str">
            <v/>
          </cell>
        </row>
        <row r="30">
          <cell r="B30" t="str">
            <v>范增</v>
          </cell>
          <cell r="C30" t="str">
            <v/>
          </cell>
          <cell r="D30" t="str">
            <v/>
          </cell>
          <cell r="E30" t="str">
            <v/>
          </cell>
          <cell r="F30">
            <v>5</v>
          </cell>
          <cell r="G30" t="str">
            <v/>
          </cell>
        </row>
        <row r="31">
          <cell r="B31" t="str">
            <v>陈阿娇</v>
          </cell>
          <cell r="C31" t="str">
            <v/>
          </cell>
          <cell r="D31" t="str">
            <v/>
          </cell>
          <cell r="E31" t="str">
            <v/>
          </cell>
          <cell r="F31">
            <v>3</v>
          </cell>
          <cell r="G31" t="str">
            <v/>
          </cell>
        </row>
        <row r="32">
          <cell r="B32" t="str">
            <v>范雎</v>
          </cell>
          <cell r="C32" t="str">
            <v/>
          </cell>
          <cell r="D32" t="str">
            <v/>
          </cell>
          <cell r="E32" t="str">
            <v/>
          </cell>
          <cell r="F32">
            <v>8</v>
          </cell>
          <cell r="G32" t="str">
            <v/>
          </cell>
        </row>
        <row r="33">
          <cell r="B33" t="str">
            <v>秦始皇</v>
          </cell>
          <cell r="C33" t="str">
            <v/>
          </cell>
          <cell r="D33" t="str">
            <v/>
          </cell>
          <cell r="E33" t="str">
            <v/>
          </cell>
          <cell r="F33" t="str">
            <v/>
          </cell>
          <cell r="G33" t="str">
            <v/>
          </cell>
        </row>
        <row r="34">
          <cell r="B34" t="str">
            <v>李斯</v>
          </cell>
          <cell r="C34" t="str">
            <v/>
          </cell>
          <cell r="D34" t="str">
            <v/>
          </cell>
          <cell r="E34" t="str">
            <v/>
          </cell>
          <cell r="F34">
            <v>7</v>
          </cell>
          <cell r="G34" t="str">
            <v/>
          </cell>
        </row>
        <row r="35">
          <cell r="B35" t="str">
            <v>樗里疾</v>
          </cell>
          <cell r="C35" t="str">
            <v/>
          </cell>
          <cell r="D35" t="str">
            <v/>
          </cell>
          <cell r="E35">
            <v>1</v>
          </cell>
          <cell r="F35">
            <v>9</v>
          </cell>
          <cell r="G35" t="str">
            <v/>
          </cell>
        </row>
        <row r="36">
          <cell r="B36" t="str">
            <v>伯乐</v>
          </cell>
          <cell r="C36" t="str">
            <v/>
          </cell>
          <cell r="D36" t="str">
            <v/>
          </cell>
          <cell r="E36" t="str">
            <v/>
          </cell>
          <cell r="F36">
            <v>9</v>
          </cell>
          <cell r="G36" t="str">
            <v/>
          </cell>
        </row>
        <row r="37">
          <cell r="B37" t="str">
            <v>钟无艳</v>
          </cell>
          <cell r="C37" t="str">
            <v/>
          </cell>
          <cell r="D37" t="str">
            <v/>
          </cell>
          <cell r="E37">
            <v>3</v>
          </cell>
          <cell r="F37">
            <v>2</v>
          </cell>
          <cell r="G37" t="str">
            <v/>
          </cell>
        </row>
        <row r="38">
          <cell r="B38" t="str">
            <v>孟尝君</v>
          </cell>
          <cell r="C38" t="str">
            <v/>
          </cell>
          <cell r="D38" t="str">
            <v/>
          </cell>
          <cell r="E38" t="str">
            <v/>
          </cell>
          <cell r="F38">
            <v>6</v>
          </cell>
          <cell r="G38" t="str">
            <v/>
          </cell>
        </row>
        <row r="39">
          <cell r="B39" t="str">
            <v>邹衍</v>
          </cell>
          <cell r="C39" t="str">
            <v/>
          </cell>
          <cell r="D39" t="str">
            <v/>
          </cell>
          <cell r="E39" t="str">
            <v/>
          </cell>
          <cell r="F39">
            <v>3</v>
          </cell>
          <cell r="G39" t="str">
            <v/>
          </cell>
        </row>
        <row r="40">
          <cell r="B40" t="str">
            <v>扁鹊</v>
          </cell>
          <cell r="C40" t="str">
            <v/>
          </cell>
          <cell r="D40" t="str">
            <v/>
          </cell>
          <cell r="E40" t="str">
            <v/>
          </cell>
          <cell r="F40">
            <v>8</v>
          </cell>
          <cell r="G40" t="str">
            <v/>
          </cell>
        </row>
        <row r="41">
          <cell r="B41" t="str">
            <v>田忌</v>
          </cell>
          <cell r="C41" t="str">
            <v/>
          </cell>
          <cell r="D41" t="str">
            <v/>
          </cell>
          <cell r="E41">
            <v>1</v>
          </cell>
          <cell r="F41">
            <v>2</v>
          </cell>
          <cell r="G41" t="str">
            <v/>
          </cell>
        </row>
        <row r="42">
          <cell r="B42" t="str">
            <v>司马穰苴</v>
          </cell>
          <cell r="C42" t="str">
            <v/>
          </cell>
          <cell r="D42" t="str">
            <v/>
          </cell>
          <cell r="E42">
            <v>1</v>
          </cell>
          <cell r="F42">
            <v>10</v>
          </cell>
          <cell r="G42" t="str">
            <v/>
          </cell>
        </row>
        <row r="43">
          <cell r="B43" t="str">
            <v>鲍叔牙</v>
          </cell>
          <cell r="C43" t="str">
            <v/>
          </cell>
          <cell r="D43" t="str">
            <v/>
          </cell>
          <cell r="E43" t="str">
            <v/>
          </cell>
          <cell r="F43" t="str">
            <v/>
          </cell>
          <cell r="G43" t="str">
            <v/>
          </cell>
        </row>
        <row r="44">
          <cell r="B44" t="str">
            <v>孙膑</v>
          </cell>
          <cell r="C44" t="str">
            <v/>
          </cell>
          <cell r="D44" t="str">
            <v/>
          </cell>
          <cell r="E44">
            <v>2</v>
          </cell>
          <cell r="F44">
            <v>9</v>
          </cell>
          <cell r="G44" t="str">
            <v/>
          </cell>
        </row>
        <row r="45">
          <cell r="B45" t="str">
            <v>孟子</v>
          </cell>
          <cell r="C45" t="str">
            <v/>
          </cell>
          <cell r="D45" t="str">
            <v/>
          </cell>
          <cell r="E45" t="str">
            <v/>
          </cell>
          <cell r="F45" t="str">
            <v/>
          </cell>
          <cell r="G45" t="str">
            <v/>
          </cell>
        </row>
        <row r="46">
          <cell r="B46" t="str">
            <v>齐桓公</v>
          </cell>
          <cell r="C46" t="str">
            <v/>
          </cell>
          <cell r="D46" t="str">
            <v/>
          </cell>
          <cell r="E46" t="str">
            <v/>
          </cell>
          <cell r="F46">
            <v>7</v>
          </cell>
          <cell r="G46">
            <v>1</v>
          </cell>
        </row>
        <row r="47">
          <cell r="B47" t="str">
            <v>管仲</v>
          </cell>
          <cell r="C47" t="str">
            <v/>
          </cell>
          <cell r="D47" t="str">
            <v/>
          </cell>
          <cell r="E47" t="str">
            <v/>
          </cell>
          <cell r="F47" t="str">
            <v/>
          </cell>
          <cell r="G47" t="str">
            <v/>
          </cell>
        </row>
        <row r="48">
          <cell r="B48" t="str">
            <v>屈原</v>
          </cell>
          <cell r="C48" t="str">
            <v/>
          </cell>
          <cell r="D48" t="str">
            <v/>
          </cell>
          <cell r="E48" t="str">
            <v/>
          </cell>
          <cell r="F48">
            <v>9</v>
          </cell>
          <cell r="G48" t="str">
            <v/>
          </cell>
        </row>
        <row r="49">
          <cell r="B49" t="str">
            <v>项燕</v>
          </cell>
          <cell r="C49" t="str">
            <v/>
          </cell>
          <cell r="D49" t="str">
            <v/>
          </cell>
          <cell r="E49">
            <v>1</v>
          </cell>
          <cell r="F49">
            <v>10</v>
          </cell>
          <cell r="G49" t="str">
            <v/>
          </cell>
        </row>
        <row r="50">
          <cell r="B50" t="str">
            <v>春申君</v>
          </cell>
          <cell r="C50" t="str">
            <v/>
          </cell>
          <cell r="D50" t="str">
            <v/>
          </cell>
          <cell r="E50">
            <v>2</v>
          </cell>
          <cell r="F50">
            <v>2</v>
          </cell>
          <cell r="G50" t="str">
            <v/>
          </cell>
        </row>
        <row r="51">
          <cell r="B51" t="str">
            <v>莫邪</v>
          </cell>
          <cell r="C51" t="str">
            <v/>
          </cell>
          <cell r="D51" t="str">
            <v/>
          </cell>
          <cell r="E51">
            <v>4</v>
          </cell>
          <cell r="F51">
            <v>2</v>
          </cell>
          <cell r="G51" t="str">
            <v/>
          </cell>
        </row>
        <row r="52">
          <cell r="B52" t="str">
            <v>干将</v>
          </cell>
          <cell r="C52" t="str">
            <v/>
          </cell>
          <cell r="D52" t="str">
            <v/>
          </cell>
          <cell r="E52" t="str">
            <v/>
          </cell>
          <cell r="F52" t="str">
            <v/>
          </cell>
          <cell r="G52" t="str">
            <v/>
          </cell>
        </row>
        <row r="53">
          <cell r="B53" t="str">
            <v>孙叔敖</v>
          </cell>
          <cell r="C53" t="str">
            <v/>
          </cell>
          <cell r="D53" t="str">
            <v/>
          </cell>
          <cell r="E53">
            <v>2</v>
          </cell>
          <cell r="F53">
            <v>2</v>
          </cell>
          <cell r="G53" t="str">
            <v/>
          </cell>
        </row>
        <row r="54">
          <cell r="B54" t="str">
            <v>平原君</v>
          </cell>
          <cell r="C54" t="str">
            <v/>
          </cell>
          <cell r="D54" t="str">
            <v/>
          </cell>
          <cell r="E54" t="str">
            <v/>
          </cell>
          <cell r="F54" t="str">
            <v/>
          </cell>
          <cell r="G54" t="str">
            <v/>
          </cell>
        </row>
        <row r="55">
          <cell r="B55" t="str">
            <v>蔺相如</v>
          </cell>
          <cell r="C55" t="str">
            <v/>
          </cell>
          <cell r="D55" t="str">
            <v/>
          </cell>
          <cell r="E55" t="str">
            <v/>
          </cell>
          <cell r="F55">
            <v>10</v>
          </cell>
          <cell r="G55" t="str">
            <v/>
          </cell>
        </row>
        <row r="56">
          <cell r="B56" t="str">
            <v>赵奢</v>
          </cell>
          <cell r="C56" t="str">
            <v/>
          </cell>
          <cell r="D56" t="str">
            <v/>
          </cell>
          <cell r="E56" t="str">
            <v/>
          </cell>
          <cell r="F56">
            <v>5</v>
          </cell>
          <cell r="G56" t="str">
            <v/>
          </cell>
        </row>
        <row r="57">
          <cell r="B57" t="str">
            <v>庞涓</v>
          </cell>
          <cell r="C57" t="str">
            <v/>
          </cell>
          <cell r="D57" t="str">
            <v/>
          </cell>
          <cell r="E57">
            <v>2</v>
          </cell>
          <cell r="F57">
            <v>2</v>
          </cell>
          <cell r="G57" t="str">
            <v/>
          </cell>
        </row>
        <row r="58">
          <cell r="B58" t="str">
            <v>朱亥</v>
          </cell>
          <cell r="C58" t="str">
            <v/>
          </cell>
          <cell r="D58">
            <v>1</v>
          </cell>
          <cell r="E58">
            <v>1</v>
          </cell>
          <cell r="F58">
            <v>2</v>
          </cell>
          <cell r="G58" t="str">
            <v/>
          </cell>
        </row>
        <row r="59">
          <cell r="B59" t="str">
            <v>西门豹</v>
          </cell>
          <cell r="C59" t="str">
            <v/>
          </cell>
          <cell r="D59" t="str">
            <v/>
          </cell>
          <cell r="E59">
            <v>2</v>
          </cell>
          <cell r="F59">
            <v>2</v>
          </cell>
          <cell r="G59" t="str">
            <v/>
          </cell>
        </row>
        <row r="60">
          <cell r="B60" t="str">
            <v>韩非子</v>
          </cell>
          <cell r="C60" t="str">
            <v/>
          </cell>
          <cell r="D60" t="str">
            <v/>
          </cell>
          <cell r="E60" t="str">
            <v/>
          </cell>
          <cell r="F60">
            <v>8</v>
          </cell>
          <cell r="G60" t="str">
            <v/>
          </cell>
        </row>
        <row r="61">
          <cell r="B61" t="str">
            <v>暴鸢</v>
          </cell>
          <cell r="C61" t="str">
            <v/>
          </cell>
          <cell r="D61" t="str">
            <v/>
          </cell>
          <cell r="E61">
            <v>1</v>
          </cell>
          <cell r="F61">
            <v>2</v>
          </cell>
          <cell r="G61" t="str">
            <v/>
          </cell>
        </row>
        <row r="62">
          <cell r="B62" t="str">
            <v>申不害</v>
          </cell>
          <cell r="C62" t="str">
            <v/>
          </cell>
          <cell r="D62" t="str">
            <v/>
          </cell>
          <cell r="E62">
            <v>1</v>
          </cell>
          <cell r="F62">
            <v>10</v>
          </cell>
          <cell r="G62" t="str">
            <v/>
          </cell>
        </row>
        <row r="63">
          <cell r="B63" t="str">
            <v>乐毅</v>
          </cell>
          <cell r="C63" t="str">
            <v/>
          </cell>
          <cell r="D63" t="str">
            <v/>
          </cell>
          <cell r="E63" t="str">
            <v/>
          </cell>
          <cell r="F63">
            <v>9</v>
          </cell>
          <cell r="G63">
            <v>1</v>
          </cell>
        </row>
        <row r="64">
          <cell r="B64" t="str">
            <v>荆轲</v>
          </cell>
          <cell r="C64" t="str">
            <v/>
          </cell>
          <cell r="D64">
            <v>1</v>
          </cell>
          <cell r="E64">
            <v>3</v>
          </cell>
          <cell r="F64">
            <v>7</v>
          </cell>
          <cell r="G64" t="str">
            <v/>
          </cell>
        </row>
        <row r="65">
          <cell r="B65" t="str">
            <v>苏秦</v>
          </cell>
          <cell r="C65" t="str">
            <v/>
          </cell>
          <cell r="D65" t="str">
            <v/>
          </cell>
          <cell r="E65" t="str">
            <v/>
          </cell>
          <cell r="F65">
            <v>10</v>
          </cell>
          <cell r="G65" t="str">
            <v/>
          </cell>
        </row>
        <row r="66">
          <cell r="B66" t="str">
            <v>秦开</v>
          </cell>
          <cell r="C66" t="str">
            <v/>
          </cell>
          <cell r="D66" t="str">
            <v/>
          </cell>
          <cell r="E66">
            <v>1</v>
          </cell>
          <cell r="F66">
            <v>2</v>
          </cell>
          <cell r="G66" t="str">
            <v/>
          </cell>
        </row>
        <row r="67">
          <cell r="B67" t="str">
            <v>墨子</v>
          </cell>
          <cell r="C67" t="str">
            <v/>
          </cell>
          <cell r="D67" t="str">
            <v/>
          </cell>
          <cell r="E67" t="str">
            <v/>
          </cell>
          <cell r="F67">
            <v>9</v>
          </cell>
          <cell r="G67" t="str">
            <v/>
          </cell>
        </row>
        <row r="68">
          <cell r="B68" t="str">
            <v>褒姒</v>
          </cell>
          <cell r="C68" t="str">
            <v/>
          </cell>
          <cell r="D68" t="str">
            <v/>
          </cell>
          <cell r="E68" t="str">
            <v/>
          </cell>
          <cell r="F68">
            <v>8</v>
          </cell>
          <cell r="G68" t="str">
            <v/>
          </cell>
        </row>
        <row r="69">
          <cell r="B69" t="str">
            <v>鲁班</v>
          </cell>
          <cell r="C69" t="str">
            <v/>
          </cell>
          <cell r="D69" t="str">
            <v/>
          </cell>
          <cell r="E69" t="str">
            <v/>
          </cell>
          <cell r="F69">
            <v>5</v>
          </cell>
          <cell r="G69" t="str">
            <v/>
          </cell>
        </row>
        <row r="70">
          <cell r="B70" t="str">
            <v>伍子胥</v>
          </cell>
          <cell r="C70" t="str">
            <v/>
          </cell>
          <cell r="D70" t="str">
            <v/>
          </cell>
          <cell r="E70">
            <v>2</v>
          </cell>
          <cell r="F70">
            <v>10</v>
          </cell>
          <cell r="G70" t="str">
            <v/>
          </cell>
        </row>
        <row r="71">
          <cell r="B71" t="str">
            <v>欧冶子</v>
          </cell>
          <cell r="C71" t="str">
            <v/>
          </cell>
          <cell r="D71" t="str">
            <v/>
          </cell>
          <cell r="E71">
            <v>1</v>
          </cell>
          <cell r="F71">
            <v>5</v>
          </cell>
          <cell r="G71" t="str">
            <v/>
          </cell>
        </row>
        <row r="72">
          <cell r="B72" t="str">
            <v>勾践</v>
          </cell>
          <cell r="C72" t="str">
            <v/>
          </cell>
          <cell r="D72" t="str">
            <v/>
          </cell>
          <cell r="E72">
            <v>1</v>
          </cell>
          <cell r="F72">
            <v>4</v>
          </cell>
          <cell r="G72" t="str">
            <v/>
          </cell>
        </row>
        <row r="73">
          <cell r="B73" t="str">
            <v>晋文公</v>
          </cell>
          <cell r="C73" t="str">
            <v/>
          </cell>
          <cell r="D73" t="str">
            <v/>
          </cell>
          <cell r="E73" t="str">
            <v/>
          </cell>
          <cell r="F73">
            <v>11</v>
          </cell>
          <cell r="G73" t="str">
            <v/>
          </cell>
        </row>
        <row r="74">
          <cell r="B74" t="str">
            <v>范蠡</v>
          </cell>
          <cell r="C74" t="str">
            <v/>
          </cell>
          <cell r="D74" t="str">
            <v/>
          </cell>
          <cell r="E74" t="str">
            <v/>
          </cell>
          <cell r="F74" t="str">
            <v/>
          </cell>
          <cell r="G74" t="str">
            <v/>
          </cell>
        </row>
        <row r="75">
          <cell r="B75" t="str">
            <v>孙武</v>
          </cell>
          <cell r="C75" t="str">
            <v/>
          </cell>
          <cell r="D75" t="str">
            <v/>
          </cell>
          <cell r="E75" t="str">
            <v/>
          </cell>
          <cell r="F75" t="str">
            <v/>
          </cell>
          <cell r="G75" t="str">
            <v/>
          </cell>
        </row>
        <row r="76">
          <cell r="B76" t="str">
            <v>鬼谷子</v>
          </cell>
          <cell r="C76" t="str">
            <v/>
          </cell>
          <cell r="D76" t="str">
            <v/>
          </cell>
          <cell r="E76" t="str">
            <v/>
          </cell>
          <cell r="F76" t="str">
            <v/>
          </cell>
          <cell r="G76" t="str">
            <v/>
          </cell>
        </row>
        <row r="77">
          <cell r="B77" t="str">
            <v>孔丘</v>
          </cell>
          <cell r="C77" t="str">
            <v/>
          </cell>
          <cell r="D77" t="str">
            <v/>
          </cell>
          <cell r="E77" t="str">
            <v/>
          </cell>
          <cell r="F77" t="str">
            <v/>
          </cell>
          <cell r="G77" t="str">
            <v/>
          </cell>
        </row>
        <row r="78">
          <cell r="B78" t="str">
            <v>老子</v>
          </cell>
          <cell r="C78" t="str">
            <v/>
          </cell>
          <cell r="D78" t="str">
            <v/>
          </cell>
          <cell r="E78" t="str">
            <v/>
          </cell>
          <cell r="F78" t="str">
            <v/>
          </cell>
          <cell r="G78" t="str">
            <v/>
          </cell>
        </row>
        <row r="79">
          <cell r="B79" t="str">
            <v>赵括</v>
          </cell>
          <cell r="C79" t="str">
            <v/>
          </cell>
          <cell r="D79">
            <v>1</v>
          </cell>
          <cell r="E79">
            <v>1</v>
          </cell>
          <cell r="F79">
            <v>9</v>
          </cell>
          <cell r="G79" t="str">
            <v/>
          </cell>
        </row>
        <row r="80">
          <cell r="B80" t="str">
            <v>典藏吕不韦</v>
          </cell>
          <cell r="C80" t="str">
            <v/>
          </cell>
          <cell r="D80" t="str">
            <v/>
          </cell>
          <cell r="E80" t="str">
            <v/>
          </cell>
          <cell r="F80">
            <v>9</v>
          </cell>
          <cell r="G80" t="str">
            <v/>
          </cell>
        </row>
        <row r="81">
          <cell r="B81" t="str">
            <v>嬴政</v>
          </cell>
          <cell r="C81" t="str">
            <v/>
          </cell>
          <cell r="D81" t="str">
            <v/>
          </cell>
          <cell r="E81" t="str">
            <v/>
          </cell>
          <cell r="F81">
            <v>10</v>
          </cell>
          <cell r="G81" t="str">
            <v/>
          </cell>
        </row>
        <row r="82">
          <cell r="B82" t="str">
            <v>蒙恬</v>
          </cell>
          <cell r="C82" t="str">
            <v/>
          </cell>
          <cell r="D82" t="str">
            <v/>
          </cell>
          <cell r="E82" t="str">
            <v/>
          </cell>
          <cell r="F82">
            <v>9</v>
          </cell>
          <cell r="G82" t="str">
            <v/>
          </cell>
        </row>
        <row r="83">
          <cell r="B83" t="str">
            <v>弄玉</v>
          </cell>
          <cell r="C83" t="str">
            <v/>
          </cell>
          <cell r="D83" t="str">
            <v/>
          </cell>
          <cell r="E83" t="str">
            <v/>
          </cell>
          <cell r="F83">
            <v>6</v>
          </cell>
          <cell r="G83" t="str">
            <v/>
          </cell>
        </row>
        <row r="84">
          <cell r="B84" t="str">
            <v>越女</v>
          </cell>
          <cell r="C84" t="str">
            <v/>
          </cell>
          <cell r="D84" t="str">
            <v/>
          </cell>
          <cell r="E84" t="str">
            <v/>
          </cell>
          <cell r="F84">
            <v>7</v>
          </cell>
          <cell r="G84" t="str">
            <v/>
          </cell>
        </row>
        <row r="85">
          <cell r="B85" t="str">
            <v>虞姬</v>
          </cell>
          <cell r="C85" t="str">
            <v/>
          </cell>
          <cell r="D85" t="str">
            <v/>
          </cell>
          <cell r="E85" t="str">
            <v/>
          </cell>
          <cell r="F85">
            <v>4</v>
          </cell>
          <cell r="G85">
            <v>1</v>
          </cell>
        </row>
        <row r="86">
          <cell r="B86" t="str">
            <v>项羽</v>
          </cell>
          <cell r="C86" t="str">
            <v/>
          </cell>
          <cell r="D86" t="str">
            <v/>
          </cell>
          <cell r="E86" t="str">
            <v/>
          </cell>
          <cell r="F86">
            <v>3</v>
          </cell>
          <cell r="G86">
            <v>1</v>
          </cell>
        </row>
        <row r="87">
          <cell r="B87" t="str">
            <v>刘邦</v>
          </cell>
          <cell r="C87" t="str">
            <v/>
          </cell>
          <cell r="D87" t="str">
            <v/>
          </cell>
          <cell r="E87" t="str">
            <v/>
          </cell>
          <cell r="F87">
            <v>1</v>
          </cell>
          <cell r="G87" t="str">
            <v/>
          </cell>
        </row>
        <row r="88">
          <cell r="B88" t="str">
            <v>韩信</v>
          </cell>
          <cell r="C88" t="str">
            <v/>
          </cell>
          <cell r="D88" t="str">
            <v/>
          </cell>
          <cell r="E88" t="str">
            <v/>
          </cell>
          <cell r="F88">
            <v>2</v>
          </cell>
          <cell r="G88">
            <v>2</v>
          </cell>
        </row>
        <row r="89">
          <cell r="B89" t="str">
            <v>彭越</v>
          </cell>
          <cell r="C89" t="str">
            <v/>
          </cell>
          <cell r="D89" t="str">
            <v/>
          </cell>
          <cell r="E89" t="str">
            <v/>
          </cell>
          <cell r="F89">
            <v>5</v>
          </cell>
          <cell r="G89">
            <v>1</v>
          </cell>
        </row>
        <row r="90">
          <cell r="B90" t="str">
            <v>卫青</v>
          </cell>
          <cell r="C90" t="str">
            <v/>
          </cell>
          <cell r="D90" t="str">
            <v/>
          </cell>
          <cell r="E90" t="str">
            <v/>
          </cell>
          <cell r="F90" t="str">
            <v/>
          </cell>
          <cell r="G90" t="str">
            <v/>
          </cell>
        </row>
        <row r="91">
          <cell r="B91" t="str">
            <v>霍去病</v>
          </cell>
          <cell r="C91" t="str">
            <v/>
          </cell>
          <cell r="D91" t="str">
            <v/>
          </cell>
          <cell r="E91" t="str">
            <v/>
          </cell>
          <cell r="F91" t="str">
            <v/>
          </cell>
          <cell r="G91" t="str">
            <v/>
          </cell>
        </row>
        <row r="92">
          <cell r="B92" t="str">
            <v>曹操</v>
          </cell>
          <cell r="C92" t="str">
            <v/>
          </cell>
          <cell r="D92" t="str">
            <v/>
          </cell>
          <cell r="E92" t="str">
            <v/>
          </cell>
          <cell r="F92" t="str">
            <v/>
          </cell>
          <cell r="G92" t="str">
            <v/>
          </cell>
        </row>
        <row r="93">
          <cell r="B93" t="str">
            <v>关羽</v>
          </cell>
          <cell r="C93" t="str">
            <v/>
          </cell>
          <cell r="D93" t="str">
            <v/>
          </cell>
          <cell r="E93" t="str">
            <v/>
          </cell>
          <cell r="F93">
            <v>2</v>
          </cell>
          <cell r="G93">
            <v>1</v>
          </cell>
        </row>
        <row r="94">
          <cell r="B94" t="str">
            <v>董卓</v>
          </cell>
          <cell r="C94" t="str">
            <v/>
          </cell>
          <cell r="D94" t="str">
            <v/>
          </cell>
          <cell r="E94" t="str">
            <v/>
          </cell>
          <cell r="F94">
            <v>3</v>
          </cell>
          <cell r="G94">
            <v>1</v>
          </cell>
        </row>
        <row r="95">
          <cell r="B95" t="str">
            <v>貂蝉</v>
          </cell>
          <cell r="C95" t="str">
            <v/>
          </cell>
          <cell r="D95" t="str">
            <v/>
          </cell>
          <cell r="E95" t="str">
            <v/>
          </cell>
          <cell r="F95">
            <v>1</v>
          </cell>
          <cell r="G95" t="str">
            <v/>
          </cell>
        </row>
        <row r="96">
          <cell r="B96" t="str">
            <v>吕布</v>
          </cell>
          <cell r="C96" t="str">
            <v/>
          </cell>
          <cell r="D96" t="str">
            <v/>
          </cell>
          <cell r="E96" t="str">
            <v/>
          </cell>
          <cell r="F96">
            <v>6</v>
          </cell>
          <cell r="G96">
            <v>1</v>
          </cell>
        </row>
        <row r="97">
          <cell r="B97" t="str">
            <v>赵云</v>
          </cell>
          <cell r="C97" t="str">
            <v/>
          </cell>
          <cell r="D97" t="str">
            <v/>
          </cell>
          <cell r="E97" t="str">
            <v/>
          </cell>
          <cell r="F97">
            <v>1</v>
          </cell>
          <cell r="G97">
            <v>1</v>
          </cell>
        </row>
        <row r="98">
          <cell r="B98" t="str">
            <v>刘备</v>
          </cell>
          <cell r="C98" t="str">
            <v/>
          </cell>
          <cell r="D98" t="str">
            <v/>
          </cell>
          <cell r="E98" t="str">
            <v/>
          </cell>
          <cell r="F98" t="str">
            <v/>
          </cell>
          <cell r="G98">
            <v>1</v>
          </cell>
        </row>
        <row r="99">
          <cell r="B99" t="str">
            <v>陆逊</v>
          </cell>
          <cell r="C99" t="str">
            <v/>
          </cell>
          <cell r="D99" t="str">
            <v/>
          </cell>
          <cell r="E99" t="str">
            <v/>
          </cell>
          <cell r="F99">
            <v>2</v>
          </cell>
          <cell r="G99">
            <v>1</v>
          </cell>
        </row>
        <row r="100">
          <cell r="B100" t="str">
            <v>袁绍</v>
          </cell>
          <cell r="C100" t="str">
            <v/>
          </cell>
          <cell r="D100" t="str">
            <v/>
          </cell>
          <cell r="E100" t="str">
            <v/>
          </cell>
          <cell r="F100">
            <v>1</v>
          </cell>
          <cell r="G100" t="str">
            <v/>
          </cell>
        </row>
        <row r="101">
          <cell r="B101" t="str">
            <v>诸葛亮</v>
          </cell>
          <cell r="C101" t="str">
            <v/>
          </cell>
          <cell r="D101" t="str">
            <v/>
          </cell>
          <cell r="E101" t="str">
            <v/>
          </cell>
          <cell r="F101" t="str">
            <v/>
          </cell>
          <cell r="G101">
            <v>1</v>
          </cell>
        </row>
        <row r="102">
          <cell r="B102" t="str">
            <v>太史慈</v>
          </cell>
          <cell r="C102" t="str">
            <v/>
          </cell>
          <cell r="D102" t="str">
            <v/>
          </cell>
          <cell r="E102" t="str">
            <v/>
          </cell>
          <cell r="F102" t="str">
            <v/>
          </cell>
          <cell r="G102" t="str">
            <v/>
          </cell>
        </row>
        <row r="103">
          <cell r="B103" t="str">
            <v>孙权</v>
          </cell>
          <cell r="C103" t="str">
            <v/>
          </cell>
          <cell r="D103" t="str">
            <v/>
          </cell>
          <cell r="E103" t="str">
            <v/>
          </cell>
          <cell r="F103" t="str">
            <v/>
          </cell>
          <cell r="G103" t="str">
            <v/>
          </cell>
        </row>
        <row r="104">
          <cell r="B104" t="str">
            <v>夏侯渊</v>
          </cell>
          <cell r="C104" t="str">
            <v/>
          </cell>
          <cell r="D104" t="str">
            <v/>
          </cell>
          <cell r="E104" t="str">
            <v/>
          </cell>
          <cell r="F104" t="str">
            <v/>
          </cell>
          <cell r="G104">
            <v>1</v>
          </cell>
        </row>
      </sheetData>
      <sheetData sheetId="3"/>
      <sheetData sheetId="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羁绊简述"/>
      <sheetName val="羁绊设计"/>
      <sheetName val="羁绊解锁统计"/>
      <sheetName val="Sheet2"/>
    </sheetNames>
    <sheetDataSet>
      <sheetData sheetId="0"/>
      <sheetData sheetId="1">
        <row r="9">
          <cell r="F9" t="str">
            <v>橙</v>
          </cell>
          <cell r="AD9" t="str">
            <v>虎将之后</v>
          </cell>
          <cell r="AE9" t="str">
            <v>袁吕结亲</v>
          </cell>
          <cell r="AF9" t="str">
            <v>吕氏父女</v>
          </cell>
          <cell r="AG9" t="str">
            <v>&amp;</v>
          </cell>
          <cell r="AH9" t="str">
            <v>&amp;</v>
          </cell>
          <cell r="AI9" t="str">
            <v>&amp;</v>
          </cell>
          <cell r="AJ9" t="str">
            <v>&amp;</v>
          </cell>
          <cell r="AK9" t="str">
            <v>&amp;</v>
          </cell>
        </row>
        <row r="10">
          <cell r="F10" t="str">
            <v>橙</v>
          </cell>
          <cell r="AD10" t="str">
            <v>西凉霸王</v>
          </cell>
          <cell r="AE10" t="str">
            <v>一决高下</v>
          </cell>
          <cell r="AF10" t="str">
            <v>西凉飞将</v>
          </cell>
          <cell r="AG10" t="str">
            <v>镇守虎牢</v>
          </cell>
          <cell r="AH10" t="str">
            <v>&amp;</v>
          </cell>
          <cell r="AI10" t="str">
            <v>&amp;</v>
          </cell>
          <cell r="AJ10" t="str">
            <v>&amp;</v>
          </cell>
          <cell r="AK10" t="str">
            <v>&amp;</v>
          </cell>
        </row>
        <row r="11">
          <cell r="F11" t="str">
            <v>橙+</v>
          </cell>
          <cell r="AD11" t="str">
            <v>三国争霸</v>
          </cell>
          <cell r="AE11" t="str">
            <v>三国争霸</v>
          </cell>
          <cell r="AF11" t="str">
            <v>三国争霸</v>
          </cell>
          <cell r="AG11" t="str">
            <v>三国争霸</v>
          </cell>
          <cell r="AH11" t="str">
            <v>三国争霸</v>
          </cell>
          <cell r="AI11" t="str">
            <v>三国争霸</v>
          </cell>
          <cell r="AJ11" t="str">
            <v>三国争霸</v>
          </cell>
          <cell r="AK11" t="str">
            <v>三国争霸</v>
          </cell>
        </row>
        <row r="12">
          <cell r="F12" t="str">
            <v>红</v>
          </cell>
          <cell r="AD12" t="str">
            <v>名奉武庙</v>
          </cell>
          <cell r="AE12" t="str">
            <v>曹魏名将</v>
          </cell>
          <cell r="AF12" t="str">
            <v>左膀右臂</v>
          </cell>
          <cell r="AG12" t="str">
            <v>&amp;</v>
          </cell>
          <cell r="AH12" t="str">
            <v>&amp;</v>
          </cell>
          <cell r="AI12" t="str">
            <v>&amp;</v>
          </cell>
          <cell r="AJ12" t="str">
            <v>&amp;</v>
          </cell>
          <cell r="AK12" t="str">
            <v>&amp;</v>
          </cell>
        </row>
        <row r="13">
          <cell r="F13" t="str">
            <v>橙</v>
          </cell>
          <cell r="AD13" t="str">
            <v>江东老臣</v>
          </cell>
          <cell r="AE13" t="str">
            <v>三世忠臣</v>
          </cell>
          <cell r="AF13" t="str">
            <v>平讨江东</v>
          </cell>
          <cell r="AG13" t="str">
            <v>东吴将才</v>
          </cell>
          <cell r="AH13" t="str">
            <v>&amp;</v>
          </cell>
          <cell r="AI13" t="str">
            <v>&amp;</v>
          </cell>
          <cell r="AJ13" t="str">
            <v>&amp;</v>
          </cell>
          <cell r="AK13" t="str">
            <v>&amp;</v>
          </cell>
        </row>
        <row r="14">
          <cell r="F14" t="str">
            <v>橙+</v>
          </cell>
          <cell r="AD14" t="str">
            <v>郎才女貌</v>
          </cell>
          <cell r="AE14" t="str">
            <v>东吴都督</v>
          </cell>
          <cell r="AF14" t="str">
            <v>一时瑜亮</v>
          </cell>
          <cell r="AG14" t="str">
            <v>苦肉计</v>
          </cell>
          <cell r="AH14" t="str">
            <v>南郡之战</v>
          </cell>
          <cell r="AI14" t="str">
            <v>平讨江东</v>
          </cell>
          <cell r="AJ14" t="str">
            <v>英年早逝</v>
          </cell>
          <cell r="AK14" t="str">
            <v>东吴将才</v>
          </cell>
        </row>
        <row r="15">
          <cell r="F15" t="str">
            <v>橙</v>
          </cell>
          <cell r="AD15" t="str">
            <v>江东二乔</v>
          </cell>
          <cell r="AE15" t="str">
            <v xml:space="preserve">江东佳人 </v>
          </cell>
          <cell r="AF15" t="str">
            <v>天作之合</v>
          </cell>
          <cell r="AG15" t="str">
            <v>巾帼须眉</v>
          </cell>
          <cell r="AH15" t="str">
            <v>乱世佳人</v>
          </cell>
          <cell r="AI15" t="str">
            <v>&amp;</v>
          </cell>
          <cell r="AJ15" t="str">
            <v>&amp;</v>
          </cell>
          <cell r="AK15" t="str">
            <v>&amp;</v>
          </cell>
        </row>
        <row r="16">
          <cell r="F16" t="str">
            <v>橙</v>
          </cell>
          <cell r="AD16" t="str">
            <v>一见倾心</v>
          </cell>
          <cell r="AE16" t="str">
            <v>截江夺阿斗</v>
          </cell>
          <cell r="AF16" t="str">
            <v>北伐重臣</v>
          </cell>
          <cell r="AG16" t="str">
            <v>出兵北伐</v>
          </cell>
          <cell r="AH16" t="str">
            <v>世之虎将</v>
          </cell>
          <cell r="AI16" t="str">
            <v>白马飞将</v>
          </cell>
          <cell r="AJ16" t="str">
            <v>五虎上将</v>
          </cell>
          <cell r="AK16" t="str">
            <v>&amp;</v>
          </cell>
        </row>
        <row r="17">
          <cell r="F17" t="str">
            <v>橙+</v>
          </cell>
          <cell r="AD17" t="str">
            <v>剑阁之战</v>
          </cell>
          <cell r="AE17" t="str">
            <v>知遇之恩</v>
          </cell>
          <cell r="AF17" t="str">
            <v>棋逢对手</v>
          </cell>
          <cell r="AG17" t="str">
            <v>出身寒门</v>
          </cell>
          <cell r="AH17" t="str">
            <v>&amp;</v>
          </cell>
          <cell r="AI17" t="str">
            <v>&amp;</v>
          </cell>
          <cell r="AJ17" t="str">
            <v>&amp;</v>
          </cell>
          <cell r="AK17" t="str">
            <v>&amp;</v>
          </cell>
        </row>
        <row r="18">
          <cell r="F18" t="str">
            <v>橙</v>
          </cell>
          <cell r="AD18" t="str">
            <v>复仇血恨</v>
          </cell>
          <cell r="AE18" t="str">
            <v>曹魏佳人</v>
          </cell>
          <cell r="AF18" t="str">
            <v>仇深似海</v>
          </cell>
          <cell r="AG18" t="str">
            <v>&amp;</v>
          </cell>
          <cell r="AH18" t="str">
            <v>&amp;</v>
          </cell>
          <cell r="AI18" t="str">
            <v>&amp;</v>
          </cell>
          <cell r="AJ18" t="str">
            <v>&amp;</v>
          </cell>
          <cell r="AK18" t="str">
            <v>&amp;</v>
          </cell>
        </row>
        <row r="19">
          <cell r="F19" t="str">
            <v>紫</v>
          </cell>
          <cell r="AD19" t="str">
            <v>奇袭南郡</v>
          </cell>
          <cell r="AE19" t="str">
            <v>江表重臣</v>
          </cell>
          <cell r="AF19" t="str">
            <v>&amp;</v>
          </cell>
          <cell r="AG19" t="str">
            <v>&amp;</v>
          </cell>
          <cell r="AH19" t="str">
            <v>&amp;</v>
          </cell>
          <cell r="AI19" t="str">
            <v>&amp;</v>
          </cell>
          <cell r="AJ19" t="str">
            <v>&amp;</v>
          </cell>
          <cell r="AK19" t="str">
            <v>&amp;</v>
          </cell>
        </row>
        <row r="20">
          <cell r="F20" t="str">
            <v>橙+</v>
          </cell>
          <cell r="AD20" t="str">
            <v>杀子之仇</v>
          </cell>
          <cell r="AE20" t="str">
            <v>母仪天下</v>
          </cell>
          <cell r="AF20" t="str">
            <v>毒杀太后</v>
          </cell>
          <cell r="AG20" t="str">
            <v>凤仪之姿</v>
          </cell>
          <cell r="AH20" t="str">
            <v>&amp;</v>
          </cell>
          <cell r="AI20" t="str">
            <v>&amp;</v>
          </cell>
          <cell r="AJ20" t="str">
            <v>&amp;</v>
          </cell>
          <cell r="AK20" t="str">
            <v>&amp;</v>
          </cell>
        </row>
        <row r="21">
          <cell r="F21" t="str">
            <v>橙+</v>
          </cell>
          <cell r="AD21" t="str">
            <v>得遇明主</v>
          </cell>
          <cell r="AE21" t="str">
            <v>英年早逝</v>
          </cell>
          <cell r="AF21" t="str">
            <v>世之虎将</v>
          </cell>
          <cell r="AG21" t="str">
            <v>&amp;</v>
          </cell>
          <cell r="AH21" t="str">
            <v>&amp;</v>
          </cell>
          <cell r="AI21" t="str">
            <v>&amp;</v>
          </cell>
          <cell r="AJ21" t="str">
            <v>&amp;</v>
          </cell>
          <cell r="AK21" t="str">
            <v>&amp;</v>
          </cell>
        </row>
        <row r="22">
          <cell r="F22" t="str">
            <v>橙+</v>
          </cell>
          <cell r="AD22" t="str">
            <v>五虎上将</v>
          </cell>
          <cell r="AE22" t="str">
            <v>难逢对手</v>
          </cell>
          <cell r="AF22" t="str">
            <v>遇得明主</v>
          </cell>
          <cell r="AG22" t="str">
            <v>&amp;</v>
          </cell>
          <cell r="AH22" t="str">
            <v>&amp;</v>
          </cell>
          <cell r="AI22" t="str">
            <v>&amp;</v>
          </cell>
          <cell r="AJ22" t="str">
            <v>&amp;</v>
          </cell>
          <cell r="AK22" t="str">
            <v>&amp;</v>
          </cell>
        </row>
        <row r="23">
          <cell r="F23" t="str">
            <v>橙</v>
          </cell>
          <cell r="AD23" t="str">
            <v>红颜铁骑</v>
          </cell>
          <cell r="AE23" t="str">
            <v>共谋诛曹</v>
          </cell>
          <cell r="AF23" t="str">
            <v>马氏父子</v>
          </cell>
          <cell r="AG23" t="str">
            <v>讨董联盟</v>
          </cell>
          <cell r="AH23" t="str">
            <v>&amp;</v>
          </cell>
          <cell r="AI23" t="str">
            <v>&amp;</v>
          </cell>
          <cell r="AJ23" t="str">
            <v>&amp;</v>
          </cell>
          <cell r="AK23" t="str">
            <v>&amp;</v>
          </cell>
        </row>
        <row r="24">
          <cell r="F24" t="str">
            <v>橙</v>
          </cell>
          <cell r="AD24" t="str">
            <v>八门金锁</v>
          </cell>
          <cell r="AE24" t="str">
            <v>樊城解围</v>
          </cell>
          <cell r="AF24" t="str">
            <v>南郡之战</v>
          </cell>
          <cell r="AG24" t="str">
            <v>镇守一方</v>
          </cell>
          <cell r="AH24" t="str">
            <v>襄樊会战</v>
          </cell>
          <cell r="AI24" t="str">
            <v>全军覆没</v>
          </cell>
          <cell r="AJ24" t="str">
            <v>&amp;</v>
          </cell>
          <cell r="AK24" t="str">
            <v>&amp;</v>
          </cell>
        </row>
        <row r="25">
          <cell r="F25" t="str">
            <v>紫</v>
          </cell>
          <cell r="AD25" t="str">
            <v>义释严颜</v>
          </cell>
          <cell r="AE25" t="str">
            <v>持重老将</v>
          </cell>
          <cell r="AF25" t="str">
            <v>&amp;</v>
          </cell>
          <cell r="AG25" t="str">
            <v>&amp;</v>
          </cell>
          <cell r="AH25" t="str">
            <v>&amp;</v>
          </cell>
          <cell r="AI25" t="str">
            <v>&amp;</v>
          </cell>
          <cell r="AJ25" t="str">
            <v>&amp;</v>
          </cell>
          <cell r="AK25" t="str">
            <v>&amp;</v>
          </cell>
        </row>
        <row r="26">
          <cell r="F26" t="str">
            <v>橙</v>
          </cell>
          <cell r="AD26" t="str">
            <v>情同父女</v>
          </cell>
          <cell r="AE26" t="str">
            <v>密谋刺董</v>
          </cell>
          <cell r="AF26" t="str">
            <v>投其所好</v>
          </cell>
          <cell r="AG26" t="str">
            <v>连环计</v>
          </cell>
          <cell r="AH26" t="str">
            <v>&amp;</v>
          </cell>
          <cell r="AI26" t="str">
            <v>&amp;</v>
          </cell>
          <cell r="AJ26" t="str">
            <v>&amp;</v>
          </cell>
          <cell r="AK26" t="str">
            <v>&amp;</v>
          </cell>
        </row>
        <row r="27">
          <cell r="F27" t="str">
            <v>橙+</v>
          </cell>
          <cell r="AD27" t="str">
            <v>君臣相知</v>
          </cell>
          <cell r="AE27" t="str">
            <v>后方肱骨</v>
          </cell>
          <cell r="AF27" t="str">
            <v>举贤之人</v>
          </cell>
          <cell r="AG27" t="str">
            <v>&amp;</v>
          </cell>
          <cell r="AH27" t="str">
            <v>&amp;</v>
          </cell>
          <cell r="AI27" t="str">
            <v>&amp;</v>
          </cell>
          <cell r="AJ27" t="str">
            <v>&amp;</v>
          </cell>
          <cell r="AK27" t="str">
            <v>&amp;</v>
          </cell>
        </row>
        <row r="28">
          <cell r="F28" t="str">
            <v>橙</v>
          </cell>
          <cell r="AD28" t="str">
            <v>孙氏父子</v>
          </cell>
          <cell r="AE28" t="str">
            <v>平定江东</v>
          </cell>
          <cell r="AF28" t="str">
            <v>天作之合</v>
          </cell>
          <cell r="AG28" t="str">
            <v>复仇血恨</v>
          </cell>
          <cell r="AH28" t="str">
            <v>三世忠臣</v>
          </cell>
          <cell r="AI28" t="str">
            <v>得遇明主</v>
          </cell>
          <cell r="AJ28" t="str">
            <v>太平江东</v>
          </cell>
          <cell r="AK28" t="str">
            <v>忠君之臣</v>
          </cell>
        </row>
        <row r="29">
          <cell r="F29" t="str">
            <v>紫</v>
          </cell>
          <cell r="AD29" t="str">
            <v>杀子之仇</v>
          </cell>
          <cell r="AE29" t="str">
            <v>毒计狠略</v>
          </cell>
          <cell r="AF29" t="str">
            <v>共侍一主</v>
          </cell>
          <cell r="AG29" t="str">
            <v>西凉霸王</v>
          </cell>
          <cell r="AH29" t="str">
            <v>西凉飞将</v>
          </cell>
          <cell r="AI29" t="str">
            <v>&amp;</v>
          </cell>
          <cell r="AJ29" t="str">
            <v>&amp;</v>
          </cell>
          <cell r="AK29" t="str">
            <v>&amp;</v>
          </cell>
        </row>
        <row r="30">
          <cell r="F30" t="str">
            <v>橙+</v>
          </cell>
          <cell r="AD30" t="str">
            <v>东吴股肱</v>
          </cell>
          <cell r="AE30" t="str">
            <v>忠君之臣</v>
          </cell>
          <cell r="AF30" t="str">
            <v>内外不决</v>
          </cell>
          <cell r="AG30" t="str">
            <v>舌战群儒</v>
          </cell>
          <cell r="AH30" t="str">
            <v>&amp;</v>
          </cell>
          <cell r="AI30" t="str">
            <v>&amp;</v>
          </cell>
          <cell r="AJ30" t="str">
            <v>&amp;</v>
          </cell>
          <cell r="AK30" t="str">
            <v>&amp;</v>
          </cell>
        </row>
        <row r="31">
          <cell r="F31" t="str">
            <v>橙+</v>
          </cell>
          <cell r="AD31" t="str">
            <v>母仪天下</v>
          </cell>
          <cell r="AE31" t="str">
            <v>母仪之德</v>
          </cell>
          <cell r="AF31" t="str">
            <v>凤仪之姿</v>
          </cell>
          <cell r="AG31" t="str">
            <v>伉俪情深</v>
          </cell>
          <cell r="AH31" t="str">
            <v>巾帼须眉</v>
          </cell>
          <cell r="AI31" t="str">
            <v>博学多才</v>
          </cell>
          <cell r="AJ31" t="str">
            <v>&amp;</v>
          </cell>
          <cell r="AK31" t="str">
            <v>&amp;</v>
          </cell>
        </row>
        <row r="32">
          <cell r="F32" t="str">
            <v>蓝</v>
          </cell>
          <cell r="AD32" t="str">
            <v>共讨叛军</v>
          </cell>
          <cell r="AE32" t="str">
            <v>割据一方</v>
          </cell>
          <cell r="AF32" t="str">
            <v>&amp;</v>
          </cell>
          <cell r="AG32" t="str">
            <v>&amp;</v>
          </cell>
          <cell r="AH32" t="str">
            <v>&amp;</v>
          </cell>
          <cell r="AI32" t="str">
            <v>&amp;</v>
          </cell>
          <cell r="AJ32" t="str">
            <v>&amp;</v>
          </cell>
          <cell r="AK32" t="str">
            <v>&amp;</v>
          </cell>
        </row>
        <row r="33">
          <cell r="F33" t="str">
            <v>橙+</v>
          </cell>
          <cell r="AD33" t="str">
            <v>&amp;</v>
          </cell>
          <cell r="AE33" t="str">
            <v>&amp;</v>
          </cell>
          <cell r="AF33" t="str">
            <v>&amp;</v>
          </cell>
          <cell r="AG33" t="str">
            <v>&amp;</v>
          </cell>
          <cell r="AH33" t="str">
            <v>&amp;</v>
          </cell>
          <cell r="AI33" t="str">
            <v>&amp;</v>
          </cell>
          <cell r="AJ33" t="str">
            <v>&amp;</v>
          </cell>
          <cell r="AK33" t="str">
            <v>&amp;</v>
          </cell>
        </row>
        <row r="34">
          <cell r="F34" t="str">
            <v>橙</v>
          </cell>
          <cell r="AD34" t="str">
            <v>&amp;</v>
          </cell>
          <cell r="AE34" t="str">
            <v>&amp;</v>
          </cell>
          <cell r="AF34" t="str">
            <v>&amp;</v>
          </cell>
          <cell r="AG34" t="str">
            <v>&amp;</v>
          </cell>
          <cell r="AH34" t="str">
            <v>&amp;</v>
          </cell>
          <cell r="AI34" t="str">
            <v>&amp;</v>
          </cell>
          <cell r="AJ34" t="str">
            <v>&amp;</v>
          </cell>
          <cell r="AK34" t="str">
            <v>&amp;</v>
          </cell>
        </row>
        <row r="35">
          <cell r="F35" t="str">
            <v>橙</v>
          </cell>
          <cell r="AD35" t="str">
            <v>五出平叛</v>
          </cell>
          <cell r="AE35" t="str">
            <v>镇守一方</v>
          </cell>
          <cell r="AF35" t="str">
            <v>虎步关右</v>
          </cell>
          <cell r="AG35" t="str">
            <v>平定北方</v>
          </cell>
          <cell r="AH35" t="str">
            <v>&amp;</v>
          </cell>
          <cell r="AI35" t="str">
            <v>&amp;</v>
          </cell>
          <cell r="AJ35" t="str">
            <v>&amp;</v>
          </cell>
          <cell r="AK35" t="str">
            <v>&amp;</v>
          </cell>
        </row>
        <row r="36">
          <cell r="F36" t="str">
            <v>紫</v>
          </cell>
          <cell r="AD36" t="str">
            <v>跨江求亲</v>
          </cell>
          <cell r="AE36" t="str">
            <v>东吴股肱</v>
          </cell>
          <cell r="AF36" t="str">
            <v>&amp;</v>
          </cell>
          <cell r="AG36" t="str">
            <v>&amp;</v>
          </cell>
          <cell r="AH36" t="str">
            <v>&amp;</v>
          </cell>
          <cell r="AI36" t="str">
            <v>&amp;</v>
          </cell>
          <cell r="AJ36" t="str">
            <v>&amp;</v>
          </cell>
          <cell r="AK36" t="str">
            <v>&amp;</v>
          </cell>
        </row>
        <row r="37">
          <cell r="F37" t="str">
            <v>橙</v>
          </cell>
          <cell r="AD37" t="str">
            <v>巾帼英雄</v>
          </cell>
          <cell r="AE37" t="str">
            <v>虎父虎女</v>
          </cell>
          <cell r="AF37" t="str">
            <v>佳偶天成</v>
          </cell>
          <cell r="AG37" t="str">
            <v xml:space="preserve">江东佳人 </v>
          </cell>
          <cell r="AH37" t="str">
            <v>截江夺阿斗</v>
          </cell>
          <cell r="AI37" t="str">
            <v>&amp;</v>
          </cell>
          <cell r="AJ37" t="str">
            <v>&amp;</v>
          </cell>
          <cell r="AK37" t="str">
            <v>&amp;</v>
          </cell>
        </row>
        <row r="38">
          <cell r="F38" t="str">
            <v>紫</v>
          </cell>
          <cell r="AD38" t="str">
            <v>攻略南郡</v>
          </cell>
          <cell r="AE38" t="str">
            <v>江表虎臣</v>
          </cell>
          <cell r="AF38" t="str">
            <v>浴血救主</v>
          </cell>
          <cell r="AG38" t="str">
            <v>&amp;</v>
          </cell>
          <cell r="AH38" t="str">
            <v>&amp;</v>
          </cell>
          <cell r="AI38" t="str">
            <v>&amp;</v>
          </cell>
          <cell r="AJ38" t="str">
            <v>&amp;</v>
          </cell>
          <cell r="AK38" t="str">
            <v>&amp;</v>
          </cell>
        </row>
        <row r="39">
          <cell r="F39" t="str">
            <v>橙+</v>
          </cell>
          <cell r="AD39" t="str">
            <v>太平江东</v>
          </cell>
          <cell r="AE39" t="str">
            <v>游医四方</v>
          </cell>
          <cell r="AF39" t="str">
            <v>符道阴阳</v>
          </cell>
          <cell r="AG39" t="str">
            <v>&amp;</v>
          </cell>
          <cell r="AH39" t="str">
            <v>&amp;</v>
          </cell>
          <cell r="AI39" t="str">
            <v>&amp;</v>
          </cell>
          <cell r="AJ39" t="str">
            <v>&amp;</v>
          </cell>
          <cell r="AK39" t="str">
            <v>&amp;</v>
          </cell>
        </row>
        <row r="40">
          <cell r="F40" t="str">
            <v>橙</v>
          </cell>
          <cell r="AD40" t="str">
            <v>三国能人</v>
          </cell>
          <cell r="AE40" t="str">
            <v>治疗头风</v>
          </cell>
          <cell r="AF40" t="str">
            <v>刮骨疗毒</v>
          </cell>
          <cell r="AG40" t="str">
            <v>游医四方</v>
          </cell>
          <cell r="AH40" t="str">
            <v>&amp;</v>
          </cell>
          <cell r="AI40" t="str">
            <v>&amp;</v>
          </cell>
          <cell r="AJ40" t="str">
            <v>&amp;</v>
          </cell>
          <cell r="AK40" t="str">
            <v>&amp;</v>
          </cell>
        </row>
        <row r="41">
          <cell r="F41" t="str">
            <v>紫</v>
          </cell>
          <cell r="AD41" t="str">
            <v>共镇荆州</v>
          </cell>
          <cell r="AE41" t="str">
            <v>&amp;</v>
          </cell>
          <cell r="AF41" t="str">
            <v>&amp;</v>
          </cell>
          <cell r="AG41" t="str">
            <v>&amp;</v>
          </cell>
          <cell r="AH41" t="str">
            <v>&amp;</v>
          </cell>
          <cell r="AI41" t="str">
            <v>&amp;</v>
          </cell>
          <cell r="AJ41" t="str">
            <v>&amp;</v>
          </cell>
          <cell r="AK41" t="str">
            <v>&amp;</v>
          </cell>
        </row>
        <row r="42">
          <cell r="F42" t="str">
            <v>橙+</v>
          </cell>
          <cell r="AD42" t="str">
            <v>威震逍遥津</v>
          </cell>
          <cell r="AE42" t="str">
            <v>共破曹刘</v>
          </cell>
          <cell r="AF42" t="str">
            <v>共镇合肥</v>
          </cell>
          <cell r="AG42" t="str">
            <v>平定北方</v>
          </cell>
          <cell r="AH42" t="str">
            <v>三事之约</v>
          </cell>
          <cell r="AI42" t="str">
            <v>以少胜多</v>
          </cell>
          <cell r="AJ42" t="str">
            <v>&amp;</v>
          </cell>
          <cell r="AK42" t="str">
            <v>&amp;</v>
          </cell>
        </row>
        <row r="43">
          <cell r="F43" t="str">
            <v>橙</v>
          </cell>
          <cell r="AD43" t="str">
            <v>&amp;</v>
          </cell>
          <cell r="AE43" t="str">
            <v>&amp;</v>
          </cell>
          <cell r="AF43" t="str">
            <v>&amp;</v>
          </cell>
          <cell r="AG43" t="str">
            <v>&amp;</v>
          </cell>
          <cell r="AH43" t="str">
            <v>&amp;</v>
          </cell>
          <cell r="AI43" t="str">
            <v>&amp;</v>
          </cell>
          <cell r="AJ43" t="str">
            <v>&amp;</v>
          </cell>
          <cell r="AK43" t="str">
            <v>&amp;</v>
          </cell>
        </row>
        <row r="44">
          <cell r="F44" t="str">
            <v>橙+</v>
          </cell>
          <cell r="AD44" t="str">
            <v>&amp;</v>
          </cell>
          <cell r="AE44" t="str">
            <v>&amp;</v>
          </cell>
          <cell r="AF44" t="str">
            <v>&amp;</v>
          </cell>
          <cell r="AG44" t="str">
            <v>&amp;</v>
          </cell>
          <cell r="AH44" t="str">
            <v>&amp;</v>
          </cell>
          <cell r="AI44" t="str">
            <v>&amp;</v>
          </cell>
          <cell r="AJ44" t="str">
            <v>&amp;</v>
          </cell>
          <cell r="AK44" t="str">
            <v>&amp;</v>
          </cell>
        </row>
        <row r="45">
          <cell r="F45" t="str">
            <v>紫</v>
          </cell>
          <cell r="AD45" t="str">
            <v>马氏五常</v>
          </cell>
          <cell r="AE45" t="str">
            <v>共镇荆州</v>
          </cell>
          <cell r="AF45" t="str">
            <v>&amp;</v>
          </cell>
          <cell r="AG45" t="str">
            <v>&amp;</v>
          </cell>
          <cell r="AH45" t="str">
            <v>&amp;</v>
          </cell>
          <cell r="AI45" t="str">
            <v>&amp;</v>
          </cell>
          <cell r="AJ45" t="str">
            <v>&amp;</v>
          </cell>
          <cell r="AK45" t="str">
            <v>&amp;</v>
          </cell>
        </row>
        <row r="46">
          <cell r="F46" t="str">
            <v>橙+</v>
          </cell>
          <cell r="AD46" t="str">
            <v>亚夫之风</v>
          </cell>
          <cell r="AE46" t="str">
            <v>煮酒论英雄</v>
          </cell>
          <cell r="AF46" t="str">
            <v>古之恶来</v>
          </cell>
          <cell r="AG46" t="str">
            <v>血海深仇</v>
          </cell>
          <cell r="AH46" t="str">
            <v>真吾儿妇也</v>
          </cell>
          <cell r="AI46" t="str">
            <v>治疗头风</v>
          </cell>
          <cell r="AJ46" t="str">
            <v>密谋刺董</v>
          </cell>
          <cell r="AK46" t="str">
            <v>知人善任</v>
          </cell>
        </row>
        <row r="47">
          <cell r="F47" t="str">
            <v>橙</v>
          </cell>
          <cell r="AD47" t="str">
            <v>&amp;</v>
          </cell>
          <cell r="AE47" t="str">
            <v>&amp;</v>
          </cell>
          <cell r="AF47" t="str">
            <v>&amp;</v>
          </cell>
          <cell r="AG47" t="str">
            <v>&amp;</v>
          </cell>
          <cell r="AH47" t="str">
            <v>&amp;</v>
          </cell>
          <cell r="AI47" t="str">
            <v>&amp;</v>
          </cell>
          <cell r="AJ47" t="str">
            <v>&amp;</v>
          </cell>
          <cell r="AK47" t="str">
            <v>&amp;</v>
          </cell>
        </row>
        <row r="48">
          <cell r="F48" t="str">
            <v>橙</v>
          </cell>
          <cell r="AD48" t="str">
            <v>回马荐诸葛</v>
          </cell>
          <cell r="AE48" t="str">
            <v>八门金锁</v>
          </cell>
          <cell r="AF48" t="str">
            <v>徐庶归曹</v>
          </cell>
          <cell r="AG48" t="str">
            <v>西蜀谋士</v>
          </cell>
          <cell r="AH48" t="str">
            <v>&amp;</v>
          </cell>
          <cell r="AI48" t="str">
            <v>&amp;</v>
          </cell>
          <cell r="AJ48" t="str">
            <v>&amp;</v>
          </cell>
          <cell r="AK48" t="str">
            <v>&amp;</v>
          </cell>
        </row>
        <row r="49">
          <cell r="F49" t="str">
            <v>橙</v>
          </cell>
          <cell r="AD49" t="str">
            <v>孙氏父子</v>
          </cell>
          <cell r="AE49" t="str">
            <v>虎父虎女</v>
          </cell>
          <cell r="AF49" t="str">
            <v>共讨董卓</v>
          </cell>
          <cell r="AG49" t="str">
            <v>讨伐黄巾</v>
          </cell>
          <cell r="AH49" t="str">
            <v>讨董联盟</v>
          </cell>
          <cell r="AI49" t="str">
            <v>三世忠臣</v>
          </cell>
          <cell r="AJ49" t="str">
            <v>镇守虎牢</v>
          </cell>
          <cell r="AK49" t="str">
            <v>&amp;</v>
          </cell>
        </row>
        <row r="50">
          <cell r="F50" t="str">
            <v>紫</v>
          </cell>
          <cell r="AD50" t="str">
            <v>马氏五常</v>
          </cell>
          <cell r="AE50" t="str">
            <v>丞相器重</v>
          </cell>
          <cell r="AF50" t="str">
            <v>街亭之战</v>
          </cell>
          <cell r="AG50" t="str">
            <v>&amp;</v>
          </cell>
          <cell r="AH50" t="str">
            <v>&amp;</v>
          </cell>
          <cell r="AI50" t="str">
            <v>&amp;</v>
          </cell>
          <cell r="AJ50" t="str">
            <v>&amp;</v>
          </cell>
          <cell r="AK50" t="str">
            <v>&amp;</v>
          </cell>
        </row>
        <row r="51">
          <cell r="F51" t="str">
            <v>橙</v>
          </cell>
          <cell r="AD51" t="str">
            <v>跨江求亲</v>
          </cell>
          <cell r="AE51" t="str">
            <v>虎将之后</v>
          </cell>
          <cell r="AF51" t="str">
            <v>虎父无犬女</v>
          </cell>
          <cell r="AG51" t="str">
            <v>&amp;</v>
          </cell>
          <cell r="AH51" t="str">
            <v>&amp;</v>
          </cell>
          <cell r="AI51" t="str">
            <v>&amp;</v>
          </cell>
          <cell r="AJ51" t="str">
            <v>&amp;</v>
          </cell>
          <cell r="AK51" t="str">
            <v>&amp;</v>
          </cell>
        </row>
        <row r="52">
          <cell r="F52" t="str">
            <v>橙</v>
          </cell>
          <cell r="AD52" t="str">
            <v>治军有方</v>
          </cell>
          <cell r="AE52" t="str">
            <v>忠君之士</v>
          </cell>
          <cell r="AF52" t="str">
            <v>襄樊会战</v>
          </cell>
          <cell r="AG52" t="str">
            <v>全军覆没</v>
          </cell>
          <cell r="AH52" t="str">
            <v>曹魏猛将</v>
          </cell>
          <cell r="AI52" t="str">
            <v>&amp;</v>
          </cell>
          <cell r="AJ52" t="str">
            <v>&amp;</v>
          </cell>
          <cell r="AK52" t="str">
            <v>&amp;</v>
          </cell>
        </row>
        <row r="53">
          <cell r="F53" t="str">
            <v>橙</v>
          </cell>
          <cell r="AD53" t="str">
            <v>东吴都督</v>
          </cell>
          <cell r="AE53" t="str">
            <v>吴下阿蒙</v>
          </cell>
          <cell r="AF53" t="str">
            <v>榻上策</v>
          </cell>
          <cell r="AG53" t="str">
            <v>平讨江东</v>
          </cell>
          <cell r="AH53" t="str">
            <v>&amp;</v>
          </cell>
          <cell r="AI53" t="str">
            <v>&amp;</v>
          </cell>
          <cell r="AJ53" t="str">
            <v>&amp;</v>
          </cell>
          <cell r="AK53" t="str">
            <v>&amp;</v>
          </cell>
        </row>
        <row r="54">
          <cell r="F54" t="str">
            <v>橙</v>
          </cell>
          <cell r="AD54" t="str">
            <v>&amp;</v>
          </cell>
          <cell r="AE54" t="str">
            <v>&amp;</v>
          </cell>
          <cell r="AF54" t="str">
            <v>&amp;</v>
          </cell>
          <cell r="AG54" t="str">
            <v>&amp;</v>
          </cell>
          <cell r="AH54" t="str">
            <v>&amp;</v>
          </cell>
          <cell r="AI54" t="str">
            <v>&amp;</v>
          </cell>
          <cell r="AJ54" t="str">
            <v>&amp;</v>
          </cell>
          <cell r="AK54" t="str">
            <v>&amp;</v>
          </cell>
        </row>
        <row r="55">
          <cell r="F55" t="str">
            <v>橙</v>
          </cell>
          <cell r="AD55" t="str">
            <v>&amp;</v>
          </cell>
          <cell r="AE55" t="str">
            <v>&amp;</v>
          </cell>
          <cell r="AF55" t="str">
            <v>&amp;</v>
          </cell>
          <cell r="AG55" t="str">
            <v>&amp;</v>
          </cell>
          <cell r="AH55" t="str">
            <v>&amp;</v>
          </cell>
          <cell r="AI55" t="str">
            <v>&amp;</v>
          </cell>
          <cell r="AJ55" t="str">
            <v>&amp;</v>
          </cell>
          <cell r="AK55" t="str">
            <v>&amp;</v>
          </cell>
        </row>
        <row r="56">
          <cell r="F56" t="str">
            <v>橙</v>
          </cell>
          <cell r="AD56" t="str">
            <v>共破曹刘</v>
          </cell>
          <cell r="AE56" t="str">
            <v>素有不和</v>
          </cell>
          <cell r="AF56" t="str">
            <v>辅佐吕布</v>
          </cell>
          <cell r="AG56" t="str">
            <v>陷阵破敌</v>
          </cell>
          <cell r="AH56" t="str">
            <v>左膀右臂</v>
          </cell>
          <cell r="AI56" t="str">
            <v>&amp;</v>
          </cell>
          <cell r="AJ56" t="str">
            <v>&amp;</v>
          </cell>
          <cell r="AK56" t="str">
            <v>&amp;</v>
          </cell>
        </row>
        <row r="57">
          <cell r="F57" t="str">
            <v>蓝</v>
          </cell>
          <cell r="AD57" t="str">
            <v>共镇合肥</v>
          </cell>
          <cell r="AE57" t="str">
            <v>镇守合肥</v>
          </cell>
          <cell r="AF57" t="str">
            <v>&amp;</v>
          </cell>
          <cell r="AG57" t="str">
            <v>&amp;</v>
          </cell>
          <cell r="AH57" t="str">
            <v>&amp;</v>
          </cell>
          <cell r="AI57" t="str">
            <v>&amp;</v>
          </cell>
          <cell r="AJ57" t="str">
            <v>&amp;</v>
          </cell>
          <cell r="AK57" t="str">
            <v>&amp;</v>
          </cell>
        </row>
        <row r="58">
          <cell r="F58" t="str">
            <v>橙</v>
          </cell>
          <cell r="AD58" t="str">
            <v>桃园结义</v>
          </cell>
          <cell r="AE58" t="str">
            <v>葭萌死战</v>
          </cell>
          <cell r="AF58" t="str">
            <v>大破张郃</v>
          </cell>
          <cell r="AG58" t="str">
            <v>义释严颜</v>
          </cell>
          <cell r="AH58" t="str">
            <v>承袭蜀汉</v>
          </cell>
          <cell r="AI58" t="str">
            <v>五虎上将</v>
          </cell>
          <cell r="AJ58" t="str">
            <v>&amp;</v>
          </cell>
          <cell r="AK58" t="str">
            <v>&amp;</v>
          </cell>
        </row>
        <row r="59">
          <cell r="F59" t="str">
            <v>橙</v>
          </cell>
          <cell r="AD59" t="str">
            <v>血战濮阳</v>
          </cell>
          <cell r="AE59" t="str">
            <v>素有不和</v>
          </cell>
          <cell r="AF59" t="str">
            <v>红颜之祸</v>
          </cell>
          <cell r="AG59" t="str">
            <v>辅佐吕布</v>
          </cell>
          <cell r="AH59" t="str">
            <v>叛曹迎吕</v>
          </cell>
          <cell r="AI59" t="str">
            <v>&amp;</v>
          </cell>
          <cell r="AJ59" t="str">
            <v>&amp;</v>
          </cell>
          <cell r="AK59" t="str">
            <v>&amp;</v>
          </cell>
        </row>
        <row r="60">
          <cell r="F60" t="str">
            <v>紫</v>
          </cell>
          <cell r="AD60" t="str">
            <v>徐庶归曹</v>
          </cell>
          <cell r="AE60" t="str">
            <v>曹操腹心</v>
          </cell>
          <cell r="AF60" t="str">
            <v>&amp;</v>
          </cell>
          <cell r="AG60" t="str">
            <v>&amp;</v>
          </cell>
          <cell r="AH60" t="str">
            <v>&amp;</v>
          </cell>
          <cell r="AI60" t="str">
            <v>&amp;</v>
          </cell>
          <cell r="AJ60" t="str">
            <v>&amp;</v>
          </cell>
          <cell r="AK60" t="str">
            <v>&amp;</v>
          </cell>
        </row>
        <row r="61">
          <cell r="F61" t="str">
            <v>橙+</v>
          </cell>
          <cell r="AD61" t="str">
            <v>古之恶来</v>
          </cell>
          <cell r="AE61" t="str">
            <v>张绣反叛</v>
          </cell>
          <cell r="AF61" t="str">
            <v>血战濮阳</v>
          </cell>
          <cell r="AG61" t="str">
            <v>世之虎将</v>
          </cell>
          <cell r="AH61" t="str">
            <v>曹魏猛将</v>
          </cell>
          <cell r="AI61" t="str">
            <v>&amp;</v>
          </cell>
          <cell r="AJ61" t="str">
            <v>&amp;</v>
          </cell>
          <cell r="AK61" t="str">
            <v>&amp;</v>
          </cell>
        </row>
        <row r="62">
          <cell r="F62" t="str">
            <v>橙</v>
          </cell>
          <cell r="AD62" t="str">
            <v>张绣反叛</v>
          </cell>
          <cell r="AE62" t="str">
            <v>毒计狠略</v>
          </cell>
          <cell r="AF62" t="str">
            <v>离间韩马</v>
          </cell>
          <cell r="AG62" t="str">
            <v>曹操腹心</v>
          </cell>
          <cell r="AH62" t="str">
            <v>避嫌</v>
          </cell>
          <cell r="AI62" t="str">
            <v>智囊军师</v>
          </cell>
          <cell r="AJ62" t="str">
            <v>&amp;</v>
          </cell>
          <cell r="AK62" t="str">
            <v>&amp;</v>
          </cell>
        </row>
        <row r="63">
          <cell r="F63" t="str">
            <v>橙</v>
          </cell>
          <cell r="AD63" t="str">
            <v>大破张郃</v>
          </cell>
          <cell r="AE63" t="str">
            <v>北伐重臣</v>
          </cell>
          <cell r="AF63" t="str">
            <v>镇守汉中</v>
          </cell>
          <cell r="AG63" t="str">
            <v>&amp;</v>
          </cell>
          <cell r="AH63" t="str">
            <v>&amp;</v>
          </cell>
          <cell r="AI63" t="str">
            <v>&amp;</v>
          </cell>
          <cell r="AJ63" t="str">
            <v>&amp;</v>
          </cell>
          <cell r="AK63" t="str">
            <v>&amp;</v>
          </cell>
        </row>
        <row r="64">
          <cell r="F64" t="str">
            <v>橙</v>
          </cell>
          <cell r="AD64" t="str">
            <v>孙权劝学</v>
          </cell>
          <cell r="AE64" t="str">
            <v>东吴都督</v>
          </cell>
          <cell r="AF64" t="str">
            <v>吴下阿蒙</v>
          </cell>
          <cell r="AG64" t="str">
            <v>攻略南郡</v>
          </cell>
          <cell r="AH64" t="str">
            <v>治军有方</v>
          </cell>
          <cell r="AI64" t="str">
            <v>谋羽取荆</v>
          </cell>
          <cell r="AJ64" t="str">
            <v>&amp;</v>
          </cell>
          <cell r="AK64" t="str">
            <v>&amp;</v>
          </cell>
        </row>
        <row r="65">
          <cell r="F65" t="str">
            <v>紫</v>
          </cell>
          <cell r="AD65" t="str">
            <v>共讨董卓</v>
          </cell>
          <cell r="AE65" t="str">
            <v>袁吕结亲</v>
          </cell>
          <cell r="AF65" t="str">
            <v>割据一方</v>
          </cell>
          <cell r="AG65" t="str">
            <v>袁氏兄弟</v>
          </cell>
          <cell r="AH65" t="str">
            <v>&amp;</v>
          </cell>
          <cell r="AI65" t="str">
            <v>&amp;</v>
          </cell>
          <cell r="AJ65" t="str">
            <v>&amp;</v>
          </cell>
          <cell r="AK65" t="str">
            <v>&amp;</v>
          </cell>
        </row>
        <row r="66">
          <cell r="F66" t="str">
            <v>紫</v>
          </cell>
          <cell r="AD66" t="str">
            <v>共镇合肥</v>
          </cell>
          <cell r="AE66" t="str">
            <v>并称五子</v>
          </cell>
          <cell r="AF66" t="str">
            <v>镇守合肥</v>
          </cell>
          <cell r="AG66" t="str">
            <v>&amp;</v>
          </cell>
          <cell r="AH66" t="str">
            <v>&amp;</v>
          </cell>
          <cell r="AI66" t="str">
            <v>&amp;</v>
          </cell>
          <cell r="AJ66" t="str">
            <v>&amp;</v>
          </cell>
          <cell r="AK66" t="str">
            <v>&amp;</v>
          </cell>
        </row>
        <row r="67">
          <cell r="F67" t="str">
            <v>橙</v>
          </cell>
          <cell r="AD67" t="str">
            <v>&amp;</v>
          </cell>
          <cell r="AE67" t="str">
            <v>&amp;</v>
          </cell>
          <cell r="AF67" t="str">
            <v>&amp;</v>
          </cell>
          <cell r="AG67" t="str">
            <v>&amp;</v>
          </cell>
          <cell r="AH67" t="str">
            <v>&amp;</v>
          </cell>
          <cell r="AI67" t="str">
            <v>&amp;</v>
          </cell>
          <cell r="AJ67" t="str">
            <v>&amp;</v>
          </cell>
          <cell r="AK67" t="str">
            <v>&amp;</v>
          </cell>
        </row>
        <row r="68">
          <cell r="F68" t="str">
            <v>橙</v>
          </cell>
          <cell r="AD68" t="str">
            <v>曹魏佳人</v>
          </cell>
          <cell r="AE68" t="str">
            <v>真吾儿妇也</v>
          </cell>
          <cell r="AF68" t="str">
            <v>母仪之德</v>
          </cell>
          <cell r="AG68" t="str">
            <v>&amp;</v>
          </cell>
          <cell r="AH68" t="str">
            <v>&amp;</v>
          </cell>
          <cell r="AI68" t="str">
            <v>&amp;</v>
          </cell>
          <cell r="AJ68" t="str">
            <v>&amp;</v>
          </cell>
          <cell r="AK68" t="str">
            <v>&amp;</v>
          </cell>
        </row>
        <row r="69">
          <cell r="F69" t="str">
            <v>紫</v>
          </cell>
          <cell r="AD69" t="str">
            <v>三国能人</v>
          </cell>
          <cell r="AE69" t="str">
            <v>改造连弩</v>
          </cell>
          <cell r="AF69" t="str">
            <v>&amp;</v>
          </cell>
          <cell r="AG69" t="str">
            <v>&amp;</v>
          </cell>
          <cell r="AH69" t="str">
            <v>&amp;</v>
          </cell>
          <cell r="AI69" t="str">
            <v>&amp;</v>
          </cell>
          <cell r="AJ69" t="str">
            <v>&amp;</v>
          </cell>
          <cell r="AK69" t="str">
            <v>&amp;</v>
          </cell>
        </row>
        <row r="70">
          <cell r="F70" t="str">
            <v>橙</v>
          </cell>
          <cell r="AD70" t="str">
            <v>三代老臣</v>
          </cell>
          <cell r="AE70" t="str">
            <v>平定江东</v>
          </cell>
          <cell r="AF70" t="str">
            <v>苦肉计</v>
          </cell>
          <cell r="AG70" t="str">
            <v>江表重臣</v>
          </cell>
          <cell r="AH70" t="str">
            <v>持重老将</v>
          </cell>
          <cell r="AI70" t="str">
            <v>江东老臣</v>
          </cell>
          <cell r="AJ70" t="str">
            <v>&amp;</v>
          </cell>
          <cell r="AK70" t="str">
            <v>&amp;</v>
          </cell>
        </row>
        <row r="71">
          <cell r="F71" t="str">
            <v>橙</v>
          </cell>
          <cell r="AD71" t="str">
            <v>讨伐黄巾</v>
          </cell>
          <cell r="AE71" t="str">
            <v>共讨叛军</v>
          </cell>
          <cell r="AF71" t="str">
            <v>知人善任</v>
          </cell>
          <cell r="AG71" t="str">
            <v>遭人陷害</v>
          </cell>
          <cell r="AH71" t="str">
            <v>&amp;</v>
          </cell>
          <cell r="AI71" t="str">
            <v>&amp;</v>
          </cell>
          <cell r="AJ71" t="str">
            <v>&amp;</v>
          </cell>
          <cell r="AK71" t="str">
            <v>&amp;</v>
          </cell>
        </row>
        <row r="72">
          <cell r="F72" t="str">
            <v>橙+</v>
          </cell>
          <cell r="AD72" t="str">
            <v>煮酒论英雄</v>
          </cell>
          <cell r="AE72" t="str">
            <v>回马荐诸葛</v>
          </cell>
          <cell r="AF72" t="str">
            <v>如鱼得水</v>
          </cell>
          <cell r="AG72" t="str">
            <v>桃园结义</v>
          </cell>
          <cell r="AH72" t="str">
            <v>佳偶天成</v>
          </cell>
          <cell r="AI72" t="str">
            <v>镇守汉中</v>
          </cell>
          <cell r="AJ72" t="str">
            <v>共谋诛曹</v>
          </cell>
          <cell r="AK72" t="str">
            <v>火烧洛阳</v>
          </cell>
        </row>
        <row r="73">
          <cell r="F73" t="str">
            <v>橙+</v>
          </cell>
          <cell r="AD73" t="str">
            <v>孙权劝学</v>
          </cell>
          <cell r="AE73" t="str">
            <v>孙氏父子</v>
          </cell>
          <cell r="AF73" t="str">
            <v>威震逍遥津</v>
          </cell>
          <cell r="AG73" t="str">
            <v>榻上策</v>
          </cell>
          <cell r="AH73" t="str">
            <v>浴血救主</v>
          </cell>
          <cell r="AI73" t="str">
            <v>三世忠臣</v>
          </cell>
          <cell r="AJ73" t="str">
            <v>太平江东</v>
          </cell>
          <cell r="AK73" t="str">
            <v>雄才大略</v>
          </cell>
        </row>
        <row r="74">
          <cell r="F74" t="str">
            <v>橙</v>
          </cell>
          <cell r="AD74" t="str">
            <v>&amp;</v>
          </cell>
          <cell r="AE74" t="str">
            <v>&amp;</v>
          </cell>
          <cell r="AF74" t="str">
            <v>&amp;</v>
          </cell>
          <cell r="AG74" t="str">
            <v>&amp;</v>
          </cell>
          <cell r="AH74" t="str">
            <v>&amp;</v>
          </cell>
          <cell r="AI74" t="str">
            <v>&amp;</v>
          </cell>
          <cell r="AJ74" t="str">
            <v>&amp;</v>
          </cell>
          <cell r="AK74" t="str">
            <v>&amp;</v>
          </cell>
        </row>
        <row r="75">
          <cell r="F75" t="str">
            <v>橙+</v>
          </cell>
          <cell r="AD75" t="str">
            <v>&amp;</v>
          </cell>
          <cell r="AE75" t="str">
            <v>&amp;</v>
          </cell>
          <cell r="AF75" t="str">
            <v>&amp;</v>
          </cell>
          <cell r="AG75" t="str">
            <v>&amp;</v>
          </cell>
          <cell r="AH75" t="str">
            <v>&amp;</v>
          </cell>
          <cell r="AI75" t="str">
            <v>&amp;</v>
          </cell>
          <cell r="AJ75" t="str">
            <v>&amp;</v>
          </cell>
          <cell r="AK75" t="str">
            <v>&amp;</v>
          </cell>
        </row>
        <row r="76">
          <cell r="F76" t="str">
            <v>橙</v>
          </cell>
          <cell r="AD76" t="str">
            <v>&amp;</v>
          </cell>
          <cell r="AE76" t="str">
            <v>&amp;</v>
          </cell>
          <cell r="AF76" t="str">
            <v>&amp;</v>
          </cell>
          <cell r="AG76" t="str">
            <v>&amp;</v>
          </cell>
          <cell r="AH76" t="str">
            <v>&amp;</v>
          </cell>
          <cell r="AI76" t="str">
            <v>&amp;</v>
          </cell>
          <cell r="AJ76" t="str">
            <v>&amp;</v>
          </cell>
          <cell r="AK76" t="str">
            <v>&amp;</v>
          </cell>
        </row>
        <row r="77">
          <cell r="F77" t="str">
            <v>橙+</v>
          </cell>
          <cell r="AD77" t="str">
            <v>&amp;</v>
          </cell>
          <cell r="AE77" t="str">
            <v>&amp;</v>
          </cell>
          <cell r="AF77" t="str">
            <v>&amp;</v>
          </cell>
          <cell r="AG77" t="str">
            <v>&amp;</v>
          </cell>
          <cell r="AH77" t="str">
            <v>&amp;</v>
          </cell>
          <cell r="AI77" t="str">
            <v>&amp;</v>
          </cell>
          <cell r="AJ77" t="str">
            <v>&amp;</v>
          </cell>
          <cell r="AK77" t="str">
            <v>&amp;</v>
          </cell>
        </row>
        <row r="78">
          <cell r="F78" t="str">
            <v>橙</v>
          </cell>
          <cell r="AD78" t="str">
            <v>&amp;</v>
          </cell>
          <cell r="AE78" t="str">
            <v>&amp;</v>
          </cell>
          <cell r="AF78" t="str">
            <v>&amp;</v>
          </cell>
          <cell r="AG78" t="str">
            <v>&amp;</v>
          </cell>
          <cell r="AH78" t="str">
            <v>&amp;</v>
          </cell>
          <cell r="AI78" t="str">
            <v>&amp;</v>
          </cell>
          <cell r="AJ78" t="str">
            <v>&amp;</v>
          </cell>
          <cell r="AK78" t="str">
            <v>&amp;</v>
          </cell>
        </row>
        <row r="79">
          <cell r="F79" t="str">
            <v>紫</v>
          </cell>
          <cell r="AD79" t="str">
            <v>三代老臣</v>
          </cell>
          <cell r="AE79" t="str">
            <v>江表虎臣</v>
          </cell>
          <cell r="AF79" t="str">
            <v>奇袭南郡</v>
          </cell>
          <cell r="AG79" t="str">
            <v>&amp;</v>
          </cell>
          <cell r="AH79" t="str">
            <v>&amp;</v>
          </cell>
          <cell r="AI79" t="str">
            <v>&amp;</v>
          </cell>
          <cell r="AJ79" t="str">
            <v>&amp;</v>
          </cell>
          <cell r="AK79" t="str">
            <v>&amp;</v>
          </cell>
        </row>
        <row r="80">
          <cell r="F80" t="str">
            <v>橙+</v>
          </cell>
          <cell r="AD80" t="str">
            <v>&amp;</v>
          </cell>
          <cell r="AE80" t="str">
            <v>&amp;</v>
          </cell>
          <cell r="AF80" t="str">
            <v>&amp;</v>
          </cell>
          <cell r="AG80" t="str">
            <v>&amp;</v>
          </cell>
          <cell r="AH80" t="str">
            <v>&amp;</v>
          </cell>
          <cell r="AI80" t="str">
            <v>&amp;</v>
          </cell>
          <cell r="AJ80" t="str">
            <v>&amp;</v>
          </cell>
          <cell r="AK80" t="str">
            <v>&amp;</v>
          </cell>
        </row>
        <row r="81">
          <cell r="F81" t="str">
            <v>橙+</v>
          </cell>
          <cell r="AD81" t="str">
            <v>称王拜相</v>
          </cell>
          <cell r="AE81" t="str">
            <v>智囊军师</v>
          </cell>
          <cell r="AF81" t="str">
            <v>三国争霸</v>
          </cell>
          <cell r="AG81" t="str">
            <v>&amp;</v>
          </cell>
          <cell r="AH81" t="str">
            <v>&amp;</v>
          </cell>
          <cell r="AI81" t="str">
            <v>&amp;</v>
          </cell>
          <cell r="AJ81" t="str">
            <v>&amp;</v>
          </cell>
          <cell r="AK81" t="str">
            <v>&amp;</v>
          </cell>
        </row>
        <row r="82">
          <cell r="F82" t="str">
            <v>橙</v>
          </cell>
          <cell r="AD82" t="str">
            <v>亚夫之风</v>
          </cell>
          <cell r="AE82" t="str">
            <v>樊城解围</v>
          </cell>
          <cell r="AF82" t="str">
            <v>五出平叛</v>
          </cell>
          <cell r="AG82" t="str">
            <v>并称五子</v>
          </cell>
          <cell r="AH82" t="str">
            <v>襄樊会战</v>
          </cell>
          <cell r="AI82" t="str">
            <v>&amp;</v>
          </cell>
          <cell r="AJ82" t="str">
            <v>&amp;</v>
          </cell>
          <cell r="AK82" t="str">
            <v>&amp;</v>
          </cell>
        </row>
        <row r="83">
          <cell r="F83" t="str">
            <v>橙</v>
          </cell>
          <cell r="AD83" t="str">
            <v>郎才女貌</v>
          </cell>
          <cell r="AE83" t="str">
            <v>江东二乔</v>
          </cell>
          <cell r="AF83" t="str">
            <v>巾帼须眉</v>
          </cell>
          <cell r="AG83" t="str">
            <v>乱世佳人</v>
          </cell>
          <cell r="AH83" t="str">
            <v>&amp;</v>
          </cell>
          <cell r="AI83" t="str">
            <v>&amp;</v>
          </cell>
          <cell r="AJ83" t="str">
            <v>&amp;</v>
          </cell>
          <cell r="AK83" t="str">
            <v>&amp;</v>
          </cell>
        </row>
        <row r="84">
          <cell r="F84" t="str">
            <v>橙</v>
          </cell>
          <cell r="AD84" t="str">
            <v>马氏兄妹</v>
          </cell>
          <cell r="AE84" t="str">
            <v>巾帼英雄</v>
          </cell>
          <cell r="AF84" t="str">
            <v>一见倾心</v>
          </cell>
          <cell r="AG84" t="str">
            <v>红颜铁骑</v>
          </cell>
          <cell r="AH84" t="str">
            <v>&amp;</v>
          </cell>
          <cell r="AI84" t="str">
            <v>&amp;</v>
          </cell>
          <cell r="AJ84" t="str">
            <v>&amp;</v>
          </cell>
          <cell r="AK84" t="str">
            <v>&amp;</v>
          </cell>
        </row>
        <row r="85">
          <cell r="F85" t="str">
            <v>橙+</v>
          </cell>
          <cell r="AD85" t="str">
            <v>中朗传业</v>
          </cell>
          <cell r="AE85" t="str">
            <v>乱世佳人</v>
          </cell>
          <cell r="AF85" t="str">
            <v>博学多才</v>
          </cell>
          <cell r="AG85" t="str">
            <v>&amp;</v>
          </cell>
          <cell r="AH85" t="str">
            <v>&amp;</v>
          </cell>
          <cell r="AI85" t="str">
            <v>&amp;</v>
          </cell>
          <cell r="AJ85" t="str">
            <v>&amp;</v>
          </cell>
          <cell r="AK85" t="str">
            <v>&amp;</v>
          </cell>
        </row>
        <row r="86">
          <cell r="F86" t="str">
            <v>红</v>
          </cell>
          <cell r="AD86" t="str">
            <v>雄才大略</v>
          </cell>
          <cell r="AE86" t="str">
            <v>勇猛无双</v>
          </cell>
          <cell r="AF86" t="str">
            <v>以少胜多</v>
          </cell>
          <cell r="AG86" t="str">
            <v>&amp;</v>
          </cell>
          <cell r="AH86" t="str">
            <v>&amp;</v>
          </cell>
          <cell r="AI86" t="str">
            <v>&amp;</v>
          </cell>
          <cell r="AJ86" t="str">
            <v>&amp;</v>
          </cell>
          <cell r="AK86" t="str">
            <v>&amp;</v>
          </cell>
        </row>
        <row r="87">
          <cell r="F87" t="str">
            <v>橙</v>
          </cell>
          <cell r="AD87" t="str">
            <v>&amp;</v>
          </cell>
          <cell r="AE87" t="str">
            <v>&amp;</v>
          </cell>
          <cell r="AF87" t="str">
            <v>&amp;</v>
          </cell>
          <cell r="AG87" t="str">
            <v>&amp;</v>
          </cell>
          <cell r="AH87" t="str">
            <v>&amp;</v>
          </cell>
          <cell r="AI87" t="str">
            <v>&amp;</v>
          </cell>
          <cell r="AJ87" t="str">
            <v>&amp;</v>
          </cell>
          <cell r="AK87" t="str">
            <v>&amp;</v>
          </cell>
        </row>
        <row r="88">
          <cell r="F88" t="str">
            <v>橙</v>
          </cell>
          <cell r="AD88" t="str">
            <v>&amp;</v>
          </cell>
          <cell r="AE88" t="str">
            <v>&amp;</v>
          </cell>
          <cell r="AF88" t="str">
            <v>&amp;</v>
          </cell>
          <cell r="AG88" t="str">
            <v>&amp;</v>
          </cell>
          <cell r="AH88" t="str">
            <v>&amp;</v>
          </cell>
          <cell r="AI88" t="str">
            <v>&amp;</v>
          </cell>
          <cell r="AJ88" t="str">
            <v>&amp;</v>
          </cell>
          <cell r="AK88" t="str">
            <v>&amp;</v>
          </cell>
        </row>
        <row r="89">
          <cell r="F89" t="str">
            <v>橙</v>
          </cell>
          <cell r="AD89" t="str">
            <v>白马飞将</v>
          </cell>
          <cell r="AE89" t="str">
            <v>全军覆没</v>
          </cell>
          <cell r="AF89" t="str">
            <v>深仇积恨</v>
          </cell>
          <cell r="AG89" t="str">
            <v>&amp;</v>
          </cell>
          <cell r="AH89" t="str">
            <v>&amp;</v>
          </cell>
          <cell r="AI89" t="str">
            <v>&amp;</v>
          </cell>
          <cell r="AJ89" t="str">
            <v>&amp;</v>
          </cell>
          <cell r="AK89" t="str">
            <v>&amp;</v>
          </cell>
        </row>
        <row r="90">
          <cell r="F90" t="str">
            <v>橙+</v>
          </cell>
          <cell r="AD90" t="str">
            <v>蜀汉肱骨</v>
          </cell>
          <cell r="AE90" t="str">
            <v>剑阁之战</v>
          </cell>
          <cell r="AF90" t="str">
            <v>承袭蜀汉</v>
          </cell>
          <cell r="AG90" t="str">
            <v>棋逢对手</v>
          </cell>
          <cell r="AH90" t="str">
            <v>北伐复汉</v>
          </cell>
          <cell r="AI90" t="str">
            <v>&amp;</v>
          </cell>
          <cell r="AJ90" t="str">
            <v>&amp;</v>
          </cell>
          <cell r="AK90" t="str">
            <v>&amp;</v>
          </cell>
        </row>
        <row r="91">
          <cell r="F91" t="str">
            <v>橙</v>
          </cell>
          <cell r="AD91" t="str">
            <v>&amp;</v>
          </cell>
          <cell r="AE91" t="str">
            <v>&amp;</v>
          </cell>
          <cell r="AF91" t="str">
            <v>&amp;</v>
          </cell>
          <cell r="AG91" t="str">
            <v>&amp;</v>
          </cell>
          <cell r="AH91" t="str">
            <v>&amp;</v>
          </cell>
          <cell r="AI91" t="str">
            <v>&amp;</v>
          </cell>
          <cell r="AJ91" t="str">
            <v>&amp;</v>
          </cell>
          <cell r="AK91" t="str">
            <v>&amp;</v>
          </cell>
        </row>
        <row r="92">
          <cell r="F92" t="str">
            <v>红</v>
          </cell>
          <cell r="AD92" t="str">
            <v>吕氏父女</v>
          </cell>
          <cell r="AE92" t="str">
            <v>有凤来仪</v>
          </cell>
          <cell r="AF92" t="str">
            <v>陷阵破敌</v>
          </cell>
          <cell r="AG92" t="str">
            <v>叛曹迎吕</v>
          </cell>
          <cell r="AH92" t="str">
            <v>连环计</v>
          </cell>
          <cell r="AI92" t="str">
            <v>西凉飞将</v>
          </cell>
          <cell r="AJ92" t="str">
            <v>勇猛无双</v>
          </cell>
          <cell r="AK92" t="str">
            <v>良驹识主</v>
          </cell>
        </row>
        <row r="93">
          <cell r="F93">
            <v>0</v>
          </cell>
          <cell r="AD93" t="str">
            <v>&amp;</v>
          </cell>
          <cell r="AE93" t="str">
            <v>&amp;</v>
          </cell>
          <cell r="AF93" t="str">
            <v>&amp;</v>
          </cell>
          <cell r="AG93" t="str">
            <v>&amp;</v>
          </cell>
          <cell r="AH93" t="str">
            <v>&amp;</v>
          </cell>
          <cell r="AI93" t="str">
            <v>&amp;</v>
          </cell>
          <cell r="AJ93" t="str">
            <v>&amp;</v>
          </cell>
          <cell r="AK93" t="str">
            <v>&amp;</v>
          </cell>
        </row>
        <row r="94">
          <cell r="F94" t="str">
            <v>橙</v>
          </cell>
          <cell r="AD94" t="str">
            <v>&amp;</v>
          </cell>
          <cell r="AE94" t="str">
            <v>&amp;</v>
          </cell>
          <cell r="AF94" t="str">
            <v>&amp;</v>
          </cell>
          <cell r="AG94" t="str">
            <v>&amp;</v>
          </cell>
          <cell r="AH94" t="str">
            <v>&amp;</v>
          </cell>
          <cell r="AI94" t="str">
            <v>&amp;</v>
          </cell>
          <cell r="AJ94" t="str">
            <v>&amp;</v>
          </cell>
          <cell r="AK94" t="str">
            <v>&amp;</v>
          </cell>
        </row>
        <row r="95">
          <cell r="F95" t="str">
            <v>橙+</v>
          </cell>
          <cell r="AD95" t="str">
            <v>谋羽取荆</v>
          </cell>
          <cell r="AE95" t="str">
            <v>风飞云会</v>
          </cell>
          <cell r="AF95" t="str">
            <v>东吴将才</v>
          </cell>
          <cell r="AG95" t="str">
            <v>&amp;</v>
          </cell>
          <cell r="AH95" t="str">
            <v>&amp;</v>
          </cell>
          <cell r="AI95" t="str">
            <v>&amp;</v>
          </cell>
          <cell r="AJ95" t="str">
            <v>&amp;</v>
          </cell>
          <cell r="AK95" t="str">
            <v>&amp;</v>
          </cell>
        </row>
        <row r="96">
          <cell r="F96" t="str">
            <v>红</v>
          </cell>
          <cell r="AD96" t="str">
            <v>如鱼得水</v>
          </cell>
          <cell r="AE96" t="str">
            <v>一时瑜亮</v>
          </cell>
          <cell r="AF96" t="str">
            <v>出兵北伐</v>
          </cell>
          <cell r="AG96" t="str">
            <v>丞相器重</v>
          </cell>
          <cell r="AH96" t="str">
            <v>改造连弩</v>
          </cell>
          <cell r="AI96" t="str">
            <v>西蜀谋士</v>
          </cell>
          <cell r="AJ96" t="str">
            <v>符道阴阳</v>
          </cell>
          <cell r="AK96" t="str">
            <v>蜀汉肱骨</v>
          </cell>
        </row>
        <row r="97">
          <cell r="F97" t="str">
            <v>橙</v>
          </cell>
          <cell r="AD97" t="str">
            <v>&amp;</v>
          </cell>
          <cell r="AE97" t="str">
            <v>&amp;</v>
          </cell>
          <cell r="AF97" t="str">
            <v>&amp;</v>
          </cell>
          <cell r="AG97" t="str">
            <v>&amp;</v>
          </cell>
          <cell r="AH97" t="str">
            <v>&amp;</v>
          </cell>
          <cell r="AI97" t="str">
            <v>&amp;</v>
          </cell>
          <cell r="AJ97" t="str">
            <v>&amp;</v>
          </cell>
          <cell r="AK97" t="str">
            <v>&amp;</v>
          </cell>
        </row>
      </sheetData>
      <sheetData sheetId="2">
        <row r="9">
          <cell r="B9" t="str">
            <v>吕玲绮</v>
          </cell>
          <cell r="C9" t="str">
            <v/>
          </cell>
          <cell r="D9" t="str">
            <v/>
          </cell>
          <cell r="E9">
            <v>1</v>
          </cell>
          <cell r="F9">
            <v>2</v>
          </cell>
          <cell r="G9">
            <v>1</v>
          </cell>
        </row>
        <row r="10">
          <cell r="B10" t="str">
            <v>华雄</v>
          </cell>
          <cell r="C10" t="str">
            <v/>
          </cell>
          <cell r="D10" t="str">
            <v/>
          </cell>
          <cell r="E10">
            <v>1</v>
          </cell>
          <cell r="F10">
            <v>2</v>
          </cell>
          <cell r="G10">
            <v>1</v>
          </cell>
        </row>
        <row r="11">
          <cell r="B11">
            <v>0</v>
          </cell>
          <cell r="C11" t="str">
            <v/>
          </cell>
          <cell r="D11" t="str">
            <v/>
          </cell>
          <cell r="E11" t="str">
            <v/>
          </cell>
          <cell r="F11" t="str">
            <v/>
          </cell>
          <cell r="G11" t="str">
            <v/>
          </cell>
        </row>
        <row r="12">
          <cell r="B12" t="str">
            <v>无双张辽</v>
          </cell>
          <cell r="C12" t="str">
            <v/>
          </cell>
          <cell r="D12" t="str">
            <v/>
          </cell>
          <cell r="E12" t="str">
            <v/>
          </cell>
          <cell r="F12">
            <v>1</v>
          </cell>
          <cell r="G12">
            <v>2</v>
          </cell>
        </row>
        <row r="13">
          <cell r="B13" t="str">
            <v>程普</v>
          </cell>
          <cell r="C13" t="str">
            <v/>
          </cell>
          <cell r="D13" t="str">
            <v/>
          </cell>
          <cell r="E13" t="str">
            <v/>
          </cell>
          <cell r="F13">
            <v>5</v>
          </cell>
          <cell r="G13" t="str">
            <v/>
          </cell>
        </row>
        <row r="14">
          <cell r="B14" t="str">
            <v>周瑜</v>
          </cell>
          <cell r="C14" t="str">
            <v/>
          </cell>
          <cell r="D14" t="str">
            <v/>
          </cell>
          <cell r="E14" t="str">
            <v/>
          </cell>
          <cell r="F14">
            <v>6</v>
          </cell>
          <cell r="G14">
            <v>1</v>
          </cell>
        </row>
        <row r="15">
          <cell r="B15" t="str">
            <v>大乔</v>
          </cell>
          <cell r="C15" t="str">
            <v/>
          </cell>
          <cell r="D15" t="str">
            <v/>
          </cell>
          <cell r="E15" t="str">
            <v/>
          </cell>
          <cell r="F15">
            <v>4</v>
          </cell>
          <cell r="G15" t="str">
            <v/>
          </cell>
        </row>
        <row r="16">
          <cell r="B16" t="str">
            <v>赵云</v>
          </cell>
          <cell r="C16" t="str">
            <v/>
          </cell>
          <cell r="D16" t="str">
            <v/>
          </cell>
          <cell r="E16" t="str">
            <v/>
          </cell>
          <cell r="F16">
            <v>6</v>
          </cell>
          <cell r="G16">
            <v>1</v>
          </cell>
        </row>
        <row r="17">
          <cell r="B17" t="str">
            <v>邓艾</v>
          </cell>
          <cell r="C17" t="str">
            <v/>
          </cell>
          <cell r="D17" t="str">
            <v/>
          </cell>
          <cell r="E17" t="str">
            <v/>
          </cell>
          <cell r="F17" t="str">
            <v/>
          </cell>
          <cell r="G17">
            <v>1</v>
          </cell>
        </row>
        <row r="18">
          <cell r="B18" t="str">
            <v>王异</v>
          </cell>
          <cell r="C18" t="str">
            <v/>
          </cell>
          <cell r="D18" t="str">
            <v/>
          </cell>
          <cell r="E18" t="str">
            <v/>
          </cell>
          <cell r="F18">
            <v>3</v>
          </cell>
          <cell r="G18" t="str">
            <v/>
          </cell>
        </row>
        <row r="19">
          <cell r="B19" t="str">
            <v>丁奉</v>
          </cell>
          <cell r="C19" t="str">
            <v/>
          </cell>
          <cell r="D19" t="str">
            <v/>
          </cell>
          <cell r="E19">
            <v>2</v>
          </cell>
          <cell r="F19">
            <v>1</v>
          </cell>
          <cell r="G19" t="str">
            <v/>
          </cell>
        </row>
        <row r="20">
          <cell r="B20" t="str">
            <v>何太后</v>
          </cell>
          <cell r="C20" t="str">
            <v/>
          </cell>
          <cell r="D20" t="str">
            <v/>
          </cell>
          <cell r="E20">
            <v>1</v>
          </cell>
          <cell r="F20" t="str">
            <v/>
          </cell>
          <cell r="G20" t="str">
            <v/>
          </cell>
        </row>
        <row r="21">
          <cell r="B21" t="str">
            <v>太史慈</v>
          </cell>
          <cell r="C21" t="str">
            <v/>
          </cell>
          <cell r="D21" t="str">
            <v/>
          </cell>
          <cell r="E21" t="str">
            <v/>
          </cell>
          <cell r="F21">
            <v>2</v>
          </cell>
          <cell r="G21" t="str">
            <v/>
          </cell>
        </row>
        <row r="22">
          <cell r="B22" t="str">
            <v>黄忠</v>
          </cell>
          <cell r="C22" t="str">
            <v/>
          </cell>
          <cell r="D22" t="str">
            <v/>
          </cell>
          <cell r="E22" t="str">
            <v/>
          </cell>
          <cell r="F22">
            <v>2</v>
          </cell>
          <cell r="G22" t="str">
            <v/>
          </cell>
        </row>
        <row r="23">
          <cell r="B23" t="str">
            <v>马腾</v>
          </cell>
          <cell r="C23" t="str">
            <v/>
          </cell>
          <cell r="D23" t="str">
            <v/>
          </cell>
          <cell r="E23" t="str">
            <v/>
          </cell>
          <cell r="F23">
            <v>3</v>
          </cell>
          <cell r="G23" t="str">
            <v/>
          </cell>
        </row>
        <row r="24">
          <cell r="B24" t="str">
            <v>曹仁</v>
          </cell>
          <cell r="C24" t="str">
            <v/>
          </cell>
          <cell r="D24" t="str">
            <v/>
          </cell>
          <cell r="E24" t="str">
            <v/>
          </cell>
          <cell r="F24">
            <v>6</v>
          </cell>
          <cell r="G24" t="str">
            <v/>
          </cell>
        </row>
        <row r="25">
          <cell r="B25" t="str">
            <v>严颜</v>
          </cell>
          <cell r="C25" t="str">
            <v/>
          </cell>
          <cell r="D25" t="str">
            <v/>
          </cell>
          <cell r="E25">
            <v>1</v>
          </cell>
          <cell r="F25">
            <v>2</v>
          </cell>
          <cell r="G25" t="str">
            <v/>
          </cell>
        </row>
        <row r="26">
          <cell r="B26" t="str">
            <v>王允</v>
          </cell>
          <cell r="C26" t="str">
            <v/>
          </cell>
          <cell r="D26" t="str">
            <v/>
          </cell>
          <cell r="E26" t="str">
            <v/>
          </cell>
          <cell r="F26">
            <v>2</v>
          </cell>
          <cell r="G26">
            <v>1</v>
          </cell>
        </row>
        <row r="27">
          <cell r="B27" t="str">
            <v>荀彧</v>
          </cell>
          <cell r="C27" t="str">
            <v/>
          </cell>
          <cell r="D27" t="str">
            <v/>
          </cell>
          <cell r="E27" t="str">
            <v/>
          </cell>
          <cell r="F27" t="str">
            <v/>
          </cell>
          <cell r="G27">
            <v>2</v>
          </cell>
        </row>
        <row r="28">
          <cell r="B28" t="str">
            <v>孙策</v>
          </cell>
          <cell r="C28" t="str">
            <v/>
          </cell>
          <cell r="D28" t="str">
            <v/>
          </cell>
          <cell r="E28" t="str">
            <v/>
          </cell>
          <cell r="F28">
            <v>6</v>
          </cell>
          <cell r="G28" t="str">
            <v/>
          </cell>
        </row>
        <row r="29">
          <cell r="B29" t="str">
            <v>李儒</v>
          </cell>
          <cell r="C29" t="str">
            <v/>
          </cell>
          <cell r="D29" t="str">
            <v/>
          </cell>
          <cell r="E29">
            <v>1</v>
          </cell>
          <cell r="F29">
            <v>3</v>
          </cell>
          <cell r="G29">
            <v>1</v>
          </cell>
        </row>
        <row r="30">
          <cell r="B30" t="str">
            <v>张昭</v>
          </cell>
          <cell r="C30" t="str">
            <v/>
          </cell>
          <cell r="D30" t="str">
            <v/>
          </cell>
          <cell r="E30">
            <v>1</v>
          </cell>
          <cell r="F30">
            <v>1</v>
          </cell>
          <cell r="G30">
            <v>1</v>
          </cell>
        </row>
        <row r="31">
          <cell r="B31" t="str">
            <v>步练师</v>
          </cell>
          <cell r="C31" t="str">
            <v/>
          </cell>
          <cell r="D31" t="str">
            <v/>
          </cell>
          <cell r="E31" t="str">
            <v/>
          </cell>
          <cell r="F31">
            <v>3</v>
          </cell>
          <cell r="G31" t="str">
            <v/>
          </cell>
        </row>
        <row r="32">
          <cell r="B32" t="str">
            <v>陶谦</v>
          </cell>
          <cell r="C32" t="str">
            <v/>
          </cell>
          <cell r="D32">
            <v>1</v>
          </cell>
          <cell r="E32">
            <v>1</v>
          </cell>
          <cell r="F32">
            <v>1</v>
          </cell>
          <cell r="G32" t="str">
            <v/>
          </cell>
        </row>
        <row r="33">
          <cell r="B33">
            <v>0</v>
          </cell>
          <cell r="C33" t="str">
            <v/>
          </cell>
          <cell r="D33" t="str">
            <v/>
          </cell>
          <cell r="E33" t="str">
            <v/>
          </cell>
          <cell r="F33" t="str">
            <v/>
          </cell>
          <cell r="G33" t="str">
            <v/>
          </cell>
        </row>
        <row r="34">
          <cell r="B34" t="str">
            <v>钟会</v>
          </cell>
          <cell r="C34" t="str">
            <v/>
          </cell>
          <cell r="D34" t="str">
            <v/>
          </cell>
          <cell r="E34" t="str">
            <v/>
          </cell>
          <cell r="F34" t="str">
            <v/>
          </cell>
          <cell r="G34" t="str">
            <v/>
          </cell>
        </row>
        <row r="35">
          <cell r="B35" t="str">
            <v>夏侯渊</v>
          </cell>
          <cell r="C35" t="str">
            <v/>
          </cell>
          <cell r="D35" t="str">
            <v/>
          </cell>
          <cell r="E35" t="str">
            <v/>
          </cell>
          <cell r="F35">
            <v>4</v>
          </cell>
          <cell r="G35" t="str">
            <v/>
          </cell>
        </row>
        <row r="36">
          <cell r="B36" t="str">
            <v>诸葛瑾</v>
          </cell>
          <cell r="C36" t="str">
            <v/>
          </cell>
          <cell r="D36" t="str">
            <v/>
          </cell>
          <cell r="E36">
            <v>1</v>
          </cell>
          <cell r="F36">
            <v>1</v>
          </cell>
          <cell r="G36" t="str">
            <v/>
          </cell>
        </row>
        <row r="37">
          <cell r="B37" t="str">
            <v>孙尚香</v>
          </cell>
          <cell r="C37" t="str">
            <v/>
          </cell>
          <cell r="D37" t="str">
            <v/>
          </cell>
          <cell r="E37" t="str">
            <v/>
          </cell>
          <cell r="F37">
            <v>5</v>
          </cell>
          <cell r="G37" t="str">
            <v/>
          </cell>
        </row>
        <row r="38">
          <cell r="B38" t="str">
            <v>凌统</v>
          </cell>
          <cell r="C38" t="str">
            <v/>
          </cell>
          <cell r="D38" t="str">
            <v/>
          </cell>
          <cell r="E38">
            <v>2</v>
          </cell>
          <cell r="F38">
            <v>1</v>
          </cell>
          <cell r="G38" t="str">
            <v/>
          </cell>
        </row>
        <row r="39">
          <cell r="B39" t="str">
            <v>于吉</v>
          </cell>
          <cell r="C39" t="str">
            <v/>
          </cell>
          <cell r="D39" t="str">
            <v/>
          </cell>
          <cell r="E39" t="str">
            <v/>
          </cell>
          <cell r="F39">
            <v>2</v>
          </cell>
          <cell r="G39">
            <v>1</v>
          </cell>
        </row>
        <row r="40">
          <cell r="B40" t="str">
            <v>华佗</v>
          </cell>
          <cell r="C40" t="str">
            <v/>
          </cell>
          <cell r="D40" t="str">
            <v/>
          </cell>
          <cell r="E40">
            <v>1</v>
          </cell>
          <cell r="F40">
            <v>1</v>
          </cell>
          <cell r="G40" t="str">
            <v/>
          </cell>
        </row>
        <row r="41">
          <cell r="B41" t="str">
            <v>廖化</v>
          </cell>
          <cell r="C41" t="str">
            <v/>
          </cell>
          <cell r="D41" t="str">
            <v/>
          </cell>
          <cell r="E41">
            <v>2</v>
          </cell>
          <cell r="F41" t="str">
            <v/>
          </cell>
          <cell r="G41" t="str">
            <v/>
          </cell>
        </row>
        <row r="42">
          <cell r="B42" t="str">
            <v>张辽</v>
          </cell>
          <cell r="C42" t="str">
            <v/>
          </cell>
          <cell r="D42">
            <v>1</v>
          </cell>
          <cell r="E42">
            <v>1</v>
          </cell>
          <cell r="F42">
            <v>3</v>
          </cell>
          <cell r="G42">
            <v>1</v>
          </cell>
        </row>
        <row r="43">
          <cell r="B43" t="str">
            <v>羊祜</v>
          </cell>
          <cell r="C43" t="str">
            <v/>
          </cell>
          <cell r="D43" t="str">
            <v/>
          </cell>
          <cell r="E43" t="str">
            <v/>
          </cell>
          <cell r="F43" t="str">
            <v/>
          </cell>
          <cell r="G43" t="str">
            <v/>
          </cell>
        </row>
        <row r="44">
          <cell r="B44" t="str">
            <v>卧龙先生</v>
          </cell>
          <cell r="C44" t="str">
            <v/>
          </cell>
          <cell r="D44" t="str">
            <v/>
          </cell>
          <cell r="E44" t="str">
            <v/>
          </cell>
          <cell r="F44" t="str">
            <v/>
          </cell>
          <cell r="G44" t="str">
            <v/>
          </cell>
        </row>
        <row r="45">
          <cell r="B45" t="str">
            <v>马良</v>
          </cell>
          <cell r="C45" t="str">
            <v/>
          </cell>
          <cell r="D45" t="str">
            <v/>
          </cell>
          <cell r="E45">
            <v>3</v>
          </cell>
          <cell r="F45" t="str">
            <v/>
          </cell>
          <cell r="G45" t="str">
            <v/>
          </cell>
        </row>
        <row r="46">
          <cell r="B46" t="str">
            <v>曹操</v>
          </cell>
          <cell r="C46" t="str">
            <v/>
          </cell>
          <cell r="D46" t="str">
            <v/>
          </cell>
          <cell r="E46" t="str">
            <v/>
          </cell>
          <cell r="F46">
            <v>5</v>
          </cell>
          <cell r="G46" t="str">
            <v/>
          </cell>
        </row>
        <row r="47">
          <cell r="B47" t="str">
            <v>张角</v>
          </cell>
          <cell r="C47" t="str">
            <v/>
          </cell>
          <cell r="D47" t="str">
            <v/>
          </cell>
          <cell r="E47" t="str">
            <v/>
          </cell>
          <cell r="F47" t="str">
            <v/>
          </cell>
          <cell r="G47" t="str">
            <v/>
          </cell>
        </row>
        <row r="48">
          <cell r="B48" t="str">
            <v>徐庶</v>
          </cell>
          <cell r="C48" t="str">
            <v/>
          </cell>
          <cell r="D48" t="str">
            <v/>
          </cell>
          <cell r="E48">
            <v>1</v>
          </cell>
          <cell r="F48">
            <v>2</v>
          </cell>
          <cell r="G48">
            <v>1</v>
          </cell>
        </row>
        <row r="49">
          <cell r="B49" t="str">
            <v>孙坚</v>
          </cell>
          <cell r="C49" t="str">
            <v/>
          </cell>
          <cell r="D49" t="str">
            <v/>
          </cell>
          <cell r="E49">
            <v>1</v>
          </cell>
          <cell r="F49">
            <v>7</v>
          </cell>
          <cell r="G49" t="str">
            <v/>
          </cell>
        </row>
        <row r="50">
          <cell r="B50" t="str">
            <v>马谡</v>
          </cell>
          <cell r="C50" t="str">
            <v/>
          </cell>
          <cell r="D50" t="str">
            <v/>
          </cell>
          <cell r="E50">
            <v>2</v>
          </cell>
          <cell r="F50">
            <v>1</v>
          </cell>
          <cell r="G50">
            <v>1</v>
          </cell>
        </row>
        <row r="51">
          <cell r="B51" t="str">
            <v>关银屏</v>
          </cell>
          <cell r="C51" t="str">
            <v/>
          </cell>
          <cell r="D51" t="str">
            <v/>
          </cell>
          <cell r="E51">
            <v>1</v>
          </cell>
          <cell r="F51">
            <v>2</v>
          </cell>
          <cell r="G51" t="str">
            <v/>
          </cell>
        </row>
        <row r="52">
          <cell r="B52" t="str">
            <v>于禁</v>
          </cell>
          <cell r="C52" t="str">
            <v/>
          </cell>
          <cell r="D52" t="str">
            <v/>
          </cell>
          <cell r="E52" t="str">
            <v/>
          </cell>
          <cell r="F52">
            <v>5</v>
          </cell>
          <cell r="G52" t="str">
            <v/>
          </cell>
        </row>
        <row r="53">
          <cell r="B53" t="str">
            <v>鲁肃</v>
          </cell>
          <cell r="C53" t="str">
            <v/>
          </cell>
          <cell r="D53" t="str">
            <v/>
          </cell>
          <cell r="E53" t="str">
            <v/>
          </cell>
          <cell r="F53">
            <v>3</v>
          </cell>
          <cell r="G53" t="str">
            <v/>
          </cell>
        </row>
        <row r="54">
          <cell r="B54">
            <v>0</v>
          </cell>
          <cell r="C54" t="str">
            <v/>
          </cell>
          <cell r="D54" t="str">
            <v/>
          </cell>
          <cell r="E54" t="str">
            <v/>
          </cell>
          <cell r="F54" t="str">
            <v/>
          </cell>
          <cell r="G54" t="str">
            <v/>
          </cell>
        </row>
        <row r="55">
          <cell r="B55" t="str">
            <v>沮授</v>
          </cell>
          <cell r="C55" t="str">
            <v/>
          </cell>
          <cell r="D55" t="str">
            <v/>
          </cell>
          <cell r="E55" t="str">
            <v/>
          </cell>
          <cell r="F55" t="str">
            <v/>
          </cell>
          <cell r="G55" t="str">
            <v/>
          </cell>
        </row>
        <row r="56">
          <cell r="B56" t="str">
            <v>高顺</v>
          </cell>
          <cell r="C56" t="str">
            <v/>
          </cell>
          <cell r="D56" t="str">
            <v/>
          </cell>
          <cell r="E56" t="str">
            <v/>
          </cell>
          <cell r="F56">
            <v>2</v>
          </cell>
          <cell r="G56">
            <v>2</v>
          </cell>
        </row>
        <row r="57">
          <cell r="B57" t="str">
            <v>李典</v>
          </cell>
          <cell r="C57" t="str">
            <v/>
          </cell>
          <cell r="D57">
            <v>1</v>
          </cell>
          <cell r="E57">
            <v>1</v>
          </cell>
          <cell r="F57" t="str">
            <v/>
          </cell>
          <cell r="G57" t="str">
            <v/>
          </cell>
        </row>
        <row r="58">
          <cell r="B58" t="str">
            <v>张飞</v>
          </cell>
          <cell r="C58" t="str">
            <v/>
          </cell>
          <cell r="D58" t="str">
            <v/>
          </cell>
          <cell r="E58">
            <v>1</v>
          </cell>
          <cell r="F58">
            <v>3</v>
          </cell>
          <cell r="G58" t="str">
            <v/>
          </cell>
        </row>
        <row r="59">
          <cell r="B59" t="str">
            <v>陈宫</v>
          </cell>
          <cell r="C59" t="str">
            <v/>
          </cell>
          <cell r="D59" t="str">
            <v/>
          </cell>
          <cell r="E59" t="str">
            <v/>
          </cell>
          <cell r="F59">
            <v>3</v>
          </cell>
          <cell r="G59">
            <v>1</v>
          </cell>
        </row>
        <row r="60">
          <cell r="B60" t="str">
            <v>程昱</v>
          </cell>
          <cell r="C60" t="str">
            <v/>
          </cell>
          <cell r="D60" t="str">
            <v/>
          </cell>
          <cell r="E60">
            <v>1</v>
          </cell>
          <cell r="F60">
            <v>2</v>
          </cell>
          <cell r="G60" t="str">
            <v/>
          </cell>
        </row>
        <row r="61">
          <cell r="B61" t="str">
            <v>典韦</v>
          </cell>
          <cell r="C61" t="str">
            <v/>
          </cell>
          <cell r="D61" t="str">
            <v/>
          </cell>
          <cell r="E61" t="str">
            <v/>
          </cell>
          <cell r="F61">
            <v>4</v>
          </cell>
          <cell r="G61" t="str">
            <v/>
          </cell>
        </row>
        <row r="62">
          <cell r="B62" t="str">
            <v>贾诩</v>
          </cell>
          <cell r="C62" t="str">
            <v/>
          </cell>
          <cell r="D62" t="str">
            <v/>
          </cell>
          <cell r="E62">
            <v>2</v>
          </cell>
          <cell r="F62">
            <v>1</v>
          </cell>
          <cell r="G62">
            <v>1</v>
          </cell>
        </row>
        <row r="63">
          <cell r="B63" t="str">
            <v>魏延</v>
          </cell>
          <cell r="C63" t="str">
            <v/>
          </cell>
          <cell r="D63" t="str">
            <v/>
          </cell>
          <cell r="E63" t="str">
            <v/>
          </cell>
          <cell r="F63">
            <v>3</v>
          </cell>
          <cell r="G63" t="str">
            <v/>
          </cell>
        </row>
        <row r="64">
          <cell r="B64" t="str">
            <v>吕蒙</v>
          </cell>
          <cell r="C64" t="str">
            <v/>
          </cell>
          <cell r="D64" t="str">
            <v/>
          </cell>
          <cell r="E64">
            <v>1</v>
          </cell>
          <cell r="F64">
            <v>3</v>
          </cell>
          <cell r="G64" t="str">
            <v/>
          </cell>
        </row>
        <row r="65">
          <cell r="B65" t="str">
            <v>袁术</v>
          </cell>
          <cell r="C65" t="str">
            <v/>
          </cell>
          <cell r="D65">
            <v>1</v>
          </cell>
          <cell r="E65">
            <v>1</v>
          </cell>
          <cell r="F65">
            <v>2</v>
          </cell>
          <cell r="G65" t="str">
            <v/>
          </cell>
        </row>
        <row r="66">
          <cell r="B66" t="str">
            <v>乐进</v>
          </cell>
          <cell r="C66" t="str">
            <v/>
          </cell>
          <cell r="D66">
            <v>1</v>
          </cell>
          <cell r="E66">
            <v>1</v>
          </cell>
          <cell r="F66">
            <v>1</v>
          </cell>
          <cell r="G66" t="str">
            <v/>
          </cell>
        </row>
        <row r="67">
          <cell r="B67" t="str">
            <v>王平</v>
          </cell>
          <cell r="C67" t="str">
            <v/>
          </cell>
          <cell r="D67" t="str">
            <v/>
          </cell>
          <cell r="E67" t="str">
            <v/>
          </cell>
          <cell r="F67" t="str">
            <v/>
          </cell>
          <cell r="G67" t="str">
            <v/>
          </cell>
        </row>
        <row r="68">
          <cell r="B68" t="str">
            <v>甄姬</v>
          </cell>
          <cell r="C68" t="str">
            <v/>
          </cell>
          <cell r="D68" t="str">
            <v/>
          </cell>
          <cell r="E68" t="str">
            <v/>
          </cell>
          <cell r="F68">
            <v>2</v>
          </cell>
          <cell r="G68" t="str">
            <v/>
          </cell>
        </row>
        <row r="69">
          <cell r="B69" t="str">
            <v>马钧</v>
          </cell>
          <cell r="C69" t="str">
            <v/>
          </cell>
          <cell r="D69" t="str">
            <v/>
          </cell>
          <cell r="E69">
            <v>1</v>
          </cell>
          <cell r="F69">
            <v>1</v>
          </cell>
          <cell r="G69">
            <v>1</v>
          </cell>
        </row>
        <row r="70">
          <cell r="B70" t="str">
            <v>黄盖</v>
          </cell>
          <cell r="C70" t="str">
            <v/>
          </cell>
          <cell r="D70" t="str">
            <v/>
          </cell>
          <cell r="E70">
            <v>3</v>
          </cell>
          <cell r="F70">
            <v>3</v>
          </cell>
          <cell r="G70" t="str">
            <v/>
          </cell>
        </row>
        <row r="71">
          <cell r="B71" t="str">
            <v>皇甫嵩</v>
          </cell>
          <cell r="C71" t="str">
            <v/>
          </cell>
          <cell r="D71">
            <v>1</v>
          </cell>
          <cell r="E71" t="str">
            <v/>
          </cell>
          <cell r="F71">
            <v>2</v>
          </cell>
          <cell r="G71" t="str">
            <v/>
          </cell>
        </row>
        <row r="72">
          <cell r="B72" t="str">
            <v>刘备</v>
          </cell>
          <cell r="C72" t="str">
            <v/>
          </cell>
          <cell r="D72" t="str">
            <v/>
          </cell>
          <cell r="E72" t="str">
            <v/>
          </cell>
          <cell r="F72">
            <v>5</v>
          </cell>
          <cell r="G72">
            <v>1</v>
          </cell>
        </row>
        <row r="73">
          <cell r="B73" t="str">
            <v>孙权</v>
          </cell>
          <cell r="C73" t="str">
            <v/>
          </cell>
          <cell r="D73" t="str">
            <v/>
          </cell>
          <cell r="E73">
            <v>1</v>
          </cell>
          <cell r="F73">
            <v>5</v>
          </cell>
          <cell r="G73">
            <v>1</v>
          </cell>
        </row>
        <row r="74">
          <cell r="B74" t="str">
            <v>法正</v>
          </cell>
          <cell r="C74" t="str">
            <v/>
          </cell>
          <cell r="D74" t="str">
            <v/>
          </cell>
          <cell r="E74" t="str">
            <v/>
          </cell>
          <cell r="F74" t="str">
            <v/>
          </cell>
          <cell r="G74" t="str">
            <v/>
          </cell>
        </row>
        <row r="75">
          <cell r="B75">
            <v>0</v>
          </cell>
          <cell r="C75" t="str">
            <v/>
          </cell>
          <cell r="D75" t="str">
            <v/>
          </cell>
          <cell r="E75" t="str">
            <v/>
          </cell>
          <cell r="F75" t="str">
            <v/>
          </cell>
          <cell r="G75" t="str">
            <v/>
          </cell>
        </row>
        <row r="76">
          <cell r="B76" t="str">
            <v>水镜先生</v>
          </cell>
          <cell r="C76" t="str">
            <v/>
          </cell>
          <cell r="D76" t="str">
            <v/>
          </cell>
          <cell r="E76" t="str">
            <v/>
          </cell>
          <cell r="F76" t="str">
            <v/>
          </cell>
          <cell r="G76" t="str">
            <v/>
          </cell>
        </row>
        <row r="77">
          <cell r="B77" t="str">
            <v>蒋琬</v>
          </cell>
          <cell r="C77" t="str">
            <v/>
          </cell>
          <cell r="D77" t="str">
            <v/>
          </cell>
          <cell r="E77" t="str">
            <v/>
          </cell>
          <cell r="F77" t="str">
            <v/>
          </cell>
          <cell r="G77" t="str">
            <v/>
          </cell>
        </row>
        <row r="78">
          <cell r="B78">
            <v>0</v>
          </cell>
          <cell r="C78" t="str">
            <v/>
          </cell>
          <cell r="D78" t="str">
            <v/>
          </cell>
          <cell r="E78" t="str">
            <v/>
          </cell>
          <cell r="F78" t="str">
            <v/>
          </cell>
          <cell r="G78" t="str">
            <v/>
          </cell>
        </row>
        <row r="79">
          <cell r="B79" t="str">
            <v>韩当</v>
          </cell>
          <cell r="C79" t="str">
            <v/>
          </cell>
          <cell r="D79" t="str">
            <v/>
          </cell>
          <cell r="E79">
            <v>3</v>
          </cell>
          <cell r="F79">
            <v>1</v>
          </cell>
          <cell r="G79" t="str">
            <v/>
          </cell>
        </row>
        <row r="80">
          <cell r="B80">
            <v>0</v>
          </cell>
          <cell r="C80" t="str">
            <v/>
          </cell>
          <cell r="D80" t="str">
            <v/>
          </cell>
          <cell r="E80" t="str">
            <v/>
          </cell>
          <cell r="F80" t="str">
            <v/>
          </cell>
          <cell r="G80" t="str">
            <v/>
          </cell>
        </row>
        <row r="81">
          <cell r="B81" t="str">
            <v>曹丕</v>
          </cell>
          <cell r="C81" t="str">
            <v/>
          </cell>
          <cell r="D81" t="str">
            <v/>
          </cell>
          <cell r="E81" t="str">
            <v/>
          </cell>
          <cell r="F81">
            <v>1</v>
          </cell>
          <cell r="G81">
            <v>1</v>
          </cell>
        </row>
        <row r="82">
          <cell r="B82" t="str">
            <v>徐晃</v>
          </cell>
          <cell r="C82" t="str">
            <v/>
          </cell>
          <cell r="D82" t="str">
            <v/>
          </cell>
          <cell r="E82">
            <v>1</v>
          </cell>
          <cell r="F82">
            <v>4</v>
          </cell>
          <cell r="G82" t="str">
            <v/>
          </cell>
        </row>
        <row r="83">
          <cell r="B83" t="str">
            <v>小乔</v>
          </cell>
          <cell r="C83" t="str">
            <v/>
          </cell>
          <cell r="D83" t="str">
            <v/>
          </cell>
          <cell r="E83" t="str">
            <v/>
          </cell>
          <cell r="F83">
            <v>2</v>
          </cell>
          <cell r="G83" t="str">
            <v/>
          </cell>
        </row>
        <row r="84">
          <cell r="B84" t="str">
            <v>马云禄</v>
          </cell>
          <cell r="C84" t="str">
            <v/>
          </cell>
          <cell r="D84" t="str">
            <v/>
          </cell>
          <cell r="E84" t="str">
            <v/>
          </cell>
          <cell r="F84">
            <v>4</v>
          </cell>
          <cell r="G84" t="str">
            <v/>
          </cell>
        </row>
        <row r="85">
          <cell r="B85" t="str">
            <v>蔡文姬</v>
          </cell>
          <cell r="C85" t="str">
            <v/>
          </cell>
          <cell r="D85" t="str">
            <v/>
          </cell>
          <cell r="E85" t="str">
            <v/>
          </cell>
          <cell r="F85">
            <v>2</v>
          </cell>
          <cell r="G85" t="str">
            <v/>
          </cell>
        </row>
        <row r="86">
          <cell r="B86" t="str">
            <v>项羽</v>
          </cell>
          <cell r="C86" t="str">
            <v/>
          </cell>
          <cell r="D86" t="str">
            <v/>
          </cell>
          <cell r="E86" t="str">
            <v/>
          </cell>
          <cell r="F86" t="str">
            <v/>
          </cell>
          <cell r="G86">
            <v>2</v>
          </cell>
        </row>
        <row r="87">
          <cell r="B87">
            <v>0</v>
          </cell>
          <cell r="C87" t="str">
            <v/>
          </cell>
          <cell r="D87" t="str">
            <v/>
          </cell>
          <cell r="E87" t="str">
            <v/>
          </cell>
          <cell r="F87" t="str">
            <v/>
          </cell>
          <cell r="G87" t="str">
            <v/>
          </cell>
        </row>
        <row r="88">
          <cell r="B88" t="str">
            <v>高顺</v>
          </cell>
          <cell r="C88" t="str">
            <v/>
          </cell>
          <cell r="D88" t="str">
            <v/>
          </cell>
          <cell r="E88" t="str">
            <v/>
          </cell>
          <cell r="F88" t="str">
            <v/>
          </cell>
          <cell r="G88" t="str">
            <v/>
          </cell>
        </row>
        <row r="89">
          <cell r="B89" t="str">
            <v>庞德</v>
          </cell>
          <cell r="C89" t="str">
            <v/>
          </cell>
          <cell r="D89" t="str">
            <v/>
          </cell>
          <cell r="E89" t="str">
            <v/>
          </cell>
          <cell r="F89">
            <v>4</v>
          </cell>
          <cell r="G89" t="str">
            <v/>
          </cell>
        </row>
        <row r="90">
          <cell r="B90" t="str">
            <v>姜维</v>
          </cell>
          <cell r="C90" t="str">
            <v/>
          </cell>
          <cell r="D90" t="str">
            <v/>
          </cell>
          <cell r="E90" t="str">
            <v/>
          </cell>
          <cell r="F90">
            <v>1</v>
          </cell>
          <cell r="G90">
            <v>1</v>
          </cell>
        </row>
        <row r="91">
          <cell r="B91" t="str">
            <v>庞统</v>
          </cell>
          <cell r="C91" t="str">
            <v/>
          </cell>
          <cell r="D91" t="str">
            <v/>
          </cell>
          <cell r="E91" t="str">
            <v/>
          </cell>
          <cell r="F91" t="str">
            <v/>
          </cell>
          <cell r="G91" t="str">
            <v/>
          </cell>
        </row>
        <row r="92">
          <cell r="B92" t="str">
            <v>吕布</v>
          </cell>
          <cell r="C92" t="str">
            <v/>
          </cell>
          <cell r="D92" t="str">
            <v/>
          </cell>
          <cell r="E92">
            <v>1</v>
          </cell>
          <cell r="F92">
            <v>6</v>
          </cell>
          <cell r="G92">
            <v>2</v>
          </cell>
        </row>
        <row r="93">
          <cell r="B93">
            <v>0</v>
          </cell>
          <cell r="C93" t="str">
            <v/>
          </cell>
          <cell r="D93" t="str">
            <v/>
          </cell>
          <cell r="E93" t="str">
            <v/>
          </cell>
          <cell r="F93" t="str">
            <v/>
          </cell>
          <cell r="G93" t="str">
            <v/>
          </cell>
        </row>
        <row r="94">
          <cell r="B94">
            <v>0</v>
          </cell>
          <cell r="C94" t="str">
            <v/>
          </cell>
          <cell r="D94" t="str">
            <v/>
          </cell>
          <cell r="E94" t="str">
            <v/>
          </cell>
          <cell r="F94" t="str">
            <v/>
          </cell>
          <cell r="G94" t="str">
            <v/>
          </cell>
        </row>
        <row r="95">
          <cell r="B95" t="str">
            <v>陆逊</v>
          </cell>
          <cell r="C95" t="str">
            <v/>
          </cell>
          <cell r="D95" t="str">
            <v/>
          </cell>
          <cell r="E95" t="str">
            <v/>
          </cell>
          <cell r="F95">
            <v>2</v>
          </cell>
          <cell r="G95" t="str">
            <v/>
          </cell>
        </row>
        <row r="96">
          <cell r="B96" t="str">
            <v>诸葛亮</v>
          </cell>
          <cell r="C96" t="str">
            <v/>
          </cell>
          <cell r="D96" t="str">
            <v/>
          </cell>
          <cell r="E96">
            <v>2</v>
          </cell>
          <cell r="F96">
            <v>2</v>
          </cell>
          <cell r="G96">
            <v>1</v>
          </cell>
        </row>
        <row r="97">
          <cell r="B97" t="str">
            <v>甘宁</v>
          </cell>
          <cell r="C97" t="str">
            <v/>
          </cell>
          <cell r="D97" t="str">
            <v/>
          </cell>
          <cell r="E97" t="str">
            <v/>
          </cell>
          <cell r="F97" t="str">
            <v/>
          </cell>
          <cell r="G97" t="str">
            <v/>
          </cell>
        </row>
      </sheetData>
      <sheetData sheetId="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节奏总纲"/>
      <sheetName val="各个效果比例关系"/>
      <sheetName val="效果"/>
      <sheetName val="buff规划"/>
      <sheetName val="辅助计算"/>
      <sheetName val="城建效果"/>
    </sheetNames>
    <sheetDataSet>
      <sheetData sheetId="0"/>
      <sheetData sheetId="1"/>
      <sheetData sheetId="2">
        <row r="12">
          <cell r="E12">
            <v>92779.594324466074</v>
          </cell>
        </row>
        <row r="47">
          <cell r="D47">
            <v>7827.3903927782339</v>
          </cell>
        </row>
        <row r="48">
          <cell r="D48">
            <v>866695.67300324631</v>
          </cell>
        </row>
        <row r="50">
          <cell r="D50">
            <v>794544.38335637981</v>
          </cell>
        </row>
        <row r="52">
          <cell r="D52">
            <v>1023658.5692617481</v>
          </cell>
        </row>
        <row r="54">
          <cell r="D54">
            <v>936740.5251114897</v>
          </cell>
        </row>
      </sheetData>
      <sheetData sheetId="3"/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导表"/>
      <sheetName val="抽奖检测"/>
      <sheetName val="抽奖总览"/>
      <sheetName val="抽奖卡池"/>
      <sheetName val="祈福概率增加"/>
      <sheetName val="抽奖设计"/>
      <sheetName val="相关数据"/>
      <sheetName val="抽奖设计模板（老版本）"/>
    </sheetNames>
    <sheetDataSet>
      <sheetData sheetId="0"/>
      <sheetData sheetId="1"/>
      <sheetData sheetId="2"/>
      <sheetData sheetId="3"/>
      <sheetData sheetId="4"/>
      <sheetData sheetId="5"/>
      <sheetData sheetId="6">
        <row r="13">
          <cell r="F13">
            <v>7.4999999999999997E-2</v>
          </cell>
        </row>
      </sheetData>
      <sheetData sheetId="7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总纲"/>
      <sheetName val="信息索引"/>
      <sheetName val="基础状态预期"/>
      <sheetName val="战法升级"/>
      <sheetName val="战法升星"/>
      <sheetName val="战法经验消耗"/>
      <sheetName val="投放验证"/>
      <sheetName val="战法实力"/>
      <sheetName val="Sheet1"/>
      <sheetName val="Sheet3"/>
      <sheetName val="Sheet2"/>
      <sheetName val="Sheet4"/>
    </sheetNames>
    <sheetDataSet>
      <sheetData sheetId="0" refreshError="1"/>
      <sheetData sheetId="1" refreshError="1"/>
      <sheetData sheetId="2" refreshError="1"/>
      <sheetData sheetId="3" refreshError="1"/>
      <sheetData sheetId="4">
        <row r="5">
          <cell r="C5">
            <v>1</v>
          </cell>
          <cell r="D5">
            <v>1</v>
          </cell>
          <cell r="E5" t="str">
            <v/>
          </cell>
          <cell r="F5" t="str">
            <v/>
          </cell>
          <cell r="G5" t="str">
            <v/>
          </cell>
        </row>
        <row r="6">
          <cell r="C6">
            <v>2</v>
          </cell>
          <cell r="D6">
            <v>1</v>
          </cell>
          <cell r="E6">
            <v>1</v>
          </cell>
          <cell r="F6" t="str">
            <v/>
          </cell>
          <cell r="G6" t="str">
            <v/>
          </cell>
        </row>
        <row r="7">
          <cell r="C7">
            <v>3</v>
          </cell>
          <cell r="D7">
            <v>2</v>
          </cell>
          <cell r="E7">
            <v>1</v>
          </cell>
          <cell r="F7">
            <v>1</v>
          </cell>
          <cell r="G7">
            <v>1</v>
          </cell>
        </row>
        <row r="8">
          <cell r="C8">
            <v>4</v>
          </cell>
          <cell r="D8">
            <v>4</v>
          </cell>
          <cell r="E8">
            <v>2</v>
          </cell>
          <cell r="F8">
            <v>1</v>
          </cell>
          <cell r="G8">
            <v>1</v>
          </cell>
        </row>
        <row r="9">
          <cell r="C9">
            <v>5</v>
          </cell>
          <cell r="D9">
            <v>8</v>
          </cell>
          <cell r="E9">
            <v>4</v>
          </cell>
          <cell r="F9">
            <v>2</v>
          </cell>
          <cell r="G9">
            <v>2</v>
          </cell>
        </row>
        <row r="10">
          <cell r="C10">
            <v>6</v>
          </cell>
          <cell r="D10">
            <v>16</v>
          </cell>
          <cell r="E10">
            <v>8</v>
          </cell>
          <cell r="F10">
            <v>4</v>
          </cell>
          <cell r="G10">
            <v>4</v>
          </cell>
        </row>
        <row r="11">
          <cell r="C11">
            <v>7</v>
          </cell>
          <cell r="D11">
            <v>32</v>
          </cell>
          <cell r="E11">
            <v>16</v>
          </cell>
          <cell r="F11">
            <v>8</v>
          </cell>
          <cell r="G11">
            <v>8</v>
          </cell>
        </row>
        <row r="14">
          <cell r="D14" t="str">
            <v>蓝</v>
          </cell>
          <cell r="E14" t="str">
            <v>紫</v>
          </cell>
          <cell r="F14" t="str">
            <v>橙</v>
          </cell>
          <cell r="G14" t="str">
            <v>橙+</v>
          </cell>
        </row>
        <row r="15">
          <cell r="C15">
            <v>0</v>
          </cell>
          <cell r="D15">
            <v>0.05</v>
          </cell>
          <cell r="E15">
            <v>0.1</v>
          </cell>
          <cell r="F15">
            <v>0.15</v>
          </cell>
          <cell r="G15">
            <v>0.2</v>
          </cell>
        </row>
        <row r="16">
          <cell r="C16">
            <v>1</v>
          </cell>
          <cell r="D16">
            <v>9.2499999999999999E-2</v>
          </cell>
          <cell r="E16">
            <v>0.17249999999999999</v>
          </cell>
          <cell r="F16">
            <v>0.23499999999999999</v>
          </cell>
          <cell r="G16">
            <v>0.30249999999999999</v>
          </cell>
        </row>
        <row r="17">
          <cell r="C17">
            <v>2</v>
          </cell>
          <cell r="D17">
            <v>0.13500000000000001</v>
          </cell>
          <cell r="E17">
            <v>0.245</v>
          </cell>
          <cell r="F17">
            <v>0.32</v>
          </cell>
          <cell r="G17">
            <v>0.40500000000000003</v>
          </cell>
        </row>
        <row r="18">
          <cell r="C18">
            <v>3</v>
          </cell>
          <cell r="D18">
            <v>0.17749999999999999</v>
          </cell>
          <cell r="E18">
            <v>0.3175</v>
          </cell>
          <cell r="F18">
            <v>0.40500000000000003</v>
          </cell>
          <cell r="G18">
            <v>0.50749999999999995</v>
          </cell>
        </row>
        <row r="19">
          <cell r="C19">
            <v>4</v>
          </cell>
          <cell r="D19">
            <v>0.22</v>
          </cell>
          <cell r="E19">
            <v>0.39</v>
          </cell>
          <cell r="F19">
            <v>0.49</v>
          </cell>
          <cell r="G19">
            <v>0.61</v>
          </cell>
        </row>
        <row r="20">
          <cell r="C20">
            <v>5</v>
          </cell>
          <cell r="D20">
            <v>0.26250000000000001</v>
          </cell>
          <cell r="E20">
            <v>0.46250000000000002</v>
          </cell>
          <cell r="F20">
            <v>0.57499999999999996</v>
          </cell>
          <cell r="G20">
            <v>0.71250000000000002</v>
          </cell>
        </row>
        <row r="21">
          <cell r="C21">
            <v>6</v>
          </cell>
          <cell r="D21">
            <v>0.30499999999999999</v>
          </cell>
          <cell r="E21">
            <v>0.53500000000000003</v>
          </cell>
          <cell r="F21">
            <v>0.66</v>
          </cell>
          <cell r="G21">
            <v>0.81499999999999995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G363"/>
  <sheetViews>
    <sheetView workbookViewId="0">
      <selection activeCell="S39" sqref="S39"/>
    </sheetView>
  </sheetViews>
  <sheetFormatPr defaultColWidth="6.625" defaultRowHeight="11.25" x14ac:dyDescent="0.15"/>
  <cols>
    <col min="1" max="12" width="6.625" style="4"/>
    <col min="13" max="13" width="6.625" style="11"/>
    <col min="14" max="35" width="6.625" style="4"/>
    <col min="36" max="36" width="6.625" style="11"/>
    <col min="37" max="43" width="6.625" style="4"/>
    <col min="44" max="44" width="6.625" style="5"/>
    <col min="45" max="50" width="6.625" style="4"/>
    <col min="51" max="51" width="6.625" style="5"/>
    <col min="52" max="58" width="6.625" style="4"/>
    <col min="59" max="59" width="6.625" style="11"/>
    <col min="60" max="16384" width="6.625" style="4"/>
  </cols>
  <sheetData>
    <row r="1" spans="2:57" x14ac:dyDescent="0.15">
      <c r="F1" s="153" t="s">
        <v>478</v>
      </c>
      <c r="G1" s="153" t="s">
        <v>160</v>
      </c>
      <c r="H1" s="85"/>
      <c r="I1" s="153" t="s">
        <v>155</v>
      </c>
      <c r="J1" s="153" t="s">
        <v>160</v>
      </c>
      <c r="K1" s="153" t="s">
        <v>161</v>
      </c>
      <c r="P1" s="4">
        <v>1</v>
      </c>
      <c r="Q1" s="4">
        <v>0.85</v>
      </c>
      <c r="R1" s="4">
        <v>0.7</v>
      </c>
      <c r="S1" s="4">
        <v>0.5</v>
      </c>
      <c r="T1" s="4">
        <v>0.27500000000000002</v>
      </c>
      <c r="AM1" s="4">
        <v>1</v>
      </c>
      <c r="AN1" s="4">
        <v>0.8</v>
      </c>
      <c r="AO1" s="4">
        <v>0.6</v>
      </c>
      <c r="AP1" s="4">
        <v>0.4</v>
      </c>
      <c r="AQ1" s="4">
        <v>0.2</v>
      </c>
    </row>
    <row r="2" spans="2:57" x14ac:dyDescent="0.15">
      <c r="F2" s="153"/>
      <c r="G2" s="153"/>
      <c r="H2" s="85"/>
      <c r="I2" s="153"/>
      <c r="J2" s="153"/>
      <c r="K2" s="153"/>
      <c r="P2" s="152" t="s">
        <v>479</v>
      </c>
      <c r="Q2" s="152"/>
      <c r="R2" s="152"/>
      <c r="S2" s="152"/>
      <c r="T2" s="152"/>
      <c r="W2" s="152" t="s">
        <v>480</v>
      </c>
      <c r="X2" s="152"/>
      <c r="Y2" s="152"/>
      <c r="Z2" s="152"/>
      <c r="AA2" s="152"/>
      <c r="AD2" s="152" t="s">
        <v>481</v>
      </c>
      <c r="AE2" s="152"/>
      <c r="AF2" s="152"/>
      <c r="AG2" s="152"/>
      <c r="AH2" s="152"/>
      <c r="AM2" s="152" t="s">
        <v>156</v>
      </c>
      <c r="AN2" s="152"/>
      <c r="AO2" s="152"/>
      <c r="AP2" s="152"/>
      <c r="AQ2" s="152"/>
      <c r="AT2" s="152" t="s">
        <v>157</v>
      </c>
      <c r="AU2" s="152"/>
      <c r="AV2" s="152"/>
      <c r="AW2" s="152"/>
      <c r="AX2" s="152"/>
      <c r="BA2" s="152" t="s">
        <v>162</v>
      </c>
      <c r="BB2" s="152"/>
      <c r="BC2" s="152"/>
      <c r="BD2" s="152"/>
      <c r="BE2" s="152"/>
    </row>
    <row r="3" spans="2:57" x14ac:dyDescent="0.15">
      <c r="F3" s="4">
        <f>[1]节奏总纲!F3</f>
        <v>1</v>
      </c>
      <c r="G3" s="4">
        <f>[1]节奏总纲!G3</f>
        <v>7.1773462536293131E-2</v>
      </c>
      <c r="I3" s="4">
        <f>[1]节奏总纲!I3</f>
        <v>1</v>
      </c>
      <c r="J3" s="4">
        <f>[1]节奏总纲!J3</f>
        <v>7.4349177498517554E-3</v>
      </c>
      <c r="K3" s="4">
        <f>[1]节奏总纲!K3</f>
        <v>0.1</v>
      </c>
      <c r="N3" s="4" t="str">
        <f>[1]节奏总纲!N3</f>
        <v>对应玩家等级</v>
      </c>
      <c r="O3" s="4" t="s">
        <v>478</v>
      </c>
      <c r="P3" s="4" t="s">
        <v>75</v>
      </c>
      <c r="Q3" s="4" t="s">
        <v>76</v>
      </c>
      <c r="R3" s="4" t="s">
        <v>77</v>
      </c>
      <c r="S3" s="4" t="s">
        <v>78</v>
      </c>
      <c r="T3" s="4" t="s">
        <v>79</v>
      </c>
      <c r="V3" s="4" t="s">
        <v>478</v>
      </c>
      <c r="W3" s="4" t="s">
        <v>75</v>
      </c>
      <c r="X3" s="4" t="s">
        <v>76</v>
      </c>
      <c r="Y3" s="4" t="s">
        <v>77</v>
      </c>
      <c r="Z3" s="4" t="s">
        <v>78</v>
      </c>
      <c r="AA3" s="4" t="s">
        <v>79</v>
      </c>
      <c r="AC3" s="4" t="s">
        <v>163</v>
      </c>
      <c r="AD3" s="4" t="s">
        <v>75</v>
      </c>
      <c r="AE3" s="4" t="s">
        <v>76</v>
      </c>
      <c r="AF3" s="4" t="s">
        <v>77</v>
      </c>
      <c r="AG3" s="4" t="s">
        <v>78</v>
      </c>
      <c r="AH3" s="4" t="s">
        <v>79</v>
      </c>
      <c r="AL3" s="4" t="s">
        <v>155</v>
      </c>
      <c r="AM3" s="4" t="s">
        <v>75</v>
      </c>
      <c r="AN3" s="4" t="s">
        <v>76</v>
      </c>
      <c r="AO3" s="4" t="s">
        <v>77</v>
      </c>
      <c r="AP3" s="4" t="s">
        <v>78</v>
      </c>
      <c r="AQ3" s="4" t="s">
        <v>79</v>
      </c>
      <c r="AS3" s="4" t="s">
        <v>155</v>
      </c>
      <c r="AT3" s="4" t="s">
        <v>75</v>
      </c>
      <c r="AU3" s="4" t="s">
        <v>76</v>
      </c>
      <c r="AV3" s="4" t="s">
        <v>77</v>
      </c>
      <c r="AW3" s="4" t="s">
        <v>78</v>
      </c>
      <c r="AX3" s="4" t="s">
        <v>79</v>
      </c>
      <c r="AZ3" s="4" t="s">
        <v>163</v>
      </c>
      <c r="BA3" s="4" t="s">
        <v>75</v>
      </c>
      <c r="BB3" s="4" t="s">
        <v>76</v>
      </c>
      <c r="BC3" s="4" t="s">
        <v>77</v>
      </c>
      <c r="BD3" s="4" t="s">
        <v>78</v>
      </c>
      <c r="BE3" s="4" t="s">
        <v>79</v>
      </c>
    </row>
    <row r="4" spans="2:57" x14ac:dyDescent="0.15">
      <c r="F4" s="4">
        <f>[1]节奏总纲!F4</f>
        <v>2</v>
      </c>
      <c r="G4" s="4">
        <f>[1]节奏总纲!G4</f>
        <v>0.1486983549970351</v>
      </c>
      <c r="I4" s="4">
        <f>[1]节奏总纲!I4</f>
        <v>2</v>
      </c>
      <c r="J4" s="4">
        <f>[1]节奏总纲!J4</f>
        <v>2.3963093307967063E-2</v>
      </c>
      <c r="K4" s="4">
        <f>[1]节奏总纲!K4</f>
        <v>0.15</v>
      </c>
      <c r="N4" s="4">
        <f>[1]节奏总纲!N4</f>
        <v>2</v>
      </c>
      <c r="O4" s="4">
        <f>[1]节奏总纲!O4</f>
        <v>1</v>
      </c>
      <c r="P4" s="4">
        <f>[1]节奏总纲!P4</f>
        <v>7.1773462536293131E-2</v>
      </c>
      <c r="Q4" s="4">
        <f>[1]节奏总纲!Q4</f>
        <v>5.9787294292732177E-2</v>
      </c>
      <c r="R4" s="4">
        <f>[1]节奏总纲!R4</f>
        <v>4.677476553490223E-2</v>
      </c>
      <c r="S4" s="4">
        <f>[1]节奏总纲!S4</f>
        <v>3.2585151991477081E-2</v>
      </c>
      <c r="T4" s="4">
        <f>[1]节奏总纲!T4</f>
        <v>1.7039020006115988E-2</v>
      </c>
      <c r="V4" s="4">
        <f>[1]节奏总纲!V4</f>
        <v>1</v>
      </c>
      <c r="W4" s="4">
        <f>[1]节奏总纲!W4</f>
        <v>7.1773462536293131E-2</v>
      </c>
      <c r="X4" s="4">
        <f>[1]节奏总纲!X4</f>
        <v>5.9787294292732177E-2</v>
      </c>
      <c r="Y4" s="4">
        <f>[1]节奏总纲!Y4</f>
        <v>4.677476553490223E-2</v>
      </c>
      <c r="Z4" s="4">
        <f>[1]节奏总纲!Z4</f>
        <v>3.2585151991477081E-2</v>
      </c>
      <c r="AA4" s="4">
        <f>[1]节奏总纲!AA4</f>
        <v>1.7039020006115988E-2</v>
      </c>
      <c r="AC4" s="4">
        <f>[1]节奏总纲!AC4</f>
        <v>1</v>
      </c>
      <c r="AD4" s="4">
        <f>[1]节奏总纲!AD4</f>
        <v>10</v>
      </c>
      <c r="AE4" s="4">
        <f>[1]节奏总纲!AE4</f>
        <v>11.148446722089302</v>
      </c>
      <c r="AF4" s="4">
        <f>[1]节奏总纲!AF4</f>
        <v>12.761737853656415</v>
      </c>
      <c r="AG4" s="4">
        <f>[1]节奏总纲!AG4</f>
        <v>15.452231935206081</v>
      </c>
      <c r="AH4" s="4">
        <f>[1]节奏总纲!AH4</f>
        <v>21.291911942729964</v>
      </c>
      <c r="AL4" s="4">
        <f>[1]节奏总纲!AL4</f>
        <v>1</v>
      </c>
      <c r="AM4" s="4">
        <f>[1]节奏总纲!AM4</f>
        <v>7.4349177498517554E-3</v>
      </c>
      <c r="AN4" s="4">
        <f>[1]节奏总纲!AN4</f>
        <v>5.947934199881405E-3</v>
      </c>
      <c r="AO4" s="4">
        <f>[1]节奏总纲!AO4</f>
        <v>4.4609506499110529E-3</v>
      </c>
      <c r="AP4" s="4">
        <f>[1]节奏总纲!AP4</f>
        <v>2.9739670999407025E-3</v>
      </c>
      <c r="AQ4" s="4">
        <f>[1]节奏总纲!AQ4</f>
        <v>1.4869835499703513E-3</v>
      </c>
      <c r="AS4" s="4">
        <f>[1]节奏总纲!AS4</f>
        <v>1</v>
      </c>
      <c r="AT4" s="4">
        <f>[1]节奏总纲!AT4</f>
        <v>7.4349177498517554E-3</v>
      </c>
      <c r="AU4" s="4">
        <f>[1]节奏总纲!AU4</f>
        <v>5.947934199881405E-3</v>
      </c>
      <c r="AV4" s="4">
        <f>[1]节奏总纲!AV4</f>
        <v>4.4609506499110529E-3</v>
      </c>
      <c r="AW4" s="4">
        <f>[1]节奏总纲!AW4</f>
        <v>2.9739670999407025E-3</v>
      </c>
      <c r="AX4" s="4">
        <f>[1]节奏总纲!AX4</f>
        <v>1.4869835499703513E-3</v>
      </c>
      <c r="AY4" s="4"/>
      <c r="AZ4" s="4">
        <v>1</v>
      </c>
      <c r="BA4" s="4">
        <f>[1]节奏总纲!BA4</f>
        <v>11.296493250964016</v>
      </c>
      <c r="BB4" s="4">
        <f>[1]节奏总纲!BB4</f>
        <v>12.361596792946616</v>
      </c>
      <c r="BC4" s="4">
        <f>[1]节奏总纲!BC4</f>
        <v>13.798091195443488</v>
      </c>
      <c r="BD4" s="4">
        <f>[1]节奏总纲!BD4</f>
        <v>15.911635365458322</v>
      </c>
      <c r="BE4" s="4">
        <f>[1]节奏总纲!BE4</f>
        <v>19.707330185578734</v>
      </c>
    </row>
    <row r="5" spans="2:57" x14ac:dyDescent="0.15">
      <c r="F5" s="4">
        <f>[1]节奏总纲!F5</f>
        <v>3</v>
      </c>
      <c r="G5" s="4">
        <f>[1]节奏总纲!G5</f>
        <v>0.23114441334491631</v>
      </c>
      <c r="I5" s="4">
        <f>[1]节奏总纲!I5</f>
        <v>3</v>
      </c>
      <c r="J5" s="4">
        <f>[1]节奏总纲!J5</f>
        <v>5.1571656651039799E-2</v>
      </c>
      <c r="K5" s="4">
        <f>[1]节奏总纲!K5</f>
        <v>0.2</v>
      </c>
      <c r="N5" s="4">
        <f>[1]节奏总纲!N5</f>
        <v>4</v>
      </c>
      <c r="O5" s="4">
        <f>[1]节奏总纲!O5</f>
        <v>2</v>
      </c>
      <c r="P5" s="4">
        <f>[1]节奏总纲!P5</f>
        <v>0.1486983549970351</v>
      </c>
      <c r="Q5" s="4">
        <f>[1]节奏总纲!Q5</f>
        <v>0.12505531655250651</v>
      </c>
      <c r="R5" s="4">
        <f>[1]节奏总纲!R5</f>
        <v>9.883979656652922E-2</v>
      </c>
      <c r="S5" s="4">
        <f>[1]节奏总纲!S5</f>
        <v>6.9828747506607683E-2</v>
      </c>
      <c r="T5" s="4">
        <f>[1]节奏总纲!T5</f>
        <v>3.7085369736260552E-2</v>
      </c>
      <c r="V5" s="4">
        <f>[1]节奏总纲!V5</f>
        <v>2</v>
      </c>
      <c r="W5" s="4">
        <f>[1]节奏总纲!W5</f>
        <v>7.6924892460741967E-2</v>
      </c>
      <c r="X5" s="4">
        <f>[1]节奏总纲!X5</f>
        <v>6.5268022259774336E-2</v>
      </c>
      <c r="Y5" s="4">
        <f>[1]节奏总纲!Y5</f>
        <v>5.206503103162699E-2</v>
      </c>
      <c r="Z5" s="4">
        <f>[1]节奏总纲!Z5</f>
        <v>3.7243595515130602E-2</v>
      </c>
      <c r="AA5" s="4">
        <f>[1]节奏总纲!AA5</f>
        <v>2.0046349730144564E-2</v>
      </c>
      <c r="AC5" s="4">
        <f>[1]节奏总纲!AC5</f>
        <v>2</v>
      </c>
      <c r="AD5" s="4">
        <f>[1]节奏总纲!AD5</f>
        <v>15.845161563010114</v>
      </c>
      <c r="AE5" s="4">
        <f>[1]节奏总纲!AE5</f>
        <v>17.271997130667014</v>
      </c>
      <c r="AF5" s="4">
        <f>[1]节奏总纲!AF5</f>
        <v>19.263096801323076</v>
      </c>
      <c r="AG5" s="4">
        <f>[1]节奏总纲!AG5</f>
        <v>22.536681597650272</v>
      </c>
      <c r="AH5" s="4">
        <f>[1]节奏总纲!AH5</f>
        <v>29.386000042029625</v>
      </c>
      <c r="AL5" s="4">
        <f>[1]节奏总纲!AL5</f>
        <v>2</v>
      </c>
      <c r="AM5" s="4">
        <f>[1]节奏总纲!AM5</f>
        <v>2.3963093307967063E-2</v>
      </c>
      <c r="AN5" s="4">
        <f>[1]节奏总纲!AN5</f>
        <v>1.9170474646373652E-2</v>
      </c>
      <c r="AO5" s="4">
        <f>[1]节奏总纲!AO5</f>
        <v>1.4377855984780237E-2</v>
      </c>
      <c r="AP5" s="4">
        <f>[1]节奏总纲!AP5</f>
        <v>9.5852373231868262E-3</v>
      </c>
      <c r="AQ5" s="4">
        <f>[1]节奏总纲!AQ5</f>
        <v>4.7926186615934131E-3</v>
      </c>
      <c r="AS5" s="4">
        <f>[1]节奏总纲!AS5</f>
        <v>2</v>
      </c>
      <c r="AT5" s="4">
        <f>[1]节奏总纲!AT5</f>
        <v>1.6528175558115307E-2</v>
      </c>
      <c r="AU5" s="4">
        <f>[1]节奏总纲!AU5</f>
        <v>1.3222540446492247E-2</v>
      </c>
      <c r="AV5" s="4">
        <f>[1]节奏总纲!AV5</f>
        <v>9.9169053348691846E-3</v>
      </c>
      <c r="AW5" s="4">
        <f>[1]节奏总纲!AW5</f>
        <v>6.6112702232461237E-3</v>
      </c>
      <c r="AX5" s="4">
        <f>[1]节奏总纲!AX5</f>
        <v>3.3056351116230618E-3</v>
      </c>
      <c r="AY5" s="4"/>
      <c r="AZ5" s="4">
        <v>2</v>
      </c>
      <c r="BA5" s="4">
        <f>[1]节奏总纲!BA5</f>
        <v>14.729965238833779</v>
      </c>
      <c r="BB5" s="4">
        <f>[1]节奏总纲!BB5</f>
        <v>15.911635365458322</v>
      </c>
      <c r="BC5" s="4">
        <f>[1]节奏总纲!BC5</f>
        <v>17.448850811924295</v>
      </c>
      <c r="BD5" s="4">
        <f>[1]节奏总纲!BD5</f>
        <v>19.707330185578734</v>
      </c>
      <c r="BE5" s="4">
        <f>[1]节奏总纲!BE5</f>
        <v>23.710496742673982</v>
      </c>
    </row>
    <row r="6" spans="2:57" x14ac:dyDescent="0.15">
      <c r="B6" s="152" t="s">
        <v>482</v>
      </c>
      <c r="C6" s="152"/>
      <c r="D6" s="152"/>
      <c r="F6" s="4">
        <f>[1]节奏总纲!F6</f>
        <v>4</v>
      </c>
      <c r="G6" s="4">
        <f>[1]节奏总纲!G6</f>
        <v>0.3195079107728942</v>
      </c>
      <c r="I6" s="4">
        <f>[1]节奏总纲!I6</f>
        <v>4</v>
      </c>
      <c r="J6" s="4">
        <f>[1]节奏总纲!J6</f>
        <v>9.2637640824031031E-2</v>
      </c>
      <c r="K6" s="4">
        <f>[1]节奏总纲!K6</f>
        <v>0.25</v>
      </c>
      <c r="N6" s="4">
        <f>[1]节奏总纲!N6</f>
        <v>6</v>
      </c>
      <c r="O6" s="4">
        <f>[1]节奏总纲!O6</f>
        <v>3</v>
      </c>
      <c r="P6" s="4">
        <f>[1]节奏总纲!P6</f>
        <v>0.23114441334491631</v>
      </c>
      <c r="Q6" s="4">
        <f>[1]节奏总纲!Q6</f>
        <v>0.19582554698581309</v>
      </c>
      <c r="R6" s="4">
        <f>[1]节奏总纲!R6</f>
        <v>0.15616116565582547</v>
      </c>
      <c r="S6" s="4">
        <f>[1]节奏总纲!S6</f>
        <v>0.11120357726023924</v>
      </c>
      <c r="T6" s="4">
        <f>[1]节奏总纲!T6</f>
        <v>5.9380999788309005E-2</v>
      </c>
      <c r="V6" s="4">
        <f>[1]节奏总纲!V6</f>
        <v>3</v>
      </c>
      <c r="W6" s="4">
        <f>[1]节奏总纲!W6</f>
        <v>8.2446058347881213E-2</v>
      </c>
      <c r="X6" s="4">
        <f>[1]节奏总纲!X6</f>
        <v>7.0770230433306575E-2</v>
      </c>
      <c r="Y6" s="4">
        <f>[1]节奏总纲!Y6</f>
        <v>5.7321369089296248E-2</v>
      </c>
      <c r="Z6" s="4">
        <f>[1]节奏总纲!Z6</f>
        <v>4.1374829753631562E-2</v>
      </c>
      <c r="AA6" s="4">
        <f>[1]节奏总纲!AA6</f>
        <v>2.2295630052048453E-2</v>
      </c>
      <c r="AC6" s="4">
        <f>[1]节奏总纲!AC6</f>
        <v>3</v>
      </c>
      <c r="AD6" s="4">
        <f>[1]节奏总纲!AD6</f>
        <v>20</v>
      </c>
      <c r="AE6" s="4">
        <f>[1]节奏总纲!AE6</f>
        <v>21.543844702365945</v>
      </c>
      <c r="AF6" s="4">
        <f>[1]节奏总纲!AF6</f>
        <v>23.734615677065324</v>
      </c>
      <c r="AG6" s="4">
        <f>[1]节奏总纲!AG6</f>
        <v>27.324610510337703</v>
      </c>
      <c r="AH6" s="4">
        <f>[1]节奏总纲!AH6</f>
        <v>34.517938607173015</v>
      </c>
      <c r="AL6" s="4">
        <f>[1]节奏总纲!AL6</f>
        <v>3</v>
      </c>
      <c r="AM6" s="4">
        <f>[1]节奏总纲!AM6</f>
        <v>5.1571656651039799E-2</v>
      </c>
      <c r="AN6" s="4">
        <f>[1]节奏总纲!AN6</f>
        <v>4.1257325320831845E-2</v>
      </c>
      <c r="AO6" s="4">
        <f>[1]节奏总纲!AO6</f>
        <v>3.0942993990623877E-2</v>
      </c>
      <c r="AP6" s="4">
        <f>[1]节奏总纲!AP6</f>
        <v>2.0628662660415922E-2</v>
      </c>
      <c r="AQ6" s="4">
        <f>[1]节奏总纲!AQ6</f>
        <v>1.0314331330207961E-2</v>
      </c>
      <c r="AS6" s="4">
        <f>[1]节奏总纲!AS6</f>
        <v>3</v>
      </c>
      <c r="AT6" s="4">
        <f>[1]节奏总纲!AT6</f>
        <v>2.7608563343072736E-2</v>
      </c>
      <c r="AU6" s="4">
        <f>[1]节奏总纲!AU6</f>
        <v>2.2086850674458192E-2</v>
      </c>
      <c r="AV6" s="4">
        <f>[1]节奏总纲!AV6</f>
        <v>1.6565138005843638E-2</v>
      </c>
      <c r="AW6" s="4">
        <f>[1]节奏总纲!AW6</f>
        <v>1.1043425337229096E-2</v>
      </c>
      <c r="AX6" s="4">
        <f>[1]节奏总纲!AX6</f>
        <v>5.5217126686145481E-3</v>
      </c>
      <c r="AY6" s="4"/>
      <c r="AZ6" s="4">
        <v>3</v>
      </c>
      <c r="BA6" s="4">
        <f>[1]节奏总纲!BA6</f>
        <v>16.888397947066121</v>
      </c>
      <c r="BB6" s="4">
        <f>[1]节奏总纲!BB6</f>
        <v>18.108391417375849</v>
      </c>
      <c r="BC6" s="4">
        <f>[1]节奏总纲!BC6</f>
        <v>19.707330185578734</v>
      </c>
      <c r="BD6" s="4">
        <f>[1]节奏总纲!BD6</f>
        <v>22.041972908628715</v>
      </c>
      <c r="BE6" s="4">
        <f>[1]节奏总纲!BE6</f>
        <v>26.127796402772656</v>
      </c>
    </row>
    <row r="7" spans="2:57" x14ac:dyDescent="0.15">
      <c r="B7" s="4" t="s">
        <v>478</v>
      </c>
      <c r="C7" s="4" t="s">
        <v>91</v>
      </c>
      <c r="D7" s="4" t="s">
        <v>158</v>
      </c>
      <c r="F7" s="4">
        <f>[1]节奏总纲!F7</f>
        <v>5</v>
      </c>
      <c r="G7" s="4">
        <f>[1]节奏总纲!G7</f>
        <v>0.41421356237309515</v>
      </c>
      <c r="I7" s="4">
        <f>[1]节奏总纲!I7</f>
        <v>5</v>
      </c>
      <c r="J7" s="4">
        <f>[1]节奏总纲!J7</f>
        <v>0.15</v>
      </c>
      <c r="K7" s="4">
        <f>[1]节奏总纲!K7</f>
        <v>0.3</v>
      </c>
      <c r="N7" s="4">
        <f>[1]节奏总纲!N7</f>
        <v>8</v>
      </c>
      <c r="O7" s="4">
        <f>[1]节奏总纲!O7</f>
        <v>4</v>
      </c>
      <c r="P7" s="4">
        <f>[1]节奏总纲!P7</f>
        <v>0.3195079107728942</v>
      </c>
      <c r="Q7" s="4">
        <f>[1]节奏总纲!Q7</f>
        <v>0.2719651336498875</v>
      </c>
      <c r="R7" s="4">
        <f>[1]节奏总纲!R7</f>
        <v>0.21816000147573214</v>
      </c>
      <c r="S7" s="4">
        <f>[1]节奏总纲!S7</f>
        <v>0.15607961441255883</v>
      </c>
      <c r="T7" s="4">
        <f>[1]节奏总纲!T7</f>
        <v>8.4062531324348461E-2</v>
      </c>
      <c r="V7" s="4">
        <f>[1]节奏总纲!V7</f>
        <v>4</v>
      </c>
      <c r="W7" s="4">
        <f>[1]节奏总纲!W7</f>
        <v>8.8363497427977888E-2</v>
      </c>
      <c r="X7" s="4">
        <f>[1]节奏总纲!X7</f>
        <v>7.6139586664074416E-2</v>
      </c>
      <c r="Y7" s="4">
        <f>[1]节奏总纲!Y7</f>
        <v>6.1998835819906672E-2</v>
      </c>
      <c r="Z7" s="4">
        <f>[1]节奏总纲!Z7</f>
        <v>4.4876037152319581E-2</v>
      </c>
      <c r="AA7" s="4">
        <f>[1]节奏总纲!AA7</f>
        <v>2.4681531536039455E-2</v>
      </c>
      <c r="AC7" s="4">
        <f>[1]节奏总纲!AC7</f>
        <v>4</v>
      </c>
      <c r="AD7" s="4">
        <f>[1]节奏总纲!AD7</f>
        <v>23.213386604241784</v>
      </c>
      <c r="AE7" s="4">
        <f>[1]节奏总纲!AE7</f>
        <v>24.836966034810484</v>
      </c>
      <c r="AF7" s="4">
        <f>[1]节奏总纲!AF7</f>
        <v>27.155717181399513</v>
      </c>
      <c r="AG7" s="4">
        <f>[1]节奏总纲!AG7</f>
        <v>30.831257561377125</v>
      </c>
      <c r="AH7" s="4">
        <f>[1]节奏总纲!AH7</f>
        <v>38.431365705145346</v>
      </c>
      <c r="AL7" s="4">
        <f>[1]节奏总纲!AL7</f>
        <v>4</v>
      </c>
      <c r="AM7" s="4">
        <f>[1]节奏总纲!AM7</f>
        <v>9.2637640824031031E-2</v>
      </c>
      <c r="AN7" s="4">
        <f>[1]节奏总纲!AN7</f>
        <v>7.4110112659224833E-2</v>
      </c>
      <c r="AO7" s="4">
        <f>[1]节奏总纲!AO7</f>
        <v>5.5582584494418615E-2</v>
      </c>
      <c r="AP7" s="4">
        <f>[1]节奏总纲!AP7</f>
        <v>3.7055056329612417E-2</v>
      </c>
      <c r="AQ7" s="4">
        <f>[1]节奏总纲!AQ7</f>
        <v>1.8527528164806208E-2</v>
      </c>
      <c r="AS7" s="4">
        <f>[1]节奏总纲!AS7</f>
        <v>4</v>
      </c>
      <c r="AT7" s="4">
        <f>[1]节奏总纲!AT7</f>
        <v>4.1065984172991232E-2</v>
      </c>
      <c r="AU7" s="4">
        <f>[1]节奏总纲!AU7</f>
        <v>3.2852787338392989E-2</v>
      </c>
      <c r="AV7" s="4">
        <f>[1]节奏总纲!AV7</f>
        <v>2.4639590503794738E-2</v>
      </c>
      <c r="AW7" s="4">
        <f>[1]节奏总纲!AW7</f>
        <v>1.6426393669196494E-2</v>
      </c>
      <c r="AX7" s="4">
        <f>[1]节奏总纲!AX7</f>
        <v>8.2131968345982471E-3</v>
      </c>
      <c r="AY7" s="4"/>
      <c r="AZ7" s="4">
        <v>4</v>
      </c>
      <c r="BA7" s="4">
        <f>[1]节奏总纲!BA7</f>
        <v>18.453550676044042</v>
      </c>
      <c r="BB7" s="4">
        <f>[1]节奏总纲!BB7</f>
        <v>19.707330185578734</v>
      </c>
      <c r="BC7" s="4">
        <f>[1]节奏总纲!BC7</f>
        <v>21.34613466141565</v>
      </c>
      <c r="BD7" s="4">
        <f>[1]节奏总纲!BD7</f>
        <v>23.710496742673982</v>
      </c>
      <c r="BE7" s="4">
        <f>[1]节奏总纲!BE7</f>
        <v>27.863030247590562</v>
      </c>
    </row>
    <row r="8" spans="2:57" x14ac:dyDescent="0.15">
      <c r="B8" s="4">
        <f>[1]节奏总纲!B8</f>
        <v>10</v>
      </c>
      <c r="C8" s="4">
        <f>[1]节奏总纲!C8</f>
        <v>1</v>
      </c>
      <c r="D8" s="4">
        <f>[1]节奏总纲!D8</f>
        <v>1</v>
      </c>
      <c r="F8" s="4">
        <f>[1]节奏总纲!F8</f>
        <v>6</v>
      </c>
      <c r="G8" s="4">
        <f>[1]节奏总纲!G8</f>
        <v>0.51571656651039799</v>
      </c>
      <c r="I8" s="4">
        <f>[1]节奏总纲!I8</f>
        <v>6</v>
      </c>
      <c r="J8" s="4">
        <f>[1]节奏总纲!J8</f>
        <v>0.22055744069899194</v>
      </c>
      <c r="K8" s="4">
        <f>[1]节奏总纲!K8</f>
        <v>0.34</v>
      </c>
      <c r="N8" s="4">
        <f>[1]节奏总纲!N8</f>
        <v>10</v>
      </c>
      <c r="O8" s="4">
        <f>[1]节奏总纲!O8</f>
        <v>5</v>
      </c>
      <c r="P8" s="4">
        <f>[1]节奏总纲!P8</f>
        <v>0.41421356237309515</v>
      </c>
      <c r="Q8" s="4">
        <f>[1]节奏总纲!Q8</f>
        <v>0.35241289886702937</v>
      </c>
      <c r="R8" s="4">
        <f>[1]节奏总纲!R8</f>
        <v>0.28315639123824782</v>
      </c>
      <c r="S8" s="4">
        <f>[1]节奏总纲!S8</f>
        <v>0.20296464556281663</v>
      </c>
      <c r="T8" s="4">
        <f>[1]节奏总纲!T8</f>
        <v>0.10951806589144637</v>
      </c>
      <c r="V8" s="4">
        <f>[1]节奏总纲!V8</f>
        <v>5</v>
      </c>
      <c r="W8" s="4">
        <f>[1]节奏总纲!W8</f>
        <v>9.4705651600200946E-2</v>
      </c>
      <c r="X8" s="4">
        <f>[1]节奏总纲!X8</f>
        <v>8.0447765217141864E-2</v>
      </c>
      <c r="Y8" s="4">
        <f>[1]节奏总纲!Y8</f>
        <v>6.4996389762515677E-2</v>
      </c>
      <c r="Z8" s="4">
        <f>[1]节奏总纲!Z8</f>
        <v>4.68850311502578E-2</v>
      </c>
      <c r="AA8" s="4">
        <f>[1]节奏总纲!AA8</f>
        <v>2.5455534567097912E-2</v>
      </c>
      <c r="AC8" s="4">
        <f>[1]节奏总纲!AC8</f>
        <v>5</v>
      </c>
      <c r="AD8" s="4">
        <f>[1]节奏总纲!AD8</f>
        <v>25.845161563010112</v>
      </c>
      <c r="AE8" s="4">
        <f>[1]节奏总纲!AE8</f>
        <v>27.525245270311611</v>
      </c>
      <c r="AF8" s="4">
        <f>[1]节奏总纲!AF8</f>
        <v>29.892344464157688</v>
      </c>
      <c r="AG8" s="4">
        <f>[1]节奏总纲!AG8</f>
        <v>33.672145166817529</v>
      </c>
      <c r="AH8" s="4">
        <f>[1]节奏总纲!AH8</f>
        <v>41.359260538726978</v>
      </c>
      <c r="AL8" s="4">
        <f>[1]节奏总纲!AL8</f>
        <v>5</v>
      </c>
      <c r="AM8" s="4">
        <f>[1]节奏总纲!AM8</f>
        <v>0.15</v>
      </c>
      <c r="AN8" s="4">
        <f>[1]节奏总纲!AN8</f>
        <v>0.12</v>
      </c>
      <c r="AO8" s="4">
        <f>[1]节奏总纲!AO8</f>
        <v>0.09</v>
      </c>
      <c r="AP8" s="4">
        <f>[1]节奏总纲!AP8</f>
        <v>0.06</v>
      </c>
      <c r="AQ8" s="4">
        <f>[1]节奏总纲!AQ8</f>
        <v>0.03</v>
      </c>
      <c r="AS8" s="4">
        <f>[1]节奏总纲!AS8</f>
        <v>5</v>
      </c>
      <c r="AT8" s="4">
        <f>[1]节奏总纲!AT8</f>
        <v>5.7362359175968963E-2</v>
      </c>
      <c r="AU8" s="4">
        <f>[1]节奏总纲!AU8</f>
        <v>4.5889887340775162E-2</v>
      </c>
      <c r="AV8" s="4">
        <f>[1]节奏总纲!AV8</f>
        <v>3.4417415505581382E-2</v>
      </c>
      <c r="AW8" s="4">
        <f>[1]节奏总纲!AW8</f>
        <v>2.2944943670387581E-2</v>
      </c>
      <c r="AX8" s="4">
        <f>[1]节奏总纲!AX8</f>
        <v>1.1472471835193791E-2</v>
      </c>
      <c r="AY8" s="4"/>
      <c r="AZ8" s="4">
        <v>5</v>
      </c>
      <c r="BA8" s="4">
        <f>[1]节奏总纲!BA8</f>
        <v>19.707330185578734</v>
      </c>
      <c r="BB8" s="4">
        <f>[1]节奏总纲!BB8</f>
        <v>20.993539484876777</v>
      </c>
      <c r="BC8" s="4">
        <f>[1]节奏总纲!BC8</f>
        <v>22.639743033177162</v>
      </c>
      <c r="BD8" s="4">
        <f>[1]节奏总纲!BD8</f>
        <v>25.044229735272328</v>
      </c>
      <c r="BE8" s="4">
        <f>[1]节奏总纲!BE8</f>
        <v>29.216428548527322</v>
      </c>
    </row>
    <row r="9" spans="2:57" x14ac:dyDescent="0.15">
      <c r="B9" s="4">
        <f>[1]节奏总纲!B9</f>
        <v>20</v>
      </c>
      <c r="C9" s="4">
        <f>[1]节奏总纲!C9</f>
        <v>3</v>
      </c>
      <c r="D9" s="4">
        <f>[1]节奏总纲!D9</f>
        <v>2</v>
      </c>
      <c r="F9" s="4">
        <f>[1]节奏总纲!F9</f>
        <v>7</v>
      </c>
      <c r="G9" s="4">
        <f>[1]节奏总纲!G9</f>
        <v>0.62450479271247095</v>
      </c>
      <c r="I9" s="4">
        <f>[1]节奏总纲!I9</f>
        <v>7</v>
      </c>
      <c r="J9" s="4">
        <f>[1]节奏总纲!J9</f>
        <v>0.31141300609369982</v>
      </c>
      <c r="K9" s="4">
        <f>[1]节奏总纲!K9</f>
        <v>0.38</v>
      </c>
      <c r="N9" s="4">
        <f>[1]节奏总纲!N9</f>
        <v>12</v>
      </c>
      <c r="O9" s="4">
        <f>[1]节奏总纲!O9</f>
        <v>6</v>
      </c>
      <c r="P9" s="4">
        <f>[1]节奏总纲!P9</f>
        <v>0.51571656651039799</v>
      </c>
      <c r="Q9" s="4">
        <f>[1]节奏总纲!Q9</f>
        <v>0.43939051466685908</v>
      </c>
      <c r="R9" s="4">
        <f>[1]节奏总纲!R9</f>
        <v>0.35336899137292471</v>
      </c>
      <c r="S9" s="4">
        <f>[1]节奏总纲!S9</f>
        <v>0.25440298225957936</v>
      </c>
      <c r="T9" s="4">
        <f>[1]节奏总纲!T9</f>
        <v>0.13836675479473978</v>
      </c>
      <c r="V9" s="4">
        <f>[1]节奏总纲!V9</f>
        <v>6</v>
      </c>
      <c r="W9" s="4">
        <f>[1]节奏总纲!W9</f>
        <v>0.10150300413730284</v>
      </c>
      <c r="X9" s="4">
        <f>[1]节奏总纲!X9</f>
        <v>8.6977615799829711E-2</v>
      </c>
      <c r="Y9" s="4">
        <f>[1]节奏总纲!Y9</f>
        <v>7.0212600134676895E-2</v>
      </c>
      <c r="Z9" s="4">
        <f>[1]节奏总纲!Z9</f>
        <v>5.1438336696762732E-2</v>
      </c>
      <c r="AA9" s="4">
        <f>[1]节奏总纲!AA9</f>
        <v>2.884868890329341E-2</v>
      </c>
      <c r="AC9" s="4">
        <f>[1]节奏总纲!AC9</f>
        <v>6</v>
      </c>
      <c r="AD9" s="4">
        <f>[1]节奏总纲!AD9</f>
        <v>28.071211008105138</v>
      </c>
      <c r="AE9" s="4">
        <f>[1]节奏总纲!AE9</f>
        <v>29.78183527117605</v>
      </c>
      <c r="AF9" s="4">
        <f>[1]节奏总纲!AF9</f>
        <v>32.202183458664891</v>
      </c>
      <c r="AG9" s="4">
        <f>[1]节奏总纲!AG9</f>
        <v>36.067019846099676</v>
      </c>
      <c r="AH9" s="4">
        <f>[1]节奏总纲!AH9</f>
        <v>43.870275262019007</v>
      </c>
      <c r="AL9" s="4">
        <f>[1]节奏总纲!AL9</f>
        <v>6</v>
      </c>
      <c r="AM9" s="4">
        <f>[1]节奏总纲!AM9</f>
        <v>0.22055744069899194</v>
      </c>
      <c r="AN9" s="4">
        <f>[1]节奏总纲!AN9</f>
        <v>0.17644595255919357</v>
      </c>
      <c r="AO9" s="4">
        <f>[1]节奏总纲!AO9</f>
        <v>0.13233446441939517</v>
      </c>
      <c r="AP9" s="4">
        <f>[1]节奏总纲!AP9</f>
        <v>8.8222976279596785E-2</v>
      </c>
      <c r="AQ9" s="4">
        <f>[1]节奏总纲!AQ9</f>
        <v>4.4111488139798392E-2</v>
      </c>
      <c r="AS9" s="4">
        <f>[1]节奏总纲!AS9</f>
        <v>6</v>
      </c>
      <c r="AT9" s="4">
        <f>[1]节奏总纲!AT9</f>
        <v>7.0557440698991947E-2</v>
      </c>
      <c r="AU9" s="4">
        <f>[1]节奏总纲!AU9</f>
        <v>5.6445952559193574E-2</v>
      </c>
      <c r="AV9" s="4">
        <f>[1]节奏总纲!AV9</f>
        <v>4.2334464419395174E-2</v>
      </c>
      <c r="AW9" s="4">
        <f>[1]节奏总纲!AW9</f>
        <v>2.8222976279596787E-2</v>
      </c>
      <c r="AX9" s="4">
        <f>[1]节奏总纲!AX9</f>
        <v>1.4111488139798394E-2</v>
      </c>
      <c r="AY9" s="4"/>
      <c r="AZ9" s="4">
        <v>6</v>
      </c>
      <c r="BA9" s="4">
        <f>[1]节奏总纲!BA9</f>
        <v>20.745154613657583</v>
      </c>
      <c r="BB9" s="4">
        <f>[1]节奏总纲!BB9</f>
        <v>22.041972908628715</v>
      </c>
      <c r="BC9" s="4">
        <f>[1]节奏总纲!BC9</f>
        <v>23.710496742673982</v>
      </c>
      <c r="BD9" s="4">
        <f>[1]节奏总纲!BD9</f>
        <v>26.127796402772656</v>
      </c>
      <c r="BE9" s="4">
        <f>[1]节奏总纲!BE9</f>
        <v>30.329493925593439</v>
      </c>
    </row>
    <row r="10" spans="2:57" x14ac:dyDescent="0.15">
      <c r="B10" s="4">
        <f>[1]节奏总纲!B10</f>
        <v>30</v>
      </c>
      <c r="C10" s="4">
        <f>[1]节奏总纲!C10</f>
        <v>7</v>
      </c>
      <c r="D10" s="4">
        <f>[1]节奏总纲!D10</f>
        <v>4</v>
      </c>
      <c r="F10" s="4">
        <f>[1]节奏总纲!F10</f>
        <v>8</v>
      </c>
      <c r="G10" s="4">
        <f>[1]节奏总纲!G10</f>
        <v>0.74110112659224825</v>
      </c>
      <c r="I10" s="4">
        <f>[1]节奏总纲!I10</f>
        <v>8</v>
      </c>
      <c r="J10" s="4">
        <f>[1]节奏总纲!J10</f>
        <v>0.42660095793436714</v>
      </c>
      <c r="K10" s="4">
        <f>[1]节奏总纲!K10</f>
        <v>0.42</v>
      </c>
      <c r="N10" s="4">
        <f>[1]节奏总纲!N10</f>
        <v>14</v>
      </c>
      <c r="O10" s="4">
        <f>[1]节奏总纲!O10</f>
        <v>7</v>
      </c>
      <c r="P10" s="4">
        <f>[1]节奏总纲!P10</f>
        <v>0.62450479271247095</v>
      </c>
      <c r="Q10" s="4">
        <f>[1]节奏总纲!Q10</f>
        <v>0.53413894920697635</v>
      </c>
      <c r="R10" s="4">
        <f>[1]节奏总纲!R10</f>
        <v>0.43072095553379119</v>
      </c>
      <c r="S10" s="4">
        <f>[1]节奏总纲!S10</f>
        <v>0.30950457526830061</v>
      </c>
      <c r="T10" s="4">
        <f>[1]节奏总纲!T10</f>
        <v>0.16699258157131475</v>
      </c>
      <c r="V10" s="4">
        <f>[1]节奏总纲!V10</f>
        <v>7</v>
      </c>
      <c r="W10" s="4">
        <f>[1]节奏总纲!W10</f>
        <v>0.10878822620207296</v>
      </c>
      <c r="X10" s="4">
        <f>[1]节奏总纲!X10</f>
        <v>9.4748434540117277E-2</v>
      </c>
      <c r="Y10" s="4">
        <f>[1]节奏总纲!Y10</f>
        <v>7.7351964160866482E-2</v>
      </c>
      <c r="Z10" s="4">
        <f>[1]节奏总纲!Z10</f>
        <v>5.510159300872125E-2</v>
      </c>
      <c r="AA10" s="4">
        <f>[1]节奏总纲!AA10</f>
        <v>2.8625826776574964E-2</v>
      </c>
      <c r="AC10" s="4">
        <f>[1]节奏总纲!AC10</f>
        <v>7</v>
      </c>
      <c r="AD10" s="4">
        <f>[1]节奏总纲!AD10</f>
        <v>30</v>
      </c>
      <c r="AE10" s="4">
        <f>[1]节奏总纲!AE10</f>
        <v>31.718819483847451</v>
      </c>
      <c r="AF10" s="4">
        <f>[1]节奏总纲!AF10</f>
        <v>34.192155176139416</v>
      </c>
      <c r="AG10" s="4">
        <f>[1]节奏总纲!AG10</f>
        <v>38.19822972207853</v>
      </c>
      <c r="AH10" s="4">
        <f>[1]节奏总纲!AH10</f>
        <v>46.093186357957826</v>
      </c>
      <c r="AL10" s="4">
        <f>[1]节奏总纲!AL10</f>
        <v>7</v>
      </c>
      <c r="AM10" s="4">
        <f>[1]节奏总纲!AM10</f>
        <v>0.31141300609369982</v>
      </c>
      <c r="AN10" s="4">
        <f>[1]节奏总纲!AN10</f>
        <v>0.24913040487495985</v>
      </c>
      <c r="AO10" s="4">
        <f>[1]节奏总纲!AO10</f>
        <v>0.18684780365621989</v>
      </c>
      <c r="AP10" s="4">
        <f>[1]节奏总纲!AP10</f>
        <v>0.12456520243747993</v>
      </c>
      <c r="AQ10" s="4">
        <f>[1]节奏总纲!AQ10</f>
        <v>6.2282601218739964E-2</v>
      </c>
      <c r="AS10" s="4">
        <f>[1]节奏总纲!AS10</f>
        <v>7</v>
      </c>
      <c r="AT10" s="4">
        <f>[1]节奏总纲!AT10</f>
        <v>9.0855565394707877E-2</v>
      </c>
      <c r="AU10" s="4">
        <f>[1]节奏总纲!AU10</f>
        <v>7.2684452315766285E-2</v>
      </c>
      <c r="AV10" s="4">
        <f>[1]节奏总纲!AV10</f>
        <v>5.451333923682472E-2</v>
      </c>
      <c r="AW10" s="4">
        <f>[1]节奏总纲!AW10</f>
        <v>3.6342226157883142E-2</v>
      </c>
      <c r="AX10" s="4">
        <f>[1]节奏总纲!AX10</f>
        <v>1.8171113078941571E-2</v>
      </c>
      <c r="AY10" s="4"/>
      <c r="AZ10" s="4">
        <v>7</v>
      </c>
      <c r="BA10" s="4">
        <f>[1]节奏总纲!BA10</f>
        <v>21.627432338833255</v>
      </c>
      <c r="BB10" s="4">
        <f>[1]节奏总纲!BB10</f>
        <v>22.938628095451385</v>
      </c>
      <c r="BC10" s="4">
        <f>[1]节奏总纲!BC10</f>
        <v>24.619152272059132</v>
      </c>
      <c r="BD10" s="4">
        <f>[1]节奏总纲!BD10</f>
        <v>27.059707353051884</v>
      </c>
      <c r="BE10" s="4">
        <f>[1]节奏总纲!BE10</f>
        <v>31.280110398778046</v>
      </c>
    </row>
    <row r="11" spans="2:57" x14ac:dyDescent="0.15">
      <c r="B11" s="4">
        <f>[1]节奏总纲!B11</f>
        <v>40</v>
      </c>
      <c r="C11" s="4">
        <f>[1]节奏总纲!C11</f>
        <v>15</v>
      </c>
      <c r="D11" s="4">
        <f>[1]节奏总纲!D11</f>
        <v>8</v>
      </c>
      <c r="F11" s="4">
        <f>[1]节奏总纲!F11</f>
        <v>9</v>
      </c>
      <c r="G11" s="4">
        <f>[1]节奏总纲!G11</f>
        <v>0.86606598307361482</v>
      </c>
      <c r="I11" s="4">
        <f>[1]节奏总纲!I11</f>
        <v>9</v>
      </c>
      <c r="J11" s="4">
        <f>[1]节奏总纲!J11</f>
        <v>0.57090651823243421</v>
      </c>
      <c r="K11" s="4">
        <f>[1]节奏总纲!K11</f>
        <v>0.46</v>
      </c>
      <c r="N11" s="4">
        <f>[1]节奏总纲!N11</f>
        <v>16</v>
      </c>
      <c r="O11" s="4">
        <f>[1]节奏总纲!O11</f>
        <v>8</v>
      </c>
      <c r="P11" s="4">
        <f>[1]节奏总纲!P11</f>
        <v>0.74110112659224825</v>
      </c>
      <c r="Q11" s="4">
        <f>[1]节奏总纲!Q11</f>
        <v>0.63089938906798093</v>
      </c>
      <c r="R11" s="4">
        <f>[1]节奏总纲!R11</f>
        <v>0.50550507844857251</v>
      </c>
      <c r="S11" s="4">
        <f>[1]节奏总纲!S11</f>
        <v>0.36195379022765406</v>
      </c>
      <c r="T11" s="4">
        <f>[1]节奏总纲!T11</f>
        <v>0.19579891764567198</v>
      </c>
      <c r="V11" s="4">
        <f>[1]节奏总纲!V11</f>
        <v>8</v>
      </c>
      <c r="W11" s="4">
        <f>[1]节奏总纲!W11</f>
        <v>0.1165963338797773</v>
      </c>
      <c r="X11" s="4">
        <f>[1]节奏总纲!X11</f>
        <v>9.6760439861004577E-2</v>
      </c>
      <c r="Y11" s="4">
        <f>[1]节奏总纲!Y11</f>
        <v>7.4784122914781315E-2</v>
      </c>
      <c r="Z11" s="4">
        <f>[1]节奏总纲!Z11</f>
        <v>5.2449214959353452E-2</v>
      </c>
      <c r="AA11" s="4">
        <f>[1]节奏总纲!AA11</f>
        <v>2.8806336074357231E-2</v>
      </c>
      <c r="AC11" s="4">
        <f>[1]节奏总纲!AC11</f>
        <v>8</v>
      </c>
      <c r="AD11" s="4">
        <f>[1]节奏总纲!AD11</f>
        <v>31.691928656135214</v>
      </c>
      <c r="AE11" s="4">
        <f>[1]节奏总纲!AE11</f>
        <v>33.465251056098396</v>
      </c>
      <c r="AF11" s="4">
        <f>[1]节奏总纲!AF11</f>
        <v>35.930751746472978</v>
      </c>
      <c r="AG11" s="4">
        <f>[1]节奏总纲!AG11</f>
        <v>39.998279638578282</v>
      </c>
      <c r="AH11" s="4">
        <f>[1]节奏总纲!AH11</f>
        <v>48.067140183443534</v>
      </c>
      <c r="AL11" s="4">
        <f>[1]节奏总纲!AL11</f>
        <v>8</v>
      </c>
      <c r="AM11" s="4">
        <f>[1]节奏总纲!AM11</f>
        <v>0.42660095793436714</v>
      </c>
      <c r="AN11" s="4">
        <f>[1]节奏总纲!AN11</f>
        <v>0.34128076634749371</v>
      </c>
      <c r="AO11" s="4">
        <f>[1]节奏总纲!AO11</f>
        <v>0.25596057476062029</v>
      </c>
      <c r="AP11" s="4">
        <f>[1]节奏总纲!AP11</f>
        <v>0.17064038317374686</v>
      </c>
      <c r="AQ11" s="4">
        <f>[1]节奏总纲!AQ11</f>
        <v>8.5320191586873428E-2</v>
      </c>
      <c r="AS11" s="4">
        <f>[1]节奏总纲!AS11</f>
        <v>8</v>
      </c>
      <c r="AT11" s="4">
        <f>[1]节奏总纲!AT11</f>
        <v>0.11518795184066732</v>
      </c>
      <c r="AU11" s="4">
        <f>[1]节奏总纲!AU11</f>
        <v>9.2150361472533859E-2</v>
      </c>
      <c r="AV11" s="4">
        <f>[1]节奏总纲!AV11</f>
        <v>6.9112771104400395E-2</v>
      </c>
      <c r="AW11" s="4">
        <f>[1]节奏总纲!AW11</f>
        <v>4.607518073626693E-2</v>
      </c>
      <c r="AX11" s="4">
        <f>[1]节奏总纲!AX11</f>
        <v>2.3037590368133465E-2</v>
      </c>
      <c r="AY11" s="4"/>
      <c r="AZ11" s="4">
        <v>8</v>
      </c>
      <c r="BA11" s="4">
        <f>[1]节奏总纲!BA11</f>
        <v>22.400634983357783</v>
      </c>
      <c r="BB11" s="4">
        <f>[1]节奏总纲!BB11</f>
        <v>23.710496742673982</v>
      </c>
      <c r="BC11" s="4">
        <f>[1]节奏总纲!BC11</f>
        <v>25.412810862541733</v>
      </c>
      <c r="BD11" s="4">
        <f>[1]节奏总纲!BD11</f>
        <v>27.863030247590562</v>
      </c>
      <c r="BE11" s="4">
        <f>[1]节奏总纲!BE11</f>
        <v>32.113552950216736</v>
      </c>
    </row>
    <row r="12" spans="2:57" x14ac:dyDescent="0.15">
      <c r="B12" s="4">
        <f>[1]节奏总纲!B12</f>
        <v>50</v>
      </c>
      <c r="C12" s="4">
        <f>[1]节奏总纲!C12</f>
        <v>31</v>
      </c>
      <c r="D12" s="4">
        <f>[1]节奏总纲!D12</f>
        <v>16</v>
      </c>
      <c r="F12" s="4">
        <f>[1]节奏总纲!F12</f>
        <v>10</v>
      </c>
      <c r="G12" s="4">
        <f>[1]节奏总纲!G12</f>
        <v>1</v>
      </c>
      <c r="I12" s="4">
        <f>[1]节奏总纲!I12</f>
        <v>10</v>
      </c>
      <c r="J12" s="4">
        <f>[1]节奏总纲!J12</f>
        <v>0.75</v>
      </c>
      <c r="K12" s="4">
        <f>[1]节奏总纲!K12</f>
        <v>0.5</v>
      </c>
      <c r="N12" s="4">
        <f>[1]节奏总纲!N12</f>
        <v>18</v>
      </c>
      <c r="O12" s="4">
        <f>[1]节奏总纲!O12</f>
        <v>9</v>
      </c>
      <c r="P12" s="4">
        <f>[1]节奏总纲!P12</f>
        <v>0.86606598307361482</v>
      </c>
      <c r="Q12" s="4">
        <f>[1]节奏总纲!Q12</f>
        <v>0.73702215159564621</v>
      </c>
      <c r="R12" s="4">
        <f>[1]节奏总纲!R12</f>
        <v>0.59282216541388932</v>
      </c>
      <c r="S12" s="4">
        <f>[1]节奏总纲!S12</f>
        <v>0.42766338244175101</v>
      </c>
      <c r="T12" s="4">
        <f>[1]节奏总纲!T12</f>
        <v>0.23193247026711403</v>
      </c>
      <c r="V12" s="4">
        <f>[1]节奏总纲!V12</f>
        <v>9</v>
      </c>
      <c r="W12" s="4">
        <f>[1]节奏总纲!W12</f>
        <v>0.12496485648136657</v>
      </c>
      <c r="X12" s="4">
        <f>[1]节奏总纲!X12</f>
        <v>0.10612276252766528</v>
      </c>
      <c r="Y12" s="4">
        <f>[1]节奏总纲!Y12</f>
        <v>8.7317086965316815E-2</v>
      </c>
      <c r="Z12" s="4">
        <f>[1]节奏总纲!Z12</f>
        <v>6.5709592214096946E-2</v>
      </c>
      <c r="AA12" s="4">
        <f>[1]节奏总纲!AA12</f>
        <v>3.613355262144205E-2</v>
      </c>
      <c r="AC12" s="4">
        <f>[1]节奏总纲!AC12</f>
        <v>9</v>
      </c>
      <c r="AD12" s="4">
        <f>[1]节奏总纲!AD12</f>
        <v>33.213386604241784</v>
      </c>
      <c r="AE12" s="4">
        <f>[1]节奏总纲!AE12</f>
        <v>34.992730785174565</v>
      </c>
      <c r="AF12" s="4">
        <f>[1]节奏总纲!AF12</f>
        <v>37.510565846691456</v>
      </c>
      <c r="AG12" s="4">
        <f>[1]节奏总纲!AG12</f>
        <v>41.534743419557365</v>
      </c>
      <c r="AH12" s="4">
        <f>[1]节奏总纲!AH12</f>
        <v>49.706056771838036</v>
      </c>
      <c r="AL12" s="4">
        <f>[1]节奏总纲!AL12</f>
        <v>9</v>
      </c>
      <c r="AM12" s="4">
        <f>[1]节奏总纲!AM12</f>
        <v>0.57090651823243421</v>
      </c>
      <c r="AN12" s="4">
        <f>[1]节奏总纲!AN12</f>
        <v>0.45672521458594739</v>
      </c>
      <c r="AO12" s="4">
        <f>[1]节奏总纲!AO12</f>
        <v>0.34254391093946052</v>
      </c>
      <c r="AP12" s="4">
        <f>[1]节奏总纲!AP12</f>
        <v>0.2283626072929737</v>
      </c>
      <c r="AQ12" s="4">
        <f>[1]节奏总纲!AQ12</f>
        <v>0.11418130364648685</v>
      </c>
      <c r="AS12" s="4">
        <f>[1]节奏总纲!AS12</f>
        <v>9</v>
      </c>
      <c r="AT12" s="4">
        <f>[1]节奏总纲!AT12</f>
        <v>0.14430556029806707</v>
      </c>
      <c r="AU12" s="4">
        <f>[1]节奏总纲!AU12</f>
        <v>0.11544444823845368</v>
      </c>
      <c r="AV12" s="4">
        <f>[1]节奏总纲!AV12</f>
        <v>8.6583336178840231E-2</v>
      </c>
      <c r="AW12" s="4">
        <f>[1]节奏总纲!AW12</f>
        <v>5.7722224119226839E-2</v>
      </c>
      <c r="AX12" s="4">
        <f>[1]节奏总纲!AX12</f>
        <v>2.886111205961342E-2</v>
      </c>
      <c r="AY12" s="4"/>
      <c r="AZ12" s="4">
        <v>9</v>
      </c>
      <c r="BA12" s="4">
        <f>[1]节奏总纲!BA12</f>
        <v>23.100336713798686</v>
      </c>
      <c r="BB12" s="4">
        <f>[1]节奏总纲!BB12</f>
        <v>24.402761517547276</v>
      </c>
      <c r="BC12" s="4">
        <f>[1]节奏总纲!BC12</f>
        <v>26.127796402772656</v>
      </c>
      <c r="BD12" s="4">
        <f>[1]节奏总纲!BD12</f>
        <v>28.568390277483555</v>
      </c>
      <c r="BE12" s="4">
        <f>[1]节奏总纲!BE12</f>
        <v>32.842201900114915</v>
      </c>
    </row>
    <row r="13" spans="2:57" x14ac:dyDescent="0.15">
      <c r="B13" s="4">
        <f>[1]节奏总纲!B13</f>
        <v>60</v>
      </c>
      <c r="C13" s="4">
        <f>[1]节奏总纲!C13</f>
        <v>63</v>
      </c>
      <c r="D13" s="4">
        <f>[1]节奏总纲!D13</f>
        <v>32</v>
      </c>
      <c r="F13" s="4">
        <f>[1]节奏总纲!F13</f>
        <v>11</v>
      </c>
      <c r="G13" s="4">
        <f>[1]节奏总纲!G13</f>
        <v>1.1435469250725863</v>
      </c>
      <c r="I13" s="4">
        <f>[1]节奏总纲!I13</f>
        <v>11</v>
      </c>
      <c r="J13" s="4">
        <f>[1]节奏总纲!J13</f>
        <v>0.93464628919691628</v>
      </c>
      <c r="K13" s="4">
        <f>[1]节奏总纲!K13</f>
        <v>0.52</v>
      </c>
      <c r="N13" s="4">
        <f>[1]节奏总纲!N13</f>
        <v>20</v>
      </c>
      <c r="O13" s="4">
        <f>[1]节奏总纲!O13</f>
        <v>10</v>
      </c>
      <c r="P13" s="4">
        <f>[1]节奏总纲!P13</f>
        <v>1</v>
      </c>
      <c r="Q13" s="4">
        <f>[1]节奏总纲!Q13</f>
        <v>0.8548</v>
      </c>
      <c r="R13" s="4">
        <f>[1]节奏总纲!R13</f>
        <v>0.6895</v>
      </c>
      <c r="S13" s="4">
        <f>[1]节奏总纲!S13</f>
        <v>0.49980000000000002</v>
      </c>
      <c r="T13" s="4">
        <f>[1]节奏总纲!T13</f>
        <v>0.2732</v>
      </c>
      <c r="V13" s="4">
        <f>[1]节奏总纲!V13</f>
        <v>10</v>
      </c>
      <c r="W13" s="4">
        <f>[1]节奏总纲!W13</f>
        <v>0.13393401692638518</v>
      </c>
      <c r="X13" s="4">
        <f>[1]节奏总纲!X13</f>
        <v>0.11777784840435379</v>
      </c>
      <c r="Y13" s="4">
        <f>[1]节奏总纲!Y13</f>
        <v>9.6677834586110678E-2</v>
      </c>
      <c r="Z13" s="4">
        <f>[1]节奏总纲!Z13</f>
        <v>7.2136617558249017E-2</v>
      </c>
      <c r="AA13" s="4">
        <f>[1]节奏总纲!AA13</f>
        <v>4.1267529732885971E-2</v>
      </c>
      <c r="AC13" s="4">
        <f>[1]节奏总纲!AC13</f>
        <v>10</v>
      </c>
      <c r="AD13" s="4">
        <f>[1]节奏总纲!AD13</f>
        <v>34.585942742481357</v>
      </c>
      <c r="AE13" s="4">
        <f>[1]节奏总纲!AE13</f>
        <v>36.36169634498642</v>
      </c>
      <c r="AF13" s="4">
        <f>[1]节奏总纲!AF13</f>
        <v>38.977035507933373</v>
      </c>
      <c r="AG13" s="4">
        <f>[1]节奏总纲!AG13</f>
        <v>42.970748198558951</v>
      </c>
      <c r="AH13" s="4">
        <f>[1]节奏总纲!AH13</f>
        <v>51.212821897464167</v>
      </c>
      <c r="AL13" s="4">
        <f>[1]节奏总纲!AL13</f>
        <v>10</v>
      </c>
      <c r="AM13" s="4">
        <f>[1]节奏总纲!AM13</f>
        <v>0.75</v>
      </c>
      <c r="AN13" s="4">
        <f>[1]节奏总纲!AN13</f>
        <v>0.60000000000000009</v>
      </c>
      <c r="AO13" s="4">
        <f>[1]节奏总纲!AO13</f>
        <v>0.44999999999999996</v>
      </c>
      <c r="AP13" s="4">
        <f>[1]节奏总纲!AP13</f>
        <v>0.30000000000000004</v>
      </c>
      <c r="AQ13" s="4">
        <f>[1]节奏总纲!AQ13</f>
        <v>0.15000000000000002</v>
      </c>
      <c r="AS13" s="4">
        <f>[1]节奏总纲!AS13</f>
        <v>10</v>
      </c>
      <c r="AT13" s="4">
        <f>[1]节奏总纲!AT13</f>
        <v>0.17909348176756579</v>
      </c>
      <c r="AU13" s="4">
        <f>[1]节奏总纲!AU13</f>
        <v>0.1432747854140527</v>
      </c>
      <c r="AV13" s="4">
        <f>[1]节奏总纲!AV13</f>
        <v>0.10745608906053944</v>
      </c>
      <c r="AW13" s="4">
        <f>[1]节奏总纲!AW13</f>
        <v>7.1637392707026348E-2</v>
      </c>
      <c r="AX13" s="4">
        <f>[1]节奏总纲!AX13</f>
        <v>3.5818696353513174E-2</v>
      </c>
      <c r="AY13" s="4"/>
      <c r="AZ13" s="4">
        <v>10</v>
      </c>
      <c r="BA13" s="4">
        <f>[1]节奏总纲!BA13</f>
        <v>23.710496742673982</v>
      </c>
      <c r="BB13" s="4">
        <f>[1]节奏总纲!BB13</f>
        <v>25.044229735272328</v>
      </c>
      <c r="BC13" s="4">
        <f>[1]节奏总纲!BC13</f>
        <v>26.755953543357073</v>
      </c>
      <c r="BD13" s="4">
        <f>[1]节奏总纲!BD13</f>
        <v>29.216428548527322</v>
      </c>
      <c r="BE13" s="4">
        <f>[1]节奏总纲!BE13</f>
        <v>33.487933395889513</v>
      </c>
    </row>
    <row r="14" spans="2:57" x14ac:dyDescent="0.15">
      <c r="B14" s="4">
        <f>[1]节奏总纲!B14</f>
        <v>70</v>
      </c>
      <c r="C14" s="4">
        <f>[1]节奏总纲!C14</f>
        <v>127</v>
      </c>
      <c r="D14" s="4">
        <f>[1]节奏总纲!D14</f>
        <v>64</v>
      </c>
      <c r="F14" s="4">
        <f>[1]节奏总纲!F14</f>
        <v>12</v>
      </c>
      <c r="G14" s="4">
        <f>[1]节奏总纲!G14</f>
        <v>1.2973967099940702</v>
      </c>
      <c r="I14" s="4">
        <f>[1]节奏总纲!I14</f>
        <v>12</v>
      </c>
      <c r="J14" s="4">
        <f>[1]节奏总纲!J14</f>
        <v>1.1550685436347259</v>
      </c>
      <c r="K14" s="4">
        <f>[1]节奏总纲!K14</f>
        <v>0.54</v>
      </c>
      <c r="N14" s="4">
        <f>[1]节奏总纲!N14</f>
        <v>21</v>
      </c>
      <c r="O14" s="4">
        <f>[1]节奏总纲!O14</f>
        <v>11</v>
      </c>
      <c r="P14" s="4">
        <f>[1]节奏总纲!P14</f>
        <v>1.1435469250725863</v>
      </c>
      <c r="Q14" s="4">
        <f>[1]节奏总纲!Q14</f>
        <v>0.98036277886472811</v>
      </c>
      <c r="R14" s="4">
        <f>[1]节奏总纲!R14</f>
        <v>0.79453640354043287</v>
      </c>
      <c r="S14" s="4">
        <f>[1]节奏总纲!S14</f>
        <v>0.57577587677404707</v>
      </c>
      <c r="T14" s="4">
        <f>[1]节奏总纲!T14</f>
        <v>0.31767733578516444</v>
      </c>
      <c r="V14" s="4">
        <f>[1]节奏总纲!V14</f>
        <v>11</v>
      </c>
      <c r="W14" s="4">
        <f>[1]节奏总纲!W14</f>
        <v>0.14354692507258626</v>
      </c>
      <c r="X14" s="4">
        <f>[1]节奏总纲!X14</f>
        <v>0.12556277886472811</v>
      </c>
      <c r="Y14" s="4">
        <f>[1]节奏总纲!Y14</f>
        <v>0.10503640354043287</v>
      </c>
      <c r="Z14" s="4">
        <f>[1]节奏总纲!Z14</f>
        <v>7.5975876774047046E-2</v>
      </c>
      <c r="AA14" s="4">
        <f>[1]节奏总纲!AA14</f>
        <v>4.447733578516444E-2</v>
      </c>
      <c r="AC14" s="4">
        <f>[1]节奏总纲!AC14</f>
        <v>11</v>
      </c>
      <c r="AD14" s="4">
        <f>[1]节奏总纲!AD14</f>
        <v>35.845161563010116</v>
      </c>
      <c r="AE14" s="4">
        <f>[1]节奏总纲!AE14</f>
        <v>37.6388925299823</v>
      </c>
      <c r="AF14" s="4">
        <f>[1]节奏总纲!AF14</f>
        <v>40.259528204263837</v>
      </c>
      <c r="AG14" s="4">
        <f>[1]节奏总纲!AG14</f>
        <v>44.288230531994081</v>
      </c>
      <c r="AH14" s="4">
        <f>[1]节奏总纲!AH14</f>
        <v>52.559419343629337</v>
      </c>
      <c r="AL14" s="4">
        <f>[1]节奏总纲!AL14</f>
        <v>11</v>
      </c>
      <c r="AM14" s="4">
        <f>[1]节奏总纲!AM14</f>
        <v>0.93464628919691628</v>
      </c>
      <c r="AN14" s="4">
        <f>[1]节奏总纲!AN14</f>
        <v>0.74771703135753309</v>
      </c>
      <c r="AO14" s="4">
        <f>[1]节奏总纲!AO14</f>
        <v>0.56078777351814979</v>
      </c>
      <c r="AP14" s="4">
        <f>[1]节奏总纲!AP14</f>
        <v>0.37385851567876655</v>
      </c>
      <c r="AQ14" s="4">
        <f>[1]节奏总纲!AQ14</f>
        <v>0.18692925783938327</v>
      </c>
      <c r="AS14" s="4">
        <f>[1]节奏总纲!AS14</f>
        <v>11</v>
      </c>
      <c r="AT14" s="4">
        <f>[1]节奏总纲!AT14</f>
        <v>0.18464628919691628</v>
      </c>
      <c r="AU14" s="4">
        <f>[1]节奏总纲!AU14</f>
        <v>0.147717031357533</v>
      </c>
      <c r="AV14" s="4">
        <f>[1]节奏总纲!AV14</f>
        <v>0.11078777351814983</v>
      </c>
      <c r="AW14" s="4">
        <f>[1]节奏总纲!AW14</f>
        <v>7.3858515678766501E-2</v>
      </c>
      <c r="AX14" s="4">
        <f>[1]节奏总纲!AX14</f>
        <v>3.692925783938325E-2</v>
      </c>
      <c r="AY14" s="4"/>
      <c r="AZ14" s="4">
        <v>11</v>
      </c>
      <c r="BA14" s="4">
        <f>[1]节奏总纲!BA14</f>
        <v>24.272927064840161</v>
      </c>
      <c r="BB14" s="4">
        <f>[1]节奏总纲!BB14</f>
        <v>25.597101426176433</v>
      </c>
      <c r="BC14" s="4">
        <f>[1]节奏总纲!BC14</f>
        <v>27.327481651231444</v>
      </c>
      <c r="BD14" s="4">
        <f>[1]节奏总纲!BD14</f>
        <v>29.80118336305917</v>
      </c>
      <c r="BE14" s="4">
        <f>[1]节奏总纲!BE14</f>
        <v>34.09469189131628</v>
      </c>
    </row>
    <row r="15" spans="2:57" x14ac:dyDescent="0.15">
      <c r="B15" s="4">
        <f>[1]节奏总纲!B15</f>
        <v>80</v>
      </c>
      <c r="C15" s="4">
        <f>[1]节奏总纲!C15</f>
        <v>255</v>
      </c>
      <c r="D15" s="4">
        <f>[1]节奏总纲!D15</f>
        <v>128</v>
      </c>
      <c r="F15" s="4">
        <f>[1]节奏总纲!F15</f>
        <v>13</v>
      </c>
      <c r="G15" s="4">
        <f>[1]节奏总纲!G15</f>
        <v>1.4622888266898326</v>
      </c>
      <c r="I15" s="4">
        <f>[1]节奏总纲!I15</f>
        <v>13</v>
      </c>
      <c r="J15" s="4">
        <f>[1]节奏总纲!J15</f>
        <v>1.417602554491646</v>
      </c>
      <c r="K15" s="4">
        <f>[1]节奏总纲!K15</f>
        <v>0.56000000000000005</v>
      </c>
      <c r="N15" s="4">
        <f>[1]节奏总纲!N15</f>
        <v>22</v>
      </c>
      <c r="O15" s="4">
        <f>[1]节奏总纲!O15</f>
        <v>12</v>
      </c>
      <c r="P15" s="4">
        <f>[1]节奏总纲!P15</f>
        <v>1.2973967099940702</v>
      </c>
      <c r="Q15" s="4">
        <f>[1]节奏总纲!Q15</f>
        <v>1.1126474184909145</v>
      </c>
      <c r="R15" s="4">
        <f>[1]节奏总纲!R15</f>
        <v>0.9058423829178599</v>
      </c>
      <c r="S15" s="4">
        <f>[1]节奏总纲!S15</f>
        <v>0.66219128078097333</v>
      </c>
      <c r="T15" s="4">
        <f>[1]节奏总纲!T15</f>
        <v>0.36560639287632896</v>
      </c>
      <c r="V15" s="4">
        <f>[1]节奏总纲!V15</f>
        <v>12</v>
      </c>
      <c r="W15" s="4">
        <f>[1]节奏总纲!W15</f>
        <v>0.15384978492148393</v>
      </c>
      <c r="X15" s="4">
        <f>[1]节奏总纲!X15</f>
        <v>0.13228463962618642</v>
      </c>
      <c r="Y15" s="4">
        <f>[1]节奏总纲!Y15</f>
        <v>0.11130597937742703</v>
      </c>
      <c r="Z15" s="4">
        <f>[1]节奏总纲!Z15</f>
        <v>8.6415404006926266E-2</v>
      </c>
      <c r="AA15" s="4">
        <f>[1]节奏总纲!AA15</f>
        <v>4.7929057091164518E-2</v>
      </c>
      <c r="AC15" s="4">
        <f>[1]节奏总纲!AC15</f>
        <v>12</v>
      </c>
      <c r="AD15" s="4">
        <f>[1]节奏总纲!AD15</f>
        <v>37.004247194324648</v>
      </c>
      <c r="AE15" s="4">
        <f>[1]节奏总纲!AE15</f>
        <v>38.827998824669805</v>
      </c>
      <c r="AF15" s="4">
        <f>[1]节奏总纲!AF15</f>
        <v>41.408320762540754</v>
      </c>
      <c r="AG15" s="4">
        <f>[1]节奏总纲!AG15</f>
        <v>45.500930067545958</v>
      </c>
      <c r="AH15" s="4">
        <f>[1]节奏总纲!AH15</f>
        <v>53.855547243088772</v>
      </c>
      <c r="AL15" s="4">
        <f>[1]节奏总纲!AL15</f>
        <v>12</v>
      </c>
      <c r="AM15" s="4">
        <f>[1]节奏总纲!AM15</f>
        <v>1.1550685436347259</v>
      </c>
      <c r="AN15" s="4">
        <f>[1]节奏总纲!AN15</f>
        <v>0.92405483490778073</v>
      </c>
      <c r="AO15" s="4">
        <f>[1]节奏总纲!AO15</f>
        <v>0.69304112618083547</v>
      </c>
      <c r="AP15" s="4">
        <f>[1]节奏总纲!AP15</f>
        <v>0.46202741745389037</v>
      </c>
      <c r="AQ15" s="4">
        <f>[1]节奏总纲!AQ15</f>
        <v>0.23101370872694518</v>
      </c>
      <c r="AS15" s="4">
        <f>[1]节奏总纲!AS15</f>
        <v>12</v>
      </c>
      <c r="AT15" s="4">
        <f>[1]节奏总纲!AT15</f>
        <v>0.22042225443780961</v>
      </c>
      <c r="AU15" s="4">
        <f>[1]节奏总纲!AU15</f>
        <v>0.17633780355024764</v>
      </c>
      <c r="AV15" s="4">
        <f>[1]节奏总纲!AV15</f>
        <v>0.13225335266268567</v>
      </c>
      <c r="AW15" s="4">
        <f>[1]节奏总纲!AW15</f>
        <v>8.816890177512382E-2</v>
      </c>
      <c r="AX15" s="4">
        <f>[1]节奏总纲!AX15</f>
        <v>4.408445088756191E-2</v>
      </c>
      <c r="AY15" s="4"/>
      <c r="AZ15" s="4">
        <v>12</v>
      </c>
      <c r="BA15" s="4">
        <f>[1]节奏总纲!BA15</f>
        <v>24.792264875668618</v>
      </c>
      <c r="BB15" s="4">
        <f>[1]节奏总纲!BB15</f>
        <v>26.127796402772656</v>
      </c>
      <c r="BC15" s="4">
        <f>[1]节奏总纲!BC15</f>
        <v>27.863030247590562</v>
      </c>
      <c r="BD15" s="4">
        <f>[1]节奏总纲!BD15</f>
        <v>30.329493925593439</v>
      </c>
      <c r="BE15" s="4">
        <f>[1]节奏总纲!BE15</f>
        <v>34.627226072894942</v>
      </c>
    </row>
    <row r="16" spans="2:57" x14ac:dyDescent="0.15">
      <c r="B16" s="4">
        <f>[1]节奏总纲!B16</f>
        <v>90</v>
      </c>
      <c r="C16" s="4">
        <f>[1]节奏总纲!C16</f>
        <v>511</v>
      </c>
      <c r="D16" s="4">
        <f>[1]节奏总纲!D16</f>
        <v>256</v>
      </c>
      <c r="F16" s="4">
        <f>[1]节奏总纲!F16</f>
        <v>14</v>
      </c>
      <c r="G16" s="4">
        <f>[1]节奏总纲!G16</f>
        <v>1.6390158215457884</v>
      </c>
      <c r="I16" s="4">
        <f>[1]节奏总纲!I16</f>
        <v>14</v>
      </c>
      <c r="J16" s="4">
        <f>[1]节奏总纲!J16</f>
        <v>1.7296773068470075</v>
      </c>
      <c r="K16" s="4">
        <f>[1]节奏总纲!K16</f>
        <v>0.57999999999999996</v>
      </c>
      <c r="N16" s="4">
        <f>[1]节奏总纲!N16</f>
        <v>23</v>
      </c>
      <c r="O16" s="4">
        <f>[1]节奏总纲!O16</f>
        <v>13</v>
      </c>
      <c r="P16" s="4">
        <f>[1]节奏总纲!P16</f>
        <v>1.4622888266898326</v>
      </c>
      <c r="Q16" s="4">
        <f>[1]节奏总纲!Q16</f>
        <v>1.2628326307293396</v>
      </c>
      <c r="R16" s="4">
        <f>[1]节奏总纲!R16</f>
        <v>1.0294513339896421</v>
      </c>
      <c r="S16" s="4">
        <f>[1]节奏总纲!S16</f>
        <v>0.75556463675063656</v>
      </c>
      <c r="T16" s="4">
        <f>[1]节奏总纲!T16</f>
        <v>0.41865329108129906</v>
      </c>
      <c r="V16" s="4">
        <f>[1]节奏总纲!V16</f>
        <v>13</v>
      </c>
      <c r="W16" s="4">
        <f>[1]节奏总纲!W16</f>
        <v>0.16489211669576243</v>
      </c>
      <c r="X16" s="4">
        <f>[1]节奏总纲!X16</f>
        <v>0.15018521223842507</v>
      </c>
      <c r="Y16" s="4">
        <f>[1]节奏总纲!Y16</f>
        <v>0.12360895107178216</v>
      </c>
      <c r="Z16" s="4">
        <f>[1]节奏总纲!Z16</f>
        <v>9.337335596966323E-2</v>
      </c>
      <c r="AA16" s="4">
        <f>[1]节奏总纲!AA16</f>
        <v>5.3046898204970105E-2</v>
      </c>
      <c r="AC16" s="4">
        <f>[1]节奏总纲!AC16</f>
        <v>13</v>
      </c>
      <c r="AD16" s="4">
        <f>[1]节奏总纲!AD16</f>
        <v>38.071211008105138</v>
      </c>
      <c r="AE16" s="4">
        <f>[1]节奏总纲!AE16</f>
        <v>39.935302111946527</v>
      </c>
      <c r="AF16" s="4">
        <f>[1]节奏总纲!AF16</f>
        <v>42.470214785133983</v>
      </c>
      <c r="AG16" s="4">
        <f>[1]节奏总纲!AG16</f>
        <v>46.631096344914496</v>
      </c>
      <c r="AH16" s="4">
        <f>[1]节奏总纲!AH16</f>
        <v>55.062101953238496</v>
      </c>
      <c r="AL16" s="4">
        <f>[1]节奏总纲!AL16</f>
        <v>13</v>
      </c>
      <c r="AM16" s="4">
        <f>[1]节奏总纲!AM16</f>
        <v>1.417602554491646</v>
      </c>
      <c r="AN16" s="4">
        <f>[1]节奏总纲!AN16</f>
        <v>1.1340820435933168</v>
      </c>
      <c r="AO16" s="4">
        <f>[1]节奏总纲!AO16</f>
        <v>0.85056153269498758</v>
      </c>
      <c r="AP16" s="4">
        <f>[1]节奏总纲!AP16</f>
        <v>0.56704102179665838</v>
      </c>
      <c r="AQ16" s="4">
        <f>[1]节奏总纲!AQ16</f>
        <v>0.28352051089832919</v>
      </c>
      <c r="AS16" s="4">
        <f>[1]节奏总纲!AS16</f>
        <v>13</v>
      </c>
      <c r="AT16" s="4">
        <f>[1]节奏总纲!AT16</f>
        <v>0.26253401085692007</v>
      </c>
      <c r="AU16" s="4">
        <f>[1]节奏总纲!AU16</f>
        <v>0.21002720868553604</v>
      </c>
      <c r="AV16" s="4">
        <f>[1]节奏总纲!AV16</f>
        <v>0.15752040651415211</v>
      </c>
      <c r="AW16" s="4">
        <f>[1]节奏总纲!AW16</f>
        <v>0.10501360434276802</v>
      </c>
      <c r="AX16" s="4">
        <f>[1]节奏总纲!AX16</f>
        <v>5.2506802171384009E-2</v>
      </c>
      <c r="AY16" s="4"/>
      <c r="AZ16" s="4">
        <v>13</v>
      </c>
      <c r="BA16" s="4">
        <f>[1]节奏总纲!BA16</f>
        <v>25.265378411633971</v>
      </c>
      <c r="BB16" s="4">
        <f>[1]节奏总纲!BB16</f>
        <v>26.598914258210968</v>
      </c>
      <c r="BC16" s="4">
        <f>[1]节奏总纲!BC16</f>
        <v>28.339982398803929</v>
      </c>
      <c r="BD16" s="4">
        <f>[1]节奏总纲!BD16</f>
        <v>30.828727146189561</v>
      </c>
      <c r="BE16" s="4">
        <f>[1]节奏总纲!BE16</f>
        <v>35.146386283795508</v>
      </c>
    </row>
    <row r="17" spans="2:57" x14ac:dyDescent="0.15">
      <c r="B17" s="4">
        <f>[1]节奏总纲!B17</f>
        <v>100</v>
      </c>
      <c r="C17" s="4">
        <f>[1]节奏总纲!C17</f>
        <v>1023</v>
      </c>
      <c r="D17" s="4">
        <f>[1]节奏总纲!D17</f>
        <v>512</v>
      </c>
      <c r="F17" s="4">
        <f>[1]节奏总纲!F17</f>
        <v>15</v>
      </c>
      <c r="G17" s="4">
        <f>[1]节奏总纲!G17</f>
        <v>1.8284271247461898</v>
      </c>
      <c r="I17" s="4">
        <f>[1]节奏总纲!I17</f>
        <v>15</v>
      </c>
      <c r="J17" s="4">
        <f>[1]节奏总纲!J17</f>
        <v>2.1</v>
      </c>
      <c r="K17" s="4">
        <f>[1]节奏总纲!K17</f>
        <v>0.6</v>
      </c>
      <c r="N17" s="4">
        <f>[1]节奏总纲!N17</f>
        <v>24</v>
      </c>
      <c r="O17" s="4">
        <f>[1]节奏总纲!O17</f>
        <v>14</v>
      </c>
      <c r="P17" s="4">
        <f>[1]节奏总纲!P17</f>
        <v>1.6390158215457884</v>
      </c>
      <c r="Q17" s="4">
        <f>[1]节奏总纲!Q17</f>
        <v>1.4136511460832426</v>
      </c>
      <c r="R17" s="4">
        <f>[1]节奏总纲!R17</f>
        <v>1.1545227446968533</v>
      </c>
      <c r="S17" s="4">
        <f>[1]节奏总纲!S17</f>
        <v>0.84605996708193598</v>
      </c>
      <c r="T17" s="4">
        <f>[1]节奏总纲!T17</f>
        <v>0.46810291863347719</v>
      </c>
      <c r="V17" s="4">
        <f>[1]节奏总纲!V17</f>
        <v>14</v>
      </c>
      <c r="W17" s="4">
        <f>[1]节奏总纲!W17</f>
        <v>0.17672699485595578</v>
      </c>
      <c r="X17" s="4">
        <f>[1]节奏总纲!X17</f>
        <v>0.150818515353903</v>
      </c>
      <c r="Y17" s="4">
        <f>[1]节奏总纲!Y17</f>
        <v>0.12507141070721128</v>
      </c>
      <c r="Z17" s="4">
        <f>[1]节奏总纲!Z17</f>
        <v>9.0495330331299417E-2</v>
      </c>
      <c r="AA17" s="4">
        <f>[1]节奏总纲!AA17</f>
        <v>4.9449627552178133E-2</v>
      </c>
      <c r="AC17" s="4">
        <f>[1]节奏总纲!AC17</f>
        <v>14</v>
      </c>
      <c r="AD17" s="4">
        <f>[1]节奏总纲!AD17</f>
        <v>39.066704614192943</v>
      </c>
      <c r="AE17" s="4">
        <f>[1]节奏总纲!AE17</f>
        <v>40.935169244165145</v>
      </c>
      <c r="AF17" s="4">
        <f>[1]节奏总纲!AF17</f>
        <v>43.484929789964411</v>
      </c>
      <c r="AG17" s="4">
        <f>[1]节奏总纲!AG17</f>
        <v>47.711408234944486</v>
      </c>
      <c r="AH17" s="4">
        <f>[1]节奏总纲!AH17</f>
        <v>56.165983112651688</v>
      </c>
      <c r="AL17" s="4">
        <f>[1]节奏总纲!AL17</f>
        <v>14</v>
      </c>
      <c r="AM17" s="4">
        <f>[1]节奏总纲!AM17</f>
        <v>1.7296773068470075</v>
      </c>
      <c r="AN17" s="4">
        <f>[1]节奏总纲!AN17</f>
        <v>1.383741845477606</v>
      </c>
      <c r="AO17" s="4">
        <f>[1]节奏总纲!AO17</f>
        <v>1.0378063841082044</v>
      </c>
      <c r="AP17" s="4">
        <f>[1]节奏总纲!AP17</f>
        <v>0.69187092273880302</v>
      </c>
      <c r="AQ17" s="4">
        <f>[1]节奏总纲!AQ17</f>
        <v>0.34593546136940151</v>
      </c>
      <c r="AS17" s="4">
        <f>[1]节奏总纲!AS17</f>
        <v>14</v>
      </c>
      <c r="AT17" s="4">
        <f>[1]节奏总纲!AT17</f>
        <v>0.31207475235536153</v>
      </c>
      <c r="AU17" s="4">
        <f>[1]节奏总纲!AU17</f>
        <v>0.24965980188428927</v>
      </c>
      <c r="AV17" s="4">
        <f>[1]节奏总纲!AV17</f>
        <v>0.18724485141321678</v>
      </c>
      <c r="AW17" s="4">
        <f>[1]节奏总纲!AW17</f>
        <v>0.12482990094214463</v>
      </c>
      <c r="AX17" s="4">
        <f>[1]节奏总纲!AX17</f>
        <v>6.2414950471072317E-2</v>
      </c>
      <c r="AY17" s="4"/>
      <c r="AZ17" s="4">
        <v>14</v>
      </c>
      <c r="BA17" s="4">
        <f>[1]节奏总纲!BA17</f>
        <v>25.707675764357255</v>
      </c>
      <c r="BB17" s="4">
        <f>[1]节奏总纲!BB17</f>
        <v>27.059707353051884</v>
      </c>
      <c r="BC17" s="4">
        <f>[1]节奏总纲!BC17</f>
        <v>28.796798156163181</v>
      </c>
      <c r="BD17" s="4">
        <f>[1]节奏总纲!BD17</f>
        <v>31.280110398778046</v>
      </c>
      <c r="BE17" s="4">
        <f>[1]节奏总纲!BE17</f>
        <v>35.634340563113874</v>
      </c>
    </row>
    <row r="18" spans="2:57" x14ac:dyDescent="0.15">
      <c r="F18" s="4">
        <f>[1]节奏总纲!F18</f>
        <v>16</v>
      </c>
      <c r="G18" s="4">
        <f>[1]节奏总纲!G18</f>
        <v>2.031433133020796</v>
      </c>
      <c r="I18" s="4">
        <f>[1]节奏总纲!I18</f>
        <v>16</v>
      </c>
      <c r="J18" s="4">
        <f>[1]节奏总纲!J18</f>
        <v>2.5387719203926467</v>
      </c>
      <c r="K18" s="4">
        <f>[1]节奏总纲!K18</f>
        <v>0.62</v>
      </c>
      <c r="N18" s="4">
        <f>[1]节奏总纲!N18</f>
        <v>25</v>
      </c>
      <c r="O18" s="4">
        <f>[1]节奏总纲!O18</f>
        <v>15</v>
      </c>
      <c r="P18" s="4">
        <f>[1]节奏总纲!P18</f>
        <v>1.8284271247461898</v>
      </c>
      <c r="Q18" s="4">
        <f>[1]节奏总纲!Q18</f>
        <v>1.5793953503557587</v>
      </c>
      <c r="R18" s="4">
        <f>[1]节奏总纲!R18</f>
        <v>1.2928808199080308</v>
      </c>
      <c r="S18" s="4">
        <f>[1]节奏总纲!S18</f>
        <v>0.94895367774327255</v>
      </c>
      <c r="T18" s="4">
        <f>[1]节奏总纲!T18</f>
        <v>0.5271355400643265</v>
      </c>
      <c r="V18" s="4">
        <f>[1]节奏总纲!V18</f>
        <v>15</v>
      </c>
      <c r="W18" s="4">
        <f>[1]节奏总纲!W18</f>
        <v>0.18941130320040145</v>
      </c>
      <c r="X18" s="4">
        <f>[1]节奏总纲!X18</f>
        <v>0.16574420427251613</v>
      </c>
      <c r="Y18" s="4">
        <f>[1]节奏总纲!Y18</f>
        <v>0.13835807521117749</v>
      </c>
      <c r="Z18" s="4">
        <f>[1]节奏总纲!Z18</f>
        <v>0.10289371066133657</v>
      </c>
      <c r="AA18" s="4">
        <f>[1]节奏总纲!AA18</f>
        <v>5.9032621430849308E-2</v>
      </c>
      <c r="AC18" s="4">
        <f>[1]节奏总纲!AC18</f>
        <v>15</v>
      </c>
      <c r="AD18" s="4">
        <f>[1]节奏总纲!AD18</f>
        <v>40</v>
      </c>
      <c r="AE18" s="4">
        <f>[1]节奏总纲!AE18</f>
        <v>41.83669503626701</v>
      </c>
      <c r="AF18" s="4">
        <f>[1]节奏总纲!AF18</f>
        <v>44.442238853326032</v>
      </c>
      <c r="AG18" s="4">
        <f>[1]节奏总纲!AG18</f>
        <v>48.731413734867289</v>
      </c>
      <c r="AH18" s="4">
        <f>[1]节奏总纲!AH18</f>
        <v>57.176846218996921</v>
      </c>
      <c r="AL18" s="4">
        <f>[1]节奏总纲!AL18</f>
        <v>15</v>
      </c>
      <c r="AM18" s="4">
        <f>[1]节奏总纲!AM18</f>
        <v>2.1</v>
      </c>
      <c r="AN18" s="4">
        <f>[1]节奏总纲!AN18</f>
        <v>1.6800000000000002</v>
      </c>
      <c r="AO18" s="4">
        <f>[1]节奏总纲!AO18</f>
        <v>1.26</v>
      </c>
      <c r="AP18" s="4">
        <f>[1]节奏总纲!AP18</f>
        <v>0.84000000000000008</v>
      </c>
      <c r="AQ18" s="4">
        <f>[1]节奏总纲!AQ18</f>
        <v>0.42000000000000004</v>
      </c>
      <c r="AS18" s="4">
        <f>[1]节奏总纲!AS18</f>
        <v>15</v>
      </c>
      <c r="AT18" s="4">
        <f>[1]节奏总纲!AT18</f>
        <v>0.3703226931529926</v>
      </c>
      <c r="AU18" s="4">
        <f>[1]节奏总纲!AU18</f>
        <v>0.29625815452239412</v>
      </c>
      <c r="AV18" s="4">
        <f>[1]节奏总纲!AV18</f>
        <v>0.22219361589179565</v>
      </c>
      <c r="AW18" s="4">
        <f>[1]节奏总纲!AW18</f>
        <v>0.14812907726119706</v>
      </c>
      <c r="AX18" s="4">
        <f>[1]节奏总纲!AX18</f>
        <v>7.4064538630598531E-2</v>
      </c>
      <c r="AY18" s="4"/>
      <c r="AZ18" s="4">
        <v>15</v>
      </c>
      <c r="BA18" s="4">
        <f>[1]节奏总纲!BA18</f>
        <v>26.127796402772656</v>
      </c>
      <c r="BB18" s="4">
        <f>[1]节奏总纲!BB18</f>
        <v>27.461368800321225</v>
      </c>
      <c r="BC18" s="4">
        <f>[1]节奏总纲!BC18</f>
        <v>29.216428548527322</v>
      </c>
      <c r="BD18" s="4">
        <f>[1]节奏总纲!BD18</f>
        <v>31.706504654507764</v>
      </c>
      <c r="BE18" s="4">
        <f>[1]节奏总纲!BE18</f>
        <v>36.105477566569242</v>
      </c>
    </row>
    <row r="19" spans="2:57" x14ac:dyDescent="0.15">
      <c r="F19" s="4">
        <f>[1]节奏总纲!F19</f>
        <v>17</v>
      </c>
      <c r="G19" s="4">
        <f>[1]节奏总纲!G19</f>
        <v>2.2490095854249419</v>
      </c>
      <c r="I19" s="4">
        <f>[1]节奏总纲!I19</f>
        <v>17</v>
      </c>
      <c r="J19" s="4">
        <f>[1]节奏总纲!J19</f>
        <v>3.0579402515786085</v>
      </c>
      <c r="K19" s="4">
        <f>[1]节奏总纲!K19</f>
        <v>0.64</v>
      </c>
      <c r="N19" s="4">
        <f>[1]节奏总纲!N19</f>
        <v>26</v>
      </c>
      <c r="O19" s="4">
        <f>[1]节奏总纲!O19</f>
        <v>16</v>
      </c>
      <c r="P19" s="4">
        <f>[1]节奏总纲!P19</f>
        <v>2.031433133020796</v>
      </c>
      <c r="Q19" s="4">
        <f>[1]节奏总纲!Q19</f>
        <v>1.7586116632561031</v>
      </c>
      <c r="R19" s="4">
        <f>[1]节奏总纲!R19</f>
        <v>1.4398798046851402</v>
      </c>
      <c r="S19" s="4">
        <f>[1]节奏总纲!S19</f>
        <v>1.0618300986299702</v>
      </c>
      <c r="T19" s="4">
        <f>[1]节奏总纲!T19</f>
        <v>0.59460047803518701</v>
      </c>
      <c r="V19" s="4">
        <f>[1]节奏总纲!V19</f>
        <v>16</v>
      </c>
      <c r="W19" s="4">
        <f>[1]节奏总纲!W19</f>
        <v>0.20300600827460613</v>
      </c>
      <c r="X19" s="4">
        <f>[1]节奏总纲!X19</f>
        <v>0.17921631290034434</v>
      </c>
      <c r="Y19" s="4">
        <f>[1]节奏总纲!Y19</f>
        <v>0.14699898477710938</v>
      </c>
      <c r="Z19" s="4">
        <f>[1]节奏总纲!Z19</f>
        <v>0.11287642088669769</v>
      </c>
      <c r="AA19" s="4">
        <f>[1]节奏总纲!AA19</f>
        <v>6.7464937970860506E-2</v>
      </c>
      <c r="AC19" s="4">
        <f>[1]节奏总纲!AC19</f>
        <v>16</v>
      </c>
      <c r="AD19" s="4">
        <f>[1]节奏总纲!AD19</f>
        <v>40.870795385807064</v>
      </c>
      <c r="AE19" s="4">
        <f>[1]节奏总纲!AE19</f>
        <v>42.707142308553742</v>
      </c>
      <c r="AF19" s="4">
        <f>[1]节奏总纲!AF19</f>
        <v>45.343250058486468</v>
      </c>
      <c r="AG19" s="4">
        <f>[1]节奏总纲!AG19</f>
        <v>49.654306534727205</v>
      </c>
      <c r="AH19" s="4">
        <f>[1]节奏总纲!AH19</f>
        <v>58.12511610143563</v>
      </c>
      <c r="AL19" s="4">
        <f>[1]节奏总纲!AL19</f>
        <v>16</v>
      </c>
      <c r="AM19" s="4">
        <f>[1]节奏总纲!AM19</f>
        <v>2.5387719203926467</v>
      </c>
      <c r="AN19" s="4">
        <f>[1]节奏总纲!AN19</f>
        <v>2.0310175363141174</v>
      </c>
      <c r="AO19" s="4">
        <f>[1]节奏总纲!AO19</f>
        <v>1.5232631522355879</v>
      </c>
      <c r="AP19" s="4">
        <f>[1]节奏总纲!AP19</f>
        <v>1.0155087681570587</v>
      </c>
      <c r="AQ19" s="4">
        <f>[1]节奏总纲!AQ19</f>
        <v>0.50775438407852935</v>
      </c>
      <c r="AS19" s="4">
        <f>[1]节奏总纲!AS19</f>
        <v>16</v>
      </c>
      <c r="AT19" s="4">
        <f>[1]节奏总纲!AT19</f>
        <v>0.43877192039264656</v>
      </c>
      <c r="AU19" s="4">
        <f>[1]节奏总纲!AU19</f>
        <v>0.35101753631411725</v>
      </c>
      <c r="AV19" s="4">
        <f>[1]节奏总纲!AV19</f>
        <v>0.26326315223558794</v>
      </c>
      <c r="AW19" s="4">
        <f>[1]节奏总纲!AW19</f>
        <v>0.17550876815705863</v>
      </c>
      <c r="AX19" s="4">
        <f>[1]节奏总纲!AX19</f>
        <v>8.7754384078529313E-2</v>
      </c>
      <c r="AY19" s="4"/>
      <c r="AZ19" s="4">
        <v>16</v>
      </c>
      <c r="BA19" s="4">
        <f>[1]节奏总纲!BA19</f>
        <v>26.504690687123308</v>
      </c>
      <c r="BB19" s="4">
        <f>[1]节奏总纲!BB19</f>
        <v>27.863030247590562</v>
      </c>
      <c r="BC19" s="4">
        <f>[1]节奏总纲!BC19</f>
        <v>29.606265091548554</v>
      </c>
      <c r="BD19" s="4">
        <f>[1]节奏总纲!BD19</f>
        <v>32.113552950216736</v>
      </c>
      <c r="BE19" s="4">
        <f>[1]节奏总纲!BE19</f>
        <v>36.526331209747774</v>
      </c>
    </row>
    <row r="20" spans="2:57" x14ac:dyDescent="0.15">
      <c r="F20" s="4">
        <f>[1]节奏总纲!F20</f>
        <v>18</v>
      </c>
      <c r="G20" s="4">
        <f>[1]节奏总纲!G20</f>
        <v>2.4822022531844965</v>
      </c>
      <c r="I20" s="4">
        <f>[1]节奏总纲!I20</f>
        <v>18</v>
      </c>
      <c r="J20" s="4">
        <f>[1]节奏总纲!J20</f>
        <v>3.671491735587451</v>
      </c>
      <c r="K20" s="4">
        <f>[1]节奏总纲!K20</f>
        <v>0.66</v>
      </c>
      <c r="N20" s="4">
        <f>[1]节奏总纲!N20</f>
        <v>27</v>
      </c>
      <c r="O20" s="4">
        <f>[1]节奏总纲!O20</f>
        <v>17</v>
      </c>
      <c r="P20" s="4">
        <f>[1]节奏总纲!P20</f>
        <v>2.2490095854249419</v>
      </c>
      <c r="Q20" s="4">
        <f>[1]节奏总纲!Q20</f>
        <v>1.9433691827656923</v>
      </c>
      <c r="R20" s="4">
        <f>[1]节奏总纲!R20</f>
        <v>1.5904995788125189</v>
      </c>
      <c r="S20" s="4">
        <f>[1]节奏总纲!S20</f>
        <v>1.1742079045503622</v>
      </c>
      <c r="T20" s="4">
        <f>[1]节奏总纲!T20</f>
        <v>0.65311238360740309</v>
      </c>
      <c r="V20" s="4">
        <f>[1]节奏总纲!V20</f>
        <v>17</v>
      </c>
      <c r="W20" s="4">
        <f>[1]节奏总纲!W20</f>
        <v>0.21757645240414591</v>
      </c>
      <c r="X20" s="4">
        <f>[1]节奏总纲!X20</f>
        <v>0.18475751950958919</v>
      </c>
      <c r="Y20" s="4">
        <f>[1]节奏总纲!Y20</f>
        <v>0.1506197741273787</v>
      </c>
      <c r="Z20" s="4">
        <f>[1]节奏总纲!Z20</f>
        <v>0.11237780592039193</v>
      </c>
      <c r="AA20" s="4">
        <f>[1]节奏总纲!AA20</f>
        <v>5.8511905572216083E-2</v>
      </c>
      <c r="AC20" s="4">
        <f>[1]节奏总纲!AC20</f>
        <v>17</v>
      </c>
      <c r="AD20" s="4">
        <f>[1]节奏总纲!AD20</f>
        <v>41.691928656135218</v>
      </c>
      <c r="AE20" s="4">
        <f>[1]节奏总纲!AE20</f>
        <v>43.535389560453282</v>
      </c>
      <c r="AF20" s="4">
        <f>[1]节奏总纲!AF20</f>
        <v>46.195785611164197</v>
      </c>
      <c r="AG20" s="4">
        <f>[1]节奏总纲!AG20</f>
        <v>50.510850036206186</v>
      </c>
      <c r="AH20" s="4">
        <f>[1]节奏总纲!AH20</f>
        <v>58.996855914896834</v>
      </c>
      <c r="AL20" s="4">
        <f>[1]节奏总纲!AL20</f>
        <v>17</v>
      </c>
      <c r="AM20" s="4">
        <f>[1]节奏总纲!AM20</f>
        <v>3.0579402515786085</v>
      </c>
      <c r="AN20" s="4">
        <f>[1]节奏总纲!AN20</f>
        <v>2.4463522012628869</v>
      </c>
      <c r="AO20" s="4">
        <f>[1]节奏总纲!AO20</f>
        <v>1.8347641509471651</v>
      </c>
      <c r="AP20" s="4">
        <f>[1]节奏总纲!AP20</f>
        <v>1.2231761006314434</v>
      </c>
      <c r="AQ20" s="4">
        <f>[1]节奏总纲!AQ20</f>
        <v>0.61158805031572172</v>
      </c>
      <c r="AS20" s="4">
        <f>[1]节奏总纲!AS20</f>
        <v>17</v>
      </c>
      <c r="AT20" s="4">
        <f>[1]节奏总纲!AT20</f>
        <v>0.51916833118596184</v>
      </c>
      <c r="AU20" s="4">
        <f>[1]节奏总纲!AU20</f>
        <v>0.41533466494876947</v>
      </c>
      <c r="AV20" s="4">
        <f>[1]节奏总纲!AV20</f>
        <v>0.3115009987115771</v>
      </c>
      <c r="AW20" s="4">
        <f>[1]节奏总纲!AW20</f>
        <v>0.20766733247438474</v>
      </c>
      <c r="AX20" s="4">
        <f>[1]节奏总纲!AX20</f>
        <v>0.10383366623719237</v>
      </c>
      <c r="AY20" s="4"/>
      <c r="AZ20" s="4">
        <v>17</v>
      </c>
      <c r="BA20" s="4">
        <f>[1]节奏总纲!BA20</f>
        <v>26.881584971473956</v>
      </c>
      <c r="BB20" s="4">
        <f>[1]节奏总纲!BB20</f>
        <v>28.225778459464117</v>
      </c>
      <c r="BC20" s="4">
        <f>[1]节奏总纲!BC20</f>
        <v>29.996101634569786</v>
      </c>
      <c r="BD20" s="4">
        <f>[1]节奏总纲!BD20</f>
        <v>32.477877425165822</v>
      </c>
      <c r="BE20" s="4">
        <f>[1]节奏总纲!BE20</f>
        <v>36.947184852926306</v>
      </c>
    </row>
    <row r="21" spans="2:57" x14ac:dyDescent="0.15">
      <c r="F21" s="4">
        <f>[1]节奏总纲!F21</f>
        <v>19</v>
      </c>
      <c r="G21" s="4">
        <f>[1]节奏总纲!G21</f>
        <v>2.7321319661472296</v>
      </c>
      <c r="I21" s="4">
        <f>[1]节奏总纲!I21</f>
        <v>19</v>
      </c>
      <c r="J21" s="4">
        <f>[1]节奏总纲!J21</f>
        <v>4.3957950643309154</v>
      </c>
      <c r="K21" s="4">
        <f>[1]节奏总纲!K21</f>
        <v>0.68</v>
      </c>
      <c r="N21" s="4">
        <f>[1]节奏总纲!N21</f>
        <v>28</v>
      </c>
      <c r="O21" s="4">
        <f>[1]节奏总纲!O21</f>
        <v>18</v>
      </c>
      <c r="P21" s="4">
        <f>[1]节奏总纲!P21</f>
        <v>2.4822022531844965</v>
      </c>
      <c r="Q21" s="4">
        <f>[1]节奏总纲!Q21</f>
        <v>2.1515729130603214</v>
      </c>
      <c r="R21" s="4">
        <f>[1]节奏总纲!R21</f>
        <v>1.7690655458445907</v>
      </c>
      <c r="S21" s="4">
        <f>[1]节奏总纲!S21</f>
        <v>1.3066312660763189</v>
      </c>
      <c r="T21" s="4">
        <f>[1]节奏总纲!T21</f>
        <v>0.72554771860582834</v>
      </c>
      <c r="V21" s="4">
        <f>[1]节奏总纲!V21</f>
        <v>18</v>
      </c>
      <c r="W21" s="4">
        <f>[1]节奏总纲!W21</f>
        <v>0.23319266775955461</v>
      </c>
      <c r="X21" s="4">
        <f>[1]节奏总纲!X21</f>
        <v>0.20820373029462913</v>
      </c>
      <c r="Y21" s="4">
        <f>[1]节奏总纲!Y21</f>
        <v>0.17856596703207184</v>
      </c>
      <c r="Z21" s="4">
        <f>[1]节奏总纲!Z21</f>
        <v>0.13242336152595668</v>
      </c>
      <c r="AA21" s="4">
        <f>[1]节奏总纲!AA21</f>
        <v>7.2435334998425249E-2</v>
      </c>
      <c r="AC21" s="4">
        <f>[1]节奏总纲!AC21</f>
        <v>18</v>
      </c>
      <c r="AD21" s="4">
        <f>[1]节奏总纲!AD21</f>
        <v>42.470630686057078</v>
      </c>
      <c r="AE21" s="4">
        <f>[1]节奏总纲!AE21</f>
        <v>44.32123076997032</v>
      </c>
      <c r="AF21" s="4">
        <f>[1]节奏总纲!AF21</f>
        <v>47.002405448181747</v>
      </c>
      <c r="AG21" s="4">
        <f>[1]节奏总纲!AG21</f>
        <v>51.307235833425089</v>
      </c>
      <c r="AH21" s="4">
        <f>[1]节奏总纲!AH21</f>
        <v>59.782901351568675</v>
      </c>
      <c r="AL21" s="4">
        <f>[1]节奏总纲!AL21</f>
        <v>18</v>
      </c>
      <c r="AM21" s="4">
        <f>[1]节奏总纲!AM21</f>
        <v>3.671491735587451</v>
      </c>
      <c r="AN21" s="4">
        <f>[1]节奏总纲!AN21</f>
        <v>2.9371933884699608</v>
      </c>
      <c r="AO21" s="4">
        <f>[1]节奏总纲!AO21</f>
        <v>2.2028950413524706</v>
      </c>
      <c r="AP21" s="4">
        <f>[1]节奏总纲!AP21</f>
        <v>1.4685966942349804</v>
      </c>
      <c r="AQ21" s="4">
        <f>[1]节奏总纲!AQ21</f>
        <v>0.7342983471174902</v>
      </c>
      <c r="AS21" s="4">
        <f>[1]节奏总纲!AS21</f>
        <v>18</v>
      </c>
      <c r="AT21" s="4">
        <f>[1]节奏总纲!AT21</f>
        <v>0.61355148400884252</v>
      </c>
      <c r="AU21" s="4">
        <f>[1]节奏总纲!AU21</f>
        <v>0.49084118720707393</v>
      </c>
      <c r="AV21" s="4">
        <f>[1]节奏总纲!AV21</f>
        <v>0.36813089040530556</v>
      </c>
      <c r="AW21" s="4">
        <f>[1]节奏总纲!AW21</f>
        <v>0.24542059360353696</v>
      </c>
      <c r="AX21" s="4">
        <f>[1]节奏总纲!AX21</f>
        <v>0.12271029680176848</v>
      </c>
      <c r="AY21" s="4"/>
      <c r="AZ21" s="4">
        <v>18</v>
      </c>
      <c r="BA21" s="4">
        <f>[1]节奏总纲!BA21</f>
        <v>27.220371931959619</v>
      </c>
      <c r="BB21" s="4">
        <f>[1]节奏总纲!BB21</f>
        <v>28.568390277483555</v>
      </c>
      <c r="BC21" s="4">
        <f>[1]节奏总纲!BC21</f>
        <v>30.329493925593439</v>
      </c>
      <c r="BD21" s="4">
        <f>[1]节奏总纲!BD21</f>
        <v>32.842201900114915</v>
      </c>
      <c r="BE21" s="4">
        <f>[1]节奏总纲!BE21</f>
        <v>37.317457773889828</v>
      </c>
    </row>
    <row r="22" spans="2:57" x14ac:dyDescent="0.15">
      <c r="B22" s="152" t="s">
        <v>159</v>
      </c>
      <c r="C22" s="152"/>
      <c r="D22" s="152"/>
      <c r="F22" s="4">
        <f>[1]节奏总纲!F22</f>
        <v>20</v>
      </c>
      <c r="G22" s="4">
        <f>[1]节奏总纲!G22</f>
        <v>3</v>
      </c>
      <c r="I22" s="4">
        <f>[1]节奏总纲!I22</f>
        <v>20</v>
      </c>
      <c r="J22" s="4">
        <f>[1]节奏总纲!J22</f>
        <v>5.25</v>
      </c>
      <c r="K22" s="4">
        <f>[1]节奏总纲!K22</f>
        <v>0.7</v>
      </c>
      <c r="N22" s="4">
        <f>[1]节奏总纲!N22</f>
        <v>29</v>
      </c>
      <c r="O22" s="4">
        <f>[1]节奏总纲!O22</f>
        <v>19</v>
      </c>
      <c r="P22" s="4">
        <f>[1]节奏总纲!P22</f>
        <v>2.7321319661472296</v>
      </c>
      <c r="Q22" s="4">
        <f>[1]节奏总纲!Q22</f>
        <v>2.3734030389920986</v>
      </c>
      <c r="R22" s="4">
        <f>[1]节奏总纲!R22</f>
        <v>1.9510154370257367</v>
      </c>
      <c r="S22" s="4">
        <f>[1]节奏总纲!S22</f>
        <v>1.4395603329629754</v>
      </c>
      <c r="T22" s="4">
        <f>[1]节奏总纲!T22</f>
        <v>0.80270037165405606</v>
      </c>
      <c r="V22" s="4">
        <f>[1]节奏总纲!V22</f>
        <v>19</v>
      </c>
      <c r="W22" s="4">
        <f>[1]节奏总纲!W22</f>
        <v>0.24992971296273314</v>
      </c>
      <c r="X22" s="4">
        <f>[1]节奏总纲!X22</f>
        <v>0.2218301259317772</v>
      </c>
      <c r="Y22" s="4">
        <f>[1]节奏总纲!Y22</f>
        <v>0.18194989118114591</v>
      </c>
      <c r="Z22" s="4">
        <f>[1]节奏总纲!Z22</f>
        <v>0.13292906688665651</v>
      </c>
      <c r="AA22" s="4">
        <f>[1]节奏总纲!AA22</f>
        <v>7.7152653048227715E-2</v>
      </c>
      <c r="AC22" s="4">
        <f>[1]节奏总纲!AC22</f>
        <v>19</v>
      </c>
      <c r="AD22" s="4">
        <f>[1]节奏总纲!AD22</f>
        <v>43.213386604241784</v>
      </c>
      <c r="AE22" s="4">
        <f>[1]节奏总纲!AE22</f>
        <v>45.070782602372333</v>
      </c>
      <c r="AF22" s="4">
        <f>[1]节奏总纲!AF22</f>
        <v>47.752799438858894</v>
      </c>
      <c r="AG22" s="4">
        <f>[1]节奏总纲!AG22</f>
        <v>52.050057424983954</v>
      </c>
      <c r="AH22" s="4">
        <f>[1]节奏总纲!AH22</f>
        <v>60.54585273688761</v>
      </c>
      <c r="AL22" s="4">
        <f>[1]节奏总纲!AL22</f>
        <v>19</v>
      </c>
      <c r="AM22" s="4">
        <f>[1]节奏总纲!AM22</f>
        <v>4.3957950643309154</v>
      </c>
      <c r="AN22" s="4">
        <f>[1]节奏总纲!AN22</f>
        <v>3.5166360514647326</v>
      </c>
      <c r="AO22" s="4">
        <f>[1]节奏总纲!AO22</f>
        <v>2.6374770385985493</v>
      </c>
      <c r="AP22" s="4">
        <f>[1]节奏总纲!AP22</f>
        <v>1.7583180257323663</v>
      </c>
      <c r="AQ22" s="4">
        <f>[1]节奏总纲!AQ22</f>
        <v>0.87915901286618314</v>
      </c>
      <c r="AS22" s="4">
        <f>[1]节奏总纲!AS22</f>
        <v>19</v>
      </c>
      <c r="AT22" s="4">
        <f>[1]节奏总纲!AT22</f>
        <v>0.72430332874346437</v>
      </c>
      <c r="AU22" s="4">
        <f>[1]节奏总纲!AU22</f>
        <v>0.57944266299477176</v>
      </c>
      <c r="AV22" s="4">
        <f>[1]节奏总纲!AV22</f>
        <v>0.43458199724607871</v>
      </c>
      <c r="AW22" s="4">
        <f>[1]节奏总纲!AW22</f>
        <v>0.28972133149738588</v>
      </c>
      <c r="AX22" s="4">
        <f>[1]节奏总纲!AX22</f>
        <v>0.14486066574869294</v>
      </c>
      <c r="AY22" s="4"/>
      <c r="AZ22" s="4">
        <v>19</v>
      </c>
      <c r="BA22" s="4">
        <f>[1]节奏总纲!BA22</f>
        <v>27.541701089775092</v>
      </c>
      <c r="BB22" s="4">
        <f>[1]节奏总纲!BB22</f>
        <v>28.911002095502997</v>
      </c>
      <c r="BC22" s="4">
        <f>[1]节奏总纲!BC22</f>
        <v>30.662316072657521</v>
      </c>
      <c r="BD22" s="4">
        <f>[1]节奏总纲!BD22</f>
        <v>33.176527924103851</v>
      </c>
      <c r="BE22" s="4">
        <f>[1]节奏总纲!BE22</f>
        <v>37.680472138177471</v>
      </c>
    </row>
    <row r="23" spans="2:57" x14ac:dyDescent="0.15">
      <c r="B23" s="4" t="s">
        <v>478</v>
      </c>
      <c r="C23" s="4" t="s">
        <v>91</v>
      </c>
      <c r="D23" s="4" t="s">
        <v>158</v>
      </c>
      <c r="F23" s="4">
        <f>[1]节奏总纲!F23</f>
        <v>21</v>
      </c>
      <c r="G23" s="4">
        <f>[1]节奏总纲!G23</f>
        <v>3.2870938501451725</v>
      </c>
      <c r="I23" s="4">
        <f>[1]节奏总纲!I23</f>
        <v>21</v>
      </c>
      <c r="J23" s="4">
        <f>[1]节奏总纲!J23</f>
        <v>6.2565025247829205</v>
      </c>
      <c r="K23" s="4">
        <f>[1]节奏总纲!K23</f>
        <v>0.72</v>
      </c>
      <c r="N23" s="4">
        <f>[1]节奏总纲!N23</f>
        <v>30</v>
      </c>
      <c r="O23" s="4">
        <f>[1]节奏总纲!O23</f>
        <v>20</v>
      </c>
      <c r="P23" s="4">
        <f>[1]节奏总纲!P23</f>
        <v>3</v>
      </c>
      <c r="Q23" s="4">
        <f>[1]节奏总纲!Q23</f>
        <v>2.6036999999999999</v>
      </c>
      <c r="R23" s="4">
        <f>[1]节奏总纲!R23</f>
        <v>2.1372</v>
      </c>
      <c r="S23" s="4">
        <f>[1]节奏总纲!S23</f>
        <v>1.5800999999999998</v>
      </c>
      <c r="T23" s="4">
        <f>[1]节奏总纲!T23</f>
        <v>0.87990000000000002</v>
      </c>
      <c r="V23" s="4">
        <f>[1]节奏总纲!V23</f>
        <v>20</v>
      </c>
      <c r="W23" s="4">
        <f>[1]节奏总纲!W23</f>
        <v>0.26786803385277036</v>
      </c>
      <c r="X23" s="4">
        <f>[1]节奏总纲!X23</f>
        <v>0.23029696100790131</v>
      </c>
      <c r="Y23" s="4">
        <f>[1]节奏总纲!Y23</f>
        <v>0.18618456297426333</v>
      </c>
      <c r="Z23" s="4">
        <f>[1]节奏总纲!Z23</f>
        <v>0.14053966703702447</v>
      </c>
      <c r="AA23" s="4">
        <f>[1]节奏总纲!AA23</f>
        <v>7.719962834594396E-2</v>
      </c>
      <c r="AC23" s="4">
        <f>[1]节奏总纲!AC23</f>
        <v>20</v>
      </c>
      <c r="AD23" s="4">
        <f>[1]节奏总纲!AD23</f>
        <v>43.920692243099523</v>
      </c>
      <c r="AE23" s="4">
        <f>[1]节奏总纲!AE23</f>
        <v>45.780025086357675</v>
      </c>
      <c r="AF23" s="4">
        <f>[1]节奏总纲!AF23</f>
        <v>48.482447528152484</v>
      </c>
      <c r="AG23" s="4">
        <f>[1]节奏总纲!AG23</f>
        <v>52.769987980532711</v>
      </c>
      <c r="AH23" s="4">
        <f>[1]节奏总纲!AH23</f>
        <v>61.261422558944936</v>
      </c>
      <c r="AL23" s="4">
        <f>[1]节奏总纲!AL23</f>
        <v>20</v>
      </c>
      <c r="AM23" s="4">
        <f>[1]节奏总纲!AM23</f>
        <v>5.25</v>
      </c>
      <c r="AN23" s="4">
        <f>[1]节奏总纲!AN23</f>
        <v>4.2</v>
      </c>
      <c r="AO23" s="4">
        <f>[1]节奏总纲!AO23</f>
        <v>3.15</v>
      </c>
      <c r="AP23" s="4">
        <f>[1]节奏总纲!AP23</f>
        <v>2.1</v>
      </c>
      <c r="AQ23" s="4">
        <f>[1]节奏总纲!AQ23</f>
        <v>1.05</v>
      </c>
      <c r="AS23" s="4">
        <f>[1]节奏总纲!AS23</f>
        <v>20</v>
      </c>
      <c r="AT23" s="4">
        <f>[1]节奏总纲!AT23</f>
        <v>0.85420493566908462</v>
      </c>
      <c r="AU23" s="4">
        <f>[1]节奏总纲!AU23</f>
        <v>0.68336394853526761</v>
      </c>
      <c r="AV23" s="4">
        <f>[1]节奏总纲!AV23</f>
        <v>0.51252296140145059</v>
      </c>
      <c r="AW23" s="4">
        <f>[1]节奏总纲!AW23</f>
        <v>0.3416819742676338</v>
      </c>
      <c r="AX23" s="4">
        <f>[1]节奏总纲!AX23</f>
        <v>0.1708409871338169</v>
      </c>
      <c r="AY23" s="4"/>
      <c r="AZ23" s="4">
        <v>20</v>
      </c>
      <c r="BA23" s="4">
        <f>[1]节奏总纲!BA23</f>
        <v>27.863030247590562</v>
      </c>
      <c r="BB23" s="4">
        <f>[1]节奏总纲!BB23</f>
        <v>29.216428548527322</v>
      </c>
      <c r="BC23" s="4">
        <f>[1]节奏总纲!BC23</f>
        <v>30.995138219721603</v>
      </c>
      <c r="BD23" s="4">
        <f>[1]节奏总纲!BD23</f>
        <v>33.487933395889513</v>
      </c>
      <c r="BE23" s="4">
        <f>[1]节奏总纲!BE23</f>
        <v>38.037513426486328</v>
      </c>
    </row>
    <row r="24" spans="2:57" x14ac:dyDescent="0.15">
      <c r="B24" s="4">
        <f>[1]节奏总纲!B24</f>
        <v>5</v>
      </c>
      <c r="C24" s="4">
        <f>[1]节奏总纲!C24</f>
        <v>0.5</v>
      </c>
      <c r="D24" s="4">
        <f>[1]节奏总纲!D24</f>
        <v>0.5</v>
      </c>
      <c r="F24" s="4">
        <f>[1]节奏总纲!F24</f>
        <v>22</v>
      </c>
      <c r="G24" s="4">
        <f>[1]节奏总纲!G24</f>
        <v>3.5947934199881395</v>
      </c>
      <c r="I24" s="4">
        <f>[1]节奏总纲!I24</f>
        <v>22</v>
      </c>
      <c r="J24" s="4">
        <f>[1]节奏总纲!J24</f>
        <v>7.4414868317755332</v>
      </c>
      <c r="K24" s="4">
        <f>[1]节奏总纲!K24</f>
        <v>0.74</v>
      </c>
      <c r="N24" s="4">
        <f>[1]节奏总纲!N24</f>
        <v>31</v>
      </c>
      <c r="O24" s="4">
        <f>[1]节奏总纲!O24</f>
        <v>21</v>
      </c>
      <c r="P24" s="4">
        <f>[1]节奏总纲!P24</f>
        <v>3.2870938501451725</v>
      </c>
      <c r="Q24" s="4">
        <f>[1]节奏总纲!Q24</f>
        <v>2.8518826243859516</v>
      </c>
      <c r="R24" s="4">
        <f>[1]节奏总纲!R24</f>
        <v>2.3466562996186386</v>
      </c>
      <c r="S24" s="4">
        <f>[1]节奏总纲!S24</f>
        <v>1.7365716810316947</v>
      </c>
      <c r="T24" s="4">
        <f>[1]节奏总纲!T24</f>
        <v>0.97166494210291288</v>
      </c>
      <c r="V24" s="4">
        <f>[1]节奏总纲!V24</f>
        <v>21</v>
      </c>
      <c r="W24" s="4">
        <f>[1]节奏总纲!W24</f>
        <v>0.28709385014517252</v>
      </c>
      <c r="X24" s="4">
        <f>[1]节奏总纲!X24</f>
        <v>0.24818262438595173</v>
      </c>
      <c r="Y24" s="4">
        <f>[1]节奏总纲!Y24</f>
        <v>0.20945629961863865</v>
      </c>
      <c r="Z24" s="4">
        <f>[1]节奏总纲!Z24</f>
        <v>0.15647168103169484</v>
      </c>
      <c r="AA24" s="4">
        <f>[1]节奏总纲!AA24</f>
        <v>9.1764942102912861E-2</v>
      </c>
      <c r="AC24" s="4">
        <f>[1]节奏总纲!AC24</f>
        <v>21</v>
      </c>
      <c r="AD24" s="4">
        <f>[1]节奏总纲!AD24</f>
        <v>44.585942742481357</v>
      </c>
      <c r="AE24" s="4">
        <f>[1]节奏总纲!AE24</f>
        <v>46.455967430551723</v>
      </c>
      <c r="AF24" s="4">
        <f>[1]节奏总纲!AF24</f>
        <v>49.18886033229559</v>
      </c>
      <c r="AG24" s="4">
        <f>[1]节奏总纲!AG24</f>
        <v>53.471660769826336</v>
      </c>
      <c r="AH24" s="4">
        <f>[1]节奏总纲!AH24</f>
        <v>61.918453772109508</v>
      </c>
      <c r="AL24" s="4">
        <f>[1]节奏总纲!AL24</f>
        <v>21</v>
      </c>
      <c r="AM24" s="4">
        <f>[1]节奏总纲!AM24</f>
        <v>6.2565025247829205</v>
      </c>
      <c r="AN24" s="4">
        <f>[1]节奏总纲!AN24</f>
        <v>5.0052020198263367</v>
      </c>
      <c r="AO24" s="4">
        <f>[1]节奏总纲!AO24</f>
        <v>3.7539015148697521</v>
      </c>
      <c r="AP24" s="4">
        <f>[1]节奏总纲!AP24</f>
        <v>2.5026010099131684</v>
      </c>
      <c r="AQ24" s="4">
        <f>[1]节奏总纲!AQ24</f>
        <v>1.2513005049565842</v>
      </c>
      <c r="AS24" s="4">
        <f>[1]节奏总纲!AS24</f>
        <v>21</v>
      </c>
      <c r="AT24" s="4">
        <f>[1]节奏总纲!AT24</f>
        <v>1.0065025247829205</v>
      </c>
      <c r="AU24" s="4">
        <f>[1]节奏总纲!AU24</f>
        <v>0.80520201982633655</v>
      </c>
      <c r="AV24" s="4">
        <f>[1]节奏总纲!AV24</f>
        <v>0.60390151486975219</v>
      </c>
      <c r="AW24" s="4">
        <f>[1]节奏总纲!AW24</f>
        <v>0.40260100991316827</v>
      </c>
      <c r="AX24" s="4">
        <f>[1]节奏总纲!AX24</f>
        <v>0.20130050495658414</v>
      </c>
      <c r="AY24" s="4"/>
      <c r="AZ24" s="4">
        <v>21</v>
      </c>
      <c r="BA24" s="4">
        <f>[1]节奏总纲!BA24</f>
        <v>28.157256095860227</v>
      </c>
      <c r="BB24" s="4">
        <f>[1]节奏总纲!BB24</f>
        <v>29.508805955793246</v>
      </c>
      <c r="BC24" s="4">
        <f>[1]节奏总纲!BC24</f>
        <v>31.280110398778046</v>
      </c>
      <c r="BD24" s="4">
        <f>[1]节奏总纲!BD24</f>
        <v>33.799338867675175</v>
      </c>
      <c r="BE24" s="4">
        <f>[1]节奏总纲!BE24</f>
        <v>38.35066605767593</v>
      </c>
    </row>
    <row r="25" spans="2:57" x14ac:dyDescent="0.15">
      <c r="B25" s="4">
        <f>[1]节奏总纲!B25</f>
        <v>10</v>
      </c>
      <c r="C25" s="4">
        <f>[1]节奏总纲!C25</f>
        <v>1.5</v>
      </c>
      <c r="D25" s="4">
        <f>[1]节奏总纲!D25</f>
        <v>1</v>
      </c>
      <c r="F25" s="4">
        <f>[1]节奏总纲!F25</f>
        <v>23</v>
      </c>
      <c r="G25" s="4">
        <f>[1]节奏总纲!G25</f>
        <v>3.9245776533796644</v>
      </c>
      <c r="I25" s="4">
        <f>[1]节奏总纲!I25</f>
        <v>23</v>
      </c>
      <c r="J25" s="4">
        <f>[1]节奏总纲!J25</f>
        <v>8.8355567243832152</v>
      </c>
      <c r="K25" s="4">
        <f>[1]节奏总纲!K25</f>
        <v>0.76</v>
      </c>
      <c r="N25" s="4">
        <f>[1]节奏总纲!N25</f>
        <v>32</v>
      </c>
      <c r="O25" s="4">
        <f>[1]节奏总纲!O25</f>
        <v>22</v>
      </c>
      <c r="P25" s="4">
        <f>[1]节奏总纲!P25</f>
        <v>3.5947934199881395</v>
      </c>
      <c r="Q25" s="4">
        <f>[1]节奏总纲!Q25</f>
        <v>3.124234961311692</v>
      </c>
      <c r="R25" s="4">
        <f>[1]节奏总纲!R25</f>
        <v>2.5749505267375046</v>
      </c>
      <c r="S25" s="4">
        <f>[1]节奏总纲!S25</f>
        <v>1.9077568679877055</v>
      </c>
      <c r="T25" s="4">
        <f>[1]节奏总纲!T25</f>
        <v>1.0687320837624739</v>
      </c>
      <c r="V25" s="4">
        <f>[1]节奏总纲!V25</f>
        <v>22</v>
      </c>
      <c r="W25" s="4">
        <f>[1]节奏总纲!W25</f>
        <v>0.30769956984296698</v>
      </c>
      <c r="X25" s="4">
        <f>[1]节奏总纲!X25</f>
        <v>0.27235233692574035</v>
      </c>
      <c r="Y25" s="4">
        <f>[1]节奏总纲!Y25</f>
        <v>0.22829422711886593</v>
      </c>
      <c r="Z25" s="4">
        <f>[1]节奏总纲!Z25</f>
        <v>0.17118518695601082</v>
      </c>
      <c r="AA25" s="4">
        <f>[1]节奏总纲!AA25</f>
        <v>9.7067141659560985E-2</v>
      </c>
      <c r="AC25" s="4">
        <f>[1]节奏总纲!AC25</f>
        <v>22</v>
      </c>
      <c r="AD25" s="4">
        <f>[1]节奏总纲!AD25</f>
        <v>45.229416240679988</v>
      </c>
      <c r="AE25" s="4">
        <f>[1]节奏总纲!AE25</f>
        <v>47.110426931480873</v>
      </c>
      <c r="AF25" s="4">
        <f>[1]节奏总纲!AF25</f>
        <v>49.861837738505173</v>
      </c>
      <c r="AG25" s="4">
        <f>[1]节奏总纲!AG25</f>
        <v>54.15637358335789</v>
      </c>
      <c r="AH25" s="4">
        <f>[1]节奏总纲!AH25</f>
        <v>62.555781631668886</v>
      </c>
      <c r="AL25" s="4">
        <f>[1]节奏总纲!AL25</f>
        <v>22</v>
      </c>
      <c r="AM25" s="4">
        <f>[1]节奏总纲!AM25</f>
        <v>7.4414868317755332</v>
      </c>
      <c r="AN25" s="4">
        <f>[1]节奏总纲!AN25</f>
        <v>5.9531894654204267</v>
      </c>
      <c r="AO25" s="4">
        <f>[1]节奏总纲!AO25</f>
        <v>4.4648920990653194</v>
      </c>
      <c r="AP25" s="4">
        <f>[1]节奏总纲!AP25</f>
        <v>2.9765947327102134</v>
      </c>
      <c r="AQ25" s="4">
        <f>[1]节奏总纲!AQ25</f>
        <v>1.4882973663551067</v>
      </c>
      <c r="AS25" s="4">
        <f>[1]节奏总纲!AS25</f>
        <v>22</v>
      </c>
      <c r="AT25" s="4">
        <f>[1]节奏总纲!AT25</f>
        <v>1.1849843069926127</v>
      </c>
      <c r="AU25" s="4">
        <f>[1]节奏总纲!AU25</f>
        <v>0.94798744559408998</v>
      </c>
      <c r="AV25" s="4">
        <f>[1]节奏总纲!AV25</f>
        <v>0.71099058419556727</v>
      </c>
      <c r="AW25" s="4">
        <f>[1]节奏总纲!AW25</f>
        <v>0.47399372279704499</v>
      </c>
      <c r="AX25" s="4">
        <f>[1]节奏总纲!AX25</f>
        <v>0.2369968613985225</v>
      </c>
      <c r="AY25" s="4"/>
      <c r="AZ25" s="4">
        <v>22</v>
      </c>
      <c r="BA25" s="4">
        <f>[1]节奏总纲!BA25</f>
        <v>28.431345550275779</v>
      </c>
      <c r="BB25" s="4">
        <f>[1]节奏总纲!BB25</f>
        <v>29.80118336305917</v>
      </c>
      <c r="BC25" s="4">
        <f>[1]节奏总纲!BC25</f>
        <v>31.564373235931193</v>
      </c>
      <c r="BD25" s="4">
        <f>[1]节奏总纲!BD25</f>
        <v>34.09469189131628</v>
      </c>
      <c r="BE25" s="4">
        <f>[1]节奏总纲!BE25</f>
        <v>38.663818688865533</v>
      </c>
    </row>
    <row r="26" spans="2:57" x14ac:dyDescent="0.15">
      <c r="B26" s="4">
        <f>[1]节奏总纲!B26</f>
        <v>15</v>
      </c>
      <c r="C26" s="4">
        <f>[1]节奏总纲!C26</f>
        <v>3.5</v>
      </c>
      <c r="D26" s="4">
        <f>[1]节奏总纲!D26</f>
        <v>2</v>
      </c>
      <c r="F26" s="4">
        <f>[1]节奏总纲!F26</f>
        <v>24</v>
      </c>
      <c r="G26" s="4">
        <f>[1]节奏总纲!G26</f>
        <v>4.2780316430915768</v>
      </c>
      <c r="I26" s="4">
        <f>[1]节奏总纲!I26</f>
        <v>24</v>
      </c>
      <c r="J26" s="4">
        <f>[1]节奏总纲!J26</f>
        <v>10.47447102993563</v>
      </c>
      <c r="K26" s="4">
        <f>[1]节奏总纲!K26</f>
        <v>0.78</v>
      </c>
      <c r="N26" s="4">
        <f>[1]节奏总纲!N26</f>
        <v>33</v>
      </c>
      <c r="O26" s="4">
        <f>[1]节奏总纲!O26</f>
        <v>23</v>
      </c>
      <c r="P26" s="4">
        <f>[1]节奏总纲!P26</f>
        <v>3.9245776533796644</v>
      </c>
      <c r="Q26" s="4">
        <f>[1]节奏总纲!Q26</f>
        <v>3.4081032341949005</v>
      </c>
      <c r="R26" s="4">
        <f>[1]节奏总纲!R26</f>
        <v>2.8064654799317976</v>
      </c>
      <c r="S26" s="4">
        <f>[1]节奏总纲!S26</f>
        <v>2.0796336985258841</v>
      </c>
      <c r="T26" s="4">
        <f>[1]节奏总纲!T26</f>
        <v>1.1608900698697047</v>
      </c>
      <c r="V26" s="4">
        <f>[1]节奏总纲!V26</f>
        <v>23</v>
      </c>
      <c r="W26" s="4">
        <f>[1]节奏总纲!W26</f>
        <v>0.32978423339152485</v>
      </c>
      <c r="X26" s="4">
        <f>[1]节奏总纲!X26</f>
        <v>0.28386827288320848</v>
      </c>
      <c r="Y26" s="4">
        <f>[1]节奏总纲!Y26</f>
        <v>0.23151495319429305</v>
      </c>
      <c r="Z26" s="4">
        <f>[1]节奏总纲!Z26</f>
        <v>0.17187683053817859</v>
      </c>
      <c r="AA26" s="4">
        <f>[1]节奏总纲!AA26</f>
        <v>9.2157986107230805E-2</v>
      </c>
      <c r="AC26" s="4">
        <f>[1]节奏总纲!AC26</f>
        <v>23</v>
      </c>
      <c r="AD26" s="4">
        <f>[1]节奏总纲!AD26</f>
        <v>45.845161563010116</v>
      </c>
      <c r="AE26" s="4">
        <f>[1]节奏总纲!AE26</f>
        <v>47.734594805743399</v>
      </c>
      <c r="AF26" s="4">
        <f>[1]节奏总纲!AF26</f>
        <v>50.503430607741265</v>
      </c>
      <c r="AG26" s="4">
        <f>[1]节奏总纲!AG26</f>
        <v>54.814188287451351</v>
      </c>
      <c r="AH26" s="4">
        <f>[1]节奏总纲!AH26</f>
        <v>63.182677965405439</v>
      </c>
      <c r="AL26" s="4">
        <f>[1]节奏总纲!AL26</f>
        <v>23</v>
      </c>
      <c r="AM26" s="4">
        <f>[1]节奏总纲!AM26</f>
        <v>8.8355567243832152</v>
      </c>
      <c r="AN26" s="4">
        <f>[1]节奏总纲!AN26</f>
        <v>7.0684453795065725</v>
      </c>
      <c r="AO26" s="4">
        <f>[1]节奏总纲!AO26</f>
        <v>5.3013340346299289</v>
      </c>
      <c r="AP26" s="4">
        <f>[1]节奏总纲!AP26</f>
        <v>3.5342226897532862</v>
      </c>
      <c r="AQ26" s="4">
        <f>[1]节奏总纲!AQ26</f>
        <v>1.7671113448766431</v>
      </c>
      <c r="AS26" s="4">
        <f>[1]节奏总纲!AS26</f>
        <v>23</v>
      </c>
      <c r="AT26" s="4">
        <f>[1]节奏总纲!AT26</f>
        <v>1.394069892607682</v>
      </c>
      <c r="AU26" s="4">
        <f>[1]节奏总纲!AU26</f>
        <v>1.1152559140861458</v>
      </c>
      <c r="AV26" s="4">
        <f>[1]节奏总纲!AV26</f>
        <v>0.83644193556460955</v>
      </c>
      <c r="AW26" s="4">
        <f>[1]节奏总纲!AW26</f>
        <v>0.55762795704307289</v>
      </c>
      <c r="AX26" s="4">
        <f>[1]节奏总纲!AX26</f>
        <v>0.27881397852153644</v>
      </c>
      <c r="AY26" s="4"/>
      <c r="AZ26" s="4">
        <v>23</v>
      </c>
      <c r="BA26" s="4">
        <f>[1]节奏总纲!BA26</f>
        <v>28.705435004691331</v>
      </c>
      <c r="BB26" s="4">
        <f>[1]节奏总纲!BB26</f>
        <v>30.079877315295377</v>
      </c>
      <c r="BC26" s="4">
        <f>[1]节奏总纲!BC26</f>
        <v>31.848636073084339</v>
      </c>
      <c r="BD26" s="4">
        <f>[1]节奏总纲!BD26</f>
        <v>34.360958982105608</v>
      </c>
      <c r="BE26" s="4">
        <f>[1]节奏总纲!BE26</f>
        <v>38.976971320055128</v>
      </c>
    </row>
    <row r="27" spans="2:57" x14ac:dyDescent="0.15">
      <c r="B27" s="4">
        <f>[1]节奏总纲!B27</f>
        <v>20</v>
      </c>
      <c r="C27" s="4">
        <f>[1]节奏总纲!C27</f>
        <v>7.5</v>
      </c>
      <c r="D27" s="4">
        <f>[1]节奏总纲!D27</f>
        <v>4</v>
      </c>
      <c r="F27" s="4">
        <f>[1]节奏总纲!F27</f>
        <v>25</v>
      </c>
      <c r="G27" s="4">
        <f>[1]节奏总纲!G27</f>
        <v>4.6568542494923806</v>
      </c>
      <c r="I27" s="4">
        <f>[1]节奏总纲!I27</f>
        <v>25</v>
      </c>
      <c r="J27" s="4">
        <f>[1]节奏总纲!J27</f>
        <v>12.4</v>
      </c>
      <c r="K27" s="4">
        <f>[1]节奏总纲!K27</f>
        <v>0.8</v>
      </c>
      <c r="N27" s="4">
        <f>[1]节奏总纲!N27</f>
        <v>34</v>
      </c>
      <c r="O27" s="4">
        <f>[1]节奏总纲!O27</f>
        <v>24</v>
      </c>
      <c r="P27" s="4">
        <f>[1]节奏总纲!P27</f>
        <v>4.2780316430915768</v>
      </c>
      <c r="Q27" s="4">
        <f>[1]节奏总纲!Q27</f>
        <v>3.7214597263253628</v>
      </c>
      <c r="R27" s="4">
        <f>[1]节奏总纲!R27</f>
        <v>3.0699155070825155</v>
      </c>
      <c r="S27" s="4">
        <f>[1]节奏总纲!S27</f>
        <v>2.2742016214674821</v>
      </c>
      <c r="T27" s="4">
        <f>[1]节奏总纲!T27</f>
        <v>1.2692919885052709</v>
      </c>
      <c r="V27" s="4">
        <f>[1]节奏总纲!V27</f>
        <v>24</v>
      </c>
      <c r="W27" s="4">
        <f>[1]节奏总纲!W27</f>
        <v>0.35345398971191244</v>
      </c>
      <c r="X27" s="4">
        <f>[1]节奏总纲!X27</f>
        <v>0.31335649213046235</v>
      </c>
      <c r="Y27" s="4">
        <f>[1]节奏总纲!Y27</f>
        <v>0.26345002715071786</v>
      </c>
      <c r="Z27" s="4">
        <f>[1]节奏总纲!Z27</f>
        <v>0.19456792294159797</v>
      </c>
      <c r="AA27" s="4">
        <f>[1]节奏总纲!AA27</f>
        <v>0.10840191863556625</v>
      </c>
      <c r="AC27" s="4">
        <f>[1]节奏总纲!AC27</f>
        <v>24</v>
      </c>
      <c r="AD27" s="4">
        <f>[1]节奏总纲!AD27</f>
        <v>46.430041330048923</v>
      </c>
      <c r="AE27" s="4">
        <f>[1]节奏总纲!AE27</f>
        <v>48.330142263709867</v>
      </c>
      <c r="AF27" s="4">
        <f>[1]节奏总纲!AF27</f>
        <v>51.118578408701396</v>
      </c>
      <c r="AG27" s="4">
        <f>[1]节奏总纲!AG27</f>
        <v>55.44072585486321</v>
      </c>
      <c r="AH27" s="4">
        <f>[1]节奏总纲!AH27</f>
        <v>63.791742872142052</v>
      </c>
      <c r="AL27" s="4">
        <f>[1]节奏总纲!AL27</f>
        <v>24</v>
      </c>
      <c r="AM27" s="4">
        <f>[1]节奏总纲!AM27</f>
        <v>10.47447102993563</v>
      </c>
      <c r="AN27" s="4">
        <f>[1]节奏总纲!AN27</f>
        <v>8.3795768239485042</v>
      </c>
      <c r="AO27" s="4">
        <f>[1]节奏总纲!AO27</f>
        <v>6.2846826179613782</v>
      </c>
      <c r="AP27" s="4">
        <f>[1]节奏总纲!AP27</f>
        <v>4.1897884119742521</v>
      </c>
      <c r="AQ27" s="4">
        <f>[1]节奏总纲!AQ27</f>
        <v>2.0948942059871261</v>
      </c>
      <c r="AS27" s="4">
        <f>[1]节奏总纲!AS27</f>
        <v>24</v>
      </c>
      <c r="AT27" s="4">
        <f>[1]节奏总纲!AT27</f>
        <v>1.6389143055524151</v>
      </c>
      <c r="AU27" s="4">
        <f>[1]节奏总纲!AU27</f>
        <v>1.3111314444419317</v>
      </c>
      <c r="AV27" s="4">
        <f>[1]节奏总纲!AV27</f>
        <v>0.98334858333144926</v>
      </c>
      <c r="AW27" s="4">
        <f>[1]节奏总纲!AW27</f>
        <v>0.65556572222096587</v>
      </c>
      <c r="AX27" s="4">
        <f>[1]节奏总纲!AX27</f>
        <v>0.32778286111048294</v>
      </c>
      <c r="AY27" s="4"/>
      <c r="AZ27" s="4">
        <v>24</v>
      </c>
      <c r="BA27" s="4">
        <f>[1]节奏总纲!BA27</f>
        <v>28.979524459106884</v>
      </c>
      <c r="BB27" s="4">
        <f>[1]节奏总纲!BB27</f>
        <v>30.329493925593439</v>
      </c>
      <c r="BC27" s="4">
        <f>[1]节奏总纲!BC27</f>
        <v>32.113552950216736</v>
      </c>
      <c r="BD27" s="4">
        <f>[1]节奏总纲!BD27</f>
        <v>34.627226072894942</v>
      </c>
      <c r="BE27" s="4">
        <f>[1]节奏总纲!BE27</f>
        <v>39.250296194358178</v>
      </c>
    </row>
    <row r="28" spans="2:57" x14ac:dyDescent="0.15">
      <c r="B28" s="4">
        <f>[1]节奏总纲!B28</f>
        <v>25</v>
      </c>
      <c r="C28" s="4">
        <f>[1]节奏总纲!C28</f>
        <v>15.5</v>
      </c>
      <c r="D28" s="4">
        <f>[1]节奏总纲!D28</f>
        <v>8</v>
      </c>
      <c r="F28" s="4">
        <f>[1]节奏总纲!F28</f>
        <v>26</v>
      </c>
      <c r="G28" s="4">
        <f>[1]节奏总纲!G28</f>
        <v>5.062866266041592</v>
      </c>
      <c r="I28" s="4">
        <f>[1]节奏总纲!I28</f>
        <v>26</v>
      </c>
      <c r="J28" s="4">
        <f>[1]节奏总纲!J28</f>
        <v>14.6609224175611</v>
      </c>
      <c r="K28" s="4">
        <f>[1]节奏总纲!K28</f>
        <v>0.82</v>
      </c>
      <c r="N28" s="4">
        <f>[1]节奏总纲!N28</f>
        <v>35</v>
      </c>
      <c r="O28" s="4">
        <f>[1]节奏总纲!O28</f>
        <v>25</v>
      </c>
      <c r="P28" s="4">
        <f>[1]节奏总纲!P28</f>
        <v>4.6568542494923806</v>
      </c>
      <c r="Q28" s="4">
        <f>[1]节奏总纲!Q28</f>
        <v>4.054257309608067</v>
      </c>
      <c r="R28" s="4">
        <f>[1]节奏总纲!R28</f>
        <v>3.3445527219854276</v>
      </c>
      <c r="S28" s="4">
        <f>[1]节奏总纲!S28</f>
        <v>2.478377831579845</v>
      </c>
      <c r="T28" s="4">
        <f>[1]节奏总纲!T28</f>
        <v>1.3802915995495415</v>
      </c>
      <c r="V28" s="4">
        <f>[1]节奏总纲!V28</f>
        <v>25</v>
      </c>
      <c r="W28" s="4">
        <f>[1]节奏总纲!W28</f>
        <v>0.37882260640080379</v>
      </c>
      <c r="X28" s="4">
        <f>[1]节奏总纲!X28</f>
        <v>0.33279758328270415</v>
      </c>
      <c r="Y28" s="4">
        <f>[1]节奏总纲!Y28</f>
        <v>0.27463721490291215</v>
      </c>
      <c r="Z28" s="4">
        <f>[1]节奏总纲!Z28</f>
        <v>0.20417621011236298</v>
      </c>
      <c r="AA28" s="4">
        <f>[1]节奏总纲!AA28</f>
        <v>0.11099961104427059</v>
      </c>
      <c r="AC28" s="4">
        <f>[1]节奏总纲!AC28</f>
        <v>25</v>
      </c>
      <c r="AD28" s="4">
        <f>[1]节奏总纲!AD28</f>
        <v>47.004247194324648</v>
      </c>
      <c r="AE28" s="4">
        <f>[1]节奏总纲!AE28</f>
        <v>48.904516930942819</v>
      </c>
      <c r="AF28" s="4">
        <f>[1]节奏总纲!AF28</f>
        <v>51.667220029142385</v>
      </c>
      <c r="AG28" s="4">
        <f>[1]节奏总纲!AG28</f>
        <v>56.05100027504308</v>
      </c>
      <c r="AH28" s="4">
        <f>[1]节奏总纲!AH28</f>
        <v>64.398425477456215</v>
      </c>
      <c r="AL28" s="4">
        <f>[1]节奏总纲!AL28</f>
        <v>25</v>
      </c>
      <c r="AM28" s="4">
        <f>[1]节奏总纲!AM28</f>
        <v>12.4</v>
      </c>
      <c r="AN28" s="4">
        <f>[1]节奏总纲!AN28</f>
        <v>9.9200000000000017</v>
      </c>
      <c r="AO28" s="4">
        <f>[1]节奏总纲!AO28</f>
        <v>7.4399999999999995</v>
      </c>
      <c r="AP28" s="4">
        <f>[1]节奏总纲!AP28</f>
        <v>4.9600000000000009</v>
      </c>
      <c r="AQ28" s="4">
        <f>[1]节奏总纲!AQ28</f>
        <v>2.4800000000000004</v>
      </c>
      <c r="AS28" s="4">
        <f>[1]节奏总纲!AS28</f>
        <v>25</v>
      </c>
      <c r="AT28" s="4">
        <f>[1]节奏总纲!AT28</f>
        <v>1.9255289700643701</v>
      </c>
      <c r="AU28" s="4">
        <f>[1]节奏总纲!AU28</f>
        <v>1.5404231760514975</v>
      </c>
      <c r="AV28" s="4">
        <f>[1]节奏总纲!AV28</f>
        <v>1.1553173820386213</v>
      </c>
      <c r="AW28" s="4">
        <f>[1]节奏总纲!AW28</f>
        <v>0.77021158802574874</v>
      </c>
      <c r="AX28" s="4">
        <f>[1]节奏总纲!AX28</f>
        <v>0.38510579401287437</v>
      </c>
      <c r="AY28" s="4"/>
      <c r="AZ28" s="4">
        <v>25</v>
      </c>
      <c r="BA28" s="4">
        <f>[1]节奏总纲!BA28</f>
        <v>29.216428548527322</v>
      </c>
      <c r="BB28" s="4">
        <f>[1]节奏总纲!BB28</f>
        <v>30.579110535891502</v>
      </c>
      <c r="BC28" s="4">
        <f>[1]节奏总纲!BC28</f>
        <v>32.356435933516131</v>
      </c>
      <c r="BD28" s="4">
        <f>[1]节奏总纲!BD28</f>
        <v>34.893493163684269</v>
      </c>
      <c r="BE28" s="4">
        <f>[1]节奏总纲!BE28</f>
        <v>39.520459727922798</v>
      </c>
    </row>
    <row r="29" spans="2:57" x14ac:dyDescent="0.15">
      <c r="B29" s="4">
        <f>[1]节奏总纲!B29</f>
        <v>30</v>
      </c>
      <c r="C29" s="4">
        <f>[1]节奏总纲!C29</f>
        <v>31.5</v>
      </c>
      <c r="D29" s="4">
        <f>[1]节奏总纲!D29</f>
        <v>16</v>
      </c>
      <c r="F29" s="4">
        <f>[1]节奏总纲!F29</f>
        <v>27</v>
      </c>
      <c r="G29" s="4">
        <f>[1]节奏总纲!G29</f>
        <v>5.4980191708498847</v>
      </c>
      <c r="I29" s="4">
        <f>[1]节奏总纲!I29</f>
        <v>27</v>
      </c>
      <c r="J29" s="4">
        <f>[1]节奏总纲!J29</f>
        <v>17.314186320787698</v>
      </c>
      <c r="K29" s="4">
        <f>[1]节奏总纲!K29</f>
        <v>0.84</v>
      </c>
      <c r="N29" s="4">
        <f>[1]节奏总纲!N29</f>
        <v>36</v>
      </c>
      <c r="O29" s="4">
        <f>[1]节奏总纲!O29</f>
        <v>26</v>
      </c>
      <c r="P29" s="4">
        <f>[1]节奏总纲!P29</f>
        <v>5.062866266041592</v>
      </c>
      <c r="Q29" s="4">
        <f>[1]节奏总纲!Q29</f>
        <v>4.408743944469018</v>
      </c>
      <c r="R29" s="4">
        <f>[1]节奏总纲!R29</f>
        <v>3.63716312552428</v>
      </c>
      <c r="S29" s="4">
        <f>[1]节奏总纲!S29</f>
        <v>2.6914197070277099</v>
      </c>
      <c r="T29" s="4">
        <f>[1]节奏总纲!T29</f>
        <v>1.4996209880015197</v>
      </c>
      <c r="V29" s="4">
        <f>[1]节奏总纲!V29</f>
        <v>26</v>
      </c>
      <c r="W29" s="4">
        <f>[1]节奏总纲!W29</f>
        <v>0.40601201654921137</v>
      </c>
      <c r="X29" s="4">
        <f>[1]节奏总纲!X29</f>
        <v>0.354486634860951</v>
      </c>
      <c r="Y29" s="4">
        <f>[1]节奏总纲!Y29</f>
        <v>0.29261040353885237</v>
      </c>
      <c r="Z29" s="4">
        <f>[1]节奏总纲!Z29</f>
        <v>0.2130418754478649</v>
      </c>
      <c r="AA29" s="4">
        <f>[1]节奏总纲!AA29</f>
        <v>0.11932938845197816</v>
      </c>
      <c r="AC29" s="4">
        <f>[1]节奏总纲!AC29</f>
        <v>26</v>
      </c>
      <c r="AD29" s="4">
        <f>[1]节奏总纲!AD29</f>
        <v>47.540284631526092</v>
      </c>
      <c r="AE29" s="4">
        <f>[1]节奏总纲!AE29</f>
        <v>49.446133440059114</v>
      </c>
      <c r="AF29" s="4">
        <f>[1]节奏总纲!AF29</f>
        <v>52.199341027338768</v>
      </c>
      <c r="AG29" s="4">
        <f>[1]节奏总纲!AG29</f>
        <v>56.621068614050692</v>
      </c>
      <c r="AH29" s="4">
        <f>[1]节奏总纲!AH29</f>
        <v>65.00344105132713</v>
      </c>
      <c r="AL29" s="4">
        <f>[1]节奏总纲!AL29</f>
        <v>26</v>
      </c>
      <c r="AM29" s="4">
        <f>[1]节奏总纲!AM29</f>
        <v>14.6609224175611</v>
      </c>
      <c r="AN29" s="4">
        <f>[1]节奏总纲!AN29</f>
        <v>11.72873793404888</v>
      </c>
      <c r="AO29" s="4">
        <f>[1]节奏总纲!AO29</f>
        <v>8.7965534505366598</v>
      </c>
      <c r="AP29" s="4">
        <f>[1]节奏总纲!AP29</f>
        <v>5.8643689670244399</v>
      </c>
      <c r="AQ29" s="4">
        <f>[1]节奏总纲!AQ29</f>
        <v>2.9321844835122199</v>
      </c>
      <c r="AS29" s="4">
        <f>[1]节奏总纲!AS29</f>
        <v>26</v>
      </c>
      <c r="AT29" s="4">
        <f>[1]节奏总纲!AT29</f>
        <v>2.2609224175610994</v>
      </c>
      <c r="AU29" s="4">
        <f>[1]节奏总纲!AU29</f>
        <v>1.8087379340488781</v>
      </c>
      <c r="AV29" s="4">
        <f>[1]节奏总纲!AV29</f>
        <v>1.3565534505366603</v>
      </c>
      <c r="AW29" s="4">
        <f>[1]节奏总纲!AW29</f>
        <v>0.90436896702443903</v>
      </c>
      <c r="AX29" s="4">
        <f>[1]节奏总纲!AX29</f>
        <v>0.45218448351221951</v>
      </c>
      <c r="AY29" s="4"/>
      <c r="AZ29" s="4">
        <v>26</v>
      </c>
      <c r="BA29" s="4">
        <f>[1]节奏总纲!BA29</f>
        <v>29.45033047434006</v>
      </c>
      <c r="BB29" s="4">
        <f>[1]节奏总纲!BB29</f>
        <v>30.828727146189561</v>
      </c>
      <c r="BC29" s="4">
        <f>[1]节奏总纲!BC29</f>
        <v>32.59931891681552</v>
      </c>
      <c r="BD29" s="4">
        <f>[1]节奏总纲!BD29</f>
        <v>35.146386283795508</v>
      </c>
      <c r="BE29" s="4">
        <f>[1]节奏总纲!BE29</f>
        <v>39.790623261487418</v>
      </c>
    </row>
    <row r="30" spans="2:57" x14ac:dyDescent="0.15">
      <c r="B30" s="4">
        <f>[1]节奏总纲!B30</f>
        <v>35</v>
      </c>
      <c r="C30" s="4">
        <f>[1]节奏总纲!C30</f>
        <v>63.5</v>
      </c>
      <c r="D30" s="4">
        <f>[1]节奏总纲!D30</f>
        <v>32</v>
      </c>
      <c r="F30" s="4">
        <f>[1]节奏总纲!F30</f>
        <v>28</v>
      </c>
      <c r="G30" s="4">
        <f>[1]节奏总纲!G30</f>
        <v>5.9644045063689921</v>
      </c>
      <c r="I30" s="4">
        <f>[1]节奏总纲!I30</f>
        <v>28</v>
      </c>
      <c r="J30" s="4">
        <f>[1]节奏总纲!J30</f>
        <v>20.42625995518307</v>
      </c>
      <c r="K30" s="4">
        <f>[1]节奏总纲!K30</f>
        <v>0.86</v>
      </c>
      <c r="N30" s="4">
        <f>[1]节奏总纲!N30</f>
        <v>37</v>
      </c>
      <c r="O30" s="4">
        <f>[1]节奏总纲!O30</f>
        <v>27</v>
      </c>
      <c r="P30" s="4">
        <f>[1]节奏总纲!P30</f>
        <v>5.4980191708498847</v>
      </c>
      <c r="Q30" s="4">
        <f>[1]节奏总纲!Q30</f>
        <v>4.7882248958931646</v>
      </c>
      <c r="R30" s="4">
        <f>[1]节奏总纲!R30</f>
        <v>3.9492271704214725</v>
      </c>
      <c r="S30" s="4">
        <f>[1]节奏总纲!S30</f>
        <v>2.9205477835554587</v>
      </c>
      <c r="T30" s="4">
        <f>[1]节奏总纲!T30</f>
        <v>1.6290630803228208</v>
      </c>
      <c r="V30" s="4">
        <f>[1]节奏总纲!V30</f>
        <v>27</v>
      </c>
      <c r="W30" s="4">
        <f>[1]节奏总纲!W30</f>
        <v>0.43515290480829272</v>
      </c>
      <c r="X30" s="4">
        <f>[1]节奏总纲!X30</f>
        <v>0.37948095142414662</v>
      </c>
      <c r="Y30" s="4">
        <f>[1]节奏总纲!Y30</f>
        <v>0.31206404489719253</v>
      </c>
      <c r="Z30" s="4">
        <f>[1]节奏总纲!Z30</f>
        <v>0.2291280765277488</v>
      </c>
      <c r="AA30" s="4">
        <f>[1]节奏总纲!AA30</f>
        <v>0.12944209232130111</v>
      </c>
      <c r="AC30" s="4">
        <f>[1]节奏总纲!AC30</f>
        <v>27</v>
      </c>
      <c r="AD30" s="4">
        <f>[1]节奏总纲!AD30</f>
        <v>48.071211008105138</v>
      </c>
      <c r="AE30" s="4">
        <f>[1]节奏总纲!AE30</f>
        <v>49.981218513907905</v>
      </c>
      <c r="AF30" s="4">
        <f>[1]节奏总纲!AF30</f>
        <v>52.705993248660157</v>
      </c>
      <c r="AG30" s="4">
        <f>[1]节奏总纲!AG30</f>
        <v>57.175765669822162</v>
      </c>
      <c r="AH30" s="4">
        <f>[1]节奏总纲!AH30</f>
        <v>65.541743280100334</v>
      </c>
      <c r="AL30" s="4">
        <f>[1]节奏总纲!AL30</f>
        <v>27</v>
      </c>
      <c r="AM30" s="4">
        <f>[1]节奏总纲!AM30</f>
        <v>17.314186320787698</v>
      </c>
      <c r="AN30" s="4">
        <f>[1]节奏总纲!AN30</f>
        <v>13.851349056630159</v>
      </c>
      <c r="AO30" s="4">
        <f>[1]节奏总纲!AO30</f>
        <v>10.388511792472618</v>
      </c>
      <c r="AP30" s="4">
        <f>[1]节奏总纲!AP30</f>
        <v>6.9256745283150796</v>
      </c>
      <c r="AQ30" s="4">
        <f>[1]节奏总纲!AQ30</f>
        <v>3.4628372641575398</v>
      </c>
      <c r="AS30" s="4">
        <f>[1]节奏总纲!AS30</f>
        <v>27</v>
      </c>
      <c r="AT30" s="4">
        <f>[1]节奏总纲!AT30</f>
        <v>2.6532639032265983</v>
      </c>
      <c r="AU30" s="4">
        <f>[1]节奏总纲!AU30</f>
        <v>2.1226111225812794</v>
      </c>
      <c r="AV30" s="4">
        <f>[1]节奏总纲!AV30</f>
        <v>1.5919583419359586</v>
      </c>
      <c r="AW30" s="4">
        <f>[1]节奏总纲!AW30</f>
        <v>1.0613055612906397</v>
      </c>
      <c r="AX30" s="4">
        <f>[1]节奏总纲!AX30</f>
        <v>0.53065278064531984</v>
      </c>
      <c r="AY30" s="4"/>
      <c r="AZ30" s="4">
        <v>27</v>
      </c>
      <c r="BA30" s="4">
        <f>[1]节奏总纲!BA30</f>
        <v>29.684232400152801</v>
      </c>
      <c r="BB30" s="4">
        <f>[1]节奏总纲!BB30</f>
        <v>31.066913270913183</v>
      </c>
      <c r="BC30" s="4">
        <f>[1]节奏总纲!BC30</f>
        <v>32.842201900114915</v>
      </c>
      <c r="BD30" s="4">
        <f>[1]节奏总纲!BD30</f>
        <v>35.390363423454687</v>
      </c>
      <c r="BE30" s="4">
        <f>[1]节奏总纲!BE30</f>
        <v>40.052446592012309</v>
      </c>
    </row>
    <row r="31" spans="2:57" x14ac:dyDescent="0.15">
      <c r="B31" s="4">
        <f>[1]节奏总纲!B31</f>
        <v>40</v>
      </c>
      <c r="C31" s="4">
        <f>[1]节奏总纲!C31</f>
        <v>127.5</v>
      </c>
      <c r="D31" s="4">
        <f>[1]节奏总纲!D31</f>
        <v>64</v>
      </c>
      <c r="F31" s="4">
        <f>[1]节奏总纲!F31</f>
        <v>29</v>
      </c>
      <c r="G31" s="4">
        <f>[1]节奏总纲!G31</f>
        <v>6.4642639322944575</v>
      </c>
      <c r="I31" s="4">
        <f>[1]节奏总纲!I31</f>
        <v>29</v>
      </c>
      <c r="J31" s="4">
        <f>[1]节奏总纲!J31</f>
        <v>24.074703862418847</v>
      </c>
      <c r="K31" s="4">
        <f>[1]节奏总纲!K31</f>
        <v>0.88</v>
      </c>
      <c r="N31" s="4">
        <f>[1]节奏总纲!N31</f>
        <v>38</v>
      </c>
      <c r="O31" s="4">
        <f>[1]节奏总纲!O31</f>
        <v>28</v>
      </c>
      <c r="P31" s="4">
        <f>[1]节奏总纲!P31</f>
        <v>5.9644045063689921</v>
      </c>
      <c r="Q31" s="4">
        <f>[1]节奏总纲!Q31</f>
        <v>5.1914176823435705</v>
      </c>
      <c r="R31" s="4">
        <f>[1]节奏总纲!R31</f>
        <v>4.2752851501652938</v>
      </c>
      <c r="S31" s="4">
        <f>[1]节奏总纲!S31</f>
        <v>3.1653094715300236</v>
      </c>
      <c r="T31" s="4">
        <f>[1]节奏总纲!T31</f>
        <v>1.7738139001941382</v>
      </c>
      <c r="V31" s="4">
        <f>[1]节奏总纲!V31</f>
        <v>28</v>
      </c>
      <c r="W31" s="4">
        <f>[1]节奏总纲!W31</f>
        <v>0.46638533551910744</v>
      </c>
      <c r="X31" s="4">
        <f>[1]节奏总纲!X31</f>
        <v>0.4031927864504059</v>
      </c>
      <c r="Y31" s="4">
        <f>[1]节奏总纲!Y31</f>
        <v>0.32605797974382122</v>
      </c>
      <c r="Z31" s="4">
        <f>[1]节奏总纲!Z31</f>
        <v>0.24476168797456488</v>
      </c>
      <c r="AA31" s="4">
        <f>[1]节奏总纲!AA31</f>
        <v>0.14475081987131744</v>
      </c>
      <c r="AC31" s="4">
        <f>[1]节奏总纲!AC31</f>
        <v>28</v>
      </c>
      <c r="AD31" s="4">
        <f>[1]节奏总纲!AD31</f>
        <v>48.571351621712928</v>
      </c>
      <c r="AE31" s="4">
        <f>[1]节奏总纲!AE31</f>
        <v>50.509688493127967</v>
      </c>
      <c r="AF31" s="4">
        <f>[1]节奏总纲!AF31</f>
        <v>53.212684955585161</v>
      </c>
      <c r="AG31" s="4">
        <f>[1]节奏总纲!AG31</f>
        <v>57.699988965458331</v>
      </c>
      <c r="AH31" s="4">
        <f>[1]节奏总纲!AH31</f>
        <v>66.076345334947405</v>
      </c>
      <c r="AL31" s="4">
        <f>[1]节奏总纲!AL31</f>
        <v>28</v>
      </c>
      <c r="AM31" s="4">
        <f>[1]节奏总纲!AM31</f>
        <v>20.42625995518307</v>
      </c>
      <c r="AN31" s="4">
        <f>[1]节奏总纲!AN31</f>
        <v>16.341007964146456</v>
      </c>
      <c r="AO31" s="4">
        <f>[1]节奏总纲!AO31</f>
        <v>12.255755973109842</v>
      </c>
      <c r="AP31" s="4">
        <f>[1]节奏总纲!AP31</f>
        <v>8.1705039820732281</v>
      </c>
      <c r="AQ31" s="4">
        <f>[1]节奏总纲!AQ31</f>
        <v>4.0852519910366141</v>
      </c>
      <c r="AS31" s="4">
        <f>[1]节奏总纲!AS31</f>
        <v>28</v>
      </c>
      <c r="AT31" s="4">
        <f>[1]节奏总纲!AT31</f>
        <v>3.1120736343953723</v>
      </c>
      <c r="AU31" s="4">
        <f>[1]节奏总纲!AU31</f>
        <v>2.4896589075162971</v>
      </c>
      <c r="AV31" s="4">
        <f>[1]节奏总纲!AV31</f>
        <v>1.8672441806372237</v>
      </c>
      <c r="AW31" s="4">
        <f>[1]节奏总纲!AW31</f>
        <v>1.2448294537581486</v>
      </c>
      <c r="AX31" s="4">
        <f>[1]节奏总纲!AX31</f>
        <v>0.62241472687907429</v>
      </c>
      <c r="AY31" s="4"/>
      <c r="AZ31" s="4">
        <v>28</v>
      </c>
      <c r="BA31" s="4">
        <f>[1]节奏总纲!BA31</f>
        <v>29.918134325965539</v>
      </c>
      <c r="BB31" s="4">
        <f>[1]节奏总纲!BB31</f>
        <v>31.280110398778046</v>
      </c>
      <c r="BC31" s="4">
        <f>[1]节奏总纲!BC31</f>
        <v>33.072726100175295</v>
      </c>
      <c r="BD31" s="4">
        <f>[1]节奏总纲!BD31</f>
        <v>35.634340563113874</v>
      </c>
      <c r="BE31" s="4">
        <f>[1]节奏总纲!BE31</f>
        <v>40.28554255651148</v>
      </c>
    </row>
    <row r="32" spans="2:57" x14ac:dyDescent="0.15">
      <c r="B32" s="4">
        <f>[1]节奏总纲!B32</f>
        <v>45</v>
      </c>
      <c r="C32" s="4">
        <f>[1]节奏总纲!C32</f>
        <v>255.5</v>
      </c>
      <c r="D32" s="4">
        <f>[1]节奏总纲!D32</f>
        <v>128</v>
      </c>
      <c r="F32" s="4">
        <f>[1]节奏总纲!F32</f>
        <v>30</v>
      </c>
      <c r="G32" s="4">
        <f>[1]节奏总纲!G32</f>
        <v>7</v>
      </c>
      <c r="I32" s="4">
        <f>[1]节奏总纲!I32</f>
        <v>30</v>
      </c>
      <c r="J32" s="4">
        <f>[1]节奏总纲!J32</f>
        <v>28.35</v>
      </c>
      <c r="K32" s="4">
        <f>[1]节奏总纲!K32</f>
        <v>0.9</v>
      </c>
      <c r="N32" s="4">
        <f>[1]节奏总纲!N32</f>
        <v>39</v>
      </c>
      <c r="O32" s="4">
        <f>[1]节奏总纲!O32</f>
        <v>29</v>
      </c>
      <c r="P32" s="4">
        <f>[1]节奏总纲!P32</f>
        <v>6.4642639322944575</v>
      </c>
      <c r="Q32" s="4">
        <f>[1]节奏总纲!Q32</f>
        <v>5.6323131642081607</v>
      </c>
      <c r="R32" s="4">
        <f>[1]节奏总纲!R32</f>
        <v>4.6510378992858623</v>
      </c>
      <c r="S32" s="4">
        <f>[1]节奏总纲!S32</f>
        <v>3.4532097926316991</v>
      </c>
      <c r="T32" s="4">
        <f>[1]节奏总纲!T32</f>
        <v>1.9366934741154194</v>
      </c>
      <c r="V32" s="4">
        <f>[1]节奏总纲!V32</f>
        <v>29</v>
      </c>
      <c r="W32" s="4">
        <f>[1]节奏总纲!W32</f>
        <v>0.49985942592546539</v>
      </c>
      <c r="X32" s="4">
        <f>[1]节奏总纲!X32</f>
        <v>0.44089548186459027</v>
      </c>
      <c r="Y32" s="4">
        <f>[1]节奏总纲!Y32</f>
        <v>0.37575274912056855</v>
      </c>
      <c r="Z32" s="4">
        <f>[1]节奏总纲!Z32</f>
        <v>0.28790032110167552</v>
      </c>
      <c r="AA32" s="4">
        <f>[1]节奏总纲!AA32</f>
        <v>0.16287957392128116</v>
      </c>
      <c r="AC32" s="4">
        <f>[1]节奏总纲!AC32</f>
        <v>29</v>
      </c>
      <c r="AD32" s="4">
        <f>[1]节奏总纲!AD32</f>
        <v>49.066704614192936</v>
      </c>
      <c r="AE32" s="4">
        <f>[1]节奏总纲!AE32</f>
        <v>51.033341828534468</v>
      </c>
      <c r="AF32" s="4">
        <f>[1]节奏总纲!AF32</f>
        <v>53.719431255885922</v>
      </c>
      <c r="AG32" s="4">
        <f>[1]节奏总纲!AG32</f>
        <v>58.210135614815364</v>
      </c>
      <c r="AH32" s="4">
        <f>[1]节奏总纲!AH32</f>
        <v>66.589764070576265</v>
      </c>
      <c r="AL32" s="4">
        <f>[1]节奏总纲!AL32</f>
        <v>29</v>
      </c>
      <c r="AM32" s="4">
        <f>[1]节奏总纲!AM32</f>
        <v>24.074703862418847</v>
      </c>
      <c r="AN32" s="4">
        <f>[1]节奏总纲!AN32</f>
        <v>19.259763089935078</v>
      </c>
      <c r="AO32" s="4">
        <f>[1]节奏总纲!AO32</f>
        <v>14.444822317451308</v>
      </c>
      <c r="AP32" s="4">
        <f>[1]节奏总纲!AP32</f>
        <v>9.6298815449675388</v>
      </c>
      <c r="AQ32" s="4">
        <f>[1]节奏总纲!AQ32</f>
        <v>4.8149407724837694</v>
      </c>
      <c r="AS32" s="4">
        <f>[1]节奏总纲!AS32</f>
        <v>29</v>
      </c>
      <c r="AT32" s="4">
        <f>[1]节奏总纲!AT32</f>
        <v>3.6484439072357766</v>
      </c>
      <c r="AU32" s="4">
        <f>[1]节奏总纲!AU32</f>
        <v>2.9187551257886213</v>
      </c>
      <c r="AV32" s="4">
        <f>[1]节奏总纲!AV32</f>
        <v>2.189066344341466</v>
      </c>
      <c r="AW32" s="4">
        <f>[1]节奏总纲!AW32</f>
        <v>1.4593775628943106</v>
      </c>
      <c r="AX32" s="4">
        <f>[1]节奏总纲!AX32</f>
        <v>0.72968878144715532</v>
      </c>
      <c r="AY32" s="4"/>
      <c r="AZ32" s="4">
        <v>29</v>
      </c>
      <c r="BA32" s="4">
        <f>[1]节奏总纲!BA32</f>
        <v>30.12980063735499</v>
      </c>
      <c r="BB32" s="4">
        <f>[1]节奏总纲!BB32</f>
        <v>31.493307526642905</v>
      </c>
      <c r="BC32" s="4">
        <f>[1]节奏总纲!BC32</f>
        <v>33.280329748032408</v>
      </c>
      <c r="BD32" s="4">
        <f>[1]节奏总纲!BD32</f>
        <v>35.878317702773053</v>
      </c>
      <c r="BE32" s="4">
        <f>[1]节奏总纲!BE32</f>
        <v>40.518638521010644</v>
      </c>
    </row>
    <row r="33" spans="2:57" x14ac:dyDescent="0.15">
      <c r="B33" s="4">
        <f>[1]节奏总纲!B33</f>
        <v>50</v>
      </c>
      <c r="C33" s="4">
        <f>[1]节奏总纲!C33</f>
        <v>511.5</v>
      </c>
      <c r="D33" s="4">
        <f>[1]节奏总纲!D33</f>
        <v>256</v>
      </c>
      <c r="F33" s="4">
        <f>[1]节奏总纲!F33</f>
        <v>31</v>
      </c>
      <c r="G33" s="4">
        <f>[1]节奏总纲!G33</f>
        <v>7.5741877002903433</v>
      </c>
      <c r="I33" s="4">
        <f>[1]节奏总纲!I33</f>
        <v>31</v>
      </c>
      <c r="J33" s="4">
        <f>[1]节奏总纲!J33</f>
        <v>33.357679571112705</v>
      </c>
      <c r="K33" s="4">
        <f>[1]节奏总纲!K33</f>
        <v>0.92</v>
      </c>
      <c r="N33" s="4">
        <f>[1]节奏总纲!N33</f>
        <v>40</v>
      </c>
      <c r="O33" s="4">
        <f>[1]节奏总纲!O33</f>
        <v>30</v>
      </c>
      <c r="P33" s="4">
        <f>[1]节奏总纲!P33</f>
        <v>7</v>
      </c>
      <c r="Q33" s="4">
        <f>[1]节奏总纲!Q33</f>
        <v>6.1025999999999998</v>
      </c>
      <c r="R33" s="4">
        <f>[1]节奏总纲!R33</f>
        <v>5.0421000000000005</v>
      </c>
      <c r="S33" s="4">
        <f>[1]节奏总纲!S33</f>
        <v>3.7428999999999997</v>
      </c>
      <c r="T33" s="4">
        <f>[1]节奏总纲!T33</f>
        <v>2.1006999999999998</v>
      </c>
      <c r="V33" s="4">
        <f>[1]节奏总纲!V33</f>
        <v>30</v>
      </c>
      <c r="W33" s="4">
        <f>[1]节奏总纲!W33</f>
        <v>0.5357360677055425</v>
      </c>
      <c r="X33" s="4">
        <f>[1]节奏总纲!X33</f>
        <v>0.47028683579183905</v>
      </c>
      <c r="Y33" s="4">
        <f>[1]节奏总纲!Y33</f>
        <v>0.39106210071413816</v>
      </c>
      <c r="Z33" s="4">
        <f>[1]节奏总纲!Z33</f>
        <v>0.28969020736830053</v>
      </c>
      <c r="AA33" s="4">
        <f>[1]节奏总纲!AA33</f>
        <v>0.16400652588458042</v>
      </c>
      <c r="AC33" s="4">
        <f>[1]节奏总纲!AC33</f>
        <v>30</v>
      </c>
      <c r="AD33" s="4">
        <f>[1]节奏总纲!AD33</f>
        <v>49.533352307096472</v>
      </c>
      <c r="AE33" s="4">
        <f>[1]节奏总纲!AE33</f>
        <v>51.497823295559343</v>
      </c>
      <c r="AF33" s="4">
        <f>[1]节奏总纲!AF33</f>
        <v>54.213705787583436</v>
      </c>
      <c r="AG33" s="4">
        <f>[1]节奏总纲!AG33</f>
        <v>58.701446767877648</v>
      </c>
      <c r="AH33" s="4">
        <f>[1]节奏总纲!AH33</f>
        <v>67.097551508592701</v>
      </c>
      <c r="AL33" s="4">
        <f>[1]节奏总纲!AL33</f>
        <v>30</v>
      </c>
      <c r="AM33" s="4">
        <f>[1]节奏总纲!AM33</f>
        <v>28.35</v>
      </c>
      <c r="AN33" s="4">
        <f>[1]节奏总纲!AN33</f>
        <v>22.680000000000003</v>
      </c>
      <c r="AO33" s="4">
        <f>[1]节奏总纲!AO33</f>
        <v>17.010000000000002</v>
      </c>
      <c r="AP33" s="4">
        <f>[1]节奏总纲!AP33</f>
        <v>11.340000000000002</v>
      </c>
      <c r="AQ33" s="4">
        <f>[1]节奏总纲!AQ33</f>
        <v>5.6700000000000008</v>
      </c>
      <c r="AS33" s="4">
        <f>[1]节奏总纲!AS33</f>
        <v>30</v>
      </c>
      <c r="AT33" s="4">
        <f>[1]节奏总纲!AT33</f>
        <v>4.2752961375811545</v>
      </c>
      <c r="AU33" s="4">
        <f>[1]节奏总纲!AU33</f>
        <v>3.4202369100649257</v>
      </c>
      <c r="AV33" s="4">
        <f>[1]节奏总纲!AV33</f>
        <v>2.5651776825486934</v>
      </c>
      <c r="AW33" s="4">
        <f>[1]节奏总纲!AW33</f>
        <v>1.7101184550324628</v>
      </c>
      <c r="AX33" s="4">
        <f>[1]节奏总纲!AX33</f>
        <v>0.85505922751623142</v>
      </c>
      <c r="AY33" s="4"/>
      <c r="AZ33" s="4">
        <v>30</v>
      </c>
      <c r="BA33" s="4">
        <f>[1]节奏总纲!BA33</f>
        <v>30.329493925593439</v>
      </c>
      <c r="BB33" s="4">
        <f>[1]节奏总纲!BB33</f>
        <v>31.706504654507764</v>
      </c>
      <c r="BC33" s="4">
        <f>[1]节奏总纲!BC33</f>
        <v>33.487933395889513</v>
      </c>
      <c r="BD33" s="4">
        <f>[1]节奏总纲!BD33</f>
        <v>36.105477566569242</v>
      </c>
      <c r="BE33" s="4">
        <f>[1]节奏总纲!BE33</f>
        <v>40.751734485509814</v>
      </c>
    </row>
    <row r="34" spans="2:57" x14ac:dyDescent="0.15">
      <c r="B34" s="4">
        <f>[1]节奏总纲!B34</f>
        <v>55</v>
      </c>
      <c r="C34" s="4">
        <f>[1]节奏总纲!C34</f>
        <v>1023.5</v>
      </c>
      <c r="D34" s="4">
        <f>[1]节奏总纲!D34</f>
        <v>512</v>
      </c>
      <c r="F34" s="4">
        <f>[1]节奏总纲!F34</f>
        <v>32</v>
      </c>
      <c r="G34" s="4">
        <f>[1]节奏总纲!G34</f>
        <v>8.189586839976279</v>
      </c>
      <c r="I34" s="4">
        <f>[1]节奏总纲!I34</f>
        <v>32</v>
      </c>
      <c r="J34" s="4">
        <f>[1]节奏总纲!J34</f>
        <v>39.220797956048642</v>
      </c>
      <c r="K34" s="4">
        <f>[1]节奏总纲!K34</f>
        <v>0.94</v>
      </c>
      <c r="N34" s="4">
        <f>[1]节奏总纲!N34</f>
        <v>41</v>
      </c>
      <c r="O34" s="4">
        <f>[1]节奏总纲!O34</f>
        <v>31</v>
      </c>
      <c r="P34" s="4">
        <f>[1]节奏总纲!P34</f>
        <v>7.5741877002903433</v>
      </c>
      <c r="Q34" s="4">
        <f>[1]节奏总纲!Q34</f>
        <v>6.6115084435834408</v>
      </c>
      <c r="R34" s="4">
        <f>[1]节奏总纲!R34</f>
        <v>5.4632615882194253</v>
      </c>
      <c r="S34" s="4">
        <f>[1]节奏总纲!S34</f>
        <v>4.052190419655334</v>
      </c>
      <c r="T34" s="4">
        <f>[1]节奏总纲!T34</f>
        <v>2.2783156602473356</v>
      </c>
      <c r="V34" s="4">
        <f>[1]节奏总纲!V34</f>
        <v>31</v>
      </c>
      <c r="W34" s="4">
        <f>[1]节奏总纲!W34</f>
        <v>0.57418770029034327</v>
      </c>
      <c r="X34" s="4">
        <f>[1]节奏总纲!X34</f>
        <v>0.50890844358344101</v>
      </c>
      <c r="Y34" s="4">
        <f>[1]节奏总纲!Y34</f>
        <v>0.42116158821942484</v>
      </c>
      <c r="Z34" s="4">
        <f>[1]节奏总纲!Z34</f>
        <v>0.30929041965533433</v>
      </c>
      <c r="AA34" s="4">
        <f>[1]节奏总纲!AA34</f>
        <v>0.17761566024733577</v>
      </c>
      <c r="AC34" s="4">
        <f>[1]节奏总纲!AC34</f>
        <v>31</v>
      </c>
      <c r="AD34" s="4">
        <f>[1]节奏总纲!AD34</f>
        <v>50</v>
      </c>
      <c r="AE34" s="4">
        <f>[1]节奏总纲!AE34</f>
        <v>51.96230476258421</v>
      </c>
      <c r="AF34" s="4">
        <f>[1]节奏总纲!AF34</f>
        <v>54.692509339255828</v>
      </c>
      <c r="AG34" s="4">
        <f>[1]节奏总纲!AG34</f>
        <v>59.178112178215827</v>
      </c>
      <c r="AH34" s="4">
        <f>[1]节奏总纲!AH34</f>
        <v>67.582949939226467</v>
      </c>
      <c r="AL34" s="4">
        <f>[1]节奏总纲!AL34</f>
        <v>31</v>
      </c>
      <c r="AM34" s="4">
        <f>[1]节奏总纲!AM34</f>
        <v>33.357679571112705</v>
      </c>
      <c r="AN34" s="4">
        <f>[1]节奏总纲!AN34</f>
        <v>26.686143656890167</v>
      </c>
      <c r="AO34" s="4">
        <f>[1]节奏总纲!AO34</f>
        <v>20.014607742667621</v>
      </c>
      <c r="AP34" s="4">
        <f>[1]节奏总纲!AP34</f>
        <v>13.343071828445083</v>
      </c>
      <c r="AQ34" s="4">
        <f>[1]节奏总纲!AQ34</f>
        <v>6.6715359142225417</v>
      </c>
      <c r="AS34" s="4">
        <f>[1]节奏总纲!AS34</f>
        <v>31</v>
      </c>
      <c r="AT34" s="4">
        <f>[1]节奏总纲!AT34</f>
        <v>5.0076795711127033</v>
      </c>
      <c r="AU34" s="4">
        <f>[1]节奏总纲!AU34</f>
        <v>4.0061436568901634</v>
      </c>
      <c r="AV34" s="4">
        <f>[1]节奏总纲!AV34</f>
        <v>3.0046077426676199</v>
      </c>
      <c r="AW34" s="4">
        <f>[1]节奏总纲!AW34</f>
        <v>2.0030718284450817</v>
      </c>
      <c r="AX34" s="4">
        <f>[1]节奏总纲!AX34</f>
        <v>1.0015359142225408</v>
      </c>
      <c r="AY34" s="4"/>
      <c r="AZ34" s="4">
        <v>31</v>
      </c>
      <c r="BA34" s="4">
        <f>[1]节奏总纲!BA34</f>
        <v>30.529187213831889</v>
      </c>
      <c r="BB34" s="4">
        <f>[1]节奏总纲!BB34</f>
        <v>31.919701782372627</v>
      </c>
      <c r="BC34" s="4">
        <f>[1]节奏总纲!BC34</f>
        <v>33.695537043746626</v>
      </c>
      <c r="BD34" s="4">
        <f>[1]节奏总纲!BD34</f>
        <v>36.315904388158508</v>
      </c>
      <c r="BE34" s="4">
        <f>[1]节奏总纲!BE34</f>
        <v>40.984830450008978</v>
      </c>
    </row>
    <row r="35" spans="2:57" x14ac:dyDescent="0.15">
      <c r="B35" s="4">
        <f>[1]节奏总纲!B35</f>
        <v>60</v>
      </c>
      <c r="C35" s="4">
        <f>[1]节奏总纲!C35</f>
        <v>2047.5</v>
      </c>
      <c r="D35" s="4">
        <f>[1]节奏总纲!D35</f>
        <v>1024</v>
      </c>
      <c r="F35" s="4">
        <f>[1]节奏总纲!F35</f>
        <v>33</v>
      </c>
      <c r="G35" s="4">
        <f>[1]节奏总纲!G35</f>
        <v>8.8491553067593287</v>
      </c>
      <c r="I35" s="4">
        <f>[1]节奏总纲!I35</f>
        <v>33</v>
      </c>
      <c r="J35" s="4">
        <f>[1]节奏总纲!J35</f>
        <v>46.082812923199413</v>
      </c>
      <c r="K35" s="4">
        <f>[1]节奏总纲!K35</f>
        <v>0.96</v>
      </c>
      <c r="N35" s="4">
        <f>[1]节奏总纲!N35</f>
        <v>42</v>
      </c>
      <c r="O35" s="4">
        <f>[1]节奏总纲!O35</f>
        <v>32</v>
      </c>
      <c r="P35" s="4">
        <f>[1]节奏总纲!P35</f>
        <v>8.189586839976279</v>
      </c>
      <c r="Q35" s="4">
        <f>[1]节奏总纲!Q35</f>
        <v>7.1519661873512845</v>
      </c>
      <c r="R35" s="4">
        <f>[1]节奏总纲!R35</f>
        <v>5.906330028990892</v>
      </c>
      <c r="S35" s="4">
        <f>[1]节奏总纲!S35</f>
        <v>4.3855237528072974</v>
      </c>
      <c r="T35" s="4">
        <f>[1]节奏总纲!T35</f>
        <v>2.46506563883286</v>
      </c>
      <c r="V35" s="4">
        <f>[1]节奏总纲!V35</f>
        <v>32</v>
      </c>
      <c r="W35" s="4">
        <f>[1]节奏总纲!W35</f>
        <v>0.61539913968593574</v>
      </c>
      <c r="X35" s="4">
        <f>[1]节奏总纲!X35</f>
        <v>0.54045774376784372</v>
      </c>
      <c r="Y35" s="4">
        <f>[1]节奏总纲!Y35</f>
        <v>0.44306844077146668</v>
      </c>
      <c r="Z35" s="4">
        <f>[1]节奏总纲!Z35</f>
        <v>0.33333333315196345</v>
      </c>
      <c r="AA35" s="4">
        <f>[1]节奏总纲!AA35</f>
        <v>0.18674997858552445</v>
      </c>
      <c r="AC35" s="4">
        <f>[1]节奏总纲!AC35</f>
        <v>32</v>
      </c>
      <c r="AD35" s="4">
        <f>[1]节奏总纲!AD35</f>
        <v>50.435397692903535</v>
      </c>
      <c r="AE35" s="4">
        <f>[1]节奏总纲!AE35</f>
        <v>52.391506955233744</v>
      </c>
      <c r="AF35" s="4">
        <f>[1]节奏总纲!AF35</f>
        <v>55.159275389027101</v>
      </c>
      <c r="AG35" s="4">
        <f>[1]节奏总纲!AG35</f>
        <v>59.632093520341421</v>
      </c>
      <c r="AH35" s="4">
        <f>[1]节奏总纲!AH35</f>
        <v>68.063981730538742</v>
      </c>
      <c r="AL35" s="4">
        <f>[1]节奏总纲!AL35</f>
        <v>32</v>
      </c>
      <c r="AM35" s="4">
        <f>[1]节奏总纲!AM35</f>
        <v>39.220797956048642</v>
      </c>
      <c r="AN35" s="4">
        <f>[1]节奏总纲!AN35</f>
        <v>31.376638364838914</v>
      </c>
      <c r="AO35" s="4">
        <f>[1]节奏总纲!AO35</f>
        <v>23.532478773629183</v>
      </c>
      <c r="AP35" s="4">
        <f>[1]节奏总纲!AP35</f>
        <v>15.688319182419457</v>
      </c>
      <c r="AQ35" s="4">
        <f>[1]节奏总纲!AQ35</f>
        <v>7.8441595912097286</v>
      </c>
      <c r="AS35" s="4">
        <f>[1]节奏总纲!AS35</f>
        <v>32</v>
      </c>
      <c r="AT35" s="4">
        <f>[1]节奏总纲!AT35</f>
        <v>5.8631183849359374</v>
      </c>
      <c r="AU35" s="4">
        <f>[1]节奏总纲!AU35</f>
        <v>4.6904947079487478</v>
      </c>
      <c r="AV35" s="4">
        <f>[1]节奏总纲!AV35</f>
        <v>3.5178710309615617</v>
      </c>
      <c r="AW35" s="4">
        <f>[1]节奏总纲!AW35</f>
        <v>2.3452473539743739</v>
      </c>
      <c r="AX35" s="4">
        <f>[1]节奏总纲!AX35</f>
        <v>1.1726236769871869</v>
      </c>
      <c r="AY35" s="4"/>
      <c r="AZ35" s="4">
        <v>32</v>
      </c>
      <c r="BA35" s="4">
        <f>[1]节奏总纲!BA35</f>
        <v>30.728880502070336</v>
      </c>
      <c r="BB35" s="4">
        <f>[1]节奏总纲!BB35</f>
        <v>32.113552950216736</v>
      </c>
      <c r="BC35" s="4">
        <f>[1]节奏总纲!BC35</f>
        <v>33.903140691603731</v>
      </c>
      <c r="BD35" s="4">
        <f>[1]节奏总纲!BD35</f>
        <v>36.526331209747774</v>
      </c>
      <c r="BE35" s="4">
        <f>[1]节奏总纲!BE35</f>
        <v>41.188041754455355</v>
      </c>
    </row>
    <row r="36" spans="2:57" x14ac:dyDescent="0.15">
      <c r="F36" s="4">
        <f>[1]节奏总纲!F36</f>
        <v>34</v>
      </c>
      <c r="G36" s="4">
        <f>[1]节奏总纲!G36</f>
        <v>9.5560632861831518</v>
      </c>
      <c r="I36" s="4">
        <f>[1]节奏总纲!I36</f>
        <v>34</v>
      </c>
      <c r="J36" s="4">
        <f>[1]节奏总纲!J36</f>
        <v>54.110931329932889</v>
      </c>
      <c r="K36" s="4">
        <f>[1]节奏总纲!K36</f>
        <v>0.98</v>
      </c>
      <c r="N36" s="4">
        <f>[1]节奏总纲!N36</f>
        <v>43</v>
      </c>
      <c r="O36" s="4">
        <f>[1]节奏总纲!O36</f>
        <v>33</v>
      </c>
      <c r="P36" s="4">
        <f>[1]节奏总纲!P36</f>
        <v>8.8491553067593287</v>
      </c>
      <c r="Q36" s="4">
        <f>[1]节奏总纲!Q36</f>
        <v>7.7120388498407557</v>
      </c>
      <c r="R36" s="4">
        <f>[1]节奏总纲!R36</f>
        <v>6.3696219898053652</v>
      </c>
      <c r="S36" s="4">
        <f>[1]节奏总纲!S36</f>
        <v>4.736067920177593</v>
      </c>
      <c r="T36" s="4">
        <f>[1]节奏总纲!T36</f>
        <v>2.6627108318038819</v>
      </c>
      <c r="V36" s="4">
        <f>[1]节奏总纲!V36</f>
        <v>33</v>
      </c>
      <c r="W36" s="4">
        <f>[1]节奏总纲!W36</f>
        <v>0.6595684667830497</v>
      </c>
      <c r="X36" s="4">
        <f>[1]节奏总纲!X36</f>
        <v>0.56007266248947118</v>
      </c>
      <c r="Y36" s="4">
        <f>[1]节奏总纲!Y36</f>
        <v>0.46329196081447321</v>
      </c>
      <c r="Z36" s="4">
        <f>[1]节奏总纲!Z36</f>
        <v>0.35054416737029559</v>
      </c>
      <c r="AA36" s="4">
        <f>[1]节奏总纲!AA36</f>
        <v>0.1976451929710219</v>
      </c>
      <c r="AC36" s="4">
        <f>[1]节奏总纲!AC36</f>
        <v>33</v>
      </c>
      <c r="AD36" s="4">
        <f>[1]节奏总纲!AD36</f>
        <v>50.870795385807064</v>
      </c>
      <c r="AE36" s="4">
        <f>[1]节奏总纲!AE36</f>
        <v>52.81759316022675</v>
      </c>
      <c r="AF36" s="4">
        <f>[1]节奏总纲!AF36</f>
        <v>55.604435245632025</v>
      </c>
      <c r="AG36" s="4">
        <f>[1]节奏总纲!AG36</f>
        <v>60.078368706270226</v>
      </c>
      <c r="AH36" s="4">
        <f>[1]节奏总纲!AH36</f>
        <v>68.518369035696878</v>
      </c>
      <c r="AL36" s="4">
        <f>[1]节奏总纲!AL36</f>
        <v>33</v>
      </c>
      <c r="AM36" s="4">
        <f>[1]节奏总纲!AM36</f>
        <v>46.082812923199413</v>
      </c>
      <c r="AN36" s="4">
        <f>[1]节奏总纲!AN36</f>
        <v>36.866250338559531</v>
      </c>
      <c r="AO36" s="4">
        <f>[1]节奏总纲!AO36</f>
        <v>27.649687753919647</v>
      </c>
      <c r="AP36" s="4">
        <f>[1]节奏总纲!AP36</f>
        <v>18.433125169279766</v>
      </c>
      <c r="AQ36" s="4">
        <f>[1]节奏总纲!AQ36</f>
        <v>9.2165625846398829</v>
      </c>
      <c r="AS36" s="4">
        <f>[1]节奏总纲!AS36</f>
        <v>33</v>
      </c>
      <c r="AT36" s="4">
        <f>[1]节奏总纲!AT36</f>
        <v>6.8620149671507704</v>
      </c>
      <c r="AU36" s="4">
        <f>[1]节奏总纲!AU36</f>
        <v>5.489611973720617</v>
      </c>
      <c r="AV36" s="4">
        <f>[1]节奏总纲!AV36</f>
        <v>4.1172089802904637</v>
      </c>
      <c r="AW36" s="4">
        <f>[1]节奏总纲!AW36</f>
        <v>2.7448059868603085</v>
      </c>
      <c r="AX36" s="4">
        <f>[1]节奏总纲!AX36</f>
        <v>1.3724029934301543</v>
      </c>
      <c r="AY36" s="4"/>
      <c r="AZ36" s="4">
        <v>33</v>
      </c>
      <c r="BA36" s="4">
        <f>[1]节奏总纲!BA36</f>
        <v>30.928573790308786</v>
      </c>
      <c r="BB36" s="4">
        <f>[1]节奏总纲!BB36</f>
        <v>32.295715187691279</v>
      </c>
      <c r="BC36" s="4">
        <f>[1]节奏总纲!BC36</f>
        <v>34.09469189131628</v>
      </c>
      <c r="BD36" s="4">
        <f>[1]节奏总纲!BD36</f>
        <v>36.73675803133704</v>
      </c>
      <c r="BE36" s="4">
        <f>[1]节奏总纲!BE36</f>
        <v>41.389172829914081</v>
      </c>
    </row>
    <row r="37" spans="2:57" x14ac:dyDescent="0.15">
      <c r="F37" s="4">
        <f>[1]节奏总纲!F37</f>
        <v>35</v>
      </c>
      <c r="G37" s="4">
        <f>[1]节奏总纲!G37</f>
        <v>10.313708498984759</v>
      </c>
      <c r="I37" s="4">
        <f>[1]节奏总纲!I37</f>
        <v>35</v>
      </c>
      <c r="J37" s="4">
        <f>[1]节奏总纲!J37</f>
        <v>63.5</v>
      </c>
      <c r="K37" s="4">
        <f>[1]节奏总纲!K37</f>
        <v>1</v>
      </c>
      <c r="N37" s="4">
        <f>[1]节奏总纲!N37</f>
        <v>44</v>
      </c>
      <c r="O37" s="4">
        <f>[1]节奏总纲!O37</f>
        <v>34</v>
      </c>
      <c r="P37" s="4">
        <f>[1]节奏总纲!P37</f>
        <v>9.5560632861831518</v>
      </c>
      <c r="Q37" s="4">
        <f>[1]节奏总纲!Q37</f>
        <v>8.3309759728944712</v>
      </c>
      <c r="R37" s="4">
        <f>[1]节奏总纲!R37</f>
        <v>6.8918328419952886</v>
      </c>
      <c r="S37" s="4">
        <f>[1]节奏总纲!S37</f>
        <v>5.1287391656944967</v>
      </c>
      <c r="T37" s="4">
        <f>[1]节奏总纲!T37</f>
        <v>2.8811530807842201</v>
      </c>
      <c r="V37" s="4">
        <f>[1]节奏总纲!V37</f>
        <v>34</v>
      </c>
      <c r="W37" s="4">
        <f>[1]节奏总纲!W37</f>
        <v>0.70690797942382311</v>
      </c>
      <c r="X37" s="4">
        <f>[1]节奏总纲!X37</f>
        <v>0.61893712305371551</v>
      </c>
      <c r="Y37" s="4">
        <f>[1]节奏总纲!Y37</f>
        <v>0.52221085218992336</v>
      </c>
      <c r="Z37" s="4">
        <f>[1]节奏总纲!Z37</f>
        <v>0.39267124551690369</v>
      </c>
      <c r="AA37" s="4">
        <f>[1]节奏总纲!AA37</f>
        <v>0.21844224898033815</v>
      </c>
      <c r="AC37" s="4">
        <f>[1]节奏总纲!AC37</f>
        <v>34</v>
      </c>
      <c r="AD37" s="4">
        <f>[1]节奏总纲!AD37</f>
        <v>51.285688244217212</v>
      </c>
      <c r="AE37" s="4">
        <f>[1]节奏总纲!AE37</f>
        <v>53.226994578658328</v>
      </c>
      <c r="AF37" s="4">
        <f>[1]节奏总纲!AF37</f>
        <v>56.045896281048073</v>
      </c>
      <c r="AG37" s="4">
        <f>[1]节奏总纲!AG37</f>
        <v>60.491705764657482</v>
      </c>
      <c r="AH37" s="4">
        <f>[1]节奏总纲!AH37</f>
        <v>68.972756340855</v>
      </c>
      <c r="AL37" s="4">
        <f>[1]节奏总纲!AL37</f>
        <v>34</v>
      </c>
      <c r="AM37" s="4">
        <f>[1]节奏总纲!AM37</f>
        <v>54.110931329932889</v>
      </c>
      <c r="AN37" s="4">
        <f>[1]节奏总纲!AN37</f>
        <v>43.288745063946315</v>
      </c>
      <c r="AO37" s="4">
        <f>[1]节奏总纲!AO37</f>
        <v>32.466558797959735</v>
      </c>
      <c r="AP37" s="4">
        <f>[1]节奏总纲!AP37</f>
        <v>21.644372531973158</v>
      </c>
      <c r="AQ37" s="4">
        <f>[1]节奏总纲!AQ37</f>
        <v>10.822186265986579</v>
      </c>
      <c r="AS37" s="4">
        <f>[1]节奏总纲!AS37</f>
        <v>34</v>
      </c>
      <c r="AT37" s="4">
        <f>[1]节奏总纲!AT37</f>
        <v>8.0281184067334763</v>
      </c>
      <c r="AU37" s="4">
        <f>[1]节奏总纲!AU37</f>
        <v>6.4224947253867839</v>
      </c>
      <c r="AV37" s="4">
        <f>[1]节奏总纲!AV37</f>
        <v>4.8168710440400879</v>
      </c>
      <c r="AW37" s="4">
        <f>[1]节奏总纲!AW37</f>
        <v>3.2112473626933919</v>
      </c>
      <c r="AX37" s="4">
        <f>[1]节奏总纲!AX37</f>
        <v>1.605623681346696</v>
      </c>
      <c r="AY37" s="4"/>
      <c r="AZ37" s="4">
        <v>34</v>
      </c>
      <c r="BA37" s="4">
        <f>[1]节奏总纲!BA37</f>
        <v>31.109552696486158</v>
      </c>
      <c r="BB37" s="4">
        <f>[1]节奏总纲!BB37</f>
        <v>32.477877425165822</v>
      </c>
      <c r="BC37" s="4">
        <f>[1]节奏总纲!BC37</f>
        <v>34.272203285175834</v>
      </c>
      <c r="BD37" s="4">
        <f>[1]节奏总纲!BD37</f>
        <v>36.947184852926306</v>
      </c>
      <c r="BE37" s="4">
        <f>[1]节奏总纲!BE37</f>
        <v>41.590303905372799</v>
      </c>
    </row>
    <row r="38" spans="2:57" x14ac:dyDescent="0.15">
      <c r="F38" s="4">
        <f>[1]节奏总纲!F38</f>
        <v>36</v>
      </c>
      <c r="G38" s="4">
        <f>[1]节奏总纲!G38</f>
        <v>11.125732532083184</v>
      </c>
      <c r="I38" s="4">
        <f>[1]节奏总纲!I38</f>
        <v>36</v>
      </c>
      <c r="J38" s="4">
        <f>[1]节奏总纲!J38</f>
        <v>73.746861667008318</v>
      </c>
      <c r="K38" s="4">
        <f>[1]节奏总纲!K38</f>
        <v>1.01</v>
      </c>
      <c r="N38" s="4">
        <f>[1]节奏总纲!N38</f>
        <v>45</v>
      </c>
      <c r="O38" s="4">
        <f>[1]节奏总纲!O38</f>
        <v>35</v>
      </c>
      <c r="P38" s="4">
        <f>[1]节奏总纲!P38</f>
        <v>10.313708498984759</v>
      </c>
      <c r="Q38" s="4">
        <f>[1]节奏总纲!Q38</f>
        <v>9.0048988904635934</v>
      </c>
      <c r="R38" s="4">
        <f>[1]节奏总纲!R38</f>
        <v>7.4547485030661838</v>
      </c>
      <c r="S38" s="4">
        <f>[1]节奏总纲!S38</f>
        <v>5.5405242056546129</v>
      </c>
      <c r="T38" s="4">
        <f>[1]节奏总纲!T38</f>
        <v>3.1106144832938032</v>
      </c>
      <c r="V38" s="4">
        <f>[1]节奏总纲!V38</f>
        <v>35</v>
      </c>
      <c r="W38" s="4">
        <f>[1]节奏总纲!W38</f>
        <v>0.75764521280160757</v>
      </c>
      <c r="X38" s="4">
        <f>[1]节奏总纲!X38</f>
        <v>0.67392291756912215</v>
      </c>
      <c r="Y38" s="4">
        <f>[1]节奏总纲!Y38</f>
        <v>0.56291566107089519</v>
      </c>
      <c r="Z38" s="4">
        <f>[1]节奏总纲!Z38</f>
        <v>0.41178503996011617</v>
      </c>
      <c r="AA38" s="4">
        <f>[1]节奏总纲!AA38</f>
        <v>0.22946140250958313</v>
      </c>
      <c r="AC38" s="4">
        <f>[1]节奏总纲!AC38</f>
        <v>35</v>
      </c>
      <c r="AD38" s="4">
        <f>[1]节奏总纲!AD38</f>
        <v>51.691928656135211</v>
      </c>
      <c r="AE38" s="4">
        <f>[1]节奏总纲!AE38</f>
        <v>53.623906555539456</v>
      </c>
      <c r="AF38" s="4">
        <f>[1]节奏总纲!AF38</f>
        <v>56.457855949816349</v>
      </c>
      <c r="AG38" s="4">
        <f>[1]节奏总纲!AG38</f>
        <v>60.905042823044738</v>
      </c>
      <c r="AH38" s="4">
        <f>[1]节奏总纲!AH38</f>
        <v>69.385288338144662</v>
      </c>
      <c r="AL38" s="4">
        <f>[1]节奏总纲!AL38</f>
        <v>35</v>
      </c>
      <c r="AM38" s="4">
        <f>[1]节奏总纲!AM38</f>
        <v>63.5</v>
      </c>
      <c r="AN38" s="4">
        <f>[1]节奏总纲!AN38</f>
        <v>50.800000000000004</v>
      </c>
      <c r="AO38" s="4">
        <f>[1]节奏总纲!AO38</f>
        <v>38.1</v>
      </c>
      <c r="AP38" s="4">
        <f>[1]节奏总纲!AP38</f>
        <v>25.400000000000002</v>
      </c>
      <c r="AQ38" s="4">
        <f>[1]节奏总纲!AQ38</f>
        <v>12.700000000000001</v>
      </c>
      <c r="AS38" s="4">
        <f>[1]节奏总纲!AS38</f>
        <v>35</v>
      </c>
      <c r="AT38" s="4">
        <f>[1]节奏总纲!AT38</f>
        <v>9.3890686700671111</v>
      </c>
      <c r="AU38" s="4">
        <f>[1]节奏总纲!AU38</f>
        <v>7.5112549360536889</v>
      </c>
      <c r="AV38" s="4">
        <f>[1]节奏总纲!AV38</f>
        <v>5.6334412020402667</v>
      </c>
      <c r="AW38" s="4">
        <f>[1]节奏总纲!AW38</f>
        <v>3.7556274680268444</v>
      </c>
      <c r="AX38" s="4">
        <f>[1]节奏总纲!AX38</f>
        <v>1.8778137340134222</v>
      </c>
      <c r="AY38" s="4"/>
      <c r="AZ38" s="4">
        <v>35</v>
      </c>
      <c r="BA38" s="4">
        <f>[1]节奏总纲!BA38</f>
        <v>31.280110398778046</v>
      </c>
      <c r="BB38" s="4">
        <f>[1]节奏总纲!BB38</f>
        <v>32.660039662640372</v>
      </c>
      <c r="BC38" s="4">
        <f>[1]节奏总纲!BC38</f>
        <v>34.449714679035388</v>
      </c>
      <c r="BD38" s="4">
        <f>[1]节奏总纲!BD38</f>
        <v>37.135950591746003</v>
      </c>
      <c r="BE38" s="4">
        <f>[1]节奏总纲!BE38</f>
        <v>41.791434980831518</v>
      </c>
    </row>
    <row r="39" spans="2:57" x14ac:dyDescent="0.15">
      <c r="F39" s="4">
        <f>[1]节奏总纲!F39</f>
        <v>37</v>
      </c>
      <c r="G39" s="4">
        <f>[1]节奏总纲!G39</f>
        <v>11.996038341699768</v>
      </c>
      <c r="I39" s="4">
        <f>[1]节奏总纲!I39</f>
        <v>37</v>
      </c>
      <c r="J39" s="4">
        <f>[1]节奏总纲!J39</f>
        <v>85.62747641525452</v>
      </c>
      <c r="K39" s="4">
        <f>[1]节奏总纲!K39</f>
        <v>1.02</v>
      </c>
      <c r="N39" s="4">
        <f>[1]节奏总纲!N39</f>
        <v>46</v>
      </c>
      <c r="O39" s="4">
        <f>[1]节奏总纲!O39</f>
        <v>36</v>
      </c>
      <c r="P39" s="4">
        <f>[1]节奏总纲!P39</f>
        <v>11.125732532083184</v>
      </c>
      <c r="Q39" s="4">
        <f>[1]节奏总纲!Q39</f>
        <v>9.7261153795471191</v>
      </c>
      <c r="R39" s="4">
        <f>[1]节奏总纲!R39</f>
        <v>8.0405669009365166</v>
      </c>
      <c r="S39" s="4">
        <f>[1]节奏总纲!S39</f>
        <v>5.9700680767158358</v>
      </c>
      <c r="T39" s="4">
        <f>[1]节奏总纲!T39</f>
        <v>3.3388323328781633</v>
      </c>
      <c r="V39" s="4">
        <f>[1]节奏总纲!V39</f>
        <v>36</v>
      </c>
      <c r="W39" s="4">
        <f>[1]节奏总纲!W39</f>
        <v>0.81202403309842452</v>
      </c>
      <c r="X39" s="4">
        <f>[1]节奏总纲!X39</f>
        <v>0.72121648908352576</v>
      </c>
      <c r="Y39" s="4">
        <f>[1]节奏总纲!Y39</f>
        <v>0.58581839787033285</v>
      </c>
      <c r="Z39" s="4">
        <f>[1]节奏总纲!Z39</f>
        <v>0.42954387106122294</v>
      </c>
      <c r="AA39" s="4">
        <f>[1]节奏总纲!AA39</f>
        <v>0.22821784958436009</v>
      </c>
      <c r="AC39" s="4">
        <f>[1]节奏总纲!AC39</f>
        <v>36</v>
      </c>
      <c r="AD39" s="4">
        <f>[1]节奏总纲!AD39</f>
        <v>52.091594979242075</v>
      </c>
      <c r="AE39" s="4">
        <f>[1]节奏总纲!AE39</f>
        <v>54.020289560649204</v>
      </c>
      <c r="AF39" s="4">
        <f>[1]节奏总纲!AF39</f>
        <v>56.869815618584624</v>
      </c>
      <c r="AG39" s="4">
        <f>[1]节奏总纲!AG39</f>
        <v>61.294362422865476</v>
      </c>
      <c r="AH39" s="4">
        <f>[1]节奏总纲!AH39</f>
        <v>69.795150761037945</v>
      </c>
      <c r="AL39" s="4">
        <f>[1]节奏总纲!AL39</f>
        <v>36</v>
      </c>
      <c r="AM39" s="4">
        <f>[1]节奏总纲!AM39</f>
        <v>73.746861667008318</v>
      </c>
      <c r="AN39" s="4">
        <f>[1]节奏总纲!AN39</f>
        <v>58.997489333606659</v>
      </c>
      <c r="AO39" s="4">
        <f>[1]节奏总纲!AO39</f>
        <v>44.248117000204992</v>
      </c>
      <c r="AP39" s="4">
        <f>[1]节奏总纲!AP39</f>
        <v>29.498744666803329</v>
      </c>
      <c r="AQ39" s="4">
        <f>[1]节奏总纲!AQ39</f>
        <v>14.749372333401665</v>
      </c>
      <c r="AS39" s="4">
        <f>[1]节奏总纲!AS39</f>
        <v>36</v>
      </c>
      <c r="AT39" s="4">
        <f>[1]节奏总纲!AT39</f>
        <v>10.246861667008318</v>
      </c>
      <c r="AU39" s="4">
        <f>[1]节奏总纲!AU39</f>
        <v>8.1974893336066543</v>
      </c>
      <c r="AV39" s="4">
        <f>[1]节奏总纲!AV39</f>
        <v>6.1481170002049907</v>
      </c>
      <c r="AW39" s="4">
        <f>[1]节奏总纲!AW39</f>
        <v>4.0987446668033272</v>
      </c>
      <c r="AX39" s="4">
        <f>[1]节奏总纲!AX39</f>
        <v>2.0493723334016636</v>
      </c>
      <c r="AY39" s="4"/>
      <c r="AZ39" s="4">
        <v>36</v>
      </c>
      <c r="BA39" s="4">
        <f>[1]节奏总纲!BA39</f>
        <v>31.450668101069933</v>
      </c>
      <c r="BB39" s="4">
        <f>[1]节奏总纲!BB39</f>
        <v>32.842201900114915</v>
      </c>
      <c r="BC39" s="4">
        <f>[1]节奏总纲!BC39</f>
        <v>34.627226072894942</v>
      </c>
      <c r="BD39" s="4">
        <f>[1]节奏总纲!BD39</f>
        <v>37.317457773889828</v>
      </c>
      <c r="BE39" s="4">
        <f>[1]节奏总纲!BE39</f>
        <v>41.992566056290244</v>
      </c>
    </row>
    <row r="40" spans="2:57" x14ac:dyDescent="0.15">
      <c r="F40" s="4">
        <f>[1]节奏总纲!F40</f>
        <v>38</v>
      </c>
      <c r="G40" s="4">
        <f>[1]节奏总纲!G40</f>
        <v>12.928809012737984</v>
      </c>
      <c r="I40" s="4">
        <f>[1]节奏总纲!I40</f>
        <v>38</v>
      </c>
      <c r="J40" s="4">
        <f>[1]节奏总纲!J40</f>
        <v>99.401036064365428</v>
      </c>
      <c r="K40" s="4">
        <f>[1]节奏总纲!K40</f>
        <v>1.03</v>
      </c>
      <c r="N40" s="4">
        <f>[1]节奏总纲!N40</f>
        <v>47</v>
      </c>
      <c r="O40" s="4">
        <f>[1]节奏总纲!O40</f>
        <v>37</v>
      </c>
      <c r="P40" s="4">
        <f>[1]节奏总纲!P40</f>
        <v>11.996038341699768</v>
      </c>
      <c r="Q40" s="4">
        <f>[1]节奏总纲!Q40</f>
        <v>10.483337906811427</v>
      </c>
      <c r="R40" s="4">
        <f>[1]节奏总纲!R40</f>
        <v>8.6671377018780831</v>
      </c>
      <c r="S40" s="4">
        <f>[1]节奏总纲!S40</f>
        <v>6.4166809089752066</v>
      </c>
      <c r="T40" s="4">
        <f>[1]节奏总纲!T40</f>
        <v>3.6000111063441</v>
      </c>
      <c r="V40" s="4">
        <f>[1]节奏总纲!V40</f>
        <v>37</v>
      </c>
      <c r="W40" s="4">
        <f>[1]节奏总纲!W40</f>
        <v>0.87030580961658366</v>
      </c>
      <c r="X40" s="4">
        <f>[1]节奏总纲!X40</f>
        <v>0.75722252726430739</v>
      </c>
      <c r="Y40" s="4">
        <f>[1]节奏总纲!Y40</f>
        <v>0.62657080094156647</v>
      </c>
      <c r="Z40" s="4">
        <f>[1]节奏总纲!Z40</f>
        <v>0.44661283225937076</v>
      </c>
      <c r="AA40" s="4">
        <f>[1]节奏总纲!AA40</f>
        <v>0.26117877346593676</v>
      </c>
      <c r="AC40" s="4">
        <f>[1]节奏总纲!AC40</f>
        <v>37</v>
      </c>
      <c r="AD40" s="4">
        <f>[1]节奏总纲!AD40</f>
        <v>52.470630686057078</v>
      </c>
      <c r="AE40" s="4">
        <f>[1]节奏总纲!AE40</f>
        <v>54.407116521581436</v>
      </c>
      <c r="AF40" s="4">
        <f>[1]节奏总纲!AF40</f>
        <v>57.263329041432932</v>
      </c>
      <c r="AG40" s="4">
        <f>[1]节奏总纲!AG40</f>
        <v>61.676518787205197</v>
      </c>
      <c r="AH40" s="4">
        <f>[1]节奏总纲!AH40</f>
        <v>70.190427169053478</v>
      </c>
      <c r="AL40" s="4">
        <f>[1]节奏总纲!AL40</f>
        <v>37</v>
      </c>
      <c r="AM40" s="4">
        <f>[1]节奏总纲!AM40</f>
        <v>85.62747641525452</v>
      </c>
      <c r="AN40" s="4">
        <f>[1]节奏总纲!AN40</f>
        <v>68.501981132203625</v>
      </c>
      <c r="AO40" s="4">
        <f>[1]节奏总纲!AO40</f>
        <v>51.376485849152708</v>
      </c>
      <c r="AP40" s="4">
        <f>[1]节奏总纲!AP40</f>
        <v>34.250990566101812</v>
      </c>
      <c r="AQ40" s="4">
        <f>[1]节奏总纲!AQ40</f>
        <v>17.125495283050906</v>
      </c>
      <c r="AS40" s="4">
        <f>[1]节奏总纲!AS40</f>
        <v>37</v>
      </c>
      <c r="AT40" s="4">
        <f>[1]节奏总纲!AT40</f>
        <v>11.880614748246202</v>
      </c>
      <c r="AU40" s="4">
        <f>[1]节奏总纲!AU40</f>
        <v>9.5044917985969661</v>
      </c>
      <c r="AV40" s="4">
        <f>[1]节奏总纲!AV40</f>
        <v>7.1283688489477157</v>
      </c>
      <c r="AW40" s="4">
        <f>[1]节奏总纲!AW40</f>
        <v>4.7522458992984831</v>
      </c>
      <c r="AX40" s="4">
        <f>[1]节奏总纲!AX40</f>
        <v>2.3761229496492415</v>
      </c>
      <c r="AY40" s="4"/>
      <c r="AZ40" s="4">
        <v>37</v>
      </c>
      <c r="BA40" s="4">
        <f>[1]节奏总纲!BA40</f>
        <v>31.621225803361821</v>
      </c>
      <c r="BB40" s="4">
        <f>[1]节奏总纲!BB40</f>
        <v>33.02082518821102</v>
      </c>
      <c r="BC40" s="4">
        <f>[1]节奏总纲!BC40</f>
        <v>34.804737466754489</v>
      </c>
      <c r="BD40" s="4">
        <f>[1]节奏总纲!BD40</f>
        <v>37.498964956033646</v>
      </c>
      <c r="BE40" s="4">
        <f>[1]节奏总纲!BE40</f>
        <v>42.167148737437564</v>
      </c>
    </row>
    <row r="41" spans="2:57" x14ac:dyDescent="0.15">
      <c r="F41" s="4">
        <f>[1]节奏总纲!F41</f>
        <v>39</v>
      </c>
      <c r="G41" s="4">
        <f>[1]节奏总纲!G41</f>
        <v>13.928527864588917</v>
      </c>
      <c r="I41" s="4">
        <f>[1]节奏总纲!I41</f>
        <v>39</v>
      </c>
      <c r="J41" s="4">
        <f>[1]节奏总纲!J41</f>
        <v>115.36769098598003</v>
      </c>
      <c r="K41" s="4">
        <f>[1]节奏总纲!K41</f>
        <v>1.04</v>
      </c>
      <c r="N41" s="4">
        <f>[1]节奏总纲!N41</f>
        <v>48</v>
      </c>
      <c r="O41" s="4">
        <f>[1]节奏总纲!O41</f>
        <v>38</v>
      </c>
      <c r="P41" s="4">
        <f>[1]节奏总纲!P41</f>
        <v>12.928809012737984</v>
      </c>
      <c r="Q41" s="4">
        <f>[1]节奏总纲!Q41</f>
        <v>11.292021791725356</v>
      </c>
      <c r="R41" s="4">
        <f>[1]节奏总纲!R41</f>
        <v>9.3190855363815395</v>
      </c>
      <c r="S41" s="4">
        <f>[1]节奏总纲!S41</f>
        <v>6.8962267273944402</v>
      </c>
      <c r="T41" s="4">
        <f>[1]节奏总纲!T41</f>
        <v>3.8708854184137524</v>
      </c>
      <c r="V41" s="4">
        <f>[1]节奏总纲!V41</f>
        <v>38</v>
      </c>
      <c r="W41" s="4">
        <f>[1]节奏总纲!W41</f>
        <v>0.93277067103821665</v>
      </c>
      <c r="X41" s="4">
        <f>[1]节奏总纲!X41</f>
        <v>0.80868388491392906</v>
      </c>
      <c r="Y41" s="4">
        <f>[1]节奏总纲!Y41</f>
        <v>0.65194783450345639</v>
      </c>
      <c r="Z41" s="4">
        <f>[1]节奏总纲!Z41</f>
        <v>0.4795458184192336</v>
      </c>
      <c r="AA41" s="4">
        <f>[1]节奏总纲!AA41</f>
        <v>0.2708743120696524</v>
      </c>
      <c r="AC41" s="4">
        <f>[1]节奏总纲!AC41</f>
        <v>38</v>
      </c>
      <c r="AD41" s="4">
        <f>[1]节奏总纲!AD41</f>
        <v>52.849666392872081</v>
      </c>
      <c r="AE41" s="4">
        <f>[1]节奏总纲!AE41</f>
        <v>54.793943482513676</v>
      </c>
      <c r="AF41" s="4">
        <f>[1]节奏总纲!AF41</f>
        <v>57.64832002380362</v>
      </c>
      <c r="AG41" s="4">
        <f>[1]节奏总纲!AG41</f>
        <v>62.054222259937362</v>
      </c>
      <c r="AH41" s="4">
        <f>[1]节奏总纲!AH41</f>
        <v>70.571129226337533</v>
      </c>
      <c r="AL41" s="4">
        <f>[1]节奏总纲!AL41</f>
        <v>38</v>
      </c>
      <c r="AM41" s="4">
        <f>[1]节奏总纲!AM41</f>
        <v>99.401036064365428</v>
      </c>
      <c r="AN41" s="4">
        <f>[1]节奏总纲!AN41</f>
        <v>79.520828851492354</v>
      </c>
      <c r="AO41" s="4">
        <f>[1]节奏总纲!AO41</f>
        <v>59.640621638619251</v>
      </c>
      <c r="AP41" s="4">
        <f>[1]节奏总纲!AP41</f>
        <v>39.760414425746177</v>
      </c>
      <c r="AQ41" s="4">
        <f>[1]节奏总纲!AQ41</f>
        <v>19.880207212873088</v>
      </c>
      <c r="AS41" s="4">
        <f>[1]节奏总纲!AS41</f>
        <v>38</v>
      </c>
      <c r="AT41" s="4">
        <f>[1]节奏总纲!AT41</f>
        <v>13.773559649110908</v>
      </c>
      <c r="AU41" s="4">
        <f>[1]节奏总纲!AU41</f>
        <v>11.018847719288729</v>
      </c>
      <c r="AV41" s="4">
        <f>[1]节奏总纲!AV41</f>
        <v>8.2641357894665433</v>
      </c>
      <c r="AW41" s="4">
        <f>[1]节奏总纲!AW41</f>
        <v>5.5094238596443645</v>
      </c>
      <c r="AX41" s="4">
        <f>[1]节奏总纲!AX41</f>
        <v>2.7547119298221823</v>
      </c>
      <c r="AY41" s="4"/>
      <c r="AZ41" s="4">
        <v>38</v>
      </c>
      <c r="BA41" s="4">
        <f>[1]节奏总纲!BA41</f>
        <v>31.791783505653711</v>
      </c>
      <c r="BB41" s="4">
        <f>[1]节奏总纲!BB41</f>
        <v>33.176527924103851</v>
      </c>
      <c r="BC41" s="4">
        <f>[1]节奏总纲!BC41</f>
        <v>34.982248860614042</v>
      </c>
      <c r="BD41" s="4">
        <f>[1]节奏总纲!BD41</f>
        <v>37.680472138177471</v>
      </c>
      <c r="BE41" s="4">
        <f>[1]节奏总纲!BE41</f>
        <v>42.340712512072891</v>
      </c>
    </row>
    <row r="42" spans="2:57" x14ac:dyDescent="0.15">
      <c r="F42" s="4">
        <f>[1]节奏总纲!F42</f>
        <v>40</v>
      </c>
      <c r="G42" s="4">
        <f>[1]节奏总纲!G42</f>
        <v>15</v>
      </c>
      <c r="I42" s="4">
        <f>[1]节奏总纲!I42</f>
        <v>40</v>
      </c>
      <c r="J42" s="4">
        <f>[1]节奏总纲!J42</f>
        <v>133.875</v>
      </c>
      <c r="K42" s="4">
        <f>[1]节奏总纲!K42</f>
        <v>1.05</v>
      </c>
      <c r="N42" s="4">
        <f>[1]节奏总纲!N42</f>
        <v>49</v>
      </c>
      <c r="O42" s="4">
        <f>[1]节奏总纲!O42</f>
        <v>39</v>
      </c>
      <c r="P42" s="4">
        <f>[1]节奏总纲!P42</f>
        <v>13.928527864588917</v>
      </c>
      <c r="Q42" s="4">
        <f>[1]节奏总纲!Q42</f>
        <v>12.147069150707994</v>
      </c>
      <c r="R42" s="4">
        <f>[1]节奏总纲!R42</f>
        <v>10.016004387425889</v>
      </c>
      <c r="S42" s="4">
        <f>[1]节奏总纲!S42</f>
        <v>7.4197267934665154</v>
      </c>
      <c r="T42" s="4">
        <f>[1]节奏总纲!T42</f>
        <v>4.1702012426579218</v>
      </c>
      <c r="V42" s="4">
        <f>[1]节奏总纲!V42</f>
        <v>39</v>
      </c>
      <c r="W42" s="4">
        <f>[1]节奏总纲!W42</f>
        <v>0.99971885185093257</v>
      </c>
      <c r="X42" s="4">
        <f>[1]节奏总纲!X42</f>
        <v>0.85504735898263817</v>
      </c>
      <c r="Y42" s="4">
        <f>[1]节奏总纲!Y42</f>
        <v>0.69691885104434981</v>
      </c>
      <c r="Z42" s="4">
        <f>[1]节奏总纲!Z42</f>
        <v>0.52350006607207522</v>
      </c>
      <c r="AA42" s="4">
        <f>[1]节奏总纲!AA42</f>
        <v>0.29931582424416936</v>
      </c>
      <c r="AC42" s="4">
        <f>[1]节奏总纲!AC42</f>
        <v>39</v>
      </c>
      <c r="AD42" s="4">
        <f>[1]节奏总纲!AD42</f>
        <v>53.213386604241784</v>
      </c>
      <c r="AE42" s="4">
        <f>[1]节奏总纲!AE42</f>
        <v>55.170390866416149</v>
      </c>
      <c r="AF42" s="4">
        <f>[1]节奏总纲!AF42</f>
        <v>58.030740707238266</v>
      </c>
      <c r="AG42" s="4">
        <f>[1]节奏总纲!AG42</f>
        <v>62.407376554018477</v>
      </c>
      <c r="AH42" s="4">
        <f>[1]节奏总纲!AH42</f>
        <v>70.951831283621587</v>
      </c>
      <c r="AL42" s="4">
        <f>[1]节奏总纲!AL42</f>
        <v>39</v>
      </c>
      <c r="AM42" s="4">
        <f>[1]节奏总纲!AM42</f>
        <v>115.36769098598003</v>
      </c>
      <c r="AN42" s="4">
        <f>[1]节奏总纲!AN42</f>
        <v>92.294152788784032</v>
      </c>
      <c r="AO42" s="4">
        <f>[1]节奏总纲!AO42</f>
        <v>69.220614591588017</v>
      </c>
      <c r="AP42" s="4">
        <f>[1]节奏总纲!AP42</f>
        <v>46.147076394392016</v>
      </c>
      <c r="AQ42" s="4">
        <f>[1]节奏总纲!AQ42</f>
        <v>23.073538197196008</v>
      </c>
      <c r="AS42" s="4">
        <f>[1]节奏总纲!AS42</f>
        <v>39</v>
      </c>
      <c r="AT42" s="4">
        <f>[1]节奏总纲!AT42</f>
        <v>15.966654921614605</v>
      </c>
      <c r="AU42" s="4">
        <f>[1]节奏总纲!AU42</f>
        <v>12.773323937291678</v>
      </c>
      <c r="AV42" s="4">
        <f>[1]节奏总纲!AV42</f>
        <v>9.579992952968766</v>
      </c>
      <c r="AW42" s="4">
        <f>[1]节奏总纲!AW42</f>
        <v>6.3866619686458392</v>
      </c>
      <c r="AX42" s="4">
        <f>[1]节奏总纲!AX42</f>
        <v>3.1933309843229196</v>
      </c>
      <c r="AY42" s="4"/>
      <c r="AZ42" s="4">
        <v>39</v>
      </c>
      <c r="BA42" s="4">
        <f>[1]节奏总纲!BA42</f>
        <v>31.962341207945599</v>
      </c>
      <c r="BB42" s="4">
        <f>[1]节奏总纲!BB42</f>
        <v>33.332230659996682</v>
      </c>
      <c r="BC42" s="4">
        <f>[1]节奏总纲!BC42</f>
        <v>35.146386283795508</v>
      </c>
      <c r="BD42" s="4">
        <f>[1]节奏总纲!BD42</f>
        <v>37.861979320321296</v>
      </c>
      <c r="BE42" s="4">
        <f>[1]节奏总纲!BE42</f>
        <v>42.51427628670821</v>
      </c>
    </row>
    <row r="43" spans="2:57" x14ac:dyDescent="0.15">
      <c r="F43" s="4">
        <f>[1]节奏总纲!F43</f>
        <v>41</v>
      </c>
      <c r="G43" s="4">
        <f>[1]节奏总纲!G43</f>
        <v>16.148375400580683</v>
      </c>
      <c r="I43" s="4">
        <f>[1]节奏总纲!I43</f>
        <v>41</v>
      </c>
      <c r="J43" s="4">
        <f>[1]节奏总纲!J43</f>
        <v>155.32539280599755</v>
      </c>
      <c r="K43" s="4">
        <f>[1]节奏总纲!K43</f>
        <v>1.06</v>
      </c>
      <c r="N43" s="4">
        <f>[1]节奏总纲!N43</f>
        <v>50</v>
      </c>
      <c r="O43" s="4">
        <f>[1]节奏总纲!O43</f>
        <v>40</v>
      </c>
      <c r="P43" s="4">
        <f>[1]节奏总纲!P43</f>
        <v>15</v>
      </c>
      <c r="Q43" s="4">
        <f>[1]节奏总纲!Q43</f>
        <v>13.059000000000001</v>
      </c>
      <c r="R43" s="4">
        <f>[1]节奏总纲!R43</f>
        <v>10.782</v>
      </c>
      <c r="S43" s="4">
        <f>[1]节奏总纲!S43</f>
        <v>8.0009999999999994</v>
      </c>
      <c r="T43" s="4">
        <f>[1]节奏总纲!T43</f>
        <v>4.5</v>
      </c>
      <c r="V43" s="4">
        <f>[1]节奏总纲!V43</f>
        <v>40</v>
      </c>
      <c r="W43" s="4">
        <f>[1]节奏总纲!W43</f>
        <v>1.0714721354110832</v>
      </c>
      <c r="X43" s="4">
        <f>[1]节奏总纲!X43</f>
        <v>0.9119308492920073</v>
      </c>
      <c r="Y43" s="4">
        <f>[1]节奏总纲!Y43</f>
        <v>0.76599561257411075</v>
      </c>
      <c r="Z43" s="4">
        <f>[1]节奏总纲!Z43</f>
        <v>0.58127320653348402</v>
      </c>
      <c r="AA43" s="4">
        <f>[1]节奏总纲!AA43</f>
        <v>0.3297987573420782</v>
      </c>
      <c r="AC43" s="4">
        <f>[1]节奏总纲!AC43</f>
        <v>40</v>
      </c>
      <c r="AD43" s="4">
        <f>[1]节奏总纲!AD43</f>
        <v>53.567039423670657</v>
      </c>
      <c r="AE43" s="4">
        <f>[1]节奏总纲!AE43</f>
        <v>55.535006783542492</v>
      </c>
      <c r="AF43" s="4">
        <f>[1]节奏总纲!AF43</f>
        <v>58.38602553461638</v>
      </c>
      <c r="AG43" s="4">
        <f>[1]节奏总纲!AG43</f>
        <v>62.760530848099599</v>
      </c>
      <c r="AH43" s="4">
        <f>[1]节奏总纲!AH43</f>
        <v>71.315281959371688</v>
      </c>
      <c r="AL43" s="4">
        <f>[1]节奏总纲!AL43</f>
        <v>40</v>
      </c>
      <c r="AM43" s="4">
        <f>[1]节奏总纲!AM43</f>
        <v>133.875</v>
      </c>
      <c r="AN43" s="4">
        <f>[1]节奏总纲!AN43</f>
        <v>107.10000000000001</v>
      </c>
      <c r="AO43" s="4">
        <f>[1]节奏总纲!AO43</f>
        <v>80.325000000000003</v>
      </c>
      <c r="AP43" s="4">
        <f>[1]节奏总纲!AP43</f>
        <v>53.550000000000004</v>
      </c>
      <c r="AQ43" s="4">
        <f>[1]节奏总纲!AQ43</f>
        <v>26.775000000000002</v>
      </c>
      <c r="AS43" s="4">
        <f>[1]节奏总纲!AS43</f>
        <v>40</v>
      </c>
      <c r="AT43" s="4">
        <f>[1]节奏总纲!AT43</f>
        <v>18.507309014019967</v>
      </c>
      <c r="AU43" s="4">
        <f>[1]节奏总纲!AU43</f>
        <v>14.805847211215976</v>
      </c>
      <c r="AV43" s="4">
        <f>[1]节奏总纲!AV43</f>
        <v>11.104385408411986</v>
      </c>
      <c r="AW43" s="4">
        <f>[1]节奏总纲!AW43</f>
        <v>7.4029236056079881</v>
      </c>
      <c r="AX43" s="4">
        <f>[1]节奏总纲!AX43</f>
        <v>3.7014618028039941</v>
      </c>
      <c r="AY43" s="4"/>
      <c r="AZ43" s="4">
        <v>40</v>
      </c>
      <c r="BA43" s="4">
        <f>[1]节奏总纲!BA43</f>
        <v>32.113552950216736</v>
      </c>
      <c r="BB43" s="4">
        <f>[1]节奏总纲!BB43</f>
        <v>33.487933395889513</v>
      </c>
      <c r="BC43" s="4">
        <f>[1]节奏总纲!BC43</f>
        <v>35.309037710234961</v>
      </c>
      <c r="BD43" s="4">
        <f>[1]节奏总纲!BD43</f>
        <v>38.037513426486328</v>
      </c>
      <c r="BE43" s="4">
        <f>[1]节奏总纲!BE43</f>
        <v>42.687840061343536</v>
      </c>
    </row>
    <row r="44" spans="2:57" x14ac:dyDescent="0.15">
      <c r="F44" s="4">
        <f>[1]节奏总纲!F44</f>
        <v>42</v>
      </c>
      <c r="G44" s="4">
        <f>[1]节奏总纲!G44</f>
        <v>17.379173679952558</v>
      </c>
      <c r="I44" s="4">
        <f>[1]节奏总纲!I44</f>
        <v>42</v>
      </c>
      <c r="J44" s="4">
        <f>[1]节奏总纲!J44</f>
        <v>180.18480345945557</v>
      </c>
      <c r="K44" s="4">
        <f>[1]节奏总纲!K44</f>
        <v>1.07</v>
      </c>
      <c r="N44" s="4">
        <f>[1]节奏总纲!N44</f>
        <v>51</v>
      </c>
      <c r="O44" s="4">
        <f>[1]节奏总纲!O44</f>
        <v>41</v>
      </c>
      <c r="P44" s="4">
        <f>[1]节奏总纲!P44</f>
        <v>16.148375400580683</v>
      </c>
      <c r="Q44" s="4">
        <f>[1]节奏总纲!Q44</f>
        <v>14.065234973905774</v>
      </c>
      <c r="R44" s="4">
        <f>[1]节奏总纲!R44</f>
        <v>11.621985775797917</v>
      </c>
      <c r="S44" s="4">
        <f>[1]节奏总纲!S44</f>
        <v>8.6296918140703163</v>
      </c>
      <c r="T44" s="4">
        <f>[1]节奏总纲!T44</f>
        <v>4.8606609955747855</v>
      </c>
      <c r="V44" s="4">
        <f>[1]节奏总纲!V44</f>
        <v>41</v>
      </c>
      <c r="W44" s="4">
        <f>[1]节奏总纲!W44</f>
        <v>1.148375400580683</v>
      </c>
      <c r="X44" s="4">
        <f>[1]节奏总纲!X44</f>
        <v>1.006234973905773</v>
      </c>
      <c r="Y44" s="4">
        <f>[1]节奏总纲!Y44</f>
        <v>0.839985775797917</v>
      </c>
      <c r="Z44" s="4">
        <f>[1]节奏总纲!Z44</f>
        <v>0.62869181407031682</v>
      </c>
      <c r="AA44" s="4">
        <f>[1]节奏总纲!AA44</f>
        <v>0.36066099557478548</v>
      </c>
      <c r="AC44" s="4">
        <f>[1]节奏总纲!AC44</f>
        <v>41</v>
      </c>
      <c r="AD44" s="4">
        <f>[1]节奏总纲!AD44</f>
        <v>53.920692243099523</v>
      </c>
      <c r="AE44" s="4">
        <f>[1]节奏总纲!AE44</f>
        <v>55.899622700668843</v>
      </c>
      <c r="AF44" s="4">
        <f>[1]节奏总纲!AF44</f>
        <v>58.741310361994486</v>
      </c>
      <c r="AG44" s="4">
        <f>[1]节奏总纲!AG44</f>
        <v>63.10587219844583</v>
      </c>
      <c r="AH44" s="4">
        <f>[1]节奏总纲!AH44</f>
        <v>71.676233707038421</v>
      </c>
      <c r="AL44" s="4">
        <f>[1]节奏总纲!AL44</f>
        <v>41</v>
      </c>
      <c r="AM44" s="4">
        <f>[1]节奏总纲!AM44</f>
        <v>155.32539280599755</v>
      </c>
      <c r="AN44" s="4">
        <f>[1]节奏总纲!AN44</f>
        <v>124.26031424479805</v>
      </c>
      <c r="AO44" s="4">
        <f>[1]节奏总纲!AO44</f>
        <v>93.195235683598526</v>
      </c>
      <c r="AP44" s="4">
        <f>[1]节奏总纲!AP44</f>
        <v>62.130157122399027</v>
      </c>
      <c r="AQ44" s="4">
        <f>[1]节奏总纲!AQ44</f>
        <v>31.065078561199513</v>
      </c>
      <c r="AS44" s="4">
        <f>[1]节奏总纲!AS44</f>
        <v>41</v>
      </c>
      <c r="AT44" s="4">
        <f>[1]节奏总纲!AT44</f>
        <v>21.450392805997552</v>
      </c>
      <c r="AU44" s="4">
        <f>[1]节奏总纲!AU44</f>
        <v>17.160314244798045</v>
      </c>
      <c r="AV44" s="4">
        <f>[1]节奏总纲!AV44</f>
        <v>12.870235683598523</v>
      </c>
      <c r="AW44" s="4">
        <f>[1]节奏总纲!AW44</f>
        <v>8.5801571223990223</v>
      </c>
      <c r="AX44" s="4">
        <f>[1]节奏总纲!AX44</f>
        <v>4.2900785611995111</v>
      </c>
      <c r="AY44" s="4"/>
      <c r="AZ44" s="4">
        <v>41</v>
      </c>
      <c r="BA44" s="4">
        <f>[1]节奏总纲!BA44</f>
        <v>32.259282740196369</v>
      </c>
      <c r="BB44" s="4">
        <f>[1]节奏总纲!BB44</f>
        <v>33.643636131782344</v>
      </c>
      <c r="BC44" s="4">
        <f>[1]节奏总纲!BC44</f>
        <v>35.471689136674414</v>
      </c>
      <c r="BD44" s="4">
        <f>[1]节奏总纲!BD44</f>
        <v>38.194089742081125</v>
      </c>
      <c r="BE44" s="4">
        <f>[1]节奏总纲!BE44</f>
        <v>42.861403835978855</v>
      </c>
    </row>
    <row r="45" spans="2:57" x14ac:dyDescent="0.15">
      <c r="F45" s="4">
        <f>[1]节奏总纲!F45</f>
        <v>43</v>
      </c>
      <c r="G45" s="4">
        <f>[1]节奏总纲!G45</f>
        <v>18.698310613518661</v>
      </c>
      <c r="I45" s="4">
        <f>[1]节奏总纲!I45</f>
        <v>43</v>
      </c>
      <c r="J45" s="4">
        <f>[1]节奏总纲!J45</f>
        <v>208.99265815439742</v>
      </c>
      <c r="K45" s="4">
        <f>[1]节奏总纲!K45</f>
        <v>1.08</v>
      </c>
      <c r="N45" s="4">
        <f>[1]节奏总纲!N45</f>
        <v>52</v>
      </c>
      <c r="O45" s="4">
        <f>[1]节奏总纲!O45</f>
        <v>42</v>
      </c>
      <c r="P45" s="4">
        <f>[1]节奏总纲!P45</f>
        <v>17.379173679952558</v>
      </c>
      <c r="Q45" s="4">
        <f>[1]节奏总纲!Q45</f>
        <v>15.182446126806555</v>
      </c>
      <c r="R45" s="4">
        <f>[1]节奏总纲!R45</f>
        <v>12.547763396925747</v>
      </c>
      <c r="S45" s="4">
        <f>[1]节奏总纲!S45</f>
        <v>9.3221887619265527</v>
      </c>
      <c r="T45" s="4">
        <f>[1]节奏总纲!T45</f>
        <v>5.2485104513456724</v>
      </c>
      <c r="V45" s="4">
        <f>[1]节奏总纲!V45</f>
        <v>42</v>
      </c>
      <c r="W45" s="4">
        <f>[1]节奏总纲!W45</f>
        <v>1.230798279371875</v>
      </c>
      <c r="X45" s="4">
        <f>[1]节奏总纲!X45</f>
        <v>1.1172111529007811</v>
      </c>
      <c r="Y45" s="4">
        <f>[1]节奏总纲!Y45</f>
        <v>0.92577762112783013</v>
      </c>
      <c r="Z45" s="4">
        <f>[1]节奏总纲!Z45</f>
        <v>0.69249694785623639</v>
      </c>
      <c r="AA45" s="4">
        <f>[1]节奏总纲!AA45</f>
        <v>0.38784945577088692</v>
      </c>
      <c r="AC45" s="4">
        <f>[1]节奏总纲!AC45</f>
        <v>42</v>
      </c>
      <c r="AD45" s="4">
        <f>[1]节奏总纲!AD45</f>
        <v>54.255972994404218</v>
      </c>
      <c r="AE45" s="4">
        <f>[1]节奏总纲!AE45</f>
        <v>56.238779717153008</v>
      </c>
      <c r="AF45" s="4">
        <f>[1]节奏总纲!AF45</f>
        <v>59.09095196730258</v>
      </c>
      <c r="AG45" s="4">
        <f>[1]节奏总纲!AG45</f>
        <v>63.434756173851497</v>
      </c>
      <c r="AH45" s="4">
        <f>[1]节奏总纲!AH45</f>
        <v>72.034562459436771</v>
      </c>
      <c r="AL45" s="4">
        <f>[1]节奏总纲!AL45</f>
        <v>42</v>
      </c>
      <c r="AM45" s="4">
        <f>[1]节奏总纲!AM45</f>
        <v>180.18480345945557</v>
      </c>
      <c r="AN45" s="4">
        <f>[1]节奏总纲!AN45</f>
        <v>144.14784276756447</v>
      </c>
      <c r="AO45" s="4">
        <f>[1]节奏总纲!AO45</f>
        <v>108.11088207567333</v>
      </c>
      <c r="AP45" s="4">
        <f>[1]节奏总纲!AP45</f>
        <v>72.073921383782235</v>
      </c>
      <c r="AQ45" s="4">
        <f>[1]节奏总纲!AQ45</f>
        <v>36.036960691891117</v>
      </c>
      <c r="AS45" s="4">
        <f>[1]节奏总纲!AS45</f>
        <v>42</v>
      </c>
      <c r="AT45" s="4">
        <f>[1]节奏总纲!AT45</f>
        <v>24.859410653458013</v>
      </c>
      <c r="AU45" s="4">
        <f>[1]节奏总纲!AU45</f>
        <v>19.887528522766416</v>
      </c>
      <c r="AV45" s="4">
        <f>[1]节奏总纲!AV45</f>
        <v>14.915646392074805</v>
      </c>
      <c r="AW45" s="4">
        <f>[1]节奏总纲!AW45</f>
        <v>9.9437642613832082</v>
      </c>
      <c r="AX45" s="4">
        <f>[1]节奏总纲!AX45</f>
        <v>4.9718821306916041</v>
      </c>
      <c r="AY45" s="4"/>
      <c r="AZ45" s="4">
        <v>42</v>
      </c>
      <c r="BA45" s="4">
        <f>[1]节奏总纲!BA45</f>
        <v>32.405012530176009</v>
      </c>
      <c r="BB45" s="4">
        <f>[1]节奏总纲!BB45</f>
        <v>33.799338867675175</v>
      </c>
      <c r="BC45" s="4">
        <f>[1]节奏总纲!BC45</f>
        <v>35.634340563113874</v>
      </c>
      <c r="BD45" s="4">
        <f>[1]节奏总纲!BD45</f>
        <v>38.35066605767593</v>
      </c>
      <c r="BE45" s="4">
        <f>[1]节奏总纲!BE45</f>
        <v>43.030177309109042</v>
      </c>
    </row>
    <row r="46" spans="2:57" x14ac:dyDescent="0.15">
      <c r="F46" s="4">
        <f>[1]节奏总纲!F46</f>
        <v>44</v>
      </c>
      <c r="G46" s="4">
        <f>[1]节奏总纲!G46</f>
        <v>20.112126572366307</v>
      </c>
      <c r="I46" s="4">
        <f>[1]节奏总纲!I46</f>
        <v>44</v>
      </c>
      <c r="J46" s="4">
        <f>[1]节奏总纲!J46</f>
        <v>242.37342918215046</v>
      </c>
      <c r="K46" s="4">
        <f>[1]节奏总纲!K46</f>
        <v>1.0900000000000001</v>
      </c>
      <c r="N46" s="4">
        <f>[1]节奏总纲!N46</f>
        <v>53</v>
      </c>
      <c r="O46" s="4">
        <f>[1]节奏总纲!O46</f>
        <v>43</v>
      </c>
      <c r="P46" s="4">
        <f>[1]节奏总纲!P46</f>
        <v>18.698310613518661</v>
      </c>
      <c r="Q46" s="4">
        <f>[1]节奏总纲!Q46</f>
        <v>16.338583814092605</v>
      </c>
      <c r="R46" s="4">
        <f>[1]节奏总纲!R46</f>
        <v>13.509529418267233</v>
      </c>
      <c r="S46" s="4">
        <f>[1]节奏总纲!S46</f>
        <v>10.020424657784652</v>
      </c>
      <c r="T46" s="4">
        <f>[1]节奏总纲!T46</f>
        <v>5.6394104810372276</v>
      </c>
      <c r="V46" s="4">
        <f>[1]节奏总纲!V46</f>
        <v>43</v>
      </c>
      <c r="W46" s="4">
        <f>[1]节奏总纲!W46</f>
        <v>1.319136933566103</v>
      </c>
      <c r="X46" s="4">
        <f>[1]节奏总纲!X46</f>
        <v>1.1561376872860496</v>
      </c>
      <c r="Y46" s="4">
        <f>[1]节奏总纲!Y46</f>
        <v>0.96176602134148581</v>
      </c>
      <c r="Z46" s="4">
        <f>[1]节奏总纲!Z46</f>
        <v>0.6982358958580992</v>
      </c>
      <c r="AA46" s="4">
        <f>[1]节奏总纲!AA46</f>
        <v>0.39090002969155524</v>
      </c>
      <c r="AC46" s="4">
        <f>[1]节奏总纲!AC46</f>
        <v>43</v>
      </c>
      <c r="AD46" s="4">
        <f>[1]节奏总纲!AD46</f>
        <v>54.585942742481357</v>
      </c>
      <c r="AE46" s="4">
        <f>[1]节奏总纲!AE46</f>
        <v>56.568265567054013</v>
      </c>
      <c r="AF46" s="4">
        <f>[1]节奏总纲!AF46</f>
        <v>59.425480572843689</v>
      </c>
      <c r="AG46" s="4">
        <f>[1]节奏总纲!AG46</f>
        <v>63.763640149257171</v>
      </c>
      <c r="AH46" s="4">
        <f>[1]节奏总纲!AH46</f>
        <v>72.370053318329937</v>
      </c>
      <c r="AL46" s="4">
        <f>[1]节奏总纲!AL46</f>
        <v>43</v>
      </c>
      <c r="AM46" s="4">
        <f>[1]节奏总纲!AM46</f>
        <v>208.99265815439742</v>
      </c>
      <c r="AN46" s="4">
        <f>[1]节奏总纲!AN46</f>
        <v>167.19412652351795</v>
      </c>
      <c r="AO46" s="4">
        <f>[1]节奏总纲!AO46</f>
        <v>125.39559489263844</v>
      </c>
      <c r="AP46" s="4">
        <f>[1]节奏总纲!AP46</f>
        <v>83.597063261758976</v>
      </c>
      <c r="AQ46" s="4">
        <f>[1]节奏总纲!AQ46</f>
        <v>41.798531630879488</v>
      </c>
      <c r="AS46" s="4">
        <f>[1]节奏总纲!AS46</f>
        <v>43</v>
      </c>
      <c r="AT46" s="4">
        <f>[1]节奏总纲!AT46</f>
        <v>28.807854694941852</v>
      </c>
      <c r="AU46" s="4">
        <f>[1]节奏总纲!AU46</f>
        <v>23.046283755953482</v>
      </c>
      <c r="AV46" s="4">
        <f>[1]节奏总纲!AV46</f>
        <v>17.284712816965111</v>
      </c>
      <c r="AW46" s="4">
        <f>[1]节奏总纲!AW46</f>
        <v>11.523141877976741</v>
      </c>
      <c r="AX46" s="4">
        <f>[1]节奏总纲!AX46</f>
        <v>5.7615709389883705</v>
      </c>
      <c r="AY46" s="4"/>
      <c r="AZ46" s="4">
        <v>43</v>
      </c>
      <c r="BA46" s="4">
        <f>[1]节奏总纲!BA46</f>
        <v>32.550742320155642</v>
      </c>
      <c r="BB46" s="4">
        <f>[1]节奏总纲!BB46</f>
        <v>33.955041603568006</v>
      </c>
      <c r="BC46" s="4">
        <f>[1]节奏总纲!BC46</f>
        <v>35.796991989553327</v>
      </c>
      <c r="BD46" s="4">
        <f>[1]节奏总纲!BD46</f>
        <v>38.507242373270728</v>
      </c>
      <c r="BE46" s="4">
        <f>[1]节奏总纲!BE46</f>
        <v>43.179964142847631</v>
      </c>
    </row>
    <row r="47" spans="2:57" x14ac:dyDescent="0.15">
      <c r="F47" s="4">
        <f>[1]节奏总纲!F47</f>
        <v>45</v>
      </c>
      <c r="G47" s="4">
        <f>[1]节奏总纲!G47</f>
        <v>21.627416997969519</v>
      </c>
      <c r="I47" s="4">
        <f>[1]节奏总纲!I47</f>
        <v>45</v>
      </c>
      <c r="J47" s="4">
        <f>[1]节奏总纲!J47</f>
        <v>281.05</v>
      </c>
      <c r="K47" s="4">
        <f>[1]节奏总纲!K47</f>
        <v>1.1000000000000001</v>
      </c>
      <c r="N47" s="4">
        <f>[1]节奏总纲!N47</f>
        <v>54</v>
      </c>
      <c r="O47" s="4">
        <f>[1]节奏总纲!O47</f>
        <v>44</v>
      </c>
      <c r="P47" s="4">
        <f>[1]节奏总纲!P47</f>
        <v>20.112126572366307</v>
      </c>
      <c r="Q47" s="4">
        <f>[1]节奏总纲!Q47</f>
        <v>17.573976198933678</v>
      </c>
      <c r="R47" s="4">
        <f>[1]节奏总纲!R47</f>
        <v>14.520955385248474</v>
      </c>
      <c r="S47" s="4">
        <f>[1]节奏总纲!S47</f>
        <v>10.768032566844921</v>
      </c>
      <c r="T47" s="4">
        <f>[1]节奏总纲!T47</f>
        <v>6.0537500982822579</v>
      </c>
      <c r="V47" s="4">
        <f>[1]节奏总纲!V47</f>
        <v>44</v>
      </c>
      <c r="W47" s="4">
        <f>[1]节奏总纲!W47</f>
        <v>1.4138159588476462</v>
      </c>
      <c r="X47" s="4">
        <f>[1]节奏总纲!X47</f>
        <v>1.2353923848410737</v>
      </c>
      <c r="Y47" s="4">
        <f>[1]节奏总纲!Y47</f>
        <v>1.0114259669812409</v>
      </c>
      <c r="Z47" s="4">
        <f>[1]节奏总纲!Z47</f>
        <v>0.74760790906026919</v>
      </c>
      <c r="AA47" s="4">
        <f>[1]节奏总纲!AA47</f>
        <v>0.41433961724503021</v>
      </c>
      <c r="AC47" s="4">
        <f>[1]节奏总纲!AC47</f>
        <v>44</v>
      </c>
      <c r="AD47" s="4">
        <f>[1]节奏总纲!AD47</f>
        <v>54.915912490558505</v>
      </c>
      <c r="AE47" s="4">
        <f>[1]节奏总纲!AE47</f>
        <v>56.897751416955018</v>
      </c>
      <c r="AF47" s="4">
        <f>[1]节奏总纲!AF47</f>
        <v>59.760009178384806</v>
      </c>
      <c r="AG47" s="4">
        <f>[1]节奏总纲!AG47</f>
        <v>64.08760696397195</v>
      </c>
      <c r="AH47" s="4">
        <f>[1]节奏总纲!AH47</f>
        <v>72.705544177223089</v>
      </c>
      <c r="AL47" s="4">
        <f>[1]节奏总纲!AL47</f>
        <v>44</v>
      </c>
      <c r="AM47" s="4">
        <f>[1]节奏总纲!AM47</f>
        <v>242.37342918215046</v>
      </c>
      <c r="AN47" s="4">
        <f>[1]节奏总纲!AN47</f>
        <v>193.89874334572039</v>
      </c>
      <c r="AO47" s="4">
        <f>[1]节奏总纲!AO47</f>
        <v>145.42405750929026</v>
      </c>
      <c r="AP47" s="4">
        <f>[1]节奏总纲!AP47</f>
        <v>96.949371672860195</v>
      </c>
      <c r="AQ47" s="4">
        <f>[1]节奏总纲!AQ47</f>
        <v>48.474685836430098</v>
      </c>
      <c r="AS47" s="4">
        <f>[1]节奏总纲!AS47</f>
        <v>44</v>
      </c>
      <c r="AT47" s="4">
        <f>[1]节奏总纲!AT47</f>
        <v>33.380771027753042</v>
      </c>
      <c r="AU47" s="4">
        <f>[1]节奏总纲!AU47</f>
        <v>26.704616822202439</v>
      </c>
      <c r="AV47" s="4">
        <f>[1]节奏总纲!AV47</f>
        <v>20.028462616651822</v>
      </c>
      <c r="AW47" s="4">
        <f>[1]节奏总纲!AW47</f>
        <v>13.35230841110122</v>
      </c>
      <c r="AX47" s="4">
        <f>[1]节奏总纲!AX47</f>
        <v>6.6761542055506098</v>
      </c>
      <c r="AY47" s="4"/>
      <c r="AZ47" s="4">
        <v>44</v>
      </c>
      <c r="BA47" s="4">
        <f>[1]节奏总纲!BA47</f>
        <v>32.696472110135275</v>
      </c>
      <c r="BB47" s="4">
        <f>[1]节奏总纲!BB47</f>
        <v>34.09469189131628</v>
      </c>
      <c r="BC47" s="4">
        <f>[1]节奏总纲!BC47</f>
        <v>35.95964341599278</v>
      </c>
      <c r="BD47" s="4">
        <f>[1]节奏总纲!BD47</f>
        <v>38.663818688865533</v>
      </c>
      <c r="BE47" s="4">
        <f>[1]节奏总纲!BE47</f>
        <v>43.329750976586219</v>
      </c>
    </row>
    <row r="48" spans="2:57" x14ac:dyDescent="0.15">
      <c r="F48" s="4">
        <f>[1]节奏总纲!F48</f>
        <v>46</v>
      </c>
      <c r="G48" s="4">
        <f>[1]节奏总纲!G48</f>
        <v>23.251465064166357</v>
      </c>
      <c r="I48" s="4">
        <f>[1]节奏总纲!I48</f>
        <v>46</v>
      </c>
      <c r="J48" s="4">
        <f>[1]节奏总纲!J48</f>
        <v>325.85912455595718</v>
      </c>
      <c r="K48" s="4">
        <f>[1]节奏总纲!K48</f>
        <v>1.1100000000000001</v>
      </c>
      <c r="N48" s="4">
        <f>[1]节奏总纲!N48</f>
        <v>55</v>
      </c>
      <c r="O48" s="4">
        <f>[1]节奏总纲!O48</f>
        <v>45</v>
      </c>
      <c r="P48" s="4">
        <f>[1]节奏总纲!P48</f>
        <v>21.627416997969519</v>
      </c>
      <c r="Q48" s="4">
        <f>[1]节奏总纲!Q48</f>
        <v>18.900199714525563</v>
      </c>
      <c r="R48" s="4">
        <f>[1]节奏总纲!R48</f>
        <v>15.604181364035009</v>
      </c>
      <c r="S48" s="4">
        <f>[1]节奏总纲!S48</f>
        <v>11.572830835613489</v>
      </c>
      <c r="T48" s="4">
        <f>[1]节奏总纲!T48</f>
        <v>6.49903880788984</v>
      </c>
      <c r="V48" s="4">
        <f>[1]节奏总纲!V48</f>
        <v>45</v>
      </c>
      <c r="W48" s="4">
        <f>[1]节奏总纲!W48</f>
        <v>1.5152904256032116</v>
      </c>
      <c r="X48" s="4">
        <f>[1]节奏总纲!X48</f>
        <v>1.3262235155918844</v>
      </c>
      <c r="Y48" s="4">
        <f>[1]节奏总纲!Y48</f>
        <v>1.083225978786535</v>
      </c>
      <c r="Z48" s="4">
        <f>[1]节奏总纲!Z48</f>
        <v>0.80479826876856819</v>
      </c>
      <c r="AA48" s="4">
        <f>[1]节奏总纲!AA48</f>
        <v>0.44528870960758216</v>
      </c>
      <c r="AC48" s="4">
        <f>[1]节奏总纲!AC48</f>
        <v>45</v>
      </c>
      <c r="AD48" s="4">
        <f>[1]节奏总纲!AD48</f>
        <v>55.229416240679981</v>
      </c>
      <c r="AE48" s="4">
        <f>[1]节奏总纲!AE48</f>
        <v>57.218966664386244</v>
      </c>
      <c r="AF48" s="4">
        <f>[1]节奏总纲!AF48</f>
        <v>60.086674688654931</v>
      </c>
      <c r="AG48" s="4">
        <f>[1]节奏总纲!AG48</f>
        <v>64.399012521055653</v>
      </c>
      <c r="AH48" s="4">
        <f>[1]节奏总纲!AH48</f>
        <v>73.037155126421851</v>
      </c>
      <c r="AL48" s="4">
        <f>[1]节奏总纲!AL48</f>
        <v>45</v>
      </c>
      <c r="AM48" s="4">
        <f>[1]节奏总纲!AM48</f>
        <v>281.05</v>
      </c>
      <c r="AN48" s="4">
        <f>[1]节奏总纲!AN48</f>
        <v>224.84000000000003</v>
      </c>
      <c r="AO48" s="4">
        <f>[1]节奏总纲!AO48</f>
        <v>168.63</v>
      </c>
      <c r="AP48" s="4">
        <f>[1]节奏总纲!AP48</f>
        <v>112.42000000000002</v>
      </c>
      <c r="AQ48" s="4">
        <f>[1]节奏总纲!AQ48</f>
        <v>56.210000000000008</v>
      </c>
      <c r="AS48" s="4">
        <f>[1]节奏总纲!AS48</f>
        <v>45</v>
      </c>
      <c r="AT48" s="4">
        <f>[1]节奏总纲!AT48</f>
        <v>38.676570817849552</v>
      </c>
      <c r="AU48" s="4">
        <f>[1]节奏总纲!AU48</f>
        <v>30.941256654279641</v>
      </c>
      <c r="AV48" s="4">
        <f>[1]节奏总纲!AV48</f>
        <v>23.205942490709731</v>
      </c>
      <c r="AW48" s="4">
        <f>[1]节奏总纲!AW48</f>
        <v>15.470628327139821</v>
      </c>
      <c r="AX48" s="4">
        <f>[1]节奏总纲!AX48</f>
        <v>7.7353141635699103</v>
      </c>
      <c r="AY48" s="4"/>
      <c r="AZ48" s="4">
        <v>45</v>
      </c>
      <c r="BA48" s="4">
        <f>[1]节奏总纲!BA48</f>
        <v>32.842201900114915</v>
      </c>
      <c r="BB48" s="4">
        <f>[1]节奏总纲!BB48</f>
        <v>34.227825436710944</v>
      </c>
      <c r="BC48" s="4">
        <f>[1]节奏总纲!BC48</f>
        <v>36.105477566569242</v>
      </c>
      <c r="BD48" s="4">
        <f>[1]节奏总纲!BD48</f>
        <v>38.82039500446033</v>
      </c>
      <c r="BE48" s="4">
        <f>[1]节奏总纲!BE48</f>
        <v>43.479537810324807</v>
      </c>
    </row>
    <row r="49" spans="6:57" x14ac:dyDescent="0.15">
      <c r="F49" s="4">
        <f>[1]节奏总纲!F49</f>
        <v>47</v>
      </c>
      <c r="G49" s="4">
        <f>[1]节奏总纲!G49</f>
        <v>24.992076683399535</v>
      </c>
      <c r="I49" s="4">
        <f>[1]节奏总纲!I49</f>
        <v>47</v>
      </c>
      <c r="J49" s="4">
        <f>[1]节奏总纲!J49</f>
        <v>377.76930817680426</v>
      </c>
      <c r="K49" s="4">
        <f>[1]节奏总纲!K49</f>
        <v>1.1200000000000001</v>
      </c>
      <c r="N49" s="4">
        <f>[1]节奏总纲!N49</f>
        <v>56</v>
      </c>
      <c r="O49" s="4">
        <f>[1]节奏总纲!O49</f>
        <v>46</v>
      </c>
      <c r="P49" s="4">
        <f>[1]节奏总纲!P49</f>
        <v>23.251465064166357</v>
      </c>
      <c r="Q49" s="4">
        <f>[1]节奏总纲!Q49</f>
        <v>20.310154733549314</v>
      </c>
      <c r="R49" s="4">
        <f>[1]节奏总纲!R49</f>
        <v>16.757330871744692</v>
      </c>
      <c r="S49" s="4">
        <f>[1]节奏总纲!S49</f>
        <v>12.425582930290501</v>
      </c>
      <c r="T49" s="4">
        <f>[1]节奏总纲!T49</f>
        <v>6.9545132006921566</v>
      </c>
      <c r="V49" s="4">
        <f>[1]节奏总纲!V49</f>
        <v>46</v>
      </c>
      <c r="W49" s="4">
        <f>[1]节奏总纲!W49</f>
        <v>1.6240480661968384</v>
      </c>
      <c r="X49" s="4">
        <f>[1]节奏总纲!X49</f>
        <v>1.4099550190237515</v>
      </c>
      <c r="Y49" s="4">
        <f>[1]节奏总纲!Y49</f>
        <v>1.1531495077096832</v>
      </c>
      <c r="Z49" s="4">
        <f>[1]节奏总纲!Z49</f>
        <v>0.85275209467701174</v>
      </c>
      <c r="AA49" s="4">
        <f>[1]节奏总纲!AA49</f>
        <v>0.45547439280231661</v>
      </c>
      <c r="AC49" s="4">
        <f>[1]节奏总纲!AC49</f>
        <v>46</v>
      </c>
      <c r="AD49" s="4">
        <f>[1]节奏总纲!AD49</f>
        <v>55.537288901845052</v>
      </c>
      <c r="AE49" s="4">
        <f>[1]节奏总纲!AE49</f>
        <v>57.53646043868428</v>
      </c>
      <c r="AF49" s="4">
        <f>[1]节奏总纲!AF49</f>
        <v>60.393379177879737</v>
      </c>
      <c r="AG49" s="4">
        <f>[1]节奏总纲!AG49</f>
        <v>64.710418078139355</v>
      </c>
      <c r="AH49" s="4">
        <f>[1]节奏总纲!AH49</f>
        <v>73.340924940105893</v>
      </c>
      <c r="AL49" s="4">
        <f>[1]节奏总纲!AL49</f>
        <v>46</v>
      </c>
      <c r="AM49" s="4">
        <f>[1]节奏总纲!AM49</f>
        <v>325.85912455595718</v>
      </c>
      <c r="AN49" s="4">
        <f>[1]节奏总纲!AN49</f>
        <v>260.68729964476574</v>
      </c>
      <c r="AO49" s="4">
        <f>[1]节奏总纲!AO49</f>
        <v>195.51547473357431</v>
      </c>
      <c r="AP49" s="4">
        <f>[1]节奏总纲!AP49</f>
        <v>130.34364982238287</v>
      </c>
      <c r="AQ49" s="4">
        <f>[1]节奏总纲!AQ49</f>
        <v>65.171824911191436</v>
      </c>
      <c r="AS49" s="4">
        <f>[1]节奏总纲!AS49</f>
        <v>46</v>
      </c>
      <c r="AT49" s="4">
        <f>[1]节奏总纲!AT49</f>
        <v>44.809124555957169</v>
      </c>
      <c r="AU49" s="4">
        <f>[1]节奏总纲!AU49</f>
        <v>35.847299644765712</v>
      </c>
      <c r="AV49" s="4">
        <f>[1]节奏总纲!AV49</f>
        <v>26.885474733574313</v>
      </c>
      <c r="AW49" s="4">
        <f>[1]节奏总纲!AW49</f>
        <v>17.923649822382856</v>
      </c>
      <c r="AX49" s="4">
        <f>[1]节奏总纲!AX49</f>
        <v>8.9618249111914281</v>
      </c>
      <c r="AY49" s="4"/>
      <c r="AZ49" s="4">
        <v>46</v>
      </c>
      <c r="BA49" s="4">
        <f>[1]节奏总纲!BA49</f>
        <v>32.987931690094548</v>
      </c>
      <c r="BB49" s="4">
        <f>[1]节奏总纲!BB49</f>
        <v>34.360958982105608</v>
      </c>
      <c r="BC49" s="4">
        <f>[1]节奏总纲!BC49</f>
        <v>36.245762114295424</v>
      </c>
      <c r="BD49" s="4">
        <f>[1]节奏总纲!BD49</f>
        <v>38.976971320055128</v>
      </c>
      <c r="BE49" s="4">
        <f>[1]节奏总纲!BE49</f>
        <v>43.629324644063402</v>
      </c>
    </row>
    <row r="50" spans="6:57" x14ac:dyDescent="0.15">
      <c r="F50" s="4">
        <f>[1]节奏总纲!F50</f>
        <v>48</v>
      </c>
      <c r="G50" s="4">
        <f>[1]节奏总纲!G50</f>
        <v>26.857618025475972</v>
      </c>
      <c r="I50" s="4">
        <f>[1]节奏总纲!I50</f>
        <v>48</v>
      </c>
      <c r="J50" s="4">
        <f>[1]节奏总纲!J50</f>
        <v>437.90148836012787</v>
      </c>
      <c r="K50" s="4">
        <f>[1]节奏总纲!K50</f>
        <v>1.1299999999999999</v>
      </c>
      <c r="N50" s="4">
        <f>[1]节奏总纲!N50</f>
        <v>57</v>
      </c>
      <c r="O50" s="4">
        <f>[1]节奏总纲!O50</f>
        <v>47</v>
      </c>
      <c r="P50" s="4">
        <f>[1]节奏总纲!P50</f>
        <v>24.992076683399535</v>
      </c>
      <c r="Q50" s="4">
        <f>[1]节奏总纲!Q50</f>
        <v>21.823081359944474</v>
      </c>
      <c r="R50" s="4">
        <f>[1]节奏总纲!R50</f>
        <v>17.996794419716004</v>
      </c>
      <c r="S50" s="4">
        <f>[1]节奏总纲!S50</f>
        <v>13.335772118261991</v>
      </c>
      <c r="T50" s="4">
        <f>[1]节奏总纲!T50</f>
        <v>7.4426404363163821</v>
      </c>
      <c r="V50" s="4">
        <f>[1]节奏总纲!V50</f>
        <v>47</v>
      </c>
      <c r="W50" s="4">
        <f>[1]节奏总纲!W50</f>
        <v>1.740611619233178</v>
      </c>
      <c r="X50" s="4">
        <f>[1]节奏总纲!X50</f>
        <v>1.51292662639516</v>
      </c>
      <c r="Y50" s="4">
        <f>[1]节奏总纲!Y50</f>
        <v>1.2394635479713116</v>
      </c>
      <c r="Z50" s="4">
        <f>[1]节奏总纲!Z50</f>
        <v>0.91018918797148984</v>
      </c>
      <c r="AA50" s="4">
        <f>[1]节奏总纲!AA50</f>
        <v>0.48812723562422544</v>
      </c>
      <c r="AC50" s="4">
        <f>[1]节奏总纲!AC50</f>
        <v>47</v>
      </c>
      <c r="AD50" s="4">
        <f>[1]节奏总纲!AD50</f>
        <v>55.845161563010116</v>
      </c>
      <c r="AE50" s="4">
        <f>[1]节奏总纲!AE50</f>
        <v>57.853954212982316</v>
      </c>
      <c r="AF50" s="4">
        <f>[1]节奏总纲!AF50</f>
        <v>60.700083667104536</v>
      </c>
      <c r="AG50" s="4">
        <f>[1]节奏总纲!AG50</f>
        <v>65.021675833900701</v>
      </c>
      <c r="AH50" s="4">
        <f>[1]节奏总纲!AH50</f>
        <v>73.644694753789935</v>
      </c>
      <c r="AL50" s="4">
        <f>[1]节奏总纲!AL50</f>
        <v>47</v>
      </c>
      <c r="AM50" s="4">
        <f>[1]节奏总纲!AM50</f>
        <v>377.76930817680426</v>
      </c>
      <c r="AN50" s="4">
        <f>[1]节奏总纲!AN50</f>
        <v>302.21544654144344</v>
      </c>
      <c r="AO50" s="4">
        <f>[1]节奏总纲!AO50</f>
        <v>226.66158490608254</v>
      </c>
      <c r="AP50" s="4">
        <f>[1]节奏总纲!AP50</f>
        <v>151.10772327072172</v>
      </c>
      <c r="AQ50" s="4">
        <f>[1]节奏总纲!AQ50</f>
        <v>75.55386163536086</v>
      </c>
      <c r="AS50" s="4">
        <f>[1]节奏总纲!AS50</f>
        <v>47</v>
      </c>
      <c r="AT50" s="4">
        <f>[1]节奏总纲!AT50</f>
        <v>51.910183620847079</v>
      </c>
      <c r="AU50" s="4">
        <f>[1]节奏总纲!AU50</f>
        <v>41.528146896677697</v>
      </c>
      <c r="AV50" s="4">
        <f>[1]节奏总纲!AV50</f>
        <v>31.14611017250823</v>
      </c>
      <c r="AW50" s="4">
        <f>[1]节奏总纲!AW50</f>
        <v>20.764073448338848</v>
      </c>
      <c r="AX50" s="4">
        <f>[1]节奏总纲!AX50</f>
        <v>10.382036724169424</v>
      </c>
      <c r="AY50" s="4"/>
      <c r="AZ50" s="4">
        <v>47</v>
      </c>
      <c r="BA50" s="4">
        <f>[1]节奏总纲!BA50</f>
        <v>33.114246829746719</v>
      </c>
      <c r="BB50" s="4">
        <f>[1]节奏总纲!BB50</f>
        <v>34.494092527500278</v>
      </c>
      <c r="BC50" s="4">
        <f>[1]节奏总纲!BC50</f>
        <v>36.386046662021599</v>
      </c>
      <c r="BD50" s="4">
        <f>[1]节奏总纲!BD50</f>
        <v>39.115214427575864</v>
      </c>
      <c r="BE50" s="4">
        <f>[1]节奏总纲!BE50</f>
        <v>43.77911147780199</v>
      </c>
    </row>
    <row r="51" spans="6:57" x14ac:dyDescent="0.15">
      <c r="F51" s="4">
        <f>[1]节奏总纲!F51</f>
        <v>49</v>
      </c>
      <c r="G51" s="4">
        <f>[1]节奏总纲!G51</f>
        <v>28.857055729177837</v>
      </c>
      <c r="I51" s="4">
        <f>[1]节奏总纲!I51</f>
        <v>49</v>
      </c>
      <c r="J51" s="4">
        <f>[1]节奏总纲!J51</f>
        <v>507.55295278468168</v>
      </c>
      <c r="K51" s="4">
        <f>[1]节奏总纲!K51</f>
        <v>1.1399999999999999</v>
      </c>
      <c r="N51" s="4">
        <f>[1]节奏总纲!N51</f>
        <v>58</v>
      </c>
      <c r="O51" s="4">
        <f>[1]节奏总纲!O51</f>
        <v>48</v>
      </c>
      <c r="P51" s="4">
        <f>[1]节奏总纲!P51</f>
        <v>26.857618025475972</v>
      </c>
      <c r="Q51" s="4">
        <f>[1]节奏总纲!Q51</f>
        <v>23.425214441820142</v>
      </c>
      <c r="R51" s="4">
        <f>[1]节奏总纲!R51</f>
        <v>19.329427692935056</v>
      </c>
      <c r="S51" s="4">
        <f>[1]节奏总纲!S51</f>
        <v>14.269452456935383</v>
      </c>
      <c r="T51" s="4">
        <f>[1]节奏总纲!T51</f>
        <v>7.9605979827510778</v>
      </c>
      <c r="V51" s="4">
        <f>[1]节奏总纲!V51</f>
        <v>48</v>
      </c>
      <c r="W51" s="4">
        <f>[1]节奏总纲!W51</f>
        <v>1.8655413420764368</v>
      </c>
      <c r="X51" s="4">
        <f>[1]节奏总纲!X51</f>
        <v>1.6021330818756674</v>
      </c>
      <c r="Y51" s="4">
        <f>[1]节奏总纲!Y51</f>
        <v>1.3326332732190522</v>
      </c>
      <c r="Z51" s="4">
        <f>[1]节奏总纲!Z51</f>
        <v>0.93368033867339228</v>
      </c>
      <c r="AA51" s="4">
        <f>[1]节奏总纲!AA51</f>
        <v>0.51795754643469571</v>
      </c>
      <c r="AC51" s="4">
        <f>[1]节奏总纲!AC51</f>
        <v>48</v>
      </c>
      <c r="AD51" s="4">
        <f>[1]节奏总纲!AD51</f>
        <v>56.142785979989682</v>
      </c>
      <c r="AE51" s="4">
        <f>[1]节奏总纲!AE51</f>
        <v>58.155157256402767</v>
      </c>
      <c r="AF51" s="4">
        <f>[1]节奏总纲!AF51</f>
        <v>61.006268532239034</v>
      </c>
      <c r="AG51" s="4">
        <f>[1]节奏总纲!AG51</f>
        <v>65.330972386106993</v>
      </c>
      <c r="AH51" s="4">
        <f>[1]节奏总纲!AH51</f>
        <v>73.948464567473962</v>
      </c>
      <c r="AL51" s="4">
        <f>[1]节奏总纲!AL51</f>
        <v>48</v>
      </c>
      <c r="AM51" s="4">
        <f>[1]节奏总纲!AM51</f>
        <v>437.90148836012787</v>
      </c>
      <c r="AN51" s="4">
        <f>[1]节奏总纲!AN51</f>
        <v>350.32119068810232</v>
      </c>
      <c r="AO51" s="4">
        <f>[1]节奏总纲!AO51</f>
        <v>262.74089301607671</v>
      </c>
      <c r="AP51" s="4">
        <f>[1]节奏总纲!AP51</f>
        <v>175.16059534405116</v>
      </c>
      <c r="AQ51" s="4">
        <f>[1]节奏总纲!AQ51</f>
        <v>87.58029767202558</v>
      </c>
      <c r="AS51" s="4">
        <f>[1]节奏总纲!AS51</f>
        <v>48</v>
      </c>
      <c r="AT51" s="4">
        <f>[1]节奏总纲!AT51</f>
        <v>60.132180183323612</v>
      </c>
      <c r="AU51" s="4">
        <f>[1]节奏总纲!AU51</f>
        <v>48.105744146658878</v>
      </c>
      <c r="AV51" s="4">
        <f>[1]节奏总纲!AV51</f>
        <v>36.079308109994173</v>
      </c>
      <c r="AW51" s="4">
        <f>[1]节奏总纲!AW51</f>
        <v>24.052872073329439</v>
      </c>
      <c r="AX51" s="4">
        <f>[1]节奏总纲!AX51</f>
        <v>12.02643603666472</v>
      </c>
      <c r="AY51" s="4"/>
      <c r="AZ51" s="4">
        <v>48</v>
      </c>
      <c r="BA51" s="4">
        <f>[1]节奏总纲!BA51</f>
        <v>33.238809018460984</v>
      </c>
      <c r="BB51" s="4">
        <f>[1]节奏总纲!BB51</f>
        <v>34.627226072894942</v>
      </c>
      <c r="BC51" s="4">
        <f>[1]节奏总纲!BC51</f>
        <v>36.526331209747774</v>
      </c>
      <c r="BD51" s="4">
        <f>[1]节奏总纲!BD51</f>
        <v>39.250296194358178</v>
      </c>
      <c r="BE51" s="4">
        <f>[1]节奏总纲!BE51</f>
        <v>43.928898311540578</v>
      </c>
    </row>
    <row r="52" spans="6:57" x14ac:dyDescent="0.15">
      <c r="F52" s="4">
        <f>[1]节奏总纲!F52</f>
        <v>50</v>
      </c>
      <c r="G52" s="4">
        <f>[1]节奏总纲!G52</f>
        <v>31</v>
      </c>
      <c r="I52" s="4">
        <f>[1]节奏总纲!I52</f>
        <v>50</v>
      </c>
      <c r="J52" s="4">
        <f>[1]节奏总纲!J52</f>
        <v>588.22499999999991</v>
      </c>
      <c r="K52" s="4">
        <f>[1]节奏总纲!K52</f>
        <v>1.1499999999999999</v>
      </c>
      <c r="N52" s="4">
        <f>[1]节奏总纲!N52</f>
        <v>59</v>
      </c>
      <c r="O52" s="4">
        <f>[1]节奏总纲!O52</f>
        <v>49</v>
      </c>
      <c r="P52" s="4">
        <f>[1]节奏总纲!P52</f>
        <v>28.857055729177837</v>
      </c>
      <c r="Q52" s="4">
        <f>[1]节奏总纲!Q52</f>
        <v>25.166238301415991</v>
      </c>
      <c r="R52" s="4">
        <f>[1]节奏总纲!R52</f>
        <v>20.719366013549685</v>
      </c>
      <c r="S52" s="4">
        <f>[1]节奏总纲!S52</f>
        <v>15.268268186307994</v>
      </c>
      <c r="T52" s="4">
        <f>[1]节奏总纲!T52</f>
        <v>8.5474599069824766</v>
      </c>
      <c r="V52" s="4">
        <f>[1]节奏总纲!V52</f>
        <v>49</v>
      </c>
      <c r="W52" s="4">
        <f>[1]节奏总纲!W52</f>
        <v>1.9994377037018651</v>
      </c>
      <c r="X52" s="4">
        <f>[1]节奏总纲!X52</f>
        <v>1.7410238595958489</v>
      </c>
      <c r="Y52" s="4">
        <f>[1]节奏总纲!Y52</f>
        <v>1.389938320614629</v>
      </c>
      <c r="Z52" s="4">
        <f>[1]节奏总纲!Z52</f>
        <v>0.99881572937261076</v>
      </c>
      <c r="AA52" s="4">
        <f>[1]节奏总纲!AA52</f>
        <v>0.58686192423139882</v>
      </c>
      <c r="AC52" s="4">
        <f>[1]节奏总纲!AC52</f>
        <v>49</v>
      </c>
      <c r="AD52" s="4">
        <f>[1]节奏总纲!AD52</f>
        <v>56.430041330048923</v>
      </c>
      <c r="AE52" s="4">
        <f>[1]节奏总纲!AE52</f>
        <v>58.442483247955479</v>
      </c>
      <c r="AF52" s="4">
        <f>[1]节奏总纲!AF52</f>
        <v>61.289495211956165</v>
      </c>
      <c r="AG52" s="4">
        <f>[1]节奏总纲!AG52</f>
        <v>65.640268938313284</v>
      </c>
      <c r="AH52" s="4">
        <f>[1]节奏总纲!AH52</f>
        <v>74.231558509323534</v>
      </c>
      <c r="AL52" s="4">
        <f>[1]节奏总纲!AL52</f>
        <v>49</v>
      </c>
      <c r="AM52" s="4">
        <f>[1]节奏总纲!AM52</f>
        <v>507.55295278468168</v>
      </c>
      <c r="AN52" s="4">
        <f>[1]节奏总纲!AN52</f>
        <v>406.04236222774534</v>
      </c>
      <c r="AO52" s="4">
        <f>[1]节奏总纲!AO52</f>
        <v>304.53177167080901</v>
      </c>
      <c r="AP52" s="4">
        <f>[1]节奏总纲!AP52</f>
        <v>203.02118111387267</v>
      </c>
      <c r="AQ52" s="4">
        <f>[1]节奏总纲!AQ52</f>
        <v>101.51059055693634</v>
      </c>
      <c r="AS52" s="4">
        <f>[1]节奏总纲!AS52</f>
        <v>49</v>
      </c>
      <c r="AT52" s="4">
        <f>[1]节奏总纲!AT52</f>
        <v>69.651464424553808</v>
      </c>
      <c r="AU52" s="4">
        <f>[1]节奏总纲!AU52</f>
        <v>55.721171539643024</v>
      </c>
      <c r="AV52" s="4">
        <f>[1]节奏总纲!AV52</f>
        <v>41.790878654732296</v>
      </c>
      <c r="AW52" s="4">
        <f>[1]节奏总纲!AW52</f>
        <v>27.860585769821512</v>
      </c>
      <c r="AX52" s="4">
        <f>[1]节奏总纲!AX52</f>
        <v>13.930292884910756</v>
      </c>
      <c r="AY52" s="4"/>
      <c r="AZ52" s="4">
        <v>49</v>
      </c>
      <c r="BA52" s="4">
        <f>[1]节奏总纲!BA52</f>
        <v>33.363371207175248</v>
      </c>
      <c r="BB52" s="4">
        <f>[1]节奏总纲!BB52</f>
        <v>34.760359618289606</v>
      </c>
      <c r="BC52" s="4">
        <f>[1]节奏总纲!BC52</f>
        <v>36.666615757473956</v>
      </c>
      <c r="BD52" s="4">
        <f>[1]节奏总纲!BD52</f>
        <v>39.385377961140485</v>
      </c>
      <c r="BE52" s="4">
        <f>[1]节奏总纲!BE52</f>
        <v>44.067911160744309</v>
      </c>
    </row>
    <row r="53" spans="6:57" x14ac:dyDescent="0.15">
      <c r="F53" s="4">
        <f>[1]节奏总纲!F53</f>
        <v>51</v>
      </c>
      <c r="G53" s="4">
        <f>[1]节奏总纲!G53</f>
        <v>33.296750801161366</v>
      </c>
      <c r="I53" s="4">
        <f>[1]节奏总纲!I53</f>
        <v>51</v>
      </c>
      <c r="J53" s="4">
        <f>[1]节奏总纲!J53</f>
        <v>681.65492699983838</v>
      </c>
      <c r="K53" s="4">
        <f>[1]节奏总纲!K53</f>
        <v>1.1599999999999999</v>
      </c>
      <c r="N53" s="4">
        <f>[1]节奏总纲!N53</f>
        <v>60</v>
      </c>
      <c r="O53" s="4">
        <f>[1]节奏总纲!O53</f>
        <v>50</v>
      </c>
      <c r="P53" s="4">
        <f>[1]节奏总纲!P53</f>
        <v>31</v>
      </c>
      <c r="Q53" s="4">
        <f>[1]节奏总纲!Q53</f>
        <v>27.0351</v>
      </c>
      <c r="R53" s="4">
        <f>[1]节奏总纲!R53</f>
        <v>22.205300000000001</v>
      </c>
      <c r="S53" s="4">
        <f>[1]节奏总纲!S53</f>
        <v>16.386599999999998</v>
      </c>
      <c r="T53" s="4">
        <f>[1]节奏总纲!T53</f>
        <v>9.1883999999999997</v>
      </c>
      <c r="V53" s="4">
        <f>[1]节奏总纲!V53</f>
        <v>50</v>
      </c>
      <c r="W53" s="4">
        <f>[1]节奏总纲!W53</f>
        <v>2.1429442708221629</v>
      </c>
      <c r="X53" s="4">
        <f>[1]节奏总纲!X53</f>
        <v>1.8688616985840092</v>
      </c>
      <c r="Y53" s="4">
        <f>[1]节奏总纲!Y53</f>
        <v>1.4859339864503163</v>
      </c>
      <c r="Z53" s="4">
        <f>[1]节奏总纲!Z53</f>
        <v>1.118331813692004</v>
      </c>
      <c r="AA53" s="4">
        <f>[1]节奏总纲!AA53</f>
        <v>0.64094009301752308</v>
      </c>
      <c r="AC53" s="4">
        <f>[1]节奏总纲!AC53</f>
        <v>50</v>
      </c>
      <c r="AD53" s="4">
        <f>[1]节奏总纲!AD53</f>
        <v>56.717296680108156</v>
      </c>
      <c r="AE53" s="4">
        <f>[1]节奏总纲!AE53</f>
        <v>58.729809239508185</v>
      </c>
      <c r="AF53" s="4">
        <f>[1]节奏总纲!AF53</f>
        <v>61.572721891673297</v>
      </c>
      <c r="AG53" s="4">
        <f>[1]节奏总纲!AG53</f>
        <v>65.949565490519575</v>
      </c>
      <c r="AH53" s="4">
        <f>[1]节奏总纲!AH53</f>
        <v>74.51042804689898</v>
      </c>
      <c r="AL53" s="4">
        <f>[1]节奏总纲!AL53</f>
        <v>50</v>
      </c>
      <c r="AM53" s="4">
        <f>[1]节奏总纲!AM53</f>
        <v>588.22499999999991</v>
      </c>
      <c r="AN53" s="4">
        <f>[1]节奏总纲!AN53</f>
        <v>470.57999999999993</v>
      </c>
      <c r="AO53" s="4">
        <f>[1]节奏总纲!AO53</f>
        <v>352.93499999999995</v>
      </c>
      <c r="AP53" s="4">
        <f>[1]节奏总纲!AP53</f>
        <v>235.28999999999996</v>
      </c>
      <c r="AQ53" s="4">
        <f>[1]节奏总纲!AQ53</f>
        <v>117.64499999999998</v>
      </c>
      <c r="AS53" s="4">
        <f>[1]节奏总纲!AS53</f>
        <v>50</v>
      </c>
      <c r="AT53" s="4">
        <f>[1]节奏总纲!AT53</f>
        <v>80.67204721531823</v>
      </c>
      <c r="AU53" s="4">
        <f>[1]节奏总纲!AU53</f>
        <v>64.537637772254584</v>
      </c>
      <c r="AV53" s="4">
        <f>[1]节奏总纲!AV53</f>
        <v>48.403228329190938</v>
      </c>
      <c r="AW53" s="4">
        <f>[1]节奏总纲!AW53</f>
        <v>32.268818886127292</v>
      </c>
      <c r="AX53" s="4">
        <f>[1]节奏总纲!AX53</f>
        <v>16.134409443063646</v>
      </c>
      <c r="AY53" s="4"/>
      <c r="AZ53" s="4">
        <v>50</v>
      </c>
      <c r="BA53" s="4">
        <f>[1]节奏总纲!BA53</f>
        <v>33.487933395889513</v>
      </c>
      <c r="BB53" s="4">
        <f>[1]节奏总纲!BB53</f>
        <v>34.893493163684269</v>
      </c>
      <c r="BC53" s="4">
        <f>[1]节奏总纲!BC53</f>
        <v>36.806900305200131</v>
      </c>
      <c r="BD53" s="4">
        <f>[1]节奏总纲!BD53</f>
        <v>39.520459727922798</v>
      </c>
      <c r="BE53" s="4">
        <f>[1]节奏总纲!BE53</f>
        <v>44.197188392263818</v>
      </c>
    </row>
    <row r="54" spans="6:57" x14ac:dyDescent="0.15">
      <c r="F54" s="4">
        <f>[1]节奏总纲!F54</f>
        <v>52</v>
      </c>
      <c r="G54" s="4">
        <f>[1]节奏总纲!G54</f>
        <v>35.758347359905123</v>
      </c>
      <c r="I54" s="4">
        <f>[1]节奏总纲!I54</f>
        <v>52</v>
      </c>
      <c r="J54" s="4">
        <f>[1]节奏总纲!J54</f>
        <v>789.85301886939453</v>
      </c>
      <c r="K54" s="4">
        <f>[1]节奏总纲!K54</f>
        <v>1.17</v>
      </c>
      <c r="N54" s="4">
        <f>[1]节奏总纲!N54</f>
        <v>61</v>
      </c>
      <c r="O54" s="4">
        <f>[1]节奏总纲!O54</f>
        <v>51</v>
      </c>
      <c r="P54" s="4">
        <f>[1]节奏总纲!P54</f>
        <v>33.296750801161366</v>
      </c>
      <c r="Q54" s="4">
        <f>[1]节奏总纲!Q54</f>
        <v>28.928217096048996</v>
      </c>
      <c r="R54" s="4">
        <f>[1]节奏总纲!R54</f>
        <v>23.783869097269566</v>
      </c>
      <c r="S54" s="4">
        <f>[1]节奏总纲!S54</f>
        <v>17.587343773173433</v>
      </c>
      <c r="T54" s="4">
        <f>[1]节奏总纲!T54</f>
        <v>9.8458492119034169</v>
      </c>
      <c r="V54" s="4">
        <f>[1]节奏总纲!V54</f>
        <v>51</v>
      </c>
      <c r="W54" s="4">
        <f>[1]节奏总纲!W54</f>
        <v>2.296750801161366</v>
      </c>
      <c r="X54" s="4">
        <f>[1]节奏总纲!X54</f>
        <v>1.8931170960489965</v>
      </c>
      <c r="Y54" s="4">
        <f>[1]节奏总纲!Y54</f>
        <v>1.5785690972695647</v>
      </c>
      <c r="Z54" s="4">
        <f>[1]节奏总纲!Z54</f>
        <v>1.2007437731734356</v>
      </c>
      <c r="AA54" s="4">
        <f>[1]节奏总纲!AA54</f>
        <v>0.65744921190341721</v>
      </c>
      <c r="AC54" s="4">
        <f>[1]节奏总纲!AC54</f>
        <v>51</v>
      </c>
      <c r="AD54" s="4">
        <f>[1]节奏总纲!AD54</f>
        <v>57.004247194324648</v>
      </c>
      <c r="AE54" s="4">
        <f>[1]节奏总纲!AE54</f>
        <v>59.016342740868758</v>
      </c>
      <c r="AF54" s="4">
        <f>[1]节奏总纲!AF54</f>
        <v>61.855948571390428</v>
      </c>
      <c r="AG54" s="4">
        <f>[1]节奏总纲!AG54</f>
        <v>66.241691764589476</v>
      </c>
      <c r="AH54" s="4">
        <f>[1]节奏总纲!AH54</f>
        <v>74.789297584474426</v>
      </c>
      <c r="AL54" s="4">
        <f>[1]节奏总纲!AL54</f>
        <v>51</v>
      </c>
      <c r="AM54" s="4">
        <f>[1]节奏总纲!AM54</f>
        <v>681.65492699983838</v>
      </c>
      <c r="AN54" s="4">
        <f>[1]节奏总纲!AN54</f>
        <v>545.32394159987075</v>
      </c>
      <c r="AO54" s="4">
        <f>[1]节奏总纲!AO54</f>
        <v>408.99295619990301</v>
      </c>
      <c r="AP54" s="4">
        <f>[1]节奏总纲!AP54</f>
        <v>272.66197079993537</v>
      </c>
      <c r="AQ54" s="4">
        <f>[1]节奏总纲!AQ54</f>
        <v>136.33098539996769</v>
      </c>
      <c r="AS54" s="4">
        <f>[1]节奏总纲!AS54</f>
        <v>51</v>
      </c>
      <c r="AT54" s="4">
        <f>[1]节奏总纲!AT54</f>
        <v>93.429926999838472</v>
      </c>
      <c r="AU54" s="4">
        <f>[1]节奏总纲!AU54</f>
        <v>74.743941599870823</v>
      </c>
      <c r="AV54" s="4">
        <f>[1]节奏总纲!AV54</f>
        <v>56.05795619990306</v>
      </c>
      <c r="AW54" s="4">
        <f>[1]节奏总纲!AW54</f>
        <v>37.371970799935411</v>
      </c>
      <c r="AX54" s="4">
        <f>[1]节奏总纲!AX54</f>
        <v>18.685985399967706</v>
      </c>
      <c r="AZ54" s="4">
        <v>51</v>
      </c>
      <c r="BA54" s="4">
        <v>33.612495584603778</v>
      </c>
      <c r="BB54" s="4">
        <v>35.024397713965918</v>
      </c>
      <c r="BC54" s="4">
        <v>36.947184852926306</v>
      </c>
      <c r="BD54" s="4">
        <v>39.655541494705105</v>
      </c>
      <c r="BE54" s="4">
        <v>44.326465623783335</v>
      </c>
    </row>
    <row r="55" spans="6:57" x14ac:dyDescent="0.15">
      <c r="F55" s="4">
        <f>[1]节奏总纲!F55</f>
        <v>53</v>
      </c>
      <c r="G55" s="4">
        <f>[1]节奏总纲!G55</f>
        <v>38.396621227037308</v>
      </c>
      <c r="I55" s="4">
        <f>[1]节奏总纲!I55</f>
        <v>53</v>
      </c>
      <c r="J55" s="4">
        <f>[1]节奏总纲!J55</f>
        <v>915.14532082292135</v>
      </c>
      <c r="K55" s="4">
        <f>[1]节奏总纲!K55</f>
        <v>1.18</v>
      </c>
      <c r="N55" s="4">
        <f>[1]节奏总纲!N55</f>
        <v>62</v>
      </c>
      <c r="O55" s="4">
        <f>[1]节奏总纲!O55</f>
        <v>52</v>
      </c>
      <c r="P55" s="4">
        <f>[1]节奏总纲!P55</f>
        <v>35.758347359905123</v>
      </c>
      <c r="Q55" s="4">
        <f>[1]节奏总纲!Q55</f>
        <v>31.081155525229534</v>
      </c>
      <c r="R55" s="4">
        <f>[1]节奏总纲!R55</f>
        <v>25.606552544428059</v>
      </c>
      <c r="S55" s="4">
        <f>[1]节奏总纲!S55</f>
        <v>18.930469092333773</v>
      </c>
      <c r="T55" s="4">
        <f>[1]节奏总纲!T55</f>
        <v>10.570167479587953</v>
      </c>
      <c r="V55" s="4">
        <f>[1]节奏总纲!V55</f>
        <v>52</v>
      </c>
      <c r="W55" s="4">
        <f>[1]节奏总纲!W55</f>
        <v>2.4615965587437572</v>
      </c>
      <c r="X55" s="4">
        <f>[1]节奏总纲!X55</f>
        <v>2.1529384291805371</v>
      </c>
      <c r="Y55" s="4">
        <f>[1]节奏总纲!Y55</f>
        <v>1.822683447158493</v>
      </c>
      <c r="Z55" s="4">
        <f>[1]节奏总纲!Z55</f>
        <v>1.3431253191603396</v>
      </c>
      <c r="AA55" s="4">
        <f>[1]节奏总纲!AA55</f>
        <v>0.72431826768453611</v>
      </c>
      <c r="AC55" s="4">
        <f>[1]节奏总纲!AC55</f>
        <v>52</v>
      </c>
      <c r="AD55" s="4">
        <f>[1]节奏总纲!AD55</f>
        <v>57.27226591292537</v>
      </c>
      <c r="AE55" s="4">
        <f>[1]节奏总纲!AE55</f>
        <v>59.290380144164828</v>
      </c>
      <c r="AF55" s="4">
        <f>[1]节奏总纲!AF55</f>
        <v>62.130298748930763</v>
      </c>
      <c r="AG55" s="4">
        <f>[1]节奏总纲!AG55</f>
        <v>66.530472725664353</v>
      </c>
      <c r="AH55" s="4">
        <f>[1]节奏总纲!AH55</f>
        <v>75.062532510920803</v>
      </c>
      <c r="AL55" s="4">
        <f>[1]节奏总纲!AL55</f>
        <v>52</v>
      </c>
      <c r="AM55" s="4">
        <f>[1]节奏总纲!AM55</f>
        <v>789.85301886939453</v>
      </c>
      <c r="AN55" s="4">
        <f>[1]节奏总纲!AN55</f>
        <v>631.88241509551563</v>
      </c>
      <c r="AO55" s="4">
        <f>[1]节奏总纲!AO55</f>
        <v>473.91181132163672</v>
      </c>
      <c r="AP55" s="4">
        <f>[1]节奏总纲!AP55</f>
        <v>315.94120754775781</v>
      </c>
      <c r="AQ55" s="4">
        <f>[1]节奏总纲!AQ55</f>
        <v>157.97060377387891</v>
      </c>
      <c r="AS55" s="4">
        <f>[1]节奏总纲!AS55</f>
        <v>52</v>
      </c>
      <c r="AT55" s="4">
        <f>[1]节奏总纲!AT55</f>
        <v>108.19809186955615</v>
      </c>
      <c r="AU55" s="4">
        <f>[1]节奏总纲!AU55</f>
        <v>86.558473495644876</v>
      </c>
      <c r="AV55" s="4">
        <f>[1]节奏总纲!AV55</f>
        <v>64.918855121733714</v>
      </c>
      <c r="AW55" s="4">
        <f>[1]节奏总纲!AW55</f>
        <v>43.279236747822438</v>
      </c>
      <c r="AX55" s="4">
        <f>[1]节奏总纲!AX55</f>
        <v>21.639618373911219</v>
      </c>
      <c r="AZ55" s="4">
        <v>52</v>
      </c>
      <c r="BA55" s="4">
        <v>33.737057773318043</v>
      </c>
      <c r="BB55" s="4">
        <v>35.146386283795508</v>
      </c>
      <c r="BC55" s="4">
        <v>37.075448197698059</v>
      </c>
      <c r="BD55" s="4">
        <v>39.790623261487418</v>
      </c>
      <c r="BE55" s="4">
        <v>44.455742855302844</v>
      </c>
    </row>
    <row r="56" spans="6:57" x14ac:dyDescent="0.15">
      <c r="F56" s="4">
        <f>[1]节奏总纲!F56</f>
        <v>54</v>
      </c>
      <c r="G56" s="4">
        <f>[1]节奏总纲!G56</f>
        <v>41.224253144732614</v>
      </c>
      <c r="I56" s="4">
        <f>[1]节奏总纲!I56</f>
        <v>54</v>
      </c>
      <c r="J56" s="4">
        <f>[1]节奏总纲!J56</f>
        <v>1060.2230944101252</v>
      </c>
      <c r="K56" s="4">
        <f>[1]节奏总纲!K56</f>
        <v>1.19</v>
      </c>
      <c r="N56" s="4">
        <f>[1]节奏总纲!N56</f>
        <v>63</v>
      </c>
      <c r="O56" s="4">
        <f>[1]节奏总纲!O56</f>
        <v>53</v>
      </c>
      <c r="P56" s="4">
        <f>[1]节奏总纲!P56</f>
        <v>38.396621227037308</v>
      </c>
      <c r="Q56" s="4">
        <f>[1]节奏总纲!Q56</f>
        <v>33.42809844025868</v>
      </c>
      <c r="R56" s="4">
        <f>[1]节奏总纲!R56</f>
        <v>27.5802930273809</v>
      </c>
      <c r="S56" s="4">
        <f>[1]节奏总纲!S56</f>
        <v>20.319491953348145</v>
      </c>
      <c r="T56" s="4">
        <f>[1]节奏总纲!T56</f>
        <v>11.338522248344118</v>
      </c>
      <c r="V56" s="4">
        <f>[1]节奏总纲!V56</f>
        <v>53</v>
      </c>
      <c r="W56" s="4">
        <f>[1]节奏总纲!W56</f>
        <v>2.6382738671321846</v>
      </c>
      <c r="X56" s="4">
        <f>[1]节奏总纲!X56</f>
        <v>2.3469429150291461</v>
      </c>
      <c r="Y56" s="4">
        <f>[1]节奏总纲!Y56</f>
        <v>1.9737404829528415</v>
      </c>
      <c r="Z56" s="4">
        <f>[1]节奏总纲!Z56</f>
        <v>1.3890228610143716</v>
      </c>
      <c r="AA56" s="4">
        <f>[1]节奏总纲!AA56</f>
        <v>0.76835476875616493</v>
      </c>
      <c r="AC56" s="4">
        <f>[1]节奏总纲!AC56</f>
        <v>53</v>
      </c>
      <c r="AD56" s="4">
        <f>[1]节奏总纲!AD56</f>
        <v>57.540284631526099</v>
      </c>
      <c r="AE56" s="4">
        <f>[1]节奏总纲!AE56</f>
        <v>59.564417547460899</v>
      </c>
      <c r="AF56" s="4">
        <f>[1]节奏总纲!AF56</f>
        <v>62.395461425033538</v>
      </c>
      <c r="AG56" s="4">
        <f>[1]节奏总纲!AG56</f>
        <v>66.819253686739231</v>
      </c>
      <c r="AH56" s="4">
        <f>[1]节奏总纲!AH56</f>
        <v>75.318351032805268</v>
      </c>
      <c r="AL56" s="4">
        <f>[1]节奏总纲!AL56</f>
        <v>53</v>
      </c>
      <c r="AM56" s="4">
        <f>[1]节奏总纲!AM56</f>
        <v>915.14532082292135</v>
      </c>
      <c r="AN56" s="4">
        <f>[1]节奏总纲!AN56</f>
        <v>732.11625665833708</v>
      </c>
      <c r="AO56" s="4">
        <f>[1]节奏总纲!AO56</f>
        <v>549.08719249375281</v>
      </c>
      <c r="AP56" s="4">
        <f>[1]节奏总纲!AP56</f>
        <v>366.05812832916854</v>
      </c>
      <c r="AQ56" s="4">
        <f>[1]节奏总纲!AQ56</f>
        <v>183.02906416458427</v>
      </c>
      <c r="AS56" s="4">
        <f>[1]节奏总纲!AS56</f>
        <v>53</v>
      </c>
      <c r="AT56" s="4">
        <f>[1]节奏总纲!AT56</f>
        <v>125.29230195352682</v>
      </c>
      <c r="AU56" s="4">
        <f>[1]节奏总纲!AU56</f>
        <v>100.23384156282145</v>
      </c>
      <c r="AV56" s="4">
        <f>[1]节奏总纲!AV56</f>
        <v>75.17538117211609</v>
      </c>
      <c r="AW56" s="4">
        <f>[1]节奏总纲!AW56</f>
        <v>50.116920781410727</v>
      </c>
      <c r="AX56" s="4">
        <f>[1]节奏总纲!AX56</f>
        <v>25.058460390705363</v>
      </c>
      <c r="AZ56" s="4">
        <v>53</v>
      </c>
      <c r="BA56" s="4">
        <v>33.861619962032307</v>
      </c>
      <c r="BB56" s="4">
        <v>35.268374853625097</v>
      </c>
      <c r="BC56" s="4">
        <v>37.196452985793947</v>
      </c>
      <c r="BD56" s="4">
        <v>39.925705028269732</v>
      </c>
      <c r="BE56" s="4">
        <v>44.585020086822361</v>
      </c>
    </row>
    <row r="57" spans="6:57" x14ac:dyDescent="0.15">
      <c r="F57" s="4">
        <f>[1]节奏总纲!F57</f>
        <v>55</v>
      </c>
      <c r="G57" s="4">
        <f>[1]节奏总纲!G57</f>
        <v>44.254833995939045</v>
      </c>
      <c r="I57" s="4">
        <f>[1]节奏总纲!I57</f>
        <v>55</v>
      </c>
      <c r="J57" s="4">
        <f>[1]节奏总纲!J57</f>
        <v>1228.2</v>
      </c>
      <c r="K57" s="4">
        <f>[1]节奏总纲!K57</f>
        <v>1.2</v>
      </c>
      <c r="N57" s="4">
        <f>[1]节奏总纲!N57</f>
        <v>64</v>
      </c>
      <c r="O57" s="4">
        <f>[1]节奏总纲!O57</f>
        <v>54</v>
      </c>
      <c r="P57" s="4">
        <f>[1]节奏总纲!P57</f>
        <v>41.224253144732614</v>
      </c>
      <c r="Q57" s="4">
        <f>[1]节奏总纲!Q57</f>
        <v>35.947548742206841</v>
      </c>
      <c r="R57" s="4">
        <f>[1]节奏总纲!R57</f>
        <v>29.553667079458812</v>
      </c>
      <c r="S57" s="4">
        <f>[1]节奏总纲!S57</f>
        <v>21.762283235104348</v>
      </c>
      <c r="T57" s="4">
        <f>[1]节奏总纲!T57</f>
        <v>12.111685573922442</v>
      </c>
      <c r="V57" s="4">
        <f>[1]节奏总纲!V57</f>
        <v>54</v>
      </c>
      <c r="W57" s="4">
        <f>[1]节奏总纲!W57</f>
        <v>2.8276319176953066</v>
      </c>
      <c r="X57" s="4">
        <f>[1]节奏总纲!X57</f>
        <v>2.5194503019481616</v>
      </c>
      <c r="Y57" s="4">
        <f>[1]节奏总纲!Y57</f>
        <v>1.9733740520779115</v>
      </c>
      <c r="Z57" s="4">
        <f>[1]节奏总纲!Z57</f>
        <v>1.4427912817562039</v>
      </c>
      <c r="AA57" s="4">
        <f>[1]节奏总纲!AA57</f>
        <v>0.77316332557832368</v>
      </c>
      <c r="AC57" s="4">
        <f>[1]节奏总纲!AC57</f>
        <v>54</v>
      </c>
      <c r="AD57" s="4">
        <f>[1]节奏总纲!AD57</f>
        <v>57.80830335012682</v>
      </c>
      <c r="AE57" s="4">
        <f>[1]节奏总纲!AE57</f>
        <v>59.838454950756969</v>
      </c>
      <c r="AF57" s="4">
        <f>[1]节奏总纲!AF57</f>
        <v>62.660624101136307</v>
      </c>
      <c r="AG57" s="4">
        <f>[1]节奏总纲!AG57</f>
        <v>67.098789255934349</v>
      </c>
      <c r="AH57" s="4">
        <f>[1]节奏总纲!AH57</f>
        <v>75.574169554689718</v>
      </c>
      <c r="AL57" s="4">
        <f>[1]节奏总纲!AL57</f>
        <v>54</v>
      </c>
      <c r="AM57" s="4">
        <f>[1]节奏总纲!AM57</f>
        <v>1060.2230944101252</v>
      </c>
      <c r="AN57" s="4">
        <f>[1]节奏总纲!AN57</f>
        <v>848.17847552810019</v>
      </c>
      <c r="AO57" s="4">
        <f>[1]节奏总纲!AO57</f>
        <v>636.13385664607506</v>
      </c>
      <c r="AP57" s="4">
        <f>[1]节奏总纲!AP57</f>
        <v>424.0892377640501</v>
      </c>
      <c r="AQ57" s="4">
        <f>[1]节奏总纲!AQ57</f>
        <v>212.04461888202505</v>
      </c>
      <c r="AS57" s="4">
        <f>[1]节奏总纲!AS57</f>
        <v>54</v>
      </c>
      <c r="AT57" s="4">
        <f>[1]节奏总纲!AT57</f>
        <v>145.07777358720386</v>
      </c>
      <c r="AU57" s="4">
        <f>[1]节奏总纲!AU57</f>
        <v>116.06221886976311</v>
      </c>
      <c r="AV57" s="4">
        <f>[1]节奏总纲!AV57</f>
        <v>87.046664152322251</v>
      </c>
      <c r="AW57" s="4">
        <f>[1]节奏总纲!AW57</f>
        <v>58.031109434881557</v>
      </c>
      <c r="AX57" s="4">
        <f>[1]节奏总纲!AX57</f>
        <v>29.015554717440779</v>
      </c>
      <c r="AZ57" s="4">
        <v>54</v>
      </c>
      <c r="BA57" s="4">
        <v>33.986182150746572</v>
      </c>
      <c r="BB57" s="4">
        <v>35.390363423454687</v>
      </c>
      <c r="BC57" s="4">
        <v>37.317457773889828</v>
      </c>
      <c r="BD57" s="4">
        <v>40.052446592012309</v>
      </c>
      <c r="BE57" s="4">
        <v>44.71429731834187</v>
      </c>
    </row>
    <row r="58" spans="6:57" x14ac:dyDescent="0.15">
      <c r="F58" s="4">
        <f>[1]节奏总纲!F58</f>
        <v>56</v>
      </c>
      <c r="G58" s="4">
        <f>[1]节奏总纲!G58</f>
        <v>47.502930128332721</v>
      </c>
      <c r="I58" s="4">
        <f>[1]节奏总纲!I58</f>
        <v>56</v>
      </c>
      <c r="J58" s="4">
        <f>[1]节奏总纲!J58</f>
        <v>1422.6782097755249</v>
      </c>
      <c r="K58" s="4">
        <f>[1]节奏总纲!K58</f>
        <v>1.21</v>
      </c>
      <c r="N58" s="4">
        <f>[1]节奏总纲!N58</f>
        <v>65</v>
      </c>
      <c r="O58" s="4">
        <f>[1]节奏总纲!O58</f>
        <v>55</v>
      </c>
      <c r="P58" s="4">
        <f>[1]节奏总纲!P58</f>
        <v>44.254833995939045</v>
      </c>
      <c r="Q58" s="4">
        <f>[1]节奏总纲!Q58</f>
        <v>38.53268396026413</v>
      </c>
      <c r="R58" s="4">
        <f>[1]节奏总纲!R58</f>
        <v>31.642206307096416</v>
      </c>
      <c r="S58" s="4">
        <f>[1]节奏总纲!S58</f>
        <v>23.282468165263531</v>
      </c>
      <c r="T58" s="4">
        <f>[1]节奏总纲!T58</f>
        <v>12.944538943812169</v>
      </c>
      <c r="V58" s="4">
        <f>[1]节奏总纲!V58</f>
        <v>55</v>
      </c>
      <c r="W58" s="4">
        <f>[1]节奏总纲!W58</f>
        <v>3.0305808512064303</v>
      </c>
      <c r="X58" s="4">
        <f>[1]节奏总纲!X58</f>
        <v>2.5851352180572889</v>
      </c>
      <c r="Y58" s="4">
        <f>[1]节奏总纲!Y58</f>
        <v>2.0885392276376038</v>
      </c>
      <c r="Z58" s="4">
        <f>[1]节奏总纲!Z58</f>
        <v>1.5201849301591821</v>
      </c>
      <c r="AA58" s="4">
        <f>[1]节奏总纲!AA58</f>
        <v>0.8328533698897278</v>
      </c>
      <c r="AC58" s="4">
        <f>[1]节奏总纲!AC58</f>
        <v>55</v>
      </c>
      <c r="AD58" s="4">
        <f>[1]节奏总纲!AD58</f>
        <v>58.071211008105138</v>
      </c>
      <c r="AE58" s="4">
        <f>[1]节奏总纲!AE58</f>
        <v>60.102437883401088</v>
      </c>
      <c r="AF58" s="4">
        <f>[1]节奏总纲!AF58</f>
        <v>62.925786777239075</v>
      </c>
      <c r="AG58" s="4">
        <f>[1]节奏总纲!AG58</f>
        <v>67.36285691246691</v>
      </c>
      <c r="AH58" s="4">
        <f>[1]节奏总纲!AH58</f>
        <v>75.829988076574182</v>
      </c>
      <c r="AL58" s="4">
        <f>[1]节奏总纲!AL58</f>
        <v>55</v>
      </c>
      <c r="AM58" s="4">
        <f>[1]节奏总纲!AM58</f>
        <v>1228.2</v>
      </c>
      <c r="AN58" s="4">
        <f>[1]节奏总纲!AN58</f>
        <v>982.56000000000006</v>
      </c>
      <c r="AO58" s="4">
        <f>[1]节奏总纲!AO58</f>
        <v>736.92</v>
      </c>
      <c r="AP58" s="4">
        <f>[1]节奏总纲!AP58</f>
        <v>491.28000000000003</v>
      </c>
      <c r="AQ58" s="4">
        <f>[1]节奏总纲!AQ58</f>
        <v>245.64000000000001</v>
      </c>
      <c r="AS58" s="4">
        <f>[1]节奏总纲!AS58</f>
        <v>55</v>
      </c>
      <c r="AT58" s="4">
        <f>[1]节奏总纲!AT58</f>
        <v>167.97690558987483</v>
      </c>
      <c r="AU58" s="4">
        <f>[1]节奏总纲!AU58</f>
        <v>134.38152447189987</v>
      </c>
      <c r="AV58" s="4">
        <f>[1]节奏总纲!AV58</f>
        <v>100.7861433539249</v>
      </c>
      <c r="AW58" s="4">
        <f>[1]节奏总纲!AW58</f>
        <v>67.190762235949933</v>
      </c>
      <c r="AX58" s="4">
        <f>[1]节奏总纲!AX58</f>
        <v>33.595381117974966</v>
      </c>
      <c r="AZ58" s="4">
        <v>55</v>
      </c>
      <c r="BA58" s="4">
        <v>34.09469189131628</v>
      </c>
      <c r="BB58" s="4">
        <v>35.512351993284277</v>
      </c>
      <c r="BC58" s="4">
        <v>37.438462561985709</v>
      </c>
      <c r="BD58" s="4">
        <v>40.168994574261895</v>
      </c>
      <c r="BE58" s="4">
        <v>44.843574549861387</v>
      </c>
    </row>
    <row r="59" spans="6:57" x14ac:dyDescent="0.15">
      <c r="F59" s="4">
        <f>[1]节奏总纲!F59</f>
        <v>57</v>
      </c>
      <c r="G59" s="4">
        <f>[1]节奏总纲!G59</f>
        <v>50.984153366799077</v>
      </c>
      <c r="I59" s="4">
        <f>[1]节奏总纲!I59</f>
        <v>57</v>
      </c>
      <c r="J59" s="4">
        <f>[1]节奏总纲!J59</f>
        <v>1647.8248427703616</v>
      </c>
      <c r="K59" s="4">
        <f>[1]节奏总纲!K59</f>
        <v>1.22</v>
      </c>
      <c r="N59" s="4">
        <f>[1]节奏总纲!N59</f>
        <v>66</v>
      </c>
      <c r="O59" s="4">
        <f>[1]节奏总纲!O59</f>
        <v>56</v>
      </c>
      <c r="P59" s="4">
        <f>[1]节奏总纲!P59</f>
        <v>47.502930128332721</v>
      </c>
      <c r="Q59" s="4">
        <f>[1]节奏总纲!Q59</f>
        <v>41.275295988508304</v>
      </c>
      <c r="R59" s="4">
        <f>[1]节奏总纲!R59</f>
        <v>33.888590353552566</v>
      </c>
      <c r="S59" s="4">
        <f>[1]节奏总纲!S59</f>
        <v>24.910536559297679</v>
      </c>
      <c r="T59" s="4">
        <f>[1]节奏总纲!T59</f>
        <v>13.837603546383322</v>
      </c>
      <c r="V59" s="4">
        <f>[1]节奏总纲!V59</f>
        <v>56</v>
      </c>
      <c r="W59" s="4">
        <f>[1]节奏总纲!W59</f>
        <v>3.2480961323936768</v>
      </c>
      <c r="X59" s="4">
        <f>[1]节奏总纲!X59</f>
        <v>2.7426120282441744</v>
      </c>
      <c r="Y59" s="4">
        <f>[1]节奏总纲!Y59</f>
        <v>2.24638404645615</v>
      </c>
      <c r="Z59" s="4">
        <f>[1]节奏总纲!Z59</f>
        <v>1.6280683940341483</v>
      </c>
      <c r="AA59" s="4">
        <f>[1]节奏总纲!AA59</f>
        <v>0.89306460257115283</v>
      </c>
      <c r="AC59" s="4">
        <f>[1]节奏总纲!AC59</f>
        <v>56</v>
      </c>
      <c r="AD59" s="4">
        <f>[1]节奏总纲!AD59</f>
        <v>58.321281314909029</v>
      </c>
      <c r="AE59" s="4">
        <f>[1]节奏总纲!AE59</f>
        <v>60.351982057337977</v>
      </c>
      <c r="AF59" s="4">
        <f>[1]节奏总纲!AF59</f>
        <v>63.17626763611517</v>
      </c>
      <c r="AG59" s="4">
        <f>[1]节奏总纲!AG59</f>
        <v>67.626924568999456</v>
      </c>
      <c r="AH59" s="4">
        <f>[1]节奏总纲!AH59</f>
        <v>76.086647524934079</v>
      </c>
      <c r="AL59" s="4">
        <f>[1]节奏总纲!AL59</f>
        <v>56</v>
      </c>
      <c r="AM59" s="4">
        <f>[1]节奏总纲!AM59</f>
        <v>1422.6782097755249</v>
      </c>
      <c r="AN59" s="4">
        <f>[1]节奏总纲!AN59</f>
        <v>1138.14256782042</v>
      </c>
      <c r="AO59" s="4">
        <f>[1]节奏总纲!AO59</f>
        <v>853.60692586531491</v>
      </c>
      <c r="AP59" s="4">
        <f>[1]节奏总纲!AP59</f>
        <v>569.07128391021001</v>
      </c>
      <c r="AQ59" s="4">
        <f>[1]节奏总纲!AQ59</f>
        <v>284.53564195510501</v>
      </c>
      <c r="AS59" s="4">
        <f>[1]节奏总纲!AS59</f>
        <v>56</v>
      </c>
      <c r="AT59" s="4">
        <f>[1]节奏总纲!AT59</f>
        <v>194.47820977552487</v>
      </c>
      <c r="AU59" s="4">
        <f>[1]节奏总纲!AU59</f>
        <v>155.58256782041997</v>
      </c>
      <c r="AV59" s="4">
        <f>[1]节奏总纲!AV59</f>
        <v>116.68692586531495</v>
      </c>
      <c r="AW59" s="4">
        <f>[1]节奏总纲!AW59</f>
        <v>77.791283910209984</v>
      </c>
      <c r="AX59" s="4">
        <f>[1]节奏总纲!AX59</f>
        <v>38.895641955104992</v>
      </c>
      <c r="AZ59" s="4">
        <v>56</v>
      </c>
      <c r="BA59" s="4">
        <v>34.201198727632011</v>
      </c>
      <c r="BB59" s="4">
        <v>35.634340563113874</v>
      </c>
      <c r="BC59" s="4">
        <v>37.55946735008159</v>
      </c>
      <c r="BD59" s="4">
        <v>40.28554255651148</v>
      </c>
      <c r="BE59" s="4">
        <v>44.972851781380903</v>
      </c>
    </row>
    <row r="60" spans="6:57" x14ac:dyDescent="0.15">
      <c r="F60" s="4">
        <f>[1]节奏总纲!F60</f>
        <v>58</v>
      </c>
      <c r="G60" s="4">
        <f>[1]节奏总纲!G60</f>
        <v>54.715236050951923</v>
      </c>
      <c r="I60" s="4">
        <f>[1]节奏总纲!I60</f>
        <v>58</v>
      </c>
      <c r="J60" s="4">
        <f>[1]节奏总纲!J60</f>
        <v>1908.4603298511749</v>
      </c>
      <c r="K60" s="4">
        <f>[1]节奏总纲!K60</f>
        <v>1.23</v>
      </c>
      <c r="N60" s="4">
        <f>[1]节奏总纲!N60</f>
        <v>67</v>
      </c>
      <c r="O60" s="4">
        <f>[1]节奏总纲!O60</f>
        <v>57</v>
      </c>
      <c r="P60" s="4">
        <f>[1]节奏总纲!P60</f>
        <v>50.984153366799077</v>
      </c>
      <c r="Q60" s="4">
        <f>[1]节奏总纲!Q60</f>
        <v>44.310327691085078</v>
      </c>
      <c r="R60" s="4">
        <f>[1]节奏总纲!R60</f>
        <v>36.316012443170983</v>
      </c>
      <c r="S60" s="4">
        <f>[1]节奏总纲!S60</f>
        <v>26.664712210835919</v>
      </c>
      <c r="T60" s="4">
        <f>[1]节奏总纲!T60</f>
        <v>14.815994968391813</v>
      </c>
      <c r="V60" s="4">
        <f>[1]节奏总纲!V60</f>
        <v>57</v>
      </c>
      <c r="W60" s="4">
        <f>[1]节奏总纲!W60</f>
        <v>3.481223238466356</v>
      </c>
      <c r="X60" s="4">
        <f>[1]节奏总纲!X60</f>
        <v>3.0350317025767737</v>
      </c>
      <c r="Y60" s="4">
        <f>[1]节奏总纲!Y60</f>
        <v>2.4274220896184175</v>
      </c>
      <c r="Z60" s="4">
        <f>[1]节奏总纲!Z60</f>
        <v>1.7541756515382403</v>
      </c>
      <c r="AA60" s="4">
        <f>[1]节奏总纲!AA60</f>
        <v>0.97839142200849061</v>
      </c>
      <c r="AC60" s="4">
        <f>[1]节奏总纲!AC60</f>
        <v>57</v>
      </c>
      <c r="AD60" s="4">
        <f>[1]节奏总纲!AD60</f>
        <v>58.571351621712921</v>
      </c>
      <c r="AE60" s="4">
        <f>[1]节奏总纲!AE60</f>
        <v>60.60152623127486</v>
      </c>
      <c r="AF60" s="4">
        <f>[1]节奏总纲!AF60</f>
        <v>63.421042351541736</v>
      </c>
      <c r="AG60" s="4">
        <f>[1]节奏总纲!AG60</f>
        <v>67.890992225532017</v>
      </c>
      <c r="AH60" s="4">
        <f>[1]节奏总纲!AH60</f>
        <v>76.344973133357612</v>
      </c>
      <c r="AL60" s="4">
        <f>[1]节奏总纲!AL60</f>
        <v>57</v>
      </c>
      <c r="AM60" s="4">
        <f>[1]节奏总纲!AM60</f>
        <v>1647.8248427703616</v>
      </c>
      <c r="AN60" s="4">
        <f>[1]节奏总纲!AN60</f>
        <v>1318.2598742162893</v>
      </c>
      <c r="AO60" s="4">
        <f>[1]节奏总纲!AO60</f>
        <v>988.69490566221691</v>
      </c>
      <c r="AP60" s="4">
        <f>[1]节奏总纲!AP60</f>
        <v>659.12993710814465</v>
      </c>
      <c r="AQ60" s="4">
        <f>[1]节奏总纲!AQ60</f>
        <v>329.56496855407232</v>
      </c>
      <c r="AS60" s="4">
        <f>[1]节奏总纲!AS60</f>
        <v>57</v>
      </c>
      <c r="AT60" s="4">
        <f>[1]节奏总纲!AT60</f>
        <v>225.14663299483664</v>
      </c>
      <c r="AU60" s="4">
        <f>[1]节奏总纲!AU60</f>
        <v>180.11730639586926</v>
      </c>
      <c r="AV60" s="4">
        <f>[1]节奏总纲!AV60</f>
        <v>135.087979796902</v>
      </c>
      <c r="AW60" s="4">
        <f>[1]节奏总纲!AW60</f>
        <v>90.058653197934632</v>
      </c>
      <c r="AX60" s="4">
        <f>[1]节奏总纲!AX60</f>
        <v>45.029326598967316</v>
      </c>
      <c r="AZ60" s="4">
        <v>57</v>
      </c>
      <c r="BA60" s="4">
        <v>34.307705563947749</v>
      </c>
      <c r="BB60" s="4">
        <v>35.756329132943463</v>
      </c>
      <c r="BC60" s="4">
        <v>37.680472138177478</v>
      </c>
      <c r="BD60" s="4">
        <v>40.402090538761065</v>
      </c>
      <c r="BE60" s="4">
        <v>45.088151688727308</v>
      </c>
    </row>
    <row r="61" spans="6:57" x14ac:dyDescent="0.15">
      <c r="F61" s="4">
        <f>[1]节奏总纲!F61</f>
        <v>59</v>
      </c>
      <c r="G61" s="4">
        <f>[1]节奏总纲!G61</f>
        <v>58.714111458355703</v>
      </c>
      <c r="I61" s="4">
        <f>[1]节奏总纲!I61</f>
        <v>59</v>
      </c>
      <c r="J61" s="4">
        <f>[1]节奏总纲!J61</f>
        <v>2210.1605665017755</v>
      </c>
      <c r="K61" s="4">
        <f>[1]节奏总纲!K61</f>
        <v>1.24</v>
      </c>
      <c r="N61" s="4">
        <f>[1]节奏总纲!N61</f>
        <v>68</v>
      </c>
      <c r="O61" s="4">
        <f>[1]节奏总纲!O61</f>
        <v>58</v>
      </c>
      <c r="P61" s="4">
        <f>[1]节奏总纲!P61</f>
        <v>54.715236050951923</v>
      </c>
      <c r="Q61" s="4">
        <f>[1]节奏总纲!Q61</f>
        <v>47.459995750595695</v>
      </c>
      <c r="R61" s="4">
        <f>[1]节奏总纲!R61</f>
        <v>38.913475879437009</v>
      </c>
      <c r="S61" s="4">
        <f>[1]节奏总纲!S61</f>
        <v>28.572296265807093</v>
      </c>
      <c r="T61" s="4">
        <f>[1]节奏总纲!T61</f>
        <v>15.856475407565867</v>
      </c>
      <c r="V61" s="4">
        <f>[1]节奏总纲!V61</f>
        <v>58</v>
      </c>
      <c r="W61" s="4">
        <f>[1]节奏总纲!W61</f>
        <v>3.7310826841528453</v>
      </c>
      <c r="X61" s="4">
        <f>[1]节奏总纲!X61</f>
        <v>3.149668059510617</v>
      </c>
      <c r="Y61" s="4">
        <f>[1]节奏总纲!Y61</f>
        <v>2.5974634362660254</v>
      </c>
      <c r="Z61" s="4">
        <f>[1]节奏总纲!Z61</f>
        <v>1.9075840549711742</v>
      </c>
      <c r="AA61" s="4">
        <f>[1]节奏总纲!AA61</f>
        <v>1.0404804391740541</v>
      </c>
      <c r="AC61" s="4">
        <f>[1]节奏总纲!AC61</f>
        <v>58</v>
      </c>
      <c r="AD61" s="4">
        <f>[1]节奏总纲!AD61</f>
        <v>58.821421928516813</v>
      </c>
      <c r="AE61" s="4">
        <f>[1]节奏总纲!AE61</f>
        <v>60.851070405211743</v>
      </c>
      <c r="AF61" s="4">
        <f>[1]节奏总纲!AF61</f>
        <v>63.665817066968295</v>
      </c>
      <c r="AG61" s="4">
        <f>[1]节奏总纲!AG61</f>
        <v>68.142437172458173</v>
      </c>
      <c r="AH61" s="4">
        <f>[1]节奏总纲!AH61</f>
        <v>76.60329874178116</v>
      </c>
      <c r="AL61" s="4">
        <f>[1]节奏总纲!AL61</f>
        <v>58</v>
      </c>
      <c r="AM61" s="4">
        <f>[1]节奏总纲!AM61</f>
        <v>1908.4603298511749</v>
      </c>
      <c r="AN61" s="4">
        <f>[1]节奏总纲!AN61</f>
        <v>1526.7682638809401</v>
      </c>
      <c r="AO61" s="4">
        <f>[1]节奏总纲!AO61</f>
        <v>1145.0761979107049</v>
      </c>
      <c r="AP61" s="4">
        <f>[1]节奏总纲!AP61</f>
        <v>763.38413194047007</v>
      </c>
      <c r="AQ61" s="4">
        <f>[1]节奏总纲!AQ61</f>
        <v>381.69206597023503</v>
      </c>
      <c r="AS61" s="4">
        <f>[1]节奏总纲!AS61</f>
        <v>58</v>
      </c>
      <c r="AT61" s="4">
        <f>[1]节奏总纲!AT61</f>
        <v>260.63548708081339</v>
      </c>
      <c r="AU61" s="4">
        <f>[1]节奏总纲!AU61</f>
        <v>208.50838966465085</v>
      </c>
      <c r="AV61" s="4">
        <f>[1]节奏总纲!AV61</f>
        <v>156.38129224848797</v>
      </c>
      <c r="AW61" s="4">
        <f>[1]节奏总纲!AW61</f>
        <v>104.25419483232542</v>
      </c>
      <c r="AX61" s="4">
        <f>[1]节奏总纲!AX61</f>
        <v>52.127097416162712</v>
      </c>
      <c r="AZ61" s="4">
        <v>58</v>
      </c>
      <c r="BA61" s="4">
        <v>34.41421240026348</v>
      </c>
      <c r="BB61" s="4">
        <v>35.878317702773053</v>
      </c>
      <c r="BC61" s="4">
        <v>37.801476926273359</v>
      </c>
      <c r="BD61" s="4">
        <v>40.518638521010644</v>
      </c>
      <c r="BE61" s="4">
        <v>45.199736104837825</v>
      </c>
    </row>
    <row r="62" spans="6:57" x14ac:dyDescent="0.15">
      <c r="F62" s="4">
        <f>[1]节奏总纲!F62</f>
        <v>60</v>
      </c>
      <c r="G62" s="4">
        <f>[1]节奏总纲!G62</f>
        <v>63</v>
      </c>
      <c r="I62" s="4">
        <f>[1]节奏总纲!I62</f>
        <v>60</v>
      </c>
      <c r="J62" s="4">
        <f>[1]节奏总纲!J62</f>
        <v>2559.375</v>
      </c>
      <c r="K62" s="4">
        <f>[1]节奏总纲!K62</f>
        <v>1.25</v>
      </c>
      <c r="N62" s="4">
        <f>[1]节奏总纲!N62</f>
        <v>69</v>
      </c>
      <c r="O62" s="4">
        <f>[1]节奏总纲!O62</f>
        <v>59</v>
      </c>
      <c r="P62" s="4">
        <f>[1]节奏总纲!P62</f>
        <v>58.714111458355703</v>
      </c>
      <c r="Q62" s="4">
        <f>[1]节奏总纲!Q62</f>
        <v>50.940363101269412</v>
      </c>
      <c r="R62" s="4">
        <f>[1]节奏总纲!R62</f>
        <v>41.728119013453394</v>
      </c>
      <c r="S62" s="4">
        <f>[1]节奏总纲!S62</f>
        <v>30.607666303240826</v>
      </c>
      <c r="T62" s="4">
        <f>[1]节奏总纲!T62</f>
        <v>17.003606678339814</v>
      </c>
      <c r="V62" s="4">
        <f>[1]节奏总纲!V62</f>
        <v>59</v>
      </c>
      <c r="W62" s="4">
        <f>[1]节奏总纲!W62</f>
        <v>3.99887540740378</v>
      </c>
      <c r="X62" s="4">
        <f>[1]节奏总纲!X62</f>
        <v>3.4803673506737169</v>
      </c>
      <c r="Y62" s="4">
        <f>[1]节奏总纲!Y62</f>
        <v>2.8146431340163858</v>
      </c>
      <c r="Z62" s="4">
        <f>[1]节奏总纲!Z62</f>
        <v>2.0353700374337329</v>
      </c>
      <c r="AA62" s="4">
        <f>[1]节奏总纲!AA62</f>
        <v>1.1471312707739472</v>
      </c>
      <c r="AC62" s="4">
        <f>[1]节奏总纲!AC62</f>
        <v>59</v>
      </c>
      <c r="AD62" s="4">
        <f>[1]节奏总纲!AD62</f>
        <v>59.066704614192936</v>
      </c>
      <c r="AE62" s="4">
        <f>[1]节奏总纲!AE62</f>
        <v>61.094954819415335</v>
      </c>
      <c r="AF62" s="4">
        <f>[1]节奏总纲!AF62</f>
        <v>63.91059178239486</v>
      </c>
      <c r="AG62" s="4">
        <f>[1]节奏总纲!AG62</f>
        <v>68.385008299388929</v>
      </c>
      <c r="AH62" s="4">
        <f>[1]节奏总纲!AH62</f>
        <v>76.861624350204693</v>
      </c>
      <c r="AL62" s="4">
        <f>[1]节奏总纲!AL62</f>
        <v>59</v>
      </c>
      <c r="AM62" s="4">
        <f>[1]节奏总纲!AM62</f>
        <v>2210.1605665017755</v>
      </c>
      <c r="AN62" s="4">
        <f>[1]节奏总纲!AN62</f>
        <v>1768.1284532014206</v>
      </c>
      <c r="AO62" s="4">
        <f>[1]节奏总纲!AO62</f>
        <v>1326.0963399010652</v>
      </c>
      <c r="AP62" s="4">
        <f>[1]节奏总纲!AP62</f>
        <v>884.0642266007103</v>
      </c>
      <c r="AQ62" s="4">
        <f>[1]节奏总纲!AQ62</f>
        <v>442.03211330035515</v>
      </c>
      <c r="AS62" s="4">
        <f>[1]节奏总纲!AS62</f>
        <v>59</v>
      </c>
      <c r="AT62" s="4">
        <f>[1]节奏总纲!AT62</f>
        <v>301.70023665060057</v>
      </c>
      <c r="AU62" s="4">
        <f>[1]节奏总纲!AU62</f>
        <v>241.36018932048046</v>
      </c>
      <c r="AV62" s="4">
        <f>[1]节奏总纲!AV62</f>
        <v>181.02014199036034</v>
      </c>
      <c r="AW62" s="4">
        <f>[1]节奏总纲!AW62</f>
        <v>120.68009466024023</v>
      </c>
      <c r="AX62" s="4">
        <f>[1]节奏总纲!AX62</f>
        <v>60.340047330120115</v>
      </c>
      <c r="AZ62" s="4">
        <v>59</v>
      </c>
      <c r="BA62" s="4">
        <v>34.520719236579211</v>
      </c>
      <c r="BB62" s="4">
        <v>36.000264155774609</v>
      </c>
      <c r="BC62" s="4">
        <v>37.922481714369241</v>
      </c>
      <c r="BD62" s="4">
        <v>40.635186503260229</v>
      </c>
      <c r="BE62" s="4">
        <v>45.31132052094835</v>
      </c>
    </row>
    <row r="63" spans="6:57" x14ac:dyDescent="0.15">
      <c r="F63" s="4">
        <f>[1]节奏总纲!F63</f>
        <v>61</v>
      </c>
      <c r="G63" s="4">
        <f>[1]节奏总纲!G63</f>
        <v>67.593501602322732</v>
      </c>
      <c r="I63" s="4">
        <f>[1]节奏总纲!I63</f>
        <v>61</v>
      </c>
      <c r="J63" s="4">
        <f>[1]节奏总纲!J63</f>
        <v>2963.5631311027469</v>
      </c>
      <c r="K63" s="4">
        <f>[1]节奏总纲!K63</f>
        <v>1.26</v>
      </c>
      <c r="N63" s="4">
        <f>[1]节奏总纲!N63</f>
        <v>70</v>
      </c>
      <c r="O63" s="4">
        <f>[1]节奏总纲!O63</f>
        <v>60</v>
      </c>
      <c r="P63" s="4">
        <f>[1]节奏总纲!P63</f>
        <v>63</v>
      </c>
      <c r="Q63" s="4">
        <f>[1]节奏总纲!Q63</f>
        <v>54.589500000000001</v>
      </c>
      <c r="R63" s="4">
        <f>[1]节奏总纲!R63</f>
        <v>44.717399999999998</v>
      </c>
      <c r="S63" s="4">
        <f>[1]节奏总纲!S63</f>
        <v>32.810400000000001</v>
      </c>
      <c r="T63" s="4">
        <f>[1]节奏总纲!T63</f>
        <v>18.276300000000003</v>
      </c>
      <c r="V63" s="4">
        <f>[1]节奏总纲!V63</f>
        <v>60</v>
      </c>
      <c r="W63" s="4">
        <f>[1]节奏总纲!W63</f>
        <v>4.2858885416442973</v>
      </c>
      <c r="X63" s="4">
        <f>[1]节奏总纲!X63</f>
        <v>3.649136898730589</v>
      </c>
      <c r="Y63" s="4">
        <f>[1]节奏总纲!Y63</f>
        <v>2.9892809865466035</v>
      </c>
      <c r="Z63" s="4">
        <f>[1]节奏总纲!Z63</f>
        <v>2.2027336967591751</v>
      </c>
      <c r="AA63" s="4">
        <f>[1]节奏总纲!AA63</f>
        <v>1.2726933216601886</v>
      </c>
      <c r="AC63" s="4">
        <f>[1]节奏总纲!AC63</f>
        <v>60</v>
      </c>
      <c r="AD63" s="4">
        <f>[1]节奏总纲!AD63</f>
        <v>59.300028460644697</v>
      </c>
      <c r="AE63" s="4">
        <f>[1]节奏总纲!AE63</f>
        <v>61.330461663183208</v>
      </c>
      <c r="AF63" s="4">
        <f>[1]节奏总纲!AF63</f>
        <v>64.14304723627319</v>
      </c>
      <c r="AG63" s="4">
        <f>[1]节奏总纲!AG63</f>
        <v>68.627579426319684</v>
      </c>
      <c r="AH63" s="4">
        <f>[1]节奏总纲!AH63</f>
        <v>77.112805903056142</v>
      </c>
      <c r="AL63" s="4">
        <f>[1]节奏总纲!AL63</f>
        <v>60</v>
      </c>
      <c r="AM63" s="4">
        <f>[1]节奏总纲!AM63</f>
        <v>2559.375</v>
      </c>
      <c r="AN63" s="4">
        <f>[1]节奏总纲!AN63</f>
        <v>2047.5</v>
      </c>
      <c r="AO63" s="4">
        <f>[1]节奏总纲!AO63</f>
        <v>1535.625</v>
      </c>
      <c r="AP63" s="4">
        <f>[1]节奏总纲!AP63</f>
        <v>1023.75</v>
      </c>
      <c r="AQ63" s="4">
        <f>[1]节奏总纲!AQ63</f>
        <v>511.875</v>
      </c>
      <c r="AS63" s="4">
        <f>[1]节奏总纲!AS63</f>
        <v>60</v>
      </c>
      <c r="AT63" s="4">
        <f>[1]节奏总纲!AT63</f>
        <v>349.21443349822448</v>
      </c>
      <c r="AU63" s="4">
        <f>[1]节奏总纲!AU63</f>
        <v>279.3715467985794</v>
      </c>
      <c r="AV63" s="4">
        <f>[1]节奏总纲!AV63</f>
        <v>209.52866009893478</v>
      </c>
      <c r="AW63" s="4">
        <f>[1]节奏总纲!AW63</f>
        <v>139.6857733992897</v>
      </c>
      <c r="AX63" s="4">
        <f>[1]节奏总纲!AX63</f>
        <v>69.842886699644851</v>
      </c>
      <c r="AZ63" s="4">
        <v>60</v>
      </c>
      <c r="BA63" s="4">
        <v>34.627226072894942</v>
      </c>
      <c r="BB63" s="4">
        <v>36.105477566569242</v>
      </c>
      <c r="BC63" s="4">
        <v>38.037513426486328</v>
      </c>
      <c r="BD63" s="4">
        <v>40.751734485509814</v>
      </c>
      <c r="BE63" s="4">
        <v>45.422904937058867</v>
      </c>
    </row>
    <row r="64" spans="6:57" x14ac:dyDescent="0.15">
      <c r="F64" s="4">
        <f>[1]节奏总纲!F64</f>
        <v>62</v>
      </c>
      <c r="G64" s="4">
        <f>[1]节奏总纲!G64</f>
        <v>72.516694719810218</v>
      </c>
      <c r="I64" s="4">
        <f>[1]节奏总纲!I64</f>
        <v>62</v>
      </c>
      <c r="J64" s="4">
        <f>[1]节奏总纲!J64</f>
        <v>3431.3522956038646</v>
      </c>
      <c r="K64" s="4">
        <f>[1]节奏总纲!K64</f>
        <v>1.27</v>
      </c>
      <c r="N64" s="4">
        <f>[1]节奏总纲!N64</f>
        <v>71</v>
      </c>
      <c r="O64" s="4">
        <f>[1]节奏总纲!O64</f>
        <v>61</v>
      </c>
      <c r="P64" s="4">
        <f>[1]节奏总纲!P64</f>
        <v>67.593501602322732</v>
      </c>
      <c r="Q64" s="4">
        <f>[1]节奏总纲!Q64</f>
        <v>58.596806539053574</v>
      </c>
      <c r="R64" s="4">
        <f>[1]节奏总纲!R64</f>
        <v>47.977867437328676</v>
      </c>
      <c r="S64" s="4">
        <f>[1]节奏总纲!S64</f>
        <v>35.229733035130607</v>
      </c>
      <c r="T64" s="4">
        <f>[1]节奏总纲!T64</f>
        <v>19.602115464673592</v>
      </c>
      <c r="V64" s="4">
        <f>[1]节奏总纲!V64</f>
        <v>61</v>
      </c>
      <c r="W64" s="4">
        <f>[1]节奏总纲!W64</f>
        <v>4.593501602322732</v>
      </c>
      <c r="X64" s="4">
        <f>[1]节奏总纲!X64</f>
        <v>4.0073065390535731</v>
      </c>
      <c r="Y64" s="4">
        <f>[1]节奏总纲!Y64</f>
        <v>3.2604674373286784</v>
      </c>
      <c r="Z64" s="4">
        <f>[1]节奏总纲!Z64</f>
        <v>2.4193330351306059</v>
      </c>
      <c r="AA64" s="4">
        <f>[1]节奏总纲!AA64</f>
        <v>1.3258154646735889</v>
      </c>
      <c r="AC64" s="4">
        <f>[1]节奏总纲!AC64</f>
        <v>61</v>
      </c>
      <c r="AD64" s="4">
        <f>[1]节奏总纲!AD64</f>
        <v>59.533352307096465</v>
      </c>
      <c r="AE64" s="4">
        <f>[1]节奏总纲!AE64</f>
        <v>61.56596850695108</v>
      </c>
      <c r="AF64" s="4">
        <f>[1]节奏总纲!AF64</f>
        <v>64.368413367596901</v>
      </c>
      <c r="AG64" s="4">
        <f>[1]节奏总纲!AG64</f>
        <v>68.870150553250454</v>
      </c>
      <c r="AH64" s="4">
        <f>[1]节奏总纲!AH64</f>
        <v>77.355745991356301</v>
      </c>
      <c r="AL64" s="4">
        <f>[1]节奏总纲!AL64</f>
        <v>61</v>
      </c>
      <c r="AM64" s="4">
        <f>[1]节奏总纲!AM64</f>
        <v>2963.5631311027469</v>
      </c>
      <c r="AN64" s="4">
        <f>[1]节奏总纲!AN64</f>
        <v>2370.8505048821976</v>
      </c>
      <c r="AO64" s="4">
        <f>[1]节奏总纲!AO64</f>
        <v>1778.1378786616481</v>
      </c>
      <c r="AP64" s="4">
        <f>[1]节奏总纲!AP64</f>
        <v>1185.4252524410988</v>
      </c>
      <c r="AQ64" s="4">
        <f>[1]节奏总纲!AQ64</f>
        <v>592.7126262205494</v>
      </c>
      <c r="AS64" s="4">
        <f>[1]节奏总纲!AS64</f>
        <v>61</v>
      </c>
      <c r="AT64" s="4">
        <f>[1]节奏总纲!AT64</f>
        <v>404.18813110274687</v>
      </c>
      <c r="AU64" s="4">
        <f>[1]节奏总纲!AU64</f>
        <v>323.35050488219758</v>
      </c>
      <c r="AV64" s="4">
        <f>[1]节奏总纲!AV64</f>
        <v>242.51287866164807</v>
      </c>
      <c r="AW64" s="4">
        <f>[1]节奏总纲!AW64</f>
        <v>161.67525244109879</v>
      </c>
      <c r="AX64" s="4">
        <f>[1]节奏总纲!AX64</f>
        <v>80.837626220549396</v>
      </c>
      <c r="AZ64" s="4">
        <v>61</v>
      </c>
      <c r="BA64" s="4">
        <v>34.733732909210673</v>
      </c>
      <c r="BB64" s="4">
        <v>36.210690977363875</v>
      </c>
      <c r="BC64" s="4">
        <v>38.14189763688286</v>
      </c>
      <c r="BD64" s="4">
        <v>40.8682824677594</v>
      </c>
      <c r="BE64" s="4">
        <v>45.534489353169384</v>
      </c>
    </row>
    <row r="65" spans="6:57" x14ac:dyDescent="0.15">
      <c r="F65" s="4">
        <f>[1]节奏总纲!F65</f>
        <v>63</v>
      </c>
      <c r="G65" s="4">
        <f>[1]节奏总纲!G65</f>
        <v>77.793242454074615</v>
      </c>
      <c r="I65" s="4">
        <f>[1]节奏总纲!I65</f>
        <v>63</v>
      </c>
      <c r="J65" s="4">
        <f>[1]节奏总纲!J65</f>
        <v>3972.7200361130153</v>
      </c>
      <c r="K65" s="4">
        <f>[1]节奏总纲!K65</f>
        <v>1.28</v>
      </c>
      <c r="N65" s="4">
        <f>[1]节奏总纲!N65</f>
        <v>72</v>
      </c>
      <c r="O65" s="4">
        <f>[1]节奏总纲!O65</f>
        <v>62</v>
      </c>
      <c r="P65" s="4">
        <f>[1]节奏总纲!P65</f>
        <v>72.516694719810218</v>
      </c>
      <c r="Q65" s="4">
        <f>[1]节奏总纲!Q65</f>
        <v>62.842967644187539</v>
      </c>
      <c r="R65" s="4">
        <f>[1]节奏总纲!R65</f>
        <v>51.5086082594812</v>
      </c>
      <c r="S65" s="4">
        <f>[1]节奏总纲!S65</f>
        <v>37.846462974268952</v>
      </c>
      <c r="T65" s="4">
        <f>[1]节奏总纲!T65</f>
        <v>21.124113171880715</v>
      </c>
      <c r="V65" s="4">
        <f>[1]节奏总纲!V65</f>
        <v>62</v>
      </c>
      <c r="W65" s="4">
        <f>[1]节奏总纲!W65</f>
        <v>4.9231931174874859</v>
      </c>
      <c r="X65" s="4">
        <f>[1]节奏总纲!X65</f>
        <v>4.2461611051339645</v>
      </c>
      <c r="Y65" s="4">
        <f>[1]节奏总纲!Y65</f>
        <v>3.5307408221525236</v>
      </c>
      <c r="Z65" s="4">
        <f>[1]节奏总纲!Z65</f>
        <v>2.6167299391383452</v>
      </c>
      <c r="AA65" s="4">
        <f>[1]节奏总纲!AA65</f>
        <v>1.5219977072071238</v>
      </c>
      <c r="AC65" s="4">
        <f>[1]节奏总纲!AC65</f>
        <v>62</v>
      </c>
      <c r="AD65" s="4">
        <f>[1]节奏总纲!AD65</f>
        <v>59.766676153548232</v>
      </c>
      <c r="AE65" s="4">
        <f>[1]节奏总纲!AE65</f>
        <v>61.801475350718952</v>
      </c>
      <c r="AF65" s="4">
        <f>[1]节奏总纲!AF65</f>
        <v>64.593779498920611</v>
      </c>
      <c r="AG65" s="4">
        <f>[1]节奏总纲!AG65</f>
        <v>69.105843627521551</v>
      </c>
      <c r="AH65" s="4">
        <f>[1]节奏总纲!AH65</f>
        <v>77.59868607965646</v>
      </c>
      <c r="AL65" s="4">
        <f>[1]节奏总纲!AL65</f>
        <v>62</v>
      </c>
      <c r="AM65" s="4">
        <f>[1]节奏总纲!AM65</f>
        <v>3431.3522956038646</v>
      </c>
      <c r="AN65" s="4">
        <f>[1]节奏总纲!AN65</f>
        <v>2745.081836483092</v>
      </c>
      <c r="AO65" s="4">
        <f>[1]节奏总纲!AO65</f>
        <v>2058.8113773623186</v>
      </c>
      <c r="AP65" s="4">
        <f>[1]节奏总纲!AP65</f>
        <v>1372.540918241546</v>
      </c>
      <c r="AQ65" s="4">
        <f>[1]节奏总纲!AQ65</f>
        <v>686.27045912077301</v>
      </c>
      <c r="AS65" s="4">
        <f>[1]节奏总纲!AS65</f>
        <v>62</v>
      </c>
      <c r="AT65" s="4">
        <f>[1]节奏总纲!AT65</f>
        <v>467.78916450111774</v>
      </c>
      <c r="AU65" s="4">
        <f>[1]节奏总纲!AU65</f>
        <v>374.23133160089446</v>
      </c>
      <c r="AV65" s="4">
        <f>[1]节奏总纲!AV65</f>
        <v>280.67349870067051</v>
      </c>
      <c r="AW65" s="4">
        <f>[1]节奏总纲!AW65</f>
        <v>187.11566580044723</v>
      </c>
      <c r="AX65" s="4">
        <f>[1]节奏总纲!AX65</f>
        <v>93.557832900223616</v>
      </c>
      <c r="AZ65" s="4">
        <v>62</v>
      </c>
      <c r="BA65" s="4">
        <v>34.840239745526404</v>
      </c>
      <c r="BB65" s="4">
        <v>36.315904388158508</v>
      </c>
      <c r="BC65" s="4">
        <v>38.246281847279398</v>
      </c>
      <c r="BD65" s="4">
        <v>40.984830450008978</v>
      </c>
      <c r="BE65" s="4">
        <v>45.646073769279901</v>
      </c>
    </row>
    <row r="66" spans="6:57" x14ac:dyDescent="0.15">
      <c r="F66" s="4">
        <f>[1]节奏总纲!F66</f>
        <v>64</v>
      </c>
      <c r="G66" s="4">
        <f>[1]节奏总纲!G66</f>
        <v>83.4485062894652</v>
      </c>
      <c r="I66" s="4">
        <f>[1]节奏总纲!I66</f>
        <v>64</v>
      </c>
      <c r="J66" s="4">
        <f>[1]节奏总纲!J66</f>
        <v>4599.2048883665893</v>
      </c>
      <c r="K66" s="4">
        <f>[1]节奏总纲!K66</f>
        <v>1.29</v>
      </c>
      <c r="N66" s="4">
        <f>[1]节奏总纲!N66</f>
        <v>73</v>
      </c>
      <c r="O66" s="4">
        <f>[1]节奏总纲!O66</f>
        <v>63</v>
      </c>
      <c r="P66" s="4">
        <f>[1]节奏总纲!P66</f>
        <v>77.793242454074615</v>
      </c>
      <c r="Q66" s="4">
        <f>[1]节奏总纲!Q66</f>
        <v>67.470079180418907</v>
      </c>
      <c r="R66" s="4">
        <f>[1]节奏总纲!R66</f>
        <v>55.27987808786542</v>
      </c>
      <c r="S66" s="4">
        <f>[1]节奏总纲!S66</f>
        <v>40.678086479235617</v>
      </c>
      <c r="T66" s="4">
        <f>[1]节奏总纲!T66</f>
        <v>22.700068148098975</v>
      </c>
      <c r="V66" s="4">
        <f>[1]节奏总纲!V66</f>
        <v>63</v>
      </c>
      <c r="W66" s="4">
        <f>[1]节奏总纲!W66</f>
        <v>5.2765477342643976</v>
      </c>
      <c r="X66" s="4">
        <f>[1]节奏总纲!X66</f>
        <v>4.6271115362313679</v>
      </c>
      <c r="Y66" s="4">
        <f>[1]节奏总纲!Y66</f>
        <v>3.7712698283842201</v>
      </c>
      <c r="Z66" s="4">
        <f>[1]节奏总纲!Z66</f>
        <v>2.8316235049666645</v>
      </c>
      <c r="AA66" s="4">
        <f>[1]节奏总纲!AA66</f>
        <v>1.5759549762182594</v>
      </c>
      <c r="AC66" s="4">
        <f>[1]节奏总纲!AC66</f>
        <v>63</v>
      </c>
      <c r="AD66" s="4">
        <f>[1]节奏总纲!AD66</f>
        <v>60</v>
      </c>
      <c r="AE66" s="4">
        <f>[1]节奏总纲!AE66</f>
        <v>62.033937447710706</v>
      </c>
      <c r="AF66" s="4">
        <f>[1]节奏总纲!AF66</f>
        <v>64.819145630244321</v>
      </c>
      <c r="AG66" s="4">
        <f>[1]节奏总纲!AG66</f>
        <v>69.333613546893503</v>
      </c>
      <c r="AH66" s="4">
        <f>[1]节奏总纲!AH66</f>
        <v>77.841626167956619</v>
      </c>
      <c r="AL66" s="4">
        <f>[1]节奏总纲!AL66</f>
        <v>63</v>
      </c>
      <c r="AM66" s="4">
        <f>[1]节奏总纲!AM66</f>
        <v>3972.7200361130153</v>
      </c>
      <c r="AN66" s="4">
        <f>[1]节奏总纲!AN66</f>
        <v>3178.1760288904125</v>
      </c>
      <c r="AO66" s="4">
        <f>[1]节奏总纲!AO66</f>
        <v>2383.6320216678091</v>
      </c>
      <c r="AP66" s="4">
        <f>[1]节奏总纲!AP66</f>
        <v>1589.0880144452062</v>
      </c>
      <c r="AQ66" s="4">
        <f>[1]节奏总纲!AQ66</f>
        <v>794.54400722260311</v>
      </c>
      <c r="AS66" s="4">
        <f>[1]节奏总纲!AS66</f>
        <v>63</v>
      </c>
      <c r="AT66" s="4">
        <f>[1]节奏总纲!AT66</f>
        <v>541.36774050915074</v>
      </c>
      <c r="AU66" s="4">
        <f>[1]节奏总纲!AU66</f>
        <v>433.09419240732041</v>
      </c>
      <c r="AV66" s="4">
        <f>[1]节奏总纲!AV66</f>
        <v>324.82064430549053</v>
      </c>
      <c r="AW66" s="4">
        <f>[1]节奏总纲!AW66</f>
        <v>216.5470962036602</v>
      </c>
      <c r="AX66" s="4">
        <f>[1]节奏总纲!AX66</f>
        <v>108.2735481018301</v>
      </c>
      <c r="AZ66" s="4">
        <v>63</v>
      </c>
      <c r="BA66" s="4">
        <v>34.946746581842135</v>
      </c>
      <c r="BB66" s="4">
        <v>36.421117798953141</v>
      </c>
      <c r="BC66" s="4">
        <v>38.35066605767593</v>
      </c>
      <c r="BD66" s="4">
        <v>41.087476216725996</v>
      </c>
      <c r="BE66" s="4">
        <v>45.757658185390426</v>
      </c>
    </row>
    <row r="67" spans="6:57" x14ac:dyDescent="0.15">
      <c r="F67" s="4">
        <f>[1]节奏总纲!F67</f>
        <v>65</v>
      </c>
      <c r="G67" s="4">
        <f>[1]节奏总纲!G67</f>
        <v>89.509667991878061</v>
      </c>
      <c r="I67" s="4">
        <f>[1]节奏总纲!I67</f>
        <v>65</v>
      </c>
      <c r="J67" s="4">
        <f>[1]节奏总纲!J67</f>
        <v>5324.1500000000005</v>
      </c>
      <c r="K67" s="4">
        <f>[1]节奏总纲!K67</f>
        <v>1.3</v>
      </c>
      <c r="N67" s="4">
        <f>[1]节奏总纲!N67</f>
        <v>74</v>
      </c>
      <c r="O67" s="4">
        <f>[1]节奏总纲!O67</f>
        <v>64</v>
      </c>
      <c r="P67" s="4">
        <f>[1]节奏总纲!P67</f>
        <v>83.4485062894652</v>
      </c>
      <c r="Q67" s="4">
        <f>[1]节奏总纲!Q67</f>
        <v>72.399924056740005</v>
      </c>
      <c r="R67" s="4">
        <f>[1]节奏总纲!R67</f>
        <v>59.365267374325548</v>
      </c>
      <c r="S67" s="4">
        <f>[1]节奏总纲!S67</f>
        <v>43.718672445050821</v>
      </c>
      <c r="T67" s="4">
        <f>[1]节奏总纲!T67</f>
        <v>24.341929284637001</v>
      </c>
      <c r="V67" s="4">
        <f>[1]节奏总纲!V67</f>
        <v>64</v>
      </c>
      <c r="W67" s="4">
        <f>[1]节奏总纲!W67</f>
        <v>5.6552638353905849</v>
      </c>
      <c r="X67" s="4">
        <f>[1]节奏总纲!X67</f>
        <v>4.9298448763210985</v>
      </c>
      <c r="Y67" s="4">
        <f>[1]节奏总纲!Y67</f>
        <v>4.0853892864601278</v>
      </c>
      <c r="Z67" s="4">
        <f>[1]节奏总纲!Z67</f>
        <v>3.0405859658152039</v>
      </c>
      <c r="AA67" s="4">
        <f>[1]节奏总纲!AA67</f>
        <v>1.6418611365380258</v>
      </c>
      <c r="AC67" s="4">
        <f>[1]节奏总纲!AC67</f>
        <v>64</v>
      </c>
      <c r="AD67" s="4">
        <f>[1]节奏总纲!AD67</f>
        <v>60.217698846451768</v>
      </c>
      <c r="AE67" s="4">
        <f>[1]节奏总纲!AE67</f>
        <v>62.250054995811666</v>
      </c>
      <c r="AF67" s="4">
        <f>[1]节奏总纲!AF67</f>
        <v>65.042129882798193</v>
      </c>
      <c r="AG67" s="4">
        <f>[1]节奏总纲!AG67</f>
        <v>69.56138346626544</v>
      </c>
      <c r="AH67" s="4">
        <f>[1]节奏总纲!AH67</f>
        <v>78.077870469399883</v>
      </c>
      <c r="AL67" s="4">
        <f>[1]节奏总纲!AL67</f>
        <v>64</v>
      </c>
      <c r="AM67" s="4">
        <f>[1]节奏总纲!AM67</f>
        <v>4599.2048883665893</v>
      </c>
      <c r="AN67" s="4">
        <f>[1]节奏总纲!AN67</f>
        <v>3679.3639106932715</v>
      </c>
      <c r="AO67" s="4">
        <f>[1]节奏总纲!AO67</f>
        <v>2759.5229330199536</v>
      </c>
      <c r="AP67" s="4">
        <f>[1]节奏总纲!AP67</f>
        <v>1839.6819553466357</v>
      </c>
      <c r="AQ67" s="4">
        <f>[1]节奏总纲!AQ67</f>
        <v>919.84097767331787</v>
      </c>
      <c r="AS67" s="4">
        <f>[1]节奏总纲!AS67</f>
        <v>64</v>
      </c>
      <c r="AT67" s="4">
        <f>[1]节奏总纲!AT67</f>
        <v>626.48485225357399</v>
      </c>
      <c r="AU67" s="4">
        <f>[1]节奏总纲!AU67</f>
        <v>501.18788180285901</v>
      </c>
      <c r="AV67" s="4">
        <f>[1]节奏总纲!AV67</f>
        <v>375.89091135214449</v>
      </c>
      <c r="AW67" s="4">
        <f>[1]节奏总纲!AW67</f>
        <v>250.59394090142951</v>
      </c>
      <c r="AX67" s="4">
        <f>[1]节奏总纲!AX67</f>
        <v>125.29697045071475</v>
      </c>
      <c r="AZ67" s="4">
        <v>64</v>
      </c>
      <c r="BA67" s="4">
        <v>35.048795427931836</v>
      </c>
      <c r="BB67" s="4">
        <v>36.526331209747774</v>
      </c>
      <c r="BC67" s="4">
        <v>38.455050268072462</v>
      </c>
      <c r="BD67" s="4">
        <v>41.188041754455355</v>
      </c>
      <c r="BE67" s="4">
        <v>45.869242601500943</v>
      </c>
    </row>
    <row r="68" spans="6:57" x14ac:dyDescent="0.15">
      <c r="F68" s="4">
        <f>[1]节奏总纲!F68</f>
        <v>66</v>
      </c>
      <c r="G68" s="4">
        <f>[1]节奏总纲!G68</f>
        <v>96.005860256665443</v>
      </c>
      <c r="I68" s="4">
        <f>[1]节奏总纲!I68</f>
        <v>66</v>
      </c>
      <c r="J68" s="4">
        <f>[1]节奏总纲!J68</f>
        <v>6162.9846853088866</v>
      </c>
      <c r="K68" s="4">
        <f>[1]节奏总纲!K68</f>
        <v>1.31</v>
      </c>
      <c r="N68" s="4">
        <f>[1]节奏总纲!N68</f>
        <v>75</v>
      </c>
      <c r="O68" s="4">
        <f>[1]节奏总纲!O68</f>
        <v>65</v>
      </c>
      <c r="P68" s="4">
        <f>[1]节奏总纲!P68</f>
        <v>89.509667991878061</v>
      </c>
      <c r="Q68" s="4">
        <f>[1]节奏总纲!Q68</f>
        <v>77.64963698295422</v>
      </c>
      <c r="R68" s="4">
        <f>[1]节奏总纲!R68</f>
        <v>63.802491344610679</v>
      </c>
      <c r="S68" s="4">
        <f>[1]节奏总纲!S68</f>
        <v>46.929918928141667</v>
      </c>
      <c r="T68" s="4">
        <f>[1]节奏总纲!T68</f>
        <v>25.993607584841389</v>
      </c>
      <c r="V68" s="4">
        <f>[1]节奏总纲!V68</f>
        <v>65</v>
      </c>
      <c r="W68" s="4">
        <f>[1]节奏总纲!W68</f>
        <v>6.0611617024128606</v>
      </c>
      <c r="X68" s="4">
        <f>[1]节奏总纲!X68</f>
        <v>5.2497129262142153</v>
      </c>
      <c r="Y68" s="4">
        <f>[1]节奏总纲!Y68</f>
        <v>4.4372239702851317</v>
      </c>
      <c r="Z68" s="4">
        <f>[1]节奏总纲!Z68</f>
        <v>3.2112464830908465</v>
      </c>
      <c r="AA68" s="4">
        <f>[1]节奏总纲!AA68</f>
        <v>1.651678300204388</v>
      </c>
      <c r="AC68" s="4">
        <f>[1]节奏总纲!AC68</f>
        <v>65</v>
      </c>
      <c r="AD68" s="4">
        <f>[1]节奏总纲!AD68</f>
        <v>60.435397692903535</v>
      </c>
      <c r="AE68" s="4">
        <f>[1]节奏总纲!AE68</f>
        <v>62.466172543912634</v>
      </c>
      <c r="AF68" s="4">
        <f>[1]节奏总纲!AF68</f>
        <v>65.255436396961542</v>
      </c>
      <c r="AG68" s="4">
        <f>[1]节奏总纲!AG68</f>
        <v>69.789153385637391</v>
      </c>
      <c r="AH68" s="4">
        <f>[1]节奏总纲!AH68</f>
        <v>78.301575047908599</v>
      </c>
      <c r="AL68" s="4">
        <f>[1]节奏总纲!AL68</f>
        <v>65</v>
      </c>
      <c r="AM68" s="4">
        <f>[1]节奏总纲!AM68</f>
        <v>5324.1500000000005</v>
      </c>
      <c r="AN68" s="4">
        <f>[1]节奏总纲!AN68</f>
        <v>4259.3200000000006</v>
      </c>
      <c r="AO68" s="4">
        <f>[1]节奏总纲!AO68</f>
        <v>3194.4900000000002</v>
      </c>
      <c r="AP68" s="4">
        <f>[1]节奏总纲!AP68</f>
        <v>2129.6600000000003</v>
      </c>
      <c r="AQ68" s="4">
        <f>[1]节奏总纲!AQ68</f>
        <v>1064.8300000000002</v>
      </c>
      <c r="AS68" s="4">
        <f>[1]节奏总纲!AS68</f>
        <v>65</v>
      </c>
      <c r="AT68" s="4">
        <f>[1]节奏总纲!AT68</f>
        <v>724.94511163341122</v>
      </c>
      <c r="AU68" s="4">
        <f>[1]节奏总纲!AU68</f>
        <v>579.95608930672915</v>
      </c>
      <c r="AV68" s="4">
        <f>[1]节奏总纲!AV68</f>
        <v>434.96706698004664</v>
      </c>
      <c r="AW68" s="4">
        <f>[1]节奏总纲!AW68</f>
        <v>289.97804465336458</v>
      </c>
      <c r="AX68" s="4">
        <f>[1]节奏总纲!AX68</f>
        <v>144.98902232668229</v>
      </c>
      <c r="AZ68" s="4">
        <v>65</v>
      </c>
      <c r="BA68" s="4">
        <v>35.146386283795508</v>
      </c>
      <c r="BB68" s="4">
        <v>36.631544620542407</v>
      </c>
      <c r="BC68" s="4">
        <v>38.559434478468994</v>
      </c>
      <c r="BD68" s="4">
        <v>41.288607292184714</v>
      </c>
      <c r="BE68" s="4">
        <v>45.98082701761146</v>
      </c>
    </row>
    <row r="69" spans="6:57" x14ac:dyDescent="0.15">
      <c r="F69" s="4">
        <f>[1]节奏总纲!F69</f>
        <v>67</v>
      </c>
      <c r="G69" s="4">
        <f>[1]节奏总纲!G69</f>
        <v>102.96830673359811</v>
      </c>
      <c r="I69" s="4">
        <f>[1]节奏总纲!I69</f>
        <v>67</v>
      </c>
      <c r="J69" s="4">
        <f>[1]节奏总纲!J69</f>
        <v>7133.5498113340191</v>
      </c>
      <c r="K69" s="4">
        <f>[1]节奏总纲!K69</f>
        <v>1.32</v>
      </c>
      <c r="N69" s="4">
        <f>[1]节奏总纲!N69</f>
        <v>76</v>
      </c>
      <c r="O69" s="4">
        <f>[1]节奏总纲!O69</f>
        <v>66</v>
      </c>
      <c r="P69" s="4">
        <f>[1]节奏总纲!P69</f>
        <v>96.005860256665443</v>
      </c>
      <c r="Q69" s="4">
        <f>[1]节奏总纲!Q69</f>
        <v>83.352287874836932</v>
      </c>
      <c r="R69" s="4">
        <f>[1]节奏总纲!R69</f>
        <v>68.490580707105124</v>
      </c>
      <c r="S69" s="4">
        <f>[1]节奏总纲!S69</f>
        <v>50.163061984107692</v>
      </c>
      <c r="T69" s="4">
        <f>[1]节奏总纲!T69</f>
        <v>27.851300060458648</v>
      </c>
      <c r="V69" s="4">
        <f>[1]节奏总纲!V69</f>
        <v>66</v>
      </c>
      <c r="W69" s="4">
        <f>[1]节奏总纲!W69</f>
        <v>6.496192264787382</v>
      </c>
      <c r="X69" s="4">
        <f>[1]节奏总纲!X69</f>
        <v>5.7026508918827119</v>
      </c>
      <c r="Y69" s="4">
        <f>[1]节奏总纲!Y69</f>
        <v>4.6880893624944449</v>
      </c>
      <c r="Z69" s="4">
        <f>[1]节奏总纲!Z69</f>
        <v>3.2331430559660248</v>
      </c>
      <c r="AA69" s="4">
        <f>[1]节奏总纲!AA69</f>
        <v>1.8576924756172595</v>
      </c>
      <c r="AC69" s="4">
        <f>[1]节奏总纲!AC69</f>
        <v>66</v>
      </c>
      <c r="AD69" s="4">
        <f>[1]节奏总纲!AD69</f>
        <v>60.653096539355303</v>
      </c>
      <c r="AE69" s="4">
        <f>[1]节奏总纲!AE69</f>
        <v>62.682290092013595</v>
      </c>
      <c r="AF69" s="4">
        <f>[1]节奏总纲!AF69</f>
        <v>65.468742911124906</v>
      </c>
      <c r="AG69" s="4">
        <f>[1]节奏总纲!AG69</f>
        <v>70.015851474333999</v>
      </c>
      <c r="AH69" s="4">
        <f>[1]节奏总纲!AH69</f>
        <v>78.525279626417301</v>
      </c>
      <c r="AL69" s="4">
        <f>[1]节奏总纲!AL69</f>
        <v>66</v>
      </c>
      <c r="AM69" s="4">
        <f>[1]节奏总纲!AM69</f>
        <v>6162.9846853088866</v>
      </c>
      <c r="AN69" s="4">
        <f>[1]节奏总纲!AN69</f>
        <v>4930.3877482471098</v>
      </c>
      <c r="AO69" s="4">
        <f>[1]节奏总纲!AO69</f>
        <v>3697.7908111853317</v>
      </c>
      <c r="AP69" s="4">
        <f>[1]节奏总纲!AP69</f>
        <v>2465.1938741235549</v>
      </c>
      <c r="AQ69" s="4">
        <f>[1]节奏总纲!AQ69</f>
        <v>1232.5969370617775</v>
      </c>
      <c r="AS69" s="4">
        <f>[1]节奏总纲!AS69</f>
        <v>66</v>
      </c>
      <c r="AT69" s="4">
        <f>[1]节奏总纲!AT69</f>
        <v>838.83468530888604</v>
      </c>
      <c r="AU69" s="4">
        <f>[1]节奏总纲!AU69</f>
        <v>671.06774824710919</v>
      </c>
      <c r="AV69" s="4">
        <f>[1]节奏总纲!AV69</f>
        <v>503.30081118533144</v>
      </c>
      <c r="AW69" s="4">
        <f>[1]节奏总纲!AW69</f>
        <v>335.5338741235546</v>
      </c>
      <c r="AX69" s="4">
        <f>[1]节奏总纲!AX69</f>
        <v>167.7669370617773</v>
      </c>
      <c r="AZ69" s="4">
        <v>66</v>
      </c>
      <c r="BA69" s="4">
        <v>35.243977139659179</v>
      </c>
      <c r="BB69" s="4">
        <v>36.73675803133704</v>
      </c>
      <c r="BC69" s="4">
        <v>38.663818688865533</v>
      </c>
      <c r="BD69" s="4">
        <v>41.389172829914081</v>
      </c>
      <c r="BE69" s="4">
        <v>46.079770001861057</v>
      </c>
    </row>
    <row r="70" spans="6:57" x14ac:dyDescent="0.15">
      <c r="F70" s="4">
        <f>[1]节奏总纲!F70</f>
        <v>68</v>
      </c>
      <c r="G70" s="4">
        <f>[1]节奏总纲!G70</f>
        <v>110.43047210190386</v>
      </c>
      <c r="I70" s="4">
        <f>[1]节奏总纲!I70</f>
        <v>68</v>
      </c>
      <c r="J70" s="4">
        <f>[1]节奏总纲!J70</f>
        <v>8256.4738250473602</v>
      </c>
      <c r="K70" s="4">
        <f>[1]节奏总纲!K70</f>
        <v>1.33</v>
      </c>
      <c r="N70" s="4">
        <f>[1]节奏总纲!N70</f>
        <v>77</v>
      </c>
      <c r="O70" s="4">
        <f>[1]节奏总纲!O70</f>
        <v>67</v>
      </c>
      <c r="P70" s="4">
        <f>[1]节奏总纲!P70</f>
        <v>102.96830673359811</v>
      </c>
      <c r="Q70" s="4">
        <f>[1]节奏总纲!Q70</f>
        <v>89.469161720823394</v>
      </c>
      <c r="R70" s="4">
        <f>[1]节奏总纲!R70</f>
        <v>73.292840732975137</v>
      </c>
      <c r="S70" s="4">
        <f>[1]节奏总纲!S70</f>
        <v>53.625894146857902</v>
      </c>
      <c r="T70" s="4">
        <f>[1]节奏总纲!T70</f>
        <v>29.799027968703292</v>
      </c>
      <c r="V70" s="4">
        <f>[1]节奏总纲!V70</f>
        <v>67</v>
      </c>
      <c r="W70" s="4">
        <f>[1]节奏总纲!W70</f>
        <v>6.9624464769326693</v>
      </c>
      <c r="X70" s="4">
        <f>[1]节奏总纲!X70</f>
        <v>6.1168738459864613</v>
      </c>
      <c r="Y70" s="4">
        <f>[1]节奏总纲!Y70</f>
        <v>4.8022600258700123</v>
      </c>
      <c r="Z70" s="4">
        <f>[1]节奏总纲!Z70</f>
        <v>3.4628321627502103</v>
      </c>
      <c r="AA70" s="4">
        <f>[1]节奏总纲!AA70</f>
        <v>1.9477279082446444</v>
      </c>
      <c r="AC70" s="4">
        <f>[1]节奏总纲!AC70</f>
        <v>67</v>
      </c>
      <c r="AD70" s="4">
        <f>[1]节奏总纲!AD70</f>
        <v>60.870795385807064</v>
      </c>
      <c r="AE70" s="4">
        <f>[1]节奏总纲!AE70</f>
        <v>62.898407640114556</v>
      </c>
      <c r="AF70" s="4">
        <f>[1]节奏总纲!AF70</f>
        <v>65.682049425288255</v>
      </c>
      <c r="AG70" s="4">
        <f>[1]节奏总纲!AG70</f>
        <v>70.229195678021767</v>
      </c>
      <c r="AH70" s="4">
        <f>[1]节奏总纲!AH70</f>
        <v>78.748984204926018</v>
      </c>
      <c r="AL70" s="4">
        <f>[1]节奏总纲!AL70</f>
        <v>67</v>
      </c>
      <c r="AM70" s="4">
        <f>[1]节奏总纲!AM70</f>
        <v>7133.5498113340191</v>
      </c>
      <c r="AN70" s="4">
        <f>[1]节奏总纲!AN70</f>
        <v>5706.8398490672153</v>
      </c>
      <c r="AO70" s="4">
        <f>[1]节奏总纲!AO70</f>
        <v>4280.1298868004114</v>
      </c>
      <c r="AP70" s="4">
        <f>[1]节奏总纲!AP70</f>
        <v>2853.4199245336076</v>
      </c>
      <c r="AQ70" s="4">
        <f>[1]节奏总纲!AQ70</f>
        <v>1426.7099622668038</v>
      </c>
      <c r="AS70" s="4">
        <f>[1]节奏总纲!AS70</f>
        <v>67</v>
      </c>
      <c r="AT70" s="4">
        <f>[1]节奏总纲!AT70</f>
        <v>970.56512602513249</v>
      </c>
      <c r="AU70" s="4">
        <f>[1]节奏总纲!AU70</f>
        <v>776.45210082010544</v>
      </c>
      <c r="AV70" s="4">
        <f>[1]节奏总纲!AV70</f>
        <v>582.33907561507976</v>
      </c>
      <c r="AW70" s="4">
        <f>[1]节奏总纲!AW70</f>
        <v>388.22605041005272</v>
      </c>
      <c r="AX70" s="4">
        <f>[1]节奏总纲!AX70</f>
        <v>194.11302520502636</v>
      </c>
      <c r="AZ70" s="4">
        <v>67</v>
      </c>
      <c r="BA70" s="4">
        <v>35.341567995522851</v>
      </c>
      <c r="BB70" s="4">
        <v>36.841971442131673</v>
      </c>
      <c r="BC70" s="4">
        <v>38.768202899262064</v>
      </c>
      <c r="BD70" s="4">
        <v>41.48973836764344</v>
      </c>
      <c r="BE70" s="4">
        <v>46.176090215954694</v>
      </c>
    </row>
    <row r="71" spans="6:57" x14ac:dyDescent="0.15">
      <c r="F71" s="4">
        <f>[1]节奏总纲!F71</f>
        <v>69</v>
      </c>
      <c r="G71" s="4">
        <f>[1]节奏总纲!G71</f>
        <v>118.42822291671132</v>
      </c>
      <c r="I71" s="4">
        <f>[1]节奏总纲!I71</f>
        <v>69</v>
      </c>
      <c r="J71" s="4">
        <f>[1]节奏总纲!J71</f>
        <v>9555.6072874592737</v>
      </c>
      <c r="K71" s="4">
        <f>[1]节奏总纲!K71</f>
        <v>1.34</v>
      </c>
      <c r="N71" s="4">
        <f>[1]节奏总纲!N71</f>
        <v>78</v>
      </c>
      <c r="O71" s="4">
        <f>[1]节奏总纲!O71</f>
        <v>68</v>
      </c>
      <c r="P71" s="4">
        <f>[1]节奏总纲!P71</f>
        <v>110.43047210190386</v>
      </c>
      <c r="Q71" s="4">
        <f>[1]节奏总纲!Q71</f>
        <v>95.831563690032169</v>
      </c>
      <c r="R71" s="4">
        <f>[1]节奏总纲!R71</f>
        <v>78.251032531409081</v>
      </c>
      <c r="S71" s="4">
        <f>[1]节奏总纲!S71</f>
        <v>57.412802445779818</v>
      </c>
      <c r="T71" s="4">
        <f>[1]节奏总纲!T71</f>
        <v>31.859191201399263</v>
      </c>
      <c r="V71" s="4">
        <f>[1]节奏总纲!V71</f>
        <v>68</v>
      </c>
      <c r="W71" s="4">
        <f>[1]节奏总纲!W71</f>
        <v>7.4621653683057474</v>
      </c>
      <c r="X71" s="4">
        <f>[1]节奏总纲!X71</f>
        <v>6.3624019692087757</v>
      </c>
      <c r="Y71" s="4">
        <f>[1]节奏总纲!Y71</f>
        <v>4.9581917984339441</v>
      </c>
      <c r="Z71" s="4">
        <f>[1]节奏总纲!Z71</f>
        <v>3.7869082989219152</v>
      </c>
      <c r="AA71" s="4">
        <f>[1]节奏总纲!AA71</f>
        <v>2.0601632326959702</v>
      </c>
      <c r="AC71" s="4">
        <f>[1]节奏总纲!AC71</f>
        <v>68</v>
      </c>
      <c r="AD71" s="4">
        <f>[1]节奏总纲!AD71</f>
        <v>61.082568038258209</v>
      </c>
      <c r="AE71" s="4">
        <f>[1]节奏总纲!AE71</f>
        <v>63.107492392331935</v>
      </c>
      <c r="AF71" s="4">
        <f>[1]节奏总纲!AF71</f>
        <v>65.895355939451605</v>
      </c>
      <c r="AG71" s="4">
        <f>[1]节奏总纲!AG71</f>
        <v>70.442539881709536</v>
      </c>
      <c r="AH71" s="4">
        <f>[1]节奏总纲!AH71</f>
        <v>78.972688783434734</v>
      </c>
      <c r="AL71" s="4">
        <f>[1]节奏总纲!AL71</f>
        <v>68</v>
      </c>
      <c r="AM71" s="4">
        <f>[1]节奏总纲!AM71</f>
        <v>8256.4738250473602</v>
      </c>
      <c r="AN71" s="4">
        <f>[1]节奏总纲!AN71</f>
        <v>6605.1790600378881</v>
      </c>
      <c r="AO71" s="4">
        <f>[1]节奏总纲!AO71</f>
        <v>4953.8842950284161</v>
      </c>
      <c r="AP71" s="4">
        <f>[1]节奏总纲!AP71</f>
        <v>3302.5895300189441</v>
      </c>
      <c r="AQ71" s="4">
        <f>[1]节奏总纲!AQ71</f>
        <v>1651.294765009472</v>
      </c>
      <c r="AS71" s="4">
        <f>[1]节奏总纲!AS71</f>
        <v>68</v>
      </c>
      <c r="AT71" s="4">
        <f>[1]节奏总纲!AT71</f>
        <v>1122.9240137133411</v>
      </c>
      <c r="AU71" s="4">
        <f>[1]节奏总纲!AU71</f>
        <v>898.33921097067287</v>
      </c>
      <c r="AV71" s="4">
        <f>[1]节奏总纲!AV71</f>
        <v>673.75440822800465</v>
      </c>
      <c r="AW71" s="4">
        <f>[1]节奏总纲!AW71</f>
        <v>449.16960548533643</v>
      </c>
      <c r="AX71" s="4">
        <f>[1]节奏总纲!AX71</f>
        <v>224.58480274266822</v>
      </c>
      <c r="AZ71" s="4">
        <v>68</v>
      </c>
      <c r="BA71" s="4">
        <v>35.439158851386523</v>
      </c>
      <c r="BB71" s="4">
        <v>36.947184852926306</v>
      </c>
      <c r="BC71" s="4">
        <v>38.872587109658596</v>
      </c>
      <c r="BD71" s="4">
        <v>41.590303905372799</v>
      </c>
      <c r="BE71" s="4">
        <v>46.272410430048332</v>
      </c>
    </row>
    <row r="72" spans="6:57" x14ac:dyDescent="0.15">
      <c r="F72" s="4">
        <f>[1]节奏总纲!F72</f>
        <v>70</v>
      </c>
      <c r="G72" s="4">
        <f>[1]节奏总纲!G72</f>
        <v>127</v>
      </c>
      <c r="I72" s="4">
        <f>[1]节奏总纲!I72</f>
        <v>70</v>
      </c>
      <c r="J72" s="4">
        <f>[1]节奏总纲!J72</f>
        <v>11058.525000000001</v>
      </c>
      <c r="K72" s="4">
        <f>[1]节奏总纲!K72</f>
        <v>1.35</v>
      </c>
      <c r="N72" s="4">
        <f>[1]节奏总纲!N72</f>
        <v>79</v>
      </c>
      <c r="O72" s="4">
        <f>[1]节奏总纲!O72</f>
        <v>69</v>
      </c>
      <c r="P72" s="4">
        <f>[1]节奏总纲!P72</f>
        <v>118.42822291671132</v>
      </c>
      <c r="Q72" s="4">
        <f>[1]节奏总纲!Q72</f>
        <v>102.51146975670532</v>
      </c>
      <c r="R72" s="4">
        <f>[1]节奏总纲!R72</f>
        <v>83.894553114198303</v>
      </c>
      <c r="S72" s="4">
        <f>[1]节奏总纲!S72</f>
        <v>61.535304627523196</v>
      </c>
      <c r="T72" s="4">
        <f>[1]节奏总纲!T72</f>
        <v>34.059956910846175</v>
      </c>
      <c r="V72" s="4">
        <f>[1]节奏总纲!V72</f>
        <v>69</v>
      </c>
      <c r="W72" s="4">
        <f>[1]节奏总纲!W72</f>
        <v>7.9977508148074605</v>
      </c>
      <c r="X72" s="4">
        <f>[1]节奏总纲!X72</f>
        <v>6.6799060666731549</v>
      </c>
      <c r="Y72" s="4">
        <f>[1]节奏总纲!Y72</f>
        <v>5.6435205827892219</v>
      </c>
      <c r="Z72" s="4">
        <f>[1]节奏总纲!Z72</f>
        <v>4.1225021817433785</v>
      </c>
      <c r="AA72" s="4">
        <f>[1]节奏总纲!AA72</f>
        <v>2.2007657094469124</v>
      </c>
      <c r="AC72" s="4">
        <f>[1]节奏总纲!AC72</f>
        <v>69</v>
      </c>
      <c r="AD72" s="4">
        <f>[1]节奏总纲!AD72</f>
        <v>61.285688244217212</v>
      </c>
      <c r="AE72" s="4">
        <f>[1]节奏总纲!AE72</f>
        <v>63.310338531528565</v>
      </c>
      <c r="AF72" s="4">
        <f>[1]节奏总纲!AF72</f>
        <v>66.106079073217742</v>
      </c>
      <c r="AG72" s="4">
        <f>[1]节奏总纲!AG72</f>
        <v>70.655884085397304</v>
      </c>
      <c r="AH72" s="4">
        <f>[1]节奏总纲!AH72</f>
        <v>79.188599387584361</v>
      </c>
      <c r="AL72" s="4">
        <f>[1]节奏总纲!AL72</f>
        <v>69</v>
      </c>
      <c r="AM72" s="4">
        <f>[1]节奏总纲!AM72</f>
        <v>9555.6072874592737</v>
      </c>
      <c r="AN72" s="4">
        <f>[1]节奏总纲!AN72</f>
        <v>7644.4858299674197</v>
      </c>
      <c r="AO72" s="4">
        <f>[1]节奏总纲!AO72</f>
        <v>5733.3643724755639</v>
      </c>
      <c r="AP72" s="4">
        <f>[1]节奏总纲!AP72</f>
        <v>3822.2429149837099</v>
      </c>
      <c r="AQ72" s="4">
        <f>[1]节奏总纲!AQ72</f>
        <v>1911.1214574918549</v>
      </c>
      <c r="AS72" s="4">
        <f>[1]节奏总纲!AS72</f>
        <v>69</v>
      </c>
      <c r="AT72" s="4">
        <f>[1]节奏总纲!AT72</f>
        <v>1299.1334624119136</v>
      </c>
      <c r="AU72" s="4">
        <f>[1]节奏总纲!AU72</f>
        <v>1039.3067699295316</v>
      </c>
      <c r="AV72" s="4">
        <f>[1]节奏总纲!AV72</f>
        <v>779.48007744714778</v>
      </c>
      <c r="AW72" s="4">
        <f>[1]节奏总纲!AW72</f>
        <v>519.65338496476579</v>
      </c>
      <c r="AX72" s="4">
        <f>[1]节奏总纲!AX72</f>
        <v>259.8266924823829</v>
      </c>
      <c r="AZ72" s="4">
        <v>69</v>
      </c>
      <c r="BA72" s="4">
        <v>35.536749707250202</v>
      </c>
      <c r="BB72" s="4">
        <v>37.045197000674086</v>
      </c>
      <c r="BC72" s="4">
        <v>38.976971320055128</v>
      </c>
      <c r="BD72" s="4">
        <v>41.690869443102159</v>
      </c>
      <c r="BE72" s="4">
        <v>46.368730644141969</v>
      </c>
    </row>
    <row r="73" spans="6:57" x14ac:dyDescent="0.15">
      <c r="F73" s="4">
        <f>[1]节奏总纲!F73</f>
        <v>71</v>
      </c>
      <c r="G73" s="4">
        <f>[1]节奏总纲!G73</f>
        <v>136.18700320464549</v>
      </c>
      <c r="I73" s="4">
        <f>[1]节奏总纲!I73</f>
        <v>71</v>
      </c>
      <c r="J73" s="4">
        <f>[1]节奏总纲!J73</f>
        <v>12797.106216824561</v>
      </c>
      <c r="K73" s="4">
        <f>[1]节奏总纲!K73</f>
        <v>1.36</v>
      </c>
      <c r="N73" s="4">
        <f>[1]节奏总纲!N73</f>
        <v>80</v>
      </c>
      <c r="O73" s="4">
        <f>[1]节奏总纲!O73</f>
        <v>70</v>
      </c>
      <c r="P73" s="4">
        <f>[1]节奏总纲!P73</f>
        <v>127</v>
      </c>
      <c r="Q73" s="4">
        <f>[1]节奏总纲!Q73</f>
        <v>109.9693</v>
      </c>
      <c r="R73" s="4">
        <f>[1]节奏总纲!R73</f>
        <v>90.106499999999997</v>
      </c>
      <c r="S73" s="4">
        <f>[1]节奏总纲!S73</f>
        <v>65.925700000000006</v>
      </c>
      <c r="T73" s="4">
        <f>[1]节奏总纲!T73</f>
        <v>36.4998</v>
      </c>
      <c r="V73" s="4">
        <f>[1]节奏总纲!V73</f>
        <v>70</v>
      </c>
      <c r="W73" s="4">
        <f>[1]节奏总纲!W73</f>
        <v>8.5717770832886799</v>
      </c>
      <c r="X73" s="4">
        <f>[1]节奏总纲!X73</f>
        <v>7.4578302432946799</v>
      </c>
      <c r="Y73" s="4">
        <f>[1]节奏总纲!Y73</f>
        <v>6.2119468858016944</v>
      </c>
      <c r="Z73" s="4">
        <f>[1]节奏总纲!Z73</f>
        <v>4.3903953724768101</v>
      </c>
      <c r="AA73" s="4">
        <f>[1]节奏总纲!AA73</f>
        <v>2.4398430891538254</v>
      </c>
      <c r="AC73" s="4">
        <f>[1]节奏总纲!AC73</f>
        <v>70</v>
      </c>
      <c r="AD73" s="4">
        <f>[1]节奏总纲!AD73</f>
        <v>61.488808450176215</v>
      </c>
      <c r="AE73" s="4">
        <f>[1]节奏总纲!AE73</f>
        <v>63.513184670725188</v>
      </c>
      <c r="AF73" s="4">
        <f>[1]节奏总纲!AF73</f>
        <v>66.314314361313961</v>
      </c>
      <c r="AG73" s="4">
        <f>[1]节奏总纲!AG73</f>
        <v>70.869228289085072</v>
      </c>
      <c r="AH73" s="4">
        <f>[1]节奏总纲!AH73</f>
        <v>79.403426131671111</v>
      </c>
      <c r="AL73" s="4">
        <f>[1]节奏总纲!AL73</f>
        <v>70</v>
      </c>
      <c r="AM73" s="4">
        <f>[1]节奏总纲!AM73</f>
        <v>11058.525000000001</v>
      </c>
      <c r="AN73" s="4">
        <f>[1]节奏总纲!AN73</f>
        <v>8846.8200000000015</v>
      </c>
      <c r="AO73" s="4">
        <f>[1]节奏总纲!AO73</f>
        <v>6635.1150000000007</v>
      </c>
      <c r="AP73" s="4">
        <f>[1]节奏总纲!AP73</f>
        <v>4423.4100000000008</v>
      </c>
      <c r="AQ73" s="4">
        <f>[1]节奏总纲!AQ73</f>
        <v>2211.7050000000004</v>
      </c>
      <c r="AS73" s="4">
        <f>[1]节奏总纲!AS73</f>
        <v>70</v>
      </c>
      <c r="AT73" s="4">
        <f>[1]节奏总纲!AT73</f>
        <v>1502.9177125407277</v>
      </c>
      <c r="AU73" s="4">
        <f>[1]节奏总纲!AU73</f>
        <v>1202.3341700325818</v>
      </c>
      <c r="AV73" s="4">
        <f>[1]节奏总纲!AV73</f>
        <v>901.75062752443682</v>
      </c>
      <c r="AW73" s="4">
        <f>[1]节奏总纲!AW73</f>
        <v>601.16708501629091</v>
      </c>
      <c r="AX73" s="4">
        <f>[1]节奏总纲!AX73</f>
        <v>300.58354250814546</v>
      </c>
      <c r="AZ73" s="4">
        <v>70</v>
      </c>
      <c r="BA73" s="4">
        <v>35.634340563113874</v>
      </c>
      <c r="BB73" s="4">
        <v>37.135950591746003</v>
      </c>
      <c r="BC73" s="4">
        <v>39.070187171981765</v>
      </c>
      <c r="BD73" s="4">
        <v>41.791434980831518</v>
      </c>
      <c r="BE73" s="4">
        <v>46.465050858235607</v>
      </c>
    </row>
    <row r="74" spans="6:57" x14ac:dyDescent="0.15">
      <c r="F74" s="4">
        <f>[1]节奏总纲!F74</f>
        <v>72</v>
      </c>
      <c r="G74" s="4">
        <f>[1]节奏总纲!G74</f>
        <v>146.03338943962044</v>
      </c>
      <c r="I74" s="4">
        <f>[1]节奏总纲!I74</f>
        <v>72</v>
      </c>
      <c r="J74" s="4">
        <f>[1]节奏总纲!J74</f>
        <v>14808.205062920617</v>
      </c>
      <c r="K74" s="4">
        <f>[1]节奏总纲!K74</f>
        <v>1.37</v>
      </c>
      <c r="N74" s="4">
        <f>[1]节奏总纲!N74</f>
        <v>81</v>
      </c>
      <c r="O74" s="4">
        <f>[1]节奏总纲!O74</f>
        <v>71</v>
      </c>
      <c r="P74" s="4">
        <f>[1]节奏总纲!P74</f>
        <v>136.18700320464549</v>
      </c>
      <c r="Q74" s="4">
        <f>[1]节奏总纲!Q74</f>
        <v>118.03327567746625</v>
      </c>
      <c r="R74" s="4">
        <f>[1]节奏总纲!R74</f>
        <v>96.583822672734584</v>
      </c>
      <c r="S74" s="4">
        <f>[1]节奏总纲!S74</f>
        <v>70.612961161608681</v>
      </c>
      <c r="T74" s="4">
        <f>[1]节奏总纲!T74</f>
        <v>39.126526020694648</v>
      </c>
      <c r="V74" s="4">
        <f>[1]节奏总纲!V74</f>
        <v>71</v>
      </c>
      <c r="W74" s="4">
        <f>[1]节奏总纲!W74</f>
        <v>9.1870032046454924</v>
      </c>
      <c r="X74" s="4">
        <f>[1]节奏总纲!X74</f>
        <v>8.0639756774662459</v>
      </c>
      <c r="Y74" s="4">
        <f>[1]节奏总纲!Y74</f>
        <v>6.4773226727345872</v>
      </c>
      <c r="Z74" s="4">
        <f>[1]节奏总纲!Z74</f>
        <v>4.6872611616086743</v>
      </c>
      <c r="AA74" s="4">
        <f>[1]节奏总纲!AA74</f>
        <v>2.6267260206946474</v>
      </c>
      <c r="AC74" s="4">
        <f>[1]节奏总纲!AC74</f>
        <v>71</v>
      </c>
      <c r="AD74" s="4">
        <f>[1]节奏总纲!AD74</f>
        <v>61.691928656135218</v>
      </c>
      <c r="AE74" s="4">
        <f>[1]节奏总纲!AE74</f>
        <v>63.716030809921811</v>
      </c>
      <c r="AF74" s="4">
        <f>[1]节奏总纲!AF74</f>
        <v>66.52254964941018</v>
      </c>
      <c r="AG74" s="4">
        <f>[1]节奏总纲!AG74</f>
        <v>71.07781362467729</v>
      </c>
      <c r="AH74" s="4">
        <f>[1]节奏总纲!AH74</f>
        <v>79.618252875757847</v>
      </c>
      <c r="AL74" s="4">
        <f>[1]节奏总纲!AL74</f>
        <v>71</v>
      </c>
      <c r="AM74" s="4">
        <f>[1]节奏总纲!AM74</f>
        <v>12797.106216824561</v>
      </c>
      <c r="AN74" s="4">
        <f>[1]节奏总纲!AN74</f>
        <v>10237.684973459649</v>
      </c>
      <c r="AO74" s="4">
        <f>[1]节奏总纲!AO74</f>
        <v>7678.2637300947363</v>
      </c>
      <c r="AP74" s="4">
        <f>[1]节奏总纲!AP74</f>
        <v>5118.8424867298245</v>
      </c>
      <c r="AQ74" s="4">
        <f>[1]节奏总纲!AQ74</f>
        <v>2559.4212433649122</v>
      </c>
      <c r="AS74" s="4">
        <f>[1]节奏总纲!AS74</f>
        <v>71</v>
      </c>
      <c r="AT74" s="4">
        <f>[1]节奏总纲!AT74</f>
        <v>1738.5812168245593</v>
      </c>
      <c r="AU74" s="4">
        <f>[1]节奏总纲!AU74</f>
        <v>1390.8649734596474</v>
      </c>
      <c r="AV74" s="4">
        <f>[1]节奏总纲!AV74</f>
        <v>1043.1487300947356</v>
      </c>
      <c r="AW74" s="4">
        <f>[1]节奏总纲!AW74</f>
        <v>695.43248672982372</v>
      </c>
      <c r="AX74" s="4">
        <f>[1]节奏总纲!AX74</f>
        <v>347.71624336491186</v>
      </c>
      <c r="AZ74" s="4">
        <v>71</v>
      </c>
      <c r="BA74" s="4">
        <v>35.731931418977545</v>
      </c>
      <c r="BB74" s="4">
        <v>37.226704182817912</v>
      </c>
      <c r="BC74" s="4">
        <v>39.160241683169971</v>
      </c>
      <c r="BD74" s="4">
        <v>41.892000518560877</v>
      </c>
      <c r="BE74" s="4">
        <v>46.561371072329244</v>
      </c>
    </row>
    <row r="75" spans="6:57" x14ac:dyDescent="0.15">
      <c r="F75" s="4">
        <f>[1]节奏总纲!F75</f>
        <v>73</v>
      </c>
      <c r="G75" s="4">
        <f>[1]节奏总纲!G75</f>
        <v>156.58648490814926</v>
      </c>
      <c r="I75" s="4">
        <f>[1]节奏总纲!I75</f>
        <v>73</v>
      </c>
      <c r="J75" s="4">
        <f>[1]节奏总纲!J75</f>
        <v>17134.425155737379</v>
      </c>
      <c r="K75" s="4">
        <f>[1]节奏总纲!K75</f>
        <v>1.38</v>
      </c>
      <c r="N75" s="4">
        <f>[1]节奏总纲!N75</f>
        <v>82</v>
      </c>
      <c r="O75" s="4">
        <f>[1]节奏总纲!O75</f>
        <v>72</v>
      </c>
      <c r="P75" s="4">
        <f>[1]节奏总纲!P75</f>
        <v>146.03338943962044</v>
      </c>
      <c r="Q75" s="4">
        <f>[1]节奏总纲!Q75</f>
        <v>126.581741966263</v>
      </c>
      <c r="R75" s="4">
        <f>[1]节奏总纲!R75</f>
        <v>103.31862302853146</v>
      </c>
      <c r="S75" s="4">
        <f>[1]节奏总纲!S75</f>
        <v>75.586882373947532</v>
      </c>
      <c r="T75" s="4">
        <f>[1]节奏总纲!T75</f>
        <v>41.896979430227098</v>
      </c>
      <c r="V75" s="4">
        <f>[1]节奏总纲!V75</f>
        <v>72</v>
      </c>
      <c r="W75" s="4">
        <f>[1]节奏总纲!W75</f>
        <v>9.8463862349749434</v>
      </c>
      <c r="X75" s="4">
        <f>[1]节奏总纲!X75</f>
        <v>8.548466288796746</v>
      </c>
      <c r="Y75" s="4">
        <f>[1]节奏总纲!Y75</f>
        <v>6.7348003557968781</v>
      </c>
      <c r="Z75" s="4">
        <f>[1]节奏总纲!Z75</f>
        <v>4.9739212123388512</v>
      </c>
      <c r="AA75" s="4">
        <f>[1]节奏总纲!AA75</f>
        <v>2.7704534095324505</v>
      </c>
      <c r="AC75" s="4">
        <f>[1]节奏总纲!AC75</f>
        <v>72</v>
      </c>
      <c r="AD75" s="4">
        <f>[1]节奏总纲!AD75</f>
        <v>61.895048862094221</v>
      </c>
      <c r="AE75" s="4">
        <f>[1]节奏总纲!AE75</f>
        <v>63.918876949118435</v>
      </c>
      <c r="AF75" s="4">
        <f>[1]节奏总纲!AF75</f>
        <v>66.7307849375064</v>
      </c>
      <c r="AG75" s="4">
        <f>[1]节奏总纲!AG75</f>
        <v>71.278862245535876</v>
      </c>
      <c r="AH75" s="4">
        <f>[1]节奏总纲!AH75</f>
        <v>79.833079619844597</v>
      </c>
      <c r="AL75" s="4">
        <f>[1]节奏总纲!AL75</f>
        <v>72</v>
      </c>
      <c r="AM75" s="4">
        <f>[1]节奏总纲!AM75</f>
        <v>14808.205062920617</v>
      </c>
      <c r="AN75" s="4">
        <f>[1]节奏总纲!AN75</f>
        <v>11846.564050336494</v>
      </c>
      <c r="AO75" s="4">
        <f>[1]节奏总纲!AO75</f>
        <v>8884.9230377523691</v>
      </c>
      <c r="AP75" s="4">
        <f>[1]节奏总纲!AP75</f>
        <v>5923.2820251682469</v>
      </c>
      <c r="AQ75" s="4">
        <f>[1]节奏总纲!AQ75</f>
        <v>2961.6410125841235</v>
      </c>
      <c r="AS75" s="4">
        <f>[1]节奏总纲!AS75</f>
        <v>72</v>
      </c>
      <c r="AT75" s="4">
        <f>[1]节奏总纲!AT75</f>
        <v>2011.0988460960561</v>
      </c>
      <c r="AU75" s="4">
        <f>[1]节奏总纲!AU75</f>
        <v>1608.8790768768449</v>
      </c>
      <c r="AV75" s="4">
        <f>[1]节奏总纲!AV75</f>
        <v>1206.6593076576328</v>
      </c>
      <c r="AW75" s="4">
        <f>[1]节奏总纲!AW75</f>
        <v>804.43953843842246</v>
      </c>
      <c r="AX75" s="4">
        <f>[1]节奏总纲!AX75</f>
        <v>402.21976921921123</v>
      </c>
      <c r="AZ75" s="4">
        <v>72</v>
      </c>
      <c r="BA75" s="4">
        <v>35.829522274841217</v>
      </c>
      <c r="BB75" s="4">
        <v>37.317457773889828</v>
      </c>
      <c r="BC75" s="4">
        <v>39.250296194358178</v>
      </c>
      <c r="BD75" s="4">
        <v>41.992566056290244</v>
      </c>
      <c r="BE75" s="4">
        <v>46.657691286422882</v>
      </c>
    </row>
    <row r="76" spans="6:57" x14ac:dyDescent="0.15">
      <c r="F76" s="4">
        <f>[1]节奏总纲!F76</f>
        <v>74</v>
      </c>
      <c r="G76" s="4">
        <f>[1]节奏总纲!G76</f>
        <v>167.89701257893043</v>
      </c>
      <c r="I76" s="4">
        <f>[1]节奏总纲!I76</f>
        <v>74</v>
      </c>
      <c r="J76" s="4">
        <f>[1]节奏总纲!J76</f>
        <v>19825.014596370729</v>
      </c>
      <c r="K76" s="4">
        <f>[1]节奏总纲!K76</f>
        <v>1.39</v>
      </c>
      <c r="N76" s="4">
        <f>[1]节奏总纲!N76</f>
        <v>83</v>
      </c>
      <c r="O76" s="4">
        <f>[1]节奏总纲!O76</f>
        <v>73</v>
      </c>
      <c r="P76" s="4">
        <f>[1]节奏总纲!P76</f>
        <v>156.58648490814926</v>
      </c>
      <c r="Q76" s="4">
        <f>[1]节奏总纲!Q76</f>
        <v>135.41599214856748</v>
      </c>
      <c r="R76" s="4">
        <f>[1]节奏总纲!R76</f>
        <v>110.58137564213501</v>
      </c>
      <c r="S76" s="4">
        <f>[1]节奏总纲!S76</f>
        <v>80.955212697513176</v>
      </c>
      <c r="T76" s="4">
        <f>[1]节奏总纲!T76</f>
        <v>44.877686574675579</v>
      </c>
      <c r="V76" s="4">
        <f>[1]节奏总纲!V76</f>
        <v>73</v>
      </c>
      <c r="W76" s="4">
        <f>[1]节奏总纲!W76</f>
        <v>10.553095468528824</v>
      </c>
      <c r="X76" s="4">
        <f>[1]节奏总纲!X76</f>
        <v>8.834250182304487</v>
      </c>
      <c r="Y76" s="4">
        <f>[1]节奏总纲!Y76</f>
        <v>7.2627526136035527</v>
      </c>
      <c r="Z76" s="4">
        <f>[1]节奏总纲!Z76</f>
        <v>5.3683303235656439</v>
      </c>
      <c r="AA76" s="4">
        <f>[1]节奏总纲!AA76</f>
        <v>2.9807071444484805</v>
      </c>
      <c r="AC76" s="4">
        <f>[1]节奏总纲!AC76</f>
        <v>73</v>
      </c>
      <c r="AD76" s="4">
        <f>[1]节奏总纲!AD76</f>
        <v>62.091594979242075</v>
      </c>
      <c r="AE76" s="4">
        <f>[1]节奏总纲!AE76</f>
        <v>64.114306430026588</v>
      </c>
      <c r="AF76" s="4">
        <f>[1]节奏总纲!AF76</f>
        <v>66.939020225602619</v>
      </c>
      <c r="AG76" s="4">
        <f>[1]节奏总纲!AG76</f>
        <v>71.479910866394462</v>
      </c>
      <c r="AH76" s="4">
        <f>[1]节奏总纲!AH76</f>
        <v>80.043898354812981</v>
      </c>
      <c r="AL76" s="4">
        <f>[1]节奏总纲!AL76</f>
        <v>73</v>
      </c>
      <c r="AM76" s="4">
        <f>[1]节奏总纲!AM76</f>
        <v>17134.425155737379</v>
      </c>
      <c r="AN76" s="4">
        <f>[1]节奏总纲!AN76</f>
        <v>13707.540124589905</v>
      </c>
      <c r="AO76" s="4">
        <f>[1]节奏总纲!AO76</f>
        <v>10280.655093442427</v>
      </c>
      <c r="AP76" s="4">
        <f>[1]节奏总纲!AP76</f>
        <v>6853.7700622949524</v>
      </c>
      <c r="AQ76" s="4">
        <f>[1]节奏总纲!AQ76</f>
        <v>3426.8850311474762</v>
      </c>
      <c r="AS76" s="4">
        <f>[1]节奏总纲!AS76</f>
        <v>73</v>
      </c>
      <c r="AT76" s="4">
        <f>[1]节奏总纲!AT76</f>
        <v>2326.2200928167622</v>
      </c>
      <c r="AU76" s="4">
        <f>[1]节奏总纲!AU76</f>
        <v>1860.9760742534108</v>
      </c>
      <c r="AV76" s="4">
        <f>[1]节奏总纲!AV76</f>
        <v>1395.7320556900577</v>
      </c>
      <c r="AW76" s="4">
        <f>[1]节奏总纲!AW76</f>
        <v>930.48803712670542</v>
      </c>
      <c r="AX76" s="4">
        <f>[1]节奏总纲!AX76</f>
        <v>465.24401856335271</v>
      </c>
      <c r="AZ76" s="4">
        <v>73</v>
      </c>
      <c r="BA76" s="4">
        <v>35.927113130704889</v>
      </c>
      <c r="BB76" s="4">
        <v>37.408211364961737</v>
      </c>
      <c r="BC76" s="4">
        <v>39.340350705546385</v>
      </c>
      <c r="BD76" s="4">
        <v>42.080366850119908</v>
      </c>
      <c r="BE76" s="4">
        <v>46.754011500516519</v>
      </c>
    </row>
    <row r="77" spans="6:57" x14ac:dyDescent="0.15">
      <c r="F77" s="4">
        <f>[1]节奏总纲!F77</f>
        <v>75</v>
      </c>
      <c r="G77" s="4">
        <f>[1]节奏总纲!G77</f>
        <v>180.01933598375612</v>
      </c>
      <c r="I77" s="4">
        <f>[1]节奏总纲!I77</f>
        <v>75</v>
      </c>
      <c r="J77" s="4">
        <f>[1]节奏总纲!J77</f>
        <v>22936.899999999998</v>
      </c>
      <c r="K77" s="4">
        <f>[1]节奏总纲!K77</f>
        <v>1.4</v>
      </c>
      <c r="N77" s="4">
        <f>[1]节奏总纲!N77</f>
        <v>84</v>
      </c>
      <c r="O77" s="4">
        <f>[1]节奏总纲!O77</f>
        <v>74</v>
      </c>
      <c r="P77" s="4">
        <f>[1]节奏总纲!P77</f>
        <v>167.89701257893043</v>
      </c>
      <c r="Q77" s="4">
        <f>[1]节奏总纲!Q77</f>
        <v>145.16375707574326</v>
      </c>
      <c r="R77" s="4">
        <f>[1]节奏总纲!R77</f>
        <v>118.70318789330381</v>
      </c>
      <c r="S77" s="4">
        <f>[1]节奏总纲!S77</f>
        <v>86.869914308338593</v>
      </c>
      <c r="T77" s="4">
        <f>[1]节奏总纲!T77</f>
        <v>48.169652908895138</v>
      </c>
      <c r="V77" s="4">
        <f>[1]节奏总纲!V77</f>
        <v>74</v>
      </c>
      <c r="W77" s="4">
        <f>[1]节奏总纲!W77</f>
        <v>11.31052767078117</v>
      </c>
      <c r="X77" s="4">
        <f>[1]节奏总纲!X77</f>
        <v>9.7477649271757798</v>
      </c>
      <c r="Y77" s="4">
        <f>[1]节奏总纲!Y77</f>
        <v>8.1218122511687909</v>
      </c>
      <c r="Z77" s="4">
        <f>[1]节奏总纲!Z77</f>
        <v>5.9147016108254178</v>
      </c>
      <c r="AA77" s="4">
        <f>[1]节奏总纲!AA77</f>
        <v>3.2919663342195591</v>
      </c>
      <c r="AC77" s="4">
        <f>[1]节奏总纲!AC77</f>
        <v>74</v>
      </c>
      <c r="AD77" s="4">
        <f>[1]节奏总纲!AD77</f>
        <v>62.281112832649576</v>
      </c>
      <c r="AE77" s="4">
        <f>[1]节奏总纲!AE77</f>
        <v>64.304793036447776</v>
      </c>
      <c r="AF77" s="4">
        <f>[1]节奏总纲!AF77</f>
        <v>67.14262442756818</v>
      </c>
      <c r="AG77" s="4">
        <f>[1]节奏总纲!AG77</f>
        <v>71.680959487253048</v>
      </c>
      <c r="AH77" s="4">
        <f>[1]节奏总纲!AH77</f>
        <v>80.24075196383977</v>
      </c>
      <c r="AL77" s="4">
        <f>[1]节奏总纲!AL77</f>
        <v>74</v>
      </c>
      <c r="AM77" s="4">
        <f>[1]节奏总纲!AM77</f>
        <v>19825.014596370729</v>
      </c>
      <c r="AN77" s="4">
        <f>[1]节奏总纲!AN77</f>
        <v>15860.011677096583</v>
      </c>
      <c r="AO77" s="4">
        <f>[1]节奏总纲!AO77</f>
        <v>11895.008757822437</v>
      </c>
      <c r="AP77" s="4">
        <f>[1]节奏总纲!AP77</f>
        <v>7930.0058385482916</v>
      </c>
      <c r="AQ77" s="4">
        <f>[1]节奏总纲!AQ77</f>
        <v>3965.0029192741458</v>
      </c>
      <c r="AS77" s="4">
        <f>[1]节奏总纲!AS77</f>
        <v>74</v>
      </c>
      <c r="AT77" s="4">
        <f>[1]节奏总纲!AT77</f>
        <v>2690.58944063335</v>
      </c>
      <c r="AU77" s="4">
        <f>[1]节奏总纲!AU77</f>
        <v>2152.4715525066786</v>
      </c>
      <c r="AV77" s="4">
        <f>[1]节奏总纲!AV77</f>
        <v>1614.3536643800107</v>
      </c>
      <c r="AW77" s="4">
        <f>[1]节奏总纲!AW77</f>
        <v>1076.2357762533393</v>
      </c>
      <c r="AX77" s="4">
        <f>[1]节奏总纲!AX77</f>
        <v>538.11788812666964</v>
      </c>
      <c r="AZ77" s="4">
        <v>74</v>
      </c>
      <c r="BA77" s="4">
        <v>36.021306837933537</v>
      </c>
      <c r="BB77" s="4">
        <v>37.498964956033646</v>
      </c>
      <c r="BC77" s="4">
        <v>39.430405216734592</v>
      </c>
      <c r="BD77" s="4">
        <v>42.167148737437564</v>
      </c>
      <c r="BE77" s="4">
        <v>46.850331714610157</v>
      </c>
    </row>
    <row r="78" spans="6:57" x14ac:dyDescent="0.15">
      <c r="F78" s="4">
        <f>[1]节奏总纲!F78</f>
        <v>76</v>
      </c>
      <c r="G78" s="4">
        <f>[1]节奏总纲!G78</f>
        <v>193.01172051333091</v>
      </c>
      <c r="I78" s="4">
        <f>[1]节奏总纲!I78</f>
        <v>76</v>
      </c>
      <c r="J78" s="4">
        <f>[1]节奏总纲!J78</f>
        <v>26535.88112606269</v>
      </c>
      <c r="K78" s="4">
        <f>[1]节奏总纲!K78</f>
        <v>1.41</v>
      </c>
      <c r="N78" s="4">
        <f>[1]节奏总纲!N78</f>
        <v>85</v>
      </c>
      <c r="O78" s="4">
        <f>[1]节奏总纲!O78</f>
        <v>75</v>
      </c>
      <c r="P78" s="4">
        <f>[1]节奏总纲!P78</f>
        <v>180.01933598375612</v>
      </c>
      <c r="Q78" s="4">
        <f>[1]节奏总纲!Q78</f>
        <v>155.75272949314578</v>
      </c>
      <c r="R78" s="4">
        <f>[1]节奏总纲!R78</f>
        <v>127.38168214210583</v>
      </c>
      <c r="S78" s="4">
        <f>[1]节奏总纲!S78</f>
        <v>93.214012172388934</v>
      </c>
      <c r="T78" s="4">
        <f>[1]节奏总纲!T78</f>
        <v>51.755559095329879</v>
      </c>
      <c r="V78" s="4">
        <f>[1]节奏总纲!V78</f>
        <v>75</v>
      </c>
      <c r="W78" s="4">
        <f>[1]节奏总纲!W78</f>
        <v>12.122323404825693</v>
      </c>
      <c r="X78" s="4">
        <f>[1]节奏总纲!X78</f>
        <v>10.588972417402516</v>
      </c>
      <c r="Y78" s="4">
        <f>[1]节奏总纲!Y78</f>
        <v>8.6784942488020249</v>
      </c>
      <c r="Z78" s="4">
        <f>[1]节奏总纲!Z78</f>
        <v>6.3440978640503403</v>
      </c>
      <c r="AA78" s="4">
        <f>[1]节奏总纲!AA78</f>
        <v>3.585906186434741</v>
      </c>
      <c r="AC78" s="4">
        <f>[1]节奏总纲!AC78</f>
        <v>75</v>
      </c>
      <c r="AD78" s="4">
        <f>[1]节奏总纲!AD78</f>
        <v>62.470630686057078</v>
      </c>
      <c r="AE78" s="4">
        <f>[1]节奏总纲!AE78</f>
        <v>64.495279642868965</v>
      </c>
      <c r="AF78" s="4">
        <f>[1]节奏总纲!AF78</f>
        <v>67.344310856946692</v>
      </c>
      <c r="AG78" s="4">
        <f>[1]节奏总纲!AG78</f>
        <v>71.882008108111634</v>
      </c>
      <c r="AH78" s="4">
        <f>[1]节奏总纲!AH78</f>
        <v>80.437605572866573</v>
      </c>
      <c r="AL78" s="4">
        <f>[1]节奏总纲!AL78</f>
        <v>75</v>
      </c>
      <c r="AM78" s="4">
        <f>[1]节奏总纲!AM78</f>
        <v>22936.899999999998</v>
      </c>
      <c r="AN78" s="4">
        <f>[1]节奏总纲!AN78</f>
        <v>18349.52</v>
      </c>
      <c r="AO78" s="4">
        <f>[1]节奏总纲!AO78</f>
        <v>13762.139999999998</v>
      </c>
      <c r="AP78" s="4">
        <f>[1]节奏总纲!AP78</f>
        <v>9174.76</v>
      </c>
      <c r="AQ78" s="4">
        <f>[1]节奏总纲!AQ78</f>
        <v>4587.38</v>
      </c>
      <c r="AS78" s="4">
        <f>[1]节奏总纲!AS78</f>
        <v>75</v>
      </c>
      <c r="AT78" s="4">
        <f>[1]节奏总纲!AT78</f>
        <v>3111.8854036292687</v>
      </c>
      <c r="AU78" s="4">
        <f>[1]节奏总纲!AU78</f>
        <v>2489.5083229034171</v>
      </c>
      <c r="AV78" s="4">
        <f>[1]节奏总纲!AV78</f>
        <v>1867.1312421775601</v>
      </c>
      <c r="AW78" s="4">
        <f>[1]节奏总纲!AW78</f>
        <v>1244.7541614517086</v>
      </c>
      <c r="AX78" s="4">
        <f>[1]节奏总纲!AX78</f>
        <v>622.37708072585428</v>
      </c>
      <c r="AZ78" s="4">
        <v>75</v>
      </c>
      <c r="BA78" s="4">
        <v>36.105477566569242</v>
      </c>
      <c r="BB78" s="4">
        <v>37.589718547105562</v>
      </c>
      <c r="BC78" s="4">
        <v>39.520459727922798</v>
      </c>
      <c r="BD78" s="4">
        <v>42.253930624755228</v>
      </c>
      <c r="BE78" s="4">
        <v>46.946651928703787</v>
      </c>
    </row>
    <row r="79" spans="6:57" x14ac:dyDescent="0.15">
      <c r="F79" s="4">
        <f>[1]节奏总纲!F79</f>
        <v>77</v>
      </c>
      <c r="G79" s="4">
        <f>[1]节奏总纲!G79</f>
        <v>206.93661346719625</v>
      </c>
      <c r="I79" s="4">
        <f>[1]节奏总纲!I79</f>
        <v>77</v>
      </c>
      <c r="J79" s="4">
        <f>[1]节奏总纲!J79</f>
        <v>30698.011006346387</v>
      </c>
      <c r="K79" s="4">
        <f>[1]节奏总纲!K79</f>
        <v>1.42</v>
      </c>
      <c r="N79" s="4">
        <f>[1]节奏总纲!N79</f>
        <v>86</v>
      </c>
      <c r="O79" s="4">
        <f>[1]节奏总纲!O79</f>
        <v>76</v>
      </c>
      <c r="P79" s="4">
        <f>[1]节奏总纲!P79</f>
        <v>193.01172051333091</v>
      </c>
      <c r="Q79" s="4">
        <f>[1]节奏总纲!Q79</f>
        <v>166.97443941608256</v>
      </c>
      <c r="R79" s="4">
        <f>[1]节奏总纲!R79</f>
        <v>136.51718991907896</v>
      </c>
      <c r="S79" s="4">
        <f>[1]节奏总纲!S79</f>
        <v>100.0379747420594</v>
      </c>
      <c r="T79" s="4">
        <f>[1]节奏总纲!T79</f>
        <v>55.664580196044632</v>
      </c>
      <c r="V79" s="4">
        <f>[1]节奏总纲!V79</f>
        <v>76</v>
      </c>
      <c r="W79" s="4">
        <f>[1]节奏总纲!W79</f>
        <v>12.992384529574792</v>
      </c>
      <c r="X79" s="4">
        <f>[1]节奏总纲!X79</f>
        <v>11.221709922936782</v>
      </c>
      <c r="Y79" s="4">
        <f>[1]节奏总纲!Y79</f>
        <v>9.1355077769731281</v>
      </c>
      <c r="Z79" s="4">
        <f>[1]节奏总纲!Z79</f>
        <v>6.8239625696704707</v>
      </c>
      <c r="AA79" s="4">
        <f>[1]节奏总纲!AA79</f>
        <v>3.9090211007147531</v>
      </c>
      <c r="AC79" s="4">
        <f>[1]节奏总纲!AC79</f>
        <v>76</v>
      </c>
      <c r="AD79" s="4">
        <f>[1]节奏总纲!AD79</f>
        <v>62.660148539464579</v>
      </c>
      <c r="AE79" s="4">
        <f>[1]节奏总纲!AE79</f>
        <v>64.685766249290154</v>
      </c>
      <c r="AF79" s="4">
        <f>[1]节奏总纲!AF79</f>
        <v>67.545997286325218</v>
      </c>
      <c r="AG79" s="4">
        <f>[1]节奏总纲!AG79</f>
        <v>72.076954583856178</v>
      </c>
      <c r="AH79" s="4">
        <f>[1]节奏总纲!AH79</f>
        <v>80.634459181893376</v>
      </c>
      <c r="AL79" s="4">
        <f>[1]节奏总纲!AL79</f>
        <v>76</v>
      </c>
      <c r="AM79" s="4">
        <f>[1]节奏总纲!AM79</f>
        <v>26535.88112606269</v>
      </c>
      <c r="AN79" s="4">
        <f>[1]节奏总纲!AN79</f>
        <v>21228.704900850153</v>
      </c>
      <c r="AO79" s="4">
        <f>[1]节奏总纲!AO79</f>
        <v>15921.528675637614</v>
      </c>
      <c r="AP79" s="4">
        <f>[1]节奏总纲!AP79</f>
        <v>10614.352450425076</v>
      </c>
      <c r="AQ79" s="4">
        <f>[1]节奏总纲!AQ79</f>
        <v>5307.1762252125382</v>
      </c>
      <c r="AS79" s="4">
        <f>[1]节奏总纲!AS79</f>
        <v>76</v>
      </c>
      <c r="AT79" s="4">
        <f>[1]节奏总纲!AT79</f>
        <v>3598.9811260626921</v>
      </c>
      <c r="AU79" s="4">
        <f>[1]节奏总纲!AU79</f>
        <v>2879.1849008501522</v>
      </c>
      <c r="AV79" s="4">
        <f>[1]节奏总纲!AV79</f>
        <v>2159.388675637616</v>
      </c>
      <c r="AW79" s="4">
        <f>[1]节奏总纲!AW79</f>
        <v>1439.5924504250761</v>
      </c>
      <c r="AX79" s="4">
        <f>[1]节奏总纲!AX79</f>
        <v>719.79622521253805</v>
      </c>
      <c r="AZ79" s="4">
        <v>76</v>
      </c>
      <c r="BA79" s="4">
        <v>36.189648295204947</v>
      </c>
      <c r="BB79" s="4">
        <v>37.680472138177471</v>
      </c>
      <c r="BC79" s="4">
        <v>39.610514239111005</v>
      </c>
      <c r="BD79" s="4">
        <v>42.340712512072891</v>
      </c>
      <c r="BE79" s="4">
        <v>47.037096473408994</v>
      </c>
    </row>
    <row r="80" spans="6:57" x14ac:dyDescent="0.15">
      <c r="F80" s="4">
        <f>[1]节奏总纲!F80</f>
        <v>78</v>
      </c>
      <c r="G80" s="4">
        <f>[1]节奏总纲!G80</f>
        <v>221.86094420380775</v>
      </c>
      <c r="I80" s="4">
        <f>[1]节奏总纲!I80</f>
        <v>78</v>
      </c>
      <c r="J80" s="4">
        <f>[1]节奏总纲!J80</f>
        <v>35511.190322760085</v>
      </c>
      <c r="K80" s="4">
        <f>[1]节奏总纲!K80</f>
        <v>1.43</v>
      </c>
      <c r="N80" s="4">
        <f>[1]节奏总纲!N80</f>
        <v>87</v>
      </c>
      <c r="O80" s="4">
        <f>[1]节奏总纲!O80</f>
        <v>77</v>
      </c>
      <c r="P80" s="4">
        <f>[1]节奏总纲!P80</f>
        <v>206.93661346719625</v>
      </c>
      <c r="Q80" s="4">
        <f>[1]节奏总纲!Q80</f>
        <v>179.12433261720508</v>
      </c>
      <c r="R80" s="4">
        <f>[1]节奏总纲!R80</f>
        <v>146.53181599612165</v>
      </c>
      <c r="S80" s="4">
        <f>[1]节奏总纲!S80</f>
        <v>107.42079605082158</v>
      </c>
      <c r="T80" s="4">
        <f>[1]节奏总纲!T80</f>
        <v>59.535663694512365</v>
      </c>
      <c r="V80" s="4">
        <f>[1]节奏总纲!V80</f>
        <v>77</v>
      </c>
      <c r="W80" s="4">
        <f>[1]节奏总纲!W80</f>
        <v>13.924892953865339</v>
      </c>
      <c r="X80" s="4">
        <f>[1]节奏总纲!X80</f>
        <v>12.149893201122524</v>
      </c>
      <c r="Y80" s="4">
        <f>[1]节奏总纲!Y80</f>
        <v>10.014626077042692</v>
      </c>
      <c r="Z80" s="4">
        <f>[1]节奏总纲!Z80</f>
        <v>7.3828213087621748</v>
      </c>
      <c r="AA80" s="4">
        <f>[1]节奏总纲!AA80</f>
        <v>3.8710834984677334</v>
      </c>
      <c r="AC80" s="4">
        <f>[1]节奏总纲!AC80</f>
        <v>77</v>
      </c>
      <c r="AD80" s="4">
        <f>[1]节奏总纲!AD80</f>
        <v>62.849666392872081</v>
      </c>
      <c r="AE80" s="4">
        <f>[1]节奏总纲!AE80</f>
        <v>64.876252855711357</v>
      </c>
      <c r="AF80" s="4">
        <f>[1]节奏总纲!AF80</f>
        <v>67.747683715703729</v>
      </c>
      <c r="AG80" s="4">
        <f>[1]节奏总纲!AG80</f>
        <v>72.263232241847945</v>
      </c>
      <c r="AH80" s="4">
        <f>[1]节奏总纲!AH80</f>
        <v>80.83131279092018</v>
      </c>
      <c r="AL80" s="4">
        <f>[1]节奏总纲!AL80</f>
        <v>77</v>
      </c>
      <c r="AM80" s="4">
        <f>[1]节奏总纲!AM80</f>
        <v>30698.011006346387</v>
      </c>
      <c r="AN80" s="4">
        <f>[1]节奏总纲!AN80</f>
        <v>24558.40880507711</v>
      </c>
      <c r="AO80" s="4">
        <f>[1]节奏总纲!AO80</f>
        <v>18418.806603807832</v>
      </c>
      <c r="AP80" s="4">
        <f>[1]节奏总纲!AP80</f>
        <v>12279.204402538555</v>
      </c>
      <c r="AQ80" s="4">
        <f>[1]节奏总纲!AQ80</f>
        <v>6139.6022012692774</v>
      </c>
      <c r="AS80" s="4">
        <f>[1]节奏总纲!AS80</f>
        <v>77</v>
      </c>
      <c r="AT80" s="4">
        <f>[1]节奏总纲!AT80</f>
        <v>4162.1298802836973</v>
      </c>
      <c r="AU80" s="4">
        <f>[1]节奏总纲!AU80</f>
        <v>3329.7039042269571</v>
      </c>
      <c r="AV80" s="4">
        <f>[1]节奏总纲!AV80</f>
        <v>2497.2779281702187</v>
      </c>
      <c r="AW80" s="4">
        <f>[1]节奏总纲!AW80</f>
        <v>1664.8519521134785</v>
      </c>
      <c r="AX80" s="4">
        <f>[1]节奏总纲!AX80</f>
        <v>832.42597605673927</v>
      </c>
      <c r="AZ80" s="4">
        <v>77</v>
      </c>
      <c r="BA80" s="4">
        <v>36.273819023840659</v>
      </c>
      <c r="BB80" s="4">
        <v>37.771225729249387</v>
      </c>
      <c r="BC80" s="4">
        <v>39.700568750299212</v>
      </c>
      <c r="BD80" s="4">
        <v>42.427494399390554</v>
      </c>
      <c r="BE80" s="4">
        <v>47.12024662670057</v>
      </c>
    </row>
    <row r="81" spans="6:57" x14ac:dyDescent="0.15">
      <c r="F81" s="4">
        <f>[1]节奏总纲!F81</f>
        <v>79</v>
      </c>
      <c r="G81" s="4">
        <f>[1]节奏总纲!G81</f>
        <v>237.85644583342264</v>
      </c>
      <c r="I81" s="4">
        <f>[1]节奏总纲!I81</f>
        <v>79</v>
      </c>
      <c r="J81" s="4">
        <f>[1]节奏总纲!J81</f>
        <v>41077.009235645834</v>
      </c>
      <c r="K81" s="4">
        <f>[1]节奏总纲!K81</f>
        <v>1.44</v>
      </c>
      <c r="N81" s="4">
        <f>[1]节奏总纲!N81</f>
        <v>88</v>
      </c>
      <c r="O81" s="4">
        <f>[1]节奏总纲!O81</f>
        <v>78</v>
      </c>
      <c r="P81" s="4">
        <f>[1]节奏总纲!P81</f>
        <v>221.86094420380775</v>
      </c>
      <c r="Q81" s="4">
        <f>[1]节奏总纲!Q81</f>
        <v>192.04283330281601</v>
      </c>
      <c r="R81" s="4">
        <f>[1]节奏总纲!R81</f>
        <v>157.23285115723854</v>
      </c>
      <c r="S81" s="4">
        <f>[1]节奏总纲!S81</f>
        <v>115.1680161361966</v>
      </c>
      <c r="T81" s="4">
        <f>[1]节奏总纲!T81</f>
        <v>63.651904892072437</v>
      </c>
      <c r="V81" s="4">
        <f>[1]节奏总纲!V81</f>
        <v>78</v>
      </c>
      <c r="W81" s="4">
        <f>[1]节奏总纲!W81</f>
        <v>14.924330736611495</v>
      </c>
      <c r="X81" s="4">
        <f>[1]节奏总纲!X81</f>
        <v>12.918500685610923</v>
      </c>
      <c r="Y81" s="4">
        <f>[1]节奏总纲!Y81</f>
        <v>10.701035161116891</v>
      </c>
      <c r="Z81" s="4">
        <f>[1]节奏总纲!Z81</f>
        <v>7.7472200853750195</v>
      </c>
      <c r="AA81" s="4">
        <f>[1]节奏总纲!AA81</f>
        <v>4.1162411975600719</v>
      </c>
      <c r="AC81" s="4">
        <f>[1]节奏总纲!AC81</f>
        <v>78</v>
      </c>
      <c r="AD81" s="4">
        <f>[1]节奏总纲!AD81</f>
        <v>63.036560194527354</v>
      </c>
      <c r="AE81" s="4">
        <f>[1]节奏总纲!AE81</f>
        <v>65.061438622789353</v>
      </c>
      <c r="AF81" s="4">
        <f>[1]节奏总纲!AF81</f>
        <v>67.949370145082256</v>
      </c>
      <c r="AG81" s="4">
        <f>[1]节奏总纲!AG81</f>
        <v>72.449509899839711</v>
      </c>
      <c r="AH81" s="4">
        <f>[1]节奏总纲!AH81</f>
        <v>81.026624803116562</v>
      </c>
      <c r="AL81" s="4">
        <f>[1]节奏总纲!AL81</f>
        <v>78</v>
      </c>
      <c r="AM81" s="4">
        <f>[1]节奏总纲!AM81</f>
        <v>35511.190322760085</v>
      </c>
      <c r="AN81" s="4">
        <f>[1]节奏总纲!AN81</f>
        <v>28408.952258208068</v>
      </c>
      <c r="AO81" s="4">
        <f>[1]节奏总纲!AO81</f>
        <v>21306.714193656051</v>
      </c>
      <c r="AP81" s="4">
        <f>[1]节奏总纲!AP81</f>
        <v>14204.476129104034</v>
      </c>
      <c r="AQ81" s="4">
        <f>[1]节奏总纲!AQ81</f>
        <v>7102.238064552017</v>
      </c>
      <c r="AS81" s="4">
        <f>[1]节奏总纲!AS81</f>
        <v>78</v>
      </c>
      <c r="AT81" s="4">
        <f>[1]节奏总纲!AT81</f>
        <v>4813.179316413698</v>
      </c>
      <c r="AU81" s="4">
        <f>[1]节奏总纲!AU81</f>
        <v>3850.5434531309584</v>
      </c>
      <c r="AV81" s="4">
        <f>[1]节奏总纲!AV81</f>
        <v>2887.9075898482188</v>
      </c>
      <c r="AW81" s="4">
        <f>[1]节奏总纲!AW81</f>
        <v>1925.2717265654792</v>
      </c>
      <c r="AX81" s="4">
        <f>[1]节奏总纲!AX81</f>
        <v>962.63586328273959</v>
      </c>
      <c r="AZ81" s="4">
        <v>78</v>
      </c>
      <c r="BA81" s="4">
        <v>36.357989752476364</v>
      </c>
      <c r="BB81" s="4">
        <v>37.861979320321296</v>
      </c>
      <c r="BC81" s="4">
        <v>39.790623261487418</v>
      </c>
      <c r="BD81" s="4">
        <v>42.51427628670821</v>
      </c>
      <c r="BE81" s="4">
        <v>47.203396779992147</v>
      </c>
    </row>
    <row r="82" spans="6:57" x14ac:dyDescent="0.15">
      <c r="F82" s="4">
        <f>[1]节奏总纲!F82</f>
        <v>80</v>
      </c>
      <c r="G82" s="4">
        <f>[1]节奏总纲!G82</f>
        <v>255</v>
      </c>
      <c r="I82" s="4">
        <f>[1]节奏总纲!I82</f>
        <v>80</v>
      </c>
      <c r="J82" s="4">
        <f>[1]节奏总纲!J82</f>
        <v>47512.875</v>
      </c>
      <c r="K82" s="4">
        <f>[1]节奏总纲!K82</f>
        <v>1.45</v>
      </c>
      <c r="N82" s="4">
        <f>[1]节奏总纲!N82</f>
        <v>89</v>
      </c>
      <c r="O82" s="4">
        <f>[1]节奏总纲!O82</f>
        <v>79</v>
      </c>
      <c r="P82" s="4">
        <f>[1]节奏总纲!P82</f>
        <v>237.85644583342264</v>
      </c>
      <c r="Q82" s="4">
        <f>[1]节奏总纲!Q82</f>
        <v>206.07882467007735</v>
      </c>
      <c r="R82" s="4">
        <f>[1]节奏总纲!R82</f>
        <v>168.73536267423003</v>
      </c>
      <c r="S82" s="4">
        <f>[1]节奏总纲!S82</f>
        <v>123.11449636337954</v>
      </c>
      <c r="T82" s="4">
        <f>[1]节奏总纲!T82</f>
        <v>68.122086086692235</v>
      </c>
      <c r="V82" s="4">
        <f>[1]节奏总纲!V82</f>
        <v>79</v>
      </c>
      <c r="W82" s="4">
        <f>[1]节奏总纲!W82</f>
        <v>15.995501629614893</v>
      </c>
      <c r="X82" s="4">
        <f>[1]节奏总纲!X82</f>
        <v>14.035991367261346</v>
      </c>
      <c r="Y82" s="4">
        <f>[1]节奏总纲!Y82</f>
        <v>11.50251151699149</v>
      </c>
      <c r="Z82" s="4">
        <f>[1]节奏总纲!Z82</f>
        <v>7.9464802271829456</v>
      </c>
      <c r="AA82" s="4">
        <f>[1]节奏总纲!AA82</f>
        <v>4.4701811946197978</v>
      </c>
      <c r="AC82" s="4">
        <f>[1]节奏总纲!AC82</f>
        <v>79</v>
      </c>
      <c r="AD82" s="4">
        <f>[1]节奏总纲!AD82</f>
        <v>63.213386604241791</v>
      </c>
      <c r="AE82" s="4">
        <f>[1]节奏总纲!AE82</f>
        <v>65.23679566619937</v>
      </c>
      <c r="AF82" s="4">
        <f>[1]节奏总纲!AF82</f>
        <v>68.132712808893615</v>
      </c>
      <c r="AG82" s="4">
        <f>[1]节奏总纲!AG82</f>
        <v>72.635787557831478</v>
      </c>
      <c r="AH82" s="4">
        <f>[1]节奏总纲!AH82</f>
        <v>81.212704266341873</v>
      </c>
      <c r="AL82" s="4">
        <f>[1]节奏总纲!AL82</f>
        <v>79</v>
      </c>
      <c r="AM82" s="4">
        <f>[1]节奏总纲!AM82</f>
        <v>41077.009235645834</v>
      </c>
      <c r="AN82" s="4">
        <f>[1]节奏总纲!AN82</f>
        <v>32861.60738851667</v>
      </c>
      <c r="AO82" s="4">
        <f>[1]节奏总纲!AO82</f>
        <v>24646.205541387499</v>
      </c>
      <c r="AP82" s="4">
        <f>[1]节奏总纲!AP82</f>
        <v>16430.803694258335</v>
      </c>
      <c r="AQ82" s="4">
        <f>[1]节奏总纲!AQ82</f>
        <v>8215.4018471291674</v>
      </c>
      <c r="AS82" s="4">
        <f>[1]节奏总纲!AS82</f>
        <v>79</v>
      </c>
      <c r="AT82" s="4">
        <f>[1]节奏总纲!AT82</f>
        <v>5565.8189128857484</v>
      </c>
      <c r="AU82" s="4">
        <f>[1]节奏总纲!AU82</f>
        <v>4452.6551303086017</v>
      </c>
      <c r="AV82" s="4">
        <f>[1]节奏总纲!AV82</f>
        <v>3339.4913477314476</v>
      </c>
      <c r="AW82" s="4">
        <f>[1]节奏总纲!AW82</f>
        <v>2226.3275651543008</v>
      </c>
      <c r="AX82" s="4">
        <f>[1]节奏总纲!AX82</f>
        <v>1113.1637825771504</v>
      </c>
      <c r="AZ82" s="4">
        <v>79</v>
      </c>
      <c r="BA82" s="4">
        <v>36.442160481112069</v>
      </c>
      <c r="BB82" s="4">
        <v>37.952732911393213</v>
      </c>
      <c r="BC82" s="4">
        <v>39.880677772675625</v>
      </c>
      <c r="BD82" s="4">
        <v>42.601058174025873</v>
      </c>
      <c r="BE82" s="4">
        <v>47.286546933283724</v>
      </c>
    </row>
    <row r="83" spans="6:57" x14ac:dyDescent="0.15">
      <c r="F83" s="4">
        <f>[1]节奏总纲!F83</f>
        <v>81</v>
      </c>
      <c r="G83" s="4">
        <f>[1]节奏总纲!G83</f>
        <v>273.37400640929098</v>
      </c>
      <c r="N83" s="4">
        <f>[1]节奏总纲!N83</f>
        <v>90</v>
      </c>
      <c r="O83" s="4">
        <f>[1]节奏总纲!O83</f>
        <v>80</v>
      </c>
      <c r="P83" s="4">
        <f>[1]节奏总纲!P83</f>
        <v>255</v>
      </c>
      <c r="Q83" s="4">
        <f>[1]节奏总纲!Q83</f>
        <v>221.08500000000001</v>
      </c>
      <c r="R83" s="4">
        <f>[1]节奏总纲!R83</f>
        <v>180.33600000000001</v>
      </c>
      <c r="S83" s="4">
        <f>[1]节奏总纲!S83</f>
        <v>131.58000000000001</v>
      </c>
      <c r="T83" s="4">
        <f>[1]节奏总纲!T83</f>
        <v>72.777000000000001</v>
      </c>
      <c r="V83" s="4">
        <f>[1]节奏总纲!V83</f>
        <v>80</v>
      </c>
      <c r="W83" s="4">
        <f>[1]节奏总纲!W83</f>
        <v>17.14355416657736</v>
      </c>
      <c r="X83" s="4">
        <f>[1]节奏总纲!X83</f>
        <v>15.006175329922655</v>
      </c>
      <c r="Y83" s="4">
        <f>[1]节奏总纲!Y83</f>
        <v>11.600637325769981</v>
      </c>
      <c r="Z83" s="4">
        <f>[1]节奏总纲!Z83</f>
        <v>8.4655036366204683</v>
      </c>
      <c r="AA83" s="4">
        <f>[1]节奏总纲!AA83</f>
        <v>4.6549139133077659</v>
      </c>
      <c r="AC83" s="4">
        <f>[1]节奏总纲!AC83</f>
        <v>80</v>
      </c>
      <c r="AD83" s="4">
        <f>[1]节奏总纲!AD83</f>
        <v>63.39021301395622</v>
      </c>
      <c r="AE83" s="4">
        <f>[1]节奏总纲!AE83</f>
        <v>65.412152709609373</v>
      </c>
      <c r="AF83" s="4">
        <f>[1]节奏总纲!AF83</f>
        <v>68.309907165737044</v>
      </c>
      <c r="AG83" s="4">
        <f>[1]节奏总纲!AG83</f>
        <v>72.822065215823244</v>
      </c>
      <c r="AH83" s="4">
        <f>[1]节奏总纲!AH83</f>
        <v>81.398783729567185</v>
      </c>
      <c r="AL83" s="4">
        <f>[1]节奏总纲!AL83</f>
        <v>80</v>
      </c>
      <c r="AM83" s="4">
        <f>[1]节奏总纲!AM83</f>
        <v>47512.875</v>
      </c>
      <c r="AN83" s="4">
        <f>[1]节奏总纲!AN83</f>
        <v>38010.300000000003</v>
      </c>
      <c r="AO83" s="4">
        <f>[1]节奏总纲!AO83</f>
        <v>28507.724999999999</v>
      </c>
      <c r="AP83" s="4">
        <f>[1]节奏总纲!AP83</f>
        <v>19005.150000000001</v>
      </c>
      <c r="AQ83" s="4">
        <f>[1]节奏总纲!AQ83</f>
        <v>9502.5750000000007</v>
      </c>
      <c r="AS83" s="4">
        <f>[1]节奏总纲!AS83</f>
        <v>80</v>
      </c>
      <c r="AT83" s="4">
        <f>[1]节奏总纲!AT83</f>
        <v>6435.8657643541665</v>
      </c>
      <c r="AU83" s="4">
        <f>[1]节奏总纲!AU83</f>
        <v>5148.6926114833332</v>
      </c>
      <c r="AV83" s="4">
        <f>[1]节奏总纲!AV83</f>
        <v>3861.5194586124999</v>
      </c>
      <c r="AW83" s="4">
        <f>[1]节奏总纲!AW83</f>
        <v>2574.3463057416666</v>
      </c>
      <c r="AX83" s="4">
        <f>[1]节奏总纲!AX83</f>
        <v>1287.1731528708333</v>
      </c>
      <c r="AZ83" s="4">
        <v>80</v>
      </c>
      <c r="BA83" s="4">
        <v>36.526331209747774</v>
      </c>
      <c r="BB83" s="4">
        <v>38.037513426486328</v>
      </c>
      <c r="BC83" s="4">
        <v>39.970732283863832</v>
      </c>
      <c r="BD83" s="4">
        <v>42.687840061343536</v>
      </c>
      <c r="BE83" s="4">
        <v>47.3696970865753</v>
      </c>
    </row>
    <row r="84" spans="6:57" x14ac:dyDescent="0.15">
      <c r="F84" s="4">
        <f>[1]节奏总纲!F84</f>
        <v>82</v>
      </c>
      <c r="G84" s="4">
        <f>[1]节奏总纲!G84</f>
        <v>293.06677887924064</v>
      </c>
      <c r="N84" s="4">
        <f>[1]节奏总纲!N84</f>
        <v>91</v>
      </c>
      <c r="O84" s="4">
        <f>[1]节奏总纲!O84</f>
        <v>81</v>
      </c>
      <c r="P84" s="4">
        <f>[1]节奏总纲!P84</f>
        <v>273.37400640929098</v>
      </c>
      <c r="Q84" s="4">
        <f>[1]节奏总纲!Q84</f>
        <v>236.35916594147301</v>
      </c>
      <c r="R84" s="4">
        <f>[1]节奏总纲!R84</f>
        <v>192.67399971726829</v>
      </c>
      <c r="S84" s="4">
        <f>[1]节奏总纲!S84</f>
        <v>140.76027590014394</v>
      </c>
      <c r="T84" s="4">
        <f>[1]节奏总纲!T84</f>
        <v>77.856917025366073</v>
      </c>
      <c r="V84" s="4">
        <f>[1]节奏总纲!V84</f>
        <v>81</v>
      </c>
      <c r="W84" s="4">
        <f>[1]节奏总纲!W84</f>
        <v>18.374006409290985</v>
      </c>
      <c r="X84" s="4">
        <f>[1]节奏总纲!X84</f>
        <v>15.274165941473001</v>
      </c>
      <c r="Y84" s="4">
        <f>[1]节奏总纲!Y84</f>
        <v>12.337999717268275</v>
      </c>
      <c r="Z84" s="4">
        <f>[1]节奏总纲!Z84</f>
        <v>9.1802759001439256</v>
      </c>
      <c r="AA84" s="4">
        <f>[1]节奏总纲!AA84</f>
        <v>5.0799170253660719</v>
      </c>
      <c r="AC84" s="4">
        <f>[1]节奏总纲!AC84</f>
        <v>81</v>
      </c>
      <c r="AD84" s="4">
        <f>[1]节奏总纲!AD84</f>
        <v>63.567039423670657</v>
      </c>
      <c r="AE84" s="4">
        <f>[1]节奏总纲!AE84</f>
        <v>65.58750975301939</v>
      </c>
      <c r="AF84" s="4">
        <f>[1]节奏总纲!AF84</f>
        <v>68.487101522580488</v>
      </c>
      <c r="AG84" s="4">
        <f>[1]节奏总纲!AG84</f>
        <v>73.007572199822363</v>
      </c>
      <c r="AH84" s="4">
        <f>[1]节奏总纲!AH84</f>
        <v>81.584863192792497</v>
      </c>
      <c r="AZ84" s="4">
        <v>81</v>
      </c>
      <c r="BA84" s="4">
        <v>36.610501938383479</v>
      </c>
      <c r="BB84" s="4">
        <v>38.11580158428373</v>
      </c>
      <c r="BC84" s="4">
        <v>40.052446592012309</v>
      </c>
      <c r="BD84" s="4">
        <v>42.774621948661192</v>
      </c>
      <c r="BE84" s="4">
        <v>47.452847239866877</v>
      </c>
    </row>
    <row r="85" spans="6:57" x14ac:dyDescent="0.15">
      <c r="F85" s="4">
        <f>[1]节奏总纲!F85</f>
        <v>83</v>
      </c>
      <c r="G85" s="4">
        <f>[1]节奏总纲!G85</f>
        <v>314.1729698162988</v>
      </c>
      <c r="N85" s="4">
        <f>[1]节奏总纲!N85</f>
        <v>92</v>
      </c>
      <c r="O85" s="4">
        <f>[1]节奏总纲!O85</f>
        <v>82</v>
      </c>
      <c r="P85" s="4">
        <f>[1]节奏总纲!P85</f>
        <v>293.06677887924064</v>
      </c>
      <c r="Q85" s="4">
        <f>[1]节奏总纲!Q85</f>
        <v>253.15108359588808</v>
      </c>
      <c r="R85" s="4">
        <f>[1]节奏总纲!R85</f>
        <v>206.37762568676126</v>
      </c>
      <c r="S85" s="4">
        <f>[1]节奏总纲!S85</f>
        <v>150.81216441125721</v>
      </c>
      <c r="T85" s="4">
        <f>[1]节奏总纲!T85</f>
        <v>83.230965201704336</v>
      </c>
      <c r="V85" s="4">
        <f>[1]节奏总纲!V85</f>
        <v>82</v>
      </c>
      <c r="W85" s="4">
        <f>[1]节奏总纲!W85</f>
        <v>19.692772469949659</v>
      </c>
      <c r="X85" s="4">
        <f>[1]节奏总纲!X85</f>
        <v>16.791917654415073</v>
      </c>
      <c r="Y85" s="4">
        <f>[1]节奏总纲!Y85</f>
        <v>13.703625969492975</v>
      </c>
      <c r="Z85" s="4">
        <f>[1]节奏总纲!Z85</f>
        <v>10.051888511113276</v>
      </c>
      <c r="AA85" s="4">
        <f>[1]节奏总纲!AA85</f>
        <v>5.3740481763382633</v>
      </c>
      <c r="AC85" s="4">
        <f>[1]节奏总纲!AC85</f>
        <v>82</v>
      </c>
      <c r="AD85" s="4">
        <f>[1]节奏总纲!AD85</f>
        <v>63.743865833385094</v>
      </c>
      <c r="AE85" s="4">
        <f>[1]节奏总纲!AE85</f>
        <v>65.762866796429392</v>
      </c>
      <c r="AF85" s="4">
        <f>[1]节奏总纲!AF85</f>
        <v>68.664295879423918</v>
      </c>
      <c r="AG85" s="4">
        <f>[1]节奏总纲!AG85</f>
        <v>73.176642436293761</v>
      </c>
      <c r="AH85" s="4">
        <f>[1]节奏总纲!AH85</f>
        <v>81.770942656017823</v>
      </c>
      <c r="AZ85" s="4">
        <v>82</v>
      </c>
      <c r="BA85" s="4">
        <v>36.694672667019191</v>
      </c>
      <c r="BB85" s="4">
        <v>38.194089742081125</v>
      </c>
      <c r="BC85" s="4">
        <v>40.130145246845366</v>
      </c>
      <c r="BD85" s="4">
        <v>42.861403835978855</v>
      </c>
      <c r="BE85" s="4">
        <v>47.535997393158453</v>
      </c>
    </row>
    <row r="86" spans="6:57" x14ac:dyDescent="0.15">
      <c r="F86" s="4">
        <f>[1]节奏总纲!F86</f>
        <v>84</v>
      </c>
      <c r="G86" s="4">
        <f>[1]节奏总纲!G86</f>
        <v>336.79402515786086</v>
      </c>
      <c r="N86" s="4">
        <f>[1]节奏总纲!N86</f>
        <v>93</v>
      </c>
      <c r="O86" s="4">
        <f>[1]节奏总纲!O86</f>
        <v>83</v>
      </c>
      <c r="P86" s="4">
        <f>[1]节奏总纲!P86</f>
        <v>314.1729698162988</v>
      </c>
      <c r="Q86" s="4">
        <f>[1]节奏总纲!Q86</f>
        <v>271.53969781222702</v>
      </c>
      <c r="R86" s="4">
        <f>[1]节奏总纲!R86</f>
        <v>221.55477831445393</v>
      </c>
      <c r="S86" s="4">
        <f>[1]节奏总纲!S86</f>
        <v>161.57915837652246</v>
      </c>
      <c r="T86" s="4">
        <f>[1]节奏总纲!T86</f>
        <v>89.193706130847232</v>
      </c>
      <c r="V86" s="4">
        <f>[1]节奏总纲!V86</f>
        <v>83</v>
      </c>
      <c r="W86" s="4">
        <f>[1]节奏总纲!W86</f>
        <v>21.106190937058159</v>
      </c>
      <c r="X86" s="4">
        <f>[1]节奏总纲!X86</f>
        <v>18.388614216338937</v>
      </c>
      <c r="Y86" s="4">
        <f>[1]节奏总纲!Y86</f>
        <v>15.177152627692664</v>
      </c>
      <c r="Z86" s="4">
        <f>[1]节奏总纲!Z86</f>
        <v>10.766993965265243</v>
      </c>
      <c r="AA86" s="4">
        <f>[1]节奏总纲!AA86</f>
        <v>5.9627409291428961</v>
      </c>
      <c r="AC86" s="4">
        <f>[1]节奏总纲!AC86</f>
        <v>83</v>
      </c>
      <c r="AD86" s="4">
        <f>[1]节奏总纲!AD86</f>
        <v>63.920692243099523</v>
      </c>
      <c r="AE86" s="4">
        <f>[1]节奏总纲!AE86</f>
        <v>65.938223839839395</v>
      </c>
      <c r="AF86" s="4">
        <f>[1]节奏总纲!AF86</f>
        <v>68.841490236267347</v>
      </c>
      <c r="AG86" s="4">
        <f>[1]节奏总纲!AG86</f>
        <v>73.34571267276516</v>
      </c>
      <c r="AH86" s="4">
        <f>[1]节奏总纲!AH86</f>
        <v>81.957022119243135</v>
      </c>
      <c r="AZ86" s="4">
        <v>83</v>
      </c>
      <c r="BA86" s="4">
        <v>36.778843395654896</v>
      </c>
      <c r="BB86" s="4">
        <v>38.272377899878528</v>
      </c>
      <c r="BC86" s="4">
        <v>40.207843901678423</v>
      </c>
      <c r="BD86" s="4">
        <v>42.948185723296518</v>
      </c>
      <c r="BE86" s="4">
        <v>47.619147546450023</v>
      </c>
    </row>
    <row r="87" spans="6:57" x14ac:dyDescent="0.15">
      <c r="F87" s="4">
        <f>[1]节奏总纲!F87</f>
        <v>85</v>
      </c>
      <c r="G87" s="4">
        <f>[1]节奏总纲!G87</f>
        <v>361.0386719675123</v>
      </c>
      <c r="N87" s="4">
        <f>[1]节奏总纲!N87</f>
        <v>94</v>
      </c>
      <c r="O87" s="4">
        <f>[1]节奏总纲!O87</f>
        <v>84</v>
      </c>
      <c r="P87" s="4">
        <f>[1]节奏总纲!P87</f>
        <v>336.79402515786086</v>
      </c>
      <c r="Q87" s="4">
        <f>[1]节奏总纲!Q87</f>
        <v>291.2594729565181</v>
      </c>
      <c r="R87" s="4">
        <f>[1]节奏总纲!R87</f>
        <v>237.27139072371298</v>
      </c>
      <c r="S87" s="4">
        <f>[1]节奏总纲!S87</f>
        <v>172.97741132107731</v>
      </c>
      <c r="T87" s="4">
        <f>[1]节奏总纲!T87</f>
        <v>95.64950314483248</v>
      </c>
      <c r="V87" s="4">
        <f>[1]节奏总纲!V87</f>
        <v>84</v>
      </c>
      <c r="W87" s="4">
        <f>[1]节奏总纲!W87</f>
        <v>22.621055341562055</v>
      </c>
      <c r="X87" s="4">
        <f>[1]节奏总纲!X87</f>
        <v>19.719775144291077</v>
      </c>
      <c r="Y87" s="4">
        <f>[1]节奏总纲!Y87</f>
        <v>15.716612409259056</v>
      </c>
      <c r="Z87" s="4">
        <f>[1]节奏总纲!Z87</f>
        <v>11.398252944554855</v>
      </c>
      <c r="AA87" s="4">
        <f>[1]节奏总纲!AA87</f>
        <v>6.4557970139852472</v>
      </c>
      <c r="AC87" s="4">
        <f>[1]节奏总纲!AC87</f>
        <v>84</v>
      </c>
      <c r="AD87" s="4">
        <f>[1]节奏总纲!AD87</f>
        <v>64.090988120365651</v>
      </c>
      <c r="AE87" s="4">
        <f>[1]节奏总纲!AE87</f>
        <v>66.105889403880397</v>
      </c>
      <c r="AF87" s="4">
        <f>[1]节奏总纲!AF87</f>
        <v>69.01697485309198</v>
      </c>
      <c r="AG87" s="4">
        <f>[1]节奏总纲!AG87</f>
        <v>73.514782909236544</v>
      </c>
      <c r="AH87" s="4">
        <f>[1]节奏总纲!AH87</f>
        <v>82.128973371044353</v>
      </c>
      <c r="AZ87" s="4">
        <v>84</v>
      </c>
      <c r="BA87" s="4">
        <v>36.863014124290601</v>
      </c>
      <c r="BB87" s="4">
        <v>38.35066605767593</v>
      </c>
      <c r="BC87" s="4">
        <v>40.28554255651148</v>
      </c>
      <c r="BD87" s="4">
        <v>43.030177309109042</v>
      </c>
      <c r="BE87" s="4">
        <v>47.7022976997416</v>
      </c>
    </row>
    <row r="88" spans="6:57" x14ac:dyDescent="0.15">
      <c r="F88" s="4">
        <f>[1]节奏总纲!F88</f>
        <v>86</v>
      </c>
      <c r="G88" s="4">
        <f>[1]节奏总纲!G88</f>
        <v>387.02344102666189</v>
      </c>
      <c r="N88" s="4">
        <f>[1]节奏总纲!N88</f>
        <v>95</v>
      </c>
      <c r="O88" s="4">
        <f>[1]节奏总纲!O88</f>
        <v>85</v>
      </c>
      <c r="P88" s="4">
        <f>[1]节奏总纲!P88</f>
        <v>361.0386719675123</v>
      </c>
      <c r="Q88" s="4">
        <f>[1]节奏总纲!Q88</f>
        <v>311.72078937675008</v>
      </c>
      <c r="R88" s="4">
        <f>[1]节奏总纲!R88</f>
        <v>253.91849799475142</v>
      </c>
      <c r="S88" s="4">
        <f>[1]节奏总纲!S88</f>
        <v>185.57387739130132</v>
      </c>
      <c r="T88" s="4">
        <f>[1]节奏总纲!T88</f>
        <v>102.53498283877349</v>
      </c>
      <c r="V88" s="4">
        <f>[1]节奏总纲!V88</f>
        <v>85</v>
      </c>
      <c r="W88" s="4">
        <f>[1]节奏总纲!W88</f>
        <v>24.244646809651442</v>
      </c>
      <c r="X88" s="4">
        <f>[1]节奏总纲!X88</f>
        <v>20.461316420231981</v>
      </c>
      <c r="Y88" s="4">
        <f>[1]节奏总纲!Y88</f>
        <v>16.647107271038436</v>
      </c>
      <c r="Z88" s="4">
        <f>[1]节奏总纲!Z88</f>
        <v>12.596466070224011</v>
      </c>
      <c r="AA88" s="4">
        <f>[1]节奏总纲!AA88</f>
        <v>6.8854796939410079</v>
      </c>
      <c r="AC88" s="4">
        <f>[1]节奏总纲!AC88</f>
        <v>85</v>
      </c>
      <c r="AD88" s="4">
        <f>[1]节奏总纲!AD88</f>
        <v>64.255972994404218</v>
      </c>
      <c r="AE88" s="4">
        <f>[1]节奏总纲!AE88</f>
        <v>66.269371604948859</v>
      </c>
      <c r="AF88" s="4">
        <f>[1]节奏总纲!AF88</f>
        <v>69.17795498031839</v>
      </c>
      <c r="AG88" s="4">
        <f>[1]节奏总纲!AG88</f>
        <v>73.683853145707943</v>
      </c>
      <c r="AH88" s="4">
        <f>[1]节奏总纲!AH88</f>
        <v>82.296681479091191</v>
      </c>
      <c r="AZ88" s="4">
        <v>85</v>
      </c>
      <c r="BA88" s="4">
        <v>36.947184852926306</v>
      </c>
      <c r="BB88" s="4">
        <v>38.428954215473325</v>
      </c>
      <c r="BC88" s="4">
        <v>40.363241211344537</v>
      </c>
      <c r="BD88" s="4">
        <v>43.105070725978337</v>
      </c>
      <c r="BE88" s="4">
        <v>47.785447853033176</v>
      </c>
    </row>
    <row r="89" spans="6:57" x14ac:dyDescent="0.15">
      <c r="F89" s="4">
        <f>[1]节奏总纲!F89</f>
        <v>87</v>
      </c>
      <c r="G89" s="4">
        <f>[1]节奏总纲!G89</f>
        <v>414.87322693439216</v>
      </c>
      <c r="N89" s="4">
        <f>[1]节奏总纲!N89</f>
        <v>96</v>
      </c>
      <c r="O89" s="4">
        <f>[1]节奏总纲!O89</f>
        <v>86</v>
      </c>
      <c r="P89" s="4">
        <f>[1]节奏总纲!P89</f>
        <v>387.02344102666189</v>
      </c>
      <c r="Q89" s="4">
        <f>[1]节奏总纲!Q89</f>
        <v>334.00122960600919</v>
      </c>
      <c r="R89" s="4">
        <f>[1]节奏总纲!R89</f>
        <v>272.23228841815398</v>
      </c>
      <c r="S89" s="4">
        <f>[1]节奏总纲!S89</f>
        <v>199.39447681693619</v>
      </c>
      <c r="T89" s="4">
        <f>[1]节奏总纲!T89</f>
        <v>108.94709864900531</v>
      </c>
      <c r="V89" s="4">
        <f>[1]节奏总纲!V89</f>
        <v>86</v>
      </c>
      <c r="W89" s="4">
        <f>[1]节奏总纲!W89</f>
        <v>25.984769059149585</v>
      </c>
      <c r="X89" s="4">
        <f>[1]节奏总纲!X89</f>
        <v>22.280440229259113</v>
      </c>
      <c r="Y89" s="4">
        <f>[1]节奏总纲!Y89</f>
        <v>18.313790423402565</v>
      </c>
      <c r="Z89" s="4">
        <f>[1]节奏总纲!Z89</f>
        <v>13.820599425634867</v>
      </c>
      <c r="AA89" s="4">
        <f>[1]节奏总纲!AA89</f>
        <v>6.4121158102318248</v>
      </c>
      <c r="AC89" s="4">
        <f>[1]节奏总纲!AC89</f>
        <v>86</v>
      </c>
      <c r="AD89" s="4">
        <f>[1]节奏总纲!AD89</f>
        <v>64.420957868442798</v>
      </c>
      <c r="AE89" s="4">
        <f>[1]节奏总纲!AE89</f>
        <v>66.43285380601732</v>
      </c>
      <c r="AF89" s="4">
        <f>[1]节奏总纲!AF89</f>
        <v>69.338935107544785</v>
      </c>
      <c r="AG89" s="4">
        <f>[1]节奏总纲!AG89</f>
        <v>73.852923382179341</v>
      </c>
      <c r="AH89" s="4">
        <f>[1]节奏总纲!AH89</f>
        <v>82.464389587138029</v>
      </c>
      <c r="AZ89" s="4">
        <v>86</v>
      </c>
      <c r="BA89" s="4">
        <v>37.027046282459708</v>
      </c>
      <c r="BB89" s="4">
        <v>38.507242373270728</v>
      </c>
      <c r="BC89" s="4">
        <v>40.440939866177594</v>
      </c>
      <c r="BD89" s="4">
        <v>43.179964142847631</v>
      </c>
      <c r="BE89" s="4">
        <v>47.868598006324753</v>
      </c>
    </row>
    <row r="90" spans="6:57" x14ac:dyDescent="0.15">
      <c r="F90" s="4">
        <f>[1]节奏总纲!F90</f>
        <v>88</v>
      </c>
      <c r="G90" s="4">
        <f>[1]节奏总纲!G90</f>
        <v>444.72188840761549</v>
      </c>
      <c r="N90" s="4">
        <f>[1]节奏总纲!N90</f>
        <v>97</v>
      </c>
      <c r="O90" s="4">
        <f>[1]节奏总纲!O90</f>
        <v>87</v>
      </c>
      <c r="P90" s="4">
        <f>[1]节奏总纲!P90</f>
        <v>414.87322693439216</v>
      </c>
      <c r="Q90" s="4">
        <f>[1]节奏总纲!Q90</f>
        <v>358.28451878054108</v>
      </c>
      <c r="R90" s="4">
        <f>[1]节奏总纲!R90</f>
        <v>292.4026503433596</v>
      </c>
      <c r="S90" s="4">
        <f>[1]节奏总纲!S90</f>
        <v>212.58104148118252</v>
      </c>
      <c r="T90" s="4">
        <f>[1]节奏总纲!T90</f>
        <v>115.74963031469542</v>
      </c>
      <c r="V90" s="4">
        <f>[1]节奏总纲!V90</f>
        <v>87</v>
      </c>
      <c r="W90" s="4">
        <f>[1]节奏总纲!W90</f>
        <v>27.849785907730279</v>
      </c>
      <c r="X90" s="4">
        <f>[1]节奏总纲!X90</f>
        <v>24.283289174531888</v>
      </c>
      <c r="Y90" s="4">
        <f>[1]节奏总纲!Y90</f>
        <v>20.170361925205611</v>
      </c>
      <c r="Z90" s="4">
        <f>[1]节奏总纲!Z90</f>
        <v>13.186564664246333</v>
      </c>
      <c r="AA90" s="4">
        <f>[1]节奏总纲!AA90</f>
        <v>6.8025316656901111</v>
      </c>
      <c r="AC90" s="4">
        <f>[1]节奏总纲!AC90</f>
        <v>87</v>
      </c>
      <c r="AD90" s="4">
        <f>[1]节奏总纲!AD90</f>
        <v>64.585942742481365</v>
      </c>
      <c r="AE90" s="4">
        <f>[1]节奏总纲!AE90</f>
        <v>66.596336007085796</v>
      </c>
      <c r="AF90" s="4">
        <f>[1]节奏总纲!AF90</f>
        <v>69.49991523477118</v>
      </c>
      <c r="AG90" s="4">
        <f>[1]节奏总纲!AG90</f>
        <v>74.02050499447661</v>
      </c>
      <c r="AH90" s="4">
        <f>[1]节奏总纲!AH90</f>
        <v>82.632097695184868</v>
      </c>
      <c r="AZ90" s="4">
        <v>87</v>
      </c>
      <c r="BA90" s="4">
        <v>37.099649155317238</v>
      </c>
      <c r="BB90" s="4">
        <v>38.58553053106813</v>
      </c>
      <c r="BC90" s="4">
        <v>40.518638521010651</v>
      </c>
      <c r="BD90" s="4">
        <v>43.254857559716925</v>
      </c>
      <c r="BE90" s="4">
        <v>47.951748159616329</v>
      </c>
    </row>
    <row r="91" spans="6:57" x14ac:dyDescent="0.15">
      <c r="F91" s="4">
        <f>[1]节奏总纲!F91</f>
        <v>89</v>
      </c>
      <c r="G91" s="4">
        <f>[1]节奏总纲!G91</f>
        <v>476.71289166684534</v>
      </c>
      <c r="N91" s="4">
        <f>[1]节奏总纲!N91</f>
        <v>98</v>
      </c>
      <c r="O91" s="4">
        <f>[1]节奏总纲!O91</f>
        <v>88</v>
      </c>
      <c r="P91" s="4">
        <f>[1]节奏总纲!P91</f>
        <v>444.72188840761549</v>
      </c>
      <c r="Q91" s="4">
        <f>[1]节奏总纲!Q91</f>
        <v>384.7733778502689</v>
      </c>
      <c r="R91" s="4">
        <f>[1]节奏总纲!R91</f>
        <v>312.90632068359827</v>
      </c>
      <c r="S91" s="4">
        <f>[1]节奏总纲!S91</f>
        <v>226.0076636887502</v>
      </c>
      <c r="T91" s="4">
        <f>[1]节奏总纲!T91</f>
        <v>123.1879630889095</v>
      </c>
      <c r="V91" s="4">
        <f>[1]节奏总纲!V91</f>
        <v>88</v>
      </c>
      <c r="W91" s="4">
        <f>[1]节奏总纲!W91</f>
        <v>29.848661473223331</v>
      </c>
      <c r="X91" s="4">
        <f>[1]节奏总纲!X91</f>
        <v>26.488859069727823</v>
      </c>
      <c r="Y91" s="4">
        <f>[1]节奏总纲!Y91</f>
        <v>20.503670340238671</v>
      </c>
      <c r="Z91" s="4">
        <f>[1]节奏总纲!Z91</f>
        <v>13.426622207567675</v>
      </c>
      <c r="AA91" s="4">
        <f>[1]节奏总纲!AA91</f>
        <v>7.438332774214075</v>
      </c>
      <c r="AC91" s="4">
        <f>[1]节奏总纲!AC91</f>
        <v>88</v>
      </c>
      <c r="AD91" s="4">
        <f>[1]节奏总纲!AD91</f>
        <v>64.750927616519931</v>
      </c>
      <c r="AE91" s="4">
        <f>[1]节奏总纲!AE91</f>
        <v>66.759818208154257</v>
      </c>
      <c r="AF91" s="4">
        <f>[1]节奏总纲!AF91</f>
        <v>69.660895361997589</v>
      </c>
      <c r="AG91" s="4">
        <f>[1]节奏总纲!AG91</f>
        <v>74.178131818877702</v>
      </c>
      <c r="AH91" s="4">
        <f>[1]节奏总纲!AH91</f>
        <v>82.799805803231706</v>
      </c>
      <c r="AZ91" s="4">
        <v>88</v>
      </c>
      <c r="BA91" s="4">
        <v>37.172252028174768</v>
      </c>
      <c r="BB91" s="4">
        <v>38.663818688865533</v>
      </c>
      <c r="BC91" s="4">
        <v>40.596337175843701</v>
      </c>
      <c r="BD91" s="4">
        <v>43.329750976586219</v>
      </c>
      <c r="BE91" s="4">
        <v>48.030128751164234</v>
      </c>
    </row>
    <row r="92" spans="6:57" x14ac:dyDescent="0.15">
      <c r="F92" s="4">
        <f>[1]节奏总纲!F92</f>
        <v>90</v>
      </c>
      <c r="G92" s="4">
        <f>[1]节奏总纲!G92</f>
        <v>511</v>
      </c>
      <c r="N92" s="4">
        <f>[1]节奏总纲!N92</f>
        <v>99</v>
      </c>
      <c r="O92" s="4">
        <f>[1]节奏总纲!O92</f>
        <v>89</v>
      </c>
      <c r="P92" s="4">
        <f>[1]节奏总纲!P92</f>
        <v>476.71289166684534</v>
      </c>
      <c r="Q92" s="4">
        <f>[1]节奏总纲!Q92</f>
        <v>411.78459582182103</v>
      </c>
      <c r="R92" s="4">
        <f>[1]节奏总纲!R92</f>
        <v>332.60258451595797</v>
      </c>
      <c r="S92" s="4">
        <f>[1]节奏总纲!S92</f>
        <v>240.31096868925673</v>
      </c>
      <c r="T92" s="4">
        <f>[1]节奏总纲!T92</f>
        <v>130.61933231671563</v>
      </c>
      <c r="V92" s="4">
        <f>[1]节奏总纲!V92</f>
        <v>89</v>
      </c>
      <c r="W92" s="4">
        <f>[1]节奏总纲!W92</f>
        <v>31.991003259229842</v>
      </c>
      <c r="X92" s="4">
        <f>[1]节奏总纲!X92</f>
        <v>27.011217971552128</v>
      </c>
      <c r="Y92" s="4">
        <f>[1]节奏总纲!Y92</f>
        <v>19.696263832359705</v>
      </c>
      <c r="Z92" s="4">
        <f>[1]节奏总纲!Z92</f>
        <v>14.303305000506526</v>
      </c>
      <c r="AA92" s="4">
        <f>[1]节奏总纲!AA92</f>
        <v>7.4313692278061296</v>
      </c>
      <c r="AC92" s="4">
        <f>[1]节奏总纲!AC92</f>
        <v>89</v>
      </c>
      <c r="AD92" s="4">
        <f>[1]节奏总纲!AD92</f>
        <v>64.915912490558512</v>
      </c>
      <c r="AE92" s="4">
        <f>[1]节奏总纲!AE92</f>
        <v>66.923300409222719</v>
      </c>
      <c r="AF92" s="4">
        <f>[1]节奏总纲!AF92</f>
        <v>69.821875489223984</v>
      </c>
      <c r="AG92" s="4">
        <f>[1]节奏总纲!AG92</f>
        <v>74.335758643278794</v>
      </c>
      <c r="AH92" s="4">
        <f>[1]节奏总纲!AH92</f>
        <v>82.967513911278544</v>
      </c>
      <c r="AZ92" s="4">
        <v>89</v>
      </c>
      <c r="BA92" s="4">
        <v>37.244854901032298</v>
      </c>
      <c r="BB92" s="4">
        <v>38.742106846662928</v>
      </c>
      <c r="BC92" s="4">
        <v>40.674035830676758</v>
      </c>
      <c r="BD92" s="4">
        <v>43.404644393455513</v>
      </c>
      <c r="BE92" s="4">
        <v>48.101914750802706</v>
      </c>
    </row>
    <row r="93" spans="6:57" x14ac:dyDescent="0.15">
      <c r="F93" s="4">
        <f>[1]节奏总纲!F93</f>
        <v>91</v>
      </c>
      <c r="G93" s="4">
        <f>[1]节奏总纲!G93</f>
        <v>547.74801281858208</v>
      </c>
      <c r="N93" s="4">
        <f>[1]节奏总纲!N93</f>
        <v>100</v>
      </c>
      <c r="O93" s="4">
        <f>[1]节奏总纲!O93</f>
        <v>90</v>
      </c>
      <c r="P93" s="4">
        <f>[1]节奏总纲!P93</f>
        <v>511</v>
      </c>
      <c r="Q93" s="4">
        <f>[1]节奏总纲!Q93</f>
        <v>438.13140000000004</v>
      </c>
      <c r="R93" s="4">
        <f>[1]节奏总纲!R93</f>
        <v>354.12299999999999</v>
      </c>
      <c r="S93" s="4">
        <f>[1]节奏总纲!S93</f>
        <v>254.88680000000002</v>
      </c>
      <c r="T93" s="4">
        <f>[1]节奏总纲!T93</f>
        <v>138.48100000000002</v>
      </c>
      <c r="V93" s="4">
        <f>[1]节奏总纲!V93</f>
        <v>90</v>
      </c>
      <c r="W93" s="4">
        <f>[1]节奏总纲!W93</f>
        <v>34.287108333154663</v>
      </c>
      <c r="X93" s="4">
        <f>[1]节奏总纲!X93</f>
        <v>26.346804178179013</v>
      </c>
      <c r="Y93" s="4">
        <f>[1]节奏总纲!Y93</f>
        <v>21.520415484042019</v>
      </c>
      <c r="Z93" s="4">
        <f>[1]节奏总纲!Z93</f>
        <v>14.575831310743297</v>
      </c>
      <c r="AA93" s="4">
        <f>[1]节奏总纲!AA93</f>
        <v>7.861667683284395</v>
      </c>
      <c r="AC93" s="4">
        <f>[1]节奏总纲!AC93</f>
        <v>90</v>
      </c>
      <c r="AD93" s="4">
        <f>[1]节奏总纲!AD93</f>
        <v>65.075479910097457</v>
      </c>
      <c r="AE93" s="4">
        <f>[1]节奏总纲!AE93</f>
        <v>67.083433628014333</v>
      </c>
      <c r="AF93" s="4">
        <f>[1]节奏总纲!AF93</f>
        <v>69.982855616450394</v>
      </c>
      <c r="AG93" s="4">
        <f>[1]节奏总纲!AG93</f>
        <v>74.493385467679886</v>
      </c>
      <c r="AH93" s="4">
        <f>[1]节奏总纲!AH93</f>
        <v>83.124894550960335</v>
      </c>
      <c r="AZ93" s="4">
        <v>90</v>
      </c>
      <c r="BA93" s="4">
        <v>37.317457773889828</v>
      </c>
      <c r="BB93" s="4">
        <v>38.82039500446033</v>
      </c>
      <c r="BC93" s="4">
        <v>40.751734485509814</v>
      </c>
      <c r="BD93" s="4">
        <v>43.479537810324807</v>
      </c>
      <c r="BE93" s="4">
        <v>48.173700750441178</v>
      </c>
    </row>
    <row r="94" spans="6:57" x14ac:dyDescent="0.15">
      <c r="F94" s="4">
        <f>[1]节奏总纲!F94</f>
        <v>92</v>
      </c>
      <c r="G94" s="4">
        <f>[1]节奏总纲!G94</f>
        <v>587.1335577584814</v>
      </c>
      <c r="N94" s="4">
        <f>[1]节奏总纲!N94</f>
        <v>101</v>
      </c>
      <c r="O94" s="4">
        <f>[1]节奏总纲!O94</f>
        <v>91</v>
      </c>
      <c r="P94" s="4">
        <f>[1]节奏总纲!P94</f>
        <v>547.74801281858208</v>
      </c>
      <c r="Q94" s="4">
        <f>[1]节奏总纲!Q94</f>
        <v>469.6391461906523</v>
      </c>
      <c r="R94" s="4">
        <f>[1]节奏总纲!R94</f>
        <v>378.43910205635837</v>
      </c>
      <c r="S94" s="4">
        <f>[1]节奏总纲!S94</f>
        <v>272.61418597980827</v>
      </c>
      <c r="T94" s="4">
        <f>[1]节奏总纲!T94</f>
        <v>147.89196346101718</v>
      </c>
      <c r="V94" s="4">
        <f>[1]节奏总纲!V94</f>
        <v>91</v>
      </c>
      <c r="W94" s="4">
        <f>[1]节奏总纲!W94</f>
        <v>36.748012818582083</v>
      </c>
      <c r="X94" s="4">
        <f>[1]节奏总纲!X94</f>
        <v>31.507746190652256</v>
      </c>
      <c r="Y94" s="4">
        <f>[1]节奏总纲!Y94</f>
        <v>24.316102056358375</v>
      </c>
      <c r="Z94" s="4">
        <f>[1]节奏总纲!Z94</f>
        <v>17.727385979808247</v>
      </c>
      <c r="AA94" s="4">
        <f>[1]节奏总纲!AA94</f>
        <v>9.4109634610171611</v>
      </c>
      <c r="AC94" s="4">
        <f>[1]节奏总纲!AC94</f>
        <v>91</v>
      </c>
      <c r="AD94" s="4">
        <f>[1]节奏总纲!AD94</f>
        <v>65.229416240679981</v>
      </c>
      <c r="AE94" s="4">
        <f>[1]节奏总纲!AE94</f>
        <v>67.240606973055961</v>
      </c>
      <c r="AF94" s="4">
        <f>[1]节奏总纲!AF94</f>
        <v>70.137942795989005</v>
      </c>
      <c r="AG94" s="4">
        <f>[1]节奏总纲!AG94</f>
        <v>74.651012292080978</v>
      </c>
      <c r="AH94" s="4">
        <f>[1]节奏总纲!AH94</f>
        <v>83.279794092850153</v>
      </c>
      <c r="AZ94" s="4">
        <v>91</v>
      </c>
      <c r="BA94" s="4">
        <v>37.390060646747358</v>
      </c>
      <c r="BB94" s="4">
        <v>38.898683162257733</v>
      </c>
      <c r="BC94" s="4">
        <v>40.829433140342871</v>
      </c>
      <c r="BD94" s="4">
        <v>43.554431227194108</v>
      </c>
      <c r="BE94" s="4">
        <v>48.24548675007965</v>
      </c>
    </row>
    <row r="95" spans="6:57" x14ac:dyDescent="0.15">
      <c r="F95" s="4">
        <f>[1]节奏总纲!F95</f>
        <v>93</v>
      </c>
      <c r="G95" s="4">
        <f>[1]节奏总纲!G95</f>
        <v>629.34593963259704</v>
      </c>
      <c r="N95" s="4">
        <f>[1]节奏总纲!N95</f>
        <v>102</v>
      </c>
      <c r="O95" s="4">
        <f>[1]节奏总纲!O95</f>
        <v>92</v>
      </c>
      <c r="P95" s="4">
        <f>[1]节奏总纲!P95</f>
        <v>587.1335577584814</v>
      </c>
      <c r="Q95" s="4">
        <f>[1]节奏总纲!Q95</f>
        <v>502.29275866238083</v>
      </c>
      <c r="R95" s="4">
        <f>[1]节奏总纲!R95</f>
        <v>405.12215485335213</v>
      </c>
      <c r="S95" s="4">
        <f>[1]节奏总纲!S95</f>
        <v>291.57052478286187</v>
      </c>
      <c r="T95" s="4">
        <f>[1]节奏总纲!T95</f>
        <v>157.64536025815227</v>
      </c>
      <c r="V95" s="4">
        <f>[1]节奏总纲!V95</f>
        <v>92</v>
      </c>
      <c r="W95" s="4">
        <f>[1]节奏总纲!W95</f>
        <v>39.385544939899319</v>
      </c>
      <c r="X95" s="4">
        <f>[1]节奏总纲!X95</f>
        <v>32.653612471728536</v>
      </c>
      <c r="Y95" s="4">
        <f>[1]节奏总纲!Y95</f>
        <v>26.683052796993763</v>
      </c>
      <c r="Z95" s="4">
        <f>[1]节奏总纲!Z95</f>
        <v>18.956338803053598</v>
      </c>
      <c r="AA95" s="4">
        <f>[1]节奏总纲!AA95</f>
        <v>9.7533967971350819</v>
      </c>
      <c r="AC95" s="4">
        <f>[1]节奏总纲!AC95</f>
        <v>92</v>
      </c>
      <c r="AD95" s="4">
        <f>[1]节奏总纲!AD95</f>
        <v>65.38335257126252</v>
      </c>
      <c r="AE95" s="4">
        <f>[1]节奏总纲!AE95</f>
        <v>67.397780318097588</v>
      </c>
      <c r="AF95" s="4">
        <f>[1]节奏总纲!AF95</f>
        <v>70.292327570459079</v>
      </c>
      <c r="AG95" s="4">
        <f>[1]节奏总纲!AG95</f>
        <v>74.808639116482055</v>
      </c>
      <c r="AH95" s="4">
        <f>[1]节奏总纲!AH95</f>
        <v>83.434693634739986</v>
      </c>
      <c r="AZ95" s="4">
        <v>92</v>
      </c>
      <c r="BA95" s="4">
        <v>37.462663519604888</v>
      </c>
      <c r="BB95" s="4">
        <v>38.976971320055128</v>
      </c>
      <c r="BC95" s="4">
        <v>40.907131795175928</v>
      </c>
      <c r="BD95" s="4">
        <v>43.629324644063402</v>
      </c>
      <c r="BE95" s="4">
        <v>48.317272749718121</v>
      </c>
    </row>
    <row r="96" spans="6:57" x14ac:dyDescent="0.15">
      <c r="F96" s="4">
        <f>[1]节奏总纲!F96</f>
        <v>94</v>
      </c>
      <c r="G96" s="4">
        <f>[1]节奏总纲!G96</f>
        <v>674.58805031572183</v>
      </c>
      <c r="N96" s="4">
        <f>[1]节奏总纲!N96</f>
        <v>103</v>
      </c>
      <c r="O96" s="4">
        <f>[1]节奏总纲!O96</f>
        <v>93</v>
      </c>
      <c r="P96" s="4">
        <f>[1]节奏总纲!P96</f>
        <v>629.34593963259704</v>
      </c>
      <c r="Q96" s="4">
        <f>[1]节奏总纲!Q96</f>
        <v>538.34251676172357</v>
      </c>
      <c r="R96" s="4">
        <f>[1]节奏总纲!R96</f>
        <v>433.68228700082267</v>
      </c>
      <c r="S96" s="4">
        <f>[1]节奏总纲!S96</f>
        <v>311.52624011813555</v>
      </c>
      <c r="T96" s="4">
        <f>[1]节奏总纲!T96</f>
        <v>168.35003885171972</v>
      </c>
      <c r="V96" s="4">
        <f>[1]节奏总纲!V96</f>
        <v>93</v>
      </c>
      <c r="W96" s="4">
        <f>[1]节奏总纲!W96</f>
        <v>42.212381874115636</v>
      </c>
      <c r="X96" s="4">
        <f>[1]节奏总纲!X96</f>
        <v>36.049758099342739</v>
      </c>
      <c r="Y96" s="4">
        <f>[1]节奏总纲!Y96</f>
        <v>28.56013214747054</v>
      </c>
      <c r="Z96" s="4">
        <f>[1]节奏总纲!Z96</f>
        <v>19.95571533527368</v>
      </c>
      <c r="AA96" s="4">
        <f>[1]节奏总纲!AA96</f>
        <v>10.704678593567451</v>
      </c>
      <c r="AC96" s="4">
        <f>[1]节奏总纲!AC96</f>
        <v>93</v>
      </c>
      <c r="AD96" s="4">
        <f>[1]节奏总纲!AD96</f>
        <v>65.537288901845059</v>
      </c>
      <c r="AE96" s="4">
        <f>[1]节奏总纲!AE96</f>
        <v>67.554953663139216</v>
      </c>
      <c r="AF96" s="4">
        <f>[1]节奏总纲!AF96</f>
        <v>70.446712344929153</v>
      </c>
      <c r="AG96" s="4">
        <f>[1]节奏总纲!AG96</f>
        <v>74.966265940883147</v>
      </c>
      <c r="AH96" s="4">
        <f>[1]节奏总纲!AH96</f>
        <v>83.589593176629805</v>
      </c>
      <c r="AZ96" s="4">
        <v>93</v>
      </c>
      <c r="BA96" s="4">
        <v>37.535266392462418</v>
      </c>
      <c r="BB96" s="4">
        <v>39.047673544184711</v>
      </c>
      <c r="BC96" s="4">
        <v>40.984830450008985</v>
      </c>
      <c r="BD96" s="4">
        <v>43.704218060932696</v>
      </c>
      <c r="BE96" s="4">
        <v>48.389058749356593</v>
      </c>
    </row>
    <row r="97" spans="6:57" x14ac:dyDescent="0.15">
      <c r="F97" s="4">
        <f>[1]节奏总纲!F97</f>
        <v>95</v>
      </c>
      <c r="G97" s="4">
        <f>[1]节奏总纲!G97</f>
        <v>723.0773439350246</v>
      </c>
      <c r="N97" s="4">
        <f>[1]节奏总纲!N97</f>
        <v>104</v>
      </c>
      <c r="O97" s="4">
        <f>[1]节奏总纲!O97</f>
        <v>94</v>
      </c>
      <c r="P97" s="4">
        <f>[1]节奏总纲!P97</f>
        <v>674.58805031572183</v>
      </c>
      <c r="Q97" s="4">
        <f>[1]节奏总纲!Q97</f>
        <v>576.30057138472114</v>
      </c>
      <c r="R97" s="4">
        <f>[1]节奏总纲!R97</f>
        <v>464.04911981218504</v>
      </c>
      <c r="S97" s="4">
        <f>[1]节奏总纲!S97</f>
        <v>332.70682641571403</v>
      </c>
      <c r="T97" s="4">
        <f>[1]节奏总纲!T97</f>
        <v>179.6427977990767</v>
      </c>
      <c r="V97" s="4">
        <f>[1]节奏总纲!V97</f>
        <v>94</v>
      </c>
      <c r="W97" s="4">
        <f>[1]节奏总纲!W97</f>
        <v>45.242110683124793</v>
      </c>
      <c r="X97" s="4">
        <f>[1]节奏总纲!X97</f>
        <v>37.958054622997565</v>
      </c>
      <c r="Y97" s="4">
        <f>[1]节奏总纲!Y97</f>
        <v>30.366832811362372</v>
      </c>
      <c r="Z97" s="4">
        <f>[1]节奏总纲!Z97</f>
        <v>21.180586297578486</v>
      </c>
      <c r="AA97" s="4">
        <f>[1]节奏总纲!AA97</f>
        <v>11.292758947356987</v>
      </c>
      <c r="AC97" s="4">
        <f>[1]节奏总纲!AC97</f>
        <v>94</v>
      </c>
      <c r="AD97" s="4">
        <f>[1]节奏总纲!AD97</f>
        <v>65.691225232427584</v>
      </c>
      <c r="AE97" s="4">
        <f>[1]节奏总纲!AE97</f>
        <v>67.712127008180858</v>
      </c>
      <c r="AF97" s="4">
        <f>[1]节奏总纲!AF97</f>
        <v>70.601097119399213</v>
      </c>
      <c r="AG97" s="4">
        <f>[1]节奏总纲!AG97</f>
        <v>75.115180559621535</v>
      </c>
      <c r="AH97" s="4">
        <f>[1]节奏总纲!AH97</f>
        <v>83.744492718519624</v>
      </c>
      <c r="AZ97" s="4">
        <v>94</v>
      </c>
      <c r="BA97" s="4">
        <v>37.607869265319941</v>
      </c>
      <c r="BB97" s="4">
        <v>39.115214427575864</v>
      </c>
      <c r="BC97" s="4">
        <v>41.053954370816207</v>
      </c>
      <c r="BD97" s="4">
        <v>43.77911147780199</v>
      </c>
      <c r="BE97" s="4">
        <v>48.460844748995065</v>
      </c>
    </row>
    <row r="98" spans="6:57" x14ac:dyDescent="0.15">
      <c r="F98" s="4">
        <f>[1]节奏总纲!F98</f>
        <v>96</v>
      </c>
      <c r="G98" s="4">
        <f>[1]节奏总纲!G98</f>
        <v>775.04688205332377</v>
      </c>
      <c r="N98" s="4">
        <f>[1]节奏总纲!N98</f>
        <v>105</v>
      </c>
      <c r="O98" s="4">
        <f>[1]节奏总纲!O98</f>
        <v>95</v>
      </c>
      <c r="P98" s="4">
        <f>[1]节奏总纲!P98</f>
        <v>723.0773439350246</v>
      </c>
      <c r="Q98" s="4">
        <f>[1]节奏总纲!Q98</f>
        <v>618.15882133005255</v>
      </c>
      <c r="R98" s="4">
        <f>[1]节奏总纲!R98</f>
        <v>495.95875020503337</v>
      </c>
      <c r="S98" s="4">
        <f>[1]节奏总纲!S98</f>
        <v>355.39251454406457</v>
      </c>
      <c r="T98" s="4">
        <f>[1]节奏总纲!T98</f>
        <v>192.84472762747106</v>
      </c>
      <c r="V98" s="4">
        <f>[1]节奏总纲!V98</f>
        <v>95</v>
      </c>
      <c r="W98" s="4">
        <f>[1]节奏总纲!W98</f>
        <v>48.489293619302771</v>
      </c>
      <c r="X98" s="4">
        <f>[1]节奏总纲!X98</f>
        <v>41.858249945331409</v>
      </c>
      <c r="Y98" s="4">
        <f>[1]节奏总纲!Y98</f>
        <v>31.909630392848328</v>
      </c>
      <c r="Z98" s="4">
        <f>[1]节奏总纲!Z98</f>
        <v>22.685688128350534</v>
      </c>
      <c r="AA98" s="4">
        <f>[1]节奏总纲!AA98</f>
        <v>13.201929828394356</v>
      </c>
      <c r="AC98" s="4">
        <f>[1]节奏总纲!AC98</f>
        <v>95</v>
      </c>
      <c r="AD98" s="4">
        <f>[1]节奏总纲!AD98</f>
        <v>65.845161563010123</v>
      </c>
      <c r="AE98" s="4">
        <f>[1]节奏总纲!AE98</f>
        <v>67.869300353222485</v>
      </c>
      <c r="AF98" s="4">
        <f>[1]节奏总纲!AF98</f>
        <v>70.755481893869288</v>
      </c>
      <c r="AG98" s="4">
        <f>[1]节奏总纲!AG98</f>
        <v>75.261722981240993</v>
      </c>
      <c r="AH98" s="4">
        <f>[1]节奏总纲!AH98</f>
        <v>83.899392260409456</v>
      </c>
      <c r="AZ98" s="4">
        <v>95</v>
      </c>
      <c r="BA98" s="4">
        <v>37.680472138177471</v>
      </c>
      <c r="BB98" s="4">
        <v>39.182755310967018</v>
      </c>
      <c r="BC98" s="4">
        <v>41.120998062635785</v>
      </c>
      <c r="BD98" s="4">
        <v>43.854004894671284</v>
      </c>
      <c r="BE98" s="4">
        <v>48.532630748633537</v>
      </c>
    </row>
    <row r="99" spans="6:57" x14ac:dyDescent="0.15">
      <c r="F99" s="4">
        <f>[1]节奏总纲!F99</f>
        <v>97</v>
      </c>
      <c r="G99" s="4">
        <f>[1]节奏总纲!G99</f>
        <v>830.74645386878444</v>
      </c>
      <c r="N99" s="4">
        <f>[1]节奏总纲!N99</f>
        <v>106</v>
      </c>
      <c r="O99" s="4">
        <f>[1]节奏总纲!O99</f>
        <v>96</v>
      </c>
      <c r="P99" s="4">
        <f>[1]节奏总纲!P99</f>
        <v>775.04688205332377</v>
      </c>
      <c r="Q99" s="4">
        <f>[1]节奏总纲!Q99</f>
        <v>661.0374857032798</v>
      </c>
      <c r="R99" s="4">
        <f>[1]节奏总纲!R99</f>
        <v>529.97705794806279</v>
      </c>
      <c r="S99" s="4">
        <f>[1]节奏总纲!S99</f>
        <v>380.70302846459265</v>
      </c>
      <c r="T99" s="4">
        <f>[1]节奏总纲!T99</f>
        <v>206.86001282003213</v>
      </c>
      <c r="V99" s="4">
        <f>[1]节奏总纲!V99</f>
        <v>96</v>
      </c>
      <c r="W99" s="4">
        <f>[1]节奏总纲!W99</f>
        <v>51.96953811829917</v>
      </c>
      <c r="X99" s="4">
        <f>[1]节奏总纲!X99</f>
        <v>42.878664373227252</v>
      </c>
      <c r="Y99" s="4">
        <f>[1]节奏总纲!Y99</f>
        <v>34.018307743029425</v>
      </c>
      <c r="Z99" s="4">
        <f>[1]节奏总纲!Z99</f>
        <v>25.310513920528081</v>
      </c>
      <c r="AA99" s="4">
        <f>[1]节奏总纲!AA99</f>
        <v>14.015285192561066</v>
      </c>
      <c r="AC99" s="4">
        <f>[1]节奏总纲!AC99</f>
        <v>96</v>
      </c>
      <c r="AD99" s="4">
        <f>[1]节奏总纲!AD99</f>
        <v>65.999097893592648</v>
      </c>
      <c r="AE99" s="4">
        <f>[1]节奏总纲!AE99</f>
        <v>68.025215371037646</v>
      </c>
      <c r="AF99" s="4">
        <f>[1]节奏总纲!AF99</f>
        <v>70.909866668339362</v>
      </c>
      <c r="AG99" s="4">
        <f>[1]节奏总纲!AG99</f>
        <v>75.408265402860437</v>
      </c>
      <c r="AH99" s="4">
        <f>[1]节奏总纲!AH99</f>
        <v>84.050903767166133</v>
      </c>
      <c r="AZ99" s="4">
        <v>96</v>
      </c>
      <c r="BA99" s="4">
        <v>37.753075011035001</v>
      </c>
      <c r="BB99" s="4">
        <v>39.250296194358178</v>
      </c>
      <c r="BC99" s="4">
        <v>41.188041754455355</v>
      </c>
      <c r="BD99" s="4">
        <v>43.928898311540578</v>
      </c>
      <c r="BE99" s="4">
        <v>48.604416748272008</v>
      </c>
    </row>
    <row r="100" spans="6:57" x14ac:dyDescent="0.15">
      <c r="F100" s="4">
        <f>[1]节奏总纲!F100</f>
        <v>98</v>
      </c>
      <c r="G100" s="4">
        <f>[1]节奏总纲!G100</f>
        <v>890.4437768152311</v>
      </c>
      <c r="N100" s="4">
        <f>[1]节奏总纲!N100</f>
        <v>107</v>
      </c>
      <c r="O100" s="4">
        <f>[1]节奏总纲!O100</f>
        <v>97</v>
      </c>
      <c r="P100" s="4">
        <f>[1]节奏总纲!P100</f>
        <v>830.74645386878444</v>
      </c>
      <c r="Q100" s="4">
        <f>[1]节奏总纲!Q100</f>
        <v>707.71290405081743</v>
      </c>
      <c r="R100" s="4">
        <f>[1]节奏总纲!R100</f>
        <v>569.31054483627804</v>
      </c>
      <c r="S100" s="4">
        <f>[1]节奏总纲!S100</f>
        <v>409.80722569347137</v>
      </c>
      <c r="T100" s="4">
        <f>[1]节奏总纲!T100</f>
        <v>223.30464679992923</v>
      </c>
      <c r="V100" s="4">
        <f>[1]节奏总纲!V100</f>
        <v>97</v>
      </c>
      <c r="W100" s="4">
        <f>[1]节奏总纲!W100</f>
        <v>55.699571815460672</v>
      </c>
      <c r="X100" s="4">
        <f>[1]节奏总纲!X100</f>
        <v>46.675418347537629</v>
      </c>
      <c r="Y100" s="4">
        <f>[1]节奏总纲!Y100</f>
        <v>39.333486888215248</v>
      </c>
      <c r="Z100" s="4">
        <f>[1]节奏总纲!Z100</f>
        <v>29.104197228878718</v>
      </c>
      <c r="AA100" s="4">
        <f>[1]节奏总纲!AA100</f>
        <v>16.444633979897105</v>
      </c>
      <c r="AC100" s="4">
        <f>[1]节奏总纲!AC100</f>
        <v>97</v>
      </c>
      <c r="AD100" s="4">
        <f>[1]节奏总纲!AD100</f>
        <v>66.142785979989682</v>
      </c>
      <c r="AE100" s="4">
        <f>[1]节奏总纲!AE100</f>
        <v>68.174918074940805</v>
      </c>
      <c r="AF100" s="4">
        <f>[1]节奏总纲!AF100</f>
        <v>71.061795050376986</v>
      </c>
      <c r="AG100" s="4">
        <f>[1]节奏总纲!AG100</f>
        <v>75.554807824479894</v>
      </c>
      <c r="AH100" s="4">
        <f>[1]节奏总纲!AH100</f>
        <v>84.196136930932482</v>
      </c>
      <c r="AZ100" s="4">
        <v>97</v>
      </c>
      <c r="BA100" s="4">
        <v>37.825677883892531</v>
      </c>
      <c r="BB100" s="4">
        <v>39.317837077749331</v>
      </c>
      <c r="BC100" s="4">
        <v>41.255085446274933</v>
      </c>
      <c r="BD100" s="4">
        <v>44.003272544984547</v>
      </c>
      <c r="BE100" s="4">
        <v>48.67620274791048</v>
      </c>
    </row>
    <row r="101" spans="6:57" x14ac:dyDescent="0.15">
      <c r="F101" s="4">
        <f>[1]节奏总纲!F101</f>
        <v>99</v>
      </c>
      <c r="G101" s="4">
        <f>[1]节奏总纲!G101</f>
        <v>954.42578333369079</v>
      </c>
      <c r="N101" s="4">
        <f>[1]节奏总纲!N101</f>
        <v>108</v>
      </c>
      <c r="O101" s="4">
        <f>[1]节奏总纲!O101</f>
        <v>98</v>
      </c>
      <c r="P101" s="4">
        <f>[1]节奏总纲!P101</f>
        <v>890.4437768152311</v>
      </c>
      <c r="Q101" s="4">
        <f>[1]节奏总纲!Q101</f>
        <v>760.34994102252585</v>
      </c>
      <c r="R101" s="4">
        <f>[1]节奏总纲!R101</f>
        <v>612.98149595960513</v>
      </c>
      <c r="S101" s="4">
        <f>[1]节奏总纲!S101</f>
        <v>441.9272464333992</v>
      </c>
      <c r="T101" s="4">
        <f>[1]节奏总纲!T101</f>
        <v>240.77599725083846</v>
      </c>
      <c r="V101" s="4">
        <f>[1]节奏总纲!V101</f>
        <v>98</v>
      </c>
      <c r="W101" s="4">
        <f>[1]节奏总纲!W101</f>
        <v>59.697322946446661</v>
      </c>
      <c r="X101" s="4">
        <f>[1]节奏总纲!X101</f>
        <v>52.637036971708426</v>
      </c>
      <c r="Y101" s="4">
        <f>[1]节奏总纲!Y101</f>
        <v>43.670951123327086</v>
      </c>
      <c r="Z101" s="4">
        <f>[1]节奏总纲!Z101</f>
        <v>32.120020739927838</v>
      </c>
      <c r="AA101" s="4">
        <f>[1]节奏总纲!AA101</f>
        <v>17.471350450909227</v>
      </c>
      <c r="AC101" s="4">
        <f>[1]节奏总纲!AC101</f>
        <v>98</v>
      </c>
      <c r="AD101" s="4">
        <f>[1]节奏总纲!AD101</f>
        <v>66.286413655019302</v>
      </c>
      <c r="AE101" s="4">
        <f>[1]节奏总纲!AE101</f>
        <v>68.324620778843951</v>
      </c>
      <c r="AF101" s="4">
        <f>[1]节奏总纲!AF101</f>
        <v>71.210277551293188</v>
      </c>
      <c r="AG101" s="4">
        <f>[1]节奏总纲!AG101</f>
        <v>75.701350246099338</v>
      </c>
      <c r="AH101" s="4">
        <f>[1]节奏总纲!AH101</f>
        <v>84.341370094698831</v>
      </c>
      <c r="AZ101" s="4">
        <v>98</v>
      </c>
      <c r="BA101" s="4">
        <v>37.898280756750061</v>
      </c>
      <c r="BB101" s="4">
        <v>39.385377961140485</v>
      </c>
      <c r="BC101" s="4">
        <v>41.322129138094503</v>
      </c>
      <c r="BD101" s="4">
        <v>44.067911160744309</v>
      </c>
      <c r="BE101" s="4">
        <v>48.747988747548945</v>
      </c>
    </row>
    <row r="102" spans="6:57" x14ac:dyDescent="0.15">
      <c r="F102" s="4">
        <f>[1]节奏总纲!F102</f>
        <v>100</v>
      </c>
      <c r="G102" s="4">
        <f>[1]节奏总纲!G102</f>
        <v>1023</v>
      </c>
      <c r="N102" s="4">
        <f>[1]节奏总纲!N102</f>
        <v>109</v>
      </c>
      <c r="O102" s="4">
        <f>[1]节奏总纲!O102</f>
        <v>99</v>
      </c>
      <c r="P102" s="4">
        <f>[1]节奏总纲!P102</f>
        <v>954.42578333369079</v>
      </c>
      <c r="Q102" s="4">
        <f>[1]节奏总纲!Q102</f>
        <v>816.51125764197252</v>
      </c>
      <c r="R102" s="4">
        <f>[1]节奏总纲!R102</f>
        <v>658.6492330785801</v>
      </c>
      <c r="S102" s="4">
        <f>[1]节奏总纲!S102</f>
        <v>475.39948267851139</v>
      </c>
      <c r="T102" s="4">
        <f>[1]节奏总纲!T102</f>
        <v>257.59951892176309</v>
      </c>
      <c r="V102" s="4">
        <f>[1]节奏总纲!V102</f>
        <v>99</v>
      </c>
      <c r="W102" s="4">
        <f>[1]节奏总纲!W102</f>
        <v>63.982006518459684</v>
      </c>
      <c r="X102" s="4">
        <f>[1]节奏总纲!X102</f>
        <v>56.161316619446666</v>
      </c>
      <c r="Y102" s="4">
        <f>[1]节奏总纲!Y102</f>
        <v>45.667737118974969</v>
      </c>
      <c r="Z102" s="4">
        <f>[1]节奏总纲!Z102</f>
        <v>33.472236245112185</v>
      </c>
      <c r="AA102" s="4">
        <f>[1]节奏总纲!AA102</f>
        <v>16.823521670924634</v>
      </c>
      <c r="AC102" s="4">
        <f>[1]节奏总纲!AC102</f>
        <v>99</v>
      </c>
      <c r="AD102" s="4">
        <f>[1]节奏总纲!AD102</f>
        <v>66.430041330048923</v>
      </c>
      <c r="AE102" s="4">
        <f>[1]节奏总纲!AE102</f>
        <v>68.474323482747096</v>
      </c>
      <c r="AF102" s="4">
        <f>[1]节奏总纲!AF102</f>
        <v>71.358760052209377</v>
      </c>
      <c r="AG102" s="4">
        <f>[1]节奏总纲!AG102</f>
        <v>75.847892667718796</v>
      </c>
      <c r="AH102" s="4">
        <f>[1]节奏总纲!AH102</f>
        <v>84.48660325846518</v>
      </c>
      <c r="AZ102" s="4">
        <v>99</v>
      </c>
      <c r="BA102" s="4">
        <v>37.970883629607592</v>
      </c>
      <c r="BB102" s="4">
        <v>39.452918844531645</v>
      </c>
      <c r="BC102" s="4">
        <v>41.389172829914081</v>
      </c>
      <c r="BD102" s="4">
        <v>44.132549776504064</v>
      </c>
      <c r="BE102" s="4">
        <v>48.819774747187417</v>
      </c>
    </row>
    <row r="103" spans="6:57" x14ac:dyDescent="0.15">
      <c r="F103" s="4">
        <f>[1]节奏总纲!F103</f>
        <v>101</v>
      </c>
      <c r="G103" s="4">
        <f>[1]节奏总纲!G103</f>
        <v>1096.4960256371633</v>
      </c>
      <c r="N103" s="4">
        <f>[1]节奏总纲!N103</f>
        <v>110</v>
      </c>
      <c r="O103" s="4">
        <f>[1]节奏总纲!O103</f>
        <v>100</v>
      </c>
      <c r="P103" s="4">
        <f>[1]节奏总纲!P103</f>
        <v>1023</v>
      </c>
      <c r="Q103" s="4">
        <f>[1]节奏总纲!Q103</f>
        <v>875.38110000000006</v>
      </c>
      <c r="R103" s="4">
        <f>[1]节奏总纲!R103</f>
        <v>706.6884</v>
      </c>
      <c r="S103" s="4">
        <f>[1]节奏总纲!S103</f>
        <v>508.22640000000001</v>
      </c>
      <c r="T103" s="4">
        <f>[1]节奏总纲!T103</f>
        <v>274.77780000000001</v>
      </c>
      <c r="V103" s="4">
        <f>[1]节奏总纲!V103</f>
        <v>100</v>
      </c>
      <c r="W103" s="4">
        <f>[1]节奏总纲!W103</f>
        <v>68.574216666309212</v>
      </c>
      <c r="X103" s="4">
        <f>[1]节奏总纲!X103</f>
        <v>58.86984235802754</v>
      </c>
      <c r="Y103" s="4">
        <f>[1]节奏总纲!Y103</f>
        <v>48.039166921419906</v>
      </c>
      <c r="Z103" s="4">
        <f>[1]节奏总纲!Z103</f>
        <v>32.826917321488622</v>
      </c>
      <c r="AA103" s="4">
        <f>[1]节奏总纲!AA103</f>
        <v>17.178281078236921</v>
      </c>
      <c r="AC103" s="4">
        <f>[1]节奏总纲!AC103</f>
        <v>100</v>
      </c>
      <c r="AD103" s="4">
        <f>[1]节奏总纲!AD103</f>
        <v>66.573669005078543</v>
      </c>
      <c r="AE103" s="4">
        <f>[1]节奏总纲!AE103</f>
        <v>68.624026186650241</v>
      </c>
      <c r="AF103" s="4">
        <f>[1]节奏总纲!AF103</f>
        <v>71.507242553125565</v>
      </c>
      <c r="AG103" s="4">
        <f>[1]节奏总纲!AG103</f>
        <v>75.994435089338239</v>
      </c>
      <c r="AH103" s="4">
        <f>[1]节奏总纲!AH103</f>
        <v>84.63183642223153</v>
      </c>
      <c r="AZ103" s="4">
        <v>100</v>
      </c>
      <c r="BA103" s="4">
        <v>38.037513426486328</v>
      </c>
      <c r="BB103" s="4">
        <v>39.520459727922798</v>
      </c>
      <c r="BC103" s="4">
        <v>41.456216521733651</v>
      </c>
      <c r="BD103" s="4">
        <v>44.197188392263818</v>
      </c>
      <c r="BE103" s="4">
        <v>48.891560746825888</v>
      </c>
    </row>
    <row r="104" spans="6:57" x14ac:dyDescent="0.15">
      <c r="F104" s="4">
        <f>[1]节奏总纲!F104</f>
        <v>102</v>
      </c>
      <c r="G104" s="4">
        <f>[1]节奏总纲!G104</f>
        <v>1175.2671155169628</v>
      </c>
      <c r="N104" s="4">
        <f>[1]节奏总纲!N104</f>
        <v>111</v>
      </c>
      <c r="O104" s="4">
        <f>[1]节奏总纲!O104</f>
        <v>101</v>
      </c>
      <c r="P104" s="4">
        <f>[1]节奏总纲!P104</f>
        <v>1096.4960256371633</v>
      </c>
      <c r="Q104" s="4">
        <f>[1]节奏总纲!Q104</f>
        <v>939.14884595823037</v>
      </c>
      <c r="R104" s="4">
        <f>[1]节奏总纲!R104</f>
        <v>756.25330888195151</v>
      </c>
      <c r="S104" s="4">
        <f>[1]节奏总纲!S104</f>
        <v>541.99798547244984</v>
      </c>
      <c r="T104" s="4">
        <f>[1]节奏总纲!T104</f>
        <v>293.42233646050488</v>
      </c>
      <c r="V104" s="4">
        <f>[1]节奏总纲!V104</f>
        <v>101</v>
      </c>
      <c r="W104" s="4">
        <f>[1]节奏总纲!W104</f>
        <v>73.496025637163257</v>
      </c>
      <c r="X104" s="4">
        <f>[1]节奏总纲!X104</f>
        <v>63.767745958230307</v>
      </c>
      <c r="Y104" s="4">
        <f>[1]节奏总纲!Y104</f>
        <v>49.56490888195151</v>
      </c>
      <c r="Z104" s="4">
        <f>[1]节奏总纲!Z104</f>
        <v>33.771585472449829</v>
      </c>
      <c r="AA104" s="4">
        <f>[1]节奏总纲!AA104</f>
        <v>18.644536460504867</v>
      </c>
      <c r="AC104" s="4">
        <f>[1]节奏总纲!AC104</f>
        <v>101</v>
      </c>
      <c r="AD104" s="4">
        <f>[1]节奏总纲!AD104</f>
        <v>66.717296680108163</v>
      </c>
      <c r="AE104" s="4">
        <f>[1]节奏总纲!AE104</f>
        <v>68.773728890553386</v>
      </c>
      <c r="AF104" s="4">
        <f>[1]节奏总纲!AF104</f>
        <v>71.655725054041767</v>
      </c>
      <c r="AG104" s="4">
        <f>[1]节奏总纲!AG104</f>
        <v>76.130305911210229</v>
      </c>
      <c r="AH104" s="4">
        <f>[1]节奏总纲!AH104</f>
        <v>84.777069585997879</v>
      </c>
      <c r="AZ104" s="4">
        <v>101</v>
      </c>
      <c r="BA104" s="4">
        <v>38.100143952724252</v>
      </c>
      <c r="BB104" s="4">
        <v>39.588000611313952</v>
      </c>
      <c r="BC104" s="4">
        <v>41.523260213553229</v>
      </c>
      <c r="BD104" s="4">
        <v>44.261827008023573</v>
      </c>
      <c r="BE104" s="4">
        <v>48.96334674646436</v>
      </c>
    </row>
    <row r="105" spans="6:57" x14ac:dyDescent="0.15">
      <c r="F105" s="4">
        <f>[1]节奏总纲!F105</f>
        <v>103</v>
      </c>
      <c r="G105" s="4">
        <f>[1]节奏总纲!G105</f>
        <v>1259.6918792651943</v>
      </c>
      <c r="N105" s="4">
        <f>[1]节奏总纲!N105</f>
        <v>112</v>
      </c>
      <c r="O105" s="4">
        <f>[1]节奏总纲!O105</f>
        <v>102</v>
      </c>
      <c r="P105" s="4">
        <f>[1]节奏总纲!P105</f>
        <v>1175.2671155169628</v>
      </c>
      <c r="Q105" s="4">
        <f>[1]节奏总纲!Q105</f>
        <v>1004.2657502092447</v>
      </c>
      <c r="R105" s="4">
        <f>[1]节奏总纲!R105</f>
        <v>806.23324124463659</v>
      </c>
      <c r="S105" s="4">
        <f>[1]节奏总纲!S105</f>
        <v>577.99636741124232</v>
      </c>
      <c r="T105" s="4">
        <f>[1]节奏总纲!T105</f>
        <v>313.56126641992563</v>
      </c>
      <c r="V105" s="4">
        <f>[1]节奏总纲!V105</f>
        <v>102</v>
      </c>
      <c r="W105" s="4">
        <f>[1]节奏总纲!W105</f>
        <v>78.771089879799547</v>
      </c>
      <c r="X105" s="4">
        <f>[1]节奏总纲!X105</f>
        <v>65.116904251014375</v>
      </c>
      <c r="Y105" s="4">
        <f>[1]节奏总纲!Y105</f>
        <v>49.979932362685076</v>
      </c>
      <c r="Z105" s="4">
        <f>[1]节奏总纲!Z105</f>
        <v>35.998381938792477</v>
      </c>
      <c r="AA105" s="4">
        <f>[1]节奏总纲!AA105</f>
        <v>20.13892995942075</v>
      </c>
      <c r="AC105" s="4">
        <f>[1]节奏总纲!AC105</f>
        <v>102</v>
      </c>
      <c r="AD105" s="4">
        <f>[1]节奏总纲!AD105</f>
        <v>66.860924355137783</v>
      </c>
      <c r="AE105" s="4">
        <f>[1]节奏总纲!AE105</f>
        <v>68.923431594456531</v>
      </c>
      <c r="AF105" s="4">
        <f>[1]节奏总纲!AF105</f>
        <v>71.804207554957955</v>
      </c>
      <c r="AG105" s="4">
        <f>[1]节奏总纲!AG105</f>
        <v>76.265755485049056</v>
      </c>
      <c r="AH105" s="4">
        <f>[1]节奏总纲!AH105</f>
        <v>84.922302749764228</v>
      </c>
      <c r="AZ105" s="4">
        <v>102</v>
      </c>
      <c r="BA105" s="4">
        <v>38.16277447896217</v>
      </c>
      <c r="BB105" s="4">
        <v>39.655541494705105</v>
      </c>
      <c r="BC105" s="4">
        <v>41.590303905372799</v>
      </c>
      <c r="BD105" s="4">
        <v>44.326465623783335</v>
      </c>
      <c r="BE105" s="4">
        <v>49.030333272797542</v>
      </c>
    </row>
    <row r="106" spans="6:57" x14ac:dyDescent="0.15">
      <c r="F106" s="4">
        <f>[1]节奏总纲!F106</f>
        <v>104</v>
      </c>
      <c r="G106" s="4">
        <f>[1]节奏总纲!G106</f>
        <v>1350.1761006314437</v>
      </c>
      <c r="N106" s="4">
        <f>[1]节奏总纲!N106</f>
        <v>113</v>
      </c>
      <c r="O106" s="4">
        <f>[1]节奏总纲!O106</f>
        <v>103</v>
      </c>
      <c r="P106" s="4">
        <f>[1]节奏总纲!P106</f>
        <v>1259.6918792651943</v>
      </c>
      <c r="Q106" s="4">
        <f>[1]节奏总纲!Q106</f>
        <v>1073.383450321872</v>
      </c>
      <c r="R106" s="4">
        <f>[1]节奏总纲!R106</f>
        <v>861.50327622946634</v>
      </c>
      <c r="S106" s="4">
        <f>[1]节奏总纲!S106</f>
        <v>619.01258947091651</v>
      </c>
      <c r="T106" s="4">
        <f>[1]节奏总纲!T106</f>
        <v>335.8338550121008</v>
      </c>
      <c r="V106" s="4">
        <f>[1]节奏总纲!V106</f>
        <v>103</v>
      </c>
      <c r="W106" s="4">
        <f>[1]节奏总纲!W106</f>
        <v>84.424763748231499</v>
      </c>
      <c r="X106" s="4">
        <f>[1]节奏总纲!X106</f>
        <v>69.11770011262729</v>
      </c>
      <c r="Y106" s="4">
        <f>[1]节奏总纲!Y106</f>
        <v>55.270034984829749</v>
      </c>
      <c r="Z106" s="4">
        <f>[1]节奏总纲!Z106</f>
        <v>41.016222059674192</v>
      </c>
      <c r="AA106" s="4">
        <f>[1]节奏总纲!AA106</f>
        <v>22.272588592175168</v>
      </c>
      <c r="AC106" s="4">
        <f>[1]节奏总纲!AC106</f>
        <v>103</v>
      </c>
      <c r="AD106" s="4">
        <f>[1]节奏总纲!AD106</f>
        <v>67.004247194324648</v>
      </c>
      <c r="AE106" s="4">
        <f>[1]节奏总纲!AE106</f>
        <v>69.0655056802525</v>
      </c>
      <c r="AF106" s="4">
        <f>[1]节奏总纲!AF106</f>
        <v>71.952690055874157</v>
      </c>
      <c r="AG106" s="4">
        <f>[1]节奏总纲!AG106</f>
        <v>76.401205058887882</v>
      </c>
      <c r="AH106" s="4">
        <f>[1]节奏总纲!AH106</f>
        <v>85.072521641060263</v>
      </c>
      <c r="AZ106" s="4">
        <v>103</v>
      </c>
      <c r="BA106" s="4">
        <v>38.225405005200088</v>
      </c>
      <c r="BB106" s="4">
        <v>39.723082378096265</v>
      </c>
      <c r="BC106" s="4">
        <v>41.657347597192377</v>
      </c>
      <c r="BD106" s="4">
        <v>44.39110423954309</v>
      </c>
      <c r="BE106" s="4">
        <v>49.09231260978715</v>
      </c>
    </row>
    <row r="107" spans="6:57" x14ac:dyDescent="0.15">
      <c r="F107" s="4">
        <f>[1]节奏总纲!F107</f>
        <v>105</v>
      </c>
      <c r="G107" s="4">
        <f>[1]节奏总纲!G107</f>
        <v>1447.1546878700494</v>
      </c>
      <c r="N107" s="4">
        <f>[1]节奏总纲!N107</f>
        <v>114</v>
      </c>
      <c r="O107" s="4">
        <f>[1]节奏总纲!O107</f>
        <v>104</v>
      </c>
      <c r="P107" s="4">
        <f>[1]节奏总纲!P107</f>
        <v>1350.1761006314437</v>
      </c>
      <c r="Q107" s="4">
        <f>[1]节奏总纲!Q107</f>
        <v>1150.7550905681794</v>
      </c>
      <c r="R107" s="4">
        <f>[1]节奏总纲!R107</f>
        <v>925.41069937279144</v>
      </c>
      <c r="S107" s="4">
        <f>[1]节奏总纲!S107</f>
        <v>665.09674717104917</v>
      </c>
      <c r="T107" s="4">
        <f>[1]节奏总纲!T107</f>
        <v>360.49701886859549</v>
      </c>
      <c r="V107" s="4">
        <f>[1]节奏总纲!V107</f>
        <v>104</v>
      </c>
      <c r="W107" s="4">
        <f>[1]节奏总纲!W107</f>
        <v>90.484221366249358</v>
      </c>
      <c r="X107" s="4">
        <f>[1]节奏总纲!X107</f>
        <v>77.371640246307379</v>
      </c>
      <c r="Y107" s="4">
        <f>[1]节奏总纲!Y107</f>
        <v>63.907423143325104</v>
      </c>
      <c r="Z107" s="4">
        <f>[1]节奏总纲!Z107</f>
        <v>46.084157700132664</v>
      </c>
      <c r="AA107" s="4">
        <f>[1]节奏总纲!AA107</f>
        <v>24.663163856494691</v>
      </c>
      <c r="AC107" s="4">
        <f>[1]节奏总纲!AC107</f>
        <v>104</v>
      </c>
      <c r="AD107" s="4">
        <f>[1]节奏总纲!AD107</f>
        <v>67.138256553625013</v>
      </c>
      <c r="AE107" s="4">
        <f>[1]节奏总纲!AE107</f>
        <v>69.199592937186125</v>
      </c>
      <c r="AF107" s="4">
        <f>[1]节奏总纲!AF107</f>
        <v>72.093818006439079</v>
      </c>
      <c r="AG107" s="4">
        <f>[1]节奏总纲!AG107</f>
        <v>76.536654632726695</v>
      </c>
      <c r="AH107" s="4">
        <f>[1]节奏总纲!AH107</f>
        <v>85.228476403824274</v>
      </c>
      <c r="AZ107" s="4">
        <v>104</v>
      </c>
      <c r="BA107" s="4">
        <v>38.288035531438013</v>
      </c>
      <c r="BB107" s="4">
        <v>39.790623261487418</v>
      </c>
      <c r="BC107" s="4">
        <v>41.724391289011947</v>
      </c>
      <c r="BD107" s="4">
        <v>44.455742855302844</v>
      </c>
      <c r="BE107" s="4">
        <v>49.154291946776759</v>
      </c>
    </row>
    <row r="108" spans="6:57" x14ac:dyDescent="0.15">
      <c r="F108" s="4">
        <f>[1]节奏总纲!F108</f>
        <v>106</v>
      </c>
      <c r="G108" s="4">
        <f>[1]节奏总纲!G108</f>
        <v>1551.0937641066464</v>
      </c>
      <c r="N108" s="4">
        <f>[1]节奏总纲!N108</f>
        <v>115</v>
      </c>
      <c r="O108" s="4">
        <f>[1]节奏总纲!O108</f>
        <v>105</v>
      </c>
      <c r="P108" s="4">
        <f>[1]节奏总纲!P108</f>
        <v>1447.1546878700494</v>
      </c>
      <c r="Q108" s="4">
        <f>[1]节奏总纲!Q108</f>
        <v>1234.8570951595132</v>
      </c>
      <c r="R108" s="4">
        <f>[1]节奏总纲!R108</f>
        <v>993.18226228521496</v>
      </c>
      <c r="S108" s="4">
        <f>[1]节奏总纲!S108</f>
        <v>713.59197658872131</v>
      </c>
      <c r="T108" s="4">
        <f>[1]节奏总纲!T108</f>
        <v>386.39030166130323</v>
      </c>
      <c r="V108" s="4">
        <f>[1]节奏总纲!V108</f>
        <v>105</v>
      </c>
      <c r="W108" s="4">
        <f>[1]节奏总纲!W108</f>
        <v>96.978587238605769</v>
      </c>
      <c r="X108" s="4">
        <f>[1]节奏总纲!X108</f>
        <v>84.102004591333753</v>
      </c>
      <c r="Y108" s="4">
        <f>[1]节奏总纲!Y108</f>
        <v>67.771562912423519</v>
      </c>
      <c r="Z108" s="4">
        <f>[1]节奏总纲!Z108</f>
        <v>48.495229417672135</v>
      </c>
      <c r="AA108" s="4">
        <f>[1]节奏总纲!AA108</f>
        <v>25.893282792707737</v>
      </c>
      <c r="AC108" s="4">
        <f>[1]节奏总纲!AC108</f>
        <v>105</v>
      </c>
      <c r="AD108" s="4">
        <f>[1]节奏总纲!AD108</f>
        <v>67.272265912925377</v>
      </c>
      <c r="AE108" s="4">
        <f>[1]节奏总纲!AE108</f>
        <v>69.333680194119751</v>
      </c>
      <c r="AF108" s="4">
        <f>[1]节奏总纲!AF108</f>
        <v>72.23150684883845</v>
      </c>
      <c r="AG108" s="4">
        <f>[1]节奏总纲!AG108</f>
        <v>76.672104206565521</v>
      </c>
      <c r="AH108" s="4">
        <f>[1]节奏总纲!AH108</f>
        <v>85.384431166588271</v>
      </c>
      <c r="AZ108" s="4">
        <v>105</v>
      </c>
      <c r="BA108" s="4">
        <v>38.35066605767593</v>
      </c>
      <c r="BB108" s="4">
        <v>39.858164144878572</v>
      </c>
      <c r="BC108" s="4">
        <v>41.791434980831518</v>
      </c>
      <c r="BD108" s="4">
        <v>44.520381471062606</v>
      </c>
      <c r="BE108" s="4">
        <v>49.216271283766375</v>
      </c>
    </row>
    <row r="109" spans="6:57" x14ac:dyDescent="0.15">
      <c r="F109" s="4">
        <f>[1]节奏总纲!F109</f>
        <v>107</v>
      </c>
      <c r="G109" s="4">
        <f>[1]节奏总纲!G109</f>
        <v>1662.4929077375689</v>
      </c>
      <c r="N109" s="4">
        <f>[1]节奏总纲!N109</f>
        <v>116</v>
      </c>
      <c r="O109" s="4">
        <f>[1]节奏总纲!O109</f>
        <v>106</v>
      </c>
      <c r="P109" s="4">
        <f>[1]节奏总纲!P109</f>
        <v>1551.0937641066464</v>
      </c>
      <c r="Q109" s="4">
        <f>[1]节奏总纲!Q109</f>
        <v>1324.4789651706653</v>
      </c>
      <c r="R109" s="4">
        <f>[1]节奏总纲!R109</f>
        <v>1064.6707596828021</v>
      </c>
      <c r="S109" s="4">
        <f>[1]节奏总纲!S109</f>
        <v>764.3790069517554</v>
      </c>
      <c r="T109" s="4">
        <f>[1]节奏总纲!T109</f>
        <v>412.59094125236794</v>
      </c>
      <c r="V109" s="4">
        <f>[1]节奏总纲!V109</f>
        <v>106</v>
      </c>
      <c r="W109" s="4">
        <f>[1]节奏总纲!W109</f>
        <v>103.93907623659697</v>
      </c>
      <c r="X109" s="4">
        <f>[1]节奏总纲!X109</f>
        <v>89.621870011152168</v>
      </c>
      <c r="Y109" s="4">
        <f>[1]节奏总纲!Y109</f>
        <v>71.488497397587139</v>
      </c>
      <c r="Z109" s="4">
        <f>[1]节奏总纲!Z109</f>
        <v>50.787030363034091</v>
      </c>
      <c r="AA109" s="4">
        <f>[1]节奏总纲!AA109</f>
        <v>26.200639591064714</v>
      </c>
      <c r="AC109" s="4">
        <f>[1]节奏总纲!AC109</f>
        <v>106</v>
      </c>
      <c r="AD109" s="4">
        <f>[1]节奏总纲!AD109</f>
        <v>67.406275272225741</v>
      </c>
      <c r="AE109" s="4">
        <f>[1]节奏总纲!AE109</f>
        <v>69.467767451053362</v>
      </c>
      <c r="AF109" s="4">
        <f>[1]节奏总纲!AF109</f>
        <v>72.369195691237806</v>
      </c>
      <c r="AG109" s="4">
        <f>[1]节奏总纲!AG109</f>
        <v>76.807553780404334</v>
      </c>
      <c r="AH109" s="4">
        <f>[1]节奏总纲!AH109</f>
        <v>85.540385929352269</v>
      </c>
      <c r="AZ109" s="4">
        <v>106</v>
      </c>
      <c r="BA109" s="4">
        <v>38.413296583913848</v>
      </c>
      <c r="BB109" s="4">
        <v>39.925705028269732</v>
      </c>
      <c r="BC109" s="4">
        <v>41.858478672651096</v>
      </c>
      <c r="BD109" s="4">
        <v>44.585020086822361</v>
      </c>
      <c r="BE109" s="4">
        <v>49.278250620755983</v>
      </c>
    </row>
    <row r="110" spans="6:57" x14ac:dyDescent="0.15">
      <c r="F110" s="4">
        <f>[1]节奏总纲!F110</f>
        <v>108</v>
      </c>
      <c r="G110" s="4">
        <f>[1]节奏总纲!G110</f>
        <v>1781.8875536304624</v>
      </c>
      <c r="N110" s="4">
        <f>[1]节奏总纲!N110</f>
        <v>117</v>
      </c>
      <c r="O110" s="4">
        <f>[1]节奏总纲!O110</f>
        <v>107</v>
      </c>
      <c r="P110" s="4">
        <f>[1]节奏总纲!P110</f>
        <v>1662.4929077375689</v>
      </c>
      <c r="Q110" s="4">
        <f>[1]节奏总纲!Q110</f>
        <v>1418.9376967540152</v>
      </c>
      <c r="R110" s="4">
        <f>[1]节奏总纲!R110</f>
        <v>1141.6338797433884</v>
      </c>
      <c r="S110" s="4">
        <f>[1]节奏总纲!S110</f>
        <v>816.11776840837263</v>
      </c>
      <c r="T110" s="4">
        <f>[1]节奏总纲!T110</f>
        <v>440.22812196890823</v>
      </c>
      <c r="V110" s="4">
        <f>[1]节奏总纲!V110</f>
        <v>107</v>
      </c>
      <c r="W110" s="4">
        <f>[1]节奏总纲!W110</f>
        <v>111.39914363092248</v>
      </c>
      <c r="X110" s="4">
        <f>[1]节奏总纲!X110</f>
        <v>94.458731583349845</v>
      </c>
      <c r="Y110" s="4">
        <f>[1]节奏总纲!Y110</f>
        <v>76.963120060586334</v>
      </c>
      <c r="Z110" s="4">
        <f>[1]节奏总纲!Z110</f>
        <v>51.738761456617226</v>
      </c>
      <c r="AA110" s="4">
        <f>[1]节奏总纲!AA110</f>
        <v>27.637180716540286</v>
      </c>
      <c r="AC110" s="4">
        <f>[1]节奏总纲!AC110</f>
        <v>107</v>
      </c>
      <c r="AD110" s="4">
        <f>[1]节奏总纲!AD110</f>
        <v>67.540284631526106</v>
      </c>
      <c r="AE110" s="4">
        <f>[1]节奏总纲!AE110</f>
        <v>69.601854707986988</v>
      </c>
      <c r="AF110" s="4">
        <f>[1]节奏总纲!AF110</f>
        <v>72.506884533637162</v>
      </c>
      <c r="AG110" s="4">
        <f>[1]节奏总纲!AG110</f>
        <v>76.94300335424316</v>
      </c>
      <c r="AH110" s="4">
        <f>[1]节奏总纲!AH110</f>
        <v>85.696340692116266</v>
      </c>
      <c r="AZ110" s="4">
        <v>107</v>
      </c>
      <c r="BA110" s="4">
        <v>38.475927110151773</v>
      </c>
      <c r="BB110" s="4">
        <v>39.993245911660885</v>
      </c>
      <c r="BC110" s="4">
        <v>41.925522364470666</v>
      </c>
      <c r="BD110" s="4">
        <v>44.649658702582116</v>
      </c>
      <c r="BE110" s="4">
        <v>49.340229957745592</v>
      </c>
    </row>
    <row r="111" spans="6:57" x14ac:dyDescent="0.15">
      <c r="F111" s="4">
        <f>[1]节奏总纲!F111</f>
        <v>109</v>
      </c>
      <c r="G111" s="4">
        <f>[1]节奏总纲!G111</f>
        <v>1909.8515666673818</v>
      </c>
      <c r="N111" s="4">
        <f>[1]节奏总纲!N111</f>
        <v>118</v>
      </c>
      <c r="O111" s="4">
        <f>[1]节奏总纲!O111</f>
        <v>108</v>
      </c>
      <c r="P111" s="4">
        <f>[1]节奏总纲!P111</f>
        <v>1781.8875536304624</v>
      </c>
      <c r="Q111" s="4">
        <f>[1]节奏总纲!Q111</f>
        <v>1520.8410270235997</v>
      </c>
      <c r="R111" s="4">
        <f>[1]节奏总纲!R111</f>
        <v>1218.0983316617842</v>
      </c>
      <c r="S111" s="4">
        <f>[1]节奏总纲!S111</f>
        <v>871.69939123602228</v>
      </c>
      <c r="T111" s="4">
        <f>[1]节奏总纲!T111</f>
        <v>471.13106917989433</v>
      </c>
      <c r="V111" s="4">
        <f>[1]节奏总纲!V111</f>
        <v>108</v>
      </c>
      <c r="W111" s="4">
        <f>[1]节奏总纲!W111</f>
        <v>119.39464589289355</v>
      </c>
      <c r="X111" s="4">
        <f>[1]节奏总纲!X111</f>
        <v>101.90333026958456</v>
      </c>
      <c r="Y111" s="4">
        <f>[1]节奏总纲!Y111</f>
        <v>76.464451918395753</v>
      </c>
      <c r="Z111" s="4">
        <f>[1]节奏总纲!Z111</f>
        <v>55.581622827649653</v>
      </c>
      <c r="AA111" s="4">
        <f>[1]节奏总纲!AA111</f>
        <v>30.902947210986099</v>
      </c>
      <c r="AC111" s="4">
        <f>[1]节奏总纲!AC111</f>
        <v>108</v>
      </c>
      <c r="AD111" s="4">
        <f>[1]节奏总纲!AD111</f>
        <v>67.674293990826456</v>
      </c>
      <c r="AE111" s="4">
        <f>[1]节奏总纲!AE111</f>
        <v>69.735941964920613</v>
      </c>
      <c r="AF111" s="4">
        <f>[1]节奏总纲!AF111</f>
        <v>72.644573376036519</v>
      </c>
      <c r="AG111" s="4">
        <f>[1]节奏总纲!AG111</f>
        <v>77.074762810762508</v>
      </c>
      <c r="AH111" s="4">
        <f>[1]节奏总纲!AH111</f>
        <v>85.852295454880277</v>
      </c>
      <c r="AZ111" s="4">
        <v>108</v>
      </c>
      <c r="BA111" s="4">
        <v>38.53855763638969</v>
      </c>
      <c r="BB111" s="4">
        <v>40.052446592012309</v>
      </c>
      <c r="BC111" s="4">
        <v>41.992566056290244</v>
      </c>
      <c r="BD111" s="4">
        <v>44.71429731834187</v>
      </c>
      <c r="BE111" s="4">
        <v>49.402209294735208</v>
      </c>
    </row>
    <row r="112" spans="6:57" x14ac:dyDescent="0.15">
      <c r="F112" s="4">
        <f>[1]节奏总纲!F112</f>
        <v>110</v>
      </c>
      <c r="G112" s="4">
        <f>[1]节奏总纲!G112</f>
        <v>2047</v>
      </c>
      <c r="N112" s="4">
        <f>[1]节奏总纲!N112</f>
        <v>119</v>
      </c>
      <c r="O112" s="4">
        <f>[1]节奏总纲!O112</f>
        <v>109</v>
      </c>
      <c r="P112" s="4">
        <f>[1]节奏总纲!P112</f>
        <v>1909.8515666673818</v>
      </c>
      <c r="Q112" s="4">
        <f>[1]节奏总纲!Q112</f>
        <v>1624.7107277639418</v>
      </c>
      <c r="R112" s="4">
        <f>[1]节奏总纲!R112</f>
        <v>1301.5638426838207</v>
      </c>
      <c r="S112" s="4">
        <f>[1]节奏总纲!S112</f>
        <v>931.81657937701561</v>
      </c>
      <c r="T112" s="4">
        <f>[1]节奏总纲!T112</f>
        <v>504.58278391352223</v>
      </c>
      <c r="V112" s="4">
        <f>[1]节奏总纲!V112</f>
        <v>109</v>
      </c>
      <c r="W112" s="4">
        <f>[1]节奏总纲!W112</f>
        <v>127.96401303691937</v>
      </c>
      <c r="X112" s="4">
        <f>[1]节奏总纲!X112</f>
        <v>103.86970074034207</v>
      </c>
      <c r="Y112" s="4">
        <f>[1]节奏总纲!Y112</f>
        <v>83.46551102203648</v>
      </c>
      <c r="Z112" s="4">
        <f>[1]节奏总纲!Z112</f>
        <v>60.117188140993335</v>
      </c>
      <c r="AA112" s="4">
        <f>[1]节奏总纲!AA112</f>
        <v>33.451714733627909</v>
      </c>
      <c r="AC112" s="4">
        <f>[1]节奏总纲!AC112</f>
        <v>109</v>
      </c>
      <c r="AD112" s="4">
        <f>[1]节奏总纲!AD112</f>
        <v>67.80830335012682</v>
      </c>
      <c r="AE112" s="4">
        <f>[1]节奏总纲!AE112</f>
        <v>69.870029221854239</v>
      </c>
      <c r="AF112" s="4">
        <f>[1]节奏总纲!AF112</f>
        <v>72.782262218435889</v>
      </c>
      <c r="AG112" s="4">
        <f>[1]节奏总纲!AG112</f>
        <v>77.203841369133116</v>
      </c>
      <c r="AH112" s="4">
        <f>[1]节奏总纲!AH112</f>
        <v>86.007776715139968</v>
      </c>
      <c r="AZ112" s="4">
        <v>109</v>
      </c>
      <c r="BA112" s="4">
        <v>38.601188162627608</v>
      </c>
      <c r="BB112" s="4">
        <v>40.110720583137102</v>
      </c>
      <c r="BC112" s="4">
        <v>42.051439554347354</v>
      </c>
      <c r="BD112" s="4">
        <v>44.778935934101632</v>
      </c>
      <c r="BE112" s="4">
        <v>49.464188631724817</v>
      </c>
    </row>
    <row r="113" spans="6:57" x14ac:dyDescent="0.15">
      <c r="F113" s="4">
        <f>[1]节奏总纲!F113</f>
        <v>111</v>
      </c>
      <c r="G113" s="4">
        <f>[1]节奏总纲!G113</f>
        <v>2193.9920512743265</v>
      </c>
      <c r="N113" s="4">
        <f>[1]节奏总纲!N113</f>
        <v>120</v>
      </c>
      <c r="O113" s="4">
        <f>[1]节奏总纲!O113</f>
        <v>110</v>
      </c>
      <c r="P113" s="4">
        <f>[1]节奏总纲!P113</f>
        <v>2047</v>
      </c>
      <c r="Q113" s="4">
        <f>[1]节奏总纲!Q113</f>
        <v>1741.3829000000001</v>
      </c>
      <c r="R113" s="4">
        <f>[1]节奏总纲!R113</f>
        <v>1397.2821999999999</v>
      </c>
      <c r="S113" s="4">
        <f>[1]节奏总纲!S113</f>
        <v>1001.3924000000001</v>
      </c>
      <c r="T113" s="4">
        <f>[1]节奏总纲!T113</f>
        <v>542.04559999999992</v>
      </c>
      <c r="V113" s="4">
        <f>[1]节奏总纲!V113</f>
        <v>110</v>
      </c>
      <c r="W113" s="4">
        <f>[1]节奏总纲!W113</f>
        <v>137.1484333326182</v>
      </c>
      <c r="X113" s="4">
        <f>[1]节奏总纲!X113</f>
        <v>116.67217223605826</v>
      </c>
      <c r="Y113" s="4">
        <f>[1]节奏总纲!Y113</f>
        <v>95.718357316179208</v>
      </c>
      <c r="Z113" s="4">
        <f>[1]节奏总纲!Z113</f>
        <v>69.575820622984452</v>
      </c>
      <c r="AA113" s="4">
        <f>[1]节奏总纲!AA113</f>
        <v>37.462816086477687</v>
      </c>
      <c r="AC113" s="4">
        <f>[1]节奏总纲!AC113</f>
        <v>110</v>
      </c>
      <c r="AD113" s="4">
        <f>[1]节奏总纲!AD113</f>
        <v>67.942312709427185</v>
      </c>
      <c r="AE113" s="4">
        <f>[1]节奏总纲!AE113</f>
        <v>70.003807055133578</v>
      </c>
      <c r="AF113" s="4">
        <f>[1]节奏总纲!AF113</f>
        <v>72.919951060835245</v>
      </c>
      <c r="AG113" s="4">
        <f>[1]节奏总纲!AG113</f>
        <v>77.332919927503724</v>
      </c>
      <c r="AH113" s="4">
        <f>[1]节奏总纲!AH113</f>
        <v>86.154780808490045</v>
      </c>
      <c r="AZ113" s="4">
        <v>110</v>
      </c>
      <c r="BA113" s="4">
        <v>38.663818688865533</v>
      </c>
      <c r="BB113" s="4">
        <v>40.168994574261895</v>
      </c>
      <c r="BC113" s="4">
        <v>42.109294145892463</v>
      </c>
      <c r="BD113" s="4">
        <v>44.843574549861387</v>
      </c>
      <c r="BE113" s="4">
        <v>49.526167968714425</v>
      </c>
    </row>
    <row r="114" spans="6:57" x14ac:dyDescent="0.15">
      <c r="F114" s="4">
        <f>[1]节奏总纲!F114</f>
        <v>112</v>
      </c>
      <c r="G114" s="4">
        <f>[1]节奏总纲!G114</f>
        <v>2351.5342310339256</v>
      </c>
      <c r="N114" s="4">
        <f>[1]节奏总纲!N114</f>
        <v>121</v>
      </c>
      <c r="O114" s="4">
        <f>[1]节奏总纲!O114</f>
        <v>111</v>
      </c>
      <c r="P114" s="4">
        <f>[1]节奏总纲!P114</f>
        <v>2193.9920512743265</v>
      </c>
      <c r="Q114" s="4">
        <f>[1]节奏总纲!Q114</f>
        <v>1869.0618284805987</v>
      </c>
      <c r="R114" s="4">
        <f>[1]节奏总纲!R114</f>
        <v>1500.4711638665117</v>
      </c>
      <c r="S114" s="4">
        <f>[1]节奏总纲!S114</f>
        <v>1076.5918995603122</v>
      </c>
      <c r="T114" s="4">
        <f>[1]节奏总纲!T114</f>
        <v>583.16308722871599</v>
      </c>
      <c r="V114" s="4">
        <f>[1]节奏总纲!V114</f>
        <v>111</v>
      </c>
      <c r="W114" s="4">
        <f>[1]节奏总纲!W114</f>
        <v>146.99205127432651</v>
      </c>
      <c r="X114" s="4">
        <f>[1]节奏总纲!X114</f>
        <v>127.67892848059864</v>
      </c>
      <c r="Y114" s="4">
        <f>[1]节奏总纲!Y114</f>
        <v>103.18896386651181</v>
      </c>
      <c r="Z114" s="4">
        <f>[1]节奏总纲!Z114</f>
        <v>75.19949956031212</v>
      </c>
      <c r="AA114" s="4">
        <f>[1]节奏总纲!AA114</f>
        <v>41.117487228716072</v>
      </c>
      <c r="AC114" s="4">
        <f>[1]节奏总纲!AC114</f>
        <v>111</v>
      </c>
      <c r="AD114" s="4">
        <f>[1]节奏总纲!AD114</f>
        <v>68.071211008105138</v>
      </c>
      <c r="AE114" s="4">
        <f>[1]节奏总纲!AE114</f>
        <v>70.127815365673797</v>
      </c>
      <c r="AF114" s="4">
        <f>[1]节奏总纲!AF114</f>
        <v>73.051543220271398</v>
      </c>
      <c r="AG114" s="4">
        <f>[1]节奏总纲!AG114</f>
        <v>77.461998485874332</v>
      </c>
      <c r="AH114" s="4">
        <f>[1]节奏总纲!AH114</f>
        <v>86.301784901840136</v>
      </c>
      <c r="AZ114" s="4">
        <v>111</v>
      </c>
      <c r="BA114" s="4">
        <v>38.72644921510345</v>
      </c>
      <c r="BB114" s="4">
        <v>40.227268565386687</v>
      </c>
      <c r="BC114" s="4">
        <v>42.167148737437572</v>
      </c>
      <c r="BD114" s="4">
        <v>44.908213165621142</v>
      </c>
      <c r="BE114" s="4">
        <v>49.588147305704041</v>
      </c>
    </row>
    <row r="115" spans="6:57" x14ac:dyDescent="0.15">
      <c r="F115" s="4">
        <f>[1]节奏总纲!F115</f>
        <v>113</v>
      </c>
      <c r="G115" s="4">
        <f>[1]节奏总纲!G115</f>
        <v>2520.3837585303886</v>
      </c>
      <c r="N115" s="4">
        <f>[1]节奏总纲!N115</f>
        <v>122</v>
      </c>
      <c r="O115" s="4">
        <f>[1]节奏总纲!O115</f>
        <v>112</v>
      </c>
      <c r="P115" s="4">
        <f>[1]节奏总纲!P115</f>
        <v>2351.5342310339256</v>
      </c>
      <c r="Q115" s="4">
        <f>[1]节奏总纲!Q115</f>
        <v>2004.6829319564217</v>
      </c>
      <c r="R115" s="4">
        <f>[1]节奏总纲!R115</f>
        <v>1609.3900277196187</v>
      </c>
      <c r="S115" s="4">
        <f>[1]节奏总纲!S115</f>
        <v>1155.3087677069677</v>
      </c>
      <c r="T115" s="4">
        <f>[1]节奏总纲!T115</f>
        <v>623.15657122399034</v>
      </c>
      <c r="V115" s="4">
        <f>[1]节奏总纲!V115</f>
        <v>112</v>
      </c>
      <c r="W115" s="4">
        <f>[1]节奏总纲!W115</f>
        <v>157.54217975959909</v>
      </c>
      <c r="X115" s="4">
        <f>[1]节奏总纲!X115</f>
        <v>135.62110347582302</v>
      </c>
      <c r="Y115" s="4">
        <f>[1]节奏总纲!Y115</f>
        <v>108.91886385310704</v>
      </c>
      <c r="Z115" s="4">
        <f>[1]节奏总纲!Z115</f>
        <v>78.716868146655543</v>
      </c>
      <c r="AA115" s="4">
        <f>[1]节奏总纲!AA115</f>
        <v>39.993483995274346</v>
      </c>
      <c r="AC115" s="4">
        <f>[1]节奏总纲!AC115</f>
        <v>112</v>
      </c>
      <c r="AD115" s="4">
        <f>[1]节奏总纲!AD115</f>
        <v>68.196246161507091</v>
      </c>
      <c r="AE115" s="4">
        <f>[1]节奏总纲!AE115</f>
        <v>70.251823676214016</v>
      </c>
      <c r="AF115" s="4">
        <f>[1]节奏总纲!AF115</f>
        <v>73.174668450093861</v>
      </c>
      <c r="AG115" s="4">
        <f>[1]节奏总纲!AG115</f>
        <v>77.591077044244926</v>
      </c>
      <c r="AH115" s="4">
        <f>[1]节奏总纲!AH115</f>
        <v>86.448788995190213</v>
      </c>
      <c r="AZ115" s="4">
        <v>112</v>
      </c>
      <c r="BA115" s="4">
        <v>38.789079741341368</v>
      </c>
      <c r="BB115" s="4">
        <v>40.28554255651148</v>
      </c>
      <c r="BC115" s="4">
        <v>42.225003328982673</v>
      </c>
      <c r="BD115" s="4">
        <v>44.972851781380903</v>
      </c>
      <c r="BE115" s="4">
        <v>49.65012664269365</v>
      </c>
    </row>
    <row r="116" spans="6:57" x14ac:dyDescent="0.15">
      <c r="F116" s="4">
        <f>[1]节奏总纲!F116</f>
        <v>114</v>
      </c>
      <c r="G116" s="4">
        <f>[1]节奏总纲!G116</f>
        <v>2701.3522012628878</v>
      </c>
      <c r="N116" s="4">
        <f>[1]节奏总纲!N116</f>
        <v>123</v>
      </c>
      <c r="O116" s="4">
        <f>[1]节奏总纲!O116</f>
        <v>113</v>
      </c>
      <c r="P116" s="4">
        <f>[1]节奏总纲!P116</f>
        <v>2520.3837585303886</v>
      </c>
      <c r="Q116" s="4">
        <f>[1]节奏总纲!Q116</f>
        <v>2149.6353076505684</v>
      </c>
      <c r="R116" s="4">
        <f>[1]节奏总纲!R116</f>
        <v>1726.7149129691693</v>
      </c>
      <c r="S116" s="4">
        <f>[1]节奏总纲!S116</f>
        <v>1235.7441568074496</v>
      </c>
      <c r="T116" s="4">
        <f>[1]节奏总纲!T116</f>
        <v>665.63335062787564</v>
      </c>
      <c r="V116" s="4">
        <f>[1]节奏总纲!V116</f>
        <v>113</v>
      </c>
      <c r="W116" s="4">
        <f>[1]节奏总纲!W116</f>
        <v>168.849527496463</v>
      </c>
      <c r="X116" s="4">
        <f>[1]节奏总纲!X116</f>
        <v>144.95237569414667</v>
      </c>
      <c r="Y116" s="4">
        <f>[1]节奏总纲!Y116</f>
        <v>117.32488524955056</v>
      </c>
      <c r="Z116" s="4">
        <f>[1]节奏总纲!Z116</f>
        <v>80.435389100481871</v>
      </c>
      <c r="AA116" s="4">
        <f>[1]节奏总纲!AA116</f>
        <v>42.476779403885303</v>
      </c>
      <c r="AC116" s="4">
        <f>[1]节奏总纲!AC116</f>
        <v>113</v>
      </c>
      <c r="AD116" s="4">
        <f>[1]节奏总纲!AD116</f>
        <v>68.321281314909029</v>
      </c>
      <c r="AE116" s="4">
        <f>[1]节奏总纲!AE116</f>
        <v>70.375831986754235</v>
      </c>
      <c r="AF116" s="4">
        <f>[1]节奏总纲!AF116</f>
        <v>73.297793679916325</v>
      </c>
      <c r="AG116" s="4">
        <f>[1]节奏总纲!AG116</f>
        <v>77.720155602615534</v>
      </c>
      <c r="AH116" s="4">
        <f>[1]节奏总纲!AH116</f>
        <v>86.595793088540304</v>
      </c>
      <c r="AZ116" s="4">
        <v>113</v>
      </c>
      <c r="BA116" s="4">
        <v>38.851710267579293</v>
      </c>
      <c r="BB116" s="4">
        <v>40.343816547636273</v>
      </c>
      <c r="BC116" s="4">
        <v>42.282857920527782</v>
      </c>
      <c r="BD116" s="4">
        <v>45.032359480672049</v>
      </c>
      <c r="BE116" s="4">
        <v>49.712105979683258</v>
      </c>
    </row>
    <row r="117" spans="6:57" x14ac:dyDescent="0.15">
      <c r="F117" s="4">
        <f>[1]节奏总纲!F117</f>
        <v>115</v>
      </c>
      <c r="G117" s="4">
        <f>[1]节奏总纲!G117</f>
        <v>2895.3093757400989</v>
      </c>
      <c r="N117" s="4">
        <f>[1]节奏总纲!N117</f>
        <v>124</v>
      </c>
      <c r="O117" s="4">
        <f>[1]节奏总纲!O117</f>
        <v>114</v>
      </c>
      <c r="P117" s="4">
        <f>[1]节奏总纲!P117</f>
        <v>2701.3522012628878</v>
      </c>
      <c r="Q117" s="4">
        <f>[1]节奏总纲!Q117</f>
        <v>2304.5235628973696</v>
      </c>
      <c r="R117" s="4">
        <f>[1]节奏总纲!R117</f>
        <v>1846.3742295631837</v>
      </c>
      <c r="S117" s="4">
        <f>[1]节奏总纲!S117</f>
        <v>1319.3404150967945</v>
      </c>
      <c r="T117" s="4">
        <f>[1]节奏总纲!T117</f>
        <v>710.99589937239205</v>
      </c>
      <c r="V117" s="4">
        <f>[1]节奏总纲!V117</f>
        <v>114</v>
      </c>
      <c r="W117" s="4">
        <f>[1]节奏总纲!W117</f>
        <v>180.96844273249917</v>
      </c>
      <c r="X117" s="4">
        <f>[1]节奏总纲!X117</f>
        <v>154.88825524680124</v>
      </c>
      <c r="Y117" s="4">
        <f>[1]节奏总纲!Y117</f>
        <v>119.6593165940144</v>
      </c>
      <c r="Z117" s="4">
        <f>[1]节奏总纲!Z117</f>
        <v>83.59625828934486</v>
      </c>
      <c r="AA117" s="4">
        <f>[1]节奏总纲!AA117</f>
        <v>45.362548744516403</v>
      </c>
      <c r="AC117" s="4">
        <f>[1]节奏总纲!AC117</f>
        <v>114</v>
      </c>
      <c r="AD117" s="4">
        <f>[1]节奏总纲!AD117</f>
        <v>68.446316468310982</v>
      </c>
      <c r="AE117" s="4">
        <f>[1]节奏总纲!AE117</f>
        <v>70.499840297294455</v>
      </c>
      <c r="AF117" s="4">
        <f>[1]节奏总纲!AF117</f>
        <v>73.420918909738774</v>
      </c>
      <c r="AG117" s="4">
        <f>[1]节奏总纲!AG117</f>
        <v>77.849234160986143</v>
      </c>
      <c r="AH117" s="4">
        <f>[1]节奏总纲!AH117</f>
        <v>86.742797181890381</v>
      </c>
      <c r="AZ117" s="4">
        <v>114</v>
      </c>
      <c r="BA117" s="4">
        <v>38.91434079381721</v>
      </c>
      <c r="BB117" s="4">
        <v>40.402090538761065</v>
      </c>
      <c r="BC117" s="4">
        <v>42.340712512072891</v>
      </c>
      <c r="BD117" s="4">
        <v>45.088151688727308</v>
      </c>
      <c r="BE117" s="4">
        <v>49.774085316672867</v>
      </c>
    </row>
    <row r="118" spans="6:57" x14ac:dyDescent="0.15">
      <c r="F118" s="4">
        <f>[1]节奏总纲!F118</f>
        <v>116</v>
      </c>
      <c r="G118" s="4">
        <f>[1]节奏总纲!G118</f>
        <v>3103.1875282132928</v>
      </c>
      <c r="N118" s="4">
        <f>[1]节奏总纲!N118</f>
        <v>125</v>
      </c>
      <c r="O118" s="4">
        <f>[1]节奏总纲!O118</f>
        <v>115</v>
      </c>
      <c r="P118" s="4">
        <f>[1]节奏总纲!P118</f>
        <v>2895.3093757400989</v>
      </c>
      <c r="Q118" s="4">
        <f>[1]节奏总纲!Q118</f>
        <v>2463.0396859421021</v>
      </c>
      <c r="R118" s="4">
        <f>[1]节奏总纲!R118</f>
        <v>1969.9684992535633</v>
      </c>
      <c r="S118" s="4">
        <f>[1]节奏总纲!S118</f>
        <v>1407.1203566096881</v>
      </c>
      <c r="T118" s="4">
        <f>[1]节奏总纲!T118</f>
        <v>758.86058738147995</v>
      </c>
      <c r="V118" s="4">
        <f>[1]节奏总纲!V118</f>
        <v>115</v>
      </c>
      <c r="W118" s="4">
        <f>[1]节奏总纲!W118</f>
        <v>193.95717447721108</v>
      </c>
      <c r="X118" s="4">
        <f>[1]节奏总纲!X118</f>
        <v>158.51612304473247</v>
      </c>
      <c r="Y118" s="4">
        <f>[1]节奏总纲!Y118</f>
        <v>123.59426969037963</v>
      </c>
      <c r="Z118" s="4">
        <f>[1]节奏总纲!Z118</f>
        <v>87.779941512893629</v>
      </c>
      <c r="AA118" s="4">
        <f>[1]节奏总纲!AA118</f>
        <v>47.864688009087899</v>
      </c>
      <c r="AC118" s="4">
        <f>[1]节奏总纲!AC118</f>
        <v>115</v>
      </c>
      <c r="AD118" s="4">
        <f>[1]节奏总纲!AD118</f>
        <v>68.571351621712935</v>
      </c>
      <c r="AE118" s="4">
        <f>[1]节奏总纲!AE118</f>
        <v>70.623848607834674</v>
      </c>
      <c r="AF118" s="4">
        <f>[1]节奏总纲!AF118</f>
        <v>73.544044139561237</v>
      </c>
      <c r="AG118" s="4">
        <f>[1]节奏总纲!AG118</f>
        <v>77.978312719356751</v>
      </c>
      <c r="AH118" s="4">
        <f>[1]节奏总纲!AH118</f>
        <v>86.889801275240458</v>
      </c>
      <c r="AZ118" s="4">
        <v>115</v>
      </c>
      <c r="BA118" s="4">
        <v>38.976971320055128</v>
      </c>
      <c r="BB118" s="4">
        <v>40.460364529885858</v>
      </c>
      <c r="BC118" s="4">
        <v>42.398567103617999</v>
      </c>
      <c r="BD118" s="4">
        <v>45.143943896782567</v>
      </c>
      <c r="BE118" s="4">
        <v>49.836064653662483</v>
      </c>
    </row>
    <row r="119" spans="6:57" x14ac:dyDescent="0.15">
      <c r="F119" s="4">
        <f>[1]节奏总纲!F119</f>
        <v>117</v>
      </c>
      <c r="G119" s="4">
        <f>[1]节奏总纲!G119</f>
        <v>3325.985815475135</v>
      </c>
      <c r="N119" s="4">
        <f>[1]节奏总纲!N119</f>
        <v>126</v>
      </c>
      <c r="O119" s="4">
        <f>[1]节奏总纲!O119</f>
        <v>116</v>
      </c>
      <c r="P119" s="4">
        <f>[1]节奏总纲!P119</f>
        <v>3103.1875282132928</v>
      </c>
      <c r="Q119" s="4">
        <f>[1]节奏总纲!Q119</f>
        <v>2636.7784427228348</v>
      </c>
      <c r="R119" s="4">
        <f>[1]节奏总纲!R119</f>
        <v>2108.9262441737537</v>
      </c>
      <c r="S119" s="4">
        <f>[1]节奏总纲!S119</f>
        <v>1509.0800949701243</v>
      </c>
      <c r="T119" s="4">
        <f>[1]节奏总纲!T119</f>
        <v>813.34545114470404</v>
      </c>
      <c r="V119" s="4">
        <f>[1]节奏总纲!V119</f>
        <v>116</v>
      </c>
      <c r="W119" s="4">
        <f>[1]节奏总纲!W119</f>
        <v>207.87815247319395</v>
      </c>
      <c r="X119" s="4">
        <f>[1]节奏总纲!X119</f>
        <v>173.73875678073273</v>
      </c>
      <c r="Y119" s="4">
        <f>[1]节奏总纲!Y119</f>
        <v>138.95774492019041</v>
      </c>
      <c r="Z119" s="4">
        <f>[1]节奏总纲!Z119</f>
        <v>101.95973836043618</v>
      </c>
      <c r="AA119" s="4">
        <f>[1]节奏总纲!AA119</f>
        <v>54.484863763224098</v>
      </c>
      <c r="AC119" s="4">
        <f>[1]节奏总纲!AC119</f>
        <v>116</v>
      </c>
      <c r="AD119" s="4">
        <f>[1]节奏总纲!AD119</f>
        <v>68.696386775114874</v>
      </c>
      <c r="AE119" s="4">
        <f>[1]节奏总纲!AE119</f>
        <v>70.747856918374893</v>
      </c>
      <c r="AF119" s="4">
        <f>[1]节奏总纲!AF119</f>
        <v>73.667169369383686</v>
      </c>
      <c r="AG119" s="4">
        <f>[1]节奏总纲!AG119</f>
        <v>78.10469841238104</v>
      </c>
      <c r="AH119" s="4">
        <f>[1]节奏总纲!AH119</f>
        <v>87.033659382136349</v>
      </c>
      <c r="AZ119" s="4">
        <v>116</v>
      </c>
      <c r="BA119" s="4">
        <v>39.034165367506482</v>
      </c>
      <c r="BB119" s="4">
        <v>40.518638521010644</v>
      </c>
      <c r="BC119" s="4">
        <v>42.456421695163108</v>
      </c>
      <c r="BD119" s="4">
        <v>45.199736104837825</v>
      </c>
      <c r="BE119" s="4">
        <v>49.898043990652091</v>
      </c>
    </row>
    <row r="120" spans="6:57" x14ac:dyDescent="0.15">
      <c r="F120" s="4">
        <f>[1]节奏总纲!F120</f>
        <v>118</v>
      </c>
      <c r="G120" s="4">
        <f>[1]节奏总纲!G120</f>
        <v>3564.7751072609281</v>
      </c>
      <c r="N120" s="4">
        <f>[1]节奏总纲!N120</f>
        <v>127</v>
      </c>
      <c r="O120" s="4">
        <f>[1]节奏总纲!O120</f>
        <v>117</v>
      </c>
      <c r="P120" s="4">
        <f>[1]节奏总纲!P120</f>
        <v>3325.985815475135</v>
      </c>
      <c r="Q120" s="4">
        <f>[1]节奏总纲!Q120</f>
        <v>2826.7553445723174</v>
      </c>
      <c r="R120" s="4">
        <f>[1]节奏总纲!R120</f>
        <v>2262.6681502677343</v>
      </c>
      <c r="S120" s="4">
        <f>[1]节奏总纲!S120</f>
        <v>1618.0920992286531</v>
      </c>
      <c r="T120" s="4">
        <f>[1]节奏总纲!T120</f>
        <v>873.07127656222303</v>
      </c>
      <c r="V120" s="4">
        <f>[1]节奏总纲!V120</f>
        <v>117</v>
      </c>
      <c r="W120" s="4">
        <f>[1]节奏总纲!W120</f>
        <v>222.79828726184223</v>
      </c>
      <c r="X120" s="4">
        <f>[1]节奏总纲!X120</f>
        <v>189.9769018494826</v>
      </c>
      <c r="Y120" s="4">
        <f>[1]节奏总纲!Y120</f>
        <v>153.74190609398056</v>
      </c>
      <c r="Z120" s="4">
        <f>[1]节奏总纲!Z120</f>
        <v>109.0120042585288</v>
      </c>
      <c r="AA120" s="4">
        <f>[1]节奏总纲!AA120</f>
        <v>59.72582541751899</v>
      </c>
      <c r="AC120" s="4">
        <f>[1]节奏总纲!AC120</f>
        <v>117</v>
      </c>
      <c r="AD120" s="4">
        <f>[1]节奏总纲!AD120</f>
        <v>68.821421928516827</v>
      </c>
      <c r="AE120" s="4">
        <f>[1]节奏总纲!AE120</f>
        <v>70.871865228915112</v>
      </c>
      <c r="AF120" s="4">
        <f>[1]节奏总纲!AF120</f>
        <v>73.790294599206149</v>
      </c>
      <c r="AG120" s="4">
        <f>[1]节奏总纲!AG120</f>
        <v>78.230540290975199</v>
      </c>
      <c r="AH120" s="4">
        <f>[1]节奏总纲!AH120</f>
        <v>87.168098110592624</v>
      </c>
      <c r="AZ120" s="4">
        <v>117</v>
      </c>
      <c r="BA120" s="4">
        <v>39.088198074219406</v>
      </c>
      <c r="BB120" s="4">
        <v>40.576912512135436</v>
      </c>
      <c r="BC120" s="4">
        <v>42.51427628670821</v>
      </c>
      <c r="BD120" s="4">
        <v>45.255528312893091</v>
      </c>
      <c r="BE120" s="4">
        <v>49.9600233276417</v>
      </c>
    </row>
    <row r="121" spans="6:57" x14ac:dyDescent="0.15">
      <c r="F121" s="4">
        <f>[1]节奏总纲!F121</f>
        <v>119</v>
      </c>
      <c r="G121" s="4">
        <f>[1]节奏总纲!G121</f>
        <v>3820.7031333347636</v>
      </c>
      <c r="N121" s="4">
        <f>[1]节奏总纲!N121</f>
        <v>128</v>
      </c>
      <c r="O121" s="4">
        <f>[1]节奏总纲!O121</f>
        <v>118</v>
      </c>
      <c r="P121" s="4">
        <f>[1]节奏总纲!P121</f>
        <v>3564.7751072609281</v>
      </c>
      <c r="Q121" s="4">
        <f>[1]节奏总纲!Q121</f>
        <v>3030.4153186825147</v>
      </c>
      <c r="R121" s="4">
        <f>[1]节奏总纲!R121</f>
        <v>2426.1859380017877</v>
      </c>
      <c r="S121" s="4">
        <f>[1]节奏总纲!S121</f>
        <v>1737.4713872789764</v>
      </c>
      <c r="T121" s="4">
        <f>[1]节奏总纲!T121</f>
        <v>936.10994316671975</v>
      </c>
      <c r="V121" s="4">
        <f>[1]节奏总纲!V121</f>
        <v>118</v>
      </c>
      <c r="W121" s="4">
        <f>[1]节奏总纲!W121</f>
        <v>238.78929178579301</v>
      </c>
      <c r="X121" s="4">
        <f>[1]节奏总纲!X121</f>
        <v>203.65997411019725</v>
      </c>
      <c r="Y121" s="4">
        <f>[1]节奏总纲!Y121</f>
        <v>163.5177877340534</v>
      </c>
      <c r="Z121" s="4">
        <f>[1]节奏总纲!Z121</f>
        <v>119.37928805032334</v>
      </c>
      <c r="AA121" s="4">
        <f>[1]节奏总纲!AA121</f>
        <v>63.038666604496711</v>
      </c>
      <c r="AC121" s="4">
        <f>[1]节奏总纲!AC121</f>
        <v>118</v>
      </c>
      <c r="AD121" s="4">
        <f>[1]节奏总纲!AD121</f>
        <v>68.946457081918766</v>
      </c>
      <c r="AE121" s="4">
        <f>[1]节奏总纲!AE121</f>
        <v>70.995873539455332</v>
      </c>
      <c r="AF121" s="4">
        <f>[1]节奏总纲!AF121</f>
        <v>73.913419829028598</v>
      </c>
      <c r="AG121" s="4">
        <f>[1]节奏总纲!AG121</f>
        <v>78.356382169569343</v>
      </c>
      <c r="AH121" s="4">
        <f>[1]节奏总纲!AH121</f>
        <v>87.302536839048898</v>
      </c>
      <c r="AZ121" s="4">
        <v>118</v>
      </c>
      <c r="BA121" s="4">
        <v>39.14223078093233</v>
      </c>
      <c r="BB121" s="4">
        <v>40.635186503260229</v>
      </c>
      <c r="BC121" s="4">
        <v>42.572130878253319</v>
      </c>
      <c r="BD121" s="4">
        <v>45.31132052094835</v>
      </c>
      <c r="BE121" s="4">
        <v>50</v>
      </c>
    </row>
    <row r="122" spans="6:57" x14ac:dyDescent="0.15">
      <c r="F122" s="4">
        <f>[1]节奏总纲!F122</f>
        <v>120</v>
      </c>
      <c r="G122" s="4">
        <f>[1]节奏总纲!G122</f>
        <v>4095</v>
      </c>
      <c r="N122" s="4">
        <f>[1]节奏总纲!N122</f>
        <v>129</v>
      </c>
      <c r="O122" s="4">
        <f>[1]节奏总纲!O122</f>
        <v>119</v>
      </c>
      <c r="P122" s="4">
        <f>[1]节奏总纲!P122</f>
        <v>3820.7031333347636</v>
      </c>
      <c r="Q122" s="4">
        <f>[1]节奏总纲!Q122</f>
        <v>3250.2721555278836</v>
      </c>
      <c r="R122" s="4">
        <f>[1]节奏总纲!R122</f>
        <v>2604.5733259943081</v>
      </c>
      <c r="S122" s="4">
        <f>[1]节奏总纲!S122</f>
        <v>1863.3569181273642</v>
      </c>
      <c r="T122" s="4">
        <f>[1]节奏总纲!T122</f>
        <v>1000.260080307041</v>
      </c>
      <c r="V122" s="4">
        <f>[1]节奏总纲!V122</f>
        <v>119</v>
      </c>
      <c r="W122" s="4">
        <f>[1]节奏总纲!W122</f>
        <v>255.92802607383555</v>
      </c>
      <c r="X122" s="4">
        <f>[1]节奏总纲!X122</f>
        <v>219.85683684536889</v>
      </c>
      <c r="Y122" s="4">
        <f>[1]节奏总纲!Y122</f>
        <v>178.38738799252042</v>
      </c>
      <c r="Z122" s="4">
        <f>[1]节奏总纲!Z122</f>
        <v>125.88553084838782</v>
      </c>
      <c r="AA122" s="4">
        <f>[1]节奏总纲!AA122</f>
        <v>64.150137140321249</v>
      </c>
      <c r="AC122" s="4">
        <f>[1]节奏总纲!AC122</f>
        <v>119</v>
      </c>
      <c r="AD122" s="4">
        <f>[1]节奏总纲!AD122</f>
        <v>69.066704614192943</v>
      </c>
      <c r="AE122" s="4">
        <f>[1]节奏总纲!AE122</f>
        <v>71.113087458015798</v>
      </c>
      <c r="AF122" s="4">
        <f>[1]节奏总纲!AF122</f>
        <v>74.034200876118248</v>
      </c>
      <c r="AG122" s="4">
        <f>[1]节奏总纲!AG122</f>
        <v>78.482224048163502</v>
      </c>
      <c r="AH122" s="4">
        <f>[1]节奏总纲!AH122</f>
        <v>87.436975567505186</v>
      </c>
      <c r="AZ122" s="4">
        <v>119</v>
      </c>
      <c r="BA122" s="4">
        <v>39.196263487645254</v>
      </c>
      <c r="BB122" s="4">
        <v>40.693460494385022</v>
      </c>
      <c r="BC122" s="4">
        <v>42.629985469798427</v>
      </c>
      <c r="BD122" s="4">
        <v>45.367112729003608</v>
      </c>
      <c r="BE122" s="4">
        <v>50</v>
      </c>
    </row>
    <row r="123" spans="6:57" x14ac:dyDescent="0.15">
      <c r="F123" s="4">
        <f>[1]节奏总纲!F123</f>
        <v>121</v>
      </c>
      <c r="G123" s="4">
        <f>[1]节奏总纲!G123</f>
        <v>4388.9841025486576</v>
      </c>
      <c r="N123" s="4">
        <f>[1]节奏总纲!N123</f>
        <v>130</v>
      </c>
      <c r="O123" s="4">
        <f>[1]节奏总纲!O123</f>
        <v>120</v>
      </c>
      <c r="P123" s="4">
        <f>[1]节奏总纲!P123</f>
        <v>4095</v>
      </c>
      <c r="Q123" s="4">
        <f>[1]节奏总纲!Q123</f>
        <v>3486.0735</v>
      </c>
      <c r="R123" s="4">
        <f>[1]节奏总纲!R123</f>
        <v>2791.971</v>
      </c>
      <c r="S123" s="4">
        <f>[1]节奏总纲!S123</f>
        <v>1988.5319999999999</v>
      </c>
      <c r="T123" s="4">
        <f>[1]节奏总纲!T123</f>
        <v>1067.9759999999999</v>
      </c>
      <c r="V123" s="4">
        <f>[1]节奏总纲!V123</f>
        <v>120</v>
      </c>
      <c r="W123" s="4">
        <f>[1]节奏总纲!W123</f>
        <v>274.29686666523639</v>
      </c>
      <c r="X123" s="4">
        <f>[1]节奏总纲!X123</f>
        <v>235.8013444721164</v>
      </c>
      <c r="Y123" s="4">
        <f>[1]节奏总纲!Y123</f>
        <v>187.3976740056919</v>
      </c>
      <c r="Z123" s="4">
        <f>[1]节奏总纲!Z123</f>
        <v>125.1750818726357</v>
      </c>
      <c r="AA123" s="4">
        <f>[1]节奏总纲!AA123</f>
        <v>67.715919692958892</v>
      </c>
      <c r="AC123" s="4">
        <f>[1]节奏总纲!AC123</f>
        <v>120</v>
      </c>
      <c r="AD123" s="4">
        <f>[1]节奏总纲!AD123</f>
        <v>69.18336653741882</v>
      </c>
      <c r="AE123" s="4">
        <f>[1]节奏总纲!AE123</f>
        <v>71.230067506391322</v>
      </c>
      <c r="AF123" s="4">
        <f>[1]节奏总纲!AF123</f>
        <v>74.149428238300118</v>
      </c>
      <c r="AG123" s="4">
        <f>[1]节奏总纲!AG123</f>
        <v>78.608065926757661</v>
      </c>
      <c r="AH123" s="4">
        <f>[1]节奏总纲!AH123</f>
        <v>87.571414295961461</v>
      </c>
      <c r="AZ123" s="4">
        <v>120</v>
      </c>
      <c r="BA123" s="4">
        <v>39.250296194358178</v>
      </c>
      <c r="BB123" s="4">
        <v>40.751734485509814</v>
      </c>
      <c r="BC123" s="4">
        <v>42.687840061343536</v>
      </c>
      <c r="BD123" s="4">
        <v>45.422904937058867</v>
      </c>
      <c r="BE123" s="4">
        <v>50</v>
      </c>
    </row>
    <row r="124" spans="6:57" x14ac:dyDescent="0.15">
      <c r="F124" s="4">
        <f>[1]节奏总纲!F124</f>
        <v>122</v>
      </c>
      <c r="G124" s="4">
        <f>[1]节奏总纲!G124</f>
        <v>4704.0684620678521</v>
      </c>
      <c r="N124" s="4">
        <f>[1]节奏总纲!N124</f>
        <v>131</v>
      </c>
      <c r="O124" s="4">
        <f>[1]节奏总纲!O124</f>
        <v>121</v>
      </c>
      <c r="P124" s="4">
        <f>[1]节奏总纲!P124</f>
        <v>4388.9841025486576</v>
      </c>
      <c r="Q124" s="4">
        <f>[1]节奏总纲!Q124</f>
        <v>3731.5142839868686</v>
      </c>
      <c r="R124" s="4">
        <f>[1]节奏总纲!R124</f>
        <v>2978.8035103997736</v>
      </c>
      <c r="S124" s="4">
        <f>[1]节奏总纲!S124</f>
        <v>2122.0738135822758</v>
      </c>
      <c r="T124" s="4">
        <f>[1]节奏总纲!T124</f>
        <v>1143.3303587139253</v>
      </c>
      <c r="V124" s="4">
        <f>[1]节奏总纲!V124</f>
        <v>121</v>
      </c>
      <c r="W124" s="4">
        <f>[1]节奏总纲!W124</f>
        <v>293.98410254865757</v>
      </c>
      <c r="X124" s="4">
        <f>[1]节奏总纲!X124</f>
        <v>245.44078398686861</v>
      </c>
      <c r="Y124" s="4">
        <f>[1]节奏总纲!Y124</f>
        <v>186.83251039977358</v>
      </c>
      <c r="Z124" s="4">
        <f>[1]节奏总纲!Z124</f>
        <v>133.54181358227584</v>
      </c>
      <c r="AA124" s="4">
        <f>[1]节奏总纲!AA124</f>
        <v>75.354358713925421</v>
      </c>
      <c r="AC124" s="4">
        <f>[1]节奏总纲!AC124</f>
        <v>121</v>
      </c>
      <c r="AD124" s="4">
        <f>[1]节奏总纲!AD124</f>
        <v>69.300028460644711</v>
      </c>
      <c r="AE124" s="4">
        <f>[1]节奏总纲!AE124</f>
        <v>71.347047554766846</v>
      </c>
      <c r="AF124" s="4">
        <f>[1]节奏总纲!AF124</f>
        <v>74.264655600481987</v>
      </c>
      <c r="AG124" s="4">
        <f>[1]节奏总纲!AG124</f>
        <v>78.733907805351805</v>
      </c>
      <c r="AH124" s="4">
        <f>[1]节奏总纲!AH124</f>
        <v>87.705853024417735</v>
      </c>
      <c r="AZ124" s="4">
        <v>121</v>
      </c>
      <c r="BA124" s="4">
        <v>39.304328901071102</v>
      </c>
      <c r="BB124" s="4">
        <v>40.810008476634607</v>
      </c>
      <c r="BC124" s="4">
        <v>42.745694652888645</v>
      </c>
      <c r="BD124" s="4">
        <v>45.478697145114126</v>
      </c>
      <c r="BE124" s="4">
        <v>50</v>
      </c>
    </row>
    <row r="125" spans="6:57" x14ac:dyDescent="0.15">
      <c r="F125" s="4">
        <f>[1]节奏总纲!F125</f>
        <v>123</v>
      </c>
      <c r="G125" s="4">
        <f>[1]节奏总纲!G125</f>
        <v>5041.7675170607781</v>
      </c>
      <c r="N125" s="4">
        <f>[1]节奏总纲!N125</f>
        <v>132</v>
      </c>
      <c r="O125" s="4">
        <f>[1]节奏总纲!O125</f>
        <v>122</v>
      </c>
      <c r="P125" s="4">
        <f>[1]节奏总纲!P125</f>
        <v>4704.0684620678521</v>
      </c>
      <c r="Q125" s="4">
        <f>[1]节奏总纲!Q125</f>
        <v>3989.5204626797454</v>
      </c>
      <c r="R125" s="4">
        <f>[1]节奏总纲!R125</f>
        <v>3183.7135351275219</v>
      </c>
      <c r="S125" s="4">
        <f>[1]节奏总纲!S125</f>
        <v>2271.1242534863591</v>
      </c>
      <c r="T125" s="4">
        <f>[1]节奏总纲!T125</f>
        <v>1223.9986138300551</v>
      </c>
      <c r="V125" s="4">
        <f>[1]节奏总纲!V125</f>
        <v>122</v>
      </c>
      <c r="W125" s="4">
        <f>[1]节奏总纲!W125</f>
        <v>315.08435951919455</v>
      </c>
      <c r="X125" s="4">
        <f>[1]节奏总纲!X125</f>
        <v>258.0061786928768</v>
      </c>
      <c r="Y125" s="4">
        <f>[1]节奏总纲!Y125</f>
        <v>204.91002472774835</v>
      </c>
      <c r="Z125" s="4">
        <f>[1]节奏总纲!Z125</f>
        <v>149.05043990408331</v>
      </c>
      <c r="AA125" s="4">
        <f>[1]节奏总纲!AA125</f>
        <v>80.668255116129785</v>
      </c>
      <c r="AC125" s="4">
        <f>[1]节奏总纲!AC125</f>
        <v>122</v>
      </c>
      <c r="AD125" s="4">
        <f>[1]节奏总纲!AD125</f>
        <v>69.416690383870588</v>
      </c>
      <c r="AE125" s="4">
        <f>[1]节奏总纲!AE125</f>
        <v>71.46402760314237</v>
      </c>
      <c r="AF125" s="4">
        <f>[1]节奏总纲!AF125</f>
        <v>74.379882962663856</v>
      </c>
      <c r="AG125" s="4">
        <f>[1]节奏总纲!AG125</f>
        <v>78.859749683945964</v>
      </c>
      <c r="AH125" s="4">
        <f>[1]节奏总纲!AH125</f>
        <v>87.840291752874009</v>
      </c>
      <c r="AZ125" s="4">
        <v>122</v>
      </c>
      <c r="BA125" s="4">
        <v>39.358361607784026</v>
      </c>
      <c r="BB125" s="4">
        <v>40.8682824677594</v>
      </c>
      <c r="BC125" s="4">
        <v>42.803549244433754</v>
      </c>
      <c r="BD125" s="4">
        <v>45.534489353169384</v>
      </c>
      <c r="BE125" s="4">
        <v>50</v>
      </c>
    </row>
    <row r="126" spans="6:57" x14ac:dyDescent="0.15">
      <c r="F126" s="4">
        <f>[1]节奏总纲!F126</f>
        <v>124</v>
      </c>
      <c r="G126" s="4">
        <f>[1]节奏总纲!G126</f>
        <v>5403.704402525771</v>
      </c>
      <c r="N126" s="4">
        <f>[1]节奏总纲!N126</f>
        <v>133</v>
      </c>
      <c r="O126" s="4">
        <f>[1]节奏总纲!O126</f>
        <v>123</v>
      </c>
      <c r="P126" s="4">
        <f>[1]节奏总纲!P126</f>
        <v>5041.7675170607781</v>
      </c>
      <c r="Q126" s="4">
        <f>[1]节奏总纲!Q126</f>
        <v>4275.9230312192458</v>
      </c>
      <c r="R126" s="4">
        <f>[1]节奏总纲!R126</f>
        <v>3419.8309068223257</v>
      </c>
      <c r="S126" s="4">
        <f>[1]节奏总纲!S126</f>
        <v>2442.7363620159467</v>
      </c>
      <c r="T126" s="4">
        <f>[1]节奏总纲!T126</f>
        <v>1316.4054987045693</v>
      </c>
      <c r="V126" s="4">
        <f>[1]节奏总纲!V126</f>
        <v>123</v>
      </c>
      <c r="W126" s="4">
        <f>[1]节奏总纲!W126</f>
        <v>337.69905499292599</v>
      </c>
      <c r="X126" s="4">
        <f>[1]节奏总纲!X126</f>
        <v>286.40256853950041</v>
      </c>
      <c r="Y126" s="4">
        <f>[1]节奏总纲!Y126</f>
        <v>236.11737169480375</v>
      </c>
      <c r="Z126" s="4">
        <f>[1]节奏总纲!Z126</f>
        <v>171.61210852958766</v>
      </c>
      <c r="AA126" s="4">
        <f>[1]节奏总纲!AA126</f>
        <v>92.406884874514162</v>
      </c>
      <c r="AC126" s="4">
        <f>[1]节奏总纲!AC126</f>
        <v>123</v>
      </c>
      <c r="AD126" s="4">
        <f>[1]节奏总纲!AD126</f>
        <v>69.533352307096465</v>
      </c>
      <c r="AE126" s="4">
        <f>[1]节奏总纲!AE126</f>
        <v>71.581007651517908</v>
      </c>
      <c r="AF126" s="4">
        <f>[1]节奏总纲!AF126</f>
        <v>74.495110324845726</v>
      </c>
      <c r="AG126" s="4">
        <f>[1]节奏总纲!AG126</f>
        <v>78.985591562540122</v>
      </c>
      <c r="AH126" s="4">
        <f>[1]节奏总纲!AH126</f>
        <v>87.974730481330297</v>
      </c>
      <c r="AZ126" s="4">
        <v>123</v>
      </c>
      <c r="BA126" s="4">
        <v>39.41239431449695</v>
      </c>
      <c r="BB126" s="4">
        <v>40.926556458884193</v>
      </c>
      <c r="BC126" s="4">
        <v>42.861403835978855</v>
      </c>
      <c r="BD126" s="4">
        <v>45.590281561224643</v>
      </c>
      <c r="BE126" s="4">
        <v>50</v>
      </c>
    </row>
    <row r="127" spans="6:57" x14ac:dyDescent="0.15">
      <c r="F127" s="4">
        <f>[1]节奏总纲!F127</f>
        <v>125</v>
      </c>
      <c r="G127" s="4">
        <f>[1]节奏总纲!G127</f>
        <v>5791.6187514801986</v>
      </c>
      <c r="N127" s="4">
        <f>[1]节奏总纲!N127</f>
        <v>134</v>
      </c>
      <c r="O127" s="4">
        <f>[1]节奏总纲!O127</f>
        <v>124</v>
      </c>
      <c r="P127" s="4">
        <f>[1]节奏总纲!P127</f>
        <v>5403.704402525771</v>
      </c>
      <c r="Q127" s="4">
        <f>[1]节奏总纲!Q127</f>
        <v>4591.5276308261473</v>
      </c>
      <c r="R127" s="4">
        <f>[1]节奏总纲!R127</f>
        <v>3671.276771076009</v>
      </c>
      <c r="S127" s="4">
        <f>[1]节奏总纲!S127</f>
        <v>2624.0388578665143</v>
      </c>
      <c r="T127" s="4">
        <f>[1]节奏总纲!T127</f>
        <v>1415.7705534617521</v>
      </c>
      <c r="V127" s="4">
        <f>[1]节奏总纲!V127</f>
        <v>124</v>
      </c>
      <c r="W127" s="4">
        <f>[1]节奏总纲!W127</f>
        <v>361.93688546499288</v>
      </c>
      <c r="X127" s="4">
        <f>[1]节奏总纲!X127</f>
        <v>315.6045996069015</v>
      </c>
      <c r="Y127" s="4">
        <f>[1]节奏总纲!Y127</f>
        <v>251.44586425368334</v>
      </c>
      <c r="Z127" s="4">
        <f>[1]节奏总纲!Z127</f>
        <v>181.30249585056754</v>
      </c>
      <c r="AA127" s="4">
        <f>[1]节奏总纲!AA127</f>
        <v>99.365054757182861</v>
      </c>
      <c r="AC127" s="4">
        <f>[1]节奏总纲!AC127</f>
        <v>124</v>
      </c>
      <c r="AD127" s="4">
        <f>[1]节奏总纲!AD127</f>
        <v>69.650014230322356</v>
      </c>
      <c r="AE127" s="4">
        <f>[1]节奏总纲!AE127</f>
        <v>71.697987699893432</v>
      </c>
      <c r="AF127" s="4">
        <f>[1]节奏总纲!AF127</f>
        <v>74.610337687027609</v>
      </c>
      <c r="AG127" s="4">
        <f>[1]节奏总纲!AG127</f>
        <v>79.104601412347151</v>
      </c>
      <c r="AH127" s="4">
        <f>[1]节奏总纲!AH127</f>
        <v>88.109271506528316</v>
      </c>
      <c r="AZ127" s="4">
        <v>124</v>
      </c>
      <c r="BA127" s="4">
        <v>39.466427021209874</v>
      </c>
      <c r="BB127" s="4">
        <v>40.984830450008978</v>
      </c>
      <c r="BC127" s="4">
        <v>42.919258427523964</v>
      </c>
      <c r="BD127" s="4">
        <v>45.646073769279901</v>
      </c>
      <c r="BE127" s="4">
        <v>50</v>
      </c>
    </row>
    <row r="128" spans="6:57" x14ac:dyDescent="0.15">
      <c r="F128" s="4">
        <f>[1]节奏总纲!F128</f>
        <v>126</v>
      </c>
      <c r="G128" s="4">
        <f>[1]节奏总纲!G128</f>
        <v>6207.3750564265865</v>
      </c>
      <c r="N128" s="4">
        <f>[1]节奏总纲!N128</f>
        <v>135</v>
      </c>
      <c r="O128" s="4">
        <f>[1]节奏总纲!O128</f>
        <v>125</v>
      </c>
      <c r="P128" s="4">
        <f>[1]节奏总纲!P128</f>
        <v>5791.6187514801986</v>
      </c>
      <c r="Q128" s="4">
        <f>[1]节奏总纲!Q128</f>
        <v>4918.821805632133</v>
      </c>
      <c r="R128" s="4">
        <f>[1]节奏总纲!R128</f>
        <v>3940.0382366319791</v>
      </c>
      <c r="S128" s="4">
        <f>[1]节奏总纲!S128</f>
        <v>2816.4641988448207</v>
      </c>
      <c r="T128" s="4">
        <f>[1]节奏总纲!T128</f>
        <v>1509.8750085108877</v>
      </c>
      <c r="V128" s="4">
        <f>[1]节奏总纲!V128</f>
        <v>125</v>
      </c>
      <c r="W128" s="4">
        <f>[1]节奏总纲!W128</f>
        <v>387.91434895442762</v>
      </c>
      <c r="X128" s="4">
        <f>[1]节奏总纲!X128</f>
        <v>327.29417480598568</v>
      </c>
      <c r="Y128" s="4">
        <f>[1]节奏总纲!Y128</f>
        <v>268.76146555597006</v>
      </c>
      <c r="Z128" s="4">
        <f>[1]节奏总纲!Z128</f>
        <v>192.42534097830639</v>
      </c>
      <c r="AA128" s="4">
        <f>[1]节奏总纲!AA128</f>
        <v>94.104455049135595</v>
      </c>
      <c r="AC128" s="4">
        <f>[1]节奏总纲!AC128</f>
        <v>125</v>
      </c>
      <c r="AD128" s="4">
        <f>[1]节奏总纲!AD128</f>
        <v>69.766676153548232</v>
      </c>
      <c r="AE128" s="4">
        <f>[1]节奏总纲!AE128</f>
        <v>71.814967748268955</v>
      </c>
      <c r="AF128" s="4">
        <f>[1]节奏总纲!AF128</f>
        <v>74.725565049209479</v>
      </c>
      <c r="AG128" s="4">
        <f>[1]节奏总纲!AG128</f>
        <v>79.222727875098187</v>
      </c>
      <c r="AH128" s="4">
        <f>[1]节奏总纲!AH128</f>
        <v>88.243836210467165</v>
      </c>
      <c r="AZ128" s="4">
        <v>125</v>
      </c>
      <c r="BA128" s="4">
        <v>39.520459727922798</v>
      </c>
      <c r="BB128" s="4">
        <v>41.037193447861313</v>
      </c>
      <c r="BC128" s="4">
        <v>42.977113019069073</v>
      </c>
      <c r="BD128" s="4">
        <v>45.701865977335167</v>
      </c>
      <c r="BE128" s="4">
        <v>50</v>
      </c>
    </row>
    <row r="129" spans="6:57" x14ac:dyDescent="0.15">
      <c r="F129" s="4">
        <f>[1]节奏总纲!F129</f>
        <v>127</v>
      </c>
      <c r="G129" s="4">
        <f>[1]节奏总纲!G129</f>
        <v>6652.971630950271</v>
      </c>
      <c r="N129" s="4">
        <f>[1]节奏总纲!N129</f>
        <v>136</v>
      </c>
      <c r="O129" s="4">
        <f>[1]节奏总纲!O129</f>
        <v>126</v>
      </c>
      <c r="P129" s="4">
        <f>[1]节奏总纲!P129</f>
        <v>6207.3750564265865</v>
      </c>
      <c r="Q129" s="4">
        <f>[1]节奏总纲!Q129</f>
        <v>5279.3724854908123</v>
      </c>
      <c r="R129" s="4">
        <f>[1]节奏总纲!R129</f>
        <v>4225.9809384152195</v>
      </c>
      <c r="S129" s="4">
        <f>[1]节奏总纲!S129</f>
        <v>3006.8524773330387</v>
      </c>
      <c r="T129" s="4">
        <f>[1]节奏总纲!T129</f>
        <v>1610.1930896370566</v>
      </c>
      <c r="V129" s="4">
        <f>[1]节奏总纲!V129</f>
        <v>126</v>
      </c>
      <c r="W129" s="4">
        <f>[1]节奏总纲!W129</f>
        <v>415.7563049463879</v>
      </c>
      <c r="X129" s="4">
        <f>[1]节奏总纲!X129</f>
        <v>360.55067985867936</v>
      </c>
      <c r="Y129" s="4">
        <f>[1]节奏总纲!Y129</f>
        <v>285.94270178324041</v>
      </c>
      <c r="Z129" s="4">
        <f>[1]节奏总纲!Z129</f>
        <v>190.38827848821802</v>
      </c>
      <c r="AA129" s="4">
        <f>[1]节奏总纲!AA129</f>
        <v>100.31808112616886</v>
      </c>
      <c r="AC129" s="4">
        <f>[1]节奏总纲!AC129</f>
        <v>126</v>
      </c>
      <c r="AD129" s="4">
        <f>[1]节奏总纲!AD129</f>
        <v>69.883338076774123</v>
      </c>
      <c r="AE129" s="4">
        <f>[1]节奏总纲!AE129</f>
        <v>71.931947796644479</v>
      </c>
      <c r="AF129" s="4">
        <f>[1]节奏总纲!AF129</f>
        <v>74.840792411391348</v>
      </c>
      <c r="AG129" s="4">
        <f>[1]节奏总纲!AG129</f>
        <v>79.340854337849223</v>
      </c>
      <c r="AH129" s="4">
        <f>[1]节奏总纲!AH129</f>
        <v>88.378400914406001</v>
      </c>
      <c r="AZ129" s="4">
        <v>126</v>
      </c>
      <c r="BA129" s="4">
        <v>39.574492434635722</v>
      </c>
      <c r="BB129" s="4">
        <v>41.087476216725996</v>
      </c>
      <c r="BC129" s="4">
        <v>43.030177309109042</v>
      </c>
      <c r="BD129" s="4">
        <v>45.757658185390426</v>
      </c>
      <c r="BE129" s="4">
        <v>50</v>
      </c>
    </row>
    <row r="130" spans="6:57" x14ac:dyDescent="0.15">
      <c r="F130" s="4">
        <f>[1]节奏总纲!F130</f>
        <v>128</v>
      </c>
      <c r="G130" s="4">
        <f>[1]节奏总纲!G130</f>
        <v>7130.5502145218443</v>
      </c>
      <c r="N130" s="4">
        <f>[1]节奏总纲!N130</f>
        <v>137</v>
      </c>
      <c r="O130" s="4">
        <f>[1]节奏总纲!O130</f>
        <v>127</v>
      </c>
      <c r="P130" s="4">
        <f>[1]节奏总纲!P130</f>
        <v>6652.971630950271</v>
      </c>
      <c r="Q130" s="4">
        <f>[1]节奏总纲!Q130</f>
        <v>5658.3523721232059</v>
      </c>
      <c r="R130" s="4">
        <f>[1]节奏总纲!R130</f>
        <v>4508.7188742949984</v>
      </c>
      <c r="S130" s="4">
        <f>[1]节奏总纲!S130</f>
        <v>3203.4058403025556</v>
      </c>
      <c r="T130" s="4">
        <f>[1]节奏总纲!T130</f>
        <v>1719.793166600645</v>
      </c>
      <c r="V130" s="4">
        <f>[1]节奏总纲!V130</f>
        <v>127</v>
      </c>
      <c r="W130" s="4">
        <f>[1]节奏总纲!W130</f>
        <v>445.59657452368447</v>
      </c>
      <c r="X130" s="4">
        <f>[1]节奏总纲!X130</f>
        <v>378.97988663239357</v>
      </c>
      <c r="Y130" s="4">
        <f>[1]节奏总纲!Y130</f>
        <v>282.73793587977889</v>
      </c>
      <c r="Z130" s="4">
        <f>[1]节奏总纲!Z130</f>
        <v>196.55336296951691</v>
      </c>
      <c r="AA130" s="4">
        <f>[1]节奏总纲!AA130</f>
        <v>109.60007696358844</v>
      </c>
      <c r="AC130" s="4">
        <f>[1]节奏总纲!AC130</f>
        <v>127</v>
      </c>
      <c r="AD130" s="4">
        <f>[1]节奏总纲!AD130</f>
        <v>70</v>
      </c>
      <c r="AE130" s="4">
        <f>[1]节奏总纲!AE130</f>
        <v>72.047345051940553</v>
      </c>
      <c r="AF130" s="4">
        <f>[1]节奏总纲!AF130</f>
        <v>74.956019773573217</v>
      </c>
      <c r="AG130" s="4">
        <f>[1]节奏总纲!AG130</f>
        <v>79.458980800600258</v>
      </c>
      <c r="AH130" s="4">
        <f>[1]节奏总纲!AH130</f>
        <v>88.51296561834485</v>
      </c>
      <c r="AZ130" s="4">
        <v>127</v>
      </c>
      <c r="BA130" s="4">
        <v>39.628525141348646</v>
      </c>
      <c r="BB130" s="4">
        <v>41.137758985590679</v>
      </c>
      <c r="BC130" s="4">
        <v>43.080106253688569</v>
      </c>
      <c r="BD130" s="4">
        <v>45.813450393445684</v>
      </c>
      <c r="BE130" s="4">
        <v>50</v>
      </c>
    </row>
    <row r="131" spans="6:57" x14ac:dyDescent="0.15">
      <c r="F131" s="4">
        <f>[1]节奏总纲!F131</f>
        <v>129</v>
      </c>
      <c r="G131" s="4">
        <f>[1]节奏总纲!G131</f>
        <v>7642.4062666695281</v>
      </c>
      <c r="N131" s="4">
        <f>[1]节奏总纲!N131</f>
        <v>138</v>
      </c>
      <c r="O131" s="4">
        <f>[1]节奏总纲!O131</f>
        <v>128</v>
      </c>
      <c r="P131" s="4">
        <f>[1]节奏总纲!P131</f>
        <v>7130.5502145218443</v>
      </c>
      <c r="Q131" s="4">
        <f>[1]节奏总纲!Q131</f>
        <v>6036.010756592741</v>
      </c>
      <c r="R131" s="4">
        <f>[1]节奏总纲!R131</f>
        <v>4805.9908445877236</v>
      </c>
      <c r="S131" s="4">
        <f>[1]节奏总纲!S131</f>
        <v>3419.0988278632244</v>
      </c>
      <c r="T131" s="4">
        <f>[1]节奏总纲!T131</f>
        <v>1838.9689003251838</v>
      </c>
      <c r="V131" s="4">
        <f>[1]节奏总纲!V131</f>
        <v>128</v>
      </c>
      <c r="W131" s="4">
        <f>[1]节奏总纲!W131</f>
        <v>477.57858357157329</v>
      </c>
      <c r="X131" s="4">
        <f>[1]节奏总纲!X131</f>
        <v>377.65838446953512</v>
      </c>
      <c r="Y131" s="4">
        <f>[1]节奏总纲!Y131</f>
        <v>297.2719702927252</v>
      </c>
      <c r="Z131" s="4">
        <f>[1]节奏总纲!Z131</f>
        <v>215.69298756066883</v>
      </c>
      <c r="AA131" s="4">
        <f>[1]节奏总纲!AA131</f>
        <v>119.17573372453876</v>
      </c>
      <c r="AC131" s="4">
        <f>[1]节奏总纲!AC131</f>
        <v>128</v>
      </c>
      <c r="AD131" s="4">
        <f>[1]节奏总纲!AD131</f>
        <v>70.108849423225877</v>
      </c>
      <c r="AE131" s="4">
        <f>[1]节奏总纲!AE131</f>
        <v>72.160540850040434</v>
      </c>
      <c r="AF131" s="4">
        <f>[1]节奏总纲!AF131</f>
        <v>75.067682921736733</v>
      </c>
      <c r="AG131" s="4">
        <f>[1]节奏总纲!AG131</f>
        <v>79.577107263351294</v>
      </c>
      <c r="AH131" s="4">
        <f>[1]节奏总纲!AH131</f>
        <v>88.6475303222837</v>
      </c>
      <c r="AZ131" s="4">
        <v>128</v>
      </c>
      <c r="BA131" s="4">
        <v>39.68255784806157</v>
      </c>
      <c r="BB131" s="4">
        <v>41.188041754455355</v>
      </c>
      <c r="BC131" s="4">
        <v>43.130035198268104</v>
      </c>
      <c r="BD131" s="4">
        <v>45.869242601500943</v>
      </c>
      <c r="BE131" s="4">
        <v>50</v>
      </c>
    </row>
    <row r="132" spans="6:57" x14ac:dyDescent="0.15">
      <c r="F132" s="4">
        <f>[1]节奏总纲!F132</f>
        <v>130</v>
      </c>
      <c r="G132" s="4">
        <f>[1]节奏总纲!G132</f>
        <v>8191</v>
      </c>
      <c r="N132" s="4">
        <f>[1]节奏总纲!N132</f>
        <v>139</v>
      </c>
      <c r="O132" s="4">
        <f>[1]节奏总纲!O132</f>
        <v>129</v>
      </c>
      <c r="P132" s="4">
        <f>[1]节奏总纲!P132</f>
        <v>7642.4062666695281</v>
      </c>
      <c r="Q132" s="4">
        <f>[1]节奏总纲!Q132</f>
        <v>6469.2969047357556</v>
      </c>
      <c r="R132" s="4">
        <f>[1]节奏总纲!R132</f>
        <v>5159.388470628599</v>
      </c>
      <c r="S132" s="4">
        <f>[1]节奏总纲!S132</f>
        <v>3676.7616548947103</v>
      </c>
      <c r="T132" s="4">
        <f>[1]节奏总纲!T132</f>
        <v>1975.5620199340731</v>
      </c>
      <c r="V132" s="4">
        <f>[1]节奏总纲!V132</f>
        <v>129</v>
      </c>
      <c r="W132" s="4">
        <f>[1]节奏总纲!W132</f>
        <v>511.85605214768384</v>
      </c>
      <c r="X132" s="4">
        <f>[1]节奏总纲!X132</f>
        <v>433.28614814301454</v>
      </c>
      <c r="Y132" s="4">
        <f>[1]节奏总纲!Y132</f>
        <v>353.39762604087537</v>
      </c>
      <c r="Z132" s="4">
        <f>[1]节奏总纲!Z132</f>
        <v>257.6628270314859</v>
      </c>
      <c r="AA132" s="4">
        <f>[1]节奏总纲!AA132</f>
        <v>136.59311960888931</v>
      </c>
      <c r="AC132" s="4">
        <f>[1]节奏总纲!AC132</f>
        <v>129</v>
      </c>
      <c r="AD132" s="4">
        <f>[1]节奏总纲!AD132</f>
        <v>70.217698846451768</v>
      </c>
      <c r="AE132" s="4">
        <f>[1]节奏总纲!AE132</f>
        <v>72.273736648140314</v>
      </c>
      <c r="AF132" s="4">
        <f>[1]节奏总纲!AF132</f>
        <v>75.177145912126889</v>
      </c>
      <c r="AG132" s="4">
        <f>[1]节奏总纲!AG132</f>
        <v>79.69523372610233</v>
      </c>
      <c r="AH132" s="4">
        <f>[1]节奏总纲!AH132</f>
        <v>88.782095026222549</v>
      </c>
      <c r="AZ132" s="4">
        <v>129</v>
      </c>
      <c r="BA132" s="4">
        <v>39.736590554774494</v>
      </c>
      <c r="BB132" s="4">
        <v>41.238324523320038</v>
      </c>
      <c r="BC132" s="4">
        <v>43.179964142847631</v>
      </c>
      <c r="BD132" s="4">
        <v>45.925034809556202</v>
      </c>
      <c r="BE132" s="4">
        <v>50</v>
      </c>
    </row>
    <row r="133" spans="6:57" x14ac:dyDescent="0.15">
      <c r="F133" s="4">
        <f>[1]节奏总纲!F133</f>
        <v>131</v>
      </c>
      <c r="G133" s="4">
        <f>[1]节奏总纲!G133</f>
        <v>8778.9682050973151</v>
      </c>
      <c r="N133" s="4">
        <f>[1]节奏总纲!N133</f>
        <v>140</v>
      </c>
      <c r="O133" s="4">
        <f>[1]节奏总纲!O133</f>
        <v>130</v>
      </c>
      <c r="P133" s="4">
        <f>[1]节奏总纲!P133</f>
        <v>8191</v>
      </c>
      <c r="Q133" s="4">
        <f>[1]节奏总纲!Q133</f>
        <v>6941.8725000000004</v>
      </c>
      <c r="R133" s="4">
        <f>[1]节奏总纲!R133</f>
        <v>5542.0306</v>
      </c>
      <c r="S133" s="4">
        <f>[1]节奏总纲!S133</f>
        <v>3951.3384000000001</v>
      </c>
      <c r="T133" s="4">
        <f>[1]节奏总纲!T133</f>
        <v>2124.7454000000002</v>
      </c>
      <c r="V133" s="4">
        <f>[1]节奏总纲!V133</f>
        <v>130</v>
      </c>
      <c r="W133" s="4">
        <f>[1]节奏总纲!W133</f>
        <v>548.59373333047188</v>
      </c>
      <c r="X133" s="4">
        <f>[1]节奏总纲!X133</f>
        <v>472.57559526424484</v>
      </c>
      <c r="Y133" s="4">
        <f>[1]节奏总纲!Y133</f>
        <v>382.6421293714011</v>
      </c>
      <c r="Z133" s="4">
        <f>[1]节奏总纲!Z133</f>
        <v>274.57674510528977</v>
      </c>
      <c r="AA133" s="4">
        <f>[1]节奏总纲!AA133</f>
        <v>149.18338006592717</v>
      </c>
      <c r="AC133" s="4">
        <f>[1]节奏总纲!AC133</f>
        <v>130</v>
      </c>
      <c r="AD133" s="4">
        <f>[1]节奏总纲!AD133</f>
        <v>70.326548269677644</v>
      </c>
      <c r="AE133" s="4">
        <f>[1]节奏总纲!AE133</f>
        <v>72.386932446240195</v>
      </c>
      <c r="AF133" s="4">
        <f>[1]节奏总纲!AF133</f>
        <v>75.286608902517045</v>
      </c>
      <c r="AG133" s="4">
        <f>[1]节奏总纲!AG133</f>
        <v>79.813360188853366</v>
      </c>
      <c r="AH133" s="4">
        <f>[1]节奏总纲!AH133</f>
        <v>88.916659730161399</v>
      </c>
      <c r="AZ133" s="4">
        <v>130</v>
      </c>
      <c r="BA133" s="4">
        <v>39.790623261487418</v>
      </c>
      <c r="BB133" s="4">
        <v>41.288607292184714</v>
      </c>
      <c r="BC133" s="4">
        <v>43.229893087427158</v>
      </c>
      <c r="BD133" s="4">
        <v>45.98082701761146</v>
      </c>
      <c r="BE133" s="4">
        <v>50</v>
      </c>
    </row>
    <row r="134" spans="6:57" x14ac:dyDescent="0.15">
      <c r="F134" s="4">
        <f>[1]节奏总纲!F134</f>
        <v>132</v>
      </c>
      <c r="G134" s="4">
        <f>[1]节奏总纲!G134</f>
        <v>9409.1369241357042</v>
      </c>
      <c r="N134" s="4">
        <f>[1]节奏总纲!N134</f>
        <v>141</v>
      </c>
      <c r="O134" s="4">
        <f>[1]节奏总纲!O134</f>
        <v>131</v>
      </c>
      <c r="P134" s="4">
        <f>[1]节奏总纲!P134</f>
        <v>8778.9682050973151</v>
      </c>
      <c r="Q134" s="4">
        <f>[1]节奏总纲!Q134</f>
        <v>7443.6871411020138</v>
      </c>
      <c r="R134" s="4">
        <f>[1]节奏总纲!R134</f>
        <v>5945.117268491902</v>
      </c>
      <c r="S134" s="4">
        <f>[1]节奏总纲!S134</f>
        <v>4244.6311271645518</v>
      </c>
      <c r="T134" s="4">
        <f>[1]节奏总纲!T134</f>
        <v>2275.5085587612239</v>
      </c>
      <c r="V134" s="4">
        <f>[1]节奏总纲!V134</f>
        <v>131</v>
      </c>
      <c r="W134" s="4">
        <f>[1]节奏总纲!W134</f>
        <v>587.96820509731515</v>
      </c>
      <c r="X134" s="4">
        <f>[1]节奏总纲!X134</f>
        <v>501.81464110201341</v>
      </c>
      <c r="Y134" s="4">
        <f>[1]节奏总纲!Y134</f>
        <v>403.08666849190195</v>
      </c>
      <c r="Z134" s="4">
        <f>[1]节奏总纲!Z134</f>
        <v>293.29272716455171</v>
      </c>
      <c r="AA134" s="4">
        <f>[1]节奏总纲!AA134</f>
        <v>150.76315876122362</v>
      </c>
      <c r="AC134" s="4">
        <f>[1]节奏总纲!AC134</f>
        <v>131</v>
      </c>
      <c r="AD134" s="4">
        <f>[1]节奏总纲!AD134</f>
        <v>70.435397692903535</v>
      </c>
      <c r="AE134" s="4">
        <f>[1]节奏总纲!AE134</f>
        <v>72.50012824434009</v>
      </c>
      <c r="AF134" s="4">
        <f>[1]节奏总纲!AF134</f>
        <v>75.396071892907202</v>
      </c>
      <c r="AG134" s="4">
        <f>[1]节奏总纲!AG134</f>
        <v>79.931486651604402</v>
      </c>
      <c r="AH134" s="4">
        <f>[1]节奏总纲!AH134</f>
        <v>89.048420729369383</v>
      </c>
      <c r="AZ134" s="4">
        <v>131</v>
      </c>
      <c r="BA134" s="4">
        <v>39.844655968200342</v>
      </c>
      <c r="BB134" s="4">
        <v>41.338890061049398</v>
      </c>
      <c r="BC134" s="4">
        <v>43.279822032006692</v>
      </c>
      <c r="BD134" s="4">
        <v>46.031609894814238</v>
      </c>
      <c r="BE134" s="4">
        <v>50</v>
      </c>
    </row>
    <row r="135" spans="6:57" x14ac:dyDescent="0.15">
      <c r="F135" s="4">
        <f>[1]节奏总纲!F135</f>
        <v>133</v>
      </c>
      <c r="G135" s="4">
        <f>[1]节奏总纲!G135</f>
        <v>10084.535034121556</v>
      </c>
      <c r="N135" s="4">
        <f>[1]节奏总纲!N135</f>
        <v>142</v>
      </c>
      <c r="O135" s="4">
        <f>[1]节奏总纲!O135</f>
        <v>132</v>
      </c>
      <c r="P135" s="4">
        <f>[1]节奏总纲!P135</f>
        <v>9409.1369241357042</v>
      </c>
      <c r="Q135" s="4">
        <f>[1]节奏总纲!Q135</f>
        <v>7983.6526801291457</v>
      </c>
      <c r="R135" s="4">
        <f>[1]节奏总纲!R135</f>
        <v>6385.9812304109018</v>
      </c>
      <c r="S135" s="4">
        <f>[1]节奏总纲!S135</f>
        <v>4544.6131343575453</v>
      </c>
      <c r="T135" s="4">
        <f>[1]节奏总纲!T135</f>
        <v>2431.3209811966663</v>
      </c>
      <c r="V135" s="4">
        <f>[1]节奏总纲!V135</f>
        <v>132</v>
      </c>
      <c r="W135" s="4">
        <f>[1]节奏总纲!W135</f>
        <v>630.1687190383891</v>
      </c>
      <c r="X135" s="4">
        <f>[1]节奏总纲!X135</f>
        <v>539.96553902713185</v>
      </c>
      <c r="Y135" s="4">
        <f>[1]节奏总纲!Y135</f>
        <v>440.86396191899985</v>
      </c>
      <c r="Z135" s="4">
        <f>[1]节奏总纲!Z135</f>
        <v>299.98200719299348</v>
      </c>
      <c r="AA135" s="4">
        <f>[1]节奏总纲!AA135</f>
        <v>155.81242243544239</v>
      </c>
      <c r="AC135" s="4">
        <f>[1]节奏总纲!AC135</f>
        <v>132</v>
      </c>
      <c r="AD135" s="4">
        <f>[1]节奏总纲!AD135</f>
        <v>70.544247116129412</v>
      </c>
      <c r="AE135" s="4">
        <f>[1]节奏总纲!AE135</f>
        <v>72.61332404243997</v>
      </c>
      <c r="AF135" s="4">
        <f>[1]节奏总纲!AF135</f>
        <v>75.505534883297358</v>
      </c>
      <c r="AG135" s="4">
        <f>[1]节奏总纲!AG135</f>
        <v>80.045750258986601</v>
      </c>
      <c r="AH135" s="4">
        <f>[1]节奏总纲!AH135</f>
        <v>89.175620204122851</v>
      </c>
      <c r="AZ135" s="4">
        <v>132</v>
      </c>
      <c r="BA135" s="4">
        <v>39.898688674913267</v>
      </c>
      <c r="BB135" s="4">
        <v>41.389172829914081</v>
      </c>
      <c r="BC135" s="4">
        <v>43.329750976586219</v>
      </c>
      <c r="BD135" s="4">
        <v>46.079770001861057</v>
      </c>
      <c r="BE135" s="4">
        <v>50</v>
      </c>
    </row>
    <row r="136" spans="6:57" x14ac:dyDescent="0.15">
      <c r="F136" s="4">
        <f>[1]节奏总纲!F136</f>
        <v>134</v>
      </c>
      <c r="G136" s="4">
        <f>[1]节奏总纲!G136</f>
        <v>10808.408805051544</v>
      </c>
      <c r="N136" s="4">
        <f>[1]节奏总纲!N136</f>
        <v>143</v>
      </c>
      <c r="O136" s="4">
        <f>[1]节奏总纲!O136</f>
        <v>133</v>
      </c>
      <c r="P136" s="4">
        <f>[1]节奏总纲!P136</f>
        <v>10084.535034121556</v>
      </c>
      <c r="Q136" s="4">
        <f>[1]节奏总纲!Q136</f>
        <v>8562.7786974726132</v>
      </c>
      <c r="R136" s="4">
        <f>[1]节奏总纲!R136</f>
        <v>6827.2302181002942</v>
      </c>
      <c r="S136" s="4">
        <f>[1]节奏总纲!S136</f>
        <v>4847.6359909022322</v>
      </c>
      <c r="T136" s="4">
        <f>[1]节奏总纲!T136</f>
        <v>2595.759317782889</v>
      </c>
      <c r="V136" s="4">
        <f>[1]节奏总纲!V136</f>
        <v>133</v>
      </c>
      <c r="W136" s="4">
        <f>[1]节奏总纲!W136</f>
        <v>675.39810998585199</v>
      </c>
      <c r="X136" s="4">
        <f>[1]节奏总纲!X136</f>
        <v>579.12601734346754</v>
      </c>
      <c r="Y136" s="4">
        <f>[1]节奏总纲!Y136</f>
        <v>441.24898768939238</v>
      </c>
      <c r="Z136" s="4">
        <f>[1]节奏总纲!Z136</f>
        <v>303.02285654468687</v>
      </c>
      <c r="AA136" s="4">
        <f>[1]节奏总纲!AA136</f>
        <v>164.4383365862227</v>
      </c>
      <c r="AC136" s="4">
        <f>[1]节奏总纲!AC136</f>
        <v>133</v>
      </c>
      <c r="AD136" s="4">
        <f>[1]节奏总纲!AD136</f>
        <v>70.653096539355303</v>
      </c>
      <c r="AE136" s="4">
        <f>[1]节奏总纲!AE136</f>
        <v>72.726519840539851</v>
      </c>
      <c r="AF136" s="4">
        <f>[1]节奏总纲!AF136</f>
        <v>75.614997873687514</v>
      </c>
      <c r="AG136" s="4">
        <f>[1]节奏总纲!AG136</f>
        <v>80.154679447049915</v>
      </c>
      <c r="AH136" s="4">
        <f>[1]节奏总纲!AH136</f>
        <v>89.302819678876304</v>
      </c>
      <c r="AZ136" s="4">
        <v>133</v>
      </c>
      <c r="BA136" s="4">
        <v>39.952721381626191</v>
      </c>
      <c r="BB136" s="4">
        <v>41.439455598778757</v>
      </c>
      <c r="BC136" s="4">
        <v>43.379679921165753</v>
      </c>
      <c r="BD136" s="4">
        <v>46.127930108907876</v>
      </c>
      <c r="BE136" s="4">
        <v>50</v>
      </c>
    </row>
    <row r="137" spans="6:57" x14ac:dyDescent="0.15">
      <c r="F137" s="4">
        <f>[1]节奏总纲!F137</f>
        <v>135</v>
      </c>
      <c r="G137" s="4">
        <f>[1]节奏总纲!G137</f>
        <v>11584.237502960397</v>
      </c>
      <c r="N137" s="4">
        <f>[1]节奏总纲!N137</f>
        <v>144</v>
      </c>
      <c r="O137" s="4">
        <f>[1]节奏总纲!O137</f>
        <v>134</v>
      </c>
      <c r="P137" s="4">
        <f>[1]节奏总纲!P137</f>
        <v>10808.408805051544</v>
      </c>
      <c r="Q137" s="4">
        <f>[1]节奏总纲!Q137</f>
        <v>9151.4797352371424</v>
      </c>
      <c r="R137" s="4">
        <f>[1]节奏总纲!R137</f>
        <v>7283.7866937242361</v>
      </c>
      <c r="S137" s="4">
        <f>[1]节奏总纲!S137</f>
        <v>5175.0661358586794</v>
      </c>
      <c r="T137" s="4">
        <f>[1]节奏总纲!T137</f>
        <v>2775.5993811372364</v>
      </c>
      <c r="V137" s="4">
        <f>[1]节奏总纲!V137</f>
        <v>134</v>
      </c>
      <c r="W137" s="4">
        <f>[1]节奏总纲!W137</f>
        <v>723.87377092998759</v>
      </c>
      <c r="X137" s="4">
        <f>[1]节奏总纲!X137</f>
        <v>588.70103776452925</v>
      </c>
      <c r="Y137" s="4">
        <f>[1]节奏总纲!Y137</f>
        <v>456.55647562394188</v>
      </c>
      <c r="Z137" s="4">
        <f>[1]节奏总纲!Z137</f>
        <v>327.43014495644729</v>
      </c>
      <c r="AA137" s="4">
        <f>[1]节奏总纲!AA137</f>
        <v>179.84006335434742</v>
      </c>
      <c r="AC137" s="4">
        <f>[1]节奏总纲!AC137</f>
        <v>134</v>
      </c>
      <c r="AD137" s="4">
        <f>[1]节奏总纲!AD137</f>
        <v>70.76194596258118</v>
      </c>
      <c r="AE137" s="4">
        <f>[1]节奏总纲!AE137</f>
        <v>72.839715638639731</v>
      </c>
      <c r="AF137" s="4">
        <f>[1]节奏总纲!AF137</f>
        <v>75.72446086407767</v>
      </c>
      <c r="AG137" s="4">
        <f>[1]节奏总纲!AG137</f>
        <v>80.263608635113243</v>
      </c>
      <c r="AH137" s="4">
        <f>[1]节奏总纲!AH137</f>
        <v>89.430019153629758</v>
      </c>
      <c r="AZ137" s="4">
        <v>134</v>
      </c>
      <c r="BA137" s="4">
        <v>40.005827399112476</v>
      </c>
      <c r="BB137" s="4">
        <v>41.48973836764344</v>
      </c>
      <c r="BC137" s="4">
        <v>43.42960886574528</v>
      </c>
      <c r="BD137" s="4">
        <v>46.176090215954694</v>
      </c>
      <c r="BE137" s="4">
        <v>50</v>
      </c>
    </row>
    <row r="138" spans="6:57" x14ac:dyDescent="0.15">
      <c r="F138" s="4">
        <f>[1]节奏总纲!F138</f>
        <v>136</v>
      </c>
      <c r="G138" s="4">
        <f>[1]节奏总纲!G138</f>
        <v>12415.750112853173</v>
      </c>
      <c r="N138" s="4">
        <f>[1]节奏总纲!N138</f>
        <v>145</v>
      </c>
      <c r="O138" s="4">
        <f>[1]节奏总纲!O138</f>
        <v>135</v>
      </c>
      <c r="P138" s="4">
        <f>[1]节奏总纲!P138</f>
        <v>11584.237502960397</v>
      </c>
      <c r="Q138" s="4">
        <f>[1]节奏总纲!Q138</f>
        <v>9796.789656253608</v>
      </c>
      <c r="R138" s="4">
        <f>[1]节奏总纲!R138</f>
        <v>7796.1918394923478</v>
      </c>
      <c r="S138" s="4">
        <f>[1]节奏总纲!S138</f>
        <v>5548.8497639180305</v>
      </c>
      <c r="T138" s="4">
        <f>[1]节奏总纲!T138</f>
        <v>2979.465885761414</v>
      </c>
      <c r="V138" s="4">
        <f>[1]节奏总纲!V138</f>
        <v>135</v>
      </c>
      <c r="W138" s="4">
        <f>[1]节奏总纲!W138</f>
        <v>775.82869790885343</v>
      </c>
      <c r="X138" s="4">
        <f>[1]节奏总纲!X138</f>
        <v>645.30992101646552</v>
      </c>
      <c r="Y138" s="4">
        <f>[1]节奏总纲!Y138</f>
        <v>512.40514576811165</v>
      </c>
      <c r="Z138" s="4">
        <f>[1]节奏总纲!Z138</f>
        <v>373.78362805935103</v>
      </c>
      <c r="AA138" s="4">
        <f>[1]节奏总纲!AA138</f>
        <v>203.86650462417765</v>
      </c>
      <c r="AC138" s="4">
        <f>[1]节奏总纲!AC138</f>
        <v>135</v>
      </c>
      <c r="AD138" s="4">
        <f>[1]节奏总纲!AD138</f>
        <v>70.870795385807057</v>
      </c>
      <c r="AE138" s="4">
        <f>[1]节奏总纲!AE138</f>
        <v>72.952911436739612</v>
      </c>
      <c r="AF138" s="4">
        <f>[1]节奏总纲!AF138</f>
        <v>75.833923854467812</v>
      </c>
      <c r="AG138" s="4">
        <f>[1]节奏总纲!AG138</f>
        <v>80.372537823176572</v>
      </c>
      <c r="AH138" s="4">
        <f>[1]节奏总纲!AH138</f>
        <v>89.557218628383211</v>
      </c>
      <c r="AZ138" s="4">
        <v>135</v>
      </c>
      <c r="BA138" s="4">
        <v>40.052446592012309</v>
      </c>
      <c r="BB138" s="4">
        <v>41.540021136508116</v>
      </c>
      <c r="BC138" s="4">
        <v>43.479537810324814</v>
      </c>
      <c r="BD138" s="4">
        <v>46.224250323001513</v>
      </c>
      <c r="BE138" s="4">
        <v>50</v>
      </c>
    </row>
    <row r="139" spans="6:57" x14ac:dyDescent="0.15">
      <c r="F139" s="4">
        <f>[1]节奏总纲!F139</f>
        <v>137</v>
      </c>
      <c r="G139" s="4">
        <f>[1]节奏总纲!G139</f>
        <v>13306.943261900544</v>
      </c>
      <c r="N139" s="4">
        <f>[1]节奏总纲!N139</f>
        <v>146</v>
      </c>
      <c r="O139" s="4">
        <f>[1]节奏总纲!O139</f>
        <v>136</v>
      </c>
      <c r="P139" s="4">
        <f>[1]节奏总纲!P139</f>
        <v>12415.750112853173</v>
      </c>
      <c r="Q139" s="4">
        <f>[1]节奏总纲!Q139</f>
        <v>10507.449320507641</v>
      </c>
      <c r="R139" s="4">
        <f>[1]节奏总纲!R139</f>
        <v>8384.3560512097483</v>
      </c>
      <c r="S139" s="4">
        <f>[1]节奏总纲!S139</f>
        <v>5967.009504237235</v>
      </c>
      <c r="T139" s="4">
        <f>[1]节奏总纲!T139</f>
        <v>3204.5051041274041</v>
      </c>
      <c r="V139" s="4">
        <f>[1]节奏总纲!V139</f>
        <v>136</v>
      </c>
      <c r="W139" s="4">
        <f>[1]节奏总纲!W139</f>
        <v>831.5126098927758</v>
      </c>
      <c r="X139" s="4">
        <f>[1]节奏总纲!X139</f>
        <v>710.65966425403349</v>
      </c>
      <c r="Y139" s="4">
        <f>[1]节奏总纲!Y139</f>
        <v>588.16421171740058</v>
      </c>
      <c r="Z139" s="4">
        <f>[1]节奏总纲!Z139</f>
        <v>418.1597403192045</v>
      </c>
      <c r="AA139" s="4">
        <f>[1]节奏总纲!AA139</f>
        <v>225.03921836599011</v>
      </c>
      <c r="AC139" s="4">
        <f>[1]节奏总纲!AC139</f>
        <v>136</v>
      </c>
      <c r="AD139" s="4">
        <f>[1]节奏总纲!AD139</f>
        <v>70.979644809032948</v>
      </c>
      <c r="AE139" s="4">
        <f>[1]节奏总纲!AE139</f>
        <v>73.059911975288244</v>
      </c>
      <c r="AF139" s="4">
        <f>[1]节奏总纲!AF139</f>
        <v>75.943386844857969</v>
      </c>
      <c r="AG139" s="4">
        <f>[1]节奏总纲!AG139</f>
        <v>80.4814670112399</v>
      </c>
      <c r="AH139" s="4">
        <f>[1]节奏总纲!AH139</f>
        <v>89.684418103136665</v>
      </c>
      <c r="AZ139" s="4">
        <v>136</v>
      </c>
      <c r="BA139" s="4">
        <v>40.099065784912149</v>
      </c>
      <c r="BB139" s="4">
        <v>41.590303905372799</v>
      </c>
      <c r="BC139" s="4">
        <v>43.529466754904341</v>
      </c>
      <c r="BD139" s="4">
        <v>46.272410430048332</v>
      </c>
      <c r="BE139" s="4">
        <v>50</v>
      </c>
    </row>
    <row r="140" spans="6:57" x14ac:dyDescent="0.15">
      <c r="F140" s="4">
        <f>[1]节奏总纲!F140</f>
        <v>138</v>
      </c>
      <c r="G140" s="4">
        <f>[1]节奏总纲!G140</f>
        <v>14262.10042904369</v>
      </c>
      <c r="N140" s="4">
        <f>[1]节奏总纲!N140</f>
        <v>147</v>
      </c>
      <c r="O140" s="4">
        <f>[1]节奏总纲!O140</f>
        <v>137</v>
      </c>
      <c r="P140" s="4">
        <f>[1]节奏总纲!P140</f>
        <v>13306.943261900544</v>
      </c>
      <c r="Q140" s="4">
        <f>[1]节奏总纲!Q140</f>
        <v>11274.973025808331</v>
      </c>
      <c r="R140" s="4">
        <f>[1]节奏总纲!R140</f>
        <v>8995.4936450447676</v>
      </c>
      <c r="S140" s="4">
        <f>[1]节奏总纲!S140</f>
        <v>6407.293180605112</v>
      </c>
      <c r="T140" s="4">
        <f>[1]节奏总纲!T140</f>
        <v>3438.5141388751008</v>
      </c>
      <c r="V140" s="4">
        <f>[1]节奏总纲!V140</f>
        <v>137</v>
      </c>
      <c r="W140" s="4">
        <f>[1]节奏总纲!W140</f>
        <v>891.19314904737075</v>
      </c>
      <c r="X140" s="4">
        <f>[1]节奏总纲!X140</f>
        <v>767.52370530068947</v>
      </c>
      <c r="Y140" s="4">
        <f>[1]节奏总纲!Y140</f>
        <v>611.13759383501929</v>
      </c>
      <c r="Z140" s="4">
        <f>[1]节奏总纲!Z140</f>
        <v>440.28367636787698</v>
      </c>
      <c r="AA140" s="4">
        <f>[1]节奏总纲!AA140</f>
        <v>234.00903474769666</v>
      </c>
      <c r="AC140" s="4">
        <f>[1]节奏总纲!AC140</f>
        <v>137</v>
      </c>
      <c r="AD140" s="4">
        <f>[1]节奏总纲!AD140</f>
        <v>71.082568038258202</v>
      </c>
      <c r="AE140" s="4">
        <f>[1]节奏总纲!AE140</f>
        <v>73.162499594857536</v>
      </c>
      <c r="AF140" s="4">
        <f>[1]节奏总纲!AF140</f>
        <v>76.048210495050611</v>
      </c>
      <c r="AG140" s="4">
        <f>[1]节奏总纲!AG140</f>
        <v>80.590396199303228</v>
      </c>
      <c r="AH140" s="4">
        <f>[1]节奏总纲!AH140</f>
        <v>89.811617577890132</v>
      </c>
      <c r="AZ140" s="4">
        <v>137</v>
      </c>
      <c r="BA140" s="4">
        <v>40.145684977811982</v>
      </c>
      <c r="BB140" s="4">
        <v>41.640586674237483</v>
      </c>
      <c r="BC140" s="4">
        <v>43.579395699483875</v>
      </c>
      <c r="BD140" s="4">
        <v>46.320570537095151</v>
      </c>
      <c r="BE140" s="4">
        <v>50</v>
      </c>
    </row>
    <row r="141" spans="6:57" x14ac:dyDescent="0.15">
      <c r="F141" s="4">
        <f>[1]节奏总纲!F141</f>
        <v>139</v>
      </c>
      <c r="G141" s="4">
        <f>[1]节奏总纲!G141</f>
        <v>15285.812533339058</v>
      </c>
      <c r="N141" s="4">
        <f>[1]节奏总纲!N141</f>
        <v>148</v>
      </c>
      <c r="O141" s="4">
        <f>[1]节奏总纲!O141</f>
        <v>138</v>
      </c>
      <c r="P141" s="4">
        <f>[1]节奏总纲!P141</f>
        <v>14262.10042904369</v>
      </c>
      <c r="Q141" s="4">
        <f>[1]节奏总纲!Q141</f>
        <v>12084.27769352872</v>
      </c>
      <c r="R141" s="4">
        <f>[1]节奏总纲!R141</f>
        <v>9648.3109402480568</v>
      </c>
      <c r="S141" s="4">
        <f>[1]节奏总纲!S141</f>
        <v>6871.4799867132497</v>
      </c>
      <c r="T141" s="4">
        <f>[1]节奏总纲!T141</f>
        <v>3671.064650435846</v>
      </c>
      <c r="V141" s="4">
        <f>[1]节奏总纲!V141</f>
        <v>138</v>
      </c>
      <c r="W141" s="4">
        <f>[1]节奏总纲!W141</f>
        <v>955.15716714314658</v>
      </c>
      <c r="X141" s="4">
        <f>[1]节奏总纲!X141</f>
        <v>809.30466772038926</v>
      </c>
      <c r="Y141" s="4">
        <f>[1]节奏总纲!Y141</f>
        <v>652.81729520328918</v>
      </c>
      <c r="Z141" s="4">
        <f>[1]节奏总纲!Z141</f>
        <v>464.18680610813772</v>
      </c>
      <c r="AA141" s="4">
        <f>[1]节奏总纲!AA141</f>
        <v>232.55051156074524</v>
      </c>
      <c r="AC141" s="4">
        <f>[1]节奏总纲!AC141</f>
        <v>138</v>
      </c>
      <c r="AD141" s="4">
        <f>[1]节奏总纲!AD141</f>
        <v>71.184128141237707</v>
      </c>
      <c r="AE141" s="4">
        <f>[1]节奏总纲!AE141</f>
        <v>73.265087214426828</v>
      </c>
      <c r="AF141" s="4">
        <f>[1]节奏总纲!AF141</f>
        <v>76.148064447889894</v>
      </c>
      <c r="AG141" s="4">
        <f>[1]节奏总纲!AG141</f>
        <v>80.699325387366557</v>
      </c>
      <c r="AH141" s="4">
        <f>[1]节奏总纲!AH141</f>
        <v>89.938817052643586</v>
      </c>
      <c r="AZ141" s="4">
        <v>138</v>
      </c>
      <c r="BA141" s="4">
        <v>40.192304170711814</v>
      </c>
      <c r="BB141" s="4">
        <v>41.690869443102159</v>
      </c>
      <c r="BC141" s="4">
        <v>43.629324644063402</v>
      </c>
      <c r="BD141" s="4">
        <v>46.368730644141969</v>
      </c>
      <c r="BE141" s="4">
        <v>50</v>
      </c>
    </row>
    <row r="142" spans="6:57" x14ac:dyDescent="0.15">
      <c r="F142" s="4">
        <f>[1]节奏总纲!F142</f>
        <v>140</v>
      </c>
      <c r="G142" s="4">
        <f>[1]节奏总纲!G142</f>
        <v>16383</v>
      </c>
      <c r="N142" s="4">
        <f>[1]节奏总纲!N142</f>
        <v>149</v>
      </c>
      <c r="O142" s="4">
        <f>[1]节奏总纲!O142</f>
        <v>139</v>
      </c>
      <c r="P142" s="4">
        <f>[1]节奏总纲!P142</f>
        <v>15285.812533339058</v>
      </c>
      <c r="Q142" s="4">
        <f>[1]节奏总纲!Q142</f>
        <v>12957.783284511519</v>
      </c>
      <c r="R142" s="4">
        <f>[1]节奏总纲!R142</f>
        <v>10342.380760057207</v>
      </c>
      <c r="S142" s="4">
        <f>[1]节奏总纲!S142</f>
        <v>7335.6614347494142</v>
      </c>
      <c r="T142" s="4">
        <f>[1]节奏总纲!T142</f>
        <v>3920.8109148014687</v>
      </c>
      <c r="V142" s="4">
        <f>[1]节奏总纲!V142</f>
        <v>139</v>
      </c>
      <c r="W142" s="4">
        <f>[1]节奏总纲!W142</f>
        <v>1023.7121042953677</v>
      </c>
      <c r="X142" s="4">
        <f>[1]节奏总纲!X142</f>
        <v>873.50559098279882</v>
      </c>
      <c r="Y142" s="4">
        <f>[1]节奏总纲!Y142</f>
        <v>694.06981980915043</v>
      </c>
      <c r="Z142" s="4">
        <f>[1]节奏总纲!Z142</f>
        <v>464.18144803616451</v>
      </c>
      <c r="AA142" s="4">
        <f>[1]节奏总纲!AA142</f>
        <v>249.74626436562266</v>
      </c>
      <c r="AC142" s="4">
        <f>[1]节奏总纲!AC142</f>
        <v>139</v>
      </c>
      <c r="AD142" s="4">
        <f>[1]节奏总纲!AD142</f>
        <v>71.285688244217212</v>
      </c>
      <c r="AE142" s="4">
        <f>[1]节奏总纲!AE142</f>
        <v>73.367674833996119</v>
      </c>
      <c r="AF142" s="4">
        <f>[1]节奏总纲!AF142</f>
        <v>76.247918400729162</v>
      </c>
      <c r="AG142" s="4">
        <f>[1]节奏总纲!AG142</f>
        <v>80.808254575429885</v>
      </c>
      <c r="AH142" s="4">
        <f>[1]节奏总纲!AH142</f>
        <v>90.055148444912135</v>
      </c>
      <c r="AZ142" s="4">
        <v>139</v>
      </c>
      <c r="BA142" s="4">
        <v>40.238923363611647</v>
      </c>
      <c r="BB142" s="4">
        <v>41.741152211966842</v>
      </c>
      <c r="BC142" s="4">
        <v>43.679253588642929</v>
      </c>
      <c r="BD142" s="4">
        <v>46.416890751188788</v>
      </c>
      <c r="BE142" s="4">
        <v>50</v>
      </c>
    </row>
    <row r="143" spans="6:57" x14ac:dyDescent="0.15">
      <c r="F143" s="4">
        <f>[1]节奏总纲!F143</f>
        <v>141</v>
      </c>
      <c r="G143" s="4">
        <f>[1]节奏总纲!G143</f>
        <v>17558.936410194601</v>
      </c>
      <c r="N143" s="4">
        <f>[1]节奏总纲!N143</f>
        <v>150</v>
      </c>
      <c r="O143" s="4">
        <f>[1]节奏总纲!O143</f>
        <v>140</v>
      </c>
      <c r="P143" s="4">
        <f>[1]节奏总纲!P143</f>
        <v>16383</v>
      </c>
      <c r="Q143" s="4">
        <f>[1]节奏总纲!Q143</f>
        <v>13881.315900000001</v>
      </c>
      <c r="R143" s="4">
        <f>[1]节奏总纲!R143</f>
        <v>11037.2271</v>
      </c>
      <c r="S143" s="4">
        <f>[1]节奏总纲!S143</f>
        <v>7827.7974000000004</v>
      </c>
      <c r="T143" s="4">
        <f>[1]节奏总纲!T143</f>
        <v>4192.4097000000002</v>
      </c>
      <c r="V143" s="4">
        <f>[1]节奏总纲!V143</f>
        <v>140</v>
      </c>
      <c r="W143" s="4">
        <f>[1]节奏总纲!W143</f>
        <v>1097.1874666609419</v>
      </c>
      <c r="X143" s="4">
        <f>[1]节奏总纲!X143</f>
        <v>923.53261548848241</v>
      </c>
      <c r="Y143" s="4">
        <f>[1]节奏总纲!Y143</f>
        <v>694.84633994279284</v>
      </c>
      <c r="Z143" s="4">
        <f>[1]节奏总纲!Z143</f>
        <v>492.1359652505862</v>
      </c>
      <c r="AA143" s="4">
        <f>[1]节奏总纲!AA143</f>
        <v>271.59878519853146</v>
      </c>
      <c r="AC143" s="4">
        <f>[1]节奏总纲!AC143</f>
        <v>140</v>
      </c>
      <c r="AD143" s="4">
        <f>[1]节奏总纲!AD143</f>
        <v>71.387248347196717</v>
      </c>
      <c r="AE143" s="4">
        <f>[1]节奏总纲!AE143</f>
        <v>73.470262453565411</v>
      </c>
      <c r="AF143" s="4">
        <f>[1]节奏总纲!AF143</f>
        <v>76.347772353568445</v>
      </c>
      <c r="AG143" s="4">
        <f>[1]节奏总纲!AG143</f>
        <v>80.917183763493213</v>
      </c>
      <c r="AH143" s="4">
        <f>[1]节奏总纲!AH143</f>
        <v>90.16140749098561</v>
      </c>
      <c r="AZ143" s="4">
        <v>140</v>
      </c>
      <c r="BA143" s="4">
        <v>40.28554255651148</v>
      </c>
      <c r="BB143" s="4">
        <v>41.791434980831518</v>
      </c>
      <c r="BC143" s="4">
        <v>43.729182533222463</v>
      </c>
      <c r="BD143" s="4">
        <v>46.465050858235607</v>
      </c>
      <c r="BE143" s="4">
        <v>50</v>
      </c>
    </row>
    <row r="144" spans="6:57" x14ac:dyDescent="0.15">
      <c r="F144" s="4">
        <f>[1]节奏总纲!F144</f>
        <v>142</v>
      </c>
      <c r="G144" s="4">
        <f>[1]节奏总纲!G144</f>
        <v>18819.273848271412</v>
      </c>
      <c r="N144" s="4">
        <f>[1]节奏总纲!N144</f>
        <v>151</v>
      </c>
      <c r="O144" s="4">
        <f>[1]节奏总纲!O144</f>
        <v>141</v>
      </c>
      <c r="P144" s="4">
        <f>[1]节奏总纲!P144</f>
        <v>17558.936410194601</v>
      </c>
      <c r="Q144" s="4">
        <f>[1]节奏总纲!Q144</f>
        <v>14839.057160255457</v>
      </c>
      <c r="R144" s="4">
        <f>[1]节奏总纲!R144</f>
        <v>11789.069905804656</v>
      </c>
      <c r="S144" s="4">
        <f>[1]节奏总纲!S144</f>
        <v>8380.8803485858825</v>
      </c>
      <c r="T144" s="4">
        <f>[1]节奏总纲!T144</f>
        <v>4489.820040086759</v>
      </c>
      <c r="V144" s="4">
        <f>[1]节奏总纲!V144</f>
        <v>141</v>
      </c>
      <c r="W144" s="4">
        <f>[1]节奏总纲!W144</f>
        <v>1175.9364101946012</v>
      </c>
      <c r="X144" s="4">
        <f>[1]节奏总纲!X144</f>
        <v>957.74126025545593</v>
      </c>
      <c r="Y144" s="4">
        <f>[1]节奏总纲!Y144</f>
        <v>751.84280580465565</v>
      </c>
      <c r="Z144" s="4">
        <f>[1]节奏总纲!Z144</f>
        <v>553.08294858588215</v>
      </c>
      <c r="AA144" s="4">
        <f>[1]节奏总纲!AA144</f>
        <v>297.41034008675888</v>
      </c>
      <c r="AC144" s="4">
        <f>[1]节奏总纲!AC144</f>
        <v>141</v>
      </c>
      <c r="AD144" s="4">
        <f>[1]节奏总纲!AD144</f>
        <v>71.488808450176208</v>
      </c>
      <c r="AE144" s="4">
        <f>[1]节奏总纲!AE144</f>
        <v>73.572850073134703</v>
      </c>
      <c r="AF144" s="4">
        <f>[1]节奏总纲!AF144</f>
        <v>76.447626306407713</v>
      </c>
      <c r="AG144" s="4">
        <f>[1]节奏总纲!AG144</f>
        <v>81.023848662825003</v>
      </c>
      <c r="AH144" s="4">
        <f>[1]节奏总纲!AH144</f>
        <v>90.267666537059071</v>
      </c>
      <c r="AZ144" s="4">
        <v>141</v>
      </c>
      <c r="BA144" s="4">
        <v>40.332161749411313</v>
      </c>
      <c r="BB144" s="4">
        <v>41.841717749696201</v>
      </c>
      <c r="BC144" s="4">
        <v>43.77911147780199</v>
      </c>
      <c r="BD144" s="4">
        <v>46.513210965282425</v>
      </c>
      <c r="BE144" s="4">
        <v>50</v>
      </c>
    </row>
    <row r="145" spans="6:57" x14ac:dyDescent="0.15">
      <c r="F145" s="4">
        <f>[1]节奏总纲!F145</f>
        <v>143</v>
      </c>
      <c r="G145" s="4">
        <f>[1]节奏总纲!G145</f>
        <v>20170.070068243116</v>
      </c>
      <c r="N145" s="4">
        <f>[1]节奏总纲!N145</f>
        <v>152</v>
      </c>
      <c r="O145" s="4">
        <f>[1]节奏总纲!O145</f>
        <v>142</v>
      </c>
      <c r="P145" s="4">
        <f>[1]节奏总纲!P145</f>
        <v>18819.273848271412</v>
      </c>
      <c r="Q145" s="4">
        <f>[1]节奏总纲!Q145</f>
        <v>15904.16832917417</v>
      </c>
      <c r="R145" s="4">
        <f>[1]节奏总纲!R145</f>
        <v>12667.253227271489</v>
      </c>
      <c r="S145" s="4">
        <f>[1]节奏总纲!S145</f>
        <v>9003.140609013044</v>
      </c>
      <c r="T145" s="4">
        <f>[1]节奏总纲!T145</f>
        <v>4823.3798873119622</v>
      </c>
      <c r="V145" s="4">
        <f>[1]节奏总纲!V145</f>
        <v>142</v>
      </c>
      <c r="W145" s="4">
        <f>[1]节奏总纲!W145</f>
        <v>1260.3374380768109</v>
      </c>
      <c r="X145" s="4">
        <f>[1]节奏总纲!X145</f>
        <v>1065.1111689187128</v>
      </c>
      <c r="Y145" s="4">
        <f>[1]节奏总纲!Y145</f>
        <v>878.18332146683315</v>
      </c>
      <c r="Z145" s="4">
        <f>[1]节奏总纲!Z145</f>
        <v>622.26026042716148</v>
      </c>
      <c r="AA145" s="4">
        <f>[1]节奏总纲!AA145</f>
        <v>333.55984722520316</v>
      </c>
      <c r="AC145" s="4">
        <f>[1]节奏总纲!AC145</f>
        <v>142</v>
      </c>
      <c r="AD145" s="4">
        <f>[1]节奏总纲!AD145</f>
        <v>71.590368553155713</v>
      </c>
      <c r="AE145" s="4">
        <f>[1]节奏总纲!AE145</f>
        <v>73.675437692703994</v>
      </c>
      <c r="AF145" s="4">
        <f>[1]节奏总纲!AF145</f>
        <v>76.547480259246996</v>
      </c>
      <c r="AG145" s="4">
        <f>[1]节奏总纲!AG145</f>
        <v>81.123332456233015</v>
      </c>
      <c r="AH145" s="4">
        <f>[1]节奏总纲!AH145</f>
        <v>90.373925583132547</v>
      </c>
      <c r="AZ145" s="4">
        <v>142</v>
      </c>
      <c r="BA145" s="4">
        <v>40.378780942311145</v>
      </c>
      <c r="BB145" s="4">
        <v>41.892000518560877</v>
      </c>
      <c r="BC145" s="4">
        <v>43.829040422381524</v>
      </c>
      <c r="BD145" s="4">
        <v>46.561371072329244</v>
      </c>
      <c r="BE145" s="4">
        <v>50</v>
      </c>
    </row>
    <row r="146" spans="6:57" x14ac:dyDescent="0.15">
      <c r="F146" s="4">
        <f>[1]节奏总纲!F146</f>
        <v>144</v>
      </c>
      <c r="G146" s="4">
        <f>[1]节奏总纲!G146</f>
        <v>21617.817610103088</v>
      </c>
      <c r="N146" s="4">
        <f>[1]节奏总纲!N146</f>
        <v>153</v>
      </c>
      <c r="O146" s="4">
        <f>[1]节奏总纲!O146</f>
        <v>143</v>
      </c>
      <c r="P146" s="4">
        <f>[1]节奏总纲!P146</f>
        <v>20170.070068243116</v>
      </c>
      <c r="Q146" s="4">
        <f>[1]节奏总纲!Q146</f>
        <v>17065.896284740498</v>
      </c>
      <c r="R146" s="4">
        <f>[1]节奏总纲!R146</f>
        <v>13594.62722599586</v>
      </c>
      <c r="S146" s="4">
        <f>[1]节奏总纲!S146</f>
        <v>9669.5315907157492</v>
      </c>
      <c r="T146" s="4">
        <f>[1]节奏总纲!T146</f>
        <v>5185.7250145453054</v>
      </c>
      <c r="V146" s="4">
        <f>[1]节奏总纲!V146</f>
        <v>143</v>
      </c>
      <c r="W146" s="4">
        <f>[1]节奏总纲!W146</f>
        <v>1350.796219971704</v>
      </c>
      <c r="X146" s="4">
        <f>[1]节奏总纲!X146</f>
        <v>1161.7279555663281</v>
      </c>
      <c r="Y146" s="4">
        <f>[1]节奏总纲!Y146</f>
        <v>927.37399872437163</v>
      </c>
      <c r="Z146" s="4">
        <f>[1]节奏总纲!Z146</f>
        <v>666.39098170270518</v>
      </c>
      <c r="AA146" s="4">
        <f>[1]节奏总纲!AA146</f>
        <v>362.34512723334319</v>
      </c>
      <c r="AC146" s="4">
        <f>[1]节奏总纲!AC146</f>
        <v>143</v>
      </c>
      <c r="AD146" s="4">
        <f>[1]节奏总纲!AD146</f>
        <v>71.691928656135218</v>
      </c>
      <c r="AE146" s="4">
        <f>[1]节奏总纲!AE146</f>
        <v>73.778025312273286</v>
      </c>
      <c r="AF146" s="4">
        <f>[1]节奏总纲!AF146</f>
        <v>76.647334212086264</v>
      </c>
      <c r="AG146" s="4">
        <f>[1]节奏总纲!AG146</f>
        <v>81.222816249641028</v>
      </c>
      <c r="AH146" s="4">
        <f>[1]节奏总纲!AH146</f>
        <v>90.480184629206022</v>
      </c>
      <c r="AZ146" s="4">
        <v>143</v>
      </c>
      <c r="BA146" s="4">
        <v>40.425400135210978</v>
      </c>
      <c r="BB146" s="4">
        <v>41.94228328742556</v>
      </c>
      <c r="BC146" s="4">
        <v>43.878969366961051</v>
      </c>
      <c r="BD146" s="4">
        <v>46.609531179376063</v>
      </c>
      <c r="BE146" s="4">
        <v>50</v>
      </c>
    </row>
    <row r="147" spans="6:57" x14ac:dyDescent="0.15">
      <c r="F147" s="4">
        <f>[1]节奏总纲!F147</f>
        <v>145</v>
      </c>
      <c r="G147" s="4">
        <f>[1]节奏总纲!G147</f>
        <v>23169.475005920798</v>
      </c>
      <c r="N147" s="4">
        <f>[1]节奏总纲!N147</f>
        <v>154</v>
      </c>
      <c r="O147" s="4">
        <f>[1]节奏总纲!O147</f>
        <v>144</v>
      </c>
      <c r="P147" s="4">
        <f>[1]节奏总纲!P147</f>
        <v>21617.817610103088</v>
      </c>
      <c r="Q147" s="4">
        <f>[1]节奏总纲!Q147</f>
        <v>18290.835479908223</v>
      </c>
      <c r="R147" s="4">
        <f>[1]节奏总纲!R147</f>
        <v>14585.541541536553</v>
      </c>
      <c r="S147" s="4">
        <f>[1]节奏总纲!S147</f>
        <v>10380.876016371503</v>
      </c>
      <c r="T147" s="4">
        <f>[1]节奏总纲!T147</f>
        <v>5547.1319987524521</v>
      </c>
      <c r="V147" s="4">
        <f>[1]节奏总纲!V147</f>
        <v>144</v>
      </c>
      <c r="W147" s="4">
        <f>[1]节奏总纲!W147</f>
        <v>1447.7475418599715</v>
      </c>
      <c r="X147" s="4">
        <f>[1]节奏总纲!X147</f>
        <v>1224.9391951677244</v>
      </c>
      <c r="Y147" s="4">
        <f>[1]节奏总纲!Y147</f>
        <v>990.91431554069277</v>
      </c>
      <c r="Z147" s="4">
        <f>[1]节奏总纲!Z147</f>
        <v>711.34442565575409</v>
      </c>
      <c r="AA147" s="4">
        <f>[1]节奏总纲!AA147</f>
        <v>361.40698420714671</v>
      </c>
      <c r="AC147" s="4">
        <f>[1]节奏总纲!AC147</f>
        <v>144</v>
      </c>
      <c r="AD147" s="4">
        <f>[1]节奏总纲!AD147</f>
        <v>71.793488759114723</v>
      </c>
      <c r="AE147" s="4">
        <f>[1]节奏总纲!AE147</f>
        <v>73.880612931842577</v>
      </c>
      <c r="AF147" s="4">
        <f>[1]节奏总纲!AF147</f>
        <v>76.747188164925547</v>
      </c>
      <c r="AG147" s="4">
        <f>[1]节奏总纲!AG147</f>
        <v>81.322300043049054</v>
      </c>
      <c r="AH147" s="4">
        <f>[1]节奏总纲!AH147</f>
        <v>90.586443675279497</v>
      </c>
      <c r="AZ147" s="4">
        <v>144</v>
      </c>
      <c r="BA147" s="4">
        <v>40.472019328110811</v>
      </c>
      <c r="BB147" s="4">
        <v>41.992566056290244</v>
      </c>
      <c r="BC147" s="4">
        <v>43.928898311540586</v>
      </c>
      <c r="BD147" s="4">
        <v>46.657691286422882</v>
      </c>
      <c r="BE147" s="4">
        <v>50</v>
      </c>
    </row>
    <row r="148" spans="6:57" x14ac:dyDescent="0.15">
      <c r="F148" s="4">
        <f>[1]节奏总纲!F148</f>
        <v>146</v>
      </c>
      <c r="G148" s="4">
        <f>[1]节奏总纲!G148</f>
        <v>24832.50022570635</v>
      </c>
      <c r="N148" s="4">
        <f>[1]节奏总纲!N148</f>
        <v>155</v>
      </c>
      <c r="O148" s="4">
        <f>[1]节奏总纲!O148</f>
        <v>145</v>
      </c>
      <c r="P148" s="4">
        <f>[1]节奏总纲!P148</f>
        <v>23169.475005920798</v>
      </c>
      <c r="Q148" s="4">
        <f>[1]节奏总纲!Q148</f>
        <v>19631.496172516694</v>
      </c>
      <c r="R148" s="4">
        <f>[1]节奏总纲!R148</f>
        <v>15650.9803664995</v>
      </c>
      <c r="S148" s="4">
        <f>[1]节奏总纲!S148</f>
        <v>11105.129370337838</v>
      </c>
      <c r="T148" s="4">
        <f>[1]节奏总纲!T148</f>
        <v>5926.7517065145412</v>
      </c>
      <c r="V148" s="4">
        <f>[1]节奏总纲!V148</f>
        <v>145</v>
      </c>
      <c r="W148" s="4">
        <f>[1]节奏总纲!W148</f>
        <v>1551.6573958177105</v>
      </c>
      <c r="X148" s="4">
        <f>[1]节奏总纲!X148</f>
        <v>1340.6606926084714</v>
      </c>
      <c r="Y148" s="4">
        <f>[1]节奏总纲!Y148</f>
        <v>1065.4388249629465</v>
      </c>
      <c r="Z148" s="4">
        <f>[1]节奏总纲!Z148</f>
        <v>724.25335396633454</v>
      </c>
      <c r="AA148" s="4">
        <f>[1]节奏总纲!AA148</f>
        <v>379.61970776208909</v>
      </c>
      <c r="AC148" s="4">
        <f>[1]节奏总纲!AC148</f>
        <v>145</v>
      </c>
      <c r="AD148" s="4">
        <f>[1]节奏总纲!AD148</f>
        <v>71.895048862094214</v>
      </c>
      <c r="AE148" s="4">
        <f>[1]节奏总纲!AE148</f>
        <v>73.983200551411869</v>
      </c>
      <c r="AF148" s="4">
        <f>[1]节奏总纲!AF148</f>
        <v>76.847042117764815</v>
      </c>
      <c r="AG148" s="4">
        <f>[1]节奏总纲!AG148</f>
        <v>81.421783836457067</v>
      </c>
      <c r="AH148" s="4">
        <f>[1]节奏总纲!AH148</f>
        <v>90.692702721352973</v>
      </c>
      <c r="AZ148" s="4">
        <v>145</v>
      </c>
      <c r="BA148" s="4">
        <v>40.518638521010651</v>
      </c>
      <c r="BB148" s="4">
        <v>42.036975906461073</v>
      </c>
      <c r="BC148" s="4">
        <v>43.978827256120113</v>
      </c>
      <c r="BD148" s="4">
        <v>46.7058513934697</v>
      </c>
      <c r="BE148" s="4">
        <v>50</v>
      </c>
    </row>
    <row r="149" spans="6:57" x14ac:dyDescent="0.15">
      <c r="F149" s="4">
        <f>[1]节奏总纲!F149</f>
        <v>147</v>
      </c>
      <c r="G149" s="4">
        <f>[1]节奏总纲!G149</f>
        <v>26614.886523801088</v>
      </c>
      <c r="N149" s="4">
        <f>[1]节奏总纲!N149</f>
        <v>156</v>
      </c>
      <c r="O149" s="4">
        <f>[1]节奏总纲!O149</f>
        <v>146</v>
      </c>
      <c r="P149" s="4">
        <f>[1]节奏总纲!P149</f>
        <v>24832.50022570635</v>
      </c>
      <c r="Q149" s="4">
        <f>[1]节奏总纲!Q149</f>
        <v>21035.61094119585</v>
      </c>
      <c r="R149" s="4">
        <f>[1]节奏总纲!R149</f>
        <v>16719.722401968087</v>
      </c>
      <c r="S149" s="4">
        <f>[1]节奏总纲!S149</f>
        <v>11847.5858576845</v>
      </c>
      <c r="T149" s="4">
        <f>[1]节奏总纲!T149</f>
        <v>6324.8378074874072</v>
      </c>
      <c r="V149" s="4">
        <f>[1]节奏总纲!V149</f>
        <v>146</v>
      </c>
      <c r="W149" s="4">
        <f>[1]节奏总纲!W149</f>
        <v>1663.0252197855516</v>
      </c>
      <c r="X149" s="4">
        <f>[1]节奏总纲!X149</f>
        <v>1404.1147686791555</v>
      </c>
      <c r="Y149" s="4">
        <f>[1]节奏总纲!Y149</f>
        <v>1068.7420354685873</v>
      </c>
      <c r="Z149" s="4">
        <f>[1]节奏总纲!Z149</f>
        <v>742.45648734666247</v>
      </c>
      <c r="AA149" s="4">
        <f>[1]节奏总纲!AA149</f>
        <v>398.08610097286601</v>
      </c>
      <c r="AC149" s="4">
        <f>[1]节奏总纲!AC149</f>
        <v>146</v>
      </c>
      <c r="AD149" s="4">
        <f>[1]节奏总纲!AD149</f>
        <v>71.996608965073719</v>
      </c>
      <c r="AE149" s="4">
        <f>[1]节奏总纲!AE149</f>
        <v>74.078973000522922</v>
      </c>
      <c r="AF149" s="4">
        <f>[1]节奏总纲!AF149</f>
        <v>76.946896070604097</v>
      </c>
      <c r="AG149" s="4">
        <f>[1]节奏总纲!AG149</f>
        <v>81.521267629865079</v>
      </c>
      <c r="AH149" s="4">
        <f>[1]节奏总纲!AH149</f>
        <v>90.798961767426448</v>
      </c>
      <c r="AZ149" s="4">
        <v>146</v>
      </c>
      <c r="BA149" s="4">
        <v>40.565257713910484</v>
      </c>
      <c r="BB149" s="4">
        <v>42.080366850119908</v>
      </c>
      <c r="BC149" s="4">
        <v>44.024818750237806</v>
      </c>
      <c r="BD149" s="4">
        <v>46.754011500516519</v>
      </c>
      <c r="BE149" s="4">
        <v>50</v>
      </c>
    </row>
    <row r="150" spans="6:57" x14ac:dyDescent="0.15">
      <c r="F150" s="4">
        <f>[1]节奏总纲!F150</f>
        <v>148</v>
      </c>
      <c r="G150" s="4">
        <f>[1]节奏总纲!G150</f>
        <v>28525.200858087381</v>
      </c>
      <c r="N150" s="4">
        <f>[1]节奏总纲!N150</f>
        <v>157</v>
      </c>
      <c r="O150" s="4">
        <f>[1]节奏总纲!O150</f>
        <v>147</v>
      </c>
      <c r="P150" s="4">
        <f>[1]节奏总纲!P150</f>
        <v>26614.886523801088</v>
      </c>
      <c r="Q150" s="4">
        <f>[1]节奏总纲!Q150</f>
        <v>22470.948692045258</v>
      </c>
      <c r="R150" s="4">
        <f>[1]节奏总纲!R150</f>
        <v>17837.296948251489</v>
      </c>
      <c r="S150" s="4">
        <f>[1]节奏总纲!S150</f>
        <v>12631.425144195997</v>
      </c>
      <c r="T150" s="4">
        <f>[1]节奏总纲!T150</f>
        <v>6754.8581997407164</v>
      </c>
      <c r="V150" s="4">
        <f>[1]节奏总纲!V150</f>
        <v>147</v>
      </c>
      <c r="W150" s="4">
        <f>[1]节奏总纲!W150</f>
        <v>1782.3862980947379</v>
      </c>
      <c r="X150" s="4">
        <f>[1]节奏总纲!X150</f>
        <v>1435.3377508494086</v>
      </c>
      <c r="Y150" s="4">
        <f>[1]节奏总纲!Y150</f>
        <v>1117.574546283402</v>
      </c>
      <c r="Z150" s="4">
        <f>[1]节奏总纲!Z150</f>
        <v>783.83928651149654</v>
      </c>
      <c r="AA150" s="4">
        <f>[1]节奏总纲!AA150</f>
        <v>430.02039225330918</v>
      </c>
      <c r="AC150" s="4">
        <f>[1]节奏总纲!AC150</f>
        <v>147</v>
      </c>
      <c r="AD150" s="4">
        <f>[1]节奏总纲!AD150</f>
        <v>72.091594979242075</v>
      </c>
      <c r="AE150" s="4">
        <f>[1]节奏总纲!AE150</f>
        <v>74.173410870467364</v>
      </c>
      <c r="AF150" s="4">
        <f>[1]节奏总纲!AF150</f>
        <v>77.043751281705866</v>
      </c>
      <c r="AG150" s="4">
        <f>[1]节奏总纲!AG150</f>
        <v>81.620751423273092</v>
      </c>
      <c r="AH150" s="4">
        <f>[1]节奏总纲!AH150</f>
        <v>90.905220813499923</v>
      </c>
      <c r="AZ150" s="4">
        <v>147</v>
      </c>
      <c r="BA150" s="4">
        <v>40.611876906810316</v>
      </c>
      <c r="BB150" s="4">
        <v>42.123757793778736</v>
      </c>
      <c r="BC150" s="4">
        <v>44.067911160744309</v>
      </c>
      <c r="BD150" s="4">
        <v>46.802171607563338</v>
      </c>
      <c r="BE150" s="4">
        <v>50</v>
      </c>
    </row>
    <row r="151" spans="6:57" x14ac:dyDescent="0.15">
      <c r="F151" s="4">
        <f>[1]节奏总纲!F151</f>
        <v>149</v>
      </c>
      <c r="G151" s="4">
        <f>[1]节奏总纲!G151</f>
        <v>30572.62506667812</v>
      </c>
      <c r="N151" s="4">
        <f>[1]节奏总纲!N151</f>
        <v>158</v>
      </c>
      <c r="O151" s="4">
        <f>[1]节奏总纲!O151</f>
        <v>148</v>
      </c>
      <c r="P151" s="4">
        <f>[1]节奏总纲!P151</f>
        <v>28525.200858087381</v>
      </c>
      <c r="Q151" s="4">
        <f>[1]节奏总纲!Q151</f>
        <v>24083.827084483179</v>
      </c>
      <c r="R151" s="4">
        <f>[1]节奏总纲!R151</f>
        <v>19128.999695433398</v>
      </c>
      <c r="S151" s="4">
        <f>[1]节奏总纲!S151</f>
        <v>13566.58552810636</v>
      </c>
      <c r="T151" s="4">
        <f>[1]节奏总纲!T151</f>
        <v>7242.5484978683862</v>
      </c>
      <c r="V151" s="4">
        <f>[1]节奏总纲!V151</f>
        <v>148</v>
      </c>
      <c r="W151" s="4">
        <f>[1]节奏总纲!W151</f>
        <v>1910.3143342862932</v>
      </c>
      <c r="X151" s="4">
        <f>[1]节奏总纲!X151</f>
        <v>1612.8783924379204</v>
      </c>
      <c r="Y151" s="4">
        <f>[1]节奏总纲!Y151</f>
        <v>1291.7027471819092</v>
      </c>
      <c r="Z151" s="4">
        <f>[1]节奏总纲!Z151</f>
        <v>935.16038391036273</v>
      </c>
      <c r="AA151" s="4">
        <f>[1]节奏总纲!AA151</f>
        <v>487.69029812766985</v>
      </c>
      <c r="AC151" s="4">
        <f>[1]节奏总纲!AC151</f>
        <v>148</v>
      </c>
      <c r="AD151" s="4">
        <f>[1]节奏总纲!AD151</f>
        <v>72.186353905945822</v>
      </c>
      <c r="AE151" s="4">
        <f>[1]节奏总纲!AE151</f>
        <v>74.267848740411821</v>
      </c>
      <c r="AF151" s="4">
        <f>[1]节奏总纲!AF151</f>
        <v>77.137200185007629</v>
      </c>
      <c r="AG151" s="4">
        <f>[1]节奏总纲!AG151</f>
        <v>81.720235216681118</v>
      </c>
      <c r="AH151" s="4">
        <f>[1]节奏总纲!AH151</f>
        <v>91.011076811620597</v>
      </c>
      <c r="AZ151" s="4">
        <v>148</v>
      </c>
      <c r="BA151" s="4">
        <v>40.658496099710149</v>
      </c>
      <c r="BB151" s="4">
        <v>42.167148737437564</v>
      </c>
      <c r="BC151" s="4">
        <v>44.111003571250812</v>
      </c>
      <c r="BD151" s="4">
        <v>46.850331714610157</v>
      </c>
      <c r="BE151" s="4">
        <v>50</v>
      </c>
    </row>
    <row r="152" spans="6:57" x14ac:dyDescent="0.15">
      <c r="F152" s="4">
        <f>[1]节奏总纲!F152</f>
        <v>150</v>
      </c>
      <c r="G152" s="4">
        <f>[1]节奏总纲!G152</f>
        <v>32767</v>
      </c>
      <c r="N152" s="4">
        <f>[1]节奏总纲!N152</f>
        <v>159</v>
      </c>
      <c r="O152" s="4">
        <f>[1]节奏总纲!O152</f>
        <v>149</v>
      </c>
      <c r="P152" s="4">
        <f>[1]节奏总纲!P152</f>
        <v>30572.62506667812</v>
      </c>
      <c r="Q152" s="4">
        <f>[1]节奏总纲!Q152</f>
        <v>25818.581868809673</v>
      </c>
      <c r="R152" s="4">
        <f>[1]节奏总纲!R152</f>
        <v>20520.345944754354</v>
      </c>
      <c r="S152" s="4">
        <f>[1]节奏总纲!S152</f>
        <v>14549.512269232117</v>
      </c>
      <c r="T152" s="4">
        <f>[1]节奏总纲!T152</f>
        <v>7768.50402944291</v>
      </c>
      <c r="V152" s="4">
        <f>[1]节奏总纲!V152</f>
        <v>149</v>
      </c>
      <c r="W152" s="4">
        <f>[1]节奏总纲!W152</f>
        <v>2047.424208590739</v>
      </c>
      <c r="X152" s="4">
        <f>[1]节奏总纲!X152</f>
        <v>1734.7547843264947</v>
      </c>
      <c r="Y152" s="4">
        <f>[1]节奏总纲!Y152</f>
        <v>1391.3462493209554</v>
      </c>
      <c r="Z152" s="4">
        <f>[1]节奏总纲!Z152</f>
        <v>982.92674112575696</v>
      </c>
      <c r="AA152" s="4">
        <f>[1]节奏总纲!AA152</f>
        <v>525.95553157452377</v>
      </c>
      <c r="AC152" s="4">
        <f>[1]节奏总纲!AC152</f>
        <v>149</v>
      </c>
      <c r="AD152" s="4">
        <f>[1]节奏总纲!AD152</f>
        <v>72.281112832649583</v>
      </c>
      <c r="AE152" s="4">
        <f>[1]节奏总纲!AE152</f>
        <v>74.362286610356264</v>
      </c>
      <c r="AF152" s="4">
        <f>[1]节奏总纲!AF152</f>
        <v>77.230649088309391</v>
      </c>
      <c r="AG152" s="4">
        <f>[1]节奏总纲!AG152</f>
        <v>81.819719010089131</v>
      </c>
      <c r="AH152" s="4">
        <f>[1]节奏总纲!AH152</f>
        <v>91.113605194377854</v>
      </c>
      <c r="AZ152" s="4">
        <v>149</v>
      </c>
      <c r="BA152" s="4">
        <v>40.705115292609982</v>
      </c>
      <c r="BB152" s="4">
        <v>42.2105396810964</v>
      </c>
      <c r="BC152" s="4">
        <v>44.154095981757315</v>
      </c>
      <c r="BD152" s="4">
        <v>46.898491821656968</v>
      </c>
      <c r="BE152" s="4">
        <v>50</v>
      </c>
    </row>
    <row r="153" spans="6:57" x14ac:dyDescent="0.15">
      <c r="F153" s="4">
        <f>[1]节奏总纲!F153</f>
        <v>151</v>
      </c>
      <c r="G153" s="4">
        <f>[1]节奏总纲!G153</f>
        <v>35118.87282038921</v>
      </c>
      <c r="N153" s="4">
        <f>[1]节奏总纲!N153</f>
        <v>160</v>
      </c>
      <c r="O153" s="4">
        <f>[1]节奏总纲!O153</f>
        <v>150</v>
      </c>
      <c r="P153" s="4">
        <f>[1]节奏总纲!P153</f>
        <v>32767</v>
      </c>
      <c r="Q153" s="4">
        <f>[1]节奏总纲!Q153</f>
        <v>27671.731500000002</v>
      </c>
      <c r="R153" s="4">
        <f>[1]节奏总纲!R153</f>
        <v>21996.487099999998</v>
      </c>
      <c r="S153" s="4">
        <f>[1]节奏总纲!S153</f>
        <v>15603.645400000001</v>
      </c>
      <c r="T153" s="4">
        <f>[1]节奏总纲!T153</f>
        <v>8355.5850000000009</v>
      </c>
      <c r="V153" s="4">
        <f>[1]节奏总纲!V153</f>
        <v>150</v>
      </c>
      <c r="W153" s="4">
        <f>[1]节奏总纲!W153</f>
        <v>2194.3749333218802</v>
      </c>
      <c r="X153" s="4">
        <f>[1]节奏总纲!X153</f>
        <v>1853.1496311903284</v>
      </c>
      <c r="Y153" s="4">
        <f>[1]节奏总纲!Y153</f>
        <v>1476.1411552456448</v>
      </c>
      <c r="Z153" s="4">
        <f>[1]节奏总纲!Z153</f>
        <v>1054.1331307678847</v>
      </c>
      <c r="AA153" s="4">
        <f>[1]节奏总纲!AA153</f>
        <v>587.08097055709095</v>
      </c>
      <c r="AC153" s="4">
        <f>[1]节奏总纲!AC153</f>
        <v>150</v>
      </c>
      <c r="AD153" s="4">
        <f>[1]节奏总纲!AD153</f>
        <v>72.375871759353331</v>
      </c>
      <c r="AE153" s="4">
        <f>[1]节奏总纲!AE153</f>
        <v>74.456724480300707</v>
      </c>
      <c r="AF153" s="4">
        <f>[1]节奏总纲!AF153</f>
        <v>77.324097991611154</v>
      </c>
      <c r="AG153" s="4">
        <f>[1]节奏总纲!AG153</f>
        <v>81.919202803497143</v>
      </c>
      <c r="AH153" s="4">
        <f>[1]节奏总纲!AH153</f>
        <v>91.216133577135096</v>
      </c>
      <c r="AZ153" s="4">
        <v>150</v>
      </c>
      <c r="BA153" s="4">
        <v>40.751734485509814</v>
      </c>
      <c r="BB153" s="4">
        <v>42.253930624755228</v>
      </c>
      <c r="BC153" s="4">
        <v>44.197188392263818</v>
      </c>
      <c r="BD153" s="4">
        <v>46.946651928703787</v>
      </c>
      <c r="BE153" s="4">
        <v>50</v>
      </c>
    </row>
    <row r="154" spans="6:57" x14ac:dyDescent="0.15">
      <c r="F154" s="4">
        <f>[1]节奏总纲!F154</f>
        <v>152</v>
      </c>
      <c r="G154" s="4">
        <f>[1]节奏总纲!G154</f>
        <v>37639.547696542824</v>
      </c>
      <c r="N154" s="4">
        <f>[1]节奏总纲!N154</f>
        <v>161</v>
      </c>
      <c r="O154" s="4">
        <f>[1]节奏总纲!O154</f>
        <v>151</v>
      </c>
      <c r="P154" s="4">
        <f>[1]节奏总纲!P154</f>
        <v>35118.87282038921</v>
      </c>
      <c r="Q154" s="4">
        <f>[1]节奏总纲!Q154</f>
        <v>29671.935645946844</v>
      </c>
      <c r="R154" s="4">
        <f>[1]节奏总纲!R154</f>
        <v>23592.858760737468</v>
      </c>
      <c r="S154" s="4">
        <f>[1]节奏总纲!S154</f>
        <v>16804.380644556237</v>
      </c>
      <c r="T154" s="4">
        <f>[1]节奏总纲!T154</f>
        <v>9095.7880604808051</v>
      </c>
      <c r="V154" s="4">
        <f>[1]节奏总纲!V154</f>
        <v>151</v>
      </c>
      <c r="W154" s="4">
        <f>[1]节奏总纲!W154</f>
        <v>2351.8728203892097</v>
      </c>
      <c r="X154" s="4">
        <f>[1]节奏总纲!X154</f>
        <v>2000.2041459468419</v>
      </c>
      <c r="Y154" s="4">
        <f>[1]节奏总纲!Y154</f>
        <v>1596.3716607374699</v>
      </c>
      <c r="Z154" s="4">
        <f>[1]节奏总纲!Z154</f>
        <v>1200.7352445562356</v>
      </c>
      <c r="AA154" s="4">
        <f>[1]节奏总纲!AA154</f>
        <v>740.2030604808042</v>
      </c>
      <c r="AC154" s="4">
        <f>[1]节奏总纲!AC154</f>
        <v>151</v>
      </c>
      <c r="AD154" s="4">
        <f>[1]节奏总纲!AD154</f>
        <v>72.470630686057078</v>
      </c>
      <c r="AE154" s="4">
        <f>[1]节奏总纲!AE154</f>
        <v>74.551162350245164</v>
      </c>
      <c r="AF154" s="4">
        <f>[1]节奏总纲!AF154</f>
        <v>77.417546894912917</v>
      </c>
      <c r="AG154" s="4">
        <f>[1]节奏总纲!AG154</f>
        <v>82.01744549958407</v>
      </c>
      <c r="AH154" s="4">
        <f>[1]节奏总纲!AH154</f>
        <v>91.318661959892353</v>
      </c>
      <c r="AZ154" s="4">
        <v>151</v>
      </c>
      <c r="BA154" s="4">
        <v>40.798353678409647</v>
      </c>
      <c r="BB154" s="4">
        <v>42.297321568414056</v>
      </c>
      <c r="BC154" s="4">
        <v>44.240280802770329</v>
      </c>
      <c r="BD154" s="4">
        <v>46.994812035750606</v>
      </c>
      <c r="BE154" s="4">
        <v>50</v>
      </c>
    </row>
    <row r="155" spans="6:57" x14ac:dyDescent="0.15">
      <c r="F155" s="4">
        <f>[1]节奏总纲!F155</f>
        <v>153</v>
      </c>
      <c r="G155" s="4">
        <f>[1]节奏总纲!G155</f>
        <v>40341.140136486232</v>
      </c>
      <c r="N155" s="4">
        <f>[1]节奏总纲!N155</f>
        <v>162</v>
      </c>
      <c r="O155" s="4">
        <f>[1]节奏总纲!O155</f>
        <v>152</v>
      </c>
      <c r="P155" s="4">
        <f>[1]节奏总纲!P155</f>
        <v>37639.547696542824</v>
      </c>
      <c r="Q155" s="4">
        <f>[1]节奏总纲!Q155</f>
        <v>31794.125939269725</v>
      </c>
      <c r="R155" s="4">
        <f>[1]节奏总纲!R155</f>
        <v>25425.514469014677</v>
      </c>
      <c r="S155" s="4">
        <f>[1]节奏总纲!S155</f>
        <v>18255.180632823271</v>
      </c>
      <c r="T155" s="4">
        <f>[1]节奏总纲!T155</f>
        <v>14114.830386203559</v>
      </c>
      <c r="V155" s="4">
        <f>[1]节奏总纲!V155</f>
        <v>152</v>
      </c>
      <c r="W155" s="4">
        <f>[1]节奏总纲!W155</f>
        <v>2520.6748761536146</v>
      </c>
      <c r="X155" s="4">
        <f>[1]节奏总纲!X155</f>
        <v>2122.1902933228812</v>
      </c>
      <c r="Y155" s="4">
        <f>[1]节奏总纲!Y155</f>
        <v>1832.6557082772088</v>
      </c>
      <c r="Z155" s="4">
        <f>[1]节奏总纲!Z155</f>
        <v>1450.7999882670338</v>
      </c>
      <c r="AA155" s="4">
        <f>[1]节奏总纲!AA155</f>
        <v>5019.042325722754</v>
      </c>
      <c r="AC155" s="4">
        <f>[1]节奏总纲!AC155</f>
        <v>152</v>
      </c>
      <c r="AD155" s="4">
        <f>[1]节奏总纲!AD155</f>
        <v>72.565389612760825</v>
      </c>
      <c r="AE155" s="4">
        <f>[1]节奏总纲!AE155</f>
        <v>74.645600220189607</v>
      </c>
      <c r="AF155" s="4">
        <f>[1]节奏总纲!AF155</f>
        <v>77.51099579821468</v>
      </c>
      <c r="AG155" s="4">
        <f>[1]节奏总纲!AG155</f>
        <v>82.110321933176039</v>
      </c>
      <c r="AH155" s="4">
        <f>[1]节奏总纲!AH155</f>
        <v>91.421190342649595</v>
      </c>
      <c r="AZ155" s="4">
        <v>152</v>
      </c>
      <c r="BA155" s="4">
        <v>40.84497287130948</v>
      </c>
      <c r="BB155" s="4">
        <v>42.340712512072891</v>
      </c>
      <c r="BC155" s="4">
        <v>44.283373213276832</v>
      </c>
      <c r="BD155" s="4">
        <v>47.037096473408994</v>
      </c>
      <c r="BE155" s="4">
        <v>50</v>
      </c>
    </row>
    <row r="156" spans="6:57" x14ac:dyDescent="0.15">
      <c r="F156" s="4">
        <f>[1]节奏总纲!F156</f>
        <v>154</v>
      </c>
      <c r="G156" s="4">
        <f>[1]节奏总纲!G156</f>
        <v>43236.635220206183</v>
      </c>
      <c r="N156" s="4">
        <f>[1]节奏总纲!N156</f>
        <v>163</v>
      </c>
      <c r="O156" s="4">
        <f>[1]节奏总纲!O156</f>
        <v>153</v>
      </c>
      <c r="P156" s="4">
        <f>[1]节奏总纲!P156</f>
        <v>40341.140136486232</v>
      </c>
      <c r="Q156" s="4">
        <f>[1]节奏总纲!Q156</f>
        <v>34330.31025614978</v>
      </c>
      <c r="R156" s="4">
        <f>[1]节奏总纲!R156</f>
        <v>27552.998713220099</v>
      </c>
      <c r="S156" s="4">
        <f>[1]节奏总纲!S156</f>
        <v>24204.684081891737</v>
      </c>
      <c r="T156" s="4">
        <f>[1]节奏总纲!T156</f>
        <v>24204.684081891737</v>
      </c>
      <c r="V156" s="4">
        <f>[1]节奏总纲!V156</f>
        <v>153</v>
      </c>
      <c r="W156" s="4">
        <f>[1]节奏总纲!W156</f>
        <v>2701.592439943408</v>
      </c>
      <c r="X156" s="4">
        <f>[1]节奏总纲!X156</f>
        <v>2536.1843168800551</v>
      </c>
      <c r="Y156" s="4">
        <f>[1]节奏总纲!Y156</f>
        <v>2127.4842442054214</v>
      </c>
      <c r="Z156" s="4">
        <f>[1]节奏总纲!Z156</f>
        <v>5949.5034490684666</v>
      </c>
      <c r="AA156" s="4">
        <f>[1]节奏总纲!AA156</f>
        <v>10089.853695688178</v>
      </c>
      <c r="AC156" s="4">
        <f>[1]节奏总纲!AC156</f>
        <v>153</v>
      </c>
      <c r="AD156" s="4">
        <f>[1]节奏总纲!AD156</f>
        <v>72.660148539464572</v>
      </c>
      <c r="AE156" s="4">
        <f>[1]节奏总纲!AE156</f>
        <v>74.74003809013405</v>
      </c>
      <c r="AF156" s="4">
        <f>[1]节奏总纲!AF156</f>
        <v>77.604444701516456</v>
      </c>
      <c r="AG156" s="4">
        <f>[1]节奏总纲!AG156</f>
        <v>82.203198366767992</v>
      </c>
      <c r="AH156" s="4">
        <f>[1]节奏总纲!AH156</f>
        <v>91.523718725406852</v>
      </c>
      <c r="AZ156" s="4">
        <v>153</v>
      </c>
      <c r="BA156" s="4">
        <v>40.891592064209313</v>
      </c>
      <c r="BB156" s="4">
        <v>42.384103455731719</v>
      </c>
      <c r="BC156" s="4">
        <v>44.326465623783335</v>
      </c>
      <c r="BD156" s="4">
        <v>47.078671550054786</v>
      </c>
      <c r="BE156" s="4">
        <v>50</v>
      </c>
    </row>
    <row r="157" spans="6:57" x14ac:dyDescent="0.15">
      <c r="F157" s="4">
        <f>[1]节奏总纲!F157</f>
        <v>155</v>
      </c>
      <c r="G157" s="4">
        <f>[1]节奏总纲!G157</f>
        <v>46339.950011841604</v>
      </c>
      <c r="N157" s="4">
        <f>[1]节奏总纲!N157</f>
        <v>164</v>
      </c>
      <c r="O157" s="4">
        <f>[1]节奏总纲!O157</f>
        <v>154</v>
      </c>
      <c r="P157" s="4">
        <f>[1]节奏总纲!P157</f>
        <v>43236.635220206183</v>
      </c>
      <c r="Q157" s="4">
        <f>[1]节奏总纲!Q157</f>
        <v>36967.323113276288</v>
      </c>
      <c r="R157" s="4">
        <f>[1]节奏总纲!R157</f>
        <v>33940.758647861854</v>
      </c>
      <c r="S157" s="4">
        <f>[1]节奏总纲!S157</f>
        <v>34156.941823962887</v>
      </c>
      <c r="T157" s="4">
        <f>[1]节奏总纲!T157</f>
        <v>34156.941823962887</v>
      </c>
      <c r="V157" s="4">
        <f>[1]节奏总纲!V157</f>
        <v>154</v>
      </c>
      <c r="W157" s="4">
        <f>[1]节奏总纲!W157</f>
        <v>2895.4950837199503</v>
      </c>
      <c r="X157" s="4">
        <f>[1]节奏总纲!X157</f>
        <v>2637.0128571265086</v>
      </c>
      <c r="Y157" s="4">
        <f>[1]节奏总纲!Y157</f>
        <v>6387.7599346417555</v>
      </c>
      <c r="Z157" s="4">
        <f>[1]节奏总纲!Z157</f>
        <v>9952.2577420711496</v>
      </c>
      <c r="AA157" s="4">
        <f>[1]节奏总纲!AA157</f>
        <v>9952.2577420711496</v>
      </c>
      <c r="AC157" s="4">
        <f>[1]节奏总纲!AC157</f>
        <v>154</v>
      </c>
      <c r="AD157" s="4">
        <f>[1]节奏总纲!AD157</f>
        <v>72.754907466168333</v>
      </c>
      <c r="AE157" s="4">
        <f>[1]节奏总纲!AE157</f>
        <v>74.834475960078507</v>
      </c>
      <c r="AF157" s="4">
        <f>[1]节奏总纲!AF157</f>
        <v>77.697893604818219</v>
      </c>
      <c r="AG157" s="4">
        <f>[1]节奏总纲!AG157</f>
        <v>82.29607480035996</v>
      </c>
      <c r="AH157" s="4">
        <f>[1]节奏总纲!AH157</f>
        <v>91.626247108164094</v>
      </c>
      <c r="AZ157" s="4">
        <v>154</v>
      </c>
      <c r="BA157" s="4">
        <v>40.938211257109145</v>
      </c>
      <c r="BB157" s="4">
        <v>42.427494399390554</v>
      </c>
      <c r="BC157" s="4">
        <v>44.369558034289838</v>
      </c>
      <c r="BD157" s="4">
        <v>47.12024662670057</v>
      </c>
      <c r="BE157" s="4">
        <v>50</v>
      </c>
    </row>
    <row r="158" spans="6:57" x14ac:dyDescent="0.15">
      <c r="F158" s="4">
        <f>[1]节奏总纲!F158</f>
        <v>156</v>
      </c>
      <c r="G158" s="4">
        <f>[1]节奏总纲!G158</f>
        <v>49666.000451412707</v>
      </c>
      <c r="N158" s="4">
        <f>[1]节奏总纲!N158</f>
        <v>165</v>
      </c>
      <c r="O158" s="4">
        <f>[1]节奏总纲!O158</f>
        <v>155</v>
      </c>
      <c r="P158" s="4">
        <f>[1]节奏总纲!P158</f>
        <v>46339.950011841604</v>
      </c>
      <c r="Q158" s="4">
        <f>[1]节奏总纲!Q158</f>
        <v>44078.560451263736</v>
      </c>
      <c r="R158" s="4">
        <f>[1]节奏总纲!R158</f>
        <v>44402.940101346627</v>
      </c>
      <c r="S158" s="4">
        <f>[1]节奏总纲!S158</f>
        <v>44402.940101346627</v>
      </c>
      <c r="T158" s="4">
        <f>[1]节奏总纲!T158</f>
        <v>44541.959951382152</v>
      </c>
      <c r="V158" s="4">
        <f>[1]节奏总纲!V158</f>
        <v>155</v>
      </c>
      <c r="W158" s="4">
        <f>[1]节奏总纲!W158</f>
        <v>3103.314791635421</v>
      </c>
      <c r="X158" s="4">
        <f>[1]节奏总纲!X158</f>
        <v>7111.237337987448</v>
      </c>
      <c r="Y158" s="4">
        <f>[1]节奏总纲!Y158</f>
        <v>10462.181453484773</v>
      </c>
      <c r="Z158" s="4">
        <f>[1]节奏总纲!Z158</f>
        <v>10245.99827738374</v>
      </c>
      <c r="AA158" s="4">
        <f>[1]节奏总纲!AA158</f>
        <v>10385.018127419266</v>
      </c>
      <c r="AC158" s="4">
        <f>[1]节奏总纲!AC158</f>
        <v>155</v>
      </c>
      <c r="AD158" s="4">
        <f>[1]节奏总纲!AD158</f>
        <v>72.849666392872081</v>
      </c>
      <c r="AE158" s="4">
        <f>[1]节奏总纲!AE158</f>
        <v>74.92891383002295</v>
      </c>
      <c r="AF158" s="4">
        <f>[1]节奏总纲!AF158</f>
        <v>77.791342508119982</v>
      </c>
      <c r="AG158" s="4">
        <f>[1]节奏总纲!AG158</f>
        <v>82.388951233951914</v>
      </c>
      <c r="AH158" s="4">
        <f>[1]节奏总纲!AH158</f>
        <v>91.72877549092135</v>
      </c>
      <c r="AZ158" s="4">
        <v>155</v>
      </c>
      <c r="BA158" s="4">
        <v>40.984830450008985</v>
      </c>
      <c r="BB158" s="4">
        <v>42.470885343049382</v>
      </c>
      <c r="BC158" s="4">
        <v>44.412650444796341</v>
      </c>
      <c r="BD158" s="4">
        <v>47.161821703346362</v>
      </c>
      <c r="BE158" s="4">
        <v>50</v>
      </c>
    </row>
    <row r="159" spans="6:57" x14ac:dyDescent="0.15">
      <c r="F159" s="4">
        <f>[1]节奏总纲!F159</f>
        <v>157</v>
      </c>
      <c r="G159" s="4">
        <f>[1]节奏总纲!G159</f>
        <v>53230.773047602182</v>
      </c>
      <c r="N159" s="4">
        <f>[1]节奏总纲!N159</f>
        <v>166</v>
      </c>
      <c r="O159" s="4">
        <f>[1]节奏总纲!O159</f>
        <v>156</v>
      </c>
      <c r="P159" s="4">
        <f>[1]节奏总纲!P159</f>
        <v>49666.000451412707</v>
      </c>
      <c r="Q159" s="4">
        <f>[1]节奏总纲!Q159</f>
        <v>49666.000451412707</v>
      </c>
      <c r="R159" s="4">
        <f>[1]节奏总纲!R159</f>
        <v>50162.660455926831</v>
      </c>
      <c r="S159" s="4">
        <f>[1]节奏总纲!S159</f>
        <v>50162.660455926831</v>
      </c>
      <c r="T159" s="4">
        <f>[1]节奏总纲!T159</f>
        <v>50311.658457281068</v>
      </c>
      <c r="V159" s="4">
        <f>[1]节奏总纲!V159</f>
        <v>156</v>
      </c>
      <c r="W159" s="4">
        <f>[1]节奏总纲!W159</f>
        <v>3326.0504395711032</v>
      </c>
      <c r="X159" s="4">
        <f>[1]节奏总纲!X159</f>
        <v>5587.4400001489703</v>
      </c>
      <c r="Y159" s="4">
        <f>[1]节奏总纲!Y159</f>
        <v>5759.720354580204</v>
      </c>
      <c r="Z159" s="4">
        <f>[1]节奏总纲!Z159</f>
        <v>5759.720354580204</v>
      </c>
      <c r="AA159" s="4">
        <f>[1]节奏总纲!AA159</f>
        <v>5769.6985058989158</v>
      </c>
      <c r="AC159" s="4">
        <f>[1]节奏总纲!AC159</f>
        <v>156</v>
      </c>
      <c r="AD159" s="4">
        <f>[1]节奏总纲!AD159</f>
        <v>72.944425319575828</v>
      </c>
      <c r="AE159" s="4">
        <f>[1]节奏总纲!AE159</f>
        <v>75.022035011469043</v>
      </c>
      <c r="AF159" s="4">
        <f>[1]节奏总纲!AF159</f>
        <v>77.884791411421745</v>
      </c>
      <c r="AG159" s="4">
        <f>[1]节奏总纲!AG159</f>
        <v>82.481827667543882</v>
      </c>
      <c r="AH159" s="4">
        <f>[1]节奏总纲!AH159</f>
        <v>91.831303873678593</v>
      </c>
      <c r="AZ159" s="4">
        <v>156</v>
      </c>
      <c r="BA159" s="4">
        <v>41.027136894088379</v>
      </c>
      <c r="BB159" s="4">
        <v>42.51427628670821</v>
      </c>
      <c r="BC159" s="4">
        <v>44.455742855302844</v>
      </c>
      <c r="BD159" s="4">
        <v>47.203396779992147</v>
      </c>
      <c r="BE159" s="4">
        <v>50</v>
      </c>
    </row>
    <row r="160" spans="6:57" x14ac:dyDescent="0.15">
      <c r="F160" s="4">
        <f>[1]节奏总纲!F160</f>
        <v>158</v>
      </c>
      <c r="G160" s="4">
        <f>[1]节奏总纲!G160</f>
        <v>57051.401716174769</v>
      </c>
      <c r="N160" s="4">
        <f>[1]节奏总纲!N160</f>
        <v>167</v>
      </c>
      <c r="O160" s="4">
        <f>[1]节奏总纲!O160</f>
        <v>157</v>
      </c>
      <c r="P160" s="4">
        <f>[1]节奏总纲!P160</f>
        <v>53230.773047602182</v>
      </c>
      <c r="Q160" s="4">
        <f>[1]节奏总纲!Q160</f>
        <v>53230.773047602182</v>
      </c>
      <c r="R160" s="4">
        <f>[1]节奏总纲!R160</f>
        <v>53763.080778078205</v>
      </c>
      <c r="S160" s="4">
        <f>[1]节奏总纲!S160</f>
        <v>53763.080778078205</v>
      </c>
      <c r="T160" s="4">
        <f>[1]节奏总纲!T160</f>
        <v>53763.080778078205</v>
      </c>
      <c r="V160" s="4">
        <f>[1]节奏总纲!V160</f>
        <v>157</v>
      </c>
      <c r="W160" s="4">
        <f>[1]节奏总纲!W160</f>
        <v>3564.7725961894757</v>
      </c>
      <c r="X160" s="4">
        <f>[1]节奏总纲!X160</f>
        <v>3564.7725961894757</v>
      </c>
      <c r="Y160" s="4">
        <f>[1]节奏总纲!Y160</f>
        <v>3600.4203221513744</v>
      </c>
      <c r="Z160" s="4">
        <f>[1]节奏总纲!Z160</f>
        <v>3600.4203221513744</v>
      </c>
      <c r="AA160" s="4">
        <f>[1]节奏总纲!AA160</f>
        <v>3451.4223207971372</v>
      </c>
      <c r="AC160" s="4">
        <f>[1]节奏总纲!AC160</f>
        <v>157</v>
      </c>
      <c r="AD160" s="4">
        <f>[1]节奏总纲!AD160</f>
        <v>73.036560194527354</v>
      </c>
      <c r="AE160" s="4">
        <f>[1]节奏总纲!AE160</f>
        <v>75.111147990406067</v>
      </c>
      <c r="AF160" s="4">
        <f>[1]节奏总纲!AF160</f>
        <v>77.978240314723507</v>
      </c>
      <c r="AG160" s="4">
        <f>[1]节奏总纲!AG160</f>
        <v>82.574704101135836</v>
      </c>
      <c r="AH160" s="4">
        <f>[1]节奏总纲!AH160</f>
        <v>91.933832256435849</v>
      </c>
      <c r="AZ160" s="4">
        <v>157</v>
      </c>
      <c r="BA160" s="4">
        <v>41.067363109180121</v>
      </c>
      <c r="BB160" s="4">
        <v>42.557667230367045</v>
      </c>
      <c r="BC160" s="4">
        <v>44.498835265809355</v>
      </c>
      <c r="BD160" s="4">
        <v>47.244971856637939</v>
      </c>
      <c r="BE160" s="4">
        <v>50</v>
      </c>
    </row>
    <row r="161" spans="6:57" x14ac:dyDescent="0.15">
      <c r="F161" s="4">
        <f>[1]节奏总纲!F161</f>
        <v>159</v>
      </c>
      <c r="G161" s="4">
        <f>[1]节奏总纲!G161</f>
        <v>61146.25013335624</v>
      </c>
      <c r="N161" s="4">
        <f>[1]节奏总纲!N161</f>
        <v>168</v>
      </c>
      <c r="O161" s="4">
        <f>[1]节奏总纲!O161</f>
        <v>158</v>
      </c>
      <c r="P161" s="4">
        <f>[1]节奏总纲!P161</f>
        <v>57051.401716174769</v>
      </c>
      <c r="Q161" s="4">
        <f>[1]节奏总纲!Q161</f>
        <v>57051.401716174769</v>
      </c>
      <c r="R161" s="4">
        <f>[1]节奏总纲!R161</f>
        <v>57621.915733336515</v>
      </c>
      <c r="S161" s="4">
        <f>[1]节奏总纲!S161</f>
        <v>57621.915733336515</v>
      </c>
      <c r="T161" s="4">
        <f>[1]节奏总纲!T161</f>
        <v>57621.915733336515</v>
      </c>
      <c r="V161" s="4">
        <f>[1]节奏总纲!V161</f>
        <v>158</v>
      </c>
      <c r="W161" s="4">
        <f>[1]节奏总纲!W161</f>
        <v>3820.6286685725863</v>
      </c>
      <c r="X161" s="4">
        <f>[1]节奏总纲!X161</f>
        <v>3820.6286685725863</v>
      </c>
      <c r="Y161" s="4">
        <f>[1]节奏总纲!Y161</f>
        <v>3858.8349552583095</v>
      </c>
      <c r="Z161" s="4">
        <f>[1]节奏总纲!Z161</f>
        <v>3858.8349552583095</v>
      </c>
      <c r="AA161" s="4">
        <f>[1]节奏总纲!AA161</f>
        <v>3858.8349552583095</v>
      </c>
      <c r="AC161" s="4">
        <f>[1]节奏总纲!AC161</f>
        <v>158</v>
      </c>
      <c r="AD161" s="4">
        <f>[1]节奏总纲!AD161</f>
        <v>73.124973399384572</v>
      </c>
      <c r="AE161" s="4">
        <f>[1]节奏总纲!AE161</f>
        <v>75.200260969343077</v>
      </c>
      <c r="AF161" s="4">
        <f>[1]节奏总纲!AF161</f>
        <v>78.066694029528094</v>
      </c>
      <c r="AG161" s="4">
        <f>[1]节奏总纲!AG161</f>
        <v>82.667580534727804</v>
      </c>
      <c r="AH161" s="4">
        <f>[1]节奏总纲!AH161</f>
        <v>92.033129415212969</v>
      </c>
      <c r="AZ161" s="4">
        <v>158</v>
      </c>
      <c r="BA161" s="4">
        <v>41.107589324271871</v>
      </c>
      <c r="BB161" s="4">
        <v>42.601058174025873</v>
      </c>
      <c r="BC161" s="4">
        <v>44.541927676315858</v>
      </c>
      <c r="BD161" s="4">
        <v>47.286546933283724</v>
      </c>
      <c r="BE161" s="4">
        <v>50</v>
      </c>
    </row>
    <row r="162" spans="6:57" x14ac:dyDescent="0.15">
      <c r="F162" s="4">
        <f>[1]节奏总纲!F162</f>
        <v>160</v>
      </c>
      <c r="G162" s="4">
        <f>[1]节奏总纲!G162</f>
        <v>65535</v>
      </c>
      <c r="N162" s="4">
        <f>[1]节奏总纲!N162</f>
        <v>169</v>
      </c>
      <c r="O162" s="4">
        <f>[1]节奏总纲!O162</f>
        <v>159</v>
      </c>
      <c r="P162" s="4">
        <f>[1]节奏总纲!P162</f>
        <v>61146.25013335624</v>
      </c>
      <c r="Q162" s="4">
        <f>[1]节奏总纲!Q162</f>
        <v>61146.25013335624</v>
      </c>
      <c r="R162" s="4">
        <f>[1]节奏总纲!R162</f>
        <v>61757.7126346898</v>
      </c>
      <c r="S162" s="4">
        <f>[1]节奏总纲!S162</f>
        <v>61757.7126346898</v>
      </c>
      <c r="T162" s="4">
        <f>[1]节奏总纲!T162</f>
        <v>61757.7126346898</v>
      </c>
      <c r="V162" s="4">
        <f>[1]节奏总纲!V162</f>
        <v>159</v>
      </c>
      <c r="W162" s="4">
        <f>[1]节奏总纲!W162</f>
        <v>4094.8484171814707</v>
      </c>
      <c r="X162" s="4">
        <f>[1]节奏总纲!X162</f>
        <v>4094.8484171814707</v>
      </c>
      <c r="Y162" s="4">
        <f>[1]节奏总纲!Y162</f>
        <v>4135.7969013532856</v>
      </c>
      <c r="Z162" s="4">
        <f>[1]节奏总纲!Z162</f>
        <v>4135.7969013532856</v>
      </c>
      <c r="AA162" s="4">
        <f>[1]节奏总纲!AA162</f>
        <v>4135.7969013532856</v>
      </c>
      <c r="AC162" s="4">
        <f>[1]节奏总纲!AC162</f>
        <v>159</v>
      </c>
      <c r="AD162" s="4">
        <f>[1]节奏总纲!AD162</f>
        <v>73.213386604241791</v>
      </c>
      <c r="AE162" s="4">
        <f>[1]节奏总纲!AE162</f>
        <v>75.289373948280101</v>
      </c>
      <c r="AF162" s="4">
        <f>[1]节奏总纲!AF162</f>
        <v>78.153631564737054</v>
      </c>
      <c r="AG162" s="4">
        <f>[1]节奏总纲!AG162</f>
        <v>82.760456968319758</v>
      </c>
      <c r="AH162" s="4">
        <f>[1]节奏总纲!AH162</f>
        <v>92.126546512350387</v>
      </c>
      <c r="AZ162" s="4">
        <v>159</v>
      </c>
      <c r="BA162" s="4">
        <v>41.147815539363613</v>
      </c>
      <c r="BB162" s="4">
        <v>42.644449117684701</v>
      </c>
      <c r="BC162" s="4">
        <v>44.585020086822361</v>
      </c>
      <c r="BD162" s="4">
        <v>47.328122009929508</v>
      </c>
      <c r="BE162" s="4">
        <v>50</v>
      </c>
    </row>
    <row r="163" spans="6:57" x14ac:dyDescent="0.15">
      <c r="N163" s="4">
        <f>[1]节奏总纲!N163</f>
        <v>170</v>
      </c>
      <c r="O163" s="4">
        <f>[1]节奏总纲!O163</f>
        <v>160</v>
      </c>
      <c r="P163" s="4">
        <f>[1]节奏总纲!P163</f>
        <v>65535</v>
      </c>
      <c r="Q163" s="4">
        <f>[1]节奏总纲!Q163</f>
        <v>65535</v>
      </c>
      <c r="R163" s="4">
        <f>[1]节奏总纲!R163</f>
        <v>66190.350000000006</v>
      </c>
      <c r="S163" s="4">
        <f>[1]节奏总纲!S163</f>
        <v>66190.350000000006</v>
      </c>
      <c r="T163" s="4">
        <f>[1]节奏总纲!T163</f>
        <v>66190.350000000006</v>
      </c>
      <c r="V163" s="4">
        <f>[1]节奏总纲!V163</f>
        <v>160</v>
      </c>
      <c r="W163" s="4">
        <f>[1]节奏总纲!W163</f>
        <v>4388.7498666437605</v>
      </c>
      <c r="X163" s="4">
        <f>[1]节奏总纲!X163</f>
        <v>4388.7498666437605</v>
      </c>
      <c r="Y163" s="4">
        <f>[1]节奏总纲!Y163</f>
        <v>4432.6373653102055</v>
      </c>
      <c r="Z163" s="4">
        <f>[1]节奏总纲!Z163</f>
        <v>4432.6373653102055</v>
      </c>
      <c r="AA163" s="4">
        <f>[1]节奏总纲!AA163</f>
        <v>4432.6373653102055</v>
      </c>
      <c r="AC163" s="4">
        <f>[1]节奏总纲!AC163</f>
        <v>160</v>
      </c>
      <c r="AD163" s="4">
        <f>[1]节奏总纲!AD163</f>
        <v>73.301799809099009</v>
      </c>
      <c r="AE163" s="4">
        <f>[1]节奏总纲!AE163</f>
        <v>75.378486927217125</v>
      </c>
      <c r="AF163" s="4">
        <f>[1]节奏总纲!AF163</f>
        <v>78.240569099946029</v>
      </c>
      <c r="AG163" s="4">
        <f>[1]节奏总纲!AG163</f>
        <v>82.853333401911726</v>
      </c>
      <c r="AH163" s="4">
        <f>[1]节奏总纲!AH163</f>
        <v>92.219963609487792</v>
      </c>
      <c r="AZ163" s="4">
        <v>160</v>
      </c>
      <c r="BA163" s="4">
        <v>41.188041754455355</v>
      </c>
      <c r="BB163" s="4">
        <v>42.687840061343536</v>
      </c>
      <c r="BC163" s="4">
        <v>44.628112497328864</v>
      </c>
      <c r="BD163" s="4">
        <v>47.3696970865753</v>
      </c>
      <c r="BE163" s="4">
        <v>50</v>
      </c>
    </row>
    <row r="164" spans="6:57" x14ac:dyDescent="0.15">
      <c r="AC164" s="4">
        <f>[1]节奏总纲!AC164</f>
        <v>161</v>
      </c>
      <c r="AD164" s="4">
        <f>[1]节奏总纲!AD164</f>
        <v>73.390213013956213</v>
      </c>
      <c r="AE164" s="4">
        <f>[1]节奏总纲!AE164</f>
        <v>75.467599906154135</v>
      </c>
      <c r="AF164" s="4">
        <f>[1]节奏总纲!AF164</f>
        <v>78.32750663515499</v>
      </c>
      <c r="AG164" s="4">
        <f>[1]节奏总纲!AG164</f>
        <v>82.94620983550368</v>
      </c>
      <c r="AH164" s="4">
        <f>[1]节奏总纲!AH164</f>
        <v>92.313380706625196</v>
      </c>
      <c r="AZ164" s="4">
        <v>161</v>
      </c>
      <c r="BA164" s="4">
        <v>41.228267969547105</v>
      </c>
      <c r="BB164" s="4">
        <v>42.731231005002364</v>
      </c>
      <c r="BC164" s="4">
        <v>44.671204907835367</v>
      </c>
      <c r="BD164" s="4">
        <v>47.411272163221085</v>
      </c>
      <c r="BE164" s="4">
        <v>50</v>
      </c>
    </row>
    <row r="165" spans="6:57" x14ac:dyDescent="0.15">
      <c r="AC165" s="4">
        <f>[1]节奏总纲!AC165</f>
        <v>162</v>
      </c>
      <c r="AD165" s="4">
        <f>[1]节奏总纲!AD165</f>
        <v>73.478626218813432</v>
      </c>
      <c r="AE165" s="4">
        <f>[1]节奏总纲!AE165</f>
        <v>75.556712885091159</v>
      </c>
      <c r="AF165" s="4">
        <f>[1]节奏总纲!AF165</f>
        <v>78.414444170363964</v>
      </c>
      <c r="AG165" s="4">
        <f>[1]节奏总纲!AG165</f>
        <v>83.036921590135321</v>
      </c>
      <c r="AH165" s="4">
        <f>[1]节奏总纲!AH165</f>
        <v>92.406797803762601</v>
      </c>
      <c r="AZ165" s="4">
        <v>162</v>
      </c>
      <c r="BA165" s="4">
        <v>41.268494184638847</v>
      </c>
      <c r="BB165" s="4">
        <v>42.774621948661192</v>
      </c>
      <c r="BC165" s="4">
        <v>44.714297318341877</v>
      </c>
      <c r="BD165" s="4">
        <v>47.452847239866877</v>
      </c>
      <c r="BE165" s="4">
        <v>50</v>
      </c>
    </row>
    <row r="166" spans="6:57" x14ac:dyDescent="0.15">
      <c r="AC166" s="4">
        <f>[1]节奏总纲!AC166</f>
        <v>163</v>
      </c>
      <c r="AD166" s="4">
        <f>[1]节奏总纲!AD166</f>
        <v>73.56703942367065</v>
      </c>
      <c r="AE166" s="4">
        <f>[1]节奏总纲!AE166</f>
        <v>75.645825864028183</v>
      </c>
      <c r="AF166" s="4">
        <f>[1]节奏总纲!AF166</f>
        <v>78.501381705572925</v>
      </c>
      <c r="AG166" s="4">
        <f>[1]节奏总纲!AG166</f>
        <v>83.124654333465756</v>
      </c>
      <c r="AH166" s="4">
        <f>[1]节奏总纲!AH166</f>
        <v>92.500214900900005</v>
      </c>
      <c r="AZ166" s="4">
        <v>163</v>
      </c>
      <c r="BA166" s="4">
        <v>41.308720399730589</v>
      </c>
      <c r="BB166" s="4">
        <v>42.818012892320027</v>
      </c>
      <c r="BC166" s="4">
        <v>44.757389728848381</v>
      </c>
      <c r="BD166" s="4">
        <v>47.494422316512662</v>
      </c>
      <c r="BE166" s="4">
        <v>50</v>
      </c>
    </row>
    <row r="167" spans="6:57" x14ac:dyDescent="0.15">
      <c r="AC167" s="4">
        <f>[1]节奏总纲!AC167</f>
        <v>164</v>
      </c>
      <c r="AD167" s="4">
        <f>[1]节奏总纲!AD167</f>
        <v>73.655452628527868</v>
      </c>
      <c r="AE167" s="4">
        <f>[1]节奏总纲!AE167</f>
        <v>75.734938842965192</v>
      </c>
      <c r="AF167" s="4">
        <f>[1]节奏总纲!AF167</f>
        <v>78.5883192407819</v>
      </c>
      <c r="AG167" s="4">
        <f>[1]节奏总纲!AG167</f>
        <v>83.21238707679619</v>
      </c>
      <c r="AH167" s="4">
        <f>[1]节奏总纲!AH167</f>
        <v>92.593631998037409</v>
      </c>
      <c r="AZ167" s="4">
        <v>164</v>
      </c>
      <c r="BA167" s="4">
        <v>41.348946614822331</v>
      </c>
      <c r="BB167" s="4">
        <v>42.861403835978855</v>
      </c>
      <c r="BC167" s="4">
        <v>44.800482139354884</v>
      </c>
      <c r="BD167" s="4">
        <v>47.535997393158453</v>
      </c>
      <c r="BE167" s="4">
        <v>50</v>
      </c>
    </row>
    <row r="168" spans="6:57" x14ac:dyDescent="0.15">
      <c r="AC168" s="4">
        <f>[1]节奏总纲!AC168</f>
        <v>165</v>
      </c>
      <c r="AD168" s="4">
        <f>[1]节奏总纲!AD168</f>
        <v>73.743865833385087</v>
      </c>
      <c r="AE168" s="4">
        <f>[1]节奏总纲!AE168</f>
        <v>75.824051821902216</v>
      </c>
      <c r="AF168" s="4">
        <f>[1]节奏总纲!AF168</f>
        <v>78.67525677599086</v>
      </c>
      <c r="AG168" s="4">
        <f>[1]节奏总纲!AG168</f>
        <v>83.300119820126625</v>
      </c>
      <c r="AH168" s="4">
        <f>[1]节奏总纲!AH168</f>
        <v>92.687049095174814</v>
      </c>
      <c r="AZ168" s="4">
        <v>165</v>
      </c>
      <c r="BA168" s="4">
        <v>41.389172829914081</v>
      </c>
      <c r="BB168" s="4">
        <v>42.904794779637683</v>
      </c>
      <c r="BC168" s="4">
        <v>44.843574549861387</v>
      </c>
      <c r="BD168" s="4">
        <v>47.577572469804238</v>
      </c>
      <c r="BE168" s="4">
        <v>50</v>
      </c>
    </row>
    <row r="169" spans="6:57" x14ac:dyDescent="0.15">
      <c r="AC169" s="4">
        <f>[1]节奏总纲!AC169</f>
        <v>166</v>
      </c>
      <c r="AD169" s="4">
        <f>[1]节奏总纲!AD169</f>
        <v>73.832279038242305</v>
      </c>
      <c r="AE169" s="4">
        <f>[1]节奏总纲!AE169</f>
        <v>75.91316480083924</v>
      </c>
      <c r="AF169" s="4">
        <f>[1]节奏总纲!AF169</f>
        <v>78.762194311199835</v>
      </c>
      <c r="AG169" s="4">
        <f>[1]节奏总纲!AG169</f>
        <v>83.387852563457059</v>
      </c>
      <c r="AH169" s="4">
        <f>[1]节奏总纲!AH169</f>
        <v>92.780466192312218</v>
      </c>
      <c r="AZ169" s="4">
        <v>166</v>
      </c>
      <c r="BA169" s="4">
        <v>41.429399045005823</v>
      </c>
      <c r="BB169" s="4">
        <v>42.948185723296518</v>
      </c>
      <c r="BC169" s="4">
        <v>44.88666696036789</v>
      </c>
      <c r="BD169" s="4">
        <v>47.619147546450023</v>
      </c>
      <c r="BE169" s="4">
        <v>50</v>
      </c>
    </row>
    <row r="170" spans="6:57" x14ac:dyDescent="0.15">
      <c r="AC170" s="4">
        <f>[1]节奏总纲!AC170</f>
        <v>167</v>
      </c>
      <c r="AD170" s="4">
        <f>[1]节奏总纲!AD170</f>
        <v>73.920692243099523</v>
      </c>
      <c r="AE170" s="4">
        <f>[1]节奏总纲!AE170</f>
        <v>76.002103770254962</v>
      </c>
      <c r="AF170" s="4">
        <f>[1]节奏总纲!AF170</f>
        <v>78.849131846408795</v>
      </c>
      <c r="AG170" s="4">
        <f>[1]节奏总纲!AG170</f>
        <v>83.475585306787494</v>
      </c>
      <c r="AH170" s="4">
        <f>[1]节奏总纲!AH170</f>
        <v>92.873883289449623</v>
      </c>
      <c r="AZ170" s="4">
        <v>167</v>
      </c>
      <c r="BA170" s="4">
        <v>41.469625260097565</v>
      </c>
      <c r="BB170" s="4">
        <v>42.991576666955346</v>
      </c>
      <c r="BC170" s="4">
        <v>44.9297593708744</v>
      </c>
      <c r="BD170" s="4">
        <v>47.660722623095815</v>
      </c>
      <c r="BE170" s="4">
        <v>50</v>
      </c>
    </row>
    <row r="171" spans="6:57" x14ac:dyDescent="0.15">
      <c r="AC171" s="4">
        <f>[1]节奏总纲!AC171</f>
        <v>168</v>
      </c>
      <c r="AD171" s="4">
        <f>[1]节奏总纲!AD171</f>
        <v>74.008495683346354</v>
      </c>
      <c r="AE171" s="4">
        <f>[1]节奏总纲!AE171</f>
        <v>76.084409020469636</v>
      </c>
      <c r="AF171" s="4">
        <f>[1]节奏总纲!AF171</f>
        <v>78.93606938161777</v>
      </c>
      <c r="AG171" s="4">
        <f>[1]节奏总纲!AG171</f>
        <v>83.563318050117928</v>
      </c>
      <c r="AH171" s="4">
        <f>[1]节奏总纲!AH171</f>
        <v>92.967300386587027</v>
      </c>
      <c r="AZ171" s="4">
        <v>168</v>
      </c>
      <c r="BA171" s="4">
        <v>41.509851475189308</v>
      </c>
      <c r="BB171" s="4">
        <v>43.030177309109042</v>
      </c>
      <c r="BC171" s="4">
        <v>44.972851781380903</v>
      </c>
      <c r="BD171" s="4">
        <v>47.7022976997416</v>
      </c>
      <c r="BE171" s="4">
        <v>50</v>
      </c>
    </row>
    <row r="172" spans="6:57" x14ac:dyDescent="0.15">
      <c r="AC172" s="4">
        <f>[1]节奏总纲!AC172</f>
        <v>169</v>
      </c>
      <c r="AD172" s="4">
        <f>[1]节奏总纲!AD172</f>
        <v>74.090988120365651</v>
      </c>
      <c r="AE172" s="4">
        <f>[1]节奏总纲!AE172</f>
        <v>76.166714270684309</v>
      </c>
      <c r="AF172" s="4">
        <f>[1]节奏总纲!AF172</f>
        <v>79.022812309215297</v>
      </c>
      <c r="AG172" s="4">
        <f>[1]节奏总纲!AG172</f>
        <v>83.651050793448363</v>
      </c>
      <c r="AH172" s="4">
        <f>[1]节奏总纲!AH172</f>
        <v>93.057555567360481</v>
      </c>
      <c r="AZ172" s="4">
        <v>169</v>
      </c>
      <c r="BA172" s="4">
        <v>41.550077690281057</v>
      </c>
      <c r="BB172" s="4">
        <v>43.067624017543686</v>
      </c>
      <c r="BC172" s="4">
        <v>45.013762077986961</v>
      </c>
      <c r="BD172" s="4">
        <v>47.743872776387391</v>
      </c>
      <c r="BE172" s="4">
        <v>50</v>
      </c>
    </row>
    <row r="173" spans="6:57" x14ac:dyDescent="0.15">
      <c r="AC173" s="4">
        <f>[1]节奏总纲!AC173</f>
        <v>170</v>
      </c>
      <c r="AD173" s="4">
        <f>[1]节奏总纲!AD173</f>
        <v>74.173480557384934</v>
      </c>
      <c r="AE173" s="4">
        <f>[1]节奏总纲!AE173</f>
        <v>76.249019520898997</v>
      </c>
      <c r="AF173" s="4">
        <f>[1]节奏总纲!AF173</f>
        <v>79.109014469658547</v>
      </c>
      <c r="AG173" s="4">
        <f>[1]节奏总纲!AG173</f>
        <v>83.738783536778797</v>
      </c>
      <c r="AH173" s="4">
        <f>[1]节奏总纲!AH173</f>
        <v>93.146107887007233</v>
      </c>
      <c r="AZ173" s="4">
        <v>170</v>
      </c>
      <c r="BA173" s="4">
        <v>41.590303905372799</v>
      </c>
      <c r="BB173" s="4">
        <v>43.105070725978337</v>
      </c>
      <c r="BC173" s="4">
        <v>45.050956883357138</v>
      </c>
      <c r="BD173" s="4">
        <v>47.785447853033176</v>
      </c>
      <c r="BE173" s="4">
        <v>50</v>
      </c>
    </row>
    <row r="174" spans="6:57" x14ac:dyDescent="0.15">
      <c r="AC174" s="4">
        <f>[1]节奏总纲!AC174</f>
        <v>171</v>
      </c>
      <c r="AD174" s="4">
        <f>[1]节奏总纲!AD174</f>
        <v>74.255972994404218</v>
      </c>
      <c r="AE174" s="4">
        <f>[1]节奏总纲!AE174</f>
        <v>76.331324771113671</v>
      </c>
      <c r="AF174" s="4">
        <f>[1]节奏总纲!AF174</f>
        <v>79.195216630101797</v>
      </c>
      <c r="AG174" s="4">
        <f>[1]节奏总纲!AG174</f>
        <v>83.826516280109232</v>
      </c>
      <c r="AH174" s="4">
        <f>[1]节奏总纲!AH174</f>
        <v>93.23466020665397</v>
      </c>
      <c r="AZ174" s="4">
        <v>171</v>
      </c>
      <c r="BA174" s="4">
        <v>41.630530120464542</v>
      </c>
      <c r="BB174" s="4">
        <v>43.14251743441298</v>
      </c>
      <c r="BC174" s="4">
        <v>45.088151688727308</v>
      </c>
      <c r="BD174" s="4">
        <v>47.827022929678968</v>
      </c>
      <c r="BE174" s="4">
        <v>50</v>
      </c>
    </row>
    <row r="175" spans="6:57" x14ac:dyDescent="0.15">
      <c r="AC175" s="4">
        <f>[1]节奏总纲!AC175</f>
        <v>172</v>
      </c>
      <c r="AD175" s="4">
        <f>[1]节奏总纲!AD175</f>
        <v>74.338465431423501</v>
      </c>
      <c r="AE175" s="4">
        <f>[1]节奏总纲!AE175</f>
        <v>76.413630021328345</v>
      </c>
      <c r="AF175" s="4">
        <f>[1]节奏总纲!AF175</f>
        <v>79.281418790545047</v>
      </c>
      <c r="AG175" s="4">
        <f>[1]节奏总纲!AG175</f>
        <v>83.914249023439666</v>
      </c>
      <c r="AH175" s="4">
        <f>[1]节奏总纲!AH175</f>
        <v>93.323212526300722</v>
      </c>
      <c r="AZ175" s="4">
        <v>172</v>
      </c>
      <c r="BA175" s="4">
        <v>41.670756335556291</v>
      </c>
      <c r="BB175" s="4">
        <v>43.179964142847631</v>
      </c>
      <c r="BC175" s="4">
        <v>45.125346494097485</v>
      </c>
      <c r="BD175" s="4">
        <v>47.868598006324753</v>
      </c>
      <c r="BE175" s="4">
        <v>50</v>
      </c>
    </row>
    <row r="176" spans="6:57" x14ac:dyDescent="0.15">
      <c r="AC176" s="4">
        <f>[1]节奏总纲!AC176</f>
        <v>173</v>
      </c>
      <c r="AD176" s="4">
        <f>[1]节奏总纲!AD176</f>
        <v>74.420957868442784</v>
      </c>
      <c r="AE176" s="4">
        <f>[1]节奏总纲!AE176</f>
        <v>76.495935271543019</v>
      </c>
      <c r="AF176" s="4">
        <f>[1]节奏总纲!AF176</f>
        <v>79.367620950988297</v>
      </c>
      <c r="AG176" s="4">
        <f>[1]节奏总纲!AG176</f>
        <v>84.00179325525086</v>
      </c>
      <c r="AH176" s="4">
        <f>[1]节奏总纲!AH176</f>
        <v>93.411764845947459</v>
      </c>
      <c r="AZ176" s="4">
        <v>173</v>
      </c>
      <c r="BA176" s="4">
        <v>41.710982550648033</v>
      </c>
      <c r="BB176" s="4">
        <v>43.217410851282274</v>
      </c>
      <c r="BC176" s="4">
        <v>45.162541299467655</v>
      </c>
      <c r="BD176" s="4">
        <v>47.910173082970537</v>
      </c>
      <c r="BE176" s="4">
        <v>50</v>
      </c>
    </row>
    <row r="177" spans="29:57" x14ac:dyDescent="0.15">
      <c r="AC177" s="4">
        <f>[1]节奏总纲!AC177</f>
        <v>174</v>
      </c>
      <c r="AD177" s="4">
        <f>[1]节奏总纲!AD177</f>
        <v>74.503450305462081</v>
      </c>
      <c r="AE177" s="4">
        <f>[1]节奏总纲!AE177</f>
        <v>76.578240521757706</v>
      </c>
      <c r="AF177" s="4">
        <f>[1]节奏总纲!AF177</f>
        <v>79.453823111431561</v>
      </c>
      <c r="AG177" s="4">
        <f>[1]节奏总纲!AG177</f>
        <v>84.08118060043364</v>
      </c>
      <c r="AH177" s="4">
        <f>[1]节奏总纲!AH177</f>
        <v>93.500317165594211</v>
      </c>
      <c r="AZ177" s="4">
        <v>174</v>
      </c>
      <c r="BA177" s="4">
        <v>41.751208765739776</v>
      </c>
      <c r="BB177" s="4">
        <v>43.254857559716925</v>
      </c>
      <c r="BC177" s="4">
        <v>45.199736104837832</v>
      </c>
      <c r="BD177" s="4">
        <v>47.951748159616329</v>
      </c>
      <c r="BE177" s="4">
        <v>50</v>
      </c>
    </row>
    <row r="178" spans="29:57" x14ac:dyDescent="0.15">
      <c r="AC178" s="4">
        <f>[1]节奏总纲!AC178</f>
        <v>175</v>
      </c>
      <c r="AD178" s="4">
        <f>[1]节奏总纲!AD178</f>
        <v>74.585942742481365</v>
      </c>
      <c r="AE178" s="4">
        <f>[1]节奏总纲!AE178</f>
        <v>76.66054577197238</v>
      </c>
      <c r="AF178" s="4">
        <f>[1]节奏总纲!AF178</f>
        <v>79.540025271874811</v>
      </c>
      <c r="AG178" s="4">
        <f>[1]节奏总纲!AG178</f>
        <v>84.160567945616407</v>
      </c>
      <c r="AH178" s="4">
        <f>[1]节奏总纲!AH178</f>
        <v>93.588869485240949</v>
      </c>
      <c r="AZ178" s="4">
        <v>175</v>
      </c>
      <c r="BA178" s="4">
        <v>41.791434980831518</v>
      </c>
      <c r="BB178" s="4">
        <v>43.292304268151575</v>
      </c>
      <c r="BC178" s="4">
        <v>45.236930910208002</v>
      </c>
      <c r="BD178" s="4">
        <v>47.993323236262114</v>
      </c>
      <c r="BE178" s="4">
        <v>50</v>
      </c>
    </row>
    <row r="179" spans="29:57" x14ac:dyDescent="0.15">
      <c r="AC179" s="4">
        <f>[1]节奏总纲!AC179</f>
        <v>176</v>
      </c>
      <c r="AD179" s="4">
        <f>[1]节奏总纲!AD179</f>
        <v>74.668435179500648</v>
      </c>
      <c r="AE179" s="4">
        <f>[1]节奏总纲!AE179</f>
        <v>76.742851022187054</v>
      </c>
      <c r="AF179" s="4">
        <f>[1]节奏总纲!AF179</f>
        <v>79.626227432318061</v>
      </c>
      <c r="AG179" s="4">
        <f>[1]节奏总纲!AG179</f>
        <v>84.239955290799188</v>
      </c>
      <c r="AH179" s="4">
        <f>[1]节奏总纲!AH179</f>
        <v>93.6774218048877</v>
      </c>
      <c r="AZ179" s="4">
        <v>176</v>
      </c>
      <c r="BA179" s="4">
        <v>41.831661195923267</v>
      </c>
      <c r="BB179" s="4">
        <v>43.329750976586219</v>
      </c>
      <c r="BC179" s="4">
        <v>45.274125715578172</v>
      </c>
      <c r="BD179" s="4">
        <v>48.030128751164234</v>
      </c>
      <c r="BE179" s="4">
        <v>50</v>
      </c>
    </row>
    <row r="180" spans="29:57" x14ac:dyDescent="0.15">
      <c r="AC180" s="4">
        <f>[1]节奏总纲!AC180</f>
        <v>177</v>
      </c>
      <c r="AD180" s="4">
        <f>[1]节奏总纲!AD180</f>
        <v>74.750927616519931</v>
      </c>
      <c r="AE180" s="4">
        <f>[1]节奏总纲!AE180</f>
        <v>76.825156272401728</v>
      </c>
      <c r="AF180" s="4">
        <f>[1]节奏总纲!AF180</f>
        <v>79.71242959276131</v>
      </c>
      <c r="AG180" s="4">
        <f>[1]节奏总纲!AG180</f>
        <v>84.319342635981968</v>
      </c>
      <c r="AH180" s="4">
        <f>[1]节奏总纲!AH180</f>
        <v>93.765974124534438</v>
      </c>
      <c r="AZ180" s="4">
        <v>177</v>
      </c>
      <c r="BA180" s="4">
        <v>41.87188741101501</v>
      </c>
      <c r="BB180" s="4">
        <v>43.367197685020869</v>
      </c>
      <c r="BC180" s="4">
        <v>45.31132052094835</v>
      </c>
      <c r="BD180" s="4">
        <v>48.066021750983474</v>
      </c>
      <c r="BE180" s="4">
        <v>50</v>
      </c>
    </row>
    <row r="181" spans="29:57" x14ac:dyDescent="0.15">
      <c r="AC181" s="4">
        <f>[1]节奏总纲!AC181</f>
        <v>178</v>
      </c>
      <c r="AD181" s="4">
        <f>[1]节奏总纲!AD181</f>
        <v>74.833420053539214</v>
      </c>
      <c r="AE181" s="4">
        <f>[1]节奏总纲!AE181</f>
        <v>76.907461522616416</v>
      </c>
      <c r="AF181" s="4">
        <f>[1]节奏总纲!AF181</f>
        <v>79.79863175320456</v>
      </c>
      <c r="AG181" s="4">
        <f>[1]节奏总纲!AG181</f>
        <v>84.398729981164735</v>
      </c>
      <c r="AH181" s="4">
        <f>[1]节奏总纲!AH181</f>
        <v>93.85452644418119</v>
      </c>
      <c r="AZ181" s="4">
        <v>178</v>
      </c>
      <c r="BA181" s="4">
        <v>41.912113626106752</v>
      </c>
      <c r="BB181" s="4">
        <v>43.404644393455513</v>
      </c>
      <c r="BC181" s="4">
        <v>45.34851532631852</v>
      </c>
      <c r="BD181" s="4">
        <v>48.101914750802706</v>
      </c>
      <c r="BE181" s="4">
        <v>50</v>
      </c>
    </row>
    <row r="182" spans="29:57" x14ac:dyDescent="0.15">
      <c r="AC182" s="4">
        <f>[1]节奏总纲!AC182</f>
        <v>179</v>
      </c>
      <c r="AD182" s="4">
        <f>[1]节奏总纲!AD182</f>
        <v>74.915912490558512</v>
      </c>
      <c r="AE182" s="4">
        <f>[1]节奏总纲!AE182</f>
        <v>76.989766772831089</v>
      </c>
      <c r="AF182" s="4">
        <f>[1]节奏总纲!AF182</f>
        <v>79.88483391364781</v>
      </c>
      <c r="AG182" s="4">
        <f>[1]节奏总纲!AG182</f>
        <v>84.478117326347515</v>
      </c>
      <c r="AH182" s="4">
        <f>[1]节奏总纲!AH182</f>
        <v>93.943078763827941</v>
      </c>
      <c r="AZ182" s="4">
        <v>179</v>
      </c>
      <c r="BA182" s="4">
        <v>41.952339841198494</v>
      </c>
      <c r="BB182" s="4">
        <v>43.442091101890163</v>
      </c>
      <c r="BC182" s="4">
        <v>45.385710131688697</v>
      </c>
      <c r="BD182" s="4">
        <v>48.137807750621946</v>
      </c>
      <c r="BE182" s="4">
        <v>50</v>
      </c>
    </row>
    <row r="183" spans="29:57" x14ac:dyDescent="0.15">
      <c r="AC183" s="4">
        <f>[1]节奏总纲!AC183</f>
        <v>180</v>
      </c>
      <c r="AD183" s="4">
        <f>[1]节奏总纲!AD183</f>
        <v>74.998404927577795</v>
      </c>
      <c r="AE183" s="4">
        <f>[1]节奏总纲!AE183</f>
        <v>77.06778397927944</v>
      </c>
      <c r="AF183" s="4">
        <f>[1]节奏总纲!AF183</f>
        <v>79.97103607409106</v>
      </c>
      <c r="AG183" s="4">
        <f>[1]节奏总纲!AG183</f>
        <v>84.557504671530296</v>
      </c>
      <c r="AH183" s="4">
        <f>[1]节奏总纲!AH183</f>
        <v>94.027056817114342</v>
      </c>
      <c r="AZ183" s="4">
        <v>180</v>
      </c>
      <c r="BA183" s="4">
        <v>41.992566056290244</v>
      </c>
      <c r="BB183" s="4">
        <v>43.479537810324807</v>
      </c>
      <c r="BC183" s="4">
        <v>45.422904937058867</v>
      </c>
      <c r="BD183" s="4">
        <v>48.173700750441178</v>
      </c>
      <c r="BE183" s="4">
        <v>50</v>
      </c>
    </row>
    <row r="184" spans="29:57" x14ac:dyDescent="0.15">
      <c r="AC184" s="4">
        <f>[1]节奏总纲!AC184</f>
        <v>181</v>
      </c>
      <c r="AD184" s="4">
        <f>[1]节奏总纲!AD184</f>
        <v>75.075479910097457</v>
      </c>
      <c r="AE184" s="4">
        <f>[1]节奏总纲!AE184</f>
        <v>77.145192343015793</v>
      </c>
      <c r="AF184" s="4">
        <f>[1]节奏总纲!AF184</f>
        <v>80.053817475702374</v>
      </c>
      <c r="AG184" s="4">
        <f>[1]节奏总纲!AG184</f>
        <v>84.636892016713063</v>
      </c>
      <c r="AH184" s="4">
        <f>[1]节奏总纲!AH184</f>
        <v>94.102803318799971</v>
      </c>
      <c r="AZ184" s="4">
        <v>181</v>
      </c>
      <c r="BA184" s="4">
        <v>42.028297717729309</v>
      </c>
      <c r="BB184" s="4">
        <v>43.516984518759458</v>
      </c>
      <c r="BC184" s="4">
        <v>45.460099742429037</v>
      </c>
      <c r="BD184" s="4">
        <v>48.209593750260417</v>
      </c>
      <c r="BE184" s="4">
        <v>50</v>
      </c>
    </row>
    <row r="185" spans="29:57" x14ac:dyDescent="0.15">
      <c r="AC185" s="4">
        <f>[1]节奏总纲!AC185</f>
        <v>182</v>
      </c>
      <c r="AD185" s="4">
        <f>[1]节奏总纲!AD185</f>
        <v>75.152448075388719</v>
      </c>
      <c r="AE185" s="4">
        <f>[1]节奏总纲!AE185</f>
        <v>77.222600706752132</v>
      </c>
      <c r="AF185" s="4">
        <f>[1]节奏总纲!AF185</f>
        <v>80.134867890916794</v>
      </c>
      <c r="AG185" s="4">
        <f>[1]节奏总纲!AG185</f>
        <v>84.716279361895843</v>
      </c>
      <c r="AH185" s="4">
        <f>[1]节奏总纲!AH185</f>
        <v>94.1785498204856</v>
      </c>
      <c r="AZ185" s="4">
        <v>182</v>
      </c>
      <c r="BA185" s="4">
        <v>42.063010472656373</v>
      </c>
      <c r="BB185" s="4">
        <v>43.554431227194108</v>
      </c>
      <c r="BC185" s="4">
        <v>45.497294547799214</v>
      </c>
      <c r="BD185" s="4">
        <v>48.24548675007965</v>
      </c>
      <c r="BE185" s="4">
        <v>50</v>
      </c>
    </row>
    <row r="186" spans="29:57" x14ac:dyDescent="0.15">
      <c r="AC186" s="4">
        <f>[1]节奏总纲!AC186</f>
        <v>183</v>
      </c>
      <c r="AD186" s="4">
        <f>[1]节奏总纲!AD186</f>
        <v>75.229416240679981</v>
      </c>
      <c r="AE186" s="4">
        <f>[1]节奏总纲!AE186</f>
        <v>77.300009070488485</v>
      </c>
      <c r="AF186" s="4">
        <f>[1]节奏总纲!AF186</f>
        <v>80.215918306131215</v>
      </c>
      <c r="AG186" s="4">
        <f>[1]节奏总纲!AG186</f>
        <v>84.795666707078624</v>
      </c>
      <c r="AH186" s="4">
        <f>[1]节奏总纲!AH186</f>
        <v>94.254296322171228</v>
      </c>
      <c r="AZ186" s="4">
        <v>183</v>
      </c>
      <c r="BA186" s="4">
        <v>42.097723227583437</v>
      </c>
      <c r="BB186" s="4">
        <v>43.591877935628752</v>
      </c>
      <c r="BC186" s="4">
        <v>45.534489353169384</v>
      </c>
      <c r="BD186" s="4">
        <v>48.281379749898889</v>
      </c>
      <c r="BE186" s="4">
        <v>50</v>
      </c>
    </row>
    <row r="187" spans="29:57" x14ac:dyDescent="0.15">
      <c r="AC187" s="4">
        <f>[1]节奏总纲!AC187</f>
        <v>184</v>
      </c>
      <c r="AD187" s="4">
        <f>[1]节奏总纲!AD187</f>
        <v>75.306384405971258</v>
      </c>
      <c r="AE187" s="4">
        <f>[1]节奏总纲!AE187</f>
        <v>77.377417434224824</v>
      </c>
      <c r="AF187" s="4">
        <f>[1]节奏总纲!AF187</f>
        <v>80.296968721345635</v>
      </c>
      <c r="AG187" s="4">
        <f>[1]节奏总纲!AG187</f>
        <v>84.87505405226139</v>
      </c>
      <c r="AH187" s="4">
        <f>[1]节奏总纲!AH187</f>
        <v>94.330042823856857</v>
      </c>
      <c r="AZ187" s="4">
        <v>184</v>
      </c>
      <c r="BA187" s="4">
        <v>42.132435982510501</v>
      </c>
      <c r="BB187" s="4">
        <v>43.629324644063402</v>
      </c>
      <c r="BC187" s="4">
        <v>45.571684158539561</v>
      </c>
      <c r="BD187" s="4">
        <v>48.317272749718121</v>
      </c>
      <c r="BE187" s="4">
        <v>50</v>
      </c>
    </row>
    <row r="188" spans="29:57" x14ac:dyDescent="0.15">
      <c r="AC188" s="4">
        <f>[1]节奏总纲!AC188</f>
        <v>185</v>
      </c>
      <c r="AD188" s="4">
        <f>[1]节奏总纲!AD188</f>
        <v>75.38335257126252</v>
      </c>
      <c r="AE188" s="4">
        <f>[1]节奏总纲!AE188</f>
        <v>77.454825797961163</v>
      </c>
      <c r="AF188" s="4">
        <f>[1]节奏总纲!AF188</f>
        <v>80.378019136560056</v>
      </c>
      <c r="AG188" s="4">
        <f>[1]节奏总纲!AG188</f>
        <v>84.954441397444171</v>
      </c>
      <c r="AH188" s="4">
        <f>[1]节奏总纲!AH188</f>
        <v>94.405789325542486</v>
      </c>
      <c r="AZ188" s="4">
        <v>185</v>
      </c>
      <c r="BA188" s="4">
        <v>42.167148737437564</v>
      </c>
      <c r="BB188" s="4">
        <v>43.666771352498046</v>
      </c>
      <c r="BC188" s="4">
        <v>45.608878963909731</v>
      </c>
      <c r="BD188" s="4">
        <v>48.353165749537354</v>
      </c>
      <c r="BE188" s="4">
        <v>50</v>
      </c>
    </row>
    <row r="189" spans="29:57" x14ac:dyDescent="0.15">
      <c r="AC189" s="4">
        <f>[1]节奏总纲!AC189</f>
        <v>186</v>
      </c>
      <c r="AD189" s="4">
        <f>[1]节奏总纲!AD189</f>
        <v>75.460320736553783</v>
      </c>
      <c r="AE189" s="4">
        <f>[1]节奏总纲!AE189</f>
        <v>77.532234161697517</v>
      </c>
      <c r="AF189" s="4">
        <f>[1]节奏总纲!AF189</f>
        <v>80.459069551774476</v>
      </c>
      <c r="AG189" s="4">
        <f>[1]节奏总纲!AG189</f>
        <v>85.030832425973387</v>
      </c>
      <c r="AH189" s="4">
        <f>[1]节奏总纲!AH189</f>
        <v>94.4815358272281</v>
      </c>
      <c r="AZ189" s="4">
        <v>186</v>
      </c>
      <c r="BA189" s="4">
        <v>42.201861492364635</v>
      </c>
      <c r="BB189" s="4">
        <v>43.704218060932696</v>
      </c>
      <c r="BC189" s="4">
        <v>45.646073769279901</v>
      </c>
      <c r="BD189" s="4">
        <v>48.389058749356593</v>
      </c>
      <c r="BE189" s="4">
        <v>50</v>
      </c>
    </row>
    <row r="190" spans="29:57" x14ac:dyDescent="0.15">
      <c r="AC190" s="4">
        <f>[1]节奏总纲!AC190</f>
        <v>187</v>
      </c>
      <c r="AD190" s="4">
        <f>[1]节奏总纲!AD190</f>
        <v>75.537288901845045</v>
      </c>
      <c r="AE190" s="4">
        <f>[1]节奏总纲!AE190</f>
        <v>77.609642525433856</v>
      </c>
      <c r="AF190" s="4">
        <f>[1]节奏总纲!AF190</f>
        <v>80.540119966988897</v>
      </c>
      <c r="AG190" s="4">
        <f>[1]节奏总纲!AG190</f>
        <v>85.103188187775231</v>
      </c>
      <c r="AH190" s="4">
        <f>[1]节奏总纲!AH190</f>
        <v>94.557282328913729</v>
      </c>
      <c r="AZ190" s="4">
        <v>187</v>
      </c>
      <c r="BA190" s="4">
        <v>42.236574247291699</v>
      </c>
      <c r="BB190" s="4">
        <v>43.741664769367347</v>
      </c>
      <c r="BC190" s="4">
        <v>45.683268574650079</v>
      </c>
      <c r="BD190" s="4">
        <v>48.424951749175825</v>
      </c>
      <c r="BE190" s="4">
        <v>50</v>
      </c>
    </row>
    <row r="191" spans="29:57" x14ac:dyDescent="0.15">
      <c r="AC191" s="4">
        <f>[1]节奏总纲!AC191</f>
        <v>188</v>
      </c>
      <c r="AD191" s="4">
        <f>[1]节奏总纲!AD191</f>
        <v>75.614257067136322</v>
      </c>
      <c r="AE191" s="4">
        <f>[1]节奏总纲!AE191</f>
        <v>77.687050889170209</v>
      </c>
      <c r="AF191" s="4">
        <f>[1]节奏总纲!AF191</f>
        <v>80.621170382203317</v>
      </c>
      <c r="AG191" s="4">
        <f>[1]节奏总纲!AG191</f>
        <v>85.175543949577076</v>
      </c>
      <c r="AH191" s="4">
        <f>[1]节奏总纲!AH191</f>
        <v>94.633028830599358</v>
      </c>
      <c r="AZ191" s="4">
        <v>188</v>
      </c>
      <c r="BA191" s="4">
        <v>42.271287002218763</v>
      </c>
      <c r="BB191" s="4">
        <v>43.77911147780199</v>
      </c>
      <c r="BC191" s="4">
        <v>45.720463380020249</v>
      </c>
      <c r="BD191" s="4">
        <v>48.460844748995065</v>
      </c>
      <c r="BE191" s="4">
        <v>50</v>
      </c>
    </row>
    <row r="192" spans="29:57" x14ac:dyDescent="0.15">
      <c r="AC192" s="4">
        <f>[1]节奏总纲!AC192</f>
        <v>189</v>
      </c>
      <c r="AD192" s="4">
        <f>[1]节奏总纲!AD192</f>
        <v>75.691225232427584</v>
      </c>
      <c r="AE192" s="4">
        <f>[1]节奏总纲!AE192</f>
        <v>77.764459252906548</v>
      </c>
      <c r="AF192" s="4">
        <f>[1]节奏总纲!AF192</f>
        <v>80.702220797417738</v>
      </c>
      <c r="AG192" s="4">
        <f>[1]节奏总纲!AG192</f>
        <v>85.247899711378935</v>
      </c>
      <c r="AH192" s="4">
        <f>[1]节奏总纲!AH192</f>
        <v>94.708775332284986</v>
      </c>
      <c r="AZ192" s="4">
        <v>189</v>
      </c>
      <c r="BA192" s="4">
        <v>42.305999757145827</v>
      </c>
      <c r="BB192" s="4">
        <v>43.816558186236641</v>
      </c>
      <c r="BC192" s="4">
        <v>45.757658185390426</v>
      </c>
      <c r="BD192" s="4">
        <v>48.496737748814297</v>
      </c>
      <c r="BE192" s="4">
        <v>50</v>
      </c>
    </row>
    <row r="193" spans="29:57" x14ac:dyDescent="0.15">
      <c r="AC193" s="4">
        <f>[1]节奏总纲!AC193</f>
        <v>190</v>
      </c>
      <c r="AD193" s="4">
        <f>[1]节奏总纲!AD193</f>
        <v>75.768193397718846</v>
      </c>
      <c r="AE193" s="4">
        <f>[1]节奏总纲!AE193</f>
        <v>77.841867616642901</v>
      </c>
      <c r="AF193" s="4">
        <f>[1]节奏总纲!AF193</f>
        <v>80.783271212632158</v>
      </c>
      <c r="AG193" s="4">
        <f>[1]节奏总纲!AG193</f>
        <v>85.320255473180779</v>
      </c>
      <c r="AH193" s="4">
        <f>[1]节奏总纲!AH193</f>
        <v>94.784521833970615</v>
      </c>
      <c r="AZ193" s="4">
        <v>190</v>
      </c>
      <c r="BA193" s="4">
        <v>42.340712512072891</v>
      </c>
      <c r="BB193" s="4">
        <v>43.854004894671284</v>
      </c>
      <c r="BC193" s="4">
        <v>45.794852990760596</v>
      </c>
      <c r="BD193" s="4">
        <v>48.532630748633537</v>
      </c>
      <c r="BE193" s="4">
        <v>50</v>
      </c>
    </row>
    <row r="194" spans="29:57" x14ac:dyDescent="0.15">
      <c r="AC194" s="4">
        <f>[1]节奏总纲!AC194</f>
        <v>191</v>
      </c>
      <c r="AD194" s="4">
        <f>[1]节奏总纲!AD194</f>
        <v>75.845161563010109</v>
      </c>
      <c r="AE194" s="4">
        <f>[1]节奏总纲!AE194</f>
        <v>77.91927598037924</v>
      </c>
      <c r="AF194" s="4">
        <f>[1]节奏总纲!AF194</f>
        <v>80.864321627846579</v>
      </c>
      <c r="AG194" s="4">
        <f>[1]节奏总纲!AG194</f>
        <v>85.392611234982624</v>
      </c>
      <c r="AH194" s="4">
        <f>[1]节奏总纲!AH194</f>
        <v>94.860268335656244</v>
      </c>
      <c r="AZ194" s="4">
        <v>191</v>
      </c>
      <c r="BA194" s="4">
        <v>42.375425266999954</v>
      </c>
      <c r="BB194" s="4">
        <v>43.891451603105935</v>
      </c>
      <c r="BC194" s="4">
        <v>45.832047796130773</v>
      </c>
      <c r="BD194" s="4">
        <v>48.568523748452769</v>
      </c>
      <c r="BE194" s="4">
        <v>50</v>
      </c>
    </row>
    <row r="195" spans="29:57" x14ac:dyDescent="0.15">
      <c r="AC195" s="4">
        <f>[1]节奏总纲!AC195</f>
        <v>192</v>
      </c>
      <c r="AD195" s="4">
        <f>[1]节奏总纲!AD195</f>
        <v>75.922129728301385</v>
      </c>
      <c r="AE195" s="4">
        <f>[1]节奏总纲!AE195</f>
        <v>77.996684344115593</v>
      </c>
      <c r="AF195" s="4">
        <f>[1]节奏总纲!AF195</f>
        <v>80.945372043060999</v>
      </c>
      <c r="AG195" s="4">
        <f>[1]节奏总纲!AG195</f>
        <v>85.464966996784469</v>
      </c>
      <c r="AH195" s="4">
        <f>[1]节奏总纲!AH195</f>
        <v>94.936014837341872</v>
      </c>
      <c r="AZ195" s="4">
        <v>192</v>
      </c>
      <c r="BA195" s="4">
        <v>42.410138021927018</v>
      </c>
      <c r="BB195" s="4">
        <v>43.928898311540578</v>
      </c>
      <c r="BC195" s="4">
        <v>45.869242601500943</v>
      </c>
      <c r="BD195" s="4">
        <v>48.604416748272008</v>
      </c>
      <c r="BE195" s="4">
        <v>50</v>
      </c>
    </row>
    <row r="196" spans="29:57" x14ac:dyDescent="0.15">
      <c r="AC196" s="4">
        <f>[1]节奏总纲!AC196</f>
        <v>193</v>
      </c>
      <c r="AD196" s="4">
        <f>[1]节奏总纲!AD196</f>
        <v>75.999097893592648</v>
      </c>
      <c r="AE196" s="4">
        <f>[1]节奏总纲!AE196</f>
        <v>78.068193736526268</v>
      </c>
      <c r="AF196" s="4">
        <f>[1]节奏总纲!AF196</f>
        <v>81.02378934476593</v>
      </c>
      <c r="AG196" s="4">
        <f>[1]节奏总纲!AG196</f>
        <v>85.537322758586328</v>
      </c>
      <c r="AH196" s="4">
        <f>[1]节奏总纲!AH196</f>
        <v>95.011078787937279</v>
      </c>
      <c r="AZ196" s="4">
        <v>193</v>
      </c>
      <c r="BA196" s="4">
        <v>42.444850776854082</v>
      </c>
      <c r="BB196" s="4">
        <v>43.966345019975229</v>
      </c>
      <c r="BC196" s="4">
        <v>45.906437406871113</v>
      </c>
      <c r="BD196" s="4">
        <v>48.640309748091241</v>
      </c>
      <c r="BE196" s="4">
        <v>50</v>
      </c>
    </row>
    <row r="197" spans="29:57" x14ac:dyDescent="0.15">
      <c r="AC197" s="4">
        <f>[1]节奏总纲!AC197</f>
        <v>194</v>
      </c>
      <c r="AD197" s="4">
        <f>[1]节奏总纲!AD197</f>
        <v>76.070972142474872</v>
      </c>
      <c r="AE197" s="4">
        <f>[1]节奏总纲!AE197</f>
        <v>78.139439149396253</v>
      </c>
      <c r="AF197" s="4">
        <f>[1]节奏总纲!AF197</f>
        <v>81.096762731680187</v>
      </c>
      <c r="AG197" s="4">
        <f>[1]节奏总纲!AG197</f>
        <v>85.609678520388172</v>
      </c>
      <c r="AH197" s="4">
        <f>[1]节奏总纲!AH197</f>
        <v>95.082429458741387</v>
      </c>
      <c r="AZ197" s="4">
        <v>194</v>
      </c>
      <c r="BA197" s="4">
        <v>42.479563531781146</v>
      </c>
      <c r="BB197" s="4">
        <v>44.003272544984547</v>
      </c>
      <c r="BC197" s="4">
        <v>45.94363221224129</v>
      </c>
      <c r="BD197" s="4">
        <v>48.67620274791048</v>
      </c>
      <c r="BE197" s="4">
        <v>50</v>
      </c>
    </row>
    <row r="198" spans="29:57" x14ac:dyDescent="0.15">
      <c r="AC198" s="4">
        <f>[1]节奏总纲!AC198</f>
        <v>195</v>
      </c>
      <c r="AD198" s="4">
        <f>[1]节奏总纲!AD198</f>
        <v>76.142785979989682</v>
      </c>
      <c r="AE198" s="4">
        <f>[1]节奏总纲!AE198</f>
        <v>78.210684562266223</v>
      </c>
      <c r="AF198" s="4">
        <f>[1]节奏总纲!AF198</f>
        <v>81.169736118594443</v>
      </c>
      <c r="AG198" s="4">
        <f>[1]节奏总纲!AG198</f>
        <v>85.682034282190017</v>
      </c>
      <c r="AH198" s="4">
        <f>[1]节奏总纲!AH198</f>
        <v>95.153780129545481</v>
      </c>
      <c r="AZ198" s="4">
        <v>195</v>
      </c>
      <c r="BA198" s="4">
        <v>42.51427628670821</v>
      </c>
      <c r="BB198" s="4">
        <v>44.035591852864428</v>
      </c>
      <c r="BC198" s="4">
        <v>45.98082701761146</v>
      </c>
      <c r="BD198" s="4">
        <v>48.712095747729713</v>
      </c>
      <c r="BE198" s="4">
        <v>50</v>
      </c>
    </row>
    <row r="199" spans="29:57" x14ac:dyDescent="0.15">
      <c r="AC199" s="4">
        <f>[1]节奏总纲!AC199</f>
        <v>196</v>
      </c>
      <c r="AD199" s="4">
        <f>[1]节奏总纲!AD199</f>
        <v>76.214599817504492</v>
      </c>
      <c r="AE199" s="4">
        <f>[1]节奏总纲!AE199</f>
        <v>78.281929975136208</v>
      </c>
      <c r="AF199" s="4">
        <f>[1]节奏总纲!AF199</f>
        <v>81.242709505508685</v>
      </c>
      <c r="AG199" s="4">
        <f>[1]节奏总纲!AG199</f>
        <v>85.754390043991862</v>
      </c>
      <c r="AH199" s="4">
        <f>[1]节奏总纲!AH199</f>
        <v>95.225130800349589</v>
      </c>
      <c r="AZ199" s="4">
        <v>196</v>
      </c>
      <c r="BA199" s="4">
        <v>42.548989041635274</v>
      </c>
      <c r="BB199" s="4">
        <v>44.067911160744309</v>
      </c>
      <c r="BC199" s="4">
        <v>46.01555652579863</v>
      </c>
      <c r="BD199" s="4">
        <v>48.747988747548945</v>
      </c>
      <c r="BE199" s="4">
        <v>50</v>
      </c>
    </row>
    <row r="200" spans="29:57" x14ac:dyDescent="0.15">
      <c r="AC200" s="4">
        <f>[1]节奏总纲!AC200</f>
        <v>197</v>
      </c>
      <c r="AD200" s="4">
        <f>[1]节奏总纲!AD200</f>
        <v>76.286413655019302</v>
      </c>
      <c r="AE200" s="4">
        <f>[1]节奏总纲!AE200</f>
        <v>78.353175388006179</v>
      </c>
      <c r="AF200" s="4">
        <f>[1]节奏总纲!AF200</f>
        <v>81.315682892422942</v>
      </c>
      <c r="AG200" s="4">
        <f>[1]节奏总纲!AG200</f>
        <v>85.82674580579372</v>
      </c>
      <c r="AH200" s="4">
        <f>[1]节奏总纲!AH200</f>
        <v>95.296481471153683</v>
      </c>
      <c r="AZ200" s="4">
        <v>197</v>
      </c>
      <c r="BA200" s="4">
        <v>42.583701796562345</v>
      </c>
      <c r="BB200" s="4">
        <v>44.100230468624183</v>
      </c>
      <c r="BC200" s="4">
        <v>46.047663263829847</v>
      </c>
      <c r="BD200" s="4">
        <v>48.783881747368184</v>
      </c>
      <c r="BE200" s="4">
        <v>50</v>
      </c>
    </row>
    <row r="201" spans="29:57" x14ac:dyDescent="0.15">
      <c r="AC201" s="4">
        <f>[1]节奏总纲!AC201</f>
        <v>198</v>
      </c>
      <c r="AD201" s="4">
        <f>[1]节奏总纲!AD201</f>
        <v>76.358227492534112</v>
      </c>
      <c r="AE201" s="4">
        <f>[1]节奏总纲!AE201</f>
        <v>78.424420800876163</v>
      </c>
      <c r="AF201" s="4">
        <f>[1]节奏总纲!AF201</f>
        <v>81.388656279337198</v>
      </c>
      <c r="AG201" s="4">
        <f>[1]节奏总纲!AG201</f>
        <v>85.899101567595565</v>
      </c>
      <c r="AH201" s="4">
        <f>[1]节奏总纲!AH201</f>
        <v>95.367832141957777</v>
      </c>
      <c r="AZ201" s="4">
        <v>198</v>
      </c>
      <c r="BA201" s="4">
        <v>42.618414551489408</v>
      </c>
      <c r="BB201" s="4">
        <v>44.132549776504064</v>
      </c>
      <c r="BC201" s="4">
        <v>46.079770001861057</v>
      </c>
      <c r="BD201" s="4">
        <v>48.819774747187417</v>
      </c>
      <c r="BE201" s="4">
        <v>50</v>
      </c>
    </row>
    <row r="202" spans="29:57" x14ac:dyDescent="0.15">
      <c r="AC202" s="4">
        <f>[1]节奏总纲!AC202</f>
        <v>199</v>
      </c>
      <c r="AD202" s="4">
        <f>[1]节奏总纲!AD202</f>
        <v>76.430041330048923</v>
      </c>
      <c r="AE202" s="4">
        <f>[1]节奏总纲!AE202</f>
        <v>78.495666213746148</v>
      </c>
      <c r="AF202" s="4">
        <f>[1]节奏总纲!AF202</f>
        <v>81.461629666251454</v>
      </c>
      <c r="AG202" s="4">
        <f>[1]节奏总纲!AG202</f>
        <v>85.97145732939741</v>
      </c>
      <c r="AH202" s="4">
        <f>[1]节奏总纲!AH202</f>
        <v>95.439182812761885</v>
      </c>
      <c r="AZ202" s="4">
        <v>199</v>
      </c>
      <c r="BA202" s="4">
        <v>42.653127306416472</v>
      </c>
      <c r="BB202" s="4">
        <v>44.164869084383938</v>
      </c>
      <c r="BC202" s="4">
        <v>46.111876739892267</v>
      </c>
      <c r="BD202" s="4">
        <v>48.855667747006656</v>
      </c>
      <c r="BE202" s="4">
        <v>50</v>
      </c>
    </row>
    <row r="203" spans="29:57" x14ac:dyDescent="0.15">
      <c r="AC203" s="4">
        <f>[1]节奏总纲!AC203</f>
        <v>200</v>
      </c>
      <c r="AD203" s="4">
        <f>[1]节奏总纲!AD203</f>
        <v>76.501855167563733</v>
      </c>
      <c r="AE203" s="4">
        <f>[1]节奏总纲!AE203</f>
        <v>78.566911626616118</v>
      </c>
      <c r="AF203" s="4">
        <f>[1]节奏总纲!AF203</f>
        <v>81.534603053165696</v>
      </c>
      <c r="AG203" s="4">
        <f>[1]节奏总纲!AG203</f>
        <v>86.045919706798657</v>
      </c>
      <c r="AH203" s="4">
        <f>[1]节奏总纲!AH203</f>
        <v>95.510533483565979</v>
      </c>
      <c r="AZ203" s="4">
        <v>200</v>
      </c>
      <c r="BA203" s="4">
        <v>42.687840061343536</v>
      </c>
      <c r="BB203" s="4">
        <v>44.197188392263818</v>
      </c>
      <c r="BC203" s="4">
        <v>46.143983477923484</v>
      </c>
      <c r="BD203" s="4">
        <v>48.891560746825888</v>
      </c>
      <c r="BE203" s="4">
        <v>50</v>
      </c>
    </row>
    <row r="204" spans="29:57" x14ac:dyDescent="0.15">
      <c r="AC204" s="4">
        <f>[1]节奏总纲!AC204</f>
        <v>201</v>
      </c>
      <c r="AD204" s="4">
        <f>[1]节奏总纲!AD204</f>
        <v>76.573669005078543</v>
      </c>
      <c r="AE204" s="4">
        <f>[1]节奏总纲!AE204</f>
        <v>78.638157039486103</v>
      </c>
      <c r="AF204" s="4">
        <f>[1]节奏总纲!AF204</f>
        <v>81.607576440079953</v>
      </c>
      <c r="AG204" s="4">
        <f>[1]节奏总纲!AG204</f>
        <v>86.121754469336281</v>
      </c>
      <c r="AH204" s="4">
        <f>[1]节奏总纲!AH204</f>
        <v>95.581884154370087</v>
      </c>
      <c r="AZ204" s="4">
        <v>201</v>
      </c>
      <c r="BA204" s="4">
        <v>42.7225528162706</v>
      </c>
      <c r="BB204" s="4">
        <v>44.229507700143699</v>
      </c>
      <c r="BC204" s="4">
        <v>46.176090215954694</v>
      </c>
      <c r="BD204" s="4">
        <v>48.927453746645128</v>
      </c>
      <c r="BE204" s="4">
        <v>50</v>
      </c>
    </row>
    <row r="205" spans="29:57" x14ac:dyDescent="0.15">
      <c r="AC205" s="4">
        <f>[1]节奏总纲!AC205</f>
        <v>202</v>
      </c>
      <c r="AD205" s="4">
        <f>[1]节奏总纲!AD205</f>
        <v>76.645482842593353</v>
      </c>
      <c r="AE205" s="4">
        <f>[1]节奏总纲!AE205</f>
        <v>78.709402452356088</v>
      </c>
      <c r="AF205" s="4">
        <f>[1]节奏总纲!AF205</f>
        <v>81.680549826994209</v>
      </c>
      <c r="AG205" s="4">
        <f>[1]节奏总纲!AG205</f>
        <v>86.197589231873891</v>
      </c>
      <c r="AH205" s="4">
        <f>[1]节奏总纲!AH205</f>
        <v>95.653234825174181</v>
      </c>
      <c r="AZ205" s="4">
        <v>202</v>
      </c>
      <c r="BA205" s="4">
        <v>42.757265571197664</v>
      </c>
      <c r="BB205" s="4">
        <v>44.261827008023573</v>
      </c>
      <c r="BC205" s="4">
        <v>46.208196953985905</v>
      </c>
      <c r="BD205" s="4">
        <v>48.96334674646436</v>
      </c>
      <c r="BE205" s="4">
        <v>50</v>
      </c>
    </row>
    <row r="206" spans="29:57" x14ac:dyDescent="0.15">
      <c r="AC206" s="4">
        <f>[1]节奏总纲!AC206</f>
        <v>203</v>
      </c>
      <c r="AD206" s="4">
        <f>[1]节奏总纲!AD206</f>
        <v>76.717296680108163</v>
      </c>
      <c r="AE206" s="4">
        <f>[1]节奏总纲!AE206</f>
        <v>78.780647865226058</v>
      </c>
      <c r="AF206" s="4">
        <f>[1]节奏总纲!AF206</f>
        <v>81.753523213908451</v>
      </c>
      <c r="AG206" s="4">
        <f>[1]节奏总纲!AG206</f>
        <v>86.273423994411502</v>
      </c>
      <c r="AH206" s="4">
        <f>[1]节奏总纲!AH206</f>
        <v>95.724585495978289</v>
      </c>
      <c r="AZ206" s="4">
        <v>203</v>
      </c>
      <c r="BA206" s="4">
        <v>42.791978326124728</v>
      </c>
      <c r="BB206" s="4">
        <v>44.294146315903454</v>
      </c>
      <c r="BC206" s="4">
        <v>46.240303692017122</v>
      </c>
      <c r="BD206" s="4">
        <v>48.9992397462836</v>
      </c>
      <c r="BE206" s="4">
        <v>50</v>
      </c>
    </row>
    <row r="207" spans="29:57" x14ac:dyDescent="0.15">
      <c r="AC207" s="4">
        <f>[1]节奏总纲!AC207</f>
        <v>204</v>
      </c>
      <c r="AD207" s="4">
        <f>[1]节奏总纲!AD207</f>
        <v>76.789110517622973</v>
      </c>
      <c r="AE207" s="4">
        <f>[1]节奏总纲!AE207</f>
        <v>78.851893278096043</v>
      </c>
      <c r="AF207" s="4">
        <f>[1]节奏总纲!AF207</f>
        <v>81.826496600822708</v>
      </c>
      <c r="AG207" s="4">
        <f>[1]节奏总纲!AG207</f>
        <v>86.349258756949112</v>
      </c>
      <c r="AH207" s="4">
        <f>[1]节奏总纲!AH207</f>
        <v>95.795936166782383</v>
      </c>
      <c r="AZ207" s="4">
        <v>204</v>
      </c>
      <c r="BA207" s="4">
        <v>42.826691081051791</v>
      </c>
      <c r="BB207" s="4">
        <v>44.326465623783335</v>
      </c>
      <c r="BC207" s="4">
        <v>46.272410430048332</v>
      </c>
      <c r="BD207" s="4">
        <v>49.030333272797542</v>
      </c>
      <c r="BE207" s="4">
        <v>50</v>
      </c>
    </row>
    <row r="208" spans="29:57" x14ac:dyDescent="0.15">
      <c r="AC208" s="4">
        <f>[1]节奏总纲!AC208</f>
        <v>205</v>
      </c>
      <c r="AD208" s="4">
        <f>[1]节奏总纲!AD208</f>
        <v>76.860924355137783</v>
      </c>
      <c r="AE208" s="4">
        <f>[1]节奏总纲!AE208</f>
        <v>78.923138690966013</v>
      </c>
      <c r="AF208" s="4">
        <f>[1]节奏总纲!AF208</f>
        <v>81.899469987736964</v>
      </c>
      <c r="AG208" s="4">
        <f>[1]节奏总纲!AG208</f>
        <v>86.425093519486722</v>
      </c>
      <c r="AH208" s="4">
        <f>[1]节奏总纲!AH208</f>
        <v>95.867286837586477</v>
      </c>
      <c r="AZ208" s="4">
        <v>205</v>
      </c>
      <c r="BA208" s="4">
        <v>42.861403835978855</v>
      </c>
      <c r="BB208" s="4">
        <v>44.358784931663209</v>
      </c>
      <c r="BC208" s="4">
        <v>46.304517168079542</v>
      </c>
      <c r="BD208" s="4">
        <v>49.061322941292346</v>
      </c>
      <c r="BE208" s="4">
        <v>50</v>
      </c>
    </row>
    <row r="209" spans="29:57" x14ac:dyDescent="0.15">
      <c r="AC209" s="4">
        <f>[1]节奏总纲!AC209</f>
        <v>206</v>
      </c>
      <c r="AD209" s="4">
        <f>[1]节奏总纲!AD209</f>
        <v>76.932738192652593</v>
      </c>
      <c r="AE209" s="4">
        <f>[1]节奏总纲!AE209</f>
        <v>78.994384103835998</v>
      </c>
      <c r="AF209" s="4">
        <f>[1]节奏总纲!AF209</f>
        <v>81.972443374651206</v>
      </c>
      <c r="AG209" s="4">
        <f>[1]节奏总纲!AG209</f>
        <v>86.500928282024347</v>
      </c>
      <c r="AH209" s="4">
        <f>[1]节奏总纲!AH209</f>
        <v>95.938637508390585</v>
      </c>
      <c r="AZ209" s="4">
        <v>206</v>
      </c>
      <c r="BA209" s="4">
        <v>42.896116590905919</v>
      </c>
      <c r="BB209" s="4">
        <v>44.39110423954309</v>
      </c>
      <c r="BC209" s="4">
        <v>46.336623906110759</v>
      </c>
      <c r="BD209" s="4">
        <v>49.09231260978715</v>
      </c>
      <c r="BE209" s="4">
        <v>50</v>
      </c>
    </row>
    <row r="210" spans="29:57" x14ac:dyDescent="0.15">
      <c r="AC210" s="4">
        <f>[1]节奏总纲!AC210</f>
        <v>207</v>
      </c>
      <c r="AD210" s="4">
        <f>[1]节奏总纲!AD210</f>
        <v>77.004247194324648</v>
      </c>
      <c r="AE210" s="4">
        <f>[1]节奏总纲!AE210</f>
        <v>79.061386416569832</v>
      </c>
      <c r="AF210" s="4">
        <f>[1]节奏总纲!AF210</f>
        <v>82.041007317281839</v>
      </c>
      <c r="AG210" s="4">
        <f>[1]节奏总纲!AG210</f>
        <v>86.576763044561957</v>
      </c>
      <c r="AH210" s="4">
        <f>[1]节奏总纲!AH210</f>
        <v>96.008512635801992</v>
      </c>
      <c r="AZ210" s="4">
        <v>207</v>
      </c>
      <c r="BA210" s="4">
        <v>42.930829345832983</v>
      </c>
      <c r="BB210" s="4">
        <v>44.423423547422971</v>
      </c>
      <c r="BC210" s="4">
        <v>46.368730644141969</v>
      </c>
      <c r="BD210" s="4">
        <v>49.123302278281955</v>
      </c>
      <c r="BE210" s="4">
        <v>50</v>
      </c>
    </row>
    <row r="211" spans="29:57" x14ac:dyDescent="0.15">
      <c r="AC211" s="4">
        <f>[1]节奏总纲!AC211</f>
        <v>208</v>
      </c>
      <c r="AD211" s="4">
        <f>[1]节奏总纲!AD211</f>
        <v>77.07125187397483</v>
      </c>
      <c r="AE211" s="4">
        <f>[1]节奏总纲!AE211</f>
        <v>79.128025648620252</v>
      </c>
      <c r="AF211" s="4">
        <f>[1]节奏总纲!AF211</f>
        <v>82.106895829081836</v>
      </c>
      <c r="AG211" s="4">
        <f>[1]节奏总纲!AG211</f>
        <v>86.652597807099568</v>
      </c>
      <c r="AH211" s="4">
        <f>[1]节奏总纲!AH211</f>
        <v>96.069322745727362</v>
      </c>
      <c r="AZ211" s="4">
        <v>208</v>
      </c>
      <c r="BA211" s="4">
        <v>42.965542100760054</v>
      </c>
      <c r="BB211" s="4">
        <v>44.455742855302844</v>
      </c>
      <c r="BC211" s="4">
        <v>46.400837382173179</v>
      </c>
      <c r="BD211" s="4">
        <v>49.154291946776759</v>
      </c>
      <c r="BE211" s="4">
        <v>50</v>
      </c>
    </row>
    <row r="212" spans="29:57" x14ac:dyDescent="0.15">
      <c r="AC212" s="4">
        <f>[1]节奏总纲!AC212</f>
        <v>209</v>
      </c>
      <c r="AD212" s="4">
        <f>[1]节奏总纲!AD212</f>
        <v>77.138256553625013</v>
      </c>
      <c r="AE212" s="4">
        <f>[1]节奏总纲!AE212</f>
        <v>79.194664880670672</v>
      </c>
      <c r="AF212" s="4">
        <f>[1]节奏总纲!AF212</f>
        <v>82.172784340881819</v>
      </c>
      <c r="AG212" s="4">
        <f>[1]节奏总纲!AG212</f>
        <v>86.728432569637178</v>
      </c>
      <c r="AH212" s="4">
        <f>[1]节奏总纲!AH212</f>
        <v>96.130132855652732</v>
      </c>
      <c r="AZ212" s="4">
        <v>209</v>
      </c>
      <c r="BA212" s="4">
        <v>43.000219942361319</v>
      </c>
      <c r="BB212" s="4">
        <v>44.488062163182725</v>
      </c>
      <c r="BC212" s="4">
        <v>46.432944120204397</v>
      </c>
      <c r="BD212" s="4">
        <v>49.18528161527157</v>
      </c>
      <c r="BE212" s="4">
        <v>50</v>
      </c>
    </row>
    <row r="213" spans="29:57" x14ac:dyDescent="0.15">
      <c r="AC213" s="4">
        <f>[1]节奏总纲!AC213</f>
        <v>210</v>
      </c>
      <c r="AD213" s="4">
        <f>[1]节奏总纲!AD213</f>
        <v>77.205261233275195</v>
      </c>
      <c r="AE213" s="4">
        <f>[1]节奏总纲!AE213</f>
        <v>79.261304112721092</v>
      </c>
      <c r="AF213" s="4">
        <f>[1]节奏总纲!AF213</f>
        <v>82.238672852681816</v>
      </c>
      <c r="AG213" s="4">
        <f>[1]节奏总纲!AG213</f>
        <v>86.804267332174788</v>
      </c>
      <c r="AH213" s="4">
        <f>[1]节奏总纲!AH213</f>
        <v>96.190942965578103</v>
      </c>
      <c r="AZ213" s="4">
        <v>210</v>
      </c>
      <c r="BA213" s="4">
        <v>43.030177309109042</v>
      </c>
      <c r="BB213" s="4">
        <v>44.520381471062606</v>
      </c>
      <c r="BC213" s="4">
        <v>46.465050858235607</v>
      </c>
      <c r="BD213" s="4">
        <v>49.216271283766375</v>
      </c>
      <c r="BE213" s="4">
        <v>50</v>
      </c>
    </row>
    <row r="214" spans="29:57" x14ac:dyDescent="0.15">
      <c r="AC214" s="4">
        <f>[1]节奏总纲!AC214</f>
        <v>211</v>
      </c>
      <c r="AD214" s="4">
        <f>[1]节奏总纲!AD214</f>
        <v>77.272265912925377</v>
      </c>
      <c r="AE214" s="4">
        <f>[1]节奏总纲!AE214</f>
        <v>79.327943344771512</v>
      </c>
      <c r="AF214" s="4">
        <f>[1]节奏总纲!AF214</f>
        <v>82.304561364481813</v>
      </c>
      <c r="AG214" s="4">
        <f>[1]节奏总纲!AG214</f>
        <v>86.880102094712413</v>
      </c>
      <c r="AH214" s="4">
        <f>[1]节奏总纲!AH214</f>
        <v>96.251753075503458</v>
      </c>
      <c r="AZ214" s="4">
        <v>211</v>
      </c>
      <c r="BA214" s="4">
        <v>43.060134675856759</v>
      </c>
      <c r="BB214" s="4">
        <v>44.55270077894248</v>
      </c>
      <c r="BC214" s="4">
        <v>46.497157596266817</v>
      </c>
      <c r="BD214" s="4">
        <v>49.247260952261179</v>
      </c>
      <c r="BE214" s="4">
        <v>50</v>
      </c>
    </row>
    <row r="215" spans="29:57" x14ac:dyDescent="0.15">
      <c r="AC215" s="4">
        <f>[1]节奏总纲!AC215</f>
        <v>212</v>
      </c>
      <c r="AD215" s="4">
        <f>[1]节奏总纲!AD215</f>
        <v>77.339270592575559</v>
      </c>
      <c r="AE215" s="4">
        <f>[1]节奏总纲!AE215</f>
        <v>79.394582576821932</v>
      </c>
      <c r="AF215" s="4">
        <f>[1]节奏总纲!AF215</f>
        <v>82.370449876281796</v>
      </c>
      <c r="AG215" s="4">
        <f>[1]节奏总纲!AG215</f>
        <v>86.955936857250023</v>
      </c>
      <c r="AH215" s="4">
        <f>[1]节奏总纲!AH215</f>
        <v>96.312563185428829</v>
      </c>
      <c r="AZ215" s="4">
        <v>212</v>
      </c>
      <c r="BA215" s="4">
        <v>43.090092042604475</v>
      </c>
      <c r="BB215" s="4">
        <v>44.585020086822361</v>
      </c>
      <c r="BC215" s="4">
        <v>46.529264334298034</v>
      </c>
      <c r="BD215" s="4">
        <v>49.278250620755983</v>
      </c>
      <c r="BE215" s="4">
        <v>50</v>
      </c>
    </row>
    <row r="216" spans="29:57" x14ac:dyDescent="0.15">
      <c r="AC216" s="4">
        <f>[1]节奏总纲!AC216</f>
        <v>213</v>
      </c>
      <c r="AD216" s="4">
        <f>[1]节奏总纲!AD216</f>
        <v>77.406275272225741</v>
      </c>
      <c r="AE216" s="4">
        <f>[1]节奏总纲!AE216</f>
        <v>79.461221808872352</v>
      </c>
      <c r="AF216" s="4">
        <f>[1]节奏总纲!AF216</f>
        <v>82.436338388081793</v>
      </c>
      <c r="AG216" s="4">
        <f>[1]节奏总纲!AG216</f>
        <v>87.031203567981635</v>
      </c>
      <c r="AH216" s="4">
        <f>[1]节奏总纲!AH216</f>
        <v>96.373373295354199</v>
      </c>
      <c r="AZ216" s="4">
        <v>213</v>
      </c>
      <c r="BA216" s="4">
        <v>43.120049409352191</v>
      </c>
      <c r="BB216" s="4">
        <v>44.617339394702242</v>
      </c>
      <c r="BC216" s="4">
        <v>46.561371072329244</v>
      </c>
      <c r="BD216" s="4">
        <v>49.309240289250788</v>
      </c>
      <c r="BE216" s="4">
        <v>50</v>
      </c>
    </row>
    <row r="217" spans="29:57" x14ac:dyDescent="0.15">
      <c r="AC217" s="4">
        <f>[1]节奏总纲!AC217</f>
        <v>214</v>
      </c>
      <c r="AD217" s="4">
        <f>[1]节奏总纲!AD217</f>
        <v>77.473279951875909</v>
      </c>
      <c r="AE217" s="4">
        <f>[1]节奏总纲!AE217</f>
        <v>79.527861040922772</v>
      </c>
      <c r="AF217" s="4">
        <f>[1]节奏总纲!AF217</f>
        <v>82.502226899881776</v>
      </c>
      <c r="AG217" s="4">
        <f>[1]节奏总纲!AG217</f>
        <v>87.10568246405397</v>
      </c>
      <c r="AH217" s="4">
        <f>[1]节奏总纲!AH217</f>
        <v>96.434183405279569</v>
      </c>
      <c r="AZ217" s="4">
        <v>214</v>
      </c>
      <c r="BA217" s="4">
        <v>43.150006776099914</v>
      </c>
      <c r="BB217" s="4">
        <v>44.649658702582116</v>
      </c>
      <c r="BC217" s="4">
        <v>46.593477810360454</v>
      </c>
      <c r="BD217" s="4">
        <v>49.340229957745592</v>
      </c>
      <c r="BE217" s="4">
        <v>50</v>
      </c>
    </row>
    <row r="218" spans="29:57" x14ac:dyDescent="0.15">
      <c r="AC218" s="4">
        <f>[1]节奏总纲!AC218</f>
        <v>215</v>
      </c>
      <c r="AD218" s="4">
        <f>[1]节奏总纲!AD218</f>
        <v>77.540284631526092</v>
      </c>
      <c r="AE218" s="4">
        <f>[1]节奏总纲!AE218</f>
        <v>79.594500272973193</v>
      </c>
      <c r="AF218" s="4">
        <f>[1]节奏总纲!AF218</f>
        <v>82.568115411681774</v>
      </c>
      <c r="AG218" s="4">
        <f>[1]节奏总纲!AG218</f>
        <v>87.180161360126306</v>
      </c>
      <c r="AH218" s="4">
        <f>[1]节奏总纲!AH218</f>
        <v>96.494993515204939</v>
      </c>
      <c r="AZ218" s="4">
        <v>215</v>
      </c>
      <c r="BA218" s="4">
        <v>43.179964142847631</v>
      </c>
      <c r="BB218" s="4">
        <v>44.681978010461997</v>
      </c>
      <c r="BC218" s="4">
        <v>46.625584548391664</v>
      </c>
      <c r="BD218" s="4">
        <v>49.371219626240396</v>
      </c>
      <c r="BE218" s="4">
        <v>50</v>
      </c>
    </row>
    <row r="219" spans="29:57" x14ac:dyDescent="0.15">
      <c r="AC219" s="4">
        <f>[1]节奏总纲!AC219</f>
        <v>216</v>
      </c>
      <c r="AD219" s="4">
        <f>[1]节奏总纲!AD219</f>
        <v>77.607289311176274</v>
      </c>
      <c r="AE219" s="4">
        <f>[1]节奏总纲!AE219</f>
        <v>79.661139505023613</v>
      </c>
      <c r="AF219" s="4">
        <f>[1]节奏总纲!AF219</f>
        <v>82.634003923481771</v>
      </c>
      <c r="AG219" s="4">
        <f>[1]节奏总纲!AG219</f>
        <v>87.254640256198641</v>
      </c>
      <c r="AH219" s="4">
        <f>[1]节奏总纲!AH219</f>
        <v>96.555803625130309</v>
      </c>
      <c r="AZ219" s="4">
        <v>216</v>
      </c>
      <c r="BA219" s="4">
        <v>43.209921509595347</v>
      </c>
      <c r="BB219" s="4">
        <v>44.71429731834187</v>
      </c>
      <c r="BC219" s="4">
        <v>46.657691286422882</v>
      </c>
      <c r="BD219" s="4">
        <v>49.402209294735208</v>
      </c>
      <c r="BE219" s="4">
        <v>50</v>
      </c>
    </row>
    <row r="220" spans="29:57" x14ac:dyDescent="0.15">
      <c r="AC220" s="4">
        <f>[1]节奏总纲!AC220</f>
        <v>217</v>
      </c>
      <c r="AD220" s="4">
        <f>[1]节奏总纲!AD220</f>
        <v>77.674293990826456</v>
      </c>
      <c r="AE220" s="4">
        <f>[1]节奏总纲!AE220</f>
        <v>79.727778737074033</v>
      </c>
      <c r="AF220" s="4">
        <f>[1]节奏总纲!AF220</f>
        <v>82.699892435281754</v>
      </c>
      <c r="AG220" s="4">
        <f>[1]节奏总纲!AG220</f>
        <v>87.329119152270991</v>
      </c>
      <c r="AH220" s="4">
        <f>[1]节奏总纲!AH220</f>
        <v>96.61661373505568</v>
      </c>
      <c r="AZ220" s="4">
        <v>217</v>
      </c>
      <c r="BA220" s="4">
        <v>43.239878876343063</v>
      </c>
      <c r="BB220" s="4">
        <v>44.746616626221751</v>
      </c>
      <c r="BC220" s="4">
        <v>46.689798024454092</v>
      </c>
      <c r="BD220" s="4">
        <v>49.433198963230012</v>
      </c>
      <c r="BE220" s="4">
        <v>50</v>
      </c>
    </row>
    <row r="221" spans="29:57" x14ac:dyDescent="0.15">
      <c r="AC221" s="4">
        <f>[1]节奏总纲!AC221</f>
        <v>218</v>
      </c>
      <c r="AD221" s="4">
        <f>[1]节奏总纲!AD221</f>
        <v>77.741298670476638</v>
      </c>
      <c r="AE221" s="4">
        <f>[1]节奏总纲!AE221</f>
        <v>79.794417969124453</v>
      </c>
      <c r="AF221" s="4">
        <f>[1]节奏总纲!AF221</f>
        <v>82.765780947081751</v>
      </c>
      <c r="AG221" s="4">
        <f>[1]节奏总纲!AG221</f>
        <v>87.403598048343326</v>
      </c>
      <c r="AH221" s="4">
        <f>[1]节奏总纲!AH221</f>
        <v>96.67742384498105</v>
      </c>
      <c r="AZ221" s="4">
        <v>218</v>
      </c>
      <c r="BA221" s="4">
        <v>43.269836243090786</v>
      </c>
      <c r="BB221" s="4">
        <v>44.778935934101632</v>
      </c>
      <c r="BC221" s="4">
        <v>46.721904762485302</v>
      </c>
      <c r="BD221" s="4">
        <v>49.464188631724817</v>
      </c>
      <c r="BE221" s="4">
        <v>50</v>
      </c>
    </row>
    <row r="222" spans="29:57" x14ac:dyDescent="0.15">
      <c r="AC222" s="4">
        <f>[1]节奏总纲!AC222</f>
        <v>219</v>
      </c>
      <c r="AD222" s="4">
        <f>[1]节奏总纲!AD222</f>
        <v>77.80830335012682</v>
      </c>
      <c r="AE222" s="4">
        <f>[1]节奏总纲!AE222</f>
        <v>79.861057201174873</v>
      </c>
      <c r="AF222" s="4">
        <f>[1]节奏总纲!AF222</f>
        <v>82.831669458881734</v>
      </c>
      <c r="AG222" s="4">
        <f>[1]节奏总纲!AG222</f>
        <v>87.478076944415662</v>
      </c>
      <c r="AH222" s="4">
        <f>[1]节奏总纲!AH222</f>
        <v>96.73823395490642</v>
      </c>
      <c r="AZ222" s="4">
        <v>219</v>
      </c>
      <c r="BA222" s="4">
        <v>43.299793609838503</v>
      </c>
      <c r="BB222" s="4">
        <v>44.811255241981506</v>
      </c>
      <c r="BC222" s="4">
        <v>46.754011500516519</v>
      </c>
      <c r="BD222" s="4">
        <v>49.495178300219621</v>
      </c>
      <c r="BE222" s="4">
        <v>50</v>
      </c>
    </row>
    <row r="223" spans="29:57" x14ac:dyDescent="0.15">
      <c r="AC223" s="4">
        <f>[1]节奏总纲!AC223</f>
        <v>220</v>
      </c>
      <c r="AD223" s="4">
        <f>[1]节奏总纲!AD223</f>
        <v>77.875308029777003</v>
      </c>
      <c r="AE223" s="4">
        <f>[1]节奏总纲!AE223</f>
        <v>79.927696433225293</v>
      </c>
      <c r="AF223" s="4">
        <f>[1]节奏总纲!AF223</f>
        <v>82.897557970681731</v>
      </c>
      <c r="AG223" s="4">
        <f>[1]节奏总纲!AG223</f>
        <v>87.552555840488012</v>
      </c>
      <c r="AH223" s="4">
        <f>[1]节奏总纲!AH223</f>
        <v>96.79904406483179</v>
      </c>
      <c r="AZ223" s="4">
        <v>220</v>
      </c>
      <c r="BA223" s="4">
        <v>43.329750976586219</v>
      </c>
      <c r="BB223" s="4">
        <v>44.843574549861387</v>
      </c>
      <c r="BC223" s="4">
        <v>46.786118238547729</v>
      </c>
      <c r="BD223" s="4">
        <v>49.526167968714425</v>
      </c>
      <c r="BE223" s="4">
        <v>50</v>
      </c>
    </row>
    <row r="224" spans="29:57" x14ac:dyDescent="0.15">
      <c r="AC224" s="4">
        <f>[1]节奏总纲!AC224</f>
        <v>221</v>
      </c>
      <c r="AD224" s="4">
        <f>[1]节奏总纲!AD224</f>
        <v>77.942312709427185</v>
      </c>
      <c r="AE224" s="4">
        <f>[1]节奏总纲!AE224</f>
        <v>79.994335665275713</v>
      </c>
      <c r="AF224" s="4">
        <f>[1]节奏总纲!AF224</f>
        <v>82.963446482481729</v>
      </c>
      <c r="AG224" s="4">
        <f>[1]节奏总纲!AG224</f>
        <v>87.627034736560347</v>
      </c>
      <c r="AH224" s="4">
        <f>[1]节奏总纲!AH224</f>
        <v>96.85985417475716</v>
      </c>
      <c r="AZ224" s="4">
        <v>221</v>
      </c>
      <c r="BA224" s="4">
        <v>43.359708343333942</v>
      </c>
      <c r="BB224" s="4">
        <v>44.875893857741268</v>
      </c>
      <c r="BC224" s="4">
        <v>46.818224976578939</v>
      </c>
      <c r="BD224" s="4">
        <v>49.55715763720923</v>
      </c>
      <c r="BE224" s="4">
        <v>50</v>
      </c>
    </row>
    <row r="225" spans="29:57" x14ac:dyDescent="0.15">
      <c r="AC225" s="4">
        <f>[1]节奏总纲!AC225</f>
        <v>222</v>
      </c>
      <c r="AD225" s="4">
        <f>[1]节奏总纲!AD225</f>
        <v>78.008693431404168</v>
      </c>
      <c r="AE225" s="4">
        <f>[1]节奏总纲!AE225</f>
        <v>80.05990507131493</v>
      </c>
      <c r="AF225" s="4">
        <f>[1]节奏总纲!AF225</f>
        <v>83.028328094754301</v>
      </c>
      <c r="AG225" s="4">
        <f>[1]节奏总纲!AG225</f>
        <v>87.701513632632683</v>
      </c>
      <c r="AH225" s="4">
        <f>[1]节奏总纲!AH225</f>
        <v>96.920664284682516</v>
      </c>
      <c r="AZ225" s="4">
        <v>222</v>
      </c>
      <c r="BA225" s="4">
        <v>43.389665710081658</v>
      </c>
      <c r="BB225" s="4">
        <v>44.908213165621142</v>
      </c>
      <c r="BC225" s="4">
        <v>46.850331714610157</v>
      </c>
      <c r="BD225" s="4">
        <v>49.588147305704041</v>
      </c>
      <c r="BE225" s="4">
        <v>50</v>
      </c>
    </row>
    <row r="226" spans="29:57" x14ac:dyDescent="0.15">
      <c r="AC226" s="4">
        <f>[1]节奏总纲!AC226</f>
        <v>223</v>
      </c>
      <c r="AD226" s="4">
        <f>[1]节奏总纲!AD226</f>
        <v>78.071211008105138</v>
      </c>
      <c r="AE226" s="4">
        <f>[1]节奏总纲!AE226</f>
        <v>80.125375094609936</v>
      </c>
      <c r="AF226" s="4">
        <f>[1]节奏总纲!AF226</f>
        <v>83.091955037632331</v>
      </c>
      <c r="AG226" s="4">
        <f>[1]节奏总纲!AG226</f>
        <v>87.775992528705018</v>
      </c>
      <c r="AH226" s="4">
        <f>[1]节奏总纲!AH226</f>
        <v>96.981474394607886</v>
      </c>
      <c r="AZ226" s="4">
        <v>223</v>
      </c>
      <c r="BA226" s="4">
        <v>43.419623076829374</v>
      </c>
      <c r="BB226" s="4">
        <v>44.940532473501023</v>
      </c>
      <c r="BC226" s="4">
        <v>46.882438452641367</v>
      </c>
      <c r="BD226" s="4">
        <v>49.619136974198845</v>
      </c>
      <c r="BE226" s="4">
        <v>50</v>
      </c>
    </row>
    <row r="227" spans="29:57" x14ac:dyDescent="0.15">
      <c r="AC227" s="4">
        <f>[1]节奏总纲!AC227</f>
        <v>224</v>
      </c>
      <c r="AD227" s="4">
        <f>[1]节奏总纲!AD227</f>
        <v>78.133728584806107</v>
      </c>
      <c r="AE227" s="4">
        <f>[1]节奏总纲!AE227</f>
        <v>80.190845117904942</v>
      </c>
      <c r="AF227" s="4">
        <f>[1]节奏总纲!AF227</f>
        <v>83.155581980510348</v>
      </c>
      <c r="AG227" s="4">
        <f>[1]节奏总纲!AG227</f>
        <v>87.850471424777368</v>
      </c>
      <c r="AH227" s="4">
        <f>[1]节奏总纲!AH227</f>
        <v>97.03979962522213</v>
      </c>
      <c r="AZ227" s="4">
        <v>224</v>
      </c>
      <c r="BA227" s="4">
        <v>43.449580443577091</v>
      </c>
      <c r="BB227" s="4">
        <v>44.972851781380903</v>
      </c>
      <c r="BC227" s="4">
        <v>46.914545190672577</v>
      </c>
      <c r="BD227" s="4">
        <v>49.65012664269365</v>
      </c>
      <c r="BE227" s="4">
        <v>50</v>
      </c>
    </row>
    <row r="228" spans="29:57" x14ac:dyDescent="0.15">
      <c r="AC228" s="4">
        <f>[1]节奏总纲!AC228</f>
        <v>225</v>
      </c>
      <c r="AD228" s="4">
        <f>[1]节奏总纲!AD228</f>
        <v>78.196246161507091</v>
      </c>
      <c r="AE228" s="4">
        <f>[1]节奏总纲!AE228</f>
        <v>80.256315141199948</v>
      </c>
      <c r="AF228" s="4">
        <f>[1]节奏总纲!AF228</f>
        <v>83.219208923388379</v>
      </c>
      <c r="AG228" s="4">
        <f>[1]节奏总纲!AG228</f>
        <v>87.924950320849703</v>
      </c>
      <c r="AH228" s="4">
        <f>[1]节奏总纲!AH228</f>
        <v>97.097036185315744</v>
      </c>
      <c r="AZ228" s="4">
        <v>225</v>
      </c>
      <c r="BA228" s="4">
        <v>43.479537810324814</v>
      </c>
      <c r="BB228" s="4">
        <v>45.004463376644416</v>
      </c>
      <c r="BC228" s="4">
        <v>46.946651928703794</v>
      </c>
      <c r="BD228" s="4">
        <v>49.681116311188454</v>
      </c>
      <c r="BE228" s="4">
        <v>50</v>
      </c>
    </row>
    <row r="229" spans="29:57" x14ac:dyDescent="0.15">
      <c r="AC229" s="4">
        <f>[1]节奏总纲!AC229</f>
        <v>226</v>
      </c>
      <c r="AD229" s="4">
        <f>[1]节奏总纲!AD229</f>
        <v>78.25876373820806</v>
      </c>
      <c r="AE229" s="4">
        <f>[1]节奏总纲!AE229</f>
        <v>80.321785164494941</v>
      </c>
      <c r="AF229" s="4">
        <f>[1]节奏总纲!AF229</f>
        <v>83.282835866266396</v>
      </c>
      <c r="AG229" s="4">
        <f>[1]节奏总纲!AG229</f>
        <v>87.999429216922039</v>
      </c>
      <c r="AH229" s="4">
        <f>[1]节奏总纲!AH229</f>
        <v>97.154272745409358</v>
      </c>
      <c r="AZ229" s="4">
        <v>226</v>
      </c>
      <c r="BA229" s="4">
        <v>43.50949517707253</v>
      </c>
      <c r="BB229" s="4">
        <v>45.032359480672049</v>
      </c>
      <c r="BC229" s="4">
        <v>46.978758666735004</v>
      </c>
      <c r="BD229" s="4">
        <v>49.712105979683258</v>
      </c>
      <c r="BE229" s="4">
        <v>50</v>
      </c>
    </row>
    <row r="230" spans="29:57" x14ac:dyDescent="0.15">
      <c r="AC230" s="4">
        <f>[1]节奏总纲!AC230</f>
        <v>227</v>
      </c>
      <c r="AD230" s="4">
        <f>[1]节奏总纲!AD230</f>
        <v>78.321281314909029</v>
      </c>
      <c r="AE230" s="4">
        <f>[1]节奏总纲!AE230</f>
        <v>80.387255187789947</v>
      </c>
      <c r="AF230" s="4">
        <f>[1]节奏总纲!AF230</f>
        <v>83.346462809144427</v>
      </c>
      <c r="AG230" s="4">
        <f>[1]节奏总纲!AG230</f>
        <v>88.069378113045531</v>
      </c>
      <c r="AH230" s="4">
        <f>[1]节奏总纲!AH230</f>
        <v>97.211509305502972</v>
      </c>
      <c r="AZ230" s="4">
        <v>227</v>
      </c>
      <c r="BA230" s="4">
        <v>43.539452543820246</v>
      </c>
      <c r="BB230" s="4">
        <v>45.060255584699682</v>
      </c>
      <c r="BC230" s="4">
        <v>47.009379755645142</v>
      </c>
      <c r="BD230" s="4">
        <v>49.743095648178063</v>
      </c>
      <c r="BE230" s="4">
        <v>50</v>
      </c>
    </row>
    <row r="231" spans="29:57" x14ac:dyDescent="0.15">
      <c r="AC231" s="4">
        <f>[1]节奏总纲!AC231</f>
        <v>228</v>
      </c>
      <c r="AD231" s="4">
        <f>[1]节奏总纲!AD231</f>
        <v>78.383798891610013</v>
      </c>
      <c r="AE231" s="4">
        <f>[1]节奏总纲!AE231</f>
        <v>80.452725211084953</v>
      </c>
      <c r="AF231" s="4">
        <f>[1]节奏总纲!AF231</f>
        <v>83.410089752022458</v>
      </c>
      <c r="AG231" s="4">
        <f>[1]节奏总纲!AG231</f>
        <v>88.139292024548126</v>
      </c>
      <c r="AH231" s="4">
        <f>[1]节奏总纲!AH231</f>
        <v>97.268745865596571</v>
      </c>
      <c r="AZ231" s="4">
        <v>228</v>
      </c>
      <c r="BA231" s="4">
        <v>43.569409910567963</v>
      </c>
      <c r="BB231" s="4">
        <v>45.088151688727308</v>
      </c>
      <c r="BC231" s="4">
        <v>47.037096473409001</v>
      </c>
      <c r="BD231" s="4">
        <v>49.774085316672867</v>
      </c>
      <c r="BE231" s="4">
        <v>50</v>
      </c>
    </row>
    <row r="232" spans="29:57" x14ac:dyDescent="0.15">
      <c r="AC232" s="4">
        <f>[1]节奏总纲!AC232</f>
        <v>229</v>
      </c>
      <c r="AD232" s="4">
        <f>[1]节奏总纲!AD232</f>
        <v>78.446316468310982</v>
      </c>
      <c r="AE232" s="4">
        <f>[1]节奏总纲!AE232</f>
        <v>80.518195234379959</v>
      </c>
      <c r="AF232" s="4">
        <f>[1]节奏总纲!AF232</f>
        <v>83.473716694900475</v>
      </c>
      <c r="AG232" s="4">
        <f>[1]节奏总纲!AG232</f>
        <v>88.209205936050708</v>
      </c>
      <c r="AH232" s="4">
        <f>[1]节奏总纲!AH232</f>
        <v>97.325982425690185</v>
      </c>
      <c r="AZ232" s="4">
        <v>229</v>
      </c>
      <c r="BA232" s="4">
        <v>43.599367277315686</v>
      </c>
      <c r="BB232" s="4">
        <v>45.116047792754941</v>
      </c>
      <c r="BC232" s="4">
        <v>47.06481319117286</v>
      </c>
      <c r="BD232" s="4">
        <v>49.805074985167678</v>
      </c>
      <c r="BE232" s="4">
        <v>50</v>
      </c>
    </row>
    <row r="233" spans="29:57" x14ac:dyDescent="0.15">
      <c r="AC233" s="4">
        <f>[1]节奏总纲!AC233</f>
        <v>230</v>
      </c>
      <c r="AD233" s="4">
        <f>[1]节奏总纲!AD233</f>
        <v>78.508834045011952</v>
      </c>
      <c r="AE233" s="4">
        <f>[1]节奏总纲!AE233</f>
        <v>80.583665257674966</v>
      </c>
      <c r="AF233" s="4">
        <f>[1]节奏总纲!AF233</f>
        <v>83.537343637778505</v>
      </c>
      <c r="AG233" s="4">
        <f>[1]节奏总纲!AG233</f>
        <v>88.279119847553304</v>
      </c>
      <c r="AH233" s="4">
        <f>[1]节奏总纲!AH233</f>
        <v>97.383218985783799</v>
      </c>
      <c r="AZ233" s="4">
        <v>230</v>
      </c>
      <c r="BA233" s="4">
        <v>43.629324644063402</v>
      </c>
      <c r="BB233" s="4">
        <v>45.143943896782567</v>
      </c>
      <c r="BC233" s="4">
        <v>47.092529908936719</v>
      </c>
      <c r="BD233" s="4">
        <v>49.836064653662483</v>
      </c>
      <c r="BE233" s="4">
        <v>50</v>
      </c>
    </row>
    <row r="234" spans="29:57" x14ac:dyDescent="0.15">
      <c r="AC234" s="4">
        <f>[1]节奏总纲!AC234</f>
        <v>231</v>
      </c>
      <c r="AD234" s="4">
        <f>[1]节奏总纲!AD234</f>
        <v>78.571351621712921</v>
      </c>
      <c r="AE234" s="4">
        <f>[1]节奏总纲!AE234</f>
        <v>80.649135280969972</v>
      </c>
      <c r="AF234" s="4">
        <f>[1]节奏总纲!AF234</f>
        <v>83.600970580656536</v>
      </c>
      <c r="AG234" s="4">
        <f>[1]节奏总纲!AG234</f>
        <v>88.349033759055899</v>
      </c>
      <c r="AH234" s="4">
        <f>[1]节奏总纲!AH234</f>
        <v>97.440455545877413</v>
      </c>
      <c r="AZ234" s="4">
        <v>231</v>
      </c>
      <c r="BA234" s="4">
        <v>43.659282010811118</v>
      </c>
      <c r="BB234" s="4">
        <v>45.171840000810199</v>
      </c>
      <c r="BC234" s="4">
        <v>47.120246626700578</v>
      </c>
      <c r="BD234" s="4">
        <v>49.867054322157287</v>
      </c>
      <c r="BE234" s="4">
        <v>50</v>
      </c>
    </row>
    <row r="235" spans="29:57" x14ac:dyDescent="0.15">
      <c r="AC235" s="4">
        <f>[1]节奏总纲!AC235</f>
        <v>232</v>
      </c>
      <c r="AD235" s="4">
        <f>[1]节奏总纲!AD235</f>
        <v>78.633869198413905</v>
      </c>
      <c r="AE235" s="4">
        <f>[1]节奏总纲!AE235</f>
        <v>80.714605304264978</v>
      </c>
      <c r="AF235" s="4">
        <f>[1]节奏总纲!AF235</f>
        <v>83.664597523534553</v>
      </c>
      <c r="AG235" s="4">
        <f>[1]节奏总纲!AG235</f>
        <v>88.418947670558495</v>
      </c>
      <c r="AH235" s="4">
        <f>[1]节奏总纲!AH235</f>
        <v>97.497692105971026</v>
      </c>
      <c r="AZ235" s="4">
        <v>232</v>
      </c>
      <c r="BA235" s="4">
        <v>43.689239377558835</v>
      </c>
      <c r="BB235" s="4">
        <v>45.199736104837825</v>
      </c>
      <c r="BC235" s="4">
        <v>47.147963344464429</v>
      </c>
      <c r="BD235" s="4">
        <v>49.898043990652091</v>
      </c>
      <c r="BE235" s="4">
        <v>50</v>
      </c>
    </row>
    <row r="236" spans="29:57" x14ac:dyDescent="0.15">
      <c r="AC236" s="4">
        <f>[1]节奏总纲!AC236</f>
        <v>233</v>
      </c>
      <c r="AD236" s="4">
        <f>[1]节奏总纲!AD236</f>
        <v>78.696386775114874</v>
      </c>
      <c r="AE236" s="4">
        <f>[1]节奏总纲!AE236</f>
        <v>80.78007532755997</v>
      </c>
      <c r="AF236" s="4">
        <f>[1]节奏总纲!AF236</f>
        <v>83.728224466412584</v>
      </c>
      <c r="AG236" s="4">
        <f>[1]节奏总纲!AG236</f>
        <v>88.488861582061077</v>
      </c>
      <c r="AH236" s="4">
        <f>[1]节奏总纲!AH236</f>
        <v>97.554928666064626</v>
      </c>
      <c r="AZ236" s="4">
        <v>233</v>
      </c>
      <c r="BA236" s="4">
        <v>43.719196744306558</v>
      </c>
      <c r="BB236" s="4">
        <v>45.227632208865458</v>
      </c>
      <c r="BC236" s="4">
        <v>47.175680062228288</v>
      </c>
      <c r="BD236" s="4">
        <v>49.929033659146896</v>
      </c>
      <c r="BE236" s="4">
        <v>50</v>
      </c>
    </row>
    <row r="237" spans="29:57" x14ac:dyDescent="0.15">
      <c r="AC237" s="4">
        <f>[1]节奏总纲!AC237</f>
        <v>234</v>
      </c>
      <c r="AD237" s="4">
        <f>[1]节奏总纲!AD237</f>
        <v>78.758904351815843</v>
      </c>
      <c r="AE237" s="4">
        <f>[1]节奏总纲!AE237</f>
        <v>80.845545350854977</v>
      </c>
      <c r="AF237" s="4">
        <f>[1]节奏总纲!AF237</f>
        <v>83.791851409290615</v>
      </c>
      <c r="AG237" s="4">
        <f>[1]节奏总纲!AG237</f>
        <v>88.558775493563672</v>
      </c>
      <c r="AH237" s="4">
        <f>[1]节奏总纲!AH237</f>
        <v>97.61216522615824</v>
      </c>
      <c r="AZ237" s="4">
        <v>234</v>
      </c>
      <c r="BA237" s="4">
        <v>43.749154111054274</v>
      </c>
      <c r="BB237" s="4">
        <v>45.255528312893091</v>
      </c>
      <c r="BC237" s="4">
        <v>47.203396779992147</v>
      </c>
      <c r="BD237" s="4">
        <v>49.9600233276417</v>
      </c>
      <c r="BE237" s="4">
        <v>50</v>
      </c>
    </row>
    <row r="238" spans="29:57" x14ac:dyDescent="0.15">
      <c r="AC238" s="4">
        <f>[1]节奏总纲!AC238</f>
        <v>235</v>
      </c>
      <c r="AD238" s="4">
        <f>[1]节奏总纲!AD238</f>
        <v>78.821421928516827</v>
      </c>
      <c r="AE238" s="4">
        <f>[1]节奏总纲!AE238</f>
        <v>80.911015374149983</v>
      </c>
      <c r="AF238" s="4">
        <f>[1]节奏总纲!AF238</f>
        <v>83.855478352168632</v>
      </c>
      <c r="AG238" s="4">
        <f>[1]节奏总纲!AG238</f>
        <v>88.628689405066268</v>
      </c>
      <c r="AH238" s="4">
        <f>[1]节奏总纲!AH238</f>
        <v>97.669401786251854</v>
      </c>
      <c r="AZ238" s="4">
        <v>235</v>
      </c>
      <c r="BA238" s="4">
        <v>43.77911147780199</v>
      </c>
      <c r="BB238" s="4">
        <v>45.283424416920717</v>
      </c>
      <c r="BC238" s="4">
        <v>47.231113497756006</v>
      </c>
      <c r="BD238" s="4">
        <v>49.991012996136504</v>
      </c>
      <c r="BE238" s="4">
        <v>50</v>
      </c>
    </row>
    <row r="239" spans="29:57" x14ac:dyDescent="0.15">
      <c r="AC239" s="4">
        <f>[1]节奏总纲!AC239</f>
        <v>236</v>
      </c>
      <c r="AD239" s="4">
        <f>[1]节奏总纲!AD239</f>
        <v>78.883939505217796</v>
      </c>
      <c r="AE239" s="4">
        <f>[1]节奏总纲!AE239</f>
        <v>80.976485397444989</v>
      </c>
      <c r="AF239" s="4">
        <f>[1]节奏总纲!AF239</f>
        <v>83.919105295046663</v>
      </c>
      <c r="AG239" s="4">
        <f>[1]节奏总纲!AG239</f>
        <v>88.698603316568864</v>
      </c>
      <c r="AH239" s="4">
        <f>[1]节奏总纲!AH239</f>
        <v>97.726638346345467</v>
      </c>
      <c r="AZ239" s="4">
        <v>236</v>
      </c>
      <c r="BA239" s="4">
        <v>43.809068844549707</v>
      </c>
      <c r="BB239" s="4">
        <v>45.31132052094835</v>
      </c>
      <c r="BC239" s="4">
        <v>47.258830215519865</v>
      </c>
      <c r="BD239" s="4">
        <v>50</v>
      </c>
      <c r="BE239" s="4">
        <v>50</v>
      </c>
    </row>
    <row r="240" spans="29:57" x14ac:dyDescent="0.15">
      <c r="AC240" s="4">
        <f>[1]节奏总纲!AC240</f>
        <v>237</v>
      </c>
      <c r="AD240" s="4">
        <f>[1]节奏总纲!AD240</f>
        <v>78.946457081918766</v>
      </c>
      <c r="AE240" s="4">
        <f>[1]节奏总纲!AE240</f>
        <v>81.038163244467697</v>
      </c>
      <c r="AF240" s="4">
        <f>[1]节奏总纲!AF240</f>
        <v>83.982732237924694</v>
      </c>
      <c r="AG240" s="4">
        <f>[1]节奏总纲!AG240</f>
        <v>88.768517228071445</v>
      </c>
      <c r="AH240" s="4">
        <f>[1]节奏总纲!AH240</f>
        <v>97.783874906439081</v>
      </c>
      <c r="AZ240" s="4">
        <v>237</v>
      </c>
      <c r="BA240" s="4">
        <v>43.83902621129743</v>
      </c>
      <c r="BB240" s="4">
        <v>45.339216624975975</v>
      </c>
      <c r="BC240" s="4">
        <v>47.286546933283724</v>
      </c>
      <c r="BD240" s="4">
        <v>50</v>
      </c>
      <c r="BE240" s="4">
        <v>50</v>
      </c>
    </row>
    <row r="241" spans="29:57" x14ac:dyDescent="0.15">
      <c r="AC241" s="4">
        <f>[1]节奏总纲!AC241</f>
        <v>238</v>
      </c>
      <c r="AD241" s="4">
        <f>[1]节奏总纲!AD241</f>
        <v>79.008373652580005</v>
      </c>
      <c r="AE241" s="4">
        <f>[1]节奏总纲!AE241</f>
        <v>81.097715704203424</v>
      </c>
      <c r="AF241" s="4">
        <f>[1]节奏总纲!AF241</f>
        <v>84.043767921022209</v>
      </c>
      <c r="AG241" s="4">
        <f>[1]节奏总纲!AG241</f>
        <v>88.838431139574041</v>
      </c>
      <c r="AH241" s="4">
        <f>[1]节奏总纲!AH241</f>
        <v>97.841111466532681</v>
      </c>
      <c r="AZ241" s="4">
        <v>238</v>
      </c>
      <c r="BA241" s="4">
        <v>43.868983578045146</v>
      </c>
      <c r="BB241" s="4">
        <v>45.367112729003608</v>
      </c>
      <c r="BC241" s="4">
        <v>47.314263651047582</v>
      </c>
      <c r="BD241" s="4">
        <v>50</v>
      </c>
      <c r="BE241" s="4">
        <v>50</v>
      </c>
    </row>
    <row r="242" spans="29:57" x14ac:dyDescent="0.15">
      <c r="AC242" s="4">
        <f>[1]节奏总纲!AC242</f>
        <v>239</v>
      </c>
      <c r="AD242" s="4">
        <f>[1]节奏总纲!AD242</f>
        <v>79.066704614192943</v>
      </c>
      <c r="AE242" s="4">
        <f>[1]节奏总纲!AE242</f>
        <v>81.157268163939136</v>
      </c>
      <c r="AF242" s="4">
        <f>[1]节奏总纲!AF242</f>
        <v>84.103838417578672</v>
      </c>
      <c r="AG242" s="4">
        <f>[1]节奏总纲!AG242</f>
        <v>88.908345051076637</v>
      </c>
      <c r="AH242" s="4">
        <f>[1]节奏总纲!AH242</f>
        <v>97.898348026626294</v>
      </c>
      <c r="AZ242" s="4">
        <v>239</v>
      </c>
      <c r="BA242" s="4">
        <v>43.898940944792862</v>
      </c>
      <c r="BB242" s="4">
        <v>45.395008833031234</v>
      </c>
      <c r="BC242" s="4">
        <v>47.341980368811441</v>
      </c>
      <c r="BD242" s="4">
        <v>50</v>
      </c>
      <c r="BE242" s="4">
        <v>50</v>
      </c>
    </row>
    <row r="243" spans="29:57" x14ac:dyDescent="0.15">
      <c r="AC243" s="4">
        <f>[1]节奏总纲!AC243</f>
        <v>240</v>
      </c>
      <c r="AD243" s="4">
        <f>[1]节奏总纲!AD243</f>
        <v>79.125035575805882</v>
      </c>
      <c r="AE243" s="4">
        <f>[1]节奏总纲!AE243</f>
        <v>81.216820623674849</v>
      </c>
      <c r="AF243" s="4">
        <f>[1]节奏总纲!AF243</f>
        <v>84.163908914135135</v>
      </c>
      <c r="AG243" s="4">
        <f>[1]节奏总纲!AG243</f>
        <v>88.978258962579233</v>
      </c>
      <c r="AH243" s="4">
        <f>[1]节奏总纲!AH243</f>
        <v>97.955584586719908</v>
      </c>
      <c r="AZ243" s="4">
        <v>240</v>
      </c>
      <c r="BA243" s="4">
        <v>43.928898311540586</v>
      </c>
      <c r="BB243" s="4">
        <v>45.422904937058867</v>
      </c>
      <c r="BC243" s="4">
        <v>47.3696970865753</v>
      </c>
      <c r="BD243" s="4">
        <v>50</v>
      </c>
      <c r="BE243" s="4">
        <v>50</v>
      </c>
    </row>
    <row r="244" spans="29:57" x14ac:dyDescent="0.15">
      <c r="AC244" s="4">
        <f>[1]节奏总纲!AC244</f>
        <v>241</v>
      </c>
      <c r="AD244" s="4">
        <f>[1]节奏总纲!AD244</f>
        <v>79.18336653741882</v>
      </c>
      <c r="AE244" s="4">
        <f>[1]节奏总纲!AE244</f>
        <v>81.276373083410562</v>
      </c>
      <c r="AF244" s="4">
        <f>[1]节奏总纲!AF244</f>
        <v>84.223979410691598</v>
      </c>
      <c r="AG244" s="4">
        <f>[1]节奏总纲!AG244</f>
        <v>89.047272179270863</v>
      </c>
      <c r="AH244" s="4">
        <f>[1]节奏总纲!AH244</f>
        <v>98.013314854852808</v>
      </c>
      <c r="AZ244" s="4">
        <v>241</v>
      </c>
      <c r="BA244" s="4">
        <v>43.958855678288302</v>
      </c>
      <c r="BB244" s="4">
        <v>45.450801041086493</v>
      </c>
      <c r="BC244" s="4">
        <v>47.397413804339159</v>
      </c>
      <c r="BD244" s="4">
        <v>50</v>
      </c>
      <c r="BE244" s="4">
        <v>50</v>
      </c>
    </row>
    <row r="245" spans="29:57" x14ac:dyDescent="0.15">
      <c r="AC245" s="4">
        <f>[1]节奏总纲!AC245</f>
        <v>242</v>
      </c>
      <c r="AD245" s="4">
        <f>[1]节奏总纲!AD245</f>
        <v>79.241697499031773</v>
      </c>
      <c r="AE245" s="4">
        <f>[1]节奏总纲!AE245</f>
        <v>81.335925543146274</v>
      </c>
      <c r="AF245" s="4">
        <f>[1]节奏总纲!AF245</f>
        <v>84.284049907248061</v>
      </c>
      <c r="AG245" s="4">
        <f>[1]节奏总纲!AG245</f>
        <v>89.11587890081428</v>
      </c>
      <c r="AH245" s="4">
        <f>[1]节奏总纲!AH245</f>
        <v>98.072755441643167</v>
      </c>
      <c r="AZ245" s="4">
        <v>242</v>
      </c>
      <c r="BA245" s="4">
        <v>43.988813045036018</v>
      </c>
      <c r="BB245" s="4">
        <v>45.478697145114126</v>
      </c>
      <c r="BC245" s="4">
        <v>47.425130522103018</v>
      </c>
      <c r="BD245" s="4">
        <v>50</v>
      </c>
      <c r="BE245" s="4">
        <v>50</v>
      </c>
    </row>
    <row r="246" spans="29:57" x14ac:dyDescent="0.15">
      <c r="AC246" s="4">
        <f>[1]节奏总纲!AC246</f>
        <v>243</v>
      </c>
      <c r="AD246" s="4">
        <f>[1]节奏总纲!AD246</f>
        <v>79.300028460644711</v>
      </c>
      <c r="AE246" s="4">
        <f>[1]节奏总纲!AE246</f>
        <v>81.395478002882001</v>
      </c>
      <c r="AF246" s="4">
        <f>[1]节奏总纲!AF246</f>
        <v>84.344120403804524</v>
      </c>
      <c r="AG246" s="4">
        <f>[1]节奏总纲!AG246</f>
        <v>89.184485622357698</v>
      </c>
      <c r="AH246" s="4">
        <f>[1]节奏总纲!AH246</f>
        <v>98.132196028433526</v>
      </c>
      <c r="AZ246" s="4">
        <v>243</v>
      </c>
      <c r="BA246" s="4">
        <v>44.016200268136501</v>
      </c>
      <c r="BB246" s="4">
        <v>45.506593249141758</v>
      </c>
      <c r="BC246" s="4">
        <v>47.452847239866877</v>
      </c>
      <c r="BD246" s="4">
        <v>50</v>
      </c>
      <c r="BE246" s="4">
        <v>50</v>
      </c>
    </row>
    <row r="247" spans="29:57" x14ac:dyDescent="0.15">
      <c r="AC247" s="4">
        <f>[1]节奏总纲!AC247</f>
        <v>244</v>
      </c>
      <c r="AD247" s="4">
        <f>[1]节奏总纲!AD247</f>
        <v>79.358359422257649</v>
      </c>
      <c r="AE247" s="4">
        <f>[1]节奏总纲!AE247</f>
        <v>81.455030462617714</v>
      </c>
      <c r="AF247" s="4">
        <f>[1]节奏总纲!AF247</f>
        <v>84.404190900360987</v>
      </c>
      <c r="AG247" s="4">
        <f>[1]节奏总纲!AG247</f>
        <v>89.253092343901116</v>
      </c>
      <c r="AH247" s="4">
        <f>[1]节奏总纲!AH247</f>
        <v>98.191636615223871</v>
      </c>
      <c r="AZ247" s="4">
        <v>244</v>
      </c>
      <c r="BA247" s="4">
        <v>44.042055714440401</v>
      </c>
      <c r="BB247" s="4">
        <v>45.534489353169384</v>
      </c>
      <c r="BC247" s="4">
        <v>47.480563957630736</v>
      </c>
      <c r="BD247" s="4">
        <v>50</v>
      </c>
      <c r="BE247" s="4">
        <v>50</v>
      </c>
    </row>
    <row r="248" spans="29:57" x14ac:dyDescent="0.15">
      <c r="AC248" s="4">
        <f>[1]节奏总纲!AC248</f>
        <v>245</v>
      </c>
      <c r="AD248" s="4">
        <f>[1]节奏总纲!AD248</f>
        <v>79.416690383870588</v>
      </c>
      <c r="AE248" s="4">
        <f>[1]节奏总纲!AE248</f>
        <v>81.514582922353426</v>
      </c>
      <c r="AF248" s="4">
        <f>[1]节奏总纲!AF248</f>
        <v>84.46426139691745</v>
      </c>
      <c r="AG248" s="4">
        <f>[1]节奏总纲!AG248</f>
        <v>89.321699065444534</v>
      </c>
      <c r="AH248" s="4">
        <f>[1]节奏总纲!AH248</f>
        <v>98.25107720201423</v>
      </c>
      <c r="AZ248" s="4">
        <v>245</v>
      </c>
      <c r="BA248" s="4">
        <v>44.067911160744309</v>
      </c>
      <c r="BB248" s="4">
        <v>45.562385457197017</v>
      </c>
      <c r="BC248" s="4">
        <v>47.508280675394595</v>
      </c>
      <c r="BD248" s="4">
        <v>50</v>
      </c>
      <c r="BE248" s="4">
        <v>50</v>
      </c>
    </row>
    <row r="249" spans="29:57" x14ac:dyDescent="0.15">
      <c r="AC249" s="4">
        <f>[1]节奏总纲!AC249</f>
        <v>246</v>
      </c>
      <c r="AD249" s="4">
        <f>[1]节奏总纲!AD249</f>
        <v>79.475021345483526</v>
      </c>
      <c r="AE249" s="4">
        <f>[1]节奏总纲!AE249</f>
        <v>81.574135382089139</v>
      </c>
      <c r="AF249" s="4">
        <f>[1]节奏总纲!AF249</f>
        <v>84.524331893473914</v>
      </c>
      <c r="AG249" s="4">
        <f>[1]节奏总纲!AG249</f>
        <v>89.390305786987952</v>
      </c>
      <c r="AH249" s="4">
        <f>[1]节奏总纲!AH249</f>
        <v>98.310517788804589</v>
      </c>
      <c r="AZ249" s="4">
        <v>246</v>
      </c>
      <c r="BA249" s="4">
        <v>44.093766607048209</v>
      </c>
      <c r="BB249" s="4">
        <v>45.590281561224643</v>
      </c>
      <c r="BC249" s="4">
        <v>47.535997393158453</v>
      </c>
      <c r="BD249" s="4">
        <v>50</v>
      </c>
      <c r="BE249" s="4">
        <v>50</v>
      </c>
    </row>
    <row r="250" spans="29:57" x14ac:dyDescent="0.15">
      <c r="AC250" s="4">
        <f>[1]节奏总纲!AC250</f>
        <v>247</v>
      </c>
      <c r="AD250" s="4">
        <f>[1]节奏总纲!AD250</f>
        <v>79.533352307096465</v>
      </c>
      <c r="AE250" s="4">
        <f>[1]节奏总纲!AE250</f>
        <v>81.633687841824852</v>
      </c>
      <c r="AF250" s="4">
        <f>[1]节奏总纲!AF250</f>
        <v>84.584402390030377</v>
      </c>
      <c r="AG250" s="4">
        <f>[1]节奏总纲!AG250</f>
        <v>89.45891250853137</v>
      </c>
      <c r="AH250" s="4">
        <f>[1]节奏总纲!AH250</f>
        <v>98.369958375594933</v>
      </c>
      <c r="AZ250" s="4">
        <v>247</v>
      </c>
      <c r="BA250" s="4">
        <v>44.11962205335211</v>
      </c>
      <c r="BB250" s="4">
        <v>45.618177665252276</v>
      </c>
      <c r="BC250" s="4">
        <v>47.563714110922312</v>
      </c>
      <c r="BD250" s="4">
        <v>50</v>
      </c>
      <c r="BE250" s="4">
        <v>50</v>
      </c>
    </row>
    <row r="251" spans="29:57" x14ac:dyDescent="0.15">
      <c r="AC251" s="4">
        <f>[1]节奏总纲!AC251</f>
        <v>248</v>
      </c>
      <c r="AD251" s="4">
        <f>[1]节奏总纲!AD251</f>
        <v>79.591683268709417</v>
      </c>
      <c r="AE251" s="4">
        <f>[1]节奏总纲!AE251</f>
        <v>81.693240301560579</v>
      </c>
      <c r="AF251" s="4">
        <f>[1]节奏总纲!AF251</f>
        <v>84.64447288658684</v>
      </c>
      <c r="AG251" s="4">
        <f>[1]节奏总纲!AG251</f>
        <v>89.527519230074788</v>
      </c>
      <c r="AH251" s="4">
        <f>[1]节奏总纲!AH251</f>
        <v>98.429398962385292</v>
      </c>
      <c r="AZ251" s="4">
        <v>248</v>
      </c>
      <c r="BA251" s="4">
        <v>44.145477499656018</v>
      </c>
      <c r="BB251" s="4">
        <v>45.646073769279901</v>
      </c>
      <c r="BC251" s="4">
        <v>47.591430828686171</v>
      </c>
      <c r="BD251" s="4">
        <v>50</v>
      </c>
      <c r="BE251" s="4">
        <v>50</v>
      </c>
    </row>
    <row r="252" spans="29:57" x14ac:dyDescent="0.15">
      <c r="AC252" s="4">
        <f>[1]节奏总纲!AC252</f>
        <v>249</v>
      </c>
      <c r="AD252" s="4">
        <f>[1]节奏总纲!AD252</f>
        <v>79.650014230322356</v>
      </c>
      <c r="AE252" s="4">
        <f>[1]节奏总纲!AE252</f>
        <v>81.752792761296291</v>
      </c>
      <c r="AF252" s="4">
        <f>[1]节奏总纲!AF252</f>
        <v>84.704543383143317</v>
      </c>
      <c r="AG252" s="4">
        <f>[1]节奏总纲!AG252</f>
        <v>89.596125951618205</v>
      </c>
      <c r="AH252" s="4">
        <f>[1]节奏总纲!AH252</f>
        <v>98.488839549175651</v>
      </c>
      <c r="AZ252" s="4">
        <v>249</v>
      </c>
      <c r="BA252" s="4">
        <v>44.171332945959918</v>
      </c>
      <c r="BB252" s="4">
        <v>45.673969873307534</v>
      </c>
      <c r="BC252" s="4">
        <v>47.61914754645003</v>
      </c>
      <c r="BD252" s="4">
        <v>50</v>
      </c>
      <c r="BE252" s="4">
        <v>50</v>
      </c>
    </row>
    <row r="253" spans="29:57" x14ac:dyDescent="0.15">
      <c r="AC253" s="4">
        <f>[1]节奏总纲!AC253</f>
        <v>250</v>
      </c>
      <c r="AD253" s="4">
        <f>[1]节奏总纲!AD253</f>
        <v>79.708345191935294</v>
      </c>
      <c r="AE253" s="4">
        <f>[1]节奏总纲!AE253</f>
        <v>81.812345221032004</v>
      </c>
      <c r="AF253" s="4">
        <f>[1]节奏总纲!AF253</f>
        <v>84.76461387969978</v>
      </c>
      <c r="AG253" s="4">
        <f>[1]节奏总纲!AG253</f>
        <v>89.664732673161623</v>
      </c>
      <c r="AH253" s="4">
        <f>[1]节奏总纲!AH253</f>
        <v>98.548280135965996</v>
      </c>
      <c r="AZ253" s="4">
        <v>250</v>
      </c>
      <c r="BA253" s="4">
        <v>44.197188392263818</v>
      </c>
      <c r="BB253" s="4">
        <v>45.701865977335167</v>
      </c>
      <c r="BC253" s="4">
        <v>47.646864264213889</v>
      </c>
      <c r="BD253" s="4">
        <v>50</v>
      </c>
      <c r="BE253" s="4">
        <v>50</v>
      </c>
    </row>
    <row r="254" spans="29:57" x14ac:dyDescent="0.15">
      <c r="AC254" s="4">
        <f>[1]节奏总纲!AC254</f>
        <v>251</v>
      </c>
      <c r="AD254" s="4">
        <f>[1]节奏总纲!AD254</f>
        <v>79.766676153548232</v>
      </c>
      <c r="AE254" s="4">
        <f>[1]节奏总纲!AE254</f>
        <v>81.871897680767717</v>
      </c>
      <c r="AF254" s="4">
        <f>[1]节奏总纲!AF254</f>
        <v>84.824684376256243</v>
      </c>
      <c r="AG254" s="4">
        <f>[1]节奏总纲!AG254</f>
        <v>89.733339394705041</v>
      </c>
      <c r="AH254" s="4">
        <f>[1]节奏总纲!AH254</f>
        <v>98.607720722756355</v>
      </c>
      <c r="AZ254" s="4">
        <v>251</v>
      </c>
      <c r="BA254" s="4">
        <v>44.223043838567726</v>
      </c>
      <c r="BB254" s="4">
        <v>45.729762081362793</v>
      </c>
      <c r="BC254" s="4">
        <v>47.674580981977748</v>
      </c>
      <c r="BD254" s="4">
        <v>50</v>
      </c>
      <c r="BE254" s="4">
        <v>50</v>
      </c>
    </row>
    <row r="255" spans="29:57" x14ac:dyDescent="0.15">
      <c r="AC255" s="4">
        <f>[1]节奏总纲!AC255</f>
        <v>252</v>
      </c>
      <c r="AD255" s="4">
        <f>[1]节奏总纲!AD255</f>
        <v>79.825007115161171</v>
      </c>
      <c r="AE255" s="4">
        <f>[1]节奏总纲!AE255</f>
        <v>81.931450140503429</v>
      </c>
      <c r="AF255" s="4">
        <f>[1]节奏总纲!AF255</f>
        <v>84.884754872812707</v>
      </c>
      <c r="AG255" s="4">
        <f>[1]节奏总纲!AG255</f>
        <v>89.801946116248459</v>
      </c>
      <c r="AH255" s="4">
        <f>[1]节奏总纲!AH255</f>
        <v>98.667161309546714</v>
      </c>
      <c r="AZ255" s="4">
        <v>252</v>
      </c>
      <c r="BA255" s="4">
        <v>44.248899284871626</v>
      </c>
      <c r="BB255" s="4">
        <v>45.757658185390426</v>
      </c>
      <c r="BC255" s="4">
        <v>47.7022976997416</v>
      </c>
      <c r="BD255" s="4">
        <v>50</v>
      </c>
      <c r="BE255" s="4">
        <v>50</v>
      </c>
    </row>
    <row r="256" spans="29:57" x14ac:dyDescent="0.15">
      <c r="AC256" s="4">
        <f>[1]节奏总纲!AC256</f>
        <v>253</v>
      </c>
      <c r="AD256" s="4">
        <f>[1]节奏总纲!AD256</f>
        <v>79.883338076774123</v>
      </c>
      <c r="AE256" s="4">
        <f>[1]节奏总纲!AE256</f>
        <v>81.991002600239142</v>
      </c>
      <c r="AF256" s="4">
        <f>[1]节奏总纲!AF256</f>
        <v>84.94482536936917</v>
      </c>
      <c r="AG256" s="4">
        <f>[1]节奏总纲!AG256</f>
        <v>89.870552837791877</v>
      </c>
      <c r="AH256" s="4">
        <f>[1]节奏总纲!AH256</f>
        <v>98.726601896337058</v>
      </c>
      <c r="AZ256" s="4">
        <v>253</v>
      </c>
      <c r="BA256" s="4">
        <v>44.274754731175527</v>
      </c>
      <c r="BB256" s="4">
        <v>45.785554289418052</v>
      </c>
      <c r="BC256" s="4">
        <v>47.730014417505458</v>
      </c>
      <c r="BD256" s="4">
        <v>50</v>
      </c>
      <c r="BE256" s="4">
        <v>50</v>
      </c>
    </row>
    <row r="257" spans="29:57" x14ac:dyDescent="0.15">
      <c r="AC257" s="4">
        <f>[1]节奏总纲!AC257</f>
        <v>254</v>
      </c>
      <c r="AD257" s="4">
        <f>[1]节奏总纲!AD257</f>
        <v>79.941669038387062</v>
      </c>
      <c r="AE257" s="4">
        <f>[1]节奏总纲!AE257</f>
        <v>82.046165327855846</v>
      </c>
      <c r="AF257" s="4">
        <f>[1]节奏总纲!AF257</f>
        <v>85.004450307848032</v>
      </c>
      <c r="AG257" s="4">
        <f>[1]节奏总纲!AG257</f>
        <v>89.939159559335295</v>
      </c>
      <c r="AH257" s="4">
        <f>[1]节奏总纲!AH257</f>
        <v>98.786042483127417</v>
      </c>
      <c r="AZ257" s="4">
        <v>254</v>
      </c>
      <c r="BA257" s="4">
        <v>44.300610177479435</v>
      </c>
      <c r="BB257" s="4">
        <v>45.813450393445684</v>
      </c>
      <c r="BC257" s="4">
        <v>47.757731135269317</v>
      </c>
      <c r="BD257" s="4">
        <v>50</v>
      </c>
      <c r="BE257" s="4">
        <v>50</v>
      </c>
    </row>
    <row r="258" spans="29:57" x14ac:dyDescent="0.15">
      <c r="AC258" s="4">
        <f>[1]节奏总纲!AC258</f>
        <v>255</v>
      </c>
      <c r="AD258" s="4">
        <f>[1]节奏总纲!AD258</f>
        <v>80</v>
      </c>
      <c r="AE258" s="4">
        <f>[1]节奏总纲!AE258</f>
        <v>82.100546804797787</v>
      </c>
      <c r="AF258" s="4">
        <f>[1]节奏总纲!AF258</f>
        <v>85.059053968634842</v>
      </c>
      <c r="AG258" s="4">
        <f>[1]节奏总纲!AG258</f>
        <v>90.006385600230558</v>
      </c>
      <c r="AH258" s="4">
        <f>[1]节奏总纲!AH258</f>
        <v>98.845483069917776</v>
      </c>
      <c r="AZ258" s="4">
        <v>255</v>
      </c>
      <c r="BA258" s="4">
        <v>44.326465623783335</v>
      </c>
      <c r="BB258" s="4">
        <v>45.84134649747331</v>
      </c>
      <c r="BC258" s="4">
        <v>47.785447853033176</v>
      </c>
      <c r="BD258" s="4">
        <v>50</v>
      </c>
      <c r="BE258" s="4">
        <v>50</v>
      </c>
    </row>
    <row r="259" spans="29:57" x14ac:dyDescent="0.15">
      <c r="AC259" s="4">
        <f>[1]节奏总纲!AC259</f>
        <v>256</v>
      </c>
      <c r="AD259" s="4">
        <f>[1]节奏总纲!AD259</f>
        <v>80.054424711612938</v>
      </c>
      <c r="AE259" s="4">
        <f>[1]节奏总纲!AE259</f>
        <v>82.154928281739714</v>
      </c>
      <c r="AF259" s="4">
        <f>[1]节奏总纲!AF259</f>
        <v>85.113657629421638</v>
      </c>
      <c r="AG259" s="4">
        <f>[1]节奏总纲!AG259</f>
        <v>90.062795496260307</v>
      </c>
      <c r="AH259" s="4">
        <f>[1]节奏总纲!AH259</f>
        <v>98.904923656708121</v>
      </c>
      <c r="AZ259" s="4">
        <v>256</v>
      </c>
      <c r="BA259" s="4">
        <v>44.352321070087235</v>
      </c>
      <c r="BB259" s="4">
        <v>45.869242601500943</v>
      </c>
      <c r="BC259" s="4">
        <v>47.813164570797035</v>
      </c>
      <c r="BD259" s="4">
        <v>50</v>
      </c>
      <c r="BE259" s="4">
        <v>50</v>
      </c>
    </row>
    <row r="260" spans="29:57" x14ac:dyDescent="0.15">
      <c r="AC260" s="4">
        <f>[1]节奏总纲!AC260</f>
        <v>257</v>
      </c>
      <c r="AD260" s="4">
        <f>[1]节奏总纲!AD260</f>
        <v>80.108849423225877</v>
      </c>
      <c r="AE260" s="4">
        <f>[1]节奏总纲!AE260</f>
        <v>82.209309758681655</v>
      </c>
      <c r="AF260" s="4">
        <f>[1]节奏总纲!AF260</f>
        <v>85.168261290208434</v>
      </c>
      <c r="AG260" s="4">
        <f>[1]节奏总纲!AG260</f>
        <v>90.119205392290041</v>
      </c>
      <c r="AH260" s="4">
        <f>[1]节奏总纲!AH260</f>
        <v>98.96436424349848</v>
      </c>
      <c r="AZ260" s="4">
        <v>257</v>
      </c>
      <c r="BA260" s="4">
        <v>44.378176516391136</v>
      </c>
      <c r="BB260" s="4">
        <v>45.897138705528576</v>
      </c>
      <c r="BC260" s="4">
        <v>47.840881288560894</v>
      </c>
      <c r="BD260" s="4">
        <v>50</v>
      </c>
      <c r="BE260" s="4">
        <v>50</v>
      </c>
    </row>
    <row r="261" spans="29:57" x14ac:dyDescent="0.15">
      <c r="AC261" s="4">
        <f>[1]节奏总纲!AC261</f>
        <v>258</v>
      </c>
      <c r="AD261" s="4">
        <f>[1]节奏总纲!AD261</f>
        <v>80.163274134838829</v>
      </c>
      <c r="AE261" s="4">
        <f>[1]节奏总纲!AE261</f>
        <v>82.263691235623583</v>
      </c>
      <c r="AF261" s="4">
        <f>[1]节奏总纲!AF261</f>
        <v>85.222864950995231</v>
      </c>
      <c r="AG261" s="4">
        <f>[1]节奏总纲!AG261</f>
        <v>90.175615288319776</v>
      </c>
      <c r="AH261" s="4">
        <f>[1]节奏总纲!AH261</f>
        <v>99.023313221876677</v>
      </c>
      <c r="AZ261" s="4">
        <v>258</v>
      </c>
      <c r="BA261" s="4">
        <v>44.404031962695043</v>
      </c>
      <c r="BB261" s="4">
        <v>45.925034809556202</v>
      </c>
      <c r="BC261" s="4">
        <v>47.868598006324753</v>
      </c>
      <c r="BD261" s="4">
        <v>50</v>
      </c>
      <c r="BE261" s="4">
        <v>50</v>
      </c>
    </row>
    <row r="262" spans="29:57" x14ac:dyDescent="0.15">
      <c r="AC262" s="4">
        <f>[1]节奏总纲!AC262</f>
        <v>259</v>
      </c>
      <c r="AD262" s="4">
        <f>[1]节奏总纲!AD262</f>
        <v>80.217698846451768</v>
      </c>
      <c r="AE262" s="4">
        <f>[1]节奏总纲!AE262</f>
        <v>82.318072712565524</v>
      </c>
      <c r="AF262" s="4">
        <f>[1]节奏总纲!AF262</f>
        <v>85.277468611782027</v>
      </c>
      <c r="AG262" s="4">
        <f>[1]节奏总纲!AG262</f>
        <v>90.23202518434951</v>
      </c>
      <c r="AH262" s="4">
        <f>[1]节奏总纲!AH262</f>
        <v>99.081526263999208</v>
      </c>
      <c r="AZ262" s="4">
        <v>259</v>
      </c>
      <c r="BA262" s="4">
        <v>44.429887408998944</v>
      </c>
      <c r="BB262" s="4">
        <v>45.952930913583835</v>
      </c>
      <c r="BC262" s="4">
        <v>47.896314724088612</v>
      </c>
      <c r="BD262" s="4">
        <v>50</v>
      </c>
      <c r="BE262" s="4">
        <v>50</v>
      </c>
    </row>
    <row r="263" spans="29:57" x14ac:dyDescent="0.15">
      <c r="AC263" s="4">
        <f>[1]节奏总纲!AC263</f>
        <v>260</v>
      </c>
      <c r="AD263" s="4">
        <f>[1]节奏总纲!AD263</f>
        <v>80.272123558064706</v>
      </c>
      <c r="AE263" s="4">
        <f>[1]节奏总纲!AE263</f>
        <v>82.372454189507465</v>
      </c>
      <c r="AF263" s="4">
        <f>[1]节奏总纲!AF263</f>
        <v>85.332072272568837</v>
      </c>
      <c r="AG263" s="4">
        <f>[1]节奏总纲!AG263</f>
        <v>90.288435080379244</v>
      </c>
      <c r="AH263" s="4">
        <f>[1]节奏总纲!AH263</f>
        <v>99.139739306121726</v>
      </c>
      <c r="AZ263" s="4">
        <v>260</v>
      </c>
      <c r="BA263" s="4">
        <v>44.455742855302844</v>
      </c>
      <c r="BB263" s="4">
        <v>45.98082701761146</v>
      </c>
      <c r="BC263" s="4">
        <v>47.92403144185247</v>
      </c>
      <c r="BD263" s="4">
        <v>50</v>
      </c>
      <c r="BE263" s="4">
        <v>50</v>
      </c>
    </row>
    <row r="264" spans="29:57" x14ac:dyDescent="0.15">
      <c r="AC264" s="4">
        <f>[1]节奏总纲!AC264</f>
        <v>261</v>
      </c>
      <c r="AD264" s="4">
        <f>[1]节奏总纲!AD264</f>
        <v>80.326548269677644</v>
      </c>
      <c r="AE264" s="4">
        <f>[1]节奏总纲!AE264</f>
        <v>82.426835666449392</v>
      </c>
      <c r="AF264" s="4">
        <f>[1]节奏总纲!AF264</f>
        <v>85.386675933355633</v>
      </c>
      <c r="AG264" s="4">
        <f>[1]节奏总纲!AG264</f>
        <v>90.344844976408993</v>
      </c>
      <c r="AH264" s="4">
        <f>[1]节奏总纲!AH264</f>
        <v>99.197952348244257</v>
      </c>
      <c r="AZ264" s="4">
        <v>261</v>
      </c>
      <c r="BA264" s="4">
        <v>44.481598301606752</v>
      </c>
      <c r="BB264" s="4">
        <v>46.007529841290832</v>
      </c>
      <c r="BC264" s="4">
        <v>47.951748159616329</v>
      </c>
      <c r="BD264" s="4">
        <v>50</v>
      </c>
      <c r="BE264" s="4">
        <v>50</v>
      </c>
    </row>
    <row r="265" spans="29:57" x14ac:dyDescent="0.15">
      <c r="AC265" s="4">
        <f>[1]节奏总纲!AC265</f>
        <v>262</v>
      </c>
      <c r="AD265" s="4">
        <f>[1]节奏总纲!AD265</f>
        <v>80.380972981290597</v>
      </c>
      <c r="AE265" s="4">
        <f>[1]节奏总纲!AE265</f>
        <v>82.481217143391333</v>
      </c>
      <c r="AF265" s="4">
        <f>[1]节奏总纲!AF265</f>
        <v>85.441279594142429</v>
      </c>
      <c r="AG265" s="4">
        <f>[1]节奏总纲!AG265</f>
        <v>90.401254872438727</v>
      </c>
      <c r="AH265" s="4">
        <f>[1]节奏总纲!AH265</f>
        <v>99.256165390366789</v>
      </c>
      <c r="AZ265" s="4">
        <v>262</v>
      </c>
      <c r="BA265" s="4">
        <v>44.507453747910652</v>
      </c>
      <c r="BB265" s="4">
        <v>46.031609894814238</v>
      </c>
      <c r="BC265" s="4">
        <v>47.979464877380188</v>
      </c>
      <c r="BD265" s="4">
        <v>50</v>
      </c>
      <c r="BE265" s="4">
        <v>50</v>
      </c>
    </row>
    <row r="266" spans="29:57" x14ac:dyDescent="0.15">
      <c r="AC266" s="4">
        <f>[1]节奏总纲!AC266</f>
        <v>263</v>
      </c>
      <c r="AD266" s="4">
        <f>[1]节奏总纲!AD266</f>
        <v>80.435397692903535</v>
      </c>
      <c r="AE266" s="4">
        <f>[1]节奏总纲!AE266</f>
        <v>82.535598620333275</v>
      </c>
      <c r="AF266" s="4">
        <f>[1]节奏总纲!AF266</f>
        <v>85.495883254929225</v>
      </c>
      <c r="AG266" s="4">
        <f>[1]节奏总纲!AG266</f>
        <v>90.457664768468462</v>
      </c>
      <c r="AH266" s="4">
        <f>[1]节奏总纲!AH266</f>
        <v>99.314378432489306</v>
      </c>
      <c r="AZ266" s="4">
        <v>263</v>
      </c>
      <c r="BA266" s="4">
        <v>44.533309194214553</v>
      </c>
      <c r="BB266" s="4">
        <v>46.055689948337651</v>
      </c>
      <c r="BC266" s="4">
        <v>48.006200084618079</v>
      </c>
      <c r="BD266" s="4">
        <v>50</v>
      </c>
      <c r="BE266" s="4">
        <v>50</v>
      </c>
    </row>
    <row r="267" spans="29:57" x14ac:dyDescent="0.15">
      <c r="AC267" s="4">
        <f>[1]节奏总纲!AC267</f>
        <v>264</v>
      </c>
      <c r="AD267" s="4">
        <f>[1]节奏总纲!AD267</f>
        <v>80.489822404516474</v>
      </c>
      <c r="AE267" s="4">
        <f>[1]节奏总纲!AE267</f>
        <v>82.589980097275202</v>
      </c>
      <c r="AF267" s="4">
        <f>[1]节奏总纲!AF267</f>
        <v>85.550486915716021</v>
      </c>
      <c r="AG267" s="4">
        <f>[1]节奏总纲!AG267</f>
        <v>90.514074664498196</v>
      </c>
      <c r="AH267" s="4">
        <f>[1]节奏总纲!AH267</f>
        <v>99.372591474611838</v>
      </c>
      <c r="AZ267" s="4">
        <v>264</v>
      </c>
      <c r="BA267" s="4">
        <v>44.55916464051846</v>
      </c>
      <c r="BB267" s="4">
        <v>46.079770001861057</v>
      </c>
      <c r="BC267" s="4">
        <v>48.030128751164241</v>
      </c>
      <c r="BD267" s="4">
        <v>50</v>
      </c>
      <c r="BE267" s="4">
        <v>50</v>
      </c>
    </row>
    <row r="268" spans="29:57" x14ac:dyDescent="0.15">
      <c r="AC268" s="4">
        <f>[1]节奏总纲!AC268</f>
        <v>265</v>
      </c>
      <c r="AD268" s="4">
        <f>[1]节奏总纲!AD268</f>
        <v>80.544247116129412</v>
      </c>
      <c r="AE268" s="4">
        <f>[1]节奏总纲!AE268</f>
        <v>82.644361574217143</v>
      </c>
      <c r="AF268" s="4">
        <f>[1]节奏总纲!AF268</f>
        <v>85.605090576502832</v>
      </c>
      <c r="AG268" s="4">
        <f>[1]节奏总纲!AG268</f>
        <v>90.57048456052793</v>
      </c>
      <c r="AH268" s="4">
        <f>[1]节奏总纲!AH268</f>
        <v>99.430804516734369</v>
      </c>
      <c r="AZ268" s="4">
        <v>265</v>
      </c>
      <c r="BA268" s="4">
        <v>44.585020086822361</v>
      </c>
      <c r="BB268" s="4">
        <v>46.10385005538447</v>
      </c>
      <c r="BC268" s="4">
        <v>48.054057417710396</v>
      </c>
      <c r="BD268" s="4">
        <v>50</v>
      </c>
      <c r="BE268" s="4">
        <v>50</v>
      </c>
    </row>
    <row r="269" spans="29:57" x14ac:dyDescent="0.15">
      <c r="AC269" s="4">
        <f>[1]节奏总纲!AC269</f>
        <v>266</v>
      </c>
      <c r="AD269" s="4">
        <f>[1]节奏总纲!AD269</f>
        <v>80.598671827742351</v>
      </c>
      <c r="AE269" s="4">
        <f>[1]节奏总纲!AE269</f>
        <v>82.698743051159084</v>
      </c>
      <c r="AF269" s="4">
        <f>[1]节奏总纲!AF269</f>
        <v>85.659694237289628</v>
      </c>
      <c r="AG269" s="4">
        <f>[1]节奏总纲!AG269</f>
        <v>90.626894456557665</v>
      </c>
      <c r="AH269" s="4">
        <f>[1]节奏总纲!AH269</f>
        <v>99.489017558856887</v>
      </c>
      <c r="AZ269" s="4">
        <v>266</v>
      </c>
      <c r="BA269" s="4">
        <v>44.610875533126261</v>
      </c>
      <c r="BB269" s="4">
        <v>46.127930108907876</v>
      </c>
      <c r="BC269" s="4">
        <v>48.077986084256551</v>
      </c>
      <c r="BD269" s="4">
        <v>50</v>
      </c>
      <c r="BE269" s="4">
        <v>50</v>
      </c>
    </row>
    <row r="270" spans="29:57" x14ac:dyDescent="0.15">
      <c r="AC270" s="4">
        <f>[1]节奏总纲!AC270</f>
        <v>267</v>
      </c>
      <c r="AD270" s="4">
        <f>[1]节奏总纲!AD270</f>
        <v>80.653096539355303</v>
      </c>
      <c r="AE270" s="4">
        <f>[1]节奏总纲!AE270</f>
        <v>82.753124528101011</v>
      </c>
      <c r="AF270" s="4">
        <f>[1]节奏总纲!AF270</f>
        <v>85.714297898076424</v>
      </c>
      <c r="AG270" s="4">
        <f>[1]节奏总纲!AG270</f>
        <v>90.683304352587413</v>
      </c>
      <c r="AH270" s="4">
        <f>[1]节奏总纲!AH270</f>
        <v>99.547230600979418</v>
      </c>
      <c r="AZ270" s="4">
        <v>267</v>
      </c>
      <c r="BA270" s="4">
        <v>44.636730979430169</v>
      </c>
      <c r="BB270" s="4">
        <v>46.152010162431289</v>
      </c>
      <c r="BC270" s="4">
        <v>48.101914750802706</v>
      </c>
      <c r="BD270" s="4">
        <v>50</v>
      </c>
      <c r="BE270" s="4">
        <v>50</v>
      </c>
    </row>
    <row r="271" spans="29:57" x14ac:dyDescent="0.15">
      <c r="AC271" s="4">
        <f>[1]节奏总纲!AC271</f>
        <v>268</v>
      </c>
      <c r="AD271" s="4">
        <f>[1]节奏总纲!AD271</f>
        <v>80.707521250968242</v>
      </c>
      <c r="AE271" s="4">
        <f>[1]节奏总纲!AE271</f>
        <v>82.807506005042953</v>
      </c>
      <c r="AF271" s="4">
        <f>[1]节奏总纲!AF271</f>
        <v>85.76890155886322</v>
      </c>
      <c r="AG271" s="4">
        <f>[1]节奏总纲!AG271</f>
        <v>90.739714248617148</v>
      </c>
      <c r="AH271" s="4">
        <f>[1]节奏总纲!AH271</f>
        <v>99.605443643101935</v>
      </c>
      <c r="AZ271" s="4">
        <v>268</v>
      </c>
      <c r="BA271" s="4">
        <v>44.662586425734069</v>
      </c>
      <c r="BB271" s="4">
        <v>46.176090215954694</v>
      </c>
      <c r="BC271" s="4">
        <v>48.125843417348868</v>
      </c>
      <c r="BD271" s="4">
        <v>50</v>
      </c>
      <c r="BE271" s="4">
        <v>50</v>
      </c>
    </row>
    <row r="272" spans="29:57" x14ac:dyDescent="0.15">
      <c r="AC272" s="4">
        <f>[1]节奏总纲!AC272</f>
        <v>269</v>
      </c>
      <c r="AD272" s="4">
        <f>[1]节奏总纲!AD272</f>
        <v>80.76194596258118</v>
      </c>
      <c r="AE272" s="4">
        <f>[1]节奏总纲!AE272</f>
        <v>82.861887481984894</v>
      </c>
      <c r="AF272" s="4">
        <f>[1]节奏总纲!AF272</f>
        <v>85.823505219650016</v>
      </c>
      <c r="AG272" s="4">
        <f>[1]节奏总纲!AG272</f>
        <v>90.796124144646882</v>
      </c>
      <c r="AH272" s="4">
        <f>[1]节奏总纲!AH272</f>
        <v>99.663656685224467</v>
      </c>
      <c r="AZ272" s="4">
        <v>269</v>
      </c>
      <c r="BA272" s="4">
        <v>44.68844187203797</v>
      </c>
      <c r="BB272" s="4">
        <v>46.200170269478107</v>
      </c>
      <c r="BC272" s="4">
        <v>48.149772083895023</v>
      </c>
      <c r="BD272" s="4">
        <v>50</v>
      </c>
      <c r="BE272" s="4">
        <v>50</v>
      </c>
    </row>
    <row r="273" spans="29:57" x14ac:dyDescent="0.15">
      <c r="AC273" s="4">
        <f>[1]节奏总纲!AC273</f>
        <v>270</v>
      </c>
      <c r="AD273" s="4">
        <f>[1]节奏总纲!AD273</f>
        <v>80.816370674194118</v>
      </c>
      <c r="AE273" s="4">
        <f>[1]节奏总纲!AE273</f>
        <v>82.916268958926821</v>
      </c>
      <c r="AF273" s="4">
        <f>[1]节奏总纲!AF273</f>
        <v>85.878108880436827</v>
      </c>
      <c r="AG273" s="4">
        <f>[1]节奏总纲!AG273</f>
        <v>90.852534040676616</v>
      </c>
      <c r="AH273" s="4">
        <f>[1]节奏总纲!AH273</f>
        <v>99.721869727346999</v>
      </c>
      <c r="AZ273" s="4">
        <v>270</v>
      </c>
      <c r="BA273" s="4">
        <v>44.714297318341877</v>
      </c>
      <c r="BB273" s="4">
        <v>46.224250323001513</v>
      </c>
      <c r="BC273" s="4">
        <v>48.173700750441178</v>
      </c>
      <c r="BD273" s="4">
        <v>50</v>
      </c>
      <c r="BE273" s="4">
        <v>50</v>
      </c>
    </row>
    <row r="274" spans="29:57" x14ac:dyDescent="0.15">
      <c r="AC274" s="4">
        <f>[1]节奏总纲!AC274</f>
        <v>271</v>
      </c>
      <c r="AD274" s="4">
        <f>[1]节奏总纲!AD274</f>
        <v>80.870795385807057</v>
      </c>
      <c r="AE274" s="4">
        <f>[1]节奏总纲!AE274</f>
        <v>82.970650435868762</v>
      </c>
      <c r="AF274" s="4">
        <f>[1]节奏总纲!AF274</f>
        <v>85.932712541223623</v>
      </c>
      <c r="AG274" s="4">
        <f>[1]节奏总纲!AG274</f>
        <v>90.908943936706351</v>
      </c>
      <c r="AH274" s="4">
        <f>[1]节奏总纲!AH274</f>
        <v>99.780082769469516</v>
      </c>
      <c r="AZ274" s="4">
        <v>271</v>
      </c>
      <c r="BA274" s="4">
        <v>44.740152764645778</v>
      </c>
      <c r="BB274" s="4">
        <v>46.248330376524919</v>
      </c>
      <c r="BC274" s="4">
        <v>48.19762941698734</v>
      </c>
      <c r="BD274" s="4">
        <v>50</v>
      </c>
      <c r="BE274" s="4">
        <v>50</v>
      </c>
    </row>
    <row r="275" spans="29:57" x14ac:dyDescent="0.15">
      <c r="AC275" s="4">
        <f>[1]节奏总纲!AC275</f>
        <v>272</v>
      </c>
      <c r="AD275" s="4">
        <f>[1]节奏总纲!AD275</f>
        <v>80.925220097420009</v>
      </c>
      <c r="AE275" s="4">
        <f>[1]节奏总纲!AE275</f>
        <v>83.023342162088809</v>
      </c>
      <c r="AF275" s="4">
        <f>[1]节奏总纲!AF275</f>
        <v>85.987316202010419</v>
      </c>
      <c r="AG275" s="4">
        <f>[1]节奏总纲!AG275</f>
        <v>90.965353832736099</v>
      </c>
      <c r="AH275" s="4">
        <f>[1]节奏总纲!AH275</f>
        <v>99.838295811592047</v>
      </c>
      <c r="AZ275" s="4">
        <v>272</v>
      </c>
      <c r="BA275" s="4">
        <v>44.766008210949678</v>
      </c>
      <c r="BB275" s="4">
        <v>46.272410430048332</v>
      </c>
      <c r="BC275" s="4">
        <v>48.221558083533495</v>
      </c>
      <c r="BD275" s="4">
        <v>50</v>
      </c>
      <c r="BE275" s="4">
        <v>50</v>
      </c>
    </row>
    <row r="276" spans="29:57" x14ac:dyDescent="0.15">
      <c r="AC276" s="4">
        <f>[1]节奏总纲!AC276</f>
        <v>273</v>
      </c>
      <c r="AD276" s="4">
        <f>[1]节奏总纲!AD276</f>
        <v>80.979644809032948</v>
      </c>
      <c r="AE276" s="4">
        <f>[1]节奏总纲!AE276</f>
        <v>83.07405267945947</v>
      </c>
      <c r="AF276" s="4">
        <f>[1]节奏总纲!AF276</f>
        <v>86.038061368689995</v>
      </c>
      <c r="AG276" s="4">
        <f>[1]节奏总纲!AG276</f>
        <v>91.020352770869948</v>
      </c>
      <c r="AH276" s="4">
        <f>[1]节奏总纲!AH276</f>
        <v>99.896508853714579</v>
      </c>
      <c r="AZ276" s="4">
        <v>273</v>
      </c>
      <c r="BA276" s="4">
        <v>44.791863657253586</v>
      </c>
      <c r="BB276" s="4">
        <v>46.296490483571738</v>
      </c>
      <c r="BC276" s="4">
        <v>48.24548675007965</v>
      </c>
      <c r="BD276" s="4">
        <v>50</v>
      </c>
      <c r="BE276" s="4">
        <v>50</v>
      </c>
    </row>
    <row r="277" spans="29:57" x14ac:dyDescent="0.15">
      <c r="AC277" s="4">
        <f>[1]节奏总纲!AC277</f>
        <v>274</v>
      </c>
      <c r="AD277" s="4">
        <f>[1]节奏总纲!AD277</f>
        <v>81.031787986768464</v>
      </c>
      <c r="AE277" s="4">
        <f>[1]节奏总纲!AE277</f>
        <v>83.124763196830131</v>
      </c>
      <c r="AF277" s="4">
        <f>[1]节奏总纲!AF277</f>
        <v>86.087639061133402</v>
      </c>
      <c r="AG277" s="4">
        <f>[1]节奏总纲!AG277</f>
        <v>91.073105573528181</v>
      </c>
      <c r="AH277" s="4">
        <f>[1]节奏总纲!AH277</f>
        <v>99.954721895837096</v>
      </c>
      <c r="AZ277" s="4">
        <v>274</v>
      </c>
      <c r="BA277" s="4">
        <v>44.817719103557486</v>
      </c>
      <c r="BB277" s="4">
        <v>46.320570537095151</v>
      </c>
      <c r="BC277" s="4">
        <v>48.269415416625804</v>
      </c>
      <c r="BD277" s="4">
        <v>50</v>
      </c>
      <c r="BE277" s="4">
        <v>50</v>
      </c>
    </row>
    <row r="278" spans="29:57" x14ac:dyDescent="0.15">
      <c r="AC278" s="4">
        <f>[1]节奏总纲!AC278</f>
        <v>275</v>
      </c>
      <c r="AD278" s="4">
        <f>[1]节奏总纲!AD278</f>
        <v>81.082568038258216</v>
      </c>
      <c r="AE278" s="4">
        <f>[1]节奏总纲!AE278</f>
        <v>83.175473714200777</v>
      </c>
      <c r="AF278" s="4">
        <f>[1]节奏总纲!AF278</f>
        <v>86.137216753576809</v>
      </c>
      <c r="AG278" s="4">
        <f>[1]节奏总纲!AG278</f>
        <v>91.125858376186414</v>
      </c>
      <c r="AH278" s="4">
        <f>[1]节奏总纲!AH278</f>
        <v>100.01191770041967</v>
      </c>
      <c r="AZ278" s="4">
        <v>275</v>
      </c>
      <c r="BA278" s="4">
        <v>44.843574549861387</v>
      </c>
      <c r="BB278" s="4">
        <v>46.344650590618556</v>
      </c>
      <c r="BC278" s="4">
        <v>48.293344083171966</v>
      </c>
      <c r="BD278" s="4">
        <v>50</v>
      </c>
      <c r="BE278" s="4">
        <v>50</v>
      </c>
    </row>
    <row r="279" spans="29:57" x14ac:dyDescent="0.15">
      <c r="AC279" s="4">
        <f>[1]节奏总纲!AC279</f>
        <v>276</v>
      </c>
      <c r="AD279" s="4">
        <f>[1]节奏总纲!AD279</f>
        <v>81.133348089747955</v>
      </c>
      <c r="AE279" s="4">
        <f>[1]节奏总纲!AE279</f>
        <v>83.226184231571438</v>
      </c>
      <c r="AF279" s="4">
        <f>[1]节奏总纲!AF279</f>
        <v>86.186794446020215</v>
      </c>
      <c r="AG279" s="4">
        <f>[1]节奏总纲!AG279</f>
        <v>91.178611178844633</v>
      </c>
      <c r="AH279" s="4">
        <f>[1]节奏总纲!AH279</f>
        <v>100.06555271580974</v>
      </c>
      <c r="AZ279" s="4">
        <v>276</v>
      </c>
      <c r="BA279" s="4">
        <v>44.869429996165294</v>
      </c>
      <c r="BB279" s="4">
        <v>46.368730644141969</v>
      </c>
      <c r="BC279" s="4">
        <v>48.317272749718121</v>
      </c>
      <c r="BD279" s="4">
        <v>50</v>
      </c>
      <c r="BE279" s="4">
        <v>50</v>
      </c>
    </row>
    <row r="280" spans="29:57" x14ac:dyDescent="0.15">
      <c r="AC280" s="4">
        <f>[1]节奏总纲!AC280</f>
        <v>277</v>
      </c>
      <c r="AD280" s="4">
        <f>[1]节奏总纲!AD280</f>
        <v>81.184128141237707</v>
      </c>
      <c r="AE280" s="4">
        <f>[1]节奏总纲!AE280</f>
        <v>83.276894748942098</v>
      </c>
      <c r="AF280" s="4">
        <f>[1]节奏总纲!AF280</f>
        <v>86.236372138463622</v>
      </c>
      <c r="AG280" s="4">
        <f>[1]节奏总纲!AG280</f>
        <v>91.231363981502867</v>
      </c>
      <c r="AH280" s="4">
        <f>[1]节奏总纲!AH280</f>
        <v>100.11918773119983</v>
      </c>
      <c r="AZ280" s="4">
        <v>277</v>
      </c>
      <c r="BA280" s="4">
        <v>44.895285442469195</v>
      </c>
      <c r="BB280" s="4">
        <v>46.392810697665375</v>
      </c>
      <c r="BC280" s="4">
        <v>48.341201416264276</v>
      </c>
      <c r="BD280" s="4">
        <v>50</v>
      </c>
      <c r="BE280" s="4">
        <v>50</v>
      </c>
    </row>
    <row r="281" spans="29:57" x14ac:dyDescent="0.15">
      <c r="AC281" s="4">
        <f>[1]节奏总纲!AC281</f>
        <v>278</v>
      </c>
      <c r="AD281" s="4">
        <f>[1]节奏总纲!AD281</f>
        <v>81.23490819272746</v>
      </c>
      <c r="AE281" s="4">
        <f>[1]节奏总纲!AE281</f>
        <v>83.327605266312744</v>
      </c>
      <c r="AF281" s="4">
        <f>[1]节奏总纲!AF281</f>
        <v>86.285949830907029</v>
      </c>
      <c r="AG281" s="4">
        <f>[1]节奏总纲!AG281</f>
        <v>91.2841167841611</v>
      </c>
      <c r="AH281" s="4">
        <f>[1]节奏总纲!AH281</f>
        <v>100.1728227465899</v>
      </c>
      <c r="AZ281" s="4">
        <v>278</v>
      </c>
      <c r="BA281" s="4">
        <v>44.921140888773095</v>
      </c>
      <c r="BB281" s="4">
        <v>46.416890751188788</v>
      </c>
      <c r="BC281" s="4">
        <v>48.365130082810438</v>
      </c>
      <c r="BD281" s="4">
        <v>50</v>
      </c>
      <c r="BE281" s="4">
        <v>50</v>
      </c>
    </row>
    <row r="282" spans="29:57" x14ac:dyDescent="0.15">
      <c r="AC282" s="4">
        <f>[1]节奏总纲!AC282</f>
        <v>279</v>
      </c>
      <c r="AD282" s="4">
        <f>[1]节奏总纲!AD282</f>
        <v>81.285688244217212</v>
      </c>
      <c r="AE282" s="4">
        <f>[1]节奏总纲!AE282</f>
        <v>83.378315783683405</v>
      </c>
      <c r="AF282" s="4">
        <f>[1]节奏总纲!AF282</f>
        <v>86.335527523350422</v>
      </c>
      <c r="AG282" s="4">
        <f>[1]节奏总纲!AG282</f>
        <v>91.336869586819319</v>
      </c>
      <c r="AH282" s="4">
        <f>[1]节奏总纲!AH282</f>
        <v>100.22645776197997</v>
      </c>
      <c r="AZ282" s="4">
        <v>279</v>
      </c>
      <c r="BA282" s="4">
        <v>44.946996335076996</v>
      </c>
      <c r="BB282" s="4">
        <v>46.440970804712194</v>
      </c>
      <c r="BC282" s="4">
        <v>48.389058749356593</v>
      </c>
      <c r="BD282" s="4">
        <v>50</v>
      </c>
      <c r="BE282" s="4">
        <v>50</v>
      </c>
    </row>
    <row r="283" spans="29:57" x14ac:dyDescent="0.15">
      <c r="AC283" s="4">
        <f>[1]节奏总纲!AC283</f>
        <v>280</v>
      </c>
      <c r="AD283" s="4">
        <f>[1]节奏总纲!AD283</f>
        <v>81.336468295706965</v>
      </c>
      <c r="AE283" s="4">
        <f>[1]节奏总纲!AE283</f>
        <v>83.429026301054066</v>
      </c>
      <c r="AF283" s="4">
        <f>[1]节奏总纲!AF283</f>
        <v>86.385105215793828</v>
      </c>
      <c r="AG283" s="4">
        <f>[1]节奏总纲!AG283</f>
        <v>91.389622389477552</v>
      </c>
      <c r="AH283" s="4">
        <f>[1]节奏总纲!AH283</f>
        <v>100.28009277737006</v>
      </c>
      <c r="AZ283" s="4">
        <v>280</v>
      </c>
      <c r="BA283" s="4">
        <v>44.972851781380903</v>
      </c>
      <c r="BB283" s="4">
        <v>46.465050858235607</v>
      </c>
      <c r="BC283" s="4">
        <v>48.412987415902748</v>
      </c>
      <c r="BD283" s="4">
        <v>50</v>
      </c>
      <c r="BE283" s="4">
        <v>50</v>
      </c>
    </row>
    <row r="284" spans="29:57" x14ac:dyDescent="0.15">
      <c r="AC284" s="4">
        <f>[1]节奏总纲!AC284</f>
        <v>281</v>
      </c>
      <c r="AD284" s="4">
        <f>[1]节奏总纲!AD284</f>
        <v>81.387248347196717</v>
      </c>
      <c r="AE284" s="4">
        <f>[1]节奏总纲!AE284</f>
        <v>83.479736818424712</v>
      </c>
      <c r="AF284" s="4">
        <f>[1]节奏总纲!AF284</f>
        <v>86.434682908237235</v>
      </c>
      <c r="AG284" s="4">
        <f>[1]节奏总纲!AG284</f>
        <v>91.442375192135771</v>
      </c>
      <c r="AH284" s="4">
        <f>[1]节奏总纲!AH284</f>
        <v>100.33372779276013</v>
      </c>
      <c r="AZ284" s="4">
        <v>281</v>
      </c>
      <c r="BA284" s="4">
        <v>44.998707227684804</v>
      </c>
      <c r="BB284" s="4">
        <v>46.489130911759013</v>
      </c>
      <c r="BC284" s="4">
        <v>48.43691608244891</v>
      </c>
      <c r="BD284" s="4">
        <v>50</v>
      </c>
      <c r="BE284" s="4">
        <v>50</v>
      </c>
    </row>
    <row r="285" spans="29:57" x14ac:dyDescent="0.15">
      <c r="AC285" s="4">
        <f>[1]节奏总纲!AC285</f>
        <v>282</v>
      </c>
      <c r="AD285" s="4">
        <f>[1]节奏总纲!AD285</f>
        <v>81.43802839868647</v>
      </c>
      <c r="AE285" s="4">
        <f>[1]节奏总纲!AE285</f>
        <v>83.530447335795373</v>
      </c>
      <c r="AF285" s="4">
        <f>[1]节奏总纲!AF285</f>
        <v>86.484260600680642</v>
      </c>
      <c r="AG285" s="4">
        <f>[1]节奏总纲!AG285</f>
        <v>91.495127994794004</v>
      </c>
      <c r="AH285" s="4">
        <f>[1]节奏总纲!AH285</f>
        <v>100.3873628081502</v>
      </c>
      <c r="AZ285" s="4">
        <v>282</v>
      </c>
      <c r="BA285" s="4">
        <v>45.021201039060998</v>
      </c>
      <c r="BB285" s="4">
        <v>46.513210965282425</v>
      </c>
      <c r="BC285" s="4">
        <v>48.460844748995065</v>
      </c>
      <c r="BD285" s="4">
        <v>50</v>
      </c>
      <c r="BE285" s="4">
        <v>50</v>
      </c>
    </row>
    <row r="286" spans="29:57" x14ac:dyDescent="0.15">
      <c r="AC286" s="4">
        <f>[1]节奏总纲!AC286</f>
        <v>283</v>
      </c>
      <c r="AD286" s="4">
        <f>[1]节奏总纲!AD286</f>
        <v>81.488808450176222</v>
      </c>
      <c r="AE286" s="4">
        <f>[1]节奏总纲!AE286</f>
        <v>83.581157853166033</v>
      </c>
      <c r="AF286" s="4">
        <f>[1]节奏总纲!AF286</f>
        <v>86.533838293124049</v>
      </c>
      <c r="AG286" s="4">
        <f>[1]节奏总纲!AG286</f>
        <v>91.547880797452237</v>
      </c>
      <c r="AH286" s="4">
        <f>[1]节奏总纲!AH286</f>
        <v>100.44099782354027</v>
      </c>
      <c r="AZ286" s="4">
        <v>283</v>
      </c>
      <c r="BA286" s="4">
        <v>45.043517922283101</v>
      </c>
      <c r="BB286" s="4">
        <v>46.537291018805831</v>
      </c>
      <c r="BC286" s="4">
        <v>48.48477341554122</v>
      </c>
      <c r="BD286" s="4">
        <v>50</v>
      </c>
      <c r="BE286" s="4">
        <v>50</v>
      </c>
    </row>
    <row r="287" spans="29:57" x14ac:dyDescent="0.15">
      <c r="AC287" s="4">
        <f>[1]节奏总纲!AC287</f>
        <v>284</v>
      </c>
      <c r="AD287" s="4">
        <f>[1]节奏总纲!AD287</f>
        <v>81.539588501665975</v>
      </c>
      <c r="AE287" s="4">
        <f>[1]节奏总纲!AE287</f>
        <v>83.631868370536679</v>
      </c>
      <c r="AF287" s="4">
        <f>[1]节奏总纲!AF287</f>
        <v>86.583415985567456</v>
      </c>
      <c r="AG287" s="4">
        <f>[1]节奏总纲!AG287</f>
        <v>91.600633600110456</v>
      </c>
      <c r="AH287" s="4">
        <f>[1]节奏总纲!AH287</f>
        <v>100.49463283893036</v>
      </c>
      <c r="AZ287" s="4">
        <v>284</v>
      </c>
      <c r="BA287" s="4">
        <v>45.065834805505204</v>
      </c>
      <c r="BB287" s="4">
        <v>46.561371072329244</v>
      </c>
      <c r="BC287" s="4">
        <v>48.508702082087382</v>
      </c>
      <c r="BD287" s="4">
        <v>50</v>
      </c>
      <c r="BE287" s="4">
        <v>50</v>
      </c>
    </row>
    <row r="288" spans="29:57" x14ac:dyDescent="0.15">
      <c r="AC288" s="4">
        <f>[1]节奏总纲!AC288</f>
        <v>285</v>
      </c>
      <c r="AD288" s="4">
        <f>[1]节奏总纲!AD288</f>
        <v>81.590368553155727</v>
      </c>
      <c r="AE288" s="4">
        <f>[1]节奏总纲!AE288</f>
        <v>83.68257888790734</v>
      </c>
      <c r="AF288" s="4">
        <f>[1]节奏总纲!AF288</f>
        <v>86.632993678010848</v>
      </c>
      <c r="AG288" s="4">
        <f>[1]节奏总纲!AG288</f>
        <v>91.653386402768689</v>
      </c>
      <c r="AH288" s="4">
        <f>[1]节奏总纲!AH288</f>
        <v>100.54826785432043</v>
      </c>
      <c r="AZ288" s="4">
        <v>285</v>
      </c>
      <c r="BA288" s="4">
        <v>45.088151688727308</v>
      </c>
      <c r="BB288" s="4">
        <v>46.58545112585265</v>
      </c>
      <c r="BC288" s="4">
        <v>48.532630748633537</v>
      </c>
      <c r="BD288" s="4">
        <v>50</v>
      </c>
      <c r="BE288" s="4">
        <v>50</v>
      </c>
    </row>
    <row r="289" spans="29:57" x14ac:dyDescent="0.15">
      <c r="AC289" s="4">
        <f>[1]节奏总纲!AC289</f>
        <v>286</v>
      </c>
      <c r="AD289" s="4">
        <f>[1]节奏总纲!AD289</f>
        <v>81.64114860464548</v>
      </c>
      <c r="AE289" s="4">
        <f>[1]节奏总纲!AE289</f>
        <v>83.733289405278001</v>
      </c>
      <c r="AF289" s="4">
        <f>[1]节奏总纲!AF289</f>
        <v>86.682571370454255</v>
      </c>
      <c r="AG289" s="4">
        <f>[1]节奏总纲!AG289</f>
        <v>91.706139205426922</v>
      </c>
      <c r="AH289" s="4">
        <f>[1]节奏总纲!AH289</f>
        <v>100.6019028697105</v>
      </c>
      <c r="AZ289" s="4">
        <v>286</v>
      </c>
      <c r="BA289" s="4">
        <v>45.110468571949411</v>
      </c>
      <c r="BB289" s="4">
        <v>46.609531179376063</v>
      </c>
      <c r="BC289" s="4">
        <v>48.556559415179692</v>
      </c>
      <c r="BD289" s="4">
        <v>50</v>
      </c>
      <c r="BE289" s="4">
        <v>50</v>
      </c>
    </row>
    <row r="290" spans="29:57" x14ac:dyDescent="0.15">
      <c r="AC290" s="4">
        <f>[1]节奏总纲!AC290</f>
        <v>287</v>
      </c>
      <c r="AD290" s="4">
        <f>[1]节奏总纲!AD290</f>
        <v>81.691928656135218</v>
      </c>
      <c r="AE290" s="4">
        <f>[1]节奏总纲!AE290</f>
        <v>83.783999922648647</v>
      </c>
      <c r="AF290" s="4">
        <f>[1]节奏总纲!AF290</f>
        <v>86.732149062897662</v>
      </c>
      <c r="AG290" s="4">
        <f>[1]节奏总纲!AG290</f>
        <v>91.758892008085141</v>
      </c>
      <c r="AH290" s="4">
        <f>[1]节奏总纲!AH290</f>
        <v>100.65553788510059</v>
      </c>
      <c r="AZ290" s="4">
        <v>287</v>
      </c>
      <c r="BA290" s="4">
        <v>45.132785455171515</v>
      </c>
      <c r="BB290" s="4">
        <v>46.633611232899469</v>
      </c>
      <c r="BC290" s="4">
        <v>48.580488081725846</v>
      </c>
      <c r="BD290" s="4">
        <v>50</v>
      </c>
      <c r="BE290" s="4">
        <v>50</v>
      </c>
    </row>
    <row r="291" spans="29:57" x14ac:dyDescent="0.15">
      <c r="AC291" s="4">
        <f>[1]节奏总纲!AC291</f>
        <v>288</v>
      </c>
      <c r="AD291" s="4">
        <f>[1]节奏总纲!AD291</f>
        <v>81.742708707624971</v>
      </c>
      <c r="AE291" s="4">
        <f>[1]节奏总纲!AE291</f>
        <v>83.834710440019307</v>
      </c>
      <c r="AF291" s="4">
        <f>[1]节奏总纲!AF291</f>
        <v>86.781726755341069</v>
      </c>
      <c r="AG291" s="4">
        <f>[1]节奏总纲!AG291</f>
        <v>91.811644810743374</v>
      </c>
      <c r="AH291" s="4">
        <f>[1]节奏总纲!AH291</f>
        <v>100.70917290049066</v>
      </c>
      <c r="AZ291" s="4">
        <v>288</v>
      </c>
      <c r="BA291" s="4">
        <v>45.155102338393618</v>
      </c>
      <c r="BB291" s="4">
        <v>46.657691286422882</v>
      </c>
      <c r="BC291" s="4">
        <v>48.604416748272008</v>
      </c>
      <c r="BD291" s="4">
        <v>50</v>
      </c>
      <c r="BE291" s="4">
        <v>50</v>
      </c>
    </row>
    <row r="292" spans="29:57" x14ac:dyDescent="0.15">
      <c r="AC292" s="4">
        <f>[1]节奏总纲!AC292</f>
        <v>289</v>
      </c>
      <c r="AD292" s="4">
        <f>[1]节奏总纲!AD292</f>
        <v>81.793488759114723</v>
      </c>
      <c r="AE292" s="4">
        <f>[1]节奏总纲!AE292</f>
        <v>83.885420957389968</v>
      </c>
      <c r="AF292" s="4">
        <f>[1]节奏总纲!AF292</f>
        <v>86.831304447784476</v>
      </c>
      <c r="AG292" s="4">
        <f>[1]节奏总纲!AG292</f>
        <v>91.864397613401607</v>
      </c>
      <c r="AH292" s="4">
        <f>[1]节奏总纲!AH292</f>
        <v>100.76280791588073</v>
      </c>
      <c r="AZ292" s="4">
        <v>289</v>
      </c>
      <c r="BA292" s="4">
        <v>45.177419221615722</v>
      </c>
      <c r="BB292" s="4">
        <v>46.681771339946287</v>
      </c>
      <c r="BC292" s="4">
        <v>48.628345414818163</v>
      </c>
      <c r="BD292" s="4">
        <v>50</v>
      </c>
      <c r="BE292" s="4">
        <v>50</v>
      </c>
    </row>
    <row r="293" spans="29:57" x14ac:dyDescent="0.15">
      <c r="AC293" s="4">
        <f>[1]节奏总纲!AC293</f>
        <v>290</v>
      </c>
      <c r="AD293" s="4">
        <f>[1]节奏总纲!AD293</f>
        <v>81.844268810604476</v>
      </c>
      <c r="AE293" s="4">
        <f>[1]节奏总纲!AE293</f>
        <v>83.936131474760614</v>
      </c>
      <c r="AF293" s="4">
        <f>[1]节奏总纲!AF293</f>
        <v>86.880882140227882</v>
      </c>
      <c r="AG293" s="4">
        <f>[1]节奏总纲!AG293</f>
        <v>91.917150416059826</v>
      </c>
      <c r="AH293" s="4">
        <f>[1]节奏总纲!AH293</f>
        <v>100.8164429312708</v>
      </c>
      <c r="AZ293" s="4">
        <v>290</v>
      </c>
      <c r="BA293" s="4">
        <v>45.199736104837825</v>
      </c>
      <c r="BB293" s="4">
        <v>46.7058513934697</v>
      </c>
      <c r="BC293" s="4">
        <v>48.652274081364318</v>
      </c>
      <c r="BD293" s="4">
        <v>50</v>
      </c>
      <c r="BE293" s="4">
        <v>50</v>
      </c>
    </row>
    <row r="294" spans="29:57" x14ac:dyDescent="0.15">
      <c r="AC294" s="4">
        <f>[1]节奏总纲!AC294</f>
        <v>291</v>
      </c>
      <c r="AD294" s="4">
        <f>[1]节奏总纲!AD294</f>
        <v>81.895048862094228</v>
      </c>
      <c r="AE294" s="4">
        <f>[1]节奏总纲!AE294</f>
        <v>83.986841992131275</v>
      </c>
      <c r="AF294" s="4">
        <f>[1]节奏总纲!AF294</f>
        <v>86.930459832671289</v>
      </c>
      <c r="AG294" s="4">
        <f>[1]节奏总纲!AG294</f>
        <v>91.969903218718059</v>
      </c>
      <c r="AH294" s="4">
        <f>[1]节奏总纲!AH294</f>
        <v>100.87007794666089</v>
      </c>
      <c r="AZ294" s="4">
        <v>291</v>
      </c>
      <c r="BA294" s="4">
        <v>45.222052988059936</v>
      </c>
      <c r="BB294" s="4">
        <v>46.729931446993106</v>
      </c>
      <c r="BC294" s="4">
        <v>48.67620274791048</v>
      </c>
      <c r="BD294" s="4">
        <v>50</v>
      </c>
      <c r="BE294" s="4">
        <v>50</v>
      </c>
    </row>
    <row r="295" spans="29:57" x14ac:dyDescent="0.15">
      <c r="AC295" s="4">
        <f>[1]节奏总纲!AC295</f>
        <v>292</v>
      </c>
      <c r="AD295" s="4">
        <f>[1]节奏总纲!AD295</f>
        <v>81.945828913583981</v>
      </c>
      <c r="AE295" s="4">
        <f>[1]节奏总纲!AE295</f>
        <v>84.036191564035917</v>
      </c>
      <c r="AF295" s="4">
        <f>[1]节奏总纲!AF295</f>
        <v>86.980037525114682</v>
      </c>
      <c r="AG295" s="4">
        <f>[1]节奏总纲!AG295</f>
        <v>92.021521414287719</v>
      </c>
      <c r="AH295" s="4">
        <f>[1]节奏总纲!AH295</f>
        <v>100.92371296205096</v>
      </c>
      <c r="AZ295" s="4">
        <v>292</v>
      </c>
      <c r="BA295" s="4">
        <v>45.244369871282039</v>
      </c>
      <c r="BB295" s="4">
        <v>46.754011500516519</v>
      </c>
      <c r="BC295" s="4">
        <v>48.700131414456635</v>
      </c>
      <c r="BD295" s="4">
        <v>50</v>
      </c>
      <c r="BE295" s="4">
        <v>50</v>
      </c>
    </row>
    <row r="296" spans="29:57" x14ac:dyDescent="0.15">
      <c r="AC296" s="4">
        <f>[1]节奏总纲!AC296</f>
        <v>293</v>
      </c>
      <c r="AD296" s="4">
        <f>[1]节奏总纲!AD296</f>
        <v>81.996608965073733</v>
      </c>
      <c r="AE296" s="4">
        <f>[1]节奏总纲!AE296</f>
        <v>84.085064274836242</v>
      </c>
      <c r="AF296" s="4">
        <f>[1]节奏总纲!AF296</f>
        <v>87.029133791498197</v>
      </c>
      <c r="AG296" s="4">
        <f>[1]节奏总纲!AG296</f>
        <v>92.071632371634976</v>
      </c>
      <c r="AH296" s="4">
        <f>[1]节奏总纲!AH296</f>
        <v>100.97734797744103</v>
      </c>
      <c r="AZ296" s="4">
        <v>293</v>
      </c>
      <c r="BA296" s="4">
        <v>45.266686754504143</v>
      </c>
      <c r="BB296" s="4">
        <v>46.778091554039925</v>
      </c>
      <c r="BC296" s="4">
        <v>48.72406008100279</v>
      </c>
      <c r="BD296" s="4">
        <v>50</v>
      </c>
      <c r="BE296" s="4">
        <v>50</v>
      </c>
    </row>
    <row r="297" spans="29:57" x14ac:dyDescent="0.15">
      <c r="AC297" s="4">
        <f>[1]节奏总纲!AC297</f>
        <v>294</v>
      </c>
      <c r="AD297" s="4">
        <f>[1]节奏总纲!AD297</f>
        <v>82.044215515890215</v>
      </c>
      <c r="AE297" s="4">
        <f>[1]节奏总纲!AE297</f>
        <v>84.133936985636566</v>
      </c>
      <c r="AF297" s="4">
        <f>[1]节奏总纲!AF297</f>
        <v>87.077905547159801</v>
      </c>
      <c r="AG297" s="4">
        <f>[1]节奏总纲!AG297</f>
        <v>92.121743328982234</v>
      </c>
      <c r="AH297" s="4">
        <f>[1]节奏总纲!AH297</f>
        <v>101.02868392415382</v>
      </c>
      <c r="AZ297" s="4">
        <v>294</v>
      </c>
      <c r="BA297" s="4">
        <v>45.289003637726246</v>
      </c>
      <c r="BB297" s="4">
        <v>46.802171607563338</v>
      </c>
      <c r="BC297" s="4">
        <v>48.747988747548945</v>
      </c>
      <c r="BD297" s="4">
        <v>50</v>
      </c>
      <c r="BE297" s="4">
        <v>50</v>
      </c>
    </row>
    <row r="298" spans="29:57" x14ac:dyDescent="0.15">
      <c r="AC298" s="4">
        <f>[1]节奏总纲!AC298</f>
        <v>295</v>
      </c>
      <c r="AD298" s="4">
        <f>[1]节奏总纲!AD298</f>
        <v>82.091594979242089</v>
      </c>
      <c r="AE298" s="4">
        <f>[1]节奏总纲!AE298</f>
        <v>84.182809696436891</v>
      </c>
      <c r="AF298" s="4">
        <f>[1]节奏总纲!AF298</f>
        <v>87.126677302821392</v>
      </c>
      <c r="AG298" s="4">
        <f>[1]节奏总纲!AG298</f>
        <v>92.171854286329506</v>
      </c>
      <c r="AH298" s="4">
        <f>[1]节奏总纲!AH298</f>
        <v>101.07833899530283</v>
      </c>
      <c r="AZ298" s="4">
        <v>295</v>
      </c>
      <c r="BA298" s="4">
        <v>45.31132052094835</v>
      </c>
      <c r="BB298" s="4">
        <v>46.826251661086744</v>
      </c>
      <c r="BC298" s="4">
        <v>48.771917414095107</v>
      </c>
      <c r="BD298" s="4">
        <v>50</v>
      </c>
      <c r="BE298" s="4">
        <v>50</v>
      </c>
    </row>
    <row r="299" spans="29:57" x14ac:dyDescent="0.15">
      <c r="AC299" s="4">
        <f>[1]节奏总纲!AC299</f>
        <v>296</v>
      </c>
      <c r="AD299" s="4">
        <f>[1]节奏总纲!AD299</f>
        <v>82.138974442593963</v>
      </c>
      <c r="AE299" s="4">
        <f>[1]节奏总纲!AE299</f>
        <v>84.23168240723723</v>
      </c>
      <c r="AF299" s="4">
        <f>[1]节奏总纲!AF299</f>
        <v>87.175449058482982</v>
      </c>
      <c r="AG299" s="4">
        <f>[1]节奏总纲!AG299</f>
        <v>92.221965243676763</v>
      </c>
      <c r="AH299" s="4">
        <f>[1]节奏总纲!AH299</f>
        <v>101.12799406645185</v>
      </c>
      <c r="AZ299" s="4">
        <v>296</v>
      </c>
      <c r="BA299" s="4">
        <v>45.333637404170453</v>
      </c>
      <c r="BB299" s="4">
        <v>46.850331714610157</v>
      </c>
      <c r="BC299" s="4">
        <v>48.795846080641262</v>
      </c>
      <c r="BD299" s="4">
        <v>50</v>
      </c>
      <c r="BE299" s="4">
        <v>50</v>
      </c>
    </row>
    <row r="300" spans="29:57" x14ac:dyDescent="0.15">
      <c r="AC300" s="4">
        <f>[1]节奏总纲!AC300</f>
        <v>297</v>
      </c>
      <c r="AD300" s="4">
        <f>[1]节奏总纲!AD300</f>
        <v>82.186353905945836</v>
      </c>
      <c r="AE300" s="4">
        <f>[1]节奏总纲!AE300</f>
        <v>84.280555118037555</v>
      </c>
      <c r="AF300" s="4">
        <f>[1]节奏总纲!AF300</f>
        <v>87.224220814144587</v>
      </c>
      <c r="AG300" s="4">
        <f>[1]节奏总纲!AG300</f>
        <v>92.272076201024021</v>
      </c>
      <c r="AH300" s="4">
        <f>[1]节奏总纲!AH300</f>
        <v>101.17764913760085</v>
      </c>
      <c r="AZ300" s="4">
        <v>297</v>
      </c>
      <c r="BA300" s="4">
        <v>45.355954287392557</v>
      </c>
      <c r="BB300" s="4">
        <v>46.874411768133562</v>
      </c>
      <c r="BC300" s="4">
        <v>48.819774747187417</v>
      </c>
      <c r="BD300" s="4">
        <v>50</v>
      </c>
      <c r="BE300" s="4">
        <v>50</v>
      </c>
    </row>
    <row r="301" spans="29:57" x14ac:dyDescent="0.15">
      <c r="AC301" s="4">
        <f>[1]节奏总纲!AC301</f>
        <v>298</v>
      </c>
      <c r="AD301" s="4">
        <f>[1]节奏总纲!AD301</f>
        <v>82.23373336929771</v>
      </c>
      <c r="AE301" s="4">
        <f>[1]节奏总纲!AE301</f>
        <v>84.329427828837879</v>
      </c>
      <c r="AF301" s="4">
        <f>[1]节奏总纲!AF301</f>
        <v>87.272992569806178</v>
      </c>
      <c r="AG301" s="4">
        <f>[1]节奏总纲!AG301</f>
        <v>92.322187158371293</v>
      </c>
      <c r="AH301" s="4">
        <f>[1]节奏总纲!AH301</f>
        <v>101.22730420874987</v>
      </c>
      <c r="AZ301" s="4">
        <v>298</v>
      </c>
      <c r="BA301" s="4">
        <v>45.37827117061466</v>
      </c>
      <c r="BB301" s="4">
        <v>46.898491821656968</v>
      </c>
      <c r="BC301" s="4">
        <v>48.843703413733579</v>
      </c>
      <c r="BD301" s="4">
        <v>50</v>
      </c>
      <c r="BE301" s="4">
        <v>50</v>
      </c>
    </row>
    <row r="302" spans="29:57" x14ac:dyDescent="0.15">
      <c r="AC302" s="4">
        <f>[1]节奏总纲!AC302</f>
        <v>299</v>
      </c>
      <c r="AD302" s="4">
        <f>[1]节奏总纲!AD302</f>
        <v>82.281112832649583</v>
      </c>
      <c r="AE302" s="4">
        <f>[1]节奏总纲!AE302</f>
        <v>84.378300539638204</v>
      </c>
      <c r="AF302" s="4">
        <f>[1]节奏总纲!AF302</f>
        <v>87.321764325467768</v>
      </c>
      <c r="AG302" s="4">
        <f>[1]节奏总纲!AG302</f>
        <v>92.37229811571855</v>
      </c>
      <c r="AH302" s="4">
        <f>[1]节奏总纲!AH302</f>
        <v>101.27695927989888</v>
      </c>
      <c r="AZ302" s="4">
        <v>299</v>
      </c>
      <c r="BA302" s="4">
        <v>45.400588053836763</v>
      </c>
      <c r="BB302" s="4">
        <v>46.922571875180381</v>
      </c>
      <c r="BC302" s="4">
        <v>48.867632080279733</v>
      </c>
      <c r="BD302" s="4">
        <v>50</v>
      </c>
      <c r="BE302" s="4">
        <v>50</v>
      </c>
    </row>
    <row r="303" spans="29:57" x14ac:dyDescent="0.15">
      <c r="AC303" s="4">
        <f>[1]节奏总纲!AC303</f>
        <v>300</v>
      </c>
      <c r="AD303" s="4">
        <f>[1]节奏总纲!AD303</f>
        <v>82.328492296001457</v>
      </c>
      <c r="AE303" s="4">
        <f>[1]节奏总纲!AE303</f>
        <v>84.427173250438543</v>
      </c>
      <c r="AF303" s="4">
        <f>[1]节奏总纲!AF303</f>
        <v>87.370536081129359</v>
      </c>
      <c r="AG303" s="4">
        <f>[1]节奏总纲!AG303</f>
        <v>92.422409073065808</v>
      </c>
      <c r="AH303" s="4">
        <f>[1]节奏总纲!AH303</f>
        <v>101.32661435104789</v>
      </c>
      <c r="AZ303" s="4">
        <v>300</v>
      </c>
      <c r="BA303" s="4">
        <v>45.422904937058867</v>
      </c>
      <c r="BB303" s="4">
        <v>46.946651928703787</v>
      </c>
      <c r="BC303" s="4">
        <v>48.891560746825888</v>
      </c>
      <c r="BD303" s="4">
        <v>50</v>
      </c>
      <c r="BE303" s="4">
        <v>50</v>
      </c>
    </row>
    <row r="304" spans="29:57" x14ac:dyDescent="0.15">
      <c r="AC304" s="4">
        <f>[1]节奏总纲!AC304</f>
        <v>301</v>
      </c>
      <c r="AD304" s="4">
        <f>[1]节奏总纲!AD304</f>
        <v>82.375871759353331</v>
      </c>
      <c r="AE304" s="4">
        <f>[1]节奏总纲!AE304</f>
        <v>84.476045961238867</v>
      </c>
      <c r="AF304" s="4">
        <f>[1]节奏总纲!AF304</f>
        <v>87.419307836790964</v>
      </c>
      <c r="AG304" s="4">
        <f>[1]节奏总纲!AG304</f>
        <v>92.472520030413079</v>
      </c>
      <c r="AH304" s="4">
        <f>[1]节奏总纲!AH304</f>
        <v>101.3762694221969</v>
      </c>
      <c r="AZ304" s="4">
        <v>301</v>
      </c>
      <c r="BA304" s="4">
        <v>45.44522182028097</v>
      </c>
      <c r="BB304" s="4">
        <v>46.9707319822272</v>
      </c>
      <c r="BC304" s="4">
        <v>48.91548941337205</v>
      </c>
      <c r="BD304" s="4">
        <v>50</v>
      </c>
      <c r="BE304" s="4">
        <v>50</v>
      </c>
    </row>
    <row r="305" spans="29:57" x14ac:dyDescent="0.15">
      <c r="AC305" s="4">
        <f>[1]节奏总纲!AC305</f>
        <v>302</v>
      </c>
      <c r="AD305" s="4">
        <f>[1]节奏总纲!AD305</f>
        <v>82.423251222705204</v>
      </c>
      <c r="AE305" s="4">
        <f>[1]节奏总纲!AE305</f>
        <v>84.524918672039192</v>
      </c>
      <c r="AF305" s="4">
        <f>[1]节奏总纲!AF305</f>
        <v>87.468079592452554</v>
      </c>
      <c r="AG305" s="4">
        <f>[1]节奏总纲!AG305</f>
        <v>92.522630987760337</v>
      </c>
      <c r="AH305" s="4">
        <f>[1]节奏总纲!AH305</f>
        <v>101.42592449334592</v>
      </c>
      <c r="AZ305" s="4">
        <v>302</v>
      </c>
      <c r="BA305" s="4">
        <v>45.467538703503074</v>
      </c>
      <c r="BB305" s="4">
        <v>46.994812035750606</v>
      </c>
      <c r="BC305" s="4">
        <v>48.939418079918205</v>
      </c>
      <c r="BD305" s="4">
        <v>50</v>
      </c>
      <c r="BE305" s="4">
        <v>50</v>
      </c>
    </row>
    <row r="306" spans="29:57" x14ac:dyDescent="0.15">
      <c r="AC306" s="4">
        <f>[1]节奏总纲!AC306</f>
        <v>303</v>
      </c>
      <c r="AD306" s="4">
        <f>[1]节奏总纲!AD306</f>
        <v>82.470630686057078</v>
      </c>
      <c r="AE306" s="4">
        <f>[1]节奏总纲!AE306</f>
        <v>84.573791382839516</v>
      </c>
      <c r="AF306" s="4">
        <f>[1]节奏总纲!AF306</f>
        <v>87.516851348114145</v>
      </c>
      <c r="AG306" s="4">
        <f>[1]节奏总纲!AG306</f>
        <v>92.572741945107595</v>
      </c>
      <c r="AH306" s="4">
        <f>[1]节奏总纲!AH306</f>
        <v>101.47557956449492</v>
      </c>
      <c r="AZ306" s="4">
        <v>303</v>
      </c>
      <c r="BA306" s="4">
        <v>45.489855586725177</v>
      </c>
      <c r="BB306" s="4">
        <v>47.016308935086101</v>
      </c>
      <c r="BC306" s="4">
        <v>48.96334674646436</v>
      </c>
      <c r="BD306" s="4">
        <v>50</v>
      </c>
      <c r="BE306" s="4">
        <v>50</v>
      </c>
    </row>
    <row r="307" spans="29:57" x14ac:dyDescent="0.15">
      <c r="AC307" s="4">
        <f>[1]节奏总纲!AC307</f>
        <v>304</v>
      </c>
      <c r="AD307" s="4">
        <f>[1]节奏总纲!AD307</f>
        <v>82.518010149408951</v>
      </c>
      <c r="AE307" s="4">
        <f>[1]节奏总纲!AE307</f>
        <v>84.622664093639855</v>
      </c>
      <c r="AF307" s="4">
        <f>[1]节奏总纲!AF307</f>
        <v>87.565623103775735</v>
      </c>
      <c r="AG307" s="4">
        <f>[1]节奏总纲!AG307</f>
        <v>92.622852902454852</v>
      </c>
      <c r="AH307" s="4">
        <f>[1]节奏总纲!AH307</f>
        <v>101.52523463564394</v>
      </c>
      <c r="AZ307" s="4">
        <v>304</v>
      </c>
      <c r="BA307" s="4">
        <v>45.512172469947281</v>
      </c>
      <c r="BB307" s="4">
        <v>47.037096473408994</v>
      </c>
      <c r="BC307" s="4">
        <v>48.987275413010522</v>
      </c>
      <c r="BD307" s="4">
        <v>50</v>
      </c>
      <c r="BE307" s="4">
        <v>50</v>
      </c>
    </row>
    <row r="308" spans="29:57" x14ac:dyDescent="0.15">
      <c r="AC308" s="4">
        <f>[1]节奏总纲!AC308</f>
        <v>305</v>
      </c>
      <c r="AD308" s="4">
        <f>[1]节奏总纲!AD308</f>
        <v>82.565389612760825</v>
      </c>
      <c r="AE308" s="4">
        <f>[1]节奏总纲!AE308</f>
        <v>84.67153680444018</v>
      </c>
      <c r="AF308" s="4">
        <f>[1]节奏总纲!AF308</f>
        <v>87.61439485943734</v>
      </c>
      <c r="AG308" s="4">
        <f>[1]节奏总纲!AG308</f>
        <v>92.672963859802124</v>
      </c>
      <c r="AH308" s="4">
        <f>[1]节奏总纲!AH308</f>
        <v>101.57488970679294</v>
      </c>
      <c r="AZ308" s="4">
        <v>305</v>
      </c>
      <c r="BA308" s="4">
        <v>45.534489353169384</v>
      </c>
      <c r="BB308" s="4">
        <v>47.057884011731893</v>
      </c>
      <c r="BC308" s="4">
        <v>49.009673493801003</v>
      </c>
      <c r="BD308" s="4">
        <v>50</v>
      </c>
      <c r="BE308" s="4">
        <v>50</v>
      </c>
    </row>
    <row r="309" spans="29:57" x14ac:dyDescent="0.15">
      <c r="AC309" s="4">
        <f>[1]节奏总纲!AC309</f>
        <v>306</v>
      </c>
      <c r="AD309" s="4">
        <f>[1]节奏总纲!AD309</f>
        <v>82.612769076112698</v>
      </c>
      <c r="AE309" s="4">
        <f>[1]节奏总纲!AE309</f>
        <v>84.720409515240505</v>
      </c>
      <c r="AF309" s="4">
        <f>[1]节奏总纲!AF309</f>
        <v>87.66316661509893</v>
      </c>
      <c r="AG309" s="4">
        <f>[1]节奏总纲!AG309</f>
        <v>92.723074817149381</v>
      </c>
      <c r="AH309" s="4">
        <f>[1]节奏总纲!AH309</f>
        <v>101.62454477794196</v>
      </c>
      <c r="AZ309" s="4">
        <v>306</v>
      </c>
      <c r="BA309" s="4">
        <v>45.556806236391488</v>
      </c>
      <c r="BB309" s="4">
        <v>47.078671550054786</v>
      </c>
      <c r="BC309" s="4">
        <v>49.030333272797542</v>
      </c>
      <c r="BD309" s="4">
        <v>50</v>
      </c>
      <c r="BE309" s="4">
        <v>50</v>
      </c>
    </row>
    <row r="310" spans="29:57" x14ac:dyDescent="0.15">
      <c r="AC310" s="4">
        <f>[1]节奏总纲!AC310</f>
        <v>307</v>
      </c>
      <c r="AD310" s="4">
        <f>[1]节奏总纲!AD310</f>
        <v>82.660148539464572</v>
      </c>
      <c r="AE310" s="4">
        <f>[1]节奏总纲!AE310</f>
        <v>84.769282226040829</v>
      </c>
      <c r="AF310" s="4">
        <f>[1]节奏总纲!AF310</f>
        <v>87.711938370760521</v>
      </c>
      <c r="AG310" s="4">
        <f>[1]节奏总纲!AG310</f>
        <v>92.773185774496639</v>
      </c>
      <c r="AH310" s="4">
        <f>[1]节奏总纲!AH310</f>
        <v>101.67419984909097</v>
      </c>
      <c r="AZ310" s="4">
        <v>307</v>
      </c>
      <c r="BA310" s="4">
        <v>45.579123119613591</v>
      </c>
      <c r="BB310" s="4">
        <v>47.099459088377678</v>
      </c>
      <c r="BC310" s="4">
        <v>49.05099305179408</v>
      </c>
      <c r="BD310" s="4">
        <v>50</v>
      </c>
      <c r="BE310" s="4">
        <v>50</v>
      </c>
    </row>
    <row r="311" spans="29:57" x14ac:dyDescent="0.15">
      <c r="AC311" s="4">
        <f>[1]节奏总纲!AC311</f>
        <v>308</v>
      </c>
      <c r="AD311" s="4">
        <f>[1]节奏总纲!AD311</f>
        <v>82.707528002816446</v>
      </c>
      <c r="AE311" s="4">
        <f>[1]节奏总纲!AE311</f>
        <v>84.818154936841154</v>
      </c>
      <c r="AF311" s="4">
        <f>[1]节奏总纲!AF311</f>
        <v>87.760710126422126</v>
      </c>
      <c r="AG311" s="4">
        <f>[1]节奏总纲!AG311</f>
        <v>92.823296731843911</v>
      </c>
      <c r="AH311" s="4">
        <f>[1]节奏总纲!AH311</f>
        <v>101.72385492023999</v>
      </c>
      <c r="AZ311" s="4">
        <v>308</v>
      </c>
      <c r="BA311" s="4">
        <v>45.601440002835695</v>
      </c>
      <c r="BB311" s="4">
        <v>47.12024662670057</v>
      </c>
      <c r="BC311" s="4">
        <v>49.071652830790612</v>
      </c>
      <c r="BD311" s="4">
        <v>50</v>
      </c>
      <c r="BE311" s="4">
        <v>50</v>
      </c>
    </row>
    <row r="312" spans="29:57" x14ac:dyDescent="0.15">
      <c r="AC312" s="4">
        <f>[1]节奏总纲!AC312</f>
        <v>309</v>
      </c>
      <c r="AD312" s="4">
        <f>[1]节奏总纲!AD312</f>
        <v>82.754907466168319</v>
      </c>
      <c r="AE312" s="4">
        <f>[1]节奏总纲!AE312</f>
        <v>84.867027647641493</v>
      </c>
      <c r="AF312" s="4">
        <f>[1]节奏总纲!AF312</f>
        <v>87.809481882083716</v>
      </c>
      <c r="AG312" s="4">
        <f>[1]节奏总纲!AG312</f>
        <v>92.873407689191168</v>
      </c>
      <c r="AH312" s="4">
        <f>[1]节奏总纲!AH312</f>
        <v>101.77350999138899</v>
      </c>
      <c r="AZ312" s="4">
        <v>309</v>
      </c>
      <c r="BA312" s="4">
        <v>45.623756886057798</v>
      </c>
      <c r="BB312" s="4">
        <v>47.14103416502347</v>
      </c>
      <c r="BC312" s="4">
        <v>49.09231260978715</v>
      </c>
      <c r="BD312" s="4">
        <v>50</v>
      </c>
      <c r="BE312" s="4">
        <v>50</v>
      </c>
    </row>
    <row r="313" spans="29:57" x14ac:dyDescent="0.15">
      <c r="AC313" s="4">
        <f>[1]节奏总纲!AC313</f>
        <v>310</v>
      </c>
      <c r="AD313" s="4">
        <f>[1]节奏总纲!AD313</f>
        <v>82.802286929520193</v>
      </c>
      <c r="AE313" s="4">
        <f>[1]节奏总纲!AE313</f>
        <v>84.915900358441817</v>
      </c>
      <c r="AF313" s="4">
        <f>[1]节奏总纲!AF313</f>
        <v>87.858253637745307</v>
      </c>
      <c r="AG313" s="4">
        <f>[1]节奏总纲!AG313</f>
        <v>92.923518646538426</v>
      </c>
      <c r="AH313" s="4">
        <f>[1]节奏总纲!AH313</f>
        <v>101.82316506253801</v>
      </c>
      <c r="AZ313" s="4">
        <v>310</v>
      </c>
      <c r="BA313" s="4">
        <v>45.646073769279901</v>
      </c>
      <c r="BB313" s="4">
        <v>47.161821703346362</v>
      </c>
      <c r="BC313" s="4">
        <v>49.112972388783689</v>
      </c>
      <c r="BD313" s="4">
        <v>50</v>
      </c>
      <c r="BE313" s="4">
        <v>50</v>
      </c>
    </row>
    <row r="314" spans="29:57" x14ac:dyDescent="0.15">
      <c r="AC314" s="4">
        <f>[1]节奏总纲!AC314</f>
        <v>311</v>
      </c>
      <c r="AD314" s="4">
        <f>[1]节奏总纲!AD314</f>
        <v>82.849666392872066</v>
      </c>
      <c r="AE314" s="4">
        <f>[1]节奏总纲!AE314</f>
        <v>84.964773069242142</v>
      </c>
      <c r="AF314" s="4">
        <f>[1]节奏总纲!AF314</f>
        <v>87.907025393406897</v>
      </c>
      <c r="AG314" s="4">
        <f>[1]节奏总纲!AG314</f>
        <v>92.973629603885698</v>
      </c>
      <c r="AH314" s="4">
        <f>[1]节奏总纲!AH314</f>
        <v>101.87282013368701</v>
      </c>
      <c r="AZ314" s="4">
        <v>311</v>
      </c>
      <c r="BA314" s="4">
        <v>45.668390652502012</v>
      </c>
      <c r="BB314" s="4">
        <v>47.182609241669255</v>
      </c>
      <c r="BC314" s="4">
        <v>49.133632167780227</v>
      </c>
      <c r="BD314" s="4">
        <v>50</v>
      </c>
      <c r="BE314" s="4">
        <v>50</v>
      </c>
    </row>
    <row r="315" spans="29:57" x14ac:dyDescent="0.15">
      <c r="AC315" s="4">
        <f>[1]节奏总纲!AC315</f>
        <v>312</v>
      </c>
      <c r="AD315" s="4">
        <f>[1]节奏总纲!AD315</f>
        <v>82.89704585622394</v>
      </c>
      <c r="AE315" s="4">
        <f>[1]节奏总纲!AE315</f>
        <v>85.012531647506819</v>
      </c>
      <c r="AF315" s="4">
        <f>[1]节奏总纲!AF315</f>
        <v>87.955797149068502</v>
      </c>
      <c r="AG315" s="4">
        <f>[1]节奏总纲!AG315</f>
        <v>93.022367647203353</v>
      </c>
      <c r="AH315" s="4">
        <f>[1]节奏总纲!AH315</f>
        <v>101.92247520483603</v>
      </c>
      <c r="AZ315" s="4">
        <v>312</v>
      </c>
      <c r="BA315" s="4">
        <v>45.690707535724115</v>
      </c>
      <c r="BB315" s="4">
        <v>47.203396779992147</v>
      </c>
      <c r="BC315" s="4">
        <v>49.154291946776759</v>
      </c>
      <c r="BD315" s="4">
        <v>50</v>
      </c>
      <c r="BE315" s="4">
        <v>50</v>
      </c>
    </row>
    <row r="316" spans="29:57" x14ac:dyDescent="0.15">
      <c r="AC316" s="4">
        <f>[1]节奏总纲!AC316</f>
        <v>313</v>
      </c>
      <c r="AD316" s="4">
        <f>[1]节奏总纲!AD316</f>
        <v>82.944425319575814</v>
      </c>
      <c r="AE316" s="4">
        <f>[1]节奏总纲!AE316</f>
        <v>85.057414064088832</v>
      </c>
      <c r="AF316" s="4">
        <f>[1]节奏总纲!AF316</f>
        <v>88.004756197276762</v>
      </c>
      <c r="AG316" s="4">
        <f>[1]节奏总纲!AG316</f>
        <v>93.069580693431178</v>
      </c>
      <c r="AH316" s="4">
        <f>[1]节奏总纲!AH316</f>
        <v>101.97213027598504</v>
      </c>
      <c r="AZ316" s="4">
        <v>313</v>
      </c>
      <c r="BA316" s="4">
        <v>45.713024418946219</v>
      </c>
      <c r="BB316" s="4">
        <v>47.224184318315039</v>
      </c>
      <c r="BC316" s="4">
        <v>49.174951725773298</v>
      </c>
      <c r="BD316" s="4">
        <v>50</v>
      </c>
      <c r="BE316" s="4">
        <v>50</v>
      </c>
    </row>
    <row r="317" spans="29:57" x14ac:dyDescent="0.15">
      <c r="AC317" s="4">
        <f>[1]节奏总纲!AC317</f>
        <v>314</v>
      </c>
      <c r="AD317" s="4">
        <f>[1]节奏总纲!AD317</f>
        <v>82.991804782927687</v>
      </c>
      <c r="AE317" s="4">
        <f>[1]节奏总纲!AE317</f>
        <v>85.10229648067083</v>
      </c>
      <c r="AF317" s="4">
        <f>[1]节奏总纲!AF317</f>
        <v>88.05552724748766</v>
      </c>
      <c r="AG317" s="4">
        <f>[1]节奏总纲!AG317</f>
        <v>93.116793739659002</v>
      </c>
      <c r="AH317" s="4">
        <f>[1]节奏总纲!AH317</f>
        <v>102.01969836502204</v>
      </c>
      <c r="AZ317" s="4">
        <v>314</v>
      </c>
      <c r="BA317" s="4">
        <v>45.735341302168322</v>
      </c>
      <c r="BB317" s="4">
        <v>47.244971856637939</v>
      </c>
      <c r="BC317" s="4">
        <v>49.195611504769836</v>
      </c>
      <c r="BD317" s="4">
        <v>50</v>
      </c>
      <c r="BE317" s="4">
        <v>50</v>
      </c>
    </row>
    <row r="318" spans="29:57" x14ac:dyDescent="0.15">
      <c r="AC318" s="4">
        <f>[1]节奏总纲!AC318</f>
        <v>315</v>
      </c>
      <c r="AD318" s="4">
        <f>[1]节奏总纲!AD318</f>
        <v>83.03656019452734</v>
      </c>
      <c r="AE318" s="4">
        <f>[1]节奏总纲!AE318</f>
        <v>85.147178897252829</v>
      </c>
      <c r="AF318" s="4">
        <f>[1]节奏总纲!AF318</f>
        <v>88.106298297698572</v>
      </c>
      <c r="AG318" s="4">
        <f>[1]节奏总纲!AG318</f>
        <v>93.164006785886826</v>
      </c>
      <c r="AH318" s="4">
        <f>[1]节奏总纲!AH318</f>
        <v>102.06459660376342</v>
      </c>
      <c r="AZ318" s="4">
        <v>315</v>
      </c>
      <c r="BA318" s="4">
        <v>45.757658185390426</v>
      </c>
      <c r="BB318" s="4">
        <v>47.265759394960831</v>
      </c>
      <c r="BC318" s="4">
        <v>49.216271283766375</v>
      </c>
      <c r="BD318" s="4">
        <v>50</v>
      </c>
      <c r="BE318" s="4">
        <v>50</v>
      </c>
    </row>
    <row r="319" spans="29:57" x14ac:dyDescent="0.15">
      <c r="AC319" s="4">
        <f>[1]节奏总纲!AC319</f>
        <v>316</v>
      </c>
      <c r="AD319" s="4">
        <f>[1]节奏总纲!AD319</f>
        <v>83.080766796955942</v>
      </c>
      <c r="AE319" s="4">
        <f>[1]节奏总纲!AE319</f>
        <v>85.192061313834827</v>
      </c>
      <c r="AF319" s="4">
        <f>[1]节奏总纲!AF319</f>
        <v>88.15706934790947</v>
      </c>
      <c r="AG319" s="4">
        <f>[1]节奏总纲!AG319</f>
        <v>93.211219832114651</v>
      </c>
      <c r="AH319" s="4">
        <f>[1]节奏总纲!AH319</f>
        <v>102.1094948425048</v>
      </c>
      <c r="AZ319" s="4">
        <v>316</v>
      </c>
      <c r="BA319" s="4">
        <v>45.779975068612529</v>
      </c>
      <c r="BB319" s="4">
        <v>47.286546933283724</v>
      </c>
      <c r="BC319" s="4">
        <v>49.236931062762913</v>
      </c>
      <c r="BD319" s="4">
        <v>50</v>
      </c>
      <c r="BE319" s="4">
        <v>50</v>
      </c>
    </row>
    <row r="320" spans="29:57" x14ac:dyDescent="0.15">
      <c r="AC320" s="4">
        <f>[1]节奏总纲!AC320</f>
        <v>317</v>
      </c>
      <c r="AD320" s="4">
        <f>[1]节奏总纲!AD320</f>
        <v>83.124973399384558</v>
      </c>
      <c r="AE320" s="4">
        <f>[1]节奏总纲!AE320</f>
        <v>85.236943730416826</v>
      </c>
      <c r="AF320" s="4">
        <f>[1]节奏总纲!AF320</f>
        <v>88.207840398120382</v>
      </c>
      <c r="AG320" s="4">
        <f>[1]节奏总纲!AG320</f>
        <v>93.258432878342475</v>
      </c>
      <c r="AH320" s="4">
        <f>[1]节奏总纲!AH320</f>
        <v>102.15439308124618</v>
      </c>
      <c r="AZ320" s="4">
        <v>317</v>
      </c>
      <c r="BA320" s="4">
        <v>45.802291951834633</v>
      </c>
      <c r="BB320" s="4">
        <v>47.307334471606616</v>
      </c>
      <c r="BC320" s="4">
        <v>49.257590841759445</v>
      </c>
      <c r="BD320" s="4">
        <v>50</v>
      </c>
      <c r="BE320" s="4">
        <v>50</v>
      </c>
    </row>
    <row r="321" spans="29:57" x14ac:dyDescent="0.15">
      <c r="AC321" s="4">
        <f>[1]节奏总纲!AC321</f>
        <v>318</v>
      </c>
      <c r="AD321" s="4">
        <f>[1]节奏总纲!AD321</f>
        <v>83.16918000181316</v>
      </c>
      <c r="AE321" s="4">
        <f>[1]节奏总纲!AE321</f>
        <v>85.281826146998839</v>
      </c>
      <c r="AF321" s="4">
        <f>[1]节奏总纲!AF321</f>
        <v>88.258611448331294</v>
      </c>
      <c r="AG321" s="4">
        <f>[1]节奏总纲!AG321</f>
        <v>93.3056459245703</v>
      </c>
      <c r="AH321" s="4">
        <f>[1]节奏总纲!AH321</f>
        <v>102.19929131998755</v>
      </c>
      <c r="AZ321" s="4">
        <v>318</v>
      </c>
      <c r="BA321" s="4">
        <v>45.824608835056736</v>
      </c>
      <c r="BB321" s="4">
        <v>47.328122009929508</v>
      </c>
      <c r="BC321" s="4">
        <v>49.278250620755983</v>
      </c>
      <c r="BD321" s="4">
        <v>50</v>
      </c>
      <c r="BE321" s="4">
        <v>50</v>
      </c>
    </row>
    <row r="322" spans="29:57" x14ac:dyDescent="0.15">
      <c r="AC322" s="4">
        <f>[1]节奏总纲!AC322</f>
        <v>319</v>
      </c>
      <c r="AD322" s="4">
        <f>[1]节奏总纲!AD322</f>
        <v>83.213386604241776</v>
      </c>
      <c r="AE322" s="4">
        <f>[1]节奏总纲!AE322</f>
        <v>85.326708563580837</v>
      </c>
      <c r="AF322" s="4">
        <f>[1]节奏总纲!AF322</f>
        <v>88.309382498542192</v>
      </c>
      <c r="AG322" s="4">
        <f>[1]节奏总纲!AG322</f>
        <v>93.352858970798124</v>
      </c>
      <c r="AH322" s="4">
        <f>[1]节奏总纲!AH322</f>
        <v>102.24418955872893</v>
      </c>
      <c r="AZ322" s="4">
        <v>319</v>
      </c>
      <c r="BA322" s="4">
        <v>45.84692571827884</v>
      </c>
      <c r="BB322" s="4">
        <v>47.348909548252408</v>
      </c>
      <c r="BC322" s="4">
        <v>49.298910399752522</v>
      </c>
      <c r="BD322" s="4">
        <v>50</v>
      </c>
      <c r="BE322" s="4">
        <v>50</v>
      </c>
    </row>
    <row r="323" spans="29:57" x14ac:dyDescent="0.15">
      <c r="AC323" s="4">
        <f>[1]节奏总纲!AC323</f>
        <v>320</v>
      </c>
      <c r="AD323" s="4">
        <f>[1]节奏总纲!AD323</f>
        <v>83.257593206670379</v>
      </c>
      <c r="AE323" s="4">
        <f>[1]节奏总纲!AE323</f>
        <v>85.371590980162836</v>
      </c>
      <c r="AF323" s="4">
        <f>[1]节奏总纲!AF323</f>
        <v>88.360153548753104</v>
      </c>
      <c r="AG323" s="4">
        <f>[1]节奏总纲!AG323</f>
        <v>93.400072017025948</v>
      </c>
      <c r="AH323" s="4">
        <f>[1]节奏总纲!AH323</f>
        <v>102.28908779747032</v>
      </c>
      <c r="AZ323" s="4">
        <v>320</v>
      </c>
      <c r="BA323" s="4">
        <v>45.869242601500943</v>
      </c>
      <c r="BB323" s="4">
        <v>47.3696970865753</v>
      </c>
      <c r="BC323" s="4">
        <v>49.319570178749061</v>
      </c>
      <c r="BD323" s="4">
        <v>50</v>
      </c>
      <c r="BE323" s="4">
        <v>50</v>
      </c>
    </row>
    <row r="324" spans="29:57" x14ac:dyDescent="0.15">
      <c r="AC324" s="4">
        <f>[1]节奏总纲!AC324</f>
        <v>321</v>
      </c>
      <c r="AD324" s="4">
        <f>[1]节奏总纲!AD324</f>
        <v>83.301799809098995</v>
      </c>
      <c r="AE324" s="4">
        <f>[1]节奏总纲!AE324</f>
        <v>85.416473396744834</v>
      </c>
      <c r="AF324" s="4">
        <f>[1]节奏总纲!AF324</f>
        <v>88.410924598964016</v>
      </c>
      <c r="AG324" s="4">
        <f>[1]节奏总纲!AG324</f>
        <v>93.447285063253773</v>
      </c>
      <c r="AH324" s="4">
        <f>[1]节奏总纲!AH324</f>
        <v>102.3339860362117</v>
      </c>
      <c r="AZ324" s="4">
        <v>321</v>
      </c>
      <c r="BA324" s="4">
        <v>45.891559484723047</v>
      </c>
      <c r="BB324" s="4">
        <v>47.390484624898193</v>
      </c>
      <c r="BC324" s="4">
        <v>49.340229957745592</v>
      </c>
      <c r="BD324" s="4">
        <v>50</v>
      </c>
      <c r="BE324" s="4">
        <v>50</v>
      </c>
    </row>
    <row r="325" spans="29:57" x14ac:dyDescent="0.15">
      <c r="AC325" s="4">
        <f>[1]节奏总纲!AC325</f>
        <v>322</v>
      </c>
      <c r="AD325" s="4">
        <f>[1]节奏总纲!AD325</f>
        <v>83.346006411527597</v>
      </c>
      <c r="AE325" s="4">
        <f>[1]节奏总纲!AE325</f>
        <v>85.461355813326847</v>
      </c>
      <c r="AF325" s="4">
        <f>[1]节奏总纲!AF325</f>
        <v>88.461695649174914</v>
      </c>
      <c r="AG325" s="4">
        <f>[1]节奏总纲!AG325</f>
        <v>93.494498109481597</v>
      </c>
      <c r="AH325" s="4">
        <f>[1]节奏总纲!AH325</f>
        <v>102.37888427495307</v>
      </c>
      <c r="AZ325" s="4">
        <v>322</v>
      </c>
      <c r="BA325" s="4">
        <v>45.91387636794515</v>
      </c>
      <c r="BB325" s="4">
        <v>47.411272163221085</v>
      </c>
      <c r="BC325" s="4">
        <v>49.360889736742131</v>
      </c>
      <c r="BD325" s="4">
        <v>50</v>
      </c>
      <c r="BE325" s="4">
        <v>50</v>
      </c>
    </row>
    <row r="326" spans="29:57" x14ac:dyDescent="0.15">
      <c r="AC326" s="4">
        <f>[1]节奏总纲!AC326</f>
        <v>323</v>
      </c>
      <c r="AD326" s="4">
        <f>[1]节奏总纲!AD326</f>
        <v>83.390213013956213</v>
      </c>
      <c r="AE326" s="4">
        <f>[1]节奏总纲!AE326</f>
        <v>85.506238229908845</v>
      </c>
      <c r="AF326" s="4">
        <f>[1]节奏总纲!AF326</f>
        <v>88.512466699385826</v>
      </c>
      <c r="AG326" s="4">
        <f>[1]节奏总纲!AG326</f>
        <v>93.541711155709422</v>
      </c>
      <c r="AH326" s="4">
        <f>[1]节奏总纲!AH326</f>
        <v>102.42378251369445</v>
      </c>
      <c r="AZ326" s="4">
        <v>323</v>
      </c>
      <c r="BA326" s="4">
        <v>45.936193251167253</v>
      </c>
      <c r="BB326" s="4">
        <v>47.432059701543984</v>
      </c>
      <c r="BC326" s="4">
        <v>49.381549515738669</v>
      </c>
      <c r="BD326" s="4">
        <v>50</v>
      </c>
      <c r="BE326" s="4">
        <v>50</v>
      </c>
    </row>
    <row r="327" spans="29:57" x14ac:dyDescent="0.15">
      <c r="AC327" s="4">
        <f>[1]节奏总纲!AC327</f>
        <v>324</v>
      </c>
      <c r="AD327" s="4">
        <f>[1]节奏总纲!AD327</f>
        <v>83.434419616384815</v>
      </c>
      <c r="AE327" s="4">
        <f>[1]节奏总纲!AE327</f>
        <v>85.551120646490844</v>
      </c>
      <c r="AF327" s="4">
        <f>[1]节奏总纲!AF327</f>
        <v>88.563237749596723</v>
      </c>
      <c r="AG327" s="4">
        <f>[1]节奏总纲!AG327</f>
        <v>93.588924201937246</v>
      </c>
      <c r="AH327" s="4">
        <f>[1]节奏总纲!AH327</f>
        <v>102.46868075243583</v>
      </c>
      <c r="AZ327" s="4">
        <v>324</v>
      </c>
      <c r="BA327" s="4">
        <v>45.958510134389357</v>
      </c>
      <c r="BB327" s="4">
        <v>47.452847239866877</v>
      </c>
      <c r="BC327" s="4">
        <v>49.402209294735208</v>
      </c>
      <c r="BD327" s="4">
        <v>50</v>
      </c>
      <c r="BE327" s="4">
        <v>50</v>
      </c>
    </row>
    <row r="328" spans="29:57" x14ac:dyDescent="0.15">
      <c r="AC328" s="4">
        <f>[1]节奏总纲!AC328</f>
        <v>325</v>
      </c>
      <c r="AD328" s="4">
        <f>[1]节奏总纲!AD328</f>
        <v>83.478626218813432</v>
      </c>
      <c r="AE328" s="4">
        <f>[1]节奏总纲!AE328</f>
        <v>85.596003063072843</v>
      </c>
      <c r="AF328" s="4">
        <f>[1]节奏总纲!AF328</f>
        <v>88.614008799807635</v>
      </c>
      <c r="AG328" s="4">
        <f>[1]节奏总纲!AG328</f>
        <v>93.63613724816507</v>
      </c>
      <c r="AH328" s="4">
        <f>[1]节奏总纲!AH328</f>
        <v>102.51357899117721</v>
      </c>
      <c r="AZ328" s="4">
        <v>325</v>
      </c>
      <c r="BA328" s="4">
        <v>45.98082701761146</v>
      </c>
      <c r="BB328" s="4">
        <v>47.473634778189769</v>
      </c>
      <c r="BC328" s="4">
        <v>49.422869073731739</v>
      </c>
      <c r="BD328" s="4">
        <v>50</v>
      </c>
      <c r="BE328" s="4">
        <v>50</v>
      </c>
    </row>
    <row r="329" spans="29:57" x14ac:dyDescent="0.15">
      <c r="AC329" s="4">
        <f>[1]节奏总纲!AC329</f>
        <v>326</v>
      </c>
      <c r="AD329" s="4">
        <f>[1]节奏总纲!AD329</f>
        <v>83.522832821242034</v>
      </c>
      <c r="AE329" s="4">
        <f>[1]节奏总纲!AE329</f>
        <v>85.640885479654855</v>
      </c>
      <c r="AF329" s="4">
        <f>[1]节奏总纲!AF329</f>
        <v>88.664779850018547</v>
      </c>
      <c r="AG329" s="4">
        <f>[1]节奏总纲!AG329</f>
        <v>93.683350294392895</v>
      </c>
      <c r="AH329" s="4">
        <f>[1]节奏总纲!AH329</f>
        <v>102.55847722991859</v>
      </c>
      <c r="AZ329" s="4">
        <v>326</v>
      </c>
      <c r="BA329" s="4">
        <v>46.002713830586146</v>
      </c>
      <c r="BB329" s="4">
        <v>47.494422316512662</v>
      </c>
      <c r="BC329" s="4">
        <v>49.443528852728278</v>
      </c>
      <c r="BD329" s="4">
        <v>50</v>
      </c>
      <c r="BE329" s="4">
        <v>50</v>
      </c>
    </row>
    <row r="330" spans="29:57" x14ac:dyDescent="0.15">
      <c r="AC330" s="4">
        <f>[1]节奏总纲!AC330</f>
        <v>327</v>
      </c>
      <c r="AD330" s="4">
        <f>[1]节奏总纲!AD330</f>
        <v>83.56703942367065</v>
      </c>
      <c r="AE330" s="4">
        <f>[1]节奏总纲!AE330</f>
        <v>85.685767896236854</v>
      </c>
      <c r="AF330" s="4">
        <f>[1]节奏总纲!AF330</f>
        <v>88.715550900229445</v>
      </c>
      <c r="AG330" s="4">
        <f>[1]节奏总纲!AG330</f>
        <v>93.730563340620719</v>
      </c>
      <c r="AH330" s="4">
        <f>[1]节奏总纲!AH330</f>
        <v>102.60337546865996</v>
      </c>
      <c r="AZ330" s="4">
        <v>327</v>
      </c>
      <c r="BA330" s="4">
        <v>46.021977873404879</v>
      </c>
      <c r="BB330" s="4">
        <v>47.515209854835554</v>
      </c>
      <c r="BC330" s="4">
        <v>49.464188631724817</v>
      </c>
      <c r="BD330" s="4">
        <v>50</v>
      </c>
      <c r="BE330" s="4">
        <v>50</v>
      </c>
    </row>
    <row r="331" spans="29:57" x14ac:dyDescent="0.15">
      <c r="AC331" s="4">
        <f>[1]节奏总纲!AC331</f>
        <v>328</v>
      </c>
      <c r="AD331" s="4">
        <f>[1]节奏总纲!AD331</f>
        <v>83.611246026099252</v>
      </c>
      <c r="AE331" s="4">
        <f>[1]节奏总纲!AE331</f>
        <v>85.730650312818852</v>
      </c>
      <c r="AF331" s="4">
        <f>[1]节奏总纲!AF331</f>
        <v>88.766321950440357</v>
      </c>
      <c r="AG331" s="4">
        <f>[1]节奏总纲!AG331</f>
        <v>93.777776386848544</v>
      </c>
      <c r="AH331" s="4">
        <f>[1]节奏总纲!AH331</f>
        <v>102.64827370740134</v>
      </c>
      <c r="AZ331" s="4">
        <v>328</v>
      </c>
      <c r="BA331" s="4">
        <v>46.041241916223605</v>
      </c>
      <c r="BB331" s="4">
        <v>47.535997393158453</v>
      </c>
      <c r="BC331" s="4">
        <v>49.484848410721355</v>
      </c>
      <c r="BD331" s="4">
        <v>50</v>
      </c>
      <c r="BE331" s="4">
        <v>50</v>
      </c>
    </row>
    <row r="332" spans="29:57" x14ac:dyDescent="0.15">
      <c r="AC332" s="4">
        <f>[1]节奏总纲!AC332</f>
        <v>329</v>
      </c>
      <c r="AD332" s="4">
        <f>[1]节奏总纲!AD332</f>
        <v>83.655452628527868</v>
      </c>
      <c r="AE332" s="4">
        <f>[1]节奏总纲!AE332</f>
        <v>85.775532729400851</v>
      </c>
      <c r="AF332" s="4">
        <f>[1]节奏总纲!AF332</f>
        <v>88.817093000651269</v>
      </c>
      <c r="AG332" s="4">
        <f>[1]节奏总纲!AG332</f>
        <v>93.824989433076368</v>
      </c>
      <c r="AH332" s="4">
        <f>[1]节奏总纲!AH332</f>
        <v>102.69317194614273</v>
      </c>
      <c r="AZ332" s="4">
        <v>329</v>
      </c>
      <c r="BA332" s="4">
        <v>46.060505959042331</v>
      </c>
      <c r="BB332" s="4">
        <v>47.556784931481346</v>
      </c>
      <c r="BC332" s="4">
        <v>49.505508189717887</v>
      </c>
      <c r="BD332" s="4">
        <v>50</v>
      </c>
      <c r="BE332" s="4">
        <v>50</v>
      </c>
    </row>
    <row r="333" spans="29:57" x14ac:dyDescent="0.15">
      <c r="AC333" s="4">
        <f>[1]节奏总纲!AC333</f>
        <v>330</v>
      </c>
      <c r="AD333" s="4">
        <f>[1]节奏总纲!AD333</f>
        <v>83.69965923095647</v>
      </c>
      <c r="AE333" s="4">
        <f>[1]节奏总纲!AE333</f>
        <v>85.820415145982849</v>
      </c>
      <c r="AF333" s="4">
        <f>[1]节奏总纲!AF333</f>
        <v>88.867864050862167</v>
      </c>
      <c r="AG333" s="4">
        <f>[1]节奏总纲!AG333</f>
        <v>93.872202479304192</v>
      </c>
      <c r="AH333" s="4">
        <f>[1]节奏总纲!AH333</f>
        <v>102.73807018488411</v>
      </c>
      <c r="AZ333" s="4">
        <v>330</v>
      </c>
      <c r="BA333" s="4">
        <v>46.079770001861057</v>
      </c>
      <c r="BB333" s="4">
        <v>47.577572469804238</v>
      </c>
      <c r="BC333" s="4">
        <v>49.526167968714425</v>
      </c>
      <c r="BD333" s="4">
        <v>50</v>
      </c>
      <c r="BE333" s="4">
        <v>50</v>
      </c>
    </row>
    <row r="334" spans="29:57" x14ac:dyDescent="0.15">
      <c r="AC334" s="4">
        <f>[1]节奏总纲!AC334</f>
        <v>331</v>
      </c>
      <c r="AD334" s="4">
        <f>[1]节奏总纲!AD334</f>
        <v>83.743865833385087</v>
      </c>
      <c r="AE334" s="4">
        <f>[1]节奏总纲!AE334</f>
        <v>85.865297562564862</v>
      </c>
      <c r="AF334" s="4">
        <f>[1]节奏总纲!AF334</f>
        <v>88.918635101073079</v>
      </c>
      <c r="AG334" s="4">
        <f>[1]节奏总纲!AG334</f>
        <v>93.919415525532017</v>
      </c>
      <c r="AH334" s="4">
        <f>[1]节奏总纲!AH334</f>
        <v>102.78296842362549</v>
      </c>
      <c r="AZ334" s="4">
        <v>331</v>
      </c>
      <c r="BA334" s="4">
        <v>46.099034044679783</v>
      </c>
      <c r="BB334" s="4">
        <v>47.598360008127131</v>
      </c>
      <c r="BC334" s="4">
        <v>49.546827747710964</v>
      </c>
      <c r="BD334" s="4">
        <v>50</v>
      </c>
      <c r="BE334" s="4">
        <v>50</v>
      </c>
    </row>
    <row r="335" spans="29:57" x14ac:dyDescent="0.15">
      <c r="AC335" s="4">
        <f>[1]节奏总纲!AC335</f>
        <v>332</v>
      </c>
      <c r="AD335" s="4">
        <f>[1]节奏总纲!AD335</f>
        <v>83.788072435813689</v>
      </c>
      <c r="AE335" s="4">
        <f>[1]节奏总纲!AE335</f>
        <v>85.910179979146861</v>
      </c>
      <c r="AF335" s="4">
        <f>[1]节奏总纲!AF335</f>
        <v>88.969406151283977</v>
      </c>
      <c r="AG335" s="4">
        <f>[1]节奏总纲!AG335</f>
        <v>93.966628571759841</v>
      </c>
      <c r="AH335" s="4">
        <f>[1]节奏总纲!AH335</f>
        <v>102.82786666236686</v>
      </c>
      <c r="AZ335" s="4">
        <v>332</v>
      </c>
      <c r="BA335" s="4">
        <v>46.118298087498509</v>
      </c>
      <c r="BB335" s="4">
        <v>47.619147546450023</v>
      </c>
      <c r="BC335" s="4">
        <v>49.567487526707502</v>
      </c>
      <c r="BD335" s="4">
        <v>50</v>
      </c>
      <c r="BE335" s="4">
        <v>50</v>
      </c>
    </row>
    <row r="336" spans="29:57" x14ac:dyDescent="0.15">
      <c r="AC336" s="4">
        <f>[1]节奏总纲!AC336</f>
        <v>333</v>
      </c>
      <c r="AD336" s="4">
        <f>[1]节奏总纲!AD336</f>
        <v>83.832279038242305</v>
      </c>
      <c r="AE336" s="4">
        <f>[1]节奏总纲!AE336</f>
        <v>85.955062395728859</v>
      </c>
      <c r="AF336" s="4">
        <f>[1]节奏总纲!AF336</f>
        <v>89.018466905731287</v>
      </c>
      <c r="AG336" s="4">
        <f>[1]节奏总纲!AG336</f>
        <v>94.012923283729691</v>
      </c>
      <c r="AH336" s="4">
        <f>[1]节奏总纲!AH336</f>
        <v>102.87276490110824</v>
      </c>
      <c r="AZ336" s="4">
        <v>333</v>
      </c>
      <c r="BA336" s="4">
        <v>46.137562130317242</v>
      </c>
      <c r="BB336" s="4">
        <v>47.639935084772922</v>
      </c>
      <c r="BC336" s="4">
        <v>49.588147305704041</v>
      </c>
      <c r="BD336" s="4">
        <v>50</v>
      </c>
      <c r="BE336" s="4">
        <v>50</v>
      </c>
    </row>
    <row r="337" spans="29:57" x14ac:dyDescent="0.15">
      <c r="AC337" s="4">
        <f>[1]节奏总纲!AC337</f>
        <v>334</v>
      </c>
      <c r="AD337" s="4">
        <f>[1]节奏总纲!AD337</f>
        <v>83.876485640670907</v>
      </c>
      <c r="AE337" s="4">
        <f>[1]节奏总纲!AE337</f>
        <v>85.999944812310858</v>
      </c>
      <c r="AF337" s="4">
        <f>[1]节奏总纲!AF337</f>
        <v>89.064934410075779</v>
      </c>
      <c r="AG337" s="4">
        <f>[1]节奏总纲!AG337</f>
        <v>94.057003939090123</v>
      </c>
      <c r="AH337" s="4">
        <f>[1]节奏总纲!AH337</f>
        <v>102.91766313984962</v>
      </c>
      <c r="AZ337" s="4">
        <v>334</v>
      </c>
      <c r="BA337" s="4">
        <v>46.156826173135968</v>
      </c>
      <c r="BB337" s="4">
        <v>47.660722623095815</v>
      </c>
      <c r="BC337" s="4">
        <v>49.608807084700572</v>
      </c>
      <c r="BD337" s="4">
        <v>50</v>
      </c>
      <c r="BE337" s="4">
        <v>50</v>
      </c>
    </row>
    <row r="338" spans="29:57" x14ac:dyDescent="0.15">
      <c r="AC338" s="4">
        <f>[1]节奏总纲!AC338</f>
        <v>335</v>
      </c>
      <c r="AD338" s="4">
        <f>[1]节奏总纲!AD338</f>
        <v>83.920692243099523</v>
      </c>
      <c r="AE338" s="4">
        <f>[1]节奏总纲!AE338</f>
        <v>86.041129946887025</v>
      </c>
      <c r="AF338" s="4">
        <f>[1]节奏总纲!AF338</f>
        <v>89.11140191442027</v>
      </c>
      <c r="AG338" s="4">
        <f>[1]节奏总纲!AG338</f>
        <v>94.101084594450555</v>
      </c>
      <c r="AH338" s="4">
        <f>[1]节奏总纲!AH338</f>
        <v>102.962561378591</v>
      </c>
      <c r="AZ338" s="4">
        <v>335</v>
      </c>
      <c r="BA338" s="4">
        <v>46.176090215954694</v>
      </c>
      <c r="BB338" s="4">
        <v>47.681510161418707</v>
      </c>
      <c r="BC338" s="4">
        <v>49.629466863697111</v>
      </c>
      <c r="BD338" s="4">
        <v>50</v>
      </c>
      <c r="BE338" s="4">
        <v>50</v>
      </c>
    </row>
    <row r="339" spans="29:57" x14ac:dyDescent="0.15">
      <c r="AC339" s="4">
        <f>[1]节奏总纲!AC339</f>
        <v>336</v>
      </c>
      <c r="AD339" s="4">
        <f>[1]节奏总纲!AD339</f>
        <v>83.964898845528126</v>
      </c>
      <c r="AE339" s="4">
        <f>[1]节奏总纲!AE339</f>
        <v>86.082310529666103</v>
      </c>
      <c r="AF339" s="4">
        <f>[1]节奏总纲!AF339</f>
        <v>89.157869418764761</v>
      </c>
      <c r="AG339" s="4">
        <f>[1]节奏总纲!AG339</f>
        <v>94.145165249810972</v>
      </c>
      <c r="AH339" s="4">
        <f>[1]节奏总纲!AH339</f>
        <v>103.00673656424885</v>
      </c>
      <c r="AZ339" s="4">
        <v>336</v>
      </c>
      <c r="BA339" s="4">
        <v>46.19535425877342</v>
      </c>
      <c r="BB339" s="4">
        <v>47.7022976997416</v>
      </c>
      <c r="BC339" s="4">
        <v>49.65012664269365</v>
      </c>
      <c r="BD339" s="4">
        <v>50</v>
      </c>
      <c r="BE339" s="4">
        <v>50</v>
      </c>
    </row>
    <row r="340" spans="29:57" x14ac:dyDescent="0.15">
      <c r="AC340" s="4">
        <f>[1]节奏总纲!AC340</f>
        <v>337</v>
      </c>
      <c r="AD340" s="4">
        <f>[1]节奏总纲!AD340</f>
        <v>84.008495683346354</v>
      </c>
      <c r="AE340" s="4">
        <f>[1]节奏总纲!AE340</f>
        <v>86.12349111244518</v>
      </c>
      <c r="AF340" s="4">
        <f>[1]节奏总纲!AF340</f>
        <v>89.204336923109267</v>
      </c>
      <c r="AG340" s="4">
        <f>[1]节奏总纲!AG340</f>
        <v>94.189245905171404</v>
      </c>
      <c r="AH340" s="4">
        <f>[1]节奏总纲!AH340</f>
        <v>103.04728286259964</v>
      </c>
      <c r="AZ340" s="4">
        <v>337</v>
      </c>
      <c r="BA340" s="4">
        <v>46.214618301592147</v>
      </c>
      <c r="BB340" s="4">
        <v>47.723085238064499</v>
      </c>
      <c r="BC340" s="4">
        <v>49.670786421690188</v>
      </c>
      <c r="BD340" s="4">
        <v>50</v>
      </c>
      <c r="BE340" s="4">
        <v>50</v>
      </c>
    </row>
    <row r="341" spans="29:57" x14ac:dyDescent="0.15">
      <c r="AC341" s="4">
        <f>[1]节奏总纲!AC341</f>
        <v>338</v>
      </c>
      <c r="AD341" s="4">
        <f>[1]节奏总纲!AD341</f>
        <v>84.049741901856009</v>
      </c>
      <c r="AE341" s="4">
        <f>[1]节奏总纲!AE341</f>
        <v>86.164671695224243</v>
      </c>
      <c r="AF341" s="4">
        <f>[1]节奏总纲!AF341</f>
        <v>89.250804427453758</v>
      </c>
      <c r="AG341" s="4">
        <f>[1]节奏总纲!AG341</f>
        <v>94.233326560531836</v>
      </c>
      <c r="AH341" s="4">
        <f>[1]节奏总纲!AH341</f>
        <v>103.08782916095045</v>
      </c>
      <c r="AZ341" s="4">
        <v>338</v>
      </c>
      <c r="BA341" s="4">
        <v>46.23388234441088</v>
      </c>
      <c r="BB341" s="4">
        <v>47.743872776387391</v>
      </c>
      <c r="BC341" s="4">
        <v>49.69144620068672</v>
      </c>
      <c r="BD341" s="4">
        <v>50</v>
      </c>
      <c r="BE341" s="4">
        <v>50</v>
      </c>
    </row>
    <row r="342" spans="29:57" x14ac:dyDescent="0.15">
      <c r="AC342" s="4">
        <f>[1]节奏总纲!AC342</f>
        <v>339</v>
      </c>
      <c r="AD342" s="4">
        <f>[1]节奏总纲!AD342</f>
        <v>84.090988120365651</v>
      </c>
      <c r="AE342" s="4">
        <f>[1]节奏总纲!AE342</f>
        <v>86.20585227800332</v>
      </c>
      <c r="AF342" s="4">
        <f>[1]节奏总纲!AF342</f>
        <v>89.29727193179825</v>
      </c>
      <c r="AG342" s="4">
        <f>[1]节奏总纲!AG342</f>
        <v>94.277407215892268</v>
      </c>
      <c r="AH342" s="4">
        <f>[1]节奏总纲!AH342</f>
        <v>103.12837545930124</v>
      </c>
      <c r="AZ342" s="4">
        <v>339</v>
      </c>
      <c r="BA342" s="4">
        <v>46.253146387229606</v>
      </c>
      <c r="BB342" s="4">
        <v>47.764660314710284</v>
      </c>
      <c r="BC342" s="4">
        <v>49.712105979683258</v>
      </c>
      <c r="BD342" s="4">
        <v>50</v>
      </c>
      <c r="BE342" s="4">
        <v>50</v>
      </c>
    </row>
    <row r="343" spans="29:57" x14ac:dyDescent="0.15">
      <c r="AC343" s="4">
        <f>[1]节奏总纲!AC343</f>
        <v>340</v>
      </c>
      <c r="AD343" s="4">
        <f>[1]节奏总纲!AD343</f>
        <v>84.132234338875293</v>
      </c>
      <c r="AE343" s="4">
        <f>[1]节奏总纲!AE343</f>
        <v>86.247032860782397</v>
      </c>
      <c r="AF343" s="4">
        <f>[1]节奏总纲!AF343</f>
        <v>89.343739436142741</v>
      </c>
      <c r="AG343" s="4">
        <f>[1]节奏总纲!AG343</f>
        <v>94.3214878712527</v>
      </c>
      <c r="AH343" s="4">
        <f>[1]节奏总纲!AH343</f>
        <v>103.16892175765203</v>
      </c>
      <c r="AZ343" s="4">
        <v>340</v>
      </c>
      <c r="BA343" s="4">
        <v>46.272410430048332</v>
      </c>
      <c r="BB343" s="4">
        <v>47.785447853033176</v>
      </c>
      <c r="BC343" s="4">
        <v>49.732765758679797</v>
      </c>
      <c r="BD343" s="4">
        <v>50</v>
      </c>
      <c r="BE343" s="4">
        <v>50</v>
      </c>
    </row>
    <row r="344" spans="29:57" x14ac:dyDescent="0.15">
      <c r="AC344" s="4">
        <f>[1]节奏总纲!AC344</f>
        <v>341</v>
      </c>
      <c r="AD344" s="4">
        <f>[1]节奏总纲!AD344</f>
        <v>84.173480557384934</v>
      </c>
      <c r="AE344" s="4">
        <f>[1]节奏总纲!AE344</f>
        <v>86.288213443561474</v>
      </c>
      <c r="AF344" s="4">
        <f>[1]节奏总纲!AF344</f>
        <v>89.390206940487232</v>
      </c>
      <c r="AG344" s="4">
        <f>[1]节奏总纲!AG344</f>
        <v>94.365568526613131</v>
      </c>
      <c r="AH344" s="4">
        <f>[1]节奏总纲!AH344</f>
        <v>103.20946805600283</v>
      </c>
      <c r="AZ344" s="4">
        <v>341</v>
      </c>
      <c r="BA344" s="4">
        <v>46.291674472867058</v>
      </c>
      <c r="BB344" s="4">
        <v>47.806235391356068</v>
      </c>
      <c r="BC344" s="4">
        <v>49.753425537676335</v>
      </c>
      <c r="BD344" s="4">
        <v>50</v>
      </c>
      <c r="BE344" s="4">
        <v>50</v>
      </c>
    </row>
    <row r="345" spans="29:57" x14ac:dyDescent="0.15">
      <c r="AC345" s="4">
        <f>[1]节奏总纲!AC345</f>
        <v>342</v>
      </c>
      <c r="AD345" s="4">
        <f>[1]节奏总纲!AD345</f>
        <v>84.214726775894576</v>
      </c>
      <c r="AE345" s="4">
        <f>[1]节奏总纲!AE345</f>
        <v>86.329394026340537</v>
      </c>
      <c r="AF345" s="4">
        <f>[1]节奏总纲!AF345</f>
        <v>89.436674444831723</v>
      </c>
      <c r="AG345" s="4">
        <f>[1]节奏总纲!AG345</f>
        <v>94.409649181973549</v>
      </c>
      <c r="AH345" s="4">
        <f>[1]节奏总纲!AH345</f>
        <v>103.25001435435362</v>
      </c>
      <c r="AZ345" s="4">
        <v>342</v>
      </c>
      <c r="BA345" s="4">
        <v>46.310938515685784</v>
      </c>
      <c r="BB345" s="4">
        <v>47.827022929678968</v>
      </c>
      <c r="BC345" s="4">
        <v>49.774085316672867</v>
      </c>
      <c r="BD345" s="4">
        <v>50</v>
      </c>
      <c r="BE345" s="4">
        <v>50</v>
      </c>
    </row>
    <row r="346" spans="29:57" x14ac:dyDescent="0.15">
      <c r="AC346" s="4">
        <f>[1]节奏总纲!AC346</f>
        <v>343</v>
      </c>
      <c r="AD346" s="4">
        <f>[1]节奏总纲!AD346</f>
        <v>84.255972994404218</v>
      </c>
      <c r="AE346" s="4">
        <f>[1]节奏总纲!AE346</f>
        <v>86.370574609119615</v>
      </c>
      <c r="AF346" s="4">
        <f>[1]节奏总纲!AF346</f>
        <v>89.483141949176215</v>
      </c>
      <c r="AG346" s="4">
        <f>[1]节奏总纲!AG346</f>
        <v>94.453729837333981</v>
      </c>
      <c r="AH346" s="4">
        <f>[1]节奏总纲!AH346</f>
        <v>103.29056065270443</v>
      </c>
      <c r="AZ346" s="4">
        <v>343</v>
      </c>
      <c r="BA346" s="4">
        <v>46.330202558504517</v>
      </c>
      <c r="BB346" s="4">
        <v>47.84781046800186</v>
      </c>
      <c r="BC346" s="4">
        <v>49.794745095669406</v>
      </c>
      <c r="BD346" s="4">
        <v>50</v>
      </c>
      <c r="BE346" s="4">
        <v>50</v>
      </c>
    </row>
    <row r="347" spans="29:57" x14ac:dyDescent="0.15">
      <c r="AC347" s="4">
        <f>[1]节奏总纲!AC347</f>
        <v>344</v>
      </c>
      <c r="AD347" s="4">
        <f>[1]节奏总纲!AD347</f>
        <v>84.297219212913859</v>
      </c>
      <c r="AE347" s="4">
        <f>[1]节奏总纲!AE347</f>
        <v>86.411755191898692</v>
      </c>
      <c r="AF347" s="4">
        <f>[1]节奏总纲!AF347</f>
        <v>89.529609453520706</v>
      </c>
      <c r="AG347" s="4">
        <f>[1]节奏总纲!AG347</f>
        <v>94.497810492694413</v>
      </c>
      <c r="AH347" s="4">
        <f>[1]节奏总纲!AH347</f>
        <v>103.33110695105522</v>
      </c>
      <c r="AZ347" s="4">
        <v>344</v>
      </c>
      <c r="BA347" s="4">
        <v>46.349466601323243</v>
      </c>
      <c r="BB347" s="4">
        <v>47.868598006324753</v>
      </c>
      <c r="BC347" s="4">
        <v>49.815404874665944</v>
      </c>
      <c r="BD347" s="4">
        <v>50</v>
      </c>
      <c r="BE347" s="4">
        <v>50</v>
      </c>
    </row>
    <row r="348" spans="29:57" x14ac:dyDescent="0.15">
      <c r="AC348" s="4">
        <f>[1]节奏总纲!AC348</f>
        <v>345</v>
      </c>
      <c r="AD348" s="4">
        <f>[1]节奏总纲!AD348</f>
        <v>84.338465431423501</v>
      </c>
      <c r="AE348" s="4">
        <f>[1]节奏总纲!AE348</f>
        <v>86.452935774677769</v>
      </c>
      <c r="AF348" s="4">
        <f>[1]节奏总纲!AF348</f>
        <v>89.576076957865197</v>
      </c>
      <c r="AG348" s="4">
        <f>[1]节奏总纲!AG348</f>
        <v>94.541891148054845</v>
      </c>
      <c r="AH348" s="4">
        <f>[1]节奏总纲!AH348</f>
        <v>103.37165324940601</v>
      </c>
      <c r="AZ348" s="4">
        <v>345</v>
      </c>
      <c r="BA348" s="4">
        <v>46.368730644141969</v>
      </c>
      <c r="BB348" s="4">
        <v>47.889385544647645</v>
      </c>
      <c r="BC348" s="4">
        <v>49.836064653662483</v>
      </c>
      <c r="BD348" s="4">
        <v>50</v>
      </c>
      <c r="BE348" s="4">
        <v>50</v>
      </c>
    </row>
    <row r="349" spans="29:57" x14ac:dyDescent="0.15">
      <c r="AC349" s="4">
        <f>[1]节奏总纲!AC349</f>
        <v>346</v>
      </c>
      <c r="AD349" s="4">
        <f>[1]节奏总纲!AD349</f>
        <v>84.379711649933142</v>
      </c>
      <c r="AE349" s="4">
        <f>[1]节奏总纲!AE349</f>
        <v>86.494116357456846</v>
      </c>
      <c r="AF349" s="4">
        <f>[1]节奏总纲!AF349</f>
        <v>89.622544462209689</v>
      </c>
      <c r="AG349" s="4">
        <f>[1]节奏总纲!AG349</f>
        <v>94.585971803415276</v>
      </c>
      <c r="AH349" s="4">
        <f>[1]节奏总纲!AH349</f>
        <v>103.41219954775681</v>
      </c>
      <c r="AZ349" s="4">
        <v>346</v>
      </c>
      <c r="BA349" s="4">
        <v>46.387994686960695</v>
      </c>
      <c r="BB349" s="4">
        <v>47.910173082970537</v>
      </c>
      <c r="BC349" s="4">
        <v>49.856724432659014</v>
      </c>
      <c r="BD349" s="4">
        <v>50</v>
      </c>
      <c r="BE349" s="4">
        <v>50</v>
      </c>
    </row>
    <row r="350" spans="29:57" x14ac:dyDescent="0.15">
      <c r="AC350" s="4">
        <f>[1]节奏总纲!AC350</f>
        <v>347</v>
      </c>
      <c r="AD350" s="4">
        <f>[1]节奏总纲!AD350</f>
        <v>84.420957868442784</v>
      </c>
      <c r="AE350" s="4">
        <f>[1]节奏总纲!AE350</f>
        <v>86.535296940235909</v>
      </c>
      <c r="AF350" s="4">
        <f>[1]节奏总纲!AF350</f>
        <v>89.66901196655418</v>
      </c>
      <c r="AG350" s="4">
        <f>[1]节奏总纲!AG350</f>
        <v>94.630052458775694</v>
      </c>
      <c r="AH350" s="4">
        <f>[1]节奏总纲!AH350</f>
        <v>103.4527458461076</v>
      </c>
      <c r="AZ350" s="4">
        <v>347</v>
      </c>
      <c r="BA350" s="4">
        <v>46.407258729779421</v>
      </c>
      <c r="BB350" s="4">
        <v>47.930960621293437</v>
      </c>
      <c r="BC350" s="4">
        <v>49.877384211655553</v>
      </c>
      <c r="BD350" s="4">
        <v>50</v>
      </c>
      <c r="BE350" s="4">
        <v>50</v>
      </c>
    </row>
    <row r="351" spans="29:57" x14ac:dyDescent="0.15">
      <c r="AC351" s="4">
        <f>[1]节奏总纲!AC351</f>
        <v>348</v>
      </c>
      <c r="AD351" s="4">
        <f>[1]节奏总纲!AD351</f>
        <v>84.462204086952426</v>
      </c>
      <c r="AE351" s="4">
        <f>[1]节奏总纲!AE351</f>
        <v>86.576477523014987</v>
      </c>
      <c r="AF351" s="4">
        <f>[1]节奏总纲!AF351</f>
        <v>89.715479470898671</v>
      </c>
      <c r="AG351" s="4">
        <f>[1]节奏总纲!AG351</f>
        <v>94.674133114136126</v>
      </c>
      <c r="AH351" s="4">
        <f>[1]节奏总纲!AH351</f>
        <v>103.49329214445841</v>
      </c>
      <c r="AZ351" s="4">
        <v>348</v>
      </c>
      <c r="BA351" s="4">
        <v>46.426522772598148</v>
      </c>
      <c r="BB351" s="4">
        <v>47.951748159616329</v>
      </c>
      <c r="BC351" s="4">
        <v>49.898043990652091</v>
      </c>
      <c r="BD351" s="4">
        <v>50</v>
      </c>
      <c r="BE351" s="4">
        <v>50</v>
      </c>
    </row>
    <row r="352" spans="29:57" x14ac:dyDescent="0.15">
      <c r="AC352" s="4">
        <f>[1]节奏总纲!AC352</f>
        <v>349</v>
      </c>
      <c r="AD352" s="4">
        <f>[1]节奏总纲!AD352</f>
        <v>84.503450305462081</v>
      </c>
      <c r="AE352" s="4">
        <f>[1]节奏总纲!AE352</f>
        <v>86.617658105794064</v>
      </c>
      <c r="AF352" s="4">
        <f>[1]节奏总纲!AF352</f>
        <v>89.761946975243163</v>
      </c>
      <c r="AG352" s="4">
        <f>[1]节奏总纲!AG352</f>
        <v>94.718213769496558</v>
      </c>
      <c r="AH352" s="4">
        <f>[1]节奏总纲!AH352</f>
        <v>103.5338384428092</v>
      </c>
      <c r="AZ352" s="4">
        <v>349</v>
      </c>
      <c r="BA352" s="4">
        <v>46.445786815416881</v>
      </c>
      <c r="BB352" s="4">
        <v>47.972535697939222</v>
      </c>
      <c r="BC352" s="4">
        <v>49.91870376964863</v>
      </c>
      <c r="BD352" s="4">
        <v>50</v>
      </c>
      <c r="BE352" s="4">
        <v>50</v>
      </c>
    </row>
    <row r="353" spans="29:57" x14ac:dyDescent="0.15">
      <c r="AC353" s="4">
        <f>[1]节奏总纲!AC353</f>
        <v>350</v>
      </c>
      <c r="AD353" s="4">
        <f>[1]节奏总纲!AD353</f>
        <v>84.544696523971723</v>
      </c>
      <c r="AE353" s="4">
        <f>[1]节奏总纲!AE353</f>
        <v>86.658838688573141</v>
      </c>
      <c r="AF353" s="4">
        <f>[1]节奏总纲!AF353</f>
        <v>89.808414479587654</v>
      </c>
      <c r="AG353" s="4">
        <f>[1]节奏总纲!AG353</f>
        <v>94.762294424856989</v>
      </c>
      <c r="AH353" s="4">
        <f>[1]节奏总纲!AH353</f>
        <v>103.57438474115999</v>
      </c>
      <c r="AZ353" s="4">
        <v>350</v>
      </c>
      <c r="BA353" s="4">
        <v>46.465050858235607</v>
      </c>
      <c r="BB353" s="4">
        <v>47.993323236262114</v>
      </c>
      <c r="BC353" s="4">
        <v>49.939363548645169</v>
      </c>
      <c r="BD353" s="4">
        <v>50</v>
      </c>
      <c r="BE353" s="4">
        <v>50</v>
      </c>
    </row>
    <row r="354" spans="29:57" x14ac:dyDescent="0.15">
      <c r="AC354" s="4">
        <f>[1]节奏总纲!AC354</f>
        <v>351</v>
      </c>
      <c r="AD354" s="4">
        <f>[1]节奏总纲!AD354</f>
        <v>84.585942742481365</v>
      </c>
      <c r="AE354" s="4">
        <f>[1]节奏总纲!AE354</f>
        <v>86.700019271352204</v>
      </c>
      <c r="AF354" s="4">
        <f>[1]节奏总纲!AF354</f>
        <v>89.854881983932145</v>
      </c>
      <c r="AG354" s="4">
        <f>[1]节奏总纲!AG354</f>
        <v>94.806375080217421</v>
      </c>
      <c r="AH354" s="4">
        <f>[1]节奏总纲!AH354</f>
        <v>103.61493103951079</v>
      </c>
      <c r="AZ354" s="4">
        <v>351</v>
      </c>
      <c r="BA354" s="4">
        <v>46.484314901054333</v>
      </c>
      <c r="BB354" s="4">
        <v>48.012182251254622</v>
      </c>
      <c r="BC354" s="4">
        <v>49.9600233276417</v>
      </c>
      <c r="BD354" s="4">
        <v>50</v>
      </c>
      <c r="BE354" s="4">
        <v>50</v>
      </c>
    </row>
    <row r="355" spans="29:57" x14ac:dyDescent="0.15">
      <c r="AC355" s="4">
        <f>[1]节奏总纲!AC355</f>
        <v>352</v>
      </c>
      <c r="AD355" s="4">
        <f>[1]节奏总纲!AD355</f>
        <v>84.627188960991006</v>
      </c>
      <c r="AE355" s="4">
        <f>[1]节奏总纲!AE355</f>
        <v>86.741199854131281</v>
      </c>
      <c r="AF355" s="4">
        <f>[1]节奏总纲!AF355</f>
        <v>89.901349488276637</v>
      </c>
      <c r="AG355" s="4">
        <f>[1]节奏总纲!AG355</f>
        <v>94.850455735577853</v>
      </c>
      <c r="AH355" s="4">
        <f>[1]节奏总纲!AH355</f>
        <v>103.65547733786158</v>
      </c>
      <c r="AZ355" s="4">
        <v>352</v>
      </c>
      <c r="BA355" s="4">
        <v>46.503578943873059</v>
      </c>
      <c r="BB355" s="4">
        <v>48.030128751164234</v>
      </c>
      <c r="BC355" s="4">
        <v>49.980683106638239</v>
      </c>
      <c r="BD355" s="4">
        <v>50</v>
      </c>
      <c r="BE355" s="4">
        <v>50</v>
      </c>
    </row>
    <row r="356" spans="29:57" x14ac:dyDescent="0.15">
      <c r="AC356" s="4">
        <f>[1]节奏总纲!AC356</f>
        <v>353</v>
      </c>
      <c r="AD356" s="4">
        <f>[1]节奏总纲!AD356</f>
        <v>84.668435179500648</v>
      </c>
      <c r="AE356" s="4">
        <f>[1]节奏总纲!AE356</f>
        <v>86.782380436910358</v>
      </c>
      <c r="AF356" s="4">
        <f>[1]节奏总纲!AF356</f>
        <v>89.947816992621142</v>
      </c>
      <c r="AG356" s="4">
        <f>[1]节奏总纲!AG356</f>
        <v>94.894536390938271</v>
      </c>
      <c r="AH356" s="4">
        <f>[1]节奏总纲!AH356</f>
        <v>103.69602363621237</v>
      </c>
      <c r="AZ356" s="4">
        <v>353</v>
      </c>
      <c r="BA356" s="4">
        <v>46.522842986691785</v>
      </c>
      <c r="BB356" s="4">
        <v>48.048075251073854</v>
      </c>
      <c r="BC356" s="4">
        <v>50</v>
      </c>
      <c r="BD356" s="4">
        <v>50</v>
      </c>
      <c r="BE356" s="4">
        <v>50</v>
      </c>
    </row>
    <row r="357" spans="29:57" x14ac:dyDescent="0.15">
      <c r="AC357" s="4">
        <f>[1]节奏总纲!AC357</f>
        <v>354</v>
      </c>
      <c r="AD357" s="4">
        <f>[1]节奏总纲!AD357</f>
        <v>84.709681398010289</v>
      </c>
      <c r="AE357" s="4">
        <f>[1]节奏总纲!AE357</f>
        <v>86.823561019689436</v>
      </c>
      <c r="AF357" s="4">
        <f>[1]节奏总纲!AF357</f>
        <v>89.994284496965633</v>
      </c>
      <c r="AG357" s="4">
        <f>[1]节奏总纲!AG357</f>
        <v>94.938617046298702</v>
      </c>
      <c r="AH357" s="4">
        <f>[1]节奏总纲!AH357</f>
        <v>103.73656993456318</v>
      </c>
      <c r="AZ357" s="4">
        <v>354</v>
      </c>
      <c r="BA357" s="4">
        <v>46.542107029510518</v>
      </c>
      <c r="BB357" s="4">
        <v>48.066021750983474</v>
      </c>
      <c r="BC357" s="4">
        <v>50</v>
      </c>
      <c r="BD357" s="4">
        <v>50</v>
      </c>
      <c r="BE357" s="4">
        <v>50</v>
      </c>
    </row>
    <row r="358" spans="29:57" x14ac:dyDescent="0.15">
      <c r="AC358" s="4">
        <f>[1]节奏总纲!AC358</f>
        <v>355</v>
      </c>
      <c r="AD358" s="4">
        <f>[1]节奏总纲!AD358</f>
        <v>84.750927616519931</v>
      </c>
      <c r="AE358" s="4">
        <f>[1]节奏总纲!AE358</f>
        <v>86.864741602468499</v>
      </c>
      <c r="AF358" s="4">
        <f>[1]节奏总纲!AF358</f>
        <v>90.036066635925749</v>
      </c>
      <c r="AG358" s="4">
        <f>[1]节奏总纲!AG358</f>
        <v>94.982697701659134</v>
      </c>
      <c r="AH358" s="4">
        <f>[1]节奏总纲!AH358</f>
        <v>103.77711623291397</v>
      </c>
      <c r="AZ358" s="4">
        <v>355</v>
      </c>
      <c r="BA358" s="4">
        <v>46.561371072329244</v>
      </c>
      <c r="BB358" s="4">
        <v>48.083968250893093</v>
      </c>
      <c r="BC358" s="4">
        <v>50</v>
      </c>
      <c r="BD358" s="4">
        <v>50</v>
      </c>
      <c r="BE358" s="4">
        <v>50</v>
      </c>
    </row>
    <row r="359" spans="29:57" x14ac:dyDescent="0.15">
      <c r="AC359" s="4">
        <f>[1]节奏总纲!AC359</f>
        <v>356</v>
      </c>
      <c r="AD359" s="4">
        <f>[1]节奏总纲!AD359</f>
        <v>84.792173835029573</v>
      </c>
      <c r="AE359" s="4">
        <f>[1]节奏总纲!AE359</f>
        <v>86.905922185247576</v>
      </c>
      <c r="AF359" s="4">
        <f>[1]节奏总纲!AF359</f>
        <v>90.077191648383845</v>
      </c>
      <c r="AG359" s="4">
        <f>[1]节奏总纲!AG359</f>
        <v>95.024001308619916</v>
      </c>
      <c r="AH359" s="4">
        <f>[1]节奏总纲!AH359</f>
        <v>103.81766253126477</v>
      </c>
      <c r="AZ359" s="4">
        <v>356</v>
      </c>
      <c r="BA359" s="4">
        <v>46.58063511514797</v>
      </c>
      <c r="BB359" s="4">
        <v>48.101914750802706</v>
      </c>
      <c r="BC359" s="4">
        <v>50</v>
      </c>
      <c r="BD359" s="4">
        <v>50</v>
      </c>
      <c r="BE359" s="4">
        <v>50</v>
      </c>
    </row>
    <row r="360" spans="29:57" x14ac:dyDescent="0.15">
      <c r="AC360" s="4">
        <f>[1]节奏总纲!AC360</f>
        <v>357</v>
      </c>
      <c r="AD360" s="4">
        <f>[1]节奏总纲!AD360</f>
        <v>84.833420053539214</v>
      </c>
      <c r="AE360" s="4">
        <f>[1]节奏总纲!AE360</f>
        <v>86.947102768026653</v>
      </c>
      <c r="AF360" s="4">
        <f>[1]节奏总纲!AF360</f>
        <v>90.118316660841927</v>
      </c>
      <c r="AG360" s="4">
        <f>[1]节奏总纲!AG360</f>
        <v>95.063510581451752</v>
      </c>
      <c r="AH360" s="4">
        <f>[1]节奏总纲!AH360</f>
        <v>103.85820882961556</v>
      </c>
      <c r="AZ360" s="4">
        <v>357</v>
      </c>
      <c r="BA360" s="4">
        <v>46.599899157966696</v>
      </c>
      <c r="BB360" s="4">
        <v>48.119861250712326</v>
      </c>
      <c r="BC360" s="4">
        <v>50</v>
      </c>
      <c r="BD360" s="4">
        <v>50</v>
      </c>
      <c r="BE360" s="4">
        <v>50</v>
      </c>
    </row>
    <row r="361" spans="29:57" x14ac:dyDescent="0.15">
      <c r="AC361" s="4">
        <f>[1]节奏总纲!AC361</f>
        <v>358</v>
      </c>
      <c r="AD361" s="4">
        <f>[1]节奏总纲!AD361</f>
        <v>84.874666272048856</v>
      </c>
      <c r="AE361" s="4">
        <f>[1]节奏总纲!AE361</f>
        <v>86.98828335080573</v>
      </c>
      <c r="AF361" s="4">
        <f>[1]节奏总纲!AF361</f>
        <v>90.159441673300023</v>
      </c>
      <c r="AG361" s="4">
        <f>[1]节奏总纲!AG361</f>
        <v>95.103019854283588</v>
      </c>
      <c r="AH361" s="4">
        <f>[1]节奏总纲!AH361</f>
        <v>103.89875512796635</v>
      </c>
      <c r="AZ361" s="4">
        <v>358</v>
      </c>
      <c r="BA361" s="4">
        <v>46.619163200785422</v>
      </c>
      <c r="BB361" s="4">
        <v>48.137807750621946</v>
      </c>
      <c r="BC361" s="4">
        <v>50</v>
      </c>
      <c r="BD361" s="4">
        <v>50</v>
      </c>
      <c r="BE361" s="4">
        <v>50</v>
      </c>
    </row>
    <row r="362" spans="29:57" x14ac:dyDescent="0.15">
      <c r="AC362" s="4">
        <f>[1]节奏总纲!AC362</f>
        <v>359</v>
      </c>
      <c r="AD362" s="4">
        <f>[1]节奏总纲!AD362</f>
        <v>84.915912490558497</v>
      </c>
      <c r="AE362" s="4">
        <f>[1]节奏总纲!AE362</f>
        <v>87.027010646912942</v>
      </c>
      <c r="AF362" s="4">
        <f>[1]节奏总纲!AF362</f>
        <v>90.200566685758119</v>
      </c>
      <c r="AG362" s="4">
        <f>[1]节奏总纲!AG362</f>
        <v>95.142529127115409</v>
      </c>
      <c r="AH362" s="4">
        <f>[1]节奏总纲!AH362</f>
        <v>103.93930142631716</v>
      </c>
      <c r="AZ362" s="4">
        <v>359</v>
      </c>
      <c r="BA362" s="4">
        <v>46.638427243604156</v>
      </c>
      <c r="BB362" s="4">
        <v>48.155754250531558</v>
      </c>
      <c r="BC362" s="4">
        <v>50</v>
      </c>
      <c r="BD362" s="4">
        <v>50</v>
      </c>
      <c r="BE362" s="4">
        <v>50</v>
      </c>
    </row>
    <row r="363" spans="29:57" x14ac:dyDescent="0.15">
      <c r="AC363" s="4">
        <f>[1]节奏总纲!AC363</f>
        <v>360</v>
      </c>
      <c r="AD363" s="4">
        <f>[1]节奏总纲!AD363</f>
        <v>84.957158709068153</v>
      </c>
      <c r="AE363" s="4">
        <f>[1]节奏总纲!AE363</f>
        <v>87.064762367263285</v>
      </c>
      <c r="AF363" s="4">
        <f>[1]节奏总纲!AF363</f>
        <v>90.241691698216215</v>
      </c>
      <c r="AG363" s="4">
        <f>[1]节奏总纲!AG363</f>
        <v>95.182038399947245</v>
      </c>
      <c r="AH363" s="4">
        <f>[1]节奏总纲!AH363</f>
        <v>103.97984772466795</v>
      </c>
      <c r="AZ363" s="4">
        <v>360</v>
      </c>
      <c r="BA363" s="4">
        <v>46.657691286422882</v>
      </c>
      <c r="BB363" s="4">
        <v>48.173700750441178</v>
      </c>
      <c r="BC363" s="4">
        <v>50</v>
      </c>
      <c r="BD363" s="4">
        <v>50</v>
      </c>
      <c r="BE363" s="4">
        <v>50</v>
      </c>
    </row>
  </sheetData>
  <mergeCells count="13">
    <mergeCell ref="AD2:AH2"/>
    <mergeCell ref="AM2:AQ2"/>
    <mergeCell ref="AT2:AX2"/>
    <mergeCell ref="BA2:BE2"/>
    <mergeCell ref="B6:D6"/>
    <mergeCell ref="K1:K2"/>
    <mergeCell ref="P2:T2"/>
    <mergeCell ref="W2:AA2"/>
    <mergeCell ref="B22:D22"/>
    <mergeCell ref="F1:F2"/>
    <mergeCell ref="G1:G2"/>
    <mergeCell ref="I1:I2"/>
    <mergeCell ref="J1:J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8"/>
  <dimension ref="B2:N503"/>
  <sheetViews>
    <sheetView workbookViewId="0">
      <selection activeCell="C1" sqref="C1:C1048576"/>
    </sheetView>
  </sheetViews>
  <sheetFormatPr defaultRowHeight="11.25" x14ac:dyDescent="0.15"/>
  <cols>
    <col min="1" max="1" width="9" style="5"/>
    <col min="2" max="2" width="9" style="4"/>
    <col min="3" max="8" width="9" style="5"/>
    <col min="9" max="9" width="9" style="4"/>
    <col min="10" max="16384" width="9" style="5"/>
  </cols>
  <sheetData>
    <row r="2" spans="2:14" x14ac:dyDescent="0.15">
      <c r="B2" s="154" t="s">
        <v>483</v>
      </c>
      <c r="C2" s="154"/>
      <c r="D2" s="154"/>
      <c r="E2" s="154"/>
      <c r="F2" s="154"/>
      <c r="G2" s="154"/>
      <c r="I2" s="154" t="s">
        <v>475</v>
      </c>
      <c r="J2" s="154"/>
      <c r="K2" s="154"/>
      <c r="L2" s="154"/>
      <c r="M2" s="154"/>
      <c r="N2" s="154"/>
    </row>
    <row r="3" spans="2:14" x14ac:dyDescent="0.15">
      <c r="B3" s="4" t="s">
        <v>478</v>
      </c>
      <c r="C3" s="4" t="s">
        <v>75</v>
      </c>
      <c r="D3" s="4" t="s">
        <v>76</v>
      </c>
      <c r="E3" s="4" t="s">
        <v>77</v>
      </c>
      <c r="F3" s="4" t="s">
        <v>78</v>
      </c>
      <c r="G3" s="4" t="s">
        <v>79</v>
      </c>
      <c r="I3" s="4" t="s">
        <v>163</v>
      </c>
      <c r="J3" s="4" t="s">
        <v>75</v>
      </c>
      <c r="K3" s="4" t="s">
        <v>76</v>
      </c>
      <c r="L3" s="4" t="s">
        <v>77</v>
      </c>
      <c r="M3" s="4" t="s">
        <v>78</v>
      </c>
      <c r="N3" s="4" t="s">
        <v>79</v>
      </c>
    </row>
    <row r="4" spans="2:14" x14ac:dyDescent="0.15">
      <c r="B4" s="4">
        <v>1</v>
      </c>
      <c r="C4" s="17">
        <f>'[1]资源-钻石'!L4</f>
        <v>1040.8352879799568</v>
      </c>
      <c r="D4" s="17">
        <f>'[1]资源-钻石'!M4</f>
        <v>1168.9516338298708</v>
      </c>
      <c r="E4" s="17">
        <f>'[1]资源-钻石'!N4</f>
        <v>1452.2172869047899</v>
      </c>
      <c r="F4" s="17">
        <f>'[1]资源-钻石'!O4</f>
        <v>2510.7422303165949</v>
      </c>
      <c r="G4" s="17">
        <f>'[1]资源-钻石'!P4</f>
        <v>3045.4164117374748</v>
      </c>
      <c r="I4" s="4">
        <v>1</v>
      </c>
      <c r="J4" s="17">
        <f>'[1]资源-钻石'!T4</f>
        <v>14501.673058529761</v>
      </c>
      <c r="K4" s="17">
        <f>'[1]资源-钻石'!U4</f>
        <v>19413.896977599055</v>
      </c>
      <c r="L4" s="17">
        <f>'[1]资源-钻石'!V4</f>
        <v>30743.578088908678</v>
      </c>
      <c r="M4" s="17">
        <f>'[1]资源-钻石'!W4</f>
        <v>76075.906172330011</v>
      </c>
      <c r="N4" s="17">
        <f>'[1]资源-钻石'!X4</f>
        <v>177081.7886017682</v>
      </c>
    </row>
    <row r="5" spans="2:14" x14ac:dyDescent="0.15">
      <c r="B5" s="4">
        <v>2</v>
      </c>
      <c r="C5" s="17">
        <f>'[1]资源-钻石'!L5</f>
        <v>2156.3749285081976</v>
      </c>
      <c r="D5" s="17">
        <f>'[1]资源-钻石'!M5</f>
        <v>2445.0615859519603</v>
      </c>
      <c r="E5" s="17">
        <f>'[1]资源-钻石'!N5</f>
        <v>3068.6815757732184</v>
      </c>
      <c r="F5" s="17">
        <f>'[1]资源-钻石'!O5</f>
        <v>5380.4255785215355</v>
      </c>
      <c r="G5" s="17">
        <f>'[1]资源-钻石'!P5</f>
        <v>6628.3385775485367</v>
      </c>
      <c r="I5" s="4">
        <v>2</v>
      </c>
      <c r="J5" s="17">
        <f>'[1]资源-钻石'!T5</f>
        <v>23031.394540905989</v>
      </c>
      <c r="K5" s="17">
        <f>'[1]资源-钻石'!U5</f>
        <v>30854.533994996593</v>
      </c>
      <c r="L5" s="17">
        <f>'[1]资源-钻石'!V5</f>
        <v>48567.987394496246</v>
      </c>
      <c r="M5" s="17">
        <f>'[1]资源-钻石'!W5</f>
        <v>119204.78613394586</v>
      </c>
      <c r="N5" s="17">
        <f>'[1]资源-钻石'!X5</f>
        <v>275220.26474734046</v>
      </c>
    </row>
    <row r="6" spans="2:14" x14ac:dyDescent="0.15">
      <c r="B6" s="4">
        <v>3</v>
      </c>
      <c r="C6" s="17">
        <f>'[1]资源-钻石'!L6</f>
        <v>3351.9807116336397</v>
      </c>
      <c r="D6" s="17">
        <f>'[1]资源-钻石'!M6</f>
        <v>3828.7498339345493</v>
      </c>
      <c r="E6" s="17">
        <f>'[1]资源-钻石'!N6</f>
        <v>4848.3395205770648</v>
      </c>
      <c r="F6" s="17">
        <f>'[1]资源-钻石'!O6</f>
        <v>8568.4276587872155</v>
      </c>
      <c r="G6" s="17">
        <f>'[1]资源-钻石'!P6</f>
        <v>10613.278887857712</v>
      </c>
      <c r="I6" s="4">
        <v>3</v>
      </c>
      <c r="J6" s="17">
        <f>'[1]资源-钻石'!T6</f>
        <v>31561.116023282215</v>
      </c>
      <c r="K6" s="17">
        <f>'[1]资源-钻石'!U6</f>
        <v>42157.227625610445</v>
      </c>
      <c r="L6" s="17">
        <f>'[1]资源-钻石'!V6</f>
        <v>66088.950388171492</v>
      </c>
      <c r="M6" s="17">
        <f>'[1]资源-钻石'!W6</f>
        <v>161357.84542698861</v>
      </c>
      <c r="N6" s="17">
        <f>'[1]资源-钻石'!X6</f>
        <v>371708.62996968755</v>
      </c>
    </row>
    <row r="7" spans="2:14" x14ac:dyDescent="0.15">
      <c r="B7" s="4">
        <v>4</v>
      </c>
      <c r="C7" s="17">
        <f>'[1]资源-钻石'!L7</f>
        <v>4633.3992616424111</v>
      </c>
      <c r="D7" s="17">
        <f>'[1]资源-钻石'!M7</f>
        <v>5317.4188778006173</v>
      </c>
      <c r="E7" s="17">
        <f>'[1]资源-钻石'!N7</f>
        <v>6773.2188891002043</v>
      </c>
      <c r="F7" s="17">
        <f>'[1]资源-钻石'!O7</f>
        <v>12026.203815149966</v>
      </c>
      <c r="G7" s="17">
        <f>'[1]资源-钻石'!P7</f>
        <v>15024.655902480066</v>
      </c>
      <c r="I7" s="4">
        <v>4</v>
      </c>
      <c r="J7" s="17">
        <f>'[1]资源-钻石'!T7</f>
        <v>40090.837505658441</v>
      </c>
      <c r="K7" s="17">
        <f>'[1]资源-钻石'!U7</f>
        <v>53459.921256224297</v>
      </c>
      <c r="L7" s="17">
        <f>'[1]资源-钻石'!V7</f>
        <v>83609.913381846723</v>
      </c>
      <c r="M7" s="17">
        <f>'[1]资源-钻石'!W7</f>
        <v>203510.90472003139</v>
      </c>
      <c r="N7" s="17">
        <f>'[1]资源-钻石'!X7</f>
        <v>468196.99519203458</v>
      </c>
    </row>
    <row r="8" spans="2:14" x14ac:dyDescent="0.15">
      <c r="B8" s="4">
        <v>5</v>
      </c>
      <c r="C8" s="17">
        <f>'[1]资源-钻石'!L8</f>
        <v>6006.789657943551</v>
      </c>
      <c r="D8" s="17">
        <f>'[1]资源-钻石'!M8</f>
        <v>6890.3207409975184</v>
      </c>
      <c r="E8" s="17">
        <f>'[1]资源-钻石'!N8</f>
        <v>8791.163388022298</v>
      </c>
      <c r="F8" s="17">
        <f>'[1]资源-钻石'!O8</f>
        <v>15638.776428266865</v>
      </c>
      <c r="G8" s="17">
        <f>'[1]资源-钻石'!P8</f>
        <v>19574.3719490816</v>
      </c>
      <c r="I8" s="4">
        <v>5</v>
      </c>
      <c r="J8" s="17">
        <f>'[1]资源-钻石'!T8</f>
        <v>48620.558988034674</v>
      </c>
      <c r="K8" s="17">
        <f>'[1]资源-钻石'!U8</f>
        <v>64762.61488683815</v>
      </c>
      <c r="L8" s="17">
        <f>'[1]资源-钻石'!V8</f>
        <v>101130.87637552196</v>
      </c>
      <c r="M8" s="17">
        <f>'[1]资源-钻石'!W8</f>
        <v>245663.96401307415</v>
      </c>
      <c r="N8" s="17">
        <f>'[1]资源-钻石'!X8</f>
        <v>564685.3604143816</v>
      </c>
    </row>
    <row r="9" spans="2:14" x14ac:dyDescent="0.15">
      <c r="B9" s="4">
        <v>6</v>
      </c>
      <c r="C9" s="17">
        <f>'[1]资源-钻石'!L9</f>
        <v>7478.7530384013098</v>
      </c>
      <c r="D9" s="17">
        <f>'[1]资源-钻石'!M9</f>
        <v>8590.893200390401</v>
      </c>
      <c r="E9" s="17">
        <f>'[1]资源-钻石'!N9</f>
        <v>10971.055697648706</v>
      </c>
      <c r="F9" s="17">
        <f>'[1]资源-钻石'!O9</f>
        <v>19602.189096576229</v>
      </c>
      <c r="G9" s="17">
        <f>'[1]资源-钻石'!P9</f>
        <v>24730.552915572829</v>
      </c>
      <c r="I9" s="4">
        <v>6</v>
      </c>
      <c r="J9" s="17">
        <f>'[1]资源-钻石'!T9</f>
        <v>57150.2804704109</v>
      </c>
      <c r="K9" s="17">
        <f>'[1]资源-钻石'!U9</f>
        <v>76065.308517452009</v>
      </c>
      <c r="L9" s="17">
        <f>'[1]资源-钻石'!V9</f>
        <v>118651.8393691972</v>
      </c>
      <c r="M9" s="17">
        <f>'[1]资源-钻石'!W9</f>
        <v>287817.02330611687</v>
      </c>
      <c r="N9" s="17">
        <f>'[1]资源-钻石'!X9</f>
        <v>661173.72563672857</v>
      </c>
    </row>
    <row r="10" spans="2:14" x14ac:dyDescent="0.15">
      <c r="B10" s="4">
        <v>7</v>
      </c>
      <c r="C10" s="17">
        <f>'[1]资源-钻石'!L10</f>
        <v>9056.364327401152</v>
      </c>
      <c r="D10" s="17">
        <f>'[1]资源-钻石'!M10</f>
        <v>10443.399467293943</v>
      </c>
      <c r="E10" s="17">
        <f>'[1]资源-钻石'!N10</f>
        <v>13372.604016402558</v>
      </c>
      <c r="F10" s="17">
        <f>'[1]资源-钻石'!O10</f>
        <v>23847.861989582831</v>
      </c>
      <c r="G10" s="17">
        <f>'[1]资源-钻石'!P10</f>
        <v>29846.901310823479</v>
      </c>
      <c r="I10" s="4">
        <v>7</v>
      </c>
      <c r="J10" s="17">
        <f>'[1]资源-钻石'!T10</f>
        <v>65680.001952787134</v>
      </c>
      <c r="K10" s="17">
        <f>'[1]资源-钻石'!U10</f>
        <v>87013.612097199526</v>
      </c>
      <c r="L10" s="17">
        <f>'[1]资源-钻石'!V10</f>
        <v>135833.17555775886</v>
      </c>
      <c r="M10" s="17">
        <f>'[1]资源-钻石'!W10</f>
        <v>329495.38453408948</v>
      </c>
      <c r="N10" s="17">
        <f>'[1]资源-钻石'!X10</f>
        <v>757274.01349916705</v>
      </c>
    </row>
    <row r="11" spans="2:14" x14ac:dyDescent="0.15">
      <c r="B11" s="4">
        <v>8</v>
      </c>
      <c r="C11" s="17">
        <f>'[1]资源-钻石'!L11</f>
        <v>10747.20624114886</v>
      </c>
      <c r="D11" s="17">
        <f>'[1]资源-钻石'!M11</f>
        <v>12335.24414104376</v>
      </c>
      <c r="E11" s="17">
        <f>'[1]资源-钻石'!N11</f>
        <v>15694.428505331771</v>
      </c>
      <c r="F11" s="17">
        <f>'[1]资源-钻石'!O11</f>
        <v>27889.164573650749</v>
      </c>
      <c r="G11" s="17">
        <f>'[1]资源-钻石'!P11</f>
        <v>34995.512475748721</v>
      </c>
      <c r="I11" s="4">
        <v>8</v>
      </c>
      <c r="J11" s="17">
        <f>'[1]资源-钻石'!T11</f>
        <v>71369.493447807283</v>
      </c>
      <c r="K11" s="17">
        <f>'[1]资源-钻石'!U11</f>
        <v>95426.442792588015</v>
      </c>
      <c r="L11" s="17">
        <f>'[1]资源-钻石'!V11</f>
        <v>149807.08707184682</v>
      </c>
      <c r="M11" s="17">
        <f>'[1]资源-钻石'!W11</f>
        <v>366417.79577903147</v>
      </c>
      <c r="N11" s="17">
        <f>'[1]资源-钻石'!X11</f>
        <v>844742.07535693469</v>
      </c>
    </row>
    <row r="12" spans="2:14" x14ac:dyDescent="0.15">
      <c r="B12" s="4">
        <v>9</v>
      </c>
      <c r="C12" s="17">
        <f>'[1]资源-钻石'!L12</f>
        <v>12559.405733647733</v>
      </c>
      <c r="D12" s="17">
        <f>'[1]资源-钻石'!M12</f>
        <v>14410.139453011971</v>
      </c>
      <c r="E12" s="17">
        <f>'[1]资源-钻石'!N12</f>
        <v>18405.364234952573</v>
      </c>
      <c r="F12" s="17">
        <f>'[1]资源-钻石'!O12</f>
        <v>32952.202123758485</v>
      </c>
      <c r="G12" s="17">
        <f>'[1]资源-钻石'!P12</f>
        <v>41453.73097236536</v>
      </c>
      <c r="I12" s="4">
        <v>9</v>
      </c>
      <c r="J12" s="17">
        <f>'[1]资源-钻石'!T12</f>
        <v>77058.984942827432</v>
      </c>
      <c r="K12" s="17">
        <f>'[1]资源-钻石'!U12</f>
        <v>103484.8834371102</v>
      </c>
      <c r="L12" s="17">
        <f>'[1]资源-钻石'!V12</f>
        <v>163441.37178082121</v>
      </c>
      <c r="M12" s="17">
        <f>'[1]资源-钻石'!W12</f>
        <v>402865.50895890332</v>
      </c>
      <c r="N12" s="17">
        <f>'[1]资源-钻石'!X12</f>
        <v>931822.0598547936</v>
      </c>
    </row>
    <row r="13" spans="2:14" x14ac:dyDescent="0.15">
      <c r="B13" s="4">
        <v>10</v>
      </c>
      <c r="C13" s="17">
        <f>'[1]资源-钻石'!L13</f>
        <v>14501.673058529761</v>
      </c>
      <c r="D13" s="17">
        <f>'[1]资源-钻石'!M13</f>
        <v>16712.913143474369</v>
      </c>
      <c r="E13" s="17">
        <f>'[1]资源-钻石'!N13</f>
        <v>21406.923324366089</v>
      </c>
      <c r="F13" s="17">
        <f>'[1]资源-钻石'!O13</f>
        <v>38510.453075083373</v>
      </c>
      <c r="G13" s="17">
        <f>'[1]资源-钻石'!P13</f>
        <v>48829.554950228208</v>
      </c>
      <c r="I13" s="4">
        <v>10</v>
      </c>
      <c r="J13" s="17">
        <f>'[1]资源-钻石'!T13</f>
        <v>82748.476437847581</v>
      </c>
      <c r="K13" s="17">
        <f>'[1]资源-钻石'!U13</f>
        <v>111543.32408163235</v>
      </c>
      <c r="L13" s="17">
        <f>'[1]资源-钻石'!V13</f>
        <v>177075.6564897956</v>
      </c>
      <c r="M13" s="17">
        <f>'[1]资源-钻石'!W13</f>
        <v>439313.22213877511</v>
      </c>
      <c r="N13" s="17">
        <f>'[1]资源-钻石'!X13</f>
        <v>1018902.0443526527</v>
      </c>
    </row>
    <row r="14" spans="2:14" x14ac:dyDescent="0.15">
      <c r="B14" s="4">
        <v>11</v>
      </c>
      <c r="C14" s="17">
        <f>'[1]资源-钻石'!L14</f>
        <v>15726.088349050451</v>
      </c>
      <c r="D14" s="17">
        <f>'[1]资源-钻石'!M14</f>
        <v>19167.896551545822</v>
      </c>
      <c r="E14" s="17">
        <f>'[1]资源-钻石'!N14</f>
        <v>24667.991108060392</v>
      </c>
      <c r="F14" s="17">
        <f>'[1]资源-钻石'!O14</f>
        <v>44364.525578775363</v>
      </c>
      <c r="G14" s="17">
        <f>'[1]资源-钻石'!P14</f>
        <v>56779.073660921611</v>
      </c>
      <c r="I14" s="4">
        <v>11</v>
      </c>
      <c r="J14" s="17">
        <f>'[1]资源-钻石'!T14</f>
        <v>88437.96793286773</v>
      </c>
      <c r="K14" s="17">
        <f>'[1]资源-钻石'!U14</f>
        <v>119601.76472615452</v>
      </c>
      <c r="L14" s="17">
        <f>'[1]资源-钻石'!V14</f>
        <v>190709.94119876999</v>
      </c>
      <c r="M14" s="17">
        <f>'[1]资源-钻石'!W14</f>
        <v>475760.93531864701</v>
      </c>
      <c r="N14" s="17">
        <f>'[1]资源-钻石'!X14</f>
        <v>1105982.0288505116</v>
      </c>
    </row>
    <row r="15" spans="2:14" x14ac:dyDescent="0.15">
      <c r="B15" s="4">
        <v>12</v>
      </c>
      <c r="C15" s="17">
        <f>'[1]资源-钻石'!L15</f>
        <v>17038.384164554194</v>
      </c>
      <c r="D15" s="17">
        <f>'[1]资源-钻石'!M15</f>
        <v>20825.059623865094</v>
      </c>
      <c r="E15" s="17">
        <f>'[1]资源-钻石'!N15</f>
        <v>28123.71056574865</v>
      </c>
      <c r="F15" s="17">
        <f>'[1]资源-钻石'!O15</f>
        <v>51022.981683163329</v>
      </c>
      <c r="G15" s="17">
        <f>'[1]资源-钻石'!P15</f>
        <v>65345.525077267288</v>
      </c>
      <c r="I15" s="4">
        <v>12</v>
      </c>
      <c r="J15" s="17">
        <f>'[1]资源-钻石'!T15</f>
        <v>94127.459427887894</v>
      </c>
      <c r="K15" s="17">
        <f>'[1]资源-钻石'!U15</f>
        <v>127660.20537067669</v>
      </c>
      <c r="L15" s="17">
        <f>'[1]资源-钻石'!V15</f>
        <v>204344.22590774437</v>
      </c>
      <c r="M15" s="17">
        <f>'[1]资源-钻石'!W15</f>
        <v>512208.6484985188</v>
      </c>
      <c r="N15" s="17">
        <f>'[1]资源-钻石'!X15</f>
        <v>1193062.0133483706</v>
      </c>
    </row>
    <row r="16" spans="2:14" x14ac:dyDescent="0.15">
      <c r="B16" s="4">
        <v>13</v>
      </c>
      <c r="C16" s="17">
        <f>'[1]资源-钻石'!L16</f>
        <v>18444.867994608529</v>
      </c>
      <c r="D16" s="17">
        <f>'[1]资源-钻石'!M16</f>
        <v>22522.557065644731</v>
      </c>
      <c r="E16" s="17">
        <f>'[1]资源-钻石'!N16</f>
        <v>31563.040133767903</v>
      </c>
      <c r="F16" s="17">
        <f>'[1]资源-钻石'!O16</f>
        <v>58217.56000155623</v>
      </c>
      <c r="G16" s="17">
        <f>'[1]资源-钻石'!P16</f>
        <v>74826.697957350567</v>
      </c>
      <c r="I16" s="4">
        <v>13</v>
      </c>
      <c r="J16" s="17">
        <f>'[1]资源-钻石'!T16</f>
        <v>99816.950922908043</v>
      </c>
      <c r="K16" s="17">
        <f>'[1]资源-钻石'!U16</f>
        <v>135718.64601519887</v>
      </c>
      <c r="L16" s="17">
        <f>'[1]资源-钻石'!V16</f>
        <v>217978.51061671876</v>
      </c>
      <c r="M16" s="17">
        <f>'[1]资源-钻石'!W16</f>
        <v>548656.36167839065</v>
      </c>
      <c r="N16" s="17">
        <f>'[1]资源-钻石'!X16</f>
        <v>1280141.9978462297</v>
      </c>
    </row>
    <row r="17" spans="2:14" x14ac:dyDescent="0.15">
      <c r="B17" s="4">
        <v>14</v>
      </c>
      <c r="C17" s="17">
        <f>'[1]资源-钻石'!L17</f>
        <v>19952.300039147165</v>
      </c>
      <c r="D17" s="17">
        <f>'[1]资源-钻石'!M17</f>
        <v>24227.212538513926</v>
      </c>
      <c r="E17" s="17">
        <f>'[1]资源-钻石'!N17</f>
        <v>33754.411692335707</v>
      </c>
      <c r="F17" s="17">
        <f>'[1]资源-钻石'!O17</f>
        <v>65190.381474620808</v>
      </c>
      <c r="G17" s="17">
        <f>'[1]资源-钻石'!P17</f>
        <v>83664.923820554817</v>
      </c>
      <c r="I17" s="4">
        <v>14</v>
      </c>
      <c r="J17" s="17">
        <f>'[1]资源-钻石'!T17</f>
        <v>105506.43551656598</v>
      </c>
      <c r="K17" s="17">
        <f>'[1]资源-钻石'!U17</f>
        <v>143763.35342501907</v>
      </c>
      <c r="L17" s="17">
        <f>'[1]资源-钻石'!V17</f>
        <v>231399.60984942626</v>
      </c>
      <c r="M17" s="17">
        <f>'[1]资源-钻石'!W17</f>
        <v>584412.16485232592</v>
      </c>
      <c r="N17" s="17">
        <f>'[1]资源-钻石'!X17</f>
        <v>1365888.7106964437</v>
      </c>
    </row>
    <row r="18" spans="2:14" x14ac:dyDescent="0.15">
      <c r="B18" s="4">
        <v>15</v>
      </c>
      <c r="C18" s="17">
        <f>'[1]资源-钻石'!L18</f>
        <v>21567.925701060507</v>
      </c>
      <c r="D18" s="17">
        <f>'[1]资源-钻石'!M18</f>
        <v>26100.568500456058</v>
      </c>
      <c r="E18" s="17">
        <f>'[1]资源-钻石'!N18</f>
        <v>36178.578407986883</v>
      </c>
      <c r="F18" s="17">
        <f>'[1]资源-钻石'!O18</f>
        <v>73118.519562145026</v>
      </c>
      <c r="G18" s="17">
        <f>'[1]资源-钻石'!P18</f>
        <v>94215.936382830361</v>
      </c>
      <c r="I18" s="4">
        <v>15</v>
      </c>
      <c r="J18" s="17">
        <f>'[1]资源-钻石'!T18</f>
        <v>111195.83045140664</v>
      </c>
      <c r="K18" s="17">
        <f>'[1]资源-钻石'!U18</f>
        <v>151610.41349654732</v>
      </c>
      <c r="L18" s="17">
        <f>'[1]资源-钻石'!V18</f>
        <v>244403.20484620208</v>
      </c>
      <c r="M18" s="17">
        <f>'[1]资源-钻石'!W18</f>
        <v>617942.27533082222</v>
      </c>
      <c r="N18" s="17">
        <f>'[1]资源-钻石'!X18</f>
        <v>1444458.0653639045</v>
      </c>
    </row>
    <row r="19" spans="2:14" x14ac:dyDescent="0.15">
      <c r="B19" s="4">
        <v>16</v>
      </c>
      <c r="C19" s="17">
        <f>'[1]资源-钻石'!L19</f>
        <v>23299.51041089186</v>
      </c>
      <c r="D19" s="17">
        <f>'[1]资源-钻石'!M19</f>
        <v>28126.195578776875</v>
      </c>
      <c r="E19" s="17">
        <f>'[1]资源-钻石'!N19</f>
        <v>38754.142180374445</v>
      </c>
      <c r="F19" s="17">
        <f>'[1]资源-钻石'!O19</f>
        <v>79658.054654546926</v>
      </c>
      <c r="G19" s="17">
        <f>'[1]资源-钻石'!P19</f>
        <v>106274.07289769812</v>
      </c>
      <c r="I19" s="4">
        <v>16</v>
      </c>
      <c r="J19" s="17">
        <f>'[1]资源-钻石'!T19</f>
        <v>116885.21848488509</v>
      </c>
      <c r="K19" s="17">
        <f>'[1]资源-钻石'!U19</f>
        <v>159443.74033337363</v>
      </c>
      <c r="L19" s="17">
        <f>'[1]资源-钻石'!V19</f>
        <v>257193.614366711</v>
      </c>
      <c r="M19" s="17">
        <f>'[1]资源-钻石'!W19</f>
        <v>650780.475803382</v>
      </c>
      <c r="N19" s="17">
        <f>'[1]资源-钻石'!X19</f>
        <v>1521694.1483837203</v>
      </c>
    </row>
    <row r="20" spans="2:14" x14ac:dyDescent="0.15">
      <c r="B20" s="4">
        <v>17</v>
      </c>
      <c r="C20" s="17">
        <f>'[1]资源-钻石'!L20</f>
        <v>25155.376951022714</v>
      </c>
      <c r="D20" s="17">
        <f>'[1]资源-钻石'!M20</f>
        <v>30214.453217745926</v>
      </c>
      <c r="E20" s="17">
        <f>'[1]资源-钻石'!N20</f>
        <v>41393.145668975973</v>
      </c>
      <c r="F20" s="17">
        <f>'[1]资源-钻石'!O20</f>
        <v>84395.12297073126</v>
      </c>
      <c r="G20" s="17">
        <f>'[1]资源-钻石'!P20</f>
        <v>116732.01692544734</v>
      </c>
      <c r="I20" s="4">
        <v>17</v>
      </c>
      <c r="J20" s="17">
        <f>'[1]资源-钻石'!T20</f>
        <v>122574.60651836354</v>
      </c>
      <c r="K20" s="17">
        <f>'[1]资源-钻石'!U20</f>
        <v>167277.06717019991</v>
      </c>
      <c r="L20" s="17">
        <f>'[1]资源-钻石'!V20</f>
        <v>269984.0238872199</v>
      </c>
      <c r="M20" s="17">
        <f>'[1]资源-钻石'!W20</f>
        <v>683618.67627594189</v>
      </c>
      <c r="N20" s="17">
        <f>'[1]资源-钻石'!X20</f>
        <v>1598930.2314035362</v>
      </c>
    </row>
    <row r="21" spans="2:14" x14ac:dyDescent="0.15">
      <c r="B21" s="4">
        <v>18</v>
      </c>
      <c r="C21" s="17">
        <f>'[1]资源-钻石'!L21</f>
        <v>27144.445458744009</v>
      </c>
      <c r="D21" s="17">
        <f>'[1]资源-钻石'!M21</f>
        <v>32567.716194017077</v>
      </c>
      <c r="E21" s="17">
        <f>'[1]资源-钻石'!N21</f>
        <v>44521.793369274732</v>
      </c>
      <c r="F21" s="17">
        <f>'[1]资源-钻石'!O21</f>
        <v>89977.172780918947</v>
      </c>
      <c r="G21" s="17">
        <f>'[1]资源-钻石'!P21</f>
        <v>129678.52194244512</v>
      </c>
      <c r="I21" s="4">
        <v>18</v>
      </c>
      <c r="J21" s="17">
        <f>'[1]资源-钻石'!T21</f>
        <v>128263.99455184198</v>
      </c>
      <c r="K21" s="17">
        <f>'[1]资源-钻石'!U21</f>
        <v>175110.39400702619</v>
      </c>
      <c r="L21" s="17">
        <f>'[1]资源-钻石'!V21</f>
        <v>282774.43340772885</v>
      </c>
      <c r="M21" s="17">
        <f>'[1]资源-钻石'!W21</f>
        <v>716456.87674850167</v>
      </c>
      <c r="N21" s="17">
        <f>'[1]资源-钻石'!X21</f>
        <v>1676166.314423352</v>
      </c>
    </row>
    <row r="22" spans="2:14" x14ac:dyDescent="0.15">
      <c r="B22" s="4">
        <v>19</v>
      </c>
      <c r="C22" s="17">
        <f>'[1]资源-钻石'!L22</f>
        <v>29276.276300486359</v>
      </c>
      <c r="D22" s="17">
        <f>'[1]资源-钻石'!M22</f>
        <v>35074.994145464443</v>
      </c>
      <c r="E22" s="17">
        <f>'[1]资源-钻石'!N22</f>
        <v>47709.730679362823</v>
      </c>
      <c r="F22" s="17">
        <f>'[1]资源-钻石'!O22</f>
        <v>95580.53961916102</v>
      </c>
      <c r="G22" s="17">
        <f>'[1]资源-钻石'!P22</f>
        <v>143468.16217514762</v>
      </c>
      <c r="I22" s="4">
        <v>19</v>
      </c>
      <c r="J22" s="17">
        <f>'[1]资源-钻石'!T22</f>
        <v>133953.38258532042</v>
      </c>
      <c r="K22" s="17">
        <f>'[1]资源-钻石'!U22</f>
        <v>182943.7208438525</v>
      </c>
      <c r="L22" s="17">
        <f>'[1]资源-钻石'!V22</f>
        <v>295564.84292823775</v>
      </c>
      <c r="M22" s="17">
        <f>'[1]资源-钻石'!W22</f>
        <v>749295.07722106157</v>
      </c>
      <c r="N22" s="17">
        <f>'[1]资源-钻石'!X22</f>
        <v>1753402.3974431679</v>
      </c>
    </row>
    <row r="23" spans="2:14" x14ac:dyDescent="0.15">
      <c r="B23" s="4">
        <v>20</v>
      </c>
      <c r="C23" s="17">
        <f>'[1]资源-钻石'!L23</f>
        <v>31561.116023282215</v>
      </c>
      <c r="D23" s="17">
        <f>'[1]资源-钻石'!M23</f>
        <v>37677.97013979817</v>
      </c>
      <c r="E23" s="17">
        <f>'[1]资源-钻石'!N23</f>
        <v>50971.863517228492</v>
      </c>
      <c r="F23" s="17">
        <f>'[1]资源-钻石'!O23</f>
        <v>101504.7165367972</v>
      </c>
      <c r="G23" s="17">
        <f>'[1]资源-钻石'!P23</f>
        <v>157266.19839204173</v>
      </c>
      <c r="I23" s="4">
        <v>20</v>
      </c>
      <c r="J23" s="17">
        <f>'[1]资源-钻石'!T23</f>
        <v>139642.77061879888</v>
      </c>
      <c r="K23" s="17">
        <f>'[1]资源-钻石'!U23</f>
        <v>190777.04768067878</v>
      </c>
      <c r="L23" s="17">
        <f>'[1]资源-钻石'!V23</f>
        <v>308355.25244874664</v>
      </c>
      <c r="M23" s="17">
        <f>'[1]资源-钻石'!W23</f>
        <v>782133.27769362135</v>
      </c>
      <c r="N23" s="17">
        <f>'[1]资源-钻石'!X23</f>
        <v>1830638.4804629835</v>
      </c>
    </row>
    <row r="24" spans="2:14" x14ac:dyDescent="0.15">
      <c r="B24" s="4">
        <v>21</v>
      </c>
      <c r="C24" s="17">
        <f>'[1]资源-钻石'!L24</f>
        <v>34009.946604323595</v>
      </c>
      <c r="D24" s="17">
        <f>'[1]资源-钻石'!M24</f>
        <v>40483.1023076743</v>
      </c>
      <c r="E24" s="17">
        <f>'[1]资源-钻石'!N24</f>
        <v>54641.739591638812</v>
      </c>
      <c r="F24" s="17">
        <f>'[1]资源-钻石'!O24</f>
        <v>108100.47658500832</v>
      </c>
      <c r="G24" s="17">
        <f>'[1]资源-钻石'!P24</f>
        <v>173667.52080389639</v>
      </c>
      <c r="I24" s="4">
        <v>21</v>
      </c>
      <c r="J24" s="17">
        <f>'[1]资源-钻石'!T24</f>
        <v>145332.15865227731</v>
      </c>
      <c r="K24" s="17">
        <f>'[1]资源-钻石'!U24</f>
        <v>198610.37451750509</v>
      </c>
      <c r="L24" s="17">
        <f>'[1]资源-钻石'!V24</f>
        <v>321145.6619692556</v>
      </c>
      <c r="M24" s="17">
        <f>'[1]资源-钻石'!W24</f>
        <v>814971.47816618124</v>
      </c>
      <c r="N24" s="17">
        <f>'[1]资源-钻石'!X24</f>
        <v>1907874.5634827993</v>
      </c>
    </row>
    <row r="25" spans="2:14" x14ac:dyDescent="0.15">
      <c r="B25" s="4">
        <v>22</v>
      </c>
      <c r="C25" s="17">
        <f>'[1]资源-钻石'!L25</f>
        <v>36634.538235331078</v>
      </c>
      <c r="D25" s="17">
        <f>'[1]资源-钻石'!M25</f>
        <v>43561.417331527664</v>
      </c>
      <c r="E25" s="17">
        <f>'[1]资源-钻石'!N25</f>
        <v>58641.674296658151</v>
      </c>
      <c r="F25" s="17">
        <f>'[1]资源-钻石'!O25</f>
        <v>115316.45592085565</v>
      </c>
      <c r="G25" s="17">
        <f>'[1]资源-钻石'!P25</f>
        <v>185363.74592555995</v>
      </c>
      <c r="I25" s="4">
        <v>22</v>
      </c>
      <c r="J25" s="17">
        <f>'[1]资源-钻石'!T25</f>
        <v>151021.54668575578</v>
      </c>
      <c r="K25" s="17">
        <f>'[1]资源-钻石'!U25</f>
        <v>206443.70135433137</v>
      </c>
      <c r="L25" s="17">
        <f>'[1]资源-钻石'!V25</f>
        <v>333936.07148976449</v>
      </c>
      <c r="M25" s="17">
        <f>'[1]资源-钻石'!W25</f>
        <v>847809.67863874102</v>
      </c>
      <c r="N25" s="17">
        <f>'[1]资源-钻石'!X25</f>
        <v>1985110.6465026152</v>
      </c>
    </row>
    <row r="26" spans="2:14" x14ac:dyDescent="0.15">
      <c r="B26" s="4">
        <v>23</v>
      </c>
      <c r="C26" s="17">
        <f>'[1]资源-钻石'!L26</f>
        <v>39447.505895439739</v>
      </c>
      <c r="D26" s="17">
        <f>'[1]资源-钻石'!M26</f>
        <v>46769.893451378055</v>
      </c>
      <c r="E26" s="17">
        <f>'[1]资源-钻石'!N26</f>
        <v>62698.039224057815</v>
      </c>
      <c r="F26" s="17">
        <f>'[1]资源-钻石'!O26</f>
        <v>122561.59014963175</v>
      </c>
      <c r="G26" s="17">
        <f>'[1]资源-钻石'!P26</f>
        <v>194255.91934723043</v>
      </c>
      <c r="I26" s="4">
        <v>23</v>
      </c>
      <c r="J26" s="17">
        <f>'[1]资源-钻石'!T26</f>
        <v>156710.93471923424</v>
      </c>
      <c r="K26" s="17">
        <f>'[1]资源-钻石'!U26</f>
        <v>214277.02819115765</v>
      </c>
      <c r="L26" s="17">
        <f>'[1]资源-钻石'!V26</f>
        <v>346726.48101027345</v>
      </c>
      <c r="M26" s="17">
        <f>'[1]资源-钻石'!W26</f>
        <v>880647.87911130092</v>
      </c>
      <c r="N26" s="17">
        <f>'[1]资源-钻石'!X26</f>
        <v>2062346.729522431</v>
      </c>
    </row>
    <row r="27" spans="2:14" x14ac:dyDescent="0.15">
      <c r="B27" s="4">
        <v>24</v>
      </c>
      <c r="C27" s="17">
        <f>'[1]资源-钻石'!L27</f>
        <v>42462.369984517027</v>
      </c>
      <c r="D27" s="17">
        <f>'[1]资源-钻石'!M27</f>
        <v>50311.665879092536</v>
      </c>
      <c r="E27" s="17">
        <f>'[1]资源-钻石'!N27</f>
        <v>67313.937400448282</v>
      </c>
      <c r="F27" s="17">
        <f>'[1]资源-钻石'!O27</f>
        <v>130763.22334191311</v>
      </c>
      <c r="G27" s="17">
        <f>'[1]资源-钻石'!P27</f>
        <v>204715.44326334211</v>
      </c>
      <c r="I27" s="4">
        <v>24</v>
      </c>
      <c r="J27" s="17">
        <f>'[1]资源-钻石'!T27</f>
        <v>162400.32275271267</v>
      </c>
      <c r="K27" s="17">
        <f>'[1]资源-钻石'!U27</f>
        <v>222110.35502798393</v>
      </c>
      <c r="L27" s="17">
        <f>'[1]资源-钻石'!V27</f>
        <v>359516.8905307824</v>
      </c>
      <c r="M27" s="17">
        <f>'[1]资源-钻石'!W27</f>
        <v>913486.0795838607</v>
      </c>
      <c r="N27" s="17">
        <f>'[1]资源-钻石'!X27</f>
        <v>2139582.8125422467</v>
      </c>
    </row>
    <row r="28" spans="2:14" x14ac:dyDescent="0.15">
      <c r="B28" s="4">
        <v>25</v>
      </c>
      <c r="C28" s="17">
        <f>'[1]资源-钻石'!L28</f>
        <v>45693.621308343718</v>
      </c>
      <c r="D28" s="17">
        <f>'[1]资源-钻石'!M28</f>
        <v>54073.175003945638</v>
      </c>
      <c r="E28" s="17">
        <f>'[1]资源-钻石'!N28</f>
        <v>72125.845879448229</v>
      </c>
      <c r="F28" s="17">
        <f>'[1]资源-钻石'!O28</f>
        <v>139369.87523300829</v>
      </c>
      <c r="G28" s="17">
        <f>'[1]资源-钻石'!P28</f>
        <v>215425.61427332016</v>
      </c>
      <c r="I28" s="4">
        <v>25</v>
      </c>
      <c r="J28" s="17">
        <f>'[1]资源-钻石'!T28</f>
        <v>168089.71078619111</v>
      </c>
      <c r="K28" s="17">
        <f>'[1]资源-钻石'!U28</f>
        <v>229943.68186481023</v>
      </c>
      <c r="L28" s="17">
        <f>'[1]资源-钻石'!V28</f>
        <v>372307.3000512913</v>
      </c>
      <c r="M28" s="17">
        <f>'[1]资源-钻石'!W28</f>
        <v>946324.28005642048</v>
      </c>
      <c r="N28" s="17">
        <f>'[1]资源-钻石'!X28</f>
        <v>2216818.8955620625</v>
      </c>
    </row>
    <row r="29" spans="2:14" x14ac:dyDescent="0.15">
      <c r="B29" s="4">
        <v>26</v>
      </c>
      <c r="C29" s="17">
        <f>'[1]资源-钻石'!L29</f>
        <v>49156.790728006417</v>
      </c>
      <c r="D29" s="17">
        <f>'[1]资源-钻石'!M29</f>
        <v>58079.828833926251</v>
      </c>
      <c r="E29" s="17">
        <f>'[1]资源-钻石'!N29</f>
        <v>77252.661931416835</v>
      </c>
      <c r="F29" s="17">
        <f>'[1]资源-钻石'!O29</f>
        <v>148350.2420406632</v>
      </c>
      <c r="G29" s="17">
        <f>'[1]资源-钻石'!P29</f>
        <v>226939.51188803394</v>
      </c>
      <c r="I29" s="4">
        <v>26</v>
      </c>
      <c r="J29" s="17">
        <f>'[1]资源-钻石'!T29</f>
        <v>173779.09881966957</v>
      </c>
      <c r="K29" s="17">
        <f>'[1]资源-钻石'!U29</f>
        <v>237777.00870163651</v>
      </c>
      <c r="L29" s="17">
        <f>'[1]资源-钻石'!V29</f>
        <v>385097.70957180019</v>
      </c>
      <c r="M29" s="17">
        <f>'[1]资源-钻石'!W29</f>
        <v>979162.48052898038</v>
      </c>
      <c r="N29" s="17">
        <f>'[1]资源-钻石'!X29</f>
        <v>2294054.9785818784</v>
      </c>
    </row>
    <row r="30" spans="2:14" x14ac:dyDescent="0.15">
      <c r="B30" s="4">
        <v>27</v>
      </c>
      <c r="C30" s="17">
        <f>'[1]资源-钻石'!L30</f>
        <v>52868.523808268132</v>
      </c>
      <c r="D30" s="17">
        <f>'[1]资源-钻石'!M30</f>
        <v>62368.985766527236</v>
      </c>
      <c r="E30" s="17">
        <f>'[1]资源-钻石'!N30</f>
        <v>82720.324513717162</v>
      </c>
      <c r="F30" s="17">
        <f>'[1]资源-钻石'!O30</f>
        <v>158008.69143623821</v>
      </c>
      <c r="G30" s="17">
        <f>'[1]资源-钻石'!P30</f>
        <v>239429.1677670764</v>
      </c>
      <c r="I30" s="4">
        <v>27</v>
      </c>
      <c r="J30" s="17">
        <f>'[1]资源-钻石'!T30</f>
        <v>179468.486853148</v>
      </c>
      <c r="K30" s="17">
        <f>'[1]资源-钻石'!U30</f>
        <v>245610.33553846279</v>
      </c>
      <c r="L30" s="17">
        <f>'[1]资源-钻石'!V30</f>
        <v>397888.11909230915</v>
      </c>
      <c r="M30" s="17">
        <f>'[1]资源-钻石'!W30</f>
        <v>1012000.6810015402</v>
      </c>
      <c r="N30" s="17">
        <f>'[1]资源-钻石'!X30</f>
        <v>2371291.0616016942</v>
      </c>
    </row>
    <row r="31" spans="2:14" x14ac:dyDescent="0.15">
      <c r="B31" s="4">
        <v>28</v>
      </c>
      <c r="C31" s="17">
        <f>'[1]资源-钻石'!L31</f>
        <v>56846.660823710707</v>
      </c>
      <c r="D31" s="17">
        <f>'[1]资源-钻石'!M31</f>
        <v>66926.150305849689</v>
      </c>
      <c r="E31" s="17">
        <f>'[1]资源-钻石'!N31</f>
        <v>88433.174310601171</v>
      </c>
      <c r="F31" s="17">
        <f>'[1]资源-钻石'!O31</f>
        <v>168326.14538209527</v>
      </c>
      <c r="G31" s="17">
        <f>'[1]资源-钻石'!P31</f>
        <v>253395.93774105425</v>
      </c>
      <c r="I31" s="4">
        <v>28</v>
      </c>
      <c r="J31" s="17">
        <f>'[1]资源-钻石'!T31</f>
        <v>185157.87488662647</v>
      </c>
      <c r="K31" s="17">
        <f>'[1]资源-钻石'!U31</f>
        <v>253443.6623752891</v>
      </c>
      <c r="L31" s="17">
        <f>'[1]资源-钻石'!V31</f>
        <v>410678.5286128181</v>
      </c>
      <c r="M31" s="17">
        <f>'[1]资源-钻石'!W31</f>
        <v>1044838.8814741001</v>
      </c>
      <c r="N31" s="17">
        <f>'[1]资源-钻石'!X31</f>
        <v>2448527.1446215101</v>
      </c>
    </row>
    <row r="32" spans="2:14" x14ac:dyDescent="0.15">
      <c r="B32" s="4">
        <v>29</v>
      </c>
      <c r="C32" s="17">
        <f>'[1]资源-钻石'!L32</f>
        <v>61110.3225071954</v>
      </c>
      <c r="D32" s="17">
        <f>'[1]资源-钻石'!M32</f>
        <v>71909.456860487029</v>
      </c>
      <c r="E32" s="17">
        <f>'[1]资源-钻石'!N32</f>
        <v>95016.724322714377</v>
      </c>
      <c r="F32" s="17">
        <f>'[1]资源-钻石'!O32</f>
        <v>180462.02468798024</v>
      </c>
      <c r="G32" s="17">
        <f>'[1]资源-钻石'!P32</f>
        <v>269111.9215568311</v>
      </c>
      <c r="I32" s="4">
        <v>29</v>
      </c>
      <c r="J32" s="17">
        <f>'[1]资源-钻石'!T32</f>
        <v>190863.14162790234</v>
      </c>
      <c r="K32" s="17">
        <f>'[1]资源-钻石'!U32</f>
        <v>261290.21329832528</v>
      </c>
      <c r="L32" s="17">
        <f>'[1]资源-钻石'!V32</f>
        <v>423468.938133327</v>
      </c>
      <c r="M32" s="17">
        <f>'[1]资源-钻石'!W32</f>
        <v>1077932.6215086782</v>
      </c>
      <c r="N32" s="17">
        <f>'[1]资源-钻石'!X32</f>
        <v>2525763.2276413259</v>
      </c>
    </row>
    <row r="33" spans="2:14" x14ac:dyDescent="0.15">
      <c r="B33" s="4">
        <v>30</v>
      </c>
      <c r="C33" s="17">
        <f>'[1]资源-钻石'!L33</f>
        <v>65680.001952787134</v>
      </c>
      <c r="D33" s="17">
        <f>'[1]资源-钻石'!M33</f>
        <v>77224.964883952984</v>
      </c>
      <c r="E33" s="17">
        <f>'[1]资源-钻石'!N33</f>
        <v>101868.50891755569</v>
      </c>
      <c r="F33" s="17">
        <f>'[1]资源-钻石'!O33</f>
        <v>192673.35317579008</v>
      </c>
      <c r="G33" s="17">
        <f>'[1]资源-钻石'!P33</f>
        <v>284936.6431252308</v>
      </c>
      <c r="I33" s="4">
        <v>30</v>
      </c>
      <c r="J33" s="17">
        <f>'[1]资源-钻石'!T33</f>
        <v>196663.61286678724</v>
      </c>
      <c r="K33" s="17">
        <f>'[1]资源-钻石'!U33</f>
        <v>269307.76347360696</v>
      </c>
      <c r="L33" s="17">
        <f>'[1]资源-钻石'!V33</f>
        <v>436498.61926985084</v>
      </c>
      <c r="M33" s="17">
        <f>'[1]资源-钻石'!W33</f>
        <v>1111368.2906063378</v>
      </c>
      <c r="N33" s="17">
        <f>'[1]资源-钻石'!X33</f>
        <v>2603895.6752189337</v>
      </c>
    </row>
    <row r="34" spans="2:14" x14ac:dyDescent="0.15">
      <c r="B34" s="4">
        <v>31</v>
      </c>
      <c r="C34" s="17">
        <f>'[1]资源-钻石'!L34</f>
        <v>68946.837990134227</v>
      </c>
      <c r="D34" s="17">
        <f>'[1]资源-钻石'!M34</f>
        <v>82977.001107809148</v>
      </c>
      <c r="E34" s="17">
        <f>'[1]资源-钻石'!N34</f>
        <v>109247.66551910572</v>
      </c>
      <c r="F34" s="17">
        <f>'[1]资源-钻石'!O34</f>
        <v>205710.89057429146</v>
      </c>
      <c r="G34" s="17">
        <f>'[1]资源-钻石'!P34</f>
        <v>302074.48782038403</v>
      </c>
      <c r="I34" s="4">
        <v>31</v>
      </c>
      <c r="J34" s="17">
        <f>'[1]资源-钻石'!T34</f>
        <v>202464.08410567214</v>
      </c>
      <c r="K34" s="17">
        <f>'[1]资源-钻石'!U34</f>
        <v>277325.31364888867</v>
      </c>
      <c r="L34" s="17">
        <f>'[1]资源-钻石'!V34</f>
        <v>449825.11207035818</v>
      </c>
      <c r="M34" s="17">
        <f>'[1]资源-钻石'!W34</f>
        <v>1145354.6959446499</v>
      </c>
      <c r="N34" s="17">
        <f>'[1]资源-钻石'!X34</f>
        <v>2685591.9040212682</v>
      </c>
    </row>
    <row r="35" spans="2:14" x14ac:dyDescent="0.15">
      <c r="B35" s="4">
        <v>32</v>
      </c>
      <c r="C35" s="17">
        <f>'[1]资源-钻石'!L35</f>
        <v>72448.146161420067</v>
      </c>
      <c r="D35" s="17">
        <f>'[1]资源-钻石'!M35</f>
        <v>88592.612648810507</v>
      </c>
      <c r="E35" s="17">
        <f>'[1]资源-钻石'!N35</f>
        <v>117010.65127352798</v>
      </c>
      <c r="F35" s="17">
        <f>'[1]资源-钻石'!O35</f>
        <v>219761.91033099376</v>
      </c>
      <c r="G35" s="17">
        <f>'[1]资源-钻石'!P35</f>
        <v>320093.68795940961</v>
      </c>
      <c r="I35" s="4">
        <v>32</v>
      </c>
      <c r="J35" s="17">
        <f>'[1]资源-钻石'!T35</f>
        <v>208391.51725776092</v>
      </c>
      <c r="K35" s="17">
        <f>'[1]资源-钻石'!U35</f>
        <v>285510.66898353701</v>
      </c>
      <c r="L35" s="17">
        <f>'[1]资源-钻石'!V35</f>
        <v>463203.73588189075</v>
      </c>
      <c r="M35" s="17">
        <f>'[1]资源-钻石'!W35</f>
        <v>1180194.1094700799</v>
      </c>
      <c r="N35" s="17">
        <f>'[1]资源-钻石'!X35</f>
        <v>2767356.0204170877</v>
      </c>
    </row>
    <row r="36" spans="2:14" x14ac:dyDescent="0.15">
      <c r="B36" s="4">
        <v>33</v>
      </c>
      <c r="C36" s="17">
        <f>'[1]资源-钻石'!L36</f>
        <v>76200.755343565717</v>
      </c>
      <c r="D36" s="17">
        <f>'[1]资源-钻石'!M36</f>
        <v>93105.924956101415</v>
      </c>
      <c r="E36" s="17">
        <f>'[1]资源-钻石'!N36</f>
        <v>125127.9725742256</v>
      </c>
      <c r="F36" s="17">
        <f>'[1]资源-钻石'!O36</f>
        <v>234538.41940298415</v>
      </c>
      <c r="G36" s="17">
        <f>'[1]资源-钻石'!P36</f>
        <v>339164.14952323883</v>
      </c>
      <c r="I36" s="4">
        <v>33</v>
      </c>
      <c r="J36" s="17">
        <f>'[1]资源-钻石'!T36</f>
        <v>214318.9504098497</v>
      </c>
      <c r="K36" s="17">
        <f>'[1]资源-钻石'!U36</f>
        <v>293710.84545083466</v>
      </c>
      <c r="L36" s="17">
        <f>'[1]资源-钻石'!V36</f>
        <v>476675.92999591812</v>
      </c>
      <c r="M36" s="17">
        <f>'[1]资源-钻石'!W36</f>
        <v>1215033.5229955099</v>
      </c>
      <c r="N36" s="17">
        <f>'[1]资源-钻石'!X36</f>
        <v>2849534.3752950612</v>
      </c>
    </row>
    <row r="37" spans="2:14" x14ac:dyDescent="0.15">
      <c r="B37" s="4">
        <v>34</v>
      </c>
      <c r="C37" s="17">
        <f>'[1]资源-钻石'!L37</f>
        <v>80222.702280259429</v>
      </c>
      <c r="D37" s="17">
        <f>'[1]资源-钻石'!M37</f>
        <v>98093.593024921094</v>
      </c>
      <c r="E37" s="17">
        <f>'[1]资源-钻石'!N37</f>
        <v>134277.60959034087</v>
      </c>
      <c r="F37" s="17">
        <f>'[1]资源-钻石'!O37</f>
        <v>251090.71369793112</v>
      </c>
      <c r="G37" s="17">
        <f>'[1]资源-钻石'!P37</f>
        <v>360241.28502284456</v>
      </c>
      <c r="I37" s="4">
        <v>34</v>
      </c>
      <c r="J37" s="17">
        <f>'[1]资源-钻石'!T37</f>
        <v>220246.38356193848</v>
      </c>
      <c r="K37" s="17">
        <f>'[1]资源-钻石'!U37</f>
        <v>301911.02191813232</v>
      </c>
      <c r="L37" s="17">
        <f>'[1]资源-钻石'!V37</f>
        <v>490148.12410994555</v>
      </c>
      <c r="M37" s="17">
        <f>'[1]资源-钻石'!W37</f>
        <v>1249872.9365209402</v>
      </c>
      <c r="N37" s="17">
        <f>'[1]资源-钻石'!X37</f>
        <v>2931712.7301730346</v>
      </c>
    </row>
    <row r="38" spans="2:14" x14ac:dyDescent="0.15">
      <c r="B38" s="4">
        <v>35</v>
      </c>
      <c r="C38" s="17">
        <f>'[1]资源-钻石'!L38</f>
        <v>84533.318274736914</v>
      </c>
      <c r="D38" s="17">
        <f>'[1]资源-钻石'!M38</f>
        <v>103524.36085513508</v>
      </c>
      <c r="E38" s="17">
        <f>'[1]资源-钻石'!N38</f>
        <v>142372.9729246567</v>
      </c>
      <c r="F38" s="17">
        <f>'[1]资源-钻石'!O38</f>
        <v>268448.71290335787</v>
      </c>
      <c r="G38" s="17">
        <f>'[1]资源-钻石'!P38</f>
        <v>382381.64063262125</v>
      </c>
      <c r="I38" s="4">
        <v>35</v>
      </c>
      <c r="J38" s="17">
        <f>'[1]资源-钻石'!T38</f>
        <v>226173.81671402726</v>
      </c>
      <c r="K38" s="17">
        <f>'[1]资源-钻石'!U38</f>
        <v>310111.19838542998</v>
      </c>
      <c r="L38" s="17">
        <f>'[1]资源-钻石'!V38</f>
        <v>503620.31822397298</v>
      </c>
      <c r="M38" s="17">
        <f>'[1]资源-钻石'!W38</f>
        <v>1284712.3500463704</v>
      </c>
      <c r="N38" s="17">
        <f>'[1]资源-钻石'!X38</f>
        <v>3013891.0850510076</v>
      </c>
    </row>
    <row r="39" spans="2:14" x14ac:dyDescent="0.15">
      <c r="B39" s="4">
        <v>36</v>
      </c>
      <c r="C39" s="17">
        <f>'[1]资源-钻石'!L39</f>
        <v>89153.322104802355</v>
      </c>
      <c r="D39" s="17">
        <f>'[1]资源-钻石'!M39</f>
        <v>109336.24112426533</v>
      </c>
      <c r="E39" s="17">
        <f>'[1]资源-钻石'!N39</f>
        <v>150360.18774897605</v>
      </c>
      <c r="F39" s="17">
        <f>'[1]资源-钻石'!O39</f>
        <v>286555.30116916471</v>
      </c>
      <c r="G39" s="17">
        <f>'[1]资源-钻石'!P39</f>
        <v>404402.00785357563</v>
      </c>
      <c r="I39" s="4">
        <v>36</v>
      </c>
      <c r="J39" s="17">
        <f>'[1]资源-钻石'!T39</f>
        <v>232101.24986611604</v>
      </c>
      <c r="K39" s="17">
        <f>'[1]资源-钻石'!U39</f>
        <v>318311.37485272769</v>
      </c>
      <c r="L39" s="17">
        <f>'[1]资源-钻石'!V39</f>
        <v>517092.51233800041</v>
      </c>
      <c r="M39" s="17">
        <f>'[1]资源-钻石'!W39</f>
        <v>1319551.7635718007</v>
      </c>
      <c r="N39" s="17">
        <f>'[1]资源-钻石'!X39</f>
        <v>3096069.439928981</v>
      </c>
    </row>
    <row r="40" spans="2:14" x14ac:dyDescent="0.15">
      <c r="B40" s="4">
        <v>37</v>
      </c>
      <c r="C40" s="17">
        <f>'[1]资源-钻石'!L40</f>
        <v>94104.919606682539</v>
      </c>
      <c r="D40" s="17">
        <f>'[1]资源-钻石'!M40</f>
        <v>115438.27391491983</v>
      </c>
      <c r="E40" s="17">
        <f>'[1]资源-钻石'!N40</f>
        <v>158903.03243934349</v>
      </c>
      <c r="F40" s="17">
        <f>'[1]资源-钻石'!O40</f>
        <v>305381.39836842776</v>
      </c>
      <c r="G40" s="17">
        <f>'[1]资源-钻石'!P40</f>
        <v>429602.7207360816</v>
      </c>
      <c r="I40" s="4">
        <v>37</v>
      </c>
      <c r="J40" s="17">
        <f>'[1]资源-钻石'!T40</f>
        <v>238028.68301820479</v>
      </c>
      <c r="K40" s="17">
        <f>'[1]资源-钻石'!U40</f>
        <v>326511.55132002529</v>
      </c>
      <c r="L40" s="17">
        <f>'[1]资源-钻石'!V40</f>
        <v>530564.70645202789</v>
      </c>
      <c r="M40" s="17">
        <f>'[1]资源-钻石'!W40</f>
        <v>1354391.1770972307</v>
      </c>
      <c r="N40" s="17">
        <f>'[1]资源-钻石'!X40</f>
        <v>3178247.794806954</v>
      </c>
    </row>
    <row r="41" spans="2:14" x14ac:dyDescent="0.15">
      <c r="B41" s="4">
        <v>38</v>
      </c>
      <c r="C41" s="17">
        <f>'[1]资源-钻石'!L41</f>
        <v>99411.910406358715</v>
      </c>
      <c r="D41" s="17">
        <f>'[1]资源-钻石'!M41</f>
        <v>121955.00500168031</v>
      </c>
      <c r="E41" s="17">
        <f>'[1]资源-钻石'!N41</f>
        <v>167791.87483036291</v>
      </c>
      <c r="F41" s="17">
        <f>'[1]资源-钻石'!O41</f>
        <v>325595.7216859844</v>
      </c>
      <c r="G41" s="17">
        <f>'[1]资源-钻石'!P41</f>
        <v>455738.94028841017</v>
      </c>
      <c r="I41" s="4">
        <v>38</v>
      </c>
      <c r="J41" s="17">
        <f>'[1]资源-钻石'!T41</f>
        <v>243956.11617029356</v>
      </c>
      <c r="K41" s="17">
        <f>'[1]资源-钻石'!U41</f>
        <v>334711.72778732295</v>
      </c>
      <c r="L41" s="17">
        <f>'[1]资源-钻石'!V41</f>
        <v>544036.90056605532</v>
      </c>
      <c r="M41" s="17">
        <f>'[1]资源-钻石'!W41</f>
        <v>1389230.5906226609</v>
      </c>
      <c r="N41" s="17">
        <f>'[1]资源-钻石'!X41</f>
        <v>3260426.149684927</v>
      </c>
    </row>
    <row r="42" spans="2:14" x14ac:dyDescent="0.15">
      <c r="B42" s="4">
        <v>39</v>
      </c>
      <c r="C42" s="17">
        <f>'[1]资源-钻石'!L42</f>
        <v>105099.80231137591</v>
      </c>
      <c r="D42" s="17">
        <f>'[1]资源-钻石'!M42</f>
        <v>128845.35339229734</v>
      </c>
      <c r="E42" s="17">
        <f>'[1]资源-钻石'!N42</f>
        <v>177293.86486455292</v>
      </c>
      <c r="F42" s="17">
        <f>'[1]资源-钻石'!O42</f>
        <v>345268.16438133456</v>
      </c>
      <c r="G42" s="17">
        <f>'[1]资源-钻石'!P42</f>
        <v>484619.43485490943</v>
      </c>
      <c r="I42" s="4">
        <v>39</v>
      </c>
      <c r="J42" s="17">
        <f>'[1]资源-钻石'!T42</f>
        <v>249883.54932238234</v>
      </c>
      <c r="K42" s="17">
        <f>'[1]资源-钻石'!U42</f>
        <v>342911.9042546206</v>
      </c>
      <c r="L42" s="17">
        <f>'[1]资源-钻石'!V42</f>
        <v>557509.09468008275</v>
      </c>
      <c r="M42" s="17">
        <f>'[1]资源-钻石'!W42</f>
        <v>1424070.004148091</v>
      </c>
      <c r="N42" s="17">
        <f>'[1]资源-钻石'!X42</f>
        <v>3342604.5045629004</v>
      </c>
    </row>
    <row r="43" spans="2:14" x14ac:dyDescent="0.15">
      <c r="B43" s="4">
        <v>40</v>
      </c>
      <c r="C43" s="17">
        <f>'[1]资源-钻石'!L43</f>
        <v>111195.83045140664</v>
      </c>
      <c r="D43" s="17">
        <f>'[1]资源-钻石'!M43</f>
        <v>136194.09401322569</v>
      </c>
      <c r="E43" s="17">
        <f>'[1]资源-钻石'!N43</f>
        <v>187737.66713221357</v>
      </c>
      <c r="F43" s="17">
        <f>'[1]资源-钻石'!O43</f>
        <v>366454.24349221133</v>
      </c>
      <c r="G43" s="17">
        <f>'[1]资源-钻石'!P43</f>
        <v>516441.17780320806</v>
      </c>
      <c r="I43" s="4">
        <v>40</v>
      </c>
      <c r="J43" s="17">
        <f>'[1]资源-钻石'!T43</f>
        <v>255810.98247447115</v>
      </c>
      <c r="K43" s="17">
        <f>'[1]资源-钻石'!U43</f>
        <v>351112.08072191826</v>
      </c>
      <c r="L43" s="17">
        <f>'[1]资源-钻石'!V43</f>
        <v>570981.28879411006</v>
      </c>
      <c r="M43" s="17">
        <f>'[1]资源-钻石'!W43</f>
        <v>1458909.4176735212</v>
      </c>
      <c r="N43" s="17">
        <f>'[1]资源-钻石'!X43</f>
        <v>3424782.8594408734</v>
      </c>
    </row>
    <row r="44" spans="2:14" x14ac:dyDescent="0.15">
      <c r="B44" s="4">
        <v>41</v>
      </c>
      <c r="C44" s="17">
        <f>'[1]资源-钻石'!L44</f>
        <v>117729.3837134114</v>
      </c>
      <c r="D44" s="17">
        <f>'[1]资源-钻石'!M44</f>
        <v>144288.09353151682</v>
      </c>
      <c r="E44" s="17">
        <f>'[1]资源-钻石'!N44</f>
        <v>199190.2723509311</v>
      </c>
      <c r="F44" s="17">
        <f>'[1]资源-钻石'!O44</f>
        <v>389368.62240997958</v>
      </c>
      <c r="G44" s="17">
        <f>'[1]资源-钻石'!P44</f>
        <v>551240.76766568329</v>
      </c>
      <c r="I44" s="4">
        <v>41</v>
      </c>
      <c r="J44" s="17">
        <f>'[1]资源-钻石'!T44</f>
        <v>261738.41562655996</v>
      </c>
      <c r="K44" s="17">
        <f>'[1]资源-钻石'!U44</f>
        <v>359312.25718921592</v>
      </c>
      <c r="L44" s="17">
        <f>'[1]资源-钻石'!V44</f>
        <v>584453.48290813749</v>
      </c>
      <c r="M44" s="17">
        <f>'[1]资源-钻石'!W44</f>
        <v>1493748.8311989512</v>
      </c>
      <c r="N44" s="17">
        <f>'[1]资源-钻石'!X44</f>
        <v>3506961.2143188468</v>
      </c>
    </row>
    <row r="45" spans="2:14" x14ac:dyDescent="0.15">
      <c r="B45" s="4">
        <v>42</v>
      </c>
      <c r="C45" s="17">
        <f>'[1]资源-钻石'!L45</f>
        <v>124731.87271569562</v>
      </c>
      <c r="D45" s="17">
        <f>'[1]资源-钻石'!M45</f>
        <v>153039.57363793612</v>
      </c>
      <c r="E45" s="17">
        <f>'[1]资源-钻石'!N45</f>
        <v>211812.58801458497</v>
      </c>
      <c r="F45" s="17">
        <f>'[1]资源-钻石'!O45</f>
        <v>414608.5525433803</v>
      </c>
      <c r="G45" s="17">
        <f>'[1]资源-钻石'!P45</f>
        <v>588663.72760539316</v>
      </c>
      <c r="I45" s="4">
        <v>42</v>
      </c>
      <c r="J45" s="17">
        <f>'[1]资源-钻石'!T45</f>
        <v>267665.84877864871</v>
      </c>
      <c r="K45" s="17">
        <f>'[1]资源-钻石'!U45</f>
        <v>367512.43365651357</v>
      </c>
      <c r="L45" s="17">
        <f>'[1]资源-钻石'!V45</f>
        <v>597925.67702216492</v>
      </c>
      <c r="M45" s="17">
        <f>'[1]资源-钻石'!W45</f>
        <v>1528588.2447243815</v>
      </c>
      <c r="N45" s="17">
        <f>'[1]资源-钻石'!X45</f>
        <v>3589139.5691968198</v>
      </c>
    </row>
    <row r="46" spans="2:14" x14ac:dyDescent="0.15">
      <c r="B46" s="4">
        <v>43</v>
      </c>
      <c r="C46" s="17">
        <f>'[1]资源-钻石'!L46</f>
        <v>132236.95460004604</v>
      </c>
      <c r="D46" s="17">
        <f>'[1]资源-钻石'!M46</f>
        <v>162095.97801082022</v>
      </c>
      <c r="E46" s="17">
        <f>'[1]资源-钻石'!N46</f>
        <v>224925.57977297233</v>
      </c>
      <c r="F46" s="17">
        <f>'[1]资源-钻石'!O46</f>
        <v>440057.65420750715</v>
      </c>
      <c r="G46" s="17">
        <f>'[1]资源-钻石'!P46</f>
        <v>626381.0324356982</v>
      </c>
      <c r="I46" s="4">
        <v>43</v>
      </c>
      <c r="J46" s="17">
        <f>'[1]资源-钻石'!T46</f>
        <v>273593.28193073749</v>
      </c>
      <c r="K46" s="17">
        <f>'[1]资源-钻石'!U46</f>
        <v>375712.61012381123</v>
      </c>
      <c r="L46" s="17">
        <f>'[1]资源-钻石'!V46</f>
        <v>611397.87113619235</v>
      </c>
      <c r="M46" s="17">
        <f>'[1]资源-钻石'!W46</f>
        <v>1563427.6582498117</v>
      </c>
      <c r="N46" s="17">
        <f>'[1]资源-钻石'!X46</f>
        <v>3671317.9240747932</v>
      </c>
    </row>
    <row r="47" spans="2:14" x14ac:dyDescent="0.15">
      <c r="B47" s="4">
        <v>44</v>
      </c>
      <c r="C47" s="17">
        <f>'[1]资源-钻石'!L47</f>
        <v>140280.7021978547</v>
      </c>
      <c r="D47" s="17">
        <f>'[1]资源-钻石'!M47</f>
        <v>171773.21033300663</v>
      </c>
      <c r="E47" s="17">
        <f>'[1]资源-钻石'!N47</f>
        <v>238276.02804493564</v>
      </c>
      <c r="F47" s="17">
        <f>'[1]资源-钻石'!O47</f>
        <v>467306.25284793961</v>
      </c>
      <c r="G47" s="17">
        <f>'[1]资源-钻石'!P47</f>
        <v>666359.98475052416</v>
      </c>
      <c r="I47" s="4">
        <v>44</v>
      </c>
      <c r="J47" s="17">
        <f>'[1]资源-钻石'!T47</f>
        <v>279520.71508282627</v>
      </c>
      <c r="K47" s="17">
        <f>'[1]资源-钻石'!U47</f>
        <v>383912.78659110889</v>
      </c>
      <c r="L47" s="17">
        <f>'[1]资源-钻石'!V47</f>
        <v>624870.06525021978</v>
      </c>
      <c r="M47" s="17">
        <f>'[1]资源-钻石'!W47</f>
        <v>1598267.071775242</v>
      </c>
      <c r="N47" s="17">
        <f>'[1]资源-钻石'!X47</f>
        <v>3753496.2789527662</v>
      </c>
    </row>
    <row r="48" spans="2:14" x14ac:dyDescent="0.15">
      <c r="B48" s="4">
        <v>45</v>
      </c>
      <c r="C48" s="17">
        <f>'[1]资源-钻石'!L48</f>
        <v>148901.77741252608</v>
      </c>
      <c r="D48" s="17">
        <f>'[1]资源-钻石'!M48</f>
        <v>182161.95258932267</v>
      </c>
      <c r="E48" s="17">
        <f>'[1]资源-钻石'!N48</f>
        <v>252130.93191686951</v>
      </c>
      <c r="F48" s="17">
        <f>'[1]资源-钻石'!O48</f>
        <v>496639.30931567377</v>
      </c>
      <c r="G48" s="17">
        <f>'[1]资源-钻石'!P48</f>
        <v>709325.16439252812</v>
      </c>
      <c r="I48" s="4">
        <v>45</v>
      </c>
      <c r="J48" s="17">
        <f>'[1]资源-钻石'!T48</f>
        <v>285448.14823491505</v>
      </c>
      <c r="K48" s="17">
        <f>'[1]资源-钻石'!U48</f>
        <v>392112.96305840655</v>
      </c>
      <c r="L48" s="17">
        <f>'[1]资源-钻石'!V48</f>
        <v>638342.25936424721</v>
      </c>
      <c r="M48" s="17">
        <f>'[1]资源-钻石'!W48</f>
        <v>1633106.485300672</v>
      </c>
      <c r="N48" s="17">
        <f>'[1]资源-钻石'!X48</f>
        <v>3835674.6338307397</v>
      </c>
    </row>
    <row r="49" spans="2:14" x14ac:dyDescent="0.15">
      <c r="B49" s="4">
        <v>46</v>
      </c>
      <c r="C49" s="17">
        <f>'[1]资源-钻石'!L49</f>
        <v>158141.61704614019</v>
      </c>
      <c r="D49" s="17">
        <f>'[1]资源-钻石'!M49</f>
        <v>193206.59107855934</v>
      </c>
      <c r="E49" s="17">
        <f>'[1]资源-钻石'!N49</f>
        <v>266880.18635884963</v>
      </c>
      <c r="F49" s="17">
        <f>'[1]资源-钻石'!O49</f>
        <v>527720.17307599634</v>
      </c>
      <c r="G49" s="17">
        <f>'[1]资源-钻石'!P49</f>
        <v>753273.14395466493</v>
      </c>
      <c r="I49" s="4">
        <v>46</v>
      </c>
      <c r="J49" s="17">
        <f>'[1]资源-钻石'!T49</f>
        <v>291375.58138700383</v>
      </c>
      <c r="K49" s="17">
        <f>'[1]资源-钻石'!U49</f>
        <v>400313.1395257042</v>
      </c>
      <c r="L49" s="17">
        <f>'[1]资源-钻石'!V49</f>
        <v>651814.45347827463</v>
      </c>
      <c r="M49" s="17">
        <f>'[1]资源-钻石'!W49</f>
        <v>1667945.8988261023</v>
      </c>
      <c r="N49" s="17">
        <f>'[1]资源-钻石'!X49</f>
        <v>3917852.9887087126</v>
      </c>
    </row>
    <row r="50" spans="2:14" x14ac:dyDescent="0.15">
      <c r="B50" s="4">
        <v>47</v>
      </c>
      <c r="C50" s="17">
        <f>'[1]资源-钻石'!L50</f>
        <v>168044.63196353897</v>
      </c>
      <c r="D50" s="17">
        <f>'[1]资源-钻石'!M50</f>
        <v>205057.83982324961</v>
      </c>
      <c r="E50" s="17">
        <f>'[1]资源-钻石'!N50</f>
        <v>282733.43272314564</v>
      </c>
      <c r="F50" s="17">
        <f>'[1]资源-钻石'!O50</f>
        <v>560894.48753860174</v>
      </c>
      <c r="G50" s="17">
        <f>'[1]资源-钻石'!P50</f>
        <v>796207.21319163172</v>
      </c>
      <c r="I50" s="4">
        <v>47</v>
      </c>
      <c r="J50" s="17">
        <f>'[1]资源-钻石'!T50</f>
        <v>297303.0145390926</v>
      </c>
      <c r="K50" s="17">
        <f>'[1]资源-钻石'!U50</f>
        <v>408513.3159930018</v>
      </c>
      <c r="L50" s="17">
        <f>'[1]资源-钻石'!V50</f>
        <v>665286.64759230218</v>
      </c>
      <c r="M50" s="17">
        <f>'[1]资源-钻石'!W50</f>
        <v>1702785.3123515323</v>
      </c>
      <c r="N50" s="17">
        <f>'[1]资源-钻石'!X50</f>
        <v>4000031.3435866856</v>
      </c>
    </row>
    <row r="51" spans="2:14" x14ac:dyDescent="0.15">
      <c r="B51" s="4">
        <v>48</v>
      </c>
      <c r="C51" s="17">
        <f>'[1]资源-钻石'!L51</f>
        <v>178658.42055110796</v>
      </c>
      <c r="D51" s="17">
        <f>'[1]资源-钻石'!M51</f>
        <v>217607.87188967346</v>
      </c>
      <c r="E51" s="17">
        <f>'[1]资源-钻石'!N51</f>
        <v>299778.35802827356</v>
      </c>
      <c r="F51" s="17">
        <f>'[1]资源-钻石'!O51</f>
        <v>593952.40865693032</v>
      </c>
      <c r="G51" s="17">
        <f>'[1]资源-钻石'!P51</f>
        <v>841310.94830571418</v>
      </c>
      <c r="I51" s="4">
        <v>48</v>
      </c>
      <c r="J51" s="17">
        <f>'[1]资源-钻石'!T51</f>
        <v>303230.44769118138</v>
      </c>
      <c r="K51" s="17">
        <f>'[1]资源-钻石'!U51</f>
        <v>416713.49246029946</v>
      </c>
      <c r="L51" s="17">
        <f>'[1]资源-钻石'!V51</f>
        <v>678758.84170632961</v>
      </c>
      <c r="M51" s="17">
        <f>'[1]资源-钻石'!W51</f>
        <v>1737624.7258769625</v>
      </c>
      <c r="N51" s="17">
        <f>'[1]资源-钻石'!X51</f>
        <v>4082209.6984646586</v>
      </c>
    </row>
    <row r="52" spans="2:14" x14ac:dyDescent="0.15">
      <c r="B52" s="4">
        <v>49</v>
      </c>
      <c r="C52" s="17">
        <f>'[1]资源-钻石'!L52</f>
        <v>190033.99749623501</v>
      </c>
      <c r="D52" s="17">
        <f>'[1]资源-钻石'!M52</f>
        <v>231245.88081260055</v>
      </c>
      <c r="E52" s="17">
        <f>'[1]资源-钻石'!N52</f>
        <v>317556.23835718312</v>
      </c>
      <c r="F52" s="17">
        <f>'[1]资源-钻石'!O52</f>
        <v>626751.71981321415</v>
      </c>
      <c r="G52" s="17">
        <f>'[1]资源-钻石'!P52</f>
        <v>892414.87557016802</v>
      </c>
      <c r="I52" s="4">
        <v>49</v>
      </c>
      <c r="J52" s="17">
        <f>'[1]资源-钻石'!T52</f>
        <v>309157.88084327016</v>
      </c>
      <c r="K52" s="17">
        <f>'[1]资源-钻石'!U52</f>
        <v>424913.66892759711</v>
      </c>
      <c r="L52" s="17">
        <f>'[1]资源-钻石'!V52</f>
        <v>692231.03582035704</v>
      </c>
      <c r="M52" s="17">
        <f>'[1]资源-钻石'!W52</f>
        <v>1772464.1394023926</v>
      </c>
      <c r="N52" s="17">
        <f>'[1]资源-钻石'!X52</f>
        <v>4164388.053342632</v>
      </c>
    </row>
    <row r="53" spans="2:14" x14ac:dyDescent="0.15">
      <c r="B53" s="4">
        <v>50</v>
      </c>
      <c r="C53" s="17">
        <f>'[1]资源-钻石'!L53</f>
        <v>202464.08410567214</v>
      </c>
      <c r="D53" s="17">
        <f>'[1]资源-钻石'!M53</f>
        <v>245885.2853104354</v>
      </c>
      <c r="E53" s="17">
        <f>'[1]资源-钻石'!N53</f>
        <v>336561.942564325</v>
      </c>
      <c r="F53" s="17">
        <f>'[1]资源-钻石'!O53</f>
        <v>663475.72410607361</v>
      </c>
      <c r="G53" s="17">
        <f>'[1]资源-钻石'!P53</f>
        <v>948227.92893419019</v>
      </c>
      <c r="I53" s="4">
        <v>50</v>
      </c>
      <c r="J53" s="17">
        <f>'[1]资源-钻石'!T53</f>
        <v>315085.31399535894</v>
      </c>
      <c r="K53" s="17">
        <f>'[1]资源-钻石'!U53</f>
        <v>433113.84539489483</v>
      </c>
      <c r="L53" s="17">
        <f>'[1]资源-钻石'!V53</f>
        <v>705703.22993438446</v>
      </c>
      <c r="M53" s="17">
        <f>'[1]资源-钻石'!W53</f>
        <v>1807303.5529278228</v>
      </c>
      <c r="N53" s="17">
        <f>'[1]资源-钻石'!X53</f>
        <v>4246566.408220605</v>
      </c>
    </row>
    <row r="54" spans="2:14" x14ac:dyDescent="0.15">
      <c r="B54" s="4">
        <v>51</v>
      </c>
      <c r="C54" s="17">
        <f>'[1]资源-钻石'!L54</f>
        <v>216077.92094656249</v>
      </c>
      <c r="D54" s="17">
        <f>'[1]资源-钻石'!M54</f>
        <v>260714.6902641707</v>
      </c>
      <c r="E54" s="17">
        <f>'[1]资源-钻石'!N54</f>
        <v>356752.48777482286</v>
      </c>
      <c r="F54" s="17">
        <f>'[1]资源-钻石'!O54</f>
        <v>702905.98884572077</v>
      </c>
      <c r="G54" s="17">
        <f>'[1]资源-钻石'!P54</f>
        <v>1005478.5961148695</v>
      </c>
      <c r="I54" s="4">
        <v>51</v>
      </c>
      <c r="J54" s="17">
        <f>'[1]资源-钻石'!T54</f>
        <v>321012.74714744772</v>
      </c>
      <c r="K54" s="17">
        <f>'[1]资源-钻石'!U54</f>
        <v>441314.02186219243</v>
      </c>
      <c r="L54" s="17">
        <f>'[1]资源-钻石'!V54</f>
        <v>719175.42404841189</v>
      </c>
      <c r="M54" s="17">
        <f>'[1]资源-钻石'!W54</f>
        <v>1842142.9664532528</v>
      </c>
      <c r="N54" s="17">
        <f>'[1]资源-钻石'!X54</f>
        <v>4328744.763098578</v>
      </c>
    </row>
    <row r="55" spans="2:14" x14ac:dyDescent="0.15">
      <c r="B55" s="4">
        <v>52</v>
      </c>
      <c r="C55" s="17">
        <f>'[1]资源-钻石'!L55</f>
        <v>230668.86999592787</v>
      </c>
      <c r="D55" s="17">
        <f>'[1]资源-钻石'!M55</f>
        <v>277975.98214441777</v>
      </c>
      <c r="E55" s="17">
        <f>'[1]资源-钻石'!N55</f>
        <v>380065.35549023282</v>
      </c>
      <c r="F55" s="17">
        <f>'[1]资源-钻石'!O55</f>
        <v>747011.80733607896</v>
      </c>
      <c r="G55" s="17">
        <f>'[1]资源-钻石'!P55</f>
        <v>1068552.2196363551</v>
      </c>
      <c r="I55" s="4">
        <v>52</v>
      </c>
      <c r="J55" s="17">
        <f>'[1]资源-钻石'!T55</f>
        <v>326940.1802995365</v>
      </c>
      <c r="K55" s="17">
        <f>'[1]资源-钻石'!U55</f>
        <v>449514.19832949014</v>
      </c>
      <c r="L55" s="17">
        <f>'[1]资源-钻石'!V55</f>
        <v>732647.61816243932</v>
      </c>
      <c r="M55" s="17">
        <f>'[1]资源-钻石'!W55</f>
        <v>1876982.3799786831</v>
      </c>
      <c r="N55" s="17">
        <f>'[1]资源-钻石'!X55</f>
        <v>4410923.1179765519</v>
      </c>
    </row>
    <row r="56" spans="2:14" x14ac:dyDescent="0.15">
      <c r="B56" s="4">
        <v>53</v>
      </c>
      <c r="C56" s="17">
        <f>'[1]资源-钻石'!L56</f>
        <v>246307.06198025664</v>
      </c>
      <c r="D56" s="17">
        <f>'[1]资源-钻石'!M56</f>
        <v>297221.32820633071</v>
      </c>
      <c r="E56" s="17">
        <f>'[1]资源-钻石'!N56</f>
        <v>405310.30455440679</v>
      </c>
      <c r="F56" s="17">
        <f>'[1]资源-钻石'!O56</f>
        <v>792624.81850703747</v>
      </c>
      <c r="G56" s="17">
        <f>'[1]资源-钻石'!P56</f>
        <v>1135460.5409884979</v>
      </c>
      <c r="I56" s="4">
        <v>53</v>
      </c>
      <c r="J56" s="17">
        <f>'[1]资源-钻石'!T56</f>
        <v>332867.61345162528</v>
      </c>
      <c r="K56" s="17">
        <f>'[1]资源-钻石'!U56</f>
        <v>457714.3747967878</v>
      </c>
      <c r="L56" s="17">
        <f>'[1]资源-钻石'!V56</f>
        <v>746119.81227646663</v>
      </c>
      <c r="M56" s="17">
        <f>'[1]资源-钻石'!W56</f>
        <v>1911821.7935041133</v>
      </c>
      <c r="N56" s="17">
        <f>'[1]资源-钻石'!X56</f>
        <v>4493101.4728545249</v>
      </c>
    </row>
    <row r="57" spans="2:14" x14ac:dyDescent="0.15">
      <c r="B57" s="4">
        <v>54</v>
      </c>
      <c r="C57" s="17">
        <f>'[1]资源-钻石'!L57</f>
        <v>263067.66115110822</v>
      </c>
      <c r="D57" s="17">
        <f>'[1]资源-钻石'!M57</f>
        <v>317881.26528289204</v>
      </c>
      <c r="E57" s="17">
        <f>'[1]资源-钻石'!N57</f>
        <v>430550.56681762933</v>
      </c>
      <c r="F57" s="17">
        <f>'[1]资源-钻石'!O57</f>
        <v>840003.48785740929</v>
      </c>
      <c r="G57" s="17">
        <f>'[1]资源-钻石'!P57</f>
        <v>1202787.5913941714</v>
      </c>
      <c r="I57" s="4">
        <v>54</v>
      </c>
      <c r="J57" s="17">
        <f>'[1]资源-钻石'!T57</f>
        <v>338795.04660371406</v>
      </c>
      <c r="K57" s="17">
        <f>'[1]资源-钻石'!U57</f>
        <v>465914.55126408546</v>
      </c>
      <c r="L57" s="17">
        <f>'[1]资源-钻石'!V57</f>
        <v>759592.00639049406</v>
      </c>
      <c r="M57" s="17">
        <f>'[1]资源-钻石'!W57</f>
        <v>1946661.2070295434</v>
      </c>
      <c r="N57" s="17">
        <f>'[1]资源-钻石'!X57</f>
        <v>4575279.8277324978</v>
      </c>
    </row>
    <row r="58" spans="2:14" x14ac:dyDescent="0.15">
      <c r="B58" s="4">
        <v>55</v>
      </c>
      <c r="C58" s="17">
        <f>'[1]资源-钻石'!L58</f>
        <v>281031.2265586346</v>
      </c>
      <c r="D58" s="17">
        <f>'[1]资源-钻石'!M58</f>
        <v>339079.83026278776</v>
      </c>
      <c r="E58" s="17">
        <f>'[1]资源-钻石'!N58</f>
        <v>458383.46979831893</v>
      </c>
      <c r="F58" s="17">
        <f>'[1]资源-钻石'!O58</f>
        <v>889923.62534934084</v>
      </c>
      <c r="G58" s="17">
        <f>'[1]资源-钻石'!P58</f>
        <v>1275312.4499331585</v>
      </c>
      <c r="I58" s="4">
        <v>55</v>
      </c>
      <c r="J58" s="17">
        <f>'[1]资源-钻石'!T58</f>
        <v>344722.47975580284</v>
      </c>
      <c r="K58" s="17">
        <f>'[1]资源-钻石'!U58</f>
        <v>474114.72773138311</v>
      </c>
      <c r="L58" s="17">
        <f>'[1]资源-钻石'!V58</f>
        <v>773064.20050452149</v>
      </c>
      <c r="M58" s="17">
        <f>'[1]资源-钻石'!W58</f>
        <v>1981500.6205549736</v>
      </c>
      <c r="N58" s="17">
        <f>'[1]资源-钻石'!X58</f>
        <v>4657458.1826104717</v>
      </c>
    </row>
    <row r="59" spans="2:14" x14ac:dyDescent="0.15">
      <c r="B59" s="4">
        <v>56</v>
      </c>
      <c r="C59" s="17">
        <f>'[1]资源-钻石'!L59</f>
        <v>300284.09925495624</v>
      </c>
      <c r="D59" s="17">
        <f>'[1]资源-钻石'!M59</f>
        <v>361569.73287572316</v>
      </c>
      <c r="E59" s="17">
        <f>'[1]资源-钻石'!N59</f>
        <v>488647.19172683056</v>
      </c>
      <c r="F59" s="17">
        <f>'[1]资源-钻石'!O59</f>
        <v>943386.46165567264</v>
      </c>
      <c r="G59" s="17">
        <f>'[1]资源-钻石'!P59</f>
        <v>1353080.501680641</v>
      </c>
      <c r="I59" s="4">
        <v>56</v>
      </c>
      <c r="J59" s="17">
        <f>'[1]资源-钻石'!T59</f>
        <v>350649.91290789162</v>
      </c>
      <c r="K59" s="17">
        <f>'[1]资源-钻石'!U59</f>
        <v>482314.90419868077</v>
      </c>
      <c r="L59" s="17">
        <f>'[1]资源-钻石'!V59</f>
        <v>786536.39461854892</v>
      </c>
      <c r="M59" s="17">
        <f>'[1]资源-钻石'!W59</f>
        <v>2016340.0340804036</v>
      </c>
      <c r="N59" s="17">
        <f>'[1]资源-钻石'!X59</f>
        <v>4739636.5374884447</v>
      </c>
    </row>
    <row r="60" spans="2:14" x14ac:dyDescent="0.15">
      <c r="B60" s="4">
        <v>57</v>
      </c>
      <c r="C60" s="17">
        <f>'[1]资源-钻石'!L60</f>
        <v>320918.81728846359</v>
      </c>
      <c r="D60" s="17">
        <f>'[1]资源-钻石'!M60</f>
        <v>386457.52842069557</v>
      </c>
      <c r="E60" s="17">
        <f>'[1]资源-钻石'!N60</f>
        <v>521349.89331484796</v>
      </c>
      <c r="F60" s="17">
        <f>'[1]资源-钻石'!O60</f>
        <v>1000990.4333649687</v>
      </c>
      <c r="G60" s="17">
        <f>'[1]资源-钻石'!P60</f>
        <v>1430246.2374665507</v>
      </c>
      <c r="I60" s="4">
        <v>57</v>
      </c>
      <c r="J60" s="17">
        <f>'[1]资源-钻石'!T60</f>
        <v>356577.34605998034</v>
      </c>
      <c r="K60" s="17">
        <f>'[1]资源-钻石'!U60</f>
        <v>490515.08066597843</v>
      </c>
      <c r="L60" s="17">
        <f>'[1]资源-钻石'!V60</f>
        <v>800008.58873257635</v>
      </c>
      <c r="M60" s="17">
        <f>'[1]资源-钻石'!W60</f>
        <v>2051179.4476058339</v>
      </c>
      <c r="N60" s="17">
        <f>'[1]资源-钻石'!X60</f>
        <v>4821814.8923664177</v>
      </c>
    </row>
    <row r="61" spans="2:14" x14ac:dyDescent="0.15">
      <c r="B61" s="4">
        <v>58</v>
      </c>
      <c r="C61" s="17">
        <f>'[1]资源-钻石'!L61</f>
        <v>343034.56048369553</v>
      </c>
      <c r="D61" s="17">
        <f>'[1]资源-钻石'!M61</f>
        <v>412285.36232209357</v>
      </c>
      <c r="E61" s="17">
        <f>'[1]资源-钻石'!N61</f>
        <v>556343.42493231257</v>
      </c>
      <c r="F61" s="17">
        <f>'[1]资源-钻石'!O61</f>
        <v>1063632.0609803707</v>
      </c>
      <c r="G61" s="17">
        <f>'[1]资源-钻石'!P61</f>
        <v>1510608.8710470924</v>
      </c>
      <c r="I61" s="4">
        <v>58</v>
      </c>
      <c r="J61" s="17">
        <f>'[1]资源-钻石'!T61</f>
        <v>362504.77921206912</v>
      </c>
      <c r="K61" s="17">
        <f>'[1]资源-钻石'!U61</f>
        <v>498715.25713327609</v>
      </c>
      <c r="L61" s="17">
        <f>'[1]资源-钻石'!V61</f>
        <v>813480.78284660366</v>
      </c>
      <c r="M61" s="17">
        <f>'[1]资源-钻石'!W61</f>
        <v>2086018.8611312639</v>
      </c>
      <c r="N61" s="17">
        <f>'[1]资源-钻石'!X61</f>
        <v>4903993.2472443907</v>
      </c>
    </row>
    <row r="62" spans="2:14" x14ac:dyDescent="0.15">
      <c r="B62" s="4">
        <v>59</v>
      </c>
      <c r="C62" s="17">
        <f>'[1]资源-钻石'!L62</f>
        <v>366737.62714461319</v>
      </c>
      <c r="D62" s="17">
        <f>'[1]资源-钻石'!M62</f>
        <v>440824.98876863928</v>
      </c>
      <c r="E62" s="17">
        <f>'[1]资源-钻石'!N62</f>
        <v>594262.8435954958</v>
      </c>
      <c r="F62" s="17">
        <f>'[1]资源-钻石'!O62</f>
        <v>1131686.0200432963</v>
      </c>
      <c r="G62" s="17">
        <f>'[1]资源-钻石'!P62</f>
        <v>1599208.7971112158</v>
      </c>
      <c r="I62" s="4">
        <v>59</v>
      </c>
      <c r="J62" s="17">
        <f>'[1]资源-钻石'!T62</f>
        <v>368432.21236415789</v>
      </c>
      <c r="K62" s="17">
        <f>'[1]资源-钻石'!U62</f>
        <v>506915.43360057374</v>
      </c>
      <c r="L62" s="17">
        <f>'[1]资源-钻石'!V62</f>
        <v>826952.97696063109</v>
      </c>
      <c r="M62" s="17">
        <f>'[1]资源-钻石'!W62</f>
        <v>2120858.2746566939</v>
      </c>
      <c r="N62" s="17">
        <f>'[1]资源-钻石'!X62</f>
        <v>4986171.6021223646</v>
      </c>
    </row>
    <row r="63" spans="2:14" x14ac:dyDescent="0.15">
      <c r="B63" s="4">
        <v>60</v>
      </c>
      <c r="C63" s="17">
        <f>'[1]资源-钻石'!L63</f>
        <v>392141.94497251301</v>
      </c>
      <c r="D63" s="17">
        <f>'[1]资源-钻石'!M63</f>
        <v>470748.55529155745</v>
      </c>
      <c r="E63" s="17">
        <f>'[1]资源-钻石'!N63</f>
        <v>634535.01730762306</v>
      </c>
      <c r="F63" s="17">
        <f>'[1]资源-钻石'!O63</f>
        <v>1208427.9701910885</v>
      </c>
      <c r="G63" s="17">
        <f>'[1]资源-钻石'!P63</f>
        <v>1697506.6441617273</v>
      </c>
      <c r="I63" s="4">
        <v>60</v>
      </c>
      <c r="J63" s="17">
        <f>'[1]资源-钻石'!T63</f>
        <v>374359.64551624667</v>
      </c>
      <c r="K63" s="17">
        <f>'[1]资源-钻石'!U63</f>
        <v>515115.61006787134</v>
      </c>
      <c r="L63" s="17">
        <f>'[1]资源-钻石'!V63</f>
        <v>840425.17107465852</v>
      </c>
      <c r="M63" s="17">
        <f>'[1]资源-钻石'!W63</f>
        <v>2155697.6881821244</v>
      </c>
      <c r="N63" s="17">
        <f>'[1]资源-钻石'!X63</f>
        <v>5068349.9570003375</v>
      </c>
    </row>
    <row r="64" spans="2:14" x14ac:dyDescent="0.15">
      <c r="B64" s="4">
        <v>61</v>
      </c>
      <c r="C64" s="17">
        <f>'[1]资源-钻石'!L64</f>
        <v>419369.61865429371</v>
      </c>
      <c r="D64" s="17">
        <f>'[1]资源-钻石'!M64</f>
        <v>503609.17607035255</v>
      </c>
      <c r="E64" s="17">
        <f>'[1]资源-钻石'!N64</f>
        <v>678460.66752578062</v>
      </c>
      <c r="F64" s="17">
        <f>'[1]资源-钻石'!O64</f>
        <v>1292716.1142577378</v>
      </c>
      <c r="G64" s="17">
        <f>'[1]资源-钻石'!P64</f>
        <v>1799907.4374602123</v>
      </c>
      <c r="I64" s="4">
        <v>61</v>
      </c>
      <c r="J64" s="17">
        <f>'[1]资源-钻石'!T64</f>
        <v>380287.07866833545</v>
      </c>
      <c r="K64" s="17">
        <f>'[1]资源-钻石'!U64</f>
        <v>523315.786535169</v>
      </c>
      <c r="L64" s="17">
        <f>'[1]资源-钻石'!V64</f>
        <v>853897.36518868594</v>
      </c>
      <c r="M64" s="17">
        <f>'[1]资源-钻石'!W64</f>
        <v>2190537.1017075544</v>
      </c>
      <c r="N64" s="17">
        <f>'[1]资源-钻石'!X64</f>
        <v>5150528.3118783105</v>
      </c>
    </row>
    <row r="65" spans="2:14" x14ac:dyDescent="0.15">
      <c r="B65" s="4">
        <v>62</v>
      </c>
      <c r="C65" s="17">
        <f>'[1]资源-钻石'!L65</f>
        <v>448551.51675302436</v>
      </c>
      <c r="D65" s="17">
        <f>'[1]资源-钻石'!M65</f>
        <v>538428.44644102664</v>
      </c>
      <c r="E65" s="17">
        <f>'[1]资源-钻石'!N65</f>
        <v>726027.49324814021</v>
      </c>
      <c r="F65" s="17">
        <f>'[1]资源-钻石'!O65</f>
        <v>1383881.4506917524</v>
      </c>
      <c r="G65" s="17">
        <f>'[1]资源-钻石'!P65</f>
        <v>1917460.5787300309</v>
      </c>
      <c r="I65" s="4">
        <v>62</v>
      </c>
      <c r="J65" s="17">
        <f>'[1]资源-钻石'!T65</f>
        <v>386214.51182042423</v>
      </c>
      <c r="K65" s="17">
        <f>'[1]资源-钻石'!U65</f>
        <v>531515.9630024666</v>
      </c>
      <c r="L65" s="17">
        <f>'[1]资源-钻石'!V65</f>
        <v>867369.55930271337</v>
      </c>
      <c r="M65" s="17">
        <f>'[1]资源-钻石'!W65</f>
        <v>2225376.5152329844</v>
      </c>
      <c r="N65" s="17">
        <f>'[1]资源-钻石'!X65</f>
        <v>5232706.6667562826</v>
      </c>
    </row>
    <row r="66" spans="2:14" x14ac:dyDescent="0.15">
      <c r="B66" s="4">
        <v>63</v>
      </c>
      <c r="C66" s="17">
        <f>'[1]资源-钻石'!L66</f>
        <v>479827.90072168206</v>
      </c>
      <c r="D66" s="17">
        <f>'[1]资源-钻石'!M66</f>
        <v>576371.57757199276</v>
      </c>
      <c r="E66" s="17">
        <f>'[1]资源-钻石'!N66</f>
        <v>776834.77243250725</v>
      </c>
      <c r="F66" s="17">
        <f>'[1]资源-钻石'!O66</f>
        <v>1482533.5529296137</v>
      </c>
      <c r="G66" s="17">
        <f>'[1]资源-钻石'!P66</f>
        <v>2039181.1681087164</v>
      </c>
      <c r="I66" s="4">
        <v>63</v>
      </c>
      <c r="J66" s="17">
        <f>'[1]资源-钻石'!T66</f>
        <v>392141.94497251301</v>
      </c>
      <c r="K66" s="17">
        <f>'[1]资源-钻石'!U66</f>
        <v>539716.13946976431</v>
      </c>
      <c r="L66" s="17">
        <f>'[1]资源-钻石'!V66</f>
        <v>880841.7534167408</v>
      </c>
      <c r="M66" s="17">
        <f>'[1]资源-钻石'!W66</f>
        <v>2260215.9287584145</v>
      </c>
      <c r="N66" s="17">
        <f>'[1]资源-钻石'!X66</f>
        <v>5314885.0216342555</v>
      </c>
    </row>
    <row r="67" spans="2:14" x14ac:dyDescent="0.15">
      <c r="B67" s="4">
        <v>64</v>
      </c>
      <c r="C67" s="17">
        <f>'[1]资源-钻石'!L67</f>
        <v>513349.09906338493</v>
      </c>
      <c r="D67" s="17">
        <f>'[1]资源-钻石'!M67</f>
        <v>616797.17551422887</v>
      </c>
      <c r="E67" s="17">
        <f>'[1]资源-钻石'!N67</f>
        <v>831873.929931066</v>
      </c>
      <c r="F67" s="17">
        <f>'[1]资源-钻石'!O67</f>
        <v>1588465.7847522693</v>
      </c>
      <c r="G67" s="17">
        <f>'[1]资源-钻石'!P67</f>
        <v>2165992.0911573763</v>
      </c>
      <c r="I67" s="4">
        <v>64</v>
      </c>
      <c r="J67" s="17">
        <f>'[1]资源-钻石'!T67</f>
        <v>398069.37812460179</v>
      </c>
      <c r="K67" s="17">
        <f>'[1]资源-钻石'!U67</f>
        <v>547916.31593706203</v>
      </c>
      <c r="L67" s="17">
        <f>'[1]资源-钻石'!V67</f>
        <v>894313.94753076823</v>
      </c>
      <c r="M67" s="17">
        <f>'[1]资源-钻石'!W67</f>
        <v>2295055.3422838449</v>
      </c>
      <c r="N67" s="17">
        <f>'[1]资源-钻石'!X67</f>
        <v>5397063.3765122285</v>
      </c>
    </row>
    <row r="68" spans="2:14" x14ac:dyDescent="0.15">
      <c r="B68" s="4">
        <v>65</v>
      </c>
      <c r="C68" s="17">
        <f>'[1]资源-钻石'!L68</f>
        <v>549276.22987843782</v>
      </c>
      <c r="D68" s="17">
        <f>'[1]资源-钻石'!M68</f>
        <v>659845.74791183905</v>
      </c>
      <c r="E68" s="17">
        <f>'[1]资源-钻石'!N68</f>
        <v>891653.07258616271</v>
      </c>
      <c r="F68" s="17">
        <f>'[1]资源-钻石'!O68</f>
        <v>1700343.7289087544</v>
      </c>
      <c r="G68" s="17">
        <f>'[1]资源-钻石'!P68</f>
        <v>2293561.2534739906</v>
      </c>
      <c r="I68" s="4">
        <v>65</v>
      </c>
      <c r="J68" s="17">
        <f>'[1]资源-钻石'!T68</f>
        <v>403996.81127669057</v>
      </c>
      <c r="K68" s="17">
        <f>'[1]资源-钻石'!U68</f>
        <v>556116.49240435963</v>
      </c>
      <c r="L68" s="17">
        <f>'[1]资源-钻石'!V68</f>
        <v>907786.14164479566</v>
      </c>
      <c r="M68" s="17">
        <f>'[1]资源-钻石'!W68</f>
        <v>2329894.755809275</v>
      </c>
      <c r="N68" s="17">
        <f>'[1]资源-钻石'!X68</f>
        <v>5479241.7313902024</v>
      </c>
    </row>
    <row r="69" spans="2:14" x14ac:dyDescent="0.15">
      <c r="B69" s="4">
        <v>66</v>
      </c>
      <c r="C69" s="17">
        <f>'[1]资源-钻石'!L69</f>
        <v>578208.18137042806</v>
      </c>
      <c r="D69" s="17">
        <f>'[1]资源-钻石'!M69</f>
        <v>706608.49155666959</v>
      </c>
      <c r="E69" s="17">
        <f>'[1]资源-钻石'!N69</f>
        <v>954811.92250159499</v>
      </c>
      <c r="F69" s="17">
        <f>'[1]资源-钻石'!O69</f>
        <v>1812984.5368224278</v>
      </c>
      <c r="G69" s="17">
        <f>'[1]资源-钻石'!P69</f>
        <v>2437042.1437460529</v>
      </c>
      <c r="I69" s="4">
        <v>66</v>
      </c>
      <c r="J69" s="17">
        <f>'[1]资源-钻石'!T69</f>
        <v>409924.24442877935</v>
      </c>
      <c r="K69" s="17">
        <f>'[1]资源-钻石'!U69</f>
        <v>564316.66887165734</v>
      </c>
      <c r="L69" s="17">
        <f>'[1]资源-钻石'!V69</f>
        <v>921258.33575882309</v>
      </c>
      <c r="M69" s="17">
        <f>'[1]资源-钻石'!W69</f>
        <v>2364734.169334705</v>
      </c>
      <c r="N69" s="17">
        <f>'[1]资源-钻石'!X69</f>
        <v>5561420.0862681754</v>
      </c>
    </row>
    <row r="70" spans="2:14" x14ac:dyDescent="0.15">
      <c r="B70" s="4">
        <v>67</v>
      </c>
      <c r="C70" s="17">
        <f>'[1]资源-钻石'!L70</f>
        <v>608378.95300539816</v>
      </c>
      <c r="D70" s="17">
        <f>'[1]资源-钻石'!M70</f>
        <v>756767.93652195623</v>
      </c>
      <c r="E70" s="17">
        <f>'[1]资源-钻石'!N70</f>
        <v>1019508.9017561502</v>
      </c>
      <c r="F70" s="17">
        <f>'[1]资源-钻石'!O70</f>
        <v>1933627.578509642</v>
      </c>
      <c r="G70" s="17">
        <f>'[1]资源-钻石'!P70</f>
        <v>2587477.018167248</v>
      </c>
      <c r="I70" s="4">
        <v>67</v>
      </c>
      <c r="J70" s="17">
        <f>'[1]资源-钻石'!T70</f>
        <v>415851.67758086813</v>
      </c>
      <c r="K70" s="17">
        <f>'[1]资源-钻石'!U70</f>
        <v>572516.84533895506</v>
      </c>
      <c r="L70" s="17">
        <f>'[1]资源-钻石'!V70</f>
        <v>934730.52987285051</v>
      </c>
      <c r="M70" s="17">
        <f>'[1]资源-钻石'!W70</f>
        <v>2399573.582860135</v>
      </c>
      <c r="N70" s="17">
        <f>'[1]资源-钻石'!X70</f>
        <v>5643598.4411461493</v>
      </c>
    </row>
    <row r="71" spans="2:14" x14ac:dyDescent="0.15">
      <c r="B71" s="4">
        <v>68</v>
      </c>
      <c r="C71" s="17">
        <f>'[1]资源-钻石'!L71</f>
        <v>640715.18538800185</v>
      </c>
      <c r="D71" s="17">
        <f>'[1]资源-钻石'!M71</f>
        <v>798715.20818464796</v>
      </c>
      <c r="E71" s="17">
        <f>'[1]资源-钻石'!N71</f>
        <v>1086306.624119231</v>
      </c>
      <c r="F71" s="17">
        <f>'[1]资源-钻石'!O71</f>
        <v>2065561.2427186659</v>
      </c>
      <c r="G71" s="17">
        <f>'[1]资源-钻石'!P71</f>
        <v>2755784.5849957354</v>
      </c>
      <c r="I71" s="4">
        <v>68</v>
      </c>
      <c r="J71" s="17">
        <f>'[1]资源-钻石'!T71</f>
        <v>421779.11073295691</v>
      </c>
      <c r="K71" s="17">
        <f>'[1]资源-钻石'!U71</f>
        <v>580717.02180625277</v>
      </c>
      <c r="L71" s="17">
        <f>'[1]资源-钻石'!V71</f>
        <v>948202.72398687794</v>
      </c>
      <c r="M71" s="17">
        <f>'[1]资源-钻石'!W71</f>
        <v>2434412.9963855655</v>
      </c>
      <c r="N71" s="17">
        <f>'[1]资源-钻石'!X71</f>
        <v>5725776.7960241223</v>
      </c>
    </row>
    <row r="72" spans="2:14" x14ac:dyDescent="0.15">
      <c r="B72" s="4">
        <v>69</v>
      </c>
      <c r="C72" s="17">
        <f>'[1]资源-钻石'!L72</f>
        <v>675372.30113408319</v>
      </c>
      <c r="D72" s="17">
        <f>'[1]资源-钻石'!M72</f>
        <v>841778.51562049228</v>
      </c>
      <c r="E72" s="17">
        <f>'[1]资源-钻石'!N72</f>
        <v>1162337.2288970766</v>
      </c>
      <c r="F72" s="17">
        <f>'[1]资源-钻石'!O72</f>
        <v>2209186.8009879114</v>
      </c>
      <c r="G72" s="17">
        <f>'[1]资源-钻石'!P72</f>
        <v>2936639.8904699385</v>
      </c>
      <c r="I72" s="4">
        <v>69</v>
      </c>
      <c r="J72" s="17">
        <f>'[1]资源-钻石'!T72</f>
        <v>427706.54388504568</v>
      </c>
      <c r="K72" s="17">
        <f>'[1]资源-钻石'!U72</f>
        <v>588917.19827355037</v>
      </c>
      <c r="L72" s="17">
        <f>'[1]资源-钻石'!V72</f>
        <v>961674.91810090537</v>
      </c>
      <c r="M72" s="17">
        <f>'[1]资源-钻石'!W72</f>
        <v>2469252.4099109955</v>
      </c>
      <c r="N72" s="17">
        <f>'[1]资源-钻石'!X72</f>
        <v>5807955.1509020953</v>
      </c>
    </row>
    <row r="73" spans="2:14" x14ac:dyDescent="0.15">
      <c r="B73" s="4">
        <v>70</v>
      </c>
      <c r="C73" s="17">
        <f>'[1]资源-钻石'!L73</f>
        <v>712516.87807878188</v>
      </c>
      <c r="D73" s="17">
        <f>'[1]资源-钻石'!M73</f>
        <v>889856.8618376099</v>
      </c>
      <c r="E73" s="17">
        <f>'[1]资源-钻石'!N73</f>
        <v>1245820.362646288</v>
      </c>
      <c r="F73" s="17">
        <f>'[1]资源-钻石'!O73</f>
        <v>2362145.6009097658</v>
      </c>
      <c r="G73" s="17">
        <f>'[1]资源-钻石'!P73</f>
        <v>3137142.1816969919</v>
      </c>
      <c r="I73" s="4">
        <v>70</v>
      </c>
      <c r="J73" s="17">
        <f>'[1]资源-钻石'!T73</f>
        <v>433633.97703713446</v>
      </c>
      <c r="K73" s="17">
        <f>'[1]资源-钻石'!U73</f>
        <v>597117.37474084797</v>
      </c>
      <c r="L73" s="17">
        <f>'[1]资源-钻石'!V73</f>
        <v>975147.1122149328</v>
      </c>
      <c r="M73" s="17">
        <f>'[1]资源-钻石'!W73</f>
        <v>2504091.8234364255</v>
      </c>
      <c r="N73" s="17">
        <f>'[1]资源-钻石'!X73</f>
        <v>5890133.5057800682</v>
      </c>
    </row>
    <row r="74" spans="2:14" x14ac:dyDescent="0.15">
      <c r="B74" s="4">
        <v>71</v>
      </c>
      <c r="C74" s="17">
        <f>'[1]资源-钻石'!L74</f>
        <v>752327.44992524723</v>
      </c>
      <c r="D74" s="17">
        <f>'[1]资源-钻石'!M74</f>
        <v>941842.84192293312</v>
      </c>
      <c r="E74" s="17">
        <f>'[1]资源-钻石'!N74</f>
        <v>1320590.4489970768</v>
      </c>
      <c r="F74" s="17">
        <f>'[1]资源-钻石'!O74</f>
        <v>2525447.0308207385</v>
      </c>
      <c r="G74" s="17">
        <f>'[1]资源-钻石'!P74</f>
        <v>3353002.2047928427</v>
      </c>
      <c r="I74" s="4">
        <v>71</v>
      </c>
      <c r="J74" s="17">
        <f>'[1]资源-钻石'!T74</f>
        <v>439561.41018922324</v>
      </c>
      <c r="K74" s="17">
        <f>'[1]资源-钻石'!U74</f>
        <v>605317.55120814568</v>
      </c>
      <c r="L74" s="17">
        <f>'[1]资源-钻石'!V74</f>
        <v>988619.30632896023</v>
      </c>
      <c r="M74" s="17">
        <f>'[1]资源-钻石'!W74</f>
        <v>2538931.236961856</v>
      </c>
      <c r="N74" s="17">
        <f>'[1]资源-钻石'!X74</f>
        <v>5972311.8606580412</v>
      </c>
    </row>
    <row r="75" spans="2:14" x14ac:dyDescent="0.15">
      <c r="B75" s="4">
        <v>72</v>
      </c>
      <c r="C75" s="17">
        <f>'[1]资源-钻石'!L75</f>
        <v>794995.36435868323</v>
      </c>
      <c r="D75" s="17">
        <f>'[1]资源-钻石'!M75</f>
        <v>996952.18451324687</v>
      </c>
      <c r="E75" s="17">
        <f>'[1]资源-钻石'!N75</f>
        <v>1398332.6936868359</v>
      </c>
      <c r="F75" s="17">
        <f>'[1]资源-钻石'!O75</f>
        <v>2698735.5287803207</v>
      </c>
      <c r="G75" s="17">
        <f>'[1]资源-钻石'!P75</f>
        <v>3580673.5082542915</v>
      </c>
      <c r="I75" s="4">
        <v>72</v>
      </c>
      <c r="J75" s="17">
        <f>'[1]资源-钻石'!T75</f>
        <v>445488.84334131208</v>
      </c>
      <c r="K75" s="17">
        <f>'[1]资源-钻石'!U75</f>
        <v>613517.72767544328</v>
      </c>
      <c r="L75" s="17">
        <f>'[1]资源-钻石'!V75</f>
        <v>1002091.5004429877</v>
      </c>
      <c r="M75" s="17">
        <f>'[1]资源-钻石'!W75</f>
        <v>2573770.650487286</v>
      </c>
      <c r="N75" s="17">
        <f>'[1]资源-钻石'!X75</f>
        <v>6054490.2155360151</v>
      </c>
    </row>
    <row r="76" spans="2:14" x14ac:dyDescent="0.15">
      <c r="B76" s="4">
        <v>73</v>
      </c>
      <c r="C76" s="17">
        <f>'[1]资源-钻石'!L76</f>
        <v>840725.70275020949</v>
      </c>
      <c r="D76" s="17">
        <f>'[1]资源-钻石'!M76</f>
        <v>1053903.8882900055</v>
      </c>
      <c r="E76" s="17">
        <f>'[1]资源-钻石'!N76</f>
        <v>1482169.2828920323</v>
      </c>
      <c r="F76" s="17">
        <f>'[1]资源-钻石'!O76</f>
        <v>2885765.0088641308</v>
      </c>
      <c r="G76" s="17">
        <f>'[1]资源-钻石'!P76</f>
        <v>3825623.1177580887</v>
      </c>
      <c r="I76" s="4">
        <v>73</v>
      </c>
      <c r="J76" s="17">
        <f>'[1]资源-钻石'!T76</f>
        <v>451416.27649340086</v>
      </c>
      <c r="K76" s="17">
        <f>'[1]资源-钻石'!U76</f>
        <v>621717.90414274088</v>
      </c>
      <c r="L76" s="17">
        <f>'[1]资源-钻石'!V76</f>
        <v>1015563.6945570151</v>
      </c>
      <c r="M76" s="17">
        <f>'[1]资源-钻石'!W76</f>
        <v>2608610.0640127161</v>
      </c>
      <c r="N76" s="17">
        <f>'[1]资源-钻石'!X76</f>
        <v>6136668.5704139881</v>
      </c>
    </row>
    <row r="77" spans="2:14" x14ac:dyDescent="0.15">
      <c r="B77" s="4">
        <v>74</v>
      </c>
      <c r="C77" s="17">
        <f>'[1]资源-钻石'!L77</f>
        <v>889738.2658710517</v>
      </c>
      <c r="D77" s="17">
        <f>'[1]资源-钻石'!M77</f>
        <v>1116744.7416914625</v>
      </c>
      <c r="E77" s="17">
        <f>'[1]资源-钻石'!N77</f>
        <v>1575922.3092621714</v>
      </c>
      <c r="F77" s="17">
        <f>'[1]资源-钻石'!O77</f>
        <v>3091829.7441632054</v>
      </c>
      <c r="G77" s="17">
        <f>'[1]资源-钻石'!P77</f>
        <v>4096151.4954179237</v>
      </c>
      <c r="I77" s="4">
        <v>74</v>
      </c>
      <c r="J77" s="17">
        <f>'[1]资源-钻石'!T77</f>
        <v>457343.70964548958</v>
      </c>
      <c r="K77" s="17">
        <f>'[1]资源-钻石'!U77</f>
        <v>629918.0806100386</v>
      </c>
      <c r="L77" s="17">
        <f>'[1]资源-钻石'!V77</f>
        <v>1029035.8886710425</v>
      </c>
      <c r="M77" s="17">
        <f>'[1]资源-钻石'!W77</f>
        <v>2643449.4775381461</v>
      </c>
      <c r="N77" s="17">
        <f>'[1]资源-钻石'!X77</f>
        <v>6218846.9252919611</v>
      </c>
    </row>
    <row r="78" spans="2:14" x14ac:dyDescent="0.15">
      <c r="B78" s="4">
        <v>75</v>
      </c>
      <c r="C78" s="17">
        <f>'[1]资源-钻石'!L78</f>
        <v>942260.01727511862</v>
      </c>
      <c r="D78" s="17">
        <f>'[1]资源-钻石'!M78</f>
        <v>1185008.6020046037</v>
      </c>
      <c r="E78" s="17">
        <f>'[1]资源-钻石'!N78</f>
        <v>1676101.3179611163</v>
      </c>
      <c r="F78" s="17">
        <f>'[1]资源-钻石'!O78</f>
        <v>3306035.1774592092</v>
      </c>
      <c r="G78" s="17">
        <f>'[1]资源-钻石'!P78</f>
        <v>4390835.3665658776</v>
      </c>
      <c r="I78" s="4">
        <v>75</v>
      </c>
      <c r="J78" s="17">
        <f>'[1]资源-钻石'!T78</f>
        <v>463271.14279757836</v>
      </c>
      <c r="K78" s="17">
        <f>'[1]资源-钻石'!U78</f>
        <v>638118.25707733631</v>
      </c>
      <c r="L78" s="17">
        <f>'[1]资源-钻石'!V78</f>
        <v>1042508.0827850699</v>
      </c>
      <c r="M78" s="17">
        <f>'[1]资源-钻石'!W78</f>
        <v>2678288.8910635766</v>
      </c>
      <c r="N78" s="17">
        <f>'[1]资源-钻石'!X78</f>
        <v>6301025.280169934</v>
      </c>
    </row>
    <row r="79" spans="2:14" x14ac:dyDescent="0.15">
      <c r="B79" s="4">
        <v>76</v>
      </c>
      <c r="C79" s="17">
        <f>'[1]资源-钻石'!L79</f>
        <v>992773.3004085588</v>
      </c>
      <c r="D79" s="17">
        <f>'[1]资源-钻石'!M79</f>
        <v>1257351.5271212088</v>
      </c>
      <c r="E79" s="17">
        <f>'[1]资源-钻石'!N79</f>
        <v>1781555.799674347</v>
      </c>
      <c r="F79" s="17">
        <f>'[1]资源-钻石'!O79</f>
        <v>3529299.5322354301</v>
      </c>
      <c r="G79" s="17">
        <f>'[1]资源-钻石'!P79</f>
        <v>4712072.2898059003</v>
      </c>
      <c r="I79" s="4">
        <v>76</v>
      </c>
      <c r="J79" s="17">
        <f>'[1]资源-钻石'!T79</f>
        <v>469198.57594966714</v>
      </c>
      <c r="K79" s="17">
        <f>'[1]资源-钻石'!U79</f>
        <v>646318.43354463391</v>
      </c>
      <c r="L79" s="17">
        <f>'[1]资源-钻石'!V79</f>
        <v>1055980.2768990973</v>
      </c>
      <c r="M79" s="17">
        <f>'[1]资源-钻石'!W79</f>
        <v>2713128.3045890066</v>
      </c>
      <c r="N79" s="17">
        <f>'[1]资源-钻石'!X79</f>
        <v>6383203.635047907</v>
      </c>
    </row>
    <row r="80" spans="2:14" x14ac:dyDescent="0.15">
      <c r="B80" s="4">
        <v>77</v>
      </c>
      <c r="C80" s="17">
        <f>'[1]资源-钻石'!L80</f>
        <v>1046912.096776562</v>
      </c>
      <c r="D80" s="17">
        <f>'[1]资源-钻石'!M80</f>
        <v>1335678.1654017968</v>
      </c>
      <c r="E80" s="17">
        <f>'[1]资源-钻石'!N80</f>
        <v>1897158.2629734648</v>
      </c>
      <c r="F80" s="17">
        <f>'[1]资源-钻石'!O80</f>
        <v>3770848.4591382518</v>
      </c>
      <c r="G80" s="17">
        <f>'[1]资源-钻石'!P80</f>
        <v>5030191.5633052476</v>
      </c>
      <c r="I80" s="4">
        <v>77</v>
      </c>
      <c r="J80" s="17">
        <f>'[1]资源-钻石'!T80</f>
        <v>475126.00910175592</v>
      </c>
      <c r="K80" s="17">
        <f>'[1]资源-钻石'!U80</f>
        <v>654518.61001193163</v>
      </c>
      <c r="L80" s="17">
        <f>'[1]资源-钻石'!V80</f>
        <v>1069452.4710131248</v>
      </c>
      <c r="M80" s="17">
        <f>'[1]资源-钻石'!W80</f>
        <v>2747967.7181144371</v>
      </c>
      <c r="N80" s="17">
        <f>'[1]资源-钻石'!X80</f>
        <v>6465381.9899258809</v>
      </c>
    </row>
    <row r="81" spans="2:14" x14ac:dyDescent="0.15">
      <c r="B81" s="4">
        <v>78</v>
      </c>
      <c r="C81" s="17">
        <f>'[1]资源-钻石'!L81</f>
        <v>1104936.6220174441</v>
      </c>
      <c r="D81" s="17">
        <f>'[1]资源-钻石'!M81</f>
        <v>1413058.9444595983</v>
      </c>
      <c r="E81" s="17">
        <f>'[1]资源-钻石'!N81</f>
        <v>2020684.1954405201</v>
      </c>
      <c r="F81" s="17">
        <f>'[1]资源-钻石'!O81</f>
        <v>4024319.6756068617</v>
      </c>
      <c r="G81" s="17">
        <f>'[1]资源-钻石'!P81</f>
        <v>5368457.4932016712</v>
      </c>
      <c r="I81" s="4">
        <v>78</v>
      </c>
      <c r="J81" s="17">
        <f>'[1]资源-钻石'!T81</f>
        <v>481053.4422538447</v>
      </c>
      <c r="K81" s="17">
        <f>'[1]资源-钻石'!U81</f>
        <v>662718.78647922922</v>
      </c>
      <c r="L81" s="17">
        <f>'[1]资源-钻石'!V81</f>
        <v>1082924.6651271521</v>
      </c>
      <c r="M81" s="17">
        <f>'[1]资源-钻石'!W81</f>
        <v>2782807.1316398671</v>
      </c>
      <c r="N81" s="17">
        <f>'[1]资源-钻石'!X81</f>
        <v>6547560.3448038539</v>
      </c>
    </row>
    <row r="82" spans="2:14" x14ac:dyDescent="0.15">
      <c r="B82" s="4">
        <v>79</v>
      </c>
      <c r="C82" s="17">
        <f>'[1]资源-钻石'!L82</f>
        <v>1167125.7683468889</v>
      </c>
      <c r="D82" s="17">
        <f>'[1]资源-钻石'!M82</f>
        <v>1496667.2212345796</v>
      </c>
      <c r="E82" s="17">
        <f>'[1]资源-钻石'!N82</f>
        <v>2153461.8603539318</v>
      </c>
      <c r="F82" s="17">
        <f>'[1]资源-钻石'!O82</f>
        <v>4284310.2254597275</v>
      </c>
      <c r="G82" s="17">
        <f>'[1]资源-钻石'!P82</f>
        <v>5735809.6297819801</v>
      </c>
      <c r="I82" s="4">
        <v>79</v>
      </c>
      <c r="J82" s="17">
        <f>'[1]资源-钻石'!T82</f>
        <v>486980.87540593348</v>
      </c>
      <c r="K82" s="17">
        <f>'[1]资源-钻石'!U82</f>
        <v>670918.96294652694</v>
      </c>
      <c r="L82" s="17">
        <f>'[1]资源-钻石'!V82</f>
        <v>1096396.8592411797</v>
      </c>
      <c r="M82" s="17">
        <f>'[1]资源-钻石'!W82</f>
        <v>2817646.5451652976</v>
      </c>
      <c r="N82" s="17">
        <f>'[1]资源-钻石'!X82</f>
        <v>6629738.6996818269</v>
      </c>
    </row>
    <row r="83" spans="2:14" x14ac:dyDescent="0.15">
      <c r="B83" s="4">
        <v>80</v>
      </c>
      <c r="C83" s="17">
        <f>'[1]资源-钻石'!L83</f>
        <v>1233778.4450405743</v>
      </c>
      <c r="D83" s="17">
        <f>'[1]资源-钻石'!M83</f>
        <v>1586054.5988333216</v>
      </c>
      <c r="E83" s="17">
        <f>'[1]资源-钻石'!N83</f>
        <v>2287191.1277600061</v>
      </c>
      <c r="F83" s="17">
        <f>'[1]资源-钻石'!O83</f>
        <v>4561282.0271056285</v>
      </c>
      <c r="G83" s="17">
        <f>'[1]资源-钻石'!P83</f>
        <v>6118342.7972761998</v>
      </c>
      <c r="I83" s="4">
        <v>80</v>
      </c>
      <c r="J83" s="17">
        <f>'[1]资源-钻石'!T83</f>
        <v>492908.30855802225</v>
      </c>
      <c r="K83" s="17">
        <f>'[1]资源-钻石'!U83</f>
        <v>679119.13941382454</v>
      </c>
      <c r="L83" s="17">
        <f>'[1]资源-钻石'!V83</f>
        <v>1109869.053355207</v>
      </c>
      <c r="M83" s="17">
        <f>'[1]资源-钻石'!W83</f>
        <v>2852485.9586907276</v>
      </c>
      <c r="N83" s="17">
        <f>'[1]资源-钻石'!X83</f>
        <v>6711917.0545597998</v>
      </c>
    </row>
    <row r="84" spans="2:14" x14ac:dyDescent="0.15">
      <c r="B84" s="4">
        <v>81</v>
      </c>
      <c r="C84" s="17">
        <f>'[1]资源-钻石'!L84</f>
        <v>1305215.0151278772</v>
      </c>
      <c r="D84" s="17">
        <f>'[1]资源-钻石'!M84</f>
        <v>1677038.3177689395</v>
      </c>
      <c r="E84" s="17">
        <f>'[1]资源-钻石'!N84</f>
        <v>2422963.1258291933</v>
      </c>
      <c r="F84" s="17">
        <f>'[1]资源-钻石'!O84</f>
        <v>4861639.5326732919</v>
      </c>
      <c r="G84" s="17">
        <f>'[1]资源-钻石'!P84</f>
        <v>6535802.0213373909</v>
      </c>
      <c r="I84" s="4">
        <v>81</v>
      </c>
      <c r="J84" s="17">
        <f>'[1]资源-钻石'!T84</f>
        <v>498835.74171011103</v>
      </c>
      <c r="K84" s="17">
        <f>'[1]资源-钻石'!U84</f>
        <v>687319.31588112214</v>
      </c>
      <c r="L84" s="17">
        <f>'[1]资源-钻石'!V84</f>
        <v>1123341.2474692345</v>
      </c>
      <c r="M84" s="17">
        <f>'[1]资源-钻石'!W84</f>
        <v>2887325.3722161576</v>
      </c>
      <c r="N84" s="17">
        <f>'[1]资源-钻石'!X84</f>
        <v>6794095.4094377728</v>
      </c>
    </row>
    <row r="85" spans="2:14" x14ac:dyDescent="0.15">
      <c r="B85" s="4">
        <v>82</v>
      </c>
      <c r="C85" s="17">
        <f>'[1]资源-钻石'!L85</f>
        <v>1381778.8352020616</v>
      </c>
      <c r="D85" s="17">
        <f>'[1]资源-钻石'!M85</f>
        <v>1777062.8377403398</v>
      </c>
      <c r="E85" s="17">
        <f>'[1]资源-钻石'!N85</f>
        <v>2573762.9897704134</v>
      </c>
      <c r="F85" s="17">
        <f>'[1]资源-钻石'!O85</f>
        <v>5190514.1974744778</v>
      </c>
      <c r="G85" s="17">
        <f>'[1]资源-钻石'!P85</f>
        <v>6977432.4595038407</v>
      </c>
      <c r="I85" s="4">
        <v>82</v>
      </c>
      <c r="J85" s="17">
        <f>'[1]资源-钻石'!T85</f>
        <v>504763.17486219981</v>
      </c>
      <c r="K85" s="17">
        <f>'[1]资源-钻石'!U85</f>
        <v>695519.49234841985</v>
      </c>
      <c r="L85" s="17">
        <f>'[1]资源-钻石'!V85</f>
        <v>1136813.4415832618</v>
      </c>
      <c r="M85" s="17">
        <f>'[1]资源-钻石'!W85</f>
        <v>2922164.7857415881</v>
      </c>
      <c r="N85" s="17">
        <f>'[1]资源-钻石'!X85</f>
        <v>6876273.7643157458</v>
      </c>
    </row>
    <row r="86" spans="2:14" x14ac:dyDescent="0.15">
      <c r="B86" s="4">
        <v>83</v>
      </c>
      <c r="C86" s="17">
        <f>'[1]资源-钻石'!L86</f>
        <v>1463837.9057479792</v>
      </c>
      <c r="D86" s="17">
        <f>'[1]资源-钻石'!M86</f>
        <v>1886598.4100187661</v>
      </c>
      <c r="E86" s="17">
        <f>'[1]资源-钻石'!N86</f>
        <v>2740778.0963098295</v>
      </c>
      <c r="F86" s="17">
        <f>'[1]资源-钻石'!O86</f>
        <v>5542785.4674281906</v>
      </c>
      <c r="G86" s="17">
        <f>'[1]资源-钻石'!P86</f>
        <v>7467440.6996243615</v>
      </c>
      <c r="I86" s="4">
        <v>83</v>
      </c>
      <c r="J86" s="17">
        <f>'[1]资源-钻石'!T86</f>
        <v>510690.60801428859</v>
      </c>
      <c r="K86" s="17">
        <f>'[1]资源-钻石'!U86</f>
        <v>703719.66881571745</v>
      </c>
      <c r="L86" s="17">
        <f>'[1]资源-钻石'!V86</f>
        <v>1150285.6356972894</v>
      </c>
      <c r="M86" s="17">
        <f>'[1]资源-钻石'!W86</f>
        <v>2957004.1992670181</v>
      </c>
      <c r="N86" s="17">
        <f>'[1]资源-钻石'!X86</f>
        <v>6958452.1191937188</v>
      </c>
    </row>
    <row r="87" spans="2:14" x14ac:dyDescent="0.15">
      <c r="B87" s="4">
        <v>84</v>
      </c>
      <c r="C87" s="17">
        <f>'[1]资源-钻石'!L87</f>
        <v>1551786.6399194838</v>
      </c>
      <c r="D87" s="17">
        <f>'[1]资源-钻石'!M87</f>
        <v>2004063.3168475013</v>
      </c>
      <c r="E87" s="17">
        <f>'[1]资源-钻石'!N87</f>
        <v>2913729.6215637578</v>
      </c>
      <c r="F87" s="17">
        <f>'[1]资源-钻石'!O87</f>
        <v>5915710.0787900444</v>
      </c>
      <c r="G87" s="17">
        <f>'[1]资源-钻石'!P87</f>
        <v>7984782.1827939106</v>
      </c>
      <c r="I87" s="4">
        <v>84</v>
      </c>
      <c r="J87" s="17">
        <f>'[1]资源-钻石'!T87</f>
        <v>516618.04116637737</v>
      </c>
      <c r="K87" s="17">
        <f>'[1]资源-钻石'!U87</f>
        <v>711919.84528301517</v>
      </c>
      <c r="L87" s="17">
        <f>'[1]资源-钻石'!V87</f>
        <v>1163754.342828128</v>
      </c>
      <c r="M87" s="17">
        <f>'[1]资源-钻石'!W87</f>
        <v>2991843.6127924481</v>
      </c>
      <c r="N87" s="17">
        <f>'[1]资源-钻石'!X87</f>
        <v>7040630.4740716927</v>
      </c>
    </row>
    <row r="88" spans="2:14" x14ac:dyDescent="0.15">
      <c r="B88" s="4">
        <v>85</v>
      </c>
      <c r="C88" s="17">
        <f>'[1]资源-钻石'!L88</f>
        <v>1645681.2115073304</v>
      </c>
      <c r="D88" s="17">
        <f>'[1]资源-钻石'!M88</f>
        <v>2125945.3671908407</v>
      </c>
      <c r="E88" s="17">
        <f>'[1]资源-钻石'!N88</f>
        <v>3096920.662903918</v>
      </c>
      <c r="F88" s="17">
        <f>'[1]资源-钻石'!O88</f>
        <v>6324532.800104253</v>
      </c>
      <c r="G88" s="17">
        <f>'[1]资源-钻石'!P88</f>
        <v>8534549.653670514</v>
      </c>
      <c r="I88" s="4">
        <v>85</v>
      </c>
      <c r="J88" s="17">
        <f>'[1]资源-钻石'!T88</f>
        <v>522545.47431846615</v>
      </c>
      <c r="K88" s="17">
        <f>'[1]资源-钻石'!U88</f>
        <v>720120.02175031276</v>
      </c>
      <c r="L88" s="17">
        <f>'[1]资源-钻石'!V88</f>
        <v>1177193.4683203346</v>
      </c>
      <c r="M88" s="17">
        <f>'[1]资源-钻石'!W88</f>
        <v>3026683.0263178786</v>
      </c>
      <c r="N88" s="17">
        <f>'[1]资源-钻石'!X88</f>
        <v>7122808.8289496657</v>
      </c>
    </row>
    <row r="89" spans="2:14" x14ac:dyDescent="0.15">
      <c r="B89" s="4">
        <v>86</v>
      </c>
      <c r="C89" s="17">
        <f>'[1]资源-钻石'!L89</f>
        <v>1737537.7421784848</v>
      </c>
      <c r="D89" s="17">
        <f>'[1]资源-钻石'!M89</f>
        <v>2258663.4036026709</v>
      </c>
      <c r="E89" s="17">
        <f>'[1]资源-钻石'!N89</f>
        <v>3298452.5136889042</v>
      </c>
      <c r="F89" s="17">
        <f>'[1]资源-钻石'!O89</f>
        <v>6768516.992928803</v>
      </c>
      <c r="G89" s="17">
        <f>'[1]资源-钻石'!P89</f>
        <v>9046521.636546459</v>
      </c>
      <c r="I89" s="4">
        <v>86</v>
      </c>
      <c r="J89" s="17">
        <f>'[1]资源-钻石'!T89</f>
        <v>528472.90747055493</v>
      </c>
      <c r="K89" s="17">
        <f>'[1]资源-钻石'!U89</f>
        <v>728320.19821761036</v>
      </c>
      <c r="L89" s="17">
        <f>'[1]资源-钻石'!V89</f>
        <v>1190632.5938125413</v>
      </c>
      <c r="M89" s="17">
        <f>'[1]资源-钻石'!W89</f>
        <v>3061522.4398433086</v>
      </c>
      <c r="N89" s="17">
        <f>'[1]资源-钻石'!X89</f>
        <v>7204987.1838276386</v>
      </c>
    </row>
    <row r="90" spans="2:14" x14ac:dyDescent="0.15">
      <c r="B90" s="4">
        <v>87</v>
      </c>
      <c r="C90" s="17">
        <f>'[1]资源-钻石'!L90</f>
        <v>1835987.1341124773</v>
      </c>
      <c r="D90" s="17">
        <f>'[1]资源-钻石'!M90</f>
        <v>2403311.8227408277</v>
      </c>
      <c r="E90" s="17">
        <f>'[1]资源-钻石'!N90</f>
        <v>3520414.7768692896</v>
      </c>
      <c r="F90" s="17">
        <f>'[1]资源-钻石'!O90</f>
        <v>7192132.9366573216</v>
      </c>
      <c r="G90" s="17">
        <f>'[1]资源-钻石'!P90</f>
        <v>9589666.1661418863</v>
      </c>
      <c r="I90" s="4">
        <v>87</v>
      </c>
      <c r="J90" s="17">
        <f>'[1]资源-钻石'!T90</f>
        <v>534400.34062264371</v>
      </c>
      <c r="K90" s="17">
        <f>'[1]资源-钻石'!U90</f>
        <v>736520.37468490808</v>
      </c>
      <c r="L90" s="17">
        <f>'[1]资源-钻石'!V90</f>
        <v>1204071.7193047479</v>
      </c>
      <c r="M90" s="17">
        <f>'[1]资源-钻石'!W90</f>
        <v>3096222.0253897994</v>
      </c>
      <c r="N90" s="17">
        <f>'[1]资源-钻石'!X90</f>
        <v>7287165.5387056116</v>
      </c>
    </row>
    <row r="91" spans="2:14" x14ac:dyDescent="0.15">
      <c r="B91" s="4">
        <v>88</v>
      </c>
      <c r="C91" s="17">
        <f>'[1]资源-钻石'!L91</f>
        <v>1941502.5797901682</v>
      </c>
      <c r="D91" s="17">
        <f>'[1]资源-钻石'!M91</f>
        <v>2551481.3850856088</v>
      </c>
      <c r="E91" s="17">
        <f>'[1]资源-钻石'!N91</f>
        <v>3746044.8914453089</v>
      </c>
      <c r="F91" s="17">
        <f>'[1]资源-钻石'!O91</f>
        <v>7623460.6844343161</v>
      </c>
      <c r="G91" s="17">
        <f>'[1]资源-钻石'!P91</f>
        <v>10183575.897720458</v>
      </c>
      <c r="I91" s="4">
        <v>88</v>
      </c>
      <c r="J91" s="17">
        <f>'[1]资源-钻石'!T91</f>
        <v>540327.77377473249</v>
      </c>
      <c r="K91" s="17">
        <f>'[1]资源-钻石'!U91</f>
        <v>744720.55115220568</v>
      </c>
      <c r="L91" s="17">
        <f>'[1]资源-钻石'!V91</f>
        <v>1217510.8447969547</v>
      </c>
      <c r="M91" s="17">
        <f>'[1]资源-钻石'!W91</f>
        <v>3129986.5476097078</v>
      </c>
      <c r="N91" s="17">
        <f>'[1]资源-钻石'!X91</f>
        <v>7369343.8935835855</v>
      </c>
    </row>
    <row r="92" spans="2:14" x14ac:dyDescent="0.15">
      <c r="B92" s="4">
        <v>89</v>
      </c>
      <c r="C92" s="17">
        <f>'[1]资源-钻石'!L92</f>
        <v>2054591.2343552057</v>
      </c>
      <c r="D92" s="17">
        <f>'[1]资源-钻石'!M92</f>
        <v>2701893.7777782041</v>
      </c>
      <c r="E92" s="17">
        <f>'[1]资源-钻石'!N92</f>
        <v>3962790.0005633235</v>
      </c>
      <c r="F92" s="17">
        <f>'[1]资源-钻石'!O92</f>
        <v>8082951.7043096367</v>
      </c>
      <c r="G92" s="17">
        <f>'[1]资源-钻石'!P92</f>
        <v>10776929.628632817</v>
      </c>
      <c r="I92" s="4">
        <v>89</v>
      </c>
      <c r="J92" s="17">
        <f>'[1]资源-钻石'!T92</f>
        <v>546255.20692682127</v>
      </c>
      <c r="K92" s="17">
        <f>'[1]资源-钻石'!U92</f>
        <v>752920.72761950339</v>
      </c>
      <c r="L92" s="17">
        <f>'[1]资源-钻石'!V92</f>
        <v>1230949.9702891614</v>
      </c>
      <c r="M92" s="17">
        <f>'[1]资源-钻石'!W92</f>
        <v>3163751.0698296167</v>
      </c>
      <c r="N92" s="17">
        <f>'[1]资源-钻石'!X92</f>
        <v>7451522.2484615585</v>
      </c>
    </row>
    <row r="93" spans="2:14" x14ac:dyDescent="0.15">
      <c r="B93" s="4">
        <v>90</v>
      </c>
      <c r="C93" s="17">
        <f>'[1]资源-钻石'!L93</f>
        <v>2175796.6532319468</v>
      </c>
      <c r="D93" s="17">
        <f>'[1]资源-钻石'!M93</f>
        <v>2848606.3717980972</v>
      </c>
      <c r="E93" s="17">
        <f>'[1]资源-钻石'!N93</f>
        <v>4199608.7618296258</v>
      </c>
      <c r="F93" s="17">
        <f>'[1]资源-钻石'!O93</f>
        <v>8551197.5813476294</v>
      </c>
      <c r="G93" s="17">
        <f>'[1]资源-钻石'!P93</f>
        <v>11404640.311290829</v>
      </c>
      <c r="I93" s="4">
        <v>90</v>
      </c>
      <c r="J93" s="17">
        <f>'[1]资源-钻石'!T93</f>
        <v>551460.0109759972</v>
      </c>
      <c r="K93" s="17">
        <f>'[1]资源-钻石'!U93</f>
        <v>760267.74958207726</v>
      </c>
      <c r="L93" s="17">
        <f>'[1]资源-钻石'!V93</f>
        <v>1244389.095781368</v>
      </c>
      <c r="M93" s="17">
        <f>'[1]资源-钻石'!W93</f>
        <v>3197515.5920495256</v>
      </c>
      <c r="N93" s="17">
        <f>'[1]资源-钻石'!X93</f>
        <v>7532053.8318579765</v>
      </c>
    </row>
    <row r="94" spans="2:14" x14ac:dyDescent="0.15">
      <c r="B94" s="4">
        <v>91</v>
      </c>
      <c r="C94" s="17">
        <f>'[1]资源-钻石'!L94</f>
        <v>2305701.4046996329</v>
      </c>
      <c r="D94" s="17">
        <f>'[1]资源-钻石'!M94</f>
        <v>3024057.7526976266</v>
      </c>
      <c r="E94" s="17">
        <f>'[1]资源-钻石'!N94</f>
        <v>4459318.6399757573</v>
      </c>
      <c r="F94" s="17">
        <f>'[1]资源-钻石'!O94</f>
        <v>9120686.5675153062</v>
      </c>
      <c r="G94" s="17">
        <f>'[1]资源-钻石'!P94</f>
        <v>12156053.692849174</v>
      </c>
      <c r="I94" s="4">
        <v>91</v>
      </c>
      <c r="J94" s="17">
        <f>'[1]资源-钻石'!T94</f>
        <v>555913.689425266</v>
      </c>
      <c r="K94" s="17">
        <f>'[1]资源-钻石'!U94</f>
        <v>766860.74258467252</v>
      </c>
      <c r="L94" s="17">
        <f>'[1]资源-钻石'!V94</f>
        <v>1256134.3574138554</v>
      </c>
      <c r="M94" s="17">
        <f>'[1]资源-钻石'!W94</f>
        <v>3231280.1142694345</v>
      </c>
      <c r="N94" s="17">
        <f>'[1]资源-钻石'!X94</f>
        <v>7612189.7906015413</v>
      </c>
    </row>
    <row r="95" spans="2:14" x14ac:dyDescent="0.15">
      <c r="B95" s="4">
        <v>92</v>
      </c>
      <c r="C95" s="17">
        <f>'[1]资源-钻石'!L95</f>
        <v>2444929.8699800698</v>
      </c>
      <c r="D95" s="17">
        <f>'[1]资源-钻石'!M95</f>
        <v>3205889.9080303553</v>
      </c>
      <c r="E95" s="17">
        <f>'[1]资源-钻石'!N95</f>
        <v>4741555.090752501</v>
      </c>
      <c r="F95" s="17">
        <f>'[1]资源-钻石'!O95</f>
        <v>9729655.4351587482</v>
      </c>
      <c r="G95" s="17">
        <f>'[1]资源-钻石'!P95</f>
        <v>12934808.48234269</v>
      </c>
      <c r="I95" s="4">
        <v>92</v>
      </c>
      <c r="J95" s="17">
        <f>'[1]资源-钻石'!T95</f>
        <v>560367.3678745348</v>
      </c>
      <c r="K95" s="17">
        <f>'[1]资源-钻石'!U95</f>
        <v>773453.73558726779</v>
      </c>
      <c r="L95" s="17">
        <f>'[1]资源-钻石'!V95</f>
        <v>1267677.7203322295</v>
      </c>
      <c r="M95" s="17">
        <f>'[1]资源-钻石'!W95</f>
        <v>3265044.6364893434</v>
      </c>
      <c r="N95" s="17">
        <f>'[1]资源-钻石'!X95</f>
        <v>7692325.7493451061</v>
      </c>
    </row>
    <row r="96" spans="2:14" x14ac:dyDescent="0.15">
      <c r="B96" s="4">
        <v>93</v>
      </c>
      <c r="C96" s="17">
        <f>'[1]资源-钻石'!L96</f>
        <v>2594151.2442973014</v>
      </c>
      <c r="D96" s="17">
        <f>'[1]资源-钻石'!M96</f>
        <v>3406633.5537786563</v>
      </c>
      <c r="E96" s="17">
        <f>'[1]资源-钻石'!N96</f>
        <v>5043646.0993167479</v>
      </c>
      <c r="F96" s="17">
        <f>'[1]资源-钻石'!O96</f>
        <v>10370729.088515211</v>
      </c>
      <c r="G96" s="17">
        <f>'[1]资源-钻石'!P96</f>
        <v>13789517.861866554</v>
      </c>
      <c r="I96" s="4">
        <v>93</v>
      </c>
      <c r="J96" s="17">
        <f>'[1]资源-钻石'!T96</f>
        <v>564821.0463238036</v>
      </c>
      <c r="K96" s="17">
        <f>'[1]资源-钻石'!U96</f>
        <v>780046.72858986305</v>
      </c>
      <c r="L96" s="17">
        <f>'[1]资源-钻石'!V96</f>
        <v>1279221.0832506036</v>
      </c>
      <c r="M96" s="17">
        <f>'[1]资源-钻石'!W96</f>
        <v>3298809.1587092523</v>
      </c>
      <c r="N96" s="17">
        <f>'[1]资源-钻石'!X96</f>
        <v>7772461.7080886709</v>
      </c>
    </row>
    <row r="97" spans="2:14" x14ac:dyDescent="0.15">
      <c r="B97" s="4">
        <v>94</v>
      </c>
      <c r="C97" s="17">
        <f>'[1]资源-钻石'!L97</f>
        <v>2754082.7533337036</v>
      </c>
      <c r="D97" s="17">
        <f>'[1]资源-钻石'!M97</f>
        <v>3618003.5787739865</v>
      </c>
      <c r="E97" s="17">
        <f>'[1]资源-钻石'!N97</f>
        <v>5364847.2444486609</v>
      </c>
      <c r="F97" s="17">
        <f>'[1]资源-钻石'!O97</f>
        <v>11051151.494321905</v>
      </c>
      <c r="G97" s="17">
        <f>'[1]资源-钻石'!P97</f>
        <v>14691182.205045251</v>
      </c>
      <c r="I97" s="4">
        <v>94</v>
      </c>
      <c r="J97" s="17">
        <f>'[1]资源-钻石'!T97</f>
        <v>569274.7247730724</v>
      </c>
      <c r="K97" s="17">
        <f>'[1]资源-钻石'!U97</f>
        <v>786639.72159245831</v>
      </c>
      <c r="L97" s="17">
        <f>'[1]资源-钻石'!V97</f>
        <v>1290764.446168978</v>
      </c>
      <c r="M97" s="17">
        <f>'[1]资源-钻石'!W97</f>
        <v>3331750.8907858757</v>
      </c>
      <c r="N97" s="17">
        <f>'[1]资源-钻石'!X97</f>
        <v>7852597.6668322347</v>
      </c>
    </row>
    <row r="98" spans="2:14" x14ac:dyDescent="0.15">
      <c r="B98" s="4">
        <v>95</v>
      </c>
      <c r="C98" s="17">
        <f>'[1]资源-钻石'!L98</f>
        <v>2924661.7427972769</v>
      </c>
      <c r="D98" s="17">
        <f>'[1]资源-钻石'!M98</f>
        <v>3851091.9028485566</v>
      </c>
      <c r="E98" s="17">
        <f>'[1]资源-钻石'!N98</f>
        <v>5702367.1263075275</v>
      </c>
      <c r="F98" s="17">
        <f>'[1]资源-钻石'!O98</f>
        <v>11779925.01724546</v>
      </c>
      <c r="G98" s="17">
        <f>'[1]资源-钻石'!P98</f>
        <v>15736906.296819471</v>
      </c>
      <c r="I98" s="4">
        <v>95</v>
      </c>
      <c r="J98" s="17">
        <f>'[1]资源-钻石'!T98</f>
        <v>573728.40322234121</v>
      </c>
      <c r="K98" s="17">
        <f>'[1]资源-钻石'!U98</f>
        <v>793232.71459505358</v>
      </c>
      <c r="L98" s="17">
        <f>'[1]资源-钻石'!V98</f>
        <v>1302307.8090873521</v>
      </c>
      <c r="M98" s="17">
        <f>'[1]资源-钻石'!W98</f>
        <v>3364468.5899960874</v>
      </c>
      <c r="N98" s="17">
        <f>'[1]资源-钻石'!X98</f>
        <v>7932733.6255757995</v>
      </c>
    </row>
    <row r="99" spans="2:14" x14ac:dyDescent="0.15">
      <c r="B99" s="4">
        <v>96</v>
      </c>
      <c r="C99" s="17">
        <f>'[1]资源-钻石'!L99</f>
        <v>3094335.0091305487</v>
      </c>
      <c r="D99" s="17">
        <f>'[1]资源-钻石'!M99</f>
        <v>4089862.4207360642</v>
      </c>
      <c r="E99" s="17">
        <f>'[1]资源-钻石'!N99</f>
        <v>6062191.2630684217</v>
      </c>
      <c r="F99" s="17">
        <f>'[1]资源-钻石'!O99</f>
        <v>12583296.153171927</v>
      </c>
      <c r="G99" s="17">
        <f>'[1]资源-钻石'!P99</f>
        <v>16846808.909609322</v>
      </c>
      <c r="I99" s="4">
        <v>96</v>
      </c>
      <c r="J99" s="17">
        <f>'[1]资源-钻石'!T99</f>
        <v>578182.08167161001</v>
      </c>
      <c r="K99" s="17">
        <f>'[1]资源-钻石'!U99</f>
        <v>799801.06545975129</v>
      </c>
      <c r="L99" s="17">
        <f>'[1]资源-钻石'!V99</f>
        <v>1313851.1720057263</v>
      </c>
      <c r="M99" s="17">
        <f>'[1]资源-钻石'!W99</f>
        <v>3397186.289206299</v>
      </c>
      <c r="N99" s="17">
        <f>'[1]资源-钻石'!X99</f>
        <v>8012767.4181269277</v>
      </c>
    </row>
    <row r="100" spans="2:14" x14ac:dyDescent="0.15">
      <c r="B100" s="4">
        <v>97</v>
      </c>
      <c r="C100" s="17">
        <f>'[1]资源-钻石'!L100</f>
        <v>3276186.3132883999</v>
      </c>
      <c r="D100" s="17">
        <f>'[1]资源-钻石'!M100</f>
        <v>4349775.2229271745</v>
      </c>
      <c r="E100" s="17">
        <f>'[1]资源-钻石'!N100</f>
        <v>6478236.0020442484</v>
      </c>
      <c r="F100" s="17">
        <f>'[1]资源-钻石'!O100</f>
        <v>13504592.544950774</v>
      </c>
      <c r="G100" s="17">
        <f>'[1]资源-钻石'!P100</f>
        <v>18149097.230531126</v>
      </c>
      <c r="I100" s="4">
        <v>97</v>
      </c>
      <c r="J100" s="17">
        <f>'[1]资源-钻石'!T100</f>
        <v>582516.14456537226</v>
      </c>
      <c r="K100" s="17">
        <f>'[1]资源-钻石'!U100</f>
        <v>806247.75902190967</v>
      </c>
      <c r="L100" s="17">
        <f>'[1]资源-钻石'!V100</f>
        <v>1325394.5349241006</v>
      </c>
      <c r="M100" s="17">
        <f>'[1]资源-钻石'!W100</f>
        <v>3429903.9884165106</v>
      </c>
      <c r="N100" s="17">
        <f>'[1]资源-钻石'!X100</f>
        <v>8092611.8872581609</v>
      </c>
    </row>
    <row r="101" spans="2:14" x14ac:dyDescent="0.15">
      <c r="B101" s="4">
        <v>98</v>
      </c>
      <c r="C101" s="17">
        <f>'[1]资源-钻石'!L101</f>
        <v>3471089.7152124052</v>
      </c>
      <c r="D101" s="17">
        <f>'[1]资源-钻石'!M101</f>
        <v>4630894.6105433023</v>
      </c>
      <c r="E101" s="17">
        <f>'[1]资源-钻石'!N101</f>
        <v>6940159.6934923707</v>
      </c>
      <c r="F101" s="17">
        <f>'[1]资源-钻石'!O101</f>
        <v>14521355.143789764</v>
      </c>
      <c r="G101" s="17">
        <f>'[1]资源-钻石'!P101</f>
        <v>19532693.586081833</v>
      </c>
      <c r="I101" s="4">
        <v>98</v>
      </c>
      <c r="J101" s="17">
        <f>'[1]资源-钻石'!T101</f>
        <v>586849.50234915258</v>
      </c>
      <c r="K101" s="17">
        <f>'[1]资源-钻石'!U101</f>
        <v>812694.45258406794</v>
      </c>
      <c r="L101" s="17">
        <f>'[1]资源-钻石'!V101</f>
        <v>1336937.8978424747</v>
      </c>
      <c r="M101" s="17">
        <f>'[1]资源-钻石'!W101</f>
        <v>3462621.6876267218</v>
      </c>
      <c r="N101" s="17">
        <f>'[1]资源-钻石'!X101</f>
        <v>8172456.356389394</v>
      </c>
    </row>
    <row r="102" spans="2:14" x14ac:dyDescent="0.15">
      <c r="B102" s="4">
        <v>99</v>
      </c>
      <c r="C102" s="17">
        <f>'[1]资源-钻石'!L102</f>
        <v>3679982.0091525968</v>
      </c>
      <c r="D102" s="17">
        <f>'[1]资源-钻石'!M102</f>
        <v>4926940.3423935231</v>
      </c>
      <c r="E102" s="17">
        <f>'[1]资源-钻石'!N102</f>
        <v>7423204.1238851706</v>
      </c>
      <c r="F102" s="17">
        <f>'[1]资源-钻石'!O102</f>
        <v>15580922.265153006</v>
      </c>
      <c r="G102" s="17">
        <f>'[1]资源-钻石'!P102</f>
        <v>20864986.893163215</v>
      </c>
      <c r="I102" s="4">
        <v>99</v>
      </c>
      <c r="J102" s="17">
        <f>'[1]资源-钻石'!T102</f>
        <v>591182.8601329329</v>
      </c>
      <c r="K102" s="17">
        <f>'[1]资源-钻石'!U102</f>
        <v>819141.14614622633</v>
      </c>
      <c r="L102" s="17">
        <f>'[1]资源-钻石'!V102</f>
        <v>1348481.2607608489</v>
      </c>
      <c r="M102" s="17">
        <f>'[1]资源-钻石'!W102</f>
        <v>3495339.3868369334</v>
      </c>
      <c r="N102" s="17">
        <f>'[1]资源-钻石'!X102</f>
        <v>8252300.8255206263</v>
      </c>
    </row>
    <row r="103" spans="2:14" x14ac:dyDescent="0.15">
      <c r="B103" s="4">
        <v>100</v>
      </c>
      <c r="C103" s="17">
        <f>'[1]资源-钻石'!L103</f>
        <v>3903867.2263260251</v>
      </c>
      <c r="D103" s="17">
        <f>'[1]资源-钻石'!M103</f>
        <v>5237263.6505681509</v>
      </c>
      <c r="E103" s="17">
        <f>'[1]资源-钻石'!N103</f>
        <v>7931332.0383830452</v>
      </c>
      <c r="F103" s="17">
        <f>'[1]资源-钻石'!O103</f>
        <v>16620061.748838918</v>
      </c>
      <c r="G103" s="17">
        <f>'[1]资源-钻石'!P103</f>
        <v>22225374.412219442</v>
      </c>
      <c r="I103" s="4">
        <v>100</v>
      </c>
      <c r="J103" s="17">
        <f>'[1]资源-钻石'!T103</f>
        <v>595516.21791671321</v>
      </c>
      <c r="K103" s="17">
        <f>'[1]资源-钻石'!U103</f>
        <v>825587.83970838471</v>
      </c>
      <c r="L103" s="17">
        <f>'[1]资源-钻石'!V103</f>
        <v>1360024.6236792232</v>
      </c>
      <c r="M103" s="17">
        <f>'[1]资源-钻石'!W103</f>
        <v>3528057.0860471451</v>
      </c>
      <c r="N103" s="17">
        <f>'[1]资源-钻石'!X103</f>
        <v>8332145.2946518594</v>
      </c>
    </row>
    <row r="104" spans="2:14" x14ac:dyDescent="0.15">
      <c r="B104" s="4">
        <v>101</v>
      </c>
      <c r="C104" s="17">
        <f>'[1]资源-钻石'!L104</f>
        <v>4143821.4607466767</v>
      </c>
      <c r="D104" s="17">
        <f>'[1]资源-钻石'!M104</f>
        <v>5573405.5033057407</v>
      </c>
      <c r="E104" s="17">
        <f>'[1]资源-钻石'!N104</f>
        <v>8443747.5607369058</v>
      </c>
      <c r="F104" s="17">
        <f>'[1]资源-钻石'!O104</f>
        <v>17689104.801142946</v>
      </c>
      <c r="G104" s="17">
        <f>'[1]资源-钻石'!P104</f>
        <v>23701878.06144619</v>
      </c>
      <c r="I104" s="4">
        <v>101</v>
      </c>
      <c r="J104" s="17">
        <f>'[1]资源-钻石'!T104</f>
        <v>599849.57570049353</v>
      </c>
      <c r="K104" s="17">
        <f>'[1]资源-钻石'!U104</f>
        <v>832034.53327054298</v>
      </c>
      <c r="L104" s="17">
        <f>'[1]资源-钻石'!V104</f>
        <v>1371567.9865975974</v>
      </c>
      <c r="M104" s="17">
        <f>'[1]资源-钻石'!W104</f>
        <v>3560774.7852573567</v>
      </c>
      <c r="N104" s="17">
        <f>'[1]资源-钻石'!X104</f>
        <v>8411989.7637830917</v>
      </c>
    </row>
    <row r="105" spans="2:14" x14ac:dyDescent="0.15">
      <c r="B105" s="4">
        <v>102</v>
      </c>
      <c r="C105" s="17">
        <f>'[1]资源-钻石'!L105</f>
        <v>4400998.041421948</v>
      </c>
      <c r="D105" s="17">
        <f>'[1]资源-钻石'!M105</f>
        <v>5916659.2362165749</v>
      </c>
      <c r="E105" s="17">
        <f>'[1]资源-钻石'!N105</f>
        <v>8956065.887940675</v>
      </c>
      <c r="F105" s="17">
        <f>'[1]资源-钻石'!O105</f>
        <v>18828637.327303059</v>
      </c>
      <c r="G105" s="17">
        <f>'[1]资源-钻石'!P105</f>
        <v>25296726.162904508</v>
      </c>
      <c r="I105" s="4">
        <v>102</v>
      </c>
      <c r="J105" s="17">
        <f>'[1]资源-钻石'!T105</f>
        <v>604182.93348427385</v>
      </c>
      <c r="K105" s="17">
        <f>'[1]资源-钻石'!U105</f>
        <v>838481.22683270136</v>
      </c>
      <c r="L105" s="17">
        <f>'[1]资源-钻石'!V105</f>
        <v>1383111.3495159715</v>
      </c>
      <c r="M105" s="17">
        <f>'[1]资源-钻石'!W105</f>
        <v>3593492.4844675683</v>
      </c>
      <c r="N105" s="17">
        <f>'[1]资源-钻石'!X105</f>
        <v>8491834.2329143248</v>
      </c>
    </row>
    <row r="106" spans="2:14" x14ac:dyDescent="0.15">
      <c r="B106" s="4">
        <v>103</v>
      </c>
      <c r="C106" s="17">
        <f>'[1]资源-钻石'!L106</f>
        <v>4676633.0757755302</v>
      </c>
      <c r="D106" s="17">
        <f>'[1]资源-钻石'!M106</f>
        <v>6281002.5483988523</v>
      </c>
      <c r="E106" s="17">
        <f>'[1]资源-钻石'!N106</f>
        <v>9522610.3094585855</v>
      </c>
      <c r="F106" s="17">
        <f>'[1]资源-钻石'!O106</f>
        <v>20127010.104631633</v>
      </c>
      <c r="G106" s="17">
        <f>'[1]资源-钻石'!P106</f>
        <v>27060543.590263713</v>
      </c>
      <c r="I106" s="4">
        <v>103</v>
      </c>
      <c r="J106" s="17">
        <f>'[1]资源-钻石'!T106</f>
        <v>608516.29126805416</v>
      </c>
      <c r="K106" s="17">
        <f>'[1]资源-钻石'!U106</f>
        <v>844927.92039485974</v>
      </c>
      <c r="L106" s="17">
        <f>'[1]资源-钻石'!V106</f>
        <v>1394654.7124343459</v>
      </c>
      <c r="M106" s="17">
        <f>'[1]资源-钻石'!W106</f>
        <v>3626210.18367778</v>
      </c>
      <c r="N106" s="17">
        <f>'[1]资源-钻石'!X106</f>
        <v>8571678.702045558</v>
      </c>
    </row>
    <row r="107" spans="2:14" x14ac:dyDescent="0.15">
      <c r="B107" s="4">
        <v>104</v>
      </c>
      <c r="C107" s="17">
        <f>'[1]资源-钻石'!L107</f>
        <v>4972051.3909409763</v>
      </c>
      <c r="D107" s="17">
        <f>'[1]资源-钻石'!M107</f>
        <v>6688855.2349086739</v>
      </c>
      <c r="E107" s="17">
        <f>'[1]资源-钻石'!N107</f>
        <v>10177692.110752419</v>
      </c>
      <c r="F107" s="17">
        <f>'[1]资源-钻石'!O107</f>
        <v>21585808.912013665</v>
      </c>
      <c r="G107" s="17">
        <f>'[1]资源-钻石'!P107</f>
        <v>29013419.360997062</v>
      </c>
      <c r="I107" s="4">
        <v>104</v>
      </c>
      <c r="J107" s="17">
        <f>'[1]资源-钻石'!T107</f>
        <v>612849.64905183448</v>
      </c>
      <c r="K107" s="17">
        <f>'[1]资源-钻石'!U107</f>
        <v>851374.61395701801</v>
      </c>
      <c r="L107" s="17">
        <f>'[1]资源-钻石'!V107</f>
        <v>1406198.07535272</v>
      </c>
      <c r="M107" s="17">
        <f>'[1]资源-钻石'!W107</f>
        <v>3658927.8828879916</v>
      </c>
      <c r="N107" s="17">
        <f>'[1]资源-钻石'!X107</f>
        <v>8651523.1711767912</v>
      </c>
    </row>
    <row r="108" spans="2:14" x14ac:dyDescent="0.15">
      <c r="B108" s="4">
        <v>105</v>
      </c>
      <c r="C108" s="17">
        <f>'[1]资源-钻石'!L108</f>
        <v>5287316.0016192785</v>
      </c>
      <c r="D108" s="17">
        <f>'[1]资源-钻石'!M108</f>
        <v>7132186.0006032009</v>
      </c>
      <c r="E108" s="17">
        <f>'[1]资源-钻石'!N108</f>
        <v>10872383.201795192</v>
      </c>
      <c r="F108" s="17">
        <f>'[1]资源-钻石'!O108</f>
        <v>23120930.445503563</v>
      </c>
      <c r="G108" s="17">
        <f>'[1]资源-钻石'!P108</f>
        <v>31050589.295172971</v>
      </c>
      <c r="I108" s="4">
        <v>105</v>
      </c>
      <c r="J108" s="17">
        <f>'[1]资源-钻石'!T108</f>
        <v>617183.0068356148</v>
      </c>
      <c r="K108" s="17">
        <f>'[1]资源-钻石'!U108</f>
        <v>857821.30751917639</v>
      </c>
      <c r="L108" s="17">
        <f>'[1]资源-钻石'!V108</f>
        <v>1417741.4382710941</v>
      </c>
      <c r="M108" s="17">
        <f>'[1]资源-钻石'!W108</f>
        <v>3691645.5820982032</v>
      </c>
      <c r="N108" s="17">
        <f>'[1]资源-钻石'!X108</f>
        <v>8731367.6403080244</v>
      </c>
    </row>
    <row r="109" spans="2:14" x14ac:dyDescent="0.15">
      <c r="B109" s="4">
        <v>106</v>
      </c>
      <c r="C109" s="17">
        <f>'[1]资源-钻石'!L109</f>
        <v>5606950.2951373328</v>
      </c>
      <c r="D109" s="17">
        <f>'[1]资源-钻石'!M109</f>
        <v>7604613.8868121523</v>
      </c>
      <c r="E109" s="17">
        <f>'[1]资源-钻石'!N109</f>
        <v>11605174.657679331</v>
      </c>
      <c r="F109" s="17">
        <f>'[1]资源-钻石'!O109</f>
        <v>24712641.577476706</v>
      </c>
      <c r="G109" s="17">
        <f>'[1]资源-钻石'!P109</f>
        <v>33111940.714318942</v>
      </c>
      <c r="I109" s="4">
        <v>106</v>
      </c>
      <c r="J109" s="17">
        <f>'[1]资源-钻石'!T109</f>
        <v>621516.36461939523</v>
      </c>
      <c r="K109" s="17">
        <f>'[1]资源-钻石'!U109</f>
        <v>864268.00108133478</v>
      </c>
      <c r="L109" s="17">
        <f>'[1]资源-钻石'!V109</f>
        <v>1429284.8011894682</v>
      </c>
      <c r="M109" s="17">
        <f>'[1]资源-钻石'!W109</f>
        <v>3724363.2813084149</v>
      </c>
      <c r="N109" s="17">
        <f>'[1]资源-钻石'!X109</f>
        <v>8811212.1094392557</v>
      </c>
    </row>
    <row r="110" spans="2:14" x14ac:dyDescent="0.15">
      <c r="B110" s="4">
        <v>107</v>
      </c>
      <c r="C110" s="17">
        <f>'[1]资源-钻石'!L110</f>
        <v>5949525.8486465234</v>
      </c>
      <c r="D110" s="17">
        <f>'[1]资源-钻石'!M110</f>
        <v>8102538.543933766</v>
      </c>
      <c r="E110" s="17">
        <f>'[1]资源-钻石'!N110</f>
        <v>12394083.626977185</v>
      </c>
      <c r="F110" s="17">
        <f>'[1]资源-钻石'!O110</f>
        <v>26331833.469624061</v>
      </c>
      <c r="G110" s="17">
        <f>'[1]资源-钻石'!P110</f>
        <v>35286312.889212817</v>
      </c>
      <c r="I110" s="4">
        <v>107</v>
      </c>
      <c r="J110" s="17">
        <f>'[1]资源-钻石'!T110</f>
        <v>625849.72240317555</v>
      </c>
      <c r="K110" s="17">
        <f>'[1]资源-钻石'!U110</f>
        <v>870714.69464349304</v>
      </c>
      <c r="L110" s="17">
        <f>'[1]资源-钻石'!V110</f>
        <v>1440828.1641078424</v>
      </c>
      <c r="M110" s="17">
        <f>'[1]资源-钻石'!W110</f>
        <v>3757080.9805186265</v>
      </c>
      <c r="N110" s="17">
        <f>'[1]资源-钻石'!X110</f>
        <v>8891056.5785704888</v>
      </c>
    </row>
    <row r="111" spans="2:14" x14ac:dyDescent="0.15">
      <c r="B111" s="4">
        <v>108</v>
      </c>
      <c r="C111" s="17">
        <f>'[1]资源-钻石'!L111</f>
        <v>6316689.235811362</v>
      </c>
      <c r="D111" s="17">
        <f>'[1]资源-钻石'!M111</f>
        <v>8622841.4403145257</v>
      </c>
      <c r="E111" s="17">
        <f>'[1]资源-钻石'!N111</f>
        <v>13177881.008156372</v>
      </c>
      <c r="F111" s="17">
        <f>'[1]资源-钻石'!O111</f>
        <v>28071289.739956029</v>
      </c>
      <c r="G111" s="17">
        <f>'[1]资源-钻石'!P111</f>
        <v>37717621.249749318</v>
      </c>
      <c r="I111" s="4">
        <v>108</v>
      </c>
      <c r="J111" s="17">
        <f>'[1]资源-钻石'!T111</f>
        <v>630183.08018695586</v>
      </c>
      <c r="K111" s="17">
        <f>'[1]资源-钻石'!U111</f>
        <v>877161.38820565143</v>
      </c>
      <c r="L111" s="17">
        <f>'[1]资源-钻石'!V111</f>
        <v>1452371.5270262167</v>
      </c>
      <c r="M111" s="17">
        <f>'[1]资源-钻石'!W111</f>
        <v>3789798.6797288381</v>
      </c>
      <c r="N111" s="17">
        <f>'[1]资源-钻石'!X111</f>
        <v>8970901.047701722</v>
      </c>
    </row>
    <row r="112" spans="2:14" x14ac:dyDescent="0.15">
      <c r="B112" s="1">
        <v>109</v>
      </c>
      <c r="C112" s="17">
        <f>'[1]资源-钻石'!L112</f>
        <v>6710205.2105895681</v>
      </c>
      <c r="D112" s="17">
        <f>'[1]资源-钻石'!M112</f>
        <v>9148705.5819281265</v>
      </c>
      <c r="E112" s="17">
        <f>'[1]资源-钻石'!N112</f>
        <v>14033442.609875198</v>
      </c>
      <c r="F112" s="17">
        <f>'[1]资源-钻石'!O112</f>
        <v>29952688.924554098</v>
      </c>
      <c r="G112" s="17">
        <f>'[1]资源-钻石'!P112</f>
        <v>40349455.46125254</v>
      </c>
      <c r="I112" s="1">
        <v>109</v>
      </c>
      <c r="J112" s="17">
        <f>'[1]资源-钻石'!T112</f>
        <v>634516.43797073618</v>
      </c>
      <c r="K112" s="17">
        <f>'[1]资源-钻石'!U112</f>
        <v>883608.08176780981</v>
      </c>
      <c r="L112" s="17">
        <f>'[1]资源-钻石'!V112</f>
        <v>1463914.8899445909</v>
      </c>
      <c r="M112" s="17">
        <f>'[1]资源-钻石'!W112</f>
        <v>3822516.3789390498</v>
      </c>
      <c r="N112" s="17">
        <f>'[1]资源-钻石'!X112</f>
        <v>9050745.5168329552</v>
      </c>
    </row>
    <row r="113" spans="2:14" x14ac:dyDescent="0.15">
      <c r="B113" s="1">
        <v>110</v>
      </c>
      <c r="C113" s="17">
        <f>'[1]资源-钻石'!L113</f>
        <v>7131965.1894409508</v>
      </c>
      <c r="D113" s="17">
        <f>'[1]资源-钻石'!M113</f>
        <v>9739385.1666944623</v>
      </c>
      <c r="E113" s="17">
        <f>'[1]资源-钻石'!N113</f>
        <v>15014601.77485897</v>
      </c>
      <c r="F113" s="17">
        <f>'[1]资源-钻石'!O113</f>
        <v>32130101.013103947</v>
      </c>
      <c r="G113" s="17">
        <f>'[1]资源-钻石'!P113</f>
        <v>43296865.536363885</v>
      </c>
      <c r="I113" s="1">
        <v>110</v>
      </c>
      <c r="J113" s="17">
        <f>'[1]资源-钻石'!T113</f>
        <v>638849.7957545165</v>
      </c>
      <c r="K113" s="17">
        <f>'[1]资源-钻石'!U113</f>
        <v>890054.77532996819</v>
      </c>
      <c r="L113" s="17">
        <f>'[1]资源-钻石'!V113</f>
        <v>1475458.252862965</v>
      </c>
      <c r="M113" s="17">
        <f>'[1]资源-钻石'!W113</f>
        <v>3855234.0781492614</v>
      </c>
      <c r="N113" s="17">
        <f>'[1]资源-钻石'!X113</f>
        <v>9130589.9859641884</v>
      </c>
    </row>
    <row r="114" spans="2:14" x14ac:dyDescent="0.15">
      <c r="B114" s="1">
        <v>111</v>
      </c>
      <c r="C114" s="17">
        <f>'[1]资源-钻石'!L114</f>
        <v>7583996.3423337257</v>
      </c>
      <c r="D114" s="17">
        <f>'[1]资源-钻石'!M114</f>
        <v>10385788.975014254</v>
      </c>
      <c r="E114" s="17">
        <f>'[1]资源-钻石'!N114</f>
        <v>16058461.400235761</v>
      </c>
      <c r="F114" s="17">
        <f>'[1]资源-钻石'!O114</f>
        <v>34483509.107027754</v>
      </c>
      <c r="G114" s="17">
        <f>'[1]资源-钻石'!P114</f>
        <v>46531809.109250382</v>
      </c>
      <c r="I114" s="4">
        <v>111</v>
      </c>
      <c r="J114" s="17">
        <f>'[1]资源-钻石'!T114</f>
        <v>643183.15353829681</v>
      </c>
      <c r="K114" s="17">
        <f>'[1]资源-钻石'!U114</f>
        <v>896501.46889212646</v>
      </c>
      <c r="L114" s="17">
        <f>'[1]资源-钻石'!V114</f>
        <v>1487001.6157813391</v>
      </c>
      <c r="M114" s="17">
        <f>'[1]资源-钻石'!W114</f>
        <v>3887951.7773594731</v>
      </c>
      <c r="N114" s="17">
        <f>'[1]资源-钻石'!X114</f>
        <v>9210434.4550954197</v>
      </c>
    </row>
    <row r="115" spans="2:14" x14ac:dyDescent="0.15">
      <c r="B115" s="1">
        <v>112</v>
      </c>
      <c r="C115" s="17">
        <f>'[1]资源-钻石'!L115</f>
        <v>8068471.336243894</v>
      </c>
      <c r="D115" s="17">
        <f>'[1]资源-钻石'!M115</f>
        <v>11072401.862657852</v>
      </c>
      <c r="E115" s="17">
        <f>'[1]资源-钻石'!N115</f>
        <v>17149937.536610078</v>
      </c>
      <c r="F115" s="17">
        <f>'[1]资源-钻石'!O115</f>
        <v>36946995.110363379</v>
      </c>
      <c r="G115" s="17">
        <f>'[1]资源-钻石'!P115</f>
        <v>49678321.037087649</v>
      </c>
      <c r="I115" s="4">
        <v>112</v>
      </c>
      <c r="J115" s="17">
        <f>'[1]资源-钻石'!T115</f>
        <v>647516.51132207713</v>
      </c>
      <c r="K115" s="17">
        <f>'[1]资源-钻石'!U115</f>
        <v>902948.16245428484</v>
      </c>
      <c r="L115" s="17">
        <f>'[1]资源-钻石'!V115</f>
        <v>1498544.9786997135</v>
      </c>
      <c r="M115" s="17">
        <f>'[1]资源-钻石'!W115</f>
        <v>3920669.4765696847</v>
      </c>
      <c r="N115" s="17">
        <f>'[1]资源-钻石'!X115</f>
        <v>9290278.9242266528</v>
      </c>
    </row>
    <row r="116" spans="2:14" x14ac:dyDescent="0.15">
      <c r="B116" s="1">
        <v>113</v>
      </c>
      <c r="C116" s="17">
        <f>'[1]资源-钻石'!L116</f>
        <v>8587718.777979251</v>
      </c>
      <c r="D116" s="17">
        <f>'[1]资源-钻石'!M116</f>
        <v>11806256.452359673</v>
      </c>
      <c r="E116" s="17">
        <f>'[1]资源-钻石'!N116</f>
        <v>18325650.428964917</v>
      </c>
      <c r="F116" s="17">
        <f>'[1]资源-钻石'!O116</f>
        <v>39464263.135467231</v>
      </c>
      <c r="G116" s="17">
        <f>'[1]资源-钻石'!P116</f>
        <v>53020207.757090084</v>
      </c>
      <c r="I116" s="4">
        <v>113</v>
      </c>
      <c r="J116" s="17">
        <f>'[1]资源-钻石'!T116</f>
        <v>651849.86910585745</v>
      </c>
      <c r="K116" s="17">
        <f>'[1]资源-钻石'!U116</f>
        <v>909394.85601644323</v>
      </c>
      <c r="L116" s="17">
        <f>'[1]资源-钻石'!V116</f>
        <v>1510088.3416180876</v>
      </c>
      <c r="M116" s="17">
        <f>'[1]资源-钻石'!W116</f>
        <v>3953387.1757798963</v>
      </c>
      <c r="N116" s="17">
        <f>'[1]资源-钻石'!X116</f>
        <v>9370123.393357886</v>
      </c>
    </row>
    <row r="117" spans="2:14" x14ac:dyDescent="0.15">
      <c r="B117" s="1">
        <v>114</v>
      </c>
      <c r="C117" s="17">
        <f>'[1]资源-钻石'!L117</f>
        <v>9144234.4065210596</v>
      </c>
      <c r="D117" s="17">
        <f>'[1]资源-钻石'!M117</f>
        <v>12590413.70717838</v>
      </c>
      <c r="E117" s="17">
        <f>'[1]资源-钻石'!N117</f>
        <v>19524756.662145667</v>
      </c>
      <c r="F117" s="17">
        <f>'[1]资源-钻石'!O117</f>
        <v>42080452.23287075</v>
      </c>
      <c r="G117" s="17">
        <f>'[1]资源-钻石'!P117</f>
        <v>56589134.153164648</v>
      </c>
      <c r="I117" s="4">
        <v>114</v>
      </c>
      <c r="J117" s="17">
        <f>'[1]资源-钻石'!T117</f>
        <v>656183.22688963776</v>
      </c>
      <c r="K117" s="17">
        <f>'[1]资源-钻石'!U117</f>
        <v>915841.54957860161</v>
      </c>
      <c r="L117" s="17">
        <f>'[1]资源-钻石'!V117</f>
        <v>1521631.7045364617</v>
      </c>
      <c r="M117" s="17">
        <f>'[1]资源-钻石'!W117</f>
        <v>3986104.874990108</v>
      </c>
      <c r="N117" s="17">
        <f>'[1]资源-钻石'!X117</f>
        <v>9449967.8624891192</v>
      </c>
    </row>
    <row r="118" spans="2:14" x14ac:dyDescent="0.15">
      <c r="B118" s="1">
        <v>115</v>
      </c>
      <c r="C118" s="17">
        <f>'[1]资源-钻石'!L118</f>
        <v>9738538.8935887981</v>
      </c>
      <c r="D118" s="17">
        <f>'[1]资源-钻石'!M118</f>
        <v>13392937.873347066</v>
      </c>
      <c r="E118" s="17">
        <f>'[1]资源-钻石'!N118</f>
        <v>20763295.067592066</v>
      </c>
      <c r="F118" s="17">
        <f>'[1]资源-钻石'!O118</f>
        <v>44827571.908513241</v>
      </c>
      <c r="G118" s="17">
        <f>'[1]资源-钻石'!P118</f>
        <v>60339547.251220301</v>
      </c>
      <c r="I118" s="1">
        <v>115</v>
      </c>
      <c r="J118" s="17">
        <f>'[1]资源-钻石'!T118</f>
        <v>660516.58467341808</v>
      </c>
      <c r="K118" s="17">
        <f>'[1]资源-钻石'!U118</f>
        <v>922288.24314075988</v>
      </c>
      <c r="L118" s="17">
        <f>'[1]资源-钻石'!V118</f>
        <v>1533175.0674548359</v>
      </c>
      <c r="M118" s="17">
        <f>'[1]资源-钻石'!W118</f>
        <v>4018822.5742003196</v>
      </c>
      <c r="N118" s="17">
        <f>'[1]资源-钻石'!X118</f>
        <v>9529812.3316203505</v>
      </c>
    </row>
    <row r="119" spans="2:14" x14ac:dyDescent="0.15">
      <c r="B119" s="1">
        <v>116</v>
      </c>
      <c r="C119" s="17">
        <f>'[1]资源-钻石'!L119</f>
        <v>10348556.771582669</v>
      </c>
      <c r="D119" s="17">
        <f>'[1]资源-钻石'!M119</f>
        <v>14272530.10812116</v>
      </c>
      <c r="E119" s="17">
        <f>'[1]资源-钻石'!N119</f>
        <v>22155790.886767384</v>
      </c>
      <c r="F119" s="17">
        <f>'[1]资源-钻石'!O119</f>
        <v>48001018.167546235</v>
      </c>
      <c r="G119" s="17">
        <f>'[1]资源-钻石'!P119</f>
        <v>64604626.828710958</v>
      </c>
      <c r="I119" s="1">
        <v>116</v>
      </c>
      <c r="J119" s="17">
        <f>'[1]资源-钻石'!T119</f>
        <v>664849.9424571984</v>
      </c>
      <c r="K119" s="17">
        <f>'[1]资源-钻石'!U119</f>
        <v>928734.93670291826</v>
      </c>
      <c r="L119" s="17">
        <f>'[1]资源-钻石'!V119</f>
        <v>1544718.4303732102</v>
      </c>
      <c r="M119" s="17">
        <f>'[1]资源-钻石'!W119</f>
        <v>4051540.2734105312</v>
      </c>
      <c r="N119" s="17">
        <f>'[1]资源-钻石'!X119</f>
        <v>9609656.8007515837</v>
      </c>
    </row>
    <row r="120" spans="2:14" x14ac:dyDescent="0.15">
      <c r="B120" s="1">
        <v>117</v>
      </c>
      <c r="C120" s="17">
        <f>'[1]资源-钻石'!L120</f>
        <v>11002357.744889198</v>
      </c>
      <c r="D120" s="17">
        <f>'[1]资源-钻石'!M120</f>
        <v>15234331.670130363</v>
      </c>
      <c r="E120" s="17">
        <f>'[1]资源-钻石'!N120</f>
        <v>23696438.812443428</v>
      </c>
      <c r="F120" s="17">
        <f>'[1]资源-钻石'!O120</f>
        <v>51385088.939006463</v>
      </c>
      <c r="G120" s="17">
        <f>'[1]资源-钻石'!P120</f>
        <v>69279969.311791047</v>
      </c>
      <c r="I120" s="4">
        <v>117</v>
      </c>
      <c r="J120" s="17">
        <f>'[1]资源-钻石'!T120</f>
        <v>669183.30024097872</v>
      </c>
      <c r="K120" s="17">
        <f>'[1]资源-钻石'!U120</f>
        <v>935181.63026507664</v>
      </c>
      <c r="L120" s="17">
        <f>'[1]资源-钻石'!V120</f>
        <v>1556261.7932915844</v>
      </c>
      <c r="M120" s="17">
        <f>'[1]资源-钻石'!W120</f>
        <v>4084257.9726207429</v>
      </c>
      <c r="N120" s="17">
        <f>'[1]资源-钻石'!X120</f>
        <v>9689501.2698828168</v>
      </c>
    </row>
    <row r="121" spans="2:14" x14ac:dyDescent="0.15">
      <c r="B121" s="1">
        <v>118</v>
      </c>
      <c r="C121" s="17">
        <f>'[1]资源-钻石'!L121</f>
        <v>11703084.277859572</v>
      </c>
      <c r="D121" s="17">
        <f>'[1]资源-钻石'!M121</f>
        <v>16242125.346185649</v>
      </c>
      <c r="E121" s="17">
        <f>'[1]资源-钻石'!N121</f>
        <v>25335050.866138194</v>
      </c>
      <c r="F121" s="17">
        <f>'[1]资源-钻石'!O121</f>
        <v>55090992.359062366</v>
      </c>
      <c r="G121" s="17">
        <f>'[1]资源-钻石'!P121</f>
        <v>74214641.27308093</v>
      </c>
      <c r="I121" s="4">
        <v>118</v>
      </c>
      <c r="J121" s="17">
        <f>'[1]资源-钻石'!T121</f>
        <v>673516.65802475903</v>
      </c>
      <c r="K121" s="17">
        <f>'[1]资源-钻石'!U121</f>
        <v>941628.32382723503</v>
      </c>
      <c r="L121" s="17">
        <f>'[1]资源-钻石'!V121</f>
        <v>1567805.1562099585</v>
      </c>
      <c r="M121" s="17">
        <f>'[1]资源-钻石'!W121</f>
        <v>4116975.6718309545</v>
      </c>
      <c r="N121" s="17">
        <f>'[1]资源-钻石'!X121</f>
        <v>9769345.73901405</v>
      </c>
    </row>
    <row r="122" spans="2:14" x14ac:dyDescent="0.15">
      <c r="B122" s="1">
        <v>119</v>
      </c>
      <c r="C122" s="17">
        <f>'[1]资源-钻石'!L122</f>
        <v>12454104.380392246</v>
      </c>
      <c r="D122" s="17">
        <f>'[1]资源-钻石'!M122</f>
        <v>17321171.056574348</v>
      </c>
      <c r="E122" s="17">
        <f>'[1]资源-钻石'!N122</f>
        <v>27122671.211559452</v>
      </c>
      <c r="F122" s="17">
        <f>'[1]资源-钻石'!O122</f>
        <v>58998869.738176376</v>
      </c>
      <c r="G122" s="17">
        <f>'[1]资源-钻石'!P122</f>
        <v>79236319.238532424</v>
      </c>
      <c r="I122" s="4">
        <v>119</v>
      </c>
      <c r="J122" s="17">
        <f>'[1]资源-钻石'!T122</f>
        <v>677850.01580853935</v>
      </c>
      <c r="K122" s="17">
        <f>'[1]资源-钻石'!U122</f>
        <v>948075.0173893933</v>
      </c>
      <c r="L122" s="17">
        <f>'[1]资源-钻石'!V122</f>
        <v>1579348.5191283328</v>
      </c>
      <c r="M122" s="17">
        <f>'[1]资源-钻石'!W122</f>
        <v>4149693.3710411661</v>
      </c>
      <c r="N122" s="17">
        <f>'[1]资源-钻石'!X122</f>
        <v>9849190.2081452813</v>
      </c>
    </row>
    <row r="123" spans="2:14" x14ac:dyDescent="0.15">
      <c r="B123" s="1">
        <v>120</v>
      </c>
      <c r="C123" s="17">
        <f>'[1]资源-钻石'!L123</f>
        <v>13259027.79611806</v>
      </c>
      <c r="D123" s="17">
        <f>'[1]资源-钻石'!M123</f>
        <v>18478471.56588478</v>
      </c>
      <c r="E123" s="17">
        <f>'[1]资源-钻石'!N123</f>
        <v>29000583.64980448</v>
      </c>
      <c r="F123" s="17">
        <f>'[1]资源-钻石'!O123</f>
        <v>62884692.577243991</v>
      </c>
      <c r="G123" s="17">
        <f>'[1]资源-钻石'!P123</f>
        <v>84537126.952919662</v>
      </c>
      <c r="I123" s="4">
        <v>120</v>
      </c>
      <c r="J123" s="17">
        <f>'[1]资源-钻石'!T123</f>
        <v>682183.37359231967</v>
      </c>
      <c r="K123" s="17">
        <f>'[1]资源-钻石'!U123</f>
        <v>954521.71095155168</v>
      </c>
      <c r="L123" s="17">
        <f>'[1]资源-钻石'!V123</f>
        <v>1590891.882046707</v>
      </c>
      <c r="M123" s="17">
        <f>'[1]资源-钻石'!W123</f>
        <v>4182411.0702513778</v>
      </c>
      <c r="N123" s="17">
        <f>'[1]资源-钻石'!X123</f>
        <v>9929034.6772765145</v>
      </c>
    </row>
    <row r="124" spans="2:14" x14ac:dyDescent="0.15">
      <c r="B124" s="1">
        <v>121</v>
      </c>
      <c r="C124" s="17">
        <f>'[1]资源-钻石'!L124</f>
        <v>14121723.352467058</v>
      </c>
      <c r="D124" s="17">
        <f>'[1]资源-钻石'!M124</f>
        <v>19683081.933774956</v>
      </c>
      <c r="E124" s="17">
        <f>'[1]资源-钻石'!N124</f>
        <v>30856010.285562344</v>
      </c>
      <c r="F124" s="17">
        <f>'[1]资源-钻石'!O124</f>
        <v>67030244.722490549</v>
      </c>
      <c r="G124" s="17">
        <f>'[1]资源-钻石'!P124</f>
        <v>90435872.296623737</v>
      </c>
      <c r="I124" s="1">
        <v>121</v>
      </c>
      <c r="J124" s="17">
        <f>'[1]资源-钻石'!T124</f>
        <v>686516.73137609998</v>
      </c>
      <c r="K124" s="17">
        <f>'[1]资源-钻石'!U124</f>
        <v>960968.40451371006</v>
      </c>
      <c r="L124" s="17">
        <f>'[1]资源-钻石'!V124</f>
        <v>1602435.2449650811</v>
      </c>
      <c r="M124" s="17">
        <f>'[1]资源-钻石'!W124</f>
        <v>4215128.7694615889</v>
      </c>
      <c r="N124" s="17">
        <f>'[1]资源-钻石'!X124</f>
        <v>10008879.146407748</v>
      </c>
    </row>
    <row r="125" spans="2:14" x14ac:dyDescent="0.15">
      <c r="B125" s="1">
        <v>122</v>
      </c>
      <c r="C125" s="17">
        <f>'[1]资源-钻石'!L125</f>
        <v>15046337.556009885</v>
      </c>
      <c r="D125" s="17">
        <f>'[1]资源-钻石'!M125</f>
        <v>20949362.593348604</v>
      </c>
      <c r="E125" s="17">
        <f>'[1]资源-钻石'!N125</f>
        <v>32874526.018650733</v>
      </c>
      <c r="F125" s="17">
        <f>'[1]资源-钻石'!O125</f>
        <v>71657232.737099364</v>
      </c>
      <c r="G125" s="17">
        <f>'[1]资源-钻石'!P125</f>
        <v>96750589.883929878</v>
      </c>
      <c r="I125" s="1">
        <v>122</v>
      </c>
      <c r="J125" s="17">
        <f>'[1]资源-钻石'!T125</f>
        <v>690850.0891598803</v>
      </c>
      <c r="K125" s="17">
        <f>'[1]资源-钻石'!U125</f>
        <v>967415.09807586845</v>
      </c>
      <c r="L125" s="17">
        <f>'[1]资源-钻石'!V125</f>
        <v>1613978.6078834552</v>
      </c>
      <c r="M125" s="17">
        <f>'[1]资源-钻石'!W125</f>
        <v>4247846.4686718006</v>
      </c>
      <c r="N125" s="17">
        <f>'[1]资源-钻石'!X125</f>
        <v>10088723.615538979</v>
      </c>
    </row>
    <row r="126" spans="2:14" x14ac:dyDescent="0.15">
      <c r="B126" s="1">
        <v>123</v>
      </c>
      <c r="C126" s="17">
        <f>'[1]资源-钻石'!L126</f>
        <v>16037314.522451241</v>
      </c>
      <c r="D126" s="17">
        <f>'[1]资源-钻石'!M126</f>
        <v>22355011.230257772</v>
      </c>
      <c r="E126" s="17">
        <f>'[1]资源-钻石'!N126</f>
        <v>35200457.267034888</v>
      </c>
      <c r="F126" s="17">
        <f>'[1]资源-钻石'!O126</f>
        <v>76984604.932975695</v>
      </c>
      <c r="G126" s="17">
        <f>'[1]资源-钻石'!P126</f>
        <v>103984208.36576307</v>
      </c>
      <c r="I126" s="4">
        <v>123</v>
      </c>
      <c r="J126" s="17">
        <f>'[1]资源-钻石'!T126</f>
        <v>695183.44694366062</v>
      </c>
      <c r="K126" s="17">
        <f>'[1]资源-钻石'!U126</f>
        <v>973861.79163802683</v>
      </c>
      <c r="L126" s="17">
        <f>'[1]资源-钻石'!V126</f>
        <v>1625521.9708018296</v>
      </c>
      <c r="M126" s="17">
        <f>'[1]资源-钻石'!W126</f>
        <v>4280564.1678820122</v>
      </c>
      <c r="N126" s="17">
        <f>'[1]资源-钻石'!X126</f>
        <v>10168568.084670212</v>
      </c>
    </row>
    <row r="127" spans="2:14" x14ac:dyDescent="0.15">
      <c r="B127" s="1">
        <v>124</v>
      </c>
      <c r="C127" s="17">
        <f>'[1]资源-钻石'!L127</f>
        <v>17099417.337067779</v>
      </c>
      <c r="D127" s="17">
        <f>'[1]资源-钻石'!M127</f>
        <v>23903981.888942767</v>
      </c>
      <c r="E127" s="17">
        <f>'[1]资源-钻石'!N127</f>
        <v>37677385.53684704</v>
      </c>
      <c r="F127" s="17">
        <f>'[1]资源-钻石'!O127</f>
        <v>82612796.811235681</v>
      </c>
      <c r="G127" s="17">
        <f>'[1]资源-钻石'!P127</f>
        <v>111762512.95330533</v>
      </c>
      <c r="I127" s="4">
        <v>124</v>
      </c>
      <c r="J127" s="17">
        <f>'[1]资源-钻石'!T127</f>
        <v>699516.80472744093</v>
      </c>
      <c r="K127" s="17">
        <f>'[1]资源-钻石'!U127</f>
        <v>980308.4852001851</v>
      </c>
      <c r="L127" s="17">
        <f>'[1]资源-钻石'!V127</f>
        <v>1637065.3337202037</v>
      </c>
      <c r="M127" s="17">
        <f>'[1]资源-钻石'!W127</f>
        <v>4313281.8670922238</v>
      </c>
      <c r="N127" s="17">
        <f>'[1]资源-钻石'!X127</f>
        <v>10248412.553801445</v>
      </c>
    </row>
    <row r="128" spans="2:14" x14ac:dyDescent="0.15">
      <c r="B128" s="1">
        <v>125</v>
      </c>
      <c r="C128" s="17">
        <f>'[1]资源-钻石'!L128</f>
        <v>18234405.740156852</v>
      </c>
      <c r="D128" s="17">
        <f>'[1]资源-钻石'!M128</f>
        <v>25510324.363559552</v>
      </c>
      <c r="E128" s="17">
        <f>'[1]资源-钻石'!N128</f>
        <v>40324885.3231235</v>
      </c>
      <c r="F128" s="17">
        <f>'[1]资源-钻石'!O128</f>
        <v>88586276.3057383</v>
      </c>
      <c r="G128" s="17">
        <f>'[1]资源-钻石'!P128</f>
        <v>119109615.22291803</v>
      </c>
      <c r="I128" s="4">
        <v>125</v>
      </c>
      <c r="J128" s="17">
        <f>'[1]资源-钻石'!T128</f>
        <v>703850.16251122125</v>
      </c>
      <c r="K128" s="17">
        <f>'[1]资源-钻石'!U128</f>
        <v>986755.17876234348</v>
      </c>
      <c r="L128" s="17">
        <f>'[1]资源-钻石'!V128</f>
        <v>1648608.6966385779</v>
      </c>
      <c r="M128" s="17">
        <f>'[1]资源-钻石'!W128</f>
        <v>4345999.5663024355</v>
      </c>
      <c r="N128" s="17">
        <f>'[1]资源-钻石'!X128</f>
        <v>10328257.022932678</v>
      </c>
    </row>
    <row r="129" spans="2:14" x14ac:dyDescent="0.15">
      <c r="B129" s="1">
        <v>126</v>
      </c>
      <c r="C129" s="17">
        <f>'[1]资源-钻石'!L129</f>
        <v>19410455.212857489</v>
      </c>
      <c r="D129" s="17">
        <f>'[1]资源-钻石'!M129</f>
        <v>27279888.003524348</v>
      </c>
      <c r="E129" s="17">
        <f>'[1]资源-钻石'!N129</f>
        <v>43141633.030211702</v>
      </c>
      <c r="F129" s="17">
        <f>'[1]资源-钻石'!O129</f>
        <v>94472761.352526248</v>
      </c>
      <c r="G129" s="17">
        <f>'[1]资源-钻石'!P129</f>
        <v>126934667.54212233</v>
      </c>
      <c r="I129" s="4">
        <v>126</v>
      </c>
      <c r="J129" s="17">
        <f>'[1]资源-钻石'!T129</f>
        <v>708183.52029500157</v>
      </c>
      <c r="K129" s="17">
        <f>'[1]资源-钻石'!U129</f>
        <v>993201.87232450186</v>
      </c>
      <c r="L129" s="17">
        <f>'[1]资源-钻石'!V129</f>
        <v>1660152.059556952</v>
      </c>
      <c r="M129" s="17">
        <f>'[1]资源-钻石'!W129</f>
        <v>4378717.2655126471</v>
      </c>
      <c r="N129" s="17">
        <f>'[1]资源-钻石'!X129</f>
        <v>10408101.49206391</v>
      </c>
    </row>
    <row r="130" spans="2:14" x14ac:dyDescent="0.15">
      <c r="B130" s="1">
        <v>127</v>
      </c>
      <c r="C130" s="17">
        <f>'[1]资源-钻石'!L130</f>
        <v>20670913.828327835</v>
      </c>
      <c r="D130" s="17">
        <f>'[1]资源-钻石'!M130</f>
        <v>29139901.214220621</v>
      </c>
      <c r="E130" s="17">
        <f>'[1]资源-钻石'!N130</f>
        <v>45926811.416054659</v>
      </c>
      <c r="F130" s="17">
        <f>'[1]资源-钻石'!O130</f>
        <v>100537575.73712525</v>
      </c>
      <c r="G130" s="17">
        <f>'[1]资源-钻石'!P130</f>
        <v>135483737.92705396</v>
      </c>
      <c r="I130" s="1">
        <v>127</v>
      </c>
      <c r="J130" s="17">
        <f>'[1]资源-钻石'!T130</f>
        <v>712516.87807878188</v>
      </c>
      <c r="K130" s="17">
        <f>'[1]资源-钻石'!U130</f>
        <v>999648.56588666025</v>
      </c>
      <c r="L130" s="17">
        <f>'[1]资源-钻石'!V130</f>
        <v>1671695.4224753263</v>
      </c>
      <c r="M130" s="17">
        <f>'[1]资源-钻石'!W130</f>
        <v>4411434.9647228587</v>
      </c>
      <c r="N130" s="17">
        <f>'[1]资源-钻石'!X130</f>
        <v>10487945.961195143</v>
      </c>
    </row>
    <row r="131" spans="2:14" x14ac:dyDescent="0.15">
      <c r="B131" s="1">
        <v>128</v>
      </c>
      <c r="C131" s="17">
        <f>'[1]资源-钻石'!L131</f>
        <v>22021839.923014224</v>
      </c>
      <c r="D131" s="17">
        <f>'[1]资源-钻石'!M131</f>
        <v>30961306.966293775</v>
      </c>
      <c r="E131" s="17">
        <f>'[1]资源-钻石'!N131</f>
        <v>48855160.821308494</v>
      </c>
      <c r="F131" s="17">
        <f>'[1]资源-钻石'!O131</f>
        <v>107192958.85472654</v>
      </c>
      <c r="G131" s="17">
        <f>'[1]资源-钻石'!P131</f>
        <v>144779732.63812914</v>
      </c>
      <c r="I131" s="1">
        <v>128</v>
      </c>
      <c r="J131" s="17">
        <f>'[1]资源-钻石'!T131</f>
        <v>716850.2358625622</v>
      </c>
      <c r="K131" s="17">
        <f>'[1]资源-钻石'!U131</f>
        <v>1006095.2594488186</v>
      </c>
      <c r="L131" s="17">
        <f>'[1]资源-钻石'!V131</f>
        <v>1683238.7853937005</v>
      </c>
      <c r="M131" s="17">
        <f>'[1]资源-钻石'!W131</f>
        <v>4444152.6639330704</v>
      </c>
      <c r="N131" s="17">
        <f>'[1]资源-钻石'!X131</f>
        <v>10567790.430326376</v>
      </c>
    </row>
    <row r="132" spans="2:14" x14ac:dyDescent="0.15">
      <c r="B132" s="1">
        <v>129</v>
      </c>
      <c r="C132" s="17">
        <f>'[1]资源-钻石'!L132</f>
        <v>23469726.661146887</v>
      </c>
      <c r="D132" s="17">
        <f>'[1]资源-钻石'!M132</f>
        <v>33037427.43138627</v>
      </c>
      <c r="E132" s="17">
        <f>'[1]资源-钻石'!N132</f>
        <v>52336389.566204518</v>
      </c>
      <c r="F132" s="17">
        <f>'[1]资源-钻石'!O132</f>
        <v>115143355.61287996</v>
      </c>
      <c r="G132" s="17">
        <f>'[1]资源-钻石'!P132</f>
        <v>155434325.46311164</v>
      </c>
      <c r="I132" s="4">
        <v>129</v>
      </c>
      <c r="J132" s="17">
        <f>'[1]资源-钻石'!T132</f>
        <v>721183.59364634252</v>
      </c>
      <c r="K132" s="17">
        <f>'[1]资源-钻石'!U132</f>
        <v>1012541.9530109769</v>
      </c>
      <c r="L132" s="17">
        <f>'[1]资源-钻石'!V132</f>
        <v>1694782.1483120746</v>
      </c>
      <c r="M132" s="17">
        <f>'[1]资源-钻石'!W132</f>
        <v>4476870.363143282</v>
      </c>
      <c r="N132" s="17">
        <f>'[1]资源-钻石'!X132</f>
        <v>10647634.899457609</v>
      </c>
    </row>
    <row r="133" spans="2:14" x14ac:dyDescent="0.15">
      <c r="B133" s="1">
        <v>130</v>
      </c>
      <c r="C133" s="17">
        <f>'[1]资源-钻石'!L133</f>
        <v>25021533.243835688</v>
      </c>
      <c r="D133" s="17">
        <f>'[1]资源-钻石'!M133</f>
        <v>35301805.992381781</v>
      </c>
      <c r="E133" s="17">
        <f>'[1]资源-钻石'!N133</f>
        <v>56105698.360661089</v>
      </c>
      <c r="F133" s="17">
        <f>'[1]资源-钻石'!O133</f>
        <v>123615645.11346307</v>
      </c>
      <c r="G133" s="17">
        <f>'[1]资源-钻石'!P133</f>
        <v>167070988.97448242</v>
      </c>
      <c r="I133" s="4">
        <v>130</v>
      </c>
      <c r="J133" s="17">
        <f>'[1]资源-钻石'!T133</f>
        <v>725516.95143012283</v>
      </c>
      <c r="K133" s="17">
        <f>'[1]资源-钻石'!U133</f>
        <v>1018988.6465731353</v>
      </c>
      <c r="L133" s="17">
        <f>'[1]资源-钻石'!V133</f>
        <v>1706325.5112304487</v>
      </c>
      <c r="M133" s="17">
        <f>'[1]资源-钻石'!W133</f>
        <v>4509588.0623534936</v>
      </c>
      <c r="N133" s="17">
        <f>'[1]资源-钻石'!X133</f>
        <v>10727479.368588842</v>
      </c>
    </row>
    <row r="134" spans="2:14" x14ac:dyDescent="0.15">
      <c r="B134" s="1">
        <v>131</v>
      </c>
      <c r="C134" s="17">
        <f>'[1]资源-钻石'!L134</f>
        <v>26684718.358150683</v>
      </c>
      <c r="D134" s="17">
        <f>'[1]资源-钻石'!M134</f>
        <v>37706285.458295979</v>
      </c>
      <c r="E134" s="17">
        <f>'[1]资源-钻石'!N134</f>
        <v>60052703.082792744</v>
      </c>
      <c r="F134" s="17">
        <f>'[1]资源-钻石'!O134</f>
        <v>132665431.5110721</v>
      </c>
      <c r="G134" s="17">
        <f>'[1]资源-钻石'!P134</f>
        <v>178830879.03489286</v>
      </c>
      <c r="I134" s="4">
        <v>131</v>
      </c>
      <c r="J134" s="17">
        <f>'[1]资源-钻石'!T134</f>
        <v>729850.30921390315</v>
      </c>
      <c r="K134" s="17">
        <f>'[1]资源-钻石'!U134</f>
        <v>1025435.3401352937</v>
      </c>
      <c r="L134" s="17">
        <f>'[1]资源-钻石'!V134</f>
        <v>1717868.8741488231</v>
      </c>
      <c r="M134" s="17">
        <f>'[1]资源-钻石'!W134</f>
        <v>4542305.7615637053</v>
      </c>
      <c r="N134" s="17">
        <f>'[1]资源-钻石'!X134</f>
        <v>10807323.837720074</v>
      </c>
    </row>
    <row r="135" spans="2:14" x14ac:dyDescent="0.15">
      <c r="B135" s="1">
        <v>132</v>
      </c>
      <c r="C135" s="17">
        <f>'[1]资源-钻石'!L135</f>
        <v>28467276.026958864</v>
      </c>
      <c r="D135" s="17">
        <f>'[1]资源-钻石'!M135</f>
        <v>40293567.583107665</v>
      </c>
      <c r="E135" s="17">
        <f>'[1]资源-钻石'!N135</f>
        <v>64339102.531990744</v>
      </c>
      <c r="F135" s="17">
        <f>'[1]资源-钻石'!O135</f>
        <v>141921621.10182008</v>
      </c>
      <c r="G135" s="17">
        <f>'[1]资源-钻石'!P135</f>
        <v>190984623.84193194</v>
      </c>
      <c r="I135" s="4">
        <v>132</v>
      </c>
      <c r="J135" s="17">
        <f>'[1]资源-钻石'!T135</f>
        <v>734183.66699768347</v>
      </c>
      <c r="K135" s="17">
        <f>'[1]资源-钻石'!U135</f>
        <v>1031882.033697452</v>
      </c>
      <c r="L135" s="17">
        <f>'[1]资源-钻石'!V135</f>
        <v>1729412.2370671972</v>
      </c>
      <c r="M135" s="17">
        <f>'[1]资源-钻石'!W135</f>
        <v>4575023.4607739169</v>
      </c>
      <c r="N135" s="17">
        <f>'[1]资源-钻石'!X135</f>
        <v>10887168.306851307</v>
      </c>
    </row>
    <row r="136" spans="2:14" x14ac:dyDescent="0.15">
      <c r="B136" s="1">
        <v>133</v>
      </c>
      <c r="C136" s="17">
        <f>'[1]资源-钻石'!L136</f>
        <v>30377774.031828076</v>
      </c>
      <c r="D136" s="17">
        <f>'[1]资源-钻石'!M136</f>
        <v>43068489.840897977</v>
      </c>
      <c r="E136" s="17">
        <f>'[1]资源-钻石'!N136</f>
        <v>68629245.481208459</v>
      </c>
      <c r="F136" s="17">
        <f>'[1]资源-钻石'!O136</f>
        <v>151271638.58037889</v>
      </c>
      <c r="G136" s="17">
        <f>'[1]资源-钻石'!P136</f>
        <v>203811210.76051348</v>
      </c>
      <c r="I136" s="1">
        <v>133</v>
      </c>
      <c r="J136" s="17">
        <f>'[1]资源-钻石'!T136</f>
        <v>738517.0247814639</v>
      </c>
      <c r="K136" s="17">
        <f>'[1]资源-钻石'!U136</f>
        <v>1038328.7272596103</v>
      </c>
      <c r="L136" s="17">
        <f>'[1]资源-钻石'!V136</f>
        <v>1740955.5999855713</v>
      </c>
      <c r="M136" s="17">
        <f>'[1]资源-钻石'!W136</f>
        <v>4607741.1599841285</v>
      </c>
      <c r="N136" s="17">
        <f>'[1]资源-钻石'!X136</f>
        <v>10967012.77598254</v>
      </c>
    </row>
    <row r="137" spans="2:14" x14ac:dyDescent="0.15">
      <c r="B137" s="1">
        <v>134</v>
      </c>
      <c r="C137" s="17">
        <f>'[1]资源-钻石'!L137</f>
        <v>32425395.093675382</v>
      </c>
      <c r="D137" s="17">
        <f>'[1]资源-钻石'!M137</f>
        <v>45889291.469480656</v>
      </c>
      <c r="E137" s="17">
        <f>'[1]资源-钻石'!N137</f>
        <v>73068218.939424127</v>
      </c>
      <c r="F137" s="17">
        <f>'[1]资源-钻石'!O137</f>
        <v>161374762.85707304</v>
      </c>
      <c r="G137" s="17">
        <f>'[1]资源-钻石'!P137</f>
        <v>217839169.51968169</v>
      </c>
      <c r="I137" s="1">
        <v>134</v>
      </c>
      <c r="J137" s="17">
        <f>'[1]资源-钻石'!T137</f>
        <v>742850.38256524422</v>
      </c>
      <c r="K137" s="17">
        <f>'[1]资源-钻石'!U137</f>
        <v>1044775.4208217687</v>
      </c>
      <c r="L137" s="17">
        <f>'[1]资源-钻石'!V137</f>
        <v>1752498.9629039457</v>
      </c>
      <c r="M137" s="17">
        <f>'[1]资源-钻石'!W137</f>
        <v>4640458.8591943402</v>
      </c>
      <c r="N137" s="17">
        <f>'[1]资源-钻石'!X137</f>
        <v>11046857.245113773</v>
      </c>
    </row>
    <row r="138" spans="2:14" x14ac:dyDescent="0.15">
      <c r="B138" s="1">
        <v>135</v>
      </c>
      <c r="C138" s="17">
        <f>'[1]资源-钻石'!L138</f>
        <v>34614884.26629331</v>
      </c>
      <c r="D138" s="17">
        <f>'[1]资源-钻石'!M138</f>
        <v>48981338.466808848</v>
      </c>
      <c r="E138" s="17">
        <f>'[1]资源-钻石'!N138</f>
        <v>78050193.707845315</v>
      </c>
      <c r="F138" s="17">
        <f>'[1]资源-钻石'!O138</f>
        <v>172908161.67525318</v>
      </c>
      <c r="G138" s="17">
        <f>'[1]资源-钻石'!P138</f>
        <v>233720757.21706653</v>
      </c>
      <c r="I138" s="4">
        <v>135</v>
      </c>
      <c r="J138" s="17">
        <f>'[1]资源-钻石'!T138</f>
        <v>747183.74034902453</v>
      </c>
      <c r="K138" s="17">
        <f>'[1]资源-钻石'!U138</f>
        <v>1051222.1143839271</v>
      </c>
      <c r="L138" s="17">
        <f>'[1]资源-钻石'!V138</f>
        <v>1764042.3258223198</v>
      </c>
      <c r="M138" s="17">
        <f>'[1]资源-钻石'!W138</f>
        <v>4673176.5584045518</v>
      </c>
      <c r="N138" s="17">
        <f>'[1]资源-钻石'!X138</f>
        <v>11126701.714245005</v>
      </c>
    </row>
    <row r="139" spans="2:14" x14ac:dyDescent="0.15">
      <c r="B139" s="1">
        <v>136</v>
      </c>
      <c r="C139" s="17">
        <f>'[1]资源-钻石'!L139</f>
        <v>36901009.197876357</v>
      </c>
      <c r="D139" s="17">
        <f>'[1]资源-钻石'!M139</f>
        <v>52386513.266411647</v>
      </c>
      <c r="E139" s="17">
        <f>'[1]资源-钻石'!N139</f>
        <v>83768753.10691601</v>
      </c>
      <c r="F139" s="17">
        <f>'[1]资源-钻石'!O139</f>
        <v>185781671.09349987</v>
      </c>
      <c r="G139" s="17">
        <f>'[1]资源-钻石'!P139</f>
        <v>251227997.70278466</v>
      </c>
      <c r="I139" s="4">
        <v>136</v>
      </c>
      <c r="J139" s="17">
        <f>'[1]资源-钻石'!T139</f>
        <v>751517.09813280485</v>
      </c>
      <c r="K139" s="17">
        <f>'[1]资源-钻石'!U139</f>
        <v>1057668.8079460855</v>
      </c>
      <c r="L139" s="17">
        <f>'[1]资源-钻石'!V139</f>
        <v>1775585.688740694</v>
      </c>
      <c r="M139" s="17">
        <f>'[1]资源-钻石'!W139</f>
        <v>4705894.2576147635</v>
      </c>
      <c r="N139" s="17">
        <f>'[1]资源-钻石'!X139</f>
        <v>11206546.183376238</v>
      </c>
    </row>
    <row r="140" spans="2:14" x14ac:dyDescent="0.15">
      <c r="B140" s="1">
        <v>137</v>
      </c>
      <c r="C140" s="17">
        <f>'[1]资源-钻石'!L140</f>
        <v>39351217.23158966</v>
      </c>
      <c r="D140" s="17">
        <f>'[1]资源-钻石'!M140</f>
        <v>56064156.040933087</v>
      </c>
      <c r="E140" s="17">
        <f>'[1]资源-钻石'!N140</f>
        <v>89710676.40270111</v>
      </c>
      <c r="F140" s="17">
        <f>'[1]资源-钻石'!O140</f>
        <v>199304983.53542653</v>
      </c>
      <c r="G140" s="17">
        <f>'[1]资源-钻石'!P140</f>
        <v>269433057.58926111</v>
      </c>
      <c r="I140" s="4">
        <v>137</v>
      </c>
      <c r="J140" s="17">
        <f>'[1]资源-钻石'!T140</f>
        <v>755850.45591658517</v>
      </c>
      <c r="K140" s="17">
        <f>'[1]资源-钻石'!U140</f>
        <v>1064115.5015082438</v>
      </c>
      <c r="L140" s="17">
        <f>'[1]资源-钻石'!V140</f>
        <v>1787129.0516590683</v>
      </c>
      <c r="M140" s="17">
        <f>'[1]资源-钻石'!W140</f>
        <v>4738611.9568249751</v>
      </c>
      <c r="N140" s="17">
        <f>'[1]资源-钻石'!X140</f>
        <v>11286390.652507471</v>
      </c>
    </row>
    <row r="141" spans="2:14" x14ac:dyDescent="0.15">
      <c r="B141" s="1">
        <v>138</v>
      </c>
      <c r="C141" s="17">
        <f>'[1]资源-钻石'!L141</f>
        <v>41977285.179816887</v>
      </c>
      <c r="D141" s="17">
        <f>'[1]资源-钻石'!M141</f>
        <v>59892747.061179705</v>
      </c>
      <c r="E141" s="17">
        <f>'[1]资源-钻石'!N141</f>
        <v>96057840.009374917</v>
      </c>
      <c r="F141" s="17">
        <f>'[1]资源-钻石'!O141</f>
        <v>213562480.57053208</v>
      </c>
      <c r="G141" s="17">
        <f>'[1]资源-钻石'!P141</f>
        <v>287524649.62611848</v>
      </c>
      <c r="I141" s="4">
        <v>138</v>
      </c>
      <c r="J141" s="17">
        <f>'[1]资源-钻石'!T141</f>
        <v>760183.81370036548</v>
      </c>
      <c r="K141" s="17">
        <f>'[1]资源-钻石'!U141</f>
        <v>1070562.1950704022</v>
      </c>
      <c r="L141" s="17">
        <f>'[1]资源-钻石'!V141</f>
        <v>1798672.4145774425</v>
      </c>
      <c r="M141" s="17">
        <f>'[1]资源-钻石'!W141</f>
        <v>4771329.6560351867</v>
      </c>
      <c r="N141" s="17">
        <f>'[1]资源-钻石'!X141</f>
        <v>11366235.121638704</v>
      </c>
    </row>
    <row r="142" spans="2:14" x14ac:dyDescent="0.15">
      <c r="B142" s="1">
        <v>139</v>
      </c>
      <c r="C142" s="17">
        <f>'[1]资源-钻石'!L142</f>
        <v>44791835.117543951</v>
      </c>
      <c r="D142" s="17">
        <f>'[1]资源-钻石'!M142</f>
        <v>64001972.940322354</v>
      </c>
      <c r="E142" s="17">
        <f>'[1]资源-钻石'!N142</f>
        <v>102806090.60437706</v>
      </c>
      <c r="F142" s="17">
        <f>'[1]资源-钻石'!O142</f>
        <v>227819813.03246519</v>
      </c>
      <c r="G142" s="17">
        <f>'[1]资源-钻石'!P142</f>
        <v>306954009.28354383</v>
      </c>
      <c r="I142" s="1">
        <v>139</v>
      </c>
      <c r="J142" s="17">
        <f>'[1]资源-钻石'!T142</f>
        <v>764517.1714841458</v>
      </c>
      <c r="K142" s="17">
        <f>'[1]资源-钻石'!U142</f>
        <v>1077008.8886325604</v>
      </c>
      <c r="L142" s="17">
        <f>'[1]资源-钻石'!V142</f>
        <v>1810215.7774958166</v>
      </c>
      <c r="M142" s="17">
        <f>'[1]资源-钻石'!W142</f>
        <v>4804047.3552453984</v>
      </c>
      <c r="N142" s="17">
        <f>'[1]资源-钻石'!X142</f>
        <v>11446079.590769937</v>
      </c>
    </row>
    <row r="143" spans="2:14" x14ac:dyDescent="0.15">
      <c r="B143" s="1">
        <v>140</v>
      </c>
      <c r="C143" s="17">
        <f>'[1]资源-钻石'!L143</f>
        <v>47808395.049782947</v>
      </c>
      <c r="D143" s="17">
        <f>'[1]资源-钻石'!M143</f>
        <v>68346540.580155924</v>
      </c>
      <c r="E143" s="17">
        <f>'[1]资源-钻石'!N143</f>
        <v>109561891.09177381</v>
      </c>
      <c r="F143" s="17">
        <f>'[1]资源-钻石'!O143</f>
        <v>242935768.4476099</v>
      </c>
      <c r="G143" s="17">
        <f>'[1]资源-钻石'!P143</f>
        <v>328083416.33812416</v>
      </c>
      <c r="I143" s="1">
        <v>140</v>
      </c>
      <c r="J143" s="17">
        <f>'[1]资源-钻石'!T143</f>
        <v>768850.52926792612</v>
      </c>
      <c r="K143" s="17">
        <f>'[1]资源-钻石'!U143</f>
        <v>1083455.5821947188</v>
      </c>
      <c r="L143" s="17">
        <f>'[1]资源-钻石'!V143</f>
        <v>1821759.1404141907</v>
      </c>
      <c r="M143" s="17">
        <f>'[1]资源-钻石'!W143</f>
        <v>4836765.05445561</v>
      </c>
      <c r="N143" s="17">
        <f>'[1]资源-钻石'!X143</f>
        <v>11525924.059901169</v>
      </c>
    </row>
    <row r="144" spans="2:14" x14ac:dyDescent="0.15">
      <c r="B144" s="1">
        <v>141</v>
      </c>
      <c r="C144" s="17">
        <f>'[1]资源-钻石'!L144</f>
        <v>51041463.933306925</v>
      </c>
      <c r="D144" s="17">
        <f>'[1]资源-钻石'!M144</f>
        <v>72852035.694086939</v>
      </c>
      <c r="E144" s="17">
        <f>'[1]资源-钻石'!N144</f>
        <v>116846020.79875034</v>
      </c>
      <c r="F144" s="17">
        <f>'[1]资源-钻石'!O144</f>
        <v>259923710.36208475</v>
      </c>
      <c r="G144" s="17">
        <f>'[1]资源-钻石'!P144</f>
        <v>351220869.37695414</v>
      </c>
      <c r="I144" s="4">
        <v>141</v>
      </c>
      <c r="J144" s="17">
        <f>'[1]资源-钻石'!T144</f>
        <v>773183.88705170644</v>
      </c>
      <c r="K144" s="17">
        <f>'[1]资源-钻石'!U144</f>
        <v>1089902.2757568771</v>
      </c>
      <c r="L144" s="17">
        <f>'[1]资源-钻石'!V144</f>
        <v>1833302.5033325651</v>
      </c>
      <c r="M144" s="17">
        <f>'[1]资源-钻石'!W144</f>
        <v>4869482.7536658216</v>
      </c>
      <c r="N144" s="17">
        <f>'[1]资源-钻石'!X144</f>
        <v>11605768.529032402</v>
      </c>
    </row>
    <row r="145" spans="2:14" x14ac:dyDescent="0.15">
      <c r="B145" s="1">
        <v>142</v>
      </c>
      <c r="C145" s="17">
        <f>'[1]资源-钻石'!L145</f>
        <v>54506581.365219891</v>
      </c>
      <c r="D145" s="17">
        <f>'[1]资源-钻石'!M145</f>
        <v>77862630.273750991</v>
      </c>
      <c r="E145" s="17">
        <f>'[1]资源-钻石'!N145</f>
        <v>125300047.36711799</v>
      </c>
      <c r="F145" s="17">
        <f>'[1]资源-钻石'!O145</f>
        <v>279036433.30328238</v>
      </c>
      <c r="G145" s="17">
        <f>'[1]资源-钻石'!P145</f>
        <v>377170623.84265661</v>
      </c>
      <c r="I145" s="4">
        <v>142</v>
      </c>
      <c r="J145" s="17">
        <f>'[1]资源-钻石'!T145</f>
        <v>777517.24483548675</v>
      </c>
      <c r="K145" s="17">
        <f>'[1]资源-钻石'!U145</f>
        <v>1096348.9693190355</v>
      </c>
      <c r="L145" s="17">
        <f>'[1]资源-钻石'!V145</f>
        <v>1844845.8662509392</v>
      </c>
      <c r="M145" s="17">
        <f>'[1]资源-钻石'!W145</f>
        <v>4902200.4528760333</v>
      </c>
      <c r="N145" s="17">
        <f>'[1]资源-钻石'!X145</f>
        <v>11685612.998163635</v>
      </c>
    </row>
    <row r="146" spans="2:14" x14ac:dyDescent="0.15">
      <c r="B146" s="1">
        <v>143</v>
      </c>
      <c r="C146" s="17">
        <f>'[1]资源-钻石'!L146</f>
        <v>58220402.273316115</v>
      </c>
      <c r="D146" s="17">
        <f>'[1]资源-钻石'!M146</f>
        <v>83327738.486928567</v>
      </c>
      <c r="E146" s="17">
        <f>'[1]资源-钻石'!N146</f>
        <v>134227618.90301773</v>
      </c>
      <c r="F146" s="17">
        <f>'[1]资源-钻石'!O146</f>
        <v>299504631.2805295</v>
      </c>
      <c r="G146" s="17">
        <f>'[1]资源-钻石'!P146</f>
        <v>405359769.3941015</v>
      </c>
      <c r="I146" s="4">
        <v>143</v>
      </c>
      <c r="J146" s="17">
        <f>'[1]资源-钻石'!T146</f>
        <v>781850.60261926707</v>
      </c>
      <c r="K146" s="17">
        <f>'[1]资源-钻石'!U146</f>
        <v>1102795.6628811939</v>
      </c>
      <c r="L146" s="17">
        <f>'[1]资源-钻石'!V146</f>
        <v>1856389.2291693133</v>
      </c>
      <c r="M146" s="17">
        <f>'[1]资源-钻石'!W146</f>
        <v>4934918.1520862449</v>
      </c>
      <c r="N146" s="17">
        <f>'[1]资源-钻石'!X146</f>
        <v>11765457.467294868</v>
      </c>
    </row>
    <row r="147" spans="2:14" x14ac:dyDescent="0.15">
      <c r="B147" s="1">
        <v>144</v>
      </c>
      <c r="C147" s="17">
        <f>'[1]资源-钻石'!L147</f>
        <v>62200776.967225976</v>
      </c>
      <c r="D147" s="17">
        <f>'[1]资源-钻石'!M147</f>
        <v>89090210.866179213</v>
      </c>
      <c r="E147" s="17">
        <f>'[1]资源-钻石'!N147</f>
        <v>143766875.39511824</v>
      </c>
      <c r="F147" s="17">
        <f>'[1]资源-钻石'!O147</f>
        <v>321353574.21959931</v>
      </c>
      <c r="G147" s="17">
        <f>'[1]资源-钻石'!P147</f>
        <v>433475930.79776585</v>
      </c>
      <c r="I147" s="4">
        <v>144</v>
      </c>
      <c r="J147" s="17">
        <f>'[1]资源-钻石'!T147</f>
        <v>786183.96040304727</v>
      </c>
      <c r="K147" s="17">
        <f>'[1]资源-钻石'!U147</f>
        <v>1109242.3564433521</v>
      </c>
      <c r="L147" s="17">
        <f>'[1]资源-钻石'!V147</f>
        <v>1867932.5920876875</v>
      </c>
      <c r="M147" s="17">
        <f>'[1]资源-钻石'!W147</f>
        <v>4967635.8512964556</v>
      </c>
      <c r="N147" s="17">
        <f>'[1]资源-钻石'!X147</f>
        <v>11845301.936426101</v>
      </c>
    </row>
    <row r="148" spans="2:14" x14ac:dyDescent="0.15">
      <c r="B148" s="1">
        <v>145</v>
      </c>
      <c r="C148" s="17">
        <f>'[1]资源-钻石'!L148</f>
        <v>66459132.484107137</v>
      </c>
      <c r="D148" s="17">
        <f>'[1]资源-钻石'!M148</f>
        <v>95397071.028365076</v>
      </c>
      <c r="E148" s="17">
        <f>'[1]资源-钻石'!N148</f>
        <v>154023558.61037484</v>
      </c>
      <c r="F148" s="17">
        <f>'[1]资源-钻石'!O148</f>
        <v>343599014.87185836</v>
      </c>
      <c r="G148" s="17">
        <f>'[1]资源-钻石'!P148</f>
        <v>462983146.77745134</v>
      </c>
      <c r="I148" s="1">
        <v>145</v>
      </c>
      <c r="J148" s="17">
        <f>'[1]资源-钻石'!T148</f>
        <v>790517.3181868277</v>
      </c>
      <c r="K148" s="17">
        <f>'[1]资源-钻石'!U148</f>
        <v>1115689.0500055104</v>
      </c>
      <c r="L148" s="17">
        <f>'[1]资源-钻石'!V148</f>
        <v>1879475.9550060616</v>
      </c>
      <c r="M148" s="17">
        <f>'[1]资源-钻石'!W148</f>
        <v>5000353.5505066672</v>
      </c>
      <c r="N148" s="17">
        <f>'[1]资源-钻石'!X148</f>
        <v>11925146.405557334</v>
      </c>
    </row>
    <row r="149" spans="2:14" x14ac:dyDescent="0.15">
      <c r="B149" s="1">
        <v>146</v>
      </c>
      <c r="C149" s="17">
        <f>'[1]资源-钻石'!L149</f>
        <v>70932423.507837355</v>
      </c>
      <c r="D149" s="17">
        <f>'[1]资源-钻石'!M149</f>
        <v>102002437.73042709</v>
      </c>
      <c r="E149" s="17">
        <f>'[1]资源-钻石'!N149</f>
        <v>164312040.91437861</v>
      </c>
      <c r="F149" s="17">
        <f>'[1]资源-钻石'!O149</f>
        <v>366368970.22120637</v>
      </c>
      <c r="G149" s="17">
        <f>'[1]资源-钻石'!P149</f>
        <v>493891148.11210066</v>
      </c>
      <c r="I149" s="1">
        <v>146</v>
      </c>
      <c r="J149" s="17">
        <f>'[1]资源-钻石'!T149</f>
        <v>794850.6759706079</v>
      </c>
      <c r="K149" s="17">
        <f>'[1]资源-钻石'!U149</f>
        <v>1122135.7435676688</v>
      </c>
      <c r="L149" s="17">
        <f>'[1]资源-钻石'!V149</f>
        <v>1891019.3179244359</v>
      </c>
      <c r="M149" s="17">
        <f>'[1]资源-钻石'!W149</f>
        <v>5033071.2497168789</v>
      </c>
      <c r="N149" s="17">
        <f>'[1]资源-钻石'!X149</f>
        <v>12004990.874688568</v>
      </c>
    </row>
    <row r="150" spans="2:14" x14ac:dyDescent="0.15">
      <c r="B150" s="1">
        <v>147</v>
      </c>
      <c r="C150" s="17">
        <f>'[1]资源-钻石'!L150</f>
        <v>75726778.117273211</v>
      </c>
      <c r="D150" s="17">
        <f>'[1]资源-钻石'!M150</f>
        <v>108754686.476156</v>
      </c>
      <c r="E150" s="17">
        <f>'[1]资源-钻石'!N150</f>
        <v>175070620.21719462</v>
      </c>
      <c r="F150" s="17">
        <f>'[1]资源-钻石'!O150</f>
        <v>390361815.80146009</v>
      </c>
      <c r="G150" s="17">
        <f>'[1]资源-钻石'!P150</f>
        <v>527278575.66912967</v>
      </c>
      <c r="I150" s="4">
        <v>147</v>
      </c>
      <c r="J150" s="17">
        <f>'[1]资源-钻石'!T150</f>
        <v>799184.03375438834</v>
      </c>
      <c r="K150" s="17">
        <f>'[1]资源-钻石'!U150</f>
        <v>1128582.4371298272</v>
      </c>
      <c r="L150" s="17">
        <f>'[1]资源-钻石'!V150</f>
        <v>1902562.6808428101</v>
      </c>
      <c r="M150" s="17">
        <f>'[1]资源-钻石'!W150</f>
        <v>5065788.9489270905</v>
      </c>
      <c r="N150" s="17">
        <f>'[1]资源-钻石'!X150</f>
        <v>12084835.343819801</v>
      </c>
    </row>
    <row r="151" spans="2:14" x14ac:dyDescent="0.15">
      <c r="B151" s="1">
        <v>148</v>
      </c>
      <c r="C151" s="17">
        <f>'[1]资源-钻石'!L151</f>
        <v>80865240.157655239</v>
      </c>
      <c r="D151" s="17">
        <f>'[1]资源-钻石'!M151</f>
        <v>116273813.76123451</v>
      </c>
      <c r="E151" s="17">
        <f>'[1]资源-钻石'!N151</f>
        <v>187505483.27616221</v>
      </c>
      <c r="F151" s="17">
        <f>'[1]资源-钻石'!O151</f>
        <v>418986508.47767115</v>
      </c>
      <c r="G151" s="17">
        <f>'[1]资源-钻石'!P151</f>
        <v>565143581.12545681</v>
      </c>
      <c r="I151" s="4">
        <v>148</v>
      </c>
      <c r="J151" s="17">
        <f>'[1]资源-钻石'!T151</f>
        <v>803517.39153816865</v>
      </c>
      <c r="K151" s="17">
        <f>'[1]资源-钻石'!U151</f>
        <v>1135029.1306919856</v>
      </c>
      <c r="L151" s="17">
        <f>'[1]资源-钻石'!V151</f>
        <v>1914106.0437611842</v>
      </c>
      <c r="M151" s="17">
        <f>'[1]资源-钻石'!W151</f>
        <v>5098506.6481373021</v>
      </c>
      <c r="N151" s="17">
        <f>'[1]资源-钻石'!X151</f>
        <v>12164679.812951032</v>
      </c>
    </row>
    <row r="152" spans="2:14" x14ac:dyDescent="0.15">
      <c r="B152" s="1">
        <v>149</v>
      </c>
      <c r="C152" s="17">
        <f>'[1]资源-钻石'!L152</f>
        <v>86372507.410786808</v>
      </c>
      <c r="D152" s="17">
        <f>'[1]资源-钻石'!M152</f>
        <v>124321057.99618401</v>
      </c>
      <c r="E152" s="17">
        <f>'[1]资源-钻石'!N152</f>
        <v>200899586.61430249</v>
      </c>
      <c r="F152" s="17">
        <f>'[1]资源-钻石'!O152</f>
        <v>449073300.40346277</v>
      </c>
      <c r="G152" s="17">
        <f>'[1]资源-钻石'!P152</f>
        <v>605979556.6396575</v>
      </c>
      <c r="I152" s="4">
        <v>149</v>
      </c>
      <c r="J152" s="17">
        <f>'[1]资源-钻石'!T152</f>
        <v>807850.74932194897</v>
      </c>
      <c r="K152" s="17">
        <f>'[1]资源-钻石'!U152</f>
        <v>1141475.824254144</v>
      </c>
      <c r="L152" s="17">
        <f>'[1]资源-钻石'!V152</f>
        <v>1925649.4066795586</v>
      </c>
      <c r="M152" s="17">
        <f>'[1]资源-钻石'!W152</f>
        <v>5131224.3473475138</v>
      </c>
      <c r="N152" s="17">
        <f>'[1]资源-钻石'!X152</f>
        <v>12244524.282082265</v>
      </c>
    </row>
    <row r="153" spans="2:14" x14ac:dyDescent="0.15">
      <c r="B153" s="1">
        <v>150</v>
      </c>
      <c r="C153" s="17">
        <f>'[1]资源-钻石'!L153</f>
        <v>92275050.303788245</v>
      </c>
      <c r="D153" s="17">
        <f>'[1]资源-钻石'!M153</f>
        <v>132917516.59703743</v>
      </c>
      <c r="E153" s="17">
        <f>'[1]资源-钻石'!N153</f>
        <v>215109986.92600882</v>
      </c>
      <c r="F153" s="17">
        <f>'[1]资源-钻石'!O153</f>
        <v>481339676.76755732</v>
      </c>
      <c r="G153" s="17">
        <f>'[1]资源-钻石'!P153</f>
        <v>651561402.82112622</v>
      </c>
      <c r="I153" s="4">
        <v>150</v>
      </c>
      <c r="J153" s="17">
        <f>'[1]资源-钻石'!T153</f>
        <v>812184.10710572929</v>
      </c>
      <c r="K153" s="17">
        <f>'[1]资源-钻石'!U153</f>
        <v>1147922.5178163024</v>
      </c>
      <c r="L153" s="17">
        <f>'[1]资源-钻石'!V153</f>
        <v>1937192.7695979327</v>
      </c>
      <c r="M153" s="17">
        <f>'[1]资源-钻石'!W153</f>
        <v>5163942.0465577254</v>
      </c>
      <c r="N153" s="17">
        <f>'[1]资源-钻石'!X153</f>
        <v>12324368.751213498</v>
      </c>
    </row>
    <row r="154" spans="2:14" x14ac:dyDescent="0.15">
      <c r="B154" s="1">
        <v>151</v>
      </c>
      <c r="C154" s="17">
        <f>'[1]资源-钻石'!L154</f>
        <v>98601239.137989312</v>
      </c>
      <c r="D154" s="17">
        <f>'[1]资源-钻石'!M154</f>
        <v>142196137.08427939</v>
      </c>
      <c r="E154" s="17">
        <f>'[1]资源-钻石'!N154</f>
        <v>230438006.2499252</v>
      </c>
      <c r="F154" s="17">
        <f>'[1]资源-钻石'!O154</f>
        <v>518093454.99883437</v>
      </c>
      <c r="G154" s="17">
        <f>'[1]资源-钻石'!P154</f>
        <v>709031877.48814201</v>
      </c>
      <c r="I154" s="1">
        <v>151</v>
      </c>
      <c r="J154" s="17">
        <f>'[1]资源-钻石'!T154</f>
        <v>816517.4648895096</v>
      </c>
      <c r="K154" s="17">
        <f>'[1]资源-钻石'!U154</f>
        <v>1154369.2113784607</v>
      </c>
      <c r="L154" s="17">
        <f>'[1]资源-钻石'!V154</f>
        <v>1948736.1325163068</v>
      </c>
      <c r="M154" s="17">
        <f>'[1]资源-钻石'!W154</f>
        <v>5196659.745767937</v>
      </c>
      <c r="N154" s="17">
        <f>'[1]资源-钻石'!X154</f>
        <v>12404213.220344732</v>
      </c>
    </row>
    <row r="155" spans="2:14" x14ac:dyDescent="0.15">
      <c r="B155" s="1">
        <v>152</v>
      </c>
      <c r="C155" s="17">
        <f>'[1]资源-钻石'!L155</f>
        <v>105381480.44947961</v>
      </c>
      <c r="D155" s="17">
        <f>'[1]资源-钻石'!M155</f>
        <v>152040631.39419919</v>
      </c>
      <c r="E155" s="17">
        <f>'[1]资源-钻石'!N155</f>
        <v>247948519.16521761</v>
      </c>
      <c r="F155" s="17">
        <f>'[1]资源-钻石'!O155</f>
        <v>562501563.50439644</v>
      </c>
      <c r="G155" s="17">
        <f>'[1]资源-钻石'!P155</f>
        <v>1098416415.5899403</v>
      </c>
      <c r="I155" s="1">
        <v>152</v>
      </c>
      <c r="J155" s="17">
        <f>'[1]资源-钻石'!T155</f>
        <v>820850.82267328992</v>
      </c>
      <c r="K155" s="17">
        <f>'[1]资源-钻石'!U155</f>
        <v>1160815.9049406191</v>
      </c>
      <c r="L155" s="17">
        <f>'[1]资源-钻石'!V155</f>
        <v>1960279.4954346812</v>
      </c>
      <c r="M155" s="17">
        <f>'[1]资源-钻石'!W155</f>
        <v>5229377.4449781487</v>
      </c>
      <c r="N155" s="17">
        <f>'[1]资源-钻石'!X155</f>
        <v>12484057.689475963</v>
      </c>
    </row>
    <row r="156" spans="2:14" x14ac:dyDescent="0.15">
      <c r="B156" s="1">
        <v>153</v>
      </c>
      <c r="C156" s="17">
        <f>'[1]资源-钻石'!L156</f>
        <v>112648363.15672721</v>
      </c>
      <c r="D156" s="17">
        <f>'[1]资源-钻石'!M156</f>
        <v>163805576.3922936</v>
      </c>
      <c r="E156" s="17">
        <f>'[1]资源-钻石'!N156</f>
        <v>268276036.31259289</v>
      </c>
      <c r="F156" s="17">
        <f>'[1]资源-钻石'!O156</f>
        <v>744520014.07159317</v>
      </c>
      <c r="G156" s="17">
        <f>'[1]资源-钻石'!P156</f>
        <v>1880534218.3901145</v>
      </c>
      <c r="I156" s="4">
        <v>153</v>
      </c>
      <c r="J156" s="17">
        <f>'[1]资源-钻石'!T156</f>
        <v>825184.18045707024</v>
      </c>
      <c r="K156" s="17">
        <f>'[1]资源-钻石'!U156</f>
        <v>1167262.5985027773</v>
      </c>
      <c r="L156" s="17">
        <f>'[1]资源-钻石'!V156</f>
        <v>1971822.8583530553</v>
      </c>
      <c r="M156" s="17">
        <f>'[1]资源-钻石'!W156</f>
        <v>5262095.1441883603</v>
      </c>
      <c r="N156" s="17">
        <f>'[1]资源-钻石'!X156</f>
        <v>12563902.158607196</v>
      </c>
    </row>
    <row r="157" spans="2:14" x14ac:dyDescent="0.15">
      <c r="B157" s="1">
        <v>154</v>
      </c>
      <c r="C157" s="17">
        <f>'[1]资源-钻石'!L157</f>
        <v>120436815.19771889</v>
      </c>
      <c r="D157" s="17">
        <f>'[1]资源-钻石'!M157</f>
        <v>176038248.52770308</v>
      </c>
      <c r="E157" s="17">
        <f>'[1]资源-钻石'!N157</f>
        <v>329309296.58627486</v>
      </c>
      <c r="F157" s="17">
        <f>'[1]资源-钻石'!O157</f>
        <v>1048364358.3480647</v>
      </c>
      <c r="G157" s="17">
        <f>'[1]资源-钻石'!P157</f>
        <v>2651219260.3727632</v>
      </c>
      <c r="I157" s="4">
        <v>154</v>
      </c>
      <c r="J157" s="17">
        <f>'[1]资源-钻石'!T157</f>
        <v>829517.53824085055</v>
      </c>
      <c r="K157" s="17">
        <f>'[1]资源-钻石'!U157</f>
        <v>1173709.2920649357</v>
      </c>
      <c r="L157" s="17">
        <f>'[1]资源-钻石'!V157</f>
        <v>1983366.2212714294</v>
      </c>
      <c r="M157" s="17">
        <f>'[1]资源-钻石'!W157</f>
        <v>5294812.8433985729</v>
      </c>
      <c r="N157" s="17">
        <f>'[1]资源-钻石'!X157</f>
        <v>12643746.627738429</v>
      </c>
    </row>
    <row r="158" spans="2:14" x14ac:dyDescent="0.15">
      <c r="B158" s="1">
        <v>155</v>
      </c>
      <c r="C158" s="17">
        <f>'[1]资源-钻石'!L158</f>
        <v>128770912.15692526</v>
      </c>
      <c r="D158" s="17">
        <f>'[1]资源-钻石'!M158</f>
        <v>209026117.58476669</v>
      </c>
      <c r="E158" s="17">
        <f>'[1]资源-钻石'!N158</f>
        <v>429272515.33814478</v>
      </c>
      <c r="F158" s="17">
        <f>'[1]资源-钻石'!O158</f>
        <v>1361176657.7009187</v>
      </c>
      <c r="G158" s="17">
        <f>'[1]资源-钻石'!P158</f>
        <v>3455416492.6939464</v>
      </c>
      <c r="I158" s="4">
        <v>155</v>
      </c>
      <c r="J158" s="17">
        <f>'[1]资源-钻石'!T158</f>
        <v>833850.89602463087</v>
      </c>
      <c r="K158" s="17">
        <f>'[1]资源-钻石'!U158</f>
        <v>1180155.9856270941</v>
      </c>
      <c r="L158" s="17">
        <f>'[1]资源-钻石'!V158</f>
        <v>1994909.5841898038</v>
      </c>
      <c r="M158" s="17">
        <f>'[1]资源-钻石'!W158</f>
        <v>5327530.5426087845</v>
      </c>
      <c r="N158" s="17">
        <f>'[1]资源-钻石'!X158</f>
        <v>12723591.096869662</v>
      </c>
    </row>
    <row r="159" spans="2:14" x14ac:dyDescent="0.15">
      <c r="B159" s="1">
        <v>156</v>
      </c>
      <c r="C159" s="17">
        <f>'[1]资源-钻石'!L159</f>
        <v>137546563.07977226</v>
      </c>
      <c r="D159" s="17">
        <f>'[1]资源-钻石'!M159</f>
        <v>234742620.14612284</v>
      </c>
      <c r="E159" s="17">
        <f>'[1]资源-钻石'!N159</f>
        <v>484051157.41935933</v>
      </c>
      <c r="F159" s="17">
        <f>'[1]资源-钻石'!O159</f>
        <v>1536742765.4889503</v>
      </c>
      <c r="G159" s="17">
        <f>'[1]资源-钻石'!P159</f>
        <v>3901893226.6270924</v>
      </c>
      <c r="I159" s="4">
        <v>156</v>
      </c>
      <c r="J159" s="17">
        <f>'[1]资源-钻石'!T159</f>
        <v>838184.25380841119</v>
      </c>
      <c r="K159" s="17">
        <f>'[1]资源-钻石'!U159</f>
        <v>1186602.6791892524</v>
      </c>
      <c r="L159" s="17">
        <f>'[1]资源-钻石'!V159</f>
        <v>2006452.9471081779</v>
      </c>
      <c r="M159" s="17">
        <f>'[1]资源-钻石'!W159</f>
        <v>5360248.2418189961</v>
      </c>
      <c r="N159" s="17">
        <f>'[1]资源-钻石'!X159</f>
        <v>12803435.566000894</v>
      </c>
    </row>
    <row r="160" spans="2:14" x14ac:dyDescent="0.15">
      <c r="B160" s="1">
        <v>157</v>
      </c>
      <c r="C160" s="17">
        <f>'[1]资源-钻石'!L160</f>
        <v>146952072.85536182</v>
      </c>
      <c r="D160" s="17">
        <f>'[1]资源-钻石'!M160</f>
        <v>251077498.86086968</v>
      </c>
      <c r="E160" s="17">
        <f>'[1]资源-钻石'!N160</f>
        <v>518228278.94566095</v>
      </c>
      <c r="F160" s="17">
        <f>'[1]资源-钻石'!O160</f>
        <v>1646418014.0173526</v>
      </c>
      <c r="G160" s="17">
        <f>'[1]资源-钻石'!P160</f>
        <v>4168905505.4417071</v>
      </c>
      <c r="I160" s="1">
        <v>157</v>
      </c>
      <c r="J160" s="17">
        <f>'[1]资源-钻石'!T160</f>
        <v>842517.6115921915</v>
      </c>
      <c r="K160" s="17">
        <f>'[1]资源-钻石'!U160</f>
        <v>1193049.3727514108</v>
      </c>
      <c r="L160" s="17">
        <f>'[1]资源-钻石'!V160</f>
        <v>2017996.3100265521</v>
      </c>
      <c r="M160" s="17">
        <f>'[1]资源-钻石'!W160</f>
        <v>5392965.9410292078</v>
      </c>
      <c r="N160" s="17">
        <f>'[1]资源-钻石'!X160</f>
        <v>12883280.035132127</v>
      </c>
    </row>
    <row r="161" spans="2:14" x14ac:dyDescent="0.15">
      <c r="B161" s="1">
        <v>158</v>
      </c>
      <c r="C161" s="17">
        <f>'[1]资源-钻石'!L161</f>
        <v>157032648.63446465</v>
      </c>
      <c r="D161" s="17">
        <f>'[1]资源-钻石'!M161</f>
        <v>268584788.38108474</v>
      </c>
      <c r="E161" s="17">
        <f>'[1]资源-钻石'!N161</f>
        <v>554858410.82342982</v>
      </c>
      <c r="F161" s="17">
        <f>'[1]资源-钻石'!O161</f>
        <v>1763965034.8871698</v>
      </c>
      <c r="G161" s="17">
        <f>'[1]资源-钻石'!P161</f>
        <v>4467436435.3613586</v>
      </c>
      <c r="I161" s="1">
        <v>158</v>
      </c>
      <c r="J161" s="17">
        <f>'[1]资源-钻石'!T161</f>
        <v>846850.96937597182</v>
      </c>
      <c r="K161" s="17">
        <f>'[1]资源-钻石'!U161</f>
        <v>1199496.0663135692</v>
      </c>
      <c r="L161" s="17">
        <f>'[1]资源-钻石'!V161</f>
        <v>2029539.6729449264</v>
      </c>
      <c r="M161" s="17">
        <f>'[1]资源-钻石'!W161</f>
        <v>5425683.6402394194</v>
      </c>
      <c r="N161" s="17">
        <f>'[1]资源-钻石'!X161</f>
        <v>12963124.50426336</v>
      </c>
    </row>
    <row r="162" spans="2:14" x14ac:dyDescent="0.15">
      <c r="B162" s="1">
        <v>159</v>
      </c>
      <c r="C162" s="17">
        <f>'[1]资源-钻石'!L162</f>
        <v>167836742.24159318</v>
      </c>
      <c r="D162" s="17">
        <f>'[1]资源-钻石'!M162</f>
        <v>287348636.68979102</v>
      </c>
      <c r="E162" s="17">
        <f>'[1]资源-钻石'!N162</f>
        <v>594117614.09922743</v>
      </c>
      <c r="F162" s="17">
        <f>'[1]资源-钻石'!O162</f>
        <v>1889948812.4556398</v>
      </c>
      <c r="G162" s="17">
        <f>'[1]资源-钻石'!P162</f>
        <v>4787393963.7955246</v>
      </c>
      <c r="I162" s="4">
        <v>159</v>
      </c>
      <c r="J162" s="17">
        <f>'[1]资源-钻石'!T162</f>
        <v>851184.32715975214</v>
      </c>
      <c r="K162" s="17">
        <f>'[1]资源-钻石'!U162</f>
        <v>1205942.7598757276</v>
      </c>
      <c r="L162" s="17">
        <f>'[1]资源-钻石'!V162</f>
        <v>2041083.0358633006</v>
      </c>
      <c r="M162" s="17">
        <f>'[1]资源-钻石'!W162</f>
        <v>5458401.3394496311</v>
      </c>
      <c r="N162" s="17">
        <f>'[1]资源-钻石'!X162</f>
        <v>13042968.973394593</v>
      </c>
    </row>
    <row r="163" spans="2:14" x14ac:dyDescent="0.15">
      <c r="B163" s="1">
        <v>160</v>
      </c>
      <c r="C163" s="17">
        <f>'[1]资源-钻石'!L163</f>
        <v>179416283.05647135</v>
      </c>
      <c r="D163" s="17">
        <f>'[1]资源-钻石'!M163</f>
        <v>307459231.36211848</v>
      </c>
      <c r="E163" s="17">
        <f>'[1]资源-钻石'!N163</f>
        <v>636194586.33054423</v>
      </c>
      <c r="F163" s="17">
        <f>'[1]资源-钻石'!O163</f>
        <v>2024974881.9635987</v>
      </c>
      <c r="G163" s="17">
        <f>'[1]资源-钻石'!P163</f>
        <v>5130315951.9099579</v>
      </c>
      <c r="I163" s="4">
        <v>160</v>
      </c>
      <c r="J163" s="17">
        <f>'[1]资源-钻石'!T163</f>
        <v>855517.68494353245</v>
      </c>
      <c r="K163" s="17">
        <f>'[1]资源-钻石'!U163</f>
        <v>1212389.453437886</v>
      </c>
      <c r="L163" s="17">
        <f>'[1]资源-钻石'!V163</f>
        <v>2052626.3987816747</v>
      </c>
      <c r="M163" s="17">
        <f>'[1]资源-钻石'!W163</f>
        <v>5491119.0386598427</v>
      </c>
      <c r="N163" s="17">
        <f>'[1]资源-钻石'!X163</f>
        <v>13122813.442525825</v>
      </c>
    </row>
    <row r="164" spans="2:14" x14ac:dyDescent="0.15">
      <c r="B164" s="1"/>
      <c r="C164" s="17"/>
      <c r="D164" s="17"/>
      <c r="E164" s="17"/>
      <c r="F164" s="17"/>
      <c r="G164" s="17"/>
      <c r="I164" s="4">
        <v>161</v>
      </c>
      <c r="J164" s="17">
        <f>'[1]资源-钻石'!T164</f>
        <v>859851.04272731277</v>
      </c>
      <c r="K164" s="17">
        <f>'[1]资源-钻石'!U164</f>
        <v>1218836.1470000444</v>
      </c>
      <c r="L164" s="17">
        <f>'[1]资源-钻石'!V164</f>
        <v>2064169.761700049</v>
      </c>
      <c r="M164" s="17">
        <f>'[1]资源-钻石'!W164</f>
        <v>5523836.7378700543</v>
      </c>
      <c r="N164" s="17">
        <f>'[1]资源-钻石'!X164</f>
        <v>13202657.911657058</v>
      </c>
    </row>
    <row r="165" spans="2:14" x14ac:dyDescent="0.15">
      <c r="I165" s="4">
        <v>162</v>
      </c>
      <c r="J165" s="17">
        <f>'[1]资源-钻石'!T165</f>
        <v>864184.40051109309</v>
      </c>
      <c r="K165" s="17">
        <f>'[1]资源-钻石'!U165</f>
        <v>1225282.8405622025</v>
      </c>
      <c r="L165" s="17">
        <f>'[1]资源-钻石'!V165</f>
        <v>2075713.1246184232</v>
      </c>
      <c r="M165" s="17">
        <f>'[1]资源-钻石'!W165</f>
        <v>5556554.437080266</v>
      </c>
      <c r="N165" s="17">
        <f>'[1]资源-钻石'!X165</f>
        <v>13282502.380788291</v>
      </c>
    </row>
    <row r="166" spans="2:14" x14ac:dyDescent="0.15">
      <c r="I166" s="1">
        <v>163</v>
      </c>
      <c r="J166" s="17">
        <f>'[1]资源-钻石'!T166</f>
        <v>868517.75829487341</v>
      </c>
      <c r="K166" s="17">
        <f>'[1]资源-钻石'!U166</f>
        <v>1231729.5341243609</v>
      </c>
      <c r="L166" s="17">
        <f>'[1]资源-钻石'!V166</f>
        <v>2087256.4875367973</v>
      </c>
      <c r="M166" s="17">
        <f>'[1]资源-钻石'!W166</f>
        <v>5589272.1362904776</v>
      </c>
      <c r="N166" s="17">
        <f>'[1]资源-钻石'!X166</f>
        <v>13362346.849919524</v>
      </c>
    </row>
    <row r="167" spans="2:14" x14ac:dyDescent="0.15">
      <c r="I167" s="1">
        <v>164</v>
      </c>
      <c r="J167" s="17">
        <f>'[1]资源-钻石'!T167</f>
        <v>872851.11607865372</v>
      </c>
      <c r="K167" s="17">
        <f>'[1]资源-钻石'!U167</f>
        <v>1238176.2276865193</v>
      </c>
      <c r="L167" s="17">
        <f>'[1]资源-钻石'!V167</f>
        <v>2098799.8504551714</v>
      </c>
      <c r="M167" s="17">
        <f>'[1]资源-钻石'!W167</f>
        <v>5621989.8355006892</v>
      </c>
      <c r="N167" s="17">
        <f>'[1]资源-钻石'!X167</f>
        <v>13442191.319050755</v>
      </c>
    </row>
    <row r="168" spans="2:14" x14ac:dyDescent="0.15">
      <c r="I168" s="4">
        <v>165</v>
      </c>
      <c r="J168" s="17">
        <f>'[1]资源-钻石'!T168</f>
        <v>877184.47386243404</v>
      </c>
      <c r="K168" s="17">
        <f>'[1]资源-钻石'!U168</f>
        <v>1244622.9212486777</v>
      </c>
      <c r="L168" s="17">
        <f>'[1]资源-钻石'!V168</f>
        <v>2110343.2133735456</v>
      </c>
      <c r="M168" s="17">
        <f>'[1]资源-钻石'!W168</f>
        <v>5654707.5347109009</v>
      </c>
      <c r="N168" s="17">
        <f>'[1]资源-钻石'!X168</f>
        <v>13522035.788181989</v>
      </c>
    </row>
    <row r="169" spans="2:14" x14ac:dyDescent="0.15">
      <c r="I169" s="4">
        <v>166</v>
      </c>
      <c r="J169" s="17">
        <f>'[1]资源-钻石'!T169</f>
        <v>881517.83164621436</v>
      </c>
      <c r="K169" s="17">
        <f>'[1]资源-钻石'!U169</f>
        <v>1251069.614810836</v>
      </c>
      <c r="L169" s="17">
        <f>'[1]资源-钻石'!V169</f>
        <v>2121886.5762919202</v>
      </c>
      <c r="M169" s="17">
        <f>'[1]资源-钻石'!W169</f>
        <v>5687425.2339211125</v>
      </c>
      <c r="N169" s="17">
        <f>'[1]资源-钻石'!X169</f>
        <v>13601880.257313222</v>
      </c>
    </row>
    <row r="170" spans="2:14" x14ac:dyDescent="0.15">
      <c r="I170" s="4">
        <v>167</v>
      </c>
      <c r="J170" s="17">
        <f>'[1]资源-钻石'!T170</f>
        <v>885851.18942999467</v>
      </c>
      <c r="K170" s="17">
        <f>'[1]资源-钻石'!U170</f>
        <v>1257516.3083729944</v>
      </c>
      <c r="L170" s="17">
        <f>'[1]资源-钻石'!V170</f>
        <v>2133429.9392102943</v>
      </c>
      <c r="M170" s="17">
        <f>'[1]资源-钻石'!W170</f>
        <v>5720142.9331313241</v>
      </c>
      <c r="N170" s="17">
        <f>'[1]资源-钻石'!X170</f>
        <v>13681724.726444455</v>
      </c>
    </row>
    <row r="171" spans="2:14" x14ac:dyDescent="0.15">
      <c r="I171" s="4">
        <v>168</v>
      </c>
      <c r="J171" s="17">
        <f>'[1]资源-钻石'!T171</f>
        <v>890184.47403977695</v>
      </c>
      <c r="K171" s="17">
        <f>'[1]资源-钻石'!U171</f>
        <v>1263963.0019351528</v>
      </c>
      <c r="L171" s="17">
        <f>'[1]资源-钻石'!V171</f>
        <v>2144973.3021286684</v>
      </c>
      <c r="M171" s="17">
        <f>'[1]资源-钻石'!W171</f>
        <v>5752860.6323415348</v>
      </c>
      <c r="N171" s="17">
        <f>'[1]资源-钻石'!X171</f>
        <v>13761569.195575688</v>
      </c>
    </row>
    <row r="172" spans="2:14" x14ac:dyDescent="0.15">
      <c r="I172" s="1">
        <v>169</v>
      </c>
      <c r="J172" s="17">
        <f>'[1]资源-钻石'!T172</f>
        <v>894517.12130961951</v>
      </c>
      <c r="K172" s="17">
        <f>'[1]资源-钻石'!U172</f>
        <v>1270409.6954973112</v>
      </c>
      <c r="L172" s="17">
        <f>'[1]资源-钻石'!V172</f>
        <v>2156512.5337531343</v>
      </c>
      <c r="M172" s="17">
        <f>'[1]资源-钻石'!W172</f>
        <v>5785578.3315517465</v>
      </c>
      <c r="N172" s="17">
        <f>'[1]资源-钻石'!X172</f>
        <v>13841413.664706919</v>
      </c>
    </row>
    <row r="173" spans="2:14" x14ac:dyDescent="0.15">
      <c r="I173" s="1">
        <v>170</v>
      </c>
      <c r="J173" s="17">
        <f>'[1]资源-钻石'!T173</f>
        <v>898849.76857946208</v>
      </c>
      <c r="K173" s="17">
        <f>'[1]资源-钻石'!U173</f>
        <v>1276856.3890594693</v>
      </c>
      <c r="L173" s="17">
        <f>'[1]资源-钻石'!V173</f>
        <v>2168040.2855180311</v>
      </c>
      <c r="M173" s="17">
        <f>'[1]资源-钻石'!W173</f>
        <v>5818296.0307619581</v>
      </c>
      <c r="N173" s="17">
        <f>'[1]资源-钻石'!X173</f>
        <v>13921258.133838153</v>
      </c>
    </row>
    <row r="174" spans="2:14" x14ac:dyDescent="0.15">
      <c r="I174" s="4">
        <v>171</v>
      </c>
      <c r="J174" s="17">
        <f>'[1]资源-钻石'!T174</f>
        <v>903182.41584930464</v>
      </c>
      <c r="K174" s="17">
        <f>'[1]资源-钻石'!U174</f>
        <v>1283303.0826216277</v>
      </c>
      <c r="L174" s="17">
        <f>'[1]资源-钻石'!V174</f>
        <v>2179568.0372829279</v>
      </c>
      <c r="M174" s="17">
        <f>'[1]资源-钻石'!W174</f>
        <v>5851013.7299721697</v>
      </c>
      <c r="N174" s="17">
        <f>'[1]资源-钻石'!X174</f>
        <v>14001102.602969386</v>
      </c>
    </row>
    <row r="175" spans="2:14" x14ac:dyDescent="0.15">
      <c r="I175" s="4">
        <v>172</v>
      </c>
      <c r="J175" s="17">
        <f>'[1]资源-钻石'!T175</f>
        <v>907515.06311914721</v>
      </c>
      <c r="K175" s="17">
        <f>'[1]资源-钻石'!U175</f>
        <v>1289749.7761837861</v>
      </c>
      <c r="L175" s="17">
        <f>'[1]资源-钻石'!V175</f>
        <v>2191095.7890478252</v>
      </c>
      <c r="M175" s="17">
        <f>'[1]资源-钻石'!W175</f>
        <v>5883731.4291823814</v>
      </c>
      <c r="N175" s="17">
        <f>'[1]资源-钻石'!X175</f>
        <v>14080947.072100619</v>
      </c>
    </row>
    <row r="176" spans="2:14" x14ac:dyDescent="0.15">
      <c r="I176" s="4">
        <v>173</v>
      </c>
      <c r="J176" s="17">
        <f>'[1]资源-钻石'!T176</f>
        <v>911847.71038898989</v>
      </c>
      <c r="K176" s="17">
        <f>'[1]资源-钻石'!U176</f>
        <v>1296196.4697459445</v>
      </c>
      <c r="L176" s="17">
        <f>'[1]资源-钻石'!V176</f>
        <v>2202623.5408127219</v>
      </c>
      <c r="M176" s="17">
        <f>'[1]资源-钻石'!W176</f>
        <v>5916443.2022817116</v>
      </c>
      <c r="N176" s="17">
        <f>'[1]资源-钻石'!X176</f>
        <v>14160791.54123185</v>
      </c>
    </row>
    <row r="177" spans="9:14" x14ac:dyDescent="0.15">
      <c r="I177" s="4">
        <v>174</v>
      </c>
      <c r="J177" s="17">
        <f>'[1]资源-钻石'!T177</f>
        <v>916180.35765883245</v>
      </c>
      <c r="K177" s="17">
        <f>'[1]资源-钻石'!U177</f>
        <v>1302643.1633081029</v>
      </c>
      <c r="L177" s="17">
        <f>'[1]资源-钻石'!V177</f>
        <v>2214151.2925776187</v>
      </c>
      <c r="M177" s="17">
        <f>'[1]资源-钻石'!W177</f>
        <v>5948898.5527772438</v>
      </c>
      <c r="N177" s="17">
        <f>'[1]资源-钻石'!X177</f>
        <v>14240636.010363083</v>
      </c>
    </row>
    <row r="178" spans="9:14" x14ac:dyDescent="0.15">
      <c r="I178" s="1">
        <v>175</v>
      </c>
      <c r="J178" s="17">
        <f>'[1]资源-钻石'!T178</f>
        <v>920513.00492867501</v>
      </c>
      <c r="K178" s="17">
        <f>'[1]资源-钻石'!U178</f>
        <v>1309089.856870261</v>
      </c>
      <c r="L178" s="17">
        <f>'[1]资源-钻石'!V178</f>
        <v>2225679.044342516</v>
      </c>
      <c r="M178" s="17">
        <f>'[1]资源-钻石'!W178</f>
        <v>5981353.9032727769</v>
      </c>
      <c r="N178" s="17">
        <f>'[1]资源-钻石'!X178</f>
        <v>14320480.479494317</v>
      </c>
    </row>
    <row r="179" spans="9:14" x14ac:dyDescent="0.15">
      <c r="I179" s="1">
        <v>176</v>
      </c>
      <c r="J179" s="17">
        <f>'[1]资源-钻石'!T179</f>
        <v>924845.65219851758</v>
      </c>
      <c r="K179" s="17">
        <f>'[1]资源-钻石'!U179</f>
        <v>1315536.5504324194</v>
      </c>
      <c r="L179" s="17">
        <f>'[1]资源-钻石'!V179</f>
        <v>2237206.7961074128</v>
      </c>
      <c r="M179" s="17">
        <f>'[1]资源-钻石'!W179</f>
        <v>6013809.25376831</v>
      </c>
      <c r="N179" s="17">
        <f>'[1]资源-钻石'!X179</f>
        <v>14400324.94862555</v>
      </c>
    </row>
    <row r="180" spans="9:14" x14ac:dyDescent="0.15">
      <c r="I180" s="4">
        <v>177</v>
      </c>
      <c r="J180" s="17">
        <f>'[1]资源-钻石'!T180</f>
        <v>929178.29946836014</v>
      </c>
      <c r="K180" s="17">
        <f>'[1]资源-钻石'!U180</f>
        <v>1321983.2439945778</v>
      </c>
      <c r="L180" s="17">
        <f>'[1]资源-钻石'!V180</f>
        <v>2248734.5478723096</v>
      </c>
      <c r="M180" s="17">
        <f>'[1]资源-钻石'!W180</f>
        <v>6046264.604263843</v>
      </c>
      <c r="N180" s="17">
        <f>'[1]资源-钻石'!X180</f>
        <v>14480169.417756781</v>
      </c>
    </row>
    <row r="181" spans="9:14" x14ac:dyDescent="0.15">
      <c r="I181" s="4">
        <v>178</v>
      </c>
      <c r="J181" s="17">
        <f>'[1]资源-钻石'!T181</f>
        <v>933510.94673820282</v>
      </c>
      <c r="K181" s="17">
        <f>'[1]资源-钻石'!U181</f>
        <v>1328429.9375567362</v>
      </c>
      <c r="L181" s="17">
        <f>'[1]资源-钻石'!V181</f>
        <v>2260262.2996372068</v>
      </c>
      <c r="M181" s="17">
        <f>'[1]资源-钻石'!W181</f>
        <v>6078719.9547593761</v>
      </c>
      <c r="N181" s="17">
        <f>'[1]资源-钻石'!X181</f>
        <v>14560013.886888014</v>
      </c>
    </row>
    <row r="182" spans="9:14" x14ac:dyDescent="0.15">
      <c r="I182" s="4">
        <v>179</v>
      </c>
      <c r="J182" s="17">
        <f>'[1]资源-钻石'!T182</f>
        <v>937843.59400804539</v>
      </c>
      <c r="K182" s="17">
        <f>'[1]资源-钻石'!U182</f>
        <v>1334876.6311188946</v>
      </c>
      <c r="L182" s="17">
        <f>'[1]资源-钻石'!V182</f>
        <v>2271790.0514021036</v>
      </c>
      <c r="M182" s="17">
        <f>'[1]资源-钻石'!W182</f>
        <v>6111175.3052549092</v>
      </c>
      <c r="N182" s="17">
        <f>'[1]资源-钻石'!X182</f>
        <v>14639858.356019247</v>
      </c>
    </row>
    <row r="183" spans="9:14" x14ac:dyDescent="0.15">
      <c r="I183" s="4">
        <v>180</v>
      </c>
      <c r="J183" s="17">
        <f>'[1]资源-钻石'!T183</f>
        <v>942176.24127788795</v>
      </c>
      <c r="K183" s="17">
        <f>'[1]资源-钻石'!U183</f>
        <v>1340923.342526078</v>
      </c>
      <c r="L183" s="17">
        <f>'[1]资源-钻石'!V183</f>
        <v>2283317.8031670004</v>
      </c>
      <c r="M183" s="17">
        <f>'[1]资源-钻石'!W183</f>
        <v>6143630.6557504414</v>
      </c>
      <c r="N183" s="17">
        <f>'[1]资源-钻石'!X183</f>
        <v>14719476.170548452</v>
      </c>
    </row>
    <row r="184" spans="9:14" x14ac:dyDescent="0.15">
      <c r="I184" s="1">
        <v>181</v>
      </c>
      <c r="J184" s="17">
        <f>'[1]资源-钻石'!T184</f>
        <v>946072.75534475804</v>
      </c>
      <c r="K184" s="17">
        <f>'[1]资源-钻石'!U184</f>
        <v>1346913.262017586</v>
      </c>
      <c r="L184" s="17">
        <f>'[1]资源-钻石'!V184</f>
        <v>2294498.0339671574</v>
      </c>
      <c r="M184" s="17">
        <f>'[1]资源-钻石'!W184</f>
        <v>6176086.0062459745</v>
      </c>
      <c r="N184" s="17">
        <f>'[1]资源-钻石'!X184</f>
        <v>14798686.112228729</v>
      </c>
    </row>
    <row r="185" spans="9:14" x14ac:dyDescent="0.15">
      <c r="I185" s="1">
        <v>182</v>
      </c>
      <c r="J185" s="17">
        <f>'[1]资源-钻石'!T185</f>
        <v>949960.67007037718</v>
      </c>
      <c r="K185" s="17">
        <f>'[1]资源-钻石'!U185</f>
        <v>1352903.1815090941</v>
      </c>
      <c r="L185" s="17">
        <f>'[1]资源-钻石'!V185</f>
        <v>2305502.4107851568</v>
      </c>
      <c r="M185" s="17">
        <f>'[1]资源-钻石'!W185</f>
        <v>6208541.3567415075</v>
      </c>
      <c r="N185" s="17">
        <f>'[1]资源-钻石'!X185</f>
        <v>14877896.053909006</v>
      </c>
    </row>
    <row r="186" spans="9:14" x14ac:dyDescent="0.15">
      <c r="I186" s="4">
        <v>183</v>
      </c>
      <c r="J186" s="17">
        <f>'[1]资源-钻石'!T186</f>
        <v>953848.58479599631</v>
      </c>
      <c r="K186" s="17">
        <f>'[1]资源-钻石'!U186</f>
        <v>1358893.1010006021</v>
      </c>
      <c r="L186" s="17">
        <f>'[1]资源-钻石'!V186</f>
        <v>2316506.7876031557</v>
      </c>
      <c r="M186" s="17">
        <f>'[1]资源-钻石'!W186</f>
        <v>6240996.7072370406</v>
      </c>
      <c r="N186" s="17">
        <f>'[1]资源-钻石'!X186</f>
        <v>14957105.995589282</v>
      </c>
    </row>
    <row r="187" spans="9:14" x14ac:dyDescent="0.15">
      <c r="I187" s="4">
        <v>184</v>
      </c>
      <c r="J187" s="17">
        <f>'[1]资源-钻石'!T187</f>
        <v>957736.49952161545</v>
      </c>
      <c r="K187" s="17">
        <f>'[1]资源-钻石'!U187</f>
        <v>1364883.0204921104</v>
      </c>
      <c r="L187" s="17">
        <f>'[1]资源-钻石'!V187</f>
        <v>2327511.1644211551</v>
      </c>
      <c r="M187" s="17">
        <f>'[1]资源-钻石'!W187</f>
        <v>6273452.0577325737</v>
      </c>
      <c r="N187" s="17">
        <f>'[1]资源-钻石'!X187</f>
        <v>15036315.937269557</v>
      </c>
    </row>
    <row r="188" spans="9:14" x14ac:dyDescent="0.15">
      <c r="I188" s="4">
        <v>185</v>
      </c>
      <c r="J188" s="17">
        <f>'[1]资源-钻石'!T188</f>
        <v>961624.41424723458</v>
      </c>
      <c r="K188" s="17">
        <f>'[1]资源-钻石'!U188</f>
        <v>1370872.9399836184</v>
      </c>
      <c r="L188" s="17">
        <f>'[1]资源-钻石'!V188</f>
        <v>2338515.5412391541</v>
      </c>
      <c r="M188" s="17">
        <f>'[1]资源-钻石'!W188</f>
        <v>6305907.4082281068</v>
      </c>
      <c r="N188" s="17">
        <f>'[1]资源-钻石'!X188</f>
        <v>15115525.878949834</v>
      </c>
    </row>
    <row r="189" spans="9:14" x14ac:dyDescent="0.15">
      <c r="I189" s="4">
        <v>186</v>
      </c>
      <c r="J189" s="17">
        <f>'[1]资源-钻石'!T189</f>
        <v>965512.32897285372</v>
      </c>
      <c r="K189" s="17">
        <f>'[1]资源-钻石'!U189</f>
        <v>1376862.8594751265</v>
      </c>
      <c r="L189" s="17">
        <f>'[1]资源-钻石'!V189</f>
        <v>2349519.918057153</v>
      </c>
      <c r="M189" s="17">
        <f>'[1]资源-钻石'!W189</f>
        <v>6338221.9098628685</v>
      </c>
      <c r="N189" s="17">
        <f>'[1]资源-钻石'!X189</f>
        <v>15194735.820630111</v>
      </c>
    </row>
    <row r="190" spans="9:14" x14ac:dyDescent="0.15">
      <c r="I190" s="1">
        <v>187</v>
      </c>
      <c r="J190" s="17">
        <f>'[1]资源-钻石'!T190</f>
        <v>969400.24369847286</v>
      </c>
      <c r="K190" s="17">
        <f>'[1]资源-钻石'!U190</f>
        <v>1382852.7789666345</v>
      </c>
      <c r="L190" s="17">
        <f>'[1]资源-钻石'!V190</f>
        <v>2360524.2948751524</v>
      </c>
      <c r="M190" s="17">
        <f>'[1]资源-钻石'!W190</f>
        <v>6370346.7243626676</v>
      </c>
      <c r="N190" s="17">
        <f>'[1]资源-钻石'!X190</f>
        <v>15273945.762310388</v>
      </c>
    </row>
    <row r="191" spans="9:14" x14ac:dyDescent="0.15">
      <c r="I191" s="1">
        <v>188</v>
      </c>
      <c r="J191" s="17">
        <f>'[1]资源-钻石'!T191</f>
        <v>973288.15842409199</v>
      </c>
      <c r="K191" s="17">
        <f>'[1]资源-钻石'!U191</f>
        <v>1388842.6984581426</v>
      </c>
      <c r="L191" s="17">
        <f>'[1]资源-钻石'!V191</f>
        <v>2371528.6716931514</v>
      </c>
      <c r="M191" s="17">
        <f>'[1]资源-钻石'!W191</f>
        <v>6402471.5388624668</v>
      </c>
      <c r="N191" s="17">
        <f>'[1]资源-钻石'!X191</f>
        <v>15353155.703990664</v>
      </c>
    </row>
    <row r="192" spans="9:14" x14ac:dyDescent="0.15">
      <c r="I192" s="4">
        <v>189</v>
      </c>
      <c r="J192" s="17">
        <f>'[1]资源-钻石'!T192</f>
        <v>977176.07314971113</v>
      </c>
      <c r="K192" s="17">
        <f>'[1]资源-钻石'!U192</f>
        <v>1394832.6179496506</v>
      </c>
      <c r="L192" s="17">
        <f>'[1]资源-钻石'!V192</f>
        <v>2382533.0485111508</v>
      </c>
      <c r="M192" s="17">
        <f>'[1]资源-钻石'!W192</f>
        <v>6434596.353362266</v>
      </c>
      <c r="N192" s="17">
        <f>'[1]资源-钻石'!X192</f>
        <v>15432365.645670941</v>
      </c>
    </row>
    <row r="193" spans="9:14" x14ac:dyDescent="0.15">
      <c r="I193" s="4">
        <v>190</v>
      </c>
      <c r="J193" s="17">
        <f>'[1]资源-钻石'!T193</f>
        <v>981063.98787533026</v>
      </c>
      <c r="K193" s="17">
        <f>'[1]资源-钻石'!U193</f>
        <v>1400822.5374411589</v>
      </c>
      <c r="L193" s="17">
        <f>'[1]资源-钻石'!V193</f>
        <v>2393537.4253291497</v>
      </c>
      <c r="M193" s="17">
        <f>'[1]资源-钻石'!W193</f>
        <v>6466721.1678620651</v>
      </c>
      <c r="N193" s="17">
        <f>'[1]资源-钻石'!X193</f>
        <v>15511575.587351218</v>
      </c>
    </row>
    <row r="194" spans="9:14" x14ac:dyDescent="0.15">
      <c r="I194" s="4">
        <v>191</v>
      </c>
      <c r="J194" s="17">
        <f>'[1]资源-钻石'!T194</f>
        <v>984951.9026009494</v>
      </c>
      <c r="K194" s="17">
        <f>'[1]资源-钻石'!U194</f>
        <v>1406812.4569326669</v>
      </c>
      <c r="L194" s="17">
        <f>'[1]资源-钻石'!V194</f>
        <v>2404541.8021471491</v>
      </c>
      <c r="M194" s="17">
        <f>'[1]资源-钻石'!W194</f>
        <v>6498845.9823618643</v>
      </c>
      <c r="N194" s="17">
        <f>'[1]资源-钻石'!X194</f>
        <v>15590785.529031493</v>
      </c>
    </row>
    <row r="195" spans="9:14" x14ac:dyDescent="0.15">
      <c r="I195" s="4">
        <v>192</v>
      </c>
      <c r="J195" s="17">
        <f>'[1]资源-钻石'!T195</f>
        <v>988839.81732656853</v>
      </c>
      <c r="K195" s="17">
        <f>'[1]资源-钻石'!U195</f>
        <v>1412802.376424175</v>
      </c>
      <c r="L195" s="17">
        <f>'[1]资源-钻石'!V195</f>
        <v>2415546.1789651481</v>
      </c>
      <c r="M195" s="17">
        <f>'[1]资源-钻石'!W195</f>
        <v>6530970.7968616635</v>
      </c>
      <c r="N195" s="17">
        <f>'[1]资源-钻石'!X195</f>
        <v>15669995.47071177</v>
      </c>
    </row>
    <row r="196" spans="9:14" x14ac:dyDescent="0.15">
      <c r="I196" s="1">
        <v>193</v>
      </c>
      <c r="J196" s="17">
        <f>'[1]资源-钻石'!T196</f>
        <v>992727.73205218767</v>
      </c>
      <c r="K196" s="17">
        <f>'[1]资源-钻石'!U196</f>
        <v>1418760.5052574067</v>
      </c>
      <c r="L196" s="17">
        <f>'[1]资源-钻石'!V196</f>
        <v>2426550.5557831475</v>
      </c>
      <c r="M196" s="17">
        <f>'[1]资源-钻石'!W196</f>
        <v>6563095.6113614617</v>
      </c>
      <c r="N196" s="17">
        <f>'[1]资源-钻石'!X196</f>
        <v>15749202.672497608</v>
      </c>
    </row>
    <row r="197" spans="9:14" x14ac:dyDescent="0.15">
      <c r="I197" s="1">
        <v>194</v>
      </c>
      <c r="J197" s="17">
        <f>'[1]资源-钻石'!T197</f>
        <v>996615.64677780692</v>
      </c>
      <c r="K197" s="17">
        <f>'[1]资源-钻石'!U197</f>
        <v>1424717.2114555878</v>
      </c>
      <c r="L197" s="17">
        <f>'[1]资源-钻石'!V197</f>
        <v>2437554.9326011464</v>
      </c>
      <c r="M197" s="17">
        <f>'[1]资源-钻石'!W197</f>
        <v>6595220.4258612609</v>
      </c>
      <c r="N197" s="17">
        <f>'[1]资源-钻石'!X197</f>
        <v>15828394.968447385</v>
      </c>
    </row>
    <row r="198" spans="9:14" x14ac:dyDescent="0.15">
      <c r="I198" s="4">
        <v>195</v>
      </c>
      <c r="J198" s="17">
        <f>'[1]资源-钻石'!T198</f>
        <v>1000503.5615034261</v>
      </c>
      <c r="K198" s="17">
        <f>'[1]资源-钻石'!U198</f>
        <v>1430673.9176537688</v>
      </c>
      <c r="L198" s="17">
        <f>'[1]资源-钻石'!V198</f>
        <v>2448559.3094191458</v>
      </c>
      <c r="M198" s="17">
        <f>'[1]资源-钻石'!W198</f>
        <v>6627345.24036106</v>
      </c>
      <c r="N198" s="17">
        <f>'[1]资源-钻石'!X198</f>
        <v>15907587.264397165</v>
      </c>
    </row>
    <row r="199" spans="9:14" x14ac:dyDescent="0.15">
      <c r="I199" s="4">
        <v>196</v>
      </c>
      <c r="J199" s="17">
        <f>'[1]资源-钻石'!T199</f>
        <v>1004391.4762290452</v>
      </c>
      <c r="K199" s="17">
        <f>'[1]资源-钻石'!U199</f>
        <v>1436630.6238519498</v>
      </c>
      <c r="L199" s="17">
        <f>'[1]资源-钻石'!V199</f>
        <v>2459563.6862371447</v>
      </c>
      <c r="M199" s="17">
        <f>'[1]资源-钻石'!W199</f>
        <v>6659470.0548608592</v>
      </c>
      <c r="N199" s="17">
        <f>'[1]资源-钻石'!X199</f>
        <v>15986779.560346944</v>
      </c>
    </row>
    <row r="200" spans="9:14" x14ac:dyDescent="0.15">
      <c r="I200" s="4">
        <v>197</v>
      </c>
      <c r="J200" s="17">
        <f>'[1]资源-钻石'!T200</f>
        <v>1008279.3909546643</v>
      </c>
      <c r="K200" s="17">
        <f>'[1]资源-钻石'!U200</f>
        <v>1442587.3300501308</v>
      </c>
      <c r="L200" s="17">
        <f>'[1]资源-钻石'!V200</f>
        <v>2470568.0630551442</v>
      </c>
      <c r="M200" s="17">
        <f>'[1]资源-钻石'!W200</f>
        <v>6691594.8693606583</v>
      </c>
      <c r="N200" s="17">
        <f>'[1]资源-钻石'!X200</f>
        <v>16065971.856296724</v>
      </c>
    </row>
    <row r="201" spans="9:14" x14ac:dyDescent="0.15">
      <c r="I201" s="4">
        <v>198</v>
      </c>
      <c r="J201" s="17">
        <f>'[1]资源-钻石'!T201</f>
        <v>1012167.3056802835</v>
      </c>
      <c r="K201" s="17">
        <f>'[1]资源-钻石'!U201</f>
        <v>1448544.0362483119</v>
      </c>
      <c r="L201" s="17">
        <f>'[1]资源-钻石'!V201</f>
        <v>2481572.4398731431</v>
      </c>
      <c r="M201" s="17">
        <f>'[1]资源-钻石'!W201</f>
        <v>6723719.6838604575</v>
      </c>
      <c r="N201" s="17">
        <f>'[1]资源-钻石'!X201</f>
        <v>16145164.152246501</v>
      </c>
    </row>
    <row r="202" spans="9:14" x14ac:dyDescent="0.15">
      <c r="I202" s="1">
        <v>199</v>
      </c>
      <c r="J202" s="17">
        <f>'[1]资源-钻石'!T202</f>
        <v>1016055.2204059026</v>
      </c>
      <c r="K202" s="17">
        <f>'[1]资源-钻石'!U202</f>
        <v>1454500.7424464929</v>
      </c>
      <c r="L202" s="17">
        <f>'[1]资源-钻石'!V202</f>
        <v>2492576.8166911425</v>
      </c>
      <c r="M202" s="17">
        <f>'[1]资源-钻石'!W202</f>
        <v>6755844.4983602567</v>
      </c>
      <c r="N202" s="17">
        <f>'[1]资源-钻石'!X202</f>
        <v>16224356.448196281</v>
      </c>
    </row>
    <row r="203" spans="9:14" x14ac:dyDescent="0.15">
      <c r="I203" s="1">
        <v>200</v>
      </c>
      <c r="J203" s="17">
        <f>'[1]资源-钻石'!T203</f>
        <v>1019943.1351315217</v>
      </c>
      <c r="K203" s="17">
        <f>'[1]资源-钻石'!U203</f>
        <v>1460457.4486446739</v>
      </c>
      <c r="L203" s="17">
        <f>'[1]资源-钻石'!V203</f>
        <v>2503581.1935091414</v>
      </c>
      <c r="M203" s="17">
        <f>'[1]资源-钻石'!W203</f>
        <v>6787969.3128600558</v>
      </c>
      <c r="N203" s="17">
        <f>'[1]资源-钻石'!X203</f>
        <v>16303548.74414606</v>
      </c>
    </row>
    <row r="204" spans="9:14" x14ac:dyDescent="0.15">
      <c r="I204" s="4">
        <v>201</v>
      </c>
      <c r="J204" s="17">
        <f>'[1]资源-钻石'!T204</f>
        <v>1023831.0498571409</v>
      </c>
      <c r="K204" s="17">
        <f>'[1]资源-钻石'!U204</f>
        <v>1466414.1548428549</v>
      </c>
      <c r="L204" s="17">
        <f>'[1]资源-钻石'!V204</f>
        <v>2514585.5703271409</v>
      </c>
      <c r="M204" s="17">
        <f>'[1]资源-钻石'!W204</f>
        <v>6820094.127359855</v>
      </c>
      <c r="N204" s="17">
        <f>'[1]资源-钻石'!X204</f>
        <v>16382741.04009584</v>
      </c>
    </row>
    <row r="205" spans="9:14" x14ac:dyDescent="0.15">
      <c r="I205" s="4">
        <v>202</v>
      </c>
      <c r="J205" s="17">
        <f>'[1]资源-钻石'!T205</f>
        <v>1027718.96458276</v>
      </c>
      <c r="K205" s="17">
        <f>'[1]资源-钻石'!U205</f>
        <v>1472370.861041036</v>
      </c>
      <c r="L205" s="17">
        <f>'[1]资源-钻石'!V205</f>
        <v>2525589.9471451398</v>
      </c>
      <c r="M205" s="17">
        <f>'[1]资源-钻石'!W205</f>
        <v>6852218.9418596542</v>
      </c>
      <c r="N205" s="17">
        <f>'[1]资源-钻石'!X205</f>
        <v>16461933.336045617</v>
      </c>
    </row>
    <row r="206" spans="9:14" x14ac:dyDescent="0.15">
      <c r="I206" s="4">
        <v>203</v>
      </c>
      <c r="J206" s="17">
        <f>'[1]资源-钻石'!T206</f>
        <v>1031606.8793083791</v>
      </c>
      <c r="K206" s="17">
        <f>'[1]资源-钻石'!U206</f>
        <v>1478327.567239217</v>
      </c>
      <c r="L206" s="17">
        <f>'[1]资源-钻石'!V206</f>
        <v>2536594.3239631392</v>
      </c>
      <c r="M206" s="17">
        <f>'[1]资源-钻石'!W206</f>
        <v>6884343.7563594533</v>
      </c>
      <c r="N206" s="17">
        <f>'[1]资源-钻石'!X206</f>
        <v>16541125.631995397</v>
      </c>
    </row>
    <row r="207" spans="9:14" x14ac:dyDescent="0.15">
      <c r="I207" s="4">
        <v>204</v>
      </c>
      <c r="J207" s="17">
        <f>'[1]资源-钻石'!T207</f>
        <v>1035494.7940339983</v>
      </c>
      <c r="K207" s="17">
        <f>'[1]资源-钻石'!U207</f>
        <v>1484284.273437398</v>
      </c>
      <c r="L207" s="17">
        <f>'[1]资源-钻石'!V207</f>
        <v>2547598.7007811381</v>
      </c>
      <c r="M207" s="17">
        <f>'[1]资源-钻石'!W207</f>
        <v>6916468.5708592515</v>
      </c>
      <c r="N207" s="17">
        <f>'[1]资源-钻石'!X207</f>
        <v>16620317.927945176</v>
      </c>
    </row>
    <row r="208" spans="9:14" x14ac:dyDescent="0.15">
      <c r="I208" s="1">
        <v>205</v>
      </c>
      <c r="J208" s="17">
        <f>'[1]资源-钻石'!T208</f>
        <v>1039382.7087596174</v>
      </c>
      <c r="K208" s="17">
        <f>'[1]资源-钻石'!U208</f>
        <v>1490240.9796355793</v>
      </c>
      <c r="L208" s="17">
        <f>'[1]资源-钻石'!V208</f>
        <v>2558603.0775991376</v>
      </c>
      <c r="M208" s="17">
        <f>'[1]资源-钻石'!W208</f>
        <v>6948593.3853590507</v>
      </c>
      <c r="N208" s="17">
        <f>'[1]资源-钻石'!X208</f>
        <v>16699510.223894954</v>
      </c>
    </row>
    <row r="209" spans="9:14" x14ac:dyDescent="0.15">
      <c r="I209" s="1">
        <v>206</v>
      </c>
      <c r="J209" s="17">
        <f>'[1]资源-钻石'!T209</f>
        <v>1043270.6234852365</v>
      </c>
      <c r="K209" s="17">
        <f>'[1]资源-钻石'!U209</f>
        <v>1496197.6858337603</v>
      </c>
      <c r="L209" s="17">
        <f>'[1]资源-钻石'!V209</f>
        <v>2569607.4544171365</v>
      </c>
      <c r="M209" s="17">
        <f>'[1]资源-钻石'!W209</f>
        <v>6980718.1998588499</v>
      </c>
      <c r="N209" s="17">
        <f>'[1]资源-钻石'!X209</f>
        <v>16778702.519844733</v>
      </c>
    </row>
    <row r="210" spans="9:14" x14ac:dyDescent="0.15">
      <c r="I210" s="4">
        <v>207</v>
      </c>
      <c r="J210" s="17">
        <f>'[1]资源-钻石'!T210</f>
        <v>1047158.5382108557</v>
      </c>
      <c r="K210" s="17">
        <f>'[1]资源-钻石'!U210</f>
        <v>1502154.3920319413</v>
      </c>
      <c r="L210" s="17">
        <f>'[1]资源-钻石'!V210</f>
        <v>2580611.8312351359</v>
      </c>
      <c r="M210" s="17">
        <f>'[1]资源-钻石'!W210</f>
        <v>7012843.014358649</v>
      </c>
      <c r="N210" s="17">
        <f>'[1]资源-钻石'!X210</f>
        <v>16857894.815794513</v>
      </c>
    </row>
    <row r="211" spans="9:14" x14ac:dyDescent="0.15">
      <c r="I211" s="4">
        <v>208</v>
      </c>
      <c r="J211" s="17">
        <f>'[1]资源-钻石'!T211</f>
        <v>1051046.4529364747</v>
      </c>
      <c r="K211" s="17">
        <f>'[1]资源-钻石'!U211</f>
        <v>1508111.0982301224</v>
      </c>
      <c r="L211" s="17">
        <f>'[1]资源-钻石'!V211</f>
        <v>2591616.2080531348</v>
      </c>
      <c r="M211" s="17">
        <f>'[1]资源-钻石'!W211</f>
        <v>7044967.8288584482</v>
      </c>
      <c r="N211" s="17">
        <f>'[1]资源-钻石'!X211</f>
        <v>16937087.111744292</v>
      </c>
    </row>
    <row r="212" spans="9:14" x14ac:dyDescent="0.15">
      <c r="I212" s="4">
        <v>209</v>
      </c>
      <c r="J212" s="17">
        <f>'[1]资源-钻石'!T212</f>
        <v>1054934.3676620938</v>
      </c>
      <c r="K212" s="17">
        <f>'[1]资源-钻石'!U212</f>
        <v>1514067.8044283034</v>
      </c>
      <c r="L212" s="17">
        <f>'[1]资源-钻石'!V212</f>
        <v>2602620.5848711343</v>
      </c>
      <c r="M212" s="17">
        <f>'[1]资源-钻石'!W212</f>
        <v>7077092.6433582474</v>
      </c>
      <c r="N212" s="17">
        <f>'[1]资源-钻石'!X212</f>
        <v>17016279.407694072</v>
      </c>
    </row>
    <row r="213" spans="9:14" x14ac:dyDescent="0.15">
      <c r="I213" s="4">
        <v>210</v>
      </c>
      <c r="J213" s="17">
        <f>'[1]资源-钻石'!T213</f>
        <v>1058822.282387713</v>
      </c>
      <c r="K213" s="17">
        <f>'[1]资源-钻石'!U213</f>
        <v>1520024.5106264844</v>
      </c>
      <c r="L213" s="17">
        <f>'[1]资源-钻石'!V213</f>
        <v>2613624.9616891332</v>
      </c>
      <c r="M213" s="17">
        <f>'[1]资源-钻石'!W213</f>
        <v>7109217.4578580465</v>
      </c>
      <c r="N213" s="17">
        <f>'[1]资源-钻石'!X213</f>
        <v>17095471.703643851</v>
      </c>
    </row>
    <row r="214" spans="9:14" x14ac:dyDescent="0.15">
      <c r="I214" s="1">
        <v>211</v>
      </c>
      <c r="J214" s="17">
        <f>'[1]资源-钻石'!T214</f>
        <v>1062710.1971133321</v>
      </c>
      <c r="K214" s="17">
        <f>'[1]资源-钻石'!U214</f>
        <v>1525981.2168246654</v>
      </c>
      <c r="L214" s="17">
        <f>'[1]资源-钻石'!V214</f>
        <v>2624629.3385071326</v>
      </c>
      <c r="M214" s="17">
        <f>'[1]资源-钻石'!W214</f>
        <v>7141342.2723578457</v>
      </c>
      <c r="N214" s="17">
        <f>'[1]资源-钻石'!X214</f>
        <v>17174663.99959363</v>
      </c>
    </row>
    <row r="215" spans="9:14" x14ac:dyDescent="0.15">
      <c r="I215" s="1">
        <v>212</v>
      </c>
      <c r="J215" s="17">
        <f>'[1]资源-钻石'!T215</f>
        <v>1066598.1118389512</v>
      </c>
      <c r="K215" s="17">
        <f>'[1]资源-钻石'!U215</f>
        <v>1531937.9230228467</v>
      </c>
      <c r="L215" s="17">
        <f>'[1]资源-钻石'!V215</f>
        <v>2635633.7153251315</v>
      </c>
      <c r="M215" s="17">
        <f>'[1]资源-钻石'!W215</f>
        <v>7173467.0868576448</v>
      </c>
      <c r="N215" s="17">
        <f>'[1]资源-钻石'!X215</f>
        <v>17253856.295543406</v>
      </c>
    </row>
    <row r="216" spans="9:14" x14ac:dyDescent="0.15">
      <c r="I216" s="4">
        <v>213</v>
      </c>
      <c r="J216" s="17">
        <f>'[1]资源-钻石'!T216</f>
        <v>1070486.0265645704</v>
      </c>
      <c r="K216" s="17">
        <f>'[1]资源-钻石'!U216</f>
        <v>1537894.6292210277</v>
      </c>
      <c r="L216" s="17">
        <f>'[1]资源-钻石'!V216</f>
        <v>2646638.092143131</v>
      </c>
      <c r="M216" s="17">
        <f>'[1]资源-钻石'!W216</f>
        <v>7205591.901357444</v>
      </c>
      <c r="N216" s="17">
        <f>'[1]资源-钻石'!X216</f>
        <v>17333048.591493186</v>
      </c>
    </row>
    <row r="217" spans="9:14" x14ac:dyDescent="0.15">
      <c r="I217" s="4">
        <v>214</v>
      </c>
      <c r="J217" s="17">
        <f>'[1]资源-钻石'!T217</f>
        <v>1074373.9412901895</v>
      </c>
      <c r="K217" s="17">
        <f>'[1]资源-钻石'!U217</f>
        <v>1543851.3354192087</v>
      </c>
      <c r="L217" s="17">
        <f>'[1]资源-钻石'!V217</f>
        <v>2657642.4689611299</v>
      </c>
      <c r="M217" s="17">
        <f>'[1]资源-钻石'!W217</f>
        <v>7237716.7158572432</v>
      </c>
      <c r="N217" s="17">
        <f>'[1]资源-钻石'!X217</f>
        <v>17412240.887442965</v>
      </c>
    </row>
    <row r="218" spans="9:14" x14ac:dyDescent="0.15">
      <c r="I218" s="4">
        <v>215</v>
      </c>
      <c r="J218" s="17">
        <f>'[1]资源-钻石'!T218</f>
        <v>1078261.8560158086</v>
      </c>
      <c r="K218" s="17">
        <f>'[1]资源-钻石'!U218</f>
        <v>1549808.0416173898</v>
      </c>
      <c r="L218" s="17">
        <f>'[1]资源-钻石'!V218</f>
        <v>2668646.8457791293</v>
      </c>
      <c r="M218" s="17">
        <f>'[1]资源-钻石'!W218</f>
        <v>7269841.5303570414</v>
      </c>
      <c r="N218" s="17">
        <f>'[1]资源-钻石'!X218</f>
        <v>17491433.183392745</v>
      </c>
    </row>
    <row r="219" spans="9:14" x14ac:dyDescent="0.15">
      <c r="I219" s="4">
        <v>216</v>
      </c>
      <c r="J219" s="17">
        <f>'[1]资源-钻石'!T219</f>
        <v>1082149.7707414278</v>
      </c>
      <c r="K219" s="17">
        <f>'[1]资源-钻石'!U219</f>
        <v>1555764.7478155708</v>
      </c>
      <c r="L219" s="17">
        <f>'[1]资源-钻石'!V219</f>
        <v>2679651.2225971282</v>
      </c>
      <c r="M219" s="17">
        <f>'[1]资源-钻石'!W219</f>
        <v>7301966.3448568406</v>
      </c>
      <c r="N219" s="17">
        <f>'[1]资源-钻石'!X219</f>
        <v>17570625.479342524</v>
      </c>
    </row>
    <row r="220" spans="9:14" x14ac:dyDescent="0.15">
      <c r="I220" s="1">
        <v>217</v>
      </c>
      <c r="J220" s="17">
        <f>'[1]资源-钻石'!T220</f>
        <v>1086037.6854670469</v>
      </c>
      <c r="K220" s="17">
        <f>'[1]资源-钻石'!U220</f>
        <v>1561721.4540137518</v>
      </c>
      <c r="L220" s="17">
        <f>'[1]资源-钻石'!V220</f>
        <v>2690655.5994151277</v>
      </c>
      <c r="M220" s="17">
        <f>'[1]资源-钻石'!W220</f>
        <v>7334091.1593566397</v>
      </c>
      <c r="N220" s="17">
        <f>'[1]资源-钻石'!X220</f>
        <v>17649817.775292303</v>
      </c>
    </row>
    <row r="221" spans="9:14" x14ac:dyDescent="0.15">
      <c r="I221" s="1">
        <v>218</v>
      </c>
      <c r="J221" s="17">
        <f>'[1]资源-钻石'!T221</f>
        <v>1089925.6001926661</v>
      </c>
      <c r="K221" s="17">
        <f>'[1]资源-钻石'!U221</f>
        <v>1567678.1602119331</v>
      </c>
      <c r="L221" s="17">
        <f>'[1]资源-钻石'!V221</f>
        <v>2701659.9762331266</v>
      </c>
      <c r="M221" s="17">
        <f>'[1]资源-钻石'!W221</f>
        <v>7366215.9738564389</v>
      </c>
      <c r="N221" s="17">
        <f>'[1]资源-钻石'!X221</f>
        <v>17729010.071242083</v>
      </c>
    </row>
    <row r="222" spans="9:14" x14ac:dyDescent="0.15">
      <c r="I222" s="4">
        <v>219</v>
      </c>
      <c r="J222" s="17">
        <f>'[1]资源-钻石'!T222</f>
        <v>1093813.5149182852</v>
      </c>
      <c r="K222" s="17">
        <f>'[1]资源-钻石'!U222</f>
        <v>1573634.8664101141</v>
      </c>
      <c r="L222" s="17">
        <f>'[1]资源-钻石'!V222</f>
        <v>2712664.353051126</v>
      </c>
      <c r="M222" s="17">
        <f>'[1]资源-钻石'!W222</f>
        <v>7398340.788356238</v>
      </c>
      <c r="N222" s="17">
        <f>'[1]资源-钻石'!X222</f>
        <v>17808202.367191862</v>
      </c>
    </row>
    <row r="223" spans="9:14" x14ac:dyDescent="0.15">
      <c r="I223" s="4">
        <v>220</v>
      </c>
      <c r="J223" s="17">
        <f>'[1]资源-钻石'!T223</f>
        <v>1097701.4296439043</v>
      </c>
      <c r="K223" s="17">
        <f>'[1]资源-钻石'!U223</f>
        <v>1579591.5726082951</v>
      </c>
      <c r="L223" s="17">
        <f>'[1]资源-钻石'!V223</f>
        <v>2723668.7298691249</v>
      </c>
      <c r="M223" s="17">
        <f>'[1]资源-钻石'!W223</f>
        <v>7430465.6028560372</v>
      </c>
      <c r="N223" s="17">
        <f>'[1]资源-钻石'!X223</f>
        <v>17887394.663141642</v>
      </c>
    </row>
    <row r="224" spans="9:14" x14ac:dyDescent="0.15">
      <c r="I224" s="4">
        <v>221</v>
      </c>
      <c r="J224" s="17">
        <f>'[1]资源-钻石'!T224</f>
        <v>1101589.3443695235</v>
      </c>
      <c r="K224" s="17">
        <f>'[1]资源-钻石'!U224</f>
        <v>1585548.2788064762</v>
      </c>
      <c r="L224" s="17">
        <f>'[1]资源-钻石'!V224</f>
        <v>2734673.1066871239</v>
      </c>
      <c r="M224" s="17">
        <f>'[1]资源-钻石'!W224</f>
        <v>7462590.4173558364</v>
      </c>
      <c r="N224" s="17">
        <f>'[1]资源-钻石'!X224</f>
        <v>17966586.959091417</v>
      </c>
    </row>
    <row r="225" spans="9:14" x14ac:dyDescent="0.15">
      <c r="I225" s="4">
        <v>222</v>
      </c>
      <c r="J225" s="17">
        <f>'[1]资源-钻石'!T225</f>
        <v>1105477.2590951426</v>
      </c>
      <c r="K225" s="17">
        <f>'[1]资源-钻石'!U225</f>
        <v>1591504.9850046572</v>
      </c>
      <c r="L225" s="17">
        <f>'[1]资源-钻石'!V225</f>
        <v>2745677.4835051233</v>
      </c>
      <c r="M225" s="17">
        <f>'[1]资源-钻石'!W225</f>
        <v>7494715.2318556355</v>
      </c>
      <c r="N225" s="17">
        <f>'[1]资源-钻石'!X225</f>
        <v>18045779.255041197</v>
      </c>
    </row>
    <row r="226" spans="9:14" x14ac:dyDescent="0.15">
      <c r="I226" s="1">
        <v>223</v>
      </c>
      <c r="J226" s="17">
        <f>'[1]资源-钻石'!T226</f>
        <v>1109365.1738207617</v>
      </c>
      <c r="K226" s="17">
        <f>'[1]资源-钻石'!U226</f>
        <v>1597461.6912028382</v>
      </c>
      <c r="L226" s="17">
        <f>'[1]资源-钻石'!V226</f>
        <v>2756681.8603231222</v>
      </c>
      <c r="M226" s="17">
        <f>'[1]资源-钻石'!W226</f>
        <v>7526840.0463554347</v>
      </c>
      <c r="N226" s="17">
        <f>'[1]资源-钻石'!X226</f>
        <v>18124971.550990976</v>
      </c>
    </row>
    <row r="227" spans="9:14" x14ac:dyDescent="0.15">
      <c r="I227" s="1">
        <v>224</v>
      </c>
      <c r="J227" s="17">
        <f>'[1]资源-钻石'!T227</f>
        <v>1113253.0885463809</v>
      </c>
      <c r="K227" s="17">
        <f>'[1]资源-钻石'!U227</f>
        <v>1603418.3974010192</v>
      </c>
      <c r="L227" s="17">
        <f>'[1]资源-钻石'!V227</f>
        <v>2767686.2371411216</v>
      </c>
      <c r="M227" s="17">
        <f>'[1]资源-钻石'!W227</f>
        <v>7558964.8608552339</v>
      </c>
      <c r="N227" s="17">
        <f>'[1]资源-钻石'!X227</f>
        <v>18204163.846940756</v>
      </c>
    </row>
    <row r="228" spans="9:14" x14ac:dyDescent="0.15">
      <c r="I228" s="4">
        <v>225</v>
      </c>
      <c r="J228" s="17">
        <f>'[1]资源-钻石'!T228</f>
        <v>1117141.003272</v>
      </c>
      <c r="K228" s="17">
        <f>'[1]资源-钻石'!U228</f>
        <v>1609375.1035992003</v>
      </c>
      <c r="L228" s="17">
        <f>'[1]资源-钻石'!V228</f>
        <v>2778690.6139591206</v>
      </c>
      <c r="M228" s="17">
        <f>'[1]资源-钻石'!W228</f>
        <v>7591089.675355033</v>
      </c>
      <c r="N228" s="17">
        <f>'[1]资源-钻石'!X228</f>
        <v>18283356.142890535</v>
      </c>
    </row>
    <row r="229" spans="9:14" x14ac:dyDescent="0.15">
      <c r="I229" s="4">
        <v>226</v>
      </c>
      <c r="J229" s="17">
        <f>'[1]资源-钻石'!T229</f>
        <v>1121028.9179976194</v>
      </c>
      <c r="K229" s="17">
        <f>'[1]资源-钻石'!U229</f>
        <v>1615331.8097973813</v>
      </c>
      <c r="L229" s="17">
        <f>'[1]资源-钻石'!V229</f>
        <v>2789694.99077712</v>
      </c>
      <c r="M229" s="17">
        <f>'[1]资源-钻石'!W229</f>
        <v>7623214.4898548322</v>
      </c>
      <c r="N229" s="17">
        <f>'[1]资源-钻石'!X229</f>
        <v>18362548.438840315</v>
      </c>
    </row>
    <row r="230" spans="9:14" x14ac:dyDescent="0.15">
      <c r="I230" s="4">
        <v>227</v>
      </c>
      <c r="J230" s="17">
        <f>'[1]资源-钻石'!T230</f>
        <v>1124916.8327232385</v>
      </c>
      <c r="K230" s="17">
        <f>'[1]资源-钻石'!U230</f>
        <v>1621288.5159955623</v>
      </c>
      <c r="L230" s="17">
        <f>'[1]资源-钻石'!V230</f>
        <v>2800699.3675951189</v>
      </c>
      <c r="M230" s="17">
        <f>'[1]资源-钻石'!W230</f>
        <v>7655339.3043546304</v>
      </c>
      <c r="N230" s="17">
        <f>'[1]资源-钻石'!X230</f>
        <v>18441740.734790094</v>
      </c>
    </row>
    <row r="231" spans="9:14" x14ac:dyDescent="0.15">
      <c r="I231" s="4">
        <v>228</v>
      </c>
      <c r="J231" s="17">
        <f>'[1]资源-钻石'!T231</f>
        <v>1128804.7474488576</v>
      </c>
      <c r="K231" s="17">
        <f>'[1]资源-钻石'!U231</f>
        <v>1627245.2221937433</v>
      </c>
      <c r="L231" s="17">
        <f>'[1]资源-钻石'!V231</f>
        <v>2811703.7444131183</v>
      </c>
      <c r="M231" s="17">
        <f>'[1]资源-钻石'!W231</f>
        <v>7687464.1188544296</v>
      </c>
      <c r="N231" s="17">
        <f>'[1]资源-钻石'!X231</f>
        <v>18520933.030739874</v>
      </c>
    </row>
    <row r="232" spans="9:14" x14ac:dyDescent="0.15">
      <c r="I232" s="1">
        <v>229</v>
      </c>
      <c r="J232" s="17">
        <f>'[1]资源-钻石'!T232</f>
        <v>1132692.6621744768</v>
      </c>
      <c r="K232" s="17">
        <f>'[1]资源-钻石'!U232</f>
        <v>1633201.9283919244</v>
      </c>
      <c r="L232" s="17">
        <f>'[1]资源-钻石'!V232</f>
        <v>2822708.1212311173</v>
      </c>
      <c r="M232" s="17">
        <f>'[1]资源-钻石'!W232</f>
        <v>7719588.9333542287</v>
      </c>
      <c r="N232" s="17">
        <f>'[1]资源-钻石'!X232</f>
        <v>18600125.326689649</v>
      </c>
    </row>
    <row r="233" spans="9:14" x14ac:dyDescent="0.15">
      <c r="I233" s="1">
        <v>230</v>
      </c>
      <c r="J233" s="17">
        <f>'[1]资源-钻石'!T233</f>
        <v>1136580.5769000959</v>
      </c>
      <c r="K233" s="17">
        <f>'[1]资源-钻石'!U233</f>
        <v>1639158.6345901056</v>
      </c>
      <c r="L233" s="17">
        <f>'[1]资源-钻石'!V233</f>
        <v>2833712.4980491167</v>
      </c>
      <c r="M233" s="17">
        <f>'[1]资源-钻石'!W233</f>
        <v>7751713.7478540279</v>
      </c>
      <c r="N233" s="17">
        <f>'[1]资源-钻石'!X233</f>
        <v>18679317.622639429</v>
      </c>
    </row>
    <row r="234" spans="9:14" x14ac:dyDescent="0.15">
      <c r="I234" s="4">
        <v>231</v>
      </c>
      <c r="J234" s="17">
        <f>'[1]资源-钻石'!T234</f>
        <v>1140468.491625715</v>
      </c>
      <c r="K234" s="17">
        <f>'[1]资源-钻石'!U234</f>
        <v>1645115.3407882866</v>
      </c>
      <c r="L234" s="17">
        <f>'[1]资源-钻石'!V234</f>
        <v>2844716.8748671156</v>
      </c>
      <c r="M234" s="17">
        <f>'[1]资源-钻石'!W234</f>
        <v>7783838.5623538271</v>
      </c>
      <c r="N234" s="17">
        <f>'[1]资源-钻石'!X234</f>
        <v>18758509.918589208</v>
      </c>
    </row>
    <row r="235" spans="9:14" x14ac:dyDescent="0.15">
      <c r="I235" s="4">
        <v>232</v>
      </c>
      <c r="J235" s="17">
        <f>'[1]资源-钻石'!T235</f>
        <v>1144356.4063513342</v>
      </c>
      <c r="K235" s="17">
        <f>'[1]资源-钻石'!U235</f>
        <v>1651072.0469864677</v>
      </c>
      <c r="L235" s="17">
        <f>'[1]资源-钻石'!V235</f>
        <v>2855721.2516851146</v>
      </c>
      <c r="M235" s="17">
        <f>'[1]资源-钻石'!W235</f>
        <v>7815963.3768536262</v>
      </c>
      <c r="N235" s="17">
        <f>'[1]资源-钻石'!X235</f>
        <v>18837702.214538988</v>
      </c>
    </row>
    <row r="236" spans="9:14" x14ac:dyDescent="0.15">
      <c r="I236" s="4">
        <v>233</v>
      </c>
      <c r="J236" s="17">
        <f>'[1]资源-钻石'!T236</f>
        <v>1148244.3210769533</v>
      </c>
      <c r="K236" s="17">
        <f>'[1]资源-钻石'!U236</f>
        <v>1657028.7531846487</v>
      </c>
      <c r="L236" s="17">
        <f>'[1]资源-钻石'!V236</f>
        <v>2866725.628503114</v>
      </c>
      <c r="M236" s="17">
        <f>'[1]资源-钻石'!W236</f>
        <v>7848088.1913534254</v>
      </c>
      <c r="N236" s="17">
        <f>'[1]资源-钻石'!X236</f>
        <v>18916894.510488767</v>
      </c>
    </row>
    <row r="237" spans="9:14" x14ac:dyDescent="0.15">
      <c r="I237" s="4">
        <v>234</v>
      </c>
      <c r="J237" s="17">
        <f>'[1]资源-钻石'!T237</f>
        <v>1152132.2358025725</v>
      </c>
      <c r="K237" s="17">
        <f>'[1]资源-钻石'!U237</f>
        <v>1662985.4593828297</v>
      </c>
      <c r="L237" s="17">
        <f>'[1]资源-钻石'!V237</f>
        <v>2877730.0053211129</v>
      </c>
      <c r="M237" s="17">
        <f>'[1]资源-钻石'!W237</f>
        <v>7880213.0058532245</v>
      </c>
      <c r="N237" s="17">
        <f>'[1]资源-钻石'!X237</f>
        <v>18996086.806438547</v>
      </c>
    </row>
    <row r="238" spans="9:14" x14ac:dyDescent="0.15">
      <c r="I238" s="1">
        <v>235</v>
      </c>
      <c r="J238" s="17">
        <f>'[1]资源-钻石'!T238</f>
        <v>1156020.1505281916</v>
      </c>
      <c r="K238" s="17">
        <f>'[1]资源-钻石'!U238</f>
        <v>1668942.1655810107</v>
      </c>
      <c r="L238" s="17">
        <f>'[1]资源-钻石'!V238</f>
        <v>2888734.3821391123</v>
      </c>
      <c r="M238" s="17">
        <f>'[1]资源-钻石'!W238</f>
        <v>7912337.8203530237</v>
      </c>
      <c r="N238" s="17">
        <f>'[1]资源-钻石'!X238</f>
        <v>19075279.102388322</v>
      </c>
    </row>
    <row r="239" spans="9:14" x14ac:dyDescent="0.15">
      <c r="I239" s="1">
        <v>236</v>
      </c>
      <c r="J239" s="17">
        <f>'[1]资源-钻石'!T239</f>
        <v>1159908.0652538107</v>
      </c>
      <c r="K239" s="17">
        <f>'[1]资源-钻石'!U239</f>
        <v>1674898.8717791918</v>
      </c>
      <c r="L239" s="17">
        <f>'[1]资源-钻石'!V239</f>
        <v>2899738.7589571113</v>
      </c>
      <c r="M239" s="17">
        <f>'[1]资源-钻石'!W239</f>
        <v>7944462.6348528229</v>
      </c>
      <c r="N239" s="17">
        <f>'[1]资源-钻石'!X239</f>
        <v>19154471.398338102</v>
      </c>
    </row>
    <row r="240" spans="9:14" x14ac:dyDescent="0.15">
      <c r="I240" s="4">
        <v>237</v>
      </c>
      <c r="J240" s="17">
        <f>'[1]资源-钻石'!T240</f>
        <v>1163795.9799794299</v>
      </c>
      <c r="K240" s="17">
        <f>'[1]资源-钻石'!U240</f>
        <v>1680855.5779773728</v>
      </c>
      <c r="L240" s="17">
        <f>'[1]资源-钻石'!V240</f>
        <v>2910743.1357751107</v>
      </c>
      <c r="M240" s="17">
        <f>'[1]资源-钻石'!W240</f>
        <v>7976587.449352622</v>
      </c>
      <c r="N240" s="17">
        <f>'[1]资源-钻石'!X240</f>
        <v>19233663.694287881</v>
      </c>
    </row>
    <row r="241" spans="9:14" x14ac:dyDescent="0.15">
      <c r="I241" s="4">
        <v>238</v>
      </c>
      <c r="J241" s="17">
        <f>'[1]资源-钻石'!T241</f>
        <v>1167683.894705049</v>
      </c>
      <c r="K241" s="17">
        <f>'[1]资源-钻石'!U241</f>
        <v>1686812.2841755538</v>
      </c>
      <c r="L241" s="17">
        <f>'[1]资源-钻石'!V241</f>
        <v>2921747.5125931096</v>
      </c>
      <c r="M241" s="17">
        <f>'[1]资源-钻石'!W241</f>
        <v>8008712.2638524203</v>
      </c>
      <c r="N241" s="17">
        <f>'[1]资源-钻石'!X241</f>
        <v>19312855.990237661</v>
      </c>
    </row>
    <row r="242" spans="9:14" x14ac:dyDescent="0.15">
      <c r="I242" s="4">
        <v>239</v>
      </c>
      <c r="J242" s="17">
        <f>'[1]资源-钻石'!T242</f>
        <v>1171571.8094306681</v>
      </c>
      <c r="K242" s="17">
        <f>'[1]资源-钻石'!U242</f>
        <v>1692768.9903737349</v>
      </c>
      <c r="L242" s="17">
        <f>'[1]资源-钻石'!V242</f>
        <v>2932751.889411109</v>
      </c>
      <c r="M242" s="17">
        <f>'[1]资源-钻石'!W242</f>
        <v>8040837.0783522194</v>
      </c>
      <c r="N242" s="17">
        <f>'[1]资源-钻石'!X242</f>
        <v>19392048.28618744</v>
      </c>
    </row>
    <row r="243" spans="9:14" x14ac:dyDescent="0.15">
      <c r="I243" s="4">
        <v>240</v>
      </c>
      <c r="J243" s="17">
        <f>'[1]资源-钻石'!T243</f>
        <v>1175459.7241562873</v>
      </c>
      <c r="K243" s="17">
        <f>'[1]资源-钻石'!U243</f>
        <v>1698725.6965719159</v>
      </c>
      <c r="L243" s="17">
        <f>'[1]资源-钻石'!V243</f>
        <v>2943756.266229108</v>
      </c>
      <c r="M243" s="17">
        <f>'[1]资源-钻石'!W243</f>
        <v>8072961.8928520186</v>
      </c>
      <c r="N243" s="17">
        <f>'[1]资源-钻石'!X243</f>
        <v>19471240.58213722</v>
      </c>
    </row>
    <row r="244" spans="9:14" x14ac:dyDescent="0.15">
      <c r="I244" s="1">
        <v>241</v>
      </c>
      <c r="J244" s="17">
        <f>'[1]资源-钻石'!T244</f>
        <v>1179347.6388819064</v>
      </c>
      <c r="K244" s="17">
        <f>'[1]资源-钻石'!U244</f>
        <v>1704682.4027700971</v>
      </c>
      <c r="L244" s="17">
        <f>'[1]资源-钻石'!V244</f>
        <v>2954760.6430471069</v>
      </c>
      <c r="M244" s="17">
        <f>'[1]资源-钻石'!W244</f>
        <v>8105086.7073518177</v>
      </c>
      <c r="N244" s="17">
        <f>'[1]资源-钻石'!X244</f>
        <v>19550432.878086999</v>
      </c>
    </row>
    <row r="245" spans="9:14" x14ac:dyDescent="0.15">
      <c r="I245" s="1">
        <v>242</v>
      </c>
      <c r="J245" s="17">
        <f>'[1]资源-钻石'!T245</f>
        <v>1183235.5536075255</v>
      </c>
      <c r="K245" s="17">
        <f>'[1]资源-钻石'!U245</f>
        <v>1710639.1089682782</v>
      </c>
      <c r="L245" s="17">
        <f>'[1]资源-钻石'!V245</f>
        <v>2965765.0198651063</v>
      </c>
      <c r="M245" s="17">
        <f>'[1]资源-钻石'!W245</f>
        <v>8137211.5218516169</v>
      </c>
      <c r="N245" s="17">
        <f>'[1]资源-钻石'!X245</f>
        <v>19629625.174036775</v>
      </c>
    </row>
    <row r="246" spans="9:14" x14ac:dyDescent="0.15">
      <c r="I246" s="4">
        <v>243</v>
      </c>
      <c r="J246" s="17">
        <f>'[1]资源-钻石'!T246</f>
        <v>1187123.4683331447</v>
      </c>
      <c r="K246" s="17">
        <f>'[1]资源-钻石'!U246</f>
        <v>1716595.8151664592</v>
      </c>
      <c r="L246" s="17">
        <f>'[1]资源-钻石'!V246</f>
        <v>2976769.3966831053</v>
      </c>
      <c r="M246" s="17">
        <f>'[1]资源-钻石'!W246</f>
        <v>8169336.3363514161</v>
      </c>
      <c r="N246" s="17">
        <f>'[1]资源-钻石'!X246</f>
        <v>19708817.469986554</v>
      </c>
    </row>
    <row r="247" spans="9:14" x14ac:dyDescent="0.15">
      <c r="I247" s="4">
        <v>244</v>
      </c>
      <c r="J247" s="17">
        <f>'[1]资源-钻石'!T247</f>
        <v>1191011.3830587638</v>
      </c>
      <c r="K247" s="17">
        <f>'[1]资源-钻石'!U247</f>
        <v>1722552.5213646402</v>
      </c>
      <c r="L247" s="17">
        <f>'[1]资源-钻石'!V247</f>
        <v>2987773.7735011047</v>
      </c>
      <c r="M247" s="17">
        <f>'[1]资源-钻石'!W247</f>
        <v>8201461.1508512152</v>
      </c>
      <c r="N247" s="17">
        <f>'[1]资源-钻石'!X247</f>
        <v>19788009.765936334</v>
      </c>
    </row>
    <row r="248" spans="9:14" x14ac:dyDescent="0.15">
      <c r="I248" s="4">
        <v>245</v>
      </c>
      <c r="J248" s="17">
        <f>'[1]资源-钻石'!T248</f>
        <v>1194899.2977843829</v>
      </c>
      <c r="K248" s="17">
        <f>'[1]资源-钻石'!U248</f>
        <v>1728509.2275628212</v>
      </c>
      <c r="L248" s="17">
        <f>'[1]资源-钻石'!V248</f>
        <v>2998778.1503191036</v>
      </c>
      <c r="M248" s="17">
        <f>'[1]资源-钻石'!W248</f>
        <v>8233585.9653510144</v>
      </c>
      <c r="N248" s="17">
        <f>'[1]资源-钻石'!X248</f>
        <v>19867202.061886113</v>
      </c>
    </row>
    <row r="249" spans="9:14" x14ac:dyDescent="0.15">
      <c r="I249" s="4">
        <v>246</v>
      </c>
      <c r="J249" s="17">
        <f>'[1]资源-钻石'!T249</f>
        <v>1198787.2125100021</v>
      </c>
      <c r="K249" s="17">
        <f>'[1]资源-钻石'!U249</f>
        <v>1734465.9337610023</v>
      </c>
      <c r="L249" s="17">
        <f>'[1]资源-钻石'!V249</f>
        <v>3009782.527137103</v>
      </c>
      <c r="M249" s="17">
        <f>'[1]资源-钻石'!W249</f>
        <v>8265710.7798508136</v>
      </c>
      <c r="N249" s="17">
        <f>'[1]资源-钻石'!X249</f>
        <v>19946394.357835893</v>
      </c>
    </row>
    <row r="250" spans="9:14" x14ac:dyDescent="0.15">
      <c r="I250" s="1">
        <v>247</v>
      </c>
      <c r="J250" s="17">
        <f>'[1]资源-钻石'!T250</f>
        <v>1202675.1272356212</v>
      </c>
      <c r="K250" s="17">
        <f>'[1]资源-钻石'!U250</f>
        <v>1740422.6399591835</v>
      </c>
      <c r="L250" s="17">
        <f>'[1]资源-钻石'!V250</f>
        <v>3020786.903955102</v>
      </c>
      <c r="M250" s="17">
        <f>'[1]资源-钻石'!W250</f>
        <v>8297835.5943506127</v>
      </c>
      <c r="N250" s="17">
        <f>'[1]资源-钻石'!X250</f>
        <v>20025586.653785672</v>
      </c>
    </row>
    <row r="251" spans="9:14" x14ac:dyDescent="0.15">
      <c r="I251" s="1">
        <v>248</v>
      </c>
      <c r="J251" s="17">
        <f>'[1]资源-钻石'!T251</f>
        <v>1206563.0419612403</v>
      </c>
      <c r="K251" s="17">
        <f>'[1]资源-钻石'!U251</f>
        <v>1746379.3461573645</v>
      </c>
      <c r="L251" s="17">
        <f>'[1]资源-钻石'!V251</f>
        <v>3031791.2807731009</v>
      </c>
      <c r="M251" s="17">
        <f>'[1]资源-钻石'!W251</f>
        <v>8329960.4088504119</v>
      </c>
      <c r="N251" s="17">
        <f>'[1]资源-钻石'!X251</f>
        <v>20104778.949735451</v>
      </c>
    </row>
    <row r="252" spans="9:14" x14ac:dyDescent="0.15">
      <c r="I252" s="4">
        <v>249</v>
      </c>
      <c r="J252" s="17">
        <f>'[1]资源-钻石'!T252</f>
        <v>1210450.9566868595</v>
      </c>
      <c r="K252" s="17">
        <f>'[1]资源-钻石'!U252</f>
        <v>1752336.0523555456</v>
      </c>
      <c r="L252" s="17">
        <f>'[1]资源-钻石'!V252</f>
        <v>3042795.6575911003</v>
      </c>
      <c r="M252" s="17">
        <f>'[1]资源-钻石'!W252</f>
        <v>8362085.223350211</v>
      </c>
      <c r="N252" s="17">
        <f>'[1]资源-钻石'!X252</f>
        <v>20183971.245685227</v>
      </c>
    </row>
    <row r="253" spans="9:14" x14ac:dyDescent="0.15">
      <c r="I253" s="4">
        <v>250</v>
      </c>
      <c r="J253" s="17">
        <f>'[1]资源-钻石'!T253</f>
        <v>1214338.8714124786</v>
      </c>
      <c r="K253" s="17">
        <f>'[1]资源-钻石'!U253</f>
        <v>1758292.7585537266</v>
      </c>
      <c r="L253" s="17">
        <f>'[1]资源-钻石'!V253</f>
        <v>3053800.0344090993</v>
      </c>
      <c r="M253" s="17">
        <f>'[1]资源-钻石'!W253</f>
        <v>8394210.0378500111</v>
      </c>
      <c r="N253" s="17">
        <f>'[1]资源-钻石'!X253</f>
        <v>20263163.541635007</v>
      </c>
    </row>
    <row r="254" spans="9:14" x14ac:dyDescent="0.15">
      <c r="I254" s="4">
        <v>251</v>
      </c>
      <c r="J254" s="17">
        <f>'[1]资源-钻石'!T254</f>
        <v>1218226.7861380978</v>
      </c>
      <c r="K254" s="17">
        <f>'[1]资源-钻石'!U254</f>
        <v>1764249.4647519076</v>
      </c>
      <c r="L254" s="17">
        <f>'[1]资源-钻石'!V254</f>
        <v>3064804.4112270987</v>
      </c>
      <c r="M254" s="17">
        <f>'[1]资源-钻石'!W254</f>
        <v>8426334.8523498103</v>
      </c>
      <c r="N254" s="17">
        <f>'[1]资源-钻石'!X254</f>
        <v>20342355.837584786</v>
      </c>
    </row>
    <row r="255" spans="9:14" x14ac:dyDescent="0.15">
      <c r="I255" s="4">
        <v>252</v>
      </c>
      <c r="J255" s="17">
        <f>'[1]资源-钻石'!T255</f>
        <v>1222114.7008637169</v>
      </c>
      <c r="K255" s="17">
        <f>'[1]资源-钻石'!U255</f>
        <v>1770206.1709500886</v>
      </c>
      <c r="L255" s="17">
        <f>'[1]资源-钻石'!V255</f>
        <v>3075808.7880450976</v>
      </c>
      <c r="M255" s="17">
        <f>'[1]资源-钻石'!W255</f>
        <v>8458459.6668496095</v>
      </c>
      <c r="N255" s="17">
        <f>'[1]资源-钻石'!X255</f>
        <v>20421548.133534566</v>
      </c>
    </row>
    <row r="256" spans="9:14" x14ac:dyDescent="0.15">
      <c r="I256" s="1">
        <v>253</v>
      </c>
      <c r="J256" s="17">
        <f>'[1]资源-钻石'!T256</f>
        <v>1226002.615589336</v>
      </c>
      <c r="K256" s="17">
        <f>'[1]资源-钻石'!U256</f>
        <v>1776162.8771482697</v>
      </c>
      <c r="L256" s="17">
        <f>'[1]资源-钻石'!V256</f>
        <v>3086813.1648630966</v>
      </c>
      <c r="M256" s="17">
        <f>'[1]资源-钻石'!W256</f>
        <v>8490584.4813494068</v>
      </c>
      <c r="N256" s="17">
        <f>'[1]资源-钻石'!X256</f>
        <v>20500740.429484345</v>
      </c>
    </row>
    <row r="257" spans="9:14" x14ac:dyDescent="0.15">
      <c r="I257" s="1">
        <v>254</v>
      </c>
      <c r="J257" s="17">
        <f>'[1]资源-钻石'!T257</f>
        <v>1229890.5303149552</v>
      </c>
      <c r="K257" s="17">
        <f>'[1]资源-钻石'!U257</f>
        <v>1782119.5833464509</v>
      </c>
      <c r="L257" s="17">
        <f>'[1]资源-钻石'!V257</f>
        <v>3097817.541681096</v>
      </c>
      <c r="M257" s="17">
        <f>'[1]资源-钻石'!W257</f>
        <v>8522709.2958492059</v>
      </c>
      <c r="N257" s="17">
        <f>'[1]资源-钻石'!X257</f>
        <v>20579932.725434124</v>
      </c>
    </row>
    <row r="258" spans="9:14" x14ac:dyDescent="0.15">
      <c r="I258" s="4">
        <v>255</v>
      </c>
      <c r="J258" s="17">
        <f>'[1]资源-钻石'!T258</f>
        <v>1233778.4450405743</v>
      </c>
      <c r="K258" s="17">
        <f>'[1]资源-钻石'!U258</f>
        <v>1788076.289544632</v>
      </c>
      <c r="L258" s="17">
        <f>'[1]资源-钻石'!V258</f>
        <v>3108821.9184990949</v>
      </c>
      <c r="M258" s="17">
        <f>'[1]资源-钻石'!W258</f>
        <v>8554834.1103490051</v>
      </c>
      <c r="N258" s="17">
        <f>'[1]资源-钻石'!X258</f>
        <v>20659125.021383904</v>
      </c>
    </row>
    <row r="259" spans="9:14" x14ac:dyDescent="0.15">
      <c r="I259" s="4">
        <v>256</v>
      </c>
      <c r="J259" s="17">
        <f>'[1]资源-钻石'!T259</f>
        <v>1237666.3597661934</v>
      </c>
      <c r="K259" s="17">
        <f>'[1]资源-钻石'!U259</f>
        <v>1794032.995742813</v>
      </c>
      <c r="L259" s="17">
        <f>'[1]资源-钻石'!V259</f>
        <v>3119826.2953170943</v>
      </c>
      <c r="M259" s="17">
        <f>'[1]资源-钻石'!W259</f>
        <v>8586958.9248488043</v>
      </c>
      <c r="N259" s="17">
        <f>'[1]资源-钻石'!X259</f>
        <v>20738317.31733368</v>
      </c>
    </row>
    <row r="260" spans="9:14" x14ac:dyDescent="0.15">
      <c r="I260" s="4">
        <v>257</v>
      </c>
      <c r="J260" s="17">
        <f>'[1]资源-钻石'!T260</f>
        <v>1241554.2744918126</v>
      </c>
      <c r="K260" s="17">
        <f>'[1]资源-钻石'!U260</f>
        <v>1799989.701940994</v>
      </c>
      <c r="L260" s="17">
        <f>'[1]资源-钻石'!V260</f>
        <v>3130830.6721350932</v>
      </c>
      <c r="M260" s="17">
        <f>'[1]资源-钻石'!W260</f>
        <v>8619083.7393486034</v>
      </c>
      <c r="N260" s="17">
        <f>'[1]资源-钻石'!X260</f>
        <v>20817509.613283459</v>
      </c>
    </row>
    <row r="261" spans="9:14" x14ac:dyDescent="0.15">
      <c r="I261" s="4">
        <v>258</v>
      </c>
      <c r="J261" s="17">
        <f>'[1]资源-钻石'!T261</f>
        <v>1245442.1892174317</v>
      </c>
      <c r="K261" s="17">
        <f>'[1]资源-钻石'!U261</f>
        <v>1805946.408139175</v>
      </c>
      <c r="L261" s="17">
        <f>'[1]资源-钻石'!V261</f>
        <v>3141835.0489530927</v>
      </c>
      <c r="M261" s="17">
        <f>'[1]资源-钻石'!W261</f>
        <v>8651208.5538484026</v>
      </c>
      <c r="N261" s="17">
        <f>'[1]资源-钻石'!X261</f>
        <v>20896701.909233239</v>
      </c>
    </row>
    <row r="262" spans="9:14" x14ac:dyDescent="0.15">
      <c r="I262" s="1">
        <v>259</v>
      </c>
      <c r="J262" s="17">
        <f>'[1]资源-钻石'!T262</f>
        <v>1249330.1039430508</v>
      </c>
      <c r="K262" s="17">
        <f>'[1]资源-钻石'!U262</f>
        <v>1811903.1143373561</v>
      </c>
      <c r="L262" s="17">
        <f>'[1]资源-钻石'!V262</f>
        <v>3152839.4257710916</v>
      </c>
      <c r="M262" s="17">
        <f>'[1]资源-钻石'!W262</f>
        <v>8683333.3683482017</v>
      </c>
      <c r="N262" s="17">
        <f>'[1]资源-钻石'!X262</f>
        <v>20975894.205183018</v>
      </c>
    </row>
    <row r="263" spans="9:14" x14ac:dyDescent="0.15">
      <c r="I263" s="1">
        <v>260</v>
      </c>
      <c r="J263" s="17">
        <f>'[1]资源-钻石'!T263</f>
        <v>1253218.01866867</v>
      </c>
      <c r="K263" s="17">
        <f>'[1]资源-钻石'!U263</f>
        <v>1817859.8205355371</v>
      </c>
      <c r="L263" s="17">
        <f>'[1]资源-钻石'!V263</f>
        <v>3163843.802589091</v>
      </c>
      <c r="M263" s="17">
        <f>'[1]资源-钻石'!W263</f>
        <v>8715458.1828480009</v>
      </c>
      <c r="N263" s="17">
        <f>'[1]资源-钻石'!X263</f>
        <v>21055086.501132797</v>
      </c>
    </row>
    <row r="264" spans="9:14" x14ac:dyDescent="0.15">
      <c r="I264" s="4">
        <v>261</v>
      </c>
      <c r="J264" s="17">
        <f>'[1]资源-钻石'!T264</f>
        <v>1257105.9333942891</v>
      </c>
      <c r="K264" s="17">
        <f>'[1]资源-钻石'!U264</f>
        <v>1823816.5267337181</v>
      </c>
      <c r="L264" s="17">
        <f>'[1]资源-钻石'!V264</f>
        <v>3174848.1794070899</v>
      </c>
      <c r="M264" s="17">
        <f>'[1]资源-钻石'!W264</f>
        <v>8747582.9973478001</v>
      </c>
      <c r="N264" s="17">
        <f>'[1]资源-钻石'!X264</f>
        <v>21134278.797082577</v>
      </c>
    </row>
    <row r="265" spans="9:14" x14ac:dyDescent="0.15">
      <c r="I265" s="4">
        <v>262</v>
      </c>
      <c r="J265" s="17">
        <f>'[1]资源-钻石'!T265</f>
        <v>1260993.8481199082</v>
      </c>
      <c r="K265" s="17">
        <f>'[1]资源-钻石'!U265</f>
        <v>1829773.2329318991</v>
      </c>
      <c r="L265" s="17">
        <f>'[1]资源-钻石'!V265</f>
        <v>3185852.5562250894</v>
      </c>
      <c r="M265" s="17">
        <f>'[1]资源-钻石'!W265</f>
        <v>8779707.8118475992</v>
      </c>
      <c r="N265" s="17">
        <f>'[1]资源-钻石'!X265</f>
        <v>21213471.093032356</v>
      </c>
    </row>
    <row r="266" spans="9:14" x14ac:dyDescent="0.15">
      <c r="I266" s="4">
        <v>263</v>
      </c>
      <c r="J266" s="17">
        <f>'[1]资源-钻石'!T266</f>
        <v>1264881.7628455274</v>
      </c>
      <c r="K266" s="17">
        <f>'[1]资源-钻石'!U266</f>
        <v>1835729.9391300802</v>
      </c>
      <c r="L266" s="17">
        <f>'[1]资源-钻石'!V266</f>
        <v>3196856.9330430883</v>
      </c>
      <c r="M266" s="17">
        <f>'[1]资源-钻石'!W266</f>
        <v>8811832.6263473984</v>
      </c>
      <c r="N266" s="17">
        <f>'[1]资源-钻石'!X266</f>
        <v>21292663.388982136</v>
      </c>
    </row>
    <row r="267" spans="9:14" x14ac:dyDescent="0.15">
      <c r="I267" s="4">
        <v>264</v>
      </c>
      <c r="J267" s="17">
        <f>'[1]资源-钻石'!T267</f>
        <v>1268769.6775711465</v>
      </c>
      <c r="K267" s="17">
        <f>'[1]资源-钻石'!U267</f>
        <v>1841686.6453282614</v>
      </c>
      <c r="L267" s="17">
        <f>'[1]资源-钻石'!V267</f>
        <v>3207861.3098610877</v>
      </c>
      <c r="M267" s="17">
        <f>'[1]资源-钻石'!W267</f>
        <v>8843957.4408471957</v>
      </c>
      <c r="N267" s="17">
        <f>'[1]资源-钻石'!X267</f>
        <v>21371855.684931912</v>
      </c>
    </row>
    <row r="268" spans="9:14" x14ac:dyDescent="0.15">
      <c r="I268" s="1">
        <v>265</v>
      </c>
      <c r="J268" s="17">
        <f>'[1]资源-钻石'!T268</f>
        <v>1272657.5922967657</v>
      </c>
      <c r="K268" s="17">
        <f>'[1]资源-钻石'!U268</f>
        <v>1847643.3515264424</v>
      </c>
      <c r="L268" s="17">
        <f>'[1]资源-钻石'!V268</f>
        <v>3218865.6866790866</v>
      </c>
      <c r="M268" s="17">
        <f>'[1]资源-钻石'!W268</f>
        <v>8876082.2553469948</v>
      </c>
      <c r="N268" s="17">
        <f>'[1]资源-钻石'!X268</f>
        <v>21451047.980881691</v>
      </c>
    </row>
    <row r="269" spans="9:14" x14ac:dyDescent="0.15">
      <c r="I269" s="1">
        <v>266</v>
      </c>
      <c r="J269" s="17">
        <f>'[1]资源-钻石'!T269</f>
        <v>1276545.5070223848</v>
      </c>
      <c r="K269" s="17">
        <f>'[1]资源-钻石'!U269</f>
        <v>1853600.0577246235</v>
      </c>
      <c r="L269" s="17">
        <f>'[1]资源-钻石'!V269</f>
        <v>3229870.0634970861</v>
      </c>
      <c r="M269" s="17">
        <f>'[1]资源-钻石'!W269</f>
        <v>8908207.069846794</v>
      </c>
      <c r="N269" s="17">
        <f>'[1]资源-钻石'!X269</f>
        <v>21530240.27683147</v>
      </c>
    </row>
    <row r="270" spans="9:14" x14ac:dyDescent="0.15">
      <c r="I270" s="4">
        <v>267</v>
      </c>
      <c r="J270" s="17">
        <f>'[1]资源-钻石'!T270</f>
        <v>1280433.4217480039</v>
      </c>
      <c r="K270" s="17">
        <f>'[1]资源-钻石'!U270</f>
        <v>1859556.7639228045</v>
      </c>
      <c r="L270" s="17">
        <f>'[1]资源-钻石'!V270</f>
        <v>3240874.440315085</v>
      </c>
      <c r="M270" s="17">
        <f>'[1]资源-钻石'!W270</f>
        <v>8940331.8843465932</v>
      </c>
      <c r="N270" s="17">
        <f>'[1]资源-钻石'!X270</f>
        <v>21609432.57278125</v>
      </c>
    </row>
    <row r="271" spans="9:14" x14ac:dyDescent="0.15">
      <c r="I271" s="4">
        <v>268</v>
      </c>
      <c r="J271" s="17">
        <f>'[1]资源-钻石'!T271</f>
        <v>1284321.3364736231</v>
      </c>
      <c r="K271" s="17">
        <f>'[1]资源-钻石'!U271</f>
        <v>1865513.4701209855</v>
      </c>
      <c r="L271" s="17">
        <f>'[1]资源-钻石'!V271</f>
        <v>3251878.8171330839</v>
      </c>
      <c r="M271" s="17">
        <f>'[1]资源-钻石'!W271</f>
        <v>8972456.6988463923</v>
      </c>
      <c r="N271" s="17">
        <f>'[1]资源-钻石'!X271</f>
        <v>21688624.868731029</v>
      </c>
    </row>
    <row r="272" spans="9:14" x14ac:dyDescent="0.15">
      <c r="I272" s="4">
        <v>269</v>
      </c>
      <c r="J272" s="17">
        <f>'[1]资源-钻石'!T272</f>
        <v>1288209.2511992422</v>
      </c>
      <c r="K272" s="17">
        <f>'[1]资源-钻石'!U272</f>
        <v>1871470.1763191666</v>
      </c>
      <c r="L272" s="17">
        <f>'[1]资源-钻石'!V272</f>
        <v>3262883.1939510833</v>
      </c>
      <c r="M272" s="17">
        <f>'[1]资源-钻石'!W272</f>
        <v>9004581.5133461915</v>
      </c>
      <c r="N272" s="17">
        <f>'[1]资源-钻石'!X272</f>
        <v>21767817.164680809</v>
      </c>
    </row>
    <row r="273" spans="9:14" x14ac:dyDescent="0.15">
      <c r="I273" s="4">
        <v>270</v>
      </c>
      <c r="J273" s="17">
        <f>'[1]资源-钻石'!T273</f>
        <v>1292097.1659248616</v>
      </c>
      <c r="K273" s="17">
        <f>'[1]资源-钻石'!U273</f>
        <v>1877426.8825173476</v>
      </c>
      <c r="L273" s="17">
        <f>'[1]资源-钻石'!V273</f>
        <v>3273887.5707690823</v>
      </c>
      <c r="M273" s="17">
        <f>'[1]资源-钻石'!W273</f>
        <v>9036706.3278459907</v>
      </c>
      <c r="N273" s="17">
        <f>'[1]资源-钻石'!X273</f>
        <v>21847009.460630588</v>
      </c>
    </row>
    <row r="274" spans="9:14" x14ac:dyDescent="0.15">
      <c r="I274" s="1">
        <v>271</v>
      </c>
      <c r="J274" s="17">
        <f>'[1]资源-钻石'!T274</f>
        <v>1295985.0806504807</v>
      </c>
      <c r="K274" s="17">
        <f>'[1]资源-钻石'!U274</f>
        <v>1883383.5887155286</v>
      </c>
      <c r="L274" s="17">
        <f>'[1]资源-钻石'!V274</f>
        <v>3284891.9475870817</v>
      </c>
      <c r="M274" s="17">
        <f>'[1]资源-钻石'!W274</f>
        <v>9068831.1423457898</v>
      </c>
      <c r="N274" s="17">
        <f>'[1]资源-钻石'!X274</f>
        <v>21926201.756580368</v>
      </c>
    </row>
    <row r="275" spans="9:14" x14ac:dyDescent="0.15">
      <c r="I275" s="1">
        <v>272</v>
      </c>
      <c r="J275" s="17">
        <f>'[1]资源-钻石'!T275</f>
        <v>1299872.9953760998</v>
      </c>
      <c r="K275" s="17">
        <f>'[1]资源-钻石'!U275</f>
        <v>1889340.2949137096</v>
      </c>
      <c r="L275" s="17">
        <f>'[1]资源-钻石'!V275</f>
        <v>3295896.3244050806</v>
      </c>
      <c r="M275" s="17">
        <f>'[1]资源-钻石'!W275</f>
        <v>9100955.956845589</v>
      </c>
      <c r="N275" s="17">
        <f>'[1]资源-钻石'!X275</f>
        <v>22005394.052530147</v>
      </c>
    </row>
    <row r="276" spans="9:14" x14ac:dyDescent="0.15">
      <c r="I276" s="4">
        <v>273</v>
      </c>
      <c r="J276" s="17">
        <f>'[1]资源-钻石'!T276</f>
        <v>1303760.910101719</v>
      </c>
      <c r="K276" s="17">
        <f>'[1]资源-钻石'!U276</f>
        <v>1895297.0011118907</v>
      </c>
      <c r="L276" s="17">
        <f>'[1]资源-钻石'!V276</f>
        <v>3306900.70122308</v>
      </c>
      <c r="M276" s="17">
        <f>'[1]资源-钻石'!W276</f>
        <v>9133080.7713453881</v>
      </c>
      <c r="N276" s="17">
        <f>'[1]资源-钻石'!X276</f>
        <v>22084586.348479923</v>
      </c>
    </row>
    <row r="277" spans="9:14" x14ac:dyDescent="0.15">
      <c r="I277" s="4">
        <v>274</v>
      </c>
      <c r="J277" s="17">
        <f>'[1]资源-钻石'!T277</f>
        <v>1307648.8248273381</v>
      </c>
      <c r="K277" s="17">
        <f>'[1]资源-钻石'!U277</f>
        <v>1901253.7073100717</v>
      </c>
      <c r="L277" s="17">
        <f>'[1]资源-钻石'!V277</f>
        <v>3317905.078041079</v>
      </c>
      <c r="M277" s="17">
        <f>'[1]资源-钻石'!W277</f>
        <v>9165205.5858451873</v>
      </c>
      <c r="N277" s="17">
        <f>'[1]资源-钻石'!X277</f>
        <v>22163778.644429702</v>
      </c>
    </row>
    <row r="278" spans="9:14" x14ac:dyDescent="0.15">
      <c r="I278" s="4">
        <v>275</v>
      </c>
      <c r="J278" s="17">
        <f>'[1]资源-钻石'!T278</f>
        <v>1311536.7395529572</v>
      </c>
      <c r="K278" s="17">
        <f>'[1]资源-钻石'!U278</f>
        <v>1907210.4135082529</v>
      </c>
      <c r="L278" s="17">
        <f>'[1]资源-钻石'!V278</f>
        <v>3328909.4548590784</v>
      </c>
      <c r="M278" s="17">
        <f>'[1]资源-钻石'!W278</f>
        <v>9197330.4003449865</v>
      </c>
      <c r="N278" s="17">
        <f>'[1]资源-钻石'!X278</f>
        <v>22242970.940379482</v>
      </c>
    </row>
    <row r="279" spans="9:14" x14ac:dyDescent="0.15">
      <c r="I279" s="4">
        <v>276</v>
      </c>
      <c r="J279" s="17">
        <f>'[1]资源-钻石'!T279</f>
        <v>1315424.6542785764</v>
      </c>
      <c r="K279" s="17">
        <f>'[1]资源-钻石'!U279</f>
        <v>1913167.119706434</v>
      </c>
      <c r="L279" s="17">
        <f>'[1]资源-钻石'!V279</f>
        <v>3339913.8316770773</v>
      </c>
      <c r="M279" s="17">
        <f>'[1]资源-钻石'!W279</f>
        <v>9229455.2148447856</v>
      </c>
      <c r="N279" s="17">
        <f>'[1]资源-钻石'!X279</f>
        <v>22322163.236329261</v>
      </c>
    </row>
    <row r="280" spans="9:14" x14ac:dyDescent="0.15">
      <c r="I280" s="1">
        <v>277</v>
      </c>
      <c r="J280" s="17">
        <f>'[1]资源-钻石'!T280</f>
        <v>1319312.5690041955</v>
      </c>
      <c r="K280" s="17">
        <f>'[1]资源-钻石'!U280</f>
        <v>1919123.825904615</v>
      </c>
      <c r="L280" s="17">
        <f>'[1]资源-钻石'!V280</f>
        <v>3350918.2084950767</v>
      </c>
      <c r="M280" s="17">
        <f>'[1]资源-钻石'!W280</f>
        <v>9261580.0293445848</v>
      </c>
      <c r="N280" s="17">
        <f>'[1]资源-钻石'!X280</f>
        <v>22401355.532279041</v>
      </c>
    </row>
    <row r="281" spans="9:14" x14ac:dyDescent="0.15">
      <c r="I281" s="1">
        <v>278</v>
      </c>
      <c r="J281" s="17">
        <f>'[1]资源-钻石'!T281</f>
        <v>1323200.4837298146</v>
      </c>
      <c r="K281" s="17">
        <f>'[1]资源-钻石'!U281</f>
        <v>1925080.532102796</v>
      </c>
      <c r="L281" s="17">
        <f>'[1]资源-钻石'!V281</f>
        <v>3361922.5853130757</v>
      </c>
      <c r="M281" s="17">
        <f>'[1]资源-钻石'!W281</f>
        <v>9293704.843844384</v>
      </c>
      <c r="N281" s="17">
        <f>'[1]资源-钻石'!X281</f>
        <v>22480547.82822882</v>
      </c>
    </row>
    <row r="282" spans="9:14" x14ac:dyDescent="0.15">
      <c r="I282" s="4">
        <v>279</v>
      </c>
      <c r="J282" s="17">
        <f>'[1]资源-钻石'!T282</f>
        <v>1327088.3984554338</v>
      </c>
      <c r="K282" s="17">
        <f>'[1]资源-钻石'!U282</f>
        <v>1931037.238300977</v>
      </c>
      <c r="L282" s="17">
        <f>'[1]资源-钻石'!V282</f>
        <v>3372926.9621310751</v>
      </c>
      <c r="M282" s="17">
        <f>'[1]资源-钻石'!W282</f>
        <v>9325829.6583441831</v>
      </c>
      <c r="N282" s="17">
        <f>'[1]资源-钻石'!X282</f>
        <v>22559740.1241786</v>
      </c>
    </row>
    <row r="283" spans="9:14" x14ac:dyDescent="0.15">
      <c r="I283" s="4">
        <v>280</v>
      </c>
      <c r="J283" s="17">
        <f>'[1]资源-钻石'!T283</f>
        <v>1330976.3131810529</v>
      </c>
      <c r="K283" s="17">
        <f>'[1]资源-钻石'!U283</f>
        <v>1936993.9444991581</v>
      </c>
      <c r="L283" s="17">
        <f>'[1]资源-钻石'!V283</f>
        <v>3383931.338949074</v>
      </c>
      <c r="M283" s="17">
        <f>'[1]资源-钻石'!W283</f>
        <v>9357954.4728439823</v>
      </c>
      <c r="N283" s="17">
        <f>'[1]资源-钻石'!X283</f>
        <v>22638932.420128379</v>
      </c>
    </row>
    <row r="284" spans="9:14" x14ac:dyDescent="0.15">
      <c r="I284" s="4">
        <v>281</v>
      </c>
      <c r="J284" s="17">
        <f>'[1]资源-钻石'!T284</f>
        <v>1334864.2279066721</v>
      </c>
      <c r="K284" s="17">
        <f>'[1]资源-钻石'!U284</f>
        <v>1942950.6506973391</v>
      </c>
      <c r="L284" s="17">
        <f>'[1]资源-钻石'!V284</f>
        <v>3394935.715767073</v>
      </c>
      <c r="M284" s="17">
        <f>'[1]资源-钻石'!W284</f>
        <v>9390079.2873437814</v>
      </c>
      <c r="N284" s="17">
        <f>'[1]资源-钻石'!X284</f>
        <v>22718124.716078155</v>
      </c>
    </row>
    <row r="285" spans="9:14" x14ac:dyDescent="0.15">
      <c r="I285" s="4">
        <v>282</v>
      </c>
      <c r="J285" s="17">
        <f>'[1]资源-钻石'!T285</f>
        <v>1338752.1426322912</v>
      </c>
      <c r="K285" s="17">
        <f>'[1]资源-钻石'!U285</f>
        <v>1948907.3568955201</v>
      </c>
      <c r="L285" s="17">
        <f>'[1]资源-钻石'!V285</f>
        <v>3405940.0925850724</v>
      </c>
      <c r="M285" s="17">
        <f>'[1]资源-钻石'!W285</f>
        <v>9422204.1018435806</v>
      </c>
      <c r="N285" s="17">
        <f>'[1]资源-钻石'!X285</f>
        <v>22797317.012027934</v>
      </c>
    </row>
    <row r="286" spans="9:14" x14ac:dyDescent="0.15">
      <c r="I286" s="1">
        <v>283</v>
      </c>
      <c r="J286" s="17">
        <f>'[1]资源-钻石'!T286</f>
        <v>1342640.0573579101</v>
      </c>
      <c r="K286" s="17">
        <f>'[1]资源-钻石'!U286</f>
        <v>1954864.0630937011</v>
      </c>
      <c r="L286" s="17">
        <f>'[1]资源-钻石'!V286</f>
        <v>3416944.4694030713</v>
      </c>
      <c r="M286" s="17">
        <f>'[1]资源-钻石'!W286</f>
        <v>9454328.9163433798</v>
      </c>
      <c r="N286" s="17">
        <f>'[1]资源-钻石'!X286</f>
        <v>22876509.307977714</v>
      </c>
    </row>
    <row r="287" spans="9:14" x14ac:dyDescent="0.15">
      <c r="I287" s="1">
        <v>284</v>
      </c>
      <c r="J287" s="17">
        <f>'[1]资源-钻石'!T287</f>
        <v>1346527.9720835295</v>
      </c>
      <c r="K287" s="17">
        <f>'[1]资源-钻石'!U287</f>
        <v>1960820.7692918822</v>
      </c>
      <c r="L287" s="17">
        <f>'[1]资源-钻石'!V287</f>
        <v>3427948.8462210707</v>
      </c>
      <c r="M287" s="17">
        <f>'[1]资源-钻石'!W287</f>
        <v>9486453.7308431789</v>
      </c>
      <c r="N287" s="17">
        <f>'[1]资源-钻石'!X287</f>
        <v>22955701.603927493</v>
      </c>
    </row>
    <row r="288" spans="9:14" x14ac:dyDescent="0.15">
      <c r="I288" s="4">
        <v>285</v>
      </c>
      <c r="J288" s="17">
        <f>'[1]资源-钻石'!T288</f>
        <v>1350415.8868091484</v>
      </c>
      <c r="K288" s="17">
        <f>'[1]资源-钻石'!U288</f>
        <v>1966777.4754900634</v>
      </c>
      <c r="L288" s="17">
        <f>'[1]资源-钻石'!V288</f>
        <v>3438953.2230390697</v>
      </c>
      <c r="M288" s="17">
        <f>'[1]资源-钻石'!W288</f>
        <v>9518578.5453429781</v>
      </c>
      <c r="N288" s="17">
        <f>'[1]资源-钻石'!X288</f>
        <v>23034893.899877273</v>
      </c>
    </row>
    <row r="289" spans="9:14" x14ac:dyDescent="0.15">
      <c r="I289" s="4">
        <v>286</v>
      </c>
      <c r="J289" s="17">
        <f>'[1]资源-钻石'!T289</f>
        <v>1354303.8015347675</v>
      </c>
      <c r="K289" s="17">
        <f>'[1]资源-钻石'!U289</f>
        <v>1972734.1816882445</v>
      </c>
      <c r="L289" s="17">
        <f>'[1]资源-钻石'!V289</f>
        <v>3449957.5998570691</v>
      </c>
      <c r="M289" s="17">
        <f>'[1]资源-钻石'!W289</f>
        <v>9550703.3598427773</v>
      </c>
      <c r="N289" s="17">
        <f>'[1]资源-钻石'!X289</f>
        <v>23114086.195827052</v>
      </c>
    </row>
    <row r="290" spans="9:14" x14ac:dyDescent="0.15">
      <c r="I290" s="4">
        <v>287</v>
      </c>
      <c r="J290" s="17">
        <f>'[1]资源-钻石'!T290</f>
        <v>1358191.7162603866</v>
      </c>
      <c r="K290" s="17">
        <f>'[1]资源-钻石'!U290</f>
        <v>1978690.8878864255</v>
      </c>
      <c r="L290" s="17">
        <f>'[1]资源-钻石'!V290</f>
        <v>3460961.976675068</v>
      </c>
      <c r="M290" s="17">
        <f>'[1]资源-钻石'!W290</f>
        <v>9582828.1743425764</v>
      </c>
      <c r="N290" s="17">
        <f>'[1]资源-钻石'!X290</f>
        <v>23193278.491776831</v>
      </c>
    </row>
    <row r="291" spans="9:14" x14ac:dyDescent="0.15">
      <c r="I291" s="4">
        <v>288</v>
      </c>
      <c r="J291" s="17">
        <f>'[1]资源-钻石'!T291</f>
        <v>1362079.6309860058</v>
      </c>
      <c r="K291" s="17">
        <f>'[1]资源-钻石'!U291</f>
        <v>1984647.5940846065</v>
      </c>
      <c r="L291" s="17">
        <f>'[1]资源-钻石'!V291</f>
        <v>3471966.3534930674</v>
      </c>
      <c r="M291" s="17">
        <f>'[1]资源-钻石'!W291</f>
        <v>9614952.9888423756</v>
      </c>
      <c r="N291" s="17">
        <f>'[1]资源-钻石'!X291</f>
        <v>23272470.787726611</v>
      </c>
    </row>
    <row r="292" spans="9:14" x14ac:dyDescent="0.15">
      <c r="I292" s="1">
        <v>289</v>
      </c>
      <c r="J292" s="17">
        <f>'[1]资源-钻石'!T292</f>
        <v>1365967.5457116249</v>
      </c>
      <c r="K292" s="17">
        <f>'[1]资源-钻石'!U292</f>
        <v>1990604.3002827875</v>
      </c>
      <c r="L292" s="17">
        <f>'[1]资源-钻石'!V292</f>
        <v>3482970.7303110664</v>
      </c>
      <c r="M292" s="17">
        <f>'[1]资源-钻石'!W292</f>
        <v>9647077.8033421747</v>
      </c>
      <c r="N292" s="17">
        <f>'[1]资源-钻石'!X292</f>
        <v>23351663.08367639</v>
      </c>
    </row>
    <row r="293" spans="9:14" x14ac:dyDescent="0.15">
      <c r="I293" s="1">
        <v>290</v>
      </c>
      <c r="J293" s="17">
        <f>'[1]资源-钻石'!T293</f>
        <v>1369855.460437244</v>
      </c>
      <c r="K293" s="17">
        <f>'[1]资源-钻石'!U293</f>
        <v>1996561.0064809686</v>
      </c>
      <c r="L293" s="17">
        <f>'[1]资源-钻石'!V293</f>
        <v>3493975.1071290653</v>
      </c>
      <c r="M293" s="17">
        <f>'[1]资源-钻石'!W293</f>
        <v>9679202.6178419739</v>
      </c>
      <c r="N293" s="17">
        <f>'[1]资源-钻石'!X293</f>
        <v>23430855.37962617</v>
      </c>
    </row>
    <row r="294" spans="9:14" x14ac:dyDescent="0.15">
      <c r="I294" s="4">
        <v>291</v>
      </c>
      <c r="J294" s="17">
        <f>'[1]资源-钻石'!T294</f>
        <v>1373743.3751628632</v>
      </c>
      <c r="K294" s="17">
        <f>'[1]资源-钻石'!U294</f>
        <v>2002517.7126791496</v>
      </c>
      <c r="L294" s="17">
        <f>'[1]资源-钻石'!V294</f>
        <v>3504979.4839470647</v>
      </c>
      <c r="M294" s="17">
        <f>'[1]资源-钻石'!W294</f>
        <v>9711327.4323417731</v>
      </c>
      <c r="N294" s="17">
        <f>'[1]资源-钻石'!X294</f>
        <v>23510047.675575946</v>
      </c>
    </row>
    <row r="295" spans="9:14" x14ac:dyDescent="0.15">
      <c r="I295" s="4">
        <v>292</v>
      </c>
      <c r="J295" s="17">
        <f>'[1]资源-钻石'!T295</f>
        <v>1377631.2898884823</v>
      </c>
      <c r="K295" s="17">
        <f>'[1]资源-钻石'!U295</f>
        <v>2008474.4188773306</v>
      </c>
      <c r="L295" s="17">
        <f>'[1]资源-钻石'!V295</f>
        <v>3515983.8607650637</v>
      </c>
      <c r="M295" s="17">
        <f>'[1]资源-钻石'!W295</f>
        <v>9743452.2468415722</v>
      </c>
      <c r="N295" s="17">
        <f>'[1]资源-钻石'!X295</f>
        <v>23589239.971525725</v>
      </c>
    </row>
    <row r="296" spans="9:14" x14ac:dyDescent="0.15">
      <c r="I296" s="4">
        <v>293</v>
      </c>
      <c r="J296" s="17">
        <f>'[1]资源-钻石'!T296</f>
        <v>1381519.2046141014</v>
      </c>
      <c r="K296" s="17">
        <f>'[1]资源-钻石'!U296</f>
        <v>2014431.1250755116</v>
      </c>
      <c r="L296" s="17">
        <f>'[1]资源-钻石'!V296</f>
        <v>3526988.2375830631</v>
      </c>
      <c r="M296" s="17">
        <f>'[1]资源-钻石'!W296</f>
        <v>9775577.0613413714</v>
      </c>
      <c r="N296" s="17">
        <f>'[1]资源-钻石'!X296</f>
        <v>23668432.267475504</v>
      </c>
    </row>
    <row r="297" spans="9:14" x14ac:dyDescent="0.15">
      <c r="I297" s="4">
        <v>294</v>
      </c>
      <c r="J297" s="17">
        <f>'[1]资源-钻石'!T297</f>
        <v>1385407.1193397206</v>
      </c>
      <c r="K297" s="17">
        <f>'[1]资源-钻石'!U297</f>
        <v>2020387.8312736927</v>
      </c>
      <c r="L297" s="17">
        <f>'[1]资源-钻石'!V297</f>
        <v>3537992.614401062</v>
      </c>
      <c r="M297" s="17">
        <f>'[1]资源-钻石'!W297</f>
        <v>9807701.8758411705</v>
      </c>
      <c r="N297" s="17">
        <f>'[1]资源-钻石'!X297</f>
        <v>23747624.563425284</v>
      </c>
    </row>
    <row r="298" spans="9:14" x14ac:dyDescent="0.15">
      <c r="I298" s="1">
        <v>295</v>
      </c>
      <c r="J298" s="17">
        <f>'[1]资源-钻石'!T298</f>
        <v>1389295.0340653397</v>
      </c>
      <c r="K298" s="17">
        <f>'[1]资源-钻石'!U298</f>
        <v>2026344.5374718737</v>
      </c>
      <c r="L298" s="17">
        <f>'[1]资源-钻石'!V298</f>
        <v>3548996.9912190614</v>
      </c>
      <c r="M298" s="17">
        <f>'[1]资源-钻石'!W298</f>
        <v>9839826.6903409697</v>
      </c>
      <c r="N298" s="17">
        <f>'[1]资源-钻石'!X298</f>
        <v>23826816.859375063</v>
      </c>
    </row>
    <row r="299" spans="9:14" x14ac:dyDescent="0.15">
      <c r="I299" s="1">
        <v>296</v>
      </c>
      <c r="J299" s="17">
        <f>'[1]资源-钻石'!T299</f>
        <v>1393182.9487909588</v>
      </c>
      <c r="K299" s="17">
        <f>'[1]资源-钻石'!U299</f>
        <v>2032301.2436700547</v>
      </c>
      <c r="L299" s="17">
        <f>'[1]资源-钻石'!V299</f>
        <v>3560001.3680370604</v>
      </c>
      <c r="M299" s="17">
        <f>'[1]资源-钻石'!W299</f>
        <v>9871951.5048407689</v>
      </c>
      <c r="N299" s="17">
        <f>'[1]资源-钻石'!X299</f>
        <v>23906009.155324843</v>
      </c>
    </row>
    <row r="300" spans="9:14" x14ac:dyDescent="0.15">
      <c r="I300" s="4">
        <v>297</v>
      </c>
      <c r="J300" s="17">
        <f>'[1]资源-钻石'!T300</f>
        <v>1397070.863516578</v>
      </c>
      <c r="K300" s="17">
        <f>'[1]资源-钻石'!U300</f>
        <v>2038257.949868236</v>
      </c>
      <c r="L300" s="17">
        <f>'[1]资源-钻石'!V300</f>
        <v>3571005.7448550598</v>
      </c>
      <c r="M300" s="17">
        <f>'[1]资源-钻石'!W300</f>
        <v>9904076.3193405662</v>
      </c>
      <c r="N300" s="17">
        <f>'[1]资源-钻石'!X300</f>
        <v>23985201.451274622</v>
      </c>
    </row>
    <row r="301" spans="9:14" x14ac:dyDescent="0.15">
      <c r="I301" s="4">
        <v>298</v>
      </c>
      <c r="J301" s="17">
        <f>'[1]资源-钻石'!T301</f>
        <v>1400958.7782421971</v>
      </c>
      <c r="K301" s="17">
        <f>'[1]资源-钻石'!U301</f>
        <v>2044214.656066417</v>
      </c>
      <c r="L301" s="17">
        <f>'[1]资源-钻石'!V301</f>
        <v>3582010.1216730587</v>
      </c>
      <c r="M301" s="17">
        <f>'[1]资源-钻石'!W301</f>
        <v>9936201.1338403653</v>
      </c>
      <c r="N301" s="17">
        <f>'[1]资源-钻石'!X301</f>
        <v>24064393.747224402</v>
      </c>
    </row>
    <row r="302" spans="9:14" x14ac:dyDescent="0.15">
      <c r="I302" s="4">
        <v>299</v>
      </c>
      <c r="J302" s="17">
        <f>'[1]资源-钻石'!T302</f>
        <v>1404846.6929678163</v>
      </c>
      <c r="K302" s="17">
        <f>'[1]资源-钻石'!U302</f>
        <v>2050171.362264598</v>
      </c>
      <c r="L302" s="17">
        <f>'[1]资源-钻石'!V302</f>
        <v>3593014.4984910581</v>
      </c>
      <c r="M302" s="17">
        <f>'[1]资源-钻石'!W302</f>
        <v>9968325.9483401645</v>
      </c>
      <c r="N302" s="17">
        <f>'[1]资源-钻石'!X302</f>
        <v>24143586.043174177</v>
      </c>
    </row>
    <row r="303" spans="9:14" x14ac:dyDescent="0.15">
      <c r="I303" s="4">
        <v>300</v>
      </c>
      <c r="J303" s="17">
        <f>'[1]资源-钻石'!T303</f>
        <v>1408734.6076934354</v>
      </c>
      <c r="K303" s="17">
        <f>'[1]资源-钻石'!U303</f>
        <v>2056128.068462779</v>
      </c>
      <c r="L303" s="17">
        <f>'[1]资源-钻石'!V303</f>
        <v>3604018.8753090571</v>
      </c>
      <c r="M303" s="17">
        <f>'[1]资源-钻石'!W303</f>
        <v>10000450.762839964</v>
      </c>
      <c r="N303" s="17">
        <f>'[1]资源-钻石'!X303</f>
        <v>24222778.339123957</v>
      </c>
    </row>
    <row r="304" spans="9:14" x14ac:dyDescent="0.15">
      <c r="I304" s="1">
        <v>301</v>
      </c>
      <c r="J304" s="17">
        <f>'[1]资源-钻石'!T304</f>
        <v>1412622.5224190545</v>
      </c>
      <c r="K304" s="17">
        <f>'[1]资源-钻石'!U304</f>
        <v>2062084.7746609601</v>
      </c>
      <c r="L304" s="17">
        <f>'[1]资源-钻石'!V304</f>
        <v>3615023.2521270565</v>
      </c>
      <c r="M304" s="17">
        <f>'[1]资源-钻石'!W304</f>
        <v>10032575.577339763</v>
      </c>
      <c r="N304" s="17">
        <f>'[1]资源-钻石'!X304</f>
        <v>24301970.635073736</v>
      </c>
    </row>
    <row r="305" spans="9:14" x14ac:dyDescent="0.15">
      <c r="I305" s="1">
        <v>302</v>
      </c>
      <c r="J305" s="17">
        <f>'[1]资源-钻石'!T305</f>
        <v>1416510.4371446737</v>
      </c>
      <c r="K305" s="17">
        <f>'[1]资源-钻石'!U305</f>
        <v>2068041.4808591411</v>
      </c>
      <c r="L305" s="17">
        <f>'[1]资源-钻石'!V305</f>
        <v>3626027.6289450554</v>
      </c>
      <c r="M305" s="17">
        <f>'[1]资源-钻石'!W305</f>
        <v>10064700.391839562</v>
      </c>
      <c r="N305" s="17">
        <f>'[1]资源-钻石'!X305</f>
        <v>24381162.931023516</v>
      </c>
    </row>
    <row r="306" spans="9:14" x14ac:dyDescent="0.15">
      <c r="I306" s="4">
        <v>303</v>
      </c>
      <c r="J306" s="17">
        <f>'[1]资源-钻石'!T306</f>
        <v>1420398.3518702928</v>
      </c>
      <c r="K306" s="17">
        <f>'[1]资源-钻石'!U306</f>
        <v>2073998.1870573221</v>
      </c>
      <c r="L306" s="17">
        <f>'[1]资源-钻石'!V306</f>
        <v>3637032.0057630544</v>
      </c>
      <c r="M306" s="17">
        <f>'[1]资源-钻石'!W306</f>
        <v>10096825.206339361</v>
      </c>
      <c r="N306" s="17">
        <f>'[1]资源-钻石'!X306</f>
        <v>24460355.226973295</v>
      </c>
    </row>
    <row r="307" spans="9:14" x14ac:dyDescent="0.15">
      <c r="I307" s="4">
        <v>304</v>
      </c>
      <c r="J307" s="17">
        <f>'[1]资源-钻石'!T307</f>
        <v>1424286.2665959122</v>
      </c>
      <c r="K307" s="17">
        <f>'[1]资源-钻石'!U307</f>
        <v>2079954.8932555031</v>
      </c>
      <c r="L307" s="17">
        <f>'[1]资源-钻石'!V307</f>
        <v>3648036.3825810538</v>
      </c>
      <c r="M307" s="17">
        <f>'[1]资源-钻石'!W307</f>
        <v>10128950.02083916</v>
      </c>
      <c r="N307" s="17">
        <f>'[1]资源-钻石'!X307</f>
        <v>24539547.522923075</v>
      </c>
    </row>
    <row r="308" spans="9:14" x14ac:dyDescent="0.15">
      <c r="I308" s="4">
        <v>305</v>
      </c>
      <c r="J308" s="17">
        <f>'[1]资源-钻石'!T308</f>
        <v>1428174.1813215311</v>
      </c>
      <c r="K308" s="17">
        <f>'[1]资源-钻石'!U308</f>
        <v>2085911.5994536842</v>
      </c>
      <c r="L308" s="17">
        <f>'[1]资源-钻石'!V308</f>
        <v>3659040.7593990527</v>
      </c>
      <c r="M308" s="17">
        <f>'[1]资源-钻石'!W308</f>
        <v>10161074.835338959</v>
      </c>
      <c r="N308" s="17">
        <f>'[1]资源-钻石'!X308</f>
        <v>24618739.818872854</v>
      </c>
    </row>
    <row r="309" spans="9:14" x14ac:dyDescent="0.15">
      <c r="I309" s="4">
        <v>306</v>
      </c>
      <c r="J309" s="17">
        <f>'[1]资源-钻石'!T309</f>
        <v>1432062.0960471504</v>
      </c>
      <c r="K309" s="17">
        <f>'[1]资源-钻石'!U309</f>
        <v>2091868.3056518652</v>
      </c>
      <c r="L309" s="17">
        <f>'[1]资源-钻石'!V309</f>
        <v>3670045.1362170521</v>
      </c>
      <c r="M309" s="17">
        <f>'[1]资源-钻石'!W309</f>
        <v>10193199.649838759</v>
      </c>
      <c r="N309" s="17">
        <f>'[1]资源-钻石'!X309</f>
        <v>24697932.114822634</v>
      </c>
    </row>
    <row r="310" spans="9:14" x14ac:dyDescent="0.15">
      <c r="I310" s="1">
        <v>307</v>
      </c>
      <c r="J310" s="17">
        <f>'[1]资源-钻石'!T310</f>
        <v>1435950.0107727696</v>
      </c>
      <c r="K310" s="17">
        <f>'[1]资源-钻石'!U310</f>
        <v>2097825.0118500465</v>
      </c>
      <c r="L310" s="17">
        <f>'[1]资源-钻石'!V310</f>
        <v>3681049.5130350511</v>
      </c>
      <c r="M310" s="17">
        <f>'[1]资源-钻石'!W310</f>
        <v>10225324.464338558</v>
      </c>
      <c r="N310" s="17">
        <f>'[1]资源-钻石'!X310</f>
        <v>24777124.410772413</v>
      </c>
    </row>
    <row r="311" spans="9:14" x14ac:dyDescent="0.15">
      <c r="I311" s="1">
        <v>308</v>
      </c>
      <c r="J311" s="17">
        <f>'[1]资源-钻石'!T311</f>
        <v>1439837.9254983887</v>
      </c>
      <c r="K311" s="17">
        <f>'[1]资源-钻石'!U311</f>
        <v>2103781.7180482275</v>
      </c>
      <c r="L311" s="17">
        <f>'[1]资源-钻石'!V311</f>
        <v>3692053.8898530505</v>
      </c>
      <c r="M311" s="17">
        <f>'[1]资源-钻石'!W311</f>
        <v>10257449.278838357</v>
      </c>
      <c r="N311" s="17">
        <f>'[1]资源-钻石'!X311</f>
        <v>24856316.706722189</v>
      </c>
    </row>
    <row r="312" spans="9:14" x14ac:dyDescent="0.15">
      <c r="I312" s="4">
        <v>309</v>
      </c>
      <c r="J312" s="17">
        <f>'[1]资源-钻石'!T312</f>
        <v>1443725.8402240078</v>
      </c>
      <c r="K312" s="17">
        <f>'[1]资源-钻石'!U312</f>
        <v>2109738.4242464085</v>
      </c>
      <c r="L312" s="17">
        <f>'[1]资源-钻石'!V312</f>
        <v>3703058.2666710494</v>
      </c>
      <c r="M312" s="17">
        <f>'[1]资源-钻石'!W312</f>
        <v>10289574.093338156</v>
      </c>
      <c r="N312" s="17">
        <f>'[1]资源-钻石'!X312</f>
        <v>24935509.002671968</v>
      </c>
    </row>
    <row r="313" spans="9:14" x14ac:dyDescent="0.15">
      <c r="I313" s="4">
        <v>310</v>
      </c>
      <c r="J313" s="17">
        <f>'[1]资源-钻石'!T313</f>
        <v>1447613.754949627</v>
      </c>
      <c r="K313" s="17">
        <f>'[1]资源-钻石'!U313</f>
        <v>2115695.1304445895</v>
      </c>
      <c r="L313" s="17">
        <f>'[1]资源-钻石'!V313</f>
        <v>3714062.6434890488</v>
      </c>
      <c r="M313" s="17">
        <f>'[1]资源-钻石'!W313</f>
        <v>10321698.907837955</v>
      </c>
      <c r="N313" s="17">
        <f>'[1]资源-钻石'!X313</f>
        <v>25014701.298621748</v>
      </c>
    </row>
    <row r="314" spans="9:14" x14ac:dyDescent="0.15">
      <c r="I314" s="4">
        <v>311</v>
      </c>
      <c r="J314" s="17">
        <f>'[1]资源-钻石'!T314</f>
        <v>1451501.6696752461</v>
      </c>
      <c r="K314" s="17">
        <f>'[1]资源-钻石'!U314</f>
        <v>2121651.8366427706</v>
      </c>
      <c r="L314" s="17">
        <f>'[1]资源-钻石'!V314</f>
        <v>3725067.0203070478</v>
      </c>
      <c r="M314" s="17">
        <f>'[1]资源-钻石'!W314</f>
        <v>10353823.722337754</v>
      </c>
      <c r="N314" s="17">
        <f>'[1]资源-钻石'!X314</f>
        <v>25093893.594571527</v>
      </c>
    </row>
    <row r="315" spans="9:14" x14ac:dyDescent="0.15">
      <c r="I315" s="4">
        <v>312</v>
      </c>
      <c r="J315" s="17">
        <f>'[1]资源-钻石'!T315</f>
        <v>1455389.5844008652</v>
      </c>
      <c r="K315" s="17">
        <f>'[1]资源-钻石'!U315</f>
        <v>2127608.5428409516</v>
      </c>
      <c r="L315" s="17">
        <f>'[1]资源-钻石'!V315</f>
        <v>3736071.3971250472</v>
      </c>
      <c r="M315" s="17">
        <f>'[1]资源-钻石'!W315</f>
        <v>10385948.536837554</v>
      </c>
      <c r="N315" s="17">
        <f>'[1]资源-钻石'!X315</f>
        <v>25173085.890521307</v>
      </c>
    </row>
    <row r="316" spans="9:14" x14ac:dyDescent="0.15">
      <c r="I316" s="1">
        <v>313</v>
      </c>
      <c r="J316" s="17">
        <f>'[1]资源-钻石'!T316</f>
        <v>1459277.4991264844</v>
      </c>
      <c r="K316" s="17">
        <f>'[1]资源-钻石'!U316</f>
        <v>2133565.2490391326</v>
      </c>
      <c r="L316" s="17">
        <f>'[1]资源-钻石'!V316</f>
        <v>3747075.7739430461</v>
      </c>
      <c r="M316" s="17">
        <f>'[1]资源-钻石'!W316</f>
        <v>10418073.351337353</v>
      </c>
      <c r="N316" s="17">
        <f>'[1]资源-钻石'!X316</f>
        <v>25252278.186471086</v>
      </c>
    </row>
    <row r="317" spans="9:14" x14ac:dyDescent="0.15">
      <c r="I317" s="1">
        <v>314</v>
      </c>
      <c r="J317" s="17">
        <f>'[1]资源-钻石'!T317</f>
        <v>1463165.4138521035</v>
      </c>
      <c r="K317" s="17">
        <f>'[1]资源-钻石'!U317</f>
        <v>2139521.9552373136</v>
      </c>
      <c r="L317" s="17">
        <f>'[1]资源-钻石'!V317</f>
        <v>3758080.1507610455</v>
      </c>
      <c r="M317" s="17">
        <f>'[1]资源-钻石'!W317</f>
        <v>10450198.165837152</v>
      </c>
      <c r="N317" s="17">
        <f>'[1]资源-钻石'!X317</f>
        <v>25331470.482420865</v>
      </c>
    </row>
    <row r="318" spans="9:14" x14ac:dyDescent="0.15">
      <c r="I318" s="4">
        <v>315</v>
      </c>
      <c r="J318" s="17">
        <f>'[1]资源-钻石'!T318</f>
        <v>1467053.3285777227</v>
      </c>
      <c r="K318" s="17">
        <f>'[1]资源-钻石'!U318</f>
        <v>2145478.6614354947</v>
      </c>
      <c r="L318" s="17">
        <f>'[1]资源-钻石'!V318</f>
        <v>3769084.5275790445</v>
      </c>
      <c r="M318" s="17">
        <f>'[1]资源-钻石'!W318</f>
        <v>10482322.980336951</v>
      </c>
      <c r="N318" s="17">
        <f>'[1]资源-钻石'!X318</f>
        <v>25410662.778370641</v>
      </c>
    </row>
    <row r="319" spans="9:14" x14ac:dyDescent="0.15">
      <c r="I319" s="4">
        <v>316</v>
      </c>
      <c r="J319" s="17">
        <f>'[1]资源-钻石'!T319</f>
        <v>1470941.2433033418</v>
      </c>
      <c r="K319" s="17">
        <f>'[1]资源-钻石'!U319</f>
        <v>2151435.3676336757</v>
      </c>
      <c r="L319" s="17">
        <f>'[1]资源-钻石'!V319</f>
        <v>3780088.9043970439</v>
      </c>
      <c r="M319" s="17">
        <f>'[1]资源-钻石'!W319</f>
        <v>10514447.794836748</v>
      </c>
      <c r="N319" s="17">
        <f>'[1]资源-钻石'!X319</f>
        <v>25489855.074320421</v>
      </c>
    </row>
    <row r="320" spans="9:14" x14ac:dyDescent="0.15">
      <c r="I320" s="4">
        <v>317</v>
      </c>
      <c r="J320" s="17">
        <f>'[1]资源-钻石'!T320</f>
        <v>1474829.1580289609</v>
      </c>
      <c r="K320" s="17">
        <f>'[1]资源-钻石'!U320</f>
        <v>2157392.0738318567</v>
      </c>
      <c r="L320" s="17">
        <f>'[1]资源-钻石'!V320</f>
        <v>3791093.2812150428</v>
      </c>
      <c r="M320" s="17">
        <f>'[1]资源-钻石'!W320</f>
        <v>10546572.609336548</v>
      </c>
      <c r="N320" s="17">
        <f>'[1]资源-钻石'!X320</f>
        <v>25569047.3702702</v>
      </c>
    </row>
    <row r="321" spans="9:14" x14ac:dyDescent="0.15">
      <c r="I321" s="4">
        <v>318</v>
      </c>
      <c r="J321" s="17">
        <f>'[1]资源-钻石'!T321</f>
        <v>1478717.0727545801</v>
      </c>
      <c r="K321" s="17">
        <f>'[1]资源-钻石'!U321</f>
        <v>2163348.7800300377</v>
      </c>
      <c r="L321" s="17">
        <f>'[1]资源-钻石'!V321</f>
        <v>3802097.6580330422</v>
      </c>
      <c r="M321" s="17">
        <f>'[1]资源-钻石'!W321</f>
        <v>10578697.423836347</v>
      </c>
      <c r="N321" s="17">
        <f>'[1]资源-钻石'!X321</f>
        <v>25648239.66621998</v>
      </c>
    </row>
    <row r="322" spans="9:14" x14ac:dyDescent="0.15">
      <c r="I322" s="1">
        <v>319</v>
      </c>
      <c r="J322" s="17">
        <f>'[1]资源-钻石'!T322</f>
        <v>1482604.9874801992</v>
      </c>
      <c r="K322" s="17">
        <f>'[1]资源-钻石'!U322</f>
        <v>2169305.4862282188</v>
      </c>
      <c r="L322" s="17">
        <f>'[1]资源-钻石'!V322</f>
        <v>3813102.0348510412</v>
      </c>
      <c r="M322" s="17">
        <f>'[1]资源-钻石'!W322</f>
        <v>10610822.238336146</v>
      </c>
      <c r="N322" s="17">
        <f>'[1]资源-钻石'!X322</f>
        <v>25727431.962169759</v>
      </c>
    </row>
    <row r="323" spans="9:14" x14ac:dyDescent="0.15">
      <c r="I323" s="1">
        <v>320</v>
      </c>
      <c r="J323" s="17">
        <f>'[1]资源-钻石'!T323</f>
        <v>1486492.9022058183</v>
      </c>
      <c r="K323" s="17">
        <f>'[1]资源-钻石'!U323</f>
        <v>2175262.1924263998</v>
      </c>
      <c r="L323" s="17">
        <f>'[1]资源-钻石'!V323</f>
        <v>3824106.4116690401</v>
      </c>
      <c r="M323" s="17">
        <f>'[1]资源-钻石'!W323</f>
        <v>10642947.052835945</v>
      </c>
      <c r="N323" s="17">
        <f>'[1]资源-钻石'!X323</f>
        <v>25806624.258119538</v>
      </c>
    </row>
    <row r="324" spans="9:14" x14ac:dyDescent="0.15">
      <c r="I324" s="4">
        <v>321</v>
      </c>
      <c r="J324" s="17">
        <f>'[1]资源-钻石'!T324</f>
        <v>1490380.8169314375</v>
      </c>
      <c r="K324" s="17">
        <f>'[1]资源-钻石'!U324</f>
        <v>2181218.8986245808</v>
      </c>
      <c r="L324" s="17">
        <f>'[1]资源-钻石'!V324</f>
        <v>3835110.7884870395</v>
      </c>
      <c r="M324" s="17">
        <f>'[1]资源-钻石'!W324</f>
        <v>10675071.867335744</v>
      </c>
      <c r="N324" s="17">
        <f>'[1]资源-钻石'!X324</f>
        <v>25885816.554069318</v>
      </c>
    </row>
    <row r="325" spans="9:14" x14ac:dyDescent="0.15">
      <c r="I325" s="4">
        <v>322</v>
      </c>
      <c r="J325" s="17">
        <f>'[1]资源-钻石'!T325</f>
        <v>1494268.7316570566</v>
      </c>
      <c r="K325" s="17">
        <f>'[1]资源-钻石'!U325</f>
        <v>2187175.6048227618</v>
      </c>
      <c r="L325" s="17">
        <f>'[1]资源-钻石'!V325</f>
        <v>3846115.1653050384</v>
      </c>
      <c r="M325" s="17">
        <f>'[1]资源-钻石'!W325</f>
        <v>10707196.681835543</v>
      </c>
      <c r="N325" s="17">
        <f>'[1]资源-钻石'!X325</f>
        <v>25965008.850019094</v>
      </c>
    </row>
    <row r="326" spans="9:14" x14ac:dyDescent="0.15">
      <c r="I326" s="4">
        <v>323</v>
      </c>
      <c r="J326" s="17">
        <f>'[1]资源-钻石'!T326</f>
        <v>1498156.6463826757</v>
      </c>
      <c r="K326" s="17">
        <f>'[1]资源-钻石'!U326</f>
        <v>2193132.3110209429</v>
      </c>
      <c r="L326" s="17">
        <f>'[1]资源-钻石'!V326</f>
        <v>3857119.5421230379</v>
      </c>
      <c r="M326" s="17">
        <f>'[1]资源-钻石'!W326</f>
        <v>10739321.496335343</v>
      </c>
      <c r="N326" s="17">
        <f>'[1]资源-钻石'!X326</f>
        <v>26044201.145968873</v>
      </c>
    </row>
    <row r="327" spans="9:14" x14ac:dyDescent="0.15">
      <c r="I327" s="4">
        <v>324</v>
      </c>
      <c r="J327" s="17">
        <f>'[1]资源-钻石'!T327</f>
        <v>1502044.5611082949</v>
      </c>
      <c r="K327" s="17">
        <f>'[1]资源-钻石'!U327</f>
        <v>2199089.0172191239</v>
      </c>
      <c r="L327" s="17">
        <f>'[1]资源-钻石'!V327</f>
        <v>3868123.9189410368</v>
      </c>
      <c r="M327" s="17">
        <f>'[1]资源-钻石'!W327</f>
        <v>10771446.310835142</v>
      </c>
      <c r="N327" s="17">
        <f>'[1]资源-钻石'!X327</f>
        <v>26123393.441918653</v>
      </c>
    </row>
    <row r="328" spans="9:14" x14ac:dyDescent="0.15">
      <c r="I328" s="1">
        <v>325</v>
      </c>
      <c r="J328" s="17">
        <f>'[1]资源-钻石'!T328</f>
        <v>1505932.475833914</v>
      </c>
      <c r="K328" s="17">
        <f>'[1]资源-钻石'!U328</f>
        <v>2205045.7234173049</v>
      </c>
      <c r="L328" s="17">
        <f>'[1]资源-钻石'!V328</f>
        <v>3879128.2957590362</v>
      </c>
      <c r="M328" s="17">
        <f>'[1]资源-钻石'!W328</f>
        <v>10803571.125334941</v>
      </c>
      <c r="N328" s="17">
        <f>'[1]资源-钻石'!X328</f>
        <v>26202585.737868432</v>
      </c>
    </row>
    <row r="329" spans="9:14" x14ac:dyDescent="0.15">
      <c r="I329" s="1">
        <v>326</v>
      </c>
      <c r="J329" s="17">
        <f>'[1]资源-钻石'!T329</f>
        <v>1509820.3905595331</v>
      </c>
      <c r="K329" s="17">
        <f>'[1]资源-钻石'!U329</f>
        <v>2211002.4296154864</v>
      </c>
      <c r="L329" s="17">
        <f>'[1]资源-钻石'!V329</f>
        <v>3890132.6725770351</v>
      </c>
      <c r="M329" s="17">
        <f>'[1]资源-钻石'!W329</f>
        <v>10835695.93983474</v>
      </c>
      <c r="N329" s="17">
        <f>'[1]资源-钻石'!X329</f>
        <v>26281778.033818211</v>
      </c>
    </row>
    <row r="330" spans="9:14" x14ac:dyDescent="0.15">
      <c r="I330" s="4">
        <v>327</v>
      </c>
      <c r="J330" s="17">
        <f>'[1]资源-钻石'!T330</f>
        <v>1513708.3052851523</v>
      </c>
      <c r="K330" s="17">
        <f>'[1]资源-钻石'!U330</f>
        <v>2216959.1358136674</v>
      </c>
      <c r="L330" s="17">
        <f>'[1]资源-钻石'!V330</f>
        <v>3901137.0493950346</v>
      </c>
      <c r="M330" s="17">
        <f>'[1]资源-钻石'!W330</f>
        <v>10867820.754334539</v>
      </c>
      <c r="N330" s="17">
        <f>'[1]资源-钻石'!X330</f>
        <v>26360970.329767991</v>
      </c>
    </row>
    <row r="331" spans="9:14" x14ac:dyDescent="0.15">
      <c r="I331" s="4">
        <v>328</v>
      </c>
      <c r="J331" s="17">
        <f>'[1]资源-钻石'!T331</f>
        <v>1517596.2200107714</v>
      </c>
      <c r="K331" s="17">
        <f>'[1]资源-钻石'!U331</f>
        <v>2222915.8420118485</v>
      </c>
      <c r="L331" s="17">
        <f>'[1]资源-钻石'!V331</f>
        <v>3912141.4262130335</v>
      </c>
      <c r="M331" s="17">
        <f>'[1]资源-钻石'!W331</f>
        <v>10899945.568834338</v>
      </c>
      <c r="N331" s="17">
        <f>'[1]资源-钻石'!X331</f>
        <v>26440162.625717767</v>
      </c>
    </row>
    <row r="332" spans="9:14" x14ac:dyDescent="0.15">
      <c r="I332" s="4">
        <v>329</v>
      </c>
      <c r="J332" s="17">
        <f>'[1]资源-钻石'!T332</f>
        <v>1521484.1347363906</v>
      </c>
      <c r="K332" s="17">
        <f>'[1]资源-钻石'!U332</f>
        <v>2228872.5482100295</v>
      </c>
      <c r="L332" s="17">
        <f>'[1]资源-钻石'!V332</f>
        <v>3923145.8030310329</v>
      </c>
      <c r="M332" s="17">
        <f>'[1]资源-钻石'!W332</f>
        <v>10932070.383334137</v>
      </c>
      <c r="N332" s="17">
        <f>'[1]资源-钻石'!X332</f>
        <v>26519354.921667546</v>
      </c>
    </row>
    <row r="333" spans="9:14" x14ac:dyDescent="0.15">
      <c r="I333" s="4">
        <v>330</v>
      </c>
      <c r="J333" s="17">
        <f>'[1]资源-钻石'!T333</f>
        <v>1525372.0494620097</v>
      </c>
      <c r="K333" s="17">
        <f>'[1]资源-钻石'!U333</f>
        <v>2234829.2544082105</v>
      </c>
      <c r="L333" s="17">
        <f>'[1]资源-钻石'!V333</f>
        <v>3934150.1798490318</v>
      </c>
      <c r="M333" s="17">
        <f>'[1]资源-钻石'!W333</f>
        <v>10964195.197833937</v>
      </c>
      <c r="N333" s="17">
        <f>'[1]资源-钻石'!X333</f>
        <v>26598547.217617325</v>
      </c>
    </row>
    <row r="334" spans="9:14" x14ac:dyDescent="0.15">
      <c r="I334" s="1">
        <v>331</v>
      </c>
      <c r="J334" s="17">
        <f>'[1]资源-钻石'!T334</f>
        <v>1529259.9641876288</v>
      </c>
      <c r="K334" s="17">
        <f>'[1]资源-钻石'!U334</f>
        <v>2240785.9606063915</v>
      </c>
      <c r="L334" s="17">
        <f>'[1]资源-钻石'!V334</f>
        <v>3945154.5566670313</v>
      </c>
      <c r="M334" s="17">
        <f>'[1]资源-钻石'!W334</f>
        <v>10996320.012333736</v>
      </c>
      <c r="N334" s="17">
        <f>'[1]资源-钻石'!X334</f>
        <v>26677739.513567105</v>
      </c>
    </row>
    <row r="335" spans="9:14" x14ac:dyDescent="0.15">
      <c r="I335" s="1">
        <v>332</v>
      </c>
      <c r="J335" s="17">
        <f>'[1]资源-钻石'!T335</f>
        <v>1533147.878913248</v>
      </c>
      <c r="K335" s="17">
        <f>'[1]资源-钻石'!U335</f>
        <v>2246742.6668045726</v>
      </c>
      <c r="L335" s="17">
        <f>'[1]资源-钻石'!V335</f>
        <v>3956158.9334850302</v>
      </c>
      <c r="M335" s="17">
        <f>'[1]资源-钻石'!W335</f>
        <v>11028444.826833533</v>
      </c>
      <c r="N335" s="17">
        <f>'[1]资源-钻石'!X335</f>
        <v>26756931.809516884</v>
      </c>
    </row>
    <row r="336" spans="9:14" x14ac:dyDescent="0.15">
      <c r="I336" s="4">
        <v>333</v>
      </c>
      <c r="J336" s="17">
        <f>'[1]资源-钻石'!T336</f>
        <v>1537035.7936388671</v>
      </c>
      <c r="K336" s="17">
        <f>'[1]资源-钻石'!U336</f>
        <v>2252699.3730027536</v>
      </c>
      <c r="L336" s="17">
        <f>'[1]资源-钻石'!V336</f>
        <v>3967163.3103030296</v>
      </c>
      <c r="M336" s="17">
        <f>'[1]资源-钻石'!W336</f>
        <v>11060569.641333332</v>
      </c>
      <c r="N336" s="17">
        <f>'[1]资源-钻石'!X336</f>
        <v>26836124.105466664</v>
      </c>
    </row>
    <row r="337" spans="9:14" x14ac:dyDescent="0.15">
      <c r="I337" s="4">
        <v>334</v>
      </c>
      <c r="J337" s="17">
        <f>'[1]资源-钻石'!T337</f>
        <v>1540923.7083644862</v>
      </c>
      <c r="K337" s="17">
        <f>'[1]资源-钻石'!U337</f>
        <v>2258656.0792009346</v>
      </c>
      <c r="L337" s="17">
        <f>'[1]资源-钻石'!V337</f>
        <v>3978167.6871210285</v>
      </c>
      <c r="M337" s="17">
        <f>'[1]资源-钻石'!W337</f>
        <v>11092694.455833131</v>
      </c>
      <c r="N337" s="17">
        <f>'[1]资源-钻石'!X337</f>
        <v>26915316.40141644</v>
      </c>
    </row>
    <row r="338" spans="9:14" x14ac:dyDescent="0.15">
      <c r="I338" s="4">
        <v>335</v>
      </c>
      <c r="J338" s="17">
        <f>'[1]资源-钻石'!T338</f>
        <v>1544811.6230901054</v>
      </c>
      <c r="K338" s="17">
        <f>'[1]资源-钻石'!U338</f>
        <v>2264612.7853991156</v>
      </c>
      <c r="L338" s="17">
        <f>'[1]资源-钻石'!V338</f>
        <v>3989172.063939028</v>
      </c>
      <c r="M338" s="17">
        <f>'[1]资源-钻石'!W338</f>
        <v>11124819.270332931</v>
      </c>
      <c r="N338" s="17">
        <f>'[1]资源-钻石'!X338</f>
        <v>26994508.697366219</v>
      </c>
    </row>
    <row r="339" spans="9:14" x14ac:dyDescent="0.15">
      <c r="I339" s="4">
        <v>336</v>
      </c>
      <c r="J339" s="17">
        <f>'[1]资源-钻石'!T339</f>
        <v>1548699.5378157245</v>
      </c>
      <c r="K339" s="17">
        <f>'[1]资源-钻石'!U339</f>
        <v>2270569.4915972967</v>
      </c>
      <c r="L339" s="17">
        <f>'[1]资源-钻石'!V339</f>
        <v>4000176.4407570269</v>
      </c>
      <c r="M339" s="17">
        <f>'[1]资源-钻石'!W339</f>
        <v>11156944.08483273</v>
      </c>
      <c r="N339" s="17">
        <f>'[1]资源-钻石'!X339</f>
        <v>27073699.263363283</v>
      </c>
    </row>
    <row r="340" spans="9:14" x14ac:dyDescent="0.15">
      <c r="I340" s="1">
        <v>337</v>
      </c>
      <c r="J340" s="17">
        <f>'[1]资源-钻石'!T340</f>
        <v>1552584.3384676364</v>
      </c>
      <c r="K340" s="17">
        <f>'[1]资源-钻石'!U340</f>
        <v>2276526.1977954777</v>
      </c>
      <c r="L340" s="17">
        <f>'[1]资源-钻石'!V340</f>
        <v>4011180.8175750263</v>
      </c>
      <c r="M340" s="17">
        <f>'[1]资源-钻石'!W340</f>
        <v>11189068.899332529</v>
      </c>
      <c r="N340" s="17">
        <f>'[1]资源-钻石'!X340</f>
        <v>27152881.147005476</v>
      </c>
    </row>
    <row r="341" spans="9:14" x14ac:dyDescent="0.15">
      <c r="I341" s="1">
        <v>338</v>
      </c>
      <c r="J341" s="17">
        <f>'[1]资源-钻石'!T341</f>
        <v>1556457.134484218</v>
      </c>
      <c r="K341" s="17">
        <f>'[1]资源-钻石'!U341</f>
        <v>2282482.9039936587</v>
      </c>
      <c r="L341" s="17">
        <f>'[1]资源-钻石'!V341</f>
        <v>4022185.1943930252</v>
      </c>
      <c r="M341" s="17">
        <f>'[1]资源-钻石'!W341</f>
        <v>11221193.713832328</v>
      </c>
      <c r="N341" s="17">
        <f>'[1]资源-钻石'!X341</f>
        <v>27232063.030647673</v>
      </c>
    </row>
    <row r="342" spans="9:14" x14ac:dyDescent="0.15">
      <c r="I342" s="4">
        <v>339</v>
      </c>
      <c r="J342" s="17">
        <f>'[1]资源-钻石'!T342</f>
        <v>1560329.9305007996</v>
      </c>
      <c r="K342" s="17">
        <f>'[1]资源-钻石'!U342</f>
        <v>2288439.6101918397</v>
      </c>
      <c r="L342" s="17">
        <f>'[1]资源-钻石'!V342</f>
        <v>4033189.5712110247</v>
      </c>
      <c r="M342" s="17">
        <f>'[1]资源-钻石'!W342</f>
        <v>11253318.528332127</v>
      </c>
      <c r="N342" s="17">
        <f>'[1]资源-钻石'!X342</f>
        <v>27311244.914289866</v>
      </c>
    </row>
    <row r="343" spans="9:14" x14ac:dyDescent="0.15">
      <c r="I343" s="4">
        <v>340</v>
      </c>
      <c r="J343" s="17">
        <f>'[1]资源-钻石'!T343</f>
        <v>1564202.7265173811</v>
      </c>
      <c r="K343" s="17">
        <f>'[1]资源-钻石'!U343</f>
        <v>2294396.3163900208</v>
      </c>
      <c r="L343" s="17">
        <f>'[1]资源-钻石'!V343</f>
        <v>4044193.9480290236</v>
      </c>
      <c r="M343" s="17">
        <f>'[1]资源-钻石'!W343</f>
        <v>11285443.342831926</v>
      </c>
      <c r="N343" s="17">
        <f>'[1]资源-钻石'!X343</f>
        <v>27390426.797932062</v>
      </c>
    </row>
    <row r="344" spans="9:14" x14ac:dyDescent="0.15">
      <c r="I344" s="4">
        <v>341</v>
      </c>
      <c r="J344" s="17">
        <f>'[1]资源-钻石'!T344</f>
        <v>1568075.5225339627</v>
      </c>
      <c r="K344" s="17">
        <f>'[1]资源-钻石'!U344</f>
        <v>2300353.0225882018</v>
      </c>
      <c r="L344" s="17">
        <f>'[1]资源-钻石'!V344</f>
        <v>4055198.324847023</v>
      </c>
      <c r="M344" s="17">
        <f>'[1]资源-钻石'!W344</f>
        <v>11317568.157331726</v>
      </c>
      <c r="N344" s="17">
        <f>'[1]资源-钻石'!X344</f>
        <v>27469608.681574255</v>
      </c>
    </row>
    <row r="345" spans="9:14" x14ac:dyDescent="0.15">
      <c r="I345" s="4">
        <v>342</v>
      </c>
      <c r="J345" s="17">
        <f>'[1]资源-钻石'!T345</f>
        <v>1571948.3185505446</v>
      </c>
      <c r="K345" s="17">
        <f>'[1]资源-钻石'!U345</f>
        <v>2306309.7287863828</v>
      </c>
      <c r="L345" s="17">
        <f>'[1]资源-钻石'!V345</f>
        <v>4066202.7016650219</v>
      </c>
      <c r="M345" s="17">
        <f>'[1]资源-钻石'!W345</f>
        <v>11349692.971831525</v>
      </c>
      <c r="N345" s="17">
        <f>'[1]资源-钻石'!X345</f>
        <v>27548790.565216452</v>
      </c>
    </row>
    <row r="346" spans="9:14" x14ac:dyDescent="0.15">
      <c r="I346" s="1">
        <v>343</v>
      </c>
      <c r="J346" s="17">
        <f>'[1]资源-钻石'!T346</f>
        <v>1575821.1145671261</v>
      </c>
      <c r="K346" s="17">
        <f>'[1]资源-钻石'!U346</f>
        <v>2312266.4349845638</v>
      </c>
      <c r="L346" s="17">
        <f>'[1]资源-钻石'!V346</f>
        <v>4077207.0784830214</v>
      </c>
      <c r="M346" s="17">
        <f>'[1]资源-钻石'!W346</f>
        <v>11381817.786331324</v>
      </c>
      <c r="N346" s="17">
        <f>'[1]资源-钻石'!X346</f>
        <v>27627972.448858645</v>
      </c>
    </row>
    <row r="347" spans="9:14" x14ac:dyDescent="0.15">
      <c r="I347" s="1">
        <v>344</v>
      </c>
      <c r="J347" s="17">
        <f>'[1]资源-钻石'!T347</f>
        <v>1579693.9105837077</v>
      </c>
      <c r="K347" s="17">
        <f>'[1]资源-钻石'!U347</f>
        <v>2318223.1411827449</v>
      </c>
      <c r="L347" s="17">
        <f>'[1]资源-钻石'!V347</f>
        <v>4088211.4553010203</v>
      </c>
      <c r="M347" s="17">
        <f>'[1]资源-钻石'!W347</f>
        <v>11413942.600831123</v>
      </c>
      <c r="N347" s="17">
        <f>'[1]资源-钻石'!X347</f>
        <v>27707154.332500841</v>
      </c>
    </row>
    <row r="348" spans="9:14" x14ac:dyDescent="0.15">
      <c r="I348" s="4">
        <v>345</v>
      </c>
      <c r="J348" s="17">
        <f>'[1]资源-钻石'!T348</f>
        <v>1583566.7066002893</v>
      </c>
      <c r="K348" s="17">
        <f>'[1]资源-钻石'!U348</f>
        <v>2324179.8473809259</v>
      </c>
      <c r="L348" s="17">
        <f>'[1]资源-钻石'!V348</f>
        <v>4099215.8321190197</v>
      </c>
      <c r="M348" s="17">
        <f>'[1]资源-钻石'!W348</f>
        <v>11446067.415330922</v>
      </c>
      <c r="N348" s="17">
        <f>'[1]资源-钻石'!X348</f>
        <v>27786336.216143034</v>
      </c>
    </row>
    <row r="349" spans="9:14" x14ac:dyDescent="0.15">
      <c r="I349" s="4">
        <v>346</v>
      </c>
      <c r="J349" s="17">
        <f>'[1]资源-钻石'!T349</f>
        <v>1587439.5026168709</v>
      </c>
      <c r="K349" s="17">
        <f>'[1]资源-钻石'!U349</f>
        <v>2330136.5535791074</v>
      </c>
      <c r="L349" s="17">
        <f>'[1]资源-钻石'!V349</f>
        <v>4110220.2089370186</v>
      </c>
      <c r="M349" s="17">
        <f>'[1]资源-钻石'!W349</f>
        <v>11478192.229830721</v>
      </c>
      <c r="N349" s="17">
        <f>'[1]资源-钻石'!X349</f>
        <v>27865518.099785231</v>
      </c>
    </row>
    <row r="350" spans="9:14" x14ac:dyDescent="0.15">
      <c r="I350" s="4">
        <v>347</v>
      </c>
      <c r="J350" s="17">
        <f>'[1]资源-钻石'!T350</f>
        <v>1591312.2986334525</v>
      </c>
      <c r="K350" s="17">
        <f>'[1]资源-钻石'!U350</f>
        <v>2336093.2597772884</v>
      </c>
      <c r="L350" s="17">
        <f>'[1]资源-钻石'!V350</f>
        <v>4121224.5857550181</v>
      </c>
      <c r="M350" s="17">
        <f>'[1]资源-钻石'!W350</f>
        <v>11510317.044330521</v>
      </c>
      <c r="N350" s="17">
        <f>'[1]资源-钻石'!X350</f>
        <v>27944699.983427424</v>
      </c>
    </row>
    <row r="351" spans="9:14" x14ac:dyDescent="0.15">
      <c r="I351" s="4">
        <v>348</v>
      </c>
      <c r="J351" s="17">
        <f>'[1]资源-钻石'!T351</f>
        <v>1595185.0946500343</v>
      </c>
      <c r="K351" s="17">
        <f>'[1]资源-钻石'!U351</f>
        <v>2342049.9659754694</v>
      </c>
      <c r="L351" s="17">
        <f>'[1]资源-钻石'!V351</f>
        <v>4132228.962573017</v>
      </c>
      <c r="M351" s="17">
        <f>'[1]资源-钻石'!W351</f>
        <v>11542441.85883032</v>
      </c>
      <c r="N351" s="17">
        <f>'[1]资源-钻石'!X351</f>
        <v>28023881.867069621</v>
      </c>
    </row>
    <row r="352" spans="9:14" x14ac:dyDescent="0.15">
      <c r="I352" s="1">
        <v>349</v>
      </c>
      <c r="J352" s="17">
        <f>'[1]资源-钻石'!T352</f>
        <v>1599057.8906666159</v>
      </c>
      <c r="K352" s="17">
        <f>'[1]资源-钻石'!U352</f>
        <v>2348006.6721736505</v>
      </c>
      <c r="L352" s="17">
        <f>'[1]资源-钻石'!V352</f>
        <v>4143233.3393910164</v>
      </c>
      <c r="M352" s="17">
        <f>'[1]资源-钻石'!W352</f>
        <v>11574566.673330119</v>
      </c>
      <c r="N352" s="17">
        <f>'[1]资源-钻石'!X352</f>
        <v>28103063.750711814</v>
      </c>
    </row>
    <row r="353" spans="9:14" x14ac:dyDescent="0.15">
      <c r="I353" s="1">
        <v>350</v>
      </c>
      <c r="J353" s="17">
        <f>'[1]资源-钻石'!T353</f>
        <v>1602930.6866831975</v>
      </c>
      <c r="K353" s="17">
        <f>'[1]资源-钻石'!U353</f>
        <v>2353963.3783718315</v>
      </c>
      <c r="L353" s="17">
        <f>'[1]资源-钻石'!V353</f>
        <v>4154237.7162090153</v>
      </c>
      <c r="M353" s="17">
        <f>'[1]资源-钻石'!W353</f>
        <v>11606691.487829918</v>
      </c>
      <c r="N353" s="17">
        <f>'[1]资源-钻石'!X353</f>
        <v>28182245.63435401</v>
      </c>
    </row>
    <row r="354" spans="9:14" x14ac:dyDescent="0.15">
      <c r="I354" s="4">
        <v>351</v>
      </c>
      <c r="J354" s="17">
        <f>'[1]资源-钻石'!T354</f>
        <v>1606803.4826997791</v>
      </c>
      <c r="K354" s="17">
        <f>'[1]资源-钻石'!U354</f>
        <v>2359920.0845700125</v>
      </c>
      <c r="L354" s="17">
        <f>'[1]资源-钻石'!V354</f>
        <v>4165242.0930270143</v>
      </c>
      <c r="M354" s="17">
        <f>'[1]资源-钻石'!W354</f>
        <v>11638816.302329717</v>
      </c>
      <c r="N354" s="17">
        <f>'[1]资源-钻石'!X354</f>
        <v>28261427.517996203</v>
      </c>
    </row>
    <row r="355" spans="9:14" x14ac:dyDescent="0.15">
      <c r="I355" s="4">
        <v>352</v>
      </c>
      <c r="J355" s="17">
        <f>'[1]资源-钻石'!T355</f>
        <v>1610676.2787163607</v>
      </c>
      <c r="K355" s="17">
        <f>'[1]资源-钻石'!U355</f>
        <v>2365876.7907681935</v>
      </c>
      <c r="L355" s="17">
        <f>'[1]资源-钻石'!V355</f>
        <v>4176246.4698450137</v>
      </c>
      <c r="M355" s="17">
        <f>'[1]资源-钻石'!W355</f>
        <v>11670941.116829516</v>
      </c>
      <c r="N355" s="17">
        <f>'[1]资源-钻石'!X355</f>
        <v>28340609.4016384</v>
      </c>
    </row>
    <row r="356" spans="9:14" x14ac:dyDescent="0.15">
      <c r="I356" s="4">
        <v>353</v>
      </c>
      <c r="J356" s="17">
        <f>'[1]资源-钻石'!T356</f>
        <v>1614549.0747329423</v>
      </c>
      <c r="K356" s="17">
        <f>'[1]资源-钻石'!U356</f>
        <v>2371833.4969663746</v>
      </c>
      <c r="L356" s="17">
        <f>'[1]资源-钻石'!V356</f>
        <v>4187250.8466630131</v>
      </c>
      <c r="M356" s="17">
        <f>'[1]资源-钻石'!W356</f>
        <v>11703065.931329316</v>
      </c>
      <c r="N356" s="17">
        <f>'[1]资源-钻石'!X356</f>
        <v>28419791.285280593</v>
      </c>
    </row>
    <row r="357" spans="9:14" x14ac:dyDescent="0.15">
      <c r="I357" s="1">
        <v>354</v>
      </c>
      <c r="J357" s="17">
        <f>'[1]资源-钻石'!T357</f>
        <v>1618421.8707495241</v>
      </c>
      <c r="K357" s="17">
        <f>'[1]资源-钻石'!U357</f>
        <v>2377790.2031645556</v>
      </c>
      <c r="L357" s="17">
        <f>'[1]资源-钻石'!V357</f>
        <v>4198255.2234810125</v>
      </c>
      <c r="M357" s="17">
        <f>'[1]资源-钻石'!W357</f>
        <v>11735190.745829113</v>
      </c>
      <c r="N357" s="17">
        <f>'[1]资源-钻石'!X357</f>
        <v>28498973.168922789</v>
      </c>
    </row>
    <row r="358" spans="9:14" x14ac:dyDescent="0.15">
      <c r="I358" s="1">
        <v>355</v>
      </c>
      <c r="J358" s="17">
        <f>'[1]资源-钻石'!T358</f>
        <v>1622294.6667661057</v>
      </c>
      <c r="K358" s="17">
        <f>'[1]资源-钻石'!U358</f>
        <v>2383746.9093627366</v>
      </c>
      <c r="L358" s="17">
        <f>'[1]资源-钻石'!V358</f>
        <v>4208975.6234510429</v>
      </c>
      <c r="M358" s="17">
        <f>'[1]资源-钻石'!W358</f>
        <v>11767315.560328912</v>
      </c>
      <c r="N358" s="17">
        <f>'[1]资源-钻石'!X358</f>
        <v>28578155.052564986</v>
      </c>
    </row>
    <row r="359" spans="9:14" x14ac:dyDescent="0.15">
      <c r="I359" s="4">
        <v>356</v>
      </c>
      <c r="J359" s="17">
        <f>'[1]资源-钻石'!T359</f>
        <v>1626167.4627826873</v>
      </c>
      <c r="K359" s="17">
        <f>'[1]资源-钻石'!U359</f>
        <v>2389703.6155609176</v>
      </c>
      <c r="L359" s="17">
        <f>'[1]资源-钻石'!V359</f>
        <v>4219656.1954252925</v>
      </c>
      <c r="M359" s="17">
        <f>'[1]资源-钻石'!W359</f>
        <v>11799206.97581517</v>
      </c>
      <c r="N359" s="17">
        <f>'[1]资源-钻石'!X359</f>
        <v>28657336.936207179</v>
      </c>
    </row>
    <row r="360" spans="9:14" x14ac:dyDescent="0.15">
      <c r="I360" s="4">
        <v>357</v>
      </c>
      <c r="J360" s="17">
        <f>'[1]资源-钻石'!T360</f>
        <v>1630040.2587992689</v>
      </c>
      <c r="K360" s="17">
        <f>'[1]资源-钻石'!U360</f>
        <v>2395660.3217590987</v>
      </c>
      <c r="L360" s="17">
        <f>'[1]资源-钻石'!V360</f>
        <v>4230336.767399542</v>
      </c>
      <c r="M360" s="17">
        <f>'[1]资源-钻石'!W360</f>
        <v>11830947.585209705</v>
      </c>
      <c r="N360" s="17">
        <f>'[1]资源-钻石'!X360</f>
        <v>28736518.819849376</v>
      </c>
    </row>
    <row r="361" spans="9:14" x14ac:dyDescent="0.15">
      <c r="I361" s="4">
        <v>358</v>
      </c>
      <c r="J361" s="17">
        <f>'[1]资源-钻石'!T361</f>
        <v>1633913.0548158505</v>
      </c>
      <c r="K361" s="17">
        <f>'[1]资源-钻石'!U361</f>
        <v>2401617.0279572797</v>
      </c>
      <c r="L361" s="17">
        <f>'[1]资源-钻石'!V361</f>
        <v>4241017.3393737916</v>
      </c>
      <c r="M361" s="17">
        <f>'[1]资源-钻石'!W361</f>
        <v>11862688.194604242</v>
      </c>
      <c r="N361" s="17">
        <f>'[1]资源-钻石'!X361</f>
        <v>28815700.703491569</v>
      </c>
    </row>
    <row r="362" spans="9:14" x14ac:dyDescent="0.15">
      <c r="I362" s="1">
        <v>359</v>
      </c>
      <c r="J362" s="17">
        <f>'[1]资源-钻石'!T362</f>
        <v>1637785.850832432</v>
      </c>
      <c r="K362" s="17">
        <f>'[1]资源-钻石'!U362</f>
        <v>2407313.9784725667</v>
      </c>
      <c r="L362" s="17">
        <f>'[1]资源-钻石'!V362</f>
        <v>4251697.9113480402</v>
      </c>
      <c r="M362" s="17">
        <f>'[1]资源-钻石'!W362</f>
        <v>11894428.80399878</v>
      </c>
      <c r="N362" s="17">
        <f>'[1]资源-钻石'!X362</f>
        <v>28894882.587133765</v>
      </c>
    </row>
    <row r="363" spans="9:14" x14ac:dyDescent="0.15">
      <c r="I363" s="4">
        <v>360</v>
      </c>
      <c r="J363" s="17">
        <f>'[1]资源-钻石'!T363</f>
        <v>1641658.6468490139</v>
      </c>
      <c r="K363" s="17">
        <f>'[1]资源-钻石'!U363</f>
        <v>2412907.6343546393</v>
      </c>
      <c r="L363" s="17">
        <f>'[1]资源-钻石'!V363</f>
        <v>4262378.4833222898</v>
      </c>
      <c r="M363" s="17">
        <f>'[1]资源-钻石'!W363</f>
        <v>11926169.413393315</v>
      </c>
      <c r="N363" s="17">
        <f>'[1]资源-钻石'!X363</f>
        <v>28974064.470775958</v>
      </c>
    </row>
    <row r="364" spans="9:14" x14ac:dyDescent="0.15">
      <c r="I364" s="4">
        <v>361</v>
      </c>
      <c r="J364" s="17">
        <f>'[1]资源-钻石'!T364</f>
        <v>1645531.4428655955</v>
      </c>
      <c r="K364" s="17">
        <f>'[1]资源-钻石'!U364</f>
        <v>2418501.2902367124</v>
      </c>
      <c r="L364" s="17">
        <f>'[1]资源-钻石'!V364</f>
        <v>4273059.0552965393</v>
      </c>
      <c r="M364" s="17">
        <f>'[1]资源-钻石'!W364</f>
        <v>11957910.022787852</v>
      </c>
      <c r="N364" s="17">
        <f>'[1]资源-钻石'!X364</f>
        <v>29052991.710573517</v>
      </c>
    </row>
    <row r="365" spans="9:14" x14ac:dyDescent="0.15">
      <c r="I365" s="1">
        <v>362</v>
      </c>
      <c r="J365" s="17">
        <f>'[1]资源-钻石'!T365</f>
        <v>1649079.5198663634</v>
      </c>
      <c r="K365" s="17">
        <f>'[1]资源-钻石'!U365</f>
        <v>2424094.9461187851</v>
      </c>
      <c r="L365" s="17">
        <f>'[1]资源-钻石'!V365</f>
        <v>4283739.6272707889</v>
      </c>
      <c r="M365" s="17">
        <f>'[1]资源-钻石'!W365</f>
        <v>11989650.632182389</v>
      </c>
      <c r="N365" s="17">
        <f>'[1]资源-钻石'!X365</f>
        <v>29131667.325036339</v>
      </c>
    </row>
    <row r="366" spans="9:14" x14ac:dyDescent="0.15">
      <c r="I366" s="4">
        <v>363</v>
      </c>
      <c r="J366" s="17">
        <f>'[1]资源-钻石'!T366</f>
        <v>1652614.5341842531</v>
      </c>
      <c r="K366" s="17">
        <f>'[1]资源-钻石'!U366</f>
        <v>2429688.6020008582</v>
      </c>
      <c r="L366" s="17">
        <f>'[1]资源-钻石'!V366</f>
        <v>4294420.1992450384</v>
      </c>
      <c r="M366" s="17">
        <f>'[1]资源-钻石'!W366</f>
        <v>12021391.241576927</v>
      </c>
      <c r="N366" s="17">
        <f>'[1]资源-钻石'!X366</f>
        <v>29210342.939499162</v>
      </c>
    </row>
    <row r="367" spans="9:14" x14ac:dyDescent="0.15">
      <c r="I367" s="4">
        <v>364</v>
      </c>
      <c r="J367" s="17">
        <f>'[1]资源-钻石'!T367</f>
        <v>1656149.548502143</v>
      </c>
      <c r="K367" s="17">
        <f>'[1]资源-钻石'!U367</f>
        <v>2435282.2578829308</v>
      </c>
      <c r="L367" s="17">
        <f>'[1]资源-钻石'!V367</f>
        <v>4305100.771219288</v>
      </c>
      <c r="M367" s="17">
        <f>'[1]资源-钻石'!W367</f>
        <v>12053131.850971462</v>
      </c>
      <c r="N367" s="17">
        <f>'[1]资源-钻石'!X367</f>
        <v>29289018.553961985</v>
      </c>
    </row>
    <row r="368" spans="9:14" x14ac:dyDescent="0.15">
      <c r="I368" s="4">
        <v>365</v>
      </c>
      <c r="J368" s="17">
        <f>'[1]资源-钻石'!T368</f>
        <v>1659684.5628200327</v>
      </c>
      <c r="K368" s="17">
        <f>'[1]资源-钻石'!U368</f>
        <v>2440875.9137650039</v>
      </c>
      <c r="L368" s="17">
        <f>'[1]资源-钻石'!V368</f>
        <v>4315781.3431935376</v>
      </c>
      <c r="M368" s="17">
        <f>'[1]资源-钻石'!W368</f>
        <v>12084872.460365999</v>
      </c>
      <c r="N368" s="17">
        <f>'[1]资源-钻石'!X368</f>
        <v>29367694.168424807</v>
      </c>
    </row>
    <row r="369" spans="9:14" x14ac:dyDescent="0.15">
      <c r="I369" s="4">
        <v>366</v>
      </c>
      <c r="J369" s="17">
        <f>'[1]资源-钻石'!T369</f>
        <v>1663219.5771379226</v>
      </c>
      <c r="K369" s="17">
        <f>'[1]资源-钻石'!U369</f>
        <v>2446469.5696470765</v>
      </c>
      <c r="L369" s="17">
        <f>'[1]资源-钻石'!V369</f>
        <v>4326461.9151677871</v>
      </c>
      <c r="M369" s="17">
        <f>'[1]资源-钻石'!W369</f>
        <v>12116613.069760537</v>
      </c>
      <c r="N369" s="17">
        <f>'[1]资源-钻石'!X369</f>
        <v>29446369.78288763</v>
      </c>
    </row>
    <row r="370" spans="9:14" x14ac:dyDescent="0.15">
      <c r="I370" s="4">
        <v>367</v>
      </c>
      <c r="J370" s="17">
        <f>'[1]资源-钻石'!T370</f>
        <v>1666754.5914558123</v>
      </c>
      <c r="K370" s="17">
        <f>'[1]资源-钻石'!U370</f>
        <v>2452063.2255291492</v>
      </c>
      <c r="L370" s="17">
        <f>'[1]资源-钻石'!V370</f>
        <v>4337142.4871420367</v>
      </c>
      <c r="M370" s="17">
        <f>'[1]资源-钻石'!W370</f>
        <v>12148353.679155072</v>
      </c>
      <c r="N370" s="17">
        <f>'[1]资源-钻石'!X370</f>
        <v>29525045.397350453</v>
      </c>
    </row>
    <row r="371" spans="9:14" x14ac:dyDescent="0.15">
      <c r="I371" s="1">
        <v>368</v>
      </c>
      <c r="J371" s="17">
        <f>'[1]资源-钻石'!T371</f>
        <v>1670289.6057737023</v>
      </c>
      <c r="K371" s="17">
        <f>'[1]资源-钻石'!U371</f>
        <v>2457656.8814112223</v>
      </c>
      <c r="L371" s="17">
        <f>'[1]资源-钻石'!V371</f>
        <v>4347823.0591162862</v>
      </c>
      <c r="M371" s="17">
        <f>'[1]资源-钻石'!W371</f>
        <v>12180094.288549609</v>
      </c>
      <c r="N371" s="17">
        <f>'[1]资源-钻石'!X371</f>
        <v>29603721.011813276</v>
      </c>
    </row>
    <row r="372" spans="9:14" x14ac:dyDescent="0.15">
      <c r="I372" s="4">
        <v>369</v>
      </c>
      <c r="J372" s="17">
        <f>'[1]资源-钻石'!T372</f>
        <v>1673824.6200915922</v>
      </c>
      <c r="K372" s="17">
        <f>'[1]资源-钻石'!U372</f>
        <v>2463250.5372932949</v>
      </c>
      <c r="L372" s="17">
        <f>'[1]资源-钻石'!V372</f>
        <v>4358503.6310905358</v>
      </c>
      <c r="M372" s="17">
        <f>'[1]资源-钻石'!W372</f>
        <v>12211834.897944147</v>
      </c>
      <c r="N372" s="17">
        <f>'[1]资源-钻石'!X372</f>
        <v>29682396.626276098</v>
      </c>
    </row>
    <row r="373" spans="9:14" x14ac:dyDescent="0.15">
      <c r="I373" s="4">
        <v>370</v>
      </c>
      <c r="J373" s="17">
        <f>'[1]资源-钻石'!T373</f>
        <v>1677359.6344094819</v>
      </c>
      <c r="K373" s="17">
        <f>'[1]资源-钻石'!U373</f>
        <v>2468844.193175368</v>
      </c>
      <c r="L373" s="17">
        <f>'[1]资源-钻石'!V373</f>
        <v>4369184.2030647853</v>
      </c>
      <c r="M373" s="17">
        <f>'[1]资源-钻石'!W373</f>
        <v>12243575.507338684</v>
      </c>
      <c r="N373" s="17">
        <f>'[1]资源-钻石'!X373</f>
        <v>29761072.240738921</v>
      </c>
    </row>
    <row r="374" spans="9:14" x14ac:dyDescent="0.15">
      <c r="I374" s="1">
        <v>371</v>
      </c>
      <c r="J374" s="17">
        <f>'[1]资源-钻石'!T374</f>
        <v>1680894.6487273718</v>
      </c>
      <c r="K374" s="17">
        <f>'[1]资源-钻石'!U374</f>
        <v>2474437.8490574406</v>
      </c>
      <c r="L374" s="17">
        <f>'[1]资源-钻石'!V374</f>
        <v>4379864.7750390349</v>
      </c>
      <c r="M374" s="17">
        <f>'[1]资源-钻石'!W374</f>
        <v>12275316.116733219</v>
      </c>
      <c r="N374" s="17">
        <f>'[1]资源-钻石'!X374</f>
        <v>29839747.855201744</v>
      </c>
    </row>
    <row r="375" spans="9:14" x14ac:dyDescent="0.15">
      <c r="I375" s="4">
        <v>372</v>
      </c>
      <c r="J375" s="17">
        <f>'[1]资源-钻石'!T375</f>
        <v>1684429.6630452615</v>
      </c>
      <c r="K375" s="17">
        <f>'[1]资源-钻石'!U375</f>
        <v>2480031.5049395133</v>
      </c>
      <c r="L375" s="17">
        <f>'[1]资源-钻石'!V375</f>
        <v>4390545.3470132835</v>
      </c>
      <c r="M375" s="17">
        <f>'[1]资源-钻石'!W375</f>
        <v>12307056.726127757</v>
      </c>
      <c r="N375" s="17">
        <f>'[1]资源-钻石'!X375</f>
        <v>29918423.469664566</v>
      </c>
    </row>
    <row r="376" spans="9:14" x14ac:dyDescent="0.15">
      <c r="I376" s="4">
        <v>373</v>
      </c>
      <c r="J376" s="17">
        <f>'[1]资源-钻石'!T376</f>
        <v>1687964.6773631515</v>
      </c>
      <c r="K376" s="17">
        <f>'[1]资源-钻石'!U376</f>
        <v>2485625.1608215864</v>
      </c>
      <c r="L376" s="17">
        <f>'[1]资源-钻石'!V376</f>
        <v>4401225.9189875331</v>
      </c>
      <c r="M376" s="17">
        <f>'[1]资源-钻石'!W376</f>
        <v>12338797.335522294</v>
      </c>
      <c r="N376" s="17">
        <f>'[1]资源-钻石'!X376</f>
        <v>29997099.084127389</v>
      </c>
    </row>
    <row r="377" spans="9:14" x14ac:dyDescent="0.15">
      <c r="I377" s="4">
        <v>374</v>
      </c>
      <c r="J377" s="17">
        <f>'[1]资源-钻石'!T377</f>
        <v>1691499.6916810411</v>
      </c>
      <c r="K377" s="17">
        <f>'[1]资源-钻石'!U377</f>
        <v>2491218.816703659</v>
      </c>
      <c r="L377" s="17">
        <f>'[1]资源-钻石'!V377</f>
        <v>4411906.4909617826</v>
      </c>
      <c r="M377" s="17">
        <f>'[1]资源-钻石'!W377</f>
        <v>12370537.944916829</v>
      </c>
      <c r="N377" s="17">
        <f>'[1]资源-钻石'!X377</f>
        <v>30075774.698590212</v>
      </c>
    </row>
    <row r="378" spans="9:14" x14ac:dyDescent="0.15">
      <c r="I378" s="4">
        <v>375</v>
      </c>
      <c r="J378" s="17">
        <f>'[1]资源-钻石'!T378</f>
        <v>1695034.7059989311</v>
      </c>
      <c r="K378" s="17">
        <f>'[1]资源-钻石'!U378</f>
        <v>2496812.4725857321</v>
      </c>
      <c r="L378" s="17">
        <f>'[1]资源-钻石'!V378</f>
        <v>4422587.0629360322</v>
      </c>
      <c r="M378" s="17">
        <f>'[1]资源-钻石'!W378</f>
        <v>12402278.554311367</v>
      </c>
      <c r="N378" s="17">
        <f>'[1]资源-钻石'!X378</f>
        <v>30154450.313053031</v>
      </c>
    </row>
    <row r="379" spans="9:14" x14ac:dyDescent="0.15">
      <c r="I379" s="4">
        <v>376</v>
      </c>
      <c r="J379" s="17">
        <f>'[1]资源-钻石'!T379</f>
        <v>1698569.7203168208</v>
      </c>
      <c r="K379" s="17">
        <f>'[1]资源-钻石'!U379</f>
        <v>2502406.1284678048</v>
      </c>
      <c r="L379" s="17">
        <f>'[1]资源-钻石'!V379</f>
        <v>4433267.6349102817</v>
      </c>
      <c r="M379" s="17">
        <f>'[1]资源-钻石'!W379</f>
        <v>12434019.163705904</v>
      </c>
      <c r="N379" s="17">
        <f>'[1]资源-钻石'!X379</f>
        <v>30233125.927515853</v>
      </c>
    </row>
    <row r="380" spans="9:14" x14ac:dyDescent="0.15">
      <c r="I380" s="1">
        <v>377</v>
      </c>
      <c r="J380" s="17">
        <f>'[1]资源-钻石'!T380</f>
        <v>1702104.7346347107</v>
      </c>
      <c r="K380" s="17">
        <f>'[1]资源-钻石'!U380</f>
        <v>2507999.7843498774</v>
      </c>
      <c r="L380" s="17">
        <f>'[1]资源-钻石'!V380</f>
        <v>4443948.2068845313</v>
      </c>
      <c r="M380" s="17">
        <f>'[1]资源-钻石'!W380</f>
        <v>12465759.773100439</v>
      </c>
      <c r="N380" s="17">
        <f>'[1]资源-钻石'!X380</f>
        <v>30311801.541978676</v>
      </c>
    </row>
    <row r="381" spans="9:14" x14ac:dyDescent="0.15">
      <c r="I381" s="4">
        <v>378</v>
      </c>
      <c r="J381" s="17">
        <f>'[1]资源-钻石'!T381</f>
        <v>1705639.7489526006</v>
      </c>
      <c r="K381" s="17">
        <f>'[1]资源-钻石'!U381</f>
        <v>2513593.4402319505</v>
      </c>
      <c r="L381" s="17">
        <f>'[1]资源-钻石'!V381</f>
        <v>4454628.7788587809</v>
      </c>
      <c r="M381" s="17">
        <f>'[1]资源-钻石'!W381</f>
        <v>12497500.382494977</v>
      </c>
      <c r="N381" s="17">
        <f>'[1]资源-钻石'!X381</f>
        <v>30390477.156441499</v>
      </c>
    </row>
    <row r="382" spans="9:14" x14ac:dyDescent="0.15">
      <c r="I382" s="4">
        <v>379</v>
      </c>
      <c r="J382" s="17">
        <f>'[1]资源-钻石'!T382</f>
        <v>1709174.7632704903</v>
      </c>
      <c r="K382" s="17">
        <f>'[1]资源-钻石'!U382</f>
        <v>2519187.0961140231</v>
      </c>
      <c r="L382" s="17">
        <f>'[1]资源-钻石'!V382</f>
        <v>4465251.4635572936</v>
      </c>
      <c r="M382" s="17">
        <f>'[1]资源-钻石'!W382</f>
        <v>12529240.991889514</v>
      </c>
      <c r="N382" s="17">
        <f>'[1]资源-钻石'!X382</f>
        <v>30469152.770904321</v>
      </c>
    </row>
    <row r="383" spans="9:14" x14ac:dyDescent="0.15">
      <c r="I383" s="1">
        <v>380</v>
      </c>
      <c r="J383" s="17">
        <f>'[1]资源-钻石'!T383</f>
        <v>1712709.7775883803</v>
      </c>
      <c r="K383" s="17">
        <f>'[1]资源-钻石'!U383</f>
        <v>2524780.7519960962</v>
      </c>
      <c r="L383" s="17">
        <f>'[1]资源-钻石'!V383</f>
        <v>4475828.8308819402</v>
      </c>
      <c r="M383" s="17">
        <f>'[1]资源-钻石'!W383</f>
        <v>12560981.601284051</v>
      </c>
      <c r="N383" s="17">
        <f>'[1]资源-钻石'!X383</f>
        <v>30547828.385367144</v>
      </c>
    </row>
    <row r="384" spans="9:14" x14ac:dyDescent="0.15">
      <c r="I384" s="4">
        <v>381</v>
      </c>
      <c r="J384" s="17">
        <f>'[1]资源-钻石'!T384</f>
        <v>1716244.79190627</v>
      </c>
      <c r="K384" s="17">
        <f>'[1]资源-钻石'!U384</f>
        <v>2530374.4078781689</v>
      </c>
      <c r="L384" s="17">
        <f>'[1]资源-钻石'!V384</f>
        <v>4486406.1982065868</v>
      </c>
      <c r="M384" s="17">
        <f>'[1]资源-钻石'!W384</f>
        <v>12592696.818027247</v>
      </c>
      <c r="N384" s="17">
        <f>'[1]资源-钻石'!X384</f>
        <v>30626503.999829967</v>
      </c>
    </row>
    <row r="385" spans="9:14" x14ac:dyDescent="0.15">
      <c r="I385" s="4">
        <v>382</v>
      </c>
      <c r="J385" s="17">
        <f>'[1]资源-钻石'!T385</f>
        <v>1719779.8062241599</v>
      </c>
      <c r="K385" s="17">
        <f>'[1]资源-钻石'!U385</f>
        <v>2535968.0637602415</v>
      </c>
      <c r="L385" s="17">
        <f>'[1]资源-钻石'!V385</f>
        <v>4496983.5655312343</v>
      </c>
      <c r="M385" s="17">
        <f>'[1]资源-钻石'!W385</f>
        <v>12624351.922084358</v>
      </c>
      <c r="N385" s="17">
        <f>'[1]资源-钻石'!X385</f>
        <v>30705179.614292789</v>
      </c>
    </row>
    <row r="386" spans="9:14" x14ac:dyDescent="0.15">
      <c r="I386" s="4">
        <v>383</v>
      </c>
      <c r="J386" s="17">
        <f>'[1]资源-钻石'!T386</f>
        <v>1723314.8205420496</v>
      </c>
      <c r="K386" s="17">
        <f>'[1]资源-钻石'!U386</f>
        <v>2541561.7196423146</v>
      </c>
      <c r="L386" s="17">
        <f>'[1]资源-钻石'!V386</f>
        <v>4507560.9328558808</v>
      </c>
      <c r="M386" s="17">
        <f>'[1]资源-钻石'!W386</f>
        <v>12656007.026141468</v>
      </c>
      <c r="N386" s="17">
        <f>'[1]资源-钻石'!X386</f>
        <v>30783855.228755612</v>
      </c>
    </row>
    <row r="387" spans="9:14" x14ac:dyDescent="0.15">
      <c r="I387" s="4">
        <v>384</v>
      </c>
      <c r="J387" s="17">
        <f>'[1]资源-钻石'!T387</f>
        <v>1726849.8348599395</v>
      </c>
      <c r="K387" s="17">
        <f>'[1]资源-钻石'!U387</f>
        <v>2547155.3755243872</v>
      </c>
      <c r="L387" s="17">
        <f>'[1]资源-钻石'!V387</f>
        <v>4518138.3001805274</v>
      </c>
      <c r="M387" s="17">
        <f>'[1]资源-钻石'!W387</f>
        <v>12687662.130198581</v>
      </c>
      <c r="N387" s="17">
        <f>'[1]资源-钻石'!X387</f>
        <v>30862530.843218435</v>
      </c>
    </row>
    <row r="388" spans="9:14" x14ac:dyDescent="0.15">
      <c r="I388" s="4">
        <v>385</v>
      </c>
      <c r="J388" s="17">
        <f>'[1]资源-钻石'!T388</f>
        <v>1730384.8491778295</v>
      </c>
      <c r="K388" s="17">
        <f>'[1]资源-钻石'!U388</f>
        <v>2552743.3340956126</v>
      </c>
      <c r="L388" s="17">
        <f>'[1]资源-钻石'!V388</f>
        <v>4528715.6675051739</v>
      </c>
      <c r="M388" s="17">
        <f>'[1]资源-钻石'!W388</f>
        <v>12719317.234255692</v>
      </c>
      <c r="N388" s="17">
        <f>'[1]资源-钻石'!X388</f>
        <v>30941206.457681257</v>
      </c>
    </row>
    <row r="389" spans="9:14" x14ac:dyDescent="0.15">
      <c r="I389" s="1">
        <v>386</v>
      </c>
      <c r="J389" s="17">
        <f>'[1]资源-钻石'!T389</f>
        <v>1733919.8634957192</v>
      </c>
      <c r="K389" s="17">
        <f>'[1]资源-钻石'!U389</f>
        <v>2558311.8498452911</v>
      </c>
      <c r="L389" s="17">
        <f>'[1]资源-钻石'!V389</f>
        <v>4539293.0348298205</v>
      </c>
      <c r="M389" s="17">
        <f>'[1]资源-钻石'!W389</f>
        <v>12750972.338312803</v>
      </c>
      <c r="N389" s="17">
        <f>'[1]资源-钻石'!X389</f>
        <v>31019882.07214408</v>
      </c>
    </row>
    <row r="390" spans="9:14" x14ac:dyDescent="0.15">
      <c r="I390" s="4">
        <v>387</v>
      </c>
      <c r="J390" s="17">
        <f>'[1]资源-钻石'!T390</f>
        <v>1737454.8778136091</v>
      </c>
      <c r="K390" s="17">
        <f>'[1]资源-钻石'!U390</f>
        <v>2563880.3655949701</v>
      </c>
      <c r="L390" s="17">
        <f>'[1]资源-钻石'!V390</f>
        <v>4549870.4021544671</v>
      </c>
      <c r="M390" s="17">
        <f>'[1]资源-钻石'!W390</f>
        <v>12782627.442369914</v>
      </c>
      <c r="N390" s="17">
        <f>'[1]资源-钻石'!X390</f>
        <v>31098557.686606903</v>
      </c>
    </row>
    <row r="391" spans="9:14" x14ac:dyDescent="0.15">
      <c r="I391" s="4">
        <v>388</v>
      </c>
      <c r="J391" s="17">
        <f>'[1]资源-钻石'!T391</f>
        <v>1740989.8921314988</v>
      </c>
      <c r="K391" s="17">
        <f>'[1]资源-钻石'!U391</f>
        <v>2569448.881344649</v>
      </c>
      <c r="L391" s="17">
        <f>'[1]资源-钻石'!V391</f>
        <v>4560447.7694791136</v>
      </c>
      <c r="M391" s="17">
        <f>'[1]资源-钻石'!W391</f>
        <v>12814282.546427026</v>
      </c>
      <c r="N391" s="17">
        <f>'[1]资源-钻石'!X391</f>
        <v>31177233.301069725</v>
      </c>
    </row>
    <row r="392" spans="9:14" x14ac:dyDescent="0.15">
      <c r="I392" s="1">
        <v>389</v>
      </c>
      <c r="J392" s="17">
        <f>'[1]资源-钻石'!T392</f>
        <v>1744524.9064493887</v>
      </c>
      <c r="K392" s="17">
        <f>'[1]资源-钻石'!U392</f>
        <v>2575017.397094328</v>
      </c>
      <c r="L392" s="17">
        <f>'[1]资源-钻石'!V392</f>
        <v>4571025.1368037602</v>
      </c>
      <c r="M392" s="17">
        <f>'[1]资源-钻石'!W392</f>
        <v>12845937.650484137</v>
      </c>
      <c r="N392" s="17">
        <f>'[1]资源-钻石'!X392</f>
        <v>31255908.915532548</v>
      </c>
    </row>
    <row r="393" spans="9:14" x14ac:dyDescent="0.15">
      <c r="I393" s="4">
        <v>390</v>
      </c>
      <c r="J393" s="17">
        <f>'[1]资源-钻石'!T393</f>
        <v>1748059.9207672784</v>
      </c>
      <c r="K393" s="17">
        <f>'[1]资源-钻石'!U393</f>
        <v>2580585.9128440064</v>
      </c>
      <c r="L393" s="17">
        <f>'[1]资源-钻石'!V393</f>
        <v>4581602.5041284077</v>
      </c>
      <c r="M393" s="17">
        <f>'[1]资源-钻石'!W393</f>
        <v>12877592.754541248</v>
      </c>
      <c r="N393" s="17">
        <f>'[1]资源-钻石'!X393</f>
        <v>31334584.529995371</v>
      </c>
    </row>
    <row r="394" spans="9:14" x14ac:dyDescent="0.15">
      <c r="I394" s="4">
        <v>391</v>
      </c>
      <c r="J394" s="17">
        <f>'[1]资源-钻石'!T394</f>
        <v>1751594.9350851683</v>
      </c>
      <c r="K394" s="17">
        <f>'[1]资源-钻石'!U394</f>
        <v>2586154.4285936854</v>
      </c>
      <c r="L394" s="17">
        <f>'[1]资源-钻石'!V394</f>
        <v>4592179.8714530542</v>
      </c>
      <c r="M394" s="17">
        <f>'[1]资源-钻石'!W394</f>
        <v>12909247.858598361</v>
      </c>
      <c r="N394" s="17">
        <f>'[1]资源-钻石'!X394</f>
        <v>31413260.144458193</v>
      </c>
    </row>
    <row r="395" spans="9:14" x14ac:dyDescent="0.15">
      <c r="I395" s="4">
        <v>392</v>
      </c>
      <c r="J395" s="17">
        <f>'[1]资源-钻石'!T395</f>
        <v>1755129.949403058</v>
      </c>
      <c r="K395" s="17">
        <f>'[1]资源-钻石'!U395</f>
        <v>2591722.9443433643</v>
      </c>
      <c r="L395" s="17">
        <f>'[1]资源-钻石'!V395</f>
        <v>4602757.2387777008</v>
      </c>
      <c r="M395" s="17">
        <f>'[1]资源-钻石'!W395</f>
        <v>12940902.962655472</v>
      </c>
      <c r="N395" s="17">
        <f>'[1]资源-钻石'!X395</f>
        <v>31491935.758921012</v>
      </c>
    </row>
    <row r="396" spans="9:14" x14ac:dyDescent="0.15">
      <c r="I396" s="4">
        <v>393</v>
      </c>
      <c r="J396" s="17">
        <f>'[1]资源-钻石'!T396</f>
        <v>1758664.963720948</v>
      </c>
      <c r="K396" s="17">
        <f>'[1]资源-钻石'!U396</f>
        <v>2597291.4600930428</v>
      </c>
      <c r="L396" s="17">
        <f>'[1]资源-钻石'!V396</f>
        <v>4613334.6061023474</v>
      </c>
      <c r="M396" s="17">
        <f>'[1]资源-钻石'!W396</f>
        <v>12972558.066712582</v>
      </c>
      <c r="N396" s="17">
        <f>'[1]资源-钻石'!X396</f>
        <v>31570611.373383835</v>
      </c>
    </row>
    <row r="397" spans="9:14" x14ac:dyDescent="0.15">
      <c r="I397" s="4">
        <v>394</v>
      </c>
      <c r="J397" s="17">
        <f>'[1]资源-钻石'!T397</f>
        <v>1762199.9780388377</v>
      </c>
      <c r="K397" s="17">
        <f>'[1]资源-钻石'!U397</f>
        <v>2602859.9758427218</v>
      </c>
      <c r="L397" s="17">
        <f>'[1]资源-钻石'!V397</f>
        <v>4623911.9734269939</v>
      </c>
      <c r="M397" s="17">
        <f>'[1]资源-钻石'!W397</f>
        <v>13004213.170769693</v>
      </c>
      <c r="N397" s="17">
        <f>'[1]资源-钻石'!X397</f>
        <v>31649286.987846658</v>
      </c>
    </row>
    <row r="398" spans="9:14" x14ac:dyDescent="0.15">
      <c r="I398" s="1">
        <v>395</v>
      </c>
      <c r="J398" s="17">
        <f>'[1]资源-钻石'!T398</f>
        <v>1765734.9923567276</v>
      </c>
      <c r="K398" s="17">
        <f>'[1]资源-钻石'!U398</f>
        <v>2608428.4915924007</v>
      </c>
      <c r="L398" s="17">
        <f>'[1]资源-钻石'!V398</f>
        <v>4634489.3407516405</v>
      </c>
      <c r="M398" s="17">
        <f>'[1]资源-钻石'!W398</f>
        <v>13035868.274826806</v>
      </c>
      <c r="N398" s="17">
        <f>'[1]资源-钻石'!X398</f>
        <v>31727962.60230948</v>
      </c>
    </row>
    <row r="399" spans="9:14" x14ac:dyDescent="0.15">
      <c r="I399" s="4">
        <v>396</v>
      </c>
      <c r="J399" s="17">
        <f>'[1]资源-钻石'!T399</f>
        <v>1769270.0066746173</v>
      </c>
      <c r="K399" s="17">
        <f>'[1]资源-钻石'!U399</f>
        <v>2613997.0073420792</v>
      </c>
      <c r="L399" s="17">
        <f>'[1]资源-钻石'!V399</f>
        <v>4645066.7080762871</v>
      </c>
      <c r="M399" s="17">
        <f>'[1]资源-钻石'!W399</f>
        <v>13067523.378883917</v>
      </c>
      <c r="N399" s="17">
        <f>'[1]资源-钻石'!X399</f>
        <v>31806638.216772303</v>
      </c>
    </row>
    <row r="400" spans="9:14" x14ac:dyDescent="0.15">
      <c r="I400" s="4">
        <v>397</v>
      </c>
      <c r="J400" s="17">
        <f>'[1]资源-钻石'!T400</f>
        <v>1772805.0209925072</v>
      </c>
      <c r="K400" s="17">
        <f>'[1]资源-钻石'!U400</f>
        <v>2619565.5230917581</v>
      </c>
      <c r="L400" s="17">
        <f>'[1]资源-钻石'!V400</f>
        <v>4655644.0754009336</v>
      </c>
      <c r="M400" s="17">
        <f>'[1]资源-钻石'!W400</f>
        <v>13099178.482941028</v>
      </c>
      <c r="N400" s="17">
        <f>'[1]资源-钻石'!X400</f>
        <v>31885313.831235126</v>
      </c>
    </row>
    <row r="401" spans="9:14" x14ac:dyDescent="0.15">
      <c r="I401" s="1">
        <v>398</v>
      </c>
      <c r="J401" s="17">
        <f>'[1]资源-钻石'!T401</f>
        <v>1776340.0353103969</v>
      </c>
      <c r="K401" s="17">
        <f>'[1]资源-钻石'!U401</f>
        <v>2625134.0388414371</v>
      </c>
      <c r="L401" s="17">
        <f>'[1]资源-钻石'!V401</f>
        <v>4666221.4427255802</v>
      </c>
      <c r="M401" s="17">
        <f>'[1]资源-钻石'!W401</f>
        <v>13130833.586998139</v>
      </c>
      <c r="N401" s="17">
        <f>'[1]资源-钻石'!X401</f>
        <v>31963989.445697948</v>
      </c>
    </row>
    <row r="402" spans="9:14" x14ac:dyDescent="0.15">
      <c r="I402" s="4">
        <v>399</v>
      </c>
      <c r="J402" s="17">
        <f>'[1]资源-钻石'!T402</f>
        <v>1779875.0496282869</v>
      </c>
      <c r="K402" s="17">
        <f>'[1]资源-钻石'!U402</f>
        <v>2630702.5545911156</v>
      </c>
      <c r="L402" s="17">
        <f>'[1]资源-钻石'!V402</f>
        <v>4676798.8100502277</v>
      </c>
      <c r="M402" s="17">
        <f>'[1]资源-钻石'!W402</f>
        <v>13162488.691055251</v>
      </c>
      <c r="N402" s="17">
        <f>'[1]资源-钻石'!X402</f>
        <v>32042665.060160771</v>
      </c>
    </row>
    <row r="403" spans="9:14" x14ac:dyDescent="0.15">
      <c r="I403" s="4">
        <v>400</v>
      </c>
      <c r="J403" s="17">
        <f>'[1]资源-钻石'!T403</f>
        <v>1783410.0639461766</v>
      </c>
      <c r="K403" s="17">
        <f>'[1]资源-钻石'!U403</f>
        <v>2636271.0703407945</v>
      </c>
      <c r="L403" s="17">
        <f>'[1]资源-钻石'!V403</f>
        <v>4687376.1773748742</v>
      </c>
      <c r="M403" s="17">
        <f>'[1]资源-钻石'!W403</f>
        <v>13194143.795112362</v>
      </c>
      <c r="N403" s="17">
        <f>'[1]资源-钻石'!X403</f>
        <v>32121340.674623594</v>
      </c>
    </row>
    <row r="404" spans="9:14" x14ac:dyDescent="0.15">
      <c r="I404" s="4">
        <v>401</v>
      </c>
      <c r="J404" s="17">
        <f>'[1]资源-钻石'!T404</f>
        <v>1786945.0782640665</v>
      </c>
      <c r="K404" s="17">
        <f>'[1]资源-钻石'!U404</f>
        <v>2641839.5860904735</v>
      </c>
      <c r="L404" s="17">
        <f>'[1]资源-钻石'!V404</f>
        <v>4697953.5446995208</v>
      </c>
      <c r="M404" s="17">
        <f>'[1]资源-钻石'!W404</f>
        <v>13225798.899169473</v>
      </c>
      <c r="N404" s="17">
        <f>'[1]资源-钻石'!X404</f>
        <v>32200016.289086416</v>
      </c>
    </row>
    <row r="405" spans="9:14" x14ac:dyDescent="0.15">
      <c r="I405" s="4">
        <v>402</v>
      </c>
      <c r="J405" s="17">
        <f>'[1]资源-钻石'!T405</f>
        <v>1790480.0925819562</v>
      </c>
      <c r="K405" s="17">
        <f>'[1]资源-钻石'!U405</f>
        <v>2647408.1018401524</v>
      </c>
      <c r="L405" s="17">
        <f>'[1]资源-钻石'!V405</f>
        <v>4708530.9120241674</v>
      </c>
      <c r="M405" s="17">
        <f>'[1]资源-钻石'!W405</f>
        <v>13257454.003226584</v>
      </c>
      <c r="N405" s="17">
        <f>'[1]资源-钻石'!X405</f>
        <v>32278691.903549239</v>
      </c>
    </row>
    <row r="406" spans="9:14" x14ac:dyDescent="0.15">
      <c r="I406" s="4">
        <v>403</v>
      </c>
      <c r="J406" s="17">
        <f>'[1]资源-钻石'!T406</f>
        <v>1794015.1068998461</v>
      </c>
      <c r="K406" s="17">
        <f>'[1]资源-钻石'!U406</f>
        <v>2652976.6175898309</v>
      </c>
      <c r="L406" s="17">
        <f>'[1]资源-钻石'!V406</f>
        <v>4719108.2793488139</v>
      </c>
      <c r="M406" s="17">
        <f>'[1]资源-钻石'!W406</f>
        <v>13289109.107283697</v>
      </c>
      <c r="N406" s="17">
        <f>'[1]资源-钻石'!X406</f>
        <v>32357367.518012062</v>
      </c>
    </row>
    <row r="407" spans="9:14" x14ac:dyDescent="0.15">
      <c r="I407" s="1">
        <v>404</v>
      </c>
      <c r="J407" s="17">
        <f>'[1]资源-钻石'!T407</f>
        <v>1797550.1212177358</v>
      </c>
      <c r="K407" s="17">
        <f>'[1]资源-钻石'!U407</f>
        <v>2658545.1333395098</v>
      </c>
      <c r="L407" s="17">
        <f>'[1]资源-钻石'!V407</f>
        <v>4729685.6466734605</v>
      </c>
      <c r="M407" s="17">
        <f>'[1]资源-钻石'!W407</f>
        <v>13320764.211340807</v>
      </c>
      <c r="N407" s="17">
        <f>'[1]资源-钻石'!X407</f>
        <v>32436043.132474884</v>
      </c>
    </row>
    <row r="408" spans="9:14" x14ac:dyDescent="0.15">
      <c r="I408" s="4">
        <v>405</v>
      </c>
      <c r="J408" s="17">
        <f>'[1]资源-钻石'!T408</f>
        <v>1801085.1355356257</v>
      </c>
      <c r="K408" s="17">
        <f>'[1]资源-钻石'!U408</f>
        <v>2664113.6490891888</v>
      </c>
      <c r="L408" s="17">
        <f>'[1]资源-钻石'!V408</f>
        <v>4740263.0139981071</v>
      </c>
      <c r="M408" s="17">
        <f>'[1]资源-钻石'!W408</f>
        <v>13352419.315397918</v>
      </c>
      <c r="N408" s="17">
        <f>'[1]资源-钻石'!X408</f>
        <v>32514718.746937707</v>
      </c>
    </row>
    <row r="409" spans="9:14" x14ac:dyDescent="0.15">
      <c r="I409" s="4">
        <v>406</v>
      </c>
      <c r="J409" s="17">
        <f>'[1]资源-钻石'!T409</f>
        <v>1804620.1498535154</v>
      </c>
      <c r="K409" s="17">
        <f>'[1]资源-钻石'!U409</f>
        <v>2669682.1648388673</v>
      </c>
      <c r="L409" s="17">
        <f>'[1]资源-钻石'!V409</f>
        <v>4750840.3813227536</v>
      </c>
      <c r="M409" s="17">
        <f>'[1]资源-钻石'!W409</f>
        <v>13384074.419455029</v>
      </c>
      <c r="N409" s="17">
        <f>'[1]资源-钻石'!X409</f>
        <v>32593394.36140053</v>
      </c>
    </row>
    <row r="410" spans="9:14" x14ac:dyDescent="0.15">
      <c r="I410" s="1">
        <v>407</v>
      </c>
      <c r="J410" s="17">
        <f>'[1]资源-钻石'!T410</f>
        <v>1808155.1641714054</v>
      </c>
      <c r="K410" s="17">
        <f>'[1]资源-钻石'!U410</f>
        <v>2675250.6805885462</v>
      </c>
      <c r="L410" s="17">
        <f>'[1]资源-钻石'!V410</f>
        <v>4761417.7486474002</v>
      </c>
      <c r="M410" s="17">
        <f>'[1]资源-钻石'!W410</f>
        <v>13415729.523512142</v>
      </c>
      <c r="N410" s="17">
        <f>'[1]资源-钻石'!X410</f>
        <v>32672069.975863352</v>
      </c>
    </row>
    <row r="411" spans="9:14" x14ac:dyDescent="0.15">
      <c r="I411" s="4">
        <v>408</v>
      </c>
      <c r="J411" s="17">
        <f>'[1]资源-钻石'!T411</f>
        <v>1811690.1784892951</v>
      </c>
      <c r="K411" s="17">
        <f>'[1]资源-钻石'!U411</f>
        <v>2680819.1963382252</v>
      </c>
      <c r="L411" s="17">
        <f>'[1]资源-钻石'!V411</f>
        <v>4771995.1159720477</v>
      </c>
      <c r="M411" s="17">
        <f>'[1]资源-钻石'!W411</f>
        <v>13447384.627569253</v>
      </c>
      <c r="N411" s="17">
        <f>'[1]资源-钻石'!X411</f>
        <v>32750745.590326175</v>
      </c>
    </row>
    <row r="412" spans="9:14" x14ac:dyDescent="0.15">
      <c r="I412" s="4">
        <v>409</v>
      </c>
      <c r="J412" s="17">
        <f>'[1]资源-钻石'!T412</f>
        <v>1815225.192807185</v>
      </c>
      <c r="K412" s="17">
        <f>'[1]资源-钻石'!U412</f>
        <v>2686387.7120879041</v>
      </c>
      <c r="L412" s="17">
        <f>'[1]资源-钻石'!V412</f>
        <v>4782572.4832966942</v>
      </c>
      <c r="M412" s="17">
        <f>'[1]资源-钻石'!W412</f>
        <v>13479039.731626363</v>
      </c>
      <c r="N412" s="17">
        <f>'[1]资源-钻石'!X412</f>
        <v>32829421.204788998</v>
      </c>
    </row>
    <row r="413" spans="9:14" x14ac:dyDescent="0.15">
      <c r="I413" s="4">
        <v>410</v>
      </c>
      <c r="J413" s="17">
        <f>'[1]资源-钻石'!T413</f>
        <v>1818760.2071250747</v>
      </c>
      <c r="K413" s="17">
        <f>'[1]资源-钻石'!U413</f>
        <v>2691956.2278375826</v>
      </c>
      <c r="L413" s="17">
        <f>'[1]资源-钻石'!V413</f>
        <v>4793149.8506213408</v>
      </c>
      <c r="M413" s="17">
        <f>'[1]资源-钻石'!W413</f>
        <v>13510694.835683476</v>
      </c>
      <c r="N413" s="17">
        <f>'[1]资源-钻石'!X413</f>
        <v>32908096.81925182</v>
      </c>
    </row>
    <row r="414" spans="9:14" x14ac:dyDescent="0.15">
      <c r="I414" s="4">
        <v>411</v>
      </c>
      <c r="J414" s="17">
        <f>'[1]资源-钻石'!T414</f>
        <v>1822295.2214429646</v>
      </c>
      <c r="K414" s="17">
        <f>'[1]资源-钻石'!U414</f>
        <v>2697524.7435872615</v>
      </c>
      <c r="L414" s="17">
        <f>'[1]资源-钻石'!V414</f>
        <v>4803727.2179459874</v>
      </c>
      <c r="M414" s="17">
        <f>'[1]资源-钻石'!W414</f>
        <v>13542349.939740587</v>
      </c>
      <c r="N414" s="17">
        <f>'[1]资源-钻石'!X414</f>
        <v>32986772.433714643</v>
      </c>
    </row>
    <row r="415" spans="9:14" x14ac:dyDescent="0.15">
      <c r="I415" s="4">
        <v>412</v>
      </c>
      <c r="J415" s="17">
        <f>'[1]资源-钻石'!T415</f>
        <v>1825830.2357608543</v>
      </c>
      <c r="K415" s="17">
        <f>'[1]资源-钻石'!U415</f>
        <v>2703093.2593369405</v>
      </c>
      <c r="L415" s="17">
        <f>'[1]资源-钻石'!V415</f>
        <v>4814304.5852706339</v>
      </c>
      <c r="M415" s="17">
        <f>'[1]资源-钻石'!W415</f>
        <v>13574005.043797698</v>
      </c>
      <c r="N415" s="17">
        <f>'[1]资源-钻石'!X415</f>
        <v>33065448.048177466</v>
      </c>
    </row>
    <row r="416" spans="9:14" x14ac:dyDescent="0.15">
      <c r="I416" s="1">
        <v>413</v>
      </c>
      <c r="J416" s="17">
        <f>'[1]资源-钻石'!T416</f>
        <v>1829365.2500787443</v>
      </c>
      <c r="K416" s="17">
        <f>'[1]资源-钻石'!U416</f>
        <v>2708661.775086619</v>
      </c>
      <c r="L416" s="17">
        <f>'[1]资源-钻石'!V416</f>
        <v>4824881.9525952805</v>
      </c>
      <c r="M416" s="17">
        <f>'[1]资源-钻石'!W416</f>
        <v>13605660.147854809</v>
      </c>
      <c r="N416" s="17">
        <f>'[1]资源-钻石'!X416</f>
        <v>33144123.662640288</v>
      </c>
    </row>
    <row r="417" spans="9:14" x14ac:dyDescent="0.15">
      <c r="I417" s="4">
        <v>414</v>
      </c>
      <c r="J417" s="17">
        <f>'[1]资源-钻石'!T417</f>
        <v>1832900.264396634</v>
      </c>
      <c r="K417" s="17">
        <f>'[1]资源-钻石'!U417</f>
        <v>2714230.2908362979</v>
      </c>
      <c r="L417" s="17">
        <f>'[1]资源-钻石'!V417</f>
        <v>4835459.319919928</v>
      </c>
      <c r="M417" s="17">
        <f>'[1]资源-钻石'!W417</f>
        <v>13637315.251911921</v>
      </c>
      <c r="N417" s="17">
        <f>'[1]资源-钻石'!X417</f>
        <v>33222799.277103111</v>
      </c>
    </row>
    <row r="418" spans="9:14" x14ac:dyDescent="0.15">
      <c r="I418" s="4">
        <v>415</v>
      </c>
      <c r="J418" s="17">
        <f>'[1]资源-钻石'!T418</f>
        <v>1836435.2787145239</v>
      </c>
      <c r="K418" s="17">
        <f>'[1]资源-钻石'!U418</f>
        <v>2719798.8065859769</v>
      </c>
      <c r="L418" s="17">
        <f>'[1]资源-钻石'!V418</f>
        <v>4846036.6872445745</v>
      </c>
      <c r="M418" s="17">
        <f>'[1]资源-钻石'!W418</f>
        <v>13668970.355969032</v>
      </c>
      <c r="N418" s="17">
        <f>'[1]资源-钻石'!X418</f>
        <v>33301474.891565934</v>
      </c>
    </row>
    <row r="419" spans="9:14" x14ac:dyDescent="0.15">
      <c r="I419" s="1">
        <v>416</v>
      </c>
      <c r="J419" s="17">
        <f>'[1]资源-钻石'!T419</f>
        <v>1839970.2930324136</v>
      </c>
      <c r="K419" s="17">
        <f>'[1]资源-钻石'!U419</f>
        <v>2725367.3223356553</v>
      </c>
      <c r="L419" s="17">
        <f>'[1]资源-钻石'!V419</f>
        <v>4856614.0545692211</v>
      </c>
      <c r="M419" s="17">
        <f>'[1]资源-钻石'!W419</f>
        <v>13700625.460026143</v>
      </c>
      <c r="N419" s="17">
        <f>'[1]资源-钻石'!X419</f>
        <v>33380150.506028753</v>
      </c>
    </row>
    <row r="420" spans="9:14" x14ac:dyDescent="0.15">
      <c r="I420" s="4">
        <v>417</v>
      </c>
      <c r="J420" s="17">
        <f>'[1]资源-钻石'!T420</f>
        <v>1843505.3073503035</v>
      </c>
      <c r="K420" s="17">
        <f>'[1]资源-钻石'!U420</f>
        <v>2730935.8380853343</v>
      </c>
      <c r="L420" s="17">
        <f>'[1]资源-钻石'!V420</f>
        <v>4867191.4218938677</v>
      </c>
      <c r="M420" s="17">
        <f>'[1]资源-钻石'!W420</f>
        <v>13732280.564083254</v>
      </c>
      <c r="N420" s="17">
        <f>'[1]资源-钻石'!X420</f>
        <v>33458826.120491575</v>
      </c>
    </row>
    <row r="421" spans="9:14" x14ac:dyDescent="0.15">
      <c r="I421" s="4">
        <v>418</v>
      </c>
      <c r="J421" s="17">
        <f>'[1]资源-钻石'!T421</f>
        <v>1847040.3216681932</v>
      </c>
      <c r="K421" s="17">
        <f>'[1]资源-钻石'!U421</f>
        <v>2736504.3538350132</v>
      </c>
      <c r="L421" s="17">
        <f>'[1]资源-钻石'!V421</f>
        <v>4877768.7892185142</v>
      </c>
      <c r="M421" s="17">
        <f>'[1]资源-钻石'!W421</f>
        <v>13763935.668140367</v>
      </c>
      <c r="N421" s="17">
        <f>'[1]资源-钻石'!X421</f>
        <v>33537501.734954398</v>
      </c>
    </row>
    <row r="422" spans="9:14" x14ac:dyDescent="0.15">
      <c r="I422" s="4">
        <v>419</v>
      </c>
      <c r="J422" s="17">
        <f>'[1]资源-钻石'!T422</f>
        <v>1850575.3359860831</v>
      </c>
      <c r="K422" s="17">
        <f>'[1]资源-钻石'!U422</f>
        <v>2742072.8695846917</v>
      </c>
      <c r="L422" s="17">
        <f>'[1]资源-钻石'!V422</f>
        <v>4888346.1565431608</v>
      </c>
      <c r="M422" s="17">
        <f>'[1]资源-钻石'!W422</f>
        <v>13795590.772197478</v>
      </c>
      <c r="N422" s="17">
        <f>'[1]资源-钻石'!X422</f>
        <v>33616177.349417225</v>
      </c>
    </row>
    <row r="423" spans="9:14" x14ac:dyDescent="0.15">
      <c r="I423" s="4">
        <v>420</v>
      </c>
      <c r="J423" s="17">
        <f>'[1]资源-钻石'!T423</f>
        <v>1854110.3503039728</v>
      </c>
      <c r="K423" s="17">
        <f>'[1]资源-钻石'!U423</f>
        <v>2747641.3853343707</v>
      </c>
      <c r="L423" s="17">
        <f>'[1]资源-钻石'!V423</f>
        <v>4898923.5238678074</v>
      </c>
      <c r="M423" s="17">
        <f>'[1]资源-钻石'!W423</f>
        <v>13827245.876254588</v>
      </c>
      <c r="N423" s="17">
        <f>'[1]资源-钻石'!X423</f>
        <v>33694852.963880047</v>
      </c>
    </row>
    <row r="424" spans="9:14" x14ac:dyDescent="0.15">
      <c r="I424" s="4">
        <v>421</v>
      </c>
      <c r="J424" s="17">
        <f>'[1]资源-钻石'!T424</f>
        <v>1857645.3646218628</v>
      </c>
      <c r="K424" s="17">
        <f>'[1]资源-钻石'!U424</f>
        <v>2753209.9010840496</v>
      </c>
      <c r="L424" s="17">
        <f>'[1]资源-钻石'!V424</f>
        <v>4909500.8911924548</v>
      </c>
      <c r="M424" s="17">
        <f>'[1]资源-钻石'!W424</f>
        <v>13858900.980311701</v>
      </c>
      <c r="N424" s="17">
        <f>'[1]资源-钻石'!X424</f>
        <v>33773528.57834287</v>
      </c>
    </row>
    <row r="425" spans="9:14" x14ac:dyDescent="0.15">
      <c r="I425" s="1">
        <v>422</v>
      </c>
      <c r="J425" s="17">
        <f>'[1]资源-钻石'!T425</f>
        <v>1861180.3789397525</v>
      </c>
      <c r="K425" s="17">
        <f>'[1]资源-钻石'!U425</f>
        <v>2758778.4168337281</v>
      </c>
      <c r="L425" s="17">
        <f>'[1]资源-钻石'!V425</f>
        <v>4920078.2585171014</v>
      </c>
      <c r="M425" s="17">
        <f>'[1]资源-钻石'!W425</f>
        <v>13890556.084368812</v>
      </c>
      <c r="N425" s="17">
        <f>'[1]资源-钻石'!X425</f>
        <v>33852204.192805693</v>
      </c>
    </row>
    <row r="426" spans="9:14" x14ac:dyDescent="0.15">
      <c r="I426" s="4">
        <v>423</v>
      </c>
      <c r="J426" s="17">
        <f>'[1]资源-钻石'!T426</f>
        <v>1864715.3932576424</v>
      </c>
      <c r="K426" s="17">
        <f>'[1]资源-钻石'!U426</f>
        <v>2764346.932583407</v>
      </c>
      <c r="L426" s="17">
        <f>'[1]资源-钻石'!V426</f>
        <v>4930655.625841748</v>
      </c>
      <c r="M426" s="17">
        <f>'[1]资源-钻石'!W426</f>
        <v>13922211.188425923</v>
      </c>
      <c r="N426" s="17">
        <f>'[1]资源-钻石'!X426</f>
        <v>33930879.807268515</v>
      </c>
    </row>
    <row r="427" spans="9:14" x14ac:dyDescent="0.15">
      <c r="I427" s="4">
        <v>424</v>
      </c>
      <c r="J427" s="17">
        <f>'[1]资源-钻石'!T427</f>
        <v>1868250.4075755323</v>
      </c>
      <c r="K427" s="17">
        <f>'[1]资源-钻石'!U427</f>
        <v>2769915.448333086</v>
      </c>
      <c r="L427" s="17">
        <f>'[1]资源-钻石'!V427</f>
        <v>4941232.9931663945</v>
      </c>
      <c r="M427" s="17">
        <f>'[1]资源-钻石'!W427</f>
        <v>13953866.292483034</v>
      </c>
      <c r="N427" s="17">
        <f>'[1]资源-钻石'!X427</f>
        <v>34009555.421731338</v>
      </c>
    </row>
    <row r="428" spans="9:14" x14ac:dyDescent="0.15">
      <c r="I428" s="1">
        <v>425</v>
      </c>
      <c r="J428" s="17">
        <f>'[1]资源-钻石'!T428</f>
        <v>1871785.421893422</v>
      </c>
      <c r="K428" s="17">
        <f>'[1]资源-钻石'!U428</f>
        <v>2775483.9640827649</v>
      </c>
      <c r="L428" s="17">
        <f>'[1]资源-钻石'!V428</f>
        <v>4951810.3604910411</v>
      </c>
      <c r="M428" s="17">
        <f>'[1]资源-钻石'!W428</f>
        <v>13985521.396540146</v>
      </c>
      <c r="N428" s="17">
        <f>'[1]资源-钻石'!X428</f>
        <v>34088231.036194153</v>
      </c>
    </row>
    <row r="429" spans="9:14" x14ac:dyDescent="0.15">
      <c r="I429" s="4">
        <v>426</v>
      </c>
      <c r="J429" s="17">
        <f>'[1]资源-钻石'!T429</f>
        <v>1875320.436211312</v>
      </c>
      <c r="K429" s="17">
        <f>'[1]资源-钻石'!U429</f>
        <v>2781052.4798324434</v>
      </c>
      <c r="L429" s="17">
        <f>'[1]资源-钻石'!V429</f>
        <v>4962387.7278156877</v>
      </c>
      <c r="M429" s="17">
        <f>'[1]资源-钻石'!W429</f>
        <v>14017176.500597257</v>
      </c>
      <c r="N429" s="17">
        <f>'[1]资源-钻石'!X429</f>
        <v>34166906.650656976</v>
      </c>
    </row>
    <row r="430" spans="9:14" x14ac:dyDescent="0.15">
      <c r="I430" s="4">
        <v>427</v>
      </c>
      <c r="J430" s="17">
        <f>'[1]资源-钻石'!T430</f>
        <v>1878855.4505292017</v>
      </c>
      <c r="K430" s="17">
        <f>'[1]资源-钻石'!U430</f>
        <v>2786620.9955821224</v>
      </c>
      <c r="L430" s="17">
        <f>'[1]资源-钻石'!V430</f>
        <v>4972965.0951403352</v>
      </c>
      <c r="M430" s="17">
        <f>'[1]资源-钻石'!W430</f>
        <v>14048831.604654368</v>
      </c>
      <c r="N430" s="17">
        <f>'[1]资源-钻石'!X430</f>
        <v>34245582.265119798</v>
      </c>
    </row>
    <row r="431" spans="9:14" x14ac:dyDescent="0.15">
      <c r="I431" s="4">
        <v>428</v>
      </c>
      <c r="J431" s="17">
        <f>'[1]资源-钻石'!T431</f>
        <v>1882390.4648470916</v>
      </c>
      <c r="K431" s="17">
        <f>'[1]资源-钻石'!U431</f>
        <v>2792189.5113318013</v>
      </c>
      <c r="L431" s="17">
        <f>'[1]资源-钻石'!V431</f>
        <v>4983542.4624649817</v>
      </c>
      <c r="M431" s="17">
        <f>'[1]资源-钻石'!W431</f>
        <v>14080486.708711479</v>
      </c>
      <c r="N431" s="17">
        <f>'[1]资源-钻石'!X431</f>
        <v>34324257.879582621</v>
      </c>
    </row>
    <row r="432" spans="9:14" x14ac:dyDescent="0.15">
      <c r="I432" s="4">
        <v>429</v>
      </c>
      <c r="J432" s="17">
        <f>'[1]资源-钻石'!T432</f>
        <v>1885925.4791649813</v>
      </c>
      <c r="K432" s="17">
        <f>'[1]资源-钻石'!U432</f>
        <v>2797758.0270814798</v>
      </c>
      <c r="L432" s="17">
        <f>'[1]资源-钻石'!V432</f>
        <v>4994119.8297896283</v>
      </c>
      <c r="M432" s="17">
        <f>'[1]资源-钻石'!W432</f>
        <v>14112141.812768592</v>
      </c>
      <c r="N432" s="17">
        <f>'[1]资源-钻石'!X432</f>
        <v>34402933.494045444</v>
      </c>
    </row>
    <row r="433" spans="9:14" x14ac:dyDescent="0.15">
      <c r="I433" s="4">
        <v>430</v>
      </c>
      <c r="J433" s="17">
        <f>'[1]资源-钻石'!T433</f>
        <v>1889460.4934828712</v>
      </c>
      <c r="K433" s="17">
        <f>'[1]资源-钻石'!U433</f>
        <v>2803326.5428311587</v>
      </c>
      <c r="L433" s="17">
        <f>'[1]资源-钻石'!V433</f>
        <v>5004697.1971142748</v>
      </c>
      <c r="M433" s="17">
        <f>'[1]资源-钻石'!W433</f>
        <v>14143796.916825702</v>
      </c>
      <c r="N433" s="17">
        <f>'[1]资源-钻石'!X433</f>
        <v>34481609.108508267</v>
      </c>
    </row>
    <row r="434" spans="9:14" x14ac:dyDescent="0.15">
      <c r="I434" s="1">
        <v>431</v>
      </c>
      <c r="J434" s="17">
        <f>'[1]资源-钻石'!T434</f>
        <v>1892995.5078007609</v>
      </c>
      <c r="K434" s="17">
        <f>'[1]资源-钻石'!U434</f>
        <v>2808895.0585808377</v>
      </c>
      <c r="L434" s="17">
        <f>'[1]资源-钻石'!V434</f>
        <v>5015274.5644389214</v>
      </c>
      <c r="M434" s="17">
        <f>'[1]资源-钻石'!W434</f>
        <v>14175452.020882813</v>
      </c>
      <c r="N434" s="17">
        <f>'[1]资源-钻石'!X434</f>
        <v>34560284.722971089</v>
      </c>
    </row>
    <row r="435" spans="9:14" x14ac:dyDescent="0.15">
      <c r="I435" s="4">
        <v>432</v>
      </c>
      <c r="J435" s="17">
        <f>'[1]资源-钻石'!T435</f>
        <v>1896530.5221186508</v>
      </c>
      <c r="K435" s="17">
        <f>'[1]资源-钻石'!U435</f>
        <v>2814463.5743305162</v>
      </c>
      <c r="L435" s="17">
        <f>'[1]资源-钻石'!V435</f>
        <v>5025851.931763568</v>
      </c>
      <c r="M435" s="17">
        <f>'[1]资源-钻石'!W435</f>
        <v>14207107.124939926</v>
      </c>
      <c r="N435" s="17">
        <f>'[1]资源-钻石'!X435</f>
        <v>34638960.337433912</v>
      </c>
    </row>
    <row r="436" spans="9:14" x14ac:dyDescent="0.15">
      <c r="I436" s="4">
        <v>433</v>
      </c>
      <c r="J436" s="17">
        <f>'[1]资源-钻石'!T436</f>
        <v>1900065.5364365405</v>
      </c>
      <c r="K436" s="17">
        <f>'[1]资源-钻石'!U436</f>
        <v>2820032.0900801951</v>
      </c>
      <c r="L436" s="17">
        <f>'[1]资源-钻石'!V436</f>
        <v>5036429.2990882145</v>
      </c>
      <c r="M436" s="17">
        <f>'[1]资源-钻石'!W436</f>
        <v>14238762.228997037</v>
      </c>
      <c r="N436" s="17">
        <f>'[1]资源-钻石'!X436</f>
        <v>34717635.951896735</v>
      </c>
    </row>
    <row r="437" spans="9:14" x14ac:dyDescent="0.15">
      <c r="I437" s="1">
        <v>434</v>
      </c>
      <c r="J437" s="17">
        <f>'[1]资源-钻石'!T437</f>
        <v>1903600.5507544305</v>
      </c>
      <c r="K437" s="17">
        <f>'[1]资源-钻石'!U437</f>
        <v>2825600.6058298741</v>
      </c>
      <c r="L437" s="17">
        <f>'[1]资源-钻石'!V437</f>
        <v>5047006.666412862</v>
      </c>
      <c r="M437" s="17">
        <f>'[1]资源-钻石'!W437</f>
        <v>14270417.333054148</v>
      </c>
      <c r="N437" s="17">
        <f>'[1]资源-钻石'!X437</f>
        <v>34796311.566359557</v>
      </c>
    </row>
    <row r="438" spans="9:14" x14ac:dyDescent="0.15">
      <c r="I438" s="4">
        <v>435</v>
      </c>
      <c r="J438" s="17">
        <f>'[1]资源-钻石'!T438</f>
        <v>1907135.5650723204</v>
      </c>
      <c r="K438" s="17">
        <f>'[1]资源-钻石'!U438</f>
        <v>2831169.1215795525</v>
      </c>
      <c r="L438" s="17">
        <f>'[1]资源-钻石'!V438</f>
        <v>5057584.0337375086</v>
      </c>
      <c r="M438" s="17">
        <f>'[1]资源-钻石'!W438</f>
        <v>14302072.437111259</v>
      </c>
      <c r="N438" s="17">
        <f>'[1]资源-钻石'!X438</f>
        <v>34874987.18082238</v>
      </c>
    </row>
    <row r="439" spans="9:14" x14ac:dyDescent="0.15">
      <c r="I439" s="4">
        <v>436</v>
      </c>
      <c r="J439" s="17">
        <f>'[1]资源-钻石'!T439</f>
        <v>1910670.5793902101</v>
      </c>
      <c r="K439" s="17">
        <f>'[1]资源-钻石'!U439</f>
        <v>2836737.6373292315</v>
      </c>
      <c r="L439" s="17">
        <f>'[1]资源-钻石'!V439</f>
        <v>5068161.4010621551</v>
      </c>
      <c r="M439" s="17">
        <f>'[1]资源-钻石'!W439</f>
        <v>14333727.541168371</v>
      </c>
      <c r="N439" s="17">
        <f>'[1]资源-钻石'!X439</f>
        <v>34953662.795285203</v>
      </c>
    </row>
    <row r="440" spans="9:14" x14ac:dyDescent="0.15">
      <c r="I440" s="4">
        <v>437</v>
      </c>
      <c r="J440" s="17">
        <f>'[1]资源-钻石'!T440</f>
        <v>1914205.5937081</v>
      </c>
      <c r="K440" s="17">
        <f>'[1]资源-钻石'!U440</f>
        <v>2842306.1530789104</v>
      </c>
      <c r="L440" s="17">
        <f>'[1]资源-钻石'!V440</f>
        <v>5078738.7683868017</v>
      </c>
      <c r="M440" s="17">
        <f>'[1]资源-钻石'!W440</f>
        <v>14365382.645225482</v>
      </c>
      <c r="N440" s="17">
        <f>'[1]资源-钻石'!X440</f>
        <v>35032338.409748025</v>
      </c>
    </row>
    <row r="441" spans="9:14" x14ac:dyDescent="0.15">
      <c r="I441" s="4">
        <v>438</v>
      </c>
      <c r="J441" s="17">
        <f>'[1]资源-钻石'!T441</f>
        <v>1917740.6080259897</v>
      </c>
      <c r="K441" s="17">
        <f>'[1]资源-钻石'!U441</f>
        <v>2847874.6688285889</v>
      </c>
      <c r="L441" s="17">
        <f>'[1]资源-钻石'!V441</f>
        <v>5089316.1357114483</v>
      </c>
      <c r="M441" s="17">
        <f>'[1]资源-钻石'!W441</f>
        <v>14397037.749282593</v>
      </c>
      <c r="N441" s="17">
        <f>'[1]资源-钻石'!X441</f>
        <v>35111014.024210848</v>
      </c>
    </row>
    <row r="442" spans="9:14" x14ac:dyDescent="0.15">
      <c r="I442" s="4">
        <v>439</v>
      </c>
      <c r="J442" s="17">
        <f>'[1]资源-钻石'!T442</f>
        <v>1921275.6223438797</v>
      </c>
      <c r="K442" s="17">
        <f>'[1]资源-钻石'!U442</f>
        <v>2853443.1845782679</v>
      </c>
      <c r="L442" s="17">
        <f>'[1]资源-钻石'!V442</f>
        <v>5099893.5030360948</v>
      </c>
      <c r="M442" s="17">
        <f>'[1]资源-钻石'!W442</f>
        <v>14428692.853339704</v>
      </c>
      <c r="N442" s="17">
        <f>'[1]资源-钻石'!X442</f>
        <v>35189689.638673671</v>
      </c>
    </row>
    <row r="443" spans="9:14" x14ac:dyDescent="0.15">
      <c r="I443" s="1">
        <v>440</v>
      </c>
      <c r="J443" s="17">
        <f>'[1]资源-钻石'!T443</f>
        <v>1924810.6366617694</v>
      </c>
      <c r="K443" s="17">
        <f>'[1]资源-钻石'!U443</f>
        <v>2859011.7003279468</v>
      </c>
      <c r="L443" s="17">
        <f>'[1]资源-钻石'!V443</f>
        <v>5110470.8703607414</v>
      </c>
      <c r="M443" s="17">
        <f>'[1]资源-钻石'!W443</f>
        <v>14460347.957396816</v>
      </c>
      <c r="N443" s="17">
        <f>'[1]资源-钻石'!X443</f>
        <v>35268365.253136493</v>
      </c>
    </row>
    <row r="444" spans="9:14" x14ac:dyDescent="0.15">
      <c r="I444" s="4">
        <v>441</v>
      </c>
      <c r="J444" s="17">
        <f>'[1]资源-钻石'!T444</f>
        <v>1928345.6509796593</v>
      </c>
      <c r="K444" s="17">
        <f>'[1]资源-钻石'!U444</f>
        <v>2864580.2160776258</v>
      </c>
      <c r="L444" s="17">
        <f>'[1]资源-钻石'!V444</f>
        <v>5121048.237685388</v>
      </c>
      <c r="M444" s="17">
        <f>'[1]资源-钻石'!W444</f>
        <v>14492003.061453927</v>
      </c>
      <c r="N444" s="17">
        <f>'[1]资源-钻石'!X444</f>
        <v>35347040.867599316</v>
      </c>
    </row>
    <row r="445" spans="9:14" x14ac:dyDescent="0.15">
      <c r="I445" s="4">
        <v>442</v>
      </c>
      <c r="J445" s="17">
        <f>'[1]资源-钻石'!T445</f>
        <v>1931880.665297549</v>
      </c>
      <c r="K445" s="17">
        <f>'[1]资源-钻石'!U445</f>
        <v>2870148.7318273042</v>
      </c>
      <c r="L445" s="17">
        <f>'[1]资源-钻石'!V445</f>
        <v>5131625.6050100354</v>
      </c>
      <c r="M445" s="17">
        <f>'[1]资源-钻石'!W445</f>
        <v>14523658.165511038</v>
      </c>
      <c r="N445" s="17">
        <f>'[1]资源-钻石'!X445</f>
        <v>35425716.482062139</v>
      </c>
    </row>
    <row r="446" spans="9:14" x14ac:dyDescent="0.15">
      <c r="I446" s="1">
        <v>443</v>
      </c>
      <c r="J446" s="17">
        <f>'[1]资源-钻石'!T446</f>
        <v>1935415.6796154389</v>
      </c>
      <c r="K446" s="17">
        <f>'[1]资源-钻石'!U446</f>
        <v>2875717.2475769832</v>
      </c>
      <c r="L446" s="17">
        <f>'[1]资源-钻石'!V446</f>
        <v>5142202.972334682</v>
      </c>
      <c r="M446" s="17">
        <f>'[1]资源-钻石'!W446</f>
        <v>14555313.269568151</v>
      </c>
      <c r="N446" s="17">
        <f>'[1]资源-钻石'!X446</f>
        <v>35504392.096524961</v>
      </c>
    </row>
    <row r="447" spans="9:14" x14ac:dyDescent="0.15">
      <c r="I447" s="4">
        <v>444</v>
      </c>
      <c r="J447" s="17">
        <f>'[1]资源-钻石'!T447</f>
        <v>1938950.6939333288</v>
      </c>
      <c r="K447" s="17">
        <f>'[1]资源-钻石'!U447</f>
        <v>2881285.7633266621</v>
      </c>
      <c r="L447" s="17">
        <f>'[1]资源-钻石'!V447</f>
        <v>5152780.3396593286</v>
      </c>
      <c r="M447" s="17">
        <f>'[1]资源-钻石'!W447</f>
        <v>14586968.373625262</v>
      </c>
      <c r="N447" s="17">
        <f>'[1]资源-钻石'!X447</f>
        <v>35583067.710987784</v>
      </c>
    </row>
    <row r="448" spans="9:14" x14ac:dyDescent="0.15">
      <c r="I448" s="4">
        <v>445</v>
      </c>
      <c r="J448" s="17">
        <f>'[1]资源-钻石'!T448</f>
        <v>1942485.7082512185</v>
      </c>
      <c r="K448" s="17">
        <f>'[1]资源-钻石'!U448</f>
        <v>2886854.2790763406</v>
      </c>
      <c r="L448" s="17">
        <f>'[1]资源-钻石'!V448</f>
        <v>5163357.7069839751</v>
      </c>
      <c r="M448" s="17">
        <f>'[1]资源-钻石'!W448</f>
        <v>14618623.477682373</v>
      </c>
      <c r="N448" s="17">
        <f>'[1]资源-钻石'!X448</f>
        <v>35661743.325450607</v>
      </c>
    </row>
    <row r="449" spans="9:14" x14ac:dyDescent="0.15">
      <c r="I449" s="4">
        <v>446</v>
      </c>
      <c r="J449" s="17">
        <f>'[1]资源-钻石'!T449</f>
        <v>1946020.7225691085</v>
      </c>
      <c r="K449" s="17">
        <f>'[1]资源-钻石'!U449</f>
        <v>2892422.7948260196</v>
      </c>
      <c r="L449" s="17">
        <f>'[1]资源-钻石'!V449</f>
        <v>5173935.0743086217</v>
      </c>
      <c r="M449" s="17">
        <f>'[1]资源-钻石'!W449</f>
        <v>14650278.581739483</v>
      </c>
      <c r="N449" s="17">
        <f>'[1]资源-钻石'!X449</f>
        <v>35740418.939913429</v>
      </c>
    </row>
    <row r="450" spans="9:14" x14ac:dyDescent="0.15">
      <c r="I450" s="4">
        <v>447</v>
      </c>
      <c r="J450" s="17">
        <f>'[1]资源-钻石'!T450</f>
        <v>1949555.7368869982</v>
      </c>
      <c r="K450" s="17">
        <f>'[1]资源-钻石'!U450</f>
        <v>2897991.3105756985</v>
      </c>
      <c r="L450" s="17">
        <f>'[1]资源-钻石'!V450</f>
        <v>5184512.4416332683</v>
      </c>
      <c r="M450" s="17">
        <f>'[1]资源-钻石'!W450</f>
        <v>14681933.685796596</v>
      </c>
      <c r="N450" s="17">
        <f>'[1]资源-钻石'!X450</f>
        <v>35819094.554376252</v>
      </c>
    </row>
    <row r="451" spans="9:14" x14ac:dyDescent="0.15">
      <c r="I451" s="4">
        <v>448</v>
      </c>
      <c r="J451" s="17">
        <f>'[1]资源-钻石'!T451</f>
        <v>1953090.7512048881</v>
      </c>
      <c r="K451" s="17">
        <f>'[1]资源-钻石'!U451</f>
        <v>2903559.826325377</v>
      </c>
      <c r="L451" s="17">
        <f>'[1]资源-钻石'!V451</f>
        <v>5195089.8089579148</v>
      </c>
      <c r="M451" s="17">
        <f>'[1]资源-钻石'!W451</f>
        <v>14713588.789853707</v>
      </c>
      <c r="N451" s="17">
        <f>'[1]资源-钻石'!X451</f>
        <v>35897770.168839075</v>
      </c>
    </row>
    <row r="452" spans="9:14" x14ac:dyDescent="0.15">
      <c r="I452" s="1">
        <v>449</v>
      </c>
      <c r="J452" s="17">
        <f>'[1]资源-钻石'!T452</f>
        <v>1956625.7655227778</v>
      </c>
      <c r="K452" s="17">
        <f>'[1]资源-钻石'!U452</f>
        <v>2909128.3420750559</v>
      </c>
      <c r="L452" s="17">
        <f>'[1]资源-钻石'!V452</f>
        <v>5205667.1762825623</v>
      </c>
      <c r="M452" s="17">
        <f>'[1]资源-钻石'!W452</f>
        <v>14745243.893910818</v>
      </c>
      <c r="N452" s="17">
        <f>'[1]资源-钻石'!X452</f>
        <v>35976445.783301897</v>
      </c>
    </row>
    <row r="453" spans="9:14" x14ac:dyDescent="0.15">
      <c r="I453" s="4">
        <v>450</v>
      </c>
      <c r="J453" s="17">
        <f>'[1]资源-钻石'!T453</f>
        <v>1960160.7798406677</v>
      </c>
      <c r="K453" s="17">
        <f>'[1]资源-钻石'!U453</f>
        <v>2914696.8578247349</v>
      </c>
      <c r="L453" s="17">
        <f>'[1]资源-钻石'!V453</f>
        <v>5216244.5436072089</v>
      </c>
      <c r="M453" s="17">
        <f>'[1]资源-钻石'!W453</f>
        <v>14776898.997967931</v>
      </c>
      <c r="N453" s="17">
        <f>'[1]资源-钻石'!X453</f>
        <v>36055121.39776472</v>
      </c>
    </row>
    <row r="454" spans="9:14" x14ac:dyDescent="0.15">
      <c r="I454" s="4">
        <v>451</v>
      </c>
      <c r="J454" s="17">
        <f>'[1]资源-钻石'!T454</f>
        <v>1963695.7941585574</v>
      </c>
      <c r="K454" s="17">
        <f>'[1]资源-钻石'!U454</f>
        <v>2920265.3735744134</v>
      </c>
      <c r="L454" s="17">
        <f>'[1]资源-钻石'!V454</f>
        <v>5226821.9109318554</v>
      </c>
      <c r="M454" s="17">
        <f>'[1]资源-钻石'!W454</f>
        <v>14808554.102025041</v>
      </c>
      <c r="N454" s="17">
        <f>'[1]资源-钻石'!X454</f>
        <v>36133797.012227543</v>
      </c>
    </row>
    <row r="455" spans="9:14" x14ac:dyDescent="0.15">
      <c r="I455" s="1">
        <v>452</v>
      </c>
      <c r="J455" s="17">
        <f>'[1]资源-钻石'!T455</f>
        <v>1967230.8084764474</v>
      </c>
      <c r="K455" s="17">
        <f>'[1]资源-钻石'!U455</f>
        <v>2925833.8893240923</v>
      </c>
      <c r="L455" s="17">
        <f>'[1]资源-钻石'!V455</f>
        <v>5237399.278256502</v>
      </c>
      <c r="M455" s="17">
        <f>'[1]资源-钻石'!W455</f>
        <v>14840209.206082152</v>
      </c>
      <c r="N455" s="17">
        <f>'[1]资源-钻石'!X455</f>
        <v>36212472.626690365</v>
      </c>
    </row>
    <row r="456" spans="9:14" x14ac:dyDescent="0.15">
      <c r="I456" s="4">
        <v>453</v>
      </c>
      <c r="J456" s="17">
        <f>'[1]资源-钻石'!T456</f>
        <v>1970765.8227943371</v>
      </c>
      <c r="K456" s="17">
        <f>'[1]资源-钻石'!U456</f>
        <v>2931402.4050737713</v>
      </c>
      <c r="L456" s="17">
        <f>'[1]资源-钻石'!V456</f>
        <v>5247976.6455811486</v>
      </c>
      <c r="M456" s="17">
        <f>'[1]资源-钻石'!W456</f>
        <v>14871864.310139263</v>
      </c>
      <c r="N456" s="17">
        <f>'[1]资源-钻石'!X456</f>
        <v>36291148.241153188</v>
      </c>
    </row>
    <row r="457" spans="9:14" x14ac:dyDescent="0.15">
      <c r="I457" s="4">
        <v>454</v>
      </c>
      <c r="J457" s="17">
        <f>'[1]资源-钻石'!T457</f>
        <v>1974300.837112227</v>
      </c>
      <c r="K457" s="17">
        <f>'[1]资源-钻石'!U457</f>
        <v>2936970.9208234502</v>
      </c>
      <c r="L457" s="17">
        <f>'[1]资源-钻石'!V457</f>
        <v>5258554.0129057951</v>
      </c>
      <c r="M457" s="17">
        <f>'[1]资源-钻石'!W457</f>
        <v>14903519.414196376</v>
      </c>
      <c r="N457" s="17">
        <f>'[1]资源-钻石'!X457</f>
        <v>36369823.855616011</v>
      </c>
    </row>
    <row r="458" spans="9:14" x14ac:dyDescent="0.15">
      <c r="I458" s="4">
        <v>455</v>
      </c>
      <c r="J458" s="17">
        <f>'[1]资源-钻石'!T458</f>
        <v>1977835.8514301167</v>
      </c>
      <c r="K458" s="17">
        <f>'[1]资源-钻石'!U458</f>
        <v>2942539.4365731287</v>
      </c>
      <c r="L458" s="17">
        <f>'[1]资源-钻石'!V458</f>
        <v>5269131.3802304417</v>
      </c>
      <c r="M458" s="17">
        <f>'[1]资源-钻石'!W458</f>
        <v>14935174.518253487</v>
      </c>
      <c r="N458" s="17">
        <f>'[1]资源-钻石'!X458</f>
        <v>36448499.470078833</v>
      </c>
    </row>
    <row r="459" spans="9:14" x14ac:dyDescent="0.15">
      <c r="I459" s="4">
        <v>456</v>
      </c>
      <c r="J459" s="17">
        <f>'[1]资源-钻石'!T459</f>
        <v>1981370.8657480066</v>
      </c>
      <c r="K459" s="17">
        <f>'[1]资源-钻石'!U459</f>
        <v>2948107.9523228076</v>
      </c>
      <c r="L459" s="17">
        <f>'[1]资源-钻石'!V459</f>
        <v>5279708.7475550883</v>
      </c>
      <c r="M459" s="17">
        <f>'[1]资源-钻石'!W459</f>
        <v>14966829.622310597</v>
      </c>
      <c r="N459" s="17">
        <f>'[1]资源-钻石'!X459</f>
        <v>36527175.084541656</v>
      </c>
    </row>
    <row r="460" spans="9:14" x14ac:dyDescent="0.15">
      <c r="I460" s="4">
        <v>457</v>
      </c>
      <c r="J460" s="17">
        <f>'[1]资源-钻石'!T460</f>
        <v>1984905.8800658965</v>
      </c>
      <c r="K460" s="17">
        <f>'[1]资源-钻石'!U460</f>
        <v>2953676.4680724866</v>
      </c>
      <c r="L460" s="17">
        <f>'[1]资源-钻石'!V460</f>
        <v>5290286.1148797348</v>
      </c>
      <c r="M460" s="17">
        <f>'[1]资源-钻石'!W460</f>
        <v>14998484.72636771</v>
      </c>
      <c r="N460" s="17">
        <f>'[1]资源-钻石'!X460</f>
        <v>36605850.699004479</v>
      </c>
    </row>
    <row r="461" spans="9:14" x14ac:dyDescent="0.15">
      <c r="I461" s="1">
        <v>458</v>
      </c>
      <c r="J461" s="17">
        <f>'[1]资源-钻石'!T461</f>
        <v>1988440.8943837862</v>
      </c>
      <c r="K461" s="17">
        <f>'[1]资源-钻石'!U461</f>
        <v>2959244.9838221651</v>
      </c>
      <c r="L461" s="17">
        <f>'[1]资源-钻石'!V461</f>
        <v>5300863.4822043823</v>
      </c>
      <c r="M461" s="17">
        <f>'[1]资源-钻石'!W461</f>
        <v>15030139.830424821</v>
      </c>
      <c r="N461" s="17">
        <f>'[1]资源-钻石'!X461</f>
        <v>36684526.313467301</v>
      </c>
    </row>
    <row r="462" spans="9:14" x14ac:dyDescent="0.15">
      <c r="I462" s="4">
        <v>459</v>
      </c>
      <c r="J462" s="17">
        <f>'[1]资源-钻石'!T462</f>
        <v>1991975.9087016762</v>
      </c>
      <c r="K462" s="17">
        <f>'[1]资源-钻石'!U462</f>
        <v>2964813.499571844</v>
      </c>
      <c r="L462" s="17">
        <f>'[1]资源-钻石'!V462</f>
        <v>5311440.8495290289</v>
      </c>
      <c r="M462" s="17">
        <f>'[1]资源-钻石'!W462</f>
        <v>15061794.934481932</v>
      </c>
      <c r="N462" s="17">
        <f>'[1]资源-钻石'!X462</f>
        <v>36763201.927930124</v>
      </c>
    </row>
    <row r="463" spans="9:14" x14ac:dyDescent="0.15">
      <c r="I463" s="4">
        <v>460</v>
      </c>
      <c r="J463" s="17">
        <f>'[1]资源-钻石'!T463</f>
        <v>1995510.9230195659</v>
      </c>
      <c r="K463" s="17">
        <f>'[1]资源-钻石'!U463</f>
        <v>2970382.015321523</v>
      </c>
      <c r="L463" s="17">
        <f>'[1]资源-钻石'!V463</f>
        <v>5322018.2168536754</v>
      </c>
      <c r="M463" s="17">
        <f>'[1]资源-钻石'!W463</f>
        <v>15093450.038539043</v>
      </c>
      <c r="N463" s="17">
        <f>'[1]资源-钻石'!X463</f>
        <v>36841877.542392947</v>
      </c>
    </row>
    <row r="464" spans="9:14" x14ac:dyDescent="0.15">
      <c r="I464" s="1">
        <v>461</v>
      </c>
      <c r="J464" s="17">
        <f>'[1]资源-钻石'!T464</f>
        <v>1999045.9373374558</v>
      </c>
      <c r="K464" s="17">
        <f>'[1]资源-钻石'!U464</f>
        <v>2975950.5310712014</v>
      </c>
      <c r="L464" s="17">
        <f>'[1]资源-钻石'!V464</f>
        <v>5332595.584178322</v>
      </c>
      <c r="M464" s="17">
        <f>'[1]资源-钻石'!W464</f>
        <v>15125105.142596155</v>
      </c>
      <c r="N464" s="17">
        <f>'[1]资源-钻石'!X464</f>
        <v>36920553.156855769</v>
      </c>
    </row>
    <row r="465" spans="9:14" x14ac:dyDescent="0.15">
      <c r="I465" s="4">
        <v>462</v>
      </c>
      <c r="J465" s="17">
        <f>'[1]资源-钻石'!T465</f>
        <v>2002580.9516553455</v>
      </c>
      <c r="K465" s="17">
        <f>'[1]资源-钻石'!U465</f>
        <v>2981519.0468208804</v>
      </c>
      <c r="L465" s="17">
        <f>'[1]资源-钻石'!V465</f>
        <v>5343172.9515029686</v>
      </c>
      <c r="M465" s="17">
        <f>'[1]资源-钻石'!W465</f>
        <v>15156760.246653266</v>
      </c>
      <c r="N465" s="17">
        <f>'[1]资源-钻石'!X465</f>
        <v>36999228.771318592</v>
      </c>
    </row>
    <row r="466" spans="9:14" x14ac:dyDescent="0.15">
      <c r="I466" s="4">
        <v>463</v>
      </c>
      <c r="J466" s="17">
        <f>'[1]资源-钻石'!T466</f>
        <v>2006115.9659732354</v>
      </c>
      <c r="K466" s="17">
        <f>'[1]资源-钻石'!U466</f>
        <v>2987087.5625705593</v>
      </c>
      <c r="L466" s="17">
        <f>'[1]资源-钻石'!V466</f>
        <v>5353750.3188276151</v>
      </c>
      <c r="M466" s="17">
        <f>'[1]资源-钻石'!W466</f>
        <v>15188415.350710377</v>
      </c>
      <c r="N466" s="17">
        <f>'[1]资源-钻石'!X466</f>
        <v>37077904.385781415</v>
      </c>
    </row>
    <row r="467" spans="9:14" x14ac:dyDescent="0.15">
      <c r="I467" s="4">
        <v>464</v>
      </c>
      <c r="J467" s="17">
        <f>'[1]资源-钻石'!T467</f>
        <v>2009650.9802911251</v>
      </c>
      <c r="K467" s="17">
        <f>'[1]资源-钻石'!U467</f>
        <v>2992656.0783202378</v>
      </c>
      <c r="L467" s="17">
        <f>'[1]资源-钻石'!V467</f>
        <v>5364327.6861522617</v>
      </c>
      <c r="M467" s="17">
        <f>'[1]资源-钻石'!W467</f>
        <v>15220070.45476749</v>
      </c>
      <c r="N467" s="17">
        <f>'[1]资源-钻石'!X467</f>
        <v>37156580.000244237</v>
      </c>
    </row>
    <row r="468" spans="9:14" x14ac:dyDescent="0.15">
      <c r="I468" s="4">
        <v>465</v>
      </c>
      <c r="J468" s="17">
        <f>'[1]资源-钻石'!T468</f>
        <v>2013185.9946090151</v>
      </c>
      <c r="K468" s="17">
        <f>'[1]资源-钻石'!U468</f>
        <v>2998224.5940699168</v>
      </c>
      <c r="L468" s="17">
        <f>'[1]资源-钻石'!V468</f>
        <v>5374905.0534769092</v>
      </c>
      <c r="M468" s="17">
        <f>'[1]资源-钻石'!W468</f>
        <v>15251725.558824601</v>
      </c>
      <c r="N468" s="17">
        <f>'[1]资源-钻石'!X468</f>
        <v>37235255.61470706</v>
      </c>
    </row>
    <row r="469" spans="9:14" x14ac:dyDescent="0.15">
      <c r="I469" s="4">
        <v>466</v>
      </c>
      <c r="J469" s="17">
        <f>'[1]资源-钻石'!T469</f>
        <v>2016721.0089269048</v>
      </c>
      <c r="K469" s="17">
        <f>'[1]资源-钻石'!U469</f>
        <v>3003793.1098195957</v>
      </c>
      <c r="L469" s="17">
        <f>'[1]资源-钻石'!V469</f>
        <v>5385482.4208015557</v>
      </c>
      <c r="M469" s="17">
        <f>'[1]资源-钻石'!W469</f>
        <v>15283380.662881711</v>
      </c>
      <c r="N469" s="17">
        <f>'[1]资源-钻石'!X469</f>
        <v>37313931.229169883</v>
      </c>
    </row>
    <row r="470" spans="9:14" x14ac:dyDescent="0.15">
      <c r="I470" s="1">
        <v>467</v>
      </c>
      <c r="J470" s="17">
        <f>'[1]资源-钻石'!T470</f>
        <v>2020256.0232447947</v>
      </c>
      <c r="K470" s="17">
        <f>'[1]资源-钻石'!U470</f>
        <v>3009361.6255692746</v>
      </c>
      <c r="L470" s="17">
        <f>'[1]资源-钻石'!V470</f>
        <v>5396059.7881262023</v>
      </c>
      <c r="M470" s="17">
        <f>'[1]资源-钻石'!W470</f>
        <v>15315035.766938822</v>
      </c>
      <c r="N470" s="17">
        <f>'[1]资源-钻石'!X470</f>
        <v>37392606.843632706</v>
      </c>
    </row>
    <row r="471" spans="9:14" x14ac:dyDescent="0.15">
      <c r="I471" s="4">
        <v>468</v>
      </c>
      <c r="J471" s="17">
        <f>'[1]资源-钻石'!T471</f>
        <v>2023791.0375626844</v>
      </c>
      <c r="K471" s="17">
        <f>'[1]资源-钻石'!U471</f>
        <v>3014930.1413189531</v>
      </c>
      <c r="L471" s="17">
        <f>'[1]资源-钻石'!V471</f>
        <v>5406637.1554508489</v>
      </c>
      <c r="M471" s="17">
        <f>'[1]资源-钻石'!W471</f>
        <v>15346690.870995935</v>
      </c>
      <c r="N471" s="17">
        <f>'[1]资源-钻石'!X471</f>
        <v>37471282.458095528</v>
      </c>
    </row>
    <row r="472" spans="9:14" x14ac:dyDescent="0.15">
      <c r="I472" s="4">
        <v>469</v>
      </c>
      <c r="J472" s="17">
        <f>'[1]资源-钻石'!T472</f>
        <v>2027326.0518805743</v>
      </c>
      <c r="K472" s="17">
        <f>'[1]资源-钻石'!U472</f>
        <v>3020498.6570686321</v>
      </c>
      <c r="L472" s="17">
        <f>'[1]资源-钻石'!V472</f>
        <v>5417214.5227754954</v>
      </c>
      <c r="M472" s="17">
        <f>'[1]资源-钻石'!W472</f>
        <v>15378345.975053046</v>
      </c>
      <c r="N472" s="17">
        <f>'[1]资源-钻石'!X472</f>
        <v>37549958.072558351</v>
      </c>
    </row>
    <row r="473" spans="9:14" x14ac:dyDescent="0.15">
      <c r="I473" s="1">
        <v>470</v>
      </c>
      <c r="J473" s="17">
        <f>'[1]资源-钻石'!T473</f>
        <v>2030861.066198464</v>
      </c>
      <c r="K473" s="17">
        <f>'[1]资源-钻石'!U473</f>
        <v>3026067.172818311</v>
      </c>
      <c r="L473" s="17">
        <f>'[1]资源-钻石'!V473</f>
        <v>5427791.890100142</v>
      </c>
      <c r="M473" s="17">
        <f>'[1]资源-钻石'!W473</f>
        <v>15410001.079110157</v>
      </c>
      <c r="N473" s="17">
        <f>'[1]资源-钻石'!X473</f>
        <v>37628633.687021174</v>
      </c>
    </row>
    <row r="474" spans="9:14" x14ac:dyDescent="0.15">
      <c r="I474" s="4">
        <v>471</v>
      </c>
      <c r="J474" s="17">
        <f>'[1]资源-钻石'!T474</f>
        <v>2034396.0805163539</v>
      </c>
      <c r="K474" s="17">
        <f>'[1]资源-钻石'!U474</f>
        <v>3031635.6885679895</v>
      </c>
      <c r="L474" s="17">
        <f>'[1]资源-钻石'!V474</f>
        <v>5438369.2574247885</v>
      </c>
      <c r="M474" s="17">
        <f>'[1]资源-钻石'!W474</f>
        <v>15441656.183167269</v>
      </c>
      <c r="N474" s="17">
        <f>'[1]资源-钻石'!X474</f>
        <v>37707309.301483996</v>
      </c>
    </row>
    <row r="475" spans="9:14" x14ac:dyDescent="0.15">
      <c r="I475" s="4">
        <v>472</v>
      </c>
      <c r="J475" s="17">
        <f>'[1]资源-钻石'!T475</f>
        <v>2037931.0948342439</v>
      </c>
      <c r="K475" s="17">
        <f>'[1]资源-钻石'!U475</f>
        <v>3037204.2043176685</v>
      </c>
      <c r="L475" s="17">
        <f>'[1]资源-钻石'!V475</f>
        <v>5448946.6247494351</v>
      </c>
      <c r="M475" s="17">
        <f>'[1]资源-钻石'!W475</f>
        <v>15473311.28722438</v>
      </c>
      <c r="N475" s="17">
        <f>'[1]资源-钻石'!X475</f>
        <v>37785984.915946819</v>
      </c>
    </row>
    <row r="476" spans="9:14" x14ac:dyDescent="0.15">
      <c r="I476" s="4">
        <v>473</v>
      </c>
      <c r="J476" s="17">
        <f>'[1]资源-钻石'!T476</f>
        <v>2041466.1091521336</v>
      </c>
      <c r="K476" s="17">
        <f>'[1]资源-钻石'!U476</f>
        <v>3042772.7200673474</v>
      </c>
      <c r="L476" s="17">
        <f>'[1]资源-钻石'!V476</f>
        <v>5459523.9920740826</v>
      </c>
      <c r="M476" s="17">
        <f>'[1]资源-钻石'!W476</f>
        <v>15504966.391281491</v>
      </c>
      <c r="N476" s="17">
        <f>'[1]资源-钻石'!X476</f>
        <v>37864660.530409642</v>
      </c>
    </row>
    <row r="477" spans="9:14" x14ac:dyDescent="0.15">
      <c r="I477" s="4">
        <v>474</v>
      </c>
      <c r="J477" s="17">
        <f>'[1]资源-钻石'!T477</f>
        <v>2045001.1234700235</v>
      </c>
      <c r="K477" s="17">
        <f>'[1]资源-钻石'!U477</f>
        <v>3048341.2358170259</v>
      </c>
      <c r="L477" s="17">
        <f>'[1]资源-钻石'!V477</f>
        <v>5470101.3593987292</v>
      </c>
      <c r="M477" s="17">
        <f>'[1]资源-钻石'!W477</f>
        <v>15536621.495338602</v>
      </c>
      <c r="N477" s="17">
        <f>'[1]资源-钻石'!X477</f>
        <v>37943336.144872457</v>
      </c>
    </row>
    <row r="478" spans="9:14" x14ac:dyDescent="0.15">
      <c r="I478" s="4">
        <v>475</v>
      </c>
      <c r="J478" s="17">
        <f>'[1]资源-钻石'!T478</f>
        <v>2048536.1377879132</v>
      </c>
      <c r="K478" s="17">
        <f>'[1]资源-钻石'!U478</f>
        <v>3053909.7515667048</v>
      </c>
      <c r="L478" s="17">
        <f>'[1]资源-钻石'!V478</f>
        <v>5480678.7267233757</v>
      </c>
      <c r="M478" s="17">
        <f>'[1]资源-钻石'!W478</f>
        <v>15568276.599395715</v>
      </c>
      <c r="N478" s="17">
        <f>'[1]资源-钻石'!X478</f>
        <v>38022011.759335279</v>
      </c>
    </row>
    <row r="479" spans="9:14" x14ac:dyDescent="0.15">
      <c r="I479" s="1">
        <v>476</v>
      </c>
      <c r="J479" s="17">
        <f>'[1]资源-钻石'!T479</f>
        <v>2052071.1521058031</v>
      </c>
      <c r="K479" s="17">
        <f>'[1]资源-钻石'!U479</f>
        <v>3059478.2673163838</v>
      </c>
      <c r="L479" s="17">
        <f>'[1]资源-钻石'!V479</f>
        <v>5491256.0940480223</v>
      </c>
      <c r="M479" s="17">
        <f>'[1]资源-钻石'!W479</f>
        <v>15599931.703452826</v>
      </c>
      <c r="N479" s="17">
        <f>'[1]资源-钻石'!X479</f>
        <v>38100687.373798102</v>
      </c>
    </row>
    <row r="480" spans="9:14" x14ac:dyDescent="0.15">
      <c r="I480" s="4">
        <v>477</v>
      </c>
      <c r="J480" s="17">
        <f>'[1]资源-钻石'!T480</f>
        <v>2055606.1664236928</v>
      </c>
      <c r="K480" s="17">
        <f>'[1]资源-钻石'!U480</f>
        <v>3065046.7830660627</v>
      </c>
      <c r="L480" s="17">
        <f>'[1]资源-钻石'!V480</f>
        <v>5501833.4613726689</v>
      </c>
      <c r="M480" s="17">
        <f>'[1]资源-钻石'!W480</f>
        <v>15631586.807509936</v>
      </c>
      <c r="N480" s="17">
        <f>'[1]资源-钻石'!X480</f>
        <v>38179362.988260925</v>
      </c>
    </row>
    <row r="481" spans="9:14" x14ac:dyDescent="0.15">
      <c r="I481" s="4">
        <v>478</v>
      </c>
      <c r="J481" s="17">
        <f>'[1]资源-钻石'!T481</f>
        <v>2059141.1807415828</v>
      </c>
      <c r="K481" s="17">
        <f>'[1]资源-钻石'!U481</f>
        <v>3070615.2988157412</v>
      </c>
      <c r="L481" s="17">
        <f>'[1]资源-钻石'!V481</f>
        <v>5512410.8286973154</v>
      </c>
      <c r="M481" s="17">
        <f>'[1]资源-钻石'!W481</f>
        <v>15663241.911567047</v>
      </c>
      <c r="N481" s="17">
        <f>'[1]资源-钻石'!X481</f>
        <v>38258038.602723747</v>
      </c>
    </row>
    <row r="482" spans="9:14" x14ac:dyDescent="0.15">
      <c r="I482" s="1">
        <v>479</v>
      </c>
      <c r="J482" s="17">
        <f>'[1]资源-钻石'!T482</f>
        <v>2062676.1950594725</v>
      </c>
      <c r="K482" s="17">
        <f>'[1]资源-钻石'!U482</f>
        <v>3076183.8145654202</v>
      </c>
      <c r="L482" s="17">
        <f>'[1]资源-钻石'!V482</f>
        <v>5522988.196021962</v>
      </c>
      <c r="M482" s="17">
        <f>'[1]资源-钻石'!W482</f>
        <v>15694897.01562416</v>
      </c>
      <c r="N482" s="17">
        <f>'[1]资源-钻石'!X482</f>
        <v>38336714.21718657</v>
      </c>
    </row>
    <row r="483" spans="9:14" x14ac:dyDescent="0.15">
      <c r="I483" s="4">
        <v>480</v>
      </c>
      <c r="J483" s="17">
        <f>'[1]资源-钻石'!T483</f>
        <v>2066211.2093773624</v>
      </c>
      <c r="K483" s="17">
        <f>'[1]资源-钻石'!U483</f>
        <v>3081752.3303150991</v>
      </c>
      <c r="L483" s="17">
        <f>'[1]资源-钻石'!V483</f>
        <v>5533565.5633466095</v>
      </c>
      <c r="M483" s="17">
        <f>'[1]资源-钻石'!W483</f>
        <v>15726552.119681271</v>
      </c>
      <c r="N483" s="17">
        <f>'[1]资源-钻石'!X483</f>
        <v>38415389.831649393</v>
      </c>
    </row>
    <row r="484" spans="9:14" x14ac:dyDescent="0.15">
      <c r="I484" s="4">
        <v>481</v>
      </c>
      <c r="J484" s="17">
        <f>'[1]资源-钻石'!T484</f>
        <v>2069746.2236952521</v>
      </c>
      <c r="K484" s="17">
        <f>'[1]资源-钻石'!U484</f>
        <v>3087320.8460647776</v>
      </c>
      <c r="L484" s="17">
        <f>'[1]资源-钻石'!V484</f>
        <v>5544142.930671256</v>
      </c>
      <c r="M484" s="17">
        <f>'[1]资源-钻石'!W484</f>
        <v>15758207.223738382</v>
      </c>
      <c r="N484" s="17">
        <f>'[1]资源-钻石'!X484</f>
        <v>38494065.446112216</v>
      </c>
    </row>
    <row r="485" spans="9:14" x14ac:dyDescent="0.15">
      <c r="I485" s="4">
        <v>482</v>
      </c>
      <c r="J485" s="17">
        <f>'[1]资源-钻石'!T485</f>
        <v>2073281.238013142</v>
      </c>
      <c r="K485" s="17">
        <f>'[1]资源-钻石'!U485</f>
        <v>3092889.3618144565</v>
      </c>
      <c r="L485" s="17">
        <f>'[1]资源-钻石'!V485</f>
        <v>5554720.2979959026</v>
      </c>
      <c r="M485" s="17">
        <f>'[1]资源-钻石'!W485</f>
        <v>15789862.327795492</v>
      </c>
      <c r="N485" s="17">
        <f>'[1]资源-钻石'!X485</f>
        <v>38572741.060575038</v>
      </c>
    </row>
    <row r="486" spans="9:14" x14ac:dyDescent="0.15">
      <c r="I486" s="4">
        <v>483</v>
      </c>
      <c r="J486" s="17">
        <f>'[1]资源-钻石'!T486</f>
        <v>2076816.2523310317</v>
      </c>
      <c r="K486" s="17">
        <f>'[1]资源-钻石'!U486</f>
        <v>3098457.8775641355</v>
      </c>
      <c r="L486" s="17">
        <f>'[1]资源-钻石'!V486</f>
        <v>5565297.6653205492</v>
      </c>
      <c r="M486" s="17">
        <f>'[1]资源-钻石'!W486</f>
        <v>15821517.431852605</v>
      </c>
      <c r="N486" s="17">
        <f>'[1]资源-钻石'!X486</f>
        <v>38651416.675037861</v>
      </c>
    </row>
    <row r="487" spans="9:14" x14ac:dyDescent="0.15">
      <c r="I487" s="4">
        <v>484</v>
      </c>
      <c r="J487" s="17">
        <f>'[1]资源-钻石'!T487</f>
        <v>2080351.2666489216</v>
      </c>
      <c r="K487" s="17">
        <f>'[1]资源-钻石'!U487</f>
        <v>3104026.3933138144</v>
      </c>
      <c r="L487" s="17">
        <f>'[1]资源-钻石'!V487</f>
        <v>5575875.0326451957</v>
      </c>
      <c r="M487" s="17">
        <f>'[1]资源-钻石'!W487</f>
        <v>15853172.535909716</v>
      </c>
      <c r="N487" s="17">
        <f>'[1]资源-钻石'!X487</f>
        <v>38730092.289500684</v>
      </c>
    </row>
    <row r="488" spans="9:14" x14ac:dyDescent="0.15">
      <c r="I488" s="1">
        <v>485</v>
      </c>
      <c r="J488" s="17">
        <f>'[1]资源-钻石'!T488</f>
        <v>2083886.2809668113</v>
      </c>
      <c r="K488" s="17">
        <f>'[1]资源-钻石'!U488</f>
        <v>3109594.9090634929</v>
      </c>
      <c r="L488" s="17">
        <f>'[1]资源-钻石'!V488</f>
        <v>5586452.3999698423</v>
      </c>
      <c r="M488" s="17">
        <f>'[1]资源-钻石'!W488</f>
        <v>15884827.639966827</v>
      </c>
      <c r="N488" s="17">
        <f>'[1]资源-钻石'!X488</f>
        <v>38808767.903963506</v>
      </c>
    </row>
    <row r="489" spans="9:14" x14ac:dyDescent="0.15">
      <c r="I489" s="4">
        <v>486</v>
      </c>
      <c r="J489" s="17">
        <f>'[1]资源-钻石'!T489</f>
        <v>2087421.2952847013</v>
      </c>
      <c r="K489" s="17">
        <f>'[1]资源-钻石'!U489</f>
        <v>3115163.4248131718</v>
      </c>
      <c r="L489" s="17">
        <f>'[1]资源-钻石'!V489</f>
        <v>5597029.7672944888</v>
      </c>
      <c r="M489" s="17">
        <f>'[1]资源-钻石'!W489</f>
        <v>15916482.74402394</v>
      </c>
      <c r="N489" s="17">
        <f>'[1]资源-钻石'!X489</f>
        <v>38887443.518426329</v>
      </c>
    </row>
    <row r="490" spans="9:14" x14ac:dyDescent="0.15">
      <c r="I490" s="4">
        <v>487</v>
      </c>
      <c r="J490" s="17">
        <f>'[1]资源-钻石'!T490</f>
        <v>2090956.309602591</v>
      </c>
      <c r="K490" s="17">
        <f>'[1]资源-钻石'!U490</f>
        <v>3120731.9405628508</v>
      </c>
      <c r="L490" s="17">
        <f>'[1]资源-钻石'!V490</f>
        <v>5607607.1346191354</v>
      </c>
      <c r="M490" s="17">
        <f>'[1]资源-钻石'!W490</f>
        <v>15948137.84808105</v>
      </c>
      <c r="N490" s="17">
        <f>'[1]资源-钻石'!X490</f>
        <v>38966119.132889152</v>
      </c>
    </row>
    <row r="491" spans="9:14" x14ac:dyDescent="0.15">
      <c r="I491" s="1">
        <v>488</v>
      </c>
      <c r="J491" s="17">
        <f>'[1]资源-钻石'!T491</f>
        <v>2094491.3239204809</v>
      </c>
      <c r="K491" s="17">
        <f>'[1]资源-钻石'!U491</f>
        <v>3126300.4563125293</v>
      </c>
      <c r="L491" s="17">
        <f>'[1]资源-钻石'!V491</f>
        <v>5618184.5019437829</v>
      </c>
      <c r="M491" s="17">
        <f>'[1]资源-钻石'!W491</f>
        <v>15979792.952138161</v>
      </c>
      <c r="N491" s="17">
        <f>'[1]资源-钻石'!X491</f>
        <v>39044794.747351974</v>
      </c>
    </row>
    <row r="492" spans="9:14" x14ac:dyDescent="0.15">
      <c r="I492" s="4">
        <v>489</v>
      </c>
      <c r="J492" s="17">
        <f>'[1]资源-钻石'!T492</f>
        <v>2098026.3382383706</v>
      </c>
      <c r="K492" s="17">
        <f>'[1]资源-钻石'!U492</f>
        <v>3131868.9720622082</v>
      </c>
      <c r="L492" s="17">
        <f>'[1]资源-钻石'!V492</f>
        <v>5628761.8692684295</v>
      </c>
      <c r="M492" s="17">
        <f>'[1]资源-钻石'!W492</f>
        <v>16011448.056195272</v>
      </c>
      <c r="N492" s="17">
        <f>'[1]资源-钻石'!X492</f>
        <v>39123470.361814797</v>
      </c>
    </row>
    <row r="493" spans="9:14" x14ac:dyDescent="0.15">
      <c r="I493" s="4">
        <v>490</v>
      </c>
      <c r="J493" s="17">
        <f>'[1]资源-钻石'!T493</f>
        <v>2101561.3525562608</v>
      </c>
      <c r="K493" s="17">
        <f>'[1]资源-钻石'!U493</f>
        <v>3137437.4878118872</v>
      </c>
      <c r="L493" s="17">
        <f>'[1]资源-钻石'!V493</f>
        <v>5639339.236593076</v>
      </c>
      <c r="M493" s="17">
        <f>'[1]资源-钻石'!W493</f>
        <v>16043103.160252385</v>
      </c>
      <c r="N493" s="17">
        <f>'[1]资源-钻石'!X493</f>
        <v>39202145.97627762</v>
      </c>
    </row>
    <row r="494" spans="9:14" x14ac:dyDescent="0.15">
      <c r="I494" s="4">
        <v>491</v>
      </c>
      <c r="J494" s="17">
        <f>'[1]资源-钻石'!T494</f>
        <v>2105096.3668741505</v>
      </c>
      <c r="K494" s="17">
        <f>'[1]资源-钻石'!U494</f>
        <v>3143006.0035615657</v>
      </c>
      <c r="L494" s="17">
        <f>'[1]资源-钻石'!V494</f>
        <v>5649916.6039177226</v>
      </c>
      <c r="M494" s="17">
        <f>'[1]资源-钻石'!W494</f>
        <v>16074758.264309496</v>
      </c>
      <c r="N494" s="17">
        <f>'[1]资源-钻石'!X494</f>
        <v>39280821.590740442</v>
      </c>
    </row>
    <row r="495" spans="9:14" x14ac:dyDescent="0.15">
      <c r="I495" s="4">
        <v>492</v>
      </c>
      <c r="J495" s="17">
        <f>'[1]资源-钻石'!T495</f>
        <v>2108631.3811920402</v>
      </c>
      <c r="K495" s="17">
        <f>'[1]资源-钻石'!U495</f>
        <v>3148574.5193112446</v>
      </c>
      <c r="L495" s="17">
        <f>'[1]资源-钻石'!V495</f>
        <v>5660493.9712423692</v>
      </c>
      <c r="M495" s="17">
        <f>'[1]资源-钻石'!W495</f>
        <v>16106413.368366607</v>
      </c>
      <c r="N495" s="17">
        <f>'[1]资源-钻石'!X495</f>
        <v>39359497.205203265</v>
      </c>
    </row>
    <row r="496" spans="9:14" x14ac:dyDescent="0.15">
      <c r="I496" s="4">
        <v>493</v>
      </c>
      <c r="J496" s="17">
        <f>'[1]资源-钻石'!T496</f>
        <v>2112166.3955099299</v>
      </c>
      <c r="K496" s="17">
        <f>'[1]资源-钻石'!U496</f>
        <v>3154143.0350609235</v>
      </c>
      <c r="L496" s="17">
        <f>'[1]资源-钻石'!V496</f>
        <v>5671071.3385670157</v>
      </c>
      <c r="M496" s="17">
        <f>'[1]资源-钻石'!W496</f>
        <v>16138068.472423717</v>
      </c>
      <c r="N496" s="17">
        <f>'[1]资源-钻石'!X496</f>
        <v>39438172.819666088</v>
      </c>
    </row>
    <row r="497" spans="9:14" x14ac:dyDescent="0.15">
      <c r="I497" s="1">
        <v>494</v>
      </c>
      <c r="J497" s="17">
        <f>'[1]资源-钻石'!T497</f>
        <v>2115701.40982782</v>
      </c>
      <c r="K497" s="17">
        <f>'[1]资源-钻石'!U497</f>
        <v>3159711.5508106025</v>
      </c>
      <c r="L497" s="17">
        <f>'[1]资源-钻石'!V497</f>
        <v>5681648.7058916623</v>
      </c>
      <c r="M497" s="17">
        <f>'[1]资源-钻石'!W497</f>
        <v>16169723.57648083</v>
      </c>
      <c r="N497" s="17">
        <f>'[1]资源-钻石'!X497</f>
        <v>39516848.43412891</v>
      </c>
    </row>
    <row r="498" spans="9:14" x14ac:dyDescent="0.15">
      <c r="I498" s="4">
        <v>495</v>
      </c>
      <c r="J498" s="17">
        <f>'[1]资源-钻石'!T498</f>
        <v>2119236.4241457097</v>
      </c>
      <c r="K498" s="17">
        <f>'[1]资源-钻石'!U498</f>
        <v>3165280.066560281</v>
      </c>
      <c r="L498" s="17">
        <f>'[1]资源-钻石'!V498</f>
        <v>5692226.0732163088</v>
      </c>
      <c r="M498" s="17">
        <f>'[1]资源-钻石'!W498</f>
        <v>16201378.680537941</v>
      </c>
      <c r="N498" s="17">
        <f>'[1]资源-钻石'!X498</f>
        <v>39595524.048591733</v>
      </c>
    </row>
    <row r="499" spans="9:14" x14ac:dyDescent="0.15">
      <c r="I499" s="4">
        <v>496</v>
      </c>
      <c r="J499" s="17">
        <f>'[1]资源-钻石'!T499</f>
        <v>2122771.4384635994</v>
      </c>
      <c r="K499" s="17">
        <f>'[1]资源-钻石'!U499</f>
        <v>3170848.5823099599</v>
      </c>
      <c r="L499" s="17">
        <f>'[1]资源-钻石'!V499</f>
        <v>5702803.4405409563</v>
      </c>
      <c r="M499" s="17">
        <f>'[1]资源-钻石'!W499</f>
        <v>16233033.784595052</v>
      </c>
      <c r="N499" s="17">
        <f>'[1]资源-钻石'!X499</f>
        <v>39674199.663054548</v>
      </c>
    </row>
    <row r="500" spans="9:14" x14ac:dyDescent="0.15">
      <c r="I500" s="1">
        <v>497</v>
      </c>
      <c r="J500" s="17">
        <f>'[1]资源-钻石'!T500</f>
        <v>2126306.4527814891</v>
      </c>
      <c r="K500" s="17">
        <f>'[1]资源-钻石'!U500</f>
        <v>3176417.0980596389</v>
      </c>
      <c r="L500" s="17">
        <f>'[1]资源-钻石'!V500</f>
        <v>5713380.8078656029</v>
      </c>
      <c r="M500" s="17">
        <f>'[1]资源-钻石'!W500</f>
        <v>16264688.888652163</v>
      </c>
      <c r="N500" s="17">
        <f>'[1]资源-钻石'!X500</f>
        <v>39752875.277517371</v>
      </c>
    </row>
    <row r="501" spans="9:14" x14ac:dyDescent="0.15">
      <c r="I501" s="4">
        <v>498</v>
      </c>
      <c r="J501" s="17">
        <f>'[1]资源-钻石'!T501</f>
        <v>2129841.4670993793</v>
      </c>
      <c r="K501" s="17">
        <f>'[1]资源-钻石'!U501</f>
        <v>3181985.6138093174</v>
      </c>
      <c r="L501" s="17">
        <f>'[1]资源-钻石'!V501</f>
        <v>5723958.1751902495</v>
      </c>
      <c r="M501" s="17">
        <f>'[1]资源-钻石'!W501</f>
        <v>16296343.992709275</v>
      </c>
      <c r="N501" s="17">
        <f>'[1]资源-钻石'!X501</f>
        <v>39831550.891980194</v>
      </c>
    </row>
    <row r="502" spans="9:14" x14ac:dyDescent="0.15">
      <c r="I502" s="4">
        <v>499</v>
      </c>
      <c r="J502" s="17">
        <f>'[1]资源-钻石'!T502</f>
        <v>2133376.481417269</v>
      </c>
      <c r="K502" s="17">
        <f>'[1]资源-钻石'!U502</f>
        <v>3187554.1295589963</v>
      </c>
      <c r="L502" s="17">
        <f>'[1]资源-钻石'!V502</f>
        <v>5734535.542514896</v>
      </c>
      <c r="M502" s="17">
        <f>'[1]资源-钻石'!W502</f>
        <v>16327999.096766386</v>
      </c>
      <c r="N502" s="17">
        <f>'[1]资源-钻石'!X502</f>
        <v>39910226.506443016</v>
      </c>
    </row>
    <row r="503" spans="9:14" x14ac:dyDescent="0.15">
      <c r="I503" s="4">
        <v>500</v>
      </c>
      <c r="J503" s="17">
        <f>'[1]资源-钻石'!T503</f>
        <v>2136911.4957351587</v>
      </c>
      <c r="K503" s="17">
        <f>'[1]资源-钻石'!U503</f>
        <v>3193122.6453086752</v>
      </c>
      <c r="L503" s="17">
        <f>'[1]资源-钻石'!V503</f>
        <v>5745112.9098395426</v>
      </c>
      <c r="M503" s="17">
        <f>'[1]资源-钻石'!W503</f>
        <v>16359654.200823497</v>
      </c>
      <c r="N503" s="17">
        <f>'[1]资源-钻石'!X503</f>
        <v>39988902.120905839</v>
      </c>
    </row>
  </sheetData>
  <mergeCells count="2">
    <mergeCell ref="B2:G2"/>
    <mergeCell ref="I2:N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Y238"/>
  <sheetViews>
    <sheetView tabSelected="1" workbookViewId="0">
      <pane ySplit="10" topLeftCell="A11" activePane="bottomLeft" state="frozen"/>
      <selection activeCell="K26" sqref="K26"/>
      <selection pane="bottomLeft" activeCell="X44" sqref="X44"/>
    </sheetView>
  </sheetViews>
  <sheetFormatPr defaultColWidth="6.625" defaultRowHeight="11.25" x14ac:dyDescent="0.15"/>
  <cols>
    <col min="1" max="10" width="6.625" style="82"/>
    <col min="11" max="43" width="6.625" style="82" customWidth="1"/>
    <col min="44" max="44" width="6.625" style="109" customWidth="1"/>
    <col min="45" max="51" width="6.625" style="82" customWidth="1"/>
    <col min="52" max="16384" width="6.625" style="82"/>
  </cols>
  <sheetData>
    <row r="1" spans="1:51" ht="13.5" customHeight="1" x14ac:dyDescent="0.15">
      <c r="B1" s="155"/>
      <c r="C1" s="155"/>
      <c r="D1" s="155"/>
      <c r="E1" s="155"/>
      <c r="F1" s="155"/>
      <c r="G1" s="155"/>
      <c r="N1" s="107"/>
      <c r="AR1" s="82"/>
    </row>
    <row r="2" spans="1:51" x14ac:dyDescent="0.15">
      <c r="B2" s="56"/>
      <c r="C2" s="56"/>
      <c r="D2" s="56"/>
      <c r="E2" s="56"/>
      <c r="F2" s="56"/>
      <c r="G2" s="56"/>
      <c r="AR2" s="82"/>
    </row>
    <row r="3" spans="1:51" x14ac:dyDescent="0.15">
      <c r="B3" s="56"/>
      <c r="C3" s="56"/>
      <c r="D3" s="56"/>
      <c r="E3" s="56"/>
      <c r="F3" s="56"/>
      <c r="G3" s="56"/>
      <c r="AR3" s="82"/>
    </row>
    <row r="4" spans="1:51" x14ac:dyDescent="0.15">
      <c r="B4" s="56"/>
      <c r="C4" s="56"/>
      <c r="D4" s="56"/>
      <c r="E4" s="56"/>
      <c r="F4" s="56"/>
      <c r="G4" s="56"/>
      <c r="I4" s="108"/>
      <c r="J4" s="108"/>
      <c r="K4" s="108"/>
      <c r="L4" s="108"/>
      <c r="M4" s="108"/>
      <c r="AR4" s="82"/>
    </row>
    <row r="5" spans="1:51" x14ac:dyDescent="0.15">
      <c r="AR5" s="82"/>
    </row>
    <row r="6" spans="1:51" x14ac:dyDescent="0.15">
      <c r="AR6" s="82"/>
    </row>
    <row r="7" spans="1:51" x14ac:dyDescent="0.15">
      <c r="AR7" s="82"/>
    </row>
    <row r="8" spans="1:51" x14ac:dyDescent="0.15">
      <c r="AR8" s="82"/>
    </row>
    <row r="9" spans="1:51" x14ac:dyDescent="0.15">
      <c r="AR9" s="82"/>
    </row>
    <row r="10" spans="1:51" s="109" customFormat="1" x14ac:dyDescent="0.15"/>
    <row r="11" spans="1:51" x14ac:dyDescent="0.15">
      <c r="B11" s="82" t="s">
        <v>230</v>
      </c>
    </row>
    <row r="14" spans="1:51" x14ac:dyDescent="0.15">
      <c r="A14" s="82">
        <v>1</v>
      </c>
      <c r="C14" s="155" t="s">
        <v>169</v>
      </c>
      <c r="D14" s="155"/>
      <c r="F14" s="155" t="s">
        <v>178</v>
      </c>
      <c r="G14" s="155"/>
      <c r="H14" s="155"/>
      <c r="I14" s="155"/>
      <c r="J14" s="155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155"/>
      <c r="V14" s="155"/>
      <c r="W14" s="155"/>
      <c r="X14" s="155"/>
      <c r="Y14" s="155"/>
      <c r="Z14" s="155"/>
      <c r="AA14" s="155"/>
      <c r="AB14" s="155"/>
      <c r="AC14" s="155"/>
      <c r="AD14" s="155"/>
      <c r="AE14" s="155"/>
      <c r="AF14" s="155"/>
      <c r="AG14" s="155"/>
      <c r="AH14" s="155"/>
      <c r="AI14" s="155"/>
      <c r="AJ14" s="155"/>
      <c r="AK14" s="155"/>
      <c r="AL14" s="155"/>
      <c r="AM14" s="155"/>
      <c r="AN14" s="155"/>
    </row>
    <row r="15" spans="1:51" x14ac:dyDescent="0.15">
      <c r="A15" s="82">
        <f t="shared" ref="A15:A102" si="0">A14+1</f>
        <v>2</v>
      </c>
      <c r="C15" s="155"/>
      <c r="D15" s="155"/>
      <c r="F15" s="155" t="s">
        <v>821</v>
      </c>
      <c r="G15" s="155"/>
      <c r="H15" s="155"/>
      <c r="I15" s="155"/>
      <c r="J15" s="155"/>
      <c r="K15" s="155" t="s">
        <v>150</v>
      </c>
      <c r="L15" s="155"/>
      <c r="M15" s="155"/>
      <c r="N15" s="155"/>
      <c r="O15" s="155"/>
      <c r="P15" s="155" t="s">
        <v>177</v>
      </c>
      <c r="Q15" s="155"/>
      <c r="R15" s="155"/>
      <c r="S15" s="155"/>
      <c r="T15" s="155"/>
      <c r="U15" s="155" t="s">
        <v>151</v>
      </c>
      <c r="V15" s="155"/>
      <c r="W15" s="155"/>
      <c r="X15" s="155"/>
      <c r="Y15" s="155"/>
      <c r="Z15" s="156" t="s">
        <v>379</v>
      </c>
      <c r="AA15" s="157"/>
      <c r="AB15" s="157"/>
      <c r="AC15" s="157"/>
      <c r="AD15" s="158"/>
      <c r="AE15" s="156" t="s">
        <v>811</v>
      </c>
      <c r="AF15" s="157"/>
      <c r="AG15" s="157"/>
      <c r="AH15" s="157"/>
      <c r="AI15" s="158"/>
      <c r="AJ15" s="155"/>
      <c r="AK15" s="155"/>
      <c r="AL15" s="155"/>
      <c r="AM15" s="155"/>
      <c r="AN15" s="155"/>
      <c r="AT15" s="156" t="s">
        <v>455</v>
      </c>
      <c r="AU15" s="157"/>
      <c r="AV15" s="157"/>
      <c r="AW15" s="157"/>
      <c r="AX15" s="157"/>
      <c r="AY15" s="158"/>
    </row>
    <row r="16" spans="1:51" x14ac:dyDescent="0.15">
      <c r="A16" s="82">
        <f t="shared" si="0"/>
        <v>3</v>
      </c>
      <c r="C16" s="56" t="s">
        <v>170</v>
      </c>
      <c r="D16" s="56" t="s">
        <v>484</v>
      </c>
      <c r="F16" s="56" t="s">
        <v>3</v>
      </c>
      <c r="G16" s="56" t="s">
        <v>1</v>
      </c>
      <c r="H16" s="56" t="s">
        <v>2</v>
      </c>
      <c r="I16" s="56" t="s">
        <v>0</v>
      </c>
      <c r="J16" s="56" t="s">
        <v>545</v>
      </c>
      <c r="K16" s="56" t="s">
        <v>3</v>
      </c>
      <c r="L16" s="56" t="s">
        <v>1</v>
      </c>
      <c r="M16" s="56" t="s">
        <v>2</v>
      </c>
      <c r="N16" s="56" t="s">
        <v>0</v>
      </c>
      <c r="O16" s="56" t="s">
        <v>545</v>
      </c>
      <c r="P16" s="56" t="s">
        <v>3</v>
      </c>
      <c r="Q16" s="56" t="s">
        <v>1</v>
      </c>
      <c r="R16" s="56" t="s">
        <v>2</v>
      </c>
      <c r="S16" s="56" t="s">
        <v>0</v>
      </c>
      <c r="T16" s="56" t="s">
        <v>545</v>
      </c>
      <c r="U16" s="56" t="s">
        <v>3</v>
      </c>
      <c r="V16" s="56" t="s">
        <v>1</v>
      </c>
      <c r="W16" s="56" t="s">
        <v>2</v>
      </c>
      <c r="X16" s="56" t="s">
        <v>0</v>
      </c>
      <c r="Y16" s="56" t="s">
        <v>545</v>
      </c>
      <c r="Z16" s="56" t="s">
        <v>3</v>
      </c>
      <c r="AA16" s="56" t="s">
        <v>1</v>
      </c>
      <c r="AB16" s="56" t="s">
        <v>2</v>
      </c>
      <c r="AC16" s="56" t="s">
        <v>0</v>
      </c>
      <c r="AD16" s="56" t="s">
        <v>545</v>
      </c>
      <c r="AE16" s="56" t="s">
        <v>3</v>
      </c>
      <c r="AF16" s="56" t="s">
        <v>1</v>
      </c>
      <c r="AG16" s="56" t="s">
        <v>2</v>
      </c>
      <c r="AH16" s="56" t="s">
        <v>0</v>
      </c>
      <c r="AI16" s="56" t="s">
        <v>545</v>
      </c>
      <c r="AJ16" s="56"/>
      <c r="AK16" s="56"/>
      <c r="AL16" s="56"/>
      <c r="AM16" s="56"/>
      <c r="AN16" s="56"/>
      <c r="AT16" s="56" t="s">
        <v>478</v>
      </c>
      <c r="AU16" s="56" t="s">
        <v>3</v>
      </c>
      <c r="AV16" s="56" t="s">
        <v>1</v>
      </c>
      <c r="AW16" s="56" t="s">
        <v>2</v>
      </c>
      <c r="AX16" s="56" t="s">
        <v>0</v>
      </c>
      <c r="AY16" s="56" t="s">
        <v>545</v>
      </c>
    </row>
    <row r="17" spans="1:51" x14ac:dyDescent="0.15">
      <c r="A17" s="82">
        <f t="shared" si="0"/>
        <v>4</v>
      </c>
      <c r="C17" s="56">
        <v>1</v>
      </c>
      <c r="D17" s="56">
        <f>求节点(节奏总纲!$P$4:$P$163,节奏总纲!$O$4:$O$163,$C17)</f>
        <v>10</v>
      </c>
      <c r="F17" s="56"/>
      <c r="G17" s="56"/>
      <c r="H17" s="56">
        <v>2</v>
      </c>
      <c r="I17" s="56">
        <v>4</v>
      </c>
      <c r="J17" s="56"/>
      <c r="K17" s="56"/>
      <c r="L17" s="56"/>
      <c r="M17" s="56">
        <f>MIN(求节点(武将升星!F$104:F$112,武将升星!$C$104:$C$112,武将数量星级阶位验证!BK7/武将数量星级阶位验证!C$6),武将升星!F$14)</f>
        <v>0.43623534953916132</v>
      </c>
      <c r="N17" s="110">
        <f>求节点(武将升星!G$104:G$112,武将升星!$C$104:$C$112,(武将数量星级阶位验证!BL7-武将数量星级阶位验证!BN7)/武将数量星级阶位验证!D$6+武将数量星级阶位验证!BN7/MAX(I$17:I17))</f>
        <v>0</v>
      </c>
      <c r="O17" s="56"/>
      <c r="P17" s="110" t="str">
        <f>IF(F17="","",0)</f>
        <v/>
      </c>
      <c r="Q17" s="110" t="str">
        <f>IF(G17="","",0)</f>
        <v/>
      </c>
      <c r="R17" s="56">
        <f>IFERROR(MAX(0,求节点(武将进阶!F$4:F$8,武将进阶!$C$5:$C$9,W17)),"")</f>
        <v>0.4</v>
      </c>
      <c r="S17" s="56">
        <f>IFERROR(MAX(0,求节点(武将进阶!G$4:G$8,武将进阶!$C$5:$C$9,X17)),"")</f>
        <v>0.4</v>
      </c>
      <c r="T17" s="56" t="str">
        <f>IFERROR(MAX(0,求节点(武将进阶!H$4:H$8,武将进阶!$C$5:$C$9,Y17)),"")</f>
        <v/>
      </c>
      <c r="U17" s="56" t="str">
        <f>IF(F17="","",MIN($D17*2,武将进阶!D$10))</f>
        <v/>
      </c>
      <c r="V17" s="56" t="str">
        <f>IF(G17="","",MIN($D17*2,武将进阶!E$10))</f>
        <v/>
      </c>
      <c r="W17" s="56">
        <f>IF(H17="","",MIN($D17*2,武将进阶!F$10))</f>
        <v>20</v>
      </c>
      <c r="X17" s="56">
        <f>IF(I17="","",MIN($D17*2,武将进阶!G$10))</f>
        <v>20</v>
      </c>
      <c r="Y17" s="56" t="str">
        <f>IF(J17="","",MIN($D17*2,武将进阶!H$10))</f>
        <v/>
      </c>
      <c r="Z17" s="111"/>
      <c r="AA17" s="111"/>
      <c r="AB17" s="111">
        <f t="shared" ref="AB17:AB42" si="1">IF(H17="","",求节点($AT$17:$AT$55,AW$17:AW$55,$D17))</f>
        <v>0</v>
      </c>
      <c r="AC17" s="111">
        <f t="shared" ref="AC17:AD17" si="2">IF(I17="","",求节点($AT$17:$AT$55,AX$17:AX$55,$D17))</f>
        <v>0</v>
      </c>
      <c r="AD17" s="111" t="str">
        <f t="shared" si="2"/>
        <v/>
      </c>
      <c r="AE17" s="56"/>
      <c r="AF17" s="56"/>
      <c r="AG17" s="56"/>
      <c r="AH17" s="56"/>
      <c r="AI17" s="112">
        <f>MIN(求节点(武将天赋进度验证!$Q$5:$Q$164,武将天赋进度验证!$W$5:$W$164,$D17),武将天赋进度验证!AL7)</f>
        <v>0</v>
      </c>
      <c r="AJ17" s="112"/>
      <c r="AK17" s="112"/>
      <c r="AL17" s="56"/>
      <c r="AM17" s="56"/>
      <c r="AN17" s="56"/>
      <c r="AT17" s="56">
        <v>10</v>
      </c>
      <c r="AU17" s="56"/>
      <c r="AV17" s="56"/>
      <c r="AW17" s="56">
        <v>0</v>
      </c>
      <c r="AX17" s="56">
        <v>0</v>
      </c>
      <c r="AY17" s="56">
        <v>0</v>
      </c>
    </row>
    <row r="18" spans="1:51" x14ac:dyDescent="0.15">
      <c r="A18" s="82">
        <f t="shared" si="0"/>
        <v>5</v>
      </c>
      <c r="B18" s="82">
        <f>C18-C17</f>
        <v>2</v>
      </c>
      <c r="C18" s="56">
        <v>3</v>
      </c>
      <c r="D18" s="56">
        <f>求节点(节奏总纲!$P$4:$P$163,节奏总纲!$O$4:$O$163,$C18)</f>
        <v>20</v>
      </c>
      <c r="F18" s="56"/>
      <c r="G18" s="56"/>
      <c r="H18" s="56"/>
      <c r="I18" s="56">
        <v>6</v>
      </c>
      <c r="J18" s="56"/>
      <c r="K18" s="56"/>
      <c r="L18" s="56"/>
      <c r="M18" s="56"/>
      <c r="N18" s="110">
        <f>求节点(武将升星!G$104:G$112,武将升星!$C$104:$C$112,(武将数量星级阶位验证!BL8-武将数量星级阶位验证!BN8)/武将数量星级阶位验证!D$6+武将数量星级阶位验证!BN8/MAX(I$17:I18))</f>
        <v>0</v>
      </c>
      <c r="O18" s="56"/>
      <c r="P18" s="110" t="str">
        <f t="shared" ref="P18:P32" si="3">IF(F18="","",0)</f>
        <v/>
      </c>
      <c r="Q18" s="110" t="str">
        <f t="shared" ref="Q18:Q32" si="4">IF(G18="","",0)</f>
        <v/>
      </c>
      <c r="R18" s="56" t="str">
        <f>IFERROR(MAX(0,求节点(武将进阶!F$4:F$8,武将进阶!$C$5:$C$9,W18)),"")</f>
        <v/>
      </c>
      <c r="S18" s="56">
        <f>IFERROR(MAX(0,求节点(武将进阶!G$4:G$8,武将进阶!$C$5:$C$9,X18)),"")</f>
        <v>0.8</v>
      </c>
      <c r="T18" s="56" t="str">
        <f>IFERROR(MAX(0,求节点(武将进阶!H$4:H$8,武将进阶!$C$5:$C$9,Y18)),"")</f>
        <v/>
      </c>
      <c r="U18" s="56" t="str">
        <f>IF(F18="","",MIN($D18*2,武将进阶!D$10))</f>
        <v/>
      </c>
      <c r="V18" s="56" t="str">
        <f>IF(G18="","",MIN($D18*2,武将进阶!E$10))</f>
        <v/>
      </c>
      <c r="W18" s="56" t="str">
        <f>IF(H18="","",MIN($D18*2,武将进阶!F$10))</f>
        <v/>
      </c>
      <c r="X18" s="56">
        <f>IF(I18="","",MIN($D18*2,武将进阶!G$10))</f>
        <v>40</v>
      </c>
      <c r="Y18" s="56" t="str">
        <f>IF(J18="","",MIN($D18*2,武将进阶!H$10))</f>
        <v/>
      </c>
      <c r="Z18" s="111"/>
      <c r="AA18" s="111"/>
      <c r="AB18" s="111" t="str">
        <f t="shared" si="1"/>
        <v/>
      </c>
      <c r="AC18" s="111">
        <f t="shared" ref="AC18:AC42" si="5">IF(I18="","",求节点($AT$17:$AT$55,AX$17:AX$55,$D18))</f>
        <v>1</v>
      </c>
      <c r="AD18" s="111" t="str">
        <f t="shared" ref="AD18:AD42" si="6">IF(J18="","",求节点($AT$17:$AT$55,AY$17:AY$55,$D18))</f>
        <v/>
      </c>
      <c r="AE18" s="56"/>
      <c r="AF18" s="56"/>
      <c r="AG18" s="56"/>
      <c r="AH18" s="56"/>
      <c r="AI18" s="112">
        <f>MIN(求节点(武将天赋进度验证!$Q$5:$Q$164,武将天赋进度验证!$W$5:$W$164,$D18),武将天赋进度验证!AL8)</f>
        <v>0</v>
      </c>
      <c r="AJ18" s="112"/>
      <c r="AK18" s="112"/>
      <c r="AL18" s="56"/>
      <c r="AM18" s="56"/>
      <c r="AN18" s="56"/>
      <c r="AT18" s="56">
        <v>12</v>
      </c>
      <c r="AU18" s="56"/>
      <c r="AV18" s="56"/>
      <c r="AW18" s="56">
        <v>0.3</v>
      </c>
      <c r="AX18" s="56">
        <v>0.3</v>
      </c>
      <c r="AY18" s="56">
        <v>0.3</v>
      </c>
    </row>
    <row r="19" spans="1:51" x14ac:dyDescent="0.15">
      <c r="A19" s="82">
        <f t="shared" si="0"/>
        <v>6</v>
      </c>
      <c r="B19" s="82">
        <f t="shared" ref="B19:B55" si="7">C19-C18</f>
        <v>3</v>
      </c>
      <c r="C19" s="56">
        <v>6</v>
      </c>
      <c r="D19" s="56">
        <f>求节点(节奏总纲!$P$4:$P$163,节奏总纲!$O$4:$O$163,$C19)</f>
        <v>28.071211008105138</v>
      </c>
      <c r="F19" s="56"/>
      <c r="G19" s="56"/>
      <c r="H19" s="56"/>
      <c r="I19" s="56">
        <v>6</v>
      </c>
      <c r="J19" s="56"/>
      <c r="K19" s="56"/>
      <c r="L19" s="56"/>
      <c r="M19" s="56"/>
      <c r="N19" s="110">
        <f>求节点(武将升星!G$104:G$112,武将升星!$C$104:$C$112,(武将数量星级阶位验证!BL9-武将数量星级阶位验证!BN9)/武将数量星级阶位验证!D$6+武将数量星级阶位验证!BN9/MAX(I$17:I19))</f>
        <v>4.7051052032425655E-2</v>
      </c>
      <c r="O19" s="56"/>
      <c r="P19" s="110" t="str">
        <f t="shared" si="3"/>
        <v/>
      </c>
      <c r="Q19" s="110" t="str">
        <f t="shared" si="4"/>
        <v/>
      </c>
      <c r="R19" s="56" t="str">
        <f>IFERROR(MAX(0,求节点(武将进阶!F$4:F$8,武将进阶!$C$5:$C$9,W19)),"")</f>
        <v/>
      </c>
      <c r="S19" s="56">
        <f>IFERROR(MAX(0,求节点(武将进阶!G$4:G$8,武将进阶!$C$5:$C$9,X19)),"")</f>
        <v>1.1228484403242056</v>
      </c>
      <c r="T19" s="56" t="str">
        <f>IFERROR(MAX(0,求节点(武将进阶!H$4:H$8,武将进阶!$C$5:$C$9,Y19)),"")</f>
        <v/>
      </c>
      <c r="U19" s="56" t="str">
        <f>IF(F19="","",MIN($D19*2,武将进阶!D$10))</f>
        <v/>
      </c>
      <c r="V19" s="56" t="str">
        <f>IF(G19="","",MIN($D19*2,武将进阶!E$10))</f>
        <v/>
      </c>
      <c r="W19" s="56" t="str">
        <f>IF(H19="","",MIN($D19*2,武将进阶!F$10))</f>
        <v/>
      </c>
      <c r="X19" s="56">
        <f>IF(I19="","",MIN($D19*2,武将进阶!G$10))</f>
        <v>56.142422016210276</v>
      </c>
      <c r="Y19" s="56" t="str">
        <f>IF(J19="","",MIN($D19*2,武将进阶!H$10))</f>
        <v/>
      </c>
      <c r="Z19" s="111"/>
      <c r="AA19" s="111"/>
      <c r="AB19" s="111" t="str">
        <f t="shared" si="1"/>
        <v/>
      </c>
      <c r="AC19" s="111">
        <f t="shared" si="5"/>
        <v>1</v>
      </c>
      <c r="AD19" s="111" t="str">
        <f t="shared" si="6"/>
        <v/>
      </c>
      <c r="AE19" s="56"/>
      <c r="AF19" s="56"/>
      <c r="AG19" s="56"/>
      <c r="AH19" s="56"/>
      <c r="AI19" s="112">
        <f>MIN(求节点(武将天赋进度验证!$Q$5:$Q$164,武将天赋进度验证!$W$5:$W$164,$D19),武将天赋进度验证!AL9)</f>
        <v>0</v>
      </c>
      <c r="AJ19" s="112"/>
      <c r="AK19" s="112"/>
      <c r="AL19" s="56"/>
      <c r="AM19" s="56"/>
      <c r="AN19" s="56"/>
      <c r="AT19" s="56">
        <v>15</v>
      </c>
      <c r="AU19" s="56"/>
      <c r="AV19" s="56"/>
      <c r="AW19" s="56">
        <v>0.65</v>
      </c>
      <c r="AX19" s="56">
        <v>0.65</v>
      </c>
      <c r="AY19" s="56">
        <v>0.65</v>
      </c>
    </row>
    <row r="20" spans="1:51" x14ac:dyDescent="0.15">
      <c r="A20" s="82">
        <f t="shared" si="0"/>
        <v>7</v>
      </c>
      <c r="B20" s="82">
        <f t="shared" si="7"/>
        <v>4</v>
      </c>
      <c r="C20" s="56">
        <v>10</v>
      </c>
      <c r="D20" s="56">
        <f>求节点(节奏总纲!$P$4:$P$163,节奏总纲!$O$4:$O$163,$C20)</f>
        <v>34.585942742481357</v>
      </c>
      <c r="F20" s="56"/>
      <c r="G20" s="56"/>
      <c r="H20" s="56"/>
      <c r="I20" s="56">
        <v>6</v>
      </c>
      <c r="J20" s="56"/>
      <c r="K20" s="56"/>
      <c r="L20" s="56"/>
      <c r="M20" s="56"/>
      <c r="N20" s="110">
        <f>求节点(武将升星!G$104:G$112,武将升星!$C$104:$C$112,(武将数量星级阶位验证!BL10-武将数量星级阶位验证!BN10)/武将数量星级阶位验证!D$6+武将数量星级阶位验证!BN10/MAX(I$17:I20))</f>
        <v>0.43978496380562193</v>
      </c>
      <c r="O20" s="56"/>
      <c r="P20" s="110" t="str">
        <f t="shared" si="3"/>
        <v/>
      </c>
      <c r="Q20" s="110" t="str">
        <f t="shared" si="4"/>
        <v/>
      </c>
      <c r="R20" s="56" t="str">
        <f>IFERROR(MAX(0,求节点(武将进阶!F$4:F$8,武将进阶!$C$5:$C$9,W20)),"")</f>
        <v/>
      </c>
      <c r="S20" s="56">
        <f>IFERROR(MAX(0,求节点(武将进阶!G$4:G$8,武将进阶!$C$5:$C$9,X20)),"")</f>
        <v>1.3834377096992543</v>
      </c>
      <c r="T20" s="56" t="str">
        <f>IFERROR(MAX(0,求节点(武将进阶!H$4:H$8,武将进阶!$C$5:$C$9,Y20)),"")</f>
        <v/>
      </c>
      <c r="U20" s="56" t="str">
        <f>IF(F20="","",MIN($D20*2,武将进阶!D$10))</f>
        <v/>
      </c>
      <c r="V20" s="56" t="str">
        <f>IF(G20="","",MIN($D20*2,武将进阶!E$10))</f>
        <v/>
      </c>
      <c r="W20" s="56" t="str">
        <f>IF(H20="","",MIN($D20*2,武将进阶!F$10))</f>
        <v/>
      </c>
      <c r="X20" s="56">
        <f>IF(I20="","",MIN($D20*2,武将进阶!G$10))</f>
        <v>69.171885484962715</v>
      </c>
      <c r="Y20" s="56" t="str">
        <f>IF(J20="","",MIN($D20*2,武将进阶!H$10))</f>
        <v/>
      </c>
      <c r="Z20" s="111"/>
      <c r="AA20" s="111"/>
      <c r="AB20" s="111" t="str">
        <f t="shared" si="1"/>
        <v/>
      </c>
      <c r="AC20" s="111">
        <f t="shared" si="5"/>
        <v>1.2643237904135596</v>
      </c>
      <c r="AD20" s="111" t="str">
        <f t="shared" si="6"/>
        <v/>
      </c>
      <c r="AE20" s="56"/>
      <c r="AF20" s="56"/>
      <c r="AG20" s="56"/>
      <c r="AH20" s="56"/>
      <c r="AI20" s="112">
        <f>MIN(求节点(武将天赋进度验证!$Q$5:$Q$164,武将天赋进度验证!$W$5:$W$164,$D20),武将天赋进度验证!AL10)</f>
        <v>0</v>
      </c>
      <c r="AJ20" s="112"/>
      <c r="AK20" s="112"/>
      <c r="AL20" s="56"/>
      <c r="AM20" s="56"/>
      <c r="AN20" s="56"/>
      <c r="AT20" s="56">
        <v>18</v>
      </c>
      <c r="AU20" s="56"/>
      <c r="AV20" s="56"/>
      <c r="AW20" s="56">
        <v>1</v>
      </c>
      <c r="AX20" s="56">
        <v>1</v>
      </c>
      <c r="AY20" s="56">
        <v>1</v>
      </c>
    </row>
    <row r="21" spans="1:51" x14ac:dyDescent="0.15">
      <c r="A21" s="82">
        <f t="shared" si="0"/>
        <v>8</v>
      </c>
      <c r="B21" s="82">
        <f t="shared" si="7"/>
        <v>5</v>
      </c>
      <c r="C21" s="56">
        <v>15</v>
      </c>
      <c r="D21" s="56">
        <f>求节点(节奏总纲!$P$4:$P$163,节奏总纲!$O$4:$O$163,$C21)</f>
        <v>40</v>
      </c>
      <c r="F21" s="56"/>
      <c r="G21" s="56"/>
      <c r="H21" s="56"/>
      <c r="I21" s="56">
        <v>6</v>
      </c>
      <c r="J21" s="56"/>
      <c r="K21" s="56"/>
      <c r="L21" s="56"/>
      <c r="M21" s="56"/>
      <c r="N21" s="110">
        <f>求节点(武将升星!G$104:G$112,武将升星!$C$104:$C$112,(武将数量星级阶位验证!BL11-武将数量星级阶位验证!BN11)/武将数量星级阶位验证!D$6+武将数量星级阶位验证!BN11/MAX(I$17:I21))</f>
        <v>0.85513377689191272</v>
      </c>
      <c r="O21" s="56"/>
      <c r="P21" s="110" t="str">
        <f t="shared" si="3"/>
        <v/>
      </c>
      <c r="Q21" s="110" t="str">
        <f t="shared" si="4"/>
        <v/>
      </c>
      <c r="R21" s="56" t="str">
        <f>IFERROR(MAX(0,求节点(武将进阶!F$4:F$8,武将进阶!$C$5:$C$9,W21)),"")</f>
        <v/>
      </c>
      <c r="S21" s="56">
        <f>IFERROR(MAX(0,求节点(武将进阶!G$4:G$8,武将进阶!$C$5:$C$9,X21)),"")</f>
        <v>1.6</v>
      </c>
      <c r="T21" s="56" t="str">
        <f>IFERROR(MAX(0,求节点(武将进阶!H$4:H$8,武将进阶!$C$5:$C$9,Y21)),"")</f>
        <v/>
      </c>
      <c r="U21" s="56" t="str">
        <f>IF(F21="","",MIN($D21*2,武将进阶!D$10))</f>
        <v/>
      </c>
      <c r="V21" s="56" t="str">
        <f>IF(G21="","",MIN($D21*2,武将进阶!E$10))</f>
        <v/>
      </c>
      <c r="W21" s="56" t="str">
        <f>IF(H21="","",MIN($D21*2,武将进阶!F$10))</f>
        <v/>
      </c>
      <c r="X21" s="56">
        <f>IF(I21="","",MIN($D21*2,武将进阶!G$10))</f>
        <v>80</v>
      </c>
      <c r="Y21" s="56" t="str">
        <f>IF(J21="","",MIN($D21*2,武将进阶!H$10))</f>
        <v/>
      </c>
      <c r="Z21" s="111"/>
      <c r="AA21" s="111"/>
      <c r="AB21" s="111" t="str">
        <f t="shared" si="1"/>
        <v/>
      </c>
      <c r="AC21" s="111">
        <f t="shared" si="5"/>
        <v>2</v>
      </c>
      <c r="AD21" s="111" t="str">
        <f t="shared" si="6"/>
        <v/>
      </c>
      <c r="AE21" s="56"/>
      <c r="AF21" s="56"/>
      <c r="AG21" s="56"/>
      <c r="AH21" s="56"/>
      <c r="AI21" s="112">
        <f>MIN(求节点(武将天赋进度验证!$Q$5:$Q$164,武将天赋进度验证!$W$5:$W$164,$D21),武将天赋进度验证!AL11)</f>
        <v>0</v>
      </c>
      <c r="AJ21" s="112"/>
      <c r="AK21" s="112"/>
      <c r="AL21" s="56"/>
      <c r="AM21" s="56"/>
      <c r="AN21" s="56"/>
      <c r="AT21" s="56">
        <v>21</v>
      </c>
      <c r="AU21" s="56"/>
      <c r="AV21" s="56"/>
      <c r="AW21" s="56">
        <v>1</v>
      </c>
      <c r="AX21" s="56">
        <v>1</v>
      </c>
      <c r="AY21" s="56">
        <v>1</v>
      </c>
    </row>
    <row r="22" spans="1:51" x14ac:dyDescent="0.15">
      <c r="A22" s="82">
        <f t="shared" si="0"/>
        <v>9</v>
      </c>
      <c r="B22" s="82">
        <f t="shared" si="7"/>
        <v>5</v>
      </c>
      <c r="C22" s="56">
        <v>20</v>
      </c>
      <c r="D22" s="56">
        <f>求节点(节奏总纲!$P$4:$P$163,节奏总纲!$O$4:$O$163,$C22)</f>
        <v>43.920692243099523</v>
      </c>
      <c r="F22" s="56"/>
      <c r="G22" s="56"/>
      <c r="H22" s="56"/>
      <c r="I22" s="56">
        <v>6</v>
      </c>
      <c r="J22" s="56"/>
      <c r="K22" s="56"/>
      <c r="L22" s="56"/>
      <c r="M22" s="56"/>
      <c r="N22" s="110">
        <f>求节点(武将升星!G$104:G$112,武将升星!$C$104:$C$112,(武将数量星级阶位验证!BL12-武将数量星级阶位验证!BN12)/武将数量星级阶位验证!D$6+武将数量星级阶位验证!BN12/MAX(I$17:I22))</f>
        <v>1.2620106040520085</v>
      </c>
      <c r="O22" s="56"/>
      <c r="P22" s="110" t="str">
        <f t="shared" si="3"/>
        <v/>
      </c>
      <c r="Q22" s="110" t="str">
        <f t="shared" si="4"/>
        <v/>
      </c>
      <c r="R22" s="56" t="str">
        <f>IFERROR(MAX(0,求节点(武将进阶!F$4:F$8,武将进阶!$C$5:$C$9,W22)),"")</f>
        <v/>
      </c>
      <c r="S22" s="56">
        <f>IFERROR(MAX(0,求节点(武将进阶!G$4:G$8,武将进阶!$C$5:$C$9,X22)),"")</f>
        <v>1.756827689723981</v>
      </c>
      <c r="T22" s="56" t="str">
        <f>IFERROR(MAX(0,求节点(武将进阶!H$4:H$8,武将进阶!$C$5:$C$9,Y22)),"")</f>
        <v/>
      </c>
      <c r="U22" s="56" t="str">
        <f>IF(F22="","",MIN($D22*2,武将进阶!D$10))</f>
        <v/>
      </c>
      <c r="V22" s="56" t="str">
        <f>IF(G22="","",MIN($D22*2,武将进阶!E$10))</f>
        <v/>
      </c>
      <c r="W22" s="56" t="str">
        <f>IF(H22="","",MIN($D22*2,武将进阶!F$10))</f>
        <v/>
      </c>
      <c r="X22" s="56">
        <f>IF(I22="","",MIN($D22*2,武将进阶!G$10))</f>
        <v>87.841384486199047</v>
      </c>
      <c r="Y22" s="56" t="str">
        <f>IF(J22="","",MIN($D22*2,武将进阶!H$10))</f>
        <v/>
      </c>
      <c r="Z22" s="111"/>
      <c r="AA22" s="111"/>
      <c r="AB22" s="111" t="str">
        <f t="shared" si="1"/>
        <v/>
      </c>
      <c r="AC22" s="111">
        <f t="shared" si="5"/>
        <v>2</v>
      </c>
      <c r="AD22" s="111" t="str">
        <f t="shared" si="6"/>
        <v/>
      </c>
      <c r="AE22" s="56"/>
      <c r="AF22" s="56"/>
      <c r="AG22" s="56"/>
      <c r="AH22" s="56"/>
      <c r="AI22" s="112">
        <f>MIN(求节点(武将天赋进度验证!$Q$5:$Q$164,武将天赋进度验证!$W$5:$W$164,$D22),武将天赋进度验证!AL12)</f>
        <v>0</v>
      </c>
      <c r="AJ22" s="112"/>
      <c r="AK22" s="112"/>
      <c r="AL22" s="56"/>
      <c r="AM22" s="56"/>
      <c r="AN22" s="56"/>
      <c r="AT22" s="56">
        <v>24</v>
      </c>
      <c r="AU22" s="56"/>
      <c r="AV22" s="56"/>
      <c r="AW22" s="56">
        <v>1</v>
      </c>
      <c r="AX22" s="56">
        <v>1</v>
      </c>
      <c r="AY22" s="56">
        <v>1</v>
      </c>
    </row>
    <row r="23" spans="1:51" x14ac:dyDescent="0.15">
      <c r="A23" s="82">
        <f t="shared" si="0"/>
        <v>10</v>
      </c>
      <c r="B23" s="82">
        <f t="shared" si="7"/>
        <v>10</v>
      </c>
      <c r="C23" s="56">
        <v>30</v>
      </c>
      <c r="D23" s="56">
        <f>求节点(节奏总纲!$P$4:$P$163,节奏总纲!$O$4:$O$163,$C23)</f>
        <v>49.533352307096472</v>
      </c>
      <c r="F23" s="56"/>
      <c r="G23" s="56"/>
      <c r="H23" s="56"/>
      <c r="I23" s="56">
        <v>6</v>
      </c>
      <c r="J23" s="56"/>
      <c r="K23" s="56"/>
      <c r="L23" s="56"/>
      <c r="M23" s="56"/>
      <c r="N23" s="110">
        <f>求节点(武将升星!G$104:G$112,武将升星!$C$104:$C$112,(武将数量星级阶位验证!BL13-武将数量星级阶位验证!BN13)/武将数量星级阶位验证!D$6+武将数量星级阶位验证!BN13/MAX(I$17:I23))</f>
        <v>1.9889010593801029</v>
      </c>
      <c r="O23" s="56"/>
      <c r="P23" s="110" t="str">
        <f t="shared" si="3"/>
        <v/>
      </c>
      <c r="Q23" s="110" t="str">
        <f t="shared" si="4"/>
        <v/>
      </c>
      <c r="R23" s="56" t="str">
        <f>IFERROR(MAX(0,求节点(武将进阶!F$4:F$8,武将进阶!$C$5:$C$9,W23)),"")</f>
        <v/>
      </c>
      <c r="S23" s="56">
        <f>IFERROR(MAX(0,求节点(武将进阶!G$4:G$8,武将进阶!$C$5:$C$9,X23)),"")</f>
        <v>1.9813340922838589</v>
      </c>
      <c r="T23" s="56" t="str">
        <f>IFERROR(MAX(0,求节点(武将进阶!H$4:H$8,武将进阶!$C$5:$C$9,Y23)),"")</f>
        <v/>
      </c>
      <c r="U23" s="56" t="str">
        <f>IF(F23="","",MIN($D23*2,武将进阶!D$10))</f>
        <v/>
      </c>
      <c r="V23" s="56" t="str">
        <f>IF(G23="","",MIN($D23*2,武将进阶!E$10))</f>
        <v/>
      </c>
      <c r="W23" s="56" t="str">
        <f>IF(H23="","",MIN($D23*2,武将进阶!F$10))</f>
        <v/>
      </c>
      <c r="X23" s="56">
        <f>IF(I23="","",MIN($D23*2,武将进阶!G$10))</f>
        <v>99.066704614192943</v>
      </c>
      <c r="Y23" s="56" t="str">
        <f>IF(J23="","",MIN($D23*2,武将进阶!H$10))</f>
        <v/>
      </c>
      <c r="Z23" s="111"/>
      <c r="AA23" s="111"/>
      <c r="AB23" s="111" t="str">
        <f t="shared" si="1"/>
        <v/>
      </c>
      <c r="AC23" s="111">
        <f t="shared" si="5"/>
        <v>2</v>
      </c>
      <c r="AD23" s="111" t="str">
        <f t="shared" si="6"/>
        <v/>
      </c>
      <c r="AE23" s="56"/>
      <c r="AF23" s="56"/>
      <c r="AG23" s="56"/>
      <c r="AH23" s="56"/>
      <c r="AI23" s="112">
        <f>MIN(求节点(武将天赋进度验证!$Q$5:$Q$164,武将天赋进度验证!$W$5:$W$164,$D23),武将天赋进度验证!AL13)</f>
        <v>0</v>
      </c>
      <c r="AJ23" s="112"/>
      <c r="AK23" s="112"/>
      <c r="AL23" s="56"/>
      <c r="AM23" s="56"/>
      <c r="AN23" s="56"/>
      <c r="AT23" s="56">
        <v>33</v>
      </c>
      <c r="AU23" s="56"/>
      <c r="AV23" s="56"/>
      <c r="AW23" s="56">
        <v>1</v>
      </c>
      <c r="AX23" s="56">
        <v>1</v>
      </c>
      <c r="AY23" s="56">
        <v>1</v>
      </c>
    </row>
    <row r="24" spans="1:51" x14ac:dyDescent="0.15">
      <c r="A24" s="82">
        <f t="shared" si="0"/>
        <v>11</v>
      </c>
      <c r="B24" s="82">
        <f t="shared" si="7"/>
        <v>10</v>
      </c>
      <c r="C24" s="56">
        <v>40</v>
      </c>
      <c r="D24" s="56">
        <f>求节点(节奏总纲!$P$4:$P$163,节奏总纲!$O$4:$O$163,$C24)</f>
        <v>53.567039423670657</v>
      </c>
      <c r="F24" s="56"/>
      <c r="G24" s="56"/>
      <c r="H24" s="56"/>
      <c r="I24" s="56">
        <v>5</v>
      </c>
      <c r="J24" s="56">
        <v>1</v>
      </c>
      <c r="K24" s="56"/>
      <c r="L24" s="56"/>
      <c r="M24" s="56"/>
      <c r="N24" s="110">
        <f>求节点(武将升星!G$104:G$112,武将升星!$C$104:$C$112,(武将数量星级阶位验证!BL14-武将数量星级阶位验证!BN14)/武将数量星级阶位验证!D$6+武将数量星级阶位验证!BN14/MAX(I$17:I24))</f>
        <v>2.6685296853863125</v>
      </c>
      <c r="O24" s="56">
        <f>求节点(武将升星!H$104:H$112,武将升星!$C$104:$C$112,武将数量星级阶位验证!BM14/J24)</f>
        <v>0</v>
      </c>
      <c r="P24" s="110" t="str">
        <f t="shared" si="3"/>
        <v/>
      </c>
      <c r="Q24" s="110" t="str">
        <f t="shared" si="4"/>
        <v/>
      </c>
      <c r="R24" s="56" t="str">
        <f>IFERROR(MAX(0,求节点(武将进阶!F$4:F$8,武将进阶!$C$5:$C$9,W24)),"")</f>
        <v/>
      </c>
      <c r="S24" s="56">
        <f>IFERROR(MAX(0,求节点(武将进阶!G$4:G$8,武将进阶!$C$5:$C$9,X24)),"")</f>
        <v>2.1426815769468264</v>
      </c>
      <c r="T24" s="56">
        <f>IFERROR(MAX(0,求节点(武将进阶!H$4:H$8,武将进阶!$C$5:$C$9,Y24)),"")</f>
        <v>2.1426815769468264</v>
      </c>
      <c r="U24" s="56" t="str">
        <f>IF(F24="","",MIN($D24*2,武将进阶!D$10))</f>
        <v/>
      </c>
      <c r="V24" s="56" t="str">
        <f>IF(G24="","",MIN($D24*2,武将进阶!E$10))</f>
        <v/>
      </c>
      <c r="W24" s="56" t="str">
        <f>IF(H24="","",MIN($D24*2,武将进阶!F$10))</f>
        <v/>
      </c>
      <c r="X24" s="56">
        <f>IF(I24="","",MIN($D24*2,武将进阶!G$10))</f>
        <v>107.13407884734131</v>
      </c>
      <c r="Y24" s="56">
        <f>IF(J24="","",MIN($D24*2,武将进阶!H$10))</f>
        <v>107.13407884734131</v>
      </c>
      <c r="Z24" s="111"/>
      <c r="AA24" s="111"/>
      <c r="AB24" s="111" t="str">
        <f t="shared" si="1"/>
        <v/>
      </c>
      <c r="AC24" s="111">
        <f t="shared" si="5"/>
        <v>2</v>
      </c>
      <c r="AD24" s="111">
        <f t="shared" si="6"/>
        <v>2</v>
      </c>
      <c r="AE24" s="56"/>
      <c r="AF24" s="56"/>
      <c r="AG24" s="56"/>
      <c r="AH24" s="56"/>
      <c r="AI24" s="112">
        <f>MIN(求节点(武将天赋进度验证!$Q$5:$Q$164,武将天赋进度验证!$W$5:$W$164,$D24),武将天赋进度验证!AL14)</f>
        <v>3.7602533358452456E-3</v>
      </c>
      <c r="AJ24" s="112"/>
      <c r="AK24" s="112"/>
      <c r="AL24" s="56"/>
      <c r="AM24" s="56"/>
      <c r="AN24" s="56"/>
      <c r="AO24" s="82">
        <f>武将数量星级阶位验证!BM14</f>
        <v>0.73324940048982001</v>
      </c>
      <c r="AT24" s="56">
        <v>36</v>
      </c>
      <c r="AU24" s="56"/>
      <c r="AV24" s="56"/>
      <c r="AW24" s="56">
        <v>1.5</v>
      </c>
      <c r="AX24" s="56">
        <v>1.5</v>
      </c>
      <c r="AY24" s="56">
        <v>1.5</v>
      </c>
    </row>
    <row r="25" spans="1:51" x14ac:dyDescent="0.15">
      <c r="A25" s="82">
        <f t="shared" si="0"/>
        <v>12</v>
      </c>
      <c r="B25" s="82">
        <f t="shared" si="7"/>
        <v>20</v>
      </c>
      <c r="C25" s="56">
        <v>60</v>
      </c>
      <c r="D25" s="56">
        <f>求节点(节奏总纲!$P$4:$P$163,节奏总纲!$O$4:$O$163,$C25)</f>
        <v>59.300028460644697</v>
      </c>
      <c r="F25" s="56"/>
      <c r="G25" s="56"/>
      <c r="H25" s="56"/>
      <c r="I25" s="56">
        <v>4</v>
      </c>
      <c r="J25" s="56">
        <v>2</v>
      </c>
      <c r="K25" s="56"/>
      <c r="L25" s="56"/>
      <c r="M25" s="56"/>
      <c r="N25" s="110">
        <f>求节点(武将升星!G$104:G$112,武将升星!$C$104:$C$112,(武将数量星级阶位验证!BL15-武将数量星级阶位验证!BN15)/武将数量星级阶位验证!D$6+武将数量星级阶位验证!BN15/MAX(I$17:I25))</f>
        <v>3.3339508197876575</v>
      </c>
      <c r="O25" s="56">
        <f>求节点(武将升星!H$104:H$112,武将升星!$C$104:$C$112,武将数量星级阶位验证!BM15/J25)</f>
        <v>0.52661512620567796</v>
      </c>
      <c r="P25" s="110" t="str">
        <f t="shared" si="3"/>
        <v/>
      </c>
      <c r="Q25" s="110" t="str">
        <f t="shared" si="4"/>
        <v/>
      </c>
      <c r="R25" s="56" t="str">
        <f>IFERROR(MAX(0,求节点(武将进阶!F$4:F$8,武将进阶!$C$5:$C$9,W25)),"")</f>
        <v/>
      </c>
      <c r="S25" s="56">
        <f>IFERROR(MAX(0,求节点(武将进阶!G$4:G$8,武将进阶!$C$5:$C$9,X25)),"")</f>
        <v>2.3720011384257877</v>
      </c>
      <c r="T25" s="56">
        <f>IFERROR(MAX(0,求节点(武将进阶!H$4:H$8,武将进阶!$C$5:$C$9,Y25)),"")</f>
        <v>2.3720011384257877</v>
      </c>
      <c r="U25" s="56" t="str">
        <f>IF(F25="","",MIN($D25*2,武将进阶!D$10))</f>
        <v/>
      </c>
      <c r="V25" s="56" t="str">
        <f>IF(G25="","",MIN($D25*2,武将进阶!E$10))</f>
        <v/>
      </c>
      <c r="W25" s="56" t="str">
        <f>IF(H25="","",MIN($D25*2,武将进阶!F$10))</f>
        <v/>
      </c>
      <c r="X25" s="56">
        <f>IF(I25="","",MIN($D25*2,武将进阶!G$10))</f>
        <v>118.60005692128939</v>
      </c>
      <c r="Y25" s="56">
        <f>IF(J25="","",MIN($D25*2,武将进阶!H$10))</f>
        <v>118.60005692128939</v>
      </c>
      <c r="Z25" s="111"/>
      <c r="AA25" s="111"/>
      <c r="AB25" s="111" t="str">
        <f t="shared" si="1"/>
        <v/>
      </c>
      <c r="AC25" s="111">
        <f t="shared" si="5"/>
        <v>2</v>
      </c>
      <c r="AD25" s="111">
        <f t="shared" si="6"/>
        <v>2</v>
      </c>
      <c r="AE25" s="56"/>
      <c r="AF25" s="56"/>
      <c r="AG25" s="56"/>
      <c r="AH25" s="56"/>
      <c r="AI25" s="112">
        <f>MIN(求节点(武将天赋进度验证!$Q$5:$Q$164,武将天赋进度验证!$W$5:$W$164,$D25),武将天赋进度验证!AL15)</f>
        <v>7.8287955190034786E-3</v>
      </c>
      <c r="AJ25" s="112"/>
      <c r="AK25" s="112"/>
      <c r="AL25" s="56"/>
      <c r="AM25" s="56"/>
      <c r="AN25" s="56"/>
      <c r="AO25" s="82">
        <f>武将数量星级阶位验证!BM15</f>
        <v>3.0532302524113559</v>
      </c>
      <c r="AT25" s="56">
        <v>39</v>
      </c>
      <c r="AU25" s="56"/>
      <c r="AV25" s="56"/>
      <c r="AW25" s="56">
        <v>2</v>
      </c>
      <c r="AX25" s="56">
        <v>2</v>
      </c>
      <c r="AY25" s="56">
        <v>2</v>
      </c>
    </row>
    <row r="26" spans="1:51" x14ac:dyDescent="0.15">
      <c r="A26" s="82">
        <f t="shared" si="0"/>
        <v>13</v>
      </c>
      <c r="B26" s="82">
        <f t="shared" si="7"/>
        <v>30</v>
      </c>
      <c r="C26" s="56">
        <v>90</v>
      </c>
      <c r="D26" s="56">
        <f>求节点(节奏总纲!$P$4:$P$163,节奏总纲!$O$4:$O$163,$C26)</f>
        <v>65.075479910097457</v>
      </c>
      <c r="F26" s="56"/>
      <c r="G26" s="56"/>
      <c r="H26" s="56"/>
      <c r="I26" s="56">
        <v>3</v>
      </c>
      <c r="J26" s="56">
        <v>3</v>
      </c>
      <c r="K26" s="56"/>
      <c r="L26" s="56"/>
      <c r="M26" s="56"/>
      <c r="N26" s="110">
        <f>求节点(武将升星!G$104:G$112,武将升星!$C$104:$C$112,(武将数量星级阶位验证!BL16-武将数量星级阶位验证!BN16)/武将数量星级阶位验证!D$6+武将数量星级阶位验证!BN16/MAX(I$17:I26))</f>
        <v>3.69666637301478</v>
      </c>
      <c r="O26" s="56">
        <f>求节点(武将升星!H$104:H$112,武将升星!$C$104:$C$112,武将数量星级阶位验证!BM16/J26)</f>
        <v>2.1886991991130458</v>
      </c>
      <c r="P26" s="110" t="str">
        <f t="shared" si="3"/>
        <v/>
      </c>
      <c r="Q26" s="110" t="str">
        <f t="shared" si="4"/>
        <v/>
      </c>
      <c r="R26" s="56" t="str">
        <f>IFERROR(MAX(0,求节点(武将进阶!F$4:F$8,武将进阶!$C$5:$C$9,W26)),"")</f>
        <v/>
      </c>
      <c r="S26" s="56">
        <f>IFERROR(MAX(0,求节点(武将进阶!G$4:G$8,武将进阶!$C$5:$C$9,X26)),"")</f>
        <v>2.6030191964038982</v>
      </c>
      <c r="T26" s="56">
        <f>IFERROR(MAX(0,求节点(武将进阶!H$4:H$8,武将进阶!$C$5:$C$9,Y26)),"")</f>
        <v>2.6030191964038982</v>
      </c>
      <c r="U26" s="56" t="str">
        <f>IF(F26="","",MIN($D26*2,武将进阶!D$10))</f>
        <v/>
      </c>
      <c r="V26" s="56" t="str">
        <f>IF(G26="","",MIN($D26*2,武将进阶!E$10))</f>
        <v/>
      </c>
      <c r="W26" s="56" t="str">
        <f>IF(H26="","",MIN($D26*2,武将进阶!F$10))</f>
        <v/>
      </c>
      <c r="X26" s="56">
        <f>IF(I26="","",MIN($D26*2,武将进阶!G$10))</f>
        <v>130.15095982019491</v>
      </c>
      <c r="Y26" s="56">
        <f>IF(J26="","",MIN($D26*2,武将进阶!H$10))</f>
        <v>130.15095982019491</v>
      </c>
      <c r="Z26" s="111"/>
      <c r="AA26" s="111"/>
      <c r="AB26" s="111" t="str">
        <f t="shared" si="1"/>
        <v/>
      </c>
      <c r="AC26" s="111">
        <f t="shared" si="5"/>
        <v>2</v>
      </c>
      <c r="AD26" s="111">
        <f t="shared" si="6"/>
        <v>2</v>
      </c>
      <c r="AE26" s="56"/>
      <c r="AF26" s="56"/>
      <c r="AG26" s="56"/>
      <c r="AH26" s="56"/>
      <c r="AI26" s="112">
        <f>MIN(求节点(武将天赋进度验证!$Q$5:$Q$164,武将天赋进度验证!$W$5:$W$164,$D26),武将天赋进度验证!AL16)</f>
        <v>1.6352303585195113E-2</v>
      </c>
      <c r="AJ26" s="112"/>
      <c r="AK26" s="112"/>
      <c r="AL26" s="56"/>
      <c r="AM26" s="56"/>
      <c r="AN26" s="56"/>
      <c r="AO26" s="82">
        <f>武将数量星级阶位验证!BM16</f>
        <v>9.5660975973391373</v>
      </c>
      <c r="AT26" s="56">
        <v>42</v>
      </c>
      <c r="AU26" s="56"/>
      <c r="AV26" s="56"/>
      <c r="AW26" s="56">
        <v>2</v>
      </c>
      <c r="AX26" s="56">
        <v>2</v>
      </c>
      <c r="AY26" s="56">
        <v>2</v>
      </c>
    </row>
    <row r="27" spans="1:51" x14ac:dyDescent="0.15">
      <c r="A27" s="82">
        <f t="shared" si="0"/>
        <v>14</v>
      </c>
      <c r="B27" s="82">
        <f t="shared" si="7"/>
        <v>30</v>
      </c>
      <c r="C27" s="56">
        <v>120</v>
      </c>
      <c r="D27" s="56">
        <f>求节点(节奏总纲!$P$4:$P$163,节奏总纲!$O$4:$O$163,$C27)</f>
        <v>69.18336653741882</v>
      </c>
      <c r="F27" s="56"/>
      <c r="G27" s="56"/>
      <c r="H27" s="56"/>
      <c r="I27" s="56">
        <v>2</v>
      </c>
      <c r="J27" s="56">
        <v>4</v>
      </c>
      <c r="K27" s="56"/>
      <c r="L27" s="56"/>
      <c r="M27" s="56"/>
      <c r="N27" s="110">
        <f>求节点(武将升星!G$104:G$112,武将升星!$C$104:$C$112,(武将数量星级阶位验证!BL17-武将数量星级阶位验证!BN17)/武将数量星级阶位验证!D$6+武将数量星级阶位验证!BN17/MAX(I$17:I27))</f>
        <v>3.9789036831015889</v>
      </c>
      <c r="O27" s="56">
        <f>求节点(武将升星!H$104:H$112,武将升星!$C$104:$C$112,武将数量星级阶位验证!BM17/J27)</f>
        <v>2.4798663545004613</v>
      </c>
      <c r="P27" s="110" t="str">
        <f t="shared" si="3"/>
        <v/>
      </c>
      <c r="Q27" s="110" t="str">
        <f t="shared" si="4"/>
        <v/>
      </c>
      <c r="R27" s="56" t="str">
        <f>IFERROR(MAX(0,求节点(武将进阶!F$4:F$8,武将进阶!$C$5:$C$9,W27)),"")</f>
        <v/>
      </c>
      <c r="S27" s="56">
        <f>IFERROR(MAX(0,求节点(武将进阶!G$4:G$8,武将进阶!$C$5:$C$9,X27)),"")</f>
        <v>2.7673346614967529</v>
      </c>
      <c r="T27" s="56">
        <f>IFERROR(MAX(0,求节点(武将进阶!H$4:H$8,武将进阶!$C$5:$C$9,Y27)),"")</f>
        <v>2.7673346614967529</v>
      </c>
      <c r="U27" s="56" t="str">
        <f>IF(F27="","",MIN($D27*2,武将进阶!D$10))</f>
        <v/>
      </c>
      <c r="V27" s="56" t="str">
        <f>IF(G27="","",MIN($D27*2,武将进阶!E$10))</f>
        <v/>
      </c>
      <c r="W27" s="56" t="str">
        <f>IF(H27="","",MIN($D27*2,武将进阶!F$10))</f>
        <v/>
      </c>
      <c r="X27" s="56">
        <f>IF(I27="","",MIN($D27*2,武将进阶!G$10))</f>
        <v>138.36673307483764</v>
      </c>
      <c r="Y27" s="56">
        <f>IF(J27="","",MIN($D27*2,武将进阶!H$10))</f>
        <v>138.36673307483764</v>
      </c>
      <c r="Z27" s="111"/>
      <c r="AA27" s="111"/>
      <c r="AB27" s="111" t="str">
        <f t="shared" si="1"/>
        <v/>
      </c>
      <c r="AC27" s="111">
        <f t="shared" si="5"/>
        <v>2</v>
      </c>
      <c r="AD27" s="111">
        <f t="shared" si="6"/>
        <v>2</v>
      </c>
      <c r="AE27" s="56"/>
      <c r="AF27" s="56"/>
      <c r="AG27" s="56"/>
      <c r="AH27" s="56"/>
      <c r="AI27" s="112">
        <f>MIN(求节点(武将天赋进度验证!$Q$5:$Q$164,武将天赋进度验证!$W$5:$W$164,$D27),武将天赋进度验证!AL17)</f>
        <v>1.7845468484617766E-2</v>
      </c>
      <c r="AJ27" s="112"/>
      <c r="AK27" s="112"/>
      <c r="AL27" s="56"/>
      <c r="AM27" s="56"/>
      <c r="AN27" s="56"/>
      <c r="AO27" s="82">
        <f>武将数量星级阶位验证!BM17</f>
        <v>13.919465418001845</v>
      </c>
      <c r="AT27" s="56">
        <v>45</v>
      </c>
      <c r="AU27" s="56"/>
      <c r="AV27" s="56"/>
      <c r="AW27" s="56">
        <v>2</v>
      </c>
      <c r="AX27" s="56">
        <v>2</v>
      </c>
      <c r="AY27" s="56">
        <v>2</v>
      </c>
    </row>
    <row r="28" spans="1:51" x14ac:dyDescent="0.15">
      <c r="A28" s="82">
        <f t="shared" si="0"/>
        <v>15</v>
      </c>
      <c r="B28" s="82">
        <f t="shared" si="7"/>
        <v>30</v>
      </c>
      <c r="C28" s="56">
        <v>150</v>
      </c>
      <c r="D28" s="56">
        <f>求节点(节奏总纲!$P$4:$P$163,节奏总纲!$O$4:$O$163,$C28)</f>
        <v>72.375871759353331</v>
      </c>
      <c r="F28" s="56"/>
      <c r="G28" s="56"/>
      <c r="H28" s="56"/>
      <c r="I28" s="56">
        <v>1</v>
      </c>
      <c r="J28" s="56">
        <v>5</v>
      </c>
      <c r="K28" s="56"/>
      <c r="L28" s="56"/>
      <c r="M28" s="56"/>
      <c r="N28" s="110">
        <f>求节点(武将升星!G$104:G$112,武将升星!$C$104:$C$112,(武将数量星级阶位验证!BL18-武将数量星级阶位验证!BN18)/武将数量星级阶位验证!D$6+武将数量星级阶位验证!BN18/MAX(I$17:I28))</f>
        <v>4.255901976026812</v>
      </c>
      <c r="O28" s="56">
        <f>求节点(武将升星!H$104:H$112,武将升星!$C$104:$C$112,武将数量星级阶位验证!BM18/J28)</f>
        <v>2.6264505889657337</v>
      </c>
      <c r="P28" s="110" t="str">
        <f t="shared" si="3"/>
        <v/>
      </c>
      <c r="Q28" s="110" t="str">
        <f t="shared" si="4"/>
        <v/>
      </c>
      <c r="R28" s="56" t="str">
        <f>IFERROR(MAX(0,求节点(武将进阶!F$4:F$8,武将进阶!$C$5:$C$9,W28)),"")</f>
        <v/>
      </c>
      <c r="S28" s="56">
        <f>IFERROR(MAX(0,求节点(武将进阶!G$4:G$8,武将进阶!$C$5:$C$9,X28)),"")</f>
        <v>2.8950348703741331</v>
      </c>
      <c r="T28" s="56">
        <f>IFERROR(MAX(0,求节点(武将进阶!H$4:H$8,武将进阶!$C$5:$C$9,Y28)),"")</f>
        <v>2.8950348703741331</v>
      </c>
      <c r="U28" s="56" t="str">
        <f>IF(F28="","",MIN($D28*2,武将进阶!D$10))</f>
        <v/>
      </c>
      <c r="V28" s="56" t="str">
        <f>IF(G28="","",MIN($D28*2,武将进阶!E$10))</f>
        <v/>
      </c>
      <c r="W28" s="56" t="str">
        <f>IF(H28="","",MIN($D28*2,武将进阶!F$10))</f>
        <v/>
      </c>
      <c r="X28" s="56">
        <f>IF(I28="","",MIN($D28*2,武将进阶!G$10))</f>
        <v>144.75174351870666</v>
      </c>
      <c r="Y28" s="56">
        <f>IF(J28="","",MIN($D28*2,武将进阶!H$10))</f>
        <v>144.75174351870666</v>
      </c>
      <c r="Z28" s="111"/>
      <c r="AA28" s="111"/>
      <c r="AB28" s="111" t="str">
        <f t="shared" si="1"/>
        <v/>
      </c>
      <c r="AC28" s="111">
        <f t="shared" si="5"/>
        <v>2</v>
      </c>
      <c r="AD28" s="111">
        <f t="shared" si="6"/>
        <v>2</v>
      </c>
      <c r="AE28" s="56"/>
      <c r="AF28" s="56"/>
      <c r="AG28" s="56"/>
      <c r="AH28" s="56"/>
      <c r="AI28" s="112">
        <f>MIN(求节点(武将天赋进度验证!$Q$5:$Q$164,武将天赋进度验证!$W$5:$W$164,$D28),武将天赋进度验证!AL18)</f>
        <v>1.8597182507516588E-2</v>
      </c>
      <c r="AJ28" s="112"/>
      <c r="AK28" s="112"/>
      <c r="AL28" s="56"/>
      <c r="AM28" s="56"/>
      <c r="AN28" s="56"/>
      <c r="AO28" s="82">
        <f>武将数量星级阶位验证!BM18</f>
        <v>18.132252944828668</v>
      </c>
      <c r="AT28" s="56">
        <v>48</v>
      </c>
      <c r="AU28" s="56"/>
      <c r="AV28" s="56"/>
      <c r="AW28" s="56">
        <v>2</v>
      </c>
      <c r="AX28" s="56">
        <v>2</v>
      </c>
      <c r="AY28" s="56">
        <v>2</v>
      </c>
    </row>
    <row r="29" spans="1:51" x14ac:dyDescent="0.15">
      <c r="A29" s="82">
        <f t="shared" si="0"/>
        <v>16</v>
      </c>
      <c r="B29" s="82">
        <f t="shared" si="7"/>
        <v>30</v>
      </c>
      <c r="C29" s="56">
        <v>180</v>
      </c>
      <c r="D29" s="56">
        <f>求节点(节奏总纲!$P$4:$P$163,节奏总纲!$O$4:$O$163,$C29)</f>
        <v>74.998404927577795</v>
      </c>
      <c r="F29" s="56"/>
      <c r="G29" s="56"/>
      <c r="H29" s="56"/>
      <c r="I29" s="56">
        <v>0.5</v>
      </c>
      <c r="J29" s="56">
        <v>5.5</v>
      </c>
      <c r="K29" s="56"/>
      <c r="L29" s="56"/>
      <c r="M29" s="56"/>
      <c r="N29" s="110">
        <f>求节点(武将升星!G$104:G$112,武将升星!$C$104:$C$112,(武将数量星级阶位验证!BL19-武将数量星级阶位验证!BN19)/武将数量星级阶位验证!D$6+武将数量星级阶位验证!BN19/MAX(I$17:I29))</f>
        <v>4.5246408126739306</v>
      </c>
      <c r="O29" s="56">
        <f>求节点(武将升星!H$104:H$112,武将升星!$C$104:$C$112,武将数量星级阶位验证!BM19/J29)</f>
        <v>3.011219248017547</v>
      </c>
      <c r="P29" s="110" t="str">
        <f t="shared" si="3"/>
        <v/>
      </c>
      <c r="Q29" s="110" t="str">
        <f t="shared" si="4"/>
        <v/>
      </c>
      <c r="R29" s="56" t="str">
        <f>IFERROR(MAX(0,求节点(武将进阶!F$4:F$8,武将进阶!$C$5:$C$9,W29)),"")</f>
        <v/>
      </c>
      <c r="S29" s="56">
        <f>IFERROR(MAX(0,求节点(武将进阶!G$4:G$8,武将进阶!$C$5:$C$9,X29)),"")</f>
        <v>2.9999361971031115</v>
      </c>
      <c r="T29" s="56">
        <f>IFERROR(MAX(0,求节点(武将进阶!H$4:H$8,武将进阶!$C$5:$C$9,Y29)),"")</f>
        <v>2.9999361971031115</v>
      </c>
      <c r="U29" s="56" t="str">
        <f>IF(F29="","",MIN($D29*2,武将进阶!D$10))</f>
        <v/>
      </c>
      <c r="V29" s="56" t="str">
        <f>IF(G29="","",MIN($D29*2,武将进阶!E$10))</f>
        <v/>
      </c>
      <c r="W29" s="56" t="str">
        <f>IF(H29="","",MIN($D29*2,武将进阶!F$10))</f>
        <v/>
      </c>
      <c r="X29" s="56">
        <f>IF(I29="","",MIN($D29*2,武将进阶!G$10))</f>
        <v>149.99680985515559</v>
      </c>
      <c r="Y29" s="56">
        <f>IF(J29="","",MIN($D29*2,武将进阶!H$10))</f>
        <v>149.99680985515559</v>
      </c>
      <c r="Z29" s="111"/>
      <c r="AA29" s="111"/>
      <c r="AB29" s="111" t="str">
        <f t="shared" si="1"/>
        <v/>
      </c>
      <c r="AC29" s="111">
        <f t="shared" si="5"/>
        <v>2</v>
      </c>
      <c r="AD29" s="111">
        <f t="shared" si="6"/>
        <v>2</v>
      </c>
      <c r="AE29" s="56"/>
      <c r="AF29" s="56"/>
      <c r="AG29" s="56"/>
      <c r="AH29" s="56"/>
      <c r="AI29" s="112">
        <f>MIN(求节点(武将天赋进度验证!$Q$5:$Q$164,武将天赋进度验证!$W$5:$W$164,$D29),武将天赋进度验证!AL19)</f>
        <v>2.0627889723256895E-2</v>
      </c>
      <c r="AJ29" s="112"/>
      <c r="AK29" s="112"/>
      <c r="AL29" s="56"/>
      <c r="AM29" s="56"/>
      <c r="AN29" s="56"/>
      <c r="AO29" s="82">
        <f>武将数量星级阶位验证!BM19</f>
        <v>22.12341172819302</v>
      </c>
      <c r="AT29" s="56">
        <v>56</v>
      </c>
      <c r="AU29" s="56"/>
      <c r="AV29" s="56"/>
      <c r="AW29" s="56">
        <v>2</v>
      </c>
      <c r="AX29" s="56">
        <v>2</v>
      </c>
      <c r="AY29" s="56">
        <v>2</v>
      </c>
    </row>
    <row r="30" spans="1:51" x14ac:dyDescent="0.15">
      <c r="A30" s="82">
        <f t="shared" si="0"/>
        <v>17</v>
      </c>
      <c r="B30" s="82">
        <f t="shared" si="7"/>
        <v>40</v>
      </c>
      <c r="C30" s="56">
        <v>220</v>
      </c>
      <c r="D30" s="56">
        <f>求节点(节奏总纲!$P$4:$P$163,节奏总纲!$O$4:$O$163,$C30)</f>
        <v>77.875308029777003</v>
      </c>
      <c r="F30" s="56"/>
      <c r="G30" s="56"/>
      <c r="H30" s="56"/>
      <c r="I30" s="56"/>
      <c r="J30" s="56">
        <v>6</v>
      </c>
      <c r="K30" s="56"/>
      <c r="L30" s="56"/>
      <c r="M30" s="56"/>
      <c r="N30" s="56"/>
      <c r="O30" s="56">
        <f>求节点(武将升星!H$104:H$112,武将升星!$C$104:$C$112,武将数量星级阶位验证!BM20/J30)</f>
        <v>3.2385799575236818</v>
      </c>
      <c r="P30" s="110" t="str">
        <f t="shared" si="3"/>
        <v/>
      </c>
      <c r="Q30" s="110" t="str">
        <f t="shared" si="4"/>
        <v/>
      </c>
      <c r="R30" s="56" t="str">
        <f>IFERROR(MAX(0,求节点(武将进阶!F$4:F$8,武将进阶!$C$5:$C$9,W30)),"")</f>
        <v/>
      </c>
      <c r="S30" s="56" t="str">
        <f>IFERROR(MAX(0,求节点(武将进阶!G$4:G$8,武将进阶!$C$5:$C$9,X30)),"")</f>
        <v/>
      </c>
      <c r="T30" s="56">
        <f>IFERROR(MAX(0,求节点(武将进阶!H$4:H$8,武将进阶!$C$5:$C$9,Y30)),"")</f>
        <v>3.1150123211910801</v>
      </c>
      <c r="U30" s="56" t="str">
        <f>IF(F30="","",MIN($D30*2,武将进阶!D$10))</f>
        <v/>
      </c>
      <c r="V30" s="56" t="str">
        <f>IF(G30="","",MIN($D30*2,武将进阶!E$10))</f>
        <v/>
      </c>
      <c r="W30" s="56" t="str">
        <f>IF(H30="","",MIN($D30*2,武将进阶!F$10))</f>
        <v/>
      </c>
      <c r="X30" s="56" t="str">
        <f>IF(I30="","",MIN($D30*2,武将进阶!G$10))</f>
        <v/>
      </c>
      <c r="Y30" s="56">
        <f>IF(J30="","",MIN($D30*2,武将进阶!H$10))</f>
        <v>155.75061605955401</v>
      </c>
      <c r="Z30" s="111"/>
      <c r="AA30" s="111"/>
      <c r="AB30" s="111" t="str">
        <f t="shared" si="1"/>
        <v/>
      </c>
      <c r="AC30" s="111" t="str">
        <f t="shared" si="5"/>
        <v/>
      </c>
      <c r="AD30" s="111">
        <f t="shared" si="6"/>
        <v>2</v>
      </c>
      <c r="AE30" s="56"/>
      <c r="AF30" s="56"/>
      <c r="AG30" s="56"/>
      <c r="AH30" s="56"/>
      <c r="AI30" s="112">
        <f>MIN(求节点(武将天赋进度验证!$Q$5:$Q$164,武将天赋进度验证!$W$5:$W$164,$D30),武将天赋进度验证!AL20)</f>
        <v>2.2959794436140324E-2</v>
      </c>
      <c r="AJ30" s="112"/>
      <c r="AK30" s="112"/>
      <c r="AL30" s="56"/>
      <c r="AM30" s="56"/>
      <c r="AN30" s="56"/>
      <c r="AO30" s="82">
        <f>武将数量星级阶位验证!BM20</f>
        <v>26.86295949028418</v>
      </c>
      <c r="AT30" s="56">
        <v>64</v>
      </c>
      <c r="AU30" s="56"/>
      <c r="AV30" s="56"/>
      <c r="AW30" s="56">
        <v>2</v>
      </c>
      <c r="AX30" s="56">
        <v>2</v>
      </c>
      <c r="AY30" s="56">
        <v>2</v>
      </c>
    </row>
    <row r="31" spans="1:51" x14ac:dyDescent="0.15">
      <c r="A31" s="82">
        <f t="shared" si="0"/>
        <v>18</v>
      </c>
      <c r="B31" s="82">
        <f t="shared" si="7"/>
        <v>40</v>
      </c>
      <c r="C31" s="56">
        <v>260</v>
      </c>
      <c r="D31" s="56">
        <f>求节点(节奏总纲!$P$4:$P$163,节奏总纲!$O$4:$O$163,$C31)</f>
        <v>80.272123558064706</v>
      </c>
      <c r="F31" s="56"/>
      <c r="G31" s="56"/>
      <c r="H31" s="56"/>
      <c r="I31" s="56"/>
      <c r="J31" s="56">
        <v>6</v>
      </c>
      <c r="K31" s="56"/>
      <c r="L31" s="56"/>
      <c r="M31" s="56"/>
      <c r="N31" s="56"/>
      <c r="O31" s="56">
        <f>求节点(武将升星!H$104:H$112,武将升星!$C$104:$C$112,武将数量星级阶位验证!BM21/J31)</f>
        <v>3.6099488863905886</v>
      </c>
      <c r="P31" s="110" t="str">
        <f t="shared" si="3"/>
        <v/>
      </c>
      <c r="Q31" s="110" t="str">
        <f t="shared" si="4"/>
        <v/>
      </c>
      <c r="R31" s="56" t="str">
        <f>IFERROR(MAX(0,求节点(武将进阶!F$4:F$8,武将进阶!$C$5:$C$9,W31)),"")</f>
        <v/>
      </c>
      <c r="S31" s="56" t="str">
        <f>IFERROR(MAX(0,求节点(武将进阶!G$4:G$8,武将进阶!$C$5:$C$9,X31)),"")</f>
        <v/>
      </c>
      <c r="T31" s="56">
        <f>IFERROR(MAX(0,求节点(武将进阶!H$4:H$8,武将进阶!$C$5:$C$9,Y31)),"")</f>
        <v>3.210884942322588</v>
      </c>
      <c r="U31" s="56" t="str">
        <f>IF(F31="","",MIN($D31*2,武将进阶!D$10))</f>
        <v/>
      </c>
      <c r="V31" s="56" t="str">
        <f>IF(G31="","",MIN($D31*2,武将进阶!E$10))</f>
        <v/>
      </c>
      <c r="W31" s="56" t="str">
        <f>IF(H31="","",MIN($D31*2,武将进阶!F$10))</f>
        <v/>
      </c>
      <c r="X31" s="56" t="str">
        <f>IF(I31="","",MIN($D31*2,武将进阶!G$10))</f>
        <v/>
      </c>
      <c r="Y31" s="56">
        <f>IF(J31="","",MIN($D31*2,武将进阶!H$10))</f>
        <v>160.54424711612941</v>
      </c>
      <c r="Z31" s="111"/>
      <c r="AA31" s="111"/>
      <c r="AB31" s="111" t="str">
        <f t="shared" si="1"/>
        <v/>
      </c>
      <c r="AC31" s="111" t="str">
        <f t="shared" si="5"/>
        <v/>
      </c>
      <c r="AD31" s="111">
        <f t="shared" si="6"/>
        <v>2</v>
      </c>
      <c r="AE31" s="56"/>
      <c r="AF31" s="56"/>
      <c r="AG31" s="56"/>
      <c r="AH31" s="56"/>
      <c r="AI31" s="112">
        <f>MIN(求节点(武将天赋进度验证!$Q$5:$Q$164,武将天赋进度验证!$W$5:$W$164,$D31),武将天赋进度验证!AL21)</f>
        <v>2.6768706527082964E-2</v>
      </c>
      <c r="AJ31" s="112"/>
      <c r="AK31" s="112"/>
      <c r="AL31" s="56"/>
      <c r="AM31" s="56"/>
      <c r="AN31" s="56"/>
      <c r="AO31" s="82">
        <f>武将数量星级阶位验证!BM21</f>
        <v>31.319386636687064</v>
      </c>
      <c r="AT31" s="56">
        <v>72</v>
      </c>
      <c r="AU31" s="56"/>
      <c r="AV31" s="56"/>
      <c r="AW31" s="56">
        <v>2</v>
      </c>
      <c r="AX31" s="56">
        <v>2</v>
      </c>
      <c r="AY31" s="56">
        <v>2</v>
      </c>
    </row>
    <row r="32" spans="1:51" x14ac:dyDescent="0.15">
      <c r="A32" s="82">
        <f t="shared" si="0"/>
        <v>19</v>
      </c>
      <c r="B32" s="82">
        <f t="shared" si="7"/>
        <v>40</v>
      </c>
      <c r="C32" s="56">
        <v>300</v>
      </c>
      <c r="D32" s="56">
        <f>求节点(节奏总纲!$P$4:$P$163,节奏总纲!$O$4:$O$163,$C32)</f>
        <v>82.328492296001457</v>
      </c>
      <c r="F32" s="56"/>
      <c r="G32" s="56"/>
      <c r="H32" s="56"/>
      <c r="I32" s="56"/>
      <c r="J32" s="56">
        <v>6</v>
      </c>
      <c r="K32" s="56"/>
      <c r="L32" s="56"/>
      <c r="M32" s="56"/>
      <c r="N32" s="56"/>
      <c r="O32" s="56">
        <f>求节点(武将升星!H$104:H$112,武将升星!$C$104:$C$112,武将数量星级阶位验证!BM22/J32)</f>
        <v>3.9894869158604984</v>
      </c>
      <c r="P32" s="110" t="str">
        <f t="shared" si="3"/>
        <v/>
      </c>
      <c r="Q32" s="110" t="str">
        <f t="shared" si="4"/>
        <v/>
      </c>
      <c r="R32" s="56" t="str">
        <f>IFERROR(MAX(0,求节点(武将进阶!F$4:F$8,武将进阶!$C$5:$C$9,W32)),"")</f>
        <v/>
      </c>
      <c r="S32" s="56" t="str">
        <f>IFERROR(MAX(0,求节点(武将进阶!G$4:G$8,武将进阶!$C$5:$C$9,X32)),"")</f>
        <v/>
      </c>
      <c r="T32" s="56">
        <f>IFERROR(MAX(0,求节点(武将进阶!H$4:H$8,武将进阶!$C$5:$C$9,Y32)),"")</f>
        <v>3.2931396918400582</v>
      </c>
      <c r="U32" s="56" t="str">
        <f>IF(F32="","",MIN($D32*2,武将进阶!D$10))</f>
        <v/>
      </c>
      <c r="V32" s="56" t="str">
        <f>IF(G32="","",MIN($D32*2,武将进阶!E$10))</f>
        <v/>
      </c>
      <c r="W32" s="56" t="str">
        <f>IF(H32="","",MIN($D32*2,武将进阶!F$10))</f>
        <v/>
      </c>
      <c r="X32" s="56" t="str">
        <f>IF(I32="","",MIN($D32*2,武将进阶!G$10))</f>
        <v/>
      </c>
      <c r="Y32" s="56">
        <f>IF(J32="","",MIN($D32*2,武将进阶!H$10))</f>
        <v>164.65698459200291</v>
      </c>
      <c r="Z32" s="111"/>
      <c r="AA32" s="111"/>
      <c r="AB32" s="111" t="str">
        <f t="shared" si="1"/>
        <v/>
      </c>
      <c r="AC32" s="111" t="str">
        <f t="shared" si="5"/>
        <v/>
      </c>
      <c r="AD32" s="111">
        <f t="shared" si="6"/>
        <v>2</v>
      </c>
      <c r="AE32" s="56"/>
      <c r="AF32" s="56"/>
      <c r="AG32" s="56"/>
      <c r="AH32" s="56"/>
      <c r="AI32" s="112">
        <f>MIN(求节点(武将天赋进度验证!$Q$5:$Q$164,武将天赋进度验证!$W$5:$W$164,$D32),武将天赋进度验证!AL22)</f>
        <v>3.0661404265235878E-2</v>
      </c>
      <c r="AJ32" s="112"/>
      <c r="AK32" s="112"/>
      <c r="AL32" s="56"/>
      <c r="AM32" s="56"/>
      <c r="AN32" s="56"/>
      <c r="AO32" s="82">
        <f>武将数量星级阶位验证!BM22</f>
        <v>35.873842990325983</v>
      </c>
      <c r="AT32" s="56">
        <v>80</v>
      </c>
      <c r="AU32" s="56"/>
      <c r="AV32" s="56"/>
      <c r="AW32" s="56">
        <v>2</v>
      </c>
      <c r="AX32" s="56">
        <v>2</v>
      </c>
      <c r="AY32" s="56">
        <v>2</v>
      </c>
    </row>
    <row r="33" spans="1:51" x14ac:dyDescent="0.15">
      <c r="A33" s="82">
        <f t="shared" si="0"/>
        <v>20</v>
      </c>
      <c r="B33" s="82">
        <f t="shared" si="7"/>
        <v>40</v>
      </c>
      <c r="C33" s="56">
        <v>340</v>
      </c>
      <c r="D33" s="56">
        <f>求节点(节奏总纲!$P$4:$P$163,节奏总纲!$O$4:$O$163,$C33)</f>
        <v>84.132234338875293</v>
      </c>
      <c r="F33" s="56"/>
      <c r="G33" s="56"/>
      <c r="H33" s="56"/>
      <c r="I33" s="56"/>
      <c r="J33" s="56">
        <v>6</v>
      </c>
      <c r="K33" s="56"/>
      <c r="L33" s="56"/>
      <c r="M33" s="56"/>
      <c r="N33" s="56"/>
      <c r="O33" s="56">
        <f>求节点(武将升星!H$104:H$112,武将升星!$C$104:$C$112,武将数量星级阶位验证!BM23/J33)</f>
        <v>4.3496976579010624</v>
      </c>
      <c r="P33" s="110"/>
      <c r="Q33" s="110"/>
      <c r="R33" s="56" t="str">
        <f>IFERROR(MAX(0,求节点(武将进阶!F$4:F$8,武将进阶!$C$5:$C$9,W33)),"")</f>
        <v/>
      </c>
      <c r="S33" s="56" t="str">
        <f>IFERROR(MAX(0,求节点(武将进阶!G$4:G$8,武将进阶!$C$5:$C$9,X33)),"")</f>
        <v/>
      </c>
      <c r="T33" s="56">
        <f>IFERROR(MAX(0,求节点(武将进阶!H$4:H$8,武将进阶!$C$5:$C$9,Y33)),"")</f>
        <v>3.3652893735550116</v>
      </c>
      <c r="U33" s="56" t="str">
        <f>IF(F33="","",MIN($D33*2,武将进阶!D$10))</f>
        <v/>
      </c>
      <c r="V33" s="56" t="str">
        <f>IF(G33="","",MIN($D33*2,武将进阶!E$10))</f>
        <v/>
      </c>
      <c r="W33" s="56" t="str">
        <f>IF(H33="","",MIN($D33*2,武将进阶!F$10))</f>
        <v/>
      </c>
      <c r="X33" s="56" t="str">
        <f>IF(I33="","",MIN($D33*2,武将进阶!G$10))</f>
        <v/>
      </c>
      <c r="Y33" s="56">
        <f>IF(J33="","",MIN($D33*2,武将进阶!H$10))</f>
        <v>168.26446867775059</v>
      </c>
      <c r="Z33" s="111"/>
      <c r="AA33" s="111"/>
      <c r="AB33" s="111" t="str">
        <f t="shared" si="1"/>
        <v/>
      </c>
      <c r="AC33" s="111" t="str">
        <f t="shared" si="5"/>
        <v/>
      </c>
      <c r="AD33" s="111">
        <f t="shared" si="6"/>
        <v>2</v>
      </c>
      <c r="AE33" s="56"/>
      <c r="AF33" s="56"/>
      <c r="AG33" s="56"/>
      <c r="AH33" s="56"/>
      <c r="AI33" s="112">
        <f>MIN(求节点(武将天赋进度验证!$Q$5:$Q$164,武将天赋进度验证!$W$5:$W$164,$D33),武将天赋进度验证!AL23)</f>
        <v>3.4355873414369881E-2</v>
      </c>
      <c r="AJ33" s="112"/>
      <c r="AK33" s="112"/>
      <c r="AL33" s="56"/>
      <c r="AM33" s="56"/>
      <c r="AN33" s="56"/>
      <c r="AO33" s="82">
        <f>武将数量星级阶位验证!BM23</f>
        <v>40.196371894812742</v>
      </c>
      <c r="AT33" s="56">
        <v>88</v>
      </c>
      <c r="AU33" s="56"/>
      <c r="AV33" s="56"/>
      <c r="AW33" s="56">
        <v>2</v>
      </c>
      <c r="AX33" s="56">
        <v>2</v>
      </c>
      <c r="AY33" s="56">
        <v>2</v>
      </c>
    </row>
    <row r="34" spans="1:51" x14ac:dyDescent="0.15">
      <c r="A34" s="82">
        <f t="shared" si="0"/>
        <v>21</v>
      </c>
      <c r="B34" s="82">
        <f t="shared" si="7"/>
        <v>60</v>
      </c>
      <c r="C34" s="56">
        <v>400</v>
      </c>
      <c r="D34" s="56">
        <f>求节点(节奏总纲!$P$4:$P$163,节奏总纲!$O$4:$O$163,$C34)</f>
        <v>86.465948248806328</v>
      </c>
      <c r="F34" s="56"/>
      <c r="G34" s="56"/>
      <c r="H34" s="56"/>
      <c r="I34" s="56"/>
      <c r="J34" s="56">
        <v>6</v>
      </c>
      <c r="K34" s="56"/>
      <c r="L34" s="56"/>
      <c r="M34" s="56"/>
      <c r="N34" s="56"/>
      <c r="O34" s="56">
        <f>求节点(武将升星!H$104:H$112,武将升星!$C$104:$C$112,武将数量星级阶位验证!BM24/J34)</f>
        <v>4.8489554936219079</v>
      </c>
      <c r="P34" s="110"/>
      <c r="Q34" s="110"/>
      <c r="R34" s="56" t="str">
        <f>IFERROR(MAX(0,求节点(武将进阶!F$4:F$8,武将进阶!$C$5:$C$9,W34)),"")</f>
        <v/>
      </c>
      <c r="S34" s="56" t="str">
        <f>IFERROR(MAX(0,求节点(武将进阶!G$4:G$8,武将进阶!$C$5:$C$9,X34)),"")</f>
        <v/>
      </c>
      <c r="T34" s="56">
        <f>IFERROR(MAX(0,求节点(武将进阶!H$4:H$8,武将进阶!$C$5:$C$9,Y34)),"")</f>
        <v>3.4586379299522529</v>
      </c>
      <c r="U34" s="56" t="str">
        <f>IF(F34="","",MIN($D34*2,武将进阶!D$10))</f>
        <v/>
      </c>
      <c r="V34" s="56" t="str">
        <f>IF(G34="","",MIN($D34*2,武将进阶!E$10))</f>
        <v/>
      </c>
      <c r="W34" s="56" t="str">
        <f>IF(H34="","",MIN($D34*2,武将进阶!F$10))</f>
        <v/>
      </c>
      <c r="X34" s="56" t="str">
        <f>IF(I34="","",MIN($D34*2,武将进阶!G$10))</f>
        <v/>
      </c>
      <c r="Y34" s="56">
        <f>IF(J34="","",MIN($D34*2,武将进阶!H$10))</f>
        <v>172.93189649761266</v>
      </c>
      <c r="Z34" s="111"/>
      <c r="AA34" s="111"/>
      <c r="AB34" s="111" t="str">
        <f t="shared" si="1"/>
        <v/>
      </c>
      <c r="AC34" s="111" t="str">
        <f t="shared" si="5"/>
        <v/>
      </c>
      <c r="AD34" s="111">
        <f t="shared" si="6"/>
        <v>2</v>
      </c>
      <c r="AE34" s="56"/>
      <c r="AF34" s="56"/>
      <c r="AG34" s="56"/>
      <c r="AH34" s="56"/>
      <c r="AI34" s="112">
        <f>MIN(求节点(武将天赋进度验证!$Q$5:$Q$164,武将天赋进度验证!$W$5:$W$164,$D34),武将天赋进度验证!AL24)</f>
        <v>3.9476466601250343E-2</v>
      </c>
      <c r="AJ34" s="112"/>
      <c r="AK34" s="112"/>
      <c r="AL34" s="56"/>
      <c r="AM34" s="56"/>
      <c r="AN34" s="56"/>
      <c r="AO34" s="82">
        <f>武将数量星级阶位验证!BM24</f>
        <v>46.187465923462902</v>
      </c>
      <c r="AT34" s="56">
        <v>96</v>
      </c>
      <c r="AU34" s="56"/>
      <c r="AV34" s="56"/>
      <c r="AW34" s="56">
        <v>2</v>
      </c>
      <c r="AX34" s="56">
        <v>2</v>
      </c>
      <c r="AY34" s="56">
        <v>2</v>
      </c>
    </row>
    <row r="35" spans="1:51" x14ac:dyDescent="0.15">
      <c r="A35" s="82">
        <f t="shared" si="0"/>
        <v>22</v>
      </c>
      <c r="B35" s="82">
        <f t="shared" si="7"/>
        <v>120</v>
      </c>
      <c r="C35" s="56">
        <v>520</v>
      </c>
      <c r="D35" s="56">
        <f>求节点(节奏总纲!$P$4:$P$163,节奏总纲!$O$4:$O$163,$C35)</f>
        <v>90.244911202258237</v>
      </c>
      <c r="F35" s="56"/>
      <c r="G35" s="56"/>
      <c r="H35" s="56"/>
      <c r="I35" s="56"/>
      <c r="J35" s="56">
        <v>6</v>
      </c>
      <c r="K35" s="56"/>
      <c r="L35" s="56"/>
      <c r="M35" s="56"/>
      <c r="N35" s="56"/>
      <c r="O35" s="56">
        <f>求节点(武将升星!H$104:H$112,武将升星!$C$104:$C$112,武将数量星级阶位验证!BM25/J35)</f>
        <v>5.5099260069221145</v>
      </c>
      <c r="P35" s="110"/>
      <c r="Q35" s="110"/>
      <c r="R35" s="56" t="str">
        <f>IFERROR(MAX(0,求节点(武将进阶!F$4:F$8,武将进阶!$C$5:$C$9,W35)),"")</f>
        <v/>
      </c>
      <c r="S35" s="56" t="str">
        <f>IFERROR(MAX(0,求节点(武将进阶!G$4:G$8,武将进阶!$C$5:$C$9,X35)),"")</f>
        <v/>
      </c>
      <c r="T35" s="56">
        <f>IFERROR(MAX(0,求节点(武将进阶!H$4:H$8,武将进阶!$C$5:$C$9,Y35)),"")</f>
        <v>3.6097964480903295</v>
      </c>
      <c r="U35" s="56" t="str">
        <f>IF(F35="","",MIN($D35*2,武将进阶!D$10))</f>
        <v/>
      </c>
      <c r="V35" s="56" t="str">
        <f>IF(G35="","",MIN($D35*2,武将进阶!E$10))</f>
        <v/>
      </c>
      <c r="W35" s="56" t="str">
        <f>IF(H35="","",MIN($D35*2,武将进阶!F$10))</f>
        <v/>
      </c>
      <c r="X35" s="56" t="str">
        <f>IF(I35="","",MIN($D35*2,武将进阶!G$10))</f>
        <v/>
      </c>
      <c r="Y35" s="56">
        <f>IF(J35="","",MIN($D35*2,武将进阶!H$10))</f>
        <v>180.48982240451647</v>
      </c>
      <c r="Z35" s="111"/>
      <c r="AA35" s="111"/>
      <c r="AB35" s="111" t="str">
        <f t="shared" si="1"/>
        <v/>
      </c>
      <c r="AC35" s="111" t="str">
        <f t="shared" si="5"/>
        <v/>
      </c>
      <c r="AD35" s="111">
        <f t="shared" si="6"/>
        <v>2</v>
      </c>
      <c r="AE35" s="56"/>
      <c r="AF35" s="56"/>
      <c r="AG35" s="56"/>
      <c r="AH35" s="56"/>
      <c r="AI35" s="112">
        <f>MIN(求节点(武将天赋进度验证!$Q$5:$Q$164,武将天赋进度验证!$W$5:$W$164,$D35),武将天赋进度验证!AL25)</f>
        <v>4.8870656516750488E-2</v>
      </c>
      <c r="AJ35" s="112"/>
      <c r="AK35" s="112"/>
      <c r="AL35" s="56"/>
      <c r="AM35" s="56"/>
      <c r="AN35" s="56"/>
      <c r="AO35" s="82">
        <f>武将数量星级阶位验证!BM25</f>
        <v>57.178668124598062</v>
      </c>
      <c r="AT35" s="56">
        <v>104</v>
      </c>
      <c r="AU35" s="56"/>
      <c r="AV35" s="56"/>
      <c r="AW35" s="56">
        <v>2</v>
      </c>
      <c r="AX35" s="56">
        <v>2</v>
      </c>
      <c r="AY35" s="56">
        <v>2</v>
      </c>
    </row>
    <row r="36" spans="1:51" x14ac:dyDescent="0.15">
      <c r="A36" s="82">
        <f t="shared" si="0"/>
        <v>23</v>
      </c>
      <c r="B36" s="82">
        <f t="shared" si="7"/>
        <v>120</v>
      </c>
      <c r="C36" s="56">
        <v>640</v>
      </c>
      <c r="D36" s="56">
        <f>求节点(节奏总纲!$P$4:$P$163,节奏总纲!$O$4:$O$163,$C36)</f>
        <v>93.235489905456092</v>
      </c>
      <c r="F36" s="56"/>
      <c r="G36" s="56"/>
      <c r="H36" s="56"/>
      <c r="I36" s="56"/>
      <c r="J36" s="56">
        <v>6</v>
      </c>
      <c r="K36" s="56"/>
      <c r="L36" s="56"/>
      <c r="M36" s="56"/>
      <c r="N36" s="56"/>
      <c r="O36" s="56">
        <f>求节点(武将升星!H$104:H$112,武将升星!$C$104:$C$112,武将数量星级阶位验证!BM26/J36)</f>
        <v>6.1155873008178832</v>
      </c>
      <c r="P36" s="110"/>
      <c r="Q36" s="110"/>
      <c r="R36" s="56" t="str">
        <f>IFERROR(MAX(0,求节点(武将进阶!F$4:F$8,武将进阶!$C$5:$C$9,W36)),"")</f>
        <v/>
      </c>
      <c r="S36" s="56" t="str">
        <f>IFERROR(MAX(0,求节点(武将进阶!G$4:G$8,武将进阶!$C$5:$C$9,X36)),"")</f>
        <v/>
      </c>
      <c r="T36" s="56">
        <f>IFERROR(MAX(0,求节点(武将进阶!H$4:H$8,武将进阶!$C$5:$C$9,Y36)),"")</f>
        <v>3.7294195962182437</v>
      </c>
      <c r="U36" s="56" t="str">
        <f>IF(F36="","",MIN($D36*2,武将进阶!D$10))</f>
        <v/>
      </c>
      <c r="V36" s="56" t="str">
        <f>IF(G36="","",MIN($D36*2,武将进阶!E$10))</f>
        <v/>
      </c>
      <c r="W36" s="56" t="str">
        <f>IF(H36="","",MIN($D36*2,武将进阶!F$10))</f>
        <v/>
      </c>
      <c r="X36" s="56" t="str">
        <f>IF(I36="","",MIN($D36*2,武将进阶!G$10))</f>
        <v/>
      </c>
      <c r="Y36" s="56">
        <f>IF(J36="","",MIN($D36*2,武将进阶!H$10))</f>
        <v>186.47097981091218</v>
      </c>
      <c r="Z36" s="111"/>
      <c r="AA36" s="111"/>
      <c r="AB36" s="111" t="str">
        <f t="shared" si="1"/>
        <v/>
      </c>
      <c r="AC36" s="111" t="str">
        <f t="shared" si="5"/>
        <v/>
      </c>
      <c r="AD36" s="111">
        <f t="shared" si="6"/>
        <v>2</v>
      </c>
      <c r="AE36" s="56"/>
      <c r="AF36" s="56"/>
      <c r="AG36" s="56"/>
      <c r="AH36" s="56"/>
      <c r="AI36" s="112">
        <f>MIN(求节点(武将天赋进度验证!$Q$5:$Q$164,武将天赋进度验证!$W$5:$W$164,$D36),武将天赋进度验证!AL26)</f>
        <v>5.8188522576685393E-2</v>
      </c>
      <c r="AJ36" s="112"/>
      <c r="AK36" s="112"/>
      <c r="AL36" s="56"/>
      <c r="AM36" s="56"/>
      <c r="AN36" s="56"/>
      <c r="AO36" s="82">
        <f>武将数量星级阶位验证!BM26</f>
        <v>68.080571414721902</v>
      </c>
      <c r="AT36" s="56">
        <v>112</v>
      </c>
      <c r="AU36" s="56"/>
      <c r="AV36" s="56"/>
      <c r="AW36" s="56">
        <v>2</v>
      </c>
      <c r="AX36" s="56">
        <v>2</v>
      </c>
      <c r="AY36" s="56">
        <v>2</v>
      </c>
    </row>
    <row r="37" spans="1:51" x14ac:dyDescent="0.15">
      <c r="A37" s="82">
        <f t="shared" si="0"/>
        <v>24</v>
      </c>
      <c r="B37" s="82">
        <f t="shared" si="7"/>
        <v>180</v>
      </c>
      <c r="C37" s="56">
        <v>820</v>
      </c>
      <c r="D37" s="56">
        <f>求节点(节奏总纲!$P$4:$P$163,节奏总纲!$O$4:$O$163,$C37)</f>
        <v>96.807063977001675</v>
      </c>
      <c r="F37" s="56"/>
      <c r="G37" s="56"/>
      <c r="H37" s="56"/>
      <c r="I37" s="56"/>
      <c r="J37" s="56">
        <v>6</v>
      </c>
      <c r="K37" s="56"/>
      <c r="L37" s="56"/>
      <c r="M37" s="56"/>
      <c r="N37" s="56"/>
      <c r="O37" s="56">
        <f>求节点(武将升星!H$104:H$112,武将升星!$C$104:$C$112,武将数量星级阶位验证!BM27/J37)</f>
        <v>6.9356937119181863</v>
      </c>
      <c r="P37" s="110"/>
      <c r="Q37" s="110"/>
      <c r="R37" s="56" t="str">
        <f>IFERROR(MAX(0,求节点(武将进阶!F$4:F$8,武将进阶!$C$5:$C$9,W37)),"")</f>
        <v/>
      </c>
      <c r="S37" s="56" t="str">
        <f>IFERROR(MAX(0,求节点(武将进阶!G$4:G$8,武将进阶!$C$5:$C$9,X37)),"")</f>
        <v/>
      </c>
      <c r="T37" s="56">
        <f>IFERROR(MAX(0,求节点(武将进阶!H$4:H$8,武将进阶!$C$5:$C$9,Y37)),"")</f>
        <v>3.8722825590800669</v>
      </c>
      <c r="U37" s="56" t="str">
        <f>IF(F37="","",MIN($D37*2,武将进阶!D$10))</f>
        <v/>
      </c>
      <c r="V37" s="56" t="str">
        <f>IF(G37="","",MIN($D37*2,武将进阶!E$10))</f>
        <v/>
      </c>
      <c r="W37" s="56" t="str">
        <f>IF(H37="","",MIN($D37*2,武将进阶!F$10))</f>
        <v/>
      </c>
      <c r="X37" s="56" t="str">
        <f>IF(I37="","",MIN($D37*2,武将进阶!G$10))</f>
        <v/>
      </c>
      <c r="Y37" s="56">
        <f>IF(J37="","",MIN($D37*2,武将进阶!H$10))</f>
        <v>193.61412795400335</v>
      </c>
      <c r="Z37" s="111"/>
      <c r="AA37" s="111"/>
      <c r="AB37" s="111" t="str">
        <f t="shared" si="1"/>
        <v/>
      </c>
      <c r="AC37" s="111" t="str">
        <f t="shared" si="5"/>
        <v/>
      </c>
      <c r="AD37" s="111">
        <f t="shared" si="6"/>
        <v>2</v>
      </c>
      <c r="AE37" s="56"/>
      <c r="AF37" s="56"/>
      <c r="AG37" s="56"/>
      <c r="AH37" s="56"/>
      <c r="AI37" s="112">
        <f>MIN(求节点(武将天赋进度验证!$Q$5:$Q$164,武将天赋进度验证!$W$5:$W$164,$D37),武将天赋进度验证!AL27)</f>
        <v>7.0805544285920827E-2</v>
      </c>
      <c r="AJ37" s="112"/>
      <c r="AK37" s="112"/>
      <c r="AL37" s="56"/>
      <c r="AM37" s="56"/>
      <c r="AN37" s="56"/>
      <c r="AO37" s="82">
        <f>武将数量星级阶位验证!BM27</f>
        <v>82.842486814527362</v>
      </c>
      <c r="AT37" s="56">
        <v>120</v>
      </c>
      <c r="AU37" s="56"/>
      <c r="AV37" s="56"/>
      <c r="AW37" s="56">
        <v>2</v>
      </c>
      <c r="AX37" s="56">
        <v>2</v>
      </c>
      <c r="AY37" s="56">
        <v>2</v>
      </c>
    </row>
    <row r="38" spans="1:51" x14ac:dyDescent="0.15">
      <c r="A38" s="82">
        <f t="shared" si="0"/>
        <v>25</v>
      </c>
      <c r="B38" s="82">
        <f t="shared" si="7"/>
        <v>240</v>
      </c>
      <c r="C38" s="56">
        <v>1060</v>
      </c>
      <c r="D38" s="56">
        <f>求节点(节奏总纲!$P$4:$P$163,节奏总纲!$O$4:$O$163,$C38)</f>
        <v>100.50342858241972</v>
      </c>
      <c r="F38" s="56"/>
      <c r="G38" s="56"/>
      <c r="H38" s="56"/>
      <c r="I38" s="56"/>
      <c r="J38" s="56">
        <v>6</v>
      </c>
      <c r="K38" s="56"/>
      <c r="L38" s="56"/>
      <c r="M38" s="56"/>
      <c r="N38" s="56"/>
      <c r="O38" s="56">
        <f>求节点(武将升星!H$104:H$112,武将升星!$C$104:$C$112,武将数量星级阶位验证!BM28/J38)</f>
        <v>7.7152380009663544</v>
      </c>
      <c r="P38" s="110"/>
      <c r="Q38" s="110"/>
      <c r="R38" s="56" t="str">
        <f>IFERROR(MAX(0,求节点(武将进阶!F$4:F$8,武将进阶!$C$5:$C$9,W38)),"")</f>
        <v/>
      </c>
      <c r="S38" s="56" t="str">
        <f>IFERROR(MAX(0,求节点(武将进阶!G$4:G$8,武将进阶!$C$5:$C$9,X38)),"")</f>
        <v/>
      </c>
      <c r="T38" s="56">
        <f>IFERROR(MAX(0,求节点(武将进阶!H$4:H$8,武将进阶!$C$5:$C$9,Y38)),"")</f>
        <v>4.0201371432967887</v>
      </c>
      <c r="U38" s="56" t="str">
        <f>IF(F38="","",MIN($D38*2,武将进阶!D$10))</f>
        <v/>
      </c>
      <c r="V38" s="56" t="str">
        <f>IF(G38="","",MIN($D38*2,武将进阶!E$10))</f>
        <v/>
      </c>
      <c r="W38" s="56" t="str">
        <f>IF(H38="","",MIN($D38*2,武将进阶!F$10))</f>
        <v/>
      </c>
      <c r="X38" s="56" t="str">
        <f>IF(I38="","",MIN($D38*2,武将进阶!G$10))</f>
        <v/>
      </c>
      <c r="Y38" s="56">
        <f>IF(J38="","",MIN($D38*2,武将进阶!H$10))</f>
        <v>201.00685716483943</v>
      </c>
      <c r="Z38" s="111"/>
      <c r="AA38" s="111"/>
      <c r="AB38" s="111" t="str">
        <f t="shared" si="1"/>
        <v/>
      </c>
      <c r="AC38" s="111" t="str">
        <f t="shared" si="5"/>
        <v/>
      </c>
      <c r="AD38" s="111">
        <f t="shared" si="6"/>
        <v>2</v>
      </c>
      <c r="AE38" s="56"/>
      <c r="AF38" s="56"/>
      <c r="AG38" s="56"/>
      <c r="AH38" s="56"/>
      <c r="AI38" s="112">
        <f>MIN(求节点(武将天赋进度验证!$Q$5:$Q$164,武将天赋进度验证!$W$5:$W$164,$D38),武将天赋进度验证!AL28)</f>
        <v>8.6466420532643168E-2</v>
      </c>
      <c r="AJ38" s="112"/>
      <c r="AK38" s="112"/>
      <c r="AL38" s="56"/>
      <c r="AM38" s="56"/>
      <c r="AN38" s="56"/>
      <c r="AO38" s="82">
        <f>武将数量星级阶位验证!BM28</f>
        <v>101.1657120231925</v>
      </c>
      <c r="AT38" s="56">
        <v>128</v>
      </c>
      <c r="AU38" s="56"/>
      <c r="AV38" s="56"/>
      <c r="AW38" s="56">
        <v>2</v>
      </c>
      <c r="AX38" s="56">
        <v>2</v>
      </c>
      <c r="AY38" s="56">
        <v>2</v>
      </c>
    </row>
    <row r="39" spans="1:51" x14ac:dyDescent="0.15">
      <c r="A39" s="82">
        <f t="shared" si="0"/>
        <v>26</v>
      </c>
      <c r="B39" s="82">
        <f t="shared" si="7"/>
        <v>300</v>
      </c>
      <c r="C39" s="56">
        <v>1360</v>
      </c>
      <c r="D39" s="56">
        <f>求节点(节奏总纲!$P$4:$P$163,节奏总纲!$O$4:$O$163,$C39)</f>
        <v>104.10129967499306</v>
      </c>
      <c r="F39" s="56"/>
      <c r="G39" s="56"/>
      <c r="H39" s="56"/>
      <c r="I39" s="56"/>
      <c r="J39" s="56">
        <v>6</v>
      </c>
      <c r="K39" s="56"/>
      <c r="L39" s="56"/>
      <c r="M39" s="56"/>
      <c r="N39" s="56"/>
      <c r="O39" s="56">
        <f>求节点(武将升星!H$104:H$112,武将升星!$C$104:$C$112,武将数量星级阶位验证!BM29/J39)</f>
        <v>8</v>
      </c>
      <c r="P39" s="110"/>
      <c r="Q39" s="110"/>
      <c r="R39" s="56" t="str">
        <f>IFERROR(MAX(0,求节点(武将进阶!F$4:F$8,武将进阶!$C$5:$C$9,W39)),"")</f>
        <v/>
      </c>
      <c r="S39" s="56" t="str">
        <f>IFERROR(MAX(0,求节点(武将进阶!G$4:G$8,武将进阶!$C$5:$C$9,X39)),"")</f>
        <v/>
      </c>
      <c r="T39" s="56">
        <f>IFERROR(MAX(0,求节点(武将进阶!H$4:H$8,武将进阶!$C$5:$C$9,Y39)),"")</f>
        <v>4.1640519869997226</v>
      </c>
      <c r="U39" s="56" t="str">
        <f>IF(F39="","",MIN($D39*2,武将进阶!D$10))</f>
        <v/>
      </c>
      <c r="V39" s="56" t="str">
        <f>IF(G39="","",MIN($D39*2,武将进阶!E$10))</f>
        <v/>
      </c>
      <c r="W39" s="56" t="str">
        <f>IF(H39="","",MIN($D39*2,武将进阶!F$10))</f>
        <v/>
      </c>
      <c r="X39" s="56" t="str">
        <f>IF(I39="","",MIN($D39*2,武将进阶!G$10))</f>
        <v/>
      </c>
      <c r="Y39" s="56">
        <f>IF(J39="","",MIN($D39*2,武将进阶!H$10))</f>
        <v>208.20259934998612</v>
      </c>
      <c r="Z39" s="111"/>
      <c r="AA39" s="111"/>
      <c r="AB39" s="111" t="str">
        <f t="shared" si="1"/>
        <v/>
      </c>
      <c r="AC39" s="111" t="str">
        <f t="shared" si="5"/>
        <v/>
      </c>
      <c r="AD39" s="111">
        <f t="shared" si="6"/>
        <v>2</v>
      </c>
      <c r="AE39" s="56"/>
      <c r="AF39" s="56"/>
      <c r="AG39" s="56"/>
      <c r="AH39" s="56"/>
      <c r="AI39" s="112">
        <f>MIN(求节点(武将天赋进度验证!$Q$5:$Q$164,武将天赋进度验证!$W$5:$W$164,$D39),武将天赋进度验证!AL29)</f>
        <v>0.21235142221947073</v>
      </c>
      <c r="AJ39" s="112"/>
      <c r="AK39" s="112"/>
      <c r="AL39" s="56"/>
      <c r="AM39" s="56"/>
      <c r="AN39" s="56"/>
      <c r="AO39" s="82">
        <f>武将数量星级阶位验证!BM29</f>
        <v>127.11162799975236</v>
      </c>
      <c r="AT39" s="56">
        <v>136</v>
      </c>
      <c r="AU39" s="56"/>
      <c r="AV39" s="56"/>
      <c r="AW39" s="56">
        <v>2</v>
      </c>
      <c r="AX39" s="56">
        <v>2</v>
      </c>
      <c r="AY39" s="56">
        <v>2</v>
      </c>
    </row>
    <row r="40" spans="1:51" x14ac:dyDescent="0.15">
      <c r="A40" s="82">
        <f t="shared" si="0"/>
        <v>27</v>
      </c>
      <c r="B40" s="82">
        <f t="shared" si="7"/>
        <v>360</v>
      </c>
      <c r="C40" s="56">
        <v>1720</v>
      </c>
      <c r="D40" s="56">
        <f>求节点(节奏总纲!$P$4:$P$163,节奏总纲!$O$4:$O$163,$C40)</f>
        <v>107.48165553683219</v>
      </c>
      <c r="F40" s="56"/>
      <c r="G40" s="56"/>
      <c r="H40" s="56"/>
      <c r="I40" s="56"/>
      <c r="J40" s="56">
        <v>6</v>
      </c>
      <c r="K40" s="56"/>
      <c r="L40" s="56"/>
      <c r="M40" s="56"/>
      <c r="N40" s="56"/>
      <c r="O40" s="56">
        <f>求节点(武将升星!H$104:H$112,武将升星!$C$104:$C$112,武将数量星级阶位验证!BM30/J40)</f>
        <v>8</v>
      </c>
      <c r="P40" s="110"/>
      <c r="Q40" s="110"/>
      <c r="R40" s="56" t="str">
        <f>IFERROR(MAX(0,求节点(武将进阶!F$4:F$8,武将进阶!$C$5:$C$9,W40)),"")</f>
        <v/>
      </c>
      <c r="S40" s="56" t="str">
        <f>IFERROR(MAX(0,求节点(武将进阶!G$4:G$8,武将进阶!$C$5:$C$9,X40)),"")</f>
        <v/>
      </c>
      <c r="T40" s="56">
        <f>IFERROR(MAX(0,求节点(武将进阶!H$4:H$8,武将进阶!$C$5:$C$9,Y40)),"")</f>
        <v>4.299266221473288</v>
      </c>
      <c r="U40" s="56" t="str">
        <f>IF(F40="","",MIN($D40*2,武将进阶!D$10))</f>
        <v/>
      </c>
      <c r="V40" s="56" t="str">
        <f>IF(G40="","",MIN($D40*2,武将进阶!E$10))</f>
        <v/>
      </c>
      <c r="W40" s="56" t="str">
        <f>IF(H40="","",MIN($D40*2,武将进阶!F$10))</f>
        <v/>
      </c>
      <c r="X40" s="56" t="str">
        <f>IF(I40="","",MIN($D40*2,武将进阶!G$10))</f>
        <v/>
      </c>
      <c r="Y40" s="56">
        <f>IF(J40="","",MIN($D40*2,武将进阶!H$10))</f>
        <v>214.96331107366439</v>
      </c>
      <c r="Z40" s="111"/>
      <c r="AA40" s="111"/>
      <c r="AB40" s="111" t="str">
        <f t="shared" si="1"/>
        <v/>
      </c>
      <c r="AC40" s="111" t="str">
        <f t="shared" si="5"/>
        <v/>
      </c>
      <c r="AD40" s="111">
        <f t="shared" si="6"/>
        <v>2</v>
      </c>
      <c r="AE40" s="56"/>
      <c r="AF40" s="56"/>
      <c r="AG40" s="56"/>
      <c r="AH40" s="56"/>
      <c r="AI40" s="112">
        <f>MIN(求节点(武将天赋进度验证!$Q$5:$Q$164,武将天赋进度验证!$W$5:$W$164,$D40),武将天赋进度验证!AL30)</f>
        <v>0.5</v>
      </c>
      <c r="AJ40" s="112"/>
      <c r="AK40" s="112"/>
      <c r="AL40" s="56"/>
      <c r="AM40" s="56"/>
      <c r="AN40" s="56"/>
      <c r="AO40" s="82">
        <f>武将数量星级阶位验证!BM30</f>
        <v>156.43166801338123</v>
      </c>
      <c r="AT40" s="56">
        <v>144</v>
      </c>
      <c r="AU40" s="56"/>
      <c r="AV40" s="56"/>
      <c r="AW40" s="56">
        <v>2</v>
      </c>
      <c r="AX40" s="56">
        <v>2</v>
      </c>
      <c r="AY40" s="56">
        <v>2</v>
      </c>
    </row>
    <row r="41" spans="1:51" x14ac:dyDescent="0.15">
      <c r="A41" s="82">
        <f t="shared" si="0"/>
        <v>28</v>
      </c>
      <c r="B41" s="82">
        <f t="shared" si="7"/>
        <v>480</v>
      </c>
      <c r="C41" s="56">
        <v>2200</v>
      </c>
      <c r="D41" s="56">
        <f>求节点(节奏总纲!$P$4:$P$163,节奏总纲!$O$4:$O$163,$C41)</f>
        <v>111.03813549320469</v>
      </c>
      <c r="F41" s="56"/>
      <c r="G41" s="56"/>
      <c r="H41" s="56"/>
      <c r="I41" s="56"/>
      <c r="J41" s="56">
        <v>6</v>
      </c>
      <c r="K41" s="56"/>
      <c r="L41" s="56"/>
      <c r="M41" s="56"/>
      <c r="N41" s="56"/>
      <c r="O41" s="56">
        <f>求节点(武将升星!H$104:H$112,武将升星!$C$104:$C$112,武将数量星级阶位验证!BM31/J41)</f>
        <v>8</v>
      </c>
      <c r="P41" s="110"/>
      <c r="Q41" s="110"/>
      <c r="R41" s="56" t="str">
        <f>IFERROR(MAX(0,求节点(武将进阶!F$4:F$8,武将进阶!$C$5:$C$9,W41)),"")</f>
        <v/>
      </c>
      <c r="S41" s="56" t="str">
        <f>IFERROR(MAX(0,求节点(武将进阶!G$4:G$8,武将进阶!$C$5:$C$9,X41)),"")</f>
        <v/>
      </c>
      <c r="T41" s="56">
        <f>IFERROR(MAX(0,求节点(武将进阶!H$4:H$8,武将进阶!$C$5:$C$9,Y41)),"")</f>
        <v>4.4415254197281877</v>
      </c>
      <c r="U41" s="56" t="str">
        <f>IF(F41="","",MIN($D41*2,武将进阶!D$10))</f>
        <v/>
      </c>
      <c r="V41" s="56" t="str">
        <f>IF(G41="","",MIN($D41*2,武将进阶!E$10))</f>
        <v/>
      </c>
      <c r="W41" s="56" t="str">
        <f>IF(H41="","",MIN($D41*2,武将进阶!F$10))</f>
        <v/>
      </c>
      <c r="X41" s="56" t="str">
        <f>IF(I41="","",MIN($D41*2,武将进阶!G$10))</f>
        <v/>
      </c>
      <c r="Y41" s="56">
        <f>IF(J41="","",MIN($D41*2,武将进阶!H$10))</f>
        <v>222.07627098640938</v>
      </c>
      <c r="Z41" s="111"/>
      <c r="AA41" s="111"/>
      <c r="AB41" s="111" t="str">
        <f t="shared" si="1"/>
        <v/>
      </c>
      <c r="AC41" s="111" t="str">
        <f t="shared" si="5"/>
        <v/>
      </c>
      <c r="AD41" s="111">
        <f t="shared" si="6"/>
        <v>2</v>
      </c>
      <c r="AE41" s="56"/>
      <c r="AF41" s="56"/>
      <c r="AG41" s="56"/>
      <c r="AH41" s="56"/>
      <c r="AI41" s="112">
        <f>MIN(求节点(武将天赋进度验证!$Q$5:$Q$164,武将天赋进度验证!$W$5:$W$164,$D41),武将天赋进度验证!AL31)</f>
        <v>0.75962873583845381</v>
      </c>
      <c r="AJ41" s="112"/>
      <c r="AK41" s="112"/>
      <c r="AL41" s="56"/>
      <c r="AM41" s="56"/>
      <c r="AN41" s="56"/>
      <c r="AO41" s="82">
        <f>武将数量星级阶位验证!BM31</f>
        <v>194.36658622546085</v>
      </c>
      <c r="AT41" s="56">
        <v>152</v>
      </c>
      <c r="AU41" s="56"/>
      <c r="AV41" s="56"/>
      <c r="AW41" s="56">
        <v>2</v>
      </c>
      <c r="AX41" s="56">
        <v>2</v>
      </c>
      <c r="AY41" s="56">
        <v>2</v>
      </c>
    </row>
    <row r="42" spans="1:51" x14ac:dyDescent="0.15">
      <c r="A42" s="82">
        <f t="shared" si="0"/>
        <v>29</v>
      </c>
      <c r="B42" s="82">
        <f t="shared" si="7"/>
        <v>600</v>
      </c>
      <c r="C42" s="56">
        <v>2800</v>
      </c>
      <c r="D42" s="56">
        <f>求节点(节奏总纲!$P$4:$P$163,节奏总纲!$O$4:$O$163,$C42)</f>
        <v>114.50860608277577</v>
      </c>
      <c r="F42" s="56"/>
      <c r="G42" s="56"/>
      <c r="H42" s="56"/>
      <c r="I42" s="56"/>
      <c r="J42" s="56">
        <v>6</v>
      </c>
      <c r="K42" s="56"/>
      <c r="L42" s="56"/>
      <c r="M42" s="56"/>
      <c r="N42" s="56"/>
      <c r="O42" s="56">
        <f>求节点(武将升星!H$104:H$112,武将升星!$C$104:$C$112,武将数量星级阶位验证!BM32/J42)</f>
        <v>8</v>
      </c>
      <c r="P42" s="110"/>
      <c r="Q42" s="110"/>
      <c r="R42" s="56" t="str">
        <f>IFERROR(MAX(0,求节点(武将进阶!F$4:F$8,武将进阶!$C$5:$C$9,W42)),"")</f>
        <v/>
      </c>
      <c r="S42" s="56" t="str">
        <f>IFERROR(MAX(0,求节点(武将进阶!G$4:G$8,武将进阶!$C$5:$C$9,X42)),"")</f>
        <v/>
      </c>
      <c r="T42" s="56">
        <f>IFERROR(MAX(0,求节点(武将进阶!H$4:H$8,武将进阶!$C$5:$C$9,Y42)),"")</f>
        <v>4.5803442433110311</v>
      </c>
      <c r="U42" s="56" t="str">
        <f>IF(F42="","",MIN($D42*2,武将进阶!D$10))</f>
        <v/>
      </c>
      <c r="V42" s="56" t="str">
        <f>IF(G42="","",MIN($D42*2,武将进阶!E$10))</f>
        <v/>
      </c>
      <c r="W42" s="56" t="str">
        <f>IF(H42="","",MIN($D42*2,武将进阶!F$10))</f>
        <v/>
      </c>
      <c r="X42" s="56" t="str">
        <f>IF(I42="","",MIN($D42*2,武将进阶!G$10))</f>
        <v/>
      </c>
      <c r="Y42" s="56">
        <f>IF(J42="","",MIN($D42*2,武将进阶!H$10))</f>
        <v>229.01721216555154</v>
      </c>
      <c r="Z42" s="111"/>
      <c r="AA42" s="111"/>
      <c r="AB42" s="111" t="str">
        <f t="shared" si="1"/>
        <v/>
      </c>
      <c r="AC42" s="111" t="str">
        <f t="shared" si="5"/>
        <v/>
      </c>
      <c r="AD42" s="111">
        <f t="shared" si="6"/>
        <v>2</v>
      </c>
      <c r="AE42" s="56"/>
      <c r="AF42" s="56"/>
      <c r="AG42" s="56"/>
      <c r="AH42" s="56"/>
      <c r="AI42" s="112">
        <f>MIN(求节点(武将天赋进度验证!$Q$5:$Q$164,武将天赋进度验证!$W$5:$W$164,$D42),武将天赋进度验证!AL32)</f>
        <v>1</v>
      </c>
      <c r="AJ42" s="112"/>
      <c r="AK42" s="112"/>
      <c r="AL42" s="56"/>
      <c r="AM42" s="56"/>
      <c r="AN42" s="56"/>
      <c r="AO42" s="82">
        <f>武将数量星级阶位验证!BM32</f>
        <v>241.18347892046728</v>
      </c>
      <c r="AT42" s="56">
        <v>160</v>
      </c>
      <c r="AU42" s="56"/>
      <c r="AV42" s="56"/>
      <c r="AW42" s="56">
        <v>2</v>
      </c>
      <c r="AX42" s="56">
        <v>2</v>
      </c>
      <c r="AY42" s="56">
        <v>2</v>
      </c>
    </row>
    <row r="43" spans="1:51" x14ac:dyDescent="0.15">
      <c r="A43" s="82">
        <f t="shared" si="0"/>
        <v>30</v>
      </c>
      <c r="B43" s="82">
        <f t="shared" si="7"/>
        <v>780</v>
      </c>
      <c r="C43" s="56">
        <v>3580</v>
      </c>
      <c r="D43" s="56">
        <f>求节点(节奏总纲!$P$4:$P$163,节奏总纲!$O$4:$O$163,$C43)</f>
        <v>118.05948896247369</v>
      </c>
      <c r="F43" s="56"/>
      <c r="G43" s="56"/>
      <c r="H43" s="56"/>
      <c r="I43" s="56"/>
      <c r="J43" s="56">
        <v>6</v>
      </c>
      <c r="K43" s="56"/>
      <c r="L43" s="56"/>
      <c r="M43" s="56"/>
      <c r="N43" s="56"/>
      <c r="O43" s="56">
        <f>求节点(武将升星!H$104:H$112,武将升星!$C$104:$C$112,武将数量星级阶位验证!BM33/J43)</f>
        <v>8</v>
      </c>
      <c r="P43" s="110"/>
      <c r="Q43" s="110"/>
      <c r="R43" s="56" t="str">
        <f>IFERROR(MAX(0,求节点(武将进阶!F$4:F$8,武将进阶!$C$5:$C$9,W43)),"")</f>
        <v/>
      </c>
      <c r="S43" s="56" t="str">
        <f>IFERROR(MAX(0,求节点(武将进阶!G$4:G$8,武将进阶!$C$5:$C$9,X43)),"")</f>
        <v/>
      </c>
      <c r="T43" s="56">
        <f>IFERROR(MAX(0,求节点(武将进阶!H$4:H$8,武将进阶!$C$5:$C$9,Y43)),"")</f>
        <v>4.7223795584989476</v>
      </c>
      <c r="U43" s="56" t="str">
        <f>IF(F43="","",MIN($D43*2,武将进阶!D$10))</f>
        <v/>
      </c>
      <c r="V43" s="56" t="str">
        <f>IF(G43="","",MIN($D43*2,武将进阶!E$10))</f>
        <v/>
      </c>
      <c r="W43" s="56" t="str">
        <f>IF(H43="","",MIN($D43*2,武将进阶!F$10))</f>
        <v/>
      </c>
      <c r="X43" s="56" t="str">
        <f>IF(I43="","",MIN($D43*2,武将进阶!G$10))</f>
        <v/>
      </c>
      <c r="Y43" s="56">
        <f>IF(J43="","",MIN($D43*2,武将进阶!H$10))</f>
        <v>236.11897792494739</v>
      </c>
      <c r="Z43" s="111"/>
      <c r="AA43" s="111"/>
      <c r="AB43" s="111" t="str">
        <f t="shared" ref="AB43:AB55" si="8">IF(H43="","",求节点($AT$17:$AT$55,AW$17:AW$55,$D43))</f>
        <v/>
      </c>
      <c r="AC43" s="111" t="str">
        <f t="shared" ref="AC43:AC55" si="9">IF(I43="","",求节点($AT$17:$AT$55,AX$17:AX$55,$D43))</f>
        <v/>
      </c>
      <c r="AD43" s="111">
        <f t="shared" ref="AD43:AD55" si="10">IF(J43="","",求节点($AT$17:$AT$55,AY$17:AY$55,$D43))</f>
        <v>2</v>
      </c>
      <c r="AE43" s="56"/>
      <c r="AF43" s="56"/>
      <c r="AG43" s="56"/>
      <c r="AH43" s="56"/>
      <c r="AI43" s="112">
        <f>MIN(求节点(武将天赋进度验证!$Q$5:$Q$164,武将天赋进度验证!$W$5:$W$164,$D43),武将天赋进度验证!AL33)</f>
        <v>1</v>
      </c>
      <c r="AJ43" s="112"/>
      <c r="AK43" s="112"/>
      <c r="AL43" s="56"/>
      <c r="AM43" s="56"/>
      <c r="AN43" s="56"/>
      <c r="AO43" s="82">
        <f>武将数量星级阶位验证!BM33</f>
        <v>298.96017939024421</v>
      </c>
      <c r="AT43" s="56">
        <v>168</v>
      </c>
      <c r="AU43" s="56"/>
      <c r="AV43" s="56"/>
      <c r="AW43" s="56">
        <v>2</v>
      </c>
      <c r="AX43" s="56">
        <v>2</v>
      </c>
      <c r="AY43" s="56">
        <v>2</v>
      </c>
    </row>
    <row r="44" spans="1:51" x14ac:dyDescent="0.15">
      <c r="A44" s="82">
        <f t="shared" si="0"/>
        <v>31</v>
      </c>
      <c r="B44" s="82">
        <f t="shared" si="7"/>
        <v>960</v>
      </c>
      <c r="C44" s="56">
        <v>4540</v>
      </c>
      <c r="D44" s="56">
        <f>求节点(节奏总纲!$P$4:$P$163,节奏总纲!$O$4:$O$163,$C44)</f>
        <v>121.47928719052189</v>
      </c>
      <c r="F44" s="56"/>
      <c r="G44" s="56"/>
      <c r="H44" s="56"/>
      <c r="I44" s="56"/>
      <c r="J44" s="56">
        <v>6</v>
      </c>
      <c r="K44" s="56"/>
      <c r="L44" s="56"/>
      <c r="M44" s="56"/>
      <c r="N44" s="56"/>
      <c r="O44" s="56">
        <f>求节点(武将升星!H$104:H$112,武将升星!$C$104:$C$112,武将数量星级阶位验证!BM34/J44)</f>
        <v>8</v>
      </c>
      <c r="P44" s="110"/>
      <c r="Q44" s="110"/>
      <c r="R44" s="56" t="str">
        <f>IFERROR(MAX(0,求节点(武将进阶!F$4:F$8,武将进阶!$C$5:$C$9,W44)),"")</f>
        <v/>
      </c>
      <c r="S44" s="56" t="str">
        <f>IFERROR(MAX(0,求节点(武将进阶!G$4:G$8,武将进阶!$C$5:$C$9,X44)),"")</f>
        <v/>
      </c>
      <c r="T44" s="56">
        <f>IFERROR(MAX(0,求节点(武将进阶!H$4:H$8,武将进阶!$C$5:$C$9,Y44)),"")</f>
        <v>4.8591714876208751</v>
      </c>
      <c r="U44" s="56" t="str">
        <f>IF(F44="","",MIN($D44*2,武将进阶!D$10))</f>
        <v/>
      </c>
      <c r="V44" s="56" t="str">
        <f>IF(G44="","",MIN($D44*2,武将进阶!E$10))</f>
        <v/>
      </c>
      <c r="W44" s="56" t="str">
        <f>IF(H44="","",MIN($D44*2,武将进阶!F$10))</f>
        <v/>
      </c>
      <c r="X44" s="56" t="str">
        <f>IF(I44="","",MIN($D44*2,武将进阶!G$10))</f>
        <v/>
      </c>
      <c r="Y44" s="56">
        <f>IF(J44="","",MIN($D44*2,武将进阶!H$10))</f>
        <v>242.95857438104377</v>
      </c>
      <c r="Z44" s="111"/>
      <c r="AA44" s="111"/>
      <c r="AB44" s="111" t="str">
        <f t="shared" si="8"/>
        <v/>
      </c>
      <c r="AC44" s="111" t="str">
        <f t="shared" si="9"/>
        <v/>
      </c>
      <c r="AD44" s="111">
        <f t="shared" si="10"/>
        <v>2</v>
      </c>
      <c r="AE44" s="56"/>
      <c r="AF44" s="56"/>
      <c r="AG44" s="56"/>
      <c r="AH44" s="56"/>
      <c r="AI44" s="112">
        <f>MIN(求节点(武将天赋进度验证!$Q$5:$Q$164,武将天赋进度验证!$W$5:$W$164,$D44),武将天赋进度验证!AL34)</f>
        <v>1</v>
      </c>
      <c r="AJ44" s="112"/>
      <c r="AK44" s="112"/>
      <c r="AL44" s="56"/>
      <c r="AM44" s="56"/>
      <c r="AN44" s="56"/>
      <c r="AO44" s="82">
        <f>武将数量星级阶位验证!BM34</f>
        <v>368.57312627795795</v>
      </c>
      <c r="AT44" s="56">
        <v>176</v>
      </c>
      <c r="AU44" s="56"/>
      <c r="AV44" s="56"/>
      <c r="AW44" s="56">
        <v>2</v>
      </c>
      <c r="AX44" s="56">
        <v>2</v>
      </c>
      <c r="AY44" s="56">
        <v>2</v>
      </c>
    </row>
    <row r="45" spans="1:51" x14ac:dyDescent="0.15">
      <c r="A45" s="82">
        <f t="shared" si="0"/>
        <v>32</v>
      </c>
      <c r="B45" s="82">
        <f t="shared" si="7"/>
        <v>1260</v>
      </c>
      <c r="C45" s="56">
        <v>5800</v>
      </c>
      <c r="D45" s="56">
        <f>求节点(节奏总纲!$P$4:$P$163,节奏总纲!$O$4:$O$163,$C45)</f>
        <v>125.02015904129435</v>
      </c>
      <c r="F45" s="56"/>
      <c r="G45" s="56"/>
      <c r="H45" s="56"/>
      <c r="I45" s="56"/>
      <c r="J45" s="56">
        <v>6</v>
      </c>
      <c r="K45" s="56"/>
      <c r="L45" s="56"/>
      <c r="M45" s="56"/>
      <c r="N45" s="56"/>
      <c r="O45" s="56">
        <f>求节点(武将升星!H$104:H$112,武将升星!$C$104:$C$112,武将数量星级阶位验证!BM35/J45)</f>
        <v>8</v>
      </c>
      <c r="P45" s="110"/>
      <c r="Q45" s="110"/>
      <c r="R45" s="56" t="str">
        <f>IFERROR(MAX(0,求节点(武将进阶!F$4:F$8,武将进阶!$C$5:$C$9,W45)),"")</f>
        <v/>
      </c>
      <c r="S45" s="56" t="str">
        <f>IFERROR(MAX(0,求节点(武将进阶!G$4:G$8,武将进阶!$C$5:$C$9,X45)),"")</f>
        <v/>
      </c>
      <c r="T45" s="56">
        <f>IFERROR(MAX(0,求节点(武将进阶!H$4:H$8,武将进阶!$C$5:$C$9,Y45)),"")</f>
        <v>5</v>
      </c>
      <c r="U45" s="56" t="str">
        <f>IF(F45="","",MIN($D45*2,武将进阶!D$10))</f>
        <v/>
      </c>
      <c r="V45" s="56" t="str">
        <f>IF(G45="","",MIN($D45*2,武将进阶!E$10))</f>
        <v/>
      </c>
      <c r="W45" s="56" t="str">
        <f>IF(H45="","",MIN($D45*2,武将进阶!F$10))</f>
        <v/>
      </c>
      <c r="X45" s="56" t="str">
        <f>IF(I45="","",MIN($D45*2,武将进阶!G$10))</f>
        <v/>
      </c>
      <c r="Y45" s="56">
        <f>IF(J45="","",MIN($D45*2,武将进阶!H$10))</f>
        <v>250.0403180825887</v>
      </c>
      <c r="Z45" s="111"/>
      <c r="AA45" s="111"/>
      <c r="AB45" s="111" t="str">
        <f t="shared" si="8"/>
        <v/>
      </c>
      <c r="AC45" s="111" t="str">
        <f t="shared" si="9"/>
        <v/>
      </c>
      <c r="AD45" s="111">
        <f t="shared" si="10"/>
        <v>2</v>
      </c>
      <c r="AE45" s="56"/>
      <c r="AF45" s="56"/>
      <c r="AG45" s="56"/>
      <c r="AH45" s="56"/>
      <c r="AI45" s="112">
        <f>MIN(求节点(武将天赋进度验证!$Q$5:$Q$164,武将天赋进度验证!$W$5:$W$164,$D45),武将天赋进度验证!AL35)</f>
        <v>1</v>
      </c>
      <c r="AJ45" s="112"/>
      <c r="AK45" s="112"/>
      <c r="AL45" s="56"/>
      <c r="AM45" s="56"/>
      <c r="AN45" s="56"/>
      <c r="AO45" s="82">
        <f>武将数量星级阶位验证!BM35</f>
        <v>458.38624773992649</v>
      </c>
      <c r="AT45" s="56">
        <v>184</v>
      </c>
      <c r="AU45" s="56"/>
      <c r="AV45" s="56"/>
      <c r="AW45" s="56">
        <v>2</v>
      </c>
      <c r="AX45" s="56">
        <v>2</v>
      </c>
      <c r="AY45" s="56">
        <v>2</v>
      </c>
    </row>
    <row r="46" spans="1:51" x14ac:dyDescent="0.15">
      <c r="A46" s="82">
        <f t="shared" si="0"/>
        <v>33</v>
      </c>
      <c r="B46" s="82">
        <f t="shared" si="7"/>
        <v>1620</v>
      </c>
      <c r="C46" s="56">
        <v>7420</v>
      </c>
      <c r="D46" s="56">
        <f>求节点(节奏总纲!$P$4:$P$163,节奏总纲!$O$4:$O$163,$C46)</f>
        <v>128.56549059889721</v>
      </c>
      <c r="F46" s="56"/>
      <c r="G46" s="56"/>
      <c r="H46" s="56"/>
      <c r="I46" s="56"/>
      <c r="J46" s="56">
        <v>6</v>
      </c>
      <c r="K46" s="56"/>
      <c r="L46" s="56"/>
      <c r="M46" s="56"/>
      <c r="N46" s="56"/>
      <c r="O46" s="56">
        <f>求节点(武将升星!H$104:H$112,武将升星!$C$104:$C$112,武将数量星级阶位验证!BM36/J46)</f>
        <v>8</v>
      </c>
      <c r="P46" s="110"/>
      <c r="Q46" s="110"/>
      <c r="R46" s="56" t="str">
        <f>IFERROR(MAX(0,求节点(武将进阶!F$4:F$8,武将进阶!$C$5:$C$9,W46)),"")</f>
        <v/>
      </c>
      <c r="S46" s="56" t="str">
        <f>IFERROR(MAX(0,求节点(武将进阶!G$4:G$8,武将进阶!$C$5:$C$9,X46)),"")</f>
        <v/>
      </c>
      <c r="T46" s="56">
        <f>IFERROR(MAX(0,求节点(武将进阶!H$4:H$8,武将进阶!$C$5:$C$9,Y46)),"")</f>
        <v>5</v>
      </c>
      <c r="U46" s="56" t="str">
        <f>IF(F46="","",MIN($D46*2,武将进阶!D$10))</f>
        <v/>
      </c>
      <c r="V46" s="56" t="str">
        <f>IF(G46="","",MIN($D46*2,武将进阶!E$10))</f>
        <v/>
      </c>
      <c r="W46" s="56" t="str">
        <f>IF(H46="","",MIN($D46*2,武将进阶!F$10))</f>
        <v/>
      </c>
      <c r="X46" s="56" t="str">
        <f>IF(I46="","",MIN($D46*2,武将进阶!G$10))</f>
        <v/>
      </c>
      <c r="Y46" s="56">
        <f>IF(J46="","",MIN($D46*2,武将进阶!H$10))</f>
        <v>257.13098119779443</v>
      </c>
      <c r="Z46" s="111"/>
      <c r="AA46" s="111"/>
      <c r="AB46" s="111" t="str">
        <f t="shared" si="8"/>
        <v/>
      </c>
      <c r="AC46" s="111" t="str">
        <f t="shared" si="9"/>
        <v/>
      </c>
      <c r="AD46" s="111">
        <f t="shared" si="10"/>
        <v>2</v>
      </c>
      <c r="AE46" s="56"/>
      <c r="AF46" s="56"/>
      <c r="AG46" s="56"/>
      <c r="AH46" s="56"/>
      <c r="AI46" s="112">
        <f>MIN(求节点(武将天赋进度验证!$Q$5:$Q$164,武将天赋进度验证!$W$5:$W$164,$D46),武将天赋进度验证!AL36)</f>
        <v>1</v>
      </c>
      <c r="AJ46" s="112"/>
      <c r="AK46" s="112"/>
      <c r="AL46" s="56"/>
      <c r="AM46" s="56"/>
      <c r="AN46" s="56"/>
      <c r="AO46" s="82">
        <f>武将数量星级阶位验证!BM36</f>
        <v>568.91714031304912</v>
      </c>
      <c r="AT46" s="56">
        <v>192</v>
      </c>
      <c r="AU46" s="56"/>
      <c r="AV46" s="56"/>
      <c r="AW46" s="56">
        <v>2</v>
      </c>
      <c r="AX46" s="56">
        <v>2</v>
      </c>
      <c r="AY46" s="56">
        <v>2</v>
      </c>
    </row>
    <row r="47" spans="1:51" x14ac:dyDescent="0.15">
      <c r="A47" s="82">
        <f t="shared" si="0"/>
        <v>34</v>
      </c>
      <c r="B47" s="82">
        <f t="shared" si="7"/>
        <v>2040</v>
      </c>
      <c r="C47" s="56">
        <v>9460</v>
      </c>
      <c r="D47" s="56">
        <f>求节点(节奏总纲!$P$4:$P$163,节奏总纲!$O$4:$O$163,$C47)</f>
        <v>132.07530828871487</v>
      </c>
      <c r="F47" s="56"/>
      <c r="G47" s="56"/>
      <c r="H47" s="56"/>
      <c r="I47" s="56"/>
      <c r="J47" s="56">
        <v>6</v>
      </c>
      <c r="K47" s="56"/>
      <c r="L47" s="56"/>
      <c r="M47" s="56"/>
      <c r="N47" s="56"/>
      <c r="O47" s="56">
        <f>求节点(武将升星!H$104:H$112,武将升星!$C$104:$C$112,武将数量星级阶位验证!BM37/J47)</f>
        <v>8</v>
      </c>
      <c r="P47" s="110"/>
      <c r="Q47" s="110"/>
      <c r="R47" s="56" t="str">
        <f>IFERROR(MAX(0,求节点(武将进阶!F$4:F$8,武将进阶!$C$5:$C$9,W47)),"")</f>
        <v/>
      </c>
      <c r="S47" s="56" t="str">
        <f>IFERROR(MAX(0,求节点(武将进阶!G$4:G$8,武将进阶!$C$5:$C$9,X47)),"")</f>
        <v/>
      </c>
      <c r="T47" s="56">
        <f>IFERROR(MAX(0,求节点(武将进阶!H$4:H$8,武将进阶!$C$5:$C$9,Y47)),"")</f>
        <v>5</v>
      </c>
      <c r="U47" s="56" t="str">
        <f>IF(F47="","",MIN($D47*2,武将进阶!D$10))</f>
        <v/>
      </c>
      <c r="V47" s="56" t="str">
        <f>IF(G47="","",MIN($D47*2,武将进阶!E$10))</f>
        <v/>
      </c>
      <c r="W47" s="56" t="str">
        <f>IF(H47="","",MIN($D47*2,武将进阶!F$10))</f>
        <v/>
      </c>
      <c r="X47" s="56" t="str">
        <f>IF(I47="","",MIN($D47*2,武将进阶!G$10))</f>
        <v/>
      </c>
      <c r="Y47" s="56">
        <f>IF(J47="","",MIN($D47*2,武将进阶!H$10))</f>
        <v>264.15061657742973</v>
      </c>
      <c r="Z47" s="111"/>
      <c r="AA47" s="111"/>
      <c r="AB47" s="111" t="str">
        <f t="shared" si="8"/>
        <v/>
      </c>
      <c r="AC47" s="111" t="str">
        <f t="shared" si="9"/>
        <v/>
      </c>
      <c r="AD47" s="111">
        <f t="shared" si="10"/>
        <v>2</v>
      </c>
      <c r="AE47" s="56"/>
      <c r="AF47" s="56"/>
      <c r="AG47" s="56"/>
      <c r="AH47" s="56"/>
      <c r="AI47" s="112">
        <f>MIN(求节点(武将天赋进度验证!$Q$5:$Q$164,武将天赋进度验证!$W$5:$W$164,$D47),武将天赋进度验证!AL37)</f>
        <v>1</v>
      </c>
      <c r="AJ47" s="112"/>
      <c r="AK47" s="112"/>
      <c r="AL47" s="56"/>
      <c r="AM47" s="56"/>
      <c r="AN47" s="56"/>
      <c r="AO47" s="82">
        <f>武将数量星级阶位验证!BM37</f>
        <v>705.95433241544015</v>
      </c>
      <c r="AT47" s="56">
        <v>200</v>
      </c>
      <c r="AU47" s="56"/>
      <c r="AV47" s="56"/>
      <c r="AW47" s="56">
        <v>2</v>
      </c>
      <c r="AX47" s="56">
        <v>2</v>
      </c>
      <c r="AY47" s="56">
        <v>2</v>
      </c>
    </row>
    <row r="48" spans="1:51" x14ac:dyDescent="0.15">
      <c r="A48" s="82">
        <f t="shared" si="0"/>
        <v>35</v>
      </c>
      <c r="B48" s="82">
        <f t="shared" si="7"/>
        <v>2580</v>
      </c>
      <c r="C48" s="56">
        <v>12040</v>
      </c>
      <c r="D48" s="56">
        <f>求节点(节奏总纲!$P$4:$P$163,节奏总纲!$O$4:$O$163,$C48)</f>
        <v>135.54811255008914</v>
      </c>
      <c r="F48" s="56"/>
      <c r="G48" s="56"/>
      <c r="H48" s="56"/>
      <c r="I48" s="56"/>
      <c r="J48" s="56">
        <v>6</v>
      </c>
      <c r="K48" s="56"/>
      <c r="L48" s="56"/>
      <c r="M48" s="56"/>
      <c r="N48" s="56"/>
      <c r="O48" s="56">
        <f>求节点(武将升星!H$104:H$112,武将升星!$C$104:$C$112,武将数量星级阶位验证!BM38/J48)</f>
        <v>8</v>
      </c>
      <c r="P48" s="110"/>
      <c r="Q48" s="110"/>
      <c r="R48" s="56" t="str">
        <f>IFERROR(MAX(0,求节点(武将进阶!F$4:F$8,武将进阶!$C$5:$C$9,W48)),"")</f>
        <v/>
      </c>
      <c r="S48" s="56" t="str">
        <f>IFERROR(MAX(0,求节点(武将进阶!G$4:G$8,武将进阶!$C$5:$C$9,X48)),"")</f>
        <v/>
      </c>
      <c r="T48" s="56">
        <f>IFERROR(MAX(0,求节点(武将进阶!H$4:H$8,武将进阶!$C$5:$C$9,Y48)),"")</f>
        <v>5</v>
      </c>
      <c r="U48" s="56" t="str">
        <f>IF(F48="","",MIN($D48*2,武将进阶!D$10))</f>
        <v/>
      </c>
      <c r="V48" s="56" t="str">
        <f>IF(G48="","",MIN($D48*2,武将进阶!E$10))</f>
        <v/>
      </c>
      <c r="W48" s="56" t="str">
        <f>IF(H48="","",MIN($D48*2,武将进阶!F$10))</f>
        <v/>
      </c>
      <c r="X48" s="56" t="str">
        <f>IF(I48="","",MIN($D48*2,武将进阶!G$10))</f>
        <v/>
      </c>
      <c r="Y48" s="56">
        <f>IF(J48="","",MIN($D48*2,武将进阶!H$10))</f>
        <v>271.09622510017829</v>
      </c>
      <c r="Z48" s="111"/>
      <c r="AA48" s="111"/>
      <c r="AB48" s="111" t="str">
        <f t="shared" si="8"/>
        <v/>
      </c>
      <c r="AC48" s="111" t="str">
        <f t="shared" si="9"/>
        <v/>
      </c>
      <c r="AD48" s="111">
        <f t="shared" si="10"/>
        <v>2</v>
      </c>
      <c r="AE48" s="56"/>
      <c r="AF48" s="56"/>
      <c r="AG48" s="56"/>
      <c r="AH48" s="56"/>
      <c r="AI48" s="112">
        <f>MIN(求节点(武将天赋进度验证!$Q$5:$Q$164,武将天赋进度验证!$W$5:$W$164,$D48),武将天赋进度验证!AL38)</f>
        <v>1</v>
      </c>
      <c r="AJ48" s="112"/>
      <c r="AK48" s="112"/>
      <c r="AL48" s="56"/>
      <c r="AM48" s="56"/>
      <c r="AN48" s="56"/>
      <c r="AO48" s="82">
        <f>武将数量星级阶位验证!BM38</f>
        <v>875.43114380747602</v>
      </c>
      <c r="AT48" s="56">
        <v>208</v>
      </c>
      <c r="AU48" s="56"/>
      <c r="AV48" s="56"/>
      <c r="AW48" s="56">
        <v>2</v>
      </c>
      <c r="AX48" s="56">
        <v>2</v>
      </c>
      <c r="AY48" s="56">
        <v>2</v>
      </c>
    </row>
    <row r="49" spans="1:51" x14ac:dyDescent="0.15">
      <c r="A49" s="82">
        <f t="shared" si="0"/>
        <v>36</v>
      </c>
      <c r="B49" s="82">
        <f t="shared" si="7"/>
        <v>3300</v>
      </c>
      <c r="C49" s="56">
        <v>15340</v>
      </c>
      <c r="D49" s="56">
        <f>求节点(节奏总纲!$P$4:$P$163,节奏总纲!$O$4:$O$163,$C49)</f>
        <v>139.0493876099641</v>
      </c>
      <c r="F49" s="56"/>
      <c r="G49" s="56"/>
      <c r="H49" s="56"/>
      <c r="I49" s="56"/>
      <c r="J49" s="56">
        <v>6</v>
      </c>
      <c r="K49" s="56"/>
      <c r="L49" s="56"/>
      <c r="M49" s="56"/>
      <c r="N49" s="56"/>
      <c r="O49" s="56">
        <f>求节点(武将升星!H$104:H$112,武将升星!$C$104:$C$112,武将数量星级阶位验证!BM39/J49)</f>
        <v>8</v>
      </c>
      <c r="P49" s="110"/>
      <c r="Q49" s="110"/>
      <c r="R49" s="56" t="str">
        <f>IFERROR(MAX(0,求节点(武将进阶!F$4:F$8,武将进阶!$C$5:$C$9,W49)),"")</f>
        <v/>
      </c>
      <c r="S49" s="56" t="str">
        <f>IFERROR(MAX(0,求节点(武将进阶!G$4:G$8,武将进阶!$C$5:$C$9,X49)),"")</f>
        <v/>
      </c>
      <c r="T49" s="56">
        <f>IFERROR(MAX(0,求节点(武将进阶!H$4:H$8,武将进阶!$C$5:$C$9,Y49)),"")</f>
        <v>5</v>
      </c>
      <c r="U49" s="56" t="str">
        <f>IF(F49="","",MIN($D49*2,武将进阶!D$10))</f>
        <v/>
      </c>
      <c r="V49" s="56" t="str">
        <f>IF(G49="","",MIN($D49*2,武将进阶!E$10))</f>
        <v/>
      </c>
      <c r="W49" s="56" t="str">
        <f>IF(H49="","",MIN($D49*2,武将进阶!F$10))</f>
        <v/>
      </c>
      <c r="X49" s="56" t="str">
        <f>IF(I49="","",MIN($D49*2,武将进阶!G$10))</f>
        <v/>
      </c>
      <c r="Y49" s="56">
        <f>IF(J49="","",MIN($D49*2,武将进阶!H$10))</f>
        <v>278.0987752199282</v>
      </c>
      <c r="Z49" s="111"/>
      <c r="AA49" s="111"/>
      <c r="AB49" s="111" t="str">
        <f t="shared" si="8"/>
        <v/>
      </c>
      <c r="AC49" s="111" t="str">
        <f t="shared" si="9"/>
        <v/>
      </c>
      <c r="AD49" s="111">
        <f t="shared" si="10"/>
        <v>2</v>
      </c>
      <c r="AE49" s="56"/>
      <c r="AF49" s="56"/>
      <c r="AG49" s="56"/>
      <c r="AH49" s="56"/>
      <c r="AI49" s="112">
        <f>MIN(求节点(武将天赋进度验证!$Q$5:$Q$164,武将天赋进度验证!$W$5:$W$164,$D49),武将天赋进度验证!AL39)</f>
        <v>1</v>
      </c>
      <c r="AJ49" s="112"/>
      <c r="AK49" s="112"/>
      <c r="AL49" s="56"/>
      <c r="AM49" s="56"/>
      <c r="AN49" s="56"/>
      <c r="AO49" s="82">
        <f>武将数量星级阶位验证!BM39</f>
        <v>1085.0081000528639</v>
      </c>
      <c r="AT49" s="56">
        <v>216</v>
      </c>
      <c r="AU49" s="56"/>
      <c r="AV49" s="56"/>
      <c r="AW49" s="56">
        <v>2</v>
      </c>
      <c r="AX49" s="56">
        <v>2</v>
      </c>
      <c r="AY49" s="56">
        <v>2</v>
      </c>
    </row>
    <row r="50" spans="1:51" x14ac:dyDescent="0.15">
      <c r="A50" s="82">
        <f t="shared" si="0"/>
        <v>37</v>
      </c>
      <c r="B50" s="82">
        <f t="shared" si="7"/>
        <v>4200</v>
      </c>
      <c r="C50" s="56">
        <v>19540</v>
      </c>
      <c r="D50" s="56">
        <f>求节点(节奏总纲!$P$4:$P$163,节奏总纲!$O$4:$O$163,$C50)</f>
        <v>142.53355653582128</v>
      </c>
      <c r="F50" s="56"/>
      <c r="G50" s="56"/>
      <c r="H50" s="56"/>
      <c r="I50" s="56"/>
      <c r="J50" s="56">
        <v>6</v>
      </c>
      <c r="K50" s="56"/>
      <c r="L50" s="56"/>
      <c r="M50" s="56"/>
      <c r="N50" s="56"/>
      <c r="O50" s="56">
        <f>求节点(武将升星!H$104:H$112,武将升星!$C$104:$C$112,武将数量星级阶位验证!BM40/J50)</f>
        <v>8</v>
      </c>
      <c r="P50" s="110"/>
      <c r="Q50" s="110"/>
      <c r="R50" s="56" t="str">
        <f>IFERROR(MAX(0,求节点(武将进阶!F$4:F$8,武将进阶!$C$5:$C$9,W50)),"")</f>
        <v/>
      </c>
      <c r="S50" s="56" t="str">
        <f>IFERROR(MAX(0,求节点(武将进阶!G$4:G$8,武将进阶!$C$5:$C$9,X50)),"")</f>
        <v/>
      </c>
      <c r="T50" s="56">
        <f>IFERROR(MAX(0,求节点(武将进阶!H$4:H$8,武将进阶!$C$5:$C$9,Y50)),"")</f>
        <v>5</v>
      </c>
      <c r="U50" s="56" t="str">
        <f>IF(F50="","",MIN($D50*2,武将进阶!D$10))</f>
        <v/>
      </c>
      <c r="V50" s="56" t="str">
        <f>IF(G50="","",MIN($D50*2,武将进阶!E$10))</f>
        <v/>
      </c>
      <c r="W50" s="56" t="str">
        <f>IF(H50="","",MIN($D50*2,武将进阶!F$10))</f>
        <v/>
      </c>
      <c r="X50" s="56" t="str">
        <f>IF(I50="","",MIN($D50*2,武将进阶!G$10))</f>
        <v/>
      </c>
      <c r="Y50" s="56">
        <f>IF(J50="","",MIN($D50*2,武将进阶!H$10))</f>
        <v>285.06711307164255</v>
      </c>
      <c r="Z50" s="111"/>
      <c r="AA50" s="111"/>
      <c r="AB50" s="111" t="str">
        <f t="shared" si="8"/>
        <v/>
      </c>
      <c r="AC50" s="111" t="str">
        <f t="shared" si="9"/>
        <v/>
      </c>
      <c r="AD50" s="111">
        <f t="shared" si="10"/>
        <v>2</v>
      </c>
      <c r="AE50" s="56"/>
      <c r="AF50" s="56"/>
      <c r="AG50" s="56"/>
      <c r="AH50" s="56"/>
      <c r="AI50" s="112">
        <f>MIN(求节点(武将天赋进度验证!$Q$5:$Q$164,武将天赋进度验证!$W$5:$W$164,$D50),武将天赋进度验证!AL40)</f>
        <v>1</v>
      </c>
      <c r="AJ50" s="112"/>
      <c r="AK50" s="112"/>
      <c r="AL50" s="56"/>
      <c r="AM50" s="56"/>
      <c r="AN50" s="56"/>
      <c r="AO50" s="82">
        <f>武将数量星级阶位验证!BM40</f>
        <v>1348.4452455849419</v>
      </c>
      <c r="AT50" s="56">
        <v>224</v>
      </c>
      <c r="AU50" s="56"/>
      <c r="AV50" s="56"/>
      <c r="AW50" s="56">
        <v>2</v>
      </c>
      <c r="AX50" s="56">
        <v>2</v>
      </c>
      <c r="AY50" s="56">
        <v>2</v>
      </c>
    </row>
    <row r="51" spans="1:51" x14ac:dyDescent="0.15">
      <c r="A51" s="82">
        <f t="shared" si="0"/>
        <v>38</v>
      </c>
      <c r="B51" s="82">
        <f t="shared" si="7"/>
        <v>5340</v>
      </c>
      <c r="C51" s="56">
        <v>24880</v>
      </c>
      <c r="D51" s="56">
        <f>求节点(节奏总纲!$P$4:$P$163,节奏总纲!$O$4:$O$163,$C51)</f>
        <v>146.02664953963369</v>
      </c>
      <c r="F51" s="56"/>
      <c r="G51" s="56"/>
      <c r="H51" s="56"/>
      <c r="I51" s="56"/>
      <c r="J51" s="56">
        <v>6</v>
      </c>
      <c r="K51" s="56"/>
      <c r="L51" s="56"/>
      <c r="M51" s="56"/>
      <c r="N51" s="56"/>
      <c r="O51" s="56">
        <f>求节点(武将升星!H$104:H$112,武将升星!$C$104:$C$112,武将数量星级阶位验证!BM41/J51)</f>
        <v>8</v>
      </c>
      <c r="P51" s="110"/>
      <c r="Q51" s="110"/>
      <c r="R51" s="56" t="str">
        <f>IFERROR(MAX(0,求节点(武将进阶!F$4:F$8,武将进阶!$C$5:$C$9,W51)),"")</f>
        <v/>
      </c>
      <c r="S51" s="56" t="str">
        <f>IFERROR(MAX(0,求节点(武将进阶!G$4:G$8,武将进阶!$C$5:$C$9,X51)),"")</f>
        <v/>
      </c>
      <c r="T51" s="56">
        <f>IFERROR(MAX(0,求节点(武将进阶!H$4:H$8,武将进阶!$C$5:$C$9,Y51)),"")</f>
        <v>5</v>
      </c>
      <c r="U51" s="56" t="str">
        <f>IF(F51="","",MIN($D51*2,武将进阶!D$10))</f>
        <v/>
      </c>
      <c r="V51" s="56" t="str">
        <f>IF(G51="","",MIN($D51*2,武将进阶!E$10))</f>
        <v/>
      </c>
      <c r="W51" s="56" t="str">
        <f>IF(H51="","",MIN($D51*2,武将进阶!F$10))</f>
        <v/>
      </c>
      <c r="X51" s="56" t="str">
        <f>IF(I51="","",MIN($D51*2,武将进阶!G$10))</f>
        <v/>
      </c>
      <c r="Y51" s="56">
        <f>IF(J51="","",MIN($D51*2,武将进阶!H$10))</f>
        <v>292.05329907926739</v>
      </c>
      <c r="Z51" s="111"/>
      <c r="AA51" s="111"/>
      <c r="AB51" s="111" t="str">
        <f t="shared" si="8"/>
        <v/>
      </c>
      <c r="AC51" s="111" t="str">
        <f t="shared" si="9"/>
        <v/>
      </c>
      <c r="AD51" s="111">
        <f t="shared" si="10"/>
        <v>2</v>
      </c>
      <c r="AE51" s="56"/>
      <c r="AF51" s="56"/>
      <c r="AG51" s="56"/>
      <c r="AH51" s="56"/>
      <c r="AI51" s="112">
        <f>MIN(求节点(武将天赋进度验证!$Q$5:$Q$164,武将天赋进度验证!$W$5:$W$164,$D51),武将天赋进度验证!AL41)</f>
        <v>1</v>
      </c>
      <c r="AJ51" s="112"/>
      <c r="AK51" s="112"/>
      <c r="AL51" s="56"/>
      <c r="AM51" s="56"/>
      <c r="AN51" s="56"/>
      <c r="AO51" s="82">
        <f>武将数量星级阶位验证!BM41</f>
        <v>1675.3122227312037</v>
      </c>
      <c r="AT51" s="56">
        <v>232</v>
      </c>
      <c r="AU51" s="56"/>
      <c r="AV51" s="56"/>
      <c r="AW51" s="56">
        <v>2</v>
      </c>
      <c r="AX51" s="56">
        <v>2</v>
      </c>
      <c r="AY51" s="56">
        <v>2</v>
      </c>
    </row>
    <row r="52" spans="1:51" x14ac:dyDescent="0.15">
      <c r="A52" s="82">
        <f t="shared" si="0"/>
        <v>39</v>
      </c>
      <c r="B52" s="82">
        <f t="shared" si="7"/>
        <v>6840</v>
      </c>
      <c r="C52" s="56">
        <v>31720</v>
      </c>
      <c r="D52" s="56">
        <f>求节点(节奏总纲!$P$4:$P$163,节奏总纲!$O$4:$O$163,$C52)</f>
        <v>149.52287096243165</v>
      </c>
      <c r="F52" s="56"/>
      <c r="G52" s="56"/>
      <c r="H52" s="56"/>
      <c r="I52" s="56"/>
      <c r="J52" s="56">
        <v>6</v>
      </c>
      <c r="K52" s="56"/>
      <c r="L52" s="56"/>
      <c r="M52" s="56"/>
      <c r="N52" s="56"/>
      <c r="O52" s="56">
        <f>求节点(武将升星!H$104:H$112,武将升星!$C$104:$C$112,武将数量星级阶位验证!BM42/J52)</f>
        <v>8</v>
      </c>
      <c r="P52" s="110"/>
      <c r="Q52" s="110"/>
      <c r="R52" s="56" t="str">
        <f>IFERROR(MAX(0,求节点(武将进阶!F$4:F$8,武将进阶!$C$5:$C$9,W52)),"")</f>
        <v/>
      </c>
      <c r="S52" s="56" t="str">
        <f>IFERROR(MAX(0,求节点(武将进阶!G$4:G$8,武将进阶!$C$5:$C$9,X52)),"")</f>
        <v/>
      </c>
      <c r="T52" s="56">
        <f>IFERROR(MAX(0,求节点(武将进阶!H$4:H$8,武将进阶!$C$5:$C$9,Y52)),"")</f>
        <v>5</v>
      </c>
      <c r="U52" s="56" t="str">
        <f>IF(F52="","",MIN($D52*2,武将进阶!D$10))</f>
        <v/>
      </c>
      <c r="V52" s="56" t="str">
        <f>IF(G52="","",MIN($D52*2,武将进阶!E$10))</f>
        <v/>
      </c>
      <c r="W52" s="56" t="str">
        <f>IF(H52="","",MIN($D52*2,武将进阶!F$10))</f>
        <v/>
      </c>
      <c r="X52" s="56" t="str">
        <f>IF(I52="","",MIN($D52*2,武将进阶!G$10))</f>
        <v/>
      </c>
      <c r="Y52" s="56">
        <f>IF(J52="","",MIN($D52*2,武将进阶!H$10))</f>
        <v>299.04574192486331</v>
      </c>
      <c r="Z52" s="111"/>
      <c r="AA52" s="111"/>
      <c r="AB52" s="111" t="str">
        <f t="shared" si="8"/>
        <v/>
      </c>
      <c r="AC52" s="111" t="str">
        <f t="shared" si="9"/>
        <v/>
      </c>
      <c r="AD52" s="111">
        <f t="shared" si="10"/>
        <v>2</v>
      </c>
      <c r="AE52" s="56"/>
      <c r="AF52" s="56"/>
      <c r="AG52" s="56"/>
      <c r="AH52" s="56"/>
      <c r="AI52" s="112">
        <f>MIN(求节点(武将天赋进度验证!$Q$5:$Q$164,武将天赋进度验证!$W$5:$W$164,$D52),武将天赋进度验证!AL42)</f>
        <v>1</v>
      </c>
      <c r="AJ52" s="112"/>
      <c r="AK52" s="112"/>
      <c r="AL52" s="56"/>
      <c r="AM52" s="56"/>
      <c r="AN52" s="56"/>
      <c r="AO52" s="82">
        <f>武将数量星级阶位验证!BM42</f>
        <v>2082.2280961665806</v>
      </c>
      <c r="AT52" s="56">
        <v>240</v>
      </c>
      <c r="AU52" s="56"/>
      <c r="AV52" s="56"/>
      <c r="AW52" s="56">
        <v>2</v>
      </c>
      <c r="AX52" s="56">
        <v>2</v>
      </c>
      <c r="AY52" s="56">
        <v>2</v>
      </c>
    </row>
    <row r="53" spans="1:51" x14ac:dyDescent="0.15">
      <c r="A53" s="82">
        <f t="shared" si="0"/>
        <v>40</v>
      </c>
      <c r="B53" s="82">
        <f t="shared" si="7"/>
        <v>8700</v>
      </c>
      <c r="C53" s="56">
        <v>40420</v>
      </c>
      <c r="D53" s="56">
        <f>求节点(节奏总纲!$P$4:$P$163,节奏总纲!$O$4:$O$163,$C53)</f>
        <v>153.02723536432757</v>
      </c>
      <c r="F53" s="56"/>
      <c r="G53" s="56"/>
      <c r="H53" s="56"/>
      <c r="I53" s="56"/>
      <c r="J53" s="56">
        <v>6</v>
      </c>
      <c r="K53" s="56"/>
      <c r="L53" s="56"/>
      <c r="M53" s="56"/>
      <c r="N53" s="56"/>
      <c r="O53" s="56">
        <f>求节点(武将升星!H$104:H$112,武将升星!$C$104:$C$112,武将数量星级阶位验证!BM43/J53)</f>
        <v>8</v>
      </c>
      <c r="P53" s="110"/>
      <c r="Q53" s="110"/>
      <c r="R53" s="56" t="str">
        <f>IFERROR(MAX(0,求节点(武将进阶!F$4:F$8,武将进阶!$C$5:$C$9,W53)),"")</f>
        <v/>
      </c>
      <c r="S53" s="56" t="str">
        <f>IFERROR(MAX(0,求节点(武将进阶!G$4:G$8,武将进阶!$C$5:$C$9,X53)),"")</f>
        <v/>
      </c>
      <c r="T53" s="56">
        <f>IFERROR(MAX(0,求节点(武将进阶!H$4:H$8,武将进阶!$C$5:$C$9,Y53)),"")</f>
        <v>5</v>
      </c>
      <c r="U53" s="56" t="str">
        <f>IF(F53="","",MIN($D53*2,武将进阶!D$10))</f>
        <v/>
      </c>
      <c r="V53" s="56" t="str">
        <f>IF(G53="","",MIN($D53*2,武将进阶!E$10))</f>
        <v/>
      </c>
      <c r="W53" s="56" t="str">
        <f>IF(H53="","",MIN($D53*2,武将进阶!F$10))</f>
        <v/>
      </c>
      <c r="X53" s="56" t="str">
        <f>IF(I53="","",MIN($D53*2,武将进阶!G$10))</f>
        <v/>
      </c>
      <c r="Y53" s="56">
        <f>IF(J53="","",MIN($D53*2,武将进阶!H$10))</f>
        <v>300</v>
      </c>
      <c r="Z53" s="111"/>
      <c r="AA53" s="111"/>
      <c r="AB53" s="111" t="str">
        <f t="shared" si="8"/>
        <v/>
      </c>
      <c r="AC53" s="111" t="str">
        <f t="shared" si="9"/>
        <v/>
      </c>
      <c r="AD53" s="111">
        <f t="shared" si="10"/>
        <v>2</v>
      </c>
      <c r="AE53" s="56"/>
      <c r="AF53" s="56"/>
      <c r="AG53" s="56"/>
      <c r="AH53" s="56"/>
      <c r="AI53" s="112">
        <f>MIN(求节点(武将天赋进度验证!$Q$5:$Q$164,武将天赋进度验证!$W$5:$W$164,$D53),武将天赋进度验证!AL43)</f>
        <v>1</v>
      </c>
      <c r="AJ53" s="112"/>
      <c r="AK53" s="112"/>
      <c r="AL53" s="56"/>
      <c r="AM53" s="56"/>
      <c r="AN53" s="56"/>
      <c r="AO53" s="82">
        <f>武将数量星级阶位验证!BM43</f>
        <v>2594.901536682763</v>
      </c>
      <c r="AT53" s="56">
        <v>248</v>
      </c>
      <c r="AU53" s="56"/>
      <c r="AV53" s="56"/>
      <c r="AW53" s="56">
        <v>2</v>
      </c>
      <c r="AX53" s="56">
        <v>2</v>
      </c>
      <c r="AY53" s="56">
        <v>2</v>
      </c>
    </row>
    <row r="54" spans="1:51" x14ac:dyDescent="0.15">
      <c r="A54" s="82">
        <f t="shared" si="0"/>
        <v>41</v>
      </c>
      <c r="B54" s="82">
        <f t="shared" si="7"/>
        <v>11100</v>
      </c>
      <c r="C54" s="56">
        <v>51520</v>
      </c>
      <c r="D54" s="56">
        <f>求节点(节奏总纲!$P$4:$P$163,节奏总纲!$O$4:$O$163,$C54)</f>
        <v>156.52008914974525</v>
      </c>
      <c r="F54" s="56"/>
      <c r="G54" s="56"/>
      <c r="H54" s="56"/>
      <c r="I54" s="56"/>
      <c r="J54" s="56">
        <v>6</v>
      </c>
      <c r="K54" s="56"/>
      <c r="L54" s="56"/>
      <c r="M54" s="56"/>
      <c r="N54" s="56"/>
      <c r="O54" s="56">
        <f>求节点(武将升星!H$104:H$112,武将升星!$C$104:$C$112,武将数量星级阶位验证!BM44/J54)</f>
        <v>8</v>
      </c>
      <c r="P54" s="110"/>
      <c r="Q54" s="110"/>
      <c r="R54" s="56" t="str">
        <f>IFERROR(MAX(0,求节点(武将进阶!F$4:F$8,武将进阶!$C$5:$C$9,W54)),"")</f>
        <v/>
      </c>
      <c r="S54" s="56" t="str">
        <f>IFERROR(MAX(0,求节点(武将进阶!G$4:G$8,武将进阶!$C$5:$C$9,X54)),"")</f>
        <v/>
      </c>
      <c r="T54" s="56">
        <f>IFERROR(MAX(0,求节点(武将进阶!H$4:H$8,武将进阶!$C$5:$C$9,Y54)),"")</f>
        <v>5</v>
      </c>
      <c r="U54" s="56" t="str">
        <f>IF(F54="","",MIN($D54*2,武将进阶!D$10))</f>
        <v/>
      </c>
      <c r="V54" s="56" t="str">
        <f>IF(G54="","",MIN($D54*2,武将进阶!E$10))</f>
        <v/>
      </c>
      <c r="W54" s="56" t="str">
        <f>IF(H54="","",MIN($D54*2,武将进阶!F$10))</f>
        <v/>
      </c>
      <c r="X54" s="56" t="str">
        <f>IF(I54="","",MIN($D54*2,武将进阶!G$10))</f>
        <v/>
      </c>
      <c r="Y54" s="56">
        <f>IF(J54="","",MIN($D54*2,武将进阶!H$10))</f>
        <v>300</v>
      </c>
      <c r="Z54" s="111"/>
      <c r="AA54" s="111"/>
      <c r="AB54" s="111" t="str">
        <f t="shared" si="8"/>
        <v/>
      </c>
      <c r="AC54" s="111" t="str">
        <f t="shared" si="9"/>
        <v/>
      </c>
      <c r="AD54" s="111">
        <f t="shared" si="10"/>
        <v>2</v>
      </c>
      <c r="AE54" s="56"/>
      <c r="AF54" s="56"/>
      <c r="AG54" s="56"/>
      <c r="AH54" s="56"/>
      <c r="AI54" s="112">
        <f>MIN(求节点(武将天赋进度验证!$Q$5:$Q$164,武将天赋进度验证!$W$5:$W$164,$D54),武将天赋进度验证!AL44)</f>
        <v>1</v>
      </c>
      <c r="AJ54" s="112"/>
      <c r="AK54" s="112"/>
      <c r="AL54" s="56"/>
      <c r="AM54" s="56"/>
      <c r="AN54" s="56"/>
      <c r="AO54" s="82">
        <f>武将数量星级阶位验证!BM44</f>
        <v>3231.9100999688289</v>
      </c>
      <c r="AT54" s="56">
        <v>256</v>
      </c>
      <c r="AU54" s="56"/>
      <c r="AV54" s="56"/>
      <c r="AW54" s="56">
        <v>2</v>
      </c>
      <c r="AX54" s="56">
        <v>2</v>
      </c>
      <c r="AY54" s="56">
        <v>2</v>
      </c>
    </row>
    <row r="55" spans="1:51" x14ac:dyDescent="0.15">
      <c r="A55" s="82">
        <f t="shared" si="0"/>
        <v>42</v>
      </c>
      <c r="B55" s="82">
        <f t="shared" si="7"/>
        <v>13980</v>
      </c>
      <c r="C55" s="56">
        <v>65500</v>
      </c>
      <c r="D55" s="56">
        <f>求节点(节奏总纲!$P$4:$P$163,节奏总纲!$O$4:$O$163,$C55)</f>
        <v>159.99202506384199</v>
      </c>
      <c r="F55" s="56"/>
      <c r="G55" s="56"/>
      <c r="H55" s="56"/>
      <c r="I55" s="56"/>
      <c r="J55" s="56">
        <v>6</v>
      </c>
      <c r="K55" s="56"/>
      <c r="L55" s="56"/>
      <c r="M55" s="56"/>
      <c r="N55" s="56"/>
      <c r="O55" s="56">
        <f>求节点(武将升星!H$104:H$112,武将升星!$C$104:$C$112,武将数量星级阶位验证!BM45/J55)</f>
        <v>8</v>
      </c>
      <c r="P55" s="110"/>
      <c r="Q55" s="110"/>
      <c r="R55" s="56" t="str">
        <f>IFERROR(MAX(0,求节点(武将进阶!F$4:F$8,武将进阶!$C$5:$C$9,W55)),"")</f>
        <v/>
      </c>
      <c r="S55" s="56" t="str">
        <f>IFERROR(MAX(0,求节点(武将进阶!G$4:G$8,武将进阶!$C$5:$C$9,X55)),"")</f>
        <v/>
      </c>
      <c r="T55" s="56">
        <f>IFERROR(MAX(0,求节点(武将进阶!H$4:H$8,武将进阶!$C$5:$C$9,Y55)),"")</f>
        <v>5</v>
      </c>
      <c r="U55" s="56" t="str">
        <f>IF(F55="","",MIN($D55*2,武将进阶!D$10))</f>
        <v/>
      </c>
      <c r="V55" s="56" t="str">
        <f>IF(G55="","",MIN($D55*2,武将进阶!E$10))</f>
        <v/>
      </c>
      <c r="W55" s="56" t="str">
        <f>IF(H55="","",MIN($D55*2,武将进阶!F$10))</f>
        <v/>
      </c>
      <c r="X55" s="56" t="str">
        <f>IF(I55="","",MIN($D55*2,武将进阶!G$10))</f>
        <v/>
      </c>
      <c r="Y55" s="56">
        <f>IF(J55="","",MIN($D55*2,武将进阶!H$10))</f>
        <v>300</v>
      </c>
      <c r="Z55" s="111"/>
      <c r="AA55" s="111"/>
      <c r="AB55" s="111" t="str">
        <f t="shared" si="8"/>
        <v/>
      </c>
      <c r="AC55" s="111" t="str">
        <f t="shared" si="9"/>
        <v/>
      </c>
      <c r="AD55" s="111">
        <f t="shared" si="10"/>
        <v>2</v>
      </c>
      <c r="AE55" s="56"/>
      <c r="AF55" s="56"/>
      <c r="AG55" s="56"/>
      <c r="AH55" s="56"/>
      <c r="AI55" s="112">
        <f>MIN(求节点(武将天赋进度验证!$Q$5:$Q$164,武将天赋进度验证!$W$5:$W$164,$D55),武将天赋进度验证!AL45)</f>
        <v>1</v>
      </c>
      <c r="AJ55" s="56"/>
      <c r="AK55" s="56"/>
      <c r="AL55" s="56"/>
      <c r="AM55" s="56"/>
      <c r="AN55" s="56"/>
      <c r="AO55" s="82">
        <f>武将数量星级阶位验证!BM45</f>
        <v>4012.5687543758659</v>
      </c>
      <c r="AT55" s="56">
        <v>264</v>
      </c>
      <c r="AU55" s="56"/>
      <c r="AV55" s="56"/>
      <c r="AW55" s="56">
        <v>2</v>
      </c>
      <c r="AX55" s="56">
        <v>2</v>
      </c>
      <c r="AY55" s="56">
        <v>2</v>
      </c>
    </row>
    <row r="56" spans="1:51" x14ac:dyDescent="0.15">
      <c r="A56" s="82">
        <f t="shared" si="0"/>
        <v>43</v>
      </c>
    </row>
    <row r="57" spans="1:51" x14ac:dyDescent="0.15">
      <c r="A57" s="82">
        <f t="shared" si="0"/>
        <v>44</v>
      </c>
    </row>
    <row r="58" spans="1:51" x14ac:dyDescent="0.15">
      <c r="A58" s="82">
        <f t="shared" si="0"/>
        <v>45</v>
      </c>
    </row>
    <row r="59" spans="1:51" x14ac:dyDescent="0.15">
      <c r="A59" s="82">
        <v>1</v>
      </c>
      <c r="C59" s="155" t="s">
        <v>174</v>
      </c>
      <c r="D59" s="155"/>
      <c r="F59" s="155" t="s">
        <v>178</v>
      </c>
      <c r="G59" s="155"/>
      <c r="H59" s="155"/>
      <c r="I59" s="155"/>
      <c r="J59" s="155"/>
      <c r="K59" s="155"/>
      <c r="L59" s="155"/>
      <c r="M59" s="155"/>
      <c r="N59" s="155"/>
      <c r="O59" s="155"/>
      <c r="P59" s="155"/>
      <c r="Q59" s="155"/>
      <c r="R59" s="155"/>
      <c r="S59" s="155"/>
      <c r="T59" s="155"/>
      <c r="U59" s="155"/>
      <c r="V59" s="155"/>
      <c r="W59" s="155"/>
      <c r="X59" s="155"/>
      <c r="Y59" s="155"/>
      <c r="Z59" s="155"/>
      <c r="AA59" s="155"/>
      <c r="AB59" s="155"/>
      <c r="AC59" s="155"/>
      <c r="AD59" s="155"/>
      <c r="AE59" s="155"/>
      <c r="AF59" s="155"/>
      <c r="AG59" s="155"/>
      <c r="AH59" s="155"/>
      <c r="AI59" s="155"/>
      <c r="AJ59" s="155"/>
      <c r="AK59" s="155"/>
      <c r="AL59" s="155"/>
      <c r="AM59" s="155"/>
      <c r="AN59" s="155"/>
    </row>
    <row r="60" spans="1:51" x14ac:dyDescent="0.15">
      <c r="A60" s="82">
        <f t="shared" si="0"/>
        <v>2</v>
      </c>
      <c r="C60" s="155"/>
      <c r="D60" s="155"/>
      <c r="F60" s="155" t="s">
        <v>821</v>
      </c>
      <c r="G60" s="155"/>
      <c r="H60" s="155"/>
      <c r="I60" s="155"/>
      <c r="J60" s="155"/>
      <c r="K60" s="155" t="s">
        <v>150</v>
      </c>
      <c r="L60" s="155"/>
      <c r="M60" s="155"/>
      <c r="N60" s="155"/>
      <c r="O60" s="155"/>
      <c r="P60" s="155" t="s">
        <v>177</v>
      </c>
      <c r="Q60" s="155"/>
      <c r="R60" s="155"/>
      <c r="S60" s="155"/>
      <c r="T60" s="155"/>
      <c r="U60" s="155" t="s">
        <v>151</v>
      </c>
      <c r="V60" s="155"/>
      <c r="W60" s="155"/>
      <c r="X60" s="155"/>
      <c r="Y60" s="155"/>
      <c r="Z60" s="156" t="s">
        <v>348</v>
      </c>
      <c r="AA60" s="157"/>
      <c r="AB60" s="157"/>
      <c r="AC60" s="157"/>
      <c r="AD60" s="158"/>
      <c r="AE60" s="156" t="s">
        <v>811</v>
      </c>
      <c r="AF60" s="157"/>
      <c r="AG60" s="157"/>
      <c r="AH60" s="157"/>
      <c r="AI60" s="158"/>
      <c r="AJ60" s="155"/>
      <c r="AK60" s="155"/>
      <c r="AL60" s="155"/>
      <c r="AM60" s="155"/>
      <c r="AN60" s="155"/>
      <c r="AT60" s="156" t="s">
        <v>456</v>
      </c>
      <c r="AU60" s="157"/>
      <c r="AV60" s="157"/>
      <c r="AW60" s="157"/>
      <c r="AX60" s="157"/>
      <c r="AY60" s="158"/>
    </row>
    <row r="61" spans="1:51" x14ac:dyDescent="0.15">
      <c r="A61" s="82">
        <f t="shared" si="0"/>
        <v>3</v>
      </c>
      <c r="C61" s="56" t="s">
        <v>170</v>
      </c>
      <c r="D61" s="56" t="s">
        <v>484</v>
      </c>
      <c r="F61" s="56" t="s">
        <v>3</v>
      </c>
      <c r="G61" s="56" t="s">
        <v>1</v>
      </c>
      <c r="H61" s="56" t="s">
        <v>2</v>
      </c>
      <c r="I61" s="56" t="s">
        <v>0</v>
      </c>
      <c r="J61" s="56" t="s">
        <v>545</v>
      </c>
      <c r="K61" s="56" t="s">
        <v>3</v>
      </c>
      <c r="L61" s="56" t="s">
        <v>1</v>
      </c>
      <c r="M61" s="56" t="s">
        <v>2</v>
      </c>
      <c r="N61" s="56" t="s">
        <v>0</v>
      </c>
      <c r="O61" s="56" t="s">
        <v>545</v>
      </c>
      <c r="P61" s="56" t="s">
        <v>3</v>
      </c>
      <c r="Q61" s="56" t="s">
        <v>1</v>
      </c>
      <c r="R61" s="56" t="s">
        <v>2</v>
      </c>
      <c r="S61" s="56" t="s">
        <v>0</v>
      </c>
      <c r="T61" s="56" t="s">
        <v>545</v>
      </c>
      <c r="U61" s="56" t="s">
        <v>3</v>
      </c>
      <c r="V61" s="56" t="s">
        <v>1</v>
      </c>
      <c r="W61" s="56" t="s">
        <v>2</v>
      </c>
      <c r="X61" s="56" t="s">
        <v>0</v>
      </c>
      <c r="Y61" s="56" t="s">
        <v>545</v>
      </c>
      <c r="Z61" s="56" t="s">
        <v>3</v>
      </c>
      <c r="AA61" s="56" t="s">
        <v>1</v>
      </c>
      <c r="AB61" s="56" t="s">
        <v>2</v>
      </c>
      <c r="AC61" s="56" t="s">
        <v>0</v>
      </c>
      <c r="AD61" s="56" t="s">
        <v>545</v>
      </c>
      <c r="AE61" s="56" t="s">
        <v>3</v>
      </c>
      <c r="AF61" s="56" t="s">
        <v>1</v>
      </c>
      <c r="AG61" s="56" t="s">
        <v>2</v>
      </c>
      <c r="AH61" s="56" t="s">
        <v>0</v>
      </c>
      <c r="AI61" s="56" t="s">
        <v>545</v>
      </c>
      <c r="AJ61" s="56"/>
      <c r="AK61" s="56"/>
      <c r="AL61" s="56"/>
      <c r="AM61" s="56"/>
      <c r="AN61" s="56"/>
      <c r="AT61" s="56" t="s">
        <v>478</v>
      </c>
      <c r="AU61" s="56" t="s">
        <v>3</v>
      </c>
      <c r="AV61" s="56" t="s">
        <v>1</v>
      </c>
      <c r="AW61" s="56" t="s">
        <v>2</v>
      </c>
      <c r="AX61" s="56" t="s">
        <v>0</v>
      </c>
      <c r="AY61" s="56" t="s">
        <v>545</v>
      </c>
    </row>
    <row r="62" spans="1:51" x14ac:dyDescent="0.15">
      <c r="A62" s="82">
        <f t="shared" si="0"/>
        <v>4</v>
      </c>
      <c r="C62" s="56">
        <f t="shared" ref="C62:C87" si="11">C17*0.85</f>
        <v>0.85</v>
      </c>
      <c r="D62" s="56">
        <f>求节点(节奏总纲!$Q$4:$Q$163,节奏总纲!$O$4:$O$163,$C62)</f>
        <v>9.9592453074578113</v>
      </c>
      <c r="F62" s="56"/>
      <c r="G62" s="56"/>
      <c r="H62" s="56">
        <v>2</v>
      </c>
      <c r="I62" s="56">
        <v>4</v>
      </c>
      <c r="J62" s="56"/>
      <c r="K62" s="56"/>
      <c r="L62" s="56"/>
      <c r="M62" s="56">
        <f>MIN(求节点(武将升星!F$104:F$112,武将升星!$C$104:$C$112,武将数量星级阶位验证!BK52/武将数量星级阶位验证!C$6),武将升星!F$14)</f>
        <v>0.54012046632665323</v>
      </c>
      <c r="N62" s="110">
        <f>求节点(武将升星!G$104:G$112,武将升星!$C$104:$C$112,(武将数量星级阶位验证!BL52-武将数量星级阶位验证!BN52)/武将数量星级阶位验证!D$6+武将数量星级阶位验证!BN52/MAX(I$62:I62))</f>
        <v>0</v>
      </c>
      <c r="O62" s="56"/>
      <c r="P62" s="110" t="str">
        <f>IF(F62="","",0)</f>
        <v/>
      </c>
      <c r="Q62" s="110" t="str">
        <f>IF(G62="","",0)</f>
        <v/>
      </c>
      <c r="R62" s="56">
        <f>IFERROR(MAX(0,求节点(武将进阶!F$4:F$8,武将进阶!$C$5:$C$9,W62)),"")</f>
        <v>0.39836981229831248</v>
      </c>
      <c r="S62" s="56">
        <f>IFERROR(MAX(0,求节点(武将进阶!G$4:G$8,武将进阶!$C$5:$C$9,X62)),"")</f>
        <v>0.39836981229831248</v>
      </c>
      <c r="T62" s="56" t="str">
        <f>IFERROR(MAX(0,求节点(武将进阶!H$4:H$8,武将进阶!$C$5:$C$9,Y62)),"")</f>
        <v/>
      </c>
      <c r="U62" s="56" t="str">
        <f>IF(F62="","",MIN($D62*2,武将进阶!D$10))</f>
        <v/>
      </c>
      <c r="V62" s="56" t="str">
        <f>IF(G62="","",MIN($D62*2,武将进阶!E$10))</f>
        <v/>
      </c>
      <c r="W62" s="56">
        <f>IF(H62="","",MIN($D62*2,武将进阶!F$10))</f>
        <v>19.918490614915623</v>
      </c>
      <c r="X62" s="56">
        <f>IF(I62="","",MIN($D62*2,武将进阶!G$10))</f>
        <v>19.918490614915623</v>
      </c>
      <c r="Y62" s="56" t="str">
        <f>IF(J62="","",MIN($D62*2,武将进阶!H$10))</f>
        <v/>
      </c>
      <c r="Z62" s="111"/>
      <c r="AA62" s="111"/>
      <c r="AB62" s="111">
        <f t="shared" ref="AB62:AB87" si="12">IF(H62="","",求节点($AT$62:$AT$100,AW$62:AW$100,$D62))</f>
        <v>7.2512416967022889E-2</v>
      </c>
      <c r="AC62" s="111">
        <f t="shared" ref="AC62:AD62" si="13">IF(I62="","",求节点($AT$62:$AT$100,AX$62:AX$100,$D62))</f>
        <v>7.2512416967022889E-2</v>
      </c>
      <c r="AD62" s="111" t="str">
        <f t="shared" si="13"/>
        <v/>
      </c>
      <c r="AE62" s="112"/>
      <c r="AF62" s="56"/>
      <c r="AG62" s="56"/>
      <c r="AH62" s="56"/>
      <c r="AI62" s="112">
        <f>MIN(求节点(武将天赋进度验证!$Q$5:$Q$164,武将天赋进度验证!$X$5:$X$164,$D62),武将天赋进度验证!AL52)</f>
        <v>0</v>
      </c>
      <c r="AJ62" s="56"/>
      <c r="AK62" s="56"/>
      <c r="AL62" s="56"/>
      <c r="AM62" s="56"/>
      <c r="AN62" s="56"/>
      <c r="AT62" s="56">
        <f t="shared" ref="AT62:AT87" si="14">AT17*0.95</f>
        <v>9.5</v>
      </c>
      <c r="AU62" s="56">
        <f>IF(AU17="",0,AU17)</f>
        <v>0</v>
      </c>
      <c r="AV62" s="56">
        <f t="shared" ref="AV62:AY62" si="15">IF(AV17="",0,AV17)</f>
        <v>0</v>
      </c>
      <c r="AW62" s="56">
        <f t="shared" si="15"/>
        <v>0</v>
      </c>
      <c r="AX62" s="56">
        <f t="shared" si="15"/>
        <v>0</v>
      </c>
      <c r="AY62" s="56">
        <f t="shared" si="15"/>
        <v>0</v>
      </c>
    </row>
    <row r="63" spans="1:51" x14ac:dyDescent="0.15">
      <c r="A63" s="82">
        <f t="shared" si="0"/>
        <v>5</v>
      </c>
      <c r="C63" s="56">
        <f t="shared" si="11"/>
        <v>2.5499999999999998</v>
      </c>
      <c r="D63" s="56">
        <f>求节点(节奏总纲!$Q$4:$Q$163,节奏总纲!$O$4:$O$163,$C63)</f>
        <v>19.766822802328868</v>
      </c>
      <c r="F63" s="56"/>
      <c r="G63" s="56"/>
      <c r="H63" s="56"/>
      <c r="I63" s="56">
        <v>6</v>
      </c>
      <c r="J63" s="56"/>
      <c r="K63" s="56"/>
      <c r="L63" s="56"/>
      <c r="M63" s="56"/>
      <c r="N63" s="110">
        <f>求节点(武将升星!G$104:G$112,武将升星!$C$104:$C$112,(武将数量星级阶位验证!BL53-武将数量星级阶位验证!BN53)/武将数量星级阶位验证!D$6+武将数量星级阶位验证!BN53/MAX(I$62:I63))</f>
        <v>0</v>
      </c>
      <c r="O63" s="56"/>
      <c r="P63" s="110" t="str">
        <f t="shared" ref="P63:P77" si="16">IF(F63="","",0)</f>
        <v/>
      </c>
      <c r="Q63" s="110" t="str">
        <f t="shared" ref="Q63:Q77" si="17">IF(G63="","",0)</f>
        <v/>
      </c>
      <c r="R63" s="56" t="str">
        <f>IFERROR(MAX(0,求节点(武将进阶!F$4:F$8,武将进阶!$C$5:$C$9,W63)),"")</f>
        <v/>
      </c>
      <c r="S63" s="56">
        <f>IFERROR(MAX(0,求节点(武将进阶!G$4:G$8,武将进阶!$C$5:$C$9,X63)),"")</f>
        <v>0.79067291209315471</v>
      </c>
      <c r="T63" s="56" t="str">
        <f>IFERROR(MAX(0,求节点(武将进阶!H$4:H$8,武将进阶!$C$5:$C$9,Y63)),"")</f>
        <v/>
      </c>
      <c r="U63" s="56" t="str">
        <f>IF(F63="","",MIN($D63*2,武将进阶!D$10))</f>
        <v/>
      </c>
      <c r="V63" s="56" t="str">
        <f>IF(G63="","",MIN($D63*2,武将进阶!E$10))</f>
        <v/>
      </c>
      <c r="W63" s="56" t="str">
        <f>IF(H63="","",MIN($D63*2,武将进阶!F$10))</f>
        <v/>
      </c>
      <c r="X63" s="56">
        <f>IF(I63="","",MIN($D63*2,武将进阶!G$10))</f>
        <v>39.533645604657735</v>
      </c>
      <c r="Y63" s="56" t="str">
        <f>IF(J63="","",MIN($D63*2,武将进阶!H$10))</f>
        <v/>
      </c>
      <c r="Z63" s="111"/>
      <c r="AA63" s="111"/>
      <c r="AB63" s="111" t="str">
        <f t="shared" si="12"/>
        <v/>
      </c>
      <c r="AC63" s="111">
        <f t="shared" ref="AC63:AC87" si="18">IF(I63="","",求节点($AT$62:$AT$100,AX$62:AX$100,$D63))</f>
        <v>1</v>
      </c>
      <c r="AD63" s="111" t="str">
        <f t="shared" ref="AD63:AD87" si="19">IF(J63="","",求节点($AT$62:$AT$100,AY$62:AY$100,$D63))</f>
        <v/>
      </c>
      <c r="AE63" s="112"/>
      <c r="AF63" s="56"/>
      <c r="AG63" s="56"/>
      <c r="AH63" s="56"/>
      <c r="AI63" s="112">
        <f>MIN(求节点(武将天赋进度验证!$Q$5:$Q$164,武将天赋进度验证!$X$5:$X$164,$D63),武将天赋进度验证!AL53)</f>
        <v>0</v>
      </c>
      <c r="AJ63" s="56"/>
      <c r="AK63" s="56"/>
      <c r="AL63" s="56"/>
      <c r="AM63" s="56"/>
      <c r="AN63" s="56"/>
      <c r="AT63" s="56">
        <f t="shared" si="14"/>
        <v>11.399999999999999</v>
      </c>
      <c r="AU63" s="56">
        <f t="shared" ref="AU63:AY63" si="20">IF(AU18="",0,AU18)</f>
        <v>0</v>
      </c>
      <c r="AV63" s="56">
        <f t="shared" si="20"/>
        <v>0</v>
      </c>
      <c r="AW63" s="56">
        <f t="shared" si="20"/>
        <v>0.3</v>
      </c>
      <c r="AX63" s="56">
        <f t="shared" si="20"/>
        <v>0.3</v>
      </c>
      <c r="AY63" s="56">
        <f t="shared" si="20"/>
        <v>0.3</v>
      </c>
    </row>
    <row r="64" spans="1:51" x14ac:dyDescent="0.15">
      <c r="A64" s="82">
        <f t="shared" si="0"/>
        <v>6</v>
      </c>
      <c r="C64" s="56">
        <f t="shared" si="11"/>
        <v>5.0999999999999996</v>
      </c>
      <c r="D64" s="56">
        <f>求节点(节奏总纲!$Q$4:$Q$163,节奏总纲!$O$4:$O$163,$C64)</f>
        <v>27.773265580596355</v>
      </c>
      <c r="F64" s="56"/>
      <c r="G64" s="56"/>
      <c r="H64" s="56"/>
      <c r="I64" s="56">
        <v>6</v>
      </c>
      <c r="J64" s="56"/>
      <c r="K64" s="56"/>
      <c r="L64" s="56"/>
      <c r="M64" s="56"/>
      <c r="N64" s="110">
        <f>求节点(武将升星!G$104:G$112,武将升星!$C$104:$C$112,(武将数量星级阶位验证!BL54-武将数量星级阶位验证!BN54)/武将数量星级阶位验证!D$6+武将数量星级阶位验证!BN54/MAX(I$62:I64))</f>
        <v>0.16933262846455488</v>
      </c>
      <c r="O64" s="56"/>
      <c r="P64" s="110" t="str">
        <f t="shared" si="16"/>
        <v/>
      </c>
      <c r="Q64" s="110" t="str">
        <f t="shared" si="17"/>
        <v/>
      </c>
      <c r="R64" s="56" t="str">
        <f>IFERROR(MAX(0,求节点(武将进阶!F$4:F$8,武将进阶!$C$5:$C$9,W64)),"")</f>
        <v/>
      </c>
      <c r="S64" s="56">
        <f>IFERROR(MAX(0,求节点(武将进阶!G$4:G$8,武将进阶!$C$5:$C$9,X64)),"")</f>
        <v>1.1109306232238543</v>
      </c>
      <c r="T64" s="56" t="str">
        <f>IFERROR(MAX(0,求节点(武将进阶!H$4:H$8,武将进阶!$C$5:$C$9,Y64)),"")</f>
        <v/>
      </c>
      <c r="U64" s="56" t="str">
        <f>IF(F64="","",MIN($D64*2,武将进阶!D$10))</f>
        <v/>
      </c>
      <c r="V64" s="56" t="str">
        <f>IF(G64="","",MIN($D64*2,武将进阶!E$10))</f>
        <v/>
      </c>
      <c r="W64" s="56" t="str">
        <f>IF(H64="","",MIN($D64*2,武将进阶!F$10))</f>
        <v/>
      </c>
      <c r="X64" s="56">
        <f>IF(I64="","",MIN($D64*2,武将进阶!G$10))</f>
        <v>55.546531161192711</v>
      </c>
      <c r="Y64" s="56" t="str">
        <f>IF(J64="","",MIN($D64*2,武将进阶!H$10))</f>
        <v/>
      </c>
      <c r="Z64" s="111"/>
      <c r="AA64" s="111"/>
      <c r="AB64" s="111" t="str">
        <f t="shared" si="12"/>
        <v/>
      </c>
      <c r="AC64" s="111">
        <f t="shared" si="18"/>
        <v>1</v>
      </c>
      <c r="AD64" s="111" t="str">
        <f t="shared" si="19"/>
        <v/>
      </c>
      <c r="AE64" s="112"/>
      <c r="AF64" s="56"/>
      <c r="AG64" s="56"/>
      <c r="AH64" s="56"/>
      <c r="AI64" s="112">
        <f>MIN(求节点(武将天赋进度验证!$Q$5:$Q$164,武将天赋进度验证!$X$5:$X$164,$D64),武将天赋进度验证!AL54)</f>
        <v>0</v>
      </c>
      <c r="AJ64" s="56"/>
      <c r="AK64" s="56"/>
      <c r="AL64" s="56"/>
      <c r="AM64" s="56"/>
      <c r="AN64" s="56"/>
      <c r="AT64" s="56">
        <f t="shared" si="14"/>
        <v>14.25</v>
      </c>
      <c r="AU64" s="56">
        <f t="shared" ref="AU64:AY64" si="21">IF(AU19="",0,AU19)</f>
        <v>0</v>
      </c>
      <c r="AV64" s="56">
        <f t="shared" si="21"/>
        <v>0</v>
      </c>
      <c r="AW64" s="56">
        <f t="shared" si="21"/>
        <v>0.65</v>
      </c>
      <c r="AX64" s="56">
        <f t="shared" si="21"/>
        <v>0.65</v>
      </c>
      <c r="AY64" s="56">
        <f t="shared" si="21"/>
        <v>0.65</v>
      </c>
    </row>
    <row r="65" spans="1:51" x14ac:dyDescent="0.15">
      <c r="A65" s="82">
        <f t="shared" si="0"/>
        <v>7</v>
      </c>
      <c r="C65" s="56">
        <f t="shared" si="11"/>
        <v>8.5</v>
      </c>
      <c r="D65" s="56">
        <f>求节点(节奏总纲!$Q$4:$Q$163,节奏总纲!$O$4:$O$163,$C65)</f>
        <v>34.250806171891597</v>
      </c>
      <c r="F65" s="56"/>
      <c r="G65" s="56"/>
      <c r="H65" s="56"/>
      <c r="I65" s="56">
        <v>6</v>
      </c>
      <c r="J65" s="56"/>
      <c r="K65" s="56"/>
      <c r="L65" s="56"/>
      <c r="M65" s="56"/>
      <c r="N65" s="110">
        <f>求节点(武将升星!G$104:G$112,武将升星!$C$104:$C$112,(武将数量星级阶位验证!BL55-武将数量星级阶位验证!BN55)/武将数量星级阶位验证!D$6+武将数量星级阶位验证!BN55/MAX(I$62:I65))</f>
        <v>0.66920166281262383</v>
      </c>
      <c r="O65" s="56"/>
      <c r="P65" s="110" t="str">
        <f t="shared" si="16"/>
        <v/>
      </c>
      <c r="Q65" s="110" t="str">
        <f t="shared" si="17"/>
        <v/>
      </c>
      <c r="R65" s="56" t="str">
        <f>IFERROR(MAX(0,求节点(武将进阶!F$4:F$8,武将进阶!$C$5:$C$9,W65)),"")</f>
        <v/>
      </c>
      <c r="S65" s="56">
        <f>IFERROR(MAX(0,求节点(武将进阶!G$4:G$8,武将进阶!$C$5:$C$9,X65)),"")</f>
        <v>1.3700322468756638</v>
      </c>
      <c r="T65" s="56" t="str">
        <f>IFERROR(MAX(0,求节点(武将进阶!H$4:H$8,武将进阶!$C$5:$C$9,Y65)),"")</f>
        <v/>
      </c>
      <c r="U65" s="56" t="str">
        <f>IF(F65="","",MIN($D65*2,武将进阶!D$10))</f>
        <v/>
      </c>
      <c r="V65" s="56" t="str">
        <f>IF(G65="","",MIN($D65*2,武将进阶!E$10))</f>
        <v/>
      </c>
      <c r="W65" s="56" t="str">
        <f>IF(H65="","",MIN($D65*2,武将进阶!F$10))</f>
        <v/>
      </c>
      <c r="X65" s="56">
        <f>IF(I65="","",MIN($D65*2,武将进阶!G$10))</f>
        <v>68.501612343783194</v>
      </c>
      <c r="Y65" s="56" t="str">
        <f>IF(J65="","",MIN($D65*2,武将进阶!H$10))</f>
        <v/>
      </c>
      <c r="Z65" s="111"/>
      <c r="AA65" s="111"/>
      <c r="AB65" s="111" t="str">
        <f t="shared" si="12"/>
        <v/>
      </c>
      <c r="AC65" s="111">
        <f t="shared" si="18"/>
        <v>1.5089133634897545</v>
      </c>
      <c r="AD65" s="111" t="str">
        <f t="shared" si="19"/>
        <v/>
      </c>
      <c r="AE65" s="112"/>
      <c r="AF65" s="56"/>
      <c r="AG65" s="56"/>
      <c r="AH65" s="56"/>
      <c r="AI65" s="112">
        <f>MIN(求节点(武将天赋进度验证!$Q$5:$Q$164,武将天赋进度验证!$X$5:$X$164,$D65),武将天赋进度验证!AL55)</f>
        <v>0</v>
      </c>
      <c r="AJ65" s="56"/>
      <c r="AK65" s="56"/>
      <c r="AL65" s="56"/>
      <c r="AM65" s="56"/>
      <c r="AN65" s="56"/>
      <c r="AT65" s="56">
        <f t="shared" si="14"/>
        <v>17.099999999999998</v>
      </c>
      <c r="AU65" s="56">
        <f t="shared" ref="AU65:AY65" si="22">IF(AU20="",0,AU20)</f>
        <v>0</v>
      </c>
      <c r="AV65" s="56">
        <f t="shared" si="22"/>
        <v>0</v>
      </c>
      <c r="AW65" s="56">
        <f t="shared" si="22"/>
        <v>1</v>
      </c>
      <c r="AX65" s="56">
        <f t="shared" si="22"/>
        <v>1</v>
      </c>
      <c r="AY65" s="56">
        <f t="shared" si="22"/>
        <v>1</v>
      </c>
    </row>
    <row r="66" spans="1:51" x14ac:dyDescent="0.15">
      <c r="A66" s="82">
        <f t="shared" si="0"/>
        <v>8</v>
      </c>
      <c r="C66" s="56">
        <f t="shared" si="11"/>
        <v>12.75</v>
      </c>
      <c r="D66" s="56">
        <f>求节点(节奏总纲!$Q$4:$Q$163,节奏总纲!$O$4:$O$163,$C66)</f>
        <v>39.661158518499626</v>
      </c>
      <c r="F66" s="56"/>
      <c r="G66" s="56"/>
      <c r="H66" s="56"/>
      <c r="I66" s="56">
        <v>6</v>
      </c>
      <c r="J66" s="56"/>
      <c r="K66" s="56"/>
      <c r="L66" s="56"/>
      <c r="M66" s="56"/>
      <c r="N66" s="110">
        <f>求节点(武将升星!G$104:G$112,武将升星!$C$104:$C$112,(武将数量星级阶位验证!BL56-武将数量星级阶位验证!BN56)/武将数量星级阶位验证!D$6+武将数量星级阶位验证!BN56/MAX(I$62:I66))</f>
        <v>1.1460676492452331</v>
      </c>
      <c r="O66" s="56"/>
      <c r="P66" s="110" t="str">
        <f t="shared" si="16"/>
        <v/>
      </c>
      <c r="Q66" s="110" t="str">
        <f t="shared" si="17"/>
        <v/>
      </c>
      <c r="R66" s="56" t="str">
        <f>IFERROR(MAX(0,求节点(武将进阶!F$4:F$8,武将进阶!$C$5:$C$9,W66)),"")</f>
        <v/>
      </c>
      <c r="S66" s="56">
        <f>IFERROR(MAX(0,求节点(武将进阶!G$4:G$8,武将进阶!$C$5:$C$9,X66)),"")</f>
        <v>1.5864463407399851</v>
      </c>
      <c r="T66" s="56" t="str">
        <f>IFERROR(MAX(0,求节点(武将进阶!H$4:H$8,武将进阶!$C$5:$C$9,Y66)),"")</f>
        <v/>
      </c>
      <c r="U66" s="56" t="str">
        <f>IF(F66="","",MIN($D66*2,武将进阶!D$10))</f>
        <v/>
      </c>
      <c r="V66" s="56" t="str">
        <f>IF(G66="","",MIN($D66*2,武将进阶!E$10))</f>
        <v/>
      </c>
      <c r="W66" s="56" t="str">
        <f>IF(H66="","",MIN($D66*2,武将进阶!F$10))</f>
        <v/>
      </c>
      <c r="X66" s="56">
        <f>IF(I66="","",MIN($D66*2,武将进阶!G$10))</f>
        <v>79.322317036999252</v>
      </c>
      <c r="Y66" s="56" t="str">
        <f>IF(J66="","",MIN($D66*2,武将进阶!H$10))</f>
        <v/>
      </c>
      <c r="Z66" s="111"/>
      <c r="AA66" s="111"/>
      <c r="AB66" s="111" t="str">
        <f t="shared" si="12"/>
        <v/>
      </c>
      <c r="AC66" s="111">
        <f t="shared" si="18"/>
        <v>2</v>
      </c>
      <c r="AD66" s="111" t="str">
        <f t="shared" si="19"/>
        <v/>
      </c>
      <c r="AE66" s="112"/>
      <c r="AF66" s="56"/>
      <c r="AG66" s="56"/>
      <c r="AH66" s="56"/>
      <c r="AI66" s="112">
        <f>MIN(求节点(武将天赋进度验证!$Q$5:$Q$164,武将天赋进度验证!$X$5:$X$164,$D66),武将天赋进度验证!AL56)</f>
        <v>0</v>
      </c>
      <c r="AJ66" s="56"/>
      <c r="AK66" s="56"/>
      <c r="AL66" s="56"/>
      <c r="AM66" s="56"/>
      <c r="AN66" s="56"/>
      <c r="AT66" s="56">
        <f t="shared" si="14"/>
        <v>19.95</v>
      </c>
      <c r="AU66" s="56">
        <f t="shared" ref="AU66:AY66" si="23">IF(AU21="",0,AU21)</f>
        <v>0</v>
      </c>
      <c r="AV66" s="56">
        <f t="shared" si="23"/>
        <v>0</v>
      </c>
      <c r="AW66" s="56">
        <f t="shared" si="23"/>
        <v>1</v>
      </c>
      <c r="AX66" s="56">
        <f t="shared" si="23"/>
        <v>1</v>
      </c>
      <c r="AY66" s="56">
        <f t="shared" si="23"/>
        <v>1</v>
      </c>
    </row>
    <row r="67" spans="1:51" x14ac:dyDescent="0.15">
      <c r="A67" s="82">
        <f t="shared" si="0"/>
        <v>9</v>
      </c>
      <c r="C67" s="56">
        <f t="shared" si="11"/>
        <v>17</v>
      </c>
      <c r="D67" s="56">
        <f>求节点(节奏总纲!$Q$4:$Q$163,节奏总纲!$O$4:$O$163,$C67)</f>
        <v>43.535389560453282</v>
      </c>
      <c r="F67" s="56"/>
      <c r="G67" s="56"/>
      <c r="H67" s="56"/>
      <c r="I67" s="56">
        <v>6</v>
      </c>
      <c r="J67" s="56"/>
      <c r="K67" s="56"/>
      <c r="L67" s="56"/>
      <c r="M67" s="56"/>
      <c r="N67" s="110">
        <f>求节点(武将升星!G$104:G$112,武将升星!$C$104:$C$112,(武将数量星级阶位验证!BL57-武将数量星级阶位验证!BN57)/武将数量星级阶位验证!D$6+武将数量星级阶位验证!BN57/MAX(I$62:I67))</f>
        <v>1.6029431304051021</v>
      </c>
      <c r="O67" s="56"/>
      <c r="P67" s="110" t="str">
        <f t="shared" si="16"/>
        <v/>
      </c>
      <c r="Q67" s="110" t="str">
        <f t="shared" si="17"/>
        <v/>
      </c>
      <c r="R67" s="56" t="str">
        <f>IFERROR(MAX(0,求节点(武将进阶!F$4:F$8,武将进阶!$C$5:$C$9,W67)),"")</f>
        <v/>
      </c>
      <c r="S67" s="56">
        <f>IFERROR(MAX(0,求节点(武将进阶!G$4:G$8,武将进阶!$C$5:$C$9,X67)),"")</f>
        <v>1.7414155824181314</v>
      </c>
      <c r="T67" s="56" t="str">
        <f>IFERROR(MAX(0,求节点(武将进阶!H$4:H$8,武将进阶!$C$5:$C$9,Y67)),"")</f>
        <v/>
      </c>
      <c r="U67" s="56" t="str">
        <f>IF(F67="","",MIN($D67*2,武将进阶!D$10))</f>
        <v/>
      </c>
      <c r="V67" s="56" t="str">
        <f>IF(G67="","",MIN($D67*2,武将进阶!E$10))</f>
        <v/>
      </c>
      <c r="W67" s="56" t="str">
        <f>IF(H67="","",MIN($D67*2,武将进阶!F$10))</f>
        <v/>
      </c>
      <c r="X67" s="56">
        <f>IF(I67="","",MIN($D67*2,武将进阶!G$10))</f>
        <v>87.070779120906565</v>
      </c>
      <c r="Y67" s="56" t="str">
        <f>IF(J67="","",MIN($D67*2,武将进阶!H$10))</f>
        <v/>
      </c>
      <c r="Z67" s="111"/>
      <c r="AA67" s="111"/>
      <c r="AB67" s="111" t="str">
        <f t="shared" si="12"/>
        <v/>
      </c>
      <c r="AC67" s="111">
        <f t="shared" si="18"/>
        <v>2</v>
      </c>
      <c r="AD67" s="111" t="str">
        <f t="shared" si="19"/>
        <v/>
      </c>
      <c r="AE67" s="112"/>
      <c r="AF67" s="56"/>
      <c r="AG67" s="56"/>
      <c r="AH67" s="56"/>
      <c r="AI67" s="112">
        <f>MIN(求节点(武将天赋进度验证!$Q$5:$Q$164,武将天赋进度验证!$X$5:$X$164,$D67),武将天赋进度验证!AL57)</f>
        <v>0</v>
      </c>
      <c r="AJ67" s="56"/>
      <c r="AK67" s="56"/>
      <c r="AL67" s="56"/>
      <c r="AM67" s="56"/>
      <c r="AN67" s="56"/>
      <c r="AT67" s="56">
        <f t="shared" si="14"/>
        <v>22.799999999999997</v>
      </c>
      <c r="AU67" s="56">
        <f t="shared" ref="AU67:AY67" si="24">IF(AU22="",0,AU22)</f>
        <v>0</v>
      </c>
      <c r="AV67" s="56">
        <f t="shared" si="24"/>
        <v>0</v>
      </c>
      <c r="AW67" s="56">
        <f t="shared" si="24"/>
        <v>1</v>
      </c>
      <c r="AX67" s="56">
        <f t="shared" si="24"/>
        <v>1</v>
      </c>
      <c r="AY67" s="56">
        <f t="shared" si="24"/>
        <v>1</v>
      </c>
    </row>
    <row r="68" spans="1:51" x14ac:dyDescent="0.15">
      <c r="A68" s="82">
        <f t="shared" si="0"/>
        <v>10</v>
      </c>
      <c r="C68" s="56">
        <f t="shared" si="11"/>
        <v>25.5</v>
      </c>
      <c r="D68" s="56">
        <f>求节点(节奏总纲!$Q$4:$Q$163,节奏总纲!$O$4:$O$163,$C68)</f>
        <v>49.178590903134719</v>
      </c>
      <c r="F68" s="56"/>
      <c r="G68" s="56"/>
      <c r="H68" s="56"/>
      <c r="I68" s="56">
        <v>6</v>
      </c>
      <c r="J68" s="56"/>
      <c r="K68" s="56"/>
      <c r="L68" s="56"/>
      <c r="M68" s="56"/>
      <c r="N68" s="110">
        <f>求节点(武将升星!G$104:G$112,武将升星!$C$104:$C$112,(武将数量星级阶位验证!BL58-武将数量星级阶位验证!BN58)/武将数量星级阶位验证!D$6+武将数量星级阶位验证!BN58/MAX(I$62:I68))</f>
        <v>2.4074491677725511</v>
      </c>
      <c r="O68" s="56"/>
      <c r="P68" s="110" t="str">
        <f t="shared" si="16"/>
        <v/>
      </c>
      <c r="Q68" s="110" t="str">
        <f t="shared" si="17"/>
        <v/>
      </c>
      <c r="R68" s="56" t="str">
        <f>IFERROR(MAX(0,求节点(武将进阶!F$4:F$8,武将进阶!$C$5:$C$9,W68)),"")</f>
        <v/>
      </c>
      <c r="S68" s="56">
        <f>IFERROR(MAX(0,求节点(武将进阶!G$4:G$8,武将进阶!$C$5:$C$9,X68)),"")</f>
        <v>1.9671436361253889</v>
      </c>
      <c r="T68" s="56" t="str">
        <f>IFERROR(MAX(0,求节点(武将进阶!H$4:H$8,武将进阶!$C$5:$C$9,Y68)),"")</f>
        <v/>
      </c>
      <c r="U68" s="56" t="str">
        <f>IF(F68="","",MIN($D68*2,武将进阶!D$10))</f>
        <v/>
      </c>
      <c r="V68" s="56" t="str">
        <f>IF(G68="","",MIN($D68*2,武将进阶!E$10))</f>
        <v/>
      </c>
      <c r="W68" s="56" t="str">
        <f>IF(H68="","",MIN($D68*2,武将进阶!F$10))</f>
        <v/>
      </c>
      <c r="X68" s="56">
        <f>IF(I68="","",MIN($D68*2,武将进阶!G$10))</f>
        <v>98.357181806269438</v>
      </c>
      <c r="Y68" s="56" t="str">
        <f>IF(J68="","",MIN($D68*2,武将进阶!H$10))</f>
        <v/>
      </c>
      <c r="Z68" s="111"/>
      <c r="AA68" s="111"/>
      <c r="AB68" s="111" t="str">
        <f t="shared" si="12"/>
        <v/>
      </c>
      <c r="AC68" s="111">
        <f t="shared" si="18"/>
        <v>2</v>
      </c>
      <c r="AD68" s="111" t="str">
        <f t="shared" si="19"/>
        <v/>
      </c>
      <c r="AE68" s="112"/>
      <c r="AF68" s="56"/>
      <c r="AG68" s="56"/>
      <c r="AH68" s="56"/>
      <c r="AI68" s="112">
        <f>MIN(求节点(武将天赋进度验证!$Q$5:$Q$164,武将天赋进度验证!$X$5:$X$164,$D68),武将天赋进度验证!AL58)</f>
        <v>0</v>
      </c>
      <c r="AJ68" s="56"/>
      <c r="AK68" s="56"/>
      <c r="AL68" s="56"/>
      <c r="AM68" s="56"/>
      <c r="AN68" s="56"/>
      <c r="AT68" s="56">
        <f t="shared" si="14"/>
        <v>31.349999999999998</v>
      </c>
      <c r="AU68" s="56">
        <f t="shared" ref="AU68:AY68" si="25">IF(AU23="",0,AU23)</f>
        <v>0</v>
      </c>
      <c r="AV68" s="56">
        <f t="shared" si="25"/>
        <v>0</v>
      </c>
      <c r="AW68" s="56">
        <f t="shared" si="25"/>
        <v>1</v>
      </c>
      <c r="AX68" s="56">
        <f t="shared" si="25"/>
        <v>1</v>
      </c>
      <c r="AY68" s="56">
        <f t="shared" si="25"/>
        <v>1</v>
      </c>
    </row>
    <row r="69" spans="1:51" x14ac:dyDescent="0.15">
      <c r="A69" s="82">
        <f t="shared" si="0"/>
        <v>11</v>
      </c>
      <c r="C69" s="56">
        <f t="shared" si="11"/>
        <v>34</v>
      </c>
      <c r="D69" s="56">
        <f>求节点(节奏总纲!$Q$4:$Q$163,节奏总纲!$O$4:$O$163,$C69)</f>
        <v>53.226994578658328</v>
      </c>
      <c r="F69" s="56"/>
      <c r="G69" s="56"/>
      <c r="H69" s="56"/>
      <c r="I69" s="56">
        <v>5</v>
      </c>
      <c r="J69" s="56">
        <v>1</v>
      </c>
      <c r="K69" s="56"/>
      <c r="L69" s="56"/>
      <c r="M69" s="56"/>
      <c r="N69" s="110">
        <f>求节点(武将升星!G$104:G$112,武将升星!$C$104:$C$112,(武将数量星级阶位验证!BL59-武将数量星级阶位验证!BN59)/武将数量星级阶位验证!D$6+武将数量星级阶位验证!BN59/MAX(I$62:I69))</f>
        <v>3.073515069452641</v>
      </c>
      <c r="O69" s="56">
        <f>求节点(武将升星!H$104:H$112,武将升星!$C$104:$C$112,武将数量星级阶位验证!BM59/J69)</f>
        <v>5.4684502519781075E-2</v>
      </c>
      <c r="P69" s="110" t="str">
        <f t="shared" si="16"/>
        <v/>
      </c>
      <c r="Q69" s="110" t="str">
        <f t="shared" si="17"/>
        <v/>
      </c>
      <c r="R69" s="56" t="str">
        <f>IFERROR(MAX(0,求节点(武将进阶!F$4:F$8,武将进阶!$C$5:$C$9,W69)),"")</f>
        <v/>
      </c>
      <c r="S69" s="56">
        <f>IFERROR(MAX(0,求节点(武将进阶!G$4:G$8,武将进阶!$C$5:$C$9,X69)),"")</f>
        <v>2.1290797831463331</v>
      </c>
      <c r="T69" s="56">
        <f>IFERROR(MAX(0,求节点(武将进阶!H$4:H$8,武将进阶!$C$5:$C$9,Y69)),"")</f>
        <v>2.1290797831463331</v>
      </c>
      <c r="U69" s="56" t="str">
        <f>IF(F69="","",MIN($D69*2,武将进阶!D$10))</f>
        <v/>
      </c>
      <c r="V69" s="56" t="str">
        <f>IF(G69="","",MIN($D69*2,武将进阶!E$10))</f>
        <v/>
      </c>
      <c r="W69" s="56" t="str">
        <f>IF(H69="","",MIN($D69*2,武将进阶!F$10))</f>
        <v/>
      </c>
      <c r="X69" s="56">
        <f>IF(I69="","",MIN($D69*2,武将进阶!G$10))</f>
        <v>106.45398915731666</v>
      </c>
      <c r="Y69" s="56">
        <f>IF(J69="","",MIN($D69*2,武将进阶!H$10))</f>
        <v>106.45398915731666</v>
      </c>
      <c r="Z69" s="111"/>
      <c r="AA69" s="111"/>
      <c r="AB69" s="111" t="str">
        <f t="shared" si="12"/>
        <v/>
      </c>
      <c r="AC69" s="111">
        <f t="shared" si="18"/>
        <v>2</v>
      </c>
      <c r="AD69" s="111">
        <f t="shared" si="19"/>
        <v>2</v>
      </c>
      <c r="AE69" s="112"/>
      <c r="AF69" s="56"/>
      <c r="AG69" s="56"/>
      <c r="AH69" s="56"/>
      <c r="AI69" s="112">
        <f>MIN(求节点(武将天赋进度验证!$Q$5:$Q$164,武将天赋进度验证!$X$5:$X$164,$D69),武将天赋进度验证!AL59)</f>
        <v>5.4086384744604227E-3</v>
      </c>
      <c r="AJ69" s="56"/>
      <c r="AK69" s="56"/>
      <c r="AL69" s="56"/>
      <c r="AM69" s="56"/>
      <c r="AN69" s="56"/>
      <c r="AT69" s="56">
        <f t="shared" si="14"/>
        <v>34.199999999999996</v>
      </c>
      <c r="AU69" s="56">
        <f t="shared" ref="AU69:AY69" si="26">IF(AU24="",0,AU24)</f>
        <v>0</v>
      </c>
      <c r="AV69" s="56">
        <f t="shared" si="26"/>
        <v>0</v>
      </c>
      <c r="AW69" s="56">
        <f t="shared" si="26"/>
        <v>1.5</v>
      </c>
      <c r="AX69" s="56">
        <f t="shared" si="26"/>
        <v>1.5</v>
      </c>
      <c r="AY69" s="56">
        <f t="shared" si="26"/>
        <v>1.5</v>
      </c>
    </row>
    <row r="70" spans="1:51" x14ac:dyDescent="0.15">
      <c r="A70" s="82">
        <f t="shared" si="0"/>
        <v>12</v>
      </c>
      <c r="C70" s="56">
        <f t="shared" si="11"/>
        <v>51</v>
      </c>
      <c r="D70" s="56">
        <f>求节点(节奏总纲!$Q$4:$Q$163,节奏总纲!$O$4:$O$163,$C70)</f>
        <v>59.016342740868758</v>
      </c>
      <c r="F70" s="56"/>
      <c r="G70" s="56"/>
      <c r="H70" s="56"/>
      <c r="I70" s="56">
        <v>4</v>
      </c>
      <c r="J70" s="56">
        <v>2</v>
      </c>
      <c r="K70" s="56"/>
      <c r="L70" s="56"/>
      <c r="M70" s="56"/>
      <c r="N70" s="110">
        <f>求节点(武将升星!G$104:G$112,武将升星!$C$104:$C$112,(武将数量星级阶位验证!BL60-武将数量星级阶位验证!BN60)/武将数量星级阶位验证!D$6+武将数量星级阶位验证!BN60/MAX(I$62:I70))</f>
        <v>3.6225879801522045</v>
      </c>
      <c r="O70" s="56">
        <f>求节点(武将升星!H$104:H$112,武将升星!$C$104:$C$112,武将数量星级阶位验证!BM60/J70)</f>
        <v>1.2314729140240206</v>
      </c>
      <c r="P70" s="110" t="str">
        <f t="shared" si="16"/>
        <v/>
      </c>
      <c r="Q70" s="110" t="str">
        <f t="shared" si="17"/>
        <v/>
      </c>
      <c r="R70" s="56" t="str">
        <f>IFERROR(MAX(0,求节点(武将进阶!F$4:F$8,武将进阶!$C$5:$C$9,W70)),"")</f>
        <v/>
      </c>
      <c r="S70" s="56">
        <f>IFERROR(MAX(0,求节点(武将进阶!G$4:G$8,武将进阶!$C$5:$C$9,X70)),"")</f>
        <v>2.3606537096347502</v>
      </c>
      <c r="T70" s="56">
        <f>IFERROR(MAX(0,求节点(武将进阶!H$4:H$8,武将进阶!$C$5:$C$9,Y70)),"")</f>
        <v>2.3606537096347502</v>
      </c>
      <c r="U70" s="56" t="str">
        <f>IF(F70="","",MIN($D70*2,武将进阶!D$10))</f>
        <v/>
      </c>
      <c r="V70" s="56" t="str">
        <f>IF(G70="","",MIN($D70*2,武将进阶!E$10))</f>
        <v/>
      </c>
      <c r="W70" s="56" t="str">
        <f>IF(H70="","",MIN($D70*2,武将进阶!F$10))</f>
        <v/>
      </c>
      <c r="X70" s="56">
        <f>IF(I70="","",MIN($D70*2,武将进阶!G$10))</f>
        <v>118.03268548173752</v>
      </c>
      <c r="Y70" s="56">
        <f>IF(J70="","",MIN($D70*2,武将进阶!H$10))</f>
        <v>118.03268548173752</v>
      </c>
      <c r="Z70" s="111"/>
      <c r="AA70" s="111"/>
      <c r="AB70" s="111" t="str">
        <f t="shared" si="12"/>
        <v/>
      </c>
      <c r="AC70" s="111">
        <f t="shared" si="18"/>
        <v>2</v>
      </c>
      <c r="AD70" s="111">
        <f t="shared" si="19"/>
        <v>2</v>
      </c>
      <c r="AE70" s="112"/>
      <c r="AF70" s="56"/>
      <c r="AG70" s="56"/>
      <c r="AH70" s="56"/>
      <c r="AI70" s="112">
        <f>MIN(求节点(武将天赋进度验证!$Q$5:$Q$164,武将天赋进度验证!$X$5:$X$164,$D70),武将天赋进度验证!AL60)</f>
        <v>1.1443450841148825E-2</v>
      </c>
      <c r="AJ70" s="56"/>
      <c r="AK70" s="56"/>
      <c r="AL70" s="56"/>
      <c r="AM70" s="56"/>
      <c r="AN70" s="56"/>
      <c r="AT70" s="56">
        <f t="shared" si="14"/>
        <v>37.049999999999997</v>
      </c>
      <c r="AU70" s="56">
        <f t="shared" ref="AU70:AY70" si="27">IF(AU25="",0,AU25)</f>
        <v>0</v>
      </c>
      <c r="AV70" s="56">
        <f t="shared" si="27"/>
        <v>0</v>
      </c>
      <c r="AW70" s="56">
        <f t="shared" si="27"/>
        <v>2</v>
      </c>
      <c r="AX70" s="56">
        <f t="shared" si="27"/>
        <v>2</v>
      </c>
      <c r="AY70" s="56">
        <f t="shared" si="27"/>
        <v>2</v>
      </c>
    </row>
    <row r="71" spans="1:51" x14ac:dyDescent="0.15">
      <c r="A71" s="82">
        <f t="shared" si="0"/>
        <v>13</v>
      </c>
      <c r="C71" s="56">
        <f t="shared" si="11"/>
        <v>76.5</v>
      </c>
      <c r="D71" s="56">
        <f>求节点(节奏总纲!$Q$4:$Q$163,节奏总纲!$O$4:$O$163,$C71)</f>
        <v>64.781009552500748</v>
      </c>
      <c r="F71" s="56"/>
      <c r="G71" s="56"/>
      <c r="H71" s="56"/>
      <c r="I71" s="56">
        <v>3</v>
      </c>
      <c r="J71" s="56">
        <v>3</v>
      </c>
      <c r="K71" s="56"/>
      <c r="L71" s="56"/>
      <c r="M71" s="56"/>
      <c r="N71" s="110">
        <f>求节点(武将升星!G$104:G$112,武将升星!$C$104:$C$112,(武将数量星级阶位验证!BL61-武将数量星级阶位验证!BN61)/武将数量星级阶位验证!D$6+武将数量星级阶位验证!BN61/MAX(I$62:I71))</f>
        <v>3.9992899911684452</v>
      </c>
      <c r="O71" s="56">
        <f>求节点(武将升星!H$104:H$112,武将升星!$C$104:$C$112,武将数量星级阶位验证!BM61/J71)</f>
        <v>3.3462527022694109</v>
      </c>
      <c r="P71" s="110" t="str">
        <f t="shared" si="16"/>
        <v/>
      </c>
      <c r="Q71" s="110" t="str">
        <f t="shared" si="17"/>
        <v/>
      </c>
      <c r="R71" s="56" t="str">
        <f>IFERROR(MAX(0,求节点(武将进阶!F$4:F$8,武将进阶!$C$5:$C$9,W71)),"")</f>
        <v/>
      </c>
      <c r="S71" s="56">
        <f>IFERROR(MAX(0,求节点(武将进阶!G$4:G$8,武将进阶!$C$5:$C$9,X71)),"")</f>
        <v>2.5912403821000298</v>
      </c>
      <c r="T71" s="56">
        <f>IFERROR(MAX(0,求节点(武将进阶!H$4:H$8,武将进阶!$C$5:$C$9,Y71)),"")</f>
        <v>2.5912403821000298</v>
      </c>
      <c r="U71" s="56" t="str">
        <f>IF(F71="","",MIN($D71*2,武将进阶!D$10))</f>
        <v/>
      </c>
      <c r="V71" s="56" t="str">
        <f>IF(G71="","",MIN($D71*2,武将进阶!E$10))</f>
        <v/>
      </c>
      <c r="W71" s="56" t="str">
        <f>IF(H71="","",MIN($D71*2,武将进阶!F$10))</f>
        <v/>
      </c>
      <c r="X71" s="56">
        <f>IF(I71="","",MIN($D71*2,武将进阶!G$10))</f>
        <v>129.5620191050015</v>
      </c>
      <c r="Y71" s="56">
        <f>IF(J71="","",MIN($D71*2,武将进阶!H$10))</f>
        <v>129.5620191050015</v>
      </c>
      <c r="Z71" s="111"/>
      <c r="AA71" s="111"/>
      <c r="AB71" s="111" t="str">
        <f t="shared" si="12"/>
        <v/>
      </c>
      <c r="AC71" s="111">
        <f t="shared" si="18"/>
        <v>2</v>
      </c>
      <c r="AD71" s="111">
        <f t="shared" si="19"/>
        <v>2</v>
      </c>
      <c r="AE71" s="112"/>
      <c r="AF71" s="56"/>
      <c r="AG71" s="56"/>
      <c r="AH71" s="56"/>
      <c r="AI71" s="112">
        <f>MIN(求节点(武将天赋进度验证!$Q$5:$Q$164,武将天赋进度验证!$X$5:$X$164,$D71),武将天赋进度验证!AL61)</f>
        <v>2.4064130279686263E-2</v>
      </c>
      <c r="AJ71" s="56"/>
      <c r="AK71" s="56"/>
      <c r="AL71" s="56"/>
      <c r="AM71" s="56"/>
      <c r="AN71" s="56"/>
      <c r="AT71" s="56">
        <f t="shared" si="14"/>
        <v>39.9</v>
      </c>
      <c r="AU71" s="56">
        <f t="shared" ref="AU71:AY71" si="28">IF(AU26="",0,AU26)</f>
        <v>0</v>
      </c>
      <c r="AV71" s="56">
        <f t="shared" si="28"/>
        <v>0</v>
      </c>
      <c r="AW71" s="56">
        <f t="shared" si="28"/>
        <v>2</v>
      </c>
      <c r="AX71" s="56">
        <f t="shared" si="28"/>
        <v>2</v>
      </c>
      <c r="AY71" s="56">
        <f t="shared" si="28"/>
        <v>2</v>
      </c>
    </row>
    <row r="72" spans="1:51" x14ac:dyDescent="0.15">
      <c r="A72" s="82">
        <f t="shared" si="0"/>
        <v>14</v>
      </c>
      <c r="C72" s="56">
        <f t="shared" si="11"/>
        <v>102</v>
      </c>
      <c r="D72" s="56">
        <f>求节点(节奏总纲!$Q$4:$Q$163,节奏总纲!$O$4:$O$163,$C72)</f>
        <v>68.923431594456531</v>
      </c>
      <c r="F72" s="56"/>
      <c r="G72" s="56"/>
      <c r="H72" s="56"/>
      <c r="I72" s="56">
        <v>2</v>
      </c>
      <c r="J72" s="56">
        <v>4</v>
      </c>
      <c r="K72" s="56"/>
      <c r="L72" s="56"/>
      <c r="M72" s="56"/>
      <c r="N72" s="110">
        <f>求节点(武将升星!G$104:G$112,武将升星!$C$104:$C$112,(武将数量星级阶位验证!BL62-武将数量星级阶位验证!BN62)/武将数量星级阶位验证!D$6+武将数量星级阶位验证!BN62/MAX(I$62:I72))</f>
        <v>4.3338114622088275</v>
      </c>
      <c r="O72" s="56">
        <f>求节点(武将升星!H$104:H$112,武将升星!$C$104:$C$112,武将数量星级阶位验证!BM62/J72)</f>
        <v>3.7769709625037322</v>
      </c>
      <c r="P72" s="110" t="str">
        <f t="shared" si="16"/>
        <v/>
      </c>
      <c r="Q72" s="110" t="str">
        <f t="shared" si="17"/>
        <v/>
      </c>
      <c r="R72" s="56" t="str">
        <f>IFERROR(MAX(0,求节点(武将进阶!F$4:F$8,武将进阶!$C$5:$C$9,W72)),"")</f>
        <v/>
      </c>
      <c r="S72" s="56">
        <f>IFERROR(MAX(0,求节点(武将进阶!G$4:G$8,武将进阶!$C$5:$C$9,X72)),"")</f>
        <v>2.7569372637782612</v>
      </c>
      <c r="T72" s="56">
        <f>IFERROR(MAX(0,求节点(武将进阶!H$4:H$8,武将进阶!$C$5:$C$9,Y72)),"")</f>
        <v>2.7569372637782612</v>
      </c>
      <c r="U72" s="56" t="str">
        <f>IF(F72="","",MIN($D72*2,武将进阶!D$10))</f>
        <v/>
      </c>
      <c r="V72" s="56" t="str">
        <f>IF(G72="","",MIN($D72*2,武将进阶!E$10))</f>
        <v/>
      </c>
      <c r="W72" s="56" t="str">
        <f>IF(H72="","",MIN($D72*2,武将进阶!F$10))</f>
        <v/>
      </c>
      <c r="X72" s="56">
        <f>IF(I72="","",MIN($D72*2,武将进阶!G$10))</f>
        <v>137.84686318891306</v>
      </c>
      <c r="Y72" s="56">
        <f>IF(J72="","",MIN($D72*2,武将进阶!H$10))</f>
        <v>137.84686318891306</v>
      </c>
      <c r="Z72" s="111"/>
      <c r="AA72" s="111"/>
      <c r="AB72" s="111" t="str">
        <f t="shared" si="12"/>
        <v/>
      </c>
      <c r="AC72" s="111">
        <f t="shared" si="18"/>
        <v>2</v>
      </c>
      <c r="AD72" s="111">
        <f t="shared" si="19"/>
        <v>2</v>
      </c>
      <c r="AE72" s="112"/>
      <c r="AF72" s="56"/>
      <c r="AG72" s="56"/>
      <c r="AH72" s="56"/>
      <c r="AI72" s="112">
        <f>MIN(求节点(武将天赋进度验证!$Q$5:$Q$164,武将天赋进度验证!$X$5:$X$164,$D72),武将天赋进度验证!AL62)</f>
        <v>2.8481753461576748E-2</v>
      </c>
      <c r="AJ72" s="56"/>
      <c r="AK72" s="56"/>
      <c r="AL72" s="56"/>
      <c r="AM72" s="56"/>
      <c r="AN72" s="56"/>
      <c r="AT72" s="56">
        <f t="shared" si="14"/>
        <v>42.75</v>
      </c>
      <c r="AU72" s="56">
        <f t="shared" ref="AU72:AY72" si="29">IF(AU27="",0,AU27)</f>
        <v>0</v>
      </c>
      <c r="AV72" s="56">
        <f t="shared" si="29"/>
        <v>0</v>
      </c>
      <c r="AW72" s="56">
        <f t="shared" si="29"/>
        <v>2</v>
      </c>
      <c r="AX72" s="56">
        <f t="shared" si="29"/>
        <v>2</v>
      </c>
      <c r="AY72" s="56">
        <f t="shared" si="29"/>
        <v>2</v>
      </c>
    </row>
    <row r="73" spans="1:51" x14ac:dyDescent="0.15">
      <c r="A73" s="82">
        <f t="shared" si="0"/>
        <v>15</v>
      </c>
      <c r="C73" s="56">
        <f t="shared" si="11"/>
        <v>127.5</v>
      </c>
      <c r="D73" s="56">
        <f>求节点(节奏总纲!$Q$4:$Q$163,节奏总纲!$O$4:$O$163,$C73)</f>
        <v>72.103942950990486</v>
      </c>
      <c r="F73" s="56"/>
      <c r="G73" s="56"/>
      <c r="H73" s="56"/>
      <c r="I73" s="56">
        <v>1</v>
      </c>
      <c r="J73" s="56">
        <v>5</v>
      </c>
      <c r="K73" s="56"/>
      <c r="L73" s="56"/>
      <c r="M73" s="56"/>
      <c r="N73" s="110">
        <f>求节点(武将升星!G$104:G$112,武将升星!$C$104:$C$112,(武将数量星级阶位验证!BL63-武将数量星级阶位验证!BN63)/武将数量星级阶位验证!D$6+武将数量星级阶位验证!BN63/MAX(I$62:I73))</f>
        <v>4.6272032171052562</v>
      </c>
      <c r="O73" s="56">
        <f>求节点(武将升星!H$104:H$112,武将升星!$C$104:$C$112,武将数量星级阶位验证!BM63/J73)</f>
        <v>3.8914479121404857</v>
      </c>
      <c r="P73" s="110" t="str">
        <f t="shared" si="16"/>
        <v/>
      </c>
      <c r="Q73" s="110" t="str">
        <f t="shared" si="17"/>
        <v/>
      </c>
      <c r="R73" s="56" t="str">
        <f>IFERROR(MAX(0,求节点(武将进阶!F$4:F$8,武将进阶!$C$5:$C$9,W73)),"")</f>
        <v/>
      </c>
      <c r="S73" s="56">
        <f>IFERROR(MAX(0,求节点(武将进阶!G$4:G$8,武将进阶!$C$5:$C$9,X73)),"")</f>
        <v>2.8841577180396194</v>
      </c>
      <c r="T73" s="56">
        <f>IFERROR(MAX(0,求节点(武将进阶!H$4:H$8,武将进阶!$C$5:$C$9,Y73)),"")</f>
        <v>2.8841577180396194</v>
      </c>
      <c r="U73" s="56" t="str">
        <f>IF(F73="","",MIN($D73*2,武将进阶!D$10))</f>
        <v/>
      </c>
      <c r="V73" s="56" t="str">
        <f>IF(G73="","",MIN($D73*2,武将进阶!E$10))</f>
        <v/>
      </c>
      <c r="W73" s="56" t="str">
        <f>IF(H73="","",MIN($D73*2,武将进阶!F$10))</f>
        <v/>
      </c>
      <c r="X73" s="56">
        <f>IF(I73="","",MIN($D73*2,武将进阶!G$10))</f>
        <v>144.20788590198097</v>
      </c>
      <c r="Y73" s="56">
        <f>IF(J73="","",MIN($D73*2,武将进阶!H$10))</f>
        <v>144.20788590198097</v>
      </c>
      <c r="Z73" s="111"/>
      <c r="AA73" s="111"/>
      <c r="AB73" s="111" t="str">
        <f t="shared" si="12"/>
        <v/>
      </c>
      <c r="AC73" s="111">
        <f t="shared" si="18"/>
        <v>2</v>
      </c>
      <c r="AD73" s="111">
        <f t="shared" si="19"/>
        <v>2</v>
      </c>
      <c r="AE73" s="112"/>
      <c r="AF73" s="56"/>
      <c r="AG73" s="56"/>
      <c r="AH73" s="56"/>
      <c r="AI73" s="112">
        <f>MIN(求节点(武将天赋进度验证!$Q$5:$Q$164,武将天赋进度验证!$X$5:$X$164,$D73),武将天赋进度验证!AL63)</f>
        <v>2.96558760219537E-2</v>
      </c>
      <c r="AJ73" s="56"/>
      <c r="AK73" s="56"/>
      <c r="AL73" s="56"/>
      <c r="AM73" s="56"/>
      <c r="AN73" s="56"/>
      <c r="AT73" s="56">
        <f t="shared" si="14"/>
        <v>45.599999999999994</v>
      </c>
      <c r="AU73" s="56">
        <f t="shared" ref="AU73:AY73" si="30">IF(AU28="",0,AU28)</f>
        <v>0</v>
      </c>
      <c r="AV73" s="56">
        <f t="shared" si="30"/>
        <v>0</v>
      </c>
      <c r="AW73" s="56">
        <f t="shared" si="30"/>
        <v>2</v>
      </c>
      <c r="AX73" s="56">
        <f t="shared" si="30"/>
        <v>2</v>
      </c>
      <c r="AY73" s="56">
        <f t="shared" si="30"/>
        <v>2</v>
      </c>
    </row>
    <row r="74" spans="1:51" x14ac:dyDescent="0.15">
      <c r="A74" s="82">
        <f t="shared" si="0"/>
        <v>16</v>
      </c>
      <c r="C74" s="56">
        <f t="shared" si="11"/>
        <v>153</v>
      </c>
      <c r="D74" s="56">
        <f>求节点(节奏总纲!$Q$4:$Q$163,节奏总纲!$O$4:$O$163,$C74)</f>
        <v>74.74003809013405</v>
      </c>
      <c r="F74" s="56"/>
      <c r="G74" s="56"/>
      <c r="H74" s="56"/>
      <c r="I74" s="56">
        <v>0.5</v>
      </c>
      <c r="J74" s="56">
        <v>5.5</v>
      </c>
      <c r="K74" s="56"/>
      <c r="L74" s="56"/>
      <c r="M74" s="56"/>
      <c r="N74" s="110">
        <f>求节点(武将升星!G$104:G$112,武将升星!$C$104:$C$112,(武将数量星级阶位验证!BL64-武将数量星级阶位验证!BN64)/武将数量星级阶位验证!D$6+武将数量星级阶位验证!BN64/MAX(I$62:I74))</f>
        <v>4.9104904129089437</v>
      </c>
      <c r="O74" s="56">
        <f>求节点(武将升星!H$104:H$112,武将升星!$C$104:$C$112,武将数量星级阶位验证!BM64/J74)</f>
        <v>4.2054119067758116</v>
      </c>
      <c r="P74" s="110" t="str">
        <f t="shared" si="16"/>
        <v/>
      </c>
      <c r="Q74" s="110" t="str">
        <f t="shared" si="17"/>
        <v/>
      </c>
      <c r="R74" s="56" t="str">
        <f>IFERROR(MAX(0,求节点(武将进阶!F$4:F$8,武将进阶!$C$5:$C$9,W74)),"")</f>
        <v/>
      </c>
      <c r="S74" s="56">
        <f>IFERROR(MAX(0,求节点(武将进阶!G$4:G$8,武将进阶!$C$5:$C$9,X74)),"")</f>
        <v>2.9896015236053621</v>
      </c>
      <c r="T74" s="56">
        <f>IFERROR(MAX(0,求节点(武将进阶!H$4:H$8,武将进阶!$C$5:$C$9,Y74)),"")</f>
        <v>2.9896015236053621</v>
      </c>
      <c r="U74" s="56" t="str">
        <f>IF(F74="","",MIN($D74*2,武将进阶!D$10))</f>
        <v/>
      </c>
      <c r="V74" s="56" t="str">
        <f>IF(G74="","",MIN($D74*2,武将进阶!E$10))</f>
        <v/>
      </c>
      <c r="W74" s="56" t="str">
        <f>IF(H74="","",MIN($D74*2,武将进阶!F$10))</f>
        <v/>
      </c>
      <c r="X74" s="56">
        <f>IF(I74="","",MIN($D74*2,武将进阶!G$10))</f>
        <v>149.4800761802681</v>
      </c>
      <c r="Y74" s="56">
        <f>IF(J74="","",MIN($D74*2,武将进阶!H$10))</f>
        <v>149.4800761802681</v>
      </c>
      <c r="Z74" s="111"/>
      <c r="AA74" s="111"/>
      <c r="AB74" s="111" t="str">
        <f t="shared" si="12"/>
        <v/>
      </c>
      <c r="AC74" s="111">
        <f t="shared" si="18"/>
        <v>2</v>
      </c>
      <c r="AD74" s="111">
        <f t="shared" si="19"/>
        <v>2</v>
      </c>
      <c r="AE74" s="112"/>
      <c r="AF74" s="56"/>
      <c r="AG74" s="56"/>
      <c r="AH74" s="56"/>
      <c r="AI74" s="112">
        <f>MIN(求节点(武将天赋进度验证!$Q$5:$Q$164,武将天赋进度验证!$X$5:$X$164,$D74),武将天赋进度验证!AL64)</f>
        <v>3.287601955667499E-2</v>
      </c>
      <c r="AJ74" s="56"/>
      <c r="AK74" s="56"/>
      <c r="AL74" s="56"/>
      <c r="AM74" s="56"/>
      <c r="AN74" s="56"/>
      <c r="AT74" s="56">
        <f t="shared" si="14"/>
        <v>53.199999999999996</v>
      </c>
      <c r="AU74" s="56">
        <f t="shared" ref="AU74:AY74" si="31">IF(AU29="",0,AU29)</f>
        <v>0</v>
      </c>
      <c r="AV74" s="56">
        <f t="shared" si="31"/>
        <v>0</v>
      </c>
      <c r="AW74" s="56">
        <f t="shared" si="31"/>
        <v>2</v>
      </c>
      <c r="AX74" s="56">
        <f t="shared" si="31"/>
        <v>2</v>
      </c>
      <c r="AY74" s="56">
        <f t="shared" si="31"/>
        <v>2</v>
      </c>
    </row>
    <row r="75" spans="1:51" x14ac:dyDescent="0.15">
      <c r="A75" s="82">
        <f t="shared" si="0"/>
        <v>17</v>
      </c>
      <c r="C75" s="56">
        <f t="shared" si="11"/>
        <v>187</v>
      </c>
      <c r="D75" s="56">
        <f>求节点(节奏总纲!$Q$4:$Q$163,节奏总纲!$O$4:$O$163,$C75)</f>
        <v>77.609642525433856</v>
      </c>
      <c r="F75" s="56"/>
      <c r="G75" s="56"/>
      <c r="H75" s="56"/>
      <c r="I75" s="56"/>
      <c r="J75" s="56">
        <v>6</v>
      </c>
      <c r="K75" s="56"/>
      <c r="L75" s="56"/>
      <c r="M75" s="56"/>
      <c r="N75" s="56"/>
      <c r="O75" s="56">
        <f>求节点(武将升星!H$104:H$112,武将升星!$C$104:$C$112,武将数量星级阶位验证!BM65/J75)</f>
        <v>4.6383162072222213</v>
      </c>
      <c r="P75" s="110" t="str">
        <f t="shared" si="16"/>
        <v/>
      </c>
      <c r="Q75" s="110" t="str">
        <f t="shared" si="17"/>
        <v/>
      </c>
      <c r="R75" s="56" t="str">
        <f>IFERROR(MAX(0,求节点(武将进阶!F$4:F$8,武将进阶!$C$5:$C$9,W75)),"")</f>
        <v/>
      </c>
      <c r="S75" s="56" t="str">
        <f>IFERROR(MAX(0,求节点(武将进阶!G$4:G$8,武将进阶!$C$5:$C$9,X75)),"")</f>
        <v/>
      </c>
      <c r="T75" s="56">
        <f>IFERROR(MAX(0,求节点(武将进阶!H$4:H$8,武将进阶!$C$5:$C$9,Y75)),"")</f>
        <v>3.1043857010173541</v>
      </c>
      <c r="U75" s="56" t="str">
        <f>IF(F75="","",MIN($D75*2,武将进阶!D$10))</f>
        <v/>
      </c>
      <c r="V75" s="56" t="str">
        <f>IF(G75="","",MIN($D75*2,武将进阶!E$10))</f>
        <v/>
      </c>
      <c r="W75" s="56" t="str">
        <f>IF(H75="","",MIN($D75*2,武将进阶!F$10))</f>
        <v/>
      </c>
      <c r="X75" s="56" t="str">
        <f>IF(I75="","",MIN($D75*2,武将进阶!G$10))</f>
        <v/>
      </c>
      <c r="Y75" s="56">
        <f>IF(J75="","",MIN($D75*2,武将进阶!H$10))</f>
        <v>155.21928505086771</v>
      </c>
      <c r="Z75" s="111"/>
      <c r="AA75" s="111"/>
      <c r="AB75" s="111" t="str">
        <f t="shared" si="12"/>
        <v/>
      </c>
      <c r="AC75" s="111" t="str">
        <f t="shared" si="18"/>
        <v/>
      </c>
      <c r="AD75" s="111">
        <f t="shared" si="19"/>
        <v>2</v>
      </c>
      <c r="AE75" s="112"/>
      <c r="AF75" s="56"/>
      <c r="AG75" s="56"/>
      <c r="AH75" s="56"/>
      <c r="AI75" s="112">
        <f>MIN(求节点(武将天赋进度验证!$Q$5:$Q$164,武将天赋进度验证!$X$5:$X$164,$D75),武将天赋进度验证!AL65)</f>
        <v>3.7316063663817664E-2</v>
      </c>
      <c r="AJ75" s="56"/>
      <c r="AK75" s="56"/>
      <c r="AL75" s="56"/>
      <c r="AM75" s="56"/>
      <c r="AN75" s="56"/>
      <c r="AT75" s="56">
        <f t="shared" si="14"/>
        <v>60.8</v>
      </c>
      <c r="AU75" s="56">
        <f t="shared" ref="AU75:AY75" si="32">IF(AU30="",0,AU30)</f>
        <v>0</v>
      </c>
      <c r="AV75" s="56">
        <f t="shared" si="32"/>
        <v>0</v>
      </c>
      <c r="AW75" s="56">
        <f t="shared" si="32"/>
        <v>2</v>
      </c>
      <c r="AX75" s="56">
        <f t="shared" si="32"/>
        <v>2</v>
      </c>
      <c r="AY75" s="56">
        <f t="shared" si="32"/>
        <v>2</v>
      </c>
    </row>
    <row r="76" spans="1:51" x14ac:dyDescent="0.15">
      <c r="A76" s="82">
        <f t="shared" si="0"/>
        <v>18</v>
      </c>
      <c r="C76" s="56">
        <f t="shared" si="11"/>
        <v>221</v>
      </c>
      <c r="D76" s="56">
        <f>求节点(节奏总纲!$Q$4:$Q$163,节奏总纲!$O$4:$O$163,$C76)</f>
        <v>79.994335665275713</v>
      </c>
      <c r="F76" s="56"/>
      <c r="G76" s="56"/>
      <c r="H76" s="56"/>
      <c r="I76" s="56"/>
      <c r="J76" s="56">
        <v>6</v>
      </c>
      <c r="K76" s="56"/>
      <c r="L76" s="56"/>
      <c r="M76" s="56"/>
      <c r="N76" s="56"/>
      <c r="O76" s="56">
        <f>求节点(武将升星!H$104:H$112,武将升星!$C$104:$C$112,武将数量星级阶位验证!BM66/J76)</f>
        <v>5.1656906371384483</v>
      </c>
      <c r="P76" s="110" t="str">
        <f t="shared" si="16"/>
        <v/>
      </c>
      <c r="Q76" s="110" t="str">
        <f t="shared" si="17"/>
        <v/>
      </c>
      <c r="R76" s="56" t="str">
        <f>IFERROR(MAX(0,求节点(武将进阶!F$4:F$8,武将进阶!$C$5:$C$9,W76)),"")</f>
        <v/>
      </c>
      <c r="S76" s="56" t="str">
        <f>IFERROR(MAX(0,求节点(武将进阶!G$4:G$8,武将进阶!$C$5:$C$9,X76)),"")</f>
        <v/>
      </c>
      <c r="T76" s="56">
        <f>IFERROR(MAX(0,求节点(武将进阶!H$4:H$8,武将进阶!$C$5:$C$9,Y76)),"")</f>
        <v>3.1997734266110287</v>
      </c>
      <c r="U76" s="56" t="str">
        <f>IF(F76="","",MIN($D76*2,武将进阶!D$10))</f>
        <v/>
      </c>
      <c r="V76" s="56" t="str">
        <f>IF(G76="","",MIN($D76*2,武将进阶!E$10))</f>
        <v/>
      </c>
      <c r="W76" s="56" t="str">
        <f>IF(H76="","",MIN($D76*2,武将进阶!F$10))</f>
        <v/>
      </c>
      <c r="X76" s="56" t="str">
        <f>IF(I76="","",MIN($D76*2,武将进阶!G$10))</f>
        <v/>
      </c>
      <c r="Y76" s="56">
        <f>IF(J76="","",MIN($D76*2,武将进阶!H$10))</f>
        <v>159.98867133055143</v>
      </c>
      <c r="Z76" s="111"/>
      <c r="AA76" s="111"/>
      <c r="AB76" s="111" t="str">
        <f t="shared" si="12"/>
        <v/>
      </c>
      <c r="AC76" s="111" t="str">
        <f t="shared" si="18"/>
        <v/>
      </c>
      <c r="AD76" s="111">
        <f t="shared" si="19"/>
        <v>2</v>
      </c>
      <c r="AE76" s="112"/>
      <c r="AF76" s="56"/>
      <c r="AG76" s="56"/>
      <c r="AH76" s="56"/>
      <c r="AI76" s="112">
        <f>MIN(求节点(武将天赋进度验证!$Q$5:$Q$164,武将天赋进度验证!$X$5:$X$164,$D76),武将天赋进度验证!AL66)</f>
        <v>4.3574727750847926E-2</v>
      </c>
      <c r="AJ76" s="56"/>
      <c r="AK76" s="56"/>
      <c r="AL76" s="56"/>
      <c r="AM76" s="56"/>
      <c r="AN76" s="56"/>
      <c r="AT76" s="56">
        <f t="shared" si="14"/>
        <v>68.399999999999991</v>
      </c>
      <c r="AU76" s="56">
        <f t="shared" ref="AU76:AY76" si="33">IF(AU31="",0,AU31)</f>
        <v>0</v>
      </c>
      <c r="AV76" s="56">
        <f t="shared" si="33"/>
        <v>0</v>
      </c>
      <c r="AW76" s="56">
        <f t="shared" si="33"/>
        <v>2</v>
      </c>
      <c r="AX76" s="56">
        <f t="shared" si="33"/>
        <v>2</v>
      </c>
      <c r="AY76" s="56">
        <f t="shared" si="33"/>
        <v>2</v>
      </c>
    </row>
    <row r="77" spans="1:51" x14ac:dyDescent="0.15">
      <c r="A77" s="82">
        <f t="shared" si="0"/>
        <v>19</v>
      </c>
      <c r="C77" s="56">
        <f t="shared" si="11"/>
        <v>255</v>
      </c>
      <c r="D77" s="56">
        <f>求节点(节奏总纲!$Q$4:$Q$163,节奏总纲!$O$4:$O$163,$C77)</f>
        <v>82.100546804797787</v>
      </c>
      <c r="F77" s="56"/>
      <c r="G77" s="56"/>
      <c r="H77" s="56"/>
      <c r="I77" s="56"/>
      <c r="J77" s="56">
        <v>6</v>
      </c>
      <c r="K77" s="56"/>
      <c r="L77" s="56"/>
      <c r="M77" s="56"/>
      <c r="N77" s="56"/>
      <c r="O77" s="56">
        <f>求节点(武将升星!H$104:H$112,武将升星!$C$104:$C$112,武将数量星级阶位验证!BM67/J77)</f>
        <v>5.5799726614967424</v>
      </c>
      <c r="P77" s="110" t="str">
        <f t="shared" si="16"/>
        <v/>
      </c>
      <c r="Q77" s="110" t="str">
        <f t="shared" si="17"/>
        <v/>
      </c>
      <c r="R77" s="56" t="str">
        <f>IFERROR(MAX(0,求节点(武将进阶!F$4:F$8,武将进阶!$C$5:$C$9,W77)),"")</f>
        <v/>
      </c>
      <c r="S77" s="56" t="str">
        <f>IFERROR(MAX(0,求节点(武将进阶!G$4:G$8,武将进阶!$C$5:$C$9,X77)),"")</f>
        <v/>
      </c>
      <c r="T77" s="56">
        <f>IFERROR(MAX(0,求节点(武将进阶!H$4:H$8,武将进阶!$C$5:$C$9,Y77)),"")</f>
        <v>3.2840218721919117</v>
      </c>
      <c r="U77" s="56" t="str">
        <f>IF(F77="","",MIN($D77*2,武将进阶!D$10))</f>
        <v/>
      </c>
      <c r="V77" s="56" t="str">
        <f>IF(G77="","",MIN($D77*2,武将进阶!E$10))</f>
        <v/>
      </c>
      <c r="W77" s="56" t="str">
        <f>IF(H77="","",MIN($D77*2,武将进阶!F$10))</f>
        <v/>
      </c>
      <c r="X77" s="56" t="str">
        <f>IF(I77="","",MIN($D77*2,武将进阶!G$10))</f>
        <v/>
      </c>
      <c r="Y77" s="56">
        <f>IF(J77="","",MIN($D77*2,武将进阶!H$10))</f>
        <v>164.20109360959557</v>
      </c>
      <c r="Z77" s="111"/>
      <c r="AA77" s="111"/>
      <c r="AB77" s="111" t="str">
        <f t="shared" si="12"/>
        <v/>
      </c>
      <c r="AC77" s="111" t="str">
        <f t="shared" si="18"/>
        <v/>
      </c>
      <c r="AD77" s="111">
        <f t="shared" si="19"/>
        <v>2</v>
      </c>
      <c r="AE77" s="112"/>
      <c r="AF77" s="56"/>
      <c r="AG77" s="56"/>
      <c r="AH77" s="56"/>
      <c r="AI77" s="112">
        <f>MIN(求节点(武将天赋进度验证!$Q$5:$Q$164,武将天赋进度验证!$X$5:$X$164,$D77),武将天赋进度验证!AL67)</f>
        <v>4.9948297356360138E-2</v>
      </c>
      <c r="AJ77" s="56"/>
      <c r="AK77" s="56"/>
      <c r="AL77" s="56"/>
      <c r="AM77" s="56"/>
      <c r="AN77" s="56"/>
      <c r="AT77" s="56">
        <f t="shared" si="14"/>
        <v>76</v>
      </c>
      <c r="AU77" s="56">
        <f t="shared" ref="AU77:AY77" si="34">IF(AU32="",0,AU32)</f>
        <v>0</v>
      </c>
      <c r="AV77" s="56">
        <f t="shared" si="34"/>
        <v>0</v>
      </c>
      <c r="AW77" s="56">
        <f t="shared" si="34"/>
        <v>2</v>
      </c>
      <c r="AX77" s="56">
        <f t="shared" si="34"/>
        <v>2</v>
      </c>
      <c r="AY77" s="56">
        <f t="shared" si="34"/>
        <v>2</v>
      </c>
    </row>
    <row r="78" spans="1:51" x14ac:dyDescent="0.15">
      <c r="A78" s="82">
        <f t="shared" si="0"/>
        <v>20</v>
      </c>
      <c r="C78" s="56">
        <f t="shared" si="11"/>
        <v>289</v>
      </c>
      <c r="D78" s="56">
        <f>求节点(节奏总纲!$Q$4:$Q$163,节奏总纲!$O$4:$O$163,$C78)</f>
        <v>83.885420957389968</v>
      </c>
      <c r="F78" s="56"/>
      <c r="G78" s="56"/>
      <c r="H78" s="56"/>
      <c r="I78" s="56"/>
      <c r="J78" s="56">
        <v>6</v>
      </c>
      <c r="K78" s="56"/>
      <c r="L78" s="56"/>
      <c r="M78" s="56"/>
      <c r="N78" s="56"/>
      <c r="O78" s="56">
        <f>求节点(武将升星!H$104:H$112,武将升星!$C$104:$C$112,武将数量星级阶位验证!BM68/J78)</f>
        <v>5.9734311559212472</v>
      </c>
      <c r="P78" s="110"/>
      <c r="Q78" s="110"/>
      <c r="R78" s="56" t="str">
        <f>IFERROR(MAX(0,求节点(武将进阶!F$4:F$8,武将进阶!$C$5:$C$9,W78)),"")</f>
        <v/>
      </c>
      <c r="S78" s="56" t="str">
        <f>IFERROR(MAX(0,求节点(武将进阶!G$4:G$8,武将进阶!$C$5:$C$9,X78)),"")</f>
        <v/>
      </c>
      <c r="T78" s="56">
        <f>IFERROR(MAX(0,求节点(武将进阶!H$4:H$8,武将进阶!$C$5:$C$9,Y78)),"")</f>
        <v>3.3554168382955987</v>
      </c>
      <c r="U78" s="56" t="str">
        <f>IF(F78="","",MIN($D78*2,武将进阶!D$10))</f>
        <v/>
      </c>
      <c r="V78" s="56" t="str">
        <f>IF(G78="","",MIN($D78*2,武将进阶!E$10))</f>
        <v/>
      </c>
      <c r="W78" s="56" t="str">
        <f>IF(H78="","",MIN($D78*2,武将进阶!F$10))</f>
        <v/>
      </c>
      <c r="X78" s="56" t="str">
        <f>IF(I78="","",MIN($D78*2,武将进阶!G$10))</f>
        <v/>
      </c>
      <c r="Y78" s="56">
        <f>IF(J78="","",MIN($D78*2,武将进阶!H$10))</f>
        <v>167.77084191477994</v>
      </c>
      <c r="Z78" s="111"/>
      <c r="AA78" s="111"/>
      <c r="AB78" s="111" t="str">
        <f t="shared" si="12"/>
        <v/>
      </c>
      <c r="AC78" s="111" t="str">
        <f t="shared" si="18"/>
        <v/>
      </c>
      <c r="AD78" s="111">
        <f t="shared" si="19"/>
        <v>2</v>
      </c>
      <c r="AE78" s="112"/>
      <c r="AF78" s="56"/>
      <c r="AG78" s="56"/>
      <c r="AH78" s="56"/>
      <c r="AI78" s="112">
        <f>MIN(求节点(武将天赋进度验证!$Q$5:$Q$164,武将天赋进度验证!$X$5:$X$164,$D78),武将天赋进度验证!AL68)</f>
        <v>5.600150496289099E-2</v>
      </c>
      <c r="AJ78" s="56"/>
      <c r="AK78" s="56"/>
      <c r="AL78" s="56"/>
      <c r="AM78" s="56"/>
      <c r="AN78" s="56"/>
      <c r="AT78" s="56">
        <f t="shared" si="14"/>
        <v>83.6</v>
      </c>
      <c r="AU78" s="56">
        <f t="shared" ref="AU78:AY78" si="35">IF(AU33="",0,AU33)</f>
        <v>0</v>
      </c>
      <c r="AV78" s="56">
        <f t="shared" si="35"/>
        <v>0</v>
      </c>
      <c r="AW78" s="56">
        <f t="shared" si="35"/>
        <v>2</v>
      </c>
      <c r="AX78" s="56">
        <f t="shared" si="35"/>
        <v>2</v>
      </c>
      <c r="AY78" s="56">
        <f t="shared" si="35"/>
        <v>2</v>
      </c>
    </row>
    <row r="79" spans="1:51" x14ac:dyDescent="0.15">
      <c r="A79" s="82">
        <f t="shared" si="0"/>
        <v>21</v>
      </c>
      <c r="C79" s="56">
        <f t="shared" si="11"/>
        <v>340</v>
      </c>
      <c r="D79" s="56">
        <f>求节点(节奏总纲!$Q$4:$Q$163,节奏总纲!$O$4:$O$163,$C79)</f>
        <v>86.247032860782397</v>
      </c>
      <c r="F79" s="56"/>
      <c r="G79" s="56"/>
      <c r="H79" s="56"/>
      <c r="I79" s="56"/>
      <c r="J79" s="56">
        <v>6</v>
      </c>
      <c r="K79" s="56"/>
      <c r="L79" s="56"/>
      <c r="M79" s="56"/>
      <c r="N79" s="56"/>
      <c r="O79" s="56">
        <f>求节点(武将升星!H$104:H$112,武将升星!$C$104:$C$112,武将数量星级阶位验证!BM69/J79)</f>
        <v>6.5608772927119601</v>
      </c>
      <c r="P79" s="110"/>
      <c r="Q79" s="110"/>
      <c r="R79" s="56" t="str">
        <f>IFERROR(MAX(0,求节点(武将进阶!F$4:F$8,武将进阶!$C$5:$C$9,W79)),"")</f>
        <v/>
      </c>
      <c r="S79" s="56" t="str">
        <f>IFERROR(MAX(0,求节点(武将进阶!G$4:G$8,武将进阶!$C$5:$C$9,X79)),"")</f>
        <v/>
      </c>
      <c r="T79" s="56">
        <f>IFERROR(MAX(0,求节点(武将进阶!H$4:H$8,武将进阶!$C$5:$C$9,Y79)),"")</f>
        <v>3.4498813144312961</v>
      </c>
      <c r="U79" s="56" t="str">
        <f>IF(F79="","",MIN($D79*2,武将进阶!D$10))</f>
        <v/>
      </c>
      <c r="V79" s="56" t="str">
        <f>IF(G79="","",MIN($D79*2,武将进阶!E$10))</f>
        <v/>
      </c>
      <c r="W79" s="56" t="str">
        <f>IF(H79="","",MIN($D79*2,武将进阶!F$10))</f>
        <v/>
      </c>
      <c r="X79" s="56" t="str">
        <f>IF(I79="","",MIN($D79*2,武将进阶!G$10))</f>
        <v/>
      </c>
      <c r="Y79" s="56">
        <f>IF(J79="","",MIN($D79*2,武将进阶!H$10))</f>
        <v>172.49406572156479</v>
      </c>
      <c r="Z79" s="111"/>
      <c r="AA79" s="111"/>
      <c r="AB79" s="111" t="str">
        <f t="shared" si="12"/>
        <v/>
      </c>
      <c r="AC79" s="111" t="str">
        <f t="shared" si="18"/>
        <v/>
      </c>
      <c r="AD79" s="111">
        <f t="shared" si="19"/>
        <v>2</v>
      </c>
      <c r="AE79" s="112"/>
      <c r="AF79" s="56"/>
      <c r="AG79" s="56"/>
      <c r="AH79" s="56"/>
      <c r="AI79" s="112">
        <f>MIN(求节点(武将天赋进度验证!$Q$5:$Q$164,武将天赋进度验证!$X$5:$X$164,$D79),武将天赋进度验证!AL69)</f>
        <v>6.5039137836594263E-2</v>
      </c>
      <c r="AJ79" s="56"/>
      <c r="AK79" s="56"/>
      <c r="AL79" s="56"/>
      <c r="AM79" s="56"/>
      <c r="AN79" s="56"/>
      <c r="AT79" s="56">
        <f t="shared" si="14"/>
        <v>91.199999999999989</v>
      </c>
      <c r="AU79" s="56">
        <f t="shared" ref="AU79:AY79" si="36">IF(AU34="",0,AU34)</f>
        <v>0</v>
      </c>
      <c r="AV79" s="56">
        <f t="shared" si="36"/>
        <v>0</v>
      </c>
      <c r="AW79" s="56">
        <f t="shared" si="36"/>
        <v>2</v>
      </c>
      <c r="AX79" s="56">
        <f t="shared" si="36"/>
        <v>2</v>
      </c>
      <c r="AY79" s="56">
        <f t="shared" si="36"/>
        <v>2</v>
      </c>
    </row>
    <row r="80" spans="1:51" x14ac:dyDescent="0.15">
      <c r="A80" s="82">
        <f t="shared" si="0"/>
        <v>22</v>
      </c>
      <c r="C80" s="56">
        <f t="shared" si="11"/>
        <v>442</v>
      </c>
      <c r="D80" s="56">
        <f>求节点(节奏总纲!$Q$4:$Q$163,节奏总纲!$O$4:$O$163,$C80)</f>
        <v>90.122782504866933</v>
      </c>
      <c r="F80" s="56"/>
      <c r="G80" s="56"/>
      <c r="H80" s="56"/>
      <c r="I80" s="56"/>
      <c r="J80" s="56">
        <v>6</v>
      </c>
      <c r="K80" s="56"/>
      <c r="L80" s="56"/>
      <c r="M80" s="56"/>
      <c r="N80" s="56"/>
      <c r="O80" s="56">
        <f>求节点(武将升星!H$104:H$112,武将升星!$C$104:$C$112,武将数量星级阶位验证!BM70/J80)</f>
        <v>7.4573784608933806</v>
      </c>
      <c r="P80" s="110"/>
      <c r="Q80" s="110"/>
      <c r="R80" s="56" t="str">
        <f>IFERROR(MAX(0,求节点(武将进阶!F$4:F$8,武将进阶!$C$5:$C$9,W80)),"")</f>
        <v/>
      </c>
      <c r="S80" s="56" t="str">
        <f>IFERROR(MAX(0,求节点(武将进阶!G$4:G$8,武将进阶!$C$5:$C$9,X80)),"")</f>
        <v/>
      </c>
      <c r="T80" s="56">
        <f>IFERROR(MAX(0,求节点(武将进阶!H$4:H$8,武将进阶!$C$5:$C$9,Y80)),"")</f>
        <v>3.6049113001946775</v>
      </c>
      <c r="U80" s="56" t="str">
        <f>IF(F80="","",MIN($D80*2,武将进阶!D$10))</f>
        <v/>
      </c>
      <c r="V80" s="56" t="str">
        <f>IF(G80="","",MIN($D80*2,武将进阶!E$10))</f>
        <v/>
      </c>
      <c r="W80" s="56" t="str">
        <f>IF(H80="","",MIN($D80*2,武将进阶!F$10))</f>
        <v/>
      </c>
      <c r="X80" s="56" t="str">
        <f>IF(I80="","",MIN($D80*2,武将进阶!G$10))</f>
        <v/>
      </c>
      <c r="Y80" s="56">
        <f>IF(J80="","",MIN($D80*2,武将进阶!H$10))</f>
        <v>180.24556500973387</v>
      </c>
      <c r="Z80" s="111"/>
      <c r="AA80" s="111"/>
      <c r="AB80" s="111" t="str">
        <f t="shared" si="12"/>
        <v/>
      </c>
      <c r="AC80" s="111" t="str">
        <f t="shared" si="18"/>
        <v/>
      </c>
      <c r="AD80" s="111">
        <f t="shared" si="19"/>
        <v>2</v>
      </c>
      <c r="AE80" s="112"/>
      <c r="AF80" s="56"/>
      <c r="AG80" s="56"/>
      <c r="AH80" s="56"/>
      <c r="AI80" s="112">
        <f>MIN(求节点(武将天赋进度验证!$Q$5:$Q$164,武将天赋进度验证!$X$5:$X$164,$D80),武将天赋进度验证!AL70)</f>
        <v>8.1176994069607822E-2</v>
      </c>
      <c r="AJ80" s="56"/>
      <c r="AK80" s="56"/>
      <c r="AL80" s="56"/>
      <c r="AM80" s="56"/>
      <c r="AN80" s="56"/>
      <c r="AT80" s="56">
        <f t="shared" si="14"/>
        <v>98.8</v>
      </c>
      <c r="AU80" s="56">
        <f t="shared" ref="AU80:AY80" si="37">IF(AU35="",0,AU35)</f>
        <v>0</v>
      </c>
      <c r="AV80" s="56">
        <f t="shared" si="37"/>
        <v>0</v>
      </c>
      <c r="AW80" s="56">
        <f t="shared" si="37"/>
        <v>2</v>
      </c>
      <c r="AX80" s="56">
        <f t="shared" si="37"/>
        <v>2</v>
      </c>
      <c r="AY80" s="56">
        <f t="shared" si="37"/>
        <v>2</v>
      </c>
    </row>
    <row r="81" spans="1:51" x14ac:dyDescent="0.15">
      <c r="A81" s="82">
        <f t="shared" si="0"/>
        <v>23</v>
      </c>
      <c r="C81" s="56">
        <f t="shared" si="11"/>
        <v>544</v>
      </c>
      <c r="D81" s="56">
        <f>求节点(节奏总纲!$Q$4:$Q$163,节奏总纲!$O$4:$O$163,$C81)</f>
        <v>93.149045658279036</v>
      </c>
      <c r="F81" s="56"/>
      <c r="G81" s="56"/>
      <c r="H81" s="56"/>
      <c r="I81" s="56"/>
      <c r="J81" s="56">
        <v>6</v>
      </c>
      <c r="K81" s="56"/>
      <c r="L81" s="56"/>
      <c r="M81" s="56"/>
      <c r="N81" s="56"/>
      <c r="O81" s="56">
        <f>求节点(武将升星!H$104:H$112,武将升星!$C$104:$C$112,武将数量星级阶位验证!BM71/J81)</f>
        <v>8</v>
      </c>
      <c r="P81" s="110"/>
      <c r="Q81" s="110"/>
      <c r="R81" s="56" t="str">
        <f>IFERROR(MAX(0,求节点(武将进阶!F$4:F$8,武将进阶!$C$5:$C$9,W81)),"")</f>
        <v/>
      </c>
      <c r="S81" s="56" t="str">
        <f>IFERROR(MAX(0,求节点(武将进阶!G$4:G$8,武将进阶!$C$5:$C$9,X81)),"")</f>
        <v/>
      </c>
      <c r="T81" s="56">
        <f>IFERROR(MAX(0,求节点(武将进阶!H$4:H$8,武将进阶!$C$5:$C$9,Y81)),"")</f>
        <v>3.7259618263311616</v>
      </c>
      <c r="U81" s="56" t="str">
        <f>IF(F81="","",MIN($D81*2,武将进阶!D$10))</f>
        <v/>
      </c>
      <c r="V81" s="56" t="str">
        <f>IF(G81="","",MIN($D81*2,武将进阶!E$10))</f>
        <v/>
      </c>
      <c r="W81" s="56" t="str">
        <f>IF(H81="","",MIN($D81*2,武将进阶!F$10))</f>
        <v/>
      </c>
      <c r="X81" s="56" t="str">
        <f>IF(I81="","",MIN($D81*2,武将进阶!G$10))</f>
        <v/>
      </c>
      <c r="Y81" s="56">
        <f>IF(J81="","",MIN($D81*2,武将进阶!H$10))</f>
        <v>186.29809131655807</v>
      </c>
      <c r="Z81" s="111"/>
      <c r="AA81" s="111"/>
      <c r="AB81" s="111" t="str">
        <f t="shared" si="12"/>
        <v/>
      </c>
      <c r="AC81" s="111" t="str">
        <f t="shared" si="18"/>
        <v/>
      </c>
      <c r="AD81" s="111">
        <f t="shared" si="19"/>
        <v>2</v>
      </c>
      <c r="AE81" s="112"/>
      <c r="AF81" s="56"/>
      <c r="AG81" s="56"/>
      <c r="AH81" s="56"/>
      <c r="AI81" s="112">
        <f>MIN(求节点(武将天赋进度验证!$Q$5:$Q$164,武将天赋进度验证!$X$5:$X$164,$D81),武将天赋进度验证!AL71)</f>
        <v>9.6867475371688369E-2</v>
      </c>
      <c r="AJ81" s="56"/>
      <c r="AK81" s="56"/>
      <c r="AL81" s="56"/>
      <c r="AM81" s="56"/>
      <c r="AN81" s="56"/>
      <c r="AT81" s="56">
        <f t="shared" si="14"/>
        <v>106.39999999999999</v>
      </c>
      <c r="AU81" s="56">
        <f t="shared" ref="AU81:AY81" si="38">IF(AU36="",0,AU36)</f>
        <v>0</v>
      </c>
      <c r="AV81" s="56">
        <f t="shared" si="38"/>
        <v>0</v>
      </c>
      <c r="AW81" s="56">
        <f t="shared" si="38"/>
        <v>2</v>
      </c>
      <c r="AX81" s="56">
        <f t="shared" si="38"/>
        <v>2</v>
      </c>
      <c r="AY81" s="56">
        <f t="shared" si="38"/>
        <v>2</v>
      </c>
    </row>
    <row r="82" spans="1:51" x14ac:dyDescent="0.15">
      <c r="A82" s="82">
        <f t="shared" si="0"/>
        <v>24</v>
      </c>
      <c r="C82" s="56">
        <f t="shared" si="11"/>
        <v>697</v>
      </c>
      <c r="D82" s="56">
        <f>求节点(节奏总纲!$Q$4:$Q$163,节奏总纲!$O$4:$O$163,$C82)</f>
        <v>96.770480813454071</v>
      </c>
      <c r="F82" s="56"/>
      <c r="G82" s="56"/>
      <c r="H82" s="56"/>
      <c r="I82" s="56"/>
      <c r="J82" s="56">
        <v>6</v>
      </c>
      <c r="K82" s="56"/>
      <c r="L82" s="56"/>
      <c r="M82" s="56"/>
      <c r="N82" s="56"/>
      <c r="O82" s="56">
        <f>求节点(武将升星!H$104:H$112,武将升星!$C$104:$C$112,武将数量星级阶位验证!BM72/J82)</f>
        <v>8</v>
      </c>
      <c r="P82" s="110"/>
      <c r="Q82" s="110"/>
      <c r="R82" s="56" t="str">
        <f>IFERROR(MAX(0,求节点(武将进阶!F$4:F$8,武将进阶!$C$5:$C$9,W82)),"")</f>
        <v/>
      </c>
      <c r="S82" s="56" t="str">
        <f>IFERROR(MAX(0,求节点(武将进阶!G$4:G$8,武将进阶!$C$5:$C$9,X82)),"")</f>
        <v/>
      </c>
      <c r="T82" s="56">
        <f>IFERROR(MAX(0,求节点(武将进阶!H$4:H$8,武将进阶!$C$5:$C$9,Y82)),"")</f>
        <v>3.870819232538163</v>
      </c>
      <c r="U82" s="56" t="str">
        <f>IF(F82="","",MIN($D82*2,武将进阶!D$10))</f>
        <v/>
      </c>
      <c r="V82" s="56" t="str">
        <f>IF(G82="","",MIN($D82*2,武将进阶!E$10))</f>
        <v/>
      </c>
      <c r="W82" s="56" t="str">
        <f>IF(H82="","",MIN($D82*2,武将进阶!F$10))</f>
        <v/>
      </c>
      <c r="X82" s="56" t="str">
        <f>IF(I82="","",MIN($D82*2,武将进阶!G$10))</f>
        <v/>
      </c>
      <c r="Y82" s="56">
        <f>IF(J82="","",MIN($D82*2,武将进阶!H$10))</f>
        <v>193.54096162690814</v>
      </c>
      <c r="Z82" s="111"/>
      <c r="AA82" s="111"/>
      <c r="AB82" s="111" t="str">
        <f t="shared" si="12"/>
        <v/>
      </c>
      <c r="AC82" s="111" t="str">
        <f t="shared" si="18"/>
        <v/>
      </c>
      <c r="AD82" s="111">
        <f t="shared" si="19"/>
        <v>2</v>
      </c>
      <c r="AE82" s="112"/>
      <c r="AF82" s="56"/>
      <c r="AG82" s="56"/>
      <c r="AH82" s="56"/>
      <c r="AI82" s="112">
        <f>MIN(求节点(武将天赋进度验证!$Q$5:$Q$164,武将天赋进度验证!$X$5:$X$164,$D82),武将天赋进度验证!AL72)</f>
        <v>0.35031761440804321</v>
      </c>
      <c r="AJ82" s="56"/>
      <c r="AK82" s="56"/>
      <c r="AL82" s="56"/>
      <c r="AM82" s="56"/>
      <c r="AN82" s="56"/>
      <c r="AT82" s="56">
        <f t="shared" si="14"/>
        <v>114</v>
      </c>
      <c r="AU82" s="56">
        <f t="shared" ref="AU82:AY82" si="39">IF(AU37="",0,AU37)</f>
        <v>0</v>
      </c>
      <c r="AV82" s="56">
        <f t="shared" si="39"/>
        <v>0</v>
      </c>
      <c r="AW82" s="56">
        <f t="shared" si="39"/>
        <v>2</v>
      </c>
      <c r="AX82" s="56">
        <f t="shared" si="39"/>
        <v>2</v>
      </c>
      <c r="AY82" s="56">
        <f t="shared" si="39"/>
        <v>2</v>
      </c>
    </row>
    <row r="83" spans="1:51" x14ac:dyDescent="0.15">
      <c r="A83" s="82">
        <f t="shared" si="0"/>
        <v>25</v>
      </c>
      <c r="C83" s="56">
        <f t="shared" si="11"/>
        <v>901</v>
      </c>
      <c r="D83" s="56">
        <f>求节点(节奏总纲!$Q$4:$Q$163,节奏总纲!$O$4:$O$163,$C83)</f>
        <v>100.40175326279811</v>
      </c>
      <c r="F83" s="56"/>
      <c r="G83" s="56"/>
      <c r="H83" s="56"/>
      <c r="I83" s="56"/>
      <c r="J83" s="56">
        <v>6</v>
      </c>
      <c r="K83" s="56"/>
      <c r="L83" s="56"/>
      <c r="M83" s="56"/>
      <c r="N83" s="56"/>
      <c r="O83" s="56">
        <f>求节点(武将升星!H$104:H$112,武将升星!$C$104:$C$112,武将数量星级阶位验证!BM73/J83)</f>
        <v>8</v>
      </c>
      <c r="P83" s="110"/>
      <c r="Q83" s="110"/>
      <c r="R83" s="56" t="str">
        <f>IFERROR(MAX(0,求节点(武将进阶!F$4:F$8,武将进阶!$C$5:$C$9,W83)),"")</f>
        <v/>
      </c>
      <c r="S83" s="56" t="str">
        <f>IFERROR(MAX(0,求节点(武将进阶!G$4:G$8,武将进阶!$C$5:$C$9,X83)),"")</f>
        <v/>
      </c>
      <c r="T83" s="56">
        <f>IFERROR(MAX(0,求节点(武将进阶!H$4:H$8,武将进阶!$C$5:$C$9,Y83)),"")</f>
        <v>4.016070130511924</v>
      </c>
      <c r="U83" s="56" t="str">
        <f>IF(F83="","",MIN($D83*2,武将进阶!D$10))</f>
        <v/>
      </c>
      <c r="V83" s="56" t="str">
        <f>IF(G83="","",MIN($D83*2,武将进阶!E$10))</f>
        <v/>
      </c>
      <c r="W83" s="56" t="str">
        <f>IF(H83="","",MIN($D83*2,武将进阶!F$10))</f>
        <v/>
      </c>
      <c r="X83" s="56" t="str">
        <f>IF(I83="","",MIN($D83*2,武将进阶!G$10))</f>
        <v/>
      </c>
      <c r="Y83" s="56">
        <f>IF(J83="","",MIN($D83*2,武将进阶!H$10))</f>
        <v>200.80350652559622</v>
      </c>
      <c r="Z83" s="111"/>
      <c r="AA83" s="111"/>
      <c r="AB83" s="111" t="str">
        <f t="shared" si="12"/>
        <v/>
      </c>
      <c r="AC83" s="111" t="str">
        <f t="shared" si="18"/>
        <v/>
      </c>
      <c r="AD83" s="111">
        <f t="shared" si="19"/>
        <v>2</v>
      </c>
      <c r="AE83" s="112"/>
      <c r="AF83" s="56"/>
      <c r="AG83" s="56"/>
      <c r="AH83" s="56"/>
      <c r="AI83" s="112">
        <f>MIN(求节点(武将天赋进度验证!$Q$5:$Q$164,武将天赋进度验证!$X$5:$X$164,$D83),武将天赋进度验证!AL73)</f>
        <v>0.50503146068118387</v>
      </c>
      <c r="AJ83" s="56"/>
      <c r="AK83" s="56"/>
      <c r="AL83" s="56"/>
      <c r="AM83" s="56"/>
      <c r="AN83" s="56"/>
      <c r="AT83" s="56">
        <f t="shared" si="14"/>
        <v>121.6</v>
      </c>
      <c r="AU83" s="56">
        <f t="shared" ref="AU83:AY83" si="40">IF(AU38="",0,AU38)</f>
        <v>0</v>
      </c>
      <c r="AV83" s="56">
        <f t="shared" si="40"/>
        <v>0</v>
      </c>
      <c r="AW83" s="56">
        <f t="shared" si="40"/>
        <v>2</v>
      </c>
      <c r="AX83" s="56">
        <f t="shared" si="40"/>
        <v>2</v>
      </c>
      <c r="AY83" s="56">
        <f t="shared" si="40"/>
        <v>2</v>
      </c>
    </row>
    <row r="84" spans="1:51" x14ac:dyDescent="0.15">
      <c r="A84" s="82">
        <f t="shared" si="0"/>
        <v>26</v>
      </c>
      <c r="C84" s="56">
        <f t="shared" si="11"/>
        <v>1156</v>
      </c>
      <c r="D84" s="56">
        <f>求节点(节奏总纲!$Q$4:$Q$163,节奏总纲!$O$4:$O$163,$C84)</f>
        <v>104.06236366727887</v>
      </c>
      <c r="F84" s="56"/>
      <c r="G84" s="56"/>
      <c r="H84" s="56"/>
      <c r="I84" s="56"/>
      <c r="J84" s="56">
        <v>6</v>
      </c>
      <c r="K84" s="56"/>
      <c r="L84" s="56"/>
      <c r="M84" s="56"/>
      <c r="N84" s="56"/>
      <c r="O84" s="56">
        <f>求节点(武将升星!H$104:H$112,武将升星!$C$104:$C$112,武将数量星级阶位验证!BM74/J84)</f>
        <v>8</v>
      </c>
      <c r="P84" s="110"/>
      <c r="Q84" s="110"/>
      <c r="R84" s="56" t="str">
        <f>IFERROR(MAX(0,求节点(武将进阶!F$4:F$8,武将进阶!$C$5:$C$9,W84)),"")</f>
        <v/>
      </c>
      <c r="S84" s="56" t="str">
        <f>IFERROR(MAX(0,求节点(武将进阶!G$4:G$8,武将进阶!$C$5:$C$9,X84)),"")</f>
        <v/>
      </c>
      <c r="T84" s="56">
        <f>IFERROR(MAX(0,求节点(武将进阶!H$4:H$8,武将进阶!$C$5:$C$9,Y84)),"")</f>
        <v>4.1624945466911552</v>
      </c>
      <c r="U84" s="56" t="str">
        <f>IF(F84="","",MIN($D84*2,武将进阶!D$10))</f>
        <v/>
      </c>
      <c r="V84" s="56" t="str">
        <f>IF(G84="","",MIN($D84*2,武将进阶!E$10))</f>
        <v/>
      </c>
      <c r="W84" s="56" t="str">
        <f>IF(H84="","",MIN($D84*2,武将进阶!F$10))</f>
        <v/>
      </c>
      <c r="X84" s="56" t="str">
        <f>IF(I84="","",MIN($D84*2,武将进阶!G$10))</f>
        <v/>
      </c>
      <c r="Y84" s="56">
        <f>IF(J84="","",MIN($D84*2,武将进阶!H$10))</f>
        <v>208.12472733455775</v>
      </c>
      <c r="Z84" s="111"/>
      <c r="AA84" s="111"/>
      <c r="AB84" s="111" t="str">
        <f t="shared" si="12"/>
        <v/>
      </c>
      <c r="AC84" s="111" t="str">
        <f t="shared" si="18"/>
        <v/>
      </c>
      <c r="AD84" s="111">
        <f t="shared" si="19"/>
        <v>2</v>
      </c>
      <c r="AE84" s="112"/>
      <c r="AF84" s="56"/>
      <c r="AG84" s="56"/>
      <c r="AH84" s="56"/>
      <c r="AI84" s="112">
        <f>MIN(求节点(武将天赋进度验证!$Q$5:$Q$164,武将天赋进度验证!$X$5:$X$164,$D84),武将天赋进度验证!AL74)</f>
        <v>1</v>
      </c>
      <c r="AJ84" s="56"/>
      <c r="AK84" s="56"/>
      <c r="AL84" s="56"/>
      <c r="AM84" s="56"/>
      <c r="AN84" s="56"/>
      <c r="AT84" s="56">
        <f t="shared" si="14"/>
        <v>129.19999999999999</v>
      </c>
      <c r="AU84" s="56">
        <f t="shared" ref="AU84:AY84" si="41">IF(AU39="",0,AU39)</f>
        <v>0</v>
      </c>
      <c r="AV84" s="56">
        <f t="shared" si="41"/>
        <v>0</v>
      </c>
      <c r="AW84" s="56">
        <f t="shared" si="41"/>
        <v>2</v>
      </c>
      <c r="AX84" s="56">
        <f t="shared" si="41"/>
        <v>2</v>
      </c>
      <c r="AY84" s="56">
        <f t="shared" si="41"/>
        <v>2</v>
      </c>
    </row>
    <row r="85" spans="1:51" x14ac:dyDescent="0.15">
      <c r="A85" s="82">
        <f t="shared" si="0"/>
        <v>27</v>
      </c>
      <c r="C85" s="56">
        <f t="shared" si="11"/>
        <v>1462</v>
      </c>
      <c r="D85" s="56">
        <f>求节点(节奏总纲!$Q$4:$Q$163,节奏总纲!$O$4:$O$163,$C85)</f>
        <v>107.42257994053838</v>
      </c>
      <c r="F85" s="56"/>
      <c r="G85" s="56"/>
      <c r="H85" s="56"/>
      <c r="I85" s="56"/>
      <c r="J85" s="56">
        <v>6</v>
      </c>
      <c r="K85" s="56"/>
      <c r="L85" s="56"/>
      <c r="M85" s="56"/>
      <c r="N85" s="56"/>
      <c r="O85" s="56">
        <f>求节点(武将升星!H$104:H$112,武将升星!$C$104:$C$112,武将数量星级阶位验证!BM75/J85)</f>
        <v>8</v>
      </c>
      <c r="P85" s="110"/>
      <c r="Q85" s="110"/>
      <c r="R85" s="56" t="str">
        <f>IFERROR(MAX(0,求节点(武将进阶!F$4:F$8,武将进阶!$C$5:$C$9,W85)),"")</f>
        <v/>
      </c>
      <c r="S85" s="56" t="str">
        <f>IFERROR(MAX(0,求节点(武将进阶!G$4:G$8,武将进阶!$C$5:$C$9,X85)),"")</f>
        <v/>
      </c>
      <c r="T85" s="56">
        <f>IFERROR(MAX(0,求节点(武将进阶!H$4:H$8,武将进阶!$C$5:$C$9,Y85)),"")</f>
        <v>4.2969031976215355</v>
      </c>
      <c r="U85" s="56" t="str">
        <f>IF(F85="","",MIN($D85*2,武将进阶!D$10))</f>
        <v/>
      </c>
      <c r="V85" s="56" t="str">
        <f>IF(G85="","",MIN($D85*2,武将进阶!E$10))</f>
        <v/>
      </c>
      <c r="W85" s="56" t="str">
        <f>IF(H85="","",MIN($D85*2,武将进阶!F$10))</f>
        <v/>
      </c>
      <c r="X85" s="56" t="str">
        <f>IF(I85="","",MIN($D85*2,武将进阶!G$10))</f>
        <v/>
      </c>
      <c r="Y85" s="56">
        <f>IF(J85="","",MIN($D85*2,武将进阶!H$10))</f>
        <v>214.84515988107677</v>
      </c>
      <c r="Z85" s="111"/>
      <c r="AA85" s="111"/>
      <c r="AB85" s="111" t="str">
        <f t="shared" si="12"/>
        <v/>
      </c>
      <c r="AC85" s="111" t="str">
        <f t="shared" si="18"/>
        <v/>
      </c>
      <c r="AD85" s="111">
        <f t="shared" si="19"/>
        <v>2</v>
      </c>
      <c r="AE85" s="112"/>
      <c r="AF85" s="56"/>
      <c r="AG85" s="56"/>
      <c r="AH85" s="56"/>
      <c r="AI85" s="112">
        <f>MIN(求节点(武将天赋进度验证!$Q$5:$Q$164,武将天赋进度验证!$X$5:$X$164,$D85),武将天赋进度验证!AL75)</f>
        <v>1</v>
      </c>
      <c r="AJ85" s="56"/>
      <c r="AK85" s="56"/>
      <c r="AL85" s="56"/>
      <c r="AM85" s="56"/>
      <c r="AN85" s="56"/>
      <c r="AT85" s="56">
        <f t="shared" si="14"/>
        <v>136.79999999999998</v>
      </c>
      <c r="AU85" s="56">
        <f t="shared" ref="AU85:AY85" si="42">IF(AU40="",0,AU40)</f>
        <v>0</v>
      </c>
      <c r="AV85" s="56">
        <f t="shared" si="42"/>
        <v>0</v>
      </c>
      <c r="AW85" s="56">
        <f t="shared" si="42"/>
        <v>2</v>
      </c>
      <c r="AX85" s="56">
        <f t="shared" si="42"/>
        <v>2</v>
      </c>
      <c r="AY85" s="56">
        <f t="shared" si="42"/>
        <v>2</v>
      </c>
    </row>
    <row r="86" spans="1:51" x14ac:dyDescent="0.15">
      <c r="A86" s="82">
        <f t="shared" si="0"/>
        <v>28</v>
      </c>
      <c r="C86" s="56">
        <f t="shared" si="11"/>
        <v>1870</v>
      </c>
      <c r="D86" s="56">
        <f>求节点(节奏总纲!$Q$4:$Q$163,节奏总纲!$O$4:$O$163,$C86)</f>
        <v>111.00691759243479</v>
      </c>
      <c r="F86" s="56"/>
      <c r="G86" s="56"/>
      <c r="H86" s="56"/>
      <c r="I86" s="56"/>
      <c r="J86" s="56">
        <v>6</v>
      </c>
      <c r="K86" s="56"/>
      <c r="L86" s="56"/>
      <c r="M86" s="56"/>
      <c r="N86" s="56"/>
      <c r="O86" s="56">
        <f>求节点(武将升星!H$104:H$112,武将升星!$C$104:$C$112,武将数量星级阶位验证!BM76/J86)</f>
        <v>8</v>
      </c>
      <c r="P86" s="110"/>
      <c r="Q86" s="110"/>
      <c r="R86" s="56" t="str">
        <f>IFERROR(MAX(0,求节点(武将进阶!F$4:F$8,武将进阶!$C$5:$C$9,W86)),"")</f>
        <v/>
      </c>
      <c r="S86" s="56" t="str">
        <f>IFERROR(MAX(0,求节点(武将进阶!G$4:G$8,武将进阶!$C$5:$C$9,X86)),"")</f>
        <v/>
      </c>
      <c r="T86" s="56">
        <f>IFERROR(MAX(0,求节点(武将进阶!H$4:H$8,武将进阶!$C$5:$C$9,Y86)),"")</f>
        <v>4.4402767036973918</v>
      </c>
      <c r="U86" s="56" t="str">
        <f>IF(F86="","",MIN($D86*2,武将进阶!D$10))</f>
        <v/>
      </c>
      <c r="V86" s="56" t="str">
        <f>IF(G86="","",MIN($D86*2,武将进阶!E$10))</f>
        <v/>
      </c>
      <c r="W86" s="56" t="str">
        <f>IF(H86="","",MIN($D86*2,武将进阶!F$10))</f>
        <v/>
      </c>
      <c r="X86" s="56" t="str">
        <f>IF(I86="","",MIN($D86*2,武将进阶!G$10))</f>
        <v/>
      </c>
      <c r="Y86" s="56">
        <f>IF(J86="","",MIN($D86*2,武将进阶!H$10))</f>
        <v>222.01383518486958</v>
      </c>
      <c r="Z86" s="111"/>
      <c r="AA86" s="111"/>
      <c r="AB86" s="111" t="str">
        <f t="shared" si="12"/>
        <v/>
      </c>
      <c r="AC86" s="111" t="str">
        <f t="shared" si="18"/>
        <v/>
      </c>
      <c r="AD86" s="111">
        <f t="shared" si="19"/>
        <v>2</v>
      </c>
      <c r="AE86" s="112"/>
      <c r="AF86" s="56"/>
      <c r="AG86" s="56"/>
      <c r="AH86" s="56"/>
      <c r="AI86" s="112">
        <f>MIN(求节点(武将天赋进度验证!$Q$5:$Q$164,武将天赋进度验证!$X$5:$X$164,$D86),武将天赋进度验证!AL76)</f>
        <v>1</v>
      </c>
      <c r="AJ86" s="56"/>
      <c r="AK86" s="56"/>
      <c r="AL86" s="56"/>
      <c r="AM86" s="56"/>
      <c r="AN86" s="56"/>
      <c r="AT86" s="56">
        <f t="shared" si="14"/>
        <v>144.4</v>
      </c>
      <c r="AU86" s="56">
        <f t="shared" ref="AU86:AY86" si="43">IF(AU41="",0,AU41)</f>
        <v>0</v>
      </c>
      <c r="AV86" s="56">
        <f t="shared" si="43"/>
        <v>0</v>
      </c>
      <c r="AW86" s="56">
        <f t="shared" si="43"/>
        <v>2</v>
      </c>
      <c r="AX86" s="56">
        <f t="shared" si="43"/>
        <v>2</v>
      </c>
      <c r="AY86" s="56">
        <f t="shared" si="43"/>
        <v>2</v>
      </c>
    </row>
    <row r="87" spans="1:51" x14ac:dyDescent="0.15">
      <c r="A87" s="82">
        <f t="shared" si="0"/>
        <v>29</v>
      </c>
      <c r="C87" s="56">
        <f t="shared" si="11"/>
        <v>2380</v>
      </c>
      <c r="D87" s="56">
        <f>求节点(节奏总纲!$Q$4:$Q$163,节奏总纲!$O$4:$O$163,$C87)</f>
        <v>114.47614359759058</v>
      </c>
      <c r="F87" s="56"/>
      <c r="G87" s="56"/>
      <c r="H87" s="56"/>
      <c r="I87" s="56"/>
      <c r="J87" s="56">
        <v>6</v>
      </c>
      <c r="K87" s="56"/>
      <c r="L87" s="56"/>
      <c r="M87" s="56"/>
      <c r="N87" s="56"/>
      <c r="O87" s="56">
        <f>求节点(武将升星!H$104:H$112,武将升星!$C$104:$C$112,武将数量星级阶位验证!BM77/J87)</f>
        <v>8</v>
      </c>
      <c r="P87" s="110"/>
      <c r="Q87" s="110"/>
      <c r="R87" s="56" t="str">
        <f>IFERROR(MAX(0,求节点(武将进阶!F$4:F$8,武将进阶!$C$5:$C$9,W87)),"")</f>
        <v/>
      </c>
      <c r="S87" s="56" t="str">
        <f>IFERROR(MAX(0,求节点(武将进阶!G$4:G$8,武将进阶!$C$5:$C$9,X87)),"")</f>
        <v/>
      </c>
      <c r="T87" s="56">
        <f>IFERROR(MAX(0,求节点(武将进阶!H$4:H$8,武将进阶!$C$5:$C$9,Y87)),"")</f>
        <v>4.579045743903623</v>
      </c>
      <c r="U87" s="56" t="str">
        <f>IF(F87="","",MIN($D87*2,武将进阶!D$10))</f>
        <v/>
      </c>
      <c r="V87" s="56" t="str">
        <f>IF(G87="","",MIN($D87*2,武将进阶!E$10))</f>
        <v/>
      </c>
      <c r="W87" s="56" t="str">
        <f>IF(H87="","",MIN($D87*2,武将进阶!F$10))</f>
        <v/>
      </c>
      <c r="X87" s="56" t="str">
        <f>IF(I87="","",MIN($D87*2,武将进阶!G$10))</f>
        <v/>
      </c>
      <c r="Y87" s="56">
        <f>IF(J87="","",MIN($D87*2,武将进阶!H$10))</f>
        <v>228.95228719518116</v>
      </c>
      <c r="Z87" s="111"/>
      <c r="AA87" s="111"/>
      <c r="AB87" s="111" t="str">
        <f t="shared" si="12"/>
        <v/>
      </c>
      <c r="AC87" s="111" t="str">
        <f t="shared" si="18"/>
        <v/>
      </c>
      <c r="AD87" s="111">
        <f t="shared" si="19"/>
        <v>2</v>
      </c>
      <c r="AE87" s="112"/>
      <c r="AF87" s="56"/>
      <c r="AG87" s="56"/>
      <c r="AH87" s="56"/>
      <c r="AI87" s="112">
        <f>MIN(求节点(武将天赋进度验证!$Q$5:$Q$164,武将天赋进度验证!$X$5:$X$164,$D87),武将天赋进度验证!AL77)</f>
        <v>1</v>
      </c>
      <c r="AJ87" s="56"/>
      <c r="AK87" s="56"/>
      <c r="AL87" s="56"/>
      <c r="AM87" s="56"/>
      <c r="AN87" s="56"/>
      <c r="AT87" s="56">
        <f t="shared" si="14"/>
        <v>152</v>
      </c>
      <c r="AU87" s="56">
        <f t="shared" ref="AU87:AY87" si="44">IF(AU42="",0,AU42)</f>
        <v>0</v>
      </c>
      <c r="AV87" s="56">
        <f t="shared" si="44"/>
        <v>0</v>
      </c>
      <c r="AW87" s="56">
        <f t="shared" si="44"/>
        <v>2</v>
      </c>
      <c r="AX87" s="56">
        <f t="shared" si="44"/>
        <v>2</v>
      </c>
      <c r="AY87" s="56">
        <f t="shared" si="44"/>
        <v>2</v>
      </c>
    </row>
    <row r="88" spans="1:51" x14ac:dyDescent="0.15">
      <c r="A88" s="82">
        <f t="shared" si="0"/>
        <v>30</v>
      </c>
      <c r="C88" s="56">
        <f t="shared" ref="C88:C100" si="45">C43*0.85</f>
        <v>3043</v>
      </c>
      <c r="D88" s="56">
        <f>求节点(节奏总纲!$Q$4:$Q$163,节奏总纲!$O$4:$O$163,$C88)</f>
        <v>118.05724034557241</v>
      </c>
      <c r="F88" s="56"/>
      <c r="G88" s="56"/>
      <c r="H88" s="56"/>
      <c r="I88" s="56"/>
      <c r="J88" s="56">
        <v>6</v>
      </c>
      <c r="K88" s="56"/>
      <c r="L88" s="56"/>
      <c r="M88" s="56"/>
      <c r="N88" s="56"/>
      <c r="O88" s="56">
        <f>求节点(武将升星!H$104:H$112,武将升星!$C$104:$C$112,武将数量星级阶位验证!BM78/J88)</f>
        <v>8</v>
      </c>
      <c r="P88" s="110"/>
      <c r="Q88" s="110"/>
      <c r="R88" s="56" t="str">
        <f>IFERROR(MAX(0,求节点(武将进阶!F$4:F$8,武将进阶!$C$5:$C$9,W88)),"")</f>
        <v/>
      </c>
      <c r="S88" s="56" t="str">
        <f>IFERROR(MAX(0,求节点(武将进阶!G$4:G$8,武将进阶!$C$5:$C$9,X88)),"")</f>
        <v/>
      </c>
      <c r="T88" s="56">
        <f>IFERROR(MAX(0,求节点(武将进阶!H$4:H$8,武将进阶!$C$5:$C$9,Y88)),"")</f>
        <v>4.7222896138228965</v>
      </c>
      <c r="U88" s="56" t="str">
        <f>IF(F88="","",MIN($D88*2,武将进阶!D$10))</f>
        <v/>
      </c>
      <c r="V88" s="56" t="str">
        <f>IF(G88="","",MIN($D88*2,武将进阶!E$10))</f>
        <v/>
      </c>
      <c r="W88" s="56" t="str">
        <f>IF(H88="","",MIN($D88*2,武将进阶!F$10))</f>
        <v/>
      </c>
      <c r="X88" s="56" t="str">
        <f>IF(I88="","",MIN($D88*2,武将进阶!G$10))</f>
        <v/>
      </c>
      <c r="Y88" s="56">
        <f>IF(J88="","",MIN($D88*2,武将进阶!H$10))</f>
        <v>236.11448069114482</v>
      </c>
      <c r="Z88" s="111"/>
      <c r="AA88" s="111"/>
      <c r="AB88" s="111" t="str">
        <f t="shared" ref="AB88:AB100" si="46">IF(H88="","",求节点($AT$62:$AT$100,AW$62:AW$100,$D88))</f>
        <v/>
      </c>
      <c r="AC88" s="111" t="str">
        <f t="shared" ref="AC88:AC100" si="47">IF(I88="","",求节点($AT$62:$AT$100,AX$62:AX$100,$D88))</f>
        <v/>
      </c>
      <c r="AD88" s="111">
        <f t="shared" ref="AD88:AD100" si="48">IF(J88="","",求节点($AT$62:$AT$100,AY$62:AY$100,$D88))</f>
        <v>2</v>
      </c>
      <c r="AE88" s="112"/>
      <c r="AF88" s="56"/>
      <c r="AG88" s="56"/>
      <c r="AH88" s="56"/>
      <c r="AI88" s="112">
        <f>MIN(求节点(武将天赋进度验证!$Q$5:$Q$164,武将天赋进度验证!$X$5:$X$164,$D88),武将天赋进度验证!AL78)</f>
        <v>1</v>
      </c>
      <c r="AJ88" s="56"/>
      <c r="AK88" s="56"/>
      <c r="AL88" s="56"/>
      <c r="AM88" s="56"/>
      <c r="AN88" s="56"/>
      <c r="AT88" s="56">
        <f t="shared" ref="AT88:AT100" si="49">AT43*0.95</f>
        <v>159.6</v>
      </c>
      <c r="AU88" s="56">
        <f t="shared" ref="AU88:AY88" si="50">IF(AU43="",0,AU43)</f>
        <v>0</v>
      </c>
      <c r="AV88" s="56">
        <f t="shared" si="50"/>
        <v>0</v>
      </c>
      <c r="AW88" s="56">
        <f t="shared" si="50"/>
        <v>2</v>
      </c>
      <c r="AX88" s="56">
        <f t="shared" si="50"/>
        <v>2</v>
      </c>
      <c r="AY88" s="56">
        <f t="shared" si="50"/>
        <v>2</v>
      </c>
    </row>
    <row r="89" spans="1:51" x14ac:dyDescent="0.15">
      <c r="A89" s="82">
        <f t="shared" si="0"/>
        <v>31</v>
      </c>
      <c r="C89" s="56">
        <f t="shared" si="45"/>
        <v>3859</v>
      </c>
      <c r="D89" s="56">
        <f>求节点(节奏总纲!$Q$4:$Q$163,节奏总纲!$O$4:$O$163,$C89)</f>
        <v>121.49411884885473</v>
      </c>
      <c r="F89" s="56"/>
      <c r="G89" s="56"/>
      <c r="H89" s="56"/>
      <c r="I89" s="56"/>
      <c r="J89" s="56">
        <v>6</v>
      </c>
      <c r="K89" s="56"/>
      <c r="L89" s="56"/>
      <c r="M89" s="56"/>
      <c r="N89" s="56"/>
      <c r="O89" s="56">
        <f>求节点(武将升星!H$104:H$112,武将升星!$C$104:$C$112,武将数量星级阶位验证!BM79/J89)</f>
        <v>8</v>
      </c>
      <c r="P89" s="110"/>
      <c r="Q89" s="110"/>
      <c r="R89" s="56" t="str">
        <f>IFERROR(MAX(0,求节点(武将进阶!F$4:F$8,武将进阶!$C$5:$C$9,W89)),"")</f>
        <v/>
      </c>
      <c r="S89" s="56" t="str">
        <f>IFERROR(MAX(0,求节点(武将进阶!G$4:G$8,武将进阶!$C$5:$C$9,X89)),"")</f>
        <v/>
      </c>
      <c r="T89" s="56">
        <f>IFERROR(MAX(0,求节点(武将进阶!H$4:H$8,武将进阶!$C$5:$C$9,Y89)),"")</f>
        <v>4.8597647539541891</v>
      </c>
      <c r="U89" s="56" t="str">
        <f>IF(F89="","",MIN($D89*2,武将进阶!D$10))</f>
        <v/>
      </c>
      <c r="V89" s="56" t="str">
        <f>IF(G89="","",MIN($D89*2,武将进阶!E$10))</f>
        <v/>
      </c>
      <c r="W89" s="56" t="str">
        <f>IF(H89="","",MIN($D89*2,武将进阶!F$10))</f>
        <v/>
      </c>
      <c r="X89" s="56" t="str">
        <f>IF(I89="","",MIN($D89*2,武将进阶!G$10))</f>
        <v/>
      </c>
      <c r="Y89" s="56">
        <f>IF(J89="","",MIN($D89*2,武将进阶!H$10))</f>
        <v>242.98823769770945</v>
      </c>
      <c r="Z89" s="111"/>
      <c r="AA89" s="111"/>
      <c r="AB89" s="111" t="str">
        <f t="shared" si="46"/>
        <v/>
      </c>
      <c r="AC89" s="111" t="str">
        <f t="shared" si="47"/>
        <v/>
      </c>
      <c r="AD89" s="111">
        <f t="shared" si="48"/>
        <v>2</v>
      </c>
      <c r="AE89" s="112"/>
      <c r="AF89" s="56"/>
      <c r="AG89" s="56"/>
      <c r="AH89" s="56"/>
      <c r="AI89" s="112">
        <f>MIN(求节点(武将天赋进度验证!$Q$5:$Q$164,武将天赋进度验证!$X$5:$X$164,$D89),武将天赋进度验证!AL79)</f>
        <v>1</v>
      </c>
      <c r="AJ89" s="56"/>
      <c r="AK89" s="56"/>
      <c r="AL89" s="56"/>
      <c r="AM89" s="56"/>
      <c r="AN89" s="56"/>
      <c r="AT89" s="56">
        <f t="shared" si="49"/>
        <v>167.2</v>
      </c>
      <c r="AU89" s="56">
        <f t="shared" ref="AU89:AY89" si="51">IF(AU44="",0,AU44)</f>
        <v>0</v>
      </c>
      <c r="AV89" s="56">
        <f t="shared" si="51"/>
        <v>0</v>
      </c>
      <c r="AW89" s="56">
        <f t="shared" si="51"/>
        <v>2</v>
      </c>
      <c r="AX89" s="56">
        <f t="shared" si="51"/>
        <v>2</v>
      </c>
      <c r="AY89" s="56">
        <f t="shared" si="51"/>
        <v>2</v>
      </c>
    </row>
    <row r="90" spans="1:51" x14ac:dyDescent="0.15">
      <c r="A90" s="82">
        <f t="shared" si="0"/>
        <v>32</v>
      </c>
      <c r="C90" s="56">
        <f t="shared" si="45"/>
        <v>4930</v>
      </c>
      <c r="D90" s="56">
        <f>求节点(节奏总纲!$Q$4:$Q$163,节奏总纲!$O$4:$O$163,$C90)</f>
        <v>125.03100311549058</v>
      </c>
      <c r="F90" s="56"/>
      <c r="G90" s="56"/>
      <c r="H90" s="56"/>
      <c r="I90" s="56"/>
      <c r="J90" s="56">
        <v>6</v>
      </c>
      <c r="K90" s="56"/>
      <c r="L90" s="56"/>
      <c r="M90" s="56"/>
      <c r="N90" s="56"/>
      <c r="O90" s="56">
        <f>求节点(武将升星!H$104:H$112,武将升星!$C$104:$C$112,武将数量星级阶位验证!BM80/J90)</f>
        <v>8</v>
      </c>
      <c r="P90" s="110"/>
      <c r="Q90" s="110"/>
      <c r="R90" s="56" t="str">
        <f>IFERROR(MAX(0,求节点(武将进阶!F$4:F$8,武将进阶!$C$5:$C$9,W90)),"")</f>
        <v/>
      </c>
      <c r="S90" s="56" t="str">
        <f>IFERROR(MAX(0,求节点(武将进阶!G$4:G$8,武将进阶!$C$5:$C$9,X90)),"")</f>
        <v/>
      </c>
      <c r="T90" s="56">
        <f>IFERROR(MAX(0,求节点(武将进阶!H$4:H$8,武将进阶!$C$5:$C$9,Y90)),"")</f>
        <v>5</v>
      </c>
      <c r="U90" s="56" t="str">
        <f>IF(F90="","",MIN($D90*2,武将进阶!D$10))</f>
        <v/>
      </c>
      <c r="V90" s="56" t="str">
        <f>IF(G90="","",MIN($D90*2,武将进阶!E$10))</f>
        <v/>
      </c>
      <c r="W90" s="56" t="str">
        <f>IF(H90="","",MIN($D90*2,武将进阶!F$10))</f>
        <v/>
      </c>
      <c r="X90" s="56" t="str">
        <f>IF(I90="","",MIN($D90*2,武将进阶!G$10))</f>
        <v/>
      </c>
      <c r="Y90" s="56">
        <f>IF(J90="","",MIN($D90*2,武将进阶!H$10))</f>
        <v>250.06200623098115</v>
      </c>
      <c r="Z90" s="111"/>
      <c r="AA90" s="111"/>
      <c r="AB90" s="111" t="str">
        <f t="shared" si="46"/>
        <v/>
      </c>
      <c r="AC90" s="111" t="str">
        <f t="shared" si="47"/>
        <v/>
      </c>
      <c r="AD90" s="111">
        <f t="shared" si="48"/>
        <v>2</v>
      </c>
      <c r="AE90" s="112"/>
      <c r="AF90" s="56"/>
      <c r="AG90" s="56"/>
      <c r="AH90" s="56"/>
      <c r="AI90" s="112">
        <f>MIN(求节点(武将天赋进度验证!$Q$5:$Q$164,武将天赋进度验证!$X$5:$X$164,$D90),武将天赋进度验证!AL80)</f>
        <v>1</v>
      </c>
      <c r="AJ90" s="56"/>
      <c r="AK90" s="56"/>
      <c r="AL90" s="56"/>
      <c r="AM90" s="56"/>
      <c r="AN90" s="56"/>
      <c r="AT90" s="56">
        <f t="shared" si="49"/>
        <v>174.79999999999998</v>
      </c>
      <c r="AU90" s="56">
        <f t="shared" ref="AU90:AY90" si="52">IF(AU45="",0,AU45)</f>
        <v>0</v>
      </c>
      <c r="AV90" s="56">
        <f t="shared" si="52"/>
        <v>0</v>
      </c>
      <c r="AW90" s="56">
        <f t="shared" si="52"/>
        <v>2</v>
      </c>
      <c r="AX90" s="56">
        <f t="shared" si="52"/>
        <v>2</v>
      </c>
      <c r="AY90" s="56">
        <f t="shared" si="52"/>
        <v>2</v>
      </c>
    </row>
    <row r="91" spans="1:51" x14ac:dyDescent="0.15">
      <c r="A91" s="82">
        <f t="shared" si="0"/>
        <v>33</v>
      </c>
      <c r="C91" s="56">
        <f t="shared" si="45"/>
        <v>6307</v>
      </c>
      <c r="D91" s="56">
        <f>求节点(节奏总纲!$Q$4:$Q$163,节奏总纲!$O$4:$O$163,$C91)</f>
        <v>128.62542789463421</v>
      </c>
      <c r="F91" s="56"/>
      <c r="G91" s="56"/>
      <c r="H91" s="56"/>
      <c r="I91" s="56"/>
      <c r="J91" s="56">
        <v>6</v>
      </c>
      <c r="K91" s="56"/>
      <c r="L91" s="56"/>
      <c r="M91" s="56"/>
      <c r="N91" s="56"/>
      <c r="O91" s="56">
        <f>求节点(武将升星!H$104:H$112,武将升星!$C$104:$C$112,武将数量星级阶位验证!BM81/J91)</f>
        <v>8</v>
      </c>
      <c r="P91" s="110"/>
      <c r="Q91" s="110"/>
      <c r="R91" s="56" t="str">
        <f>IFERROR(MAX(0,求节点(武将进阶!F$4:F$8,武将进阶!$C$5:$C$9,W91)),"")</f>
        <v/>
      </c>
      <c r="S91" s="56" t="str">
        <f>IFERROR(MAX(0,求节点(武将进阶!G$4:G$8,武将进阶!$C$5:$C$9,X91)),"")</f>
        <v/>
      </c>
      <c r="T91" s="56">
        <f>IFERROR(MAX(0,求节点(武将进阶!H$4:H$8,武将进阶!$C$5:$C$9,Y91)),"")</f>
        <v>5</v>
      </c>
      <c r="U91" s="56" t="str">
        <f>IF(F91="","",MIN($D91*2,武将进阶!D$10))</f>
        <v/>
      </c>
      <c r="V91" s="56" t="str">
        <f>IF(G91="","",MIN($D91*2,武将进阶!E$10))</f>
        <v/>
      </c>
      <c r="W91" s="56" t="str">
        <f>IF(H91="","",MIN($D91*2,武将进阶!F$10))</f>
        <v/>
      </c>
      <c r="X91" s="56" t="str">
        <f>IF(I91="","",MIN($D91*2,武将进阶!G$10))</f>
        <v/>
      </c>
      <c r="Y91" s="56">
        <f>IF(J91="","",MIN($D91*2,武将进阶!H$10))</f>
        <v>257.25085578926843</v>
      </c>
      <c r="Z91" s="111"/>
      <c r="AA91" s="111"/>
      <c r="AB91" s="111" t="str">
        <f t="shared" si="46"/>
        <v/>
      </c>
      <c r="AC91" s="111" t="str">
        <f t="shared" si="47"/>
        <v/>
      </c>
      <c r="AD91" s="111">
        <f t="shared" si="48"/>
        <v>2</v>
      </c>
      <c r="AE91" s="112"/>
      <c r="AF91" s="56"/>
      <c r="AG91" s="56"/>
      <c r="AH91" s="56"/>
      <c r="AI91" s="112">
        <f>MIN(求节点(武将天赋进度验证!$Q$5:$Q$164,武将天赋进度验证!$X$5:$X$164,$D91),武将天赋进度验证!AL81)</f>
        <v>1</v>
      </c>
      <c r="AJ91" s="56"/>
      <c r="AK91" s="56"/>
      <c r="AL91" s="56"/>
      <c r="AM91" s="56"/>
      <c r="AN91" s="56"/>
      <c r="AT91" s="56">
        <f t="shared" si="49"/>
        <v>182.39999999999998</v>
      </c>
      <c r="AU91" s="56">
        <f t="shared" ref="AU91:AY91" si="53">IF(AU46="",0,AU46)</f>
        <v>0</v>
      </c>
      <c r="AV91" s="56">
        <f t="shared" si="53"/>
        <v>0</v>
      </c>
      <c r="AW91" s="56">
        <f t="shared" si="53"/>
        <v>2</v>
      </c>
      <c r="AX91" s="56">
        <f t="shared" si="53"/>
        <v>2</v>
      </c>
      <c r="AY91" s="56">
        <f t="shared" si="53"/>
        <v>2</v>
      </c>
    </row>
    <row r="92" spans="1:51" x14ac:dyDescent="0.15">
      <c r="A92" s="82">
        <f t="shared" si="0"/>
        <v>34</v>
      </c>
      <c r="C92" s="56">
        <f t="shared" si="45"/>
        <v>8041</v>
      </c>
      <c r="D92" s="56">
        <f>求节点(节奏总纲!$Q$4:$Q$163,节奏总纲!$O$4:$O$163,$C92)</f>
        <v>132.09902390525281</v>
      </c>
      <c r="F92" s="56"/>
      <c r="G92" s="56"/>
      <c r="H92" s="56"/>
      <c r="I92" s="56"/>
      <c r="J92" s="56">
        <v>6</v>
      </c>
      <c r="K92" s="56"/>
      <c r="L92" s="56"/>
      <c r="M92" s="56"/>
      <c r="N92" s="56"/>
      <c r="O92" s="56">
        <f>求节点(武将升星!H$104:H$112,武将升星!$C$104:$C$112,武将数量星级阶位验证!BM82/J92)</f>
        <v>8</v>
      </c>
      <c r="P92" s="110"/>
      <c r="Q92" s="110"/>
      <c r="R92" s="56" t="str">
        <f>IFERROR(MAX(0,求节点(武将进阶!F$4:F$8,武将进阶!$C$5:$C$9,W92)),"")</f>
        <v/>
      </c>
      <c r="S92" s="56" t="str">
        <f>IFERROR(MAX(0,求节点(武将进阶!G$4:G$8,武将进阶!$C$5:$C$9,X92)),"")</f>
        <v/>
      </c>
      <c r="T92" s="56">
        <f>IFERROR(MAX(0,求节点(武将进阶!H$4:H$8,武将进阶!$C$5:$C$9,Y92)),"")</f>
        <v>5</v>
      </c>
      <c r="U92" s="56" t="str">
        <f>IF(F92="","",MIN($D92*2,武将进阶!D$10))</f>
        <v/>
      </c>
      <c r="V92" s="56" t="str">
        <f>IF(G92="","",MIN($D92*2,武将进阶!E$10))</f>
        <v/>
      </c>
      <c r="W92" s="56" t="str">
        <f>IF(H92="","",MIN($D92*2,武将进阶!F$10))</f>
        <v/>
      </c>
      <c r="X92" s="56" t="str">
        <f>IF(I92="","",MIN($D92*2,武将进阶!G$10))</f>
        <v/>
      </c>
      <c r="Y92" s="56">
        <f>IF(J92="","",MIN($D92*2,武将进阶!H$10))</f>
        <v>264.19804781050561</v>
      </c>
      <c r="Z92" s="111"/>
      <c r="AA92" s="111"/>
      <c r="AB92" s="111" t="str">
        <f t="shared" si="46"/>
        <v/>
      </c>
      <c r="AC92" s="111" t="str">
        <f t="shared" si="47"/>
        <v/>
      </c>
      <c r="AD92" s="111">
        <f t="shared" si="48"/>
        <v>2</v>
      </c>
      <c r="AE92" s="112"/>
      <c r="AF92" s="56"/>
      <c r="AG92" s="56"/>
      <c r="AH92" s="56"/>
      <c r="AI92" s="112">
        <f>MIN(求节点(武将天赋进度验证!$Q$5:$Q$164,武将天赋进度验证!$X$5:$X$164,$D92),武将天赋进度验证!AL82)</f>
        <v>1</v>
      </c>
      <c r="AJ92" s="56"/>
      <c r="AK92" s="56"/>
      <c r="AL92" s="56"/>
      <c r="AM92" s="56"/>
      <c r="AN92" s="56"/>
      <c r="AT92" s="56">
        <f t="shared" si="49"/>
        <v>190</v>
      </c>
      <c r="AU92" s="56">
        <f t="shared" ref="AU92:AY92" si="54">IF(AU47="",0,AU47)</f>
        <v>0</v>
      </c>
      <c r="AV92" s="56">
        <f t="shared" si="54"/>
        <v>0</v>
      </c>
      <c r="AW92" s="56">
        <f t="shared" si="54"/>
        <v>2</v>
      </c>
      <c r="AX92" s="56">
        <f t="shared" si="54"/>
        <v>2</v>
      </c>
      <c r="AY92" s="56">
        <f t="shared" si="54"/>
        <v>2</v>
      </c>
    </row>
    <row r="93" spans="1:51" x14ac:dyDescent="0.15">
      <c r="A93" s="82">
        <f t="shared" si="0"/>
        <v>35</v>
      </c>
      <c r="C93" s="56">
        <f t="shared" si="45"/>
        <v>10234</v>
      </c>
      <c r="D93" s="56">
        <f>求节点(节奏总纲!$Q$4:$Q$163,节奏总纲!$O$4:$O$163,$C93)</f>
        <v>135.61521761503846</v>
      </c>
      <c r="F93" s="56"/>
      <c r="G93" s="56"/>
      <c r="H93" s="56"/>
      <c r="I93" s="56"/>
      <c r="J93" s="56">
        <v>6</v>
      </c>
      <c r="K93" s="56"/>
      <c r="L93" s="56"/>
      <c r="M93" s="56"/>
      <c r="N93" s="56"/>
      <c r="O93" s="56">
        <f>求节点(武将升星!H$104:H$112,武将升星!$C$104:$C$112,武将数量星级阶位验证!BM83/J93)</f>
        <v>8</v>
      </c>
      <c r="P93" s="110"/>
      <c r="Q93" s="110"/>
      <c r="R93" s="56" t="str">
        <f>IFERROR(MAX(0,求节点(武将进阶!F$4:F$8,武将进阶!$C$5:$C$9,W93)),"")</f>
        <v/>
      </c>
      <c r="S93" s="56" t="str">
        <f>IFERROR(MAX(0,求节点(武将进阶!G$4:G$8,武将进阶!$C$5:$C$9,X93)),"")</f>
        <v/>
      </c>
      <c r="T93" s="56">
        <f>IFERROR(MAX(0,求节点(武将进阶!H$4:H$8,武将进阶!$C$5:$C$9,Y93)),"")</f>
        <v>5</v>
      </c>
      <c r="U93" s="56" t="str">
        <f>IF(F93="","",MIN($D93*2,武将进阶!D$10))</f>
        <v/>
      </c>
      <c r="V93" s="56" t="str">
        <f>IF(G93="","",MIN($D93*2,武将进阶!E$10))</f>
        <v/>
      </c>
      <c r="W93" s="56" t="str">
        <f>IF(H93="","",MIN($D93*2,武将进阶!F$10))</f>
        <v/>
      </c>
      <c r="X93" s="56" t="str">
        <f>IF(I93="","",MIN($D93*2,武将进阶!G$10))</f>
        <v/>
      </c>
      <c r="Y93" s="56">
        <f>IF(J93="","",MIN($D93*2,武将进阶!H$10))</f>
        <v>271.23043523007692</v>
      </c>
      <c r="Z93" s="111"/>
      <c r="AA93" s="111"/>
      <c r="AB93" s="111" t="str">
        <f t="shared" si="46"/>
        <v/>
      </c>
      <c r="AC93" s="111" t="str">
        <f t="shared" si="47"/>
        <v/>
      </c>
      <c r="AD93" s="111">
        <f t="shared" si="48"/>
        <v>2</v>
      </c>
      <c r="AE93" s="112"/>
      <c r="AF93" s="56"/>
      <c r="AG93" s="56"/>
      <c r="AH93" s="56"/>
      <c r="AI93" s="112">
        <f>MIN(求节点(武将天赋进度验证!$Q$5:$Q$164,武将天赋进度验证!$X$5:$X$164,$D93),武将天赋进度验证!AL83)</f>
        <v>1</v>
      </c>
      <c r="AJ93" s="56"/>
      <c r="AK93" s="56"/>
      <c r="AL93" s="56"/>
      <c r="AM93" s="56"/>
      <c r="AN93" s="56"/>
      <c r="AT93" s="56">
        <f t="shared" si="49"/>
        <v>197.6</v>
      </c>
      <c r="AU93" s="56">
        <f t="shared" ref="AU93:AY93" si="55">IF(AU48="",0,AU48)</f>
        <v>0</v>
      </c>
      <c r="AV93" s="56">
        <f t="shared" si="55"/>
        <v>0</v>
      </c>
      <c r="AW93" s="56">
        <f t="shared" si="55"/>
        <v>2</v>
      </c>
      <c r="AX93" s="56">
        <f t="shared" si="55"/>
        <v>2</v>
      </c>
      <c r="AY93" s="56">
        <f t="shared" si="55"/>
        <v>2</v>
      </c>
    </row>
    <row r="94" spans="1:51" x14ac:dyDescent="0.15">
      <c r="A94" s="82">
        <f t="shared" si="0"/>
        <v>36</v>
      </c>
      <c r="C94" s="56">
        <f t="shared" si="45"/>
        <v>13039</v>
      </c>
      <c r="D94" s="56">
        <f>求节点(节奏总纲!$Q$4:$Q$163,节奏总纲!$O$4:$O$163,$C94)</f>
        <v>139.08794136138388</v>
      </c>
      <c r="F94" s="56"/>
      <c r="G94" s="56"/>
      <c r="H94" s="56"/>
      <c r="I94" s="56"/>
      <c r="J94" s="56">
        <v>6</v>
      </c>
      <c r="K94" s="56"/>
      <c r="L94" s="56"/>
      <c r="M94" s="56"/>
      <c r="N94" s="56"/>
      <c r="O94" s="56">
        <f>求节点(武将升星!H$104:H$112,武将升星!$C$104:$C$112,武将数量星级阶位验证!BM84/J94)</f>
        <v>8</v>
      </c>
      <c r="P94" s="110"/>
      <c r="Q94" s="110"/>
      <c r="R94" s="56" t="str">
        <f>IFERROR(MAX(0,求节点(武将进阶!F$4:F$8,武将进阶!$C$5:$C$9,W94)),"")</f>
        <v/>
      </c>
      <c r="S94" s="56" t="str">
        <f>IFERROR(MAX(0,求节点(武将进阶!G$4:G$8,武将进阶!$C$5:$C$9,X94)),"")</f>
        <v/>
      </c>
      <c r="T94" s="56">
        <f>IFERROR(MAX(0,求节点(武将进阶!H$4:H$8,武将进阶!$C$5:$C$9,Y94)),"")</f>
        <v>5</v>
      </c>
      <c r="U94" s="56" t="str">
        <f>IF(F94="","",MIN($D94*2,武将进阶!D$10))</f>
        <v/>
      </c>
      <c r="V94" s="56" t="str">
        <f>IF(G94="","",MIN($D94*2,武将进阶!E$10))</f>
        <v/>
      </c>
      <c r="W94" s="56" t="str">
        <f>IF(H94="","",MIN($D94*2,武将进阶!F$10))</f>
        <v/>
      </c>
      <c r="X94" s="56" t="str">
        <f>IF(I94="","",MIN($D94*2,武将进阶!G$10))</f>
        <v/>
      </c>
      <c r="Y94" s="56">
        <f>IF(J94="","",MIN($D94*2,武将进阶!H$10))</f>
        <v>278.17588272276777</v>
      </c>
      <c r="Z94" s="111"/>
      <c r="AA94" s="111"/>
      <c r="AB94" s="111" t="str">
        <f t="shared" si="46"/>
        <v/>
      </c>
      <c r="AC94" s="111" t="str">
        <f t="shared" si="47"/>
        <v/>
      </c>
      <c r="AD94" s="111">
        <f t="shared" si="48"/>
        <v>2</v>
      </c>
      <c r="AE94" s="112"/>
      <c r="AF94" s="56"/>
      <c r="AG94" s="56"/>
      <c r="AH94" s="56"/>
      <c r="AI94" s="112">
        <f>MIN(求节点(武将天赋进度验证!$Q$5:$Q$164,武将天赋进度验证!$X$5:$X$164,$D94),武将天赋进度验证!AL84)</f>
        <v>1</v>
      </c>
      <c r="AJ94" s="56"/>
      <c r="AK94" s="56"/>
      <c r="AL94" s="56"/>
      <c r="AM94" s="56"/>
      <c r="AN94" s="56"/>
      <c r="AT94" s="56">
        <f t="shared" si="49"/>
        <v>205.2</v>
      </c>
      <c r="AU94" s="56">
        <f t="shared" ref="AU94:AY94" si="56">IF(AU49="",0,AU49)</f>
        <v>0</v>
      </c>
      <c r="AV94" s="56">
        <f t="shared" si="56"/>
        <v>0</v>
      </c>
      <c r="AW94" s="56">
        <f t="shared" si="56"/>
        <v>2</v>
      </c>
      <c r="AX94" s="56">
        <f t="shared" si="56"/>
        <v>2</v>
      </c>
      <c r="AY94" s="56">
        <f t="shared" si="56"/>
        <v>2</v>
      </c>
    </row>
    <row r="95" spans="1:51" x14ac:dyDescent="0.15">
      <c r="A95" s="82">
        <f t="shared" si="0"/>
        <v>37</v>
      </c>
      <c r="C95" s="56">
        <f t="shared" si="45"/>
        <v>16609</v>
      </c>
      <c r="D95" s="56">
        <f>求节点(节奏总纲!$Q$4:$Q$163,节奏总纲!$O$4:$O$163,$C95)</f>
        <v>142.60670974426387</v>
      </c>
      <c r="F95" s="56"/>
      <c r="G95" s="56"/>
      <c r="H95" s="56"/>
      <c r="I95" s="56"/>
      <c r="J95" s="56">
        <v>6</v>
      </c>
      <c r="K95" s="56"/>
      <c r="L95" s="56"/>
      <c r="M95" s="56"/>
      <c r="N95" s="56"/>
      <c r="O95" s="56">
        <f>求节点(武将升星!H$104:H$112,武将升星!$C$104:$C$112,武将数量星级阶位验证!BM85/J95)</f>
        <v>8</v>
      </c>
      <c r="P95" s="110"/>
      <c r="Q95" s="110"/>
      <c r="R95" s="56" t="str">
        <f>IFERROR(MAX(0,求节点(武将进阶!F$4:F$8,武将进阶!$C$5:$C$9,W95)),"")</f>
        <v/>
      </c>
      <c r="S95" s="56" t="str">
        <f>IFERROR(MAX(0,求节点(武将进阶!G$4:G$8,武将进阶!$C$5:$C$9,X95)),"")</f>
        <v/>
      </c>
      <c r="T95" s="56">
        <f>IFERROR(MAX(0,求节点(武将进阶!H$4:H$8,武将进阶!$C$5:$C$9,Y95)),"")</f>
        <v>5</v>
      </c>
      <c r="U95" s="56" t="str">
        <f>IF(F95="","",MIN($D95*2,武将进阶!D$10))</f>
        <v/>
      </c>
      <c r="V95" s="56" t="str">
        <f>IF(G95="","",MIN($D95*2,武将进阶!E$10))</f>
        <v/>
      </c>
      <c r="W95" s="56" t="str">
        <f>IF(H95="","",MIN($D95*2,武将进阶!F$10))</f>
        <v/>
      </c>
      <c r="X95" s="56" t="str">
        <f>IF(I95="","",MIN($D95*2,武将进阶!G$10))</f>
        <v/>
      </c>
      <c r="Y95" s="56">
        <f>IF(J95="","",MIN($D95*2,武将进阶!H$10))</f>
        <v>285.21341948852773</v>
      </c>
      <c r="Z95" s="111"/>
      <c r="AA95" s="111"/>
      <c r="AB95" s="111" t="str">
        <f t="shared" si="46"/>
        <v/>
      </c>
      <c r="AC95" s="111" t="str">
        <f t="shared" si="47"/>
        <v/>
      </c>
      <c r="AD95" s="111">
        <f t="shared" si="48"/>
        <v>2</v>
      </c>
      <c r="AE95" s="112"/>
      <c r="AF95" s="56"/>
      <c r="AG95" s="56"/>
      <c r="AH95" s="56"/>
      <c r="AI95" s="112">
        <f>MIN(求节点(武将天赋进度验证!$Q$5:$Q$164,武将天赋进度验证!$X$5:$X$164,$D95),武将天赋进度验证!AL85)</f>
        <v>1</v>
      </c>
      <c r="AJ95" s="56"/>
      <c r="AK95" s="56"/>
      <c r="AL95" s="56"/>
      <c r="AM95" s="56"/>
      <c r="AN95" s="56"/>
      <c r="AT95" s="56">
        <f t="shared" si="49"/>
        <v>212.79999999999998</v>
      </c>
      <c r="AU95" s="56">
        <f t="shared" ref="AU95:AY95" si="57">IF(AU50="",0,AU50)</f>
        <v>0</v>
      </c>
      <c r="AV95" s="56">
        <f t="shared" si="57"/>
        <v>0</v>
      </c>
      <c r="AW95" s="56">
        <f t="shared" si="57"/>
        <v>2</v>
      </c>
      <c r="AX95" s="56">
        <f t="shared" si="57"/>
        <v>2</v>
      </c>
      <c r="AY95" s="56">
        <f t="shared" si="57"/>
        <v>2</v>
      </c>
    </row>
    <row r="96" spans="1:51" x14ac:dyDescent="0.15">
      <c r="A96" s="82">
        <f t="shared" si="0"/>
        <v>38</v>
      </c>
      <c r="C96" s="56">
        <f t="shared" si="45"/>
        <v>21148</v>
      </c>
      <c r="D96" s="56">
        <f>求节点(节奏总纲!$Q$4:$Q$163,节奏总纲!$O$4:$O$163,$C96)</f>
        <v>146.07830147206653</v>
      </c>
      <c r="F96" s="56"/>
      <c r="G96" s="56"/>
      <c r="H96" s="56"/>
      <c r="I96" s="56"/>
      <c r="J96" s="56">
        <v>6</v>
      </c>
      <c r="K96" s="56"/>
      <c r="L96" s="56"/>
      <c r="M96" s="56"/>
      <c r="N96" s="56"/>
      <c r="O96" s="56">
        <f>求节点(武将升星!H$104:H$112,武将升星!$C$104:$C$112,武将数量星级阶位验证!BM86/J96)</f>
        <v>8</v>
      </c>
      <c r="P96" s="110"/>
      <c r="Q96" s="110"/>
      <c r="R96" s="56" t="str">
        <f>IFERROR(MAX(0,求节点(武将进阶!F$4:F$8,武将进阶!$C$5:$C$9,W96)),"")</f>
        <v/>
      </c>
      <c r="S96" s="56" t="str">
        <f>IFERROR(MAX(0,求节点(武将进阶!G$4:G$8,武将进阶!$C$5:$C$9,X96)),"")</f>
        <v/>
      </c>
      <c r="T96" s="56">
        <f>IFERROR(MAX(0,求节点(武将进阶!H$4:H$8,武将进阶!$C$5:$C$9,Y96)),"")</f>
        <v>5</v>
      </c>
      <c r="U96" s="56" t="str">
        <f>IF(F96="","",MIN($D96*2,武将进阶!D$10))</f>
        <v/>
      </c>
      <c r="V96" s="56" t="str">
        <f>IF(G96="","",MIN($D96*2,武将进阶!E$10))</f>
        <v/>
      </c>
      <c r="W96" s="56" t="str">
        <f>IF(H96="","",MIN($D96*2,武将进阶!F$10))</f>
        <v/>
      </c>
      <c r="X96" s="56" t="str">
        <f>IF(I96="","",MIN($D96*2,武将进阶!G$10))</f>
        <v/>
      </c>
      <c r="Y96" s="56">
        <f>IF(J96="","",MIN($D96*2,武将进阶!H$10))</f>
        <v>292.15660294413306</v>
      </c>
      <c r="Z96" s="111"/>
      <c r="AA96" s="111"/>
      <c r="AB96" s="111" t="str">
        <f t="shared" si="46"/>
        <v/>
      </c>
      <c r="AC96" s="111" t="str">
        <f t="shared" si="47"/>
        <v/>
      </c>
      <c r="AD96" s="111">
        <f t="shared" si="48"/>
        <v>2</v>
      </c>
      <c r="AE96" s="112"/>
      <c r="AF96" s="56"/>
      <c r="AG96" s="56"/>
      <c r="AH96" s="56"/>
      <c r="AI96" s="112">
        <f>MIN(求节点(武将天赋进度验证!$Q$5:$Q$164,武将天赋进度验证!$X$5:$X$164,$D96),武将天赋进度验证!AL86)</f>
        <v>1</v>
      </c>
      <c r="AJ96" s="56"/>
      <c r="AK96" s="56"/>
      <c r="AL96" s="56"/>
      <c r="AM96" s="56"/>
      <c r="AN96" s="56"/>
      <c r="AT96" s="56">
        <f t="shared" si="49"/>
        <v>220.39999999999998</v>
      </c>
      <c r="AU96" s="56">
        <f t="shared" ref="AU96:AY96" si="58">IF(AU51="",0,AU51)</f>
        <v>0</v>
      </c>
      <c r="AV96" s="56">
        <f t="shared" si="58"/>
        <v>0</v>
      </c>
      <c r="AW96" s="56">
        <f t="shared" si="58"/>
        <v>2</v>
      </c>
      <c r="AX96" s="56">
        <f t="shared" si="58"/>
        <v>2</v>
      </c>
      <c r="AY96" s="56">
        <f t="shared" si="58"/>
        <v>2</v>
      </c>
    </row>
    <row r="97" spans="1:51" x14ac:dyDescent="0.15">
      <c r="A97" s="82">
        <f t="shared" si="0"/>
        <v>39</v>
      </c>
      <c r="C97" s="56">
        <f t="shared" si="45"/>
        <v>26962</v>
      </c>
      <c r="D97" s="56">
        <f>求节点(节奏总纲!$Q$4:$Q$163,节奏总纲!$O$4:$O$163,$C97)</f>
        <v>149.61701338734093</v>
      </c>
      <c r="F97" s="56"/>
      <c r="G97" s="56"/>
      <c r="H97" s="56"/>
      <c r="I97" s="56"/>
      <c r="J97" s="56">
        <v>6</v>
      </c>
      <c r="K97" s="56"/>
      <c r="L97" s="56"/>
      <c r="M97" s="56"/>
      <c r="N97" s="56"/>
      <c r="O97" s="56">
        <f>求节点(武将升星!H$104:H$112,武将升星!$C$104:$C$112,武将数量星级阶位验证!BM87/J97)</f>
        <v>8</v>
      </c>
      <c r="P97" s="110"/>
      <c r="Q97" s="110"/>
      <c r="R97" s="56" t="str">
        <f>IFERROR(MAX(0,求节点(武将进阶!F$4:F$8,武将进阶!$C$5:$C$9,W97)),"")</f>
        <v/>
      </c>
      <c r="S97" s="56" t="str">
        <f>IFERROR(MAX(0,求节点(武将进阶!G$4:G$8,武将进阶!$C$5:$C$9,X97)),"")</f>
        <v/>
      </c>
      <c r="T97" s="56">
        <f>IFERROR(MAX(0,求节点(武将进阶!H$4:H$8,武将进阶!$C$5:$C$9,Y97)),"")</f>
        <v>5</v>
      </c>
      <c r="U97" s="56" t="str">
        <f>IF(F97="","",MIN($D97*2,武将进阶!D$10))</f>
        <v/>
      </c>
      <c r="V97" s="56" t="str">
        <f>IF(G97="","",MIN($D97*2,武将进阶!E$10))</f>
        <v/>
      </c>
      <c r="W97" s="56" t="str">
        <f>IF(H97="","",MIN($D97*2,武将进阶!F$10))</f>
        <v/>
      </c>
      <c r="X97" s="56" t="str">
        <f>IF(I97="","",MIN($D97*2,武将进阶!G$10))</f>
        <v/>
      </c>
      <c r="Y97" s="56">
        <f>IF(J97="","",MIN($D97*2,武将进阶!H$10))</f>
        <v>299.23402677468187</v>
      </c>
      <c r="Z97" s="111"/>
      <c r="AA97" s="111"/>
      <c r="AB97" s="111" t="str">
        <f t="shared" si="46"/>
        <v/>
      </c>
      <c r="AC97" s="111" t="str">
        <f t="shared" si="47"/>
        <v/>
      </c>
      <c r="AD97" s="111">
        <f t="shared" si="48"/>
        <v>2</v>
      </c>
      <c r="AE97" s="112"/>
      <c r="AF97" s="56"/>
      <c r="AG97" s="56"/>
      <c r="AH97" s="56"/>
      <c r="AI97" s="112">
        <f>MIN(求节点(武将天赋进度验证!$Q$5:$Q$164,武将天赋进度验证!$X$5:$X$164,$D97),武将天赋进度验证!AL87)</f>
        <v>1</v>
      </c>
      <c r="AJ97" s="56"/>
      <c r="AK97" s="56"/>
      <c r="AL97" s="56"/>
      <c r="AM97" s="56"/>
      <c r="AN97" s="56"/>
      <c r="AT97" s="56">
        <f t="shared" si="49"/>
        <v>228</v>
      </c>
      <c r="AU97" s="56">
        <f t="shared" ref="AU97:AY97" si="59">IF(AU52="",0,AU52)</f>
        <v>0</v>
      </c>
      <c r="AV97" s="56">
        <f t="shared" si="59"/>
        <v>0</v>
      </c>
      <c r="AW97" s="56">
        <f t="shared" si="59"/>
        <v>2</v>
      </c>
      <c r="AX97" s="56">
        <f t="shared" si="59"/>
        <v>2</v>
      </c>
      <c r="AY97" s="56">
        <f t="shared" si="59"/>
        <v>2</v>
      </c>
    </row>
    <row r="98" spans="1:51" x14ac:dyDescent="0.15">
      <c r="A98" s="82">
        <f t="shared" si="0"/>
        <v>40</v>
      </c>
      <c r="C98" s="56">
        <f t="shared" si="45"/>
        <v>34357</v>
      </c>
      <c r="D98" s="56">
        <f>求节点(节奏总纲!$Q$4:$Q$163,节奏总纲!$O$4:$O$163,$C98)</f>
        <v>153.01012120353457</v>
      </c>
      <c r="F98" s="56"/>
      <c r="G98" s="56"/>
      <c r="H98" s="56"/>
      <c r="I98" s="56"/>
      <c r="J98" s="56">
        <v>6</v>
      </c>
      <c r="K98" s="56"/>
      <c r="L98" s="56"/>
      <c r="M98" s="56"/>
      <c r="N98" s="56"/>
      <c r="O98" s="56">
        <f>求节点(武将升星!H$104:H$112,武将升星!$C$104:$C$112,武将数量星级阶位验证!BM88/J98)</f>
        <v>8</v>
      </c>
      <c r="P98" s="110"/>
      <c r="Q98" s="110"/>
      <c r="R98" s="56" t="str">
        <f>IFERROR(MAX(0,求节点(武将进阶!F$4:F$8,武将进阶!$C$5:$C$9,W98)),"")</f>
        <v/>
      </c>
      <c r="S98" s="56" t="str">
        <f>IFERROR(MAX(0,求节点(武将进阶!G$4:G$8,武将进阶!$C$5:$C$9,X98)),"")</f>
        <v/>
      </c>
      <c r="T98" s="56">
        <f>IFERROR(MAX(0,求节点(武将进阶!H$4:H$8,武将进阶!$C$5:$C$9,Y98)),"")</f>
        <v>5</v>
      </c>
      <c r="U98" s="56" t="str">
        <f>IF(F98="","",MIN($D98*2,武将进阶!D$10))</f>
        <v/>
      </c>
      <c r="V98" s="56" t="str">
        <f>IF(G98="","",MIN($D98*2,武将进阶!E$10))</f>
        <v/>
      </c>
      <c r="W98" s="56" t="str">
        <f>IF(H98="","",MIN($D98*2,武将进阶!F$10))</f>
        <v/>
      </c>
      <c r="X98" s="56" t="str">
        <f>IF(I98="","",MIN($D98*2,武将进阶!G$10))</f>
        <v/>
      </c>
      <c r="Y98" s="56">
        <f>IF(J98="","",MIN($D98*2,武将进阶!H$10))</f>
        <v>300</v>
      </c>
      <c r="Z98" s="111"/>
      <c r="AA98" s="111"/>
      <c r="AB98" s="111" t="str">
        <f t="shared" si="46"/>
        <v/>
      </c>
      <c r="AC98" s="111" t="str">
        <f t="shared" si="47"/>
        <v/>
      </c>
      <c r="AD98" s="111">
        <f t="shared" si="48"/>
        <v>2</v>
      </c>
      <c r="AE98" s="112"/>
      <c r="AF98" s="56"/>
      <c r="AG98" s="56"/>
      <c r="AH98" s="56"/>
      <c r="AI98" s="112">
        <f>MIN(求节点(武将天赋进度验证!$Q$5:$Q$164,武将天赋进度验证!$X$5:$X$164,$D98),武将天赋进度验证!AL88)</f>
        <v>1</v>
      </c>
      <c r="AJ98" s="56"/>
      <c r="AK98" s="56"/>
      <c r="AL98" s="56"/>
      <c r="AM98" s="56"/>
      <c r="AN98" s="56"/>
      <c r="AT98" s="56">
        <f t="shared" si="49"/>
        <v>235.6</v>
      </c>
      <c r="AU98" s="56">
        <f t="shared" ref="AU98:AY98" si="60">IF(AU53="",0,AU53)</f>
        <v>0</v>
      </c>
      <c r="AV98" s="56">
        <f t="shared" si="60"/>
        <v>0</v>
      </c>
      <c r="AW98" s="56">
        <f t="shared" si="60"/>
        <v>2</v>
      </c>
      <c r="AX98" s="56">
        <f t="shared" si="60"/>
        <v>2</v>
      </c>
      <c r="AY98" s="56">
        <f t="shared" si="60"/>
        <v>2</v>
      </c>
    </row>
    <row r="99" spans="1:51" x14ac:dyDescent="0.15">
      <c r="A99" s="82">
        <f t="shared" si="0"/>
        <v>41</v>
      </c>
      <c r="C99" s="56">
        <f t="shared" si="45"/>
        <v>43792</v>
      </c>
      <c r="D99" s="56">
        <f>求节点(节奏总纲!$Q$4:$Q$163,节奏总纲!$O$4:$O$163,$C99)</f>
        <v>154.95970315183646</v>
      </c>
      <c r="F99" s="56"/>
      <c r="G99" s="56"/>
      <c r="H99" s="56"/>
      <c r="I99" s="56"/>
      <c r="J99" s="56">
        <v>6</v>
      </c>
      <c r="K99" s="56"/>
      <c r="L99" s="56"/>
      <c r="M99" s="56"/>
      <c r="N99" s="56"/>
      <c r="O99" s="56">
        <f>求节点(武将升星!H$104:H$112,武将升星!$C$104:$C$112,武将数量星级阶位验证!BM89/J99)</f>
        <v>8</v>
      </c>
      <c r="P99" s="110"/>
      <c r="Q99" s="110"/>
      <c r="R99" s="56" t="str">
        <f>IFERROR(MAX(0,求节点(武将进阶!F$4:F$8,武将进阶!$C$5:$C$9,W99)),"")</f>
        <v/>
      </c>
      <c r="S99" s="56" t="str">
        <f>IFERROR(MAX(0,求节点(武将进阶!G$4:G$8,武将进阶!$C$5:$C$9,X99)),"")</f>
        <v/>
      </c>
      <c r="T99" s="56">
        <f>IFERROR(MAX(0,求节点(武将进阶!H$4:H$8,武将进阶!$C$5:$C$9,Y99)),"")</f>
        <v>5</v>
      </c>
      <c r="U99" s="56" t="str">
        <f>IF(F99="","",MIN($D99*2,武将进阶!D$10))</f>
        <v/>
      </c>
      <c r="V99" s="56" t="str">
        <f>IF(G99="","",MIN($D99*2,武将进阶!E$10))</f>
        <v/>
      </c>
      <c r="W99" s="56" t="str">
        <f>IF(H99="","",MIN($D99*2,武将进阶!F$10))</f>
        <v/>
      </c>
      <c r="X99" s="56" t="str">
        <f>IF(I99="","",MIN($D99*2,武将进阶!G$10))</f>
        <v/>
      </c>
      <c r="Y99" s="56">
        <f>IF(J99="","",MIN($D99*2,武将进阶!H$10))</f>
        <v>300</v>
      </c>
      <c r="Z99" s="111"/>
      <c r="AA99" s="111"/>
      <c r="AB99" s="111" t="str">
        <f t="shared" si="46"/>
        <v/>
      </c>
      <c r="AC99" s="111" t="str">
        <f t="shared" si="47"/>
        <v/>
      </c>
      <c r="AD99" s="111">
        <f t="shared" si="48"/>
        <v>2</v>
      </c>
      <c r="AE99" s="112"/>
      <c r="AF99" s="56"/>
      <c r="AG99" s="56"/>
      <c r="AH99" s="56"/>
      <c r="AI99" s="112">
        <f>MIN(求节点(武将天赋进度验证!$Q$5:$Q$164,武将天赋进度验证!$X$5:$X$164,$D99),武将天赋进度验证!AL89)</f>
        <v>1</v>
      </c>
      <c r="AJ99" s="56"/>
      <c r="AK99" s="56"/>
      <c r="AL99" s="56"/>
      <c r="AM99" s="56"/>
      <c r="AN99" s="56"/>
      <c r="AT99" s="56">
        <f t="shared" si="49"/>
        <v>243.2</v>
      </c>
      <c r="AU99" s="56">
        <f t="shared" ref="AU99:AY99" si="61">IF(AU54="",0,AU54)</f>
        <v>0</v>
      </c>
      <c r="AV99" s="56">
        <f t="shared" si="61"/>
        <v>0</v>
      </c>
      <c r="AW99" s="56">
        <f t="shared" si="61"/>
        <v>2</v>
      </c>
      <c r="AX99" s="56">
        <f t="shared" si="61"/>
        <v>2</v>
      </c>
      <c r="AY99" s="56">
        <f t="shared" si="61"/>
        <v>2</v>
      </c>
    </row>
    <row r="100" spans="1:51" x14ac:dyDescent="0.15">
      <c r="A100" s="82">
        <f t="shared" si="0"/>
        <v>42</v>
      </c>
      <c r="C100" s="56">
        <f t="shared" si="45"/>
        <v>55675</v>
      </c>
      <c r="D100" s="56">
        <f>求节点(节奏总纲!$Q$4:$Q$163,节奏总纲!$O$4:$O$163,$C100)</f>
        <v>157.63974470288184</v>
      </c>
      <c r="F100" s="56"/>
      <c r="G100" s="56"/>
      <c r="H100" s="56"/>
      <c r="I100" s="56"/>
      <c r="J100" s="56">
        <v>6</v>
      </c>
      <c r="K100" s="56"/>
      <c r="L100" s="56"/>
      <c r="M100" s="56"/>
      <c r="N100" s="56"/>
      <c r="O100" s="56">
        <f>求节点(武将升星!H$104:H$112,武将升星!$C$104:$C$112,武将数量星级阶位验证!BM90/J100)</f>
        <v>8</v>
      </c>
      <c r="P100" s="110"/>
      <c r="Q100" s="110"/>
      <c r="R100" s="56" t="str">
        <f>IFERROR(MAX(0,求节点(武将进阶!F$4:F$8,武将进阶!$C$5:$C$9,W100)),"")</f>
        <v/>
      </c>
      <c r="S100" s="56" t="str">
        <f>IFERROR(MAX(0,求节点(武将进阶!G$4:G$8,武将进阶!$C$5:$C$9,X100)),"")</f>
        <v/>
      </c>
      <c r="T100" s="56">
        <f>IFERROR(MAX(0,求节点(武将进阶!H$4:H$8,武将进阶!$C$5:$C$9,Y100)),"")</f>
        <v>5</v>
      </c>
      <c r="U100" s="56" t="str">
        <f>IF(F100="","",MIN($D100*2,武将进阶!D$10))</f>
        <v/>
      </c>
      <c r="V100" s="56" t="str">
        <f>IF(G100="","",MIN($D100*2,武将进阶!E$10))</f>
        <v/>
      </c>
      <c r="W100" s="56" t="str">
        <f>IF(H100="","",MIN($D100*2,武将进阶!F$10))</f>
        <v/>
      </c>
      <c r="X100" s="56" t="str">
        <f>IF(I100="","",MIN($D100*2,武将进阶!G$10))</f>
        <v/>
      </c>
      <c r="Y100" s="56">
        <f>IF(J100="","",MIN($D100*2,武将进阶!H$10))</f>
        <v>300</v>
      </c>
      <c r="Z100" s="111"/>
      <c r="AA100" s="111"/>
      <c r="AB100" s="111" t="str">
        <f t="shared" si="46"/>
        <v/>
      </c>
      <c r="AC100" s="111" t="str">
        <f t="shared" si="47"/>
        <v/>
      </c>
      <c r="AD100" s="111">
        <f t="shared" si="48"/>
        <v>2</v>
      </c>
      <c r="AE100" s="112"/>
      <c r="AF100" s="56"/>
      <c r="AG100" s="56"/>
      <c r="AH100" s="56"/>
      <c r="AI100" s="112">
        <f>MIN(求节点(武将天赋进度验证!$Q$5:$Q$164,武将天赋进度验证!$X$5:$X$164,$D100),武将天赋进度验证!AL90)</f>
        <v>1</v>
      </c>
      <c r="AJ100" s="56"/>
      <c r="AK100" s="56"/>
      <c r="AL100" s="56"/>
      <c r="AM100" s="56"/>
      <c r="AN100" s="56"/>
      <c r="AT100" s="56">
        <f t="shared" si="49"/>
        <v>250.79999999999998</v>
      </c>
      <c r="AU100" s="56">
        <f t="shared" ref="AU100:AY100" si="62">IF(AU55="",0,AU55)</f>
        <v>0</v>
      </c>
      <c r="AV100" s="56">
        <f t="shared" si="62"/>
        <v>0</v>
      </c>
      <c r="AW100" s="56">
        <f t="shared" si="62"/>
        <v>2</v>
      </c>
      <c r="AX100" s="56">
        <f t="shared" si="62"/>
        <v>2</v>
      </c>
      <c r="AY100" s="56">
        <f t="shared" si="62"/>
        <v>2</v>
      </c>
    </row>
    <row r="101" spans="1:51" x14ac:dyDescent="0.15">
      <c r="A101" s="82">
        <f t="shared" si="0"/>
        <v>43</v>
      </c>
    </row>
    <row r="102" spans="1:51" x14ac:dyDescent="0.15">
      <c r="A102" s="82">
        <f t="shared" si="0"/>
        <v>44</v>
      </c>
    </row>
    <row r="103" spans="1:51" x14ac:dyDescent="0.15">
      <c r="A103" s="82">
        <f t="shared" ref="A103" si="63">A102+1</f>
        <v>45</v>
      </c>
    </row>
    <row r="104" spans="1:51" ht="13.5" customHeight="1" x14ac:dyDescent="0.15">
      <c r="A104" s="82">
        <v>1</v>
      </c>
      <c r="C104" s="155" t="s">
        <v>171</v>
      </c>
      <c r="D104" s="155"/>
      <c r="F104" s="155" t="s">
        <v>178</v>
      </c>
      <c r="G104" s="155"/>
      <c r="H104" s="155"/>
      <c r="I104" s="155"/>
      <c r="J104" s="155"/>
      <c r="K104" s="155"/>
      <c r="L104" s="155"/>
      <c r="M104" s="155"/>
      <c r="N104" s="155"/>
      <c r="O104" s="155"/>
      <c r="P104" s="155"/>
      <c r="Q104" s="155"/>
      <c r="R104" s="155"/>
      <c r="S104" s="155"/>
      <c r="T104" s="155"/>
      <c r="U104" s="155"/>
      <c r="V104" s="155"/>
      <c r="W104" s="155"/>
      <c r="X104" s="155"/>
      <c r="Y104" s="155"/>
      <c r="Z104" s="155"/>
      <c r="AA104" s="155"/>
      <c r="AB104" s="155"/>
      <c r="AC104" s="155"/>
      <c r="AD104" s="155"/>
      <c r="AE104" s="155"/>
      <c r="AF104" s="155"/>
      <c r="AG104" s="155"/>
      <c r="AH104" s="155"/>
      <c r="AI104" s="155"/>
      <c r="AJ104" s="155"/>
      <c r="AK104" s="155"/>
      <c r="AL104" s="155"/>
      <c r="AM104" s="155"/>
      <c r="AN104" s="155"/>
    </row>
    <row r="105" spans="1:51" x14ac:dyDescent="0.15">
      <c r="A105" s="82">
        <f t="shared" ref="A105:A148" si="64">A104+1</f>
        <v>2</v>
      </c>
      <c r="C105" s="155"/>
      <c r="D105" s="155"/>
      <c r="F105" s="155" t="s">
        <v>821</v>
      </c>
      <c r="G105" s="155"/>
      <c r="H105" s="155"/>
      <c r="I105" s="155"/>
      <c r="J105" s="155"/>
      <c r="K105" s="155" t="s">
        <v>150</v>
      </c>
      <c r="L105" s="155"/>
      <c r="M105" s="155"/>
      <c r="N105" s="155"/>
      <c r="O105" s="155"/>
      <c r="P105" s="155" t="s">
        <v>177</v>
      </c>
      <c r="Q105" s="155"/>
      <c r="R105" s="155"/>
      <c r="S105" s="155"/>
      <c r="T105" s="155"/>
      <c r="U105" s="155" t="s">
        <v>151</v>
      </c>
      <c r="V105" s="155"/>
      <c r="W105" s="155"/>
      <c r="X105" s="155"/>
      <c r="Y105" s="155"/>
      <c r="Z105" s="156" t="s">
        <v>348</v>
      </c>
      <c r="AA105" s="157"/>
      <c r="AB105" s="157"/>
      <c r="AC105" s="157"/>
      <c r="AD105" s="158"/>
      <c r="AE105" s="156" t="s">
        <v>811</v>
      </c>
      <c r="AF105" s="157"/>
      <c r="AG105" s="157"/>
      <c r="AH105" s="157"/>
      <c r="AI105" s="158"/>
      <c r="AJ105" s="155"/>
      <c r="AK105" s="155"/>
      <c r="AL105" s="155"/>
      <c r="AM105" s="155"/>
      <c r="AN105" s="155"/>
      <c r="AT105" s="156" t="s">
        <v>457</v>
      </c>
      <c r="AU105" s="157"/>
      <c r="AV105" s="157"/>
      <c r="AW105" s="157"/>
      <c r="AX105" s="157"/>
      <c r="AY105" s="158"/>
    </row>
    <row r="106" spans="1:51" x14ac:dyDescent="0.15">
      <c r="A106" s="82">
        <f t="shared" si="64"/>
        <v>3</v>
      </c>
      <c r="C106" s="56" t="s">
        <v>170</v>
      </c>
      <c r="D106" s="56" t="s">
        <v>484</v>
      </c>
      <c r="F106" s="56" t="s">
        <v>3</v>
      </c>
      <c r="G106" s="56" t="s">
        <v>1</v>
      </c>
      <c r="H106" s="56" t="s">
        <v>2</v>
      </c>
      <c r="I106" s="56" t="s">
        <v>0</v>
      </c>
      <c r="J106" s="56" t="s">
        <v>545</v>
      </c>
      <c r="K106" s="56" t="s">
        <v>3</v>
      </c>
      <c r="L106" s="56" t="s">
        <v>1</v>
      </c>
      <c r="M106" s="56" t="s">
        <v>2</v>
      </c>
      <c r="N106" s="56" t="s">
        <v>0</v>
      </c>
      <c r="O106" s="56" t="s">
        <v>545</v>
      </c>
      <c r="P106" s="56" t="s">
        <v>3</v>
      </c>
      <c r="Q106" s="56" t="s">
        <v>1</v>
      </c>
      <c r="R106" s="56" t="s">
        <v>2</v>
      </c>
      <c r="S106" s="56" t="s">
        <v>0</v>
      </c>
      <c r="T106" s="56" t="s">
        <v>545</v>
      </c>
      <c r="U106" s="56" t="s">
        <v>3</v>
      </c>
      <c r="V106" s="56" t="s">
        <v>1</v>
      </c>
      <c r="W106" s="56" t="s">
        <v>2</v>
      </c>
      <c r="X106" s="56" t="s">
        <v>0</v>
      </c>
      <c r="Y106" s="56" t="s">
        <v>545</v>
      </c>
      <c r="Z106" s="56" t="s">
        <v>3</v>
      </c>
      <c r="AA106" s="56" t="s">
        <v>1</v>
      </c>
      <c r="AB106" s="56" t="s">
        <v>2</v>
      </c>
      <c r="AC106" s="56" t="s">
        <v>0</v>
      </c>
      <c r="AD106" s="56" t="s">
        <v>545</v>
      </c>
      <c r="AE106" s="56" t="s">
        <v>3</v>
      </c>
      <c r="AF106" s="56" t="s">
        <v>1</v>
      </c>
      <c r="AG106" s="56" t="s">
        <v>2</v>
      </c>
      <c r="AH106" s="56" t="s">
        <v>0</v>
      </c>
      <c r="AI106" s="56" t="s">
        <v>545</v>
      </c>
      <c r="AJ106" s="56"/>
      <c r="AK106" s="56"/>
      <c r="AL106" s="56"/>
      <c r="AM106" s="56"/>
      <c r="AN106" s="56"/>
      <c r="AT106" s="56" t="s">
        <v>478</v>
      </c>
      <c r="AU106" s="56" t="s">
        <v>3</v>
      </c>
      <c r="AV106" s="56" t="s">
        <v>1</v>
      </c>
      <c r="AW106" s="56" t="s">
        <v>2</v>
      </c>
      <c r="AX106" s="56" t="s">
        <v>0</v>
      </c>
      <c r="AY106" s="56" t="s">
        <v>545</v>
      </c>
    </row>
    <row r="107" spans="1:51" x14ac:dyDescent="0.15">
      <c r="A107" s="82">
        <f t="shared" si="64"/>
        <v>4</v>
      </c>
      <c r="C107" s="56">
        <f t="shared" ref="C107:C132" si="65">C17*0.7</f>
        <v>0.7</v>
      </c>
      <c r="D107" s="56">
        <f>求节点(节奏总纲!$R$4:$R$163,节奏总纲!$O$4:$O$163,$C107)</f>
        <v>10.099965341977441</v>
      </c>
      <c r="F107" s="56"/>
      <c r="G107" s="56"/>
      <c r="H107" s="56">
        <v>2</v>
      </c>
      <c r="I107" s="56">
        <v>4</v>
      </c>
      <c r="J107" s="56"/>
      <c r="K107" s="56"/>
      <c r="L107" s="56"/>
      <c r="M107" s="56">
        <f>MIN(求节点(武将升星!F$104:F$112,武将升星!$C$104:$C$112,武将数量星级阶位验证!BK97/武将数量星级阶位验证!C$6),武将升星!F$14)</f>
        <v>0.95229795184885058</v>
      </c>
      <c r="N107" s="110">
        <f>求节点(武将升星!G$104:G$112,武将升星!$C$104:$C$112,(武将数量星级阶位验证!BL97-武将数量星级阶位验证!BN97)/武将数量星级阶位验证!D$6+武将数量星级阶位验证!BN97/MAX(I$107:I107))</f>
        <v>0</v>
      </c>
      <c r="O107" s="56"/>
      <c r="P107" s="110" t="str">
        <f>IF(F107="","",0)</f>
        <v/>
      </c>
      <c r="Q107" s="110" t="str">
        <f>IF(G107="","",0)</f>
        <v/>
      </c>
      <c r="R107" s="56">
        <f>IFERROR(MAX(0,求节点(武将进阶!F$4:F$8,武将进阶!$C$5:$C$9,W107)),"")</f>
        <v>0.40399861367909762</v>
      </c>
      <c r="S107" s="56">
        <f>IFERROR(MAX(0,求节点(武将进阶!G$4:G$8,武将进阶!$C$5:$C$9,X107)),"")</f>
        <v>0.40399861367909762</v>
      </c>
      <c r="T107" s="56" t="str">
        <f>IFERROR(MAX(0,求节点(武将进阶!H$4:H$8,武将进阶!$C$5:$C$9,Y107)),"")</f>
        <v/>
      </c>
      <c r="U107" s="56" t="str">
        <f>IF(F107="","",MIN($D107*2,武将进阶!D$10))</f>
        <v/>
      </c>
      <c r="V107" s="56" t="str">
        <f>IF(G107="","",MIN($D107*2,武将进阶!E$10))</f>
        <v/>
      </c>
      <c r="W107" s="56">
        <f>IF(H107="","",MIN($D107*2,武将进阶!F$10))</f>
        <v>20.199930683954882</v>
      </c>
      <c r="X107" s="56">
        <f>IF(I107="","",MIN($D107*2,武将进阶!G$10))</f>
        <v>20.199930683954882</v>
      </c>
      <c r="Y107" s="56" t="str">
        <f>IF(J107="","",MIN($D107*2,武将进阶!H$10))</f>
        <v/>
      </c>
      <c r="Z107" s="111"/>
      <c r="AA107" s="111"/>
      <c r="AB107" s="111">
        <f t="shared" ref="AB107:AB132" si="66">IF(H107="","",求节点($AT$107:$AT$145,AW$107:AW$145,$D107))</f>
        <v>0.17866459977464411</v>
      </c>
      <c r="AC107" s="111">
        <f t="shared" ref="AC107:AD107" si="67">IF(I107="","",求节点($AT$107:$AT$145,AX$107:AX$145,$D107))</f>
        <v>0.17866459977464411</v>
      </c>
      <c r="AD107" s="111" t="str">
        <f t="shared" si="67"/>
        <v/>
      </c>
      <c r="AE107" s="112"/>
      <c r="AF107" s="56"/>
      <c r="AG107" s="56"/>
      <c r="AH107" s="56"/>
      <c r="AI107" s="112">
        <f>MIN(求节点(武将天赋进度验证!$Q$5:$Q$164,武将天赋进度验证!$Y$5:$Y$164,$D107),武将天赋进度验证!AL97)</f>
        <v>0</v>
      </c>
      <c r="AJ107" s="56"/>
      <c r="AK107" s="56"/>
      <c r="AL107" s="56"/>
      <c r="AM107" s="56"/>
      <c r="AN107" s="56"/>
      <c r="AT107" s="56">
        <f t="shared" ref="AT107:AT132" si="68">AT62*0.95</f>
        <v>9.0250000000000004</v>
      </c>
      <c r="AU107" s="56">
        <f>IF(AU62="",0,AU62)</f>
        <v>0</v>
      </c>
      <c r="AV107" s="56">
        <f t="shared" ref="AV107:AY107" si="69">IF(AV62="",0,AV62)</f>
        <v>0</v>
      </c>
      <c r="AW107" s="56">
        <f t="shared" si="69"/>
        <v>0</v>
      </c>
      <c r="AX107" s="56">
        <f t="shared" si="69"/>
        <v>0</v>
      </c>
      <c r="AY107" s="56">
        <f t="shared" si="69"/>
        <v>0</v>
      </c>
    </row>
    <row r="108" spans="1:51" x14ac:dyDescent="0.15">
      <c r="A108" s="82">
        <f t="shared" si="64"/>
        <v>5</v>
      </c>
      <c r="C108" s="56">
        <f t="shared" si="65"/>
        <v>2.0999999999999996</v>
      </c>
      <c r="D108" s="56">
        <f>求节点(节奏总纲!$R$4:$R$163,节奏总纲!$O$4:$O$163,$C108)</f>
        <v>19.800198258084681</v>
      </c>
      <c r="F108" s="56"/>
      <c r="G108" s="56"/>
      <c r="H108" s="56"/>
      <c r="I108" s="56">
        <v>6</v>
      </c>
      <c r="J108" s="56"/>
      <c r="K108" s="56"/>
      <c r="L108" s="56"/>
      <c r="M108" s="56"/>
      <c r="N108" s="110">
        <f>求节点(武将升星!G$104:G$112,武将升星!$C$104:$C$112,(武将数量星级阶位验证!BL98-武将数量星级阶位验证!BN98)/武将数量星级阶位验证!D$6+武将数量星级阶位验证!BN98/MAX(I$107:I108))</f>
        <v>0</v>
      </c>
      <c r="O108" s="56"/>
      <c r="P108" s="110" t="str">
        <f t="shared" ref="P108:P122" si="70">IF(F108="","",0)</f>
        <v/>
      </c>
      <c r="Q108" s="110" t="str">
        <f t="shared" ref="Q108:Q122" si="71">IF(G108="","",0)</f>
        <v/>
      </c>
      <c r="R108" s="56" t="str">
        <f>IFERROR(MAX(0,求节点(武将进阶!F$4:F$8,武将进阶!$C$5:$C$9,W108)),"")</f>
        <v/>
      </c>
      <c r="S108" s="56">
        <f>IFERROR(MAX(0,求节点(武将进阶!G$4:G$8,武将进阶!$C$5:$C$9,X108)),"")</f>
        <v>0.79200793032338723</v>
      </c>
      <c r="T108" s="56" t="str">
        <f>IFERROR(MAX(0,求节点(武将进阶!H$4:H$8,武将进阶!$C$5:$C$9,Y108)),"")</f>
        <v/>
      </c>
      <c r="U108" s="56" t="str">
        <f>IF(F108="","",MIN($D108*2,武将进阶!D$10))</f>
        <v/>
      </c>
      <c r="V108" s="56" t="str">
        <f>IF(G108="","",MIN($D108*2,武将进阶!E$10))</f>
        <v/>
      </c>
      <c r="W108" s="56" t="str">
        <f>IF(H108="","",MIN($D108*2,武将进阶!F$10))</f>
        <v/>
      </c>
      <c r="X108" s="56">
        <f>IF(I108="","",MIN($D108*2,武将进阶!G$10))</f>
        <v>39.600396516169361</v>
      </c>
      <c r="Y108" s="56" t="str">
        <f>IF(J108="","",MIN($D108*2,武将进阶!H$10))</f>
        <v/>
      </c>
      <c r="Z108" s="111"/>
      <c r="AA108" s="111"/>
      <c r="AB108" s="111" t="str">
        <f t="shared" si="66"/>
        <v/>
      </c>
      <c r="AC108" s="111">
        <f t="shared" ref="AC108:AC132" si="72">IF(I108="","",求节点($AT$107:$AT$145,AX$107:AX$145,$D108))</f>
        <v>1</v>
      </c>
      <c r="AD108" s="111" t="str">
        <f t="shared" ref="AD108:AD132" si="73">IF(J108="","",求节点($AT$107:$AT$145,AY$107:AY$145,$D108))</f>
        <v/>
      </c>
      <c r="AE108" s="112"/>
      <c r="AF108" s="56"/>
      <c r="AG108" s="56"/>
      <c r="AH108" s="56"/>
      <c r="AI108" s="112">
        <f>MIN(求节点(武将天赋进度验证!$Q$5:$Q$164,武将天赋进度验证!$Y$5:$Y$164,$D108),武将天赋进度验证!AL98)</f>
        <v>0</v>
      </c>
      <c r="AJ108" s="56"/>
      <c r="AK108" s="56"/>
      <c r="AL108" s="56"/>
      <c r="AM108" s="56"/>
      <c r="AN108" s="56"/>
      <c r="AT108" s="56">
        <f t="shared" si="68"/>
        <v>10.829999999999998</v>
      </c>
      <c r="AU108" s="56">
        <f t="shared" ref="AU108:AY108" si="74">IF(AU63="",0,AU63)</f>
        <v>0</v>
      </c>
      <c r="AV108" s="56">
        <f t="shared" si="74"/>
        <v>0</v>
      </c>
      <c r="AW108" s="56">
        <f t="shared" si="74"/>
        <v>0.3</v>
      </c>
      <c r="AX108" s="56">
        <f t="shared" si="74"/>
        <v>0.3</v>
      </c>
      <c r="AY108" s="56">
        <f t="shared" si="74"/>
        <v>0.3</v>
      </c>
    </row>
    <row r="109" spans="1:51" x14ac:dyDescent="0.15">
      <c r="A109" s="82">
        <f t="shared" si="64"/>
        <v>6</v>
      </c>
      <c r="C109" s="56">
        <f t="shared" si="65"/>
        <v>4.1999999999999993</v>
      </c>
      <c r="D109" s="56">
        <f>求节点(节奏总纲!$R$4:$R$163,节奏总纲!$O$4:$O$163,$C109)</f>
        <v>27.769105021676069</v>
      </c>
      <c r="F109" s="56"/>
      <c r="G109" s="56"/>
      <c r="H109" s="56"/>
      <c r="I109" s="56">
        <v>6</v>
      </c>
      <c r="J109" s="56"/>
      <c r="K109" s="56"/>
      <c r="L109" s="56"/>
      <c r="M109" s="56"/>
      <c r="N109" s="110">
        <f>求节点(武将升星!G$104:G$112,武将升星!$C$104:$C$112,(武将数量星级阶位验证!BL99-武将数量星级阶位验证!BN99)/武将数量星级阶位验证!D$6+武将数量星级阶位验证!BN99/MAX(I$107:I109))</f>
        <v>0.47401274849368447</v>
      </c>
      <c r="O109" s="56"/>
      <c r="P109" s="110" t="str">
        <f t="shared" si="70"/>
        <v/>
      </c>
      <c r="Q109" s="110" t="str">
        <f t="shared" si="71"/>
        <v/>
      </c>
      <c r="R109" s="56" t="str">
        <f>IFERROR(MAX(0,求节点(武将进阶!F$4:F$8,武将进阶!$C$5:$C$9,W109)),"")</f>
        <v/>
      </c>
      <c r="S109" s="56">
        <f>IFERROR(MAX(0,求节点(武将进阶!G$4:G$8,武将进阶!$C$5:$C$9,X109)),"")</f>
        <v>1.1107642008670426</v>
      </c>
      <c r="T109" s="56" t="str">
        <f>IFERROR(MAX(0,求节点(武将进阶!H$4:H$8,武将进阶!$C$5:$C$9,Y109)),"")</f>
        <v/>
      </c>
      <c r="U109" s="56" t="str">
        <f>IF(F109="","",MIN($D109*2,武将进阶!D$10))</f>
        <v/>
      </c>
      <c r="V109" s="56" t="str">
        <f>IF(G109="","",MIN($D109*2,武将进阶!E$10))</f>
        <v/>
      </c>
      <c r="W109" s="56" t="str">
        <f>IF(H109="","",MIN($D109*2,武将进阶!F$10))</f>
        <v/>
      </c>
      <c r="X109" s="56">
        <f>IF(I109="","",MIN($D109*2,武将进阶!G$10))</f>
        <v>55.538210043352137</v>
      </c>
      <c r="Y109" s="56" t="str">
        <f>IF(J109="","",MIN($D109*2,武将进阶!H$10))</f>
        <v/>
      </c>
      <c r="Z109" s="111"/>
      <c r="AA109" s="111"/>
      <c r="AB109" s="111" t="str">
        <f t="shared" si="66"/>
        <v/>
      </c>
      <c r="AC109" s="111">
        <f t="shared" si="72"/>
        <v>1</v>
      </c>
      <c r="AD109" s="111" t="str">
        <f t="shared" si="73"/>
        <v/>
      </c>
      <c r="AE109" s="112"/>
      <c r="AF109" s="56"/>
      <c r="AG109" s="56"/>
      <c r="AH109" s="56"/>
      <c r="AI109" s="112">
        <f>MIN(求节点(武将天赋进度验证!$Q$5:$Q$164,武将天赋进度验证!$Y$5:$Y$164,$D109),武将天赋进度验证!AL99)</f>
        <v>0</v>
      </c>
      <c r="AJ109" s="56"/>
      <c r="AK109" s="56"/>
      <c r="AL109" s="56"/>
      <c r="AM109" s="56"/>
      <c r="AN109" s="56"/>
      <c r="AT109" s="56">
        <f t="shared" si="68"/>
        <v>13.5375</v>
      </c>
      <c r="AU109" s="56">
        <f t="shared" ref="AU109:AY109" si="75">IF(AU64="",0,AU64)</f>
        <v>0</v>
      </c>
      <c r="AV109" s="56">
        <f t="shared" si="75"/>
        <v>0</v>
      </c>
      <c r="AW109" s="56">
        <f t="shared" si="75"/>
        <v>0.65</v>
      </c>
      <c r="AX109" s="56">
        <f t="shared" si="75"/>
        <v>0.65</v>
      </c>
      <c r="AY109" s="56">
        <f t="shared" si="75"/>
        <v>0.65</v>
      </c>
    </row>
    <row r="110" spans="1:51" x14ac:dyDescent="0.15">
      <c r="A110" s="82">
        <f t="shared" si="64"/>
        <v>7</v>
      </c>
      <c r="C110" s="56">
        <f t="shared" si="65"/>
        <v>7</v>
      </c>
      <c r="D110" s="56">
        <f>求节点(节奏总纲!$R$4:$R$163,节奏总纲!$O$4:$O$163,$C110)</f>
        <v>34.192155176139416</v>
      </c>
      <c r="F110" s="56"/>
      <c r="G110" s="56"/>
      <c r="H110" s="56"/>
      <c r="I110" s="56">
        <v>6</v>
      </c>
      <c r="J110" s="56"/>
      <c r="K110" s="56"/>
      <c r="L110" s="56"/>
      <c r="M110" s="56"/>
      <c r="N110" s="110">
        <f>求节点(武将升星!G$104:G$112,武将升星!$C$104:$C$112,(武将数量星级阶位验证!BL100-武将数量星级阶位验证!BN100)/武将数量星级阶位验证!D$6+武将数量星级阶位验证!BN100/MAX(I$107:I110))</f>
        <v>1.1912960112427449</v>
      </c>
      <c r="O110" s="56"/>
      <c r="P110" s="110" t="str">
        <f t="shared" si="70"/>
        <v/>
      </c>
      <c r="Q110" s="110" t="str">
        <f t="shared" si="71"/>
        <v/>
      </c>
      <c r="R110" s="56" t="str">
        <f>IFERROR(MAX(0,求节点(武将进阶!F$4:F$8,武将进阶!$C$5:$C$9,W110)),"")</f>
        <v/>
      </c>
      <c r="S110" s="56">
        <f>IFERROR(MAX(0,求节点(武将进阶!G$4:G$8,武将进阶!$C$5:$C$9,X110)),"")</f>
        <v>1.3676862070455766</v>
      </c>
      <c r="T110" s="56" t="str">
        <f>IFERROR(MAX(0,求节点(武将进阶!H$4:H$8,武将进阶!$C$5:$C$9,Y110)),"")</f>
        <v/>
      </c>
      <c r="U110" s="56" t="str">
        <f>IF(F110="","",MIN($D110*2,武将进阶!D$10))</f>
        <v/>
      </c>
      <c r="V110" s="56" t="str">
        <f>IF(G110="","",MIN($D110*2,武将进阶!E$10))</f>
        <v/>
      </c>
      <c r="W110" s="56" t="str">
        <f>IF(H110="","",MIN($D110*2,武将进阶!F$10))</f>
        <v/>
      </c>
      <c r="X110" s="56">
        <f>IF(I110="","",MIN($D110*2,武将进阶!G$10))</f>
        <v>68.384310352278831</v>
      </c>
      <c r="Y110" s="56" t="str">
        <f>IF(J110="","",MIN($D110*2,武将进阶!H$10))</f>
        <v/>
      </c>
      <c r="Z110" s="111"/>
      <c r="AA110" s="111"/>
      <c r="AB110" s="111" t="str">
        <f t="shared" si="66"/>
        <v/>
      </c>
      <c r="AC110" s="111">
        <f t="shared" si="72"/>
        <v>1.8143407527496618</v>
      </c>
      <c r="AD110" s="111" t="str">
        <f t="shared" si="73"/>
        <v/>
      </c>
      <c r="AE110" s="112"/>
      <c r="AF110" s="56"/>
      <c r="AG110" s="56"/>
      <c r="AH110" s="56"/>
      <c r="AI110" s="112">
        <f>MIN(求节点(武将天赋进度验证!$Q$5:$Q$164,武将天赋进度验证!$Y$5:$Y$164,$D110),武将天赋进度验证!AL100)</f>
        <v>0</v>
      </c>
      <c r="AJ110" s="56"/>
      <c r="AK110" s="56"/>
      <c r="AL110" s="56"/>
      <c r="AM110" s="56"/>
      <c r="AN110" s="56"/>
      <c r="AT110" s="56">
        <f t="shared" si="68"/>
        <v>16.244999999999997</v>
      </c>
      <c r="AU110" s="56">
        <f t="shared" ref="AU110:AY110" si="76">IF(AU65="",0,AU65)</f>
        <v>0</v>
      </c>
      <c r="AV110" s="56">
        <f t="shared" si="76"/>
        <v>0</v>
      </c>
      <c r="AW110" s="56">
        <f t="shared" si="76"/>
        <v>1</v>
      </c>
      <c r="AX110" s="56">
        <f t="shared" si="76"/>
        <v>1</v>
      </c>
      <c r="AY110" s="56">
        <f t="shared" si="76"/>
        <v>1</v>
      </c>
    </row>
    <row r="111" spans="1:51" x14ac:dyDescent="0.15">
      <c r="A111" s="82">
        <f t="shared" si="64"/>
        <v>8</v>
      </c>
      <c r="C111" s="56">
        <f t="shared" si="65"/>
        <v>10.5</v>
      </c>
      <c r="D111" s="56">
        <f>求节点(节奏总纲!$R$4:$R$163,节奏总纲!$O$4:$O$163,$C111)</f>
        <v>39.631851677253941</v>
      </c>
      <c r="F111" s="56"/>
      <c r="G111" s="56"/>
      <c r="H111" s="56"/>
      <c r="I111" s="56">
        <v>6</v>
      </c>
      <c r="J111" s="56"/>
      <c r="K111" s="56"/>
      <c r="L111" s="56"/>
      <c r="M111" s="56"/>
      <c r="N111" s="110">
        <f>求节点(武将升星!G$104:G$112,武将升星!$C$104:$C$112,(武将数量星级阶位验证!BL101-武将数量星级阶位验证!BN101)/武将数量星级阶位验证!D$6+武将数量星级阶位验证!BN101/MAX(I$107:I111))</f>
        <v>1.8437826107937041</v>
      </c>
      <c r="O111" s="56"/>
      <c r="P111" s="110" t="str">
        <f t="shared" si="70"/>
        <v/>
      </c>
      <c r="Q111" s="110" t="str">
        <f t="shared" si="71"/>
        <v/>
      </c>
      <c r="R111" s="56" t="str">
        <f>IFERROR(MAX(0,求节点(武将进阶!F$4:F$8,武将进阶!$C$5:$C$9,W111)),"")</f>
        <v/>
      </c>
      <c r="S111" s="56">
        <f>IFERROR(MAX(0,求节点(武将进阶!G$4:G$8,武将进阶!$C$5:$C$9,X111)),"")</f>
        <v>1.5852740670901575</v>
      </c>
      <c r="T111" s="56" t="str">
        <f>IFERROR(MAX(0,求节点(武将进阶!H$4:H$8,武将进阶!$C$5:$C$9,Y111)),"")</f>
        <v/>
      </c>
      <c r="U111" s="56" t="str">
        <f>IF(F111="","",MIN($D111*2,武将进阶!D$10))</f>
        <v/>
      </c>
      <c r="V111" s="56" t="str">
        <f>IF(G111="","",MIN($D111*2,武将进阶!E$10))</f>
        <v/>
      </c>
      <c r="W111" s="56" t="str">
        <f>IF(H111="","",MIN($D111*2,武将进阶!F$10))</f>
        <v/>
      </c>
      <c r="X111" s="56">
        <f>IF(I111="","",MIN($D111*2,武将进阶!G$10))</f>
        <v>79.263703354507882</v>
      </c>
      <c r="Y111" s="56" t="str">
        <f>IF(J111="","",MIN($D111*2,武将进阶!H$10))</f>
        <v/>
      </c>
      <c r="Z111" s="111"/>
      <c r="AA111" s="111"/>
      <c r="AB111" s="111" t="str">
        <f t="shared" si="66"/>
        <v/>
      </c>
      <c r="AC111" s="111">
        <f t="shared" si="72"/>
        <v>2</v>
      </c>
      <c r="AD111" s="111" t="str">
        <f t="shared" si="73"/>
        <v/>
      </c>
      <c r="AE111" s="112"/>
      <c r="AF111" s="56"/>
      <c r="AG111" s="56"/>
      <c r="AH111" s="56"/>
      <c r="AI111" s="112">
        <f>MIN(求节点(武将天赋进度验证!$Q$5:$Q$164,武将天赋进度验证!$Y$5:$Y$164,$D111),武将天赋进度验证!AL101)</f>
        <v>0</v>
      </c>
      <c r="AJ111" s="56"/>
      <c r="AK111" s="56"/>
      <c r="AL111" s="56"/>
      <c r="AM111" s="56"/>
      <c r="AN111" s="56"/>
      <c r="AT111" s="56">
        <f t="shared" si="68"/>
        <v>18.952499999999997</v>
      </c>
      <c r="AU111" s="56">
        <f t="shared" ref="AU111:AY111" si="77">IF(AU66="",0,AU66)</f>
        <v>0</v>
      </c>
      <c r="AV111" s="56">
        <f t="shared" si="77"/>
        <v>0</v>
      </c>
      <c r="AW111" s="56">
        <f t="shared" si="77"/>
        <v>1</v>
      </c>
      <c r="AX111" s="56">
        <f t="shared" si="77"/>
        <v>1</v>
      </c>
      <c r="AY111" s="56">
        <f t="shared" si="77"/>
        <v>1</v>
      </c>
    </row>
    <row r="112" spans="1:51" x14ac:dyDescent="0.15">
      <c r="A112" s="82">
        <f t="shared" si="64"/>
        <v>9</v>
      </c>
      <c r="C112" s="56">
        <f t="shared" si="65"/>
        <v>14</v>
      </c>
      <c r="D112" s="56">
        <f>求节点(节奏总纲!$R$4:$R$163,节奏总纲!$O$4:$O$163,$C112)</f>
        <v>43.484929789964411</v>
      </c>
      <c r="F112" s="56"/>
      <c r="G112" s="56"/>
      <c r="H112" s="56"/>
      <c r="I112" s="56">
        <v>6</v>
      </c>
      <c r="J112" s="56"/>
      <c r="K112" s="56"/>
      <c r="L112" s="56"/>
      <c r="M112" s="56"/>
      <c r="N112" s="110">
        <f>求节点(武将升星!G$104:G$112,武将升星!$C$104:$C$112,(武将数量星级阶位验证!BL102-武将数量星级阶位验证!BN102)/武将数量星级阶位验证!D$6+武将数量星级阶位验证!BN102/MAX(I$107:I112))</f>
        <v>2.4730287736464525</v>
      </c>
      <c r="O112" s="56"/>
      <c r="P112" s="110" t="str">
        <f t="shared" si="70"/>
        <v/>
      </c>
      <c r="Q112" s="110" t="str">
        <f t="shared" si="71"/>
        <v/>
      </c>
      <c r="R112" s="56" t="str">
        <f>IFERROR(MAX(0,求节点(武将进阶!F$4:F$8,武将进阶!$C$5:$C$9,W112)),"")</f>
        <v/>
      </c>
      <c r="S112" s="56">
        <f>IFERROR(MAX(0,求节点(武将进阶!G$4:G$8,武将进阶!$C$5:$C$9,X112)),"")</f>
        <v>1.7393971915985764</v>
      </c>
      <c r="T112" s="56" t="str">
        <f>IFERROR(MAX(0,求节点(武将进阶!H$4:H$8,武将进阶!$C$5:$C$9,Y112)),"")</f>
        <v/>
      </c>
      <c r="U112" s="56" t="str">
        <f>IF(F112="","",MIN($D112*2,武将进阶!D$10))</f>
        <v/>
      </c>
      <c r="V112" s="56" t="str">
        <f>IF(G112="","",MIN($D112*2,武将进阶!E$10))</f>
        <v/>
      </c>
      <c r="W112" s="56" t="str">
        <f>IF(H112="","",MIN($D112*2,武将进阶!F$10))</f>
        <v/>
      </c>
      <c r="X112" s="56">
        <f>IF(I112="","",MIN($D112*2,武将进阶!G$10))</f>
        <v>86.969859579928823</v>
      </c>
      <c r="Y112" s="56" t="str">
        <f>IF(J112="","",MIN($D112*2,武将进阶!H$10))</f>
        <v/>
      </c>
      <c r="Z112" s="111"/>
      <c r="AA112" s="111"/>
      <c r="AB112" s="111" t="str">
        <f t="shared" si="66"/>
        <v/>
      </c>
      <c r="AC112" s="111">
        <f t="shared" si="72"/>
        <v>2</v>
      </c>
      <c r="AD112" s="111" t="str">
        <f t="shared" si="73"/>
        <v/>
      </c>
      <c r="AE112" s="112"/>
      <c r="AF112" s="56"/>
      <c r="AG112" s="56"/>
      <c r="AH112" s="56"/>
      <c r="AI112" s="112">
        <f>MIN(求节点(武将天赋进度验证!$Q$5:$Q$164,武将天赋进度验证!$Y$5:$Y$164,$D112),武将天赋进度验证!AL102)</f>
        <v>0</v>
      </c>
      <c r="AJ112" s="56"/>
      <c r="AK112" s="56"/>
      <c r="AL112" s="56"/>
      <c r="AM112" s="56"/>
      <c r="AN112" s="56"/>
      <c r="AT112" s="56">
        <f t="shared" si="68"/>
        <v>21.659999999999997</v>
      </c>
      <c r="AU112" s="56">
        <f t="shared" ref="AU112:AY112" si="78">IF(AU67="",0,AU67)</f>
        <v>0</v>
      </c>
      <c r="AV112" s="56">
        <f t="shared" si="78"/>
        <v>0</v>
      </c>
      <c r="AW112" s="56">
        <f t="shared" si="78"/>
        <v>1</v>
      </c>
      <c r="AX112" s="56">
        <f t="shared" si="78"/>
        <v>1</v>
      </c>
      <c r="AY112" s="56">
        <f t="shared" si="78"/>
        <v>1</v>
      </c>
    </row>
    <row r="113" spans="1:51" x14ac:dyDescent="0.15">
      <c r="A113" s="82">
        <f t="shared" si="64"/>
        <v>10</v>
      </c>
      <c r="C113" s="56">
        <f t="shared" si="65"/>
        <v>21</v>
      </c>
      <c r="D113" s="56">
        <f>求节点(节奏总纲!$R$4:$R$163,节奏总纲!$O$4:$O$163,$C113)</f>
        <v>49.18886033229559</v>
      </c>
      <c r="F113" s="56"/>
      <c r="G113" s="56"/>
      <c r="H113" s="56"/>
      <c r="I113" s="56">
        <v>6</v>
      </c>
      <c r="J113" s="56"/>
      <c r="K113" s="56"/>
      <c r="L113" s="56"/>
      <c r="M113" s="56"/>
      <c r="N113" s="110">
        <f>求节点(武将升星!G$104:G$112,武将升星!$C$104:$C$112,(武将数量星级阶位验证!BL103-武将数量星级阶位验证!BN103)/武将数量星级阶位验证!D$6+武将数量星级阶位验证!BN103/MAX(I$107:I113))</f>
        <v>3.2586909720530555</v>
      </c>
      <c r="O113" s="56"/>
      <c r="P113" s="110" t="str">
        <f t="shared" si="70"/>
        <v/>
      </c>
      <c r="Q113" s="110" t="str">
        <f t="shared" si="71"/>
        <v/>
      </c>
      <c r="R113" s="56" t="str">
        <f>IFERROR(MAX(0,求节点(武将进阶!F$4:F$8,武将进阶!$C$5:$C$9,W113)),"")</f>
        <v/>
      </c>
      <c r="S113" s="56">
        <f>IFERROR(MAX(0,求节点(武将进阶!G$4:G$8,武将进阶!$C$5:$C$9,X113)),"")</f>
        <v>1.9675544132918237</v>
      </c>
      <c r="T113" s="56" t="str">
        <f>IFERROR(MAX(0,求节点(武将进阶!H$4:H$8,武将进阶!$C$5:$C$9,Y113)),"")</f>
        <v/>
      </c>
      <c r="U113" s="56" t="str">
        <f>IF(F113="","",MIN($D113*2,武将进阶!D$10))</f>
        <v/>
      </c>
      <c r="V113" s="56" t="str">
        <f>IF(G113="","",MIN($D113*2,武将进阶!E$10))</f>
        <v/>
      </c>
      <c r="W113" s="56" t="str">
        <f>IF(H113="","",MIN($D113*2,武将进阶!F$10))</f>
        <v/>
      </c>
      <c r="X113" s="56">
        <f>IF(I113="","",MIN($D113*2,武将进阶!G$10))</f>
        <v>98.37772066459118</v>
      </c>
      <c r="Y113" s="56" t="str">
        <f>IF(J113="","",MIN($D113*2,武将进阶!H$10))</f>
        <v/>
      </c>
      <c r="Z113" s="111"/>
      <c r="AA113" s="111"/>
      <c r="AB113" s="111" t="str">
        <f t="shared" si="66"/>
        <v/>
      </c>
      <c r="AC113" s="111">
        <f t="shared" si="72"/>
        <v>2</v>
      </c>
      <c r="AD113" s="111" t="str">
        <f t="shared" si="73"/>
        <v/>
      </c>
      <c r="AE113" s="112"/>
      <c r="AF113" s="56"/>
      <c r="AG113" s="56"/>
      <c r="AH113" s="56"/>
      <c r="AI113" s="112">
        <f>MIN(求节点(武将天赋进度验证!$Q$5:$Q$164,武将天赋进度验证!$Y$5:$Y$164,$D113),武将天赋进度验证!AL103)</f>
        <v>0</v>
      </c>
      <c r="AJ113" s="56"/>
      <c r="AK113" s="56"/>
      <c r="AL113" s="56"/>
      <c r="AM113" s="56"/>
      <c r="AN113" s="56"/>
      <c r="AT113" s="56">
        <f t="shared" si="68"/>
        <v>29.782499999999995</v>
      </c>
      <c r="AU113" s="56">
        <f t="shared" ref="AU113:AY113" si="79">IF(AU68="",0,AU68)</f>
        <v>0</v>
      </c>
      <c r="AV113" s="56">
        <f t="shared" si="79"/>
        <v>0</v>
      </c>
      <c r="AW113" s="56">
        <f t="shared" si="79"/>
        <v>1</v>
      </c>
      <c r="AX113" s="56">
        <f t="shared" si="79"/>
        <v>1</v>
      </c>
      <c r="AY113" s="56">
        <f t="shared" si="79"/>
        <v>1</v>
      </c>
    </row>
    <row r="114" spans="1:51" x14ac:dyDescent="0.15">
      <c r="A114" s="82">
        <f t="shared" si="64"/>
        <v>11</v>
      </c>
      <c r="C114" s="56">
        <f t="shared" si="65"/>
        <v>28</v>
      </c>
      <c r="D114" s="56">
        <f>求节点(节奏总纲!$R$4:$R$163,节奏总纲!$O$4:$O$163,$C114)</f>
        <v>53.212684955585161</v>
      </c>
      <c r="F114" s="56"/>
      <c r="G114" s="56"/>
      <c r="H114" s="56"/>
      <c r="I114" s="56">
        <v>5</v>
      </c>
      <c r="J114" s="56">
        <v>1</v>
      </c>
      <c r="K114" s="56"/>
      <c r="L114" s="56"/>
      <c r="M114" s="56"/>
      <c r="N114" s="110">
        <f>求节点(武将升星!G$104:G$112,武将升星!$C$104:$C$112,(武将数量星级阶位验证!BL104-武将数量星级阶位验证!BN104)/武将数量星级阶位验证!D$6+武将数量星级阶位验证!BN104/MAX(I$107:I114))</f>
        <v>3.7254480330267437</v>
      </c>
      <c r="O114" s="56">
        <f>求节点(武将升星!H$104:H$112,武将升星!$C$104:$C$112,武将数量星级阶位验证!BM104/J114)</f>
        <v>0.19192024826618459</v>
      </c>
      <c r="P114" s="110" t="str">
        <f t="shared" si="70"/>
        <v/>
      </c>
      <c r="Q114" s="110" t="str">
        <f t="shared" si="71"/>
        <v/>
      </c>
      <c r="R114" s="56" t="str">
        <f>IFERROR(MAX(0,求节点(武将进阶!F$4:F$8,武将进阶!$C$5:$C$9,W114)),"")</f>
        <v/>
      </c>
      <c r="S114" s="56">
        <f>IFERROR(MAX(0,求节点(武将进阶!G$4:G$8,武将进阶!$C$5:$C$9,X114)),"")</f>
        <v>2.1285073982234066</v>
      </c>
      <c r="T114" s="56">
        <f>IFERROR(MAX(0,求节点(武将进阶!H$4:H$8,武将进阶!$C$5:$C$9,Y114)),"")</f>
        <v>2.1285073982234066</v>
      </c>
      <c r="U114" s="56" t="str">
        <f>IF(F114="","",MIN($D114*2,武将进阶!D$10))</f>
        <v/>
      </c>
      <c r="V114" s="56" t="str">
        <f>IF(G114="","",MIN($D114*2,武将进阶!E$10))</f>
        <v/>
      </c>
      <c r="W114" s="56" t="str">
        <f>IF(H114="","",MIN($D114*2,武将进阶!F$10))</f>
        <v/>
      </c>
      <c r="X114" s="56">
        <f>IF(I114="","",MIN($D114*2,武将进阶!G$10))</f>
        <v>106.42536991117032</v>
      </c>
      <c r="Y114" s="56">
        <f>IF(J114="","",MIN($D114*2,武将进阶!H$10))</f>
        <v>106.42536991117032</v>
      </c>
      <c r="Z114" s="111"/>
      <c r="AA114" s="111"/>
      <c r="AB114" s="111" t="str">
        <f t="shared" si="66"/>
        <v/>
      </c>
      <c r="AC114" s="111">
        <f t="shared" si="72"/>
        <v>2</v>
      </c>
      <c r="AD114" s="111">
        <f t="shared" si="73"/>
        <v>2</v>
      </c>
      <c r="AE114" s="112"/>
      <c r="AF114" s="56"/>
      <c r="AG114" s="56"/>
      <c r="AH114" s="56"/>
      <c r="AI114" s="112">
        <f>MIN(求节点(武将天赋进度验证!$Q$5:$Q$164,武将天赋进度验证!$Y$5:$Y$164,$D114),武将天赋进度验证!AL104)</f>
        <v>6.1124115295701914E-3</v>
      </c>
      <c r="AJ114" s="56"/>
      <c r="AK114" s="56"/>
      <c r="AL114" s="56"/>
      <c r="AM114" s="56"/>
      <c r="AN114" s="56"/>
      <c r="AT114" s="56">
        <f t="shared" si="68"/>
        <v>32.489999999999995</v>
      </c>
      <c r="AU114" s="56">
        <f t="shared" ref="AU114:AY114" si="80">IF(AU69="",0,AU69)</f>
        <v>0</v>
      </c>
      <c r="AV114" s="56">
        <f t="shared" si="80"/>
        <v>0</v>
      </c>
      <c r="AW114" s="56">
        <f t="shared" si="80"/>
        <v>1.5</v>
      </c>
      <c r="AX114" s="56">
        <f t="shared" si="80"/>
        <v>1.5</v>
      </c>
      <c r="AY114" s="56">
        <f t="shared" si="80"/>
        <v>1.5</v>
      </c>
    </row>
    <row r="115" spans="1:51" x14ac:dyDescent="0.15">
      <c r="A115" s="82">
        <f t="shared" si="64"/>
        <v>12</v>
      </c>
      <c r="C115" s="56">
        <f t="shared" si="65"/>
        <v>42</v>
      </c>
      <c r="D115" s="56">
        <f>求节点(节奏总纲!$R$4:$R$163,节奏总纲!$O$4:$O$163,$C115)</f>
        <v>59.09095196730258</v>
      </c>
      <c r="F115" s="56"/>
      <c r="G115" s="56"/>
      <c r="H115" s="56"/>
      <c r="I115" s="56">
        <v>4</v>
      </c>
      <c r="J115" s="56">
        <v>2</v>
      </c>
      <c r="K115" s="56"/>
      <c r="L115" s="56"/>
      <c r="M115" s="56"/>
      <c r="N115" s="110">
        <f>求节点(武将升星!G$104:G$112,武将升星!$C$104:$C$112,(武将数量星级阶位验证!BL105-武将数量星级阶位验证!BN105)/武将数量星级阶位验证!D$6+武将数量星级阶位验证!BN105/MAX(I$107:I115))</f>
        <v>4.426398828873813</v>
      </c>
      <c r="O115" s="56">
        <f>求节点(武将升星!H$104:H$112,武将升星!$C$104:$C$112,武将数量星级阶位验证!BM105/J115)</f>
        <v>1.5542265669690796</v>
      </c>
      <c r="P115" s="110" t="str">
        <f t="shared" si="70"/>
        <v/>
      </c>
      <c r="Q115" s="110" t="str">
        <f t="shared" si="71"/>
        <v/>
      </c>
      <c r="R115" s="56" t="str">
        <f>IFERROR(MAX(0,求节点(武将进阶!F$4:F$8,武将进阶!$C$5:$C$9,W115)),"")</f>
        <v/>
      </c>
      <c r="S115" s="56">
        <f>IFERROR(MAX(0,求节点(武将进阶!G$4:G$8,武将进阶!$C$5:$C$9,X115)),"")</f>
        <v>2.3636380786921034</v>
      </c>
      <c r="T115" s="56">
        <f>IFERROR(MAX(0,求节点(武将进阶!H$4:H$8,武将进阶!$C$5:$C$9,Y115)),"")</f>
        <v>2.3636380786921034</v>
      </c>
      <c r="U115" s="56" t="str">
        <f>IF(F115="","",MIN($D115*2,武将进阶!D$10))</f>
        <v/>
      </c>
      <c r="V115" s="56" t="str">
        <f>IF(G115="","",MIN($D115*2,武将进阶!E$10))</f>
        <v/>
      </c>
      <c r="W115" s="56" t="str">
        <f>IF(H115="","",MIN($D115*2,武将进阶!F$10))</f>
        <v/>
      </c>
      <c r="X115" s="56">
        <f>IF(I115="","",MIN($D115*2,武将进阶!G$10))</f>
        <v>118.18190393460516</v>
      </c>
      <c r="Y115" s="56">
        <f>IF(J115="","",MIN($D115*2,武将进阶!H$10))</f>
        <v>118.18190393460516</v>
      </c>
      <c r="Z115" s="111"/>
      <c r="AA115" s="111"/>
      <c r="AB115" s="111" t="str">
        <f t="shared" si="66"/>
        <v/>
      </c>
      <c r="AC115" s="111">
        <f t="shared" si="72"/>
        <v>2</v>
      </c>
      <c r="AD115" s="111">
        <f t="shared" si="73"/>
        <v>2</v>
      </c>
      <c r="AE115" s="112"/>
      <c r="AF115" s="56"/>
      <c r="AG115" s="56"/>
      <c r="AH115" s="56"/>
      <c r="AI115" s="112">
        <f>MIN(求节点(武将天赋进度验证!$Q$5:$Q$164,武将天赋进度验证!$Y$5:$Y$164,$D115),武将天赋进度验证!AL105)</f>
        <v>1.3098597779328605E-2</v>
      </c>
      <c r="AJ115" s="56"/>
      <c r="AK115" s="56"/>
      <c r="AL115" s="56"/>
      <c r="AM115" s="56"/>
      <c r="AN115" s="56"/>
      <c r="AT115" s="56">
        <f t="shared" si="68"/>
        <v>35.197499999999998</v>
      </c>
      <c r="AU115" s="56">
        <f t="shared" ref="AU115:AY115" si="81">IF(AU70="",0,AU70)</f>
        <v>0</v>
      </c>
      <c r="AV115" s="56">
        <f t="shared" si="81"/>
        <v>0</v>
      </c>
      <c r="AW115" s="56">
        <f t="shared" si="81"/>
        <v>2</v>
      </c>
      <c r="AX115" s="56">
        <f t="shared" si="81"/>
        <v>2</v>
      </c>
      <c r="AY115" s="56">
        <f t="shared" si="81"/>
        <v>2</v>
      </c>
    </row>
    <row r="116" spans="1:51" x14ac:dyDescent="0.15">
      <c r="A116" s="82">
        <f t="shared" si="64"/>
        <v>13</v>
      </c>
      <c r="C116" s="56">
        <f t="shared" si="65"/>
        <v>62.999999999999993</v>
      </c>
      <c r="D116" s="56">
        <f>求节点(节奏总纲!$R$4:$R$163,节奏总纲!$O$4:$O$163,$C116)</f>
        <v>64.819145630244321</v>
      </c>
      <c r="F116" s="56"/>
      <c r="G116" s="56"/>
      <c r="H116" s="56"/>
      <c r="I116" s="56">
        <v>3</v>
      </c>
      <c r="J116" s="56">
        <v>3</v>
      </c>
      <c r="K116" s="56"/>
      <c r="L116" s="56"/>
      <c r="M116" s="56"/>
      <c r="N116" s="110">
        <f>求节点(武将升星!G$104:G$112,武将升星!$C$104:$C$112,(武将数量星级阶位验证!BL106-武将数量星级阶位验证!BN106)/武将数量星级阶位验证!D$6+武将数量星级阶位验证!BN106/MAX(I$107:I116))</f>
        <v>4.8819892307450967</v>
      </c>
      <c r="O116" s="56">
        <f>求节点(武将升星!H$104:H$112,武将升星!$C$104:$C$112,武将数量星级阶位验证!BM106/J116)</f>
        <v>3.7093608650127785</v>
      </c>
      <c r="P116" s="110" t="str">
        <f t="shared" si="70"/>
        <v/>
      </c>
      <c r="Q116" s="110" t="str">
        <f t="shared" si="71"/>
        <v/>
      </c>
      <c r="R116" s="56" t="str">
        <f>IFERROR(MAX(0,求节点(武将进阶!F$4:F$8,武将进阶!$C$5:$C$9,W116)),"")</f>
        <v/>
      </c>
      <c r="S116" s="56">
        <f>IFERROR(MAX(0,求节点(武将进阶!G$4:G$8,武将进阶!$C$5:$C$9,X116)),"")</f>
        <v>2.5927658252097729</v>
      </c>
      <c r="T116" s="56">
        <f>IFERROR(MAX(0,求节点(武将进阶!H$4:H$8,武将进阶!$C$5:$C$9,Y116)),"")</f>
        <v>2.5927658252097729</v>
      </c>
      <c r="U116" s="56" t="str">
        <f>IF(F116="","",MIN($D116*2,武将进阶!D$10))</f>
        <v/>
      </c>
      <c r="V116" s="56" t="str">
        <f>IF(G116="","",MIN($D116*2,武将进阶!E$10))</f>
        <v/>
      </c>
      <c r="W116" s="56" t="str">
        <f>IF(H116="","",MIN($D116*2,武将进阶!F$10))</f>
        <v/>
      </c>
      <c r="X116" s="56">
        <f>IF(I116="","",MIN($D116*2,武将进阶!G$10))</f>
        <v>129.63829126048864</v>
      </c>
      <c r="Y116" s="56">
        <f>IF(J116="","",MIN($D116*2,武将进阶!H$10))</f>
        <v>129.63829126048864</v>
      </c>
      <c r="Z116" s="111"/>
      <c r="AA116" s="111"/>
      <c r="AB116" s="111" t="str">
        <f t="shared" si="66"/>
        <v/>
      </c>
      <c r="AC116" s="111">
        <f t="shared" si="72"/>
        <v>2</v>
      </c>
      <c r="AD116" s="111">
        <f t="shared" si="73"/>
        <v>2</v>
      </c>
      <c r="AE116" s="112"/>
      <c r="AF116" s="56"/>
      <c r="AG116" s="56"/>
      <c r="AH116" s="56"/>
      <c r="AI116" s="112">
        <f>MIN(求节点(武将天赋进度验证!$Q$5:$Q$164,武将天赋进度验证!$Y$5:$Y$164,$D116),武将天赋进度验证!AL106)</f>
        <v>2.7788316564233626E-2</v>
      </c>
      <c r="AJ116" s="56"/>
      <c r="AK116" s="56"/>
      <c r="AL116" s="56"/>
      <c r="AM116" s="56"/>
      <c r="AN116" s="56"/>
      <c r="AT116" s="56">
        <f t="shared" si="68"/>
        <v>37.904999999999994</v>
      </c>
      <c r="AU116" s="56">
        <f t="shared" ref="AU116:AY116" si="82">IF(AU71="",0,AU71)</f>
        <v>0</v>
      </c>
      <c r="AV116" s="56">
        <f t="shared" si="82"/>
        <v>0</v>
      </c>
      <c r="AW116" s="56">
        <f t="shared" si="82"/>
        <v>2</v>
      </c>
      <c r="AX116" s="56">
        <f t="shared" si="82"/>
        <v>2</v>
      </c>
      <c r="AY116" s="56">
        <f t="shared" si="82"/>
        <v>2</v>
      </c>
    </row>
    <row r="117" spans="1:51" x14ac:dyDescent="0.15">
      <c r="A117" s="82">
        <f t="shared" si="64"/>
        <v>14</v>
      </c>
      <c r="C117" s="56">
        <f t="shared" si="65"/>
        <v>84</v>
      </c>
      <c r="D117" s="56">
        <f>求节点(节奏总纲!$R$4:$R$163,节奏总纲!$O$4:$O$163,$C117)</f>
        <v>69.01697485309198</v>
      </c>
      <c r="F117" s="56"/>
      <c r="G117" s="56"/>
      <c r="H117" s="56"/>
      <c r="I117" s="56">
        <v>2</v>
      </c>
      <c r="J117" s="56">
        <v>4</v>
      </c>
      <c r="K117" s="56"/>
      <c r="L117" s="56"/>
      <c r="M117" s="56"/>
      <c r="N117" s="110">
        <f>求节点(武将升星!G$104:G$112,武将升星!$C$104:$C$112,(武将数量星级阶位验证!BL107-武将数量星级阶位验证!BN107)/武将数量星级阶位验证!D$6+武将数量星级阶位验证!BN107/MAX(I$107:I117))</f>
        <v>5.214550411846993</v>
      </c>
      <c r="O117" s="56">
        <f>求节点(武将升星!H$104:H$112,武将升星!$C$104:$C$112,武将数量星级阶位验证!BM107/J117)</f>
        <v>4.3664071001048033</v>
      </c>
      <c r="P117" s="110" t="str">
        <f t="shared" si="70"/>
        <v/>
      </c>
      <c r="Q117" s="110" t="str">
        <f t="shared" si="71"/>
        <v/>
      </c>
      <c r="R117" s="56" t="str">
        <f>IFERROR(MAX(0,求节点(武将进阶!F$4:F$8,武将进阶!$C$5:$C$9,W117)),"")</f>
        <v/>
      </c>
      <c r="S117" s="56">
        <f>IFERROR(MAX(0,求节点(武将进阶!G$4:G$8,武将进阶!$C$5:$C$9,X117)),"")</f>
        <v>2.7606789941236793</v>
      </c>
      <c r="T117" s="56">
        <f>IFERROR(MAX(0,求节点(武将进阶!H$4:H$8,武将进阶!$C$5:$C$9,Y117)),"")</f>
        <v>2.7606789941236793</v>
      </c>
      <c r="U117" s="56" t="str">
        <f>IF(F117="","",MIN($D117*2,武将进阶!D$10))</f>
        <v/>
      </c>
      <c r="V117" s="56" t="str">
        <f>IF(G117="","",MIN($D117*2,武将进阶!E$10))</f>
        <v/>
      </c>
      <c r="W117" s="56" t="str">
        <f>IF(H117="","",MIN($D117*2,武将进阶!F$10))</f>
        <v/>
      </c>
      <c r="X117" s="56">
        <f>IF(I117="","",MIN($D117*2,武将进阶!G$10))</f>
        <v>138.03394970618396</v>
      </c>
      <c r="Y117" s="56">
        <f>IF(J117="","",MIN($D117*2,武将进阶!H$10))</f>
        <v>138.03394970618396</v>
      </c>
      <c r="Z117" s="111"/>
      <c r="AA117" s="111"/>
      <c r="AB117" s="111" t="str">
        <f t="shared" si="66"/>
        <v/>
      </c>
      <c r="AC117" s="111">
        <f t="shared" si="72"/>
        <v>2</v>
      </c>
      <c r="AD117" s="111">
        <f t="shared" si="73"/>
        <v>2</v>
      </c>
      <c r="AE117" s="112"/>
      <c r="AF117" s="56"/>
      <c r="AG117" s="56"/>
      <c r="AH117" s="56"/>
      <c r="AI117" s="112">
        <f>MIN(求节点(武将天赋进度验证!$Q$5:$Q$164,武将天赋进度验证!$Y$5:$Y$164,$D117),武将天赋进度验证!AL107)</f>
        <v>3.4527252308767215E-2</v>
      </c>
      <c r="AJ117" s="56"/>
      <c r="AK117" s="56"/>
      <c r="AL117" s="56"/>
      <c r="AM117" s="56"/>
      <c r="AN117" s="56"/>
      <c r="AT117" s="56">
        <f t="shared" si="68"/>
        <v>40.612499999999997</v>
      </c>
      <c r="AU117" s="56">
        <f t="shared" ref="AU117:AY117" si="83">IF(AU72="",0,AU72)</f>
        <v>0</v>
      </c>
      <c r="AV117" s="56">
        <f t="shared" si="83"/>
        <v>0</v>
      </c>
      <c r="AW117" s="56">
        <f t="shared" si="83"/>
        <v>2</v>
      </c>
      <c r="AX117" s="56">
        <f t="shared" si="83"/>
        <v>2</v>
      </c>
      <c r="AY117" s="56">
        <f t="shared" si="83"/>
        <v>2</v>
      </c>
    </row>
    <row r="118" spans="1:51" x14ac:dyDescent="0.15">
      <c r="A118" s="82">
        <f t="shared" si="64"/>
        <v>15</v>
      </c>
      <c r="C118" s="56">
        <f t="shared" si="65"/>
        <v>105</v>
      </c>
      <c r="D118" s="56">
        <f>求节点(节奏总纲!$R$4:$R$163,节奏总纲!$O$4:$O$163,$C118)</f>
        <v>72.23150684883845</v>
      </c>
      <c r="F118" s="56"/>
      <c r="G118" s="56"/>
      <c r="H118" s="56"/>
      <c r="I118" s="56">
        <v>1</v>
      </c>
      <c r="J118" s="56">
        <v>5</v>
      </c>
      <c r="K118" s="56"/>
      <c r="L118" s="56"/>
      <c r="M118" s="56"/>
      <c r="N118" s="110">
        <f>求节点(武将升星!G$104:G$112,武将升星!$C$104:$C$112,(武将数量星级阶位验证!BL108-武将数量星级阶位验证!BN108)/武将数量星级阶位验证!D$6+武将数量星级阶位验证!BN108/MAX(I$107:I118))</f>
        <v>5.4718065493298296</v>
      </c>
      <c r="O118" s="56">
        <f>求节点(武将升星!H$104:H$112,武将升星!$C$104:$C$112,武将数量星级阶位验证!BM108/J118)</f>
        <v>4.5987782987566082</v>
      </c>
      <c r="P118" s="110" t="str">
        <f t="shared" si="70"/>
        <v/>
      </c>
      <c r="Q118" s="110" t="str">
        <f t="shared" si="71"/>
        <v/>
      </c>
      <c r="R118" s="56" t="str">
        <f>IFERROR(MAX(0,求节点(武将进阶!F$4:F$8,武将进阶!$C$5:$C$9,W118)),"")</f>
        <v/>
      </c>
      <c r="S118" s="56">
        <f>IFERROR(MAX(0,求节点(武将进阶!G$4:G$8,武将进阶!$C$5:$C$9,X118)),"")</f>
        <v>2.8892602739535382</v>
      </c>
      <c r="T118" s="56">
        <f>IFERROR(MAX(0,求节点(武将进阶!H$4:H$8,武将进阶!$C$5:$C$9,Y118)),"")</f>
        <v>2.8892602739535382</v>
      </c>
      <c r="U118" s="56" t="str">
        <f>IF(F118="","",MIN($D118*2,武将进阶!D$10))</f>
        <v/>
      </c>
      <c r="V118" s="56" t="str">
        <f>IF(G118="","",MIN($D118*2,武将进阶!E$10))</f>
        <v/>
      </c>
      <c r="W118" s="56" t="str">
        <f>IF(H118="","",MIN($D118*2,武将进阶!F$10))</f>
        <v/>
      </c>
      <c r="X118" s="56">
        <f>IF(I118="","",MIN($D118*2,武将进阶!G$10))</f>
        <v>144.4630136976769</v>
      </c>
      <c r="Y118" s="56">
        <f>IF(J118="","",MIN($D118*2,武将进阶!H$10))</f>
        <v>144.4630136976769</v>
      </c>
      <c r="Z118" s="111"/>
      <c r="AA118" s="111"/>
      <c r="AB118" s="111" t="str">
        <f t="shared" si="66"/>
        <v/>
      </c>
      <c r="AC118" s="111">
        <f t="shared" si="72"/>
        <v>2</v>
      </c>
      <c r="AD118" s="111">
        <f t="shared" si="73"/>
        <v>2</v>
      </c>
      <c r="AE118" s="112"/>
      <c r="AF118" s="56"/>
      <c r="AG118" s="56"/>
      <c r="AH118" s="56"/>
      <c r="AI118" s="112">
        <f>MIN(求节点(武将天赋进度验证!$Q$5:$Q$164,武将天赋进度验证!$Y$5:$Y$164,$D118),武将天赋进度验证!AL108)</f>
        <v>3.6910546653913939E-2</v>
      </c>
      <c r="AJ118" s="56"/>
      <c r="AK118" s="56"/>
      <c r="AL118" s="56"/>
      <c r="AM118" s="56"/>
      <c r="AN118" s="56"/>
      <c r="AT118" s="56">
        <f t="shared" si="68"/>
        <v>43.319999999999993</v>
      </c>
      <c r="AU118" s="56">
        <f t="shared" ref="AU118:AY118" si="84">IF(AU73="",0,AU73)</f>
        <v>0</v>
      </c>
      <c r="AV118" s="56">
        <f t="shared" si="84"/>
        <v>0</v>
      </c>
      <c r="AW118" s="56">
        <f t="shared" si="84"/>
        <v>2</v>
      </c>
      <c r="AX118" s="56">
        <f t="shared" si="84"/>
        <v>2</v>
      </c>
      <c r="AY118" s="56">
        <f t="shared" si="84"/>
        <v>2</v>
      </c>
    </row>
    <row r="119" spans="1:51" x14ac:dyDescent="0.15">
      <c r="A119" s="82">
        <f t="shared" si="64"/>
        <v>16</v>
      </c>
      <c r="C119" s="56">
        <f t="shared" si="65"/>
        <v>125.99999999999999</v>
      </c>
      <c r="D119" s="56">
        <f>求节点(节奏总纲!$R$4:$R$163,节奏总纲!$O$4:$O$163,$C119)</f>
        <v>74.840792411391348</v>
      </c>
      <c r="F119" s="56"/>
      <c r="G119" s="56"/>
      <c r="H119" s="56"/>
      <c r="I119" s="56">
        <v>0.5</v>
      </c>
      <c r="J119" s="56">
        <v>5.5</v>
      </c>
      <c r="K119" s="56"/>
      <c r="L119" s="56"/>
      <c r="M119" s="56"/>
      <c r="N119" s="110">
        <f>求节点(武将升星!G$104:G$112,武将升星!$C$104:$C$112,(武将数量星级阶位验证!BL109-武将数量星级阶位验证!BN109)/武将数量星级阶位验证!D$6+武将数量星级阶位验证!BN109/MAX(I$107:I119))</f>
        <v>5.7077493032530962</v>
      </c>
      <c r="O119" s="56">
        <f>求节点(武将升星!H$104:H$112,武将升星!$C$104:$C$112,武将数量星级阶位验证!BM109/J119)</f>
        <v>5.0051640554007939</v>
      </c>
      <c r="P119" s="110" t="str">
        <f t="shared" si="70"/>
        <v/>
      </c>
      <c r="Q119" s="110" t="str">
        <f t="shared" si="71"/>
        <v/>
      </c>
      <c r="R119" s="56" t="str">
        <f>IFERROR(MAX(0,求节点(武将进阶!F$4:F$8,武将进阶!$C$5:$C$9,W119)),"")</f>
        <v/>
      </c>
      <c r="S119" s="56">
        <f>IFERROR(MAX(0,求节点(武将进阶!G$4:G$8,武将进阶!$C$5:$C$9,X119)),"")</f>
        <v>2.9936316964556537</v>
      </c>
      <c r="T119" s="56">
        <f>IFERROR(MAX(0,求节点(武将进阶!H$4:H$8,武将进阶!$C$5:$C$9,Y119)),"")</f>
        <v>2.9936316964556537</v>
      </c>
      <c r="U119" s="56" t="str">
        <f>IF(F119="","",MIN($D119*2,武将进阶!D$10))</f>
        <v/>
      </c>
      <c r="V119" s="56" t="str">
        <f>IF(G119="","",MIN($D119*2,武将进阶!E$10))</f>
        <v/>
      </c>
      <c r="W119" s="56" t="str">
        <f>IF(H119="","",MIN($D119*2,武将进阶!F$10))</f>
        <v/>
      </c>
      <c r="X119" s="56">
        <f>IF(I119="","",MIN($D119*2,武将进阶!G$10))</f>
        <v>149.6815848227827</v>
      </c>
      <c r="Y119" s="56">
        <f>IF(J119="","",MIN($D119*2,武将进阶!H$10))</f>
        <v>149.6815848227827</v>
      </c>
      <c r="Z119" s="111"/>
      <c r="AA119" s="111"/>
      <c r="AB119" s="111" t="str">
        <f t="shared" si="66"/>
        <v/>
      </c>
      <c r="AC119" s="111">
        <f t="shared" si="72"/>
        <v>2</v>
      </c>
      <c r="AD119" s="111">
        <f t="shared" si="73"/>
        <v>2</v>
      </c>
      <c r="AE119" s="112"/>
      <c r="AF119" s="56"/>
      <c r="AG119" s="56"/>
      <c r="AH119" s="56"/>
      <c r="AI119" s="112">
        <f>MIN(求节点(武将天赋进度验证!$Q$5:$Q$164,武将天赋进度验证!$Y$5:$Y$164,$D119),武将天赋进度验证!AL109)</f>
        <v>4.110508803180709E-2</v>
      </c>
      <c r="AJ119" s="56"/>
      <c r="AK119" s="56"/>
      <c r="AL119" s="56"/>
      <c r="AM119" s="56"/>
      <c r="AN119" s="56"/>
      <c r="AT119" s="56">
        <f t="shared" si="68"/>
        <v>50.539999999999992</v>
      </c>
      <c r="AU119" s="56">
        <f t="shared" ref="AU119:AY119" si="85">IF(AU74="",0,AU74)</f>
        <v>0</v>
      </c>
      <c r="AV119" s="56">
        <f t="shared" si="85"/>
        <v>0</v>
      </c>
      <c r="AW119" s="56">
        <f t="shared" si="85"/>
        <v>2</v>
      </c>
      <c r="AX119" s="56">
        <f t="shared" si="85"/>
        <v>2</v>
      </c>
      <c r="AY119" s="56">
        <f t="shared" si="85"/>
        <v>2</v>
      </c>
    </row>
    <row r="120" spans="1:51" x14ac:dyDescent="0.15">
      <c r="A120" s="82">
        <f t="shared" si="64"/>
        <v>17</v>
      </c>
      <c r="C120" s="56">
        <f t="shared" si="65"/>
        <v>154</v>
      </c>
      <c r="D120" s="56">
        <f>求节点(节奏总纲!$R$4:$R$163,节奏总纲!$O$4:$O$163,$C120)</f>
        <v>77.697893604818219</v>
      </c>
      <c r="F120" s="56"/>
      <c r="G120" s="56"/>
      <c r="H120" s="56"/>
      <c r="I120" s="56"/>
      <c r="J120" s="56">
        <v>6</v>
      </c>
      <c r="K120" s="56"/>
      <c r="L120" s="56"/>
      <c r="M120" s="56"/>
      <c r="N120" s="56"/>
      <c r="O120" s="56">
        <f>求节点(武将升星!H$104:H$112,武将升星!$C$104:$C$112,武将数量星级阶位验证!BM110/J120)</f>
        <v>5.3879990849900112</v>
      </c>
      <c r="P120" s="110" t="str">
        <f t="shared" si="70"/>
        <v/>
      </c>
      <c r="Q120" s="110" t="str">
        <f t="shared" si="71"/>
        <v/>
      </c>
      <c r="R120" s="56" t="str">
        <f>IFERROR(MAX(0,求节点(武将进阶!F$4:F$8,武将进阶!$C$5:$C$9,W120)),"")</f>
        <v/>
      </c>
      <c r="S120" s="56" t="str">
        <f>IFERROR(MAX(0,求节点(武将进阶!G$4:G$8,武将进阶!$C$5:$C$9,X120)),"")</f>
        <v/>
      </c>
      <c r="T120" s="56">
        <f>IFERROR(MAX(0,求节点(武将进阶!H$4:H$8,武将进阶!$C$5:$C$9,Y120)),"")</f>
        <v>3.107915744192729</v>
      </c>
      <c r="U120" s="56" t="str">
        <f>IF(F120="","",MIN($D120*2,武将进阶!D$10))</f>
        <v/>
      </c>
      <c r="V120" s="56" t="str">
        <f>IF(G120="","",MIN($D120*2,武将进阶!E$10))</f>
        <v/>
      </c>
      <c r="W120" s="56" t="str">
        <f>IF(H120="","",MIN($D120*2,武将进阶!F$10))</f>
        <v/>
      </c>
      <c r="X120" s="56" t="str">
        <f>IF(I120="","",MIN($D120*2,武将进阶!G$10))</f>
        <v/>
      </c>
      <c r="Y120" s="56">
        <f>IF(J120="","",MIN($D120*2,武将进阶!H$10))</f>
        <v>155.39578720963644</v>
      </c>
      <c r="Z120" s="111"/>
      <c r="AA120" s="111"/>
      <c r="AB120" s="111" t="str">
        <f t="shared" si="66"/>
        <v/>
      </c>
      <c r="AC120" s="111" t="str">
        <f t="shared" si="72"/>
        <v/>
      </c>
      <c r="AD120" s="111">
        <f t="shared" si="73"/>
        <v>2</v>
      </c>
      <c r="AE120" s="112"/>
      <c r="AF120" s="56"/>
      <c r="AG120" s="56"/>
      <c r="AH120" s="56"/>
      <c r="AI120" s="112">
        <f>MIN(求节点(武将天赋进度验证!$Q$5:$Q$164,武将天赋进度验证!$Y$5:$Y$164,$D120),武将天赋进度验证!AL110)</f>
        <v>4.6994857717795047E-2</v>
      </c>
      <c r="AJ120" s="56"/>
      <c r="AK120" s="56"/>
      <c r="AL120" s="56"/>
      <c r="AM120" s="56"/>
      <c r="AN120" s="56"/>
      <c r="AT120" s="56">
        <f t="shared" si="68"/>
        <v>57.76</v>
      </c>
      <c r="AU120" s="56">
        <f t="shared" ref="AU120:AY120" si="86">IF(AU75="",0,AU75)</f>
        <v>0</v>
      </c>
      <c r="AV120" s="56">
        <f t="shared" si="86"/>
        <v>0</v>
      </c>
      <c r="AW120" s="56">
        <f t="shared" si="86"/>
        <v>2</v>
      </c>
      <c r="AX120" s="56">
        <f t="shared" si="86"/>
        <v>2</v>
      </c>
      <c r="AY120" s="56">
        <f t="shared" si="86"/>
        <v>2</v>
      </c>
    </row>
    <row r="121" spans="1:51" x14ac:dyDescent="0.15">
      <c r="A121" s="82">
        <f t="shared" si="64"/>
        <v>18</v>
      </c>
      <c r="C121" s="56">
        <f t="shared" si="65"/>
        <v>182</v>
      </c>
      <c r="D121" s="56">
        <f>求节点(节奏总纲!$R$4:$R$163,节奏总纲!$O$4:$O$163,$C121)</f>
        <v>80.134867890916794</v>
      </c>
      <c r="F121" s="56"/>
      <c r="G121" s="56"/>
      <c r="H121" s="56"/>
      <c r="I121" s="56"/>
      <c r="J121" s="56">
        <v>6</v>
      </c>
      <c r="K121" s="56"/>
      <c r="L121" s="56"/>
      <c r="M121" s="56"/>
      <c r="N121" s="56"/>
      <c r="O121" s="56">
        <f>求节点(武将升星!H$104:H$112,武将升星!$C$104:$C$112,武将数量星级阶位验证!BM111/J121)</f>
        <v>5.9554308326012988</v>
      </c>
      <c r="P121" s="110" t="str">
        <f t="shared" si="70"/>
        <v/>
      </c>
      <c r="Q121" s="110" t="str">
        <f t="shared" si="71"/>
        <v/>
      </c>
      <c r="R121" s="56" t="str">
        <f>IFERROR(MAX(0,求节点(武将进阶!F$4:F$8,武将进阶!$C$5:$C$9,W121)),"")</f>
        <v/>
      </c>
      <c r="S121" s="56" t="str">
        <f>IFERROR(MAX(0,求节点(武将进阶!G$4:G$8,武将进阶!$C$5:$C$9,X121)),"")</f>
        <v/>
      </c>
      <c r="T121" s="56">
        <f>IFERROR(MAX(0,求节点(武将进阶!H$4:H$8,武将进阶!$C$5:$C$9,Y121)),"")</f>
        <v>3.2053947156366718</v>
      </c>
      <c r="U121" s="56" t="str">
        <f>IF(F121="","",MIN($D121*2,武将进阶!D$10))</f>
        <v/>
      </c>
      <c r="V121" s="56" t="str">
        <f>IF(G121="","",MIN($D121*2,武将进阶!E$10))</f>
        <v/>
      </c>
      <c r="W121" s="56" t="str">
        <f>IF(H121="","",MIN($D121*2,武将进阶!F$10))</f>
        <v/>
      </c>
      <c r="X121" s="56" t="str">
        <f>IF(I121="","",MIN($D121*2,武将进阶!G$10))</f>
        <v/>
      </c>
      <c r="Y121" s="56">
        <f>IF(J121="","",MIN($D121*2,武将进阶!H$10))</f>
        <v>160.26973578183359</v>
      </c>
      <c r="Z121" s="111"/>
      <c r="AA121" s="111"/>
      <c r="AB121" s="111" t="str">
        <f t="shared" si="66"/>
        <v/>
      </c>
      <c r="AC121" s="111" t="str">
        <f t="shared" si="72"/>
        <v/>
      </c>
      <c r="AD121" s="111">
        <f t="shared" si="73"/>
        <v>2</v>
      </c>
      <c r="AE121" s="112"/>
      <c r="AF121" s="56"/>
      <c r="AG121" s="56"/>
      <c r="AH121" s="56"/>
      <c r="AI121" s="112">
        <f>MIN(求节点(武将天赋进度验证!$Q$5:$Q$164,武将天赋进度验证!$Y$5:$Y$164,$D121),武将天赋进度验证!AL111)</f>
        <v>5.5724576911814865E-2</v>
      </c>
      <c r="AJ121" s="56"/>
      <c r="AK121" s="56"/>
      <c r="AL121" s="56"/>
      <c r="AM121" s="56"/>
      <c r="AN121" s="56"/>
      <c r="AT121" s="56">
        <f t="shared" si="68"/>
        <v>64.97999999999999</v>
      </c>
      <c r="AU121" s="56">
        <f t="shared" ref="AU121:AY121" si="87">IF(AU76="",0,AU76)</f>
        <v>0</v>
      </c>
      <c r="AV121" s="56">
        <f t="shared" si="87"/>
        <v>0</v>
      </c>
      <c r="AW121" s="56">
        <f t="shared" si="87"/>
        <v>2</v>
      </c>
      <c r="AX121" s="56">
        <f t="shared" si="87"/>
        <v>2</v>
      </c>
      <c r="AY121" s="56">
        <f t="shared" si="87"/>
        <v>2</v>
      </c>
    </row>
    <row r="122" spans="1:51" x14ac:dyDescent="0.15">
      <c r="A122" s="82">
        <f t="shared" si="64"/>
        <v>19</v>
      </c>
      <c r="C122" s="56">
        <f t="shared" si="65"/>
        <v>210</v>
      </c>
      <c r="D122" s="56">
        <f>求节点(节奏总纲!$R$4:$R$163,节奏总纲!$O$4:$O$163,$C122)</f>
        <v>82.238672852681816</v>
      </c>
      <c r="F122" s="56"/>
      <c r="G122" s="56"/>
      <c r="H122" s="56"/>
      <c r="I122" s="56"/>
      <c r="J122" s="56">
        <v>6</v>
      </c>
      <c r="K122" s="56"/>
      <c r="L122" s="56"/>
      <c r="M122" s="56"/>
      <c r="N122" s="56"/>
      <c r="O122" s="56">
        <f>求节点(武将升星!H$104:H$112,武将升星!$C$104:$C$112,武将数量星级阶位验证!BM112/J122)</f>
        <v>6.5003747431768746</v>
      </c>
      <c r="P122" s="110" t="str">
        <f t="shared" si="70"/>
        <v/>
      </c>
      <c r="Q122" s="110" t="str">
        <f t="shared" si="71"/>
        <v/>
      </c>
      <c r="R122" s="56" t="str">
        <f>IFERROR(MAX(0,求节点(武将进阶!F$4:F$8,武将进阶!$C$5:$C$9,W122)),"")</f>
        <v/>
      </c>
      <c r="S122" s="56" t="str">
        <f>IFERROR(MAX(0,求节点(武将进阶!G$4:G$8,武将进阶!$C$5:$C$9,X122)),"")</f>
        <v/>
      </c>
      <c r="T122" s="56">
        <f>IFERROR(MAX(0,求节点(武将进阶!H$4:H$8,武将进阶!$C$5:$C$9,Y122)),"")</f>
        <v>3.2895469141072726</v>
      </c>
      <c r="U122" s="56" t="str">
        <f>IF(F122="","",MIN($D122*2,武将进阶!D$10))</f>
        <v/>
      </c>
      <c r="V122" s="56" t="str">
        <f>IF(G122="","",MIN($D122*2,武将进阶!E$10))</f>
        <v/>
      </c>
      <c r="W122" s="56" t="str">
        <f>IF(H122="","",MIN($D122*2,武将进阶!F$10))</f>
        <v/>
      </c>
      <c r="X122" s="56" t="str">
        <f>IF(I122="","",MIN($D122*2,武将进阶!G$10))</f>
        <v/>
      </c>
      <c r="Y122" s="56">
        <f>IF(J122="","",MIN($D122*2,武将进阶!H$10))</f>
        <v>164.47734570536363</v>
      </c>
      <c r="Z122" s="111"/>
      <c r="AA122" s="111"/>
      <c r="AB122" s="111" t="str">
        <f t="shared" si="66"/>
        <v/>
      </c>
      <c r="AC122" s="111" t="str">
        <f t="shared" si="72"/>
        <v/>
      </c>
      <c r="AD122" s="111">
        <f t="shared" si="73"/>
        <v>2</v>
      </c>
      <c r="AE122" s="112"/>
      <c r="AF122" s="56"/>
      <c r="AG122" s="56"/>
      <c r="AH122" s="56"/>
      <c r="AI122" s="112">
        <f>MIN(求节点(武将天赋进度验证!$Q$5:$Q$164,武将天赋进度验证!$Y$5:$Y$164,$D122),武将天赋进度验证!AL112)</f>
        <v>6.410832938220834E-2</v>
      </c>
      <c r="AJ122" s="56"/>
      <c r="AK122" s="56"/>
      <c r="AL122" s="56"/>
      <c r="AM122" s="56"/>
      <c r="AN122" s="56"/>
      <c r="AT122" s="56">
        <f t="shared" si="68"/>
        <v>72.2</v>
      </c>
      <c r="AU122" s="56">
        <f t="shared" ref="AU122:AY122" si="88">IF(AU77="",0,AU77)</f>
        <v>0</v>
      </c>
      <c r="AV122" s="56">
        <f t="shared" si="88"/>
        <v>0</v>
      </c>
      <c r="AW122" s="56">
        <f t="shared" si="88"/>
        <v>2</v>
      </c>
      <c r="AX122" s="56">
        <f t="shared" si="88"/>
        <v>2</v>
      </c>
      <c r="AY122" s="56">
        <f t="shared" si="88"/>
        <v>2</v>
      </c>
    </row>
    <row r="123" spans="1:51" x14ac:dyDescent="0.15">
      <c r="A123" s="82">
        <f t="shared" si="64"/>
        <v>20</v>
      </c>
      <c r="C123" s="56">
        <f t="shared" si="65"/>
        <v>237.99999999999997</v>
      </c>
      <c r="D123" s="56">
        <f>求节点(节奏总纲!$R$4:$R$163,节奏总纲!$O$4:$O$163,$C123)</f>
        <v>84.043767921022209</v>
      </c>
      <c r="F123" s="56"/>
      <c r="G123" s="56"/>
      <c r="H123" s="56"/>
      <c r="I123" s="56"/>
      <c r="J123" s="56">
        <v>6</v>
      </c>
      <c r="K123" s="56"/>
      <c r="L123" s="56"/>
      <c r="M123" s="56"/>
      <c r="N123" s="56"/>
      <c r="O123" s="56">
        <f>求节点(武将升星!H$104:H$112,武将升星!$C$104:$C$112,武将数量星级阶位验证!BM113/J123)</f>
        <v>7.0136229212147221</v>
      </c>
      <c r="P123" s="110"/>
      <c r="Q123" s="110"/>
      <c r="R123" s="56" t="str">
        <f>IFERROR(MAX(0,求节点(武将进阶!F$4:F$8,武将进阶!$C$5:$C$9,W123)),"")</f>
        <v/>
      </c>
      <c r="S123" s="56" t="str">
        <f>IFERROR(MAX(0,求节点(武将进阶!G$4:G$8,武将进阶!$C$5:$C$9,X123)),"")</f>
        <v/>
      </c>
      <c r="T123" s="56">
        <f>IFERROR(MAX(0,求节点(武将进阶!H$4:H$8,武将进阶!$C$5:$C$9,Y123)),"")</f>
        <v>3.3617507168408882</v>
      </c>
      <c r="U123" s="56" t="str">
        <f>IF(F123="","",MIN($D123*2,武将进阶!D$10))</f>
        <v/>
      </c>
      <c r="V123" s="56" t="str">
        <f>IF(G123="","",MIN($D123*2,武将进阶!E$10))</f>
        <v/>
      </c>
      <c r="W123" s="56" t="str">
        <f>IF(H123="","",MIN($D123*2,武将进阶!F$10))</f>
        <v/>
      </c>
      <c r="X123" s="56" t="str">
        <f>IF(I123="","",MIN($D123*2,武将进阶!G$10))</f>
        <v/>
      </c>
      <c r="Y123" s="56">
        <f>IF(J123="","",MIN($D123*2,武将进阶!H$10))</f>
        <v>168.08753584204442</v>
      </c>
      <c r="Z123" s="111"/>
      <c r="AA123" s="111"/>
      <c r="AB123" s="111" t="str">
        <f t="shared" si="66"/>
        <v/>
      </c>
      <c r="AC123" s="111" t="str">
        <f t="shared" si="72"/>
        <v/>
      </c>
      <c r="AD123" s="111">
        <f t="shared" si="73"/>
        <v>2</v>
      </c>
      <c r="AE123" s="112"/>
      <c r="AF123" s="56"/>
      <c r="AG123" s="56"/>
      <c r="AH123" s="56"/>
      <c r="AI123" s="112">
        <f>MIN(求节点(武将天赋进度验证!$Q$5:$Q$164,武将天赋进度验证!$Y$5:$Y$164,$D123),武将天赋进度验证!AL113)</f>
        <v>7.2074316332609703E-2</v>
      </c>
      <c r="AJ123" s="56"/>
      <c r="AK123" s="56"/>
      <c r="AL123" s="56"/>
      <c r="AM123" s="56"/>
      <c r="AN123" s="56"/>
      <c r="AT123" s="56">
        <f t="shared" si="68"/>
        <v>79.419999999999987</v>
      </c>
      <c r="AU123" s="56">
        <f t="shared" ref="AU123:AY123" si="89">IF(AU78="",0,AU78)</f>
        <v>0</v>
      </c>
      <c r="AV123" s="56">
        <f t="shared" si="89"/>
        <v>0</v>
      </c>
      <c r="AW123" s="56">
        <f t="shared" si="89"/>
        <v>2</v>
      </c>
      <c r="AX123" s="56">
        <f t="shared" si="89"/>
        <v>2</v>
      </c>
      <c r="AY123" s="56">
        <f t="shared" si="89"/>
        <v>2</v>
      </c>
    </row>
    <row r="124" spans="1:51" x14ac:dyDescent="0.15">
      <c r="A124" s="82">
        <f t="shared" si="64"/>
        <v>21</v>
      </c>
      <c r="C124" s="56">
        <f t="shared" si="65"/>
        <v>280</v>
      </c>
      <c r="D124" s="56">
        <f>求节点(节奏总纲!$R$4:$R$163,节奏总纲!$O$4:$O$163,$C124)</f>
        <v>86.385105215793828</v>
      </c>
      <c r="F124" s="56"/>
      <c r="G124" s="56"/>
      <c r="H124" s="56"/>
      <c r="I124" s="56"/>
      <c r="J124" s="56">
        <v>6</v>
      </c>
      <c r="K124" s="56"/>
      <c r="L124" s="56"/>
      <c r="M124" s="56"/>
      <c r="N124" s="56"/>
      <c r="O124" s="56">
        <f>求节点(武将升星!H$104:H$112,武将升星!$C$104:$C$112,武将数量星级阶位验证!BM114/J124)</f>
        <v>7.5923688153096789</v>
      </c>
      <c r="P124" s="110"/>
      <c r="Q124" s="110"/>
      <c r="R124" s="56" t="str">
        <f>IFERROR(MAX(0,求节点(武将进阶!F$4:F$8,武将进阶!$C$5:$C$9,W124)),"")</f>
        <v/>
      </c>
      <c r="S124" s="56" t="str">
        <f>IFERROR(MAX(0,求节点(武将进阶!G$4:G$8,武将进阶!$C$5:$C$9,X124)),"")</f>
        <v/>
      </c>
      <c r="T124" s="56">
        <f>IFERROR(MAX(0,求节点(武将进阶!H$4:H$8,武将进阶!$C$5:$C$9,Y124)),"")</f>
        <v>3.4554042086317533</v>
      </c>
      <c r="U124" s="56" t="str">
        <f>IF(F124="","",MIN($D124*2,武将进阶!D$10))</f>
        <v/>
      </c>
      <c r="V124" s="56" t="str">
        <f>IF(G124="","",MIN($D124*2,武将进阶!E$10))</f>
        <v/>
      </c>
      <c r="W124" s="56" t="str">
        <f>IF(H124="","",MIN($D124*2,武将进阶!F$10))</f>
        <v/>
      </c>
      <c r="X124" s="56" t="str">
        <f>IF(I124="","",MIN($D124*2,武将进阶!G$10))</f>
        <v/>
      </c>
      <c r="Y124" s="56">
        <f>IF(J124="","",MIN($D124*2,武将进阶!H$10))</f>
        <v>172.77021043158766</v>
      </c>
      <c r="Z124" s="111"/>
      <c r="AA124" s="111"/>
      <c r="AB124" s="111" t="str">
        <f t="shared" si="66"/>
        <v/>
      </c>
      <c r="AC124" s="111" t="str">
        <f t="shared" si="72"/>
        <v/>
      </c>
      <c r="AD124" s="111">
        <f t="shared" si="73"/>
        <v>2</v>
      </c>
      <c r="AE124" s="112"/>
      <c r="AF124" s="56"/>
      <c r="AG124" s="56"/>
      <c r="AH124" s="56"/>
      <c r="AI124" s="112">
        <f>MIN(求节点(武将天赋进度验证!$Q$5:$Q$164,武将天赋进度验证!$Y$5:$Y$164,$D124),武将天赋进度验证!AL114)</f>
        <v>8.3946026980711366E-2</v>
      </c>
      <c r="AJ124" s="56"/>
      <c r="AK124" s="56"/>
      <c r="AL124" s="56"/>
      <c r="AM124" s="56"/>
      <c r="AN124" s="56"/>
      <c r="AT124" s="56">
        <f t="shared" si="68"/>
        <v>86.639999999999986</v>
      </c>
      <c r="AU124" s="56">
        <f t="shared" ref="AU124:AY124" si="90">IF(AU79="",0,AU79)</f>
        <v>0</v>
      </c>
      <c r="AV124" s="56">
        <f t="shared" si="90"/>
        <v>0</v>
      </c>
      <c r="AW124" s="56">
        <f t="shared" si="90"/>
        <v>2</v>
      </c>
      <c r="AX124" s="56">
        <f t="shared" si="90"/>
        <v>2</v>
      </c>
      <c r="AY124" s="56">
        <f t="shared" si="90"/>
        <v>2</v>
      </c>
    </row>
    <row r="125" spans="1:51" x14ac:dyDescent="0.15">
      <c r="A125" s="82">
        <f t="shared" si="64"/>
        <v>22</v>
      </c>
      <c r="C125" s="56">
        <f t="shared" si="65"/>
        <v>364</v>
      </c>
      <c r="D125" s="56">
        <f>求节点(节奏总纲!$R$4:$R$163,节奏总纲!$O$4:$O$163,$C125)</f>
        <v>90.406191748048585</v>
      </c>
      <c r="F125" s="56"/>
      <c r="G125" s="56"/>
      <c r="H125" s="56"/>
      <c r="I125" s="56"/>
      <c r="J125" s="56">
        <v>6</v>
      </c>
      <c r="K125" s="56"/>
      <c r="L125" s="56"/>
      <c r="M125" s="56"/>
      <c r="N125" s="56"/>
      <c r="O125" s="56">
        <f>求节点(武将升星!H$104:H$112,武将升星!$C$104:$C$112,武将数量星级阶位验证!BM115/J125)</f>
        <v>8</v>
      </c>
      <c r="P125" s="110"/>
      <c r="Q125" s="110"/>
      <c r="R125" s="56" t="str">
        <f>IFERROR(MAX(0,求节点(武将进阶!F$4:F$8,武将进阶!$C$5:$C$9,W125)),"")</f>
        <v/>
      </c>
      <c r="S125" s="56" t="str">
        <f>IFERROR(MAX(0,求节点(武将进阶!G$4:G$8,武将进阶!$C$5:$C$9,X125)),"")</f>
        <v/>
      </c>
      <c r="T125" s="56">
        <f>IFERROR(MAX(0,求节点(武将进阶!H$4:H$8,武将进阶!$C$5:$C$9,Y125)),"")</f>
        <v>3.6162476699219432</v>
      </c>
      <c r="U125" s="56" t="str">
        <f>IF(F125="","",MIN($D125*2,武将进阶!D$10))</f>
        <v/>
      </c>
      <c r="V125" s="56" t="str">
        <f>IF(G125="","",MIN($D125*2,武将进阶!E$10))</f>
        <v/>
      </c>
      <c r="W125" s="56" t="str">
        <f>IF(H125="","",MIN($D125*2,武将进阶!F$10))</f>
        <v/>
      </c>
      <c r="X125" s="56" t="str">
        <f>IF(I125="","",MIN($D125*2,武将进阶!G$10))</f>
        <v/>
      </c>
      <c r="Y125" s="56">
        <f>IF(J125="","",MIN($D125*2,武将进阶!H$10))</f>
        <v>180.81238349609717</v>
      </c>
      <c r="Z125" s="111"/>
      <c r="AA125" s="111"/>
      <c r="AB125" s="111" t="str">
        <f t="shared" si="66"/>
        <v/>
      </c>
      <c r="AC125" s="111" t="str">
        <f t="shared" si="72"/>
        <v/>
      </c>
      <c r="AD125" s="111">
        <f t="shared" si="73"/>
        <v>2</v>
      </c>
      <c r="AE125" s="112"/>
      <c r="AF125" s="56"/>
      <c r="AG125" s="56"/>
      <c r="AH125" s="56"/>
      <c r="AI125" s="112">
        <f>MIN(求节点(武将天赋进度验证!$Q$5:$Q$164,武将天赋进度验证!$Y$5:$Y$164,$D125),武将天赋进度验证!AL115)</f>
        <v>0.18406921067603435</v>
      </c>
      <c r="AJ125" s="56"/>
      <c r="AK125" s="56"/>
      <c r="AL125" s="56"/>
      <c r="AM125" s="56"/>
      <c r="AN125" s="56"/>
      <c r="AT125" s="56">
        <f t="shared" si="68"/>
        <v>93.86</v>
      </c>
      <c r="AU125" s="56">
        <f t="shared" ref="AU125:AY125" si="91">IF(AU80="",0,AU80)</f>
        <v>0</v>
      </c>
      <c r="AV125" s="56">
        <f t="shared" si="91"/>
        <v>0</v>
      </c>
      <c r="AW125" s="56">
        <f t="shared" si="91"/>
        <v>2</v>
      </c>
      <c r="AX125" s="56">
        <f t="shared" si="91"/>
        <v>2</v>
      </c>
      <c r="AY125" s="56">
        <f t="shared" si="91"/>
        <v>2</v>
      </c>
    </row>
    <row r="126" spans="1:51" x14ac:dyDescent="0.15">
      <c r="A126" s="82">
        <f t="shared" si="64"/>
        <v>23</v>
      </c>
      <c r="C126" s="56">
        <f t="shared" si="65"/>
        <v>448</v>
      </c>
      <c r="D126" s="56">
        <f>求节点(节奏总纲!$R$4:$R$163,节奏总纲!$O$4:$O$163,$C126)</f>
        <v>93.471491811086082</v>
      </c>
      <c r="F126" s="56"/>
      <c r="G126" s="56"/>
      <c r="H126" s="56"/>
      <c r="I126" s="56"/>
      <c r="J126" s="56">
        <v>6</v>
      </c>
      <c r="K126" s="56"/>
      <c r="L126" s="56"/>
      <c r="M126" s="56"/>
      <c r="N126" s="56"/>
      <c r="O126" s="56">
        <f>求节点(武将升星!H$104:H$112,武将升星!$C$104:$C$112,武将数量星级阶位验证!BM116/J126)</f>
        <v>8</v>
      </c>
      <c r="P126" s="110"/>
      <c r="Q126" s="110"/>
      <c r="R126" s="56" t="str">
        <f>IFERROR(MAX(0,求节点(武将进阶!F$4:F$8,武将进阶!$C$5:$C$9,W126)),"")</f>
        <v/>
      </c>
      <c r="S126" s="56" t="str">
        <f>IFERROR(MAX(0,求节点(武将进阶!G$4:G$8,武将进阶!$C$5:$C$9,X126)),"")</f>
        <v/>
      </c>
      <c r="T126" s="56">
        <f>IFERROR(MAX(0,求节点(武将进阶!H$4:H$8,武将进阶!$C$5:$C$9,Y126)),"")</f>
        <v>3.7388596724434433</v>
      </c>
      <c r="U126" s="56" t="str">
        <f>IF(F126="","",MIN($D126*2,武将进阶!D$10))</f>
        <v/>
      </c>
      <c r="V126" s="56" t="str">
        <f>IF(G126="","",MIN($D126*2,武将进阶!E$10))</f>
        <v/>
      </c>
      <c r="W126" s="56" t="str">
        <f>IF(H126="","",MIN($D126*2,武将进阶!F$10))</f>
        <v/>
      </c>
      <c r="X126" s="56" t="str">
        <f>IF(I126="","",MIN($D126*2,武将进阶!G$10))</f>
        <v/>
      </c>
      <c r="Y126" s="56">
        <f>IF(J126="","",MIN($D126*2,武将进阶!H$10))</f>
        <v>186.94298362217216</v>
      </c>
      <c r="Z126" s="111"/>
      <c r="AA126" s="111"/>
      <c r="AB126" s="111" t="str">
        <f t="shared" si="66"/>
        <v/>
      </c>
      <c r="AC126" s="111" t="str">
        <f t="shared" si="72"/>
        <v/>
      </c>
      <c r="AD126" s="111">
        <f t="shared" si="73"/>
        <v>2</v>
      </c>
      <c r="AE126" s="112"/>
      <c r="AF126" s="56"/>
      <c r="AG126" s="56"/>
      <c r="AH126" s="56"/>
      <c r="AI126" s="112">
        <f>MIN(求节点(武将天赋进度验证!$Q$5:$Q$164,武将天赋进度验证!$Y$5:$Y$164,$D126),武将天赋进度验证!AL116)</f>
        <v>0.46040022018631532</v>
      </c>
      <c r="AJ126" s="56"/>
      <c r="AK126" s="56"/>
      <c r="AL126" s="56"/>
      <c r="AM126" s="56"/>
      <c r="AN126" s="56"/>
      <c r="AT126" s="56">
        <f t="shared" si="68"/>
        <v>101.07999999999998</v>
      </c>
      <c r="AU126" s="56">
        <f t="shared" ref="AU126:AY126" si="92">IF(AU81="",0,AU81)</f>
        <v>0</v>
      </c>
      <c r="AV126" s="56">
        <f t="shared" si="92"/>
        <v>0</v>
      </c>
      <c r="AW126" s="56">
        <f t="shared" si="92"/>
        <v>2</v>
      </c>
      <c r="AX126" s="56">
        <f t="shared" si="92"/>
        <v>2</v>
      </c>
      <c r="AY126" s="56">
        <f t="shared" si="92"/>
        <v>2</v>
      </c>
    </row>
    <row r="127" spans="1:51" x14ac:dyDescent="0.15">
      <c r="A127" s="82">
        <f t="shared" si="64"/>
        <v>24</v>
      </c>
      <c r="C127" s="56">
        <f t="shared" si="65"/>
        <v>574</v>
      </c>
      <c r="D127" s="56">
        <f>求节点(节奏总纲!$R$4:$R$163,节奏总纲!$O$4:$O$163,$C127)</f>
        <v>97.107381566993553</v>
      </c>
      <c r="F127" s="56"/>
      <c r="G127" s="56"/>
      <c r="H127" s="56"/>
      <c r="I127" s="56"/>
      <c r="J127" s="56">
        <v>6</v>
      </c>
      <c r="K127" s="56"/>
      <c r="L127" s="56"/>
      <c r="M127" s="56"/>
      <c r="N127" s="56"/>
      <c r="O127" s="56">
        <f>求节点(武将升星!H$104:H$112,武将升星!$C$104:$C$112,武将数量星级阶位验证!BM117/J127)</f>
        <v>8</v>
      </c>
      <c r="P127" s="110"/>
      <c r="Q127" s="110"/>
      <c r="R127" s="56" t="str">
        <f>IFERROR(MAX(0,求节点(武将进阶!F$4:F$8,武将进阶!$C$5:$C$9,W127)),"")</f>
        <v/>
      </c>
      <c r="S127" s="56" t="str">
        <f>IFERROR(MAX(0,求节点(武将进阶!G$4:G$8,武将进阶!$C$5:$C$9,X127)),"")</f>
        <v/>
      </c>
      <c r="T127" s="56">
        <f>IFERROR(MAX(0,求节点(武将进阶!H$4:H$8,武将进阶!$C$5:$C$9,Y127)),"")</f>
        <v>3.8842952626797422</v>
      </c>
      <c r="U127" s="56" t="str">
        <f>IF(F127="","",MIN($D127*2,武将进阶!D$10))</f>
        <v/>
      </c>
      <c r="V127" s="56" t="str">
        <f>IF(G127="","",MIN($D127*2,武将进阶!E$10))</f>
        <v/>
      </c>
      <c r="W127" s="56" t="str">
        <f>IF(H127="","",MIN($D127*2,武将进阶!F$10))</f>
        <v/>
      </c>
      <c r="X127" s="56" t="str">
        <f>IF(I127="","",MIN($D127*2,武将进阶!G$10))</f>
        <v/>
      </c>
      <c r="Y127" s="56">
        <f>IF(J127="","",MIN($D127*2,武将进阶!H$10))</f>
        <v>194.21476313398711</v>
      </c>
      <c r="Z127" s="111"/>
      <c r="AA127" s="111"/>
      <c r="AB127" s="111" t="str">
        <f t="shared" si="66"/>
        <v/>
      </c>
      <c r="AC127" s="111" t="str">
        <f t="shared" si="72"/>
        <v/>
      </c>
      <c r="AD127" s="111">
        <f t="shared" si="73"/>
        <v>2</v>
      </c>
      <c r="AE127" s="112"/>
      <c r="AF127" s="56"/>
      <c r="AG127" s="56"/>
      <c r="AH127" s="56"/>
      <c r="AI127" s="112">
        <f>MIN(求节点(武将天赋进度验证!$Q$5:$Q$164,武将天赋进度验证!$Y$5:$Y$164,$D127),武将天赋进度验证!AL117)</f>
        <v>0.65345243307971157</v>
      </c>
      <c r="AJ127" s="56"/>
      <c r="AK127" s="56"/>
      <c r="AL127" s="56"/>
      <c r="AM127" s="56"/>
      <c r="AN127" s="56"/>
      <c r="AT127" s="56">
        <f t="shared" si="68"/>
        <v>108.3</v>
      </c>
      <c r="AU127" s="56">
        <f t="shared" ref="AU127:AY127" si="93">IF(AU82="",0,AU82)</f>
        <v>0</v>
      </c>
      <c r="AV127" s="56">
        <f t="shared" si="93"/>
        <v>0</v>
      </c>
      <c r="AW127" s="56">
        <f t="shared" si="93"/>
        <v>2</v>
      </c>
      <c r="AX127" s="56">
        <f t="shared" si="93"/>
        <v>2</v>
      </c>
      <c r="AY127" s="56">
        <f t="shared" si="93"/>
        <v>2</v>
      </c>
    </row>
    <row r="128" spans="1:51" x14ac:dyDescent="0.15">
      <c r="A128" s="82">
        <f t="shared" si="64"/>
        <v>25</v>
      </c>
      <c r="C128" s="56">
        <f t="shared" si="65"/>
        <v>742</v>
      </c>
      <c r="D128" s="56">
        <f>求节点(节奏总纲!$R$4:$R$163,节奏总纲!$O$4:$O$163,$C128)</f>
        <v>100.71243145193914</v>
      </c>
      <c r="F128" s="56"/>
      <c r="G128" s="56"/>
      <c r="H128" s="56"/>
      <c r="I128" s="56"/>
      <c r="J128" s="56">
        <v>6</v>
      </c>
      <c r="K128" s="56"/>
      <c r="L128" s="56"/>
      <c r="M128" s="56"/>
      <c r="N128" s="56"/>
      <c r="O128" s="56">
        <f>求节点(武将升星!H$104:H$112,武将升星!$C$104:$C$112,武将数量星级阶位验证!BM118/J128)</f>
        <v>8</v>
      </c>
      <c r="P128" s="110"/>
      <c r="Q128" s="110"/>
      <c r="R128" s="56" t="str">
        <f>IFERROR(MAX(0,求节点(武将进阶!F$4:F$8,武将进阶!$C$5:$C$9,W128)),"")</f>
        <v/>
      </c>
      <c r="S128" s="56" t="str">
        <f>IFERROR(MAX(0,求节点(武将进阶!G$4:G$8,武将进阶!$C$5:$C$9,X128)),"")</f>
        <v/>
      </c>
      <c r="T128" s="56">
        <f>IFERROR(MAX(0,求节点(武将进阶!H$4:H$8,武将进阶!$C$5:$C$9,Y128)),"")</f>
        <v>4.0284972580775653</v>
      </c>
      <c r="U128" s="56" t="str">
        <f>IF(F128="","",MIN($D128*2,武将进阶!D$10))</f>
        <v/>
      </c>
      <c r="V128" s="56" t="str">
        <f>IF(G128="","",MIN($D128*2,武将进阶!E$10))</f>
        <v/>
      </c>
      <c r="W128" s="56" t="str">
        <f>IF(H128="","",MIN($D128*2,武将进阶!F$10))</f>
        <v/>
      </c>
      <c r="X128" s="56" t="str">
        <f>IF(I128="","",MIN($D128*2,武将进阶!G$10))</f>
        <v/>
      </c>
      <c r="Y128" s="56">
        <f>IF(J128="","",MIN($D128*2,武将进阶!H$10))</f>
        <v>201.42486290387828</v>
      </c>
      <c r="Z128" s="111"/>
      <c r="AA128" s="111"/>
      <c r="AB128" s="111" t="str">
        <f t="shared" si="66"/>
        <v/>
      </c>
      <c r="AC128" s="111" t="str">
        <f t="shared" si="72"/>
        <v/>
      </c>
      <c r="AD128" s="111">
        <f t="shared" si="73"/>
        <v>2</v>
      </c>
      <c r="AE128" s="112"/>
      <c r="AF128" s="56"/>
      <c r="AG128" s="56"/>
      <c r="AH128" s="56"/>
      <c r="AI128" s="112">
        <f>MIN(求节点(武将天赋进度验证!$Q$5:$Q$164,武将天赋进度验证!$Y$5:$Y$164,$D128),武将天赋进度验证!AL118)</f>
        <v>1</v>
      </c>
      <c r="AJ128" s="56"/>
      <c r="AK128" s="56"/>
      <c r="AL128" s="56"/>
      <c r="AM128" s="56"/>
      <c r="AN128" s="56"/>
      <c r="AT128" s="56">
        <f t="shared" si="68"/>
        <v>115.52</v>
      </c>
      <c r="AU128" s="56">
        <f t="shared" ref="AU128:AY128" si="94">IF(AU83="",0,AU83)</f>
        <v>0</v>
      </c>
      <c r="AV128" s="56">
        <f t="shared" si="94"/>
        <v>0</v>
      </c>
      <c r="AW128" s="56">
        <f t="shared" si="94"/>
        <v>2</v>
      </c>
      <c r="AX128" s="56">
        <f t="shared" si="94"/>
        <v>2</v>
      </c>
      <c r="AY128" s="56">
        <f t="shared" si="94"/>
        <v>2</v>
      </c>
    </row>
    <row r="129" spans="1:51" x14ac:dyDescent="0.15">
      <c r="A129" s="82">
        <f t="shared" si="64"/>
        <v>26</v>
      </c>
      <c r="C129" s="56">
        <f t="shared" si="65"/>
        <v>951.99999999999989</v>
      </c>
      <c r="D129" s="56">
        <f>求节点(节奏总纲!$R$4:$R$163,节奏总纲!$O$4:$O$163,$C129)</f>
        <v>104.39233713204413</v>
      </c>
      <c r="F129" s="56"/>
      <c r="G129" s="56"/>
      <c r="H129" s="56"/>
      <c r="I129" s="56"/>
      <c r="J129" s="56">
        <v>6</v>
      </c>
      <c r="K129" s="56"/>
      <c r="L129" s="56"/>
      <c r="M129" s="56"/>
      <c r="N129" s="56"/>
      <c r="O129" s="56">
        <f>求节点(武将升星!H$104:H$112,武将升星!$C$104:$C$112,武将数量星级阶位验证!BM119/J129)</f>
        <v>8</v>
      </c>
      <c r="P129" s="110"/>
      <c r="Q129" s="110"/>
      <c r="R129" s="56" t="str">
        <f>IFERROR(MAX(0,求节点(武将进阶!F$4:F$8,武将进阶!$C$5:$C$9,W129)),"")</f>
        <v/>
      </c>
      <c r="S129" s="56" t="str">
        <f>IFERROR(MAX(0,求节点(武将进阶!G$4:G$8,武将进阶!$C$5:$C$9,X129)),"")</f>
        <v/>
      </c>
      <c r="T129" s="56">
        <f>IFERROR(MAX(0,求节点(武将进阶!H$4:H$8,武将进阶!$C$5:$C$9,Y129)),"")</f>
        <v>4.1756934852817658</v>
      </c>
      <c r="U129" s="56" t="str">
        <f>IF(F129="","",MIN($D129*2,武将进阶!D$10))</f>
        <v/>
      </c>
      <c r="V129" s="56" t="str">
        <f>IF(G129="","",MIN($D129*2,武将进阶!E$10))</f>
        <v/>
      </c>
      <c r="W129" s="56" t="str">
        <f>IF(H129="","",MIN($D129*2,武将进阶!F$10))</f>
        <v/>
      </c>
      <c r="X129" s="56" t="str">
        <f>IF(I129="","",MIN($D129*2,武将进阶!G$10))</f>
        <v/>
      </c>
      <c r="Y129" s="56">
        <f>IF(J129="","",MIN($D129*2,武将进阶!H$10))</f>
        <v>208.78467426408827</v>
      </c>
      <c r="Z129" s="111"/>
      <c r="AA129" s="111"/>
      <c r="AB129" s="111" t="str">
        <f t="shared" si="66"/>
        <v/>
      </c>
      <c r="AC129" s="111" t="str">
        <f t="shared" si="72"/>
        <v/>
      </c>
      <c r="AD129" s="111">
        <f t="shared" si="73"/>
        <v>2</v>
      </c>
      <c r="AE129" s="112"/>
      <c r="AF129" s="56"/>
      <c r="AG129" s="56"/>
      <c r="AH129" s="56"/>
      <c r="AI129" s="112">
        <f>MIN(求节点(武将天赋进度验证!$Q$5:$Q$164,武将天赋进度验证!$Y$5:$Y$164,$D129),武将天赋进度验证!AL119)</f>
        <v>1</v>
      </c>
      <c r="AJ129" s="56"/>
      <c r="AK129" s="56"/>
      <c r="AL129" s="56"/>
      <c r="AM129" s="56"/>
      <c r="AN129" s="56"/>
      <c r="AT129" s="56">
        <f t="shared" si="68"/>
        <v>122.73999999999998</v>
      </c>
      <c r="AU129" s="56">
        <f t="shared" ref="AU129:AY129" si="95">IF(AU84="",0,AU84)</f>
        <v>0</v>
      </c>
      <c r="AV129" s="56">
        <f t="shared" si="95"/>
        <v>0</v>
      </c>
      <c r="AW129" s="56">
        <f t="shared" si="95"/>
        <v>2</v>
      </c>
      <c r="AX129" s="56">
        <f t="shared" si="95"/>
        <v>2</v>
      </c>
      <c r="AY129" s="56">
        <f t="shared" si="95"/>
        <v>2</v>
      </c>
    </row>
    <row r="130" spans="1:51" x14ac:dyDescent="0.15">
      <c r="A130" s="82">
        <f t="shared" si="64"/>
        <v>27</v>
      </c>
      <c r="C130" s="56">
        <f t="shared" si="65"/>
        <v>1204</v>
      </c>
      <c r="D130" s="56">
        <f>求节点(节奏总纲!$R$4:$R$163,节奏总纲!$O$4:$O$163,$C130)</f>
        <v>107.81562240612369</v>
      </c>
      <c r="F130" s="56"/>
      <c r="G130" s="56"/>
      <c r="H130" s="56"/>
      <c r="I130" s="56"/>
      <c r="J130" s="56">
        <v>6</v>
      </c>
      <c r="K130" s="56"/>
      <c r="L130" s="56"/>
      <c r="M130" s="56"/>
      <c r="N130" s="56"/>
      <c r="O130" s="56">
        <f>求节点(武将升星!H$104:H$112,武将升星!$C$104:$C$112,武将数量星级阶位验证!BM120/J130)</f>
        <v>8</v>
      </c>
      <c r="P130" s="110"/>
      <c r="Q130" s="110"/>
      <c r="R130" s="56" t="str">
        <f>IFERROR(MAX(0,求节点(武将进阶!F$4:F$8,武将进阶!$C$5:$C$9,W130)),"")</f>
        <v/>
      </c>
      <c r="S130" s="56" t="str">
        <f>IFERROR(MAX(0,求节点(武将进阶!G$4:G$8,武将进阶!$C$5:$C$9,X130)),"")</f>
        <v/>
      </c>
      <c r="T130" s="56">
        <f>IFERROR(MAX(0,求节点(武将进阶!H$4:H$8,武将进阶!$C$5:$C$9,Y130)),"")</f>
        <v>4.312624896244948</v>
      </c>
      <c r="U130" s="56" t="str">
        <f>IF(F130="","",MIN($D130*2,武将进阶!D$10))</f>
        <v/>
      </c>
      <c r="V130" s="56" t="str">
        <f>IF(G130="","",MIN($D130*2,武将进阶!E$10))</f>
        <v/>
      </c>
      <c r="W130" s="56" t="str">
        <f>IF(H130="","",MIN($D130*2,武将进阶!F$10))</f>
        <v/>
      </c>
      <c r="X130" s="56" t="str">
        <f>IF(I130="","",MIN($D130*2,武将进阶!G$10))</f>
        <v/>
      </c>
      <c r="Y130" s="56">
        <f>IF(J130="","",MIN($D130*2,武将进阶!H$10))</f>
        <v>215.63124481224739</v>
      </c>
      <c r="Z130" s="111"/>
      <c r="AA130" s="111"/>
      <c r="AB130" s="111" t="str">
        <f t="shared" si="66"/>
        <v/>
      </c>
      <c r="AC130" s="111" t="str">
        <f t="shared" si="72"/>
        <v/>
      </c>
      <c r="AD130" s="111">
        <f t="shared" si="73"/>
        <v>2</v>
      </c>
      <c r="AE130" s="112"/>
      <c r="AF130" s="56"/>
      <c r="AG130" s="56"/>
      <c r="AH130" s="56"/>
      <c r="AI130" s="112">
        <f>MIN(求节点(武将天赋进度验证!$Q$5:$Q$164,武将天赋进度验证!$Y$5:$Y$164,$D130),武将天赋进度验证!AL120)</f>
        <v>1</v>
      </c>
      <c r="AJ130" s="56"/>
      <c r="AK130" s="56"/>
      <c r="AL130" s="56"/>
      <c r="AM130" s="56"/>
      <c r="AN130" s="56"/>
      <c r="AT130" s="56">
        <f t="shared" si="68"/>
        <v>129.95999999999998</v>
      </c>
      <c r="AU130" s="56">
        <f t="shared" ref="AU130:AY130" si="96">IF(AU85="",0,AU85)</f>
        <v>0</v>
      </c>
      <c r="AV130" s="56">
        <f t="shared" si="96"/>
        <v>0</v>
      </c>
      <c r="AW130" s="56">
        <f t="shared" si="96"/>
        <v>2</v>
      </c>
      <c r="AX130" s="56">
        <f t="shared" si="96"/>
        <v>2</v>
      </c>
      <c r="AY130" s="56">
        <f t="shared" si="96"/>
        <v>2</v>
      </c>
    </row>
    <row r="131" spans="1:51" x14ac:dyDescent="0.15">
      <c r="A131" s="82">
        <f t="shared" si="64"/>
        <v>28</v>
      </c>
      <c r="C131" s="56">
        <f t="shared" si="65"/>
        <v>1540</v>
      </c>
      <c r="D131" s="56">
        <f>求节点(节奏总纲!$R$4:$R$163,节奏总纲!$O$4:$O$163,$C131)</f>
        <v>111.36292001894914</v>
      </c>
      <c r="F131" s="56"/>
      <c r="G131" s="56"/>
      <c r="H131" s="56"/>
      <c r="I131" s="56"/>
      <c r="J131" s="56">
        <v>6</v>
      </c>
      <c r="K131" s="56"/>
      <c r="L131" s="56"/>
      <c r="M131" s="56"/>
      <c r="N131" s="56"/>
      <c r="O131" s="56">
        <f>求节点(武将升星!H$104:H$112,武将升星!$C$104:$C$112,武将数量星级阶位验证!BM121/J131)</f>
        <v>8</v>
      </c>
      <c r="P131" s="110"/>
      <c r="Q131" s="110"/>
      <c r="R131" s="56" t="str">
        <f>IFERROR(MAX(0,求节点(武将进阶!F$4:F$8,武将进阶!$C$5:$C$9,W131)),"")</f>
        <v/>
      </c>
      <c r="S131" s="56" t="str">
        <f>IFERROR(MAX(0,求节点(武将进阶!G$4:G$8,武将进阶!$C$5:$C$9,X131)),"")</f>
        <v/>
      </c>
      <c r="T131" s="56">
        <f>IFERROR(MAX(0,求节点(武将进阶!H$4:H$8,武将进阶!$C$5:$C$9,Y131)),"")</f>
        <v>4.4545168007579656</v>
      </c>
      <c r="U131" s="56" t="str">
        <f>IF(F131="","",MIN($D131*2,武将进阶!D$10))</f>
        <v/>
      </c>
      <c r="V131" s="56" t="str">
        <f>IF(G131="","",MIN($D131*2,武将进阶!E$10))</f>
        <v/>
      </c>
      <c r="W131" s="56" t="str">
        <f>IF(H131="","",MIN($D131*2,武将进阶!F$10))</f>
        <v/>
      </c>
      <c r="X131" s="56" t="str">
        <f>IF(I131="","",MIN($D131*2,武将进阶!G$10))</f>
        <v/>
      </c>
      <c r="Y131" s="56">
        <f>IF(J131="","",MIN($D131*2,武将进阶!H$10))</f>
        <v>222.72584003789828</v>
      </c>
      <c r="Z131" s="111"/>
      <c r="AA131" s="111"/>
      <c r="AB131" s="111" t="str">
        <f t="shared" si="66"/>
        <v/>
      </c>
      <c r="AC131" s="111" t="str">
        <f t="shared" si="72"/>
        <v/>
      </c>
      <c r="AD131" s="111">
        <f t="shared" si="73"/>
        <v>2</v>
      </c>
      <c r="AE131" s="112"/>
      <c r="AF131" s="56"/>
      <c r="AG131" s="56"/>
      <c r="AH131" s="56"/>
      <c r="AI131" s="112">
        <f>MIN(求节点(武将天赋进度验证!$Q$5:$Q$164,武将天赋进度验证!$Y$5:$Y$164,$D131),武将天赋进度验证!AL121)</f>
        <v>1</v>
      </c>
      <c r="AJ131" s="56"/>
      <c r="AK131" s="56"/>
      <c r="AL131" s="56"/>
      <c r="AM131" s="56"/>
      <c r="AN131" s="56"/>
      <c r="AT131" s="56">
        <f t="shared" si="68"/>
        <v>137.18</v>
      </c>
      <c r="AU131" s="56">
        <f t="shared" ref="AU131:AY131" si="97">IF(AU86="",0,AU86)</f>
        <v>0</v>
      </c>
      <c r="AV131" s="56">
        <f t="shared" si="97"/>
        <v>0</v>
      </c>
      <c r="AW131" s="56">
        <f t="shared" si="97"/>
        <v>2</v>
      </c>
      <c r="AX131" s="56">
        <f t="shared" si="97"/>
        <v>2</v>
      </c>
      <c r="AY131" s="56">
        <f t="shared" si="97"/>
        <v>2</v>
      </c>
    </row>
    <row r="132" spans="1:51" x14ac:dyDescent="0.15">
      <c r="A132" s="82">
        <f t="shared" si="64"/>
        <v>29</v>
      </c>
      <c r="C132" s="56">
        <f t="shared" si="65"/>
        <v>1959.9999999999998</v>
      </c>
      <c r="D132" s="56">
        <f>求节点(节奏总纲!$R$4:$R$163,节奏总纲!$O$4:$O$163,$C132)</f>
        <v>114.91934497223426</v>
      </c>
      <c r="F132" s="56"/>
      <c r="G132" s="56"/>
      <c r="H132" s="56"/>
      <c r="I132" s="56"/>
      <c r="J132" s="56">
        <v>6</v>
      </c>
      <c r="K132" s="56"/>
      <c r="L132" s="56"/>
      <c r="M132" s="56"/>
      <c r="N132" s="56"/>
      <c r="O132" s="56">
        <f>求节点(武将升星!H$104:H$112,武将升星!$C$104:$C$112,武将数量星级阶位验证!BM122/J132)</f>
        <v>8</v>
      </c>
      <c r="P132" s="110"/>
      <c r="Q132" s="110"/>
      <c r="R132" s="56" t="str">
        <f>IFERROR(MAX(0,求节点(武将进阶!F$4:F$8,武将进阶!$C$5:$C$9,W132)),"")</f>
        <v/>
      </c>
      <c r="S132" s="56" t="str">
        <f>IFERROR(MAX(0,求节点(武将进阶!G$4:G$8,武将进阶!$C$5:$C$9,X132)),"")</f>
        <v/>
      </c>
      <c r="T132" s="56">
        <f>IFERROR(MAX(0,求节点(武将进阶!H$4:H$8,武将进阶!$C$5:$C$9,Y132)),"")</f>
        <v>4.5967737988893704</v>
      </c>
      <c r="U132" s="56" t="str">
        <f>IF(F132="","",MIN($D132*2,武将进阶!D$10))</f>
        <v/>
      </c>
      <c r="V132" s="56" t="str">
        <f>IF(G132="","",MIN($D132*2,武将进阶!E$10))</f>
        <v/>
      </c>
      <c r="W132" s="56" t="str">
        <f>IF(H132="","",MIN($D132*2,武将进阶!F$10))</f>
        <v/>
      </c>
      <c r="X132" s="56" t="str">
        <f>IF(I132="","",MIN($D132*2,武将进阶!G$10))</f>
        <v/>
      </c>
      <c r="Y132" s="56">
        <f>IF(J132="","",MIN($D132*2,武将进阶!H$10))</f>
        <v>229.83868994446851</v>
      </c>
      <c r="Z132" s="111"/>
      <c r="AA132" s="111"/>
      <c r="AB132" s="111" t="str">
        <f t="shared" si="66"/>
        <v/>
      </c>
      <c r="AC132" s="111" t="str">
        <f t="shared" si="72"/>
        <v/>
      </c>
      <c r="AD132" s="111">
        <f t="shared" si="73"/>
        <v>2</v>
      </c>
      <c r="AE132" s="112"/>
      <c r="AF132" s="56"/>
      <c r="AG132" s="56"/>
      <c r="AH132" s="56"/>
      <c r="AI132" s="112">
        <f>MIN(求节点(武将天赋进度验证!$Q$5:$Q$164,武将天赋进度验证!$Y$5:$Y$164,$D132),武将天赋进度验证!AL122)</f>
        <v>1</v>
      </c>
      <c r="AJ132" s="56"/>
      <c r="AK132" s="56"/>
      <c r="AL132" s="56"/>
      <c r="AM132" s="56"/>
      <c r="AN132" s="56"/>
      <c r="AT132" s="56">
        <f t="shared" si="68"/>
        <v>144.4</v>
      </c>
      <c r="AU132" s="56">
        <f t="shared" ref="AU132:AY132" si="98">IF(AU87="",0,AU87)</f>
        <v>0</v>
      </c>
      <c r="AV132" s="56">
        <f t="shared" si="98"/>
        <v>0</v>
      </c>
      <c r="AW132" s="56">
        <f t="shared" si="98"/>
        <v>2</v>
      </c>
      <c r="AX132" s="56">
        <f t="shared" si="98"/>
        <v>2</v>
      </c>
      <c r="AY132" s="56">
        <f t="shared" si="98"/>
        <v>2</v>
      </c>
    </row>
    <row r="133" spans="1:51" x14ac:dyDescent="0.15">
      <c r="A133" s="82">
        <f t="shared" si="64"/>
        <v>30</v>
      </c>
      <c r="C133" s="56">
        <f t="shared" ref="C133:C145" si="99">C43*0.7</f>
        <v>2506</v>
      </c>
      <c r="D133" s="56">
        <f>求节点(节奏总纲!$R$4:$R$163,节奏总纲!$O$4:$O$163,$C133)</f>
        <v>118.44741987029688</v>
      </c>
      <c r="F133" s="56"/>
      <c r="G133" s="56"/>
      <c r="H133" s="56"/>
      <c r="I133" s="56"/>
      <c r="J133" s="56">
        <v>6</v>
      </c>
      <c r="K133" s="56"/>
      <c r="L133" s="56"/>
      <c r="M133" s="56"/>
      <c r="N133" s="56"/>
      <c r="O133" s="56">
        <f>求节点(武将升星!H$104:H$112,武将升星!$C$104:$C$112,武将数量星级阶位验证!BM123/J133)</f>
        <v>8</v>
      </c>
      <c r="P133" s="110"/>
      <c r="Q133" s="110"/>
      <c r="R133" s="56" t="str">
        <f>IFERROR(MAX(0,求节点(武将进阶!F$4:F$8,武将进阶!$C$5:$C$9,W133)),"")</f>
        <v/>
      </c>
      <c r="S133" s="56" t="str">
        <f>IFERROR(MAX(0,求节点(武将进阶!G$4:G$8,武将进阶!$C$5:$C$9,X133)),"")</f>
        <v/>
      </c>
      <c r="T133" s="56">
        <f>IFERROR(MAX(0,求节点(武将进阶!H$4:H$8,武将进阶!$C$5:$C$9,Y133)),"")</f>
        <v>4.7378967948118751</v>
      </c>
      <c r="U133" s="56" t="str">
        <f>IF(F133="","",MIN($D133*2,武将进阶!D$10))</f>
        <v/>
      </c>
      <c r="V133" s="56" t="str">
        <f>IF(G133="","",MIN($D133*2,武将进阶!E$10))</f>
        <v/>
      </c>
      <c r="W133" s="56" t="str">
        <f>IF(H133="","",MIN($D133*2,武将进阶!F$10))</f>
        <v/>
      </c>
      <c r="X133" s="56" t="str">
        <f>IF(I133="","",MIN($D133*2,武将进阶!G$10))</f>
        <v/>
      </c>
      <c r="Y133" s="56">
        <f>IF(J133="","",MIN($D133*2,武将进阶!H$10))</f>
        <v>236.89483974059377</v>
      </c>
      <c r="Z133" s="111"/>
      <c r="AA133" s="111"/>
      <c r="AB133" s="111" t="str">
        <f t="shared" ref="AB133:AB145" si="100">IF(H133="","",求节点($AT$107:$AT$145,AW$107:AW$145,$D133))</f>
        <v/>
      </c>
      <c r="AC133" s="111" t="str">
        <f t="shared" ref="AC133:AC145" si="101">IF(I133="","",求节点($AT$107:$AT$145,AX$107:AX$145,$D133))</f>
        <v/>
      </c>
      <c r="AD133" s="111">
        <f t="shared" ref="AD133:AD145" si="102">IF(J133="","",求节点($AT$107:$AT$145,AY$107:AY$145,$D133))</f>
        <v>2</v>
      </c>
      <c r="AE133" s="112"/>
      <c r="AF133" s="56"/>
      <c r="AG133" s="56"/>
      <c r="AH133" s="56"/>
      <c r="AI133" s="112">
        <f>MIN(求节点(武将天赋进度验证!$Q$5:$Q$164,武将天赋进度验证!$Y$5:$Y$164,$D133),武将天赋进度验证!AL123)</f>
        <v>1</v>
      </c>
      <c r="AJ133" s="56"/>
      <c r="AK133" s="56"/>
      <c r="AL133" s="56"/>
      <c r="AM133" s="56"/>
      <c r="AN133" s="56"/>
      <c r="AT133" s="56">
        <f t="shared" ref="AT133:AT145" si="103">AT88*0.95</f>
        <v>151.61999999999998</v>
      </c>
      <c r="AU133" s="56">
        <f t="shared" ref="AU133:AY133" si="104">IF(AU88="",0,AU88)</f>
        <v>0</v>
      </c>
      <c r="AV133" s="56">
        <f t="shared" si="104"/>
        <v>0</v>
      </c>
      <c r="AW133" s="56">
        <f t="shared" si="104"/>
        <v>2</v>
      </c>
      <c r="AX133" s="56">
        <f t="shared" si="104"/>
        <v>2</v>
      </c>
      <c r="AY133" s="56">
        <f t="shared" si="104"/>
        <v>2</v>
      </c>
    </row>
    <row r="134" spans="1:51" x14ac:dyDescent="0.15">
      <c r="A134" s="82">
        <f t="shared" si="64"/>
        <v>31</v>
      </c>
      <c r="C134" s="56">
        <f t="shared" si="99"/>
        <v>3178</v>
      </c>
      <c r="D134" s="56">
        <f>求节点(节奏总纲!$R$4:$R$163,节奏总纲!$O$4:$O$163,$C134)</f>
        <v>121.97211685892326</v>
      </c>
      <c r="F134" s="56"/>
      <c r="G134" s="56"/>
      <c r="H134" s="56"/>
      <c r="I134" s="56"/>
      <c r="J134" s="56">
        <v>6</v>
      </c>
      <c r="K134" s="56"/>
      <c r="L134" s="56"/>
      <c r="M134" s="56"/>
      <c r="N134" s="56"/>
      <c r="O134" s="56">
        <f>求节点(武将升星!H$104:H$112,武将升星!$C$104:$C$112,武将数量星级阶位验证!BM124/J134)</f>
        <v>8</v>
      </c>
      <c r="P134" s="110"/>
      <c r="Q134" s="110"/>
      <c r="R134" s="56" t="str">
        <f>IFERROR(MAX(0,求节点(武将进阶!F$4:F$8,武将进阶!$C$5:$C$9,W134)),"")</f>
        <v/>
      </c>
      <c r="S134" s="56" t="str">
        <f>IFERROR(MAX(0,求节点(武将进阶!G$4:G$8,武将进阶!$C$5:$C$9,X134)),"")</f>
        <v/>
      </c>
      <c r="T134" s="56">
        <f>IFERROR(MAX(0,求节点(武将进阶!H$4:H$8,武将进阶!$C$5:$C$9,Y134)),"")</f>
        <v>4.8788846743569305</v>
      </c>
      <c r="U134" s="56" t="str">
        <f>IF(F134="","",MIN($D134*2,武将进阶!D$10))</f>
        <v/>
      </c>
      <c r="V134" s="56" t="str">
        <f>IF(G134="","",MIN($D134*2,武将进阶!E$10))</f>
        <v/>
      </c>
      <c r="W134" s="56" t="str">
        <f>IF(H134="","",MIN($D134*2,武将进阶!F$10))</f>
        <v/>
      </c>
      <c r="X134" s="56" t="str">
        <f>IF(I134="","",MIN($D134*2,武将进阶!G$10))</f>
        <v/>
      </c>
      <c r="Y134" s="56">
        <f>IF(J134="","",MIN($D134*2,武将进阶!H$10))</f>
        <v>243.94423371784652</v>
      </c>
      <c r="Z134" s="111"/>
      <c r="AA134" s="111"/>
      <c r="AB134" s="111" t="str">
        <f t="shared" si="100"/>
        <v/>
      </c>
      <c r="AC134" s="111" t="str">
        <f t="shared" si="101"/>
        <v/>
      </c>
      <c r="AD134" s="111">
        <f t="shared" si="102"/>
        <v>2</v>
      </c>
      <c r="AE134" s="112"/>
      <c r="AF134" s="56"/>
      <c r="AG134" s="56"/>
      <c r="AH134" s="56"/>
      <c r="AI134" s="112">
        <f>MIN(求节点(武将天赋进度验证!$Q$5:$Q$164,武将天赋进度验证!$Y$5:$Y$164,$D134),武将天赋进度验证!AL124)</f>
        <v>1</v>
      </c>
      <c r="AJ134" s="56"/>
      <c r="AK134" s="56"/>
      <c r="AL134" s="56"/>
      <c r="AM134" s="56"/>
      <c r="AN134" s="56"/>
      <c r="AT134" s="56">
        <f t="shared" si="103"/>
        <v>158.83999999999997</v>
      </c>
      <c r="AU134" s="56">
        <f t="shared" ref="AU134:AY134" si="105">IF(AU89="",0,AU89)</f>
        <v>0</v>
      </c>
      <c r="AV134" s="56">
        <f t="shared" si="105"/>
        <v>0</v>
      </c>
      <c r="AW134" s="56">
        <f t="shared" si="105"/>
        <v>2</v>
      </c>
      <c r="AX134" s="56">
        <f t="shared" si="105"/>
        <v>2</v>
      </c>
      <c r="AY134" s="56">
        <f t="shared" si="105"/>
        <v>2</v>
      </c>
    </row>
    <row r="135" spans="1:51" x14ac:dyDescent="0.15">
      <c r="A135" s="82">
        <f t="shared" si="64"/>
        <v>32</v>
      </c>
      <c r="C135" s="56">
        <f t="shared" si="99"/>
        <v>4059.9999999999995</v>
      </c>
      <c r="D135" s="56">
        <f>求节点(节奏总纲!$R$4:$R$163,节奏总纲!$O$4:$O$163,$C135)</f>
        <v>125.41953077529134</v>
      </c>
      <c r="F135" s="56"/>
      <c r="G135" s="56"/>
      <c r="H135" s="56"/>
      <c r="I135" s="56"/>
      <c r="J135" s="56">
        <v>6</v>
      </c>
      <c r="K135" s="56"/>
      <c r="L135" s="56"/>
      <c r="M135" s="56"/>
      <c r="N135" s="56"/>
      <c r="O135" s="56">
        <f>求节点(武将升星!H$104:H$112,武将升星!$C$104:$C$112,武将数量星级阶位验证!BM125/J135)</f>
        <v>8</v>
      </c>
      <c r="P135" s="110"/>
      <c r="Q135" s="110"/>
      <c r="R135" s="56" t="str">
        <f>IFERROR(MAX(0,求节点(武将进阶!F$4:F$8,武将进阶!$C$5:$C$9,W135)),"")</f>
        <v/>
      </c>
      <c r="S135" s="56" t="str">
        <f>IFERROR(MAX(0,求节点(武将进阶!G$4:G$8,武将进阶!$C$5:$C$9,X135)),"")</f>
        <v/>
      </c>
      <c r="T135" s="56">
        <f>IFERROR(MAX(0,求节点(武将进阶!H$4:H$8,武将进阶!$C$5:$C$9,Y135)),"")</f>
        <v>5</v>
      </c>
      <c r="U135" s="56" t="str">
        <f>IF(F135="","",MIN($D135*2,武将进阶!D$10))</f>
        <v/>
      </c>
      <c r="V135" s="56" t="str">
        <f>IF(G135="","",MIN($D135*2,武将进阶!E$10))</f>
        <v/>
      </c>
      <c r="W135" s="56" t="str">
        <f>IF(H135="","",MIN($D135*2,武将进阶!F$10))</f>
        <v/>
      </c>
      <c r="X135" s="56" t="str">
        <f>IF(I135="","",MIN($D135*2,武将进阶!G$10))</f>
        <v/>
      </c>
      <c r="Y135" s="56">
        <f>IF(J135="","",MIN($D135*2,武将进阶!H$10))</f>
        <v>250.83906155058267</v>
      </c>
      <c r="Z135" s="111"/>
      <c r="AA135" s="111"/>
      <c r="AB135" s="111" t="str">
        <f t="shared" si="100"/>
        <v/>
      </c>
      <c r="AC135" s="111" t="str">
        <f t="shared" si="101"/>
        <v/>
      </c>
      <c r="AD135" s="111">
        <f t="shared" si="102"/>
        <v>2</v>
      </c>
      <c r="AE135" s="112"/>
      <c r="AF135" s="56"/>
      <c r="AG135" s="56"/>
      <c r="AH135" s="56"/>
      <c r="AI135" s="112">
        <f>MIN(求节点(武将天赋进度验证!$Q$5:$Q$164,武将天赋进度验证!$Y$5:$Y$164,$D135),武将天赋进度验证!AL125)</f>
        <v>1</v>
      </c>
      <c r="AJ135" s="56"/>
      <c r="AK135" s="56"/>
      <c r="AL135" s="56"/>
      <c r="AM135" s="56"/>
      <c r="AN135" s="56"/>
      <c r="AT135" s="56">
        <f t="shared" si="103"/>
        <v>166.05999999999997</v>
      </c>
      <c r="AU135" s="56">
        <f t="shared" ref="AU135:AY135" si="106">IF(AU90="",0,AU90)</f>
        <v>0</v>
      </c>
      <c r="AV135" s="56">
        <f t="shared" si="106"/>
        <v>0</v>
      </c>
      <c r="AW135" s="56">
        <f t="shared" si="106"/>
        <v>2</v>
      </c>
      <c r="AX135" s="56">
        <f t="shared" si="106"/>
        <v>2</v>
      </c>
      <c r="AY135" s="56">
        <f t="shared" si="106"/>
        <v>2</v>
      </c>
    </row>
    <row r="136" spans="1:51" x14ac:dyDescent="0.15">
      <c r="A136" s="82">
        <f t="shared" si="64"/>
        <v>33</v>
      </c>
      <c r="C136" s="56">
        <f t="shared" si="99"/>
        <v>5194</v>
      </c>
      <c r="D136" s="56">
        <f>求节点(节奏总纲!$R$4:$R$163,节奏总纲!$O$4:$O$163,$C136)</f>
        <v>129.09045404756728</v>
      </c>
      <c r="F136" s="56"/>
      <c r="G136" s="56"/>
      <c r="H136" s="56"/>
      <c r="I136" s="56"/>
      <c r="J136" s="56">
        <v>6</v>
      </c>
      <c r="K136" s="56"/>
      <c r="L136" s="56"/>
      <c r="M136" s="56"/>
      <c r="N136" s="56"/>
      <c r="O136" s="56">
        <f>求节点(武将升星!H$104:H$112,武将升星!$C$104:$C$112,武将数量星级阶位验证!BM126/J136)</f>
        <v>8</v>
      </c>
      <c r="P136" s="110"/>
      <c r="Q136" s="110"/>
      <c r="R136" s="56" t="str">
        <f>IFERROR(MAX(0,求节点(武将进阶!F$4:F$8,武将进阶!$C$5:$C$9,W136)),"")</f>
        <v/>
      </c>
      <c r="S136" s="56" t="str">
        <f>IFERROR(MAX(0,求节点(武将进阶!G$4:G$8,武将进阶!$C$5:$C$9,X136)),"")</f>
        <v/>
      </c>
      <c r="T136" s="56">
        <f>IFERROR(MAX(0,求节点(武将进阶!H$4:H$8,武将进阶!$C$5:$C$9,Y136)),"")</f>
        <v>5</v>
      </c>
      <c r="U136" s="56" t="str">
        <f>IF(F136="","",MIN($D136*2,武将进阶!D$10))</f>
        <v/>
      </c>
      <c r="V136" s="56" t="str">
        <f>IF(G136="","",MIN($D136*2,武将进阶!E$10))</f>
        <v/>
      </c>
      <c r="W136" s="56" t="str">
        <f>IF(H136="","",MIN($D136*2,武将进阶!F$10))</f>
        <v/>
      </c>
      <c r="X136" s="56" t="str">
        <f>IF(I136="","",MIN($D136*2,武将进阶!G$10))</f>
        <v/>
      </c>
      <c r="Y136" s="56">
        <f>IF(J136="","",MIN($D136*2,武将进阶!H$10))</f>
        <v>258.18090809513455</v>
      </c>
      <c r="Z136" s="111"/>
      <c r="AA136" s="111"/>
      <c r="AB136" s="111" t="str">
        <f t="shared" si="100"/>
        <v/>
      </c>
      <c r="AC136" s="111" t="str">
        <f t="shared" si="101"/>
        <v/>
      </c>
      <c r="AD136" s="111">
        <f t="shared" si="102"/>
        <v>2</v>
      </c>
      <c r="AE136" s="112"/>
      <c r="AF136" s="56"/>
      <c r="AG136" s="56"/>
      <c r="AH136" s="56"/>
      <c r="AI136" s="112">
        <f>MIN(求节点(武将天赋进度验证!$Q$5:$Q$164,武将天赋进度验证!$Y$5:$Y$164,$D136),武将天赋进度验证!AL126)</f>
        <v>1</v>
      </c>
      <c r="AJ136" s="56"/>
      <c r="AK136" s="56"/>
      <c r="AL136" s="56"/>
      <c r="AM136" s="56"/>
      <c r="AN136" s="56"/>
      <c r="AT136" s="56">
        <f t="shared" si="103"/>
        <v>173.27999999999997</v>
      </c>
      <c r="AU136" s="56">
        <f t="shared" ref="AU136:AY136" si="107">IF(AU91="",0,AU91)</f>
        <v>0</v>
      </c>
      <c r="AV136" s="56">
        <f t="shared" si="107"/>
        <v>0</v>
      </c>
      <c r="AW136" s="56">
        <f t="shared" si="107"/>
        <v>2</v>
      </c>
      <c r="AX136" s="56">
        <f t="shared" si="107"/>
        <v>2</v>
      </c>
      <c r="AY136" s="56">
        <f t="shared" si="107"/>
        <v>2</v>
      </c>
    </row>
    <row r="137" spans="1:51" x14ac:dyDescent="0.15">
      <c r="A137" s="82">
        <f t="shared" si="64"/>
        <v>34</v>
      </c>
      <c r="C137" s="56">
        <f t="shared" si="99"/>
        <v>6622</v>
      </c>
      <c r="D137" s="56">
        <f>求节点(节奏总纲!$R$4:$R$163,节奏总纲!$O$4:$O$163,$C137)</f>
        <v>132.53488795708068</v>
      </c>
      <c r="F137" s="56"/>
      <c r="G137" s="56"/>
      <c r="H137" s="56"/>
      <c r="I137" s="56"/>
      <c r="J137" s="56">
        <v>6</v>
      </c>
      <c r="K137" s="56"/>
      <c r="L137" s="56"/>
      <c r="M137" s="56"/>
      <c r="N137" s="56"/>
      <c r="O137" s="56">
        <f>求节点(武将升星!H$104:H$112,武将升星!$C$104:$C$112,武将数量星级阶位验证!BM127/J137)</f>
        <v>8</v>
      </c>
      <c r="P137" s="110"/>
      <c r="Q137" s="110"/>
      <c r="R137" s="56" t="str">
        <f>IFERROR(MAX(0,求节点(武将进阶!F$4:F$8,武将进阶!$C$5:$C$9,W137)),"")</f>
        <v/>
      </c>
      <c r="S137" s="56" t="str">
        <f>IFERROR(MAX(0,求节点(武将进阶!G$4:G$8,武将进阶!$C$5:$C$9,X137)),"")</f>
        <v/>
      </c>
      <c r="T137" s="56">
        <f>IFERROR(MAX(0,求节点(武将进阶!H$4:H$8,武将进阶!$C$5:$C$9,Y137)),"")</f>
        <v>5</v>
      </c>
      <c r="U137" s="56" t="str">
        <f>IF(F137="","",MIN($D137*2,武将进阶!D$10))</f>
        <v/>
      </c>
      <c r="V137" s="56" t="str">
        <f>IF(G137="","",MIN($D137*2,武将进阶!E$10))</f>
        <v/>
      </c>
      <c r="W137" s="56" t="str">
        <f>IF(H137="","",MIN($D137*2,武将进阶!F$10))</f>
        <v/>
      </c>
      <c r="X137" s="56" t="str">
        <f>IF(I137="","",MIN($D137*2,武将进阶!G$10))</f>
        <v/>
      </c>
      <c r="Y137" s="56">
        <f>IF(J137="","",MIN($D137*2,武将进阶!H$10))</f>
        <v>265.06977591416137</v>
      </c>
      <c r="Z137" s="111"/>
      <c r="AA137" s="111"/>
      <c r="AB137" s="111" t="str">
        <f t="shared" si="100"/>
        <v/>
      </c>
      <c r="AC137" s="111" t="str">
        <f t="shared" si="101"/>
        <v/>
      </c>
      <c r="AD137" s="111">
        <f t="shared" si="102"/>
        <v>2</v>
      </c>
      <c r="AE137" s="112"/>
      <c r="AF137" s="56"/>
      <c r="AG137" s="56"/>
      <c r="AH137" s="56"/>
      <c r="AI137" s="112">
        <f>MIN(求节点(武将天赋进度验证!$Q$5:$Q$164,武将天赋进度验证!$Y$5:$Y$164,$D137),武将天赋进度验证!AL127)</f>
        <v>1</v>
      </c>
      <c r="AJ137" s="56"/>
      <c r="AK137" s="56"/>
      <c r="AL137" s="56"/>
      <c r="AM137" s="56"/>
      <c r="AN137" s="56"/>
      <c r="AT137" s="56">
        <f t="shared" si="103"/>
        <v>180.5</v>
      </c>
      <c r="AU137" s="56">
        <f t="shared" ref="AU137:AY137" si="108">IF(AU92="",0,AU92)</f>
        <v>0</v>
      </c>
      <c r="AV137" s="56">
        <f t="shared" si="108"/>
        <v>0</v>
      </c>
      <c r="AW137" s="56">
        <f t="shared" si="108"/>
        <v>2</v>
      </c>
      <c r="AX137" s="56">
        <f t="shared" si="108"/>
        <v>2</v>
      </c>
      <c r="AY137" s="56">
        <f t="shared" si="108"/>
        <v>2</v>
      </c>
    </row>
    <row r="138" spans="1:51" x14ac:dyDescent="0.15">
      <c r="A138" s="82">
        <f t="shared" si="64"/>
        <v>35</v>
      </c>
      <c r="C138" s="56">
        <f t="shared" si="99"/>
        <v>8428</v>
      </c>
      <c r="D138" s="56">
        <f>求节点(节奏总纲!$R$4:$R$163,节奏总纲!$O$4:$O$163,$C138)</f>
        <v>136.07141427598387</v>
      </c>
      <c r="F138" s="56"/>
      <c r="G138" s="56"/>
      <c r="H138" s="56"/>
      <c r="I138" s="56"/>
      <c r="J138" s="56">
        <v>6</v>
      </c>
      <c r="K138" s="56"/>
      <c r="L138" s="56"/>
      <c r="M138" s="56"/>
      <c r="N138" s="56"/>
      <c r="O138" s="56">
        <f>求节点(武将升星!H$104:H$112,武将升星!$C$104:$C$112,武将数量星级阶位验证!BM128/J138)</f>
        <v>8</v>
      </c>
      <c r="P138" s="110"/>
      <c r="Q138" s="110"/>
      <c r="R138" s="56" t="str">
        <f>IFERROR(MAX(0,求节点(武将进阶!F$4:F$8,武将进阶!$C$5:$C$9,W138)),"")</f>
        <v/>
      </c>
      <c r="S138" s="56" t="str">
        <f>IFERROR(MAX(0,求节点(武将进阶!G$4:G$8,武将进阶!$C$5:$C$9,X138)),"")</f>
        <v/>
      </c>
      <c r="T138" s="56">
        <f>IFERROR(MAX(0,求节点(武将进阶!H$4:H$8,武将进阶!$C$5:$C$9,Y138)),"")</f>
        <v>5</v>
      </c>
      <c r="U138" s="56" t="str">
        <f>IF(F138="","",MIN($D138*2,武将进阶!D$10))</f>
        <v/>
      </c>
      <c r="V138" s="56" t="str">
        <f>IF(G138="","",MIN($D138*2,武将进阶!E$10))</f>
        <v/>
      </c>
      <c r="W138" s="56" t="str">
        <f>IF(H138="","",MIN($D138*2,武将进阶!F$10))</f>
        <v/>
      </c>
      <c r="X138" s="56" t="str">
        <f>IF(I138="","",MIN($D138*2,武将进阶!G$10))</f>
        <v/>
      </c>
      <c r="Y138" s="56">
        <f>IF(J138="","",MIN($D138*2,武将进阶!H$10))</f>
        <v>272.14282855196774</v>
      </c>
      <c r="Z138" s="111"/>
      <c r="AA138" s="111"/>
      <c r="AB138" s="111" t="str">
        <f t="shared" si="100"/>
        <v/>
      </c>
      <c r="AC138" s="111" t="str">
        <f t="shared" si="101"/>
        <v/>
      </c>
      <c r="AD138" s="111">
        <f t="shared" si="102"/>
        <v>2</v>
      </c>
      <c r="AE138" s="112"/>
      <c r="AF138" s="56"/>
      <c r="AG138" s="56"/>
      <c r="AH138" s="56"/>
      <c r="AI138" s="112">
        <f>MIN(求节点(武将天赋进度验证!$Q$5:$Q$164,武将天赋进度验证!$Y$5:$Y$164,$D138),武将天赋进度验证!AL128)</f>
        <v>1</v>
      </c>
      <c r="AJ138" s="56"/>
      <c r="AK138" s="56"/>
      <c r="AL138" s="56"/>
      <c r="AM138" s="56"/>
      <c r="AN138" s="56"/>
      <c r="AT138" s="56">
        <f t="shared" si="103"/>
        <v>187.72</v>
      </c>
      <c r="AU138" s="56">
        <f t="shared" ref="AU138:AY138" si="109">IF(AU93="",0,AU93)</f>
        <v>0</v>
      </c>
      <c r="AV138" s="56">
        <f t="shared" si="109"/>
        <v>0</v>
      </c>
      <c r="AW138" s="56">
        <f t="shared" si="109"/>
        <v>2</v>
      </c>
      <c r="AX138" s="56">
        <f t="shared" si="109"/>
        <v>2</v>
      </c>
      <c r="AY138" s="56">
        <f t="shared" si="109"/>
        <v>2</v>
      </c>
    </row>
    <row r="139" spans="1:51" x14ac:dyDescent="0.15">
      <c r="A139" s="82">
        <f t="shared" si="64"/>
        <v>36</v>
      </c>
      <c r="C139" s="56">
        <f t="shared" si="99"/>
        <v>10738</v>
      </c>
      <c r="D139" s="56">
        <f>求节点(节奏总纲!$R$4:$R$163,节奏总纲!$O$4:$O$163,$C139)</f>
        <v>139.56936219880694</v>
      </c>
      <c r="F139" s="56"/>
      <c r="G139" s="56"/>
      <c r="H139" s="56"/>
      <c r="I139" s="56"/>
      <c r="J139" s="56">
        <v>6</v>
      </c>
      <c r="K139" s="56"/>
      <c r="L139" s="56"/>
      <c r="M139" s="56"/>
      <c r="N139" s="56"/>
      <c r="O139" s="56">
        <f>求节点(武将升星!H$104:H$112,武将升星!$C$104:$C$112,武将数量星级阶位验证!BM129/J139)</f>
        <v>8</v>
      </c>
      <c r="P139" s="110"/>
      <c r="Q139" s="110"/>
      <c r="R139" s="56" t="str">
        <f>IFERROR(MAX(0,求节点(武将进阶!F$4:F$8,武将进阶!$C$5:$C$9,W139)),"")</f>
        <v/>
      </c>
      <c r="S139" s="56" t="str">
        <f>IFERROR(MAX(0,求节点(武将进阶!G$4:G$8,武将进阶!$C$5:$C$9,X139)),"")</f>
        <v/>
      </c>
      <c r="T139" s="56">
        <f>IFERROR(MAX(0,求节点(武将进阶!H$4:H$8,武将进阶!$C$5:$C$9,Y139)),"")</f>
        <v>5</v>
      </c>
      <c r="U139" s="56" t="str">
        <f>IF(F139="","",MIN($D139*2,武将进阶!D$10))</f>
        <v/>
      </c>
      <c r="V139" s="56" t="str">
        <f>IF(G139="","",MIN($D139*2,武将进阶!E$10))</f>
        <v/>
      </c>
      <c r="W139" s="56" t="str">
        <f>IF(H139="","",MIN($D139*2,武将进阶!F$10))</f>
        <v/>
      </c>
      <c r="X139" s="56" t="str">
        <f>IF(I139="","",MIN($D139*2,武将进阶!G$10))</f>
        <v/>
      </c>
      <c r="Y139" s="56">
        <f>IF(J139="","",MIN($D139*2,武将进阶!H$10))</f>
        <v>279.13872439761388</v>
      </c>
      <c r="Z139" s="111"/>
      <c r="AA139" s="111"/>
      <c r="AB139" s="111" t="str">
        <f t="shared" si="100"/>
        <v/>
      </c>
      <c r="AC139" s="111" t="str">
        <f t="shared" si="101"/>
        <v/>
      </c>
      <c r="AD139" s="111">
        <f t="shared" si="102"/>
        <v>2</v>
      </c>
      <c r="AE139" s="112"/>
      <c r="AF139" s="56"/>
      <c r="AG139" s="56"/>
      <c r="AH139" s="56"/>
      <c r="AI139" s="112">
        <f>MIN(求节点(武将天赋进度验证!$Q$5:$Q$164,武将天赋进度验证!$Y$5:$Y$164,$D139),武将天赋进度验证!AL129)</f>
        <v>1</v>
      </c>
      <c r="AJ139" s="56"/>
      <c r="AK139" s="56"/>
      <c r="AL139" s="56"/>
      <c r="AM139" s="56"/>
      <c r="AN139" s="56"/>
      <c r="AT139" s="56">
        <f t="shared" si="103"/>
        <v>194.93999999999997</v>
      </c>
      <c r="AU139" s="56">
        <f t="shared" ref="AU139:AY139" si="110">IF(AU94="",0,AU94)</f>
        <v>0</v>
      </c>
      <c r="AV139" s="56">
        <f t="shared" si="110"/>
        <v>0</v>
      </c>
      <c r="AW139" s="56">
        <f t="shared" si="110"/>
        <v>2</v>
      </c>
      <c r="AX139" s="56">
        <f t="shared" si="110"/>
        <v>2</v>
      </c>
      <c r="AY139" s="56">
        <f t="shared" si="110"/>
        <v>2</v>
      </c>
    </row>
    <row r="140" spans="1:51" x14ac:dyDescent="0.15">
      <c r="A140" s="82">
        <f t="shared" si="64"/>
        <v>37</v>
      </c>
      <c r="C140" s="56">
        <f t="shared" si="99"/>
        <v>13678</v>
      </c>
      <c r="D140" s="56">
        <f>求节点(节奏总纲!$R$4:$R$163,节奏总纲!$O$4:$O$163,$C140)</f>
        <v>143.08413721822018</v>
      </c>
      <c r="F140" s="56"/>
      <c r="G140" s="56"/>
      <c r="H140" s="56"/>
      <c r="I140" s="56"/>
      <c r="J140" s="56">
        <v>6</v>
      </c>
      <c r="K140" s="56"/>
      <c r="L140" s="56"/>
      <c r="M140" s="56"/>
      <c r="N140" s="56"/>
      <c r="O140" s="56">
        <f>求节点(武将升星!H$104:H$112,武将升星!$C$104:$C$112,武将数量星级阶位验证!BM130/J140)</f>
        <v>8</v>
      </c>
      <c r="P140" s="110"/>
      <c r="Q140" s="110"/>
      <c r="R140" s="56" t="str">
        <f>IFERROR(MAX(0,求节点(武将进阶!F$4:F$8,武将进阶!$C$5:$C$9,W140)),"")</f>
        <v/>
      </c>
      <c r="S140" s="56" t="str">
        <f>IFERROR(MAX(0,求节点(武将进阶!G$4:G$8,武将进阶!$C$5:$C$9,X140)),"")</f>
        <v/>
      </c>
      <c r="T140" s="56">
        <f>IFERROR(MAX(0,求节点(武将进阶!H$4:H$8,武将进阶!$C$5:$C$9,Y140)),"")</f>
        <v>5</v>
      </c>
      <c r="U140" s="56" t="str">
        <f>IF(F140="","",MIN($D140*2,武将进阶!D$10))</f>
        <v/>
      </c>
      <c r="V140" s="56" t="str">
        <f>IF(G140="","",MIN($D140*2,武将进阶!E$10))</f>
        <v/>
      </c>
      <c r="W140" s="56" t="str">
        <f>IF(H140="","",MIN($D140*2,武将进阶!F$10))</f>
        <v/>
      </c>
      <c r="X140" s="56" t="str">
        <f>IF(I140="","",MIN($D140*2,武将进阶!G$10))</f>
        <v/>
      </c>
      <c r="Y140" s="56">
        <f>IF(J140="","",MIN($D140*2,武将进阶!H$10))</f>
        <v>286.16827443644036</v>
      </c>
      <c r="Z140" s="111"/>
      <c r="AA140" s="111"/>
      <c r="AB140" s="111" t="str">
        <f t="shared" si="100"/>
        <v/>
      </c>
      <c r="AC140" s="111" t="str">
        <f t="shared" si="101"/>
        <v/>
      </c>
      <c r="AD140" s="111">
        <f t="shared" si="102"/>
        <v>2</v>
      </c>
      <c r="AE140" s="112"/>
      <c r="AF140" s="56"/>
      <c r="AG140" s="56"/>
      <c r="AH140" s="56"/>
      <c r="AI140" s="112">
        <f>MIN(求节点(武将天赋进度验证!$Q$5:$Q$164,武将天赋进度验证!$Y$5:$Y$164,$D140),武将天赋进度验证!AL130)</f>
        <v>1</v>
      </c>
      <c r="AJ140" s="56"/>
      <c r="AK140" s="56"/>
      <c r="AL140" s="56"/>
      <c r="AM140" s="56"/>
      <c r="AN140" s="56"/>
      <c r="AT140" s="56">
        <f t="shared" si="103"/>
        <v>202.15999999999997</v>
      </c>
      <c r="AU140" s="56">
        <f t="shared" ref="AU140:AY140" si="111">IF(AU95="",0,AU95)</f>
        <v>0</v>
      </c>
      <c r="AV140" s="56">
        <f t="shared" si="111"/>
        <v>0</v>
      </c>
      <c r="AW140" s="56">
        <f t="shared" si="111"/>
        <v>2</v>
      </c>
      <c r="AX140" s="56">
        <f t="shared" si="111"/>
        <v>2</v>
      </c>
      <c r="AY140" s="56">
        <f t="shared" si="111"/>
        <v>2</v>
      </c>
    </row>
    <row r="141" spans="1:51" x14ac:dyDescent="0.15">
      <c r="A141" s="82">
        <f t="shared" si="64"/>
        <v>38</v>
      </c>
      <c r="C141" s="56">
        <f t="shared" si="99"/>
        <v>17416</v>
      </c>
      <c r="D141" s="56">
        <f>求节点(节奏总纲!$R$4:$R$163,节奏总纲!$O$4:$O$163,$C141)</f>
        <v>146.62302564097175</v>
      </c>
      <c r="F141" s="56"/>
      <c r="G141" s="56"/>
      <c r="H141" s="56"/>
      <c r="I141" s="56"/>
      <c r="J141" s="56">
        <v>6</v>
      </c>
      <c r="K141" s="56"/>
      <c r="L141" s="56"/>
      <c r="M141" s="56"/>
      <c r="N141" s="56"/>
      <c r="O141" s="56">
        <f>求节点(武将升星!H$104:H$112,武将升星!$C$104:$C$112,武将数量星级阶位验证!BM131/J141)</f>
        <v>8</v>
      </c>
      <c r="P141" s="110"/>
      <c r="Q141" s="110"/>
      <c r="R141" s="56" t="str">
        <f>IFERROR(MAX(0,求节点(武将进阶!F$4:F$8,武将进阶!$C$5:$C$9,W141)),"")</f>
        <v/>
      </c>
      <c r="S141" s="56" t="str">
        <f>IFERROR(MAX(0,求节点(武将进阶!G$4:G$8,武将进阶!$C$5:$C$9,X141)),"")</f>
        <v/>
      </c>
      <c r="T141" s="56">
        <f>IFERROR(MAX(0,求节点(武将进阶!H$4:H$8,武将进阶!$C$5:$C$9,Y141)),"")</f>
        <v>5</v>
      </c>
      <c r="U141" s="56" t="str">
        <f>IF(F141="","",MIN($D141*2,武将进阶!D$10))</f>
        <v/>
      </c>
      <c r="V141" s="56" t="str">
        <f>IF(G141="","",MIN($D141*2,武将进阶!E$10))</f>
        <v/>
      </c>
      <c r="W141" s="56" t="str">
        <f>IF(H141="","",MIN($D141*2,武将进阶!F$10))</f>
        <v/>
      </c>
      <c r="X141" s="56" t="str">
        <f>IF(I141="","",MIN($D141*2,武将进阶!G$10))</f>
        <v/>
      </c>
      <c r="Y141" s="56">
        <f>IF(J141="","",MIN($D141*2,武将进阶!H$10))</f>
        <v>293.24605128194349</v>
      </c>
      <c r="Z141" s="111"/>
      <c r="AA141" s="111"/>
      <c r="AB141" s="111" t="str">
        <f t="shared" si="100"/>
        <v/>
      </c>
      <c r="AC141" s="111" t="str">
        <f t="shared" si="101"/>
        <v/>
      </c>
      <c r="AD141" s="111">
        <f t="shared" si="102"/>
        <v>2</v>
      </c>
      <c r="AE141" s="112"/>
      <c r="AF141" s="56"/>
      <c r="AG141" s="56"/>
      <c r="AH141" s="56"/>
      <c r="AI141" s="112">
        <f>MIN(求节点(武将天赋进度验证!$Q$5:$Q$164,武将天赋进度验证!$Y$5:$Y$164,$D141),武将天赋进度验证!AL131)</f>
        <v>1</v>
      </c>
      <c r="AJ141" s="56"/>
      <c r="AK141" s="56"/>
      <c r="AL141" s="56"/>
      <c r="AM141" s="56"/>
      <c r="AN141" s="56"/>
      <c r="AT141" s="56">
        <f t="shared" si="103"/>
        <v>209.37999999999997</v>
      </c>
      <c r="AU141" s="56">
        <f t="shared" ref="AU141:AY141" si="112">IF(AU96="",0,AU96)</f>
        <v>0</v>
      </c>
      <c r="AV141" s="56">
        <f t="shared" si="112"/>
        <v>0</v>
      </c>
      <c r="AW141" s="56">
        <f t="shared" si="112"/>
        <v>2</v>
      </c>
      <c r="AX141" s="56">
        <f t="shared" si="112"/>
        <v>2</v>
      </c>
      <c r="AY141" s="56">
        <f t="shared" si="112"/>
        <v>2</v>
      </c>
    </row>
    <row r="142" spans="1:51" x14ac:dyDescent="0.15">
      <c r="A142" s="82">
        <f t="shared" si="64"/>
        <v>39</v>
      </c>
      <c r="C142" s="56">
        <f t="shared" si="99"/>
        <v>22204</v>
      </c>
      <c r="D142" s="56">
        <f>求节点(节奏总纲!$R$4:$R$163,节奏总纲!$O$4:$O$163,$C142)</f>
        <v>150.12999034316616</v>
      </c>
      <c r="F142" s="56"/>
      <c r="G142" s="56"/>
      <c r="H142" s="56"/>
      <c r="I142" s="56"/>
      <c r="J142" s="56">
        <v>6</v>
      </c>
      <c r="K142" s="56"/>
      <c r="L142" s="56"/>
      <c r="M142" s="56"/>
      <c r="N142" s="56"/>
      <c r="O142" s="56">
        <f>求节点(武将升星!H$104:H$112,武将升星!$C$104:$C$112,武将数量星级阶位验证!BM132/J142)</f>
        <v>8</v>
      </c>
      <c r="P142" s="110"/>
      <c r="Q142" s="110"/>
      <c r="R142" s="56" t="str">
        <f>IFERROR(MAX(0,求节点(武将进阶!F$4:F$8,武将进阶!$C$5:$C$9,W142)),"")</f>
        <v/>
      </c>
      <c r="S142" s="56" t="str">
        <f>IFERROR(MAX(0,求节点(武将进阶!G$4:G$8,武将进阶!$C$5:$C$9,X142)),"")</f>
        <v/>
      </c>
      <c r="T142" s="56">
        <f>IFERROR(MAX(0,求节点(武将进阶!H$4:H$8,武将进阶!$C$5:$C$9,Y142)),"")</f>
        <v>5</v>
      </c>
      <c r="U142" s="56" t="str">
        <f>IF(F142="","",MIN($D142*2,武将进阶!D$10))</f>
        <v/>
      </c>
      <c r="V142" s="56" t="str">
        <f>IF(G142="","",MIN($D142*2,武将进阶!E$10))</f>
        <v/>
      </c>
      <c r="W142" s="56" t="str">
        <f>IF(H142="","",MIN($D142*2,武将进阶!F$10))</f>
        <v/>
      </c>
      <c r="X142" s="56" t="str">
        <f>IF(I142="","",MIN($D142*2,武将进阶!G$10))</f>
        <v/>
      </c>
      <c r="Y142" s="56">
        <f>IF(J142="","",MIN($D142*2,武将进阶!H$10))</f>
        <v>300</v>
      </c>
      <c r="Z142" s="111"/>
      <c r="AA142" s="111"/>
      <c r="AB142" s="111" t="str">
        <f t="shared" si="100"/>
        <v/>
      </c>
      <c r="AC142" s="111" t="str">
        <f t="shared" si="101"/>
        <v/>
      </c>
      <c r="AD142" s="111">
        <f t="shared" si="102"/>
        <v>2</v>
      </c>
      <c r="AE142" s="112"/>
      <c r="AF142" s="56"/>
      <c r="AG142" s="56"/>
      <c r="AH142" s="56"/>
      <c r="AI142" s="112">
        <f>MIN(求节点(武将天赋进度验证!$Q$5:$Q$164,武将天赋进度验证!$Y$5:$Y$164,$D142),武将天赋进度验证!AL132)</f>
        <v>1</v>
      </c>
      <c r="AJ142" s="56"/>
      <c r="AK142" s="56"/>
      <c r="AL142" s="56"/>
      <c r="AM142" s="56"/>
      <c r="AN142" s="56"/>
      <c r="AT142" s="56">
        <f t="shared" si="103"/>
        <v>216.6</v>
      </c>
      <c r="AU142" s="56">
        <f t="shared" ref="AU142:AY142" si="113">IF(AU97="",0,AU97)</f>
        <v>0</v>
      </c>
      <c r="AV142" s="56">
        <f t="shared" si="113"/>
        <v>0</v>
      </c>
      <c r="AW142" s="56">
        <f t="shared" si="113"/>
        <v>2</v>
      </c>
      <c r="AX142" s="56">
        <f t="shared" si="113"/>
        <v>2</v>
      </c>
      <c r="AY142" s="56">
        <f t="shared" si="113"/>
        <v>2</v>
      </c>
    </row>
    <row r="143" spans="1:51" x14ac:dyDescent="0.15">
      <c r="A143" s="82">
        <f t="shared" si="64"/>
        <v>40</v>
      </c>
      <c r="C143" s="56">
        <f t="shared" si="99"/>
        <v>28294</v>
      </c>
      <c r="D143" s="56">
        <f>求节点(节奏总纲!$R$4:$R$163,节奏总纲!$O$4:$O$163,$C143)</f>
        <v>153.11600330857166</v>
      </c>
      <c r="F143" s="56"/>
      <c r="G143" s="56"/>
      <c r="H143" s="56"/>
      <c r="I143" s="56"/>
      <c r="J143" s="56">
        <v>6</v>
      </c>
      <c r="K143" s="56"/>
      <c r="L143" s="56"/>
      <c r="M143" s="56"/>
      <c r="N143" s="56"/>
      <c r="O143" s="56">
        <f>求节点(武将升星!H$104:H$112,武将升星!$C$104:$C$112,武将数量星级阶位验证!BM133/J143)</f>
        <v>8</v>
      </c>
      <c r="P143" s="110"/>
      <c r="Q143" s="110"/>
      <c r="R143" s="56" t="str">
        <f>IFERROR(MAX(0,求节点(武将进阶!F$4:F$8,武将进阶!$C$5:$C$9,W143)),"")</f>
        <v/>
      </c>
      <c r="S143" s="56" t="str">
        <f>IFERROR(MAX(0,求节点(武将进阶!G$4:G$8,武将进阶!$C$5:$C$9,X143)),"")</f>
        <v/>
      </c>
      <c r="T143" s="56">
        <f>IFERROR(MAX(0,求节点(武将进阶!H$4:H$8,武将进阶!$C$5:$C$9,Y143)),"")</f>
        <v>5</v>
      </c>
      <c r="U143" s="56" t="str">
        <f>IF(F143="","",MIN($D143*2,武将进阶!D$10))</f>
        <v/>
      </c>
      <c r="V143" s="56" t="str">
        <f>IF(G143="","",MIN($D143*2,武将进阶!E$10))</f>
        <v/>
      </c>
      <c r="W143" s="56" t="str">
        <f>IF(H143="","",MIN($D143*2,武将进阶!F$10))</f>
        <v/>
      </c>
      <c r="X143" s="56" t="str">
        <f>IF(I143="","",MIN($D143*2,武将进阶!G$10))</f>
        <v/>
      </c>
      <c r="Y143" s="56">
        <f>IF(J143="","",MIN($D143*2,武将进阶!H$10))</f>
        <v>300</v>
      </c>
      <c r="Z143" s="111"/>
      <c r="AA143" s="111"/>
      <c r="AB143" s="111" t="str">
        <f t="shared" si="100"/>
        <v/>
      </c>
      <c r="AC143" s="111" t="str">
        <f t="shared" si="101"/>
        <v/>
      </c>
      <c r="AD143" s="111">
        <f t="shared" si="102"/>
        <v>2</v>
      </c>
      <c r="AE143" s="112"/>
      <c r="AF143" s="56"/>
      <c r="AG143" s="56"/>
      <c r="AH143" s="56"/>
      <c r="AI143" s="112">
        <f>MIN(求节点(武将天赋进度验证!$Q$5:$Q$164,武将天赋进度验证!$Y$5:$Y$164,$D143),武将天赋进度验证!AL133)</f>
        <v>1</v>
      </c>
      <c r="AJ143" s="56"/>
      <c r="AK143" s="56"/>
      <c r="AL143" s="56"/>
      <c r="AM143" s="56"/>
      <c r="AN143" s="56"/>
      <c r="AT143" s="56">
        <f t="shared" si="103"/>
        <v>223.82</v>
      </c>
      <c r="AU143" s="56">
        <f t="shared" ref="AU143:AY143" si="114">IF(AU98="",0,AU98)</f>
        <v>0</v>
      </c>
      <c r="AV143" s="56">
        <f t="shared" si="114"/>
        <v>0</v>
      </c>
      <c r="AW143" s="56">
        <f t="shared" si="114"/>
        <v>2</v>
      </c>
      <c r="AX143" s="56">
        <f t="shared" si="114"/>
        <v>2</v>
      </c>
      <c r="AY143" s="56">
        <f t="shared" si="114"/>
        <v>2</v>
      </c>
    </row>
    <row r="144" spans="1:51" x14ac:dyDescent="0.15">
      <c r="A144" s="82">
        <f t="shared" si="64"/>
        <v>41</v>
      </c>
      <c r="C144" s="56">
        <f t="shared" si="99"/>
        <v>36064</v>
      </c>
      <c r="D144" s="56">
        <f>求节点(节奏总纲!$R$4:$R$163,节奏总纲!$O$4:$O$163,$C144)</f>
        <v>154.20294442048996</v>
      </c>
      <c r="F144" s="56"/>
      <c r="G144" s="56"/>
      <c r="H144" s="56"/>
      <c r="I144" s="56"/>
      <c r="J144" s="56">
        <v>6</v>
      </c>
      <c r="K144" s="56"/>
      <c r="L144" s="56"/>
      <c r="M144" s="56"/>
      <c r="N144" s="56"/>
      <c r="O144" s="56">
        <f>求节点(武将升星!H$104:H$112,武将升星!$C$104:$C$112,武将数量星级阶位验证!BM134/J144)</f>
        <v>8</v>
      </c>
      <c r="P144" s="110"/>
      <c r="Q144" s="110"/>
      <c r="R144" s="56" t="str">
        <f>IFERROR(MAX(0,求节点(武将进阶!F$4:F$8,武将进阶!$C$5:$C$9,W144)),"")</f>
        <v/>
      </c>
      <c r="S144" s="56" t="str">
        <f>IFERROR(MAX(0,求节点(武将进阶!G$4:G$8,武将进阶!$C$5:$C$9,X144)),"")</f>
        <v/>
      </c>
      <c r="T144" s="56">
        <f>IFERROR(MAX(0,求节点(武将进阶!H$4:H$8,武将进阶!$C$5:$C$9,Y144)),"")</f>
        <v>5</v>
      </c>
      <c r="U144" s="56" t="str">
        <f>IF(F144="","",MIN($D144*2,武将进阶!D$10))</f>
        <v/>
      </c>
      <c r="V144" s="56" t="str">
        <f>IF(G144="","",MIN($D144*2,武将进阶!E$10))</f>
        <v/>
      </c>
      <c r="W144" s="56" t="str">
        <f>IF(H144="","",MIN($D144*2,武将进阶!F$10))</f>
        <v/>
      </c>
      <c r="X144" s="56" t="str">
        <f>IF(I144="","",MIN($D144*2,武将进阶!G$10))</f>
        <v/>
      </c>
      <c r="Y144" s="56">
        <f>IF(J144="","",MIN($D144*2,武将进阶!H$10))</f>
        <v>300</v>
      </c>
      <c r="Z144" s="111"/>
      <c r="AA144" s="111"/>
      <c r="AB144" s="111" t="str">
        <f t="shared" si="100"/>
        <v/>
      </c>
      <c r="AC144" s="111" t="str">
        <f t="shared" si="101"/>
        <v/>
      </c>
      <c r="AD144" s="111">
        <f t="shared" si="102"/>
        <v>2</v>
      </c>
      <c r="AE144" s="112"/>
      <c r="AF144" s="56"/>
      <c r="AG144" s="56"/>
      <c r="AH144" s="56"/>
      <c r="AI144" s="112">
        <f>MIN(求节点(武将天赋进度验证!$Q$5:$Q$164,武将天赋进度验证!$Y$5:$Y$164,$D144),武将天赋进度验证!AL134)</f>
        <v>1</v>
      </c>
      <c r="AJ144" s="56"/>
      <c r="AK144" s="56"/>
      <c r="AL144" s="56"/>
      <c r="AM144" s="56"/>
      <c r="AN144" s="56"/>
      <c r="AT144" s="56">
        <f t="shared" si="103"/>
        <v>231.04</v>
      </c>
      <c r="AU144" s="56">
        <f t="shared" ref="AU144:AY145" si="115">IF(AU99="",0,AU99)</f>
        <v>0</v>
      </c>
      <c r="AV144" s="56">
        <f t="shared" si="115"/>
        <v>0</v>
      </c>
      <c r="AW144" s="56">
        <f t="shared" si="115"/>
        <v>2</v>
      </c>
      <c r="AX144" s="56">
        <f t="shared" si="115"/>
        <v>2</v>
      </c>
      <c r="AY144" s="56">
        <f t="shared" si="115"/>
        <v>2</v>
      </c>
    </row>
    <row r="145" spans="1:51" x14ac:dyDescent="0.15">
      <c r="A145" s="82">
        <f t="shared" si="64"/>
        <v>42</v>
      </c>
      <c r="C145" s="56">
        <f t="shared" si="99"/>
        <v>45850</v>
      </c>
      <c r="D145" s="56">
        <f>求节点(节奏总纲!$R$4:$R$163,节奏总纲!$O$4:$O$163,$C145)</f>
        <v>155.2512378743358</v>
      </c>
      <c r="F145" s="56"/>
      <c r="G145" s="56"/>
      <c r="H145" s="56"/>
      <c r="I145" s="56"/>
      <c r="J145" s="56">
        <v>6</v>
      </c>
      <c r="K145" s="56"/>
      <c r="L145" s="56"/>
      <c r="M145" s="56"/>
      <c r="N145" s="56"/>
      <c r="O145" s="56">
        <f>求节点(武将升星!H$104:H$112,武将升星!$C$104:$C$112,武将数量星级阶位验证!BM135/J145)</f>
        <v>8</v>
      </c>
      <c r="P145" s="110"/>
      <c r="Q145" s="110"/>
      <c r="R145" s="56" t="str">
        <f>IFERROR(MAX(0,求节点(武将进阶!F$4:F$8,武将进阶!$C$5:$C$9,W145)),"")</f>
        <v/>
      </c>
      <c r="S145" s="56" t="str">
        <f>IFERROR(MAX(0,求节点(武将进阶!G$4:G$8,武将进阶!$C$5:$C$9,X145)),"")</f>
        <v/>
      </c>
      <c r="T145" s="56">
        <f>IFERROR(MAX(0,求节点(武将进阶!H$4:H$8,武将进阶!$C$5:$C$9,Y145)),"")</f>
        <v>5</v>
      </c>
      <c r="U145" s="56" t="str">
        <f>IF(F145="","",MIN($D145*2,武将进阶!D$10))</f>
        <v/>
      </c>
      <c r="V145" s="56" t="str">
        <f>IF(G145="","",MIN($D145*2,武将进阶!E$10))</f>
        <v/>
      </c>
      <c r="W145" s="56" t="str">
        <f>IF(H145="","",MIN($D145*2,武将进阶!F$10))</f>
        <v/>
      </c>
      <c r="X145" s="56" t="str">
        <f>IF(I145="","",MIN($D145*2,武将进阶!G$10))</f>
        <v/>
      </c>
      <c r="Y145" s="56">
        <f>IF(J145="","",MIN($D145*2,武将进阶!H$10))</f>
        <v>300</v>
      </c>
      <c r="Z145" s="111"/>
      <c r="AA145" s="111"/>
      <c r="AB145" s="111" t="str">
        <f t="shared" si="100"/>
        <v/>
      </c>
      <c r="AC145" s="111" t="str">
        <f t="shared" si="101"/>
        <v/>
      </c>
      <c r="AD145" s="111">
        <f t="shared" si="102"/>
        <v>2</v>
      </c>
      <c r="AE145" s="112"/>
      <c r="AF145" s="56"/>
      <c r="AG145" s="56"/>
      <c r="AH145" s="56"/>
      <c r="AI145" s="112">
        <f>MIN(求节点(武将天赋进度验证!$Q$5:$Q$164,武将天赋进度验证!$Y$5:$Y$164,$D145),武将天赋进度验证!AL135)</f>
        <v>1</v>
      </c>
      <c r="AJ145" s="56"/>
      <c r="AK145" s="56"/>
      <c r="AL145" s="56"/>
      <c r="AM145" s="56"/>
      <c r="AN145" s="56"/>
      <c r="AT145" s="56">
        <f t="shared" si="103"/>
        <v>238.25999999999996</v>
      </c>
      <c r="AU145" s="56">
        <f t="shared" si="115"/>
        <v>0</v>
      </c>
      <c r="AV145" s="56">
        <f t="shared" si="115"/>
        <v>0</v>
      </c>
      <c r="AW145" s="56">
        <f t="shared" si="115"/>
        <v>2</v>
      </c>
      <c r="AX145" s="56">
        <f t="shared" si="115"/>
        <v>2</v>
      </c>
      <c r="AY145" s="56">
        <f t="shared" si="115"/>
        <v>2</v>
      </c>
    </row>
    <row r="146" spans="1:51" x14ac:dyDescent="0.15">
      <c r="A146" s="82">
        <f t="shared" si="64"/>
        <v>43</v>
      </c>
    </row>
    <row r="147" spans="1:51" x14ac:dyDescent="0.15">
      <c r="A147" s="82">
        <f t="shared" si="64"/>
        <v>44</v>
      </c>
    </row>
    <row r="148" spans="1:51" x14ac:dyDescent="0.15">
      <c r="A148" s="82">
        <f t="shared" si="64"/>
        <v>45</v>
      </c>
    </row>
    <row r="149" spans="1:51" ht="13.5" customHeight="1" x14ac:dyDescent="0.15">
      <c r="A149" s="82">
        <v>1</v>
      </c>
      <c r="C149" s="155" t="s">
        <v>172</v>
      </c>
      <c r="D149" s="155"/>
      <c r="F149" s="155" t="s">
        <v>178</v>
      </c>
      <c r="G149" s="155"/>
      <c r="H149" s="155"/>
      <c r="I149" s="155"/>
      <c r="J149" s="155"/>
      <c r="K149" s="155"/>
      <c r="L149" s="155"/>
      <c r="M149" s="155"/>
      <c r="N149" s="155"/>
      <c r="O149" s="155"/>
      <c r="P149" s="155"/>
      <c r="Q149" s="155"/>
      <c r="R149" s="155"/>
      <c r="S149" s="155"/>
      <c r="T149" s="155"/>
      <c r="U149" s="155"/>
      <c r="V149" s="155"/>
      <c r="W149" s="155"/>
      <c r="X149" s="155"/>
      <c r="Y149" s="155"/>
      <c r="Z149" s="155"/>
      <c r="AA149" s="155"/>
      <c r="AB149" s="155"/>
      <c r="AC149" s="155"/>
      <c r="AD149" s="155"/>
      <c r="AE149" s="155"/>
      <c r="AF149" s="155"/>
      <c r="AG149" s="155"/>
      <c r="AH149" s="155"/>
      <c r="AI149" s="155"/>
      <c r="AJ149" s="155"/>
      <c r="AK149" s="155"/>
      <c r="AL149" s="155"/>
      <c r="AM149" s="155"/>
      <c r="AN149" s="155"/>
    </row>
    <row r="150" spans="1:51" x14ac:dyDescent="0.15">
      <c r="A150" s="82">
        <f t="shared" ref="A150:A193" si="116">A149+1</f>
        <v>2</v>
      </c>
      <c r="C150" s="155"/>
      <c r="D150" s="155"/>
      <c r="F150" s="155" t="s">
        <v>821</v>
      </c>
      <c r="G150" s="155"/>
      <c r="H150" s="155"/>
      <c r="I150" s="155"/>
      <c r="J150" s="155"/>
      <c r="K150" s="155" t="s">
        <v>150</v>
      </c>
      <c r="L150" s="155"/>
      <c r="M150" s="155"/>
      <c r="N150" s="155"/>
      <c r="O150" s="155"/>
      <c r="P150" s="155" t="s">
        <v>177</v>
      </c>
      <c r="Q150" s="155"/>
      <c r="R150" s="155"/>
      <c r="S150" s="155"/>
      <c r="T150" s="155"/>
      <c r="U150" s="155" t="s">
        <v>151</v>
      </c>
      <c r="V150" s="155"/>
      <c r="W150" s="155"/>
      <c r="X150" s="155"/>
      <c r="Y150" s="155"/>
      <c r="Z150" s="156" t="s">
        <v>348</v>
      </c>
      <c r="AA150" s="157"/>
      <c r="AB150" s="157"/>
      <c r="AC150" s="157"/>
      <c r="AD150" s="158"/>
      <c r="AE150" s="156" t="s">
        <v>811</v>
      </c>
      <c r="AF150" s="157"/>
      <c r="AG150" s="157"/>
      <c r="AH150" s="157"/>
      <c r="AI150" s="158"/>
      <c r="AJ150" s="155"/>
      <c r="AK150" s="155"/>
      <c r="AL150" s="155"/>
      <c r="AM150" s="155"/>
      <c r="AN150" s="155"/>
      <c r="AT150" s="156" t="s">
        <v>458</v>
      </c>
      <c r="AU150" s="157"/>
      <c r="AV150" s="157"/>
      <c r="AW150" s="157"/>
      <c r="AX150" s="157"/>
      <c r="AY150" s="158"/>
    </row>
    <row r="151" spans="1:51" x14ac:dyDescent="0.15">
      <c r="A151" s="82">
        <f t="shared" si="116"/>
        <v>3</v>
      </c>
      <c r="C151" s="56" t="s">
        <v>170</v>
      </c>
      <c r="D151" s="56" t="s">
        <v>484</v>
      </c>
      <c r="F151" s="56" t="s">
        <v>3</v>
      </c>
      <c r="G151" s="56" t="s">
        <v>1</v>
      </c>
      <c r="H151" s="56" t="s">
        <v>2</v>
      </c>
      <c r="I151" s="56" t="s">
        <v>0</v>
      </c>
      <c r="J151" s="56" t="s">
        <v>545</v>
      </c>
      <c r="K151" s="56" t="s">
        <v>3</v>
      </c>
      <c r="L151" s="56" t="s">
        <v>1</v>
      </c>
      <c r="M151" s="56" t="s">
        <v>2</v>
      </c>
      <c r="N151" s="56" t="s">
        <v>0</v>
      </c>
      <c r="O151" s="56" t="s">
        <v>545</v>
      </c>
      <c r="P151" s="56" t="s">
        <v>3</v>
      </c>
      <c r="Q151" s="56" t="s">
        <v>1</v>
      </c>
      <c r="R151" s="56" t="s">
        <v>2</v>
      </c>
      <c r="S151" s="56" t="s">
        <v>0</v>
      </c>
      <c r="T151" s="56" t="s">
        <v>545</v>
      </c>
      <c r="U151" s="56" t="s">
        <v>3</v>
      </c>
      <c r="V151" s="56" t="s">
        <v>1</v>
      </c>
      <c r="W151" s="56" t="s">
        <v>2</v>
      </c>
      <c r="X151" s="56" t="s">
        <v>0</v>
      </c>
      <c r="Y151" s="56" t="s">
        <v>545</v>
      </c>
      <c r="Z151" s="56" t="s">
        <v>3</v>
      </c>
      <c r="AA151" s="56" t="s">
        <v>1</v>
      </c>
      <c r="AB151" s="56" t="s">
        <v>2</v>
      </c>
      <c r="AC151" s="56" t="s">
        <v>0</v>
      </c>
      <c r="AD151" s="56" t="s">
        <v>545</v>
      </c>
      <c r="AE151" s="56" t="s">
        <v>3</v>
      </c>
      <c r="AF151" s="56" t="s">
        <v>1</v>
      </c>
      <c r="AG151" s="56" t="s">
        <v>2</v>
      </c>
      <c r="AH151" s="56" t="s">
        <v>0</v>
      </c>
      <c r="AI151" s="56" t="s">
        <v>545</v>
      </c>
      <c r="AJ151" s="56"/>
      <c r="AK151" s="56"/>
      <c r="AL151" s="56"/>
      <c r="AM151" s="56"/>
      <c r="AN151" s="56"/>
      <c r="AT151" s="56" t="s">
        <v>478</v>
      </c>
      <c r="AU151" s="56" t="s">
        <v>3</v>
      </c>
      <c r="AV151" s="56" t="s">
        <v>1</v>
      </c>
      <c r="AW151" s="56" t="s">
        <v>2</v>
      </c>
      <c r="AX151" s="56" t="s">
        <v>0</v>
      </c>
      <c r="AY151" s="56" t="s">
        <v>545</v>
      </c>
    </row>
    <row r="152" spans="1:51" x14ac:dyDescent="0.15">
      <c r="A152" s="82">
        <f t="shared" si="116"/>
        <v>4</v>
      </c>
      <c r="C152" s="56">
        <f t="shared" ref="C152:C177" si="117">C17*0.5</f>
        <v>0.5</v>
      </c>
      <c r="D152" s="56">
        <f>求节点(节奏总纲!$S$4:$S$163,节奏总纲!$O$4:$O$163,$C152)</f>
        <v>10.00263241450434</v>
      </c>
      <c r="F152" s="56"/>
      <c r="G152" s="56"/>
      <c r="H152" s="56"/>
      <c r="I152" s="56">
        <v>6</v>
      </c>
      <c r="J152" s="56"/>
      <c r="K152" s="56"/>
      <c r="L152" s="56"/>
      <c r="M152" s="56"/>
      <c r="N152" s="110">
        <f>求节点(武将升星!G$104:G$112,武将升星!$C$104:$C$112,(武将数量星级阶位验证!BL142-武将数量星级阶位验证!BN142)/武将数量星级阶位验证!D$6+武将数量星级阶位验证!BN142/MAX(I$152:I152))</f>
        <v>0</v>
      </c>
      <c r="O152" s="56"/>
      <c r="P152" s="110" t="str">
        <f>IF(F152="","",0)</f>
        <v/>
      </c>
      <c r="Q152" s="110" t="str">
        <f>IF(G152="","",0)</f>
        <v/>
      </c>
      <c r="R152" s="56" t="str">
        <f>IFERROR(MAX(0,求节点(武将进阶!F$4:F$8,武将进阶!$C$5:$C$9,W152)),"")</f>
        <v/>
      </c>
      <c r="S152" s="56">
        <f>IFERROR(MAX(0,求节点(武将进阶!G$4:G$8,武将进阶!$C$5:$C$9,X152)),"")</f>
        <v>0.40010529658017358</v>
      </c>
      <c r="T152" s="56" t="str">
        <f>IFERROR(MAX(0,求节点(武将进阶!H$4:H$8,武将进阶!$C$5:$C$9,Y152)),"")</f>
        <v/>
      </c>
      <c r="U152" s="56" t="str">
        <f>IF(F152="","",MIN($D152*2,武将进阶!D$10))</f>
        <v/>
      </c>
      <c r="V152" s="56" t="str">
        <f>IF(G152="","",MIN($D152*2,武将进阶!E$10))</f>
        <v/>
      </c>
      <c r="W152" s="56" t="str">
        <f>IF(H152="","",MIN($D152*2,武将进阶!F$10))</f>
        <v/>
      </c>
      <c r="X152" s="56">
        <f>IF(I152="","",MIN($D152*2,武将进阶!G$10))</f>
        <v>20.005264829008681</v>
      </c>
      <c r="Y152" s="56" t="str">
        <f>IF(J152="","",MIN($D152*2,武将进阶!H$10))</f>
        <v/>
      </c>
      <c r="Z152" s="111"/>
      <c r="AA152" s="111"/>
      <c r="AB152" s="111" t="str">
        <f t="shared" ref="AB152:AB177" si="118">IF(H152="","",求节点($AT$152:$AT$190,AW$152:AW$190,$D152))</f>
        <v/>
      </c>
      <c r="AC152" s="111">
        <f t="shared" ref="AC152:AD152" si="119">IF(I152="","",求节点($AT$152:$AT$190,AX$152:AX$190,$D152))</f>
        <v>0.24998671780218851</v>
      </c>
      <c r="AD152" s="111" t="str">
        <f t="shared" si="119"/>
        <v/>
      </c>
      <c r="AE152" s="112"/>
      <c r="AF152" s="56"/>
      <c r="AG152" s="56"/>
      <c r="AH152" s="56"/>
      <c r="AI152" s="112">
        <f>MIN(求节点(武将天赋进度验证!$Q$5:$Q$164,武将天赋进度验证!$Z$5:$Z$164,$D152),武将天赋进度验证!AL142)</f>
        <v>0</v>
      </c>
      <c r="AJ152" s="56"/>
      <c r="AK152" s="56"/>
      <c r="AL152" s="56"/>
      <c r="AM152" s="56"/>
      <c r="AN152" s="56"/>
      <c r="AT152" s="56">
        <f t="shared" ref="AT152:AT177" si="120">AT107*0.95</f>
        <v>8.5737500000000004</v>
      </c>
      <c r="AU152" s="56">
        <f>IF(AU107="",0,AU107)</f>
        <v>0</v>
      </c>
      <c r="AV152" s="56">
        <f t="shared" ref="AV152:AY152" si="121">IF(AV107="",0,AV107)</f>
        <v>0</v>
      </c>
      <c r="AW152" s="56">
        <f t="shared" si="121"/>
        <v>0</v>
      </c>
      <c r="AX152" s="56">
        <f t="shared" si="121"/>
        <v>0</v>
      </c>
      <c r="AY152" s="56">
        <f t="shared" si="121"/>
        <v>0</v>
      </c>
    </row>
    <row r="153" spans="1:51" x14ac:dyDescent="0.15">
      <c r="A153" s="82">
        <f t="shared" si="116"/>
        <v>5</v>
      </c>
      <c r="C153" s="56">
        <f t="shared" si="117"/>
        <v>1.5</v>
      </c>
      <c r="D153" s="56">
        <f>求节点(节奏总纲!$S$4:$S$163,节奏总纲!$O$4:$O$163,$C153)</f>
        <v>19.43005414991557</v>
      </c>
      <c r="F153" s="56"/>
      <c r="G153" s="56"/>
      <c r="H153" s="56"/>
      <c r="I153" s="56">
        <v>6</v>
      </c>
      <c r="J153" s="56"/>
      <c r="K153" s="56"/>
      <c r="L153" s="56"/>
      <c r="M153" s="56"/>
      <c r="N153" s="110">
        <f>求节点(武将升星!G$104:G$112,武将升星!$C$104:$C$112,(武将数量星级阶位验证!BL143-武将数量星级阶位验证!BN143)/武将数量星级阶位验证!D$6+武将数量星级阶位验证!BN143/MAX(I$152:I153))</f>
        <v>0.25078366524688622</v>
      </c>
      <c r="O153" s="56"/>
      <c r="P153" s="110" t="str">
        <f t="shared" ref="P153:P167" si="122">IF(F153="","",0)</f>
        <v/>
      </c>
      <c r="Q153" s="110" t="str">
        <f t="shared" ref="Q153:Q167" si="123">IF(G153="","",0)</f>
        <v/>
      </c>
      <c r="R153" s="56" t="str">
        <f>IFERROR(MAX(0,求节点(武将进阶!F$4:F$8,武将进阶!$C$5:$C$9,W153)),"")</f>
        <v/>
      </c>
      <c r="S153" s="56">
        <f>IFERROR(MAX(0,求节点(武将进阶!G$4:G$8,武将进阶!$C$5:$C$9,X153)),"")</f>
        <v>0.77720216599662284</v>
      </c>
      <c r="T153" s="56" t="str">
        <f>IFERROR(MAX(0,求节点(武将进阶!H$4:H$8,武将进阶!$C$5:$C$9,Y153)),"")</f>
        <v/>
      </c>
      <c r="U153" s="56" t="str">
        <f>IF(F153="","",MIN($D153*2,武将进阶!D$10))</f>
        <v/>
      </c>
      <c r="V153" s="56" t="str">
        <f>IF(G153="","",MIN($D153*2,武将进阶!E$10))</f>
        <v/>
      </c>
      <c r="W153" s="56" t="str">
        <f>IF(H153="","",MIN($D153*2,武将进阶!F$10))</f>
        <v/>
      </c>
      <c r="X153" s="56">
        <f>IF(I153="","",MIN($D153*2,武将进阶!G$10))</f>
        <v>38.86010829983114</v>
      </c>
      <c r="Y153" s="56" t="str">
        <f>IF(J153="","",MIN($D153*2,武将进阶!H$10))</f>
        <v/>
      </c>
      <c r="Z153" s="111"/>
      <c r="AA153" s="111"/>
      <c r="AB153" s="111" t="str">
        <f t="shared" si="118"/>
        <v/>
      </c>
      <c r="AC153" s="111">
        <f t="shared" ref="AC153:AC177" si="124">IF(I153="","",求节点($AT$152:$AT$190,AX$152:AX$190,$D153))</f>
        <v>1</v>
      </c>
      <c r="AD153" s="111" t="str">
        <f t="shared" ref="AD153:AD177" si="125">IF(J153="","",求节点($AT$152:$AT$190,AY$152:AY$190,$D153))</f>
        <v/>
      </c>
      <c r="AE153" s="112"/>
      <c r="AF153" s="56"/>
      <c r="AG153" s="56"/>
      <c r="AH153" s="56"/>
      <c r="AI153" s="112">
        <f>MIN(求节点(武将天赋进度验证!$Q$5:$Q$164,武将天赋进度验证!$Z$5:$Z$164,$D153),武将天赋进度验证!AL143)</f>
        <v>0</v>
      </c>
      <c r="AJ153" s="56"/>
      <c r="AK153" s="56"/>
      <c r="AL153" s="56"/>
      <c r="AM153" s="56"/>
      <c r="AN153" s="56"/>
      <c r="AT153" s="56">
        <f t="shared" si="120"/>
        <v>10.288499999999997</v>
      </c>
      <c r="AU153" s="56">
        <f t="shared" ref="AU153:AY153" si="126">IF(AU108="",0,AU108)</f>
        <v>0</v>
      </c>
      <c r="AV153" s="56">
        <f t="shared" si="126"/>
        <v>0</v>
      </c>
      <c r="AW153" s="56">
        <f t="shared" si="126"/>
        <v>0.3</v>
      </c>
      <c r="AX153" s="56">
        <f t="shared" si="126"/>
        <v>0.3</v>
      </c>
      <c r="AY153" s="56">
        <f t="shared" si="126"/>
        <v>0.3</v>
      </c>
    </row>
    <row r="154" spans="1:51" x14ac:dyDescent="0.15">
      <c r="A154" s="82">
        <f t="shared" si="116"/>
        <v>6</v>
      </c>
      <c r="C154" s="56">
        <f t="shared" si="117"/>
        <v>3</v>
      </c>
      <c r="D154" s="56">
        <f>求节点(节奏总纲!$S$4:$S$163,节奏总纲!$O$4:$O$163,$C154)</f>
        <v>27.324610510337703</v>
      </c>
      <c r="F154" s="56"/>
      <c r="G154" s="56"/>
      <c r="H154" s="56"/>
      <c r="I154" s="56">
        <v>6</v>
      </c>
      <c r="J154" s="56"/>
      <c r="K154" s="56"/>
      <c r="L154" s="56"/>
      <c r="M154" s="56"/>
      <c r="N154" s="110">
        <f>求节点(武将升星!G$104:G$112,武将升星!$C$104:$C$112,(武将数量星级阶位验证!BL144-武将数量星级阶位验证!BN144)/武将数量星级阶位验证!D$6+武将数量星级阶位验证!BN144/MAX(I$152:I154))</f>
        <v>1.0990636604602502</v>
      </c>
      <c r="O154" s="56"/>
      <c r="P154" s="110" t="str">
        <f t="shared" si="122"/>
        <v/>
      </c>
      <c r="Q154" s="110" t="str">
        <f t="shared" si="123"/>
        <v/>
      </c>
      <c r="R154" s="56" t="str">
        <f>IFERROR(MAX(0,求节点(武将进阶!F$4:F$8,武将进阶!$C$5:$C$9,W154)),"")</f>
        <v/>
      </c>
      <c r="S154" s="56">
        <f>IFERROR(MAX(0,求节点(武将进阶!G$4:G$8,武将进阶!$C$5:$C$9,X154)),"")</f>
        <v>1.0929844204135082</v>
      </c>
      <c r="T154" s="56" t="str">
        <f>IFERROR(MAX(0,求节点(武将进阶!H$4:H$8,武将进阶!$C$5:$C$9,Y154)),"")</f>
        <v/>
      </c>
      <c r="U154" s="56" t="str">
        <f>IF(F154="","",MIN($D154*2,武将进阶!D$10))</f>
        <v/>
      </c>
      <c r="V154" s="56" t="str">
        <f>IF(G154="","",MIN($D154*2,武将进阶!E$10))</f>
        <v/>
      </c>
      <c r="W154" s="56" t="str">
        <f>IF(H154="","",MIN($D154*2,武将进阶!F$10))</f>
        <v/>
      </c>
      <c r="X154" s="56">
        <f>IF(I154="","",MIN($D154*2,武将进阶!G$10))</f>
        <v>54.649221020675405</v>
      </c>
      <c r="Y154" s="56" t="str">
        <f>IF(J154="","",MIN($D154*2,武将进阶!H$10))</f>
        <v/>
      </c>
      <c r="Z154" s="111"/>
      <c r="AA154" s="111"/>
      <c r="AB154" s="111" t="str">
        <f t="shared" si="118"/>
        <v/>
      </c>
      <c r="AC154" s="111">
        <f t="shared" si="124"/>
        <v>1</v>
      </c>
      <c r="AD154" s="111" t="str">
        <f t="shared" si="125"/>
        <v/>
      </c>
      <c r="AE154" s="112"/>
      <c r="AF154" s="56"/>
      <c r="AG154" s="56"/>
      <c r="AH154" s="56"/>
      <c r="AI154" s="112">
        <f>MIN(求节点(武将天赋进度验证!$Q$5:$Q$164,武将天赋进度验证!$Z$5:$Z$164,$D154),武将天赋进度验证!AL144)</f>
        <v>0</v>
      </c>
      <c r="AJ154" s="56"/>
      <c r="AK154" s="56"/>
      <c r="AL154" s="56"/>
      <c r="AM154" s="56"/>
      <c r="AN154" s="56"/>
      <c r="AT154" s="56">
        <f t="shared" si="120"/>
        <v>12.860624999999999</v>
      </c>
      <c r="AU154" s="56">
        <f t="shared" ref="AU154:AY154" si="127">IF(AU109="",0,AU109)</f>
        <v>0</v>
      </c>
      <c r="AV154" s="56">
        <f t="shared" si="127"/>
        <v>0</v>
      </c>
      <c r="AW154" s="56">
        <f t="shared" si="127"/>
        <v>0.65</v>
      </c>
      <c r="AX154" s="56">
        <f t="shared" si="127"/>
        <v>0.65</v>
      </c>
      <c r="AY154" s="56">
        <f t="shared" si="127"/>
        <v>0.65</v>
      </c>
    </row>
    <row r="155" spans="1:51" x14ac:dyDescent="0.15">
      <c r="A155" s="82">
        <f t="shared" si="116"/>
        <v>7</v>
      </c>
      <c r="C155" s="56">
        <f t="shared" si="117"/>
        <v>5</v>
      </c>
      <c r="D155" s="56">
        <f>求节点(节奏总纲!$S$4:$S$163,节奏总纲!$O$4:$O$163,$C155)</f>
        <v>33.672145166817529</v>
      </c>
      <c r="F155" s="56"/>
      <c r="G155" s="56"/>
      <c r="H155" s="56"/>
      <c r="I155" s="56">
        <v>6</v>
      </c>
      <c r="J155" s="56"/>
      <c r="K155" s="56"/>
      <c r="L155" s="56"/>
      <c r="M155" s="56"/>
      <c r="N155" s="110">
        <f>求节点(武将升星!G$104:G$112,武将升星!$C$104:$C$112,(武将数量星级阶位验证!BL145-武将数量星级阶位验证!BN145)/武将数量星级阶位验证!D$6+武将数量星级阶位验证!BN145/MAX(I$152:I155))</f>
        <v>2.1887509101924376</v>
      </c>
      <c r="O155" s="56"/>
      <c r="P155" s="110" t="str">
        <f t="shared" si="122"/>
        <v/>
      </c>
      <c r="Q155" s="110" t="str">
        <f t="shared" si="123"/>
        <v/>
      </c>
      <c r="R155" s="56" t="str">
        <f>IFERROR(MAX(0,求节点(武将进阶!F$4:F$8,武将进阶!$C$5:$C$9,W155)),"")</f>
        <v/>
      </c>
      <c r="S155" s="56">
        <f>IFERROR(MAX(0,求节点(武将进阶!G$4:G$8,武将进阶!$C$5:$C$9,X155)),"")</f>
        <v>1.3468858066727012</v>
      </c>
      <c r="T155" s="56" t="str">
        <f>IFERROR(MAX(0,求节点(武将进阶!H$4:H$8,武将进阶!$C$5:$C$9,Y155)),"")</f>
        <v/>
      </c>
      <c r="U155" s="56" t="str">
        <f>IF(F155="","",MIN($D155*2,武将进阶!D$10))</f>
        <v/>
      </c>
      <c r="V155" s="56" t="str">
        <f>IF(G155="","",MIN($D155*2,武将进阶!E$10))</f>
        <v/>
      </c>
      <c r="W155" s="56" t="str">
        <f>IF(H155="","",MIN($D155*2,武将进阶!F$10))</f>
        <v/>
      </c>
      <c r="X155" s="56">
        <f>IF(I155="","",MIN($D155*2,武将进阶!G$10))</f>
        <v>67.344290333635058</v>
      </c>
      <c r="Y155" s="56" t="str">
        <f>IF(J155="","",MIN($D155*2,武将进阶!H$10))</f>
        <v/>
      </c>
      <c r="Z155" s="111"/>
      <c r="AA155" s="111"/>
      <c r="AB155" s="111" t="str">
        <f t="shared" si="118"/>
        <v/>
      </c>
      <c r="AC155" s="111">
        <f t="shared" si="124"/>
        <v>2</v>
      </c>
      <c r="AD155" s="111" t="str">
        <f t="shared" si="125"/>
        <v/>
      </c>
      <c r="AE155" s="112"/>
      <c r="AF155" s="56"/>
      <c r="AG155" s="56"/>
      <c r="AH155" s="56"/>
      <c r="AI155" s="112">
        <f>MIN(求节点(武将天赋进度验证!$Q$5:$Q$164,武将天赋进度验证!$Z$5:$Z$164,$D155),武将天赋进度验证!AL145)</f>
        <v>0</v>
      </c>
      <c r="AJ155" s="56"/>
      <c r="AK155" s="56"/>
      <c r="AL155" s="56"/>
      <c r="AM155" s="56"/>
      <c r="AN155" s="56"/>
      <c r="AT155" s="56">
        <f t="shared" si="120"/>
        <v>15.432749999999997</v>
      </c>
      <c r="AU155" s="56">
        <f t="shared" ref="AU155:AY155" si="128">IF(AU110="",0,AU110)</f>
        <v>0</v>
      </c>
      <c r="AV155" s="56">
        <f t="shared" si="128"/>
        <v>0</v>
      </c>
      <c r="AW155" s="56">
        <f t="shared" si="128"/>
        <v>1</v>
      </c>
      <c r="AX155" s="56">
        <f t="shared" si="128"/>
        <v>1</v>
      </c>
      <c r="AY155" s="56">
        <f t="shared" si="128"/>
        <v>1</v>
      </c>
    </row>
    <row r="156" spans="1:51" x14ac:dyDescent="0.15">
      <c r="A156" s="82">
        <f t="shared" si="116"/>
        <v>8</v>
      </c>
      <c r="C156" s="56">
        <f t="shared" si="117"/>
        <v>7.5</v>
      </c>
      <c r="D156" s="56">
        <f>求节点(节奏总纲!$S$4:$S$163,节奏总纲!$O$4:$O$163,$C156)</f>
        <v>39.138098927718012</v>
      </c>
      <c r="F156" s="56"/>
      <c r="G156" s="56"/>
      <c r="H156" s="56"/>
      <c r="I156" s="56">
        <v>6</v>
      </c>
      <c r="J156" s="56"/>
      <c r="K156" s="56"/>
      <c r="L156" s="56"/>
      <c r="M156" s="56"/>
      <c r="N156" s="110">
        <f>求节点(武将升星!G$104:G$112,武将升星!$C$104:$C$112,(武将数量星级阶位验证!BL146-武将数量星级阶位验证!BN146)/武将数量星级阶位验证!D$6+武将数量星级阶位验证!BN146/MAX(I$152:I156))</f>
        <v>3.2465520681096871</v>
      </c>
      <c r="O156" s="56"/>
      <c r="P156" s="110" t="str">
        <f t="shared" si="122"/>
        <v/>
      </c>
      <c r="Q156" s="110" t="str">
        <f t="shared" si="123"/>
        <v/>
      </c>
      <c r="R156" s="56" t="str">
        <f>IFERROR(MAX(0,求节点(武将进阶!F$4:F$8,武将进阶!$C$5:$C$9,W156)),"")</f>
        <v/>
      </c>
      <c r="S156" s="56">
        <f>IFERROR(MAX(0,求节点(武将进阶!G$4:G$8,武将进阶!$C$5:$C$9,X156)),"")</f>
        <v>1.5655239571087205</v>
      </c>
      <c r="T156" s="56" t="str">
        <f>IFERROR(MAX(0,求节点(武将进阶!H$4:H$8,武将进阶!$C$5:$C$9,Y156)),"")</f>
        <v/>
      </c>
      <c r="U156" s="56" t="str">
        <f>IF(F156="","",MIN($D156*2,武将进阶!D$10))</f>
        <v/>
      </c>
      <c r="V156" s="56" t="str">
        <f>IF(G156="","",MIN($D156*2,武将进阶!E$10))</f>
        <v/>
      </c>
      <c r="W156" s="56" t="str">
        <f>IF(H156="","",MIN($D156*2,武将进阶!F$10))</f>
        <v/>
      </c>
      <c r="X156" s="56">
        <f>IF(I156="","",MIN($D156*2,武将进阶!G$10))</f>
        <v>78.276197855436024</v>
      </c>
      <c r="Y156" s="56" t="str">
        <f>IF(J156="","",MIN($D156*2,武将进阶!H$10))</f>
        <v/>
      </c>
      <c r="Z156" s="111"/>
      <c r="AA156" s="111"/>
      <c r="AB156" s="111" t="str">
        <f t="shared" si="118"/>
        <v/>
      </c>
      <c r="AC156" s="111">
        <f t="shared" si="124"/>
        <v>2</v>
      </c>
      <c r="AD156" s="111" t="str">
        <f t="shared" si="125"/>
        <v/>
      </c>
      <c r="AE156" s="112"/>
      <c r="AF156" s="56"/>
      <c r="AG156" s="56"/>
      <c r="AH156" s="56"/>
      <c r="AI156" s="112">
        <f>MIN(求节点(武将天赋进度验证!$Q$5:$Q$164,武将天赋进度验证!$Z$5:$Z$164,$D156),武将天赋进度验证!AL146)</f>
        <v>0</v>
      </c>
      <c r="AJ156" s="56"/>
      <c r="AK156" s="56"/>
      <c r="AL156" s="56"/>
      <c r="AM156" s="56"/>
      <c r="AN156" s="56"/>
      <c r="AT156" s="56">
        <f t="shared" si="120"/>
        <v>18.004874999999995</v>
      </c>
      <c r="AU156" s="56">
        <f t="shared" ref="AU156:AY156" si="129">IF(AU111="",0,AU111)</f>
        <v>0</v>
      </c>
      <c r="AV156" s="56">
        <f t="shared" si="129"/>
        <v>0</v>
      </c>
      <c r="AW156" s="56">
        <f t="shared" si="129"/>
        <v>1</v>
      </c>
      <c r="AX156" s="56">
        <f t="shared" si="129"/>
        <v>1</v>
      </c>
      <c r="AY156" s="56">
        <f t="shared" si="129"/>
        <v>1</v>
      </c>
    </row>
    <row r="157" spans="1:51" x14ac:dyDescent="0.15">
      <c r="A157" s="82">
        <f t="shared" si="116"/>
        <v>9</v>
      </c>
      <c r="C157" s="56">
        <f t="shared" si="117"/>
        <v>10</v>
      </c>
      <c r="D157" s="56">
        <f>求节点(节奏总纲!$S$4:$S$163,节奏总纲!$O$4:$O$163,$C157)</f>
        <v>42.970748198558951</v>
      </c>
      <c r="F157" s="56"/>
      <c r="G157" s="56"/>
      <c r="H157" s="56"/>
      <c r="I157" s="56">
        <v>6</v>
      </c>
      <c r="J157" s="56"/>
      <c r="K157" s="56"/>
      <c r="L157" s="56"/>
      <c r="M157" s="56"/>
      <c r="N157" s="110">
        <f>求节点(武将升星!G$104:G$112,武将升星!$C$104:$C$112,(武将数量星级阶位验证!BL147-武将数量星级阶位验证!BN147)/武将数量星级阶位验证!D$6+武将数量星级阶位验证!BN147/MAX(I$152:I157))</f>
        <v>3.8343752939009965</v>
      </c>
      <c r="O157" s="56"/>
      <c r="P157" s="110" t="str">
        <f t="shared" si="122"/>
        <v/>
      </c>
      <c r="Q157" s="110" t="str">
        <f t="shared" si="123"/>
        <v/>
      </c>
      <c r="R157" s="56" t="str">
        <f>IFERROR(MAX(0,求节点(武将进阶!F$4:F$8,武将进阶!$C$5:$C$9,W157)),"")</f>
        <v/>
      </c>
      <c r="S157" s="56">
        <f>IFERROR(MAX(0,求节点(武将进阶!G$4:G$8,武将进阶!$C$5:$C$9,X157)),"")</f>
        <v>1.718829927942358</v>
      </c>
      <c r="T157" s="56" t="str">
        <f>IFERROR(MAX(0,求节点(武将进阶!H$4:H$8,武将进阶!$C$5:$C$9,Y157)),"")</f>
        <v/>
      </c>
      <c r="U157" s="56" t="str">
        <f>IF(F157="","",MIN($D157*2,武将进阶!D$10))</f>
        <v/>
      </c>
      <c r="V157" s="56" t="str">
        <f>IF(G157="","",MIN($D157*2,武将进阶!E$10))</f>
        <v/>
      </c>
      <c r="W157" s="56" t="str">
        <f>IF(H157="","",MIN($D157*2,武将进阶!F$10))</f>
        <v/>
      </c>
      <c r="X157" s="56">
        <f>IF(I157="","",MIN($D157*2,武将进阶!G$10))</f>
        <v>85.941496397117902</v>
      </c>
      <c r="Y157" s="56" t="str">
        <f>IF(J157="","",MIN($D157*2,武将进阶!H$10))</f>
        <v/>
      </c>
      <c r="Z157" s="111"/>
      <c r="AA157" s="111"/>
      <c r="AB157" s="111" t="str">
        <f t="shared" si="118"/>
        <v/>
      </c>
      <c r="AC157" s="111">
        <f t="shared" si="124"/>
        <v>2</v>
      </c>
      <c r="AD157" s="111" t="str">
        <f t="shared" si="125"/>
        <v/>
      </c>
      <c r="AE157" s="112"/>
      <c r="AF157" s="56"/>
      <c r="AG157" s="56"/>
      <c r="AH157" s="56"/>
      <c r="AI157" s="112">
        <f>MIN(求节点(武将天赋进度验证!$Q$5:$Q$164,武将天赋进度验证!$Z$5:$Z$164,$D157),武将天赋进度验证!AL147)</f>
        <v>0</v>
      </c>
      <c r="AJ157" s="56"/>
      <c r="AK157" s="56"/>
      <c r="AL157" s="56"/>
      <c r="AM157" s="56"/>
      <c r="AN157" s="56"/>
      <c r="AT157" s="56">
        <f t="shared" si="120"/>
        <v>20.576999999999995</v>
      </c>
      <c r="AU157" s="56">
        <f t="shared" ref="AU157:AY157" si="130">IF(AU112="",0,AU112)</f>
        <v>0</v>
      </c>
      <c r="AV157" s="56">
        <f t="shared" si="130"/>
        <v>0</v>
      </c>
      <c r="AW157" s="56">
        <f t="shared" si="130"/>
        <v>1</v>
      </c>
      <c r="AX157" s="56">
        <f t="shared" si="130"/>
        <v>1</v>
      </c>
      <c r="AY157" s="56">
        <f t="shared" si="130"/>
        <v>1</v>
      </c>
    </row>
    <row r="158" spans="1:51" x14ac:dyDescent="0.15">
      <c r="A158" s="82">
        <f t="shared" si="116"/>
        <v>10</v>
      </c>
      <c r="C158" s="56">
        <f t="shared" si="117"/>
        <v>15</v>
      </c>
      <c r="D158" s="56">
        <f>求节点(节奏总纲!$S$4:$S$163,节奏总纲!$O$4:$O$163,$C158)</f>
        <v>48.731413734867289</v>
      </c>
      <c r="F158" s="56"/>
      <c r="G158" s="56"/>
      <c r="H158" s="56"/>
      <c r="I158" s="56">
        <v>6</v>
      </c>
      <c r="J158" s="56"/>
      <c r="K158" s="56"/>
      <c r="L158" s="56"/>
      <c r="M158" s="56"/>
      <c r="N158" s="110">
        <f>求节点(武将升星!G$104:G$112,武将升星!$C$104:$C$112,(武将数量星级阶位验证!BL148-武将数量星级阶位验证!BN148)/武将数量星级阶位验证!D$6+武将数量星级阶位验证!BN148/MAX(I$152:I158))</f>
        <v>4.8458022021284828</v>
      </c>
      <c r="O158" s="56"/>
      <c r="P158" s="110" t="str">
        <f t="shared" si="122"/>
        <v/>
      </c>
      <c r="Q158" s="110" t="str">
        <f t="shared" si="123"/>
        <v/>
      </c>
      <c r="R158" s="56" t="str">
        <f>IFERROR(MAX(0,求节点(武将进阶!F$4:F$8,武将进阶!$C$5:$C$9,W158)),"")</f>
        <v/>
      </c>
      <c r="S158" s="56">
        <f>IFERROR(MAX(0,求节点(武将进阶!G$4:G$8,武将进阶!$C$5:$C$9,X158)),"")</f>
        <v>1.9492565493946916</v>
      </c>
      <c r="T158" s="56" t="str">
        <f>IFERROR(MAX(0,求节点(武将进阶!H$4:H$8,武将进阶!$C$5:$C$9,Y158)),"")</f>
        <v/>
      </c>
      <c r="U158" s="56" t="str">
        <f>IF(F158="","",MIN($D158*2,武将进阶!D$10))</f>
        <v/>
      </c>
      <c r="V158" s="56" t="str">
        <f>IF(G158="","",MIN($D158*2,武将进阶!E$10))</f>
        <v/>
      </c>
      <c r="W158" s="56" t="str">
        <f>IF(H158="","",MIN($D158*2,武将进阶!F$10))</f>
        <v/>
      </c>
      <c r="X158" s="56">
        <f>IF(I158="","",MIN($D158*2,武将进阶!G$10))</f>
        <v>97.462827469734577</v>
      </c>
      <c r="Y158" s="56" t="str">
        <f>IF(J158="","",MIN($D158*2,武将进阶!H$10))</f>
        <v/>
      </c>
      <c r="Z158" s="111"/>
      <c r="AA158" s="111"/>
      <c r="AB158" s="111" t="str">
        <f t="shared" si="118"/>
        <v/>
      </c>
      <c r="AC158" s="111">
        <f t="shared" si="124"/>
        <v>2</v>
      </c>
      <c r="AD158" s="111" t="str">
        <f t="shared" si="125"/>
        <v/>
      </c>
      <c r="AE158" s="112"/>
      <c r="AF158" s="56"/>
      <c r="AG158" s="56"/>
      <c r="AH158" s="56"/>
      <c r="AI158" s="112">
        <f>MIN(求节点(武将天赋进度验证!$Q$5:$Q$164,武将天赋进度验证!$Z$5:$Z$164,$D158),武将天赋进度验证!AL148)</f>
        <v>0</v>
      </c>
      <c r="AJ158" s="56"/>
      <c r="AK158" s="56"/>
      <c r="AL158" s="56"/>
      <c r="AM158" s="56"/>
      <c r="AN158" s="56"/>
      <c r="AT158" s="56">
        <f t="shared" si="120"/>
        <v>28.293374999999994</v>
      </c>
      <c r="AU158" s="56">
        <f t="shared" ref="AU158:AY158" si="131">IF(AU113="",0,AU113)</f>
        <v>0</v>
      </c>
      <c r="AV158" s="56">
        <f t="shared" si="131"/>
        <v>0</v>
      </c>
      <c r="AW158" s="56">
        <f t="shared" si="131"/>
        <v>1</v>
      </c>
      <c r="AX158" s="56">
        <f t="shared" si="131"/>
        <v>1</v>
      </c>
      <c r="AY158" s="56">
        <f t="shared" si="131"/>
        <v>1</v>
      </c>
    </row>
    <row r="159" spans="1:51" x14ac:dyDescent="0.15">
      <c r="A159" s="82">
        <f t="shared" si="116"/>
        <v>11</v>
      </c>
      <c r="C159" s="56">
        <f t="shared" si="117"/>
        <v>20</v>
      </c>
      <c r="D159" s="56">
        <f>求节点(节奏总纲!$S$4:$S$163,节奏总纲!$O$4:$O$163,$C159)</f>
        <v>52.769987980532711</v>
      </c>
      <c r="F159" s="56"/>
      <c r="G159" s="56"/>
      <c r="H159" s="56"/>
      <c r="I159" s="56">
        <v>5</v>
      </c>
      <c r="J159" s="56">
        <v>1</v>
      </c>
      <c r="K159" s="56"/>
      <c r="L159" s="56"/>
      <c r="M159" s="56"/>
      <c r="N159" s="110">
        <f>求节点(武将升星!G$104:G$112,武将升星!$C$104:$C$112,(武将数量星级阶位验证!BL149-武将数量星级阶位验证!BN149)/武将数量星级阶位验证!D$6+武将数量星级阶位验证!BN149/MAX(I$152:I159))</f>
        <v>5.4425876027076479</v>
      </c>
      <c r="O159" s="56">
        <f>求节点(武将升星!H$104:H$112,武将升星!$C$104:$C$112,武将数量星级阶位验证!BM149/J159)</f>
        <v>0.87015854834510842</v>
      </c>
      <c r="P159" s="110" t="str">
        <f t="shared" si="122"/>
        <v/>
      </c>
      <c r="Q159" s="110" t="str">
        <f t="shared" si="123"/>
        <v/>
      </c>
      <c r="R159" s="56" t="str">
        <f>IFERROR(MAX(0,求节点(武将进阶!F$4:F$8,武将进阶!$C$5:$C$9,W159)),"")</f>
        <v/>
      </c>
      <c r="S159" s="56">
        <f>IFERROR(MAX(0,求节点(武将进阶!G$4:G$8,武将进阶!$C$5:$C$9,X159)),"")</f>
        <v>2.1107995192213083</v>
      </c>
      <c r="T159" s="56">
        <f>IFERROR(MAX(0,求节点(武将进阶!H$4:H$8,武将进阶!$C$5:$C$9,Y159)),"")</f>
        <v>2.1107995192213083</v>
      </c>
      <c r="U159" s="56" t="str">
        <f>IF(F159="","",MIN($D159*2,武将进阶!D$10))</f>
        <v/>
      </c>
      <c r="V159" s="56" t="str">
        <f>IF(G159="","",MIN($D159*2,武将进阶!E$10))</f>
        <v/>
      </c>
      <c r="W159" s="56" t="str">
        <f>IF(H159="","",MIN($D159*2,武将进阶!F$10))</f>
        <v/>
      </c>
      <c r="X159" s="56">
        <f>IF(I159="","",MIN($D159*2,武将进阶!G$10))</f>
        <v>105.53997596106542</v>
      </c>
      <c r="Y159" s="56">
        <f>IF(J159="","",MIN($D159*2,武将进阶!H$10))</f>
        <v>105.53997596106542</v>
      </c>
      <c r="Z159" s="111"/>
      <c r="AA159" s="111"/>
      <c r="AB159" s="111" t="str">
        <f t="shared" si="118"/>
        <v/>
      </c>
      <c r="AC159" s="111">
        <f t="shared" si="124"/>
        <v>2</v>
      </c>
      <c r="AD159" s="111">
        <f t="shared" si="125"/>
        <v>2</v>
      </c>
      <c r="AE159" s="112"/>
      <c r="AF159" s="56"/>
      <c r="AG159" s="56"/>
      <c r="AH159" s="56"/>
      <c r="AI159" s="112">
        <f>MIN(求节点(武将天赋进度验证!$Q$5:$Q$164,武将天赋进度验证!$Z$5:$Z$164,$D159),武将天赋进度验证!AL149)</f>
        <v>9.5905566581800522E-3</v>
      </c>
      <c r="AJ159" s="56"/>
      <c r="AK159" s="56"/>
      <c r="AL159" s="56"/>
      <c r="AM159" s="56"/>
      <c r="AN159" s="56"/>
      <c r="AT159" s="56">
        <f t="shared" si="120"/>
        <v>30.865499999999994</v>
      </c>
      <c r="AU159" s="56">
        <f t="shared" ref="AU159:AY159" si="132">IF(AU114="",0,AU114)</f>
        <v>0</v>
      </c>
      <c r="AV159" s="56">
        <f t="shared" si="132"/>
        <v>0</v>
      </c>
      <c r="AW159" s="56">
        <f t="shared" si="132"/>
        <v>1.5</v>
      </c>
      <c r="AX159" s="56">
        <f t="shared" si="132"/>
        <v>1.5</v>
      </c>
      <c r="AY159" s="56">
        <f t="shared" si="132"/>
        <v>1.5</v>
      </c>
    </row>
    <row r="160" spans="1:51" x14ac:dyDescent="0.15">
      <c r="A160" s="82">
        <f t="shared" si="116"/>
        <v>12</v>
      </c>
      <c r="C160" s="56">
        <f t="shared" si="117"/>
        <v>30</v>
      </c>
      <c r="D160" s="56">
        <f>求节点(节奏总纲!$S$4:$S$163,节奏总纲!$O$4:$O$163,$C160)</f>
        <v>58.701446767877648</v>
      </c>
      <c r="F160" s="56"/>
      <c r="G160" s="56"/>
      <c r="H160" s="56"/>
      <c r="I160" s="56">
        <v>4</v>
      </c>
      <c r="J160" s="56">
        <v>2</v>
      </c>
      <c r="K160" s="56"/>
      <c r="L160" s="56"/>
      <c r="M160" s="56"/>
      <c r="N160" s="110">
        <f>求节点(武将升星!G$104:G$112,武将升星!$C$104:$C$112,(武将数量星级阶位验证!BL150-武将数量星级阶位验证!BN150)/武将数量星级阶位验证!D$6+武将数量星级阶位验证!BN150/MAX(I$152:I160))</f>
        <v>6.2157013816465776</v>
      </c>
      <c r="O160" s="56">
        <f>求节点(武将升星!H$104:H$112,武将升星!$C$104:$C$112,武将数量星级阶位验证!BM150/J160)</f>
        <v>2.7681293702554006</v>
      </c>
      <c r="P160" s="110" t="str">
        <f t="shared" si="122"/>
        <v/>
      </c>
      <c r="Q160" s="110" t="str">
        <f t="shared" si="123"/>
        <v/>
      </c>
      <c r="R160" s="56" t="str">
        <f>IFERROR(MAX(0,求节点(武将进阶!F$4:F$8,武将进阶!$C$5:$C$9,W160)),"")</f>
        <v/>
      </c>
      <c r="S160" s="56">
        <f>IFERROR(MAX(0,求节点(武将进阶!G$4:G$8,武将进阶!$C$5:$C$9,X160)),"")</f>
        <v>2.3480578707151061</v>
      </c>
      <c r="T160" s="56">
        <f>IFERROR(MAX(0,求节点(武将进阶!H$4:H$8,武将进阶!$C$5:$C$9,Y160)),"")</f>
        <v>2.3480578707151061</v>
      </c>
      <c r="U160" s="56" t="str">
        <f>IF(F160="","",MIN($D160*2,武将进阶!D$10))</f>
        <v/>
      </c>
      <c r="V160" s="56" t="str">
        <f>IF(G160="","",MIN($D160*2,武将进阶!E$10))</f>
        <v/>
      </c>
      <c r="W160" s="56" t="str">
        <f>IF(H160="","",MIN($D160*2,武将进阶!F$10))</f>
        <v/>
      </c>
      <c r="X160" s="56">
        <f>IF(I160="","",MIN($D160*2,武将进阶!G$10))</f>
        <v>117.4028935357553</v>
      </c>
      <c r="Y160" s="56">
        <f>IF(J160="","",MIN($D160*2,武将进阶!H$10))</f>
        <v>117.4028935357553</v>
      </c>
      <c r="Z160" s="111"/>
      <c r="AA160" s="111"/>
      <c r="AB160" s="111" t="str">
        <f t="shared" si="118"/>
        <v/>
      </c>
      <c r="AC160" s="111">
        <f t="shared" si="124"/>
        <v>2</v>
      </c>
      <c r="AD160" s="111">
        <f t="shared" si="125"/>
        <v>2</v>
      </c>
      <c r="AE160" s="112"/>
      <c r="AF160" s="56"/>
      <c r="AG160" s="56"/>
      <c r="AH160" s="56"/>
      <c r="AI160" s="112">
        <f>MIN(求节点(武将天赋进度验证!$Q$5:$Q$164,武将天赋进度验证!$Z$5:$Z$164,$D160),武将天赋进度验证!AL150)</f>
        <v>1.9323740360284114E-2</v>
      </c>
      <c r="AJ160" s="56"/>
      <c r="AK160" s="56"/>
      <c r="AL160" s="56"/>
      <c r="AM160" s="56"/>
      <c r="AN160" s="56"/>
      <c r="AT160" s="56">
        <f t="shared" si="120"/>
        <v>33.437624999999997</v>
      </c>
      <c r="AU160" s="56">
        <f t="shared" ref="AU160:AY160" si="133">IF(AU115="",0,AU115)</f>
        <v>0</v>
      </c>
      <c r="AV160" s="56">
        <f t="shared" si="133"/>
        <v>0</v>
      </c>
      <c r="AW160" s="56">
        <f t="shared" si="133"/>
        <v>2</v>
      </c>
      <c r="AX160" s="56">
        <f t="shared" si="133"/>
        <v>2</v>
      </c>
      <c r="AY160" s="56">
        <f t="shared" si="133"/>
        <v>2</v>
      </c>
    </row>
    <row r="161" spans="1:51" x14ac:dyDescent="0.15">
      <c r="A161" s="82">
        <f t="shared" si="116"/>
        <v>13</v>
      </c>
      <c r="C161" s="56">
        <f t="shared" si="117"/>
        <v>45</v>
      </c>
      <c r="D161" s="56">
        <f>求节点(节奏总纲!$S$4:$S$163,节奏总纲!$O$4:$O$163,$C161)</f>
        <v>64.399012521055653</v>
      </c>
      <c r="F161" s="56"/>
      <c r="G161" s="56"/>
      <c r="H161" s="56"/>
      <c r="I161" s="56">
        <v>3</v>
      </c>
      <c r="J161" s="56">
        <v>3</v>
      </c>
      <c r="K161" s="56"/>
      <c r="L161" s="56"/>
      <c r="M161" s="56"/>
      <c r="N161" s="110">
        <f>求节点(武将升星!G$104:G$112,武将升星!$C$104:$C$112,(武将数量星级阶位验证!BL151-武将数量星级阶位验证!BN151)/武将数量星级阶位验证!D$6+武将数量星级阶位验证!BN151/MAX(I$152:I161))</f>
        <v>6.7119993170962049</v>
      </c>
      <c r="O161" s="56">
        <f>求节点(武将升星!H$104:H$112,武将升星!$C$104:$C$112,武将数量星级阶位验证!BM151/J161)</f>
        <v>5.0719368133190912</v>
      </c>
      <c r="P161" s="110" t="str">
        <f t="shared" si="122"/>
        <v/>
      </c>
      <c r="Q161" s="110" t="str">
        <f t="shared" si="123"/>
        <v/>
      </c>
      <c r="R161" s="56" t="str">
        <f>IFERROR(MAX(0,求节点(武将进阶!F$4:F$8,武将进阶!$C$5:$C$9,W161)),"")</f>
        <v/>
      </c>
      <c r="S161" s="56">
        <f>IFERROR(MAX(0,求节点(武将进阶!G$4:G$8,武将进阶!$C$5:$C$9,X161)),"")</f>
        <v>2.5759605008422262</v>
      </c>
      <c r="T161" s="56">
        <f>IFERROR(MAX(0,求节点(武将进阶!H$4:H$8,武将进阶!$C$5:$C$9,Y161)),"")</f>
        <v>2.5759605008422262</v>
      </c>
      <c r="U161" s="56" t="str">
        <f>IF(F161="","",MIN($D161*2,武将进阶!D$10))</f>
        <v/>
      </c>
      <c r="V161" s="56" t="str">
        <f>IF(G161="","",MIN($D161*2,武将进阶!E$10))</f>
        <v/>
      </c>
      <c r="W161" s="56" t="str">
        <f>IF(H161="","",MIN($D161*2,武将进阶!F$10))</f>
        <v/>
      </c>
      <c r="X161" s="56">
        <f>IF(I161="","",MIN($D161*2,武将进阶!G$10))</f>
        <v>128.79802504211131</v>
      </c>
      <c r="Y161" s="56">
        <f>IF(J161="","",MIN($D161*2,武将进阶!H$10))</f>
        <v>128.79802504211131</v>
      </c>
      <c r="Z161" s="111"/>
      <c r="AA161" s="111"/>
      <c r="AB161" s="111" t="str">
        <f t="shared" si="118"/>
        <v/>
      </c>
      <c r="AC161" s="111">
        <f t="shared" si="124"/>
        <v>2</v>
      </c>
      <c r="AD161" s="111">
        <f t="shared" si="125"/>
        <v>2</v>
      </c>
      <c r="AE161" s="112"/>
      <c r="AF161" s="56"/>
      <c r="AG161" s="56"/>
      <c r="AH161" s="56"/>
      <c r="AI161" s="112">
        <f>MIN(求节点(武将天赋进度验证!$Q$5:$Q$164,武将天赋进度验证!$Z$5:$Z$164,$D161),武将天赋进度验证!AL151)</f>
        <v>4.2132361230550128E-2</v>
      </c>
      <c r="AJ161" s="56"/>
      <c r="AK161" s="56"/>
      <c r="AL161" s="56"/>
      <c r="AM161" s="56"/>
      <c r="AN161" s="56"/>
      <c r="AT161" s="56">
        <f t="shared" si="120"/>
        <v>36.00974999999999</v>
      </c>
      <c r="AU161" s="56">
        <f t="shared" ref="AU161:AY161" si="134">IF(AU116="",0,AU116)</f>
        <v>0</v>
      </c>
      <c r="AV161" s="56">
        <f t="shared" si="134"/>
        <v>0</v>
      </c>
      <c r="AW161" s="56">
        <f t="shared" si="134"/>
        <v>2</v>
      </c>
      <c r="AX161" s="56">
        <f t="shared" si="134"/>
        <v>2</v>
      </c>
      <c r="AY161" s="56">
        <f t="shared" si="134"/>
        <v>2</v>
      </c>
    </row>
    <row r="162" spans="1:51" x14ac:dyDescent="0.15">
      <c r="A162" s="82">
        <f t="shared" si="116"/>
        <v>14</v>
      </c>
      <c r="C162" s="56">
        <f t="shared" si="117"/>
        <v>60</v>
      </c>
      <c r="D162" s="56">
        <f>求节点(节奏总纲!$S$4:$S$163,节奏总纲!$O$4:$O$163,$C162)</f>
        <v>68.627579426319684</v>
      </c>
      <c r="F162" s="56"/>
      <c r="G162" s="56"/>
      <c r="H162" s="56"/>
      <c r="I162" s="56">
        <v>2</v>
      </c>
      <c r="J162" s="56">
        <v>4</v>
      </c>
      <c r="K162" s="56"/>
      <c r="L162" s="56"/>
      <c r="M162" s="56"/>
      <c r="N162" s="110">
        <f>求节点(武将升星!G$104:G$112,武将升星!$C$104:$C$112,(武将数量星级阶位验证!BL152-武将数量星级阶位验证!BN152)/武将数量星级阶位验证!D$6+武将数量星级阶位验证!BN152/MAX(I$152:I162))</f>
        <v>7.1424602256349097</v>
      </c>
      <c r="O162" s="56">
        <f>求节点(武将升星!H$104:H$112,武将升星!$C$104:$C$112,武将数量星级阶位验证!BM152/J162)</f>
        <v>5.7558723508757987</v>
      </c>
      <c r="P162" s="110" t="str">
        <f t="shared" si="122"/>
        <v/>
      </c>
      <c r="Q162" s="110" t="str">
        <f t="shared" si="123"/>
        <v/>
      </c>
      <c r="R162" s="56" t="str">
        <f>IFERROR(MAX(0,求节点(武将进阶!F$4:F$8,武将进阶!$C$5:$C$9,W162)),"")</f>
        <v/>
      </c>
      <c r="S162" s="56">
        <f>IFERROR(MAX(0,求节点(武将进阶!G$4:G$8,武将进阶!$C$5:$C$9,X162)),"")</f>
        <v>2.7451031770527874</v>
      </c>
      <c r="T162" s="56">
        <f>IFERROR(MAX(0,求节点(武将进阶!H$4:H$8,武将进阶!$C$5:$C$9,Y162)),"")</f>
        <v>2.7451031770527874</v>
      </c>
      <c r="U162" s="56" t="str">
        <f>IF(F162="","",MIN($D162*2,武将进阶!D$10))</f>
        <v/>
      </c>
      <c r="V162" s="56" t="str">
        <f>IF(G162="","",MIN($D162*2,武将进阶!E$10))</f>
        <v/>
      </c>
      <c r="W162" s="56" t="str">
        <f>IF(H162="","",MIN($D162*2,武将进阶!F$10))</f>
        <v/>
      </c>
      <c r="X162" s="56">
        <f>IF(I162="","",MIN($D162*2,武将进阶!G$10))</f>
        <v>137.25515885263937</v>
      </c>
      <c r="Y162" s="56">
        <f>IF(J162="","",MIN($D162*2,武将进阶!H$10))</f>
        <v>137.25515885263937</v>
      </c>
      <c r="Z162" s="111"/>
      <c r="AA162" s="111"/>
      <c r="AB162" s="111" t="str">
        <f t="shared" si="118"/>
        <v/>
      </c>
      <c r="AC162" s="111">
        <f t="shared" si="124"/>
        <v>2</v>
      </c>
      <c r="AD162" s="111">
        <f t="shared" si="125"/>
        <v>2</v>
      </c>
      <c r="AE162" s="112"/>
      <c r="AF162" s="56"/>
      <c r="AG162" s="56"/>
      <c r="AH162" s="56"/>
      <c r="AI162" s="112">
        <f>MIN(求节点(武将天赋进度验证!$Q$5:$Q$164,武将天赋进度验证!$Z$5:$Z$164,$D162),武将天赋进度验证!AL152)</f>
        <v>5.2654446423730246E-2</v>
      </c>
      <c r="AJ162" s="56"/>
      <c r="AK162" s="56"/>
      <c r="AL162" s="56"/>
      <c r="AM162" s="56"/>
      <c r="AN162" s="56"/>
      <c r="AT162" s="56">
        <f t="shared" si="120"/>
        <v>38.581874999999997</v>
      </c>
      <c r="AU162" s="56">
        <f t="shared" ref="AU162:AY162" si="135">IF(AU117="",0,AU117)</f>
        <v>0</v>
      </c>
      <c r="AV162" s="56">
        <f t="shared" si="135"/>
        <v>0</v>
      </c>
      <c r="AW162" s="56">
        <f t="shared" si="135"/>
        <v>2</v>
      </c>
      <c r="AX162" s="56">
        <f t="shared" si="135"/>
        <v>2</v>
      </c>
      <c r="AY162" s="56">
        <f t="shared" si="135"/>
        <v>2</v>
      </c>
    </row>
    <row r="163" spans="1:51" x14ac:dyDescent="0.15">
      <c r="A163" s="82">
        <f t="shared" si="116"/>
        <v>15</v>
      </c>
      <c r="C163" s="56">
        <f t="shared" si="117"/>
        <v>75</v>
      </c>
      <c r="D163" s="56">
        <f>求节点(节奏总纲!$S$4:$S$163,节奏总纲!$O$4:$O$163,$C163)</f>
        <v>71.882008108111634</v>
      </c>
      <c r="F163" s="56"/>
      <c r="G163" s="56"/>
      <c r="H163" s="56"/>
      <c r="I163" s="56">
        <v>1</v>
      </c>
      <c r="J163" s="56">
        <v>5</v>
      </c>
      <c r="K163" s="56"/>
      <c r="L163" s="56"/>
      <c r="M163" s="56"/>
      <c r="N163" s="110">
        <f>求节点(武将升星!G$104:G$112,武将升星!$C$104:$C$112,(武将数量星级阶位验证!BL153-武将数量星级阶位验证!BN153)/武将数量星级阶位验证!D$6+武将数量星级阶位验证!BN153/MAX(I$152:I163))</f>
        <v>7.4886328392719808</v>
      </c>
      <c r="O163" s="56">
        <f>求节点(武将升星!H$104:H$112,武将升星!$C$104:$C$112,武将数量星级阶位验证!BM153/J163)</f>
        <v>6.1252732594908776</v>
      </c>
      <c r="P163" s="110" t="str">
        <f t="shared" si="122"/>
        <v/>
      </c>
      <c r="Q163" s="110" t="str">
        <f t="shared" si="123"/>
        <v/>
      </c>
      <c r="R163" s="56" t="str">
        <f>IFERROR(MAX(0,求节点(武将进阶!F$4:F$8,武将进阶!$C$5:$C$9,W163)),"")</f>
        <v/>
      </c>
      <c r="S163" s="56">
        <f>IFERROR(MAX(0,求节点(武将进阶!G$4:G$8,武将进阶!$C$5:$C$9,X163)),"")</f>
        <v>2.8752803243244651</v>
      </c>
      <c r="T163" s="56">
        <f>IFERROR(MAX(0,求节点(武将进阶!H$4:H$8,武将进阶!$C$5:$C$9,Y163)),"")</f>
        <v>2.8752803243244651</v>
      </c>
      <c r="U163" s="56" t="str">
        <f>IF(F163="","",MIN($D163*2,武将进阶!D$10))</f>
        <v/>
      </c>
      <c r="V163" s="56" t="str">
        <f>IF(G163="","",MIN($D163*2,武将进阶!E$10))</f>
        <v/>
      </c>
      <c r="W163" s="56" t="str">
        <f>IF(H163="","",MIN($D163*2,武将进阶!F$10))</f>
        <v/>
      </c>
      <c r="X163" s="56">
        <f>IF(I163="","",MIN($D163*2,武将进阶!G$10))</f>
        <v>143.76401621622327</v>
      </c>
      <c r="Y163" s="56">
        <f>IF(J163="","",MIN($D163*2,武将进阶!H$10))</f>
        <v>143.76401621622327</v>
      </c>
      <c r="Z163" s="111"/>
      <c r="AA163" s="111"/>
      <c r="AB163" s="111" t="str">
        <f t="shared" si="118"/>
        <v/>
      </c>
      <c r="AC163" s="111">
        <f t="shared" si="124"/>
        <v>2</v>
      </c>
      <c r="AD163" s="111">
        <f t="shared" si="125"/>
        <v>2</v>
      </c>
      <c r="AE163" s="112"/>
      <c r="AF163" s="56"/>
      <c r="AG163" s="56"/>
      <c r="AH163" s="56"/>
      <c r="AI163" s="112">
        <f>MIN(求节点(武将天赋进度验证!$Q$5:$Q$164,武将天赋进度验证!$Z$5:$Z$164,$D163),武将天赋进度验证!AL153)</f>
        <v>5.8337537325500691E-2</v>
      </c>
      <c r="AJ163" s="56"/>
      <c r="AK163" s="56"/>
      <c r="AL163" s="56"/>
      <c r="AM163" s="56"/>
      <c r="AN163" s="56"/>
      <c r="AT163" s="56">
        <f t="shared" si="120"/>
        <v>41.153999999999989</v>
      </c>
      <c r="AU163" s="56">
        <f t="shared" ref="AU163:AY163" si="136">IF(AU118="",0,AU118)</f>
        <v>0</v>
      </c>
      <c r="AV163" s="56">
        <f t="shared" si="136"/>
        <v>0</v>
      </c>
      <c r="AW163" s="56">
        <f t="shared" si="136"/>
        <v>2</v>
      </c>
      <c r="AX163" s="56">
        <f t="shared" si="136"/>
        <v>2</v>
      </c>
      <c r="AY163" s="56">
        <f t="shared" si="136"/>
        <v>2</v>
      </c>
    </row>
    <row r="164" spans="1:51" x14ac:dyDescent="0.15">
      <c r="A164" s="82">
        <f t="shared" si="116"/>
        <v>16</v>
      </c>
      <c r="C164" s="56">
        <f t="shared" si="117"/>
        <v>90</v>
      </c>
      <c r="D164" s="56">
        <f>求节点(节奏总纲!$S$4:$S$163,节奏总纲!$O$4:$O$163,$C164)</f>
        <v>74.493385467679886</v>
      </c>
      <c r="F164" s="56"/>
      <c r="G164" s="56"/>
      <c r="H164" s="56"/>
      <c r="I164" s="56">
        <v>0.5</v>
      </c>
      <c r="J164" s="56">
        <v>5.5</v>
      </c>
      <c r="K164" s="56"/>
      <c r="L164" s="56"/>
      <c r="M164" s="56"/>
      <c r="N164" s="110">
        <f>求节点(武将升星!G$104:G$112,武将升星!$C$104:$C$112,(武将数量星级阶位验证!BL154-武将数量星级阶位验证!BN154)/武将数量星级阶位验证!D$6+武将数量星级阶位验证!BN154/MAX(I$152:I164))</f>
        <v>7.8152925819557915</v>
      </c>
      <c r="O164" s="56">
        <f>求节点(武将升星!H$104:H$112,武将升星!$C$104:$C$112,武将数量星级阶位验证!BM154/J164)</f>
        <v>6.6795203652456774</v>
      </c>
      <c r="P164" s="110" t="str">
        <f t="shared" si="122"/>
        <v/>
      </c>
      <c r="Q164" s="110" t="str">
        <f t="shared" si="123"/>
        <v/>
      </c>
      <c r="R164" s="56" t="str">
        <f>IFERROR(MAX(0,求节点(武将进阶!F$4:F$8,武将进阶!$C$5:$C$9,W164)),"")</f>
        <v/>
      </c>
      <c r="S164" s="56">
        <f>IFERROR(MAX(0,求节点(武将进阶!G$4:G$8,武将进阶!$C$5:$C$9,X164)),"")</f>
        <v>2.9797354187071954</v>
      </c>
      <c r="T164" s="56">
        <f>IFERROR(MAX(0,求节点(武将进阶!H$4:H$8,武将进阶!$C$5:$C$9,Y164)),"")</f>
        <v>2.9797354187071954</v>
      </c>
      <c r="U164" s="56" t="str">
        <f>IF(F164="","",MIN($D164*2,武将进阶!D$10))</f>
        <v/>
      </c>
      <c r="V164" s="56" t="str">
        <f>IF(G164="","",MIN($D164*2,武将进阶!E$10))</f>
        <v/>
      </c>
      <c r="W164" s="56" t="str">
        <f>IF(H164="","",MIN($D164*2,武将进阶!F$10))</f>
        <v/>
      </c>
      <c r="X164" s="56">
        <f>IF(I164="","",MIN($D164*2,武将进阶!G$10))</f>
        <v>148.98677093535977</v>
      </c>
      <c r="Y164" s="56">
        <f>IF(J164="","",MIN($D164*2,武将进阶!H$10))</f>
        <v>148.98677093535977</v>
      </c>
      <c r="Z164" s="111"/>
      <c r="AA164" s="111"/>
      <c r="AB164" s="111" t="str">
        <f t="shared" si="118"/>
        <v/>
      </c>
      <c r="AC164" s="111">
        <f t="shared" si="124"/>
        <v>2</v>
      </c>
      <c r="AD164" s="111">
        <f t="shared" si="125"/>
        <v>2</v>
      </c>
      <c r="AE164" s="112"/>
      <c r="AF164" s="56"/>
      <c r="AG164" s="56"/>
      <c r="AH164" s="56"/>
      <c r="AI164" s="112">
        <f>MIN(求节点(武将天赋进度验证!$Q$5:$Q$164,武将天赋进度验证!$Z$5:$Z$164,$D164),武将天赋进度验证!AL154)</f>
        <v>6.6864415875574526E-2</v>
      </c>
      <c r="AJ164" s="56"/>
      <c r="AK164" s="56"/>
      <c r="AL164" s="56"/>
      <c r="AM164" s="56"/>
      <c r="AN164" s="56"/>
      <c r="AT164" s="56">
        <f t="shared" si="120"/>
        <v>48.012999999999991</v>
      </c>
      <c r="AU164" s="56">
        <f t="shared" ref="AU164:AY164" si="137">IF(AU119="",0,AU119)</f>
        <v>0</v>
      </c>
      <c r="AV164" s="56">
        <f t="shared" si="137"/>
        <v>0</v>
      </c>
      <c r="AW164" s="56">
        <f t="shared" si="137"/>
        <v>2</v>
      </c>
      <c r="AX164" s="56">
        <f t="shared" si="137"/>
        <v>2</v>
      </c>
      <c r="AY164" s="56">
        <f t="shared" si="137"/>
        <v>2</v>
      </c>
    </row>
    <row r="165" spans="1:51" x14ac:dyDescent="0.15">
      <c r="A165" s="82">
        <f t="shared" si="116"/>
        <v>17</v>
      </c>
      <c r="C165" s="56">
        <f t="shared" si="117"/>
        <v>110</v>
      </c>
      <c r="D165" s="56">
        <f>求节点(节奏总纲!$S$4:$S$163,节奏总纲!$O$4:$O$163,$C165)</f>
        <v>77.332919927503724</v>
      </c>
      <c r="F165" s="56"/>
      <c r="G165" s="56"/>
      <c r="H165" s="56"/>
      <c r="I165" s="56"/>
      <c r="J165" s="56">
        <v>6</v>
      </c>
      <c r="K165" s="56"/>
      <c r="L165" s="56"/>
      <c r="M165" s="56"/>
      <c r="N165" s="56"/>
      <c r="O165" s="56">
        <f>求节点(武将升星!H$104:H$112,武将升星!$C$104:$C$112,武将数量星级阶位验证!BM155/J165)</f>
        <v>7.265361011774873</v>
      </c>
      <c r="P165" s="110" t="str">
        <f t="shared" si="122"/>
        <v/>
      </c>
      <c r="Q165" s="110" t="str">
        <f t="shared" si="123"/>
        <v/>
      </c>
      <c r="R165" s="56" t="str">
        <f>IFERROR(MAX(0,求节点(武将进阶!F$4:F$8,武将进阶!$C$5:$C$9,W165)),"")</f>
        <v/>
      </c>
      <c r="S165" s="56" t="str">
        <f>IFERROR(MAX(0,求节点(武将进阶!G$4:G$8,武将进阶!$C$5:$C$9,X165)),"")</f>
        <v/>
      </c>
      <c r="T165" s="56">
        <f>IFERROR(MAX(0,求节点(武将进阶!H$4:H$8,武将进阶!$C$5:$C$9,Y165)),"")</f>
        <v>3.0933167971001492</v>
      </c>
      <c r="U165" s="56" t="str">
        <f>IF(F165="","",MIN($D165*2,武将进阶!D$10))</f>
        <v/>
      </c>
      <c r="V165" s="56" t="str">
        <f>IF(G165="","",MIN($D165*2,武将进阶!E$10))</f>
        <v/>
      </c>
      <c r="W165" s="56" t="str">
        <f>IF(H165="","",MIN($D165*2,武将进阶!F$10))</f>
        <v/>
      </c>
      <c r="X165" s="56" t="str">
        <f>IF(I165="","",MIN($D165*2,武将进阶!G$10))</f>
        <v/>
      </c>
      <c r="Y165" s="56">
        <f>IF(J165="","",MIN($D165*2,武将进阶!H$10))</f>
        <v>154.66583985500745</v>
      </c>
      <c r="Z165" s="111"/>
      <c r="AA165" s="111"/>
      <c r="AB165" s="111" t="str">
        <f t="shared" si="118"/>
        <v/>
      </c>
      <c r="AC165" s="111" t="str">
        <f t="shared" si="124"/>
        <v/>
      </c>
      <c r="AD165" s="111">
        <f t="shared" si="125"/>
        <v>2</v>
      </c>
      <c r="AE165" s="112"/>
      <c r="AF165" s="56"/>
      <c r="AG165" s="56"/>
      <c r="AH165" s="56"/>
      <c r="AI165" s="112">
        <f>MIN(求节点(武将天赋进度验证!$Q$5:$Q$164,武将天赋进度验证!$Z$5:$Z$164,$D165),武将天赋进度验证!AL155)</f>
        <v>7.7238174600510218E-2</v>
      </c>
      <c r="AJ165" s="56"/>
      <c r="AK165" s="56"/>
      <c r="AL165" s="56"/>
      <c r="AM165" s="56"/>
      <c r="AN165" s="56"/>
      <c r="AT165" s="56">
        <f t="shared" si="120"/>
        <v>54.871999999999993</v>
      </c>
      <c r="AU165" s="56">
        <f t="shared" ref="AU165:AY165" si="138">IF(AU120="",0,AU120)</f>
        <v>0</v>
      </c>
      <c r="AV165" s="56">
        <f t="shared" si="138"/>
        <v>0</v>
      </c>
      <c r="AW165" s="56">
        <f t="shared" si="138"/>
        <v>2</v>
      </c>
      <c r="AX165" s="56">
        <f t="shared" si="138"/>
        <v>2</v>
      </c>
      <c r="AY165" s="56">
        <f t="shared" si="138"/>
        <v>2</v>
      </c>
    </row>
    <row r="166" spans="1:51" x14ac:dyDescent="0.15">
      <c r="A166" s="82">
        <f t="shared" si="116"/>
        <v>18</v>
      </c>
      <c r="C166" s="56">
        <f t="shared" si="117"/>
        <v>130</v>
      </c>
      <c r="D166" s="56">
        <f>求节点(节奏总纲!$S$4:$S$163,节奏总纲!$O$4:$O$163,$C166)</f>
        <v>79.813360188853366</v>
      </c>
      <c r="F166" s="56"/>
      <c r="G166" s="56"/>
      <c r="H166" s="56"/>
      <c r="I166" s="56"/>
      <c r="J166" s="56">
        <v>6</v>
      </c>
      <c r="K166" s="56"/>
      <c r="L166" s="56"/>
      <c r="M166" s="56"/>
      <c r="N166" s="56"/>
      <c r="O166" s="56">
        <f>求节点(武将升星!H$104:H$112,武将升星!$C$104:$C$112,武将数量星级阶位验证!BM156/J166)</f>
        <v>7.992461033269354</v>
      </c>
      <c r="P166" s="110" t="str">
        <f t="shared" si="122"/>
        <v/>
      </c>
      <c r="Q166" s="110" t="str">
        <f t="shared" si="123"/>
        <v/>
      </c>
      <c r="R166" s="56" t="str">
        <f>IFERROR(MAX(0,求节点(武将进阶!F$4:F$8,武将进阶!$C$5:$C$9,W166)),"")</f>
        <v/>
      </c>
      <c r="S166" s="56" t="str">
        <f>IFERROR(MAX(0,求节点(武将进阶!G$4:G$8,武将进阶!$C$5:$C$9,X166)),"")</f>
        <v/>
      </c>
      <c r="T166" s="56">
        <f>IFERROR(MAX(0,求节点(武将进阶!H$4:H$8,武将进阶!$C$5:$C$9,Y166)),"")</f>
        <v>3.1925344075541346</v>
      </c>
      <c r="U166" s="56" t="str">
        <f>IF(F166="","",MIN($D166*2,武将进阶!D$10))</f>
        <v/>
      </c>
      <c r="V166" s="56" t="str">
        <f>IF(G166="","",MIN($D166*2,武将进阶!E$10))</f>
        <v/>
      </c>
      <c r="W166" s="56" t="str">
        <f>IF(H166="","",MIN($D166*2,武将进阶!F$10))</f>
        <v/>
      </c>
      <c r="X166" s="56" t="str">
        <f>IF(I166="","",MIN($D166*2,武将进阶!G$10))</f>
        <v/>
      </c>
      <c r="Y166" s="56">
        <f>IF(J166="","",MIN($D166*2,武将进阶!H$10))</f>
        <v>159.62672037770673</v>
      </c>
      <c r="Z166" s="111"/>
      <c r="AA166" s="111"/>
      <c r="AB166" s="111" t="str">
        <f t="shared" si="118"/>
        <v/>
      </c>
      <c r="AC166" s="111" t="str">
        <f t="shared" si="124"/>
        <v/>
      </c>
      <c r="AD166" s="111">
        <f t="shared" si="125"/>
        <v>2</v>
      </c>
      <c r="AE166" s="112"/>
      <c r="AF166" s="56"/>
      <c r="AG166" s="56"/>
      <c r="AH166" s="56"/>
      <c r="AI166" s="112">
        <f>MIN(求节点(武将天赋进度验证!$Q$5:$Q$164,武将天赋进度验证!$Z$5:$Z$164,$D166),武将天赋进度验证!AL156)</f>
        <v>9.2153046836294439E-2</v>
      </c>
      <c r="AJ166" s="56"/>
      <c r="AK166" s="56"/>
      <c r="AL166" s="56"/>
      <c r="AM166" s="56"/>
      <c r="AN166" s="56"/>
      <c r="AT166" s="56">
        <f t="shared" si="120"/>
        <v>61.730999999999987</v>
      </c>
      <c r="AU166" s="56">
        <f t="shared" ref="AU166:AY166" si="139">IF(AU121="",0,AU121)</f>
        <v>0</v>
      </c>
      <c r="AV166" s="56">
        <f t="shared" si="139"/>
        <v>0</v>
      </c>
      <c r="AW166" s="56">
        <f t="shared" si="139"/>
        <v>2</v>
      </c>
      <c r="AX166" s="56">
        <f t="shared" si="139"/>
        <v>2</v>
      </c>
      <c r="AY166" s="56">
        <f t="shared" si="139"/>
        <v>2</v>
      </c>
    </row>
    <row r="167" spans="1:51" x14ac:dyDescent="0.15">
      <c r="A167" s="82">
        <f t="shared" si="116"/>
        <v>19</v>
      </c>
      <c r="C167" s="56">
        <f t="shared" si="117"/>
        <v>150</v>
      </c>
      <c r="D167" s="56">
        <f>求节点(节奏总纲!$S$4:$S$163,节奏总纲!$O$4:$O$163,$C167)</f>
        <v>81.919202803497143</v>
      </c>
      <c r="F167" s="56"/>
      <c r="G167" s="56"/>
      <c r="H167" s="56"/>
      <c r="I167" s="56"/>
      <c r="J167" s="56">
        <v>6</v>
      </c>
      <c r="K167" s="56"/>
      <c r="L167" s="56"/>
      <c r="M167" s="56"/>
      <c r="N167" s="56"/>
      <c r="O167" s="56">
        <f>求节点(武将升星!H$104:H$112,武将升星!$C$104:$C$112,武将数量星级阶位验证!BM157/J167)</f>
        <v>8</v>
      </c>
      <c r="P167" s="110" t="str">
        <f t="shared" si="122"/>
        <v/>
      </c>
      <c r="Q167" s="110" t="str">
        <f t="shared" si="123"/>
        <v/>
      </c>
      <c r="R167" s="56" t="str">
        <f>IFERROR(MAX(0,求节点(武将进阶!F$4:F$8,武将进阶!$C$5:$C$9,W167)),"")</f>
        <v/>
      </c>
      <c r="S167" s="56" t="str">
        <f>IFERROR(MAX(0,求节点(武将进阶!G$4:G$8,武将进阶!$C$5:$C$9,X167)),"")</f>
        <v/>
      </c>
      <c r="T167" s="56">
        <f>IFERROR(MAX(0,求节点(武将进阶!H$4:H$8,武将进阶!$C$5:$C$9,Y167)),"")</f>
        <v>3.2767681121398855</v>
      </c>
      <c r="U167" s="56" t="str">
        <f>IF(F167="","",MIN($D167*2,武将进阶!D$10))</f>
        <v/>
      </c>
      <c r="V167" s="56" t="str">
        <f>IF(G167="","",MIN($D167*2,武将进阶!E$10))</f>
        <v/>
      </c>
      <c r="W167" s="56" t="str">
        <f>IF(H167="","",MIN($D167*2,武将进阶!F$10))</f>
        <v/>
      </c>
      <c r="X167" s="56" t="str">
        <f>IF(I167="","",MIN($D167*2,武将进阶!G$10))</f>
        <v/>
      </c>
      <c r="Y167" s="56">
        <f>IF(J167="","",MIN($D167*2,武将进阶!H$10))</f>
        <v>163.83840560699429</v>
      </c>
      <c r="Z167" s="111"/>
      <c r="AA167" s="111"/>
      <c r="AB167" s="111" t="str">
        <f t="shared" si="118"/>
        <v/>
      </c>
      <c r="AC167" s="111" t="str">
        <f t="shared" si="124"/>
        <v/>
      </c>
      <c r="AD167" s="111">
        <f t="shared" si="125"/>
        <v>2</v>
      </c>
      <c r="AE167" s="112"/>
      <c r="AF167" s="56"/>
      <c r="AG167" s="56"/>
      <c r="AH167" s="56"/>
      <c r="AI167" s="112">
        <f>MIN(求节点(武将天赋进度验证!$Q$5:$Q$164,武将天赋进度验证!$Z$5:$Z$164,$D167),武将天赋进度验证!AL157)</f>
        <v>0.19370975137755883</v>
      </c>
      <c r="AJ167" s="56"/>
      <c r="AK167" s="56"/>
      <c r="AL167" s="56"/>
      <c r="AM167" s="56"/>
      <c r="AN167" s="56"/>
      <c r="AT167" s="56">
        <f t="shared" si="120"/>
        <v>68.59</v>
      </c>
      <c r="AU167" s="56">
        <f t="shared" ref="AU167:AY167" si="140">IF(AU122="",0,AU122)</f>
        <v>0</v>
      </c>
      <c r="AV167" s="56">
        <f t="shared" si="140"/>
        <v>0</v>
      </c>
      <c r="AW167" s="56">
        <f t="shared" si="140"/>
        <v>2</v>
      </c>
      <c r="AX167" s="56">
        <f t="shared" si="140"/>
        <v>2</v>
      </c>
      <c r="AY167" s="56">
        <f t="shared" si="140"/>
        <v>2</v>
      </c>
    </row>
    <row r="168" spans="1:51" x14ac:dyDescent="0.15">
      <c r="A168" s="82">
        <f t="shared" si="116"/>
        <v>20</v>
      </c>
      <c r="C168" s="56">
        <f t="shared" si="117"/>
        <v>170</v>
      </c>
      <c r="D168" s="56">
        <f>求节点(节奏总纲!$S$4:$S$163,节奏总纲!$O$4:$O$163,$C168)</f>
        <v>83.738783536778797</v>
      </c>
      <c r="F168" s="56"/>
      <c r="G168" s="56"/>
      <c r="H168" s="56"/>
      <c r="I168" s="56"/>
      <c r="J168" s="56">
        <v>6</v>
      </c>
      <c r="K168" s="56"/>
      <c r="L168" s="56"/>
      <c r="M168" s="56"/>
      <c r="N168" s="56"/>
      <c r="O168" s="56">
        <f>求节点(武将升星!H$104:H$112,武将升星!$C$104:$C$112,武将数量星级阶位验证!BM158/J168)</f>
        <v>8</v>
      </c>
      <c r="P168" s="110"/>
      <c r="Q168" s="110"/>
      <c r="R168" s="56" t="str">
        <f>IFERROR(MAX(0,求节点(武将进阶!F$4:F$8,武将进阶!$C$5:$C$9,W168)),"")</f>
        <v/>
      </c>
      <c r="S168" s="56" t="str">
        <f>IFERROR(MAX(0,求节点(武将进阶!G$4:G$8,武将进阶!$C$5:$C$9,X168)),"")</f>
        <v/>
      </c>
      <c r="T168" s="56">
        <f>IFERROR(MAX(0,求节点(武将进阶!H$4:H$8,武将进阶!$C$5:$C$9,Y168)),"")</f>
        <v>3.3495513414711517</v>
      </c>
      <c r="U168" s="56" t="str">
        <f>IF(F168="","",MIN($D168*2,武将进阶!D$10))</f>
        <v/>
      </c>
      <c r="V168" s="56" t="str">
        <f>IF(G168="","",MIN($D168*2,武将进阶!E$10))</f>
        <v/>
      </c>
      <c r="W168" s="56" t="str">
        <f>IF(H168="","",MIN($D168*2,武将进阶!F$10))</f>
        <v/>
      </c>
      <c r="X168" s="56" t="str">
        <f>IF(I168="","",MIN($D168*2,武将进阶!G$10))</f>
        <v/>
      </c>
      <c r="Y168" s="56">
        <f>IF(J168="","",MIN($D168*2,武将进阶!H$10))</f>
        <v>167.47756707355759</v>
      </c>
      <c r="Z168" s="111"/>
      <c r="AA168" s="111"/>
      <c r="AB168" s="111" t="str">
        <f t="shared" si="118"/>
        <v/>
      </c>
      <c r="AC168" s="111" t="str">
        <f t="shared" si="124"/>
        <v/>
      </c>
      <c r="AD168" s="111">
        <f t="shared" si="125"/>
        <v>2</v>
      </c>
      <c r="AE168" s="112"/>
      <c r="AF168" s="56"/>
      <c r="AG168" s="56"/>
      <c r="AH168" s="56"/>
      <c r="AI168" s="112">
        <f>MIN(求节点(武将天赋进度验证!$Q$5:$Q$164,武将天赋进度验证!$Z$5:$Z$164,$D168),武将天赋进度验证!AL158)</f>
        <v>0.37981855333149805</v>
      </c>
      <c r="AJ168" s="56"/>
      <c r="AK168" s="56"/>
      <c r="AL168" s="56"/>
      <c r="AM168" s="56"/>
      <c r="AN168" s="56"/>
      <c r="AT168" s="56">
        <f t="shared" si="120"/>
        <v>75.448999999999984</v>
      </c>
      <c r="AU168" s="56">
        <f t="shared" ref="AU168:AY168" si="141">IF(AU123="",0,AU123)</f>
        <v>0</v>
      </c>
      <c r="AV168" s="56">
        <f t="shared" si="141"/>
        <v>0</v>
      </c>
      <c r="AW168" s="56">
        <f t="shared" si="141"/>
        <v>2</v>
      </c>
      <c r="AX168" s="56">
        <f t="shared" si="141"/>
        <v>2</v>
      </c>
      <c r="AY168" s="56">
        <f t="shared" si="141"/>
        <v>2</v>
      </c>
    </row>
    <row r="169" spans="1:51" x14ac:dyDescent="0.15">
      <c r="A169" s="82">
        <f t="shared" si="116"/>
        <v>21</v>
      </c>
      <c r="C169" s="56">
        <f t="shared" si="117"/>
        <v>200</v>
      </c>
      <c r="D169" s="56">
        <f>求节点(节奏总纲!$S$4:$S$163,节奏总纲!$O$4:$O$163,$C169)</f>
        <v>86.045919706798657</v>
      </c>
      <c r="F169" s="56"/>
      <c r="G169" s="56"/>
      <c r="H169" s="56"/>
      <c r="I169" s="56"/>
      <c r="J169" s="56">
        <v>6</v>
      </c>
      <c r="K169" s="56"/>
      <c r="L169" s="56"/>
      <c r="M169" s="56"/>
      <c r="N169" s="56"/>
      <c r="O169" s="56">
        <f>求节点(武将升星!H$104:H$112,武将升星!$C$104:$C$112,武将数量星级阶位验证!BM159/J169)</f>
        <v>8</v>
      </c>
      <c r="P169" s="110"/>
      <c r="Q169" s="110"/>
      <c r="R169" s="56" t="str">
        <f>IFERROR(MAX(0,求节点(武将进阶!F$4:F$8,武将进阶!$C$5:$C$9,W169)),"")</f>
        <v/>
      </c>
      <c r="S169" s="56" t="str">
        <f>IFERROR(MAX(0,求节点(武将进阶!G$4:G$8,武将进阶!$C$5:$C$9,X169)),"")</f>
        <v/>
      </c>
      <c r="T169" s="56">
        <f>IFERROR(MAX(0,求节点(武将进阶!H$4:H$8,武将进阶!$C$5:$C$9,Y169)),"")</f>
        <v>3.4418367882719463</v>
      </c>
      <c r="U169" s="56" t="str">
        <f>IF(F169="","",MIN($D169*2,武将进阶!D$10))</f>
        <v/>
      </c>
      <c r="V169" s="56" t="str">
        <f>IF(G169="","",MIN($D169*2,武将进阶!E$10))</f>
        <v/>
      </c>
      <c r="W169" s="56" t="str">
        <f>IF(H169="","",MIN($D169*2,武将进阶!F$10))</f>
        <v/>
      </c>
      <c r="X169" s="56" t="str">
        <f>IF(I169="","",MIN($D169*2,武将进阶!G$10))</f>
        <v/>
      </c>
      <c r="Y169" s="56">
        <f>IF(J169="","",MIN($D169*2,武将进阶!H$10))</f>
        <v>172.09183941359731</v>
      </c>
      <c r="Z169" s="111"/>
      <c r="AA169" s="111"/>
      <c r="AB169" s="111" t="str">
        <f t="shared" si="118"/>
        <v/>
      </c>
      <c r="AC169" s="111" t="str">
        <f t="shared" si="124"/>
        <v/>
      </c>
      <c r="AD169" s="111">
        <f t="shared" si="125"/>
        <v>2</v>
      </c>
      <c r="AE169" s="112"/>
      <c r="AF169" s="56"/>
      <c r="AG169" s="56"/>
      <c r="AH169" s="56"/>
      <c r="AI169" s="112">
        <f>MIN(求节点(武将天赋进度验证!$Q$5:$Q$164,武将天赋进度验证!$Z$5:$Z$164,$D169),武将天赋进度验证!AL159)</f>
        <v>0.5</v>
      </c>
      <c r="AJ169" s="56"/>
      <c r="AK169" s="56"/>
      <c r="AL169" s="56"/>
      <c r="AM169" s="56"/>
      <c r="AN169" s="56"/>
      <c r="AT169" s="56">
        <f t="shared" si="120"/>
        <v>82.307999999999979</v>
      </c>
      <c r="AU169" s="56">
        <f t="shared" ref="AU169:AY169" si="142">IF(AU124="",0,AU124)</f>
        <v>0</v>
      </c>
      <c r="AV169" s="56">
        <f t="shared" si="142"/>
        <v>0</v>
      </c>
      <c r="AW169" s="56">
        <f t="shared" si="142"/>
        <v>2</v>
      </c>
      <c r="AX169" s="56">
        <f t="shared" si="142"/>
        <v>2</v>
      </c>
      <c r="AY169" s="56">
        <f t="shared" si="142"/>
        <v>2</v>
      </c>
    </row>
    <row r="170" spans="1:51" x14ac:dyDescent="0.15">
      <c r="A170" s="82">
        <f t="shared" si="116"/>
        <v>22</v>
      </c>
      <c r="C170" s="56">
        <f t="shared" si="117"/>
        <v>260</v>
      </c>
      <c r="D170" s="56">
        <f>求节点(节奏总纲!$S$4:$S$163,节奏总纲!$O$4:$O$163,$C170)</f>
        <v>90.288435080379244</v>
      </c>
      <c r="F170" s="56"/>
      <c r="G170" s="56"/>
      <c r="H170" s="56"/>
      <c r="I170" s="56"/>
      <c r="J170" s="56">
        <v>6</v>
      </c>
      <c r="K170" s="56"/>
      <c r="L170" s="56"/>
      <c r="M170" s="56"/>
      <c r="N170" s="56"/>
      <c r="O170" s="56">
        <f>求节点(武将升星!H$104:H$112,武将升星!$C$104:$C$112,武将数量星级阶位验证!BM160/J170)</f>
        <v>8</v>
      </c>
      <c r="P170" s="110"/>
      <c r="Q170" s="110"/>
      <c r="R170" s="56" t="str">
        <f>IFERROR(MAX(0,求节点(武将进阶!F$4:F$8,武将进阶!$C$5:$C$9,W170)),"")</f>
        <v/>
      </c>
      <c r="S170" s="56" t="str">
        <f>IFERROR(MAX(0,求节点(武将进阶!G$4:G$8,武将进阶!$C$5:$C$9,X170)),"")</f>
        <v/>
      </c>
      <c r="T170" s="56">
        <f>IFERROR(MAX(0,求节点(武将进阶!H$4:H$8,武将进阶!$C$5:$C$9,Y170)),"")</f>
        <v>3.6115374032151699</v>
      </c>
      <c r="U170" s="56" t="str">
        <f>IF(F170="","",MIN($D170*2,武将进阶!D$10))</f>
        <v/>
      </c>
      <c r="V170" s="56" t="str">
        <f>IF(G170="","",MIN($D170*2,武将进阶!E$10))</f>
        <v/>
      </c>
      <c r="W170" s="56" t="str">
        <f>IF(H170="","",MIN($D170*2,武将进阶!F$10))</f>
        <v/>
      </c>
      <c r="X170" s="56" t="str">
        <f>IF(I170="","",MIN($D170*2,武将进阶!G$10))</f>
        <v/>
      </c>
      <c r="Y170" s="56">
        <f>IF(J170="","",MIN($D170*2,武将进阶!H$10))</f>
        <v>180.57687016075849</v>
      </c>
      <c r="Z170" s="111"/>
      <c r="AA170" s="111"/>
      <c r="AB170" s="111" t="str">
        <f t="shared" si="118"/>
        <v/>
      </c>
      <c r="AC170" s="111" t="str">
        <f t="shared" si="124"/>
        <v/>
      </c>
      <c r="AD170" s="111">
        <f t="shared" si="125"/>
        <v>2</v>
      </c>
      <c r="AE170" s="112"/>
      <c r="AF170" s="56"/>
      <c r="AG170" s="56"/>
      <c r="AH170" s="56"/>
      <c r="AI170" s="112">
        <f>MIN(求节点(武将天赋进度验证!$Q$5:$Q$164,武将天赋进度验证!$Z$5:$Z$164,$D170),武将天赋进度验证!AL160)</f>
        <v>0.96718465057937997</v>
      </c>
      <c r="AJ170" s="56"/>
      <c r="AK170" s="56"/>
      <c r="AL170" s="56"/>
      <c r="AM170" s="56"/>
      <c r="AN170" s="56"/>
      <c r="AT170" s="56">
        <f t="shared" si="120"/>
        <v>89.167000000000002</v>
      </c>
      <c r="AU170" s="56">
        <f t="shared" ref="AU170:AY170" si="143">IF(AU125="",0,AU125)</f>
        <v>0</v>
      </c>
      <c r="AV170" s="56">
        <f t="shared" si="143"/>
        <v>0</v>
      </c>
      <c r="AW170" s="56">
        <f t="shared" si="143"/>
        <v>2</v>
      </c>
      <c r="AX170" s="56">
        <f t="shared" si="143"/>
        <v>2</v>
      </c>
      <c r="AY170" s="56">
        <f t="shared" si="143"/>
        <v>2</v>
      </c>
    </row>
    <row r="171" spans="1:51" x14ac:dyDescent="0.15">
      <c r="A171" s="82">
        <f t="shared" si="116"/>
        <v>23</v>
      </c>
      <c r="C171" s="56">
        <f t="shared" si="117"/>
        <v>320</v>
      </c>
      <c r="D171" s="56">
        <f>求节点(节奏总纲!$S$4:$S$163,节奏总纲!$O$4:$O$163,$C171)</f>
        <v>93.400072017025948</v>
      </c>
      <c r="F171" s="56"/>
      <c r="G171" s="56"/>
      <c r="H171" s="56"/>
      <c r="I171" s="56"/>
      <c r="J171" s="56">
        <v>6</v>
      </c>
      <c r="K171" s="56"/>
      <c r="L171" s="56"/>
      <c r="M171" s="56"/>
      <c r="N171" s="56"/>
      <c r="O171" s="56">
        <f>求节点(武将升星!H$104:H$112,武将升星!$C$104:$C$112,武将数量星级阶位验证!BM161/J171)</f>
        <v>8</v>
      </c>
      <c r="P171" s="110"/>
      <c r="Q171" s="110"/>
      <c r="R171" s="56" t="str">
        <f>IFERROR(MAX(0,求节点(武将进阶!F$4:F$8,武将进阶!$C$5:$C$9,W171)),"")</f>
        <v/>
      </c>
      <c r="S171" s="56" t="str">
        <f>IFERROR(MAX(0,求节点(武将进阶!G$4:G$8,武将进阶!$C$5:$C$9,X171)),"")</f>
        <v/>
      </c>
      <c r="T171" s="56">
        <f>IFERROR(MAX(0,求节点(武将进阶!H$4:H$8,武将进阶!$C$5:$C$9,Y171)),"")</f>
        <v>3.7360028806810379</v>
      </c>
      <c r="U171" s="56" t="str">
        <f>IF(F171="","",MIN($D171*2,武将进阶!D$10))</f>
        <v/>
      </c>
      <c r="V171" s="56" t="str">
        <f>IF(G171="","",MIN($D171*2,武将进阶!E$10))</f>
        <v/>
      </c>
      <c r="W171" s="56" t="str">
        <f>IF(H171="","",MIN($D171*2,武将进阶!F$10))</f>
        <v/>
      </c>
      <c r="X171" s="56" t="str">
        <f>IF(I171="","",MIN($D171*2,武将进阶!G$10))</f>
        <v/>
      </c>
      <c r="Y171" s="56">
        <f>IF(J171="","",MIN($D171*2,武将进阶!H$10))</f>
        <v>186.8001440340519</v>
      </c>
      <c r="Z171" s="111"/>
      <c r="AA171" s="111"/>
      <c r="AB171" s="111" t="str">
        <f t="shared" si="118"/>
        <v/>
      </c>
      <c r="AC171" s="111" t="str">
        <f t="shared" si="124"/>
        <v/>
      </c>
      <c r="AD171" s="111">
        <f t="shared" si="125"/>
        <v>2</v>
      </c>
      <c r="AE171" s="112"/>
      <c r="AF171" s="56"/>
      <c r="AG171" s="56"/>
      <c r="AH171" s="56"/>
      <c r="AI171" s="112">
        <f>MIN(求节点(武将天赋进度验证!$Q$5:$Q$164,武将天赋进度验证!$Z$5:$Z$164,$D171),武将天赋进度验证!AL161)</f>
        <v>1</v>
      </c>
      <c r="AJ171" s="56"/>
      <c r="AK171" s="56"/>
      <c r="AL171" s="56"/>
      <c r="AM171" s="56"/>
      <c r="AN171" s="56"/>
      <c r="AT171" s="56">
        <f t="shared" si="120"/>
        <v>96.025999999999982</v>
      </c>
      <c r="AU171" s="56">
        <f t="shared" ref="AU171:AY171" si="144">IF(AU126="",0,AU126)</f>
        <v>0</v>
      </c>
      <c r="AV171" s="56">
        <f t="shared" si="144"/>
        <v>0</v>
      </c>
      <c r="AW171" s="56">
        <f t="shared" si="144"/>
        <v>2</v>
      </c>
      <c r="AX171" s="56">
        <f t="shared" si="144"/>
        <v>2</v>
      </c>
      <c r="AY171" s="56">
        <f t="shared" si="144"/>
        <v>2</v>
      </c>
    </row>
    <row r="172" spans="1:51" x14ac:dyDescent="0.15">
      <c r="A172" s="82">
        <f t="shared" si="116"/>
        <v>24</v>
      </c>
      <c r="C172" s="56">
        <f t="shared" si="117"/>
        <v>410</v>
      </c>
      <c r="D172" s="56">
        <f>求节点(节奏总纲!$S$4:$S$163,节奏总纲!$O$4:$O$163,$C172)</f>
        <v>97.006001686863456</v>
      </c>
      <c r="F172" s="56"/>
      <c r="G172" s="56"/>
      <c r="H172" s="56"/>
      <c r="I172" s="56"/>
      <c r="J172" s="56">
        <v>6</v>
      </c>
      <c r="K172" s="56"/>
      <c r="L172" s="56"/>
      <c r="M172" s="56"/>
      <c r="N172" s="56"/>
      <c r="O172" s="56">
        <f>求节点(武将升星!H$104:H$112,武将升星!$C$104:$C$112,武将数量星级阶位验证!BM162/J172)</f>
        <v>8</v>
      </c>
      <c r="P172" s="110"/>
      <c r="Q172" s="110"/>
      <c r="R172" s="56" t="str">
        <f>IFERROR(MAX(0,求节点(武将进阶!F$4:F$8,武将进阶!$C$5:$C$9,W172)),"")</f>
        <v/>
      </c>
      <c r="S172" s="56" t="str">
        <f>IFERROR(MAX(0,求节点(武将进阶!G$4:G$8,武将进阶!$C$5:$C$9,X172)),"")</f>
        <v/>
      </c>
      <c r="T172" s="56">
        <f>IFERROR(MAX(0,求节点(武将进阶!H$4:H$8,武将进阶!$C$5:$C$9,Y172)),"")</f>
        <v>3.8802400674745385</v>
      </c>
      <c r="U172" s="56" t="str">
        <f>IF(F172="","",MIN($D172*2,武将进阶!D$10))</f>
        <v/>
      </c>
      <c r="V172" s="56" t="str">
        <f>IF(G172="","",MIN($D172*2,武将进阶!E$10))</f>
        <v/>
      </c>
      <c r="W172" s="56" t="str">
        <f>IF(H172="","",MIN($D172*2,武将进阶!F$10))</f>
        <v/>
      </c>
      <c r="X172" s="56" t="str">
        <f>IF(I172="","",MIN($D172*2,武将进阶!G$10))</f>
        <v/>
      </c>
      <c r="Y172" s="56">
        <f>IF(J172="","",MIN($D172*2,武将进阶!H$10))</f>
        <v>194.01200337372691</v>
      </c>
      <c r="Z172" s="111"/>
      <c r="AA172" s="111"/>
      <c r="AB172" s="111" t="str">
        <f t="shared" si="118"/>
        <v/>
      </c>
      <c r="AC172" s="111" t="str">
        <f t="shared" si="124"/>
        <v/>
      </c>
      <c r="AD172" s="111">
        <f t="shared" si="125"/>
        <v>2</v>
      </c>
      <c r="AE172" s="112"/>
      <c r="AF172" s="56"/>
      <c r="AG172" s="56"/>
      <c r="AH172" s="56"/>
      <c r="AI172" s="112">
        <f>MIN(求节点(武将天赋进度验证!$Q$5:$Q$164,武将天赋进度验证!$Z$5:$Z$164,$D172),武将天赋进度验证!AL162)</f>
        <v>1</v>
      </c>
      <c r="AJ172" s="56"/>
      <c r="AK172" s="56"/>
      <c r="AL172" s="56"/>
      <c r="AM172" s="56"/>
      <c r="AN172" s="56"/>
      <c r="AT172" s="56">
        <f t="shared" si="120"/>
        <v>102.88499999999999</v>
      </c>
      <c r="AU172" s="56">
        <f t="shared" ref="AU172:AY172" si="145">IF(AU127="",0,AU127)</f>
        <v>0</v>
      </c>
      <c r="AV172" s="56">
        <f t="shared" si="145"/>
        <v>0</v>
      </c>
      <c r="AW172" s="56">
        <f t="shared" si="145"/>
        <v>2</v>
      </c>
      <c r="AX172" s="56">
        <f t="shared" si="145"/>
        <v>2</v>
      </c>
      <c r="AY172" s="56">
        <f t="shared" si="145"/>
        <v>2</v>
      </c>
    </row>
    <row r="173" spans="1:51" x14ac:dyDescent="0.15">
      <c r="A173" s="82">
        <f t="shared" si="116"/>
        <v>25</v>
      </c>
      <c r="C173" s="56">
        <f t="shared" si="117"/>
        <v>530</v>
      </c>
      <c r="D173" s="56">
        <f>求节点(节奏总纲!$S$4:$S$163,节奏总纲!$O$4:$O$163,$C173)</f>
        <v>100.64473135315967</v>
      </c>
      <c r="F173" s="56"/>
      <c r="G173" s="56"/>
      <c r="H173" s="56"/>
      <c r="I173" s="56"/>
      <c r="J173" s="56">
        <v>6</v>
      </c>
      <c r="K173" s="56"/>
      <c r="L173" s="56"/>
      <c r="M173" s="56"/>
      <c r="N173" s="56"/>
      <c r="O173" s="56">
        <f>求节点(武将升星!H$104:H$112,武将升星!$C$104:$C$112,武将数量星级阶位验证!BM163/J173)</f>
        <v>8</v>
      </c>
      <c r="P173" s="110"/>
      <c r="Q173" s="110"/>
      <c r="R173" s="56" t="str">
        <f>IFERROR(MAX(0,求节点(武将进阶!F$4:F$8,武将进阶!$C$5:$C$9,W173)),"")</f>
        <v/>
      </c>
      <c r="S173" s="56" t="str">
        <f>IFERROR(MAX(0,求节点(武将进阶!G$4:G$8,武将进阶!$C$5:$C$9,X173)),"")</f>
        <v/>
      </c>
      <c r="T173" s="56">
        <f>IFERROR(MAX(0,求节点(武将进阶!H$4:H$8,武将进阶!$C$5:$C$9,Y173)),"")</f>
        <v>4.0257892541263871</v>
      </c>
      <c r="U173" s="56" t="str">
        <f>IF(F173="","",MIN($D173*2,武将进阶!D$10))</f>
        <v/>
      </c>
      <c r="V173" s="56" t="str">
        <f>IF(G173="","",MIN($D173*2,武将进阶!E$10))</f>
        <v/>
      </c>
      <c r="W173" s="56" t="str">
        <f>IF(H173="","",MIN($D173*2,武将进阶!F$10))</f>
        <v/>
      </c>
      <c r="X173" s="56" t="str">
        <f>IF(I173="","",MIN($D173*2,武将进阶!G$10))</f>
        <v/>
      </c>
      <c r="Y173" s="56">
        <f>IF(J173="","",MIN($D173*2,武将进阶!H$10))</f>
        <v>201.28946270631934</v>
      </c>
      <c r="Z173" s="111"/>
      <c r="AA173" s="111"/>
      <c r="AB173" s="111" t="str">
        <f t="shared" si="118"/>
        <v/>
      </c>
      <c r="AC173" s="111" t="str">
        <f t="shared" si="124"/>
        <v/>
      </c>
      <c r="AD173" s="111">
        <f t="shared" si="125"/>
        <v>2</v>
      </c>
      <c r="AE173" s="112"/>
      <c r="AF173" s="56"/>
      <c r="AG173" s="56"/>
      <c r="AH173" s="56"/>
      <c r="AI173" s="112">
        <f>MIN(求节点(武将天赋进度验证!$Q$5:$Q$164,武将天赋进度验证!$Z$5:$Z$164,$D173),武将天赋进度验证!AL163)</f>
        <v>1</v>
      </c>
      <c r="AJ173" s="56"/>
      <c r="AK173" s="56"/>
      <c r="AL173" s="56"/>
      <c r="AM173" s="56"/>
      <c r="AN173" s="56"/>
      <c r="AT173" s="56">
        <f t="shared" si="120"/>
        <v>109.74399999999999</v>
      </c>
      <c r="AU173" s="56">
        <f t="shared" ref="AU173:AY173" si="146">IF(AU128="",0,AU128)</f>
        <v>0</v>
      </c>
      <c r="AV173" s="56">
        <f t="shared" si="146"/>
        <v>0</v>
      </c>
      <c r="AW173" s="56">
        <f t="shared" si="146"/>
        <v>2</v>
      </c>
      <c r="AX173" s="56">
        <f t="shared" si="146"/>
        <v>2</v>
      </c>
      <c r="AY173" s="56">
        <f t="shared" si="146"/>
        <v>2</v>
      </c>
    </row>
    <row r="174" spans="1:51" x14ac:dyDescent="0.15">
      <c r="A174" s="82">
        <f t="shared" si="116"/>
        <v>26</v>
      </c>
      <c r="C174" s="56">
        <f t="shared" si="117"/>
        <v>680</v>
      </c>
      <c r="D174" s="56">
        <f>求节点(节奏总纲!$S$4:$S$163,节奏总纲!$O$4:$O$163,$C174)</f>
        <v>104.30731379164318</v>
      </c>
      <c r="F174" s="56"/>
      <c r="G174" s="56"/>
      <c r="H174" s="56"/>
      <c r="I174" s="56"/>
      <c r="J174" s="56">
        <v>6</v>
      </c>
      <c r="K174" s="56"/>
      <c r="L174" s="56"/>
      <c r="M174" s="56"/>
      <c r="N174" s="56"/>
      <c r="O174" s="56">
        <f>求节点(武将升星!H$104:H$112,武将升星!$C$104:$C$112,武将数量星级阶位验证!BM164/J174)</f>
        <v>8</v>
      </c>
      <c r="P174" s="110"/>
      <c r="Q174" s="110"/>
      <c r="R174" s="56" t="str">
        <f>IFERROR(MAX(0,求节点(武将进阶!F$4:F$8,武将进阶!$C$5:$C$9,W174)),"")</f>
        <v/>
      </c>
      <c r="S174" s="56" t="str">
        <f>IFERROR(MAX(0,求节点(武将进阶!G$4:G$8,武将进阶!$C$5:$C$9,X174)),"")</f>
        <v/>
      </c>
      <c r="T174" s="56">
        <f>IFERROR(MAX(0,求节点(武将进阶!H$4:H$8,武将进阶!$C$5:$C$9,Y174)),"")</f>
        <v>4.172292551665727</v>
      </c>
      <c r="U174" s="56" t="str">
        <f>IF(F174="","",MIN($D174*2,武将进阶!D$10))</f>
        <v/>
      </c>
      <c r="V174" s="56" t="str">
        <f>IF(G174="","",MIN($D174*2,武将进阶!E$10))</f>
        <v/>
      </c>
      <c r="W174" s="56" t="str">
        <f>IF(H174="","",MIN($D174*2,武将进阶!F$10))</f>
        <v/>
      </c>
      <c r="X174" s="56" t="str">
        <f>IF(I174="","",MIN($D174*2,武将进阶!G$10))</f>
        <v/>
      </c>
      <c r="Y174" s="56">
        <f>IF(J174="","",MIN($D174*2,武将进阶!H$10))</f>
        <v>208.61462758328636</v>
      </c>
      <c r="Z174" s="111"/>
      <c r="AA174" s="111"/>
      <c r="AB174" s="111" t="str">
        <f t="shared" si="118"/>
        <v/>
      </c>
      <c r="AC174" s="111" t="str">
        <f t="shared" si="124"/>
        <v/>
      </c>
      <c r="AD174" s="111">
        <f t="shared" si="125"/>
        <v>2</v>
      </c>
      <c r="AE174" s="112"/>
      <c r="AF174" s="56"/>
      <c r="AG174" s="56"/>
      <c r="AH174" s="56"/>
      <c r="AI174" s="112">
        <f>MIN(求节点(武将天赋进度验证!$Q$5:$Q$164,武将天赋进度验证!$Z$5:$Z$164,$D174),武将天赋进度验证!AL164)</f>
        <v>1</v>
      </c>
      <c r="AJ174" s="56"/>
      <c r="AK174" s="56"/>
      <c r="AL174" s="56"/>
      <c r="AM174" s="56"/>
      <c r="AN174" s="56"/>
      <c r="AT174" s="56">
        <f t="shared" si="120"/>
        <v>116.60299999999998</v>
      </c>
      <c r="AU174" s="56">
        <f t="shared" ref="AU174:AY174" si="147">IF(AU129="",0,AU129)</f>
        <v>0</v>
      </c>
      <c r="AV174" s="56">
        <f t="shared" si="147"/>
        <v>0</v>
      </c>
      <c r="AW174" s="56">
        <f t="shared" si="147"/>
        <v>2</v>
      </c>
      <c r="AX174" s="56">
        <f t="shared" si="147"/>
        <v>2</v>
      </c>
      <c r="AY174" s="56">
        <f t="shared" si="147"/>
        <v>2</v>
      </c>
    </row>
    <row r="175" spans="1:51" x14ac:dyDescent="0.15">
      <c r="A175" s="82">
        <f t="shared" si="116"/>
        <v>27</v>
      </c>
      <c r="C175" s="56">
        <f t="shared" si="117"/>
        <v>860</v>
      </c>
      <c r="D175" s="56">
        <f>求节点(节奏总纲!$S$4:$S$163,节奏总纲!$O$4:$O$163,$C175)</f>
        <v>107.78950972208385</v>
      </c>
      <c r="F175" s="56"/>
      <c r="G175" s="56"/>
      <c r="H175" s="56"/>
      <c r="I175" s="56"/>
      <c r="J175" s="56">
        <v>6</v>
      </c>
      <c r="K175" s="56"/>
      <c r="L175" s="56"/>
      <c r="M175" s="56"/>
      <c r="N175" s="56"/>
      <c r="O175" s="56">
        <f>求节点(武将升星!H$104:H$112,武将升星!$C$104:$C$112,武将数量星级阶位验证!BM165/J175)</f>
        <v>8</v>
      </c>
      <c r="P175" s="110"/>
      <c r="Q175" s="110"/>
      <c r="R175" s="56" t="str">
        <f>IFERROR(MAX(0,求节点(武将进阶!F$4:F$8,武将进阶!$C$5:$C$9,W175)),"")</f>
        <v/>
      </c>
      <c r="S175" s="56" t="str">
        <f>IFERROR(MAX(0,求节点(武将进阶!G$4:G$8,武将进阶!$C$5:$C$9,X175)),"")</f>
        <v/>
      </c>
      <c r="T175" s="56">
        <f>IFERROR(MAX(0,求节点(武将进阶!H$4:H$8,武将进阶!$C$5:$C$9,Y175)),"")</f>
        <v>4.3115803888833542</v>
      </c>
      <c r="U175" s="56" t="str">
        <f>IF(F175="","",MIN($D175*2,武将进阶!D$10))</f>
        <v/>
      </c>
      <c r="V175" s="56" t="str">
        <f>IF(G175="","",MIN($D175*2,武将进阶!E$10))</f>
        <v/>
      </c>
      <c r="W175" s="56" t="str">
        <f>IF(H175="","",MIN($D175*2,武将进阶!F$10))</f>
        <v/>
      </c>
      <c r="X175" s="56" t="str">
        <f>IF(I175="","",MIN($D175*2,武将进阶!G$10))</f>
        <v/>
      </c>
      <c r="Y175" s="56">
        <f>IF(J175="","",MIN($D175*2,武将进阶!H$10))</f>
        <v>215.5790194441677</v>
      </c>
      <c r="Z175" s="111"/>
      <c r="AA175" s="111"/>
      <c r="AB175" s="111" t="str">
        <f t="shared" si="118"/>
        <v/>
      </c>
      <c r="AC175" s="111" t="str">
        <f t="shared" si="124"/>
        <v/>
      </c>
      <c r="AD175" s="111">
        <f t="shared" si="125"/>
        <v>2</v>
      </c>
      <c r="AE175" s="112"/>
      <c r="AF175" s="56"/>
      <c r="AG175" s="56"/>
      <c r="AH175" s="56"/>
      <c r="AI175" s="112">
        <f>MIN(求节点(武将天赋进度验证!$Q$5:$Q$164,武将天赋进度验证!$Z$5:$Z$164,$D175),武将天赋进度验证!AL165)</f>
        <v>1</v>
      </c>
      <c r="AJ175" s="56"/>
      <c r="AK175" s="56"/>
      <c r="AL175" s="56"/>
      <c r="AM175" s="56"/>
      <c r="AN175" s="56"/>
      <c r="AT175" s="56">
        <f t="shared" si="120"/>
        <v>123.46199999999997</v>
      </c>
      <c r="AU175" s="56">
        <f t="shared" ref="AU175:AY175" si="148">IF(AU130="",0,AU130)</f>
        <v>0</v>
      </c>
      <c r="AV175" s="56">
        <f t="shared" si="148"/>
        <v>0</v>
      </c>
      <c r="AW175" s="56">
        <f t="shared" si="148"/>
        <v>2</v>
      </c>
      <c r="AX175" s="56">
        <f t="shared" si="148"/>
        <v>2</v>
      </c>
      <c r="AY175" s="56">
        <f t="shared" si="148"/>
        <v>2</v>
      </c>
    </row>
    <row r="176" spans="1:51" x14ac:dyDescent="0.15">
      <c r="A176" s="82">
        <f t="shared" si="116"/>
        <v>28</v>
      </c>
      <c r="C176" s="56">
        <f t="shared" si="117"/>
        <v>1100</v>
      </c>
      <c r="D176" s="56">
        <f>求节点(节奏总纲!$S$4:$S$163,节奏总纲!$O$4:$O$163,$C176)</f>
        <v>111.29737083030383</v>
      </c>
      <c r="F176" s="56"/>
      <c r="G176" s="56"/>
      <c r="H176" s="56"/>
      <c r="I176" s="56"/>
      <c r="J176" s="56">
        <v>6</v>
      </c>
      <c r="K176" s="56"/>
      <c r="L176" s="56"/>
      <c r="M176" s="56"/>
      <c r="N176" s="56"/>
      <c r="O176" s="56">
        <f>求节点(武将升星!H$104:H$112,武将升星!$C$104:$C$112,武将数量星级阶位验证!BM166/J176)</f>
        <v>8</v>
      </c>
      <c r="P176" s="110"/>
      <c r="Q176" s="110"/>
      <c r="R176" s="56" t="str">
        <f>IFERROR(MAX(0,求节点(武将进阶!F$4:F$8,武将进阶!$C$5:$C$9,W176)),"")</f>
        <v/>
      </c>
      <c r="S176" s="56" t="str">
        <f>IFERROR(MAX(0,求节点(武将进阶!G$4:G$8,武将进阶!$C$5:$C$9,X176)),"")</f>
        <v/>
      </c>
      <c r="T176" s="56">
        <f>IFERROR(MAX(0,求节点(武将进阶!H$4:H$8,武将进阶!$C$5:$C$9,Y176)),"")</f>
        <v>4.4518948332121537</v>
      </c>
      <c r="U176" s="56" t="str">
        <f>IF(F176="","",MIN($D176*2,武将进阶!D$10))</f>
        <v/>
      </c>
      <c r="V176" s="56" t="str">
        <f>IF(G176="","",MIN($D176*2,武将进阶!E$10))</f>
        <v/>
      </c>
      <c r="W176" s="56" t="str">
        <f>IF(H176="","",MIN($D176*2,武将进阶!F$10))</f>
        <v/>
      </c>
      <c r="X176" s="56" t="str">
        <f>IF(I176="","",MIN($D176*2,武将进阶!G$10))</f>
        <v/>
      </c>
      <c r="Y176" s="56">
        <f>IF(J176="","",MIN($D176*2,武将进阶!H$10))</f>
        <v>222.59474166060767</v>
      </c>
      <c r="Z176" s="111"/>
      <c r="AA176" s="111"/>
      <c r="AB176" s="111" t="str">
        <f t="shared" si="118"/>
        <v/>
      </c>
      <c r="AC176" s="111" t="str">
        <f t="shared" si="124"/>
        <v/>
      </c>
      <c r="AD176" s="111">
        <f t="shared" si="125"/>
        <v>2</v>
      </c>
      <c r="AE176" s="112"/>
      <c r="AF176" s="56"/>
      <c r="AG176" s="56"/>
      <c r="AH176" s="56"/>
      <c r="AI176" s="112">
        <f>MIN(求节点(武将天赋进度验证!$Q$5:$Q$164,武将天赋进度验证!$Z$5:$Z$164,$D176),武将天赋进度验证!AL166)</f>
        <v>1</v>
      </c>
      <c r="AJ176" s="56"/>
      <c r="AK176" s="56"/>
      <c r="AL176" s="56"/>
      <c r="AM176" s="56"/>
      <c r="AN176" s="56"/>
      <c r="AT176" s="56">
        <f t="shared" si="120"/>
        <v>130.321</v>
      </c>
      <c r="AU176" s="56">
        <f t="shared" ref="AU176:AY176" si="149">IF(AU131="",0,AU131)</f>
        <v>0</v>
      </c>
      <c r="AV176" s="56">
        <f t="shared" si="149"/>
        <v>0</v>
      </c>
      <c r="AW176" s="56">
        <f t="shared" si="149"/>
        <v>2</v>
      </c>
      <c r="AX176" s="56">
        <f t="shared" si="149"/>
        <v>2</v>
      </c>
      <c r="AY176" s="56">
        <f t="shared" si="149"/>
        <v>2</v>
      </c>
    </row>
    <row r="177" spans="1:51" x14ac:dyDescent="0.15">
      <c r="A177" s="82">
        <f t="shared" si="116"/>
        <v>29</v>
      </c>
      <c r="C177" s="56">
        <f t="shared" si="117"/>
        <v>1400</v>
      </c>
      <c r="D177" s="56">
        <f>求节点(节奏总纲!$S$4:$S$163,节奏总纲!$O$4:$O$163,$C177)</f>
        <v>114.91888401282834</v>
      </c>
      <c r="F177" s="56"/>
      <c r="G177" s="56"/>
      <c r="H177" s="56"/>
      <c r="I177" s="56"/>
      <c r="J177" s="56">
        <v>6</v>
      </c>
      <c r="K177" s="56"/>
      <c r="L177" s="56"/>
      <c r="M177" s="56"/>
      <c r="N177" s="56"/>
      <c r="O177" s="56">
        <f>求节点(武将升星!H$104:H$112,武将升星!$C$104:$C$112,武将数量星级阶位验证!BM167/J177)</f>
        <v>8</v>
      </c>
      <c r="P177" s="110"/>
      <c r="Q177" s="110"/>
      <c r="R177" s="56" t="str">
        <f>IFERROR(MAX(0,求节点(武将进阶!F$4:F$8,武将进阶!$C$5:$C$9,W177)),"")</f>
        <v/>
      </c>
      <c r="S177" s="56" t="str">
        <f>IFERROR(MAX(0,求节点(武将进阶!G$4:G$8,武将进阶!$C$5:$C$9,X177)),"")</f>
        <v/>
      </c>
      <c r="T177" s="56">
        <f>IFERROR(MAX(0,求节点(武将进阶!H$4:H$8,武将进阶!$C$5:$C$9,Y177)),"")</f>
        <v>4.5967553605131339</v>
      </c>
      <c r="U177" s="56" t="str">
        <f>IF(F177="","",MIN($D177*2,武将进阶!D$10))</f>
        <v/>
      </c>
      <c r="V177" s="56" t="str">
        <f>IF(G177="","",MIN($D177*2,武将进阶!E$10))</f>
        <v/>
      </c>
      <c r="W177" s="56" t="str">
        <f>IF(H177="","",MIN($D177*2,武将进阶!F$10))</f>
        <v/>
      </c>
      <c r="X177" s="56" t="str">
        <f>IF(I177="","",MIN($D177*2,武将进阶!G$10))</f>
        <v/>
      </c>
      <c r="Y177" s="56">
        <f>IF(J177="","",MIN($D177*2,武将进阶!H$10))</f>
        <v>229.83776802565669</v>
      </c>
      <c r="Z177" s="111"/>
      <c r="AA177" s="111"/>
      <c r="AB177" s="111" t="str">
        <f t="shared" si="118"/>
        <v/>
      </c>
      <c r="AC177" s="111" t="str">
        <f t="shared" si="124"/>
        <v/>
      </c>
      <c r="AD177" s="111">
        <f t="shared" si="125"/>
        <v>2</v>
      </c>
      <c r="AE177" s="112"/>
      <c r="AF177" s="56"/>
      <c r="AG177" s="56"/>
      <c r="AH177" s="56"/>
      <c r="AI177" s="112">
        <f>MIN(求节点(武将天赋进度验证!$Q$5:$Q$164,武将天赋进度验证!$Z$5:$Z$164,$D177),武将天赋进度验证!AL167)</f>
        <v>1</v>
      </c>
      <c r="AJ177" s="56"/>
      <c r="AK177" s="56"/>
      <c r="AL177" s="56"/>
      <c r="AM177" s="56"/>
      <c r="AN177" s="56"/>
      <c r="AT177" s="56">
        <f t="shared" si="120"/>
        <v>137.18</v>
      </c>
      <c r="AU177" s="56">
        <f t="shared" ref="AU177:AY177" si="150">IF(AU132="",0,AU132)</f>
        <v>0</v>
      </c>
      <c r="AV177" s="56">
        <f t="shared" si="150"/>
        <v>0</v>
      </c>
      <c r="AW177" s="56">
        <f t="shared" si="150"/>
        <v>2</v>
      </c>
      <c r="AX177" s="56">
        <f t="shared" si="150"/>
        <v>2</v>
      </c>
      <c r="AY177" s="56">
        <f t="shared" si="150"/>
        <v>2</v>
      </c>
    </row>
    <row r="178" spans="1:51" x14ac:dyDescent="0.15">
      <c r="A178" s="82">
        <f t="shared" si="116"/>
        <v>30</v>
      </c>
      <c r="C178" s="56">
        <f t="shared" ref="C178:C190" si="151">C43*0.5</f>
        <v>1790</v>
      </c>
      <c r="D178" s="56">
        <f>求节点(节奏总纲!$S$4:$S$163,节奏总纲!$O$4:$O$163,$C178)</f>
        <v>118.4172728380062</v>
      </c>
      <c r="F178" s="56"/>
      <c r="G178" s="56"/>
      <c r="H178" s="56"/>
      <c r="I178" s="56"/>
      <c r="J178" s="56">
        <v>6</v>
      </c>
      <c r="K178" s="56"/>
      <c r="L178" s="56"/>
      <c r="M178" s="56"/>
      <c r="N178" s="56"/>
      <c r="O178" s="56">
        <f>求节点(武将升星!H$104:H$112,武将升星!$C$104:$C$112,武将数量星级阶位验证!BM168/J178)</f>
        <v>8</v>
      </c>
      <c r="P178" s="110"/>
      <c r="Q178" s="110"/>
      <c r="R178" s="56" t="str">
        <f>IFERROR(MAX(0,求节点(武将进阶!F$4:F$8,武将进阶!$C$5:$C$9,W178)),"")</f>
        <v/>
      </c>
      <c r="S178" s="56" t="str">
        <f>IFERROR(MAX(0,求节点(武将进阶!G$4:G$8,武将进阶!$C$5:$C$9,X178)),"")</f>
        <v/>
      </c>
      <c r="T178" s="56">
        <f>IFERROR(MAX(0,求节点(武将进阶!H$4:H$8,武将进阶!$C$5:$C$9,Y178)),"")</f>
        <v>4.7366909135202482</v>
      </c>
      <c r="U178" s="56" t="str">
        <f>IF(F178="","",MIN($D178*2,武将进阶!D$10))</f>
        <v/>
      </c>
      <c r="V178" s="56" t="str">
        <f>IF(G178="","",MIN($D178*2,武将进阶!E$10))</f>
        <v/>
      </c>
      <c r="W178" s="56" t="str">
        <f>IF(H178="","",MIN($D178*2,武将进阶!F$10))</f>
        <v/>
      </c>
      <c r="X178" s="56" t="str">
        <f>IF(I178="","",MIN($D178*2,武将进阶!G$10))</f>
        <v/>
      </c>
      <c r="Y178" s="56">
        <f>IF(J178="","",MIN($D178*2,武将进阶!H$10))</f>
        <v>236.8345456760124</v>
      </c>
      <c r="Z178" s="111"/>
      <c r="AA178" s="111"/>
      <c r="AB178" s="111" t="str">
        <f t="shared" ref="AB178:AB190" si="152">IF(H178="","",求节点($AT$152:$AT$190,AW$152:AW$190,$D178))</f>
        <v/>
      </c>
      <c r="AC178" s="111" t="str">
        <f t="shared" ref="AC178:AC190" si="153">IF(I178="","",求节点($AT$152:$AT$190,AX$152:AX$190,$D178))</f>
        <v/>
      </c>
      <c r="AD178" s="111">
        <f t="shared" ref="AD178:AD190" si="154">IF(J178="","",求节点($AT$152:$AT$190,AY$152:AY$190,$D178))</f>
        <v>2</v>
      </c>
      <c r="AE178" s="112"/>
      <c r="AF178" s="56"/>
      <c r="AG178" s="56"/>
      <c r="AH178" s="56"/>
      <c r="AI178" s="112">
        <f>MIN(求节点(武将天赋进度验证!$Q$5:$Q$164,武将天赋进度验证!$Z$5:$Z$164,$D178),武将天赋进度验证!AL168)</f>
        <v>1</v>
      </c>
      <c r="AJ178" s="56"/>
      <c r="AK178" s="56"/>
      <c r="AL178" s="56"/>
      <c r="AM178" s="56"/>
      <c r="AN178" s="56"/>
      <c r="AT178" s="56">
        <f t="shared" ref="AT178:AT190" si="155">AT133*0.95</f>
        <v>144.03899999999996</v>
      </c>
      <c r="AU178" s="56">
        <f t="shared" ref="AU178:AY178" si="156">IF(AU133="",0,AU133)</f>
        <v>0</v>
      </c>
      <c r="AV178" s="56">
        <f t="shared" si="156"/>
        <v>0</v>
      </c>
      <c r="AW178" s="56">
        <f t="shared" si="156"/>
        <v>2</v>
      </c>
      <c r="AX178" s="56">
        <f t="shared" si="156"/>
        <v>2</v>
      </c>
      <c r="AY178" s="56">
        <f t="shared" si="156"/>
        <v>2</v>
      </c>
    </row>
    <row r="179" spans="1:51" x14ac:dyDescent="0.15">
      <c r="A179" s="82">
        <f t="shared" si="116"/>
        <v>31</v>
      </c>
      <c r="C179" s="56">
        <f t="shared" si="151"/>
        <v>2270</v>
      </c>
      <c r="D179" s="56">
        <f>求节点(节奏总纲!$S$4:$S$163,节奏总纲!$O$4:$O$163,$C179)</f>
        <v>121.99245722798884</v>
      </c>
      <c r="F179" s="56"/>
      <c r="G179" s="56"/>
      <c r="H179" s="56"/>
      <c r="I179" s="56"/>
      <c r="J179" s="56">
        <v>6</v>
      </c>
      <c r="K179" s="56"/>
      <c r="L179" s="56"/>
      <c r="M179" s="56"/>
      <c r="N179" s="56"/>
      <c r="O179" s="56">
        <f>求节点(武将升星!H$104:H$112,武将升星!$C$104:$C$112,武将数量星级阶位验证!BM169/J179)</f>
        <v>8</v>
      </c>
      <c r="P179" s="110"/>
      <c r="Q179" s="110"/>
      <c r="R179" s="56" t="str">
        <f>IFERROR(MAX(0,求节点(武将进阶!F$4:F$8,武将进阶!$C$5:$C$9,W179)),"")</f>
        <v/>
      </c>
      <c r="S179" s="56" t="str">
        <f>IFERROR(MAX(0,求节点(武将进阶!G$4:G$8,武将进阶!$C$5:$C$9,X179)),"")</f>
        <v/>
      </c>
      <c r="T179" s="56">
        <f>IFERROR(MAX(0,求节点(武将进阶!H$4:H$8,武将进阶!$C$5:$C$9,Y179)),"")</f>
        <v>4.8796982891195535</v>
      </c>
      <c r="U179" s="56" t="str">
        <f>IF(F179="","",MIN($D179*2,武将进阶!D$10))</f>
        <v/>
      </c>
      <c r="V179" s="56" t="str">
        <f>IF(G179="","",MIN($D179*2,武将进阶!E$10))</f>
        <v/>
      </c>
      <c r="W179" s="56" t="str">
        <f>IF(H179="","",MIN($D179*2,武将进阶!F$10))</f>
        <v/>
      </c>
      <c r="X179" s="56" t="str">
        <f>IF(I179="","",MIN($D179*2,武将进阶!G$10))</f>
        <v/>
      </c>
      <c r="Y179" s="56">
        <f>IF(J179="","",MIN($D179*2,武将进阶!H$10))</f>
        <v>243.98491445597767</v>
      </c>
      <c r="Z179" s="111"/>
      <c r="AA179" s="111"/>
      <c r="AB179" s="111" t="str">
        <f t="shared" si="152"/>
        <v/>
      </c>
      <c r="AC179" s="111" t="str">
        <f t="shared" si="153"/>
        <v/>
      </c>
      <c r="AD179" s="111">
        <f t="shared" si="154"/>
        <v>2</v>
      </c>
      <c r="AE179" s="112"/>
      <c r="AF179" s="56"/>
      <c r="AG179" s="56"/>
      <c r="AH179" s="56"/>
      <c r="AI179" s="112">
        <f>MIN(求节点(武将天赋进度验证!$Q$5:$Q$164,武将天赋进度验证!$Z$5:$Z$164,$D179),武将天赋进度验证!AL169)</f>
        <v>1</v>
      </c>
      <c r="AJ179" s="56"/>
      <c r="AK179" s="56"/>
      <c r="AL179" s="56"/>
      <c r="AM179" s="56"/>
      <c r="AN179" s="56"/>
      <c r="AT179" s="56">
        <f t="shared" si="155"/>
        <v>150.89799999999997</v>
      </c>
      <c r="AU179" s="56">
        <f t="shared" ref="AU179:AY179" si="157">IF(AU134="",0,AU134)</f>
        <v>0</v>
      </c>
      <c r="AV179" s="56">
        <f t="shared" si="157"/>
        <v>0</v>
      </c>
      <c r="AW179" s="56">
        <f t="shared" si="157"/>
        <v>2</v>
      </c>
      <c r="AX179" s="56">
        <f t="shared" si="157"/>
        <v>2</v>
      </c>
      <c r="AY179" s="56">
        <f t="shared" si="157"/>
        <v>2</v>
      </c>
    </row>
    <row r="180" spans="1:51" x14ac:dyDescent="0.15">
      <c r="A180" s="82">
        <f t="shared" si="116"/>
        <v>32</v>
      </c>
      <c r="C180" s="56">
        <f t="shared" si="151"/>
        <v>2900</v>
      </c>
      <c r="D180" s="56">
        <f>求节点(节奏总纲!$S$4:$S$163,节奏总纲!$O$4:$O$163,$C180)</f>
        <v>125.43876546297123</v>
      </c>
      <c r="F180" s="56"/>
      <c r="G180" s="56"/>
      <c r="H180" s="56"/>
      <c r="I180" s="56"/>
      <c r="J180" s="56">
        <v>6</v>
      </c>
      <c r="K180" s="56"/>
      <c r="L180" s="56"/>
      <c r="M180" s="56"/>
      <c r="N180" s="56"/>
      <c r="O180" s="56">
        <f>求节点(武将升星!H$104:H$112,武将升星!$C$104:$C$112,武将数量星级阶位验证!BM170/J180)</f>
        <v>8</v>
      </c>
      <c r="P180" s="110"/>
      <c r="Q180" s="110"/>
      <c r="R180" s="56" t="str">
        <f>IFERROR(MAX(0,求节点(武将进阶!F$4:F$8,武将进阶!$C$5:$C$9,W180)),"")</f>
        <v/>
      </c>
      <c r="S180" s="56" t="str">
        <f>IFERROR(MAX(0,求节点(武将进阶!G$4:G$8,武将进阶!$C$5:$C$9,X180)),"")</f>
        <v/>
      </c>
      <c r="T180" s="56">
        <f>IFERROR(MAX(0,求节点(武将进阶!H$4:H$8,武将进阶!$C$5:$C$9,Y180)),"")</f>
        <v>5</v>
      </c>
      <c r="U180" s="56" t="str">
        <f>IF(F180="","",MIN($D180*2,武将进阶!D$10))</f>
        <v/>
      </c>
      <c r="V180" s="56" t="str">
        <f>IF(G180="","",MIN($D180*2,武将进阶!E$10))</f>
        <v/>
      </c>
      <c r="W180" s="56" t="str">
        <f>IF(H180="","",MIN($D180*2,武将进阶!F$10))</f>
        <v/>
      </c>
      <c r="X180" s="56" t="str">
        <f>IF(I180="","",MIN($D180*2,武将进阶!G$10))</f>
        <v/>
      </c>
      <c r="Y180" s="56">
        <f>IF(J180="","",MIN($D180*2,武将进阶!H$10))</f>
        <v>250.87753092594247</v>
      </c>
      <c r="Z180" s="111"/>
      <c r="AA180" s="111"/>
      <c r="AB180" s="111" t="str">
        <f t="shared" si="152"/>
        <v/>
      </c>
      <c r="AC180" s="111" t="str">
        <f t="shared" si="153"/>
        <v/>
      </c>
      <c r="AD180" s="111">
        <f t="shared" si="154"/>
        <v>2</v>
      </c>
      <c r="AE180" s="112"/>
      <c r="AF180" s="56"/>
      <c r="AG180" s="56"/>
      <c r="AH180" s="56"/>
      <c r="AI180" s="112">
        <f>MIN(求节点(武将天赋进度验证!$Q$5:$Q$164,武将天赋进度验证!$Z$5:$Z$164,$D180),武将天赋进度验证!AL170)</f>
        <v>1</v>
      </c>
      <c r="AJ180" s="56"/>
      <c r="AK180" s="56"/>
      <c r="AL180" s="56"/>
      <c r="AM180" s="56"/>
      <c r="AN180" s="56"/>
      <c r="AT180" s="56">
        <f t="shared" si="155"/>
        <v>157.75699999999998</v>
      </c>
      <c r="AU180" s="56">
        <f t="shared" ref="AU180:AY180" si="158">IF(AU135="",0,AU135)</f>
        <v>0</v>
      </c>
      <c r="AV180" s="56">
        <f t="shared" si="158"/>
        <v>0</v>
      </c>
      <c r="AW180" s="56">
        <f t="shared" si="158"/>
        <v>2</v>
      </c>
      <c r="AX180" s="56">
        <f t="shared" si="158"/>
        <v>2</v>
      </c>
      <c r="AY180" s="56">
        <f t="shared" si="158"/>
        <v>2</v>
      </c>
    </row>
    <row r="181" spans="1:51" x14ac:dyDescent="0.15">
      <c r="A181" s="82">
        <f t="shared" si="116"/>
        <v>33</v>
      </c>
      <c r="C181" s="56">
        <f t="shared" si="151"/>
        <v>3710</v>
      </c>
      <c r="D181" s="56">
        <f>求节点(节奏总纲!$S$4:$S$163,节奏总纲!$O$4:$O$163,$C181)</f>
        <v>129.12105302323599</v>
      </c>
      <c r="F181" s="56"/>
      <c r="G181" s="56"/>
      <c r="H181" s="56"/>
      <c r="I181" s="56"/>
      <c r="J181" s="56">
        <v>6</v>
      </c>
      <c r="K181" s="56"/>
      <c r="L181" s="56"/>
      <c r="M181" s="56"/>
      <c r="N181" s="56"/>
      <c r="O181" s="56">
        <f>求节点(武将升星!H$104:H$112,武将升星!$C$104:$C$112,武将数量星级阶位验证!BM171/J181)</f>
        <v>8</v>
      </c>
      <c r="P181" s="110"/>
      <c r="Q181" s="110"/>
      <c r="R181" s="56" t="str">
        <f>IFERROR(MAX(0,求节点(武将进阶!F$4:F$8,武将进阶!$C$5:$C$9,W181)),"")</f>
        <v/>
      </c>
      <c r="S181" s="56" t="str">
        <f>IFERROR(MAX(0,求节点(武将进阶!G$4:G$8,武将进阶!$C$5:$C$9,X181)),"")</f>
        <v/>
      </c>
      <c r="T181" s="56">
        <f>IFERROR(MAX(0,求节点(武将进阶!H$4:H$8,武将进阶!$C$5:$C$9,Y181)),"")</f>
        <v>5</v>
      </c>
      <c r="U181" s="56" t="str">
        <f>IF(F181="","",MIN($D181*2,武将进阶!D$10))</f>
        <v/>
      </c>
      <c r="V181" s="56" t="str">
        <f>IF(G181="","",MIN($D181*2,武将进阶!E$10))</f>
        <v/>
      </c>
      <c r="W181" s="56" t="str">
        <f>IF(H181="","",MIN($D181*2,武将进阶!F$10))</f>
        <v/>
      </c>
      <c r="X181" s="56" t="str">
        <f>IF(I181="","",MIN($D181*2,武将进阶!G$10))</f>
        <v/>
      </c>
      <c r="Y181" s="56">
        <f>IF(J181="","",MIN($D181*2,武将进阶!H$10))</f>
        <v>258.24210604647197</v>
      </c>
      <c r="Z181" s="111"/>
      <c r="AA181" s="111"/>
      <c r="AB181" s="111" t="str">
        <f t="shared" si="152"/>
        <v/>
      </c>
      <c r="AC181" s="111" t="str">
        <f t="shared" si="153"/>
        <v/>
      </c>
      <c r="AD181" s="111">
        <f t="shared" si="154"/>
        <v>2</v>
      </c>
      <c r="AE181" s="112"/>
      <c r="AF181" s="56"/>
      <c r="AG181" s="56"/>
      <c r="AH181" s="56"/>
      <c r="AI181" s="112">
        <f>MIN(求节点(武将天赋进度验证!$Q$5:$Q$164,武将天赋进度验证!$Z$5:$Z$164,$D181),武将天赋进度验证!AL171)</f>
        <v>1</v>
      </c>
      <c r="AJ181" s="56"/>
      <c r="AK181" s="56"/>
      <c r="AL181" s="56"/>
      <c r="AM181" s="56"/>
      <c r="AN181" s="56"/>
      <c r="AT181" s="56">
        <f t="shared" si="155"/>
        <v>164.61599999999996</v>
      </c>
      <c r="AU181" s="56">
        <f t="shared" ref="AU181:AY181" si="159">IF(AU136="",0,AU136)</f>
        <v>0</v>
      </c>
      <c r="AV181" s="56">
        <f t="shared" si="159"/>
        <v>0</v>
      </c>
      <c r="AW181" s="56">
        <f t="shared" si="159"/>
        <v>2</v>
      </c>
      <c r="AX181" s="56">
        <f t="shared" si="159"/>
        <v>2</v>
      </c>
      <c r="AY181" s="56">
        <f t="shared" si="159"/>
        <v>2</v>
      </c>
    </row>
    <row r="182" spans="1:51" x14ac:dyDescent="0.15">
      <c r="A182" s="82">
        <f t="shared" si="116"/>
        <v>34</v>
      </c>
      <c r="C182" s="56">
        <f t="shared" si="151"/>
        <v>4730</v>
      </c>
      <c r="D182" s="56">
        <f>求节点(节奏总纲!$S$4:$S$163,节奏总纲!$O$4:$O$163,$C182)</f>
        <v>132.61179169042359</v>
      </c>
      <c r="F182" s="56"/>
      <c r="G182" s="56"/>
      <c r="H182" s="56"/>
      <c r="I182" s="56"/>
      <c r="J182" s="56">
        <v>6</v>
      </c>
      <c r="K182" s="56"/>
      <c r="L182" s="56"/>
      <c r="M182" s="56"/>
      <c r="N182" s="56"/>
      <c r="O182" s="56">
        <f>求节点(武将升星!H$104:H$112,武将升星!$C$104:$C$112,武将数量星级阶位验证!BM172/J182)</f>
        <v>8</v>
      </c>
      <c r="P182" s="110"/>
      <c r="Q182" s="110"/>
      <c r="R182" s="56" t="str">
        <f>IFERROR(MAX(0,求节点(武将进阶!F$4:F$8,武将进阶!$C$5:$C$9,W182)),"")</f>
        <v/>
      </c>
      <c r="S182" s="56" t="str">
        <f>IFERROR(MAX(0,求节点(武将进阶!G$4:G$8,武将进阶!$C$5:$C$9,X182)),"")</f>
        <v/>
      </c>
      <c r="T182" s="56">
        <f>IFERROR(MAX(0,求节点(武将进阶!H$4:H$8,武将进阶!$C$5:$C$9,Y182)),"")</f>
        <v>5</v>
      </c>
      <c r="U182" s="56" t="str">
        <f>IF(F182="","",MIN($D182*2,武将进阶!D$10))</f>
        <v/>
      </c>
      <c r="V182" s="56" t="str">
        <f>IF(G182="","",MIN($D182*2,武将进阶!E$10))</f>
        <v/>
      </c>
      <c r="W182" s="56" t="str">
        <f>IF(H182="","",MIN($D182*2,武将进阶!F$10))</f>
        <v/>
      </c>
      <c r="X182" s="56" t="str">
        <f>IF(I182="","",MIN($D182*2,武将进阶!G$10))</f>
        <v/>
      </c>
      <c r="Y182" s="56">
        <f>IF(J182="","",MIN($D182*2,武将进阶!H$10))</f>
        <v>265.22358338084717</v>
      </c>
      <c r="Z182" s="111"/>
      <c r="AA182" s="111"/>
      <c r="AB182" s="111" t="str">
        <f t="shared" si="152"/>
        <v/>
      </c>
      <c r="AC182" s="111" t="str">
        <f t="shared" si="153"/>
        <v/>
      </c>
      <c r="AD182" s="111">
        <f t="shared" si="154"/>
        <v>2</v>
      </c>
      <c r="AE182" s="112"/>
      <c r="AF182" s="56"/>
      <c r="AG182" s="56"/>
      <c r="AH182" s="56"/>
      <c r="AI182" s="112">
        <f>MIN(求节点(武将天赋进度验证!$Q$5:$Q$164,武将天赋进度验证!$Z$5:$Z$164,$D182),武将天赋进度验证!AL172)</f>
        <v>1</v>
      </c>
      <c r="AJ182" s="56"/>
      <c r="AK182" s="56"/>
      <c r="AL182" s="56"/>
      <c r="AM182" s="56"/>
      <c r="AN182" s="56"/>
      <c r="AT182" s="56">
        <f t="shared" si="155"/>
        <v>171.47499999999999</v>
      </c>
      <c r="AU182" s="56">
        <f t="shared" ref="AU182:AY182" si="160">IF(AU137="",0,AU137)</f>
        <v>0</v>
      </c>
      <c r="AV182" s="56">
        <f t="shared" si="160"/>
        <v>0</v>
      </c>
      <c r="AW182" s="56">
        <f t="shared" si="160"/>
        <v>2</v>
      </c>
      <c r="AX182" s="56">
        <f t="shared" si="160"/>
        <v>2</v>
      </c>
      <c r="AY182" s="56">
        <f t="shared" si="160"/>
        <v>2</v>
      </c>
    </row>
    <row r="183" spans="1:51" x14ac:dyDescent="0.15">
      <c r="A183" s="82">
        <f t="shared" si="116"/>
        <v>35</v>
      </c>
      <c r="C183" s="56">
        <f t="shared" si="151"/>
        <v>6020</v>
      </c>
      <c r="D183" s="56">
        <f>求节点(节奏总纲!$S$4:$S$163,节奏总纲!$O$4:$O$163,$C183)</f>
        <v>136.12035534953262</v>
      </c>
      <c r="F183" s="56"/>
      <c r="G183" s="56"/>
      <c r="H183" s="56"/>
      <c r="I183" s="56"/>
      <c r="J183" s="56">
        <v>6</v>
      </c>
      <c r="K183" s="56"/>
      <c r="L183" s="56"/>
      <c r="M183" s="56"/>
      <c r="N183" s="56"/>
      <c r="O183" s="56">
        <f>求节点(武将升星!H$104:H$112,武将升星!$C$104:$C$112,武将数量星级阶位验证!BM173/J183)</f>
        <v>8</v>
      </c>
      <c r="P183" s="110"/>
      <c r="Q183" s="110"/>
      <c r="R183" s="56" t="str">
        <f>IFERROR(MAX(0,求节点(武将进阶!F$4:F$8,武将进阶!$C$5:$C$9,W183)),"")</f>
        <v/>
      </c>
      <c r="S183" s="56" t="str">
        <f>IFERROR(MAX(0,求节点(武将进阶!G$4:G$8,武将进阶!$C$5:$C$9,X183)),"")</f>
        <v/>
      </c>
      <c r="T183" s="56">
        <f>IFERROR(MAX(0,求节点(武将进阶!H$4:H$8,武将进阶!$C$5:$C$9,Y183)),"")</f>
        <v>5</v>
      </c>
      <c r="U183" s="56" t="str">
        <f>IF(F183="","",MIN($D183*2,武将进阶!D$10))</f>
        <v/>
      </c>
      <c r="V183" s="56" t="str">
        <f>IF(G183="","",MIN($D183*2,武将进阶!E$10))</f>
        <v/>
      </c>
      <c r="W183" s="56" t="str">
        <f>IF(H183="","",MIN($D183*2,武将进阶!F$10))</f>
        <v/>
      </c>
      <c r="X183" s="56" t="str">
        <f>IF(I183="","",MIN($D183*2,武将进阶!G$10))</f>
        <v/>
      </c>
      <c r="Y183" s="56">
        <f>IF(J183="","",MIN($D183*2,武将进阶!H$10))</f>
        <v>272.24071069906523</v>
      </c>
      <c r="Z183" s="111"/>
      <c r="AA183" s="111"/>
      <c r="AB183" s="111" t="str">
        <f t="shared" si="152"/>
        <v/>
      </c>
      <c r="AC183" s="111" t="str">
        <f t="shared" si="153"/>
        <v/>
      </c>
      <c r="AD183" s="111">
        <f t="shared" si="154"/>
        <v>2</v>
      </c>
      <c r="AE183" s="112"/>
      <c r="AF183" s="56"/>
      <c r="AG183" s="56"/>
      <c r="AH183" s="56"/>
      <c r="AI183" s="112">
        <f>MIN(求节点(武将天赋进度验证!$Q$5:$Q$164,武将天赋进度验证!$Z$5:$Z$164,$D183),武将天赋进度验证!AL173)</f>
        <v>1</v>
      </c>
      <c r="AJ183" s="56"/>
      <c r="AK183" s="56"/>
      <c r="AL183" s="56"/>
      <c r="AM183" s="56"/>
      <c r="AN183" s="56"/>
      <c r="AT183" s="56">
        <f t="shared" si="155"/>
        <v>178.334</v>
      </c>
      <c r="AU183" s="56">
        <f t="shared" ref="AU183:AY183" si="161">IF(AU138="",0,AU138)</f>
        <v>0</v>
      </c>
      <c r="AV183" s="56">
        <f t="shared" si="161"/>
        <v>0</v>
      </c>
      <c r="AW183" s="56">
        <f t="shared" si="161"/>
        <v>2</v>
      </c>
      <c r="AX183" s="56">
        <f t="shared" si="161"/>
        <v>2</v>
      </c>
      <c r="AY183" s="56">
        <f t="shared" si="161"/>
        <v>2</v>
      </c>
    </row>
    <row r="184" spans="1:51" x14ac:dyDescent="0.15">
      <c r="A184" s="82">
        <f t="shared" si="116"/>
        <v>36</v>
      </c>
      <c r="C184" s="56">
        <f t="shared" si="151"/>
        <v>7670</v>
      </c>
      <c r="D184" s="56">
        <f>求节点(节奏总纲!$S$4:$S$163,节奏总纲!$O$4:$O$163,$C184)</f>
        <v>139.6793621861803</v>
      </c>
      <c r="F184" s="56"/>
      <c r="G184" s="56"/>
      <c r="H184" s="56"/>
      <c r="I184" s="56"/>
      <c r="J184" s="56">
        <v>6</v>
      </c>
      <c r="K184" s="56"/>
      <c r="L184" s="56"/>
      <c r="M184" s="56"/>
      <c r="N184" s="56"/>
      <c r="O184" s="56">
        <f>求节点(武将升星!H$104:H$112,武将升星!$C$104:$C$112,武将数量星级阶位验证!BM174/J184)</f>
        <v>8</v>
      </c>
      <c r="P184" s="110"/>
      <c r="Q184" s="110"/>
      <c r="R184" s="56" t="str">
        <f>IFERROR(MAX(0,求节点(武将进阶!F$4:F$8,武将进阶!$C$5:$C$9,W184)),"")</f>
        <v/>
      </c>
      <c r="S184" s="56" t="str">
        <f>IFERROR(MAX(0,求节点(武将进阶!G$4:G$8,武将进阶!$C$5:$C$9,X184)),"")</f>
        <v/>
      </c>
      <c r="T184" s="56">
        <f>IFERROR(MAX(0,求节点(武将进阶!H$4:H$8,武将进阶!$C$5:$C$9,Y184)),"")</f>
        <v>5</v>
      </c>
      <c r="U184" s="56" t="str">
        <f>IF(F184="","",MIN($D184*2,武将进阶!D$10))</f>
        <v/>
      </c>
      <c r="V184" s="56" t="str">
        <f>IF(G184="","",MIN($D184*2,武将进阶!E$10))</f>
        <v/>
      </c>
      <c r="W184" s="56" t="str">
        <f>IF(H184="","",MIN($D184*2,武将进阶!F$10))</f>
        <v/>
      </c>
      <c r="X184" s="56" t="str">
        <f>IF(I184="","",MIN($D184*2,武将进阶!G$10))</f>
        <v/>
      </c>
      <c r="Y184" s="56">
        <f>IF(J184="","",MIN($D184*2,武将进阶!H$10))</f>
        <v>279.3587243723606</v>
      </c>
      <c r="Z184" s="111"/>
      <c r="AA184" s="111"/>
      <c r="AB184" s="111" t="str">
        <f t="shared" si="152"/>
        <v/>
      </c>
      <c r="AC184" s="111" t="str">
        <f t="shared" si="153"/>
        <v/>
      </c>
      <c r="AD184" s="111">
        <f t="shared" si="154"/>
        <v>2</v>
      </c>
      <c r="AE184" s="112"/>
      <c r="AF184" s="56"/>
      <c r="AG184" s="56"/>
      <c r="AH184" s="56"/>
      <c r="AI184" s="112">
        <f>MIN(求节点(武将天赋进度验证!$Q$5:$Q$164,武将天赋进度验证!$Z$5:$Z$164,$D184),武将天赋进度验证!AL174)</f>
        <v>1</v>
      </c>
      <c r="AJ184" s="56"/>
      <c r="AK184" s="56"/>
      <c r="AL184" s="56"/>
      <c r="AM184" s="56"/>
      <c r="AN184" s="56"/>
      <c r="AT184" s="56">
        <f t="shared" si="155"/>
        <v>185.19299999999996</v>
      </c>
      <c r="AU184" s="56">
        <f t="shared" ref="AU184:AY184" si="162">IF(AU139="",0,AU139)</f>
        <v>0</v>
      </c>
      <c r="AV184" s="56">
        <f t="shared" si="162"/>
        <v>0</v>
      </c>
      <c r="AW184" s="56">
        <f t="shared" si="162"/>
        <v>2</v>
      </c>
      <c r="AX184" s="56">
        <f t="shared" si="162"/>
        <v>2</v>
      </c>
      <c r="AY184" s="56">
        <f t="shared" si="162"/>
        <v>2</v>
      </c>
    </row>
    <row r="185" spans="1:51" x14ac:dyDescent="0.15">
      <c r="A185" s="82">
        <f t="shared" si="116"/>
        <v>37</v>
      </c>
      <c r="C185" s="56">
        <f t="shared" si="151"/>
        <v>9770</v>
      </c>
      <c r="D185" s="56">
        <f>求节点(节奏总纲!$S$4:$S$163,节奏总纲!$O$4:$O$163,$C185)</f>
        <v>143.14123736077869</v>
      </c>
      <c r="F185" s="56"/>
      <c r="G185" s="56"/>
      <c r="H185" s="56"/>
      <c r="I185" s="56"/>
      <c r="J185" s="56">
        <v>6</v>
      </c>
      <c r="K185" s="56"/>
      <c r="L185" s="56"/>
      <c r="M185" s="56"/>
      <c r="N185" s="56"/>
      <c r="O185" s="56">
        <f>求节点(武将升星!H$104:H$112,武将升星!$C$104:$C$112,武将数量星级阶位验证!BM175/J185)</f>
        <v>8</v>
      </c>
      <c r="P185" s="110"/>
      <c r="Q185" s="110"/>
      <c r="R185" s="56" t="str">
        <f>IFERROR(MAX(0,求节点(武将进阶!F$4:F$8,武将进阶!$C$5:$C$9,W185)),"")</f>
        <v/>
      </c>
      <c r="S185" s="56" t="str">
        <f>IFERROR(MAX(0,求节点(武将进阶!G$4:G$8,武将进阶!$C$5:$C$9,X185)),"")</f>
        <v/>
      </c>
      <c r="T185" s="56">
        <f>IFERROR(MAX(0,求节点(武将进阶!H$4:H$8,武将进阶!$C$5:$C$9,Y185)),"")</f>
        <v>5</v>
      </c>
      <c r="U185" s="56" t="str">
        <f>IF(F185="","",MIN($D185*2,武将进阶!D$10))</f>
        <v/>
      </c>
      <c r="V185" s="56" t="str">
        <f>IF(G185="","",MIN($D185*2,武将进阶!E$10))</f>
        <v/>
      </c>
      <c r="W185" s="56" t="str">
        <f>IF(H185="","",MIN($D185*2,武将进阶!F$10))</f>
        <v/>
      </c>
      <c r="X185" s="56" t="str">
        <f>IF(I185="","",MIN($D185*2,武将进阶!G$10))</f>
        <v/>
      </c>
      <c r="Y185" s="56">
        <f>IF(J185="","",MIN($D185*2,武将进阶!H$10))</f>
        <v>286.28247472155738</v>
      </c>
      <c r="Z185" s="111"/>
      <c r="AA185" s="111"/>
      <c r="AB185" s="111" t="str">
        <f t="shared" si="152"/>
        <v/>
      </c>
      <c r="AC185" s="111" t="str">
        <f t="shared" si="153"/>
        <v/>
      </c>
      <c r="AD185" s="111">
        <f t="shared" si="154"/>
        <v>2</v>
      </c>
      <c r="AE185" s="112"/>
      <c r="AF185" s="56"/>
      <c r="AG185" s="56"/>
      <c r="AH185" s="56"/>
      <c r="AI185" s="112">
        <f>MIN(求节点(武将天赋进度验证!$Q$5:$Q$164,武将天赋进度验证!$Z$5:$Z$164,$D185),武将天赋进度验证!AL175)</f>
        <v>1</v>
      </c>
      <c r="AJ185" s="56"/>
      <c r="AK185" s="56"/>
      <c r="AL185" s="56"/>
      <c r="AM185" s="56"/>
      <c r="AN185" s="56"/>
      <c r="AT185" s="56">
        <f t="shared" si="155"/>
        <v>192.05199999999996</v>
      </c>
      <c r="AU185" s="56">
        <f t="shared" ref="AU185:AY185" si="163">IF(AU140="",0,AU140)</f>
        <v>0</v>
      </c>
      <c r="AV185" s="56">
        <f t="shared" si="163"/>
        <v>0</v>
      </c>
      <c r="AW185" s="56">
        <f t="shared" si="163"/>
        <v>2</v>
      </c>
      <c r="AX185" s="56">
        <f t="shared" si="163"/>
        <v>2</v>
      </c>
      <c r="AY185" s="56">
        <f t="shared" si="163"/>
        <v>2</v>
      </c>
    </row>
    <row r="186" spans="1:51" x14ac:dyDescent="0.15">
      <c r="A186" s="82">
        <f t="shared" si="116"/>
        <v>38</v>
      </c>
      <c r="C186" s="56">
        <f t="shared" si="151"/>
        <v>12440</v>
      </c>
      <c r="D186" s="56">
        <f>求节点(节奏总纲!$S$4:$S$163,节奏总纲!$O$4:$O$163,$C186)</f>
        <v>146.75578521325724</v>
      </c>
      <c r="F186" s="56"/>
      <c r="G186" s="56"/>
      <c r="H186" s="56"/>
      <c r="I186" s="56"/>
      <c r="J186" s="56">
        <v>6</v>
      </c>
      <c r="K186" s="56"/>
      <c r="L186" s="56"/>
      <c r="M186" s="56"/>
      <c r="N186" s="56"/>
      <c r="O186" s="56">
        <f>求节点(武将升星!H$104:H$112,武将升星!$C$104:$C$112,武将数量星级阶位验证!BM176/J186)</f>
        <v>8</v>
      </c>
      <c r="P186" s="110"/>
      <c r="Q186" s="110"/>
      <c r="R186" s="56" t="str">
        <f>IFERROR(MAX(0,求节点(武将进阶!F$4:F$8,武将进阶!$C$5:$C$9,W186)),"")</f>
        <v/>
      </c>
      <c r="S186" s="56" t="str">
        <f>IFERROR(MAX(0,求节点(武将进阶!G$4:G$8,武将进阶!$C$5:$C$9,X186)),"")</f>
        <v/>
      </c>
      <c r="T186" s="56">
        <f>IFERROR(MAX(0,求节点(武将进阶!H$4:H$8,武将进阶!$C$5:$C$9,Y186)),"")</f>
        <v>5</v>
      </c>
      <c r="U186" s="56" t="str">
        <f>IF(F186="","",MIN($D186*2,武将进阶!D$10))</f>
        <v/>
      </c>
      <c r="V186" s="56" t="str">
        <f>IF(G186="","",MIN($D186*2,武将进阶!E$10))</f>
        <v/>
      </c>
      <c r="W186" s="56" t="str">
        <f>IF(H186="","",MIN($D186*2,武将进阶!F$10))</f>
        <v/>
      </c>
      <c r="X186" s="56" t="str">
        <f>IF(I186="","",MIN($D186*2,武将进阶!G$10))</f>
        <v/>
      </c>
      <c r="Y186" s="56">
        <f>IF(J186="","",MIN($D186*2,武将进阶!H$10))</f>
        <v>293.51157042651448</v>
      </c>
      <c r="Z186" s="111"/>
      <c r="AA186" s="111"/>
      <c r="AB186" s="111" t="str">
        <f t="shared" si="152"/>
        <v/>
      </c>
      <c r="AC186" s="111" t="str">
        <f t="shared" si="153"/>
        <v/>
      </c>
      <c r="AD186" s="111">
        <f t="shared" si="154"/>
        <v>2</v>
      </c>
      <c r="AE186" s="112"/>
      <c r="AF186" s="56"/>
      <c r="AG186" s="56"/>
      <c r="AH186" s="56"/>
      <c r="AI186" s="112">
        <f>MIN(求节点(武将天赋进度验证!$Q$5:$Q$164,武将天赋进度验证!$Z$5:$Z$164,$D186),武将天赋进度验证!AL176)</f>
        <v>1</v>
      </c>
      <c r="AJ186" s="56"/>
      <c r="AK186" s="56"/>
      <c r="AL186" s="56"/>
      <c r="AM186" s="56"/>
      <c r="AN186" s="56"/>
      <c r="AT186" s="56">
        <f t="shared" si="155"/>
        <v>198.91099999999997</v>
      </c>
      <c r="AU186" s="56">
        <f t="shared" ref="AU186:AY186" si="164">IF(AU141="",0,AU141)</f>
        <v>0</v>
      </c>
      <c r="AV186" s="56">
        <f t="shared" si="164"/>
        <v>0</v>
      </c>
      <c r="AW186" s="56">
        <f t="shared" si="164"/>
        <v>2</v>
      </c>
      <c r="AX186" s="56">
        <f t="shared" si="164"/>
        <v>2</v>
      </c>
      <c r="AY186" s="56">
        <f t="shared" si="164"/>
        <v>2</v>
      </c>
    </row>
    <row r="187" spans="1:51" x14ac:dyDescent="0.15">
      <c r="A187" s="82">
        <f t="shared" si="116"/>
        <v>39</v>
      </c>
      <c r="C187" s="56">
        <f t="shared" si="151"/>
        <v>15860</v>
      </c>
      <c r="D187" s="56">
        <f>求节点(节奏总纲!$S$4:$S$163,节奏总纲!$O$4:$O$163,$C187)</f>
        <v>150.21349802228445</v>
      </c>
      <c r="F187" s="56"/>
      <c r="G187" s="56"/>
      <c r="H187" s="56"/>
      <c r="I187" s="56"/>
      <c r="J187" s="56">
        <v>6</v>
      </c>
      <c r="K187" s="56"/>
      <c r="L187" s="56"/>
      <c r="M187" s="56"/>
      <c r="N187" s="56"/>
      <c r="O187" s="56">
        <f>求节点(武将升星!H$104:H$112,武将升星!$C$104:$C$112,武将数量星级阶位验证!BM177/J187)</f>
        <v>8</v>
      </c>
      <c r="P187" s="110"/>
      <c r="Q187" s="110"/>
      <c r="R187" s="56" t="str">
        <f>IFERROR(MAX(0,求节点(武将进阶!F$4:F$8,武将进阶!$C$5:$C$9,W187)),"")</f>
        <v/>
      </c>
      <c r="S187" s="56" t="str">
        <f>IFERROR(MAX(0,求节点(武将进阶!G$4:G$8,武将进阶!$C$5:$C$9,X187)),"")</f>
        <v/>
      </c>
      <c r="T187" s="56">
        <f>IFERROR(MAX(0,求节点(武将进阶!H$4:H$8,武将进阶!$C$5:$C$9,Y187)),"")</f>
        <v>5</v>
      </c>
      <c r="U187" s="56" t="str">
        <f>IF(F187="","",MIN($D187*2,武将进阶!D$10))</f>
        <v/>
      </c>
      <c r="V187" s="56" t="str">
        <f>IF(G187="","",MIN($D187*2,武将进阶!E$10))</f>
        <v/>
      </c>
      <c r="W187" s="56" t="str">
        <f>IF(H187="","",MIN($D187*2,武将进阶!F$10))</f>
        <v/>
      </c>
      <c r="X187" s="56" t="str">
        <f>IF(I187="","",MIN($D187*2,武将进阶!G$10))</f>
        <v/>
      </c>
      <c r="Y187" s="56">
        <f>IF(J187="","",MIN($D187*2,武将进阶!H$10))</f>
        <v>300</v>
      </c>
      <c r="Z187" s="111"/>
      <c r="AA187" s="111"/>
      <c r="AB187" s="111" t="str">
        <f t="shared" si="152"/>
        <v/>
      </c>
      <c r="AC187" s="111" t="str">
        <f t="shared" si="153"/>
        <v/>
      </c>
      <c r="AD187" s="111">
        <f t="shared" si="154"/>
        <v>2</v>
      </c>
      <c r="AE187" s="112"/>
      <c r="AF187" s="56"/>
      <c r="AG187" s="56"/>
      <c r="AH187" s="56"/>
      <c r="AI187" s="112">
        <f>MIN(求节点(武将天赋进度验证!$Q$5:$Q$164,武将天赋进度验证!$Z$5:$Z$164,$D187),武将天赋进度验证!AL177)</f>
        <v>1</v>
      </c>
      <c r="AJ187" s="56"/>
      <c r="AK187" s="56"/>
      <c r="AL187" s="56"/>
      <c r="AM187" s="56"/>
      <c r="AN187" s="56"/>
      <c r="AT187" s="56">
        <f t="shared" si="155"/>
        <v>205.76999999999998</v>
      </c>
      <c r="AU187" s="56">
        <f t="shared" ref="AU187:AY187" si="165">IF(AU142="",0,AU142)</f>
        <v>0</v>
      </c>
      <c r="AV187" s="56">
        <f t="shared" si="165"/>
        <v>0</v>
      </c>
      <c r="AW187" s="56">
        <f t="shared" si="165"/>
        <v>2</v>
      </c>
      <c r="AX187" s="56">
        <f t="shared" si="165"/>
        <v>2</v>
      </c>
      <c r="AY187" s="56">
        <f t="shared" si="165"/>
        <v>2</v>
      </c>
    </row>
    <row r="188" spans="1:51" x14ac:dyDescent="0.15">
      <c r="A188" s="82">
        <f t="shared" si="116"/>
        <v>40</v>
      </c>
      <c r="C188" s="56">
        <f t="shared" si="151"/>
        <v>20210</v>
      </c>
      <c r="D188" s="56">
        <f>求节点(节奏总纲!$S$4:$S$163,节奏总纲!$O$4:$O$163,$C188)</f>
        <v>152.32856849044819</v>
      </c>
      <c r="F188" s="56"/>
      <c r="G188" s="56"/>
      <c r="H188" s="56"/>
      <c r="I188" s="56"/>
      <c r="J188" s="56">
        <v>6</v>
      </c>
      <c r="K188" s="56"/>
      <c r="L188" s="56"/>
      <c r="M188" s="56"/>
      <c r="N188" s="56"/>
      <c r="O188" s="56">
        <f>求节点(武将升星!H$104:H$112,武将升星!$C$104:$C$112,武将数量星级阶位验证!BM178/J188)</f>
        <v>8</v>
      </c>
      <c r="P188" s="110"/>
      <c r="Q188" s="110"/>
      <c r="R188" s="56" t="str">
        <f>IFERROR(MAX(0,求节点(武将进阶!F$4:F$8,武将进阶!$C$5:$C$9,W188)),"")</f>
        <v/>
      </c>
      <c r="S188" s="56" t="str">
        <f>IFERROR(MAX(0,求节点(武将进阶!G$4:G$8,武将进阶!$C$5:$C$9,X188)),"")</f>
        <v/>
      </c>
      <c r="T188" s="56">
        <f>IFERROR(MAX(0,求节点(武将进阶!H$4:H$8,武将进阶!$C$5:$C$9,Y188)),"")</f>
        <v>5</v>
      </c>
      <c r="U188" s="56" t="str">
        <f>IF(F188="","",MIN($D188*2,武将进阶!D$10))</f>
        <v/>
      </c>
      <c r="V188" s="56" t="str">
        <f>IF(G188="","",MIN($D188*2,武将进阶!E$10))</f>
        <v/>
      </c>
      <c r="W188" s="56" t="str">
        <f>IF(H188="","",MIN($D188*2,武将进阶!F$10))</f>
        <v/>
      </c>
      <c r="X188" s="56" t="str">
        <f>IF(I188="","",MIN($D188*2,武将进阶!G$10))</f>
        <v/>
      </c>
      <c r="Y188" s="56">
        <f>IF(J188="","",MIN($D188*2,武将进阶!H$10))</f>
        <v>300</v>
      </c>
      <c r="Z188" s="111"/>
      <c r="AA188" s="111"/>
      <c r="AB188" s="111" t="str">
        <f t="shared" si="152"/>
        <v/>
      </c>
      <c r="AC188" s="111" t="str">
        <f t="shared" si="153"/>
        <v/>
      </c>
      <c r="AD188" s="111">
        <f t="shared" si="154"/>
        <v>2</v>
      </c>
      <c r="AE188" s="112"/>
      <c r="AF188" s="56"/>
      <c r="AG188" s="56"/>
      <c r="AH188" s="56"/>
      <c r="AI188" s="112">
        <f>MIN(求节点(武将天赋进度验证!$Q$5:$Q$164,武将天赋进度验证!$Z$5:$Z$164,$D188),武将天赋进度验证!AL178)</f>
        <v>1</v>
      </c>
      <c r="AJ188" s="56"/>
      <c r="AK188" s="56"/>
      <c r="AL188" s="56"/>
      <c r="AM188" s="56"/>
      <c r="AN188" s="56"/>
      <c r="AT188" s="56">
        <f t="shared" si="155"/>
        <v>212.62899999999999</v>
      </c>
      <c r="AU188" s="56">
        <f t="shared" ref="AU188:AY188" si="166">IF(AU143="",0,AU143)</f>
        <v>0</v>
      </c>
      <c r="AV188" s="56">
        <f t="shared" si="166"/>
        <v>0</v>
      </c>
      <c r="AW188" s="56">
        <f t="shared" si="166"/>
        <v>2</v>
      </c>
      <c r="AX188" s="56">
        <f t="shared" si="166"/>
        <v>2</v>
      </c>
      <c r="AY188" s="56">
        <f t="shared" si="166"/>
        <v>2</v>
      </c>
    </row>
    <row r="189" spans="1:51" x14ac:dyDescent="0.15">
      <c r="A189" s="82">
        <f t="shared" si="116"/>
        <v>41</v>
      </c>
      <c r="C189" s="56">
        <f t="shared" si="151"/>
        <v>25760</v>
      </c>
      <c r="D189" s="56">
        <f>求节点(节奏总纲!$S$4:$S$163,节奏总纲!$O$4:$O$163,$C189)</f>
        <v>153.15627769682186</v>
      </c>
      <c r="F189" s="56"/>
      <c r="G189" s="56"/>
      <c r="H189" s="56"/>
      <c r="I189" s="56"/>
      <c r="J189" s="56">
        <v>6</v>
      </c>
      <c r="K189" s="56"/>
      <c r="L189" s="56"/>
      <c r="M189" s="56"/>
      <c r="N189" s="56"/>
      <c r="O189" s="56">
        <f>求节点(武将升星!H$104:H$112,武将升星!$C$104:$C$112,武将数量星级阶位验证!BM179/J189)</f>
        <v>8</v>
      </c>
      <c r="P189" s="110"/>
      <c r="Q189" s="110"/>
      <c r="R189" s="56" t="str">
        <f>IFERROR(MAX(0,求节点(武将进阶!F$4:F$8,武将进阶!$C$5:$C$9,W189)),"")</f>
        <v/>
      </c>
      <c r="S189" s="56" t="str">
        <f>IFERROR(MAX(0,求节点(武将进阶!G$4:G$8,武将进阶!$C$5:$C$9,X189)),"")</f>
        <v/>
      </c>
      <c r="T189" s="56">
        <f>IFERROR(MAX(0,求节点(武将进阶!H$4:H$8,武将进阶!$C$5:$C$9,Y189)),"")</f>
        <v>5</v>
      </c>
      <c r="U189" s="56" t="str">
        <f>IF(F189="","",MIN($D189*2,武将进阶!D$10))</f>
        <v/>
      </c>
      <c r="V189" s="56" t="str">
        <f>IF(G189="","",MIN($D189*2,武将进阶!E$10))</f>
        <v/>
      </c>
      <c r="W189" s="56" t="str">
        <f>IF(H189="","",MIN($D189*2,武将进阶!F$10))</f>
        <v/>
      </c>
      <c r="X189" s="56" t="str">
        <f>IF(I189="","",MIN($D189*2,武将进阶!G$10))</f>
        <v/>
      </c>
      <c r="Y189" s="56">
        <f>IF(J189="","",MIN($D189*2,武将进阶!H$10))</f>
        <v>300</v>
      </c>
      <c r="Z189" s="111"/>
      <c r="AA189" s="111"/>
      <c r="AB189" s="111" t="str">
        <f t="shared" si="152"/>
        <v/>
      </c>
      <c r="AC189" s="111" t="str">
        <f t="shared" si="153"/>
        <v/>
      </c>
      <c r="AD189" s="111">
        <f t="shared" si="154"/>
        <v>2</v>
      </c>
      <c r="AE189" s="112"/>
      <c r="AF189" s="56"/>
      <c r="AG189" s="56"/>
      <c r="AH189" s="56"/>
      <c r="AI189" s="112">
        <f>MIN(求节点(武将天赋进度验证!$Q$5:$Q$164,武将天赋进度验证!$Z$5:$Z$164,$D189),武将天赋进度验证!AL179)</f>
        <v>1</v>
      </c>
      <c r="AJ189" s="56"/>
      <c r="AK189" s="56"/>
      <c r="AL189" s="56"/>
      <c r="AM189" s="56"/>
      <c r="AN189" s="56"/>
      <c r="AT189" s="56">
        <f t="shared" si="155"/>
        <v>219.48799999999997</v>
      </c>
      <c r="AU189" s="56">
        <f t="shared" ref="AU189:AY189" si="167">IF(AU144="",0,AU144)</f>
        <v>0</v>
      </c>
      <c r="AV189" s="56">
        <f t="shared" si="167"/>
        <v>0</v>
      </c>
      <c r="AW189" s="56">
        <f t="shared" si="167"/>
        <v>2</v>
      </c>
      <c r="AX189" s="56">
        <f t="shared" si="167"/>
        <v>2</v>
      </c>
      <c r="AY189" s="56">
        <f t="shared" si="167"/>
        <v>2</v>
      </c>
    </row>
    <row r="190" spans="1:51" x14ac:dyDescent="0.15">
      <c r="A190" s="82">
        <f t="shared" si="116"/>
        <v>42</v>
      </c>
      <c r="C190" s="56">
        <f t="shared" si="151"/>
        <v>32750</v>
      </c>
      <c r="D190" s="56">
        <f>求节点(节奏总纲!$S$4:$S$163,节奏总纲!$O$4:$O$163,$C190)</f>
        <v>153.85863088955028</v>
      </c>
      <c r="F190" s="56"/>
      <c r="G190" s="56"/>
      <c r="H190" s="56"/>
      <c r="I190" s="56"/>
      <c r="J190" s="56">
        <v>6</v>
      </c>
      <c r="K190" s="56"/>
      <c r="L190" s="56"/>
      <c r="M190" s="56"/>
      <c r="N190" s="56"/>
      <c r="O190" s="56">
        <f>求节点(武将升星!H$104:H$112,武将升星!$C$104:$C$112,武将数量星级阶位验证!BM180/J190)</f>
        <v>8</v>
      </c>
      <c r="P190" s="110"/>
      <c r="Q190" s="110"/>
      <c r="R190" s="56" t="str">
        <f>IFERROR(MAX(0,求节点(武将进阶!F$4:F$8,武将进阶!$C$5:$C$9,W190)),"")</f>
        <v/>
      </c>
      <c r="S190" s="56" t="str">
        <f>IFERROR(MAX(0,求节点(武将进阶!G$4:G$8,武将进阶!$C$5:$C$9,X190)),"")</f>
        <v/>
      </c>
      <c r="T190" s="56">
        <f>IFERROR(MAX(0,求节点(武将进阶!H$4:H$8,武将进阶!$C$5:$C$9,Y190)),"")</f>
        <v>5</v>
      </c>
      <c r="U190" s="56" t="str">
        <f>IF(F190="","",MIN($D190*2,武将进阶!D$10))</f>
        <v/>
      </c>
      <c r="V190" s="56" t="str">
        <f>IF(G190="","",MIN($D190*2,武将进阶!E$10))</f>
        <v/>
      </c>
      <c r="W190" s="56" t="str">
        <f>IF(H190="","",MIN($D190*2,武将进阶!F$10))</f>
        <v/>
      </c>
      <c r="X190" s="56" t="str">
        <f>IF(I190="","",MIN($D190*2,武将进阶!G$10))</f>
        <v/>
      </c>
      <c r="Y190" s="56">
        <f>IF(J190="","",MIN($D190*2,武将进阶!H$10))</f>
        <v>300</v>
      </c>
      <c r="Z190" s="111"/>
      <c r="AA190" s="111"/>
      <c r="AB190" s="111" t="str">
        <f t="shared" si="152"/>
        <v/>
      </c>
      <c r="AC190" s="111" t="str">
        <f t="shared" si="153"/>
        <v/>
      </c>
      <c r="AD190" s="111">
        <f t="shared" si="154"/>
        <v>2</v>
      </c>
      <c r="AE190" s="112"/>
      <c r="AF190" s="56"/>
      <c r="AG190" s="56"/>
      <c r="AH190" s="56"/>
      <c r="AI190" s="112">
        <f>MIN(求节点(武将天赋进度验证!$Q$5:$Q$164,武将天赋进度验证!$Z$5:$Z$164,$D190),武将天赋进度验证!AL180)</f>
        <v>1</v>
      </c>
      <c r="AJ190" s="56"/>
      <c r="AK190" s="56"/>
      <c r="AL190" s="56"/>
      <c r="AM190" s="56"/>
      <c r="AN190" s="56"/>
      <c r="AT190" s="56">
        <f t="shared" si="155"/>
        <v>226.34699999999995</v>
      </c>
      <c r="AU190" s="56">
        <f t="shared" ref="AU190:AY190" si="168">IF(AU145="",0,AU145)</f>
        <v>0</v>
      </c>
      <c r="AV190" s="56">
        <f t="shared" si="168"/>
        <v>0</v>
      </c>
      <c r="AW190" s="56">
        <f t="shared" si="168"/>
        <v>2</v>
      </c>
      <c r="AX190" s="56">
        <f t="shared" si="168"/>
        <v>2</v>
      </c>
      <c r="AY190" s="56">
        <f t="shared" si="168"/>
        <v>2</v>
      </c>
    </row>
    <row r="191" spans="1:51" x14ac:dyDescent="0.15">
      <c r="A191" s="82">
        <f t="shared" si="116"/>
        <v>43</v>
      </c>
    </row>
    <row r="192" spans="1:51" x14ac:dyDescent="0.15">
      <c r="A192" s="82">
        <f t="shared" si="116"/>
        <v>44</v>
      </c>
    </row>
    <row r="193" spans="1:51" x14ac:dyDescent="0.15">
      <c r="A193" s="82">
        <f t="shared" si="116"/>
        <v>45</v>
      </c>
    </row>
    <row r="194" spans="1:51" ht="13.5" customHeight="1" x14ac:dyDescent="0.15">
      <c r="A194" s="82">
        <v>1</v>
      </c>
      <c r="C194" s="155" t="s">
        <v>173</v>
      </c>
      <c r="D194" s="155"/>
      <c r="F194" s="155" t="s">
        <v>178</v>
      </c>
      <c r="G194" s="155"/>
      <c r="H194" s="155"/>
      <c r="I194" s="155"/>
      <c r="J194" s="155"/>
      <c r="K194" s="155"/>
      <c r="L194" s="155"/>
      <c r="M194" s="155"/>
      <c r="N194" s="155"/>
      <c r="O194" s="155"/>
      <c r="P194" s="155"/>
      <c r="Q194" s="155"/>
      <c r="R194" s="155"/>
      <c r="S194" s="155"/>
      <c r="T194" s="155"/>
      <c r="U194" s="155"/>
      <c r="V194" s="155"/>
      <c r="W194" s="155"/>
      <c r="X194" s="155"/>
      <c r="Y194" s="155"/>
      <c r="Z194" s="155"/>
      <c r="AA194" s="155"/>
      <c r="AB194" s="155"/>
      <c r="AC194" s="155"/>
      <c r="AD194" s="155"/>
      <c r="AE194" s="155"/>
      <c r="AF194" s="155"/>
      <c r="AG194" s="155"/>
      <c r="AH194" s="155"/>
      <c r="AI194" s="155"/>
      <c r="AJ194" s="155"/>
      <c r="AK194" s="155"/>
      <c r="AL194" s="155"/>
      <c r="AM194" s="155"/>
      <c r="AN194" s="155"/>
    </row>
    <row r="195" spans="1:51" x14ac:dyDescent="0.15">
      <c r="A195" s="82">
        <f t="shared" ref="A195:A238" si="169">A194+1</f>
        <v>2</v>
      </c>
      <c r="C195" s="155"/>
      <c r="D195" s="155"/>
      <c r="F195" s="155" t="s">
        <v>821</v>
      </c>
      <c r="G195" s="155"/>
      <c r="H195" s="155"/>
      <c r="I195" s="155"/>
      <c r="J195" s="155"/>
      <c r="K195" s="155" t="s">
        <v>150</v>
      </c>
      <c r="L195" s="155"/>
      <c r="M195" s="155"/>
      <c r="N195" s="155"/>
      <c r="O195" s="155"/>
      <c r="P195" s="155" t="s">
        <v>177</v>
      </c>
      <c r="Q195" s="155"/>
      <c r="R195" s="155"/>
      <c r="S195" s="155"/>
      <c r="T195" s="155"/>
      <c r="U195" s="155" t="s">
        <v>151</v>
      </c>
      <c r="V195" s="155"/>
      <c r="W195" s="155"/>
      <c r="X195" s="155"/>
      <c r="Y195" s="155"/>
      <c r="Z195" s="156" t="s">
        <v>348</v>
      </c>
      <c r="AA195" s="157"/>
      <c r="AB195" s="157"/>
      <c r="AC195" s="157"/>
      <c r="AD195" s="158"/>
      <c r="AE195" s="156" t="s">
        <v>811</v>
      </c>
      <c r="AF195" s="157"/>
      <c r="AG195" s="157"/>
      <c r="AH195" s="157"/>
      <c r="AI195" s="158"/>
      <c r="AJ195" s="155"/>
      <c r="AK195" s="155"/>
      <c r="AL195" s="155"/>
      <c r="AM195" s="155"/>
      <c r="AN195" s="155"/>
      <c r="AT195" s="156" t="s">
        <v>459</v>
      </c>
      <c r="AU195" s="157"/>
      <c r="AV195" s="157"/>
      <c r="AW195" s="157"/>
      <c r="AX195" s="157"/>
      <c r="AY195" s="158"/>
    </row>
    <row r="196" spans="1:51" x14ac:dyDescent="0.15">
      <c r="A196" s="82">
        <f t="shared" si="169"/>
        <v>3</v>
      </c>
      <c r="C196" s="56" t="s">
        <v>170</v>
      </c>
      <c r="D196" s="56" t="s">
        <v>484</v>
      </c>
      <c r="F196" s="56" t="s">
        <v>3</v>
      </c>
      <c r="G196" s="56" t="s">
        <v>1</v>
      </c>
      <c r="H196" s="56" t="s">
        <v>2</v>
      </c>
      <c r="I196" s="56" t="s">
        <v>0</v>
      </c>
      <c r="J196" s="56" t="s">
        <v>545</v>
      </c>
      <c r="K196" s="56" t="s">
        <v>3</v>
      </c>
      <c r="L196" s="56" t="s">
        <v>1</v>
      </c>
      <c r="M196" s="56" t="s">
        <v>2</v>
      </c>
      <c r="N196" s="56" t="s">
        <v>0</v>
      </c>
      <c r="O196" s="56" t="s">
        <v>545</v>
      </c>
      <c r="P196" s="56" t="s">
        <v>3</v>
      </c>
      <c r="Q196" s="56" t="s">
        <v>1</v>
      </c>
      <c r="R196" s="56" t="s">
        <v>2</v>
      </c>
      <c r="S196" s="56" t="s">
        <v>0</v>
      </c>
      <c r="T196" s="56" t="s">
        <v>545</v>
      </c>
      <c r="U196" s="56" t="s">
        <v>3</v>
      </c>
      <c r="V196" s="56" t="s">
        <v>1</v>
      </c>
      <c r="W196" s="56" t="s">
        <v>2</v>
      </c>
      <c r="X196" s="56" t="s">
        <v>0</v>
      </c>
      <c r="Y196" s="56" t="s">
        <v>545</v>
      </c>
      <c r="Z196" s="56" t="s">
        <v>3</v>
      </c>
      <c r="AA196" s="56" t="s">
        <v>1</v>
      </c>
      <c r="AB196" s="56" t="s">
        <v>2</v>
      </c>
      <c r="AC196" s="56" t="s">
        <v>0</v>
      </c>
      <c r="AD196" s="56" t="s">
        <v>545</v>
      </c>
      <c r="AE196" s="56" t="s">
        <v>3</v>
      </c>
      <c r="AF196" s="56" t="s">
        <v>1</v>
      </c>
      <c r="AG196" s="56" t="s">
        <v>2</v>
      </c>
      <c r="AH196" s="56" t="s">
        <v>0</v>
      </c>
      <c r="AI196" s="56" t="s">
        <v>545</v>
      </c>
      <c r="AJ196" s="56"/>
      <c r="AK196" s="56"/>
      <c r="AL196" s="56"/>
      <c r="AM196" s="56"/>
      <c r="AN196" s="56"/>
      <c r="AT196" s="56" t="s">
        <v>478</v>
      </c>
      <c r="AU196" s="56" t="s">
        <v>3</v>
      </c>
      <c r="AV196" s="56" t="s">
        <v>1</v>
      </c>
      <c r="AW196" s="56" t="s">
        <v>2</v>
      </c>
      <c r="AX196" s="56" t="s">
        <v>0</v>
      </c>
      <c r="AY196" s="56" t="s">
        <v>545</v>
      </c>
    </row>
    <row r="197" spans="1:51" x14ac:dyDescent="0.15">
      <c r="A197" s="82">
        <f t="shared" si="169"/>
        <v>4</v>
      </c>
      <c r="C197" s="56">
        <f t="shared" ref="C197:C222" si="170">C17*0.275</f>
        <v>0.27500000000000002</v>
      </c>
      <c r="D197" s="56">
        <f>求节点(节奏总纲!$T$4:$T$163,节奏总纲!$O$4:$O$163,$C197)</f>
        <v>10.040470049930473</v>
      </c>
      <c r="F197" s="56"/>
      <c r="G197" s="56"/>
      <c r="H197" s="56"/>
      <c r="I197" s="56">
        <v>6</v>
      </c>
      <c r="J197" s="56"/>
      <c r="K197" s="56"/>
      <c r="L197" s="56"/>
      <c r="M197" s="56"/>
      <c r="N197" s="110">
        <f>求节点(武将升星!G$104:G$112,武将升星!$C$104:$C$112,(武将数量星级阶位验证!BL187-武将数量星级阶位验证!BN187)/武将数量星级阶位验证!D$6+武将数量星级阶位验证!BN187/MAX(I$197:I197))</f>
        <v>0</v>
      </c>
      <c r="O197" s="56"/>
      <c r="P197" s="110" t="str">
        <f>IF(F197="","",0)</f>
        <v/>
      </c>
      <c r="Q197" s="110" t="str">
        <f>IF(G197="","",0)</f>
        <v/>
      </c>
      <c r="R197" s="56" t="str">
        <f>IFERROR(MAX(0,求节点(武将进阶!F$4:F$8,武将进阶!$C$5:$C$9,W197)),"")</f>
        <v/>
      </c>
      <c r="S197" s="56">
        <f>IFERROR(MAX(0,求节点(武将进阶!G$4:G$8,武将进阶!$C$5:$C$9,X197)),"")</f>
        <v>0.40161880199721889</v>
      </c>
      <c r="T197" s="56" t="str">
        <f>IFERROR(MAX(0,求节点(武将进阶!H$4:H$8,武将进阶!$C$5:$C$9,Y197)),"")</f>
        <v/>
      </c>
      <c r="U197" s="56" t="str">
        <f>IF(F197="","",MIN($D197*2,武将进阶!D$10))</f>
        <v/>
      </c>
      <c r="V197" s="56" t="str">
        <f>IF(G197="","",MIN($D197*2,武将进阶!E$10))</f>
        <v/>
      </c>
      <c r="W197" s="56" t="str">
        <f>IF(H197="","",MIN($D197*2,武将进阶!F$10))</f>
        <v/>
      </c>
      <c r="X197" s="56">
        <f>IF(I197="","",MIN($D197*2,武将进阶!G$10))</f>
        <v>20.080940099860946</v>
      </c>
      <c r="Y197" s="56" t="str">
        <f>IF(J197="","",MIN($D197*2,武将进阶!H$10))</f>
        <v/>
      </c>
      <c r="Z197" s="111"/>
      <c r="AA197" s="111"/>
      <c r="AB197" s="111" t="str">
        <f t="shared" ref="AB197:AB222" si="171">IF(H197="","",求节点($AT$197:$AT$235,AW$197:AW$235,$D197))</f>
        <v/>
      </c>
      <c r="AC197" s="111">
        <f t="shared" ref="AC197:AD197" si="172">IF(I197="","",求节点($AT$197:$AT$235,AX$197:AX$235,$D197))</f>
        <v>0.33815737754239322</v>
      </c>
      <c r="AD197" s="111" t="str">
        <f t="shared" si="172"/>
        <v/>
      </c>
      <c r="AE197" s="112"/>
      <c r="AF197" s="56"/>
      <c r="AG197" s="56"/>
      <c r="AH197" s="56"/>
      <c r="AI197" s="112">
        <f>MIN(求节点(武将天赋进度验证!$Q$5:$Q$164,武将天赋进度验证!$AA$5:$AA$164,$D197),武将天赋进度验证!AL187)</f>
        <v>0</v>
      </c>
      <c r="AJ197" s="56"/>
      <c r="AK197" s="56"/>
      <c r="AL197" s="56"/>
      <c r="AM197" s="56"/>
      <c r="AN197" s="56"/>
      <c r="AT197" s="56">
        <f t="shared" ref="AT197:AT222" si="173">AT152*0.95</f>
        <v>8.1450624999999999</v>
      </c>
      <c r="AU197" s="56">
        <f>IF(AU152="",0,AU152)</f>
        <v>0</v>
      </c>
      <c r="AV197" s="56">
        <f t="shared" ref="AV197:AY197" si="174">IF(AV152="",0,AV152)</f>
        <v>0</v>
      </c>
      <c r="AW197" s="56">
        <f t="shared" si="174"/>
        <v>0</v>
      </c>
      <c r="AX197" s="56">
        <f t="shared" si="174"/>
        <v>0</v>
      </c>
      <c r="AY197" s="56">
        <f t="shared" si="174"/>
        <v>0</v>
      </c>
    </row>
    <row r="198" spans="1:51" x14ac:dyDescent="0.15">
      <c r="A198" s="82">
        <f t="shared" si="169"/>
        <v>5</v>
      </c>
      <c r="C198" s="56">
        <f t="shared" si="170"/>
        <v>0.82500000000000007</v>
      </c>
      <c r="D198" s="56">
        <f>求节点(节奏总纲!$T$4:$T$163,节奏总纲!$O$4:$O$163,$C198)</f>
        <v>19.288856680060892</v>
      </c>
      <c r="F198" s="56"/>
      <c r="G198" s="56"/>
      <c r="H198" s="56"/>
      <c r="I198" s="56">
        <v>6</v>
      </c>
      <c r="J198" s="56"/>
      <c r="K198" s="56"/>
      <c r="L198" s="56"/>
      <c r="M198" s="56"/>
      <c r="N198" s="110">
        <f>求节点(武将升星!G$104:G$112,武将升星!$C$104:$C$112,(武将数量星级阶位验证!BL188-武将数量星级阶位验证!BN188)/武将数量星级阶位验证!D$6+武将数量星级阶位验证!BN188/MAX(I$197:I198))</f>
        <v>0.5060634612251893</v>
      </c>
      <c r="O198" s="56"/>
      <c r="P198" s="110" t="str">
        <f t="shared" ref="P198:P212" si="175">IF(F198="","",0)</f>
        <v/>
      </c>
      <c r="Q198" s="110" t="str">
        <f t="shared" ref="Q198:Q212" si="176">IF(G198="","",0)</f>
        <v/>
      </c>
      <c r="R198" s="56" t="str">
        <f>IFERROR(MAX(0,求节点(武将进阶!F$4:F$8,武将进阶!$C$5:$C$9,W198)),"")</f>
        <v/>
      </c>
      <c r="S198" s="56">
        <f>IFERROR(MAX(0,求节点(武将进阶!G$4:G$8,武将进阶!$C$5:$C$9,X198)),"")</f>
        <v>0.7715542672024357</v>
      </c>
      <c r="T198" s="56" t="str">
        <f>IFERROR(MAX(0,求节点(武将进阶!H$4:H$8,武将进阶!$C$5:$C$9,Y198)),"")</f>
        <v/>
      </c>
      <c r="U198" s="56" t="str">
        <f>IF(F198="","",MIN($D198*2,武将进阶!D$10))</f>
        <v/>
      </c>
      <c r="V198" s="56" t="str">
        <f>IF(G198="","",MIN($D198*2,武将进阶!E$10))</f>
        <v/>
      </c>
      <c r="W198" s="56" t="str">
        <f>IF(H198="","",MIN($D198*2,武将进阶!F$10))</f>
        <v/>
      </c>
      <c r="X198" s="56">
        <f>IF(I198="","",MIN($D198*2,武将进阶!G$10))</f>
        <v>38.577713360121784</v>
      </c>
      <c r="Y198" s="56" t="str">
        <f>IF(J198="","",MIN($D198*2,武将进阶!H$10))</f>
        <v/>
      </c>
      <c r="Z198" s="111"/>
      <c r="AA198" s="111"/>
      <c r="AB198" s="111" t="str">
        <f t="shared" si="171"/>
        <v/>
      </c>
      <c r="AC198" s="111">
        <f t="shared" ref="AC198:AC222" si="177">IF(I198="","",求节点($AT$197:$AT$235,AX$197:AX$235,$D198))</f>
        <v>1</v>
      </c>
      <c r="AD198" s="111" t="str">
        <f t="shared" ref="AD198:AD222" si="178">IF(J198="","",求节点($AT$197:$AT$235,AY$197:AY$235,$D198))</f>
        <v/>
      </c>
      <c r="AE198" s="112"/>
      <c r="AF198" s="56"/>
      <c r="AG198" s="56"/>
      <c r="AH198" s="56"/>
      <c r="AI198" s="112">
        <f>MIN(求节点(武将天赋进度验证!$Q$5:$Q$164,武将天赋进度验证!$AA$5:$AA$164,$D198),武将天赋进度验证!AL188)</f>
        <v>0</v>
      </c>
      <c r="AJ198" s="56"/>
      <c r="AK198" s="56"/>
      <c r="AL198" s="56"/>
      <c r="AM198" s="56"/>
      <c r="AN198" s="56"/>
      <c r="AT198" s="56">
        <f t="shared" si="173"/>
        <v>9.7740749999999963</v>
      </c>
      <c r="AU198" s="56">
        <f t="shared" ref="AU198:AY198" si="179">IF(AU153="",0,AU153)</f>
        <v>0</v>
      </c>
      <c r="AV198" s="56">
        <f t="shared" si="179"/>
        <v>0</v>
      </c>
      <c r="AW198" s="56">
        <f t="shared" si="179"/>
        <v>0.3</v>
      </c>
      <c r="AX198" s="56">
        <f t="shared" si="179"/>
        <v>0.3</v>
      </c>
      <c r="AY198" s="56">
        <f t="shared" si="179"/>
        <v>0.3</v>
      </c>
    </row>
    <row r="199" spans="1:51" x14ac:dyDescent="0.15">
      <c r="A199" s="82">
        <f t="shared" si="169"/>
        <v>6</v>
      </c>
      <c r="C199" s="56">
        <f t="shared" si="170"/>
        <v>1.6500000000000001</v>
      </c>
      <c r="D199" s="56">
        <f>求节点(节奏总纲!$T$4:$T$163,节奏总纲!$O$4:$O$163,$C199)</f>
        <v>27.144641112884834</v>
      </c>
      <c r="F199" s="56"/>
      <c r="G199" s="56"/>
      <c r="H199" s="56"/>
      <c r="I199" s="56">
        <v>6</v>
      </c>
      <c r="J199" s="56"/>
      <c r="K199" s="56"/>
      <c r="L199" s="56"/>
      <c r="M199" s="56"/>
      <c r="N199" s="110">
        <f>求节点(武将升星!G$104:G$112,武将升星!$C$104:$C$112,(武将数量星级阶位验证!BL189-武将数量星级阶位验证!BN189)/武将数量星级阶位验证!D$6+武将数量星级阶位验证!BN189/MAX(I$197:I199))</f>
        <v>1.3990079363594083</v>
      </c>
      <c r="O199" s="56"/>
      <c r="P199" s="110" t="str">
        <f t="shared" si="175"/>
        <v/>
      </c>
      <c r="Q199" s="110" t="str">
        <f t="shared" si="176"/>
        <v/>
      </c>
      <c r="R199" s="56" t="str">
        <f>IFERROR(MAX(0,求节点(武将进阶!F$4:F$8,武将进阶!$C$5:$C$9,W199)),"")</f>
        <v/>
      </c>
      <c r="S199" s="56">
        <f>IFERROR(MAX(0,求节点(武将进阶!G$4:G$8,武将进阶!$C$5:$C$9,X199)),"")</f>
        <v>1.0857856445153933</v>
      </c>
      <c r="T199" s="56" t="str">
        <f>IFERROR(MAX(0,求节点(武将进阶!H$4:H$8,武将进阶!$C$5:$C$9,Y199)),"")</f>
        <v/>
      </c>
      <c r="U199" s="56" t="str">
        <f>IF(F199="","",MIN($D199*2,武将进阶!D$10))</f>
        <v/>
      </c>
      <c r="V199" s="56" t="str">
        <f>IF(G199="","",MIN($D199*2,武将进阶!E$10))</f>
        <v/>
      </c>
      <c r="W199" s="56" t="str">
        <f>IF(H199="","",MIN($D199*2,武将进阶!F$10))</f>
        <v/>
      </c>
      <c r="X199" s="56">
        <f>IF(I199="","",MIN($D199*2,武将进阶!G$10))</f>
        <v>54.289282225769668</v>
      </c>
      <c r="Y199" s="56" t="str">
        <f>IF(J199="","",MIN($D199*2,武将进阶!H$10))</f>
        <v/>
      </c>
      <c r="Z199" s="111"/>
      <c r="AA199" s="111"/>
      <c r="AB199" s="111" t="str">
        <f t="shared" si="171"/>
        <v/>
      </c>
      <c r="AC199" s="111">
        <f t="shared" si="177"/>
        <v>1.0544163745182722</v>
      </c>
      <c r="AD199" s="111" t="str">
        <f t="shared" si="178"/>
        <v/>
      </c>
      <c r="AE199" s="112"/>
      <c r="AF199" s="56"/>
      <c r="AG199" s="56"/>
      <c r="AH199" s="56"/>
      <c r="AI199" s="112">
        <f>MIN(求节点(武将天赋进度验证!$Q$5:$Q$164,武将天赋进度验证!$AA$5:$AA$164,$D199),武将天赋进度验证!AL189)</f>
        <v>0</v>
      </c>
      <c r="AJ199" s="56"/>
      <c r="AK199" s="56"/>
      <c r="AL199" s="56"/>
      <c r="AM199" s="56"/>
      <c r="AN199" s="56"/>
      <c r="AT199" s="56">
        <f t="shared" si="173"/>
        <v>12.217593749999999</v>
      </c>
      <c r="AU199" s="56">
        <f t="shared" ref="AU199:AY199" si="180">IF(AU154="",0,AU154)</f>
        <v>0</v>
      </c>
      <c r="AV199" s="56">
        <f t="shared" si="180"/>
        <v>0</v>
      </c>
      <c r="AW199" s="56">
        <f t="shared" si="180"/>
        <v>0.65</v>
      </c>
      <c r="AX199" s="56">
        <f t="shared" si="180"/>
        <v>0.65</v>
      </c>
      <c r="AY199" s="56">
        <f t="shared" si="180"/>
        <v>0.65</v>
      </c>
    </row>
    <row r="200" spans="1:51" x14ac:dyDescent="0.15">
      <c r="A200" s="82">
        <f t="shared" si="169"/>
        <v>7</v>
      </c>
      <c r="C200" s="56">
        <f t="shared" si="170"/>
        <v>2.75</v>
      </c>
      <c r="D200" s="56">
        <f>求节点(节奏总纲!$T$4:$T$163,节奏总纲!$O$4:$O$163,$C200)</f>
        <v>33.399598377161809</v>
      </c>
      <c r="F200" s="56"/>
      <c r="G200" s="56"/>
      <c r="H200" s="56"/>
      <c r="I200" s="56">
        <v>6</v>
      </c>
      <c r="J200" s="56"/>
      <c r="K200" s="56"/>
      <c r="L200" s="56"/>
      <c r="M200" s="56"/>
      <c r="N200" s="110">
        <f>求节点(武将升星!G$104:G$112,武将升星!$C$104:$C$112,(武将数量星级阶位验证!BL190-武将数量星级阶位验证!BN190)/武将数量星级阶位验证!D$6+武将数量星级阶位验证!BN190/MAX(I$197:I200))</f>
        <v>2.3816015839203399</v>
      </c>
      <c r="O200" s="56"/>
      <c r="P200" s="110" t="str">
        <f t="shared" si="175"/>
        <v/>
      </c>
      <c r="Q200" s="110" t="str">
        <f t="shared" si="176"/>
        <v/>
      </c>
      <c r="R200" s="56" t="str">
        <f>IFERROR(MAX(0,求节点(武将进阶!F$4:F$8,武将进阶!$C$5:$C$9,W200)),"")</f>
        <v/>
      </c>
      <c r="S200" s="56">
        <f>IFERROR(MAX(0,求节点(武将进阶!G$4:G$8,武将进阶!$C$5:$C$9,X200)),"")</f>
        <v>1.3359839350864724</v>
      </c>
      <c r="T200" s="56" t="str">
        <f>IFERROR(MAX(0,求节点(武将进阶!H$4:H$8,武将进阶!$C$5:$C$9,Y200)),"")</f>
        <v/>
      </c>
      <c r="U200" s="56" t="str">
        <f>IF(F200="","",MIN($D200*2,武将进阶!D$10))</f>
        <v/>
      </c>
      <c r="V200" s="56" t="str">
        <f>IF(G200="","",MIN($D200*2,武将进阶!E$10))</f>
        <v/>
      </c>
      <c r="W200" s="56" t="str">
        <f>IF(H200="","",MIN($D200*2,武将进阶!F$10))</f>
        <v/>
      </c>
      <c r="X200" s="56">
        <f>IF(I200="","",MIN($D200*2,武将进阶!G$10))</f>
        <v>66.799196754323617</v>
      </c>
      <c r="Y200" s="56" t="str">
        <f>IF(J200="","",MIN($D200*2,武将进阶!H$10))</f>
        <v/>
      </c>
      <c r="Z200" s="111"/>
      <c r="AA200" s="111"/>
      <c r="AB200" s="111" t="str">
        <f t="shared" si="171"/>
        <v/>
      </c>
      <c r="AC200" s="111">
        <f t="shared" si="177"/>
        <v>2</v>
      </c>
      <c r="AD200" s="111" t="str">
        <f t="shared" si="178"/>
        <v/>
      </c>
      <c r="AE200" s="112"/>
      <c r="AF200" s="56"/>
      <c r="AG200" s="56"/>
      <c r="AH200" s="56"/>
      <c r="AI200" s="112">
        <f>MIN(求节点(武将天赋进度验证!$Q$5:$Q$164,武将天赋进度验证!$AA$5:$AA$164,$D200),武将天赋进度验证!AL190)</f>
        <v>0</v>
      </c>
      <c r="AJ200" s="56"/>
      <c r="AK200" s="56"/>
      <c r="AL200" s="56"/>
      <c r="AM200" s="56"/>
      <c r="AN200" s="56"/>
      <c r="AT200" s="56">
        <f t="shared" si="173"/>
        <v>14.661112499999996</v>
      </c>
      <c r="AU200" s="56">
        <f t="shared" ref="AU200:AY200" si="181">IF(AU155="",0,AU155)</f>
        <v>0</v>
      </c>
      <c r="AV200" s="56">
        <f t="shared" si="181"/>
        <v>0</v>
      </c>
      <c r="AW200" s="56">
        <f t="shared" si="181"/>
        <v>1</v>
      </c>
      <c r="AX200" s="56">
        <f t="shared" si="181"/>
        <v>1</v>
      </c>
      <c r="AY200" s="56">
        <f t="shared" si="181"/>
        <v>1</v>
      </c>
    </row>
    <row r="201" spans="1:51" x14ac:dyDescent="0.15">
      <c r="A201" s="82">
        <f t="shared" si="169"/>
        <v>8</v>
      </c>
      <c r="C201" s="56">
        <f t="shared" si="170"/>
        <v>4.125</v>
      </c>
      <c r="D201" s="56">
        <f>求节点(节奏总纲!$T$4:$T$163,节奏总纲!$O$4:$O$163,$C201)</f>
        <v>38.848984787984186</v>
      </c>
      <c r="F201" s="56"/>
      <c r="G201" s="56"/>
      <c r="H201" s="56"/>
      <c r="I201" s="56">
        <v>6</v>
      </c>
      <c r="J201" s="56"/>
      <c r="K201" s="56"/>
      <c r="L201" s="56"/>
      <c r="M201" s="56"/>
      <c r="N201" s="110">
        <f>求节点(武将升星!G$104:G$112,武将升星!$C$104:$C$112,(武将数量星级阶位验证!BL191-武将数量星级阶位验证!BN191)/武将数量星级阶位验证!D$6+武将数量星级阶位验证!BN191/MAX(I$197:I201))</f>
        <v>3.2859339537469259</v>
      </c>
      <c r="O201" s="56"/>
      <c r="P201" s="110" t="str">
        <f t="shared" si="175"/>
        <v/>
      </c>
      <c r="Q201" s="110" t="str">
        <f t="shared" si="176"/>
        <v/>
      </c>
      <c r="R201" s="56" t="str">
        <f>IFERROR(MAX(0,求节点(武将进阶!F$4:F$8,武将进阶!$C$5:$C$9,W201)),"")</f>
        <v/>
      </c>
      <c r="S201" s="56">
        <f>IFERROR(MAX(0,求节点(武将进阶!G$4:G$8,武将进阶!$C$5:$C$9,X201)),"")</f>
        <v>1.5539593915193675</v>
      </c>
      <c r="T201" s="56" t="str">
        <f>IFERROR(MAX(0,求节点(武将进阶!H$4:H$8,武将进阶!$C$5:$C$9,Y201)),"")</f>
        <v/>
      </c>
      <c r="U201" s="56" t="str">
        <f>IF(F201="","",MIN($D201*2,武将进阶!D$10))</f>
        <v/>
      </c>
      <c r="V201" s="56" t="str">
        <f>IF(G201="","",MIN($D201*2,武将进阶!E$10))</f>
        <v/>
      </c>
      <c r="W201" s="56" t="str">
        <f>IF(H201="","",MIN($D201*2,武将进阶!F$10))</f>
        <v/>
      </c>
      <c r="X201" s="56">
        <f>IF(I201="","",MIN($D201*2,武将进阶!G$10))</f>
        <v>77.697969575968372</v>
      </c>
      <c r="Y201" s="56" t="str">
        <f>IF(J201="","",MIN($D201*2,武将进阶!H$10))</f>
        <v/>
      </c>
      <c r="Z201" s="111"/>
      <c r="AA201" s="111"/>
      <c r="AB201" s="111" t="str">
        <f t="shared" si="171"/>
        <v/>
      </c>
      <c r="AC201" s="111">
        <f t="shared" si="177"/>
        <v>2</v>
      </c>
      <c r="AD201" s="111" t="str">
        <f t="shared" si="178"/>
        <v/>
      </c>
      <c r="AE201" s="112"/>
      <c r="AF201" s="56"/>
      <c r="AG201" s="56"/>
      <c r="AH201" s="56"/>
      <c r="AI201" s="112">
        <f>MIN(求节点(武将天赋进度验证!$Q$5:$Q$164,武将天赋进度验证!$AA$5:$AA$164,$D201),武将天赋进度验证!AL191)</f>
        <v>0</v>
      </c>
      <c r="AJ201" s="56"/>
      <c r="AK201" s="56"/>
      <c r="AL201" s="56"/>
      <c r="AM201" s="56"/>
      <c r="AN201" s="56"/>
      <c r="AT201" s="56">
        <f t="shared" si="173"/>
        <v>17.104631249999994</v>
      </c>
      <c r="AU201" s="56">
        <f t="shared" ref="AU201:AY201" si="182">IF(AU156="",0,AU156)</f>
        <v>0</v>
      </c>
      <c r="AV201" s="56">
        <f t="shared" si="182"/>
        <v>0</v>
      </c>
      <c r="AW201" s="56">
        <f t="shared" si="182"/>
        <v>1</v>
      </c>
      <c r="AX201" s="56">
        <f t="shared" si="182"/>
        <v>1</v>
      </c>
      <c r="AY201" s="56">
        <f t="shared" si="182"/>
        <v>1</v>
      </c>
    </row>
    <row r="202" spans="1:51" x14ac:dyDescent="0.15">
      <c r="A202" s="82">
        <f t="shared" si="169"/>
        <v>9</v>
      </c>
      <c r="C202" s="56">
        <f t="shared" si="170"/>
        <v>5.5</v>
      </c>
      <c r="D202" s="56">
        <f>求节点(节奏总纲!$T$4:$T$163,节奏总纲!$O$4:$O$163,$C202)</f>
        <v>42.643360270022924</v>
      </c>
      <c r="F202" s="56"/>
      <c r="G202" s="56"/>
      <c r="H202" s="56"/>
      <c r="I202" s="56">
        <v>6</v>
      </c>
      <c r="J202" s="56"/>
      <c r="K202" s="56"/>
      <c r="L202" s="56"/>
      <c r="M202" s="56"/>
      <c r="N202" s="110">
        <f>求节点(武将升星!G$104:G$112,武将升星!$C$104:$C$112,(武将数量星级阶位验证!BL192-武将数量星级阶位验证!BN192)/武将数量星级阶位验证!D$6+武将数量星级阶位验证!BN192/MAX(I$197:I202))</f>
        <v>3.8693891740370221</v>
      </c>
      <c r="O202" s="56"/>
      <c r="P202" s="110" t="str">
        <f t="shared" si="175"/>
        <v/>
      </c>
      <c r="Q202" s="110" t="str">
        <f t="shared" si="176"/>
        <v/>
      </c>
      <c r="R202" s="56" t="str">
        <f>IFERROR(MAX(0,求节点(武将进阶!F$4:F$8,武将进阶!$C$5:$C$9,W202)),"")</f>
        <v/>
      </c>
      <c r="S202" s="56">
        <f>IFERROR(MAX(0,求节点(武将进阶!G$4:G$8,武将进阶!$C$5:$C$9,X202)),"")</f>
        <v>1.7057344108009169</v>
      </c>
      <c r="T202" s="56" t="str">
        <f>IFERROR(MAX(0,求节点(武将进阶!H$4:H$8,武将进阶!$C$5:$C$9,Y202)),"")</f>
        <v/>
      </c>
      <c r="U202" s="56" t="str">
        <f>IF(F202="","",MIN($D202*2,武将进阶!D$10))</f>
        <v/>
      </c>
      <c r="V202" s="56" t="str">
        <f>IF(G202="","",MIN($D202*2,武将进阶!E$10))</f>
        <v/>
      </c>
      <c r="W202" s="56" t="str">
        <f>IF(H202="","",MIN($D202*2,武将进阶!F$10))</f>
        <v/>
      </c>
      <c r="X202" s="56">
        <f>IF(I202="","",MIN($D202*2,武将进阶!G$10))</f>
        <v>85.286720540045849</v>
      </c>
      <c r="Y202" s="56" t="str">
        <f>IF(J202="","",MIN($D202*2,武将进阶!H$10))</f>
        <v/>
      </c>
      <c r="Z202" s="111"/>
      <c r="AA202" s="111"/>
      <c r="AB202" s="111" t="str">
        <f t="shared" si="171"/>
        <v/>
      </c>
      <c r="AC202" s="111">
        <f t="shared" si="177"/>
        <v>2</v>
      </c>
      <c r="AD202" s="111" t="str">
        <f t="shared" si="178"/>
        <v/>
      </c>
      <c r="AE202" s="112"/>
      <c r="AF202" s="56"/>
      <c r="AG202" s="56"/>
      <c r="AH202" s="56"/>
      <c r="AI202" s="112">
        <f>MIN(求节点(武将天赋进度验证!$Q$5:$Q$164,武将天赋进度验证!$AA$5:$AA$164,$D202),武将天赋进度验证!AL192)</f>
        <v>0</v>
      </c>
      <c r="AJ202" s="56"/>
      <c r="AK202" s="56"/>
      <c r="AL202" s="56"/>
      <c r="AM202" s="56"/>
      <c r="AN202" s="56"/>
      <c r="AT202" s="56">
        <f t="shared" si="173"/>
        <v>19.548149999999993</v>
      </c>
      <c r="AU202" s="56">
        <f t="shared" ref="AU202:AY202" si="183">IF(AU157="",0,AU157)</f>
        <v>0</v>
      </c>
      <c r="AV202" s="56">
        <f t="shared" si="183"/>
        <v>0</v>
      </c>
      <c r="AW202" s="56">
        <f t="shared" si="183"/>
        <v>1</v>
      </c>
      <c r="AX202" s="56">
        <f t="shared" si="183"/>
        <v>1</v>
      </c>
      <c r="AY202" s="56">
        <f t="shared" si="183"/>
        <v>1</v>
      </c>
    </row>
    <row r="203" spans="1:51" x14ac:dyDescent="0.15">
      <c r="A203" s="82">
        <f t="shared" si="169"/>
        <v>10</v>
      </c>
      <c r="C203" s="56">
        <f t="shared" si="170"/>
        <v>8.25</v>
      </c>
      <c r="D203" s="56">
        <f>求节点(节奏总纲!$T$4:$T$163,节奏总纲!$O$4:$O$163,$C203)</f>
        <v>48.493134765265182</v>
      </c>
      <c r="F203" s="56"/>
      <c r="G203" s="56"/>
      <c r="H203" s="56"/>
      <c r="I203" s="56">
        <v>6</v>
      </c>
      <c r="J203" s="56"/>
      <c r="K203" s="56"/>
      <c r="L203" s="56"/>
      <c r="M203" s="56"/>
      <c r="N203" s="110">
        <f>求节点(武将升星!G$104:G$112,武将升星!$C$104:$C$112,(武将数量星级阶位验证!BL193-武将数量星级阶位验证!BN193)/武将数量星级阶位验证!D$6+武将数量星级阶位验证!BN193/MAX(I$197:I203))</f>
        <v>4.9206332693256787</v>
      </c>
      <c r="O203" s="56"/>
      <c r="P203" s="110" t="str">
        <f t="shared" si="175"/>
        <v/>
      </c>
      <c r="Q203" s="110" t="str">
        <f t="shared" si="176"/>
        <v/>
      </c>
      <c r="R203" s="56" t="str">
        <f>IFERROR(MAX(0,求节点(武将进阶!F$4:F$8,武将进阶!$C$5:$C$9,W203)),"")</f>
        <v/>
      </c>
      <c r="S203" s="56">
        <f>IFERROR(MAX(0,求节点(武将进阶!G$4:G$8,武将进阶!$C$5:$C$9,X203)),"")</f>
        <v>1.9397253906106073</v>
      </c>
      <c r="T203" s="56" t="str">
        <f>IFERROR(MAX(0,求节点(武将进阶!H$4:H$8,武将进阶!$C$5:$C$9,Y203)),"")</f>
        <v/>
      </c>
      <c r="U203" s="56" t="str">
        <f>IF(F203="","",MIN($D203*2,武将进阶!D$10))</f>
        <v/>
      </c>
      <c r="V203" s="56" t="str">
        <f>IF(G203="","",MIN($D203*2,武将进阶!E$10))</f>
        <v/>
      </c>
      <c r="W203" s="56" t="str">
        <f>IF(H203="","",MIN($D203*2,武将进阶!F$10))</f>
        <v/>
      </c>
      <c r="X203" s="56">
        <f>IF(I203="","",MIN($D203*2,武将进阶!G$10))</f>
        <v>96.986269530530365</v>
      </c>
      <c r="Y203" s="56" t="str">
        <f>IF(J203="","",MIN($D203*2,武将进阶!H$10))</f>
        <v/>
      </c>
      <c r="Z203" s="111"/>
      <c r="AA203" s="111"/>
      <c r="AB203" s="111" t="str">
        <f t="shared" si="171"/>
        <v/>
      </c>
      <c r="AC203" s="111">
        <f t="shared" si="177"/>
        <v>2</v>
      </c>
      <c r="AD203" s="111" t="str">
        <f t="shared" si="178"/>
        <v/>
      </c>
      <c r="AE203" s="112"/>
      <c r="AF203" s="56"/>
      <c r="AG203" s="56"/>
      <c r="AH203" s="56"/>
      <c r="AI203" s="112">
        <f>MIN(求节点(武将天赋进度验证!$Q$5:$Q$164,武将天赋进度验证!$AA$5:$AA$164,$D203),武将天赋进度验证!AL193)</f>
        <v>0</v>
      </c>
      <c r="AJ203" s="56"/>
      <c r="AK203" s="56"/>
      <c r="AL203" s="56"/>
      <c r="AM203" s="56"/>
      <c r="AN203" s="56"/>
      <c r="AT203" s="56">
        <f t="shared" si="173"/>
        <v>26.878706249999993</v>
      </c>
      <c r="AU203" s="56">
        <f t="shared" ref="AU203:AY203" si="184">IF(AU158="",0,AU158)</f>
        <v>0</v>
      </c>
      <c r="AV203" s="56">
        <f t="shared" si="184"/>
        <v>0</v>
      </c>
      <c r="AW203" s="56">
        <f t="shared" si="184"/>
        <v>1</v>
      </c>
      <c r="AX203" s="56">
        <f t="shared" si="184"/>
        <v>1</v>
      </c>
      <c r="AY203" s="56">
        <f t="shared" si="184"/>
        <v>1</v>
      </c>
    </row>
    <row r="204" spans="1:51" x14ac:dyDescent="0.15">
      <c r="A204" s="82">
        <f t="shared" si="169"/>
        <v>11</v>
      </c>
      <c r="C204" s="56">
        <f t="shared" si="170"/>
        <v>11</v>
      </c>
      <c r="D204" s="56">
        <f>求节点(节奏总纲!$T$4:$T$163,节奏总纲!$O$4:$O$163,$C204)</f>
        <v>52.559419343629337</v>
      </c>
      <c r="F204" s="56"/>
      <c r="G204" s="56"/>
      <c r="H204" s="56"/>
      <c r="I204" s="56">
        <v>5</v>
      </c>
      <c r="J204" s="56">
        <v>1</v>
      </c>
      <c r="K204" s="56"/>
      <c r="L204" s="56"/>
      <c r="M204" s="56"/>
      <c r="N204" s="110">
        <f>求节点(武将升星!G$104:G$112,武将升星!$C$104:$C$112,(武将数量星级阶位验证!BL194-武将数量星级阶位验证!BN194)/武将数量星级阶位验证!D$6+武将数量星级阶位验证!BN194/MAX(I$197:I204))</f>
        <v>5.5828245074753733</v>
      </c>
      <c r="O204" s="56">
        <f>求节点(武将升星!H$104:H$112,武将升星!$C$104:$C$112,武将数量星级阶位验证!BM194/J204)</f>
        <v>1.1724486135119863</v>
      </c>
      <c r="P204" s="110" t="str">
        <f t="shared" si="175"/>
        <v/>
      </c>
      <c r="Q204" s="110" t="str">
        <f t="shared" si="176"/>
        <v/>
      </c>
      <c r="R204" s="56" t="str">
        <f>IFERROR(MAX(0,求节点(武将进阶!F$4:F$8,武将进阶!$C$5:$C$9,W204)),"")</f>
        <v/>
      </c>
      <c r="S204" s="56">
        <f>IFERROR(MAX(0,求节点(武将进阶!G$4:G$8,武将进阶!$C$5:$C$9,X204)),"")</f>
        <v>2.1023767737451733</v>
      </c>
      <c r="T204" s="56">
        <f>IFERROR(MAX(0,求节点(武将进阶!H$4:H$8,武将进阶!$C$5:$C$9,Y204)),"")</f>
        <v>2.1023767737451733</v>
      </c>
      <c r="U204" s="56" t="str">
        <f>IF(F204="","",MIN($D204*2,武将进阶!D$10))</f>
        <v/>
      </c>
      <c r="V204" s="56" t="str">
        <f>IF(G204="","",MIN($D204*2,武将进阶!E$10))</f>
        <v/>
      </c>
      <c r="W204" s="56" t="str">
        <f>IF(H204="","",MIN($D204*2,武将进阶!F$10))</f>
        <v/>
      </c>
      <c r="X204" s="56">
        <f>IF(I204="","",MIN($D204*2,武将进阶!G$10))</f>
        <v>105.11883868725867</v>
      </c>
      <c r="Y204" s="56">
        <f>IF(J204="","",MIN($D204*2,武将进阶!H$10))</f>
        <v>105.11883868725867</v>
      </c>
      <c r="Z204" s="111"/>
      <c r="AA204" s="111"/>
      <c r="AB204" s="111" t="str">
        <f t="shared" si="171"/>
        <v/>
      </c>
      <c r="AC204" s="111">
        <f t="shared" si="177"/>
        <v>2</v>
      </c>
      <c r="AD204" s="111">
        <f t="shared" si="178"/>
        <v>2</v>
      </c>
      <c r="AE204" s="112"/>
      <c r="AF204" s="56"/>
      <c r="AG204" s="56"/>
      <c r="AH204" s="56"/>
      <c r="AI204" s="112">
        <f>MIN(求节点(武将天赋进度验证!$Q$5:$Q$164,武将天赋进度验证!$AA$5:$AA$164,$D204),武将天赋进度验证!AL194)</f>
        <v>1.1140762120574285E-2</v>
      </c>
      <c r="AJ204" s="56"/>
      <c r="AK204" s="56"/>
      <c r="AL204" s="56"/>
      <c r="AM204" s="56"/>
      <c r="AN204" s="56"/>
      <c r="AT204" s="56">
        <f t="shared" si="173"/>
        <v>29.322224999999992</v>
      </c>
      <c r="AU204" s="56">
        <f t="shared" ref="AU204:AY204" si="185">IF(AU159="",0,AU159)</f>
        <v>0</v>
      </c>
      <c r="AV204" s="56">
        <f t="shared" si="185"/>
        <v>0</v>
      </c>
      <c r="AW204" s="56">
        <f t="shared" si="185"/>
        <v>1.5</v>
      </c>
      <c r="AX204" s="56">
        <f t="shared" si="185"/>
        <v>1.5</v>
      </c>
      <c r="AY204" s="56">
        <f t="shared" si="185"/>
        <v>1.5</v>
      </c>
    </row>
    <row r="205" spans="1:51" x14ac:dyDescent="0.15">
      <c r="A205" s="82">
        <f t="shared" si="169"/>
        <v>12</v>
      </c>
      <c r="C205" s="56">
        <f t="shared" si="170"/>
        <v>16.5</v>
      </c>
      <c r="D205" s="56">
        <f>求节点(节奏总纲!$T$4:$T$163,节奏总纲!$O$4:$O$163,$C205)</f>
        <v>58.560986008166232</v>
      </c>
      <c r="F205" s="56"/>
      <c r="G205" s="56"/>
      <c r="H205" s="56"/>
      <c r="I205" s="56">
        <v>4</v>
      </c>
      <c r="J205" s="56">
        <v>2</v>
      </c>
      <c r="K205" s="56"/>
      <c r="L205" s="56"/>
      <c r="M205" s="56"/>
      <c r="N205" s="110">
        <f>求节点(武将升星!G$104:G$112,武将升星!$C$104:$C$112,(武将数量星级阶位验证!BL195-武将数量星级阶位验证!BN195)/武将数量星级阶位验证!D$6+武将数量星级阶位验证!BN195/MAX(I$197:I205))</f>
        <v>6.6233090969741601</v>
      </c>
      <c r="O205" s="56">
        <f>求节点(武将升星!H$104:H$112,武将升星!$C$104:$C$112,武将数量星级阶位验证!BM195/J205)</f>
        <v>3.1004594949713136</v>
      </c>
      <c r="P205" s="110" t="str">
        <f t="shared" si="175"/>
        <v/>
      </c>
      <c r="Q205" s="110" t="str">
        <f t="shared" si="176"/>
        <v/>
      </c>
      <c r="R205" s="56" t="str">
        <f>IFERROR(MAX(0,求节点(武将进阶!F$4:F$8,武将进阶!$C$5:$C$9,W205)),"")</f>
        <v/>
      </c>
      <c r="S205" s="56">
        <f>IFERROR(MAX(0,求节点(武将进阶!G$4:G$8,武将进阶!$C$5:$C$9,X205)),"")</f>
        <v>2.3424394403266495</v>
      </c>
      <c r="T205" s="56">
        <f>IFERROR(MAX(0,求节点(武将进阶!H$4:H$8,武将进阶!$C$5:$C$9,Y205)),"")</f>
        <v>2.3424394403266495</v>
      </c>
      <c r="U205" s="56" t="str">
        <f>IF(F205="","",MIN($D205*2,武将进阶!D$10))</f>
        <v/>
      </c>
      <c r="V205" s="56" t="str">
        <f>IF(G205="","",MIN($D205*2,武将进阶!E$10))</f>
        <v/>
      </c>
      <c r="W205" s="56" t="str">
        <f>IF(H205="","",MIN($D205*2,武将进阶!F$10))</f>
        <v/>
      </c>
      <c r="X205" s="56">
        <f>IF(I205="","",MIN($D205*2,武将进阶!G$10))</f>
        <v>117.12197201633246</v>
      </c>
      <c r="Y205" s="56">
        <f>IF(J205="","",MIN($D205*2,武将进阶!H$10))</f>
        <v>117.12197201633246</v>
      </c>
      <c r="Z205" s="111"/>
      <c r="AA205" s="111"/>
      <c r="AB205" s="111" t="str">
        <f t="shared" si="171"/>
        <v/>
      </c>
      <c r="AC205" s="111">
        <f t="shared" si="177"/>
        <v>2</v>
      </c>
      <c r="AD205" s="111">
        <f t="shared" si="178"/>
        <v>2</v>
      </c>
      <c r="AE205" s="112"/>
      <c r="AF205" s="56"/>
      <c r="AG205" s="56"/>
      <c r="AH205" s="56"/>
      <c r="AI205" s="112">
        <f>MIN(求节点(武将天赋进度验证!$Q$5:$Q$164,武将天赋进度验证!$AA$5:$AA$164,$D205),武将天赋进度验证!AL195)</f>
        <v>2.1543174307398091E-2</v>
      </c>
      <c r="AJ205" s="56"/>
      <c r="AK205" s="56"/>
      <c r="AL205" s="56"/>
      <c r="AM205" s="56"/>
      <c r="AN205" s="56"/>
      <c r="AT205" s="56">
        <f t="shared" si="173"/>
        <v>31.765743749999995</v>
      </c>
      <c r="AU205" s="56">
        <f t="shared" ref="AU205:AY205" si="186">IF(AU160="",0,AU160)</f>
        <v>0</v>
      </c>
      <c r="AV205" s="56">
        <f t="shared" si="186"/>
        <v>0</v>
      </c>
      <c r="AW205" s="56">
        <f t="shared" si="186"/>
        <v>2</v>
      </c>
      <c r="AX205" s="56">
        <f t="shared" si="186"/>
        <v>2</v>
      </c>
      <c r="AY205" s="56">
        <f t="shared" si="186"/>
        <v>2</v>
      </c>
    </row>
    <row r="206" spans="1:51" x14ac:dyDescent="0.15">
      <c r="A206" s="82">
        <f t="shared" si="169"/>
        <v>13</v>
      </c>
      <c r="C206" s="56">
        <f t="shared" si="170"/>
        <v>24.750000000000004</v>
      </c>
      <c r="D206" s="56">
        <f>求节点(节奏总纲!$T$4:$T$163,节奏总纲!$O$4:$O$163,$C206)</f>
        <v>64.247064283227857</v>
      </c>
      <c r="F206" s="56"/>
      <c r="G206" s="56"/>
      <c r="H206" s="56"/>
      <c r="I206" s="56">
        <v>3</v>
      </c>
      <c r="J206" s="56">
        <v>3</v>
      </c>
      <c r="K206" s="56"/>
      <c r="L206" s="56"/>
      <c r="M206" s="56"/>
      <c r="N206" s="110">
        <f>求节点(武将升星!G$104:G$112,武将升星!$C$104:$C$112,(武将数量星级阶位验证!BL196-武将数量星级阶位验证!BN196)/武将数量星级阶位验证!D$6+武将数量星级阶位验证!BN196/MAX(I$197:I206))</f>
        <v>7.1423841951061631</v>
      </c>
      <c r="O206" s="56">
        <f>求节点(武将升星!H$104:H$112,武将升星!$C$104:$C$112,武将数量星级阶位验证!BM196/J206)</f>
        <v>5.081992541656331</v>
      </c>
      <c r="P206" s="110" t="str">
        <f t="shared" si="175"/>
        <v/>
      </c>
      <c r="Q206" s="110" t="str">
        <f t="shared" si="176"/>
        <v/>
      </c>
      <c r="R206" s="56" t="str">
        <f>IFERROR(MAX(0,求节点(武将进阶!F$4:F$8,武将进阶!$C$5:$C$9,W206)),"")</f>
        <v/>
      </c>
      <c r="S206" s="56">
        <f>IFERROR(MAX(0,求节点(武将进阶!G$4:G$8,武将进阶!$C$5:$C$9,X206)),"")</f>
        <v>2.5698825713291145</v>
      </c>
      <c r="T206" s="56">
        <f>IFERROR(MAX(0,求节点(武将进阶!H$4:H$8,武将进阶!$C$5:$C$9,Y206)),"")</f>
        <v>2.5698825713291145</v>
      </c>
      <c r="U206" s="56" t="str">
        <f>IF(F206="","",MIN($D206*2,武将进阶!D$10))</f>
        <v/>
      </c>
      <c r="V206" s="56" t="str">
        <f>IF(G206="","",MIN($D206*2,武将进阶!E$10))</f>
        <v/>
      </c>
      <c r="W206" s="56" t="str">
        <f>IF(H206="","",MIN($D206*2,武将进阶!F$10))</f>
        <v/>
      </c>
      <c r="X206" s="56">
        <f>IF(I206="","",MIN($D206*2,武将进阶!G$10))</f>
        <v>128.49412856645571</v>
      </c>
      <c r="Y206" s="56">
        <f>IF(J206="","",MIN($D206*2,武将进阶!H$10))</f>
        <v>128.49412856645571</v>
      </c>
      <c r="Z206" s="111"/>
      <c r="AA206" s="111"/>
      <c r="AB206" s="111" t="str">
        <f t="shared" si="171"/>
        <v/>
      </c>
      <c r="AC206" s="111">
        <f t="shared" si="177"/>
        <v>2</v>
      </c>
      <c r="AD206" s="111">
        <f t="shared" si="178"/>
        <v>2</v>
      </c>
      <c r="AE206" s="112"/>
      <c r="AF206" s="56"/>
      <c r="AG206" s="56"/>
      <c r="AH206" s="56"/>
      <c r="AI206" s="112">
        <f>MIN(求节点(武将天赋进度验证!$Q$5:$Q$164,武将天赋进度验证!$AA$5:$AA$164,$D206),武将天赋进度验证!AL196)</f>
        <v>4.228706474343074E-2</v>
      </c>
      <c r="AJ206" s="56"/>
      <c r="AK206" s="56"/>
      <c r="AL206" s="56"/>
      <c r="AM206" s="56"/>
      <c r="AN206" s="56"/>
      <c r="AT206" s="56">
        <f t="shared" si="173"/>
        <v>34.209262499999987</v>
      </c>
      <c r="AU206" s="56">
        <f t="shared" ref="AU206:AY206" si="187">IF(AU161="",0,AU161)</f>
        <v>0</v>
      </c>
      <c r="AV206" s="56">
        <f t="shared" si="187"/>
        <v>0</v>
      </c>
      <c r="AW206" s="56">
        <f t="shared" si="187"/>
        <v>2</v>
      </c>
      <c r="AX206" s="56">
        <f t="shared" si="187"/>
        <v>2</v>
      </c>
      <c r="AY206" s="56">
        <f t="shared" si="187"/>
        <v>2</v>
      </c>
    </row>
    <row r="207" spans="1:51" x14ac:dyDescent="0.15">
      <c r="A207" s="82">
        <f t="shared" si="169"/>
        <v>14</v>
      </c>
      <c r="C207" s="56">
        <f t="shared" si="170"/>
        <v>33</v>
      </c>
      <c r="D207" s="56">
        <f>求节点(节奏总纲!$T$4:$T$163,节奏总纲!$O$4:$O$163,$C207)</f>
        <v>68.518369035696878</v>
      </c>
      <c r="F207" s="56"/>
      <c r="G207" s="56"/>
      <c r="H207" s="56"/>
      <c r="I207" s="56">
        <v>2</v>
      </c>
      <c r="J207" s="56">
        <v>4</v>
      </c>
      <c r="K207" s="56"/>
      <c r="L207" s="56"/>
      <c r="M207" s="56"/>
      <c r="N207" s="110">
        <f>求节点(武将升星!G$104:G$112,武将升星!$C$104:$C$112,(武将数量星级阶位验证!BL197-武将数量星级阶位验证!BN197)/武将数量星级阶位验证!D$6+武将数量星级阶位验证!BN197/MAX(I$197:I207))</f>
        <v>7.5637474662874942</v>
      </c>
      <c r="O207" s="56">
        <f>求节点(武将升星!H$104:H$112,武将升星!$C$104:$C$112,武将数量星级阶位验证!BM197/J207)</f>
        <v>5.7443719768466801</v>
      </c>
      <c r="P207" s="110" t="str">
        <f t="shared" si="175"/>
        <v/>
      </c>
      <c r="Q207" s="110" t="str">
        <f t="shared" si="176"/>
        <v/>
      </c>
      <c r="R207" s="56" t="str">
        <f>IFERROR(MAX(0,求节点(武将进阶!F$4:F$8,武将进阶!$C$5:$C$9,W207)),"")</f>
        <v/>
      </c>
      <c r="S207" s="56">
        <f>IFERROR(MAX(0,求节点(武将进阶!G$4:G$8,武将进阶!$C$5:$C$9,X207)),"")</f>
        <v>2.7407347614278752</v>
      </c>
      <c r="T207" s="56">
        <f>IFERROR(MAX(0,求节点(武将进阶!H$4:H$8,武将进阶!$C$5:$C$9,Y207)),"")</f>
        <v>2.7407347614278752</v>
      </c>
      <c r="U207" s="56" t="str">
        <f>IF(F207="","",MIN($D207*2,武将进阶!D$10))</f>
        <v/>
      </c>
      <c r="V207" s="56" t="str">
        <f>IF(G207="","",MIN($D207*2,武将进阶!E$10))</f>
        <v/>
      </c>
      <c r="W207" s="56" t="str">
        <f>IF(H207="","",MIN($D207*2,武将进阶!F$10))</f>
        <v/>
      </c>
      <c r="X207" s="56">
        <f>IF(I207="","",MIN($D207*2,武将进阶!G$10))</f>
        <v>137.03673807139376</v>
      </c>
      <c r="Y207" s="56">
        <f>IF(J207="","",MIN($D207*2,武将进阶!H$10))</f>
        <v>137.03673807139376</v>
      </c>
      <c r="Z207" s="111"/>
      <c r="AA207" s="111"/>
      <c r="AB207" s="111" t="str">
        <f t="shared" si="171"/>
        <v/>
      </c>
      <c r="AC207" s="111">
        <f t="shared" si="177"/>
        <v>2</v>
      </c>
      <c r="AD207" s="111">
        <f t="shared" si="178"/>
        <v>2</v>
      </c>
      <c r="AE207" s="112"/>
      <c r="AF207" s="56"/>
      <c r="AG207" s="56"/>
      <c r="AH207" s="56"/>
      <c r="AI207" s="112">
        <f>MIN(求节点(武将天赋进度验证!$Q$5:$Q$164,武将天赋进度验证!$AA$5:$AA$164,$D207),武将天赋进度验证!AL197)</f>
        <v>5.247751759251304E-2</v>
      </c>
      <c r="AJ207" s="56"/>
      <c r="AK207" s="56"/>
      <c r="AL207" s="56"/>
      <c r="AM207" s="56"/>
      <c r="AN207" s="56"/>
      <c r="AT207" s="56">
        <f t="shared" si="173"/>
        <v>36.652781249999997</v>
      </c>
      <c r="AU207" s="56">
        <f t="shared" ref="AU207:AY207" si="188">IF(AU162="",0,AU162)</f>
        <v>0</v>
      </c>
      <c r="AV207" s="56">
        <f t="shared" si="188"/>
        <v>0</v>
      </c>
      <c r="AW207" s="56">
        <f t="shared" si="188"/>
        <v>2</v>
      </c>
      <c r="AX207" s="56">
        <f t="shared" si="188"/>
        <v>2</v>
      </c>
      <c r="AY207" s="56">
        <f t="shared" si="188"/>
        <v>2</v>
      </c>
    </row>
    <row r="208" spans="1:51" x14ac:dyDescent="0.15">
      <c r="A208" s="82">
        <f t="shared" si="169"/>
        <v>15</v>
      </c>
      <c r="C208" s="56">
        <f t="shared" si="170"/>
        <v>41.25</v>
      </c>
      <c r="D208" s="56">
        <f>求节点(节奏总纲!$T$4:$T$163,节奏总纲!$O$4:$O$163,$C208)</f>
        <v>71.7664716439551</v>
      </c>
      <c r="F208" s="56"/>
      <c r="G208" s="56"/>
      <c r="H208" s="56"/>
      <c r="I208" s="56">
        <v>1</v>
      </c>
      <c r="J208" s="56">
        <v>5</v>
      </c>
      <c r="K208" s="56"/>
      <c r="L208" s="56"/>
      <c r="M208" s="56"/>
      <c r="N208" s="110">
        <f>求节点(武将升星!G$104:G$112,武将升星!$C$104:$C$112,(武将数量星级阶位验证!BL198-武将数量星级阶位验证!BN198)/武将数量星级阶位验证!D$6+武将数量星级阶位验证!BN198/MAX(I$197:I208))</f>
        <v>7.9891858248762349</v>
      </c>
      <c r="O208" s="56">
        <f>求节点(武将升星!H$104:H$112,武将升星!$C$104:$C$112,武将数量星级阶位验证!BM198/J208)</f>
        <v>6.152666537713988</v>
      </c>
      <c r="P208" s="110" t="str">
        <f t="shared" si="175"/>
        <v/>
      </c>
      <c r="Q208" s="110" t="str">
        <f t="shared" si="176"/>
        <v/>
      </c>
      <c r="R208" s="56" t="str">
        <f>IFERROR(MAX(0,求节点(武将进阶!F$4:F$8,武将进阶!$C$5:$C$9,W208)),"")</f>
        <v/>
      </c>
      <c r="S208" s="56">
        <f>IFERROR(MAX(0,求节点(武将进阶!G$4:G$8,武将进阶!$C$5:$C$9,X208)),"")</f>
        <v>2.8706588657582039</v>
      </c>
      <c r="T208" s="56">
        <f>IFERROR(MAX(0,求节点(武将进阶!H$4:H$8,武将进阶!$C$5:$C$9,Y208)),"")</f>
        <v>2.8706588657582039</v>
      </c>
      <c r="U208" s="56" t="str">
        <f>IF(F208="","",MIN($D208*2,武将进阶!D$10))</f>
        <v/>
      </c>
      <c r="V208" s="56" t="str">
        <f>IF(G208="","",MIN($D208*2,武将进阶!E$10))</f>
        <v/>
      </c>
      <c r="W208" s="56" t="str">
        <f>IF(H208="","",MIN($D208*2,武将进阶!F$10))</f>
        <v/>
      </c>
      <c r="X208" s="56">
        <f>IF(I208="","",MIN($D208*2,武将进阶!G$10))</f>
        <v>143.5329432879102</v>
      </c>
      <c r="Y208" s="56">
        <f>IF(J208="","",MIN($D208*2,武将进阶!H$10))</f>
        <v>143.5329432879102</v>
      </c>
      <c r="Z208" s="111"/>
      <c r="AA208" s="111"/>
      <c r="AB208" s="111" t="str">
        <f t="shared" si="171"/>
        <v/>
      </c>
      <c r="AC208" s="111">
        <f t="shared" si="177"/>
        <v>2</v>
      </c>
      <c r="AD208" s="111">
        <f t="shared" si="178"/>
        <v>2</v>
      </c>
      <c r="AE208" s="112"/>
      <c r="AF208" s="56"/>
      <c r="AG208" s="56"/>
      <c r="AH208" s="56"/>
      <c r="AI208" s="112">
        <f>MIN(求节点(武将天赋进度验证!$Q$5:$Q$164,武将天赋进度验证!$AA$5:$AA$164,$D208),武将天赋进度验证!AL198)</f>
        <v>5.8758972375087003E-2</v>
      </c>
      <c r="AJ208" s="56"/>
      <c r="AK208" s="56"/>
      <c r="AL208" s="56"/>
      <c r="AM208" s="56"/>
      <c r="AN208" s="56"/>
      <c r="AT208" s="56">
        <f t="shared" si="173"/>
        <v>39.096299999999985</v>
      </c>
      <c r="AU208" s="56">
        <f t="shared" ref="AU208:AY208" si="189">IF(AU163="",0,AU163)</f>
        <v>0</v>
      </c>
      <c r="AV208" s="56">
        <f t="shared" si="189"/>
        <v>0</v>
      </c>
      <c r="AW208" s="56">
        <f t="shared" si="189"/>
        <v>2</v>
      </c>
      <c r="AX208" s="56">
        <f t="shared" si="189"/>
        <v>2</v>
      </c>
      <c r="AY208" s="56">
        <f t="shared" si="189"/>
        <v>2</v>
      </c>
    </row>
    <row r="209" spans="1:51" x14ac:dyDescent="0.15">
      <c r="A209" s="82">
        <f t="shared" si="169"/>
        <v>16</v>
      </c>
      <c r="C209" s="56">
        <f t="shared" si="170"/>
        <v>49.500000000000007</v>
      </c>
      <c r="D209" s="56">
        <f>求节点(节奏总纲!$T$4:$T$163,节奏总纲!$O$4:$O$163,$C209)</f>
        <v>74.370993278111257</v>
      </c>
      <c r="F209" s="56"/>
      <c r="G209" s="56"/>
      <c r="H209" s="56"/>
      <c r="I209" s="56">
        <v>0.5</v>
      </c>
      <c r="J209" s="56">
        <v>5.5</v>
      </c>
      <c r="K209" s="56"/>
      <c r="L209" s="56"/>
      <c r="M209" s="56"/>
      <c r="N209" s="110">
        <f>求节点(武将升星!G$104:G$112,武将升星!$C$104:$C$112,(武将数量星级阶位验证!BL199-武将数量星级阶位验证!BN199)/武将数量星级阶位验证!D$6+武将数量星级阶位验证!BN199/MAX(I$197:I209))</f>
        <v>8</v>
      </c>
      <c r="O209" s="56">
        <f>求节点(武将升星!H$104:H$112,武将升星!$C$104:$C$112,武将数量星级阶位验证!BM199/J209)</f>
        <v>6.7429454942393452</v>
      </c>
      <c r="P209" s="110" t="str">
        <f t="shared" si="175"/>
        <v/>
      </c>
      <c r="Q209" s="110" t="str">
        <f t="shared" si="176"/>
        <v/>
      </c>
      <c r="R209" s="56" t="str">
        <f>IFERROR(MAX(0,求节点(武将进阶!F$4:F$8,武将进阶!$C$5:$C$9,W209)),"")</f>
        <v/>
      </c>
      <c r="S209" s="56">
        <f>IFERROR(MAX(0,求节点(武将进阶!G$4:G$8,武将进阶!$C$5:$C$9,X209)),"")</f>
        <v>2.9748397311244501</v>
      </c>
      <c r="T209" s="56">
        <f>IFERROR(MAX(0,求节点(武将进阶!H$4:H$8,武将进阶!$C$5:$C$9,Y209)),"")</f>
        <v>2.9748397311244501</v>
      </c>
      <c r="U209" s="56" t="str">
        <f>IF(F209="","",MIN($D209*2,武将进阶!D$10))</f>
        <v/>
      </c>
      <c r="V209" s="56" t="str">
        <f>IF(G209="","",MIN($D209*2,武将进阶!E$10))</f>
        <v/>
      </c>
      <c r="W209" s="56" t="str">
        <f>IF(H209="","",MIN($D209*2,武将进阶!F$10))</f>
        <v/>
      </c>
      <c r="X209" s="56">
        <f>IF(I209="","",MIN($D209*2,武将进阶!G$10))</f>
        <v>148.74198655622251</v>
      </c>
      <c r="Y209" s="56">
        <f>IF(J209="","",MIN($D209*2,武将进阶!H$10))</f>
        <v>148.74198655622251</v>
      </c>
      <c r="Z209" s="111"/>
      <c r="AA209" s="111"/>
      <c r="AB209" s="111" t="str">
        <f t="shared" si="171"/>
        <v/>
      </c>
      <c r="AC209" s="111">
        <f t="shared" si="177"/>
        <v>2</v>
      </c>
      <c r="AD209" s="111">
        <f t="shared" si="178"/>
        <v>2</v>
      </c>
      <c r="AE209" s="112"/>
      <c r="AF209" s="56"/>
      <c r="AG209" s="56"/>
      <c r="AH209" s="56"/>
      <c r="AI209" s="112">
        <f>MIN(求节点(武将天赋进度验证!$Q$5:$Q$164,武将天赋进度验证!$AA$5:$AA$164,$D209),武将天赋进度验证!AL199)</f>
        <v>6.7840187090861731E-2</v>
      </c>
      <c r="AJ209" s="56"/>
      <c r="AK209" s="56"/>
      <c r="AL209" s="56"/>
      <c r="AM209" s="56"/>
      <c r="AN209" s="56"/>
      <c r="AT209" s="56">
        <f t="shared" si="173"/>
        <v>45.612349999999992</v>
      </c>
      <c r="AU209" s="56">
        <f t="shared" ref="AU209:AY209" si="190">IF(AU164="",0,AU164)</f>
        <v>0</v>
      </c>
      <c r="AV209" s="56">
        <f t="shared" si="190"/>
        <v>0</v>
      </c>
      <c r="AW209" s="56">
        <f t="shared" si="190"/>
        <v>2</v>
      </c>
      <c r="AX209" s="56">
        <f t="shared" si="190"/>
        <v>2</v>
      </c>
      <c r="AY209" s="56">
        <f t="shared" si="190"/>
        <v>2</v>
      </c>
    </row>
    <row r="210" spans="1:51" x14ac:dyDescent="0.15">
      <c r="A210" s="82">
        <f t="shared" si="169"/>
        <v>17</v>
      </c>
      <c r="C210" s="56">
        <f t="shared" si="170"/>
        <v>60.500000000000007</v>
      </c>
      <c r="D210" s="56">
        <f>求节点(节奏总纲!$T$4:$T$163,节奏总纲!$O$4:$O$163,$C210)</f>
        <v>77.234275947206214</v>
      </c>
      <c r="F210" s="56"/>
      <c r="G210" s="56"/>
      <c r="H210" s="56"/>
      <c r="I210" s="56"/>
      <c r="J210" s="56">
        <v>6</v>
      </c>
      <c r="K210" s="56"/>
      <c r="L210" s="56"/>
      <c r="M210" s="56"/>
      <c r="N210" s="56"/>
      <c r="O210" s="56">
        <f>求节点(武将升星!H$104:H$112,武将升星!$C$104:$C$112,武将数量星级阶位验证!BM200/J210)</f>
        <v>7.392415473182151</v>
      </c>
      <c r="P210" s="110" t="str">
        <f t="shared" si="175"/>
        <v/>
      </c>
      <c r="Q210" s="110" t="str">
        <f t="shared" si="176"/>
        <v/>
      </c>
      <c r="R210" s="56" t="str">
        <f>IFERROR(MAX(0,求节点(武将进阶!F$4:F$8,武将进阶!$C$5:$C$9,W210)),"")</f>
        <v/>
      </c>
      <c r="S210" s="56" t="str">
        <f>IFERROR(MAX(0,求节点(武将进阶!G$4:G$8,武将进阶!$C$5:$C$9,X210)),"")</f>
        <v/>
      </c>
      <c r="T210" s="56">
        <f>IFERROR(MAX(0,求节点(武将进阶!H$4:H$8,武将进阶!$C$5:$C$9,Y210)),"")</f>
        <v>3.0893710378882484</v>
      </c>
      <c r="U210" s="56" t="str">
        <f>IF(F210="","",MIN($D210*2,武将进阶!D$10))</f>
        <v/>
      </c>
      <c r="V210" s="56" t="str">
        <f>IF(G210="","",MIN($D210*2,武将进阶!E$10))</f>
        <v/>
      </c>
      <c r="W210" s="56" t="str">
        <f>IF(H210="","",MIN($D210*2,武将进阶!F$10))</f>
        <v/>
      </c>
      <c r="X210" s="56" t="str">
        <f>IF(I210="","",MIN($D210*2,武将进阶!G$10))</f>
        <v/>
      </c>
      <c r="Y210" s="56">
        <f>IF(J210="","",MIN($D210*2,武将进阶!H$10))</f>
        <v>154.46855189441243</v>
      </c>
      <c r="Z210" s="111"/>
      <c r="AA210" s="111"/>
      <c r="AB210" s="111" t="str">
        <f t="shared" si="171"/>
        <v/>
      </c>
      <c r="AC210" s="111" t="str">
        <f t="shared" si="177"/>
        <v/>
      </c>
      <c r="AD210" s="111">
        <f t="shared" si="178"/>
        <v>2</v>
      </c>
      <c r="AE210" s="112"/>
      <c r="AF210" s="56"/>
      <c r="AG210" s="56"/>
      <c r="AH210" s="56"/>
      <c r="AI210" s="112">
        <f>MIN(求节点(武将天赋进度验证!$Q$5:$Q$164,武将天赋进度验证!$AA$5:$AA$164,$D210),武将天赋进度验证!AL200)</f>
        <v>7.98444199627108E-2</v>
      </c>
      <c r="AJ210" s="56"/>
      <c r="AK210" s="56"/>
      <c r="AL210" s="56"/>
      <c r="AM210" s="56"/>
      <c r="AN210" s="56"/>
      <c r="AT210" s="56">
        <f t="shared" si="173"/>
        <v>52.128399999999992</v>
      </c>
      <c r="AU210" s="56">
        <f t="shared" ref="AU210:AY210" si="191">IF(AU165="",0,AU165)</f>
        <v>0</v>
      </c>
      <c r="AV210" s="56">
        <f t="shared" si="191"/>
        <v>0</v>
      </c>
      <c r="AW210" s="56">
        <f t="shared" si="191"/>
        <v>2</v>
      </c>
      <c r="AX210" s="56">
        <f t="shared" si="191"/>
        <v>2</v>
      </c>
      <c r="AY210" s="56">
        <f t="shared" si="191"/>
        <v>2</v>
      </c>
    </row>
    <row r="211" spans="1:51" x14ac:dyDescent="0.15">
      <c r="A211" s="82">
        <f t="shared" si="169"/>
        <v>18</v>
      </c>
      <c r="C211" s="56">
        <f t="shared" si="170"/>
        <v>71.5</v>
      </c>
      <c r="D211" s="56">
        <f>求节点(节奏总纲!$T$4:$T$163,节奏总纲!$O$4:$O$163,$C211)</f>
        <v>79.725666247801229</v>
      </c>
      <c r="F211" s="56"/>
      <c r="G211" s="56"/>
      <c r="H211" s="56"/>
      <c r="I211" s="56"/>
      <c r="J211" s="56">
        <v>6</v>
      </c>
      <c r="K211" s="56"/>
      <c r="L211" s="56"/>
      <c r="M211" s="56"/>
      <c r="N211" s="56"/>
      <c r="O211" s="56">
        <f>求节点(武将升星!H$104:H$112,武将升星!$C$104:$C$112,武将数量星级阶位验证!BM201/J211)</f>
        <v>8</v>
      </c>
      <c r="P211" s="110" t="str">
        <f t="shared" si="175"/>
        <v/>
      </c>
      <c r="Q211" s="110" t="str">
        <f t="shared" si="176"/>
        <v/>
      </c>
      <c r="R211" s="56" t="str">
        <f>IFERROR(MAX(0,求节点(武将进阶!F$4:F$8,武将进阶!$C$5:$C$9,W211)),"")</f>
        <v/>
      </c>
      <c r="S211" s="56" t="str">
        <f>IFERROR(MAX(0,求节点(武将进阶!G$4:G$8,武将进阶!$C$5:$C$9,X211)),"")</f>
        <v/>
      </c>
      <c r="T211" s="56">
        <f>IFERROR(MAX(0,求节点(武将进阶!H$4:H$8,武将进阶!$C$5:$C$9,Y211)),"")</f>
        <v>3.1890266499120492</v>
      </c>
      <c r="U211" s="56" t="str">
        <f>IF(F211="","",MIN($D211*2,武将进阶!D$10))</f>
        <v/>
      </c>
      <c r="V211" s="56" t="str">
        <f>IF(G211="","",MIN($D211*2,武将进阶!E$10))</f>
        <v/>
      </c>
      <c r="W211" s="56" t="str">
        <f>IF(H211="","",MIN($D211*2,武将进阶!F$10))</f>
        <v/>
      </c>
      <c r="X211" s="56" t="str">
        <f>IF(I211="","",MIN($D211*2,武将进阶!G$10))</f>
        <v/>
      </c>
      <c r="Y211" s="56">
        <f>IF(J211="","",MIN($D211*2,武将进阶!H$10))</f>
        <v>159.45133249560246</v>
      </c>
      <c r="Z211" s="111"/>
      <c r="AA211" s="111"/>
      <c r="AB211" s="111" t="str">
        <f t="shared" si="171"/>
        <v/>
      </c>
      <c r="AC211" s="111" t="str">
        <f t="shared" si="177"/>
        <v/>
      </c>
      <c r="AD211" s="111">
        <f t="shared" si="178"/>
        <v>2</v>
      </c>
      <c r="AE211" s="112"/>
      <c r="AF211" s="56"/>
      <c r="AG211" s="56"/>
      <c r="AH211" s="56"/>
      <c r="AI211" s="112">
        <f>MIN(求节点(武将天赋进度验证!$Q$5:$Q$164,武将天赋进度验证!$AA$5:$AA$164,$D211),武将天赋进度验证!AL201)</f>
        <v>9.6465136118784128E-2</v>
      </c>
      <c r="AJ211" s="56"/>
      <c r="AK211" s="56"/>
      <c r="AL211" s="56"/>
      <c r="AM211" s="56"/>
      <c r="AN211" s="56"/>
      <c r="AT211" s="56">
        <f t="shared" si="173"/>
        <v>58.644449999999985</v>
      </c>
      <c r="AU211" s="56">
        <f t="shared" ref="AU211:AY211" si="192">IF(AU166="",0,AU166)</f>
        <v>0</v>
      </c>
      <c r="AV211" s="56">
        <f t="shared" si="192"/>
        <v>0</v>
      </c>
      <c r="AW211" s="56">
        <f t="shared" si="192"/>
        <v>2</v>
      </c>
      <c r="AX211" s="56">
        <f t="shared" si="192"/>
        <v>2</v>
      </c>
      <c r="AY211" s="56">
        <f t="shared" si="192"/>
        <v>2</v>
      </c>
    </row>
    <row r="212" spans="1:51" x14ac:dyDescent="0.15">
      <c r="A212" s="82">
        <f t="shared" si="169"/>
        <v>19</v>
      </c>
      <c r="C212" s="56">
        <f t="shared" si="170"/>
        <v>82.5</v>
      </c>
      <c r="D212" s="56">
        <f>求节点(节奏总纲!$T$4:$T$163,节奏总纲!$O$4:$O$163,$C212)</f>
        <v>81.863982387630472</v>
      </c>
      <c r="F212" s="56"/>
      <c r="G212" s="56"/>
      <c r="H212" s="56"/>
      <c r="I212" s="56"/>
      <c r="J212" s="56">
        <v>6</v>
      </c>
      <c r="K212" s="56"/>
      <c r="L212" s="56"/>
      <c r="M212" s="56"/>
      <c r="N212" s="56"/>
      <c r="O212" s="56">
        <f>求节点(武将升星!H$104:H$112,武将升星!$C$104:$C$112,武将数量星级阶位验证!BM202/J212)</f>
        <v>8</v>
      </c>
      <c r="P212" s="110" t="str">
        <f t="shared" si="175"/>
        <v/>
      </c>
      <c r="Q212" s="110" t="str">
        <f t="shared" si="176"/>
        <v/>
      </c>
      <c r="R212" s="56" t="str">
        <f>IFERROR(MAX(0,求节点(武将进阶!F$4:F$8,武将进阶!$C$5:$C$9,W212)),"")</f>
        <v/>
      </c>
      <c r="S212" s="56" t="str">
        <f>IFERROR(MAX(0,求节点(武将进阶!G$4:G$8,武将进阶!$C$5:$C$9,X212)),"")</f>
        <v/>
      </c>
      <c r="T212" s="56">
        <f>IFERROR(MAX(0,求节点(武将进阶!H$4:H$8,武将进阶!$C$5:$C$9,Y212)),"")</f>
        <v>3.274559295505219</v>
      </c>
      <c r="U212" s="56" t="str">
        <f>IF(F212="","",MIN($D212*2,武将进阶!D$10))</f>
        <v/>
      </c>
      <c r="V212" s="56" t="str">
        <f>IF(G212="","",MIN($D212*2,武将进阶!E$10))</f>
        <v/>
      </c>
      <c r="W212" s="56" t="str">
        <f>IF(H212="","",MIN($D212*2,武将进阶!F$10))</f>
        <v/>
      </c>
      <c r="X212" s="56" t="str">
        <f>IF(I212="","",MIN($D212*2,武将进阶!G$10))</f>
        <v/>
      </c>
      <c r="Y212" s="56">
        <f>IF(J212="","",MIN($D212*2,武将进阶!H$10))</f>
        <v>163.72796477526094</v>
      </c>
      <c r="Z212" s="111"/>
      <c r="AA212" s="111"/>
      <c r="AB212" s="111" t="str">
        <f t="shared" si="171"/>
        <v/>
      </c>
      <c r="AC212" s="111" t="str">
        <f t="shared" si="177"/>
        <v/>
      </c>
      <c r="AD212" s="111">
        <f t="shared" si="178"/>
        <v>2</v>
      </c>
      <c r="AE212" s="112"/>
      <c r="AF212" s="56"/>
      <c r="AG212" s="56"/>
      <c r="AH212" s="56"/>
      <c r="AI212" s="112">
        <f>MIN(求节点(武将天赋进度验证!$Q$5:$Q$164,武将天赋进度验证!$AA$5:$AA$164,$D212),武将天赋进度验证!AL202)</f>
        <v>0.27162136548153459</v>
      </c>
      <c r="AJ212" s="56"/>
      <c r="AK212" s="56"/>
      <c r="AL212" s="56"/>
      <c r="AM212" s="56"/>
      <c r="AN212" s="56"/>
      <c r="AT212" s="56">
        <f t="shared" si="173"/>
        <v>65.160499999999999</v>
      </c>
      <c r="AU212" s="56">
        <f t="shared" ref="AU212:AY212" si="193">IF(AU167="",0,AU167)</f>
        <v>0</v>
      </c>
      <c r="AV212" s="56">
        <f t="shared" si="193"/>
        <v>0</v>
      </c>
      <c r="AW212" s="56">
        <f t="shared" si="193"/>
        <v>2</v>
      </c>
      <c r="AX212" s="56">
        <f t="shared" si="193"/>
        <v>2</v>
      </c>
      <c r="AY212" s="56">
        <f t="shared" si="193"/>
        <v>2</v>
      </c>
    </row>
    <row r="213" spans="1:51" x14ac:dyDescent="0.15">
      <c r="A213" s="82">
        <f t="shared" si="169"/>
        <v>20</v>
      </c>
      <c r="C213" s="56">
        <f t="shared" si="170"/>
        <v>93.500000000000014</v>
      </c>
      <c r="D213" s="56">
        <f>求节点(节奏总纲!$T$4:$T$163,节奏总纲!$O$4:$O$163,$C213)</f>
        <v>83.667042947574714</v>
      </c>
      <c r="F213" s="56"/>
      <c r="G213" s="56"/>
      <c r="H213" s="56"/>
      <c r="I213" s="56"/>
      <c r="J213" s="56">
        <v>6</v>
      </c>
      <c r="K213" s="56"/>
      <c r="L213" s="56"/>
      <c r="M213" s="56"/>
      <c r="N213" s="56"/>
      <c r="O213" s="56">
        <f>求节点(武将升星!H$104:H$112,武将升星!$C$104:$C$112,武将数量星级阶位验证!BM203/J213)</f>
        <v>8</v>
      </c>
      <c r="P213" s="110"/>
      <c r="Q213" s="110"/>
      <c r="R213" s="56" t="str">
        <f>IFERROR(MAX(0,求节点(武将进阶!F$4:F$8,武将进阶!$C$5:$C$9,W213)),"")</f>
        <v/>
      </c>
      <c r="S213" s="56" t="str">
        <f>IFERROR(MAX(0,求节点(武将进阶!G$4:G$8,武将进阶!$C$5:$C$9,X213)),"")</f>
        <v/>
      </c>
      <c r="T213" s="56">
        <f>IFERROR(MAX(0,求节点(武将进阶!H$4:H$8,武将进阶!$C$5:$C$9,Y213)),"")</f>
        <v>3.3466817179029884</v>
      </c>
      <c r="U213" s="56" t="str">
        <f>IF(F213="","",MIN($D213*2,武将进阶!D$10))</f>
        <v/>
      </c>
      <c r="V213" s="56" t="str">
        <f>IF(G213="","",MIN($D213*2,武将进阶!E$10))</f>
        <v/>
      </c>
      <c r="W213" s="56" t="str">
        <f>IF(H213="","",MIN($D213*2,武将进阶!F$10))</f>
        <v/>
      </c>
      <c r="X213" s="56" t="str">
        <f>IF(I213="","",MIN($D213*2,武将进阶!G$10))</f>
        <v/>
      </c>
      <c r="Y213" s="56">
        <f>IF(J213="","",MIN($D213*2,武将进阶!H$10))</f>
        <v>167.33408589514943</v>
      </c>
      <c r="Z213" s="111"/>
      <c r="AA213" s="111"/>
      <c r="AB213" s="111" t="str">
        <f t="shared" si="171"/>
        <v/>
      </c>
      <c r="AC213" s="111" t="str">
        <f t="shared" si="177"/>
        <v/>
      </c>
      <c r="AD213" s="111">
        <f t="shared" si="178"/>
        <v>2</v>
      </c>
      <c r="AE213" s="112"/>
      <c r="AF213" s="56"/>
      <c r="AG213" s="56"/>
      <c r="AH213" s="56"/>
      <c r="AI213" s="112">
        <f>MIN(求节点(武将天赋进度验证!$Q$5:$Q$164,武将天赋进度验证!$AA$5:$AA$164,$D213),武将天赋进度验证!AL203)</f>
        <v>0.4761648543160838</v>
      </c>
      <c r="AJ213" s="56"/>
      <c r="AK213" s="56"/>
      <c r="AL213" s="56"/>
      <c r="AM213" s="56"/>
      <c r="AN213" s="56"/>
      <c r="AT213" s="56">
        <f t="shared" si="173"/>
        <v>71.676549999999978</v>
      </c>
      <c r="AU213" s="56">
        <f t="shared" ref="AU213:AY213" si="194">IF(AU168="",0,AU168)</f>
        <v>0</v>
      </c>
      <c r="AV213" s="56">
        <f t="shared" si="194"/>
        <v>0</v>
      </c>
      <c r="AW213" s="56">
        <f t="shared" si="194"/>
        <v>2</v>
      </c>
      <c r="AX213" s="56">
        <f t="shared" si="194"/>
        <v>2</v>
      </c>
      <c r="AY213" s="56">
        <f t="shared" si="194"/>
        <v>2</v>
      </c>
    </row>
    <row r="214" spans="1:51" x14ac:dyDescent="0.15">
      <c r="A214" s="82">
        <f t="shared" si="169"/>
        <v>21</v>
      </c>
      <c r="C214" s="56">
        <f t="shared" si="170"/>
        <v>110.00000000000001</v>
      </c>
      <c r="D214" s="56">
        <f>求节点(节奏总纲!$T$4:$T$163,节奏总纲!$O$4:$O$163,$C214)</f>
        <v>86.154780808490059</v>
      </c>
      <c r="F214" s="56"/>
      <c r="G214" s="56"/>
      <c r="H214" s="56"/>
      <c r="I214" s="56"/>
      <c r="J214" s="56">
        <v>6</v>
      </c>
      <c r="K214" s="56"/>
      <c r="L214" s="56"/>
      <c r="M214" s="56"/>
      <c r="N214" s="56"/>
      <c r="O214" s="56">
        <f>求节点(武将升星!H$104:H$112,武将升星!$C$104:$C$112,武将数量星级阶位验证!BM204/J214)</f>
        <v>8</v>
      </c>
      <c r="P214" s="110"/>
      <c r="Q214" s="110"/>
      <c r="R214" s="56" t="str">
        <f>IFERROR(MAX(0,求节点(武将进阶!F$4:F$8,武将进阶!$C$5:$C$9,W214)),"")</f>
        <v/>
      </c>
      <c r="S214" s="56" t="str">
        <f>IFERROR(MAX(0,求节点(武将进阶!G$4:G$8,武将进阶!$C$5:$C$9,X214)),"")</f>
        <v/>
      </c>
      <c r="T214" s="56">
        <f>IFERROR(MAX(0,求节点(武将进阶!H$4:H$8,武将进阶!$C$5:$C$9,Y214)),"")</f>
        <v>3.4461912323396025</v>
      </c>
      <c r="U214" s="56" t="str">
        <f>IF(F214="","",MIN($D214*2,武将进阶!D$10))</f>
        <v/>
      </c>
      <c r="V214" s="56" t="str">
        <f>IF(G214="","",MIN($D214*2,武将进阶!E$10))</f>
        <v/>
      </c>
      <c r="W214" s="56" t="str">
        <f>IF(H214="","",MIN($D214*2,武将进阶!F$10))</f>
        <v/>
      </c>
      <c r="X214" s="56" t="str">
        <f>IF(I214="","",MIN($D214*2,武将进阶!G$10))</f>
        <v/>
      </c>
      <c r="Y214" s="56">
        <f>IF(J214="","",MIN($D214*2,武将进阶!H$10))</f>
        <v>172.30956161698012</v>
      </c>
      <c r="Z214" s="111"/>
      <c r="AA214" s="111"/>
      <c r="AB214" s="111" t="str">
        <f t="shared" si="171"/>
        <v/>
      </c>
      <c r="AC214" s="111" t="str">
        <f t="shared" si="177"/>
        <v/>
      </c>
      <c r="AD214" s="111">
        <f t="shared" si="178"/>
        <v>2</v>
      </c>
      <c r="AE214" s="112"/>
      <c r="AF214" s="56"/>
      <c r="AG214" s="56"/>
      <c r="AH214" s="56"/>
      <c r="AI214" s="112">
        <f>MIN(求节点(武将天赋进度验证!$Q$5:$Q$164,武将天赋进度验证!$AA$5:$AA$164,$D214),武将天赋进度验证!AL204)</f>
        <v>0.57322291720990037</v>
      </c>
      <c r="AJ214" s="56"/>
      <c r="AK214" s="56"/>
      <c r="AL214" s="56"/>
      <c r="AM214" s="56"/>
      <c r="AN214" s="56"/>
      <c r="AT214" s="56">
        <f t="shared" si="173"/>
        <v>78.19259999999997</v>
      </c>
      <c r="AU214" s="56">
        <f t="shared" ref="AU214:AY214" si="195">IF(AU169="",0,AU169)</f>
        <v>0</v>
      </c>
      <c r="AV214" s="56">
        <f t="shared" si="195"/>
        <v>0</v>
      </c>
      <c r="AW214" s="56">
        <f t="shared" si="195"/>
        <v>2</v>
      </c>
      <c r="AX214" s="56">
        <f t="shared" si="195"/>
        <v>2</v>
      </c>
      <c r="AY214" s="56">
        <f t="shared" si="195"/>
        <v>2</v>
      </c>
    </row>
    <row r="215" spans="1:51" x14ac:dyDescent="0.15">
      <c r="A215" s="82">
        <f t="shared" si="169"/>
        <v>22</v>
      </c>
      <c r="C215" s="56">
        <f t="shared" si="170"/>
        <v>143</v>
      </c>
      <c r="D215" s="56">
        <f>求节点(节奏总纲!$T$4:$T$163,节奏总纲!$O$4:$O$163,$C215)</f>
        <v>90.480184629206022</v>
      </c>
      <c r="F215" s="56"/>
      <c r="G215" s="56"/>
      <c r="H215" s="56"/>
      <c r="I215" s="56"/>
      <c r="J215" s="56">
        <v>6</v>
      </c>
      <c r="K215" s="56"/>
      <c r="L215" s="56"/>
      <c r="M215" s="56"/>
      <c r="N215" s="56"/>
      <c r="O215" s="56">
        <f>求节点(武将升星!H$104:H$112,武将升星!$C$104:$C$112,武将数量星级阶位验证!BM205/J215)</f>
        <v>8</v>
      </c>
      <c r="P215" s="110"/>
      <c r="Q215" s="110"/>
      <c r="R215" s="56" t="str">
        <f>IFERROR(MAX(0,求节点(武将进阶!F$4:F$8,武将进阶!$C$5:$C$9,W215)),"")</f>
        <v/>
      </c>
      <c r="S215" s="56" t="str">
        <f>IFERROR(MAX(0,求节点(武将进阶!G$4:G$8,武将进阶!$C$5:$C$9,X215)),"")</f>
        <v/>
      </c>
      <c r="T215" s="56">
        <f>IFERROR(MAX(0,求节点(武将进阶!H$4:H$8,武将进阶!$C$5:$C$9,Y215)),"")</f>
        <v>3.6192073851682407</v>
      </c>
      <c r="U215" s="56" t="str">
        <f>IF(F215="","",MIN($D215*2,武将进阶!D$10))</f>
        <v/>
      </c>
      <c r="V215" s="56" t="str">
        <f>IF(G215="","",MIN($D215*2,武将进阶!E$10))</f>
        <v/>
      </c>
      <c r="W215" s="56" t="str">
        <f>IF(H215="","",MIN($D215*2,武将进阶!F$10))</f>
        <v/>
      </c>
      <c r="X215" s="56" t="str">
        <f>IF(I215="","",MIN($D215*2,武将进阶!G$10))</f>
        <v/>
      </c>
      <c r="Y215" s="56">
        <f>IF(J215="","",MIN($D215*2,武将进阶!H$10))</f>
        <v>180.96036925841204</v>
      </c>
      <c r="Z215" s="111"/>
      <c r="AA215" s="111"/>
      <c r="AB215" s="111" t="str">
        <f t="shared" si="171"/>
        <v/>
      </c>
      <c r="AC215" s="111" t="str">
        <f t="shared" si="177"/>
        <v/>
      </c>
      <c r="AD215" s="111">
        <f t="shared" si="178"/>
        <v>2</v>
      </c>
      <c r="AE215" s="112"/>
      <c r="AF215" s="56"/>
      <c r="AG215" s="56"/>
      <c r="AH215" s="56"/>
      <c r="AI215" s="112">
        <f>MIN(求节点(武将天赋进度验证!$Q$5:$Q$164,武将天赋进度验证!$AA$5:$AA$164,$D215),武将天赋进度验证!AL205)</f>
        <v>1</v>
      </c>
      <c r="AJ215" s="56"/>
      <c r="AK215" s="56"/>
      <c r="AL215" s="56"/>
      <c r="AM215" s="56"/>
      <c r="AN215" s="56"/>
      <c r="AT215" s="56">
        <f t="shared" si="173"/>
        <v>84.708649999999992</v>
      </c>
      <c r="AU215" s="56">
        <f t="shared" ref="AU215:AY215" si="196">IF(AU170="",0,AU170)</f>
        <v>0</v>
      </c>
      <c r="AV215" s="56">
        <f t="shared" si="196"/>
        <v>0</v>
      </c>
      <c r="AW215" s="56">
        <f t="shared" si="196"/>
        <v>2</v>
      </c>
      <c r="AX215" s="56">
        <f t="shared" si="196"/>
        <v>2</v>
      </c>
      <c r="AY215" s="56">
        <f t="shared" si="196"/>
        <v>2</v>
      </c>
    </row>
    <row r="216" spans="1:51" x14ac:dyDescent="0.15">
      <c r="A216" s="82">
        <f t="shared" si="169"/>
        <v>23</v>
      </c>
      <c r="C216" s="56">
        <f t="shared" si="170"/>
        <v>176</v>
      </c>
      <c r="D216" s="56">
        <f>求节点(节奏总纲!$T$4:$T$163,节奏总纲!$O$4:$O$163,$C216)</f>
        <v>93.6774218048877</v>
      </c>
      <c r="F216" s="56"/>
      <c r="G216" s="56"/>
      <c r="H216" s="56"/>
      <c r="I216" s="56"/>
      <c r="J216" s="56">
        <v>6</v>
      </c>
      <c r="K216" s="56"/>
      <c r="L216" s="56"/>
      <c r="M216" s="56"/>
      <c r="N216" s="56"/>
      <c r="O216" s="56">
        <f>求节点(武将升星!H$104:H$112,武将升星!$C$104:$C$112,武将数量星级阶位验证!BM206/J216)</f>
        <v>8</v>
      </c>
      <c r="P216" s="110"/>
      <c r="Q216" s="110"/>
      <c r="R216" s="56" t="str">
        <f>IFERROR(MAX(0,求节点(武将进阶!F$4:F$8,武将进阶!$C$5:$C$9,W216)),"")</f>
        <v/>
      </c>
      <c r="S216" s="56" t="str">
        <f>IFERROR(MAX(0,求节点(武将进阶!G$4:G$8,武将进阶!$C$5:$C$9,X216)),"")</f>
        <v/>
      </c>
      <c r="T216" s="56">
        <f>IFERROR(MAX(0,求节点(武将进阶!H$4:H$8,武将进阶!$C$5:$C$9,Y216)),"")</f>
        <v>3.7470968721955078</v>
      </c>
      <c r="U216" s="56" t="str">
        <f>IF(F216="","",MIN($D216*2,武将进阶!D$10))</f>
        <v/>
      </c>
      <c r="V216" s="56" t="str">
        <f>IF(G216="","",MIN($D216*2,武将进阶!E$10))</f>
        <v/>
      </c>
      <c r="W216" s="56" t="str">
        <f>IF(H216="","",MIN($D216*2,武将进阶!F$10))</f>
        <v/>
      </c>
      <c r="X216" s="56" t="str">
        <f>IF(I216="","",MIN($D216*2,武将进阶!G$10))</f>
        <v/>
      </c>
      <c r="Y216" s="56">
        <f>IF(J216="","",MIN($D216*2,武将进阶!H$10))</f>
        <v>187.3548436097754</v>
      </c>
      <c r="Z216" s="111"/>
      <c r="AA216" s="111"/>
      <c r="AB216" s="111" t="str">
        <f t="shared" si="171"/>
        <v/>
      </c>
      <c r="AC216" s="111" t="str">
        <f t="shared" si="177"/>
        <v/>
      </c>
      <c r="AD216" s="111">
        <f t="shared" si="178"/>
        <v>2</v>
      </c>
      <c r="AE216" s="112"/>
      <c r="AF216" s="56"/>
      <c r="AG216" s="56"/>
      <c r="AH216" s="56"/>
      <c r="AI216" s="112">
        <f>MIN(求节点(武将天赋进度验证!$Q$5:$Q$164,武将天赋进度验证!$AA$5:$AA$164,$D216),武将天赋进度验证!AL206)</f>
        <v>1</v>
      </c>
      <c r="AJ216" s="56"/>
      <c r="AK216" s="56"/>
      <c r="AL216" s="56"/>
      <c r="AM216" s="56"/>
      <c r="AN216" s="56"/>
      <c r="AT216" s="56">
        <f t="shared" si="173"/>
        <v>91.224699999999984</v>
      </c>
      <c r="AU216" s="56">
        <f t="shared" ref="AU216:AY216" si="197">IF(AU171="",0,AU171)</f>
        <v>0</v>
      </c>
      <c r="AV216" s="56">
        <f t="shared" si="197"/>
        <v>0</v>
      </c>
      <c r="AW216" s="56">
        <f t="shared" si="197"/>
        <v>2</v>
      </c>
      <c r="AX216" s="56">
        <f t="shared" si="197"/>
        <v>2</v>
      </c>
      <c r="AY216" s="56">
        <f t="shared" si="197"/>
        <v>2</v>
      </c>
    </row>
    <row r="217" spans="1:51" x14ac:dyDescent="0.15">
      <c r="A217" s="82">
        <f t="shared" si="169"/>
        <v>24</v>
      </c>
      <c r="C217" s="56">
        <f t="shared" si="170"/>
        <v>225.50000000000003</v>
      </c>
      <c r="D217" s="56">
        <f>求节点(节奏总纲!$T$4:$T$163,节奏总纲!$O$4:$O$163,$C217)</f>
        <v>97.125654465362558</v>
      </c>
      <c r="F217" s="56"/>
      <c r="G217" s="56"/>
      <c r="H217" s="56"/>
      <c r="I217" s="56"/>
      <c r="J217" s="56">
        <v>6</v>
      </c>
      <c r="K217" s="56"/>
      <c r="L217" s="56"/>
      <c r="M217" s="56"/>
      <c r="N217" s="56"/>
      <c r="O217" s="56">
        <f>求节点(武将升星!H$104:H$112,武将升星!$C$104:$C$112,武将数量星级阶位验证!BM207/J217)</f>
        <v>8</v>
      </c>
      <c r="P217" s="110"/>
      <c r="Q217" s="110"/>
      <c r="R217" s="56" t="str">
        <f>IFERROR(MAX(0,求节点(武将进阶!F$4:F$8,武将进阶!$C$5:$C$9,W217)),"")</f>
        <v/>
      </c>
      <c r="S217" s="56" t="str">
        <f>IFERROR(MAX(0,求节点(武将进阶!G$4:G$8,武将进阶!$C$5:$C$9,X217)),"")</f>
        <v/>
      </c>
      <c r="T217" s="56">
        <f>IFERROR(MAX(0,求节点(武将进阶!H$4:H$8,武将进阶!$C$5:$C$9,Y217)),"")</f>
        <v>3.8850261786145026</v>
      </c>
      <c r="U217" s="56" t="str">
        <f>IF(F217="","",MIN($D217*2,武将进阶!D$10))</f>
        <v/>
      </c>
      <c r="V217" s="56" t="str">
        <f>IF(G217="","",MIN($D217*2,武将进阶!E$10))</f>
        <v/>
      </c>
      <c r="W217" s="56" t="str">
        <f>IF(H217="","",MIN($D217*2,武将进阶!F$10))</f>
        <v/>
      </c>
      <c r="X217" s="56" t="str">
        <f>IF(I217="","",MIN($D217*2,武将进阶!G$10))</f>
        <v/>
      </c>
      <c r="Y217" s="56">
        <f>IF(J217="","",MIN($D217*2,武将进阶!H$10))</f>
        <v>194.25130893072512</v>
      </c>
      <c r="Z217" s="111"/>
      <c r="AA217" s="111"/>
      <c r="AB217" s="111" t="str">
        <f t="shared" si="171"/>
        <v/>
      </c>
      <c r="AC217" s="111" t="str">
        <f t="shared" si="177"/>
        <v/>
      </c>
      <c r="AD217" s="111">
        <f t="shared" si="178"/>
        <v>2</v>
      </c>
      <c r="AE217" s="112"/>
      <c r="AF217" s="56"/>
      <c r="AG217" s="56"/>
      <c r="AH217" s="56"/>
      <c r="AI217" s="112">
        <f>MIN(求节点(武将天赋进度验证!$Q$5:$Q$164,武将天赋进度验证!$AA$5:$AA$164,$D217),武将天赋进度验证!AL207)</f>
        <v>1</v>
      </c>
      <c r="AJ217" s="56"/>
      <c r="AK217" s="56"/>
      <c r="AL217" s="56"/>
      <c r="AM217" s="56"/>
      <c r="AN217" s="56"/>
      <c r="AT217" s="56">
        <f t="shared" si="173"/>
        <v>97.740749999999991</v>
      </c>
      <c r="AU217" s="56">
        <f t="shared" ref="AU217:AY217" si="198">IF(AU172="",0,AU172)</f>
        <v>0</v>
      </c>
      <c r="AV217" s="56">
        <f t="shared" si="198"/>
        <v>0</v>
      </c>
      <c r="AW217" s="56">
        <f t="shared" si="198"/>
        <v>2</v>
      </c>
      <c r="AX217" s="56">
        <f t="shared" si="198"/>
        <v>2</v>
      </c>
      <c r="AY217" s="56">
        <f t="shared" si="198"/>
        <v>2</v>
      </c>
    </row>
    <row r="218" spans="1:51" x14ac:dyDescent="0.15">
      <c r="A218" s="82">
        <f t="shared" si="169"/>
        <v>25</v>
      </c>
      <c r="C218" s="56">
        <f t="shared" si="170"/>
        <v>291.5</v>
      </c>
      <c r="D218" s="56">
        <f>求节点(节奏总纲!$T$4:$T$163,节奏总纲!$O$4:$O$163,$C218)</f>
        <v>100.89689545435591</v>
      </c>
      <c r="F218" s="56"/>
      <c r="G218" s="56"/>
      <c r="H218" s="56"/>
      <c r="I218" s="56"/>
      <c r="J218" s="56">
        <v>6</v>
      </c>
      <c r="K218" s="56"/>
      <c r="L218" s="56"/>
      <c r="M218" s="56"/>
      <c r="N218" s="56"/>
      <c r="O218" s="56">
        <f>求节点(武将升星!H$104:H$112,武将升星!$C$104:$C$112,武将数量星级阶位验证!BM208/J218)</f>
        <v>8</v>
      </c>
      <c r="P218" s="110"/>
      <c r="Q218" s="110"/>
      <c r="R218" s="56" t="str">
        <f>IFERROR(MAX(0,求节点(武将进阶!F$4:F$8,武将进阶!$C$5:$C$9,W218)),"")</f>
        <v/>
      </c>
      <c r="S218" s="56" t="str">
        <f>IFERROR(MAX(0,求节点(武将进阶!G$4:G$8,武将进阶!$C$5:$C$9,X218)),"")</f>
        <v/>
      </c>
      <c r="T218" s="56">
        <f>IFERROR(MAX(0,求节点(武将进阶!H$4:H$8,武将进阶!$C$5:$C$9,Y218)),"")</f>
        <v>4.0358758181742367</v>
      </c>
      <c r="U218" s="56" t="str">
        <f>IF(F218="","",MIN($D218*2,武将进阶!D$10))</f>
        <v/>
      </c>
      <c r="V218" s="56" t="str">
        <f>IF(G218="","",MIN($D218*2,武将进阶!E$10))</f>
        <v/>
      </c>
      <c r="W218" s="56" t="str">
        <f>IF(H218="","",MIN($D218*2,武将进阶!F$10))</f>
        <v/>
      </c>
      <c r="X218" s="56" t="str">
        <f>IF(I218="","",MIN($D218*2,武将进阶!G$10))</f>
        <v/>
      </c>
      <c r="Y218" s="56">
        <f>IF(J218="","",MIN($D218*2,武将进阶!H$10))</f>
        <v>201.79379090871183</v>
      </c>
      <c r="Z218" s="111"/>
      <c r="AA218" s="111"/>
      <c r="AB218" s="111" t="str">
        <f t="shared" si="171"/>
        <v/>
      </c>
      <c r="AC218" s="111" t="str">
        <f t="shared" si="177"/>
        <v/>
      </c>
      <c r="AD218" s="111">
        <f t="shared" si="178"/>
        <v>2</v>
      </c>
      <c r="AE218" s="112"/>
      <c r="AF218" s="56"/>
      <c r="AG218" s="56"/>
      <c r="AH218" s="56"/>
      <c r="AI218" s="112">
        <f>MIN(求节点(武将天赋进度验证!$Q$5:$Q$164,武将天赋进度验证!$AA$5:$AA$164,$D218),武将天赋进度验证!AL208)</f>
        <v>1</v>
      </c>
      <c r="AJ218" s="56"/>
      <c r="AK218" s="56"/>
      <c r="AL218" s="56"/>
      <c r="AM218" s="56"/>
      <c r="AN218" s="56"/>
      <c r="AT218" s="56">
        <f t="shared" si="173"/>
        <v>104.25679999999998</v>
      </c>
      <c r="AU218" s="56">
        <f t="shared" ref="AU218:AY218" si="199">IF(AU173="",0,AU173)</f>
        <v>0</v>
      </c>
      <c r="AV218" s="56">
        <f t="shared" si="199"/>
        <v>0</v>
      </c>
      <c r="AW218" s="56">
        <f t="shared" si="199"/>
        <v>2</v>
      </c>
      <c r="AX218" s="56">
        <f t="shared" si="199"/>
        <v>2</v>
      </c>
      <c r="AY218" s="56">
        <f t="shared" si="199"/>
        <v>2</v>
      </c>
    </row>
    <row r="219" spans="1:51" x14ac:dyDescent="0.15">
      <c r="A219" s="82">
        <f t="shared" si="169"/>
        <v>26</v>
      </c>
      <c r="C219" s="56">
        <f t="shared" si="170"/>
        <v>374.00000000000006</v>
      </c>
      <c r="D219" s="56">
        <f>求节点(节奏总纲!$T$4:$T$163,节奏总纲!$O$4:$O$163,$C219)</f>
        <v>104.52148587104635</v>
      </c>
      <c r="F219" s="56"/>
      <c r="G219" s="56"/>
      <c r="H219" s="56"/>
      <c r="I219" s="56"/>
      <c r="J219" s="56">
        <v>6</v>
      </c>
      <c r="K219" s="56"/>
      <c r="L219" s="56"/>
      <c r="M219" s="56"/>
      <c r="N219" s="56"/>
      <c r="O219" s="56">
        <f>求节点(武将升星!H$104:H$112,武将升星!$C$104:$C$112,武将数量星级阶位验证!BM209/J219)</f>
        <v>8</v>
      </c>
      <c r="P219" s="110"/>
      <c r="Q219" s="110"/>
      <c r="R219" s="56" t="str">
        <f>IFERROR(MAX(0,求节点(武将进阶!F$4:F$8,武将进阶!$C$5:$C$9,W219)),"")</f>
        <v/>
      </c>
      <c r="S219" s="56" t="str">
        <f>IFERROR(MAX(0,求节点(武将进阶!G$4:G$8,武将进阶!$C$5:$C$9,X219)),"")</f>
        <v/>
      </c>
      <c r="T219" s="56">
        <f>IFERROR(MAX(0,求节点(武将进阶!H$4:H$8,武将进阶!$C$5:$C$9,Y219)),"")</f>
        <v>4.180859434841854</v>
      </c>
      <c r="U219" s="56" t="str">
        <f>IF(F219="","",MIN($D219*2,武将进阶!D$10))</f>
        <v/>
      </c>
      <c r="V219" s="56" t="str">
        <f>IF(G219="","",MIN($D219*2,武将进阶!E$10))</f>
        <v/>
      </c>
      <c r="W219" s="56" t="str">
        <f>IF(H219="","",MIN($D219*2,武将进阶!F$10))</f>
        <v/>
      </c>
      <c r="X219" s="56" t="str">
        <f>IF(I219="","",MIN($D219*2,武将进阶!G$10))</f>
        <v/>
      </c>
      <c r="Y219" s="56">
        <f>IF(J219="","",MIN($D219*2,武将进阶!H$10))</f>
        <v>209.0429717420927</v>
      </c>
      <c r="Z219" s="111"/>
      <c r="AA219" s="111"/>
      <c r="AB219" s="111" t="str">
        <f t="shared" si="171"/>
        <v/>
      </c>
      <c r="AC219" s="111" t="str">
        <f t="shared" si="177"/>
        <v/>
      </c>
      <c r="AD219" s="111">
        <f t="shared" si="178"/>
        <v>2</v>
      </c>
      <c r="AE219" s="112"/>
      <c r="AF219" s="56"/>
      <c r="AG219" s="56"/>
      <c r="AH219" s="56"/>
      <c r="AI219" s="112">
        <f>MIN(求节点(武将天赋进度验证!$Q$5:$Q$164,武将天赋进度验证!$AA$5:$AA$164,$D219),武将天赋进度验证!AL209)</f>
        <v>1</v>
      </c>
      <c r="AJ219" s="56"/>
      <c r="AK219" s="56"/>
      <c r="AL219" s="56"/>
      <c r="AM219" s="56"/>
      <c r="AN219" s="56"/>
      <c r="AT219" s="56">
        <f t="shared" si="173"/>
        <v>110.77284999999998</v>
      </c>
      <c r="AU219" s="56">
        <f t="shared" ref="AU219:AY219" si="200">IF(AU174="",0,AU174)</f>
        <v>0</v>
      </c>
      <c r="AV219" s="56">
        <f t="shared" si="200"/>
        <v>0</v>
      </c>
      <c r="AW219" s="56">
        <f t="shared" si="200"/>
        <v>2</v>
      </c>
      <c r="AX219" s="56">
        <f t="shared" si="200"/>
        <v>2</v>
      </c>
      <c r="AY219" s="56">
        <f t="shared" si="200"/>
        <v>2</v>
      </c>
    </row>
    <row r="220" spans="1:51" x14ac:dyDescent="0.15">
      <c r="A220" s="82">
        <f t="shared" si="169"/>
        <v>27</v>
      </c>
      <c r="C220" s="56">
        <f t="shared" si="170"/>
        <v>473.00000000000006</v>
      </c>
      <c r="D220" s="56">
        <f>求节点(节奏总纲!$T$4:$T$163,节奏总纲!$O$4:$O$163,$C220)</f>
        <v>108.05586950728798</v>
      </c>
      <c r="F220" s="56"/>
      <c r="G220" s="56"/>
      <c r="H220" s="56"/>
      <c r="I220" s="56"/>
      <c r="J220" s="56">
        <v>6</v>
      </c>
      <c r="K220" s="56"/>
      <c r="L220" s="56"/>
      <c r="M220" s="56"/>
      <c r="N220" s="56"/>
      <c r="O220" s="56">
        <f>求节点(武将升星!H$104:H$112,武将升星!$C$104:$C$112,武将数量星级阶位验证!BM210/J220)</f>
        <v>8</v>
      </c>
      <c r="P220" s="110"/>
      <c r="Q220" s="110"/>
      <c r="R220" s="56" t="str">
        <f>IFERROR(MAX(0,求节点(武将进阶!F$4:F$8,武将进阶!$C$5:$C$9,W220)),"")</f>
        <v/>
      </c>
      <c r="S220" s="56" t="str">
        <f>IFERROR(MAX(0,求节点(武将进阶!G$4:G$8,武将进阶!$C$5:$C$9,X220)),"")</f>
        <v/>
      </c>
      <c r="T220" s="56">
        <f>IFERROR(MAX(0,求节点(武将进阶!H$4:H$8,武将进阶!$C$5:$C$9,Y220)),"")</f>
        <v>4.3222347802915193</v>
      </c>
      <c r="U220" s="56" t="str">
        <f>IF(F220="","",MIN($D220*2,武将进阶!D$10))</f>
        <v/>
      </c>
      <c r="V220" s="56" t="str">
        <f>IF(G220="","",MIN($D220*2,武将进阶!E$10))</f>
        <v/>
      </c>
      <c r="W220" s="56" t="str">
        <f>IF(H220="","",MIN($D220*2,武将进阶!F$10))</f>
        <v/>
      </c>
      <c r="X220" s="56" t="str">
        <f>IF(I220="","",MIN($D220*2,武将进阶!G$10))</f>
        <v/>
      </c>
      <c r="Y220" s="56">
        <f>IF(J220="","",MIN($D220*2,武将进阶!H$10))</f>
        <v>216.11173901457596</v>
      </c>
      <c r="Z220" s="111"/>
      <c r="AA220" s="111"/>
      <c r="AB220" s="111" t="str">
        <f t="shared" si="171"/>
        <v/>
      </c>
      <c r="AC220" s="111" t="str">
        <f t="shared" si="177"/>
        <v/>
      </c>
      <c r="AD220" s="111">
        <f t="shared" si="178"/>
        <v>2</v>
      </c>
      <c r="AE220" s="112"/>
      <c r="AF220" s="56"/>
      <c r="AG220" s="56"/>
      <c r="AH220" s="56"/>
      <c r="AI220" s="112">
        <f>MIN(求节点(武将天赋进度验证!$Q$5:$Q$164,武将天赋进度验证!$AA$5:$AA$164,$D220),武将天赋进度验证!AL210)</f>
        <v>1</v>
      </c>
      <c r="AJ220" s="56"/>
      <c r="AK220" s="56"/>
      <c r="AL220" s="56"/>
      <c r="AM220" s="56"/>
      <c r="AN220" s="56"/>
      <c r="AT220" s="56">
        <f t="shared" si="173"/>
        <v>117.28889999999997</v>
      </c>
      <c r="AU220" s="56">
        <f t="shared" ref="AU220:AY220" si="201">IF(AU175="",0,AU175)</f>
        <v>0</v>
      </c>
      <c r="AV220" s="56">
        <f t="shared" si="201"/>
        <v>0</v>
      </c>
      <c r="AW220" s="56">
        <f t="shared" si="201"/>
        <v>2</v>
      </c>
      <c r="AX220" s="56">
        <f t="shared" si="201"/>
        <v>2</v>
      </c>
      <c r="AY220" s="56">
        <f t="shared" si="201"/>
        <v>2</v>
      </c>
    </row>
    <row r="221" spans="1:51" x14ac:dyDescent="0.15">
      <c r="A221" s="82">
        <f t="shared" si="169"/>
        <v>28</v>
      </c>
      <c r="C221" s="56">
        <f t="shared" si="170"/>
        <v>605</v>
      </c>
      <c r="D221" s="56">
        <f>求节点(节奏总纲!$T$4:$T$163,节奏总纲!$O$4:$O$163,$C221)</f>
        <v>111.54601176466306</v>
      </c>
      <c r="F221" s="56"/>
      <c r="G221" s="56"/>
      <c r="H221" s="56"/>
      <c r="I221" s="56"/>
      <c r="J221" s="56">
        <v>6</v>
      </c>
      <c r="K221" s="56"/>
      <c r="L221" s="56"/>
      <c r="M221" s="56"/>
      <c r="N221" s="56"/>
      <c r="O221" s="56">
        <f>求节点(武将升星!H$104:H$112,武将升星!$C$104:$C$112,武将数量星级阶位验证!BM211/J221)</f>
        <v>8</v>
      </c>
      <c r="P221" s="110"/>
      <c r="Q221" s="110"/>
      <c r="R221" s="56" t="str">
        <f>IFERROR(MAX(0,求节点(武将进阶!F$4:F$8,武将进阶!$C$5:$C$9,W221)),"")</f>
        <v/>
      </c>
      <c r="S221" s="56" t="str">
        <f>IFERROR(MAX(0,求节点(武将进阶!G$4:G$8,武将进阶!$C$5:$C$9,X221)),"")</f>
        <v/>
      </c>
      <c r="T221" s="56">
        <f>IFERROR(MAX(0,求节点(武将进阶!H$4:H$8,武将进阶!$C$5:$C$9,Y221)),"")</f>
        <v>4.4618404705865222</v>
      </c>
      <c r="U221" s="56" t="str">
        <f>IF(F221="","",MIN($D221*2,武将进阶!D$10))</f>
        <v/>
      </c>
      <c r="V221" s="56" t="str">
        <f>IF(G221="","",MIN($D221*2,武将进阶!E$10))</f>
        <v/>
      </c>
      <c r="W221" s="56" t="str">
        <f>IF(H221="","",MIN($D221*2,武将进阶!F$10))</f>
        <v/>
      </c>
      <c r="X221" s="56" t="str">
        <f>IF(I221="","",MIN($D221*2,武将进阶!G$10))</f>
        <v/>
      </c>
      <c r="Y221" s="56">
        <f>IF(J221="","",MIN($D221*2,武将进阶!H$10))</f>
        <v>223.09202352932613</v>
      </c>
      <c r="Z221" s="111"/>
      <c r="AA221" s="111"/>
      <c r="AB221" s="111" t="str">
        <f t="shared" si="171"/>
        <v/>
      </c>
      <c r="AC221" s="111" t="str">
        <f t="shared" si="177"/>
        <v/>
      </c>
      <c r="AD221" s="111">
        <f t="shared" si="178"/>
        <v>2</v>
      </c>
      <c r="AE221" s="112"/>
      <c r="AF221" s="56"/>
      <c r="AG221" s="56"/>
      <c r="AH221" s="56"/>
      <c r="AI221" s="112">
        <f>MIN(求节点(武将天赋进度验证!$Q$5:$Q$164,武将天赋进度验证!$AA$5:$AA$164,$D221),武将天赋进度验证!AL211)</f>
        <v>1</v>
      </c>
      <c r="AJ221" s="56"/>
      <c r="AK221" s="56"/>
      <c r="AL221" s="56"/>
      <c r="AM221" s="56"/>
      <c r="AN221" s="56"/>
      <c r="AT221" s="56">
        <f t="shared" si="173"/>
        <v>123.80494999999999</v>
      </c>
      <c r="AU221" s="56">
        <f t="shared" ref="AU221:AY221" si="202">IF(AU176="",0,AU176)</f>
        <v>0</v>
      </c>
      <c r="AV221" s="56">
        <f t="shared" si="202"/>
        <v>0</v>
      </c>
      <c r="AW221" s="56">
        <f t="shared" si="202"/>
        <v>2</v>
      </c>
      <c r="AX221" s="56">
        <f t="shared" si="202"/>
        <v>2</v>
      </c>
      <c r="AY221" s="56">
        <f t="shared" si="202"/>
        <v>2</v>
      </c>
    </row>
    <row r="222" spans="1:51" x14ac:dyDescent="0.15">
      <c r="A222" s="82">
        <f t="shared" si="169"/>
        <v>29</v>
      </c>
      <c r="C222" s="56">
        <f t="shared" si="170"/>
        <v>770.00000000000011</v>
      </c>
      <c r="D222" s="56">
        <f>求节点(节奏总纲!$T$4:$T$163,节奏总纲!$O$4:$O$163,$C222)</f>
        <v>115.20444967370992</v>
      </c>
      <c r="F222" s="56"/>
      <c r="G222" s="56"/>
      <c r="H222" s="56"/>
      <c r="I222" s="56"/>
      <c r="J222" s="56">
        <v>6</v>
      </c>
      <c r="K222" s="56"/>
      <c r="L222" s="56"/>
      <c r="M222" s="56"/>
      <c r="N222" s="56"/>
      <c r="O222" s="56">
        <f>求节点(武将升星!H$104:H$112,武将升星!$C$104:$C$112,武将数量星级阶位验证!BM212/J222)</f>
        <v>8</v>
      </c>
      <c r="P222" s="110"/>
      <c r="Q222" s="110"/>
      <c r="R222" s="56" t="str">
        <f>IFERROR(MAX(0,求节点(武将进阶!F$4:F$8,武将进阶!$C$5:$C$9,W222)),"")</f>
        <v/>
      </c>
      <c r="S222" s="56" t="str">
        <f>IFERROR(MAX(0,求节点(武将进阶!G$4:G$8,武将进阶!$C$5:$C$9,X222)),"")</f>
        <v/>
      </c>
      <c r="T222" s="56">
        <f>IFERROR(MAX(0,求节点(武将进阶!H$4:H$8,武将进阶!$C$5:$C$9,Y222)),"")</f>
        <v>4.6081779869483963</v>
      </c>
      <c r="U222" s="56" t="str">
        <f>IF(F222="","",MIN($D222*2,武将进阶!D$10))</f>
        <v/>
      </c>
      <c r="V222" s="56" t="str">
        <f>IF(G222="","",MIN($D222*2,武将进阶!E$10))</f>
        <v/>
      </c>
      <c r="W222" s="56" t="str">
        <f>IF(H222="","",MIN($D222*2,武将进阶!F$10))</f>
        <v/>
      </c>
      <c r="X222" s="56" t="str">
        <f>IF(I222="","",MIN($D222*2,武将进阶!G$10))</f>
        <v/>
      </c>
      <c r="Y222" s="56">
        <f>IF(J222="","",MIN($D222*2,武将进阶!H$10))</f>
        <v>230.40889934741983</v>
      </c>
      <c r="Z222" s="111"/>
      <c r="AA222" s="111"/>
      <c r="AB222" s="111" t="str">
        <f t="shared" si="171"/>
        <v/>
      </c>
      <c r="AC222" s="111" t="str">
        <f t="shared" si="177"/>
        <v/>
      </c>
      <c r="AD222" s="111">
        <f t="shared" si="178"/>
        <v>2</v>
      </c>
      <c r="AE222" s="112"/>
      <c r="AF222" s="56"/>
      <c r="AG222" s="56"/>
      <c r="AH222" s="56"/>
      <c r="AI222" s="112">
        <f>MIN(求节点(武将天赋进度验证!$Q$5:$Q$164,武将天赋进度验证!$AA$5:$AA$164,$D222),武将天赋进度验证!AL212)</f>
        <v>1</v>
      </c>
      <c r="AJ222" s="56"/>
      <c r="AK222" s="56"/>
      <c r="AL222" s="56"/>
      <c r="AM222" s="56"/>
      <c r="AN222" s="56"/>
      <c r="AT222" s="56">
        <f t="shared" si="173"/>
        <v>130.321</v>
      </c>
      <c r="AU222" s="56">
        <f t="shared" ref="AU222:AY222" si="203">IF(AU177="",0,AU177)</f>
        <v>0</v>
      </c>
      <c r="AV222" s="56">
        <f t="shared" si="203"/>
        <v>0</v>
      </c>
      <c r="AW222" s="56">
        <f t="shared" si="203"/>
        <v>2</v>
      </c>
      <c r="AX222" s="56">
        <f t="shared" si="203"/>
        <v>2</v>
      </c>
      <c r="AY222" s="56">
        <f t="shared" si="203"/>
        <v>2</v>
      </c>
    </row>
    <row r="223" spans="1:51" x14ac:dyDescent="0.15">
      <c r="A223" s="82">
        <f t="shared" si="169"/>
        <v>30</v>
      </c>
      <c r="C223" s="56">
        <f t="shared" ref="C223:C235" si="204">C43*0.275</f>
        <v>984.50000000000011</v>
      </c>
      <c r="D223" s="56">
        <f>求节点(节奏总纲!$T$4:$T$163,节奏总纲!$O$4:$O$163,$C223)</f>
        <v>118.75432507225094</v>
      </c>
      <c r="F223" s="56"/>
      <c r="G223" s="56"/>
      <c r="H223" s="56"/>
      <c r="I223" s="56"/>
      <c r="J223" s="56">
        <v>6</v>
      </c>
      <c r="K223" s="56"/>
      <c r="L223" s="56"/>
      <c r="M223" s="56"/>
      <c r="N223" s="56"/>
      <c r="O223" s="56">
        <f>求节点(武将升星!H$104:H$112,武将升星!$C$104:$C$112,武将数量星级阶位验证!BM213/J223)</f>
        <v>8</v>
      </c>
      <c r="P223" s="110"/>
      <c r="Q223" s="110"/>
      <c r="R223" s="56" t="str">
        <f>IFERROR(MAX(0,求节点(武将进阶!F$4:F$8,武将进阶!$C$5:$C$9,W223)),"")</f>
        <v/>
      </c>
      <c r="S223" s="56" t="str">
        <f>IFERROR(MAX(0,求节点(武将进阶!G$4:G$8,武将进阶!$C$5:$C$9,X223)),"")</f>
        <v/>
      </c>
      <c r="T223" s="56">
        <f>IFERROR(MAX(0,求节点(武将进阶!H$4:H$8,武将进阶!$C$5:$C$9,Y223)),"")</f>
        <v>4.7501730028900377</v>
      </c>
      <c r="U223" s="56" t="str">
        <f>IF(F223="","",MIN($D223*2,武将进阶!D$10))</f>
        <v/>
      </c>
      <c r="V223" s="56" t="str">
        <f>IF(G223="","",MIN($D223*2,武将进阶!E$10))</f>
        <v/>
      </c>
      <c r="W223" s="56" t="str">
        <f>IF(H223="","",MIN($D223*2,武将进阶!F$10))</f>
        <v/>
      </c>
      <c r="X223" s="56" t="str">
        <f>IF(I223="","",MIN($D223*2,武将进阶!G$10))</f>
        <v/>
      </c>
      <c r="Y223" s="56">
        <f>IF(J223="","",MIN($D223*2,武将进阶!H$10))</f>
        <v>237.50865014450187</v>
      </c>
      <c r="Z223" s="111"/>
      <c r="AA223" s="111"/>
      <c r="AB223" s="111" t="str">
        <f t="shared" ref="AB223:AB235" si="205">IF(H223="","",求节点($AT$197:$AT$235,AW$197:AW$235,$D223))</f>
        <v/>
      </c>
      <c r="AC223" s="111" t="str">
        <f t="shared" ref="AC223:AC235" si="206">IF(I223="","",求节点($AT$197:$AT$235,AX$197:AX$235,$D223))</f>
        <v/>
      </c>
      <c r="AD223" s="111">
        <f t="shared" ref="AD223:AD235" si="207">IF(J223="","",求节点($AT$197:$AT$235,AY$197:AY$235,$D223))</f>
        <v>2</v>
      </c>
      <c r="AE223" s="112"/>
      <c r="AF223" s="56"/>
      <c r="AG223" s="56"/>
      <c r="AH223" s="56"/>
      <c r="AI223" s="112">
        <f>MIN(求节点(武将天赋进度验证!$Q$5:$Q$164,武将天赋进度验证!$AA$5:$AA$164,$D223),武将天赋进度验证!AL213)</f>
        <v>1</v>
      </c>
      <c r="AJ223" s="56"/>
      <c r="AK223" s="56"/>
      <c r="AL223" s="56"/>
      <c r="AM223" s="56"/>
      <c r="AN223" s="56"/>
      <c r="AT223" s="56">
        <f t="shared" ref="AT223:AT235" si="208">AT178*0.95</f>
        <v>136.83704999999995</v>
      </c>
      <c r="AU223" s="56">
        <f t="shared" ref="AU223:AY223" si="209">IF(AU178="",0,AU178)</f>
        <v>0</v>
      </c>
      <c r="AV223" s="56">
        <f t="shared" si="209"/>
        <v>0</v>
      </c>
      <c r="AW223" s="56">
        <f t="shared" si="209"/>
        <v>2</v>
      </c>
      <c r="AX223" s="56">
        <f t="shared" si="209"/>
        <v>2</v>
      </c>
      <c r="AY223" s="56">
        <f t="shared" si="209"/>
        <v>2</v>
      </c>
    </row>
    <row r="224" spans="1:51" x14ac:dyDescent="0.15">
      <c r="A224" s="82">
        <f t="shared" si="169"/>
        <v>31</v>
      </c>
      <c r="C224" s="56">
        <f t="shared" si="204"/>
        <v>1248.5</v>
      </c>
      <c r="D224" s="56">
        <f>求节点(节奏总纲!$T$4:$T$163,节奏总纲!$O$4:$O$163,$C224)</f>
        <v>122.26514676047371</v>
      </c>
      <c r="F224" s="56"/>
      <c r="G224" s="56"/>
      <c r="H224" s="56"/>
      <c r="I224" s="56"/>
      <c r="J224" s="56">
        <v>6</v>
      </c>
      <c r="K224" s="56"/>
      <c r="L224" s="56"/>
      <c r="M224" s="56"/>
      <c r="N224" s="56"/>
      <c r="O224" s="56">
        <f>求节点(武将升星!H$104:H$112,武将升星!$C$104:$C$112,武将数量星级阶位验证!BM214/J224)</f>
        <v>8</v>
      </c>
      <c r="P224" s="110"/>
      <c r="Q224" s="110"/>
      <c r="R224" s="56" t="str">
        <f>IFERROR(MAX(0,求节点(武将进阶!F$4:F$8,武将进阶!$C$5:$C$9,W224)),"")</f>
        <v/>
      </c>
      <c r="S224" s="56" t="str">
        <f>IFERROR(MAX(0,求节点(武将进阶!G$4:G$8,武将进阶!$C$5:$C$9,X224)),"")</f>
        <v/>
      </c>
      <c r="T224" s="56">
        <f>IFERROR(MAX(0,求节点(武将进阶!H$4:H$8,武将进阶!$C$5:$C$9,Y224)),"")</f>
        <v>4.8906058704189483</v>
      </c>
      <c r="U224" s="56" t="str">
        <f>IF(F224="","",MIN($D224*2,武将进阶!D$10))</f>
        <v/>
      </c>
      <c r="V224" s="56" t="str">
        <f>IF(G224="","",MIN($D224*2,武将进阶!E$10))</f>
        <v/>
      </c>
      <c r="W224" s="56" t="str">
        <f>IF(H224="","",MIN($D224*2,武将进阶!F$10))</f>
        <v/>
      </c>
      <c r="X224" s="56" t="str">
        <f>IF(I224="","",MIN($D224*2,武将进阶!G$10))</f>
        <v/>
      </c>
      <c r="Y224" s="56">
        <f>IF(J224="","",MIN($D224*2,武将进阶!H$10))</f>
        <v>244.53029352094742</v>
      </c>
      <c r="Z224" s="111"/>
      <c r="AA224" s="111"/>
      <c r="AB224" s="111" t="str">
        <f t="shared" si="205"/>
        <v/>
      </c>
      <c r="AC224" s="111" t="str">
        <f t="shared" si="206"/>
        <v/>
      </c>
      <c r="AD224" s="111">
        <f t="shared" si="207"/>
        <v>2</v>
      </c>
      <c r="AE224" s="112"/>
      <c r="AF224" s="56"/>
      <c r="AG224" s="56"/>
      <c r="AH224" s="56"/>
      <c r="AI224" s="112">
        <f>MIN(求节点(武将天赋进度验证!$Q$5:$Q$164,武将天赋进度验证!$AA$5:$AA$164,$D224),武将天赋进度验证!AL214)</f>
        <v>1</v>
      </c>
      <c r="AJ224" s="56"/>
      <c r="AK224" s="56"/>
      <c r="AL224" s="56"/>
      <c r="AM224" s="56"/>
      <c r="AN224" s="56"/>
      <c r="AT224" s="56">
        <f t="shared" si="208"/>
        <v>143.35309999999996</v>
      </c>
      <c r="AU224" s="56">
        <f t="shared" ref="AU224:AY224" si="210">IF(AU179="",0,AU179)</f>
        <v>0</v>
      </c>
      <c r="AV224" s="56">
        <f t="shared" si="210"/>
        <v>0</v>
      </c>
      <c r="AW224" s="56">
        <f t="shared" si="210"/>
        <v>2</v>
      </c>
      <c r="AX224" s="56">
        <f t="shared" si="210"/>
        <v>2</v>
      </c>
      <c r="AY224" s="56">
        <f t="shared" si="210"/>
        <v>2</v>
      </c>
    </row>
    <row r="225" spans="1:51" x14ac:dyDescent="0.15">
      <c r="A225" s="82">
        <f t="shared" si="169"/>
        <v>32</v>
      </c>
      <c r="C225" s="56">
        <f t="shared" si="204"/>
        <v>1595.0000000000002</v>
      </c>
      <c r="D225" s="56">
        <f>求节点(节奏总纲!$T$4:$T$163,节奏总纲!$O$4:$O$163,$C225)</f>
        <v>125.84855083483956</v>
      </c>
      <c r="F225" s="56"/>
      <c r="G225" s="56"/>
      <c r="H225" s="56"/>
      <c r="I225" s="56"/>
      <c r="J225" s="56">
        <v>6</v>
      </c>
      <c r="K225" s="56"/>
      <c r="L225" s="56"/>
      <c r="M225" s="56"/>
      <c r="N225" s="56"/>
      <c r="O225" s="56">
        <f>求节点(武将升星!H$104:H$112,武将升星!$C$104:$C$112,武将数量星级阶位验证!BM215/J225)</f>
        <v>8</v>
      </c>
      <c r="P225" s="110"/>
      <c r="Q225" s="110"/>
      <c r="R225" s="56" t="str">
        <f>IFERROR(MAX(0,求节点(武将进阶!F$4:F$8,武将进阶!$C$5:$C$9,W225)),"")</f>
        <v/>
      </c>
      <c r="S225" s="56" t="str">
        <f>IFERROR(MAX(0,求节点(武将进阶!G$4:G$8,武将进阶!$C$5:$C$9,X225)),"")</f>
        <v/>
      </c>
      <c r="T225" s="56">
        <f>IFERROR(MAX(0,求节点(武将进阶!H$4:H$8,武将进阶!$C$5:$C$9,Y225)),"")</f>
        <v>5</v>
      </c>
      <c r="U225" s="56" t="str">
        <f>IF(F225="","",MIN($D225*2,武将进阶!D$10))</f>
        <v/>
      </c>
      <c r="V225" s="56" t="str">
        <f>IF(G225="","",MIN($D225*2,武将进阶!E$10))</f>
        <v/>
      </c>
      <c r="W225" s="56" t="str">
        <f>IF(H225="","",MIN($D225*2,武将进阶!F$10))</f>
        <v/>
      </c>
      <c r="X225" s="56" t="str">
        <f>IF(I225="","",MIN($D225*2,武将进阶!G$10))</f>
        <v/>
      </c>
      <c r="Y225" s="56">
        <f>IF(J225="","",MIN($D225*2,武将进阶!H$10))</f>
        <v>251.69710166967911</v>
      </c>
      <c r="Z225" s="111"/>
      <c r="AA225" s="111"/>
      <c r="AB225" s="111" t="str">
        <f t="shared" si="205"/>
        <v/>
      </c>
      <c r="AC225" s="111" t="str">
        <f t="shared" si="206"/>
        <v/>
      </c>
      <c r="AD225" s="111">
        <f t="shared" si="207"/>
        <v>2</v>
      </c>
      <c r="AE225" s="112"/>
      <c r="AF225" s="56"/>
      <c r="AG225" s="56"/>
      <c r="AH225" s="56"/>
      <c r="AI225" s="112">
        <f>MIN(求节点(武将天赋进度验证!$Q$5:$Q$164,武将天赋进度验证!$AA$5:$AA$164,$D225),武将天赋进度验证!AL215)</f>
        <v>1</v>
      </c>
      <c r="AJ225" s="56"/>
      <c r="AK225" s="56"/>
      <c r="AL225" s="56"/>
      <c r="AM225" s="56"/>
      <c r="AN225" s="56"/>
      <c r="AT225" s="56">
        <f t="shared" si="208"/>
        <v>149.86914999999996</v>
      </c>
      <c r="AU225" s="56">
        <f t="shared" ref="AU225:AY225" si="211">IF(AU180="",0,AU180)</f>
        <v>0</v>
      </c>
      <c r="AV225" s="56">
        <f t="shared" si="211"/>
        <v>0</v>
      </c>
      <c r="AW225" s="56">
        <f t="shared" si="211"/>
        <v>2</v>
      </c>
      <c r="AX225" s="56">
        <f t="shared" si="211"/>
        <v>2</v>
      </c>
      <c r="AY225" s="56">
        <f t="shared" si="211"/>
        <v>2</v>
      </c>
    </row>
    <row r="226" spans="1:51" x14ac:dyDescent="0.15">
      <c r="A226" s="82">
        <f t="shared" si="169"/>
        <v>33</v>
      </c>
      <c r="C226" s="56">
        <f t="shared" si="204"/>
        <v>2040.5000000000002</v>
      </c>
      <c r="D226" s="56">
        <f>求节点(节奏总纲!$T$4:$T$163,节奏总纲!$O$4:$O$163,$C226)</f>
        <v>129.43528964176323</v>
      </c>
      <c r="F226" s="56"/>
      <c r="G226" s="56"/>
      <c r="H226" s="56"/>
      <c r="I226" s="56"/>
      <c r="J226" s="56">
        <v>6</v>
      </c>
      <c r="K226" s="56"/>
      <c r="L226" s="56"/>
      <c r="M226" s="56"/>
      <c r="N226" s="56"/>
      <c r="O226" s="56">
        <f>求节点(武将升星!H$104:H$112,武将升星!$C$104:$C$112,武将数量星级阶位验证!BM216/J226)</f>
        <v>8</v>
      </c>
      <c r="P226" s="110"/>
      <c r="Q226" s="110"/>
      <c r="R226" s="56" t="str">
        <f>IFERROR(MAX(0,求节点(武将进阶!F$4:F$8,武将进阶!$C$5:$C$9,W226)),"")</f>
        <v/>
      </c>
      <c r="S226" s="56" t="str">
        <f>IFERROR(MAX(0,求节点(武将进阶!G$4:G$8,武将进阶!$C$5:$C$9,X226)),"")</f>
        <v/>
      </c>
      <c r="T226" s="56">
        <f>IFERROR(MAX(0,求节点(武将进阶!H$4:H$8,武将进阶!$C$5:$C$9,Y226)),"")</f>
        <v>5</v>
      </c>
      <c r="U226" s="56" t="str">
        <f>IF(F226="","",MIN($D226*2,武将进阶!D$10))</f>
        <v/>
      </c>
      <c r="V226" s="56" t="str">
        <f>IF(G226="","",MIN($D226*2,武将进阶!E$10))</f>
        <v/>
      </c>
      <c r="W226" s="56" t="str">
        <f>IF(H226="","",MIN($D226*2,武将进阶!F$10))</f>
        <v/>
      </c>
      <c r="X226" s="56" t="str">
        <f>IF(I226="","",MIN($D226*2,武将进阶!G$10))</f>
        <v/>
      </c>
      <c r="Y226" s="56">
        <f>IF(J226="","",MIN($D226*2,武将进阶!H$10))</f>
        <v>258.87057928352647</v>
      </c>
      <c r="Z226" s="111"/>
      <c r="AA226" s="111"/>
      <c r="AB226" s="111" t="str">
        <f t="shared" si="205"/>
        <v/>
      </c>
      <c r="AC226" s="111" t="str">
        <f t="shared" si="206"/>
        <v/>
      </c>
      <c r="AD226" s="111">
        <f t="shared" si="207"/>
        <v>2</v>
      </c>
      <c r="AE226" s="112"/>
      <c r="AF226" s="56"/>
      <c r="AG226" s="56"/>
      <c r="AH226" s="56"/>
      <c r="AI226" s="112">
        <f>MIN(求节点(武将天赋进度验证!$Q$5:$Q$164,武将天赋进度验证!$AA$5:$AA$164,$D226),武将天赋进度验证!AL216)</f>
        <v>1</v>
      </c>
      <c r="AJ226" s="56"/>
      <c r="AK226" s="56"/>
      <c r="AL226" s="56"/>
      <c r="AM226" s="56"/>
      <c r="AN226" s="56"/>
      <c r="AT226" s="56">
        <f t="shared" si="208"/>
        <v>156.38519999999994</v>
      </c>
      <c r="AU226" s="56">
        <f t="shared" ref="AU226:AY226" si="212">IF(AU181="",0,AU181)</f>
        <v>0</v>
      </c>
      <c r="AV226" s="56">
        <f t="shared" si="212"/>
        <v>0</v>
      </c>
      <c r="AW226" s="56">
        <f t="shared" si="212"/>
        <v>2</v>
      </c>
      <c r="AX226" s="56">
        <f t="shared" si="212"/>
        <v>2</v>
      </c>
      <c r="AY226" s="56">
        <f t="shared" si="212"/>
        <v>2</v>
      </c>
    </row>
    <row r="227" spans="1:51" x14ac:dyDescent="0.15">
      <c r="A227" s="82">
        <f t="shared" si="169"/>
        <v>34</v>
      </c>
      <c r="C227" s="56">
        <f t="shared" si="204"/>
        <v>2601.5</v>
      </c>
      <c r="D227" s="56">
        <f>求节点(节奏总纲!$T$4:$T$163,节奏总纲!$O$4:$O$163,$C227)</f>
        <v>133.03192104200832</v>
      </c>
      <c r="F227" s="56"/>
      <c r="G227" s="56"/>
      <c r="H227" s="56"/>
      <c r="I227" s="56"/>
      <c r="J227" s="56">
        <v>6</v>
      </c>
      <c r="K227" s="56"/>
      <c r="L227" s="56"/>
      <c r="M227" s="56"/>
      <c r="N227" s="56"/>
      <c r="O227" s="56">
        <f>求节点(武将升星!H$104:H$112,武将升星!$C$104:$C$112,武将数量星级阶位验证!BM217/J227)</f>
        <v>8</v>
      </c>
      <c r="P227" s="110"/>
      <c r="Q227" s="110"/>
      <c r="R227" s="56" t="str">
        <f>IFERROR(MAX(0,求节点(武将进阶!F$4:F$8,武将进阶!$C$5:$C$9,W227)),"")</f>
        <v/>
      </c>
      <c r="S227" s="56" t="str">
        <f>IFERROR(MAX(0,求节点(武将进阶!G$4:G$8,武将进阶!$C$5:$C$9,X227)),"")</f>
        <v/>
      </c>
      <c r="T227" s="56">
        <f>IFERROR(MAX(0,求节点(武将进阶!H$4:H$8,武将进阶!$C$5:$C$9,Y227)),"")</f>
        <v>5</v>
      </c>
      <c r="U227" s="56" t="str">
        <f>IF(F227="","",MIN($D227*2,武将进阶!D$10))</f>
        <v/>
      </c>
      <c r="V227" s="56" t="str">
        <f>IF(G227="","",MIN($D227*2,武将进阶!E$10))</f>
        <v/>
      </c>
      <c r="W227" s="56" t="str">
        <f>IF(H227="","",MIN($D227*2,武将进阶!F$10))</f>
        <v/>
      </c>
      <c r="X227" s="56" t="str">
        <f>IF(I227="","",MIN($D227*2,武将进阶!G$10))</f>
        <v/>
      </c>
      <c r="Y227" s="56">
        <f>IF(J227="","",MIN($D227*2,武将进阶!H$10))</f>
        <v>266.06384208401664</v>
      </c>
      <c r="Z227" s="111"/>
      <c r="AA227" s="111"/>
      <c r="AB227" s="111" t="str">
        <f t="shared" si="205"/>
        <v/>
      </c>
      <c r="AC227" s="111" t="str">
        <f t="shared" si="206"/>
        <v/>
      </c>
      <c r="AD227" s="111">
        <f t="shared" si="207"/>
        <v>2</v>
      </c>
      <c r="AE227" s="112"/>
      <c r="AF227" s="56"/>
      <c r="AG227" s="56"/>
      <c r="AH227" s="56"/>
      <c r="AI227" s="112">
        <f>MIN(求节点(武将天赋进度验证!$Q$5:$Q$164,武将天赋进度验证!$AA$5:$AA$164,$D227),武将天赋进度验证!AL217)</f>
        <v>1</v>
      </c>
      <c r="AJ227" s="56"/>
      <c r="AK227" s="56"/>
      <c r="AL227" s="56"/>
      <c r="AM227" s="56"/>
      <c r="AN227" s="56"/>
      <c r="AT227" s="56">
        <f t="shared" si="208"/>
        <v>162.90124999999998</v>
      </c>
      <c r="AU227" s="56">
        <f t="shared" ref="AU227:AY227" si="213">IF(AU182="",0,AU182)</f>
        <v>0</v>
      </c>
      <c r="AV227" s="56">
        <f t="shared" si="213"/>
        <v>0</v>
      </c>
      <c r="AW227" s="56">
        <f t="shared" si="213"/>
        <v>2</v>
      </c>
      <c r="AX227" s="56">
        <f t="shared" si="213"/>
        <v>2</v>
      </c>
      <c r="AY227" s="56">
        <f t="shared" si="213"/>
        <v>2</v>
      </c>
    </row>
    <row r="228" spans="1:51" x14ac:dyDescent="0.15">
      <c r="A228" s="82">
        <f t="shared" si="169"/>
        <v>35</v>
      </c>
      <c r="C228" s="56">
        <f t="shared" si="204"/>
        <v>3311.0000000000005</v>
      </c>
      <c r="D228" s="56">
        <f>求节点(节奏总纲!$T$4:$T$163,节奏总纲!$O$4:$O$163,$C228)</f>
        <v>136.45508882162355</v>
      </c>
      <c r="F228" s="56"/>
      <c r="G228" s="56"/>
      <c r="H228" s="56"/>
      <c r="I228" s="56"/>
      <c r="J228" s="56">
        <v>6</v>
      </c>
      <c r="K228" s="56"/>
      <c r="L228" s="56"/>
      <c r="M228" s="56"/>
      <c r="N228" s="56"/>
      <c r="O228" s="56">
        <f>求节点(武将升星!H$104:H$112,武将升星!$C$104:$C$112,武将数量星级阶位验证!BM218/J228)</f>
        <v>8</v>
      </c>
      <c r="P228" s="110"/>
      <c r="Q228" s="110"/>
      <c r="R228" s="56" t="str">
        <f>IFERROR(MAX(0,求节点(武将进阶!F$4:F$8,武将进阶!$C$5:$C$9,W228)),"")</f>
        <v/>
      </c>
      <c r="S228" s="56" t="str">
        <f>IFERROR(MAX(0,求节点(武将进阶!G$4:G$8,武将进阶!$C$5:$C$9,X228)),"")</f>
        <v/>
      </c>
      <c r="T228" s="56">
        <f>IFERROR(MAX(0,求节点(武将进阶!H$4:H$8,武将进阶!$C$5:$C$9,Y228)),"")</f>
        <v>5</v>
      </c>
      <c r="U228" s="56" t="str">
        <f>IF(F228="","",MIN($D228*2,武将进阶!D$10))</f>
        <v/>
      </c>
      <c r="V228" s="56" t="str">
        <f>IF(G228="","",MIN($D228*2,武将进阶!E$10))</f>
        <v/>
      </c>
      <c r="W228" s="56" t="str">
        <f>IF(H228="","",MIN($D228*2,武将进阶!F$10))</f>
        <v/>
      </c>
      <c r="X228" s="56" t="str">
        <f>IF(I228="","",MIN($D228*2,武将进阶!G$10))</f>
        <v/>
      </c>
      <c r="Y228" s="56">
        <f>IF(J228="","",MIN($D228*2,武将进阶!H$10))</f>
        <v>272.9101776432471</v>
      </c>
      <c r="Z228" s="111"/>
      <c r="AA228" s="111"/>
      <c r="AB228" s="111" t="str">
        <f t="shared" si="205"/>
        <v/>
      </c>
      <c r="AC228" s="111" t="str">
        <f t="shared" si="206"/>
        <v/>
      </c>
      <c r="AD228" s="111">
        <f t="shared" si="207"/>
        <v>2</v>
      </c>
      <c r="AE228" s="112"/>
      <c r="AF228" s="56"/>
      <c r="AG228" s="56"/>
      <c r="AH228" s="56"/>
      <c r="AI228" s="112">
        <f>MIN(求节点(武将天赋进度验证!$Q$5:$Q$164,武将天赋进度验证!$AA$5:$AA$164,$D228),武将天赋进度验证!AL218)</f>
        <v>1</v>
      </c>
      <c r="AJ228" s="56"/>
      <c r="AK228" s="56"/>
      <c r="AL228" s="56"/>
      <c r="AM228" s="56"/>
      <c r="AN228" s="56"/>
      <c r="AT228" s="56">
        <f t="shared" si="208"/>
        <v>169.41729999999998</v>
      </c>
      <c r="AU228" s="56">
        <f t="shared" ref="AU228:AY228" si="214">IF(AU183="",0,AU183)</f>
        <v>0</v>
      </c>
      <c r="AV228" s="56">
        <f t="shared" si="214"/>
        <v>0</v>
      </c>
      <c r="AW228" s="56">
        <f t="shared" si="214"/>
        <v>2</v>
      </c>
      <c r="AX228" s="56">
        <f t="shared" si="214"/>
        <v>2</v>
      </c>
      <c r="AY228" s="56">
        <f t="shared" si="214"/>
        <v>2</v>
      </c>
    </row>
    <row r="229" spans="1:51" x14ac:dyDescent="0.15">
      <c r="A229" s="82">
        <f t="shared" si="169"/>
        <v>36</v>
      </c>
      <c r="C229" s="56">
        <f t="shared" si="204"/>
        <v>4218.5</v>
      </c>
      <c r="D229" s="56">
        <f>求节点(节奏总纲!$T$4:$T$163,节奏总纲!$O$4:$O$163,$C229)</f>
        <v>140.08772492574531</v>
      </c>
      <c r="F229" s="56"/>
      <c r="G229" s="56"/>
      <c r="H229" s="56"/>
      <c r="I229" s="56"/>
      <c r="J229" s="56">
        <v>6</v>
      </c>
      <c r="K229" s="56"/>
      <c r="L229" s="56"/>
      <c r="M229" s="56"/>
      <c r="N229" s="56"/>
      <c r="O229" s="56">
        <f>求节点(武将升星!H$104:H$112,武将升星!$C$104:$C$112,武将数量星级阶位验证!BM219/J229)</f>
        <v>8</v>
      </c>
      <c r="P229" s="110"/>
      <c r="Q229" s="110"/>
      <c r="R229" s="56" t="str">
        <f>IFERROR(MAX(0,求节点(武将进阶!F$4:F$8,武将进阶!$C$5:$C$9,W229)),"")</f>
        <v/>
      </c>
      <c r="S229" s="56" t="str">
        <f>IFERROR(MAX(0,求节点(武将进阶!G$4:G$8,武将进阶!$C$5:$C$9,X229)),"")</f>
        <v/>
      </c>
      <c r="T229" s="56">
        <f>IFERROR(MAX(0,求节点(武将进阶!H$4:H$8,武将进阶!$C$5:$C$9,Y229)),"")</f>
        <v>5</v>
      </c>
      <c r="U229" s="56" t="str">
        <f>IF(F229="","",MIN($D229*2,武将进阶!D$10))</f>
        <v/>
      </c>
      <c r="V229" s="56" t="str">
        <f>IF(G229="","",MIN($D229*2,武将进阶!E$10))</f>
        <v/>
      </c>
      <c r="W229" s="56" t="str">
        <f>IF(H229="","",MIN($D229*2,武将进阶!F$10))</f>
        <v/>
      </c>
      <c r="X229" s="56" t="str">
        <f>IF(I229="","",MIN($D229*2,武将进阶!G$10))</f>
        <v/>
      </c>
      <c r="Y229" s="56">
        <f>IF(J229="","",MIN($D229*2,武将进阶!H$10))</f>
        <v>280.17544985149061</v>
      </c>
      <c r="Z229" s="111"/>
      <c r="AA229" s="111"/>
      <c r="AB229" s="111" t="str">
        <f t="shared" si="205"/>
        <v/>
      </c>
      <c r="AC229" s="111" t="str">
        <f t="shared" si="206"/>
        <v/>
      </c>
      <c r="AD229" s="111">
        <f t="shared" si="207"/>
        <v>2</v>
      </c>
      <c r="AE229" s="112"/>
      <c r="AF229" s="56"/>
      <c r="AG229" s="56"/>
      <c r="AH229" s="56"/>
      <c r="AI229" s="112">
        <f>MIN(求节点(武将天赋进度验证!$Q$5:$Q$164,武将天赋进度验证!$AA$5:$AA$164,$D229),武将天赋进度验证!AL219)</f>
        <v>1</v>
      </c>
      <c r="AJ229" s="56"/>
      <c r="AK229" s="56"/>
      <c r="AL229" s="56"/>
      <c r="AM229" s="56"/>
      <c r="AN229" s="56"/>
      <c r="AT229" s="56">
        <f t="shared" si="208"/>
        <v>175.93334999999996</v>
      </c>
      <c r="AU229" s="56">
        <f t="shared" ref="AU229:AY229" si="215">IF(AU184="",0,AU184)</f>
        <v>0</v>
      </c>
      <c r="AV229" s="56">
        <f t="shared" si="215"/>
        <v>0</v>
      </c>
      <c r="AW229" s="56">
        <f t="shared" si="215"/>
        <v>2</v>
      </c>
      <c r="AX229" s="56">
        <f t="shared" si="215"/>
        <v>2</v>
      </c>
      <c r="AY229" s="56">
        <f t="shared" si="215"/>
        <v>2</v>
      </c>
    </row>
    <row r="230" spans="1:51" x14ac:dyDescent="0.15">
      <c r="A230" s="82">
        <f t="shared" si="169"/>
        <v>37</v>
      </c>
      <c r="C230" s="56">
        <f t="shared" si="204"/>
        <v>5373.5</v>
      </c>
      <c r="D230" s="56">
        <f>求节点(节奏总纲!$T$4:$T$163,节奏总纲!$O$4:$O$163,$C230)</f>
        <v>143.51956656528549</v>
      </c>
      <c r="F230" s="56"/>
      <c r="G230" s="56"/>
      <c r="H230" s="56"/>
      <c r="I230" s="56"/>
      <c r="J230" s="56">
        <v>6</v>
      </c>
      <c r="K230" s="56"/>
      <c r="L230" s="56"/>
      <c r="M230" s="56"/>
      <c r="N230" s="56"/>
      <c r="O230" s="56">
        <f>求节点(武将升星!H$104:H$112,武将升星!$C$104:$C$112,武将数量星级阶位验证!BM220/J230)</f>
        <v>8</v>
      </c>
      <c r="P230" s="110"/>
      <c r="Q230" s="110"/>
      <c r="R230" s="56" t="str">
        <f>IFERROR(MAX(0,求节点(武将进阶!F$4:F$8,武将进阶!$C$5:$C$9,W230)),"")</f>
        <v/>
      </c>
      <c r="S230" s="56" t="str">
        <f>IFERROR(MAX(0,求节点(武将进阶!G$4:G$8,武将进阶!$C$5:$C$9,X230)),"")</f>
        <v/>
      </c>
      <c r="T230" s="56">
        <f>IFERROR(MAX(0,求节点(武将进阶!H$4:H$8,武将进阶!$C$5:$C$9,Y230)),"")</f>
        <v>5</v>
      </c>
      <c r="U230" s="56" t="str">
        <f>IF(F230="","",MIN($D230*2,武将进阶!D$10))</f>
        <v/>
      </c>
      <c r="V230" s="56" t="str">
        <f>IF(G230="","",MIN($D230*2,武将进阶!E$10))</f>
        <v/>
      </c>
      <c r="W230" s="56" t="str">
        <f>IF(H230="","",MIN($D230*2,武将进阶!F$10))</f>
        <v/>
      </c>
      <c r="X230" s="56" t="str">
        <f>IF(I230="","",MIN($D230*2,武将进阶!G$10))</f>
        <v/>
      </c>
      <c r="Y230" s="56">
        <f>IF(J230="","",MIN($D230*2,武将进阶!H$10))</f>
        <v>287.03913313057097</v>
      </c>
      <c r="Z230" s="111"/>
      <c r="AA230" s="111"/>
      <c r="AB230" s="111" t="str">
        <f t="shared" si="205"/>
        <v/>
      </c>
      <c r="AC230" s="111" t="str">
        <f t="shared" si="206"/>
        <v/>
      </c>
      <c r="AD230" s="111">
        <f t="shared" si="207"/>
        <v>2</v>
      </c>
      <c r="AE230" s="112"/>
      <c r="AF230" s="56"/>
      <c r="AG230" s="56"/>
      <c r="AH230" s="56"/>
      <c r="AI230" s="112">
        <f>MIN(求节点(武将天赋进度验证!$Q$5:$Q$164,武将天赋进度验证!$AA$5:$AA$164,$D230),武将天赋进度验证!AL220)</f>
        <v>1</v>
      </c>
      <c r="AJ230" s="56"/>
      <c r="AK230" s="56"/>
      <c r="AL230" s="56"/>
      <c r="AM230" s="56"/>
      <c r="AN230" s="56"/>
      <c r="AT230" s="56">
        <f t="shared" si="208"/>
        <v>182.44939999999997</v>
      </c>
      <c r="AU230" s="56">
        <f t="shared" ref="AU230:AY230" si="216">IF(AU185="",0,AU185)</f>
        <v>0</v>
      </c>
      <c r="AV230" s="56">
        <f t="shared" si="216"/>
        <v>0</v>
      </c>
      <c r="AW230" s="56">
        <f t="shared" si="216"/>
        <v>2</v>
      </c>
      <c r="AX230" s="56">
        <f t="shared" si="216"/>
        <v>2</v>
      </c>
      <c r="AY230" s="56">
        <f t="shared" si="216"/>
        <v>2</v>
      </c>
    </row>
    <row r="231" spans="1:51" x14ac:dyDescent="0.15">
      <c r="A231" s="82">
        <f t="shared" si="169"/>
        <v>38</v>
      </c>
      <c r="C231" s="56">
        <f t="shared" si="204"/>
        <v>6842.0000000000009</v>
      </c>
      <c r="D231" s="56">
        <f>求节点(节奏总纲!$T$4:$T$163,节奏总纲!$O$4:$O$163,$C231)</f>
        <v>147.17868266109423</v>
      </c>
      <c r="F231" s="56"/>
      <c r="G231" s="56"/>
      <c r="H231" s="56"/>
      <c r="I231" s="56"/>
      <c r="J231" s="56">
        <v>6</v>
      </c>
      <c r="K231" s="56"/>
      <c r="L231" s="56"/>
      <c r="M231" s="56"/>
      <c r="N231" s="56"/>
      <c r="O231" s="56">
        <f>求节点(武将升星!H$104:H$112,武将升星!$C$104:$C$112,武将数量星级阶位验证!BM221/J231)</f>
        <v>8</v>
      </c>
      <c r="P231" s="110"/>
      <c r="Q231" s="110"/>
      <c r="R231" s="56" t="str">
        <f>IFERROR(MAX(0,求节点(武将进阶!F$4:F$8,武将进阶!$C$5:$C$9,W231)),"")</f>
        <v/>
      </c>
      <c r="S231" s="56" t="str">
        <f>IFERROR(MAX(0,求节点(武将进阶!G$4:G$8,武将进阶!$C$5:$C$9,X231)),"")</f>
        <v/>
      </c>
      <c r="T231" s="56">
        <f>IFERROR(MAX(0,求节点(武将进阶!H$4:H$8,武将进阶!$C$5:$C$9,Y231)),"")</f>
        <v>5</v>
      </c>
      <c r="U231" s="56" t="str">
        <f>IF(F231="","",MIN($D231*2,武将进阶!D$10))</f>
        <v/>
      </c>
      <c r="V231" s="56" t="str">
        <f>IF(G231="","",MIN($D231*2,武将进阶!E$10))</f>
        <v/>
      </c>
      <c r="W231" s="56" t="str">
        <f>IF(H231="","",MIN($D231*2,武将进阶!F$10))</f>
        <v/>
      </c>
      <c r="X231" s="56" t="str">
        <f>IF(I231="","",MIN($D231*2,武将进阶!G$10))</f>
        <v/>
      </c>
      <c r="Y231" s="56">
        <f>IF(J231="","",MIN($D231*2,武将进阶!H$10))</f>
        <v>294.35736532218846</v>
      </c>
      <c r="Z231" s="111"/>
      <c r="AA231" s="111"/>
      <c r="AB231" s="111" t="str">
        <f t="shared" si="205"/>
        <v/>
      </c>
      <c r="AC231" s="111" t="str">
        <f t="shared" si="206"/>
        <v/>
      </c>
      <c r="AD231" s="111">
        <f t="shared" si="207"/>
        <v>2</v>
      </c>
      <c r="AE231" s="112"/>
      <c r="AF231" s="56"/>
      <c r="AG231" s="56"/>
      <c r="AH231" s="56"/>
      <c r="AI231" s="112">
        <f>MIN(求节点(武将天赋进度验证!$Q$5:$Q$164,武将天赋进度验证!$AA$5:$AA$164,$D231),武将天赋进度验证!AL221)</f>
        <v>1</v>
      </c>
      <c r="AJ231" s="56"/>
      <c r="AK231" s="56"/>
      <c r="AL231" s="56"/>
      <c r="AM231" s="56"/>
      <c r="AN231" s="56"/>
      <c r="AT231" s="56">
        <f t="shared" si="208"/>
        <v>188.96544999999998</v>
      </c>
      <c r="AU231" s="56">
        <f t="shared" ref="AU231:AY231" si="217">IF(AU186="",0,AU186)</f>
        <v>0</v>
      </c>
      <c r="AV231" s="56">
        <f t="shared" si="217"/>
        <v>0</v>
      </c>
      <c r="AW231" s="56">
        <f t="shared" si="217"/>
        <v>2</v>
      </c>
      <c r="AX231" s="56">
        <f t="shared" si="217"/>
        <v>2</v>
      </c>
      <c r="AY231" s="56">
        <f t="shared" si="217"/>
        <v>2</v>
      </c>
    </row>
    <row r="232" spans="1:51" x14ac:dyDescent="0.15">
      <c r="A232" s="82">
        <f t="shared" si="169"/>
        <v>39</v>
      </c>
      <c r="C232" s="56">
        <f t="shared" si="204"/>
        <v>8723</v>
      </c>
      <c r="D232" s="56">
        <f>求节点(节奏总纲!$T$4:$T$163,节奏总纲!$O$4:$O$163,$C232)</f>
        <v>150.49637054967232</v>
      </c>
      <c r="F232" s="56"/>
      <c r="G232" s="56"/>
      <c r="H232" s="56"/>
      <c r="I232" s="56"/>
      <c r="J232" s="56">
        <v>6</v>
      </c>
      <c r="K232" s="56"/>
      <c r="L232" s="56"/>
      <c r="M232" s="56"/>
      <c r="N232" s="56"/>
      <c r="O232" s="56">
        <f>求节点(武将升星!H$104:H$112,武将升星!$C$104:$C$112,武将数量星级阶位验证!BM222/J232)</f>
        <v>8</v>
      </c>
      <c r="P232" s="110"/>
      <c r="Q232" s="110"/>
      <c r="R232" s="56" t="str">
        <f>IFERROR(MAX(0,求节点(武将进阶!F$4:F$8,武将进阶!$C$5:$C$9,W232)),"")</f>
        <v/>
      </c>
      <c r="S232" s="56" t="str">
        <f>IFERROR(MAX(0,求节点(武将进阶!G$4:G$8,武将进阶!$C$5:$C$9,X232)),"")</f>
        <v/>
      </c>
      <c r="T232" s="56">
        <f>IFERROR(MAX(0,求节点(武将进阶!H$4:H$8,武将进阶!$C$5:$C$9,Y232)),"")</f>
        <v>5</v>
      </c>
      <c r="U232" s="56" t="str">
        <f>IF(F232="","",MIN($D232*2,武将进阶!D$10))</f>
        <v/>
      </c>
      <c r="V232" s="56" t="str">
        <f>IF(G232="","",MIN($D232*2,武将进阶!E$10))</f>
        <v/>
      </c>
      <c r="W232" s="56" t="str">
        <f>IF(H232="","",MIN($D232*2,武将进阶!F$10))</f>
        <v/>
      </c>
      <c r="X232" s="56" t="str">
        <f>IF(I232="","",MIN($D232*2,武将进阶!G$10))</f>
        <v/>
      </c>
      <c r="Y232" s="56">
        <f>IF(J232="","",MIN($D232*2,武将进阶!H$10))</f>
        <v>300</v>
      </c>
      <c r="Z232" s="111"/>
      <c r="AA232" s="111"/>
      <c r="AB232" s="111" t="str">
        <f t="shared" si="205"/>
        <v/>
      </c>
      <c r="AC232" s="111" t="str">
        <f t="shared" si="206"/>
        <v/>
      </c>
      <c r="AD232" s="111">
        <f t="shared" si="207"/>
        <v>2</v>
      </c>
      <c r="AE232" s="112"/>
      <c r="AF232" s="56"/>
      <c r="AG232" s="56"/>
      <c r="AH232" s="56"/>
      <c r="AI232" s="112">
        <f>MIN(求节点(武将天赋进度验证!$Q$5:$Q$164,武将天赋进度验证!$AA$5:$AA$164,$D232),武将天赋进度验证!AL222)</f>
        <v>1</v>
      </c>
      <c r="AJ232" s="56"/>
      <c r="AK232" s="56"/>
      <c r="AL232" s="56"/>
      <c r="AM232" s="56"/>
      <c r="AN232" s="56"/>
      <c r="AT232" s="56">
        <f t="shared" si="208"/>
        <v>195.48149999999998</v>
      </c>
      <c r="AU232" s="56">
        <f t="shared" ref="AU232:AY232" si="218">IF(AU187="",0,AU187)</f>
        <v>0</v>
      </c>
      <c r="AV232" s="56">
        <f t="shared" si="218"/>
        <v>0</v>
      </c>
      <c r="AW232" s="56">
        <f t="shared" si="218"/>
        <v>2</v>
      </c>
      <c r="AX232" s="56">
        <f t="shared" si="218"/>
        <v>2</v>
      </c>
      <c r="AY232" s="56">
        <f t="shared" si="218"/>
        <v>2</v>
      </c>
    </row>
    <row r="233" spans="1:51" x14ac:dyDescent="0.15">
      <c r="A233" s="82">
        <f t="shared" si="169"/>
        <v>40</v>
      </c>
      <c r="C233" s="56">
        <f t="shared" si="204"/>
        <v>11115.5</v>
      </c>
      <c r="D233" s="56">
        <f>求节点(节奏总纲!$T$4:$T$163,节奏总纲!$O$4:$O$163,$C233)</f>
        <v>151.40240982411487</v>
      </c>
      <c r="F233" s="56"/>
      <c r="G233" s="56"/>
      <c r="H233" s="56"/>
      <c r="I233" s="56"/>
      <c r="J233" s="56">
        <v>6</v>
      </c>
      <c r="K233" s="56"/>
      <c r="L233" s="56"/>
      <c r="M233" s="56"/>
      <c r="N233" s="56"/>
      <c r="O233" s="56">
        <f>求节点(武将升星!H$104:H$112,武将升星!$C$104:$C$112,武将数量星级阶位验证!BM223/J233)</f>
        <v>8</v>
      </c>
      <c r="P233" s="110"/>
      <c r="Q233" s="110"/>
      <c r="R233" s="56" t="str">
        <f>IFERROR(MAX(0,求节点(武将进阶!F$4:F$8,武将进阶!$C$5:$C$9,W233)),"")</f>
        <v/>
      </c>
      <c r="S233" s="56" t="str">
        <f>IFERROR(MAX(0,求节点(武将进阶!G$4:G$8,武将进阶!$C$5:$C$9,X233)),"")</f>
        <v/>
      </c>
      <c r="T233" s="56">
        <f>IFERROR(MAX(0,求节点(武将进阶!H$4:H$8,武将进阶!$C$5:$C$9,Y233)),"")</f>
        <v>5</v>
      </c>
      <c r="U233" s="56" t="str">
        <f>IF(F233="","",MIN($D233*2,武将进阶!D$10))</f>
        <v/>
      </c>
      <c r="V233" s="56" t="str">
        <f>IF(G233="","",MIN($D233*2,武将进阶!E$10))</f>
        <v/>
      </c>
      <c r="W233" s="56" t="str">
        <f>IF(H233="","",MIN($D233*2,武将进阶!F$10))</f>
        <v/>
      </c>
      <c r="X233" s="56" t="str">
        <f>IF(I233="","",MIN($D233*2,武将进阶!G$10))</f>
        <v/>
      </c>
      <c r="Y233" s="56">
        <f>IF(J233="","",MIN($D233*2,武将进阶!H$10))</f>
        <v>300</v>
      </c>
      <c r="Z233" s="111"/>
      <c r="AA233" s="111"/>
      <c r="AB233" s="111" t="str">
        <f t="shared" si="205"/>
        <v/>
      </c>
      <c r="AC233" s="111" t="str">
        <f t="shared" si="206"/>
        <v/>
      </c>
      <c r="AD233" s="111">
        <f t="shared" si="207"/>
        <v>2</v>
      </c>
      <c r="AE233" s="112"/>
      <c r="AF233" s="56"/>
      <c r="AG233" s="56"/>
      <c r="AH233" s="56"/>
      <c r="AI233" s="112">
        <f>MIN(求节点(武将天赋进度验证!$Q$5:$Q$164,武将天赋进度验证!$AA$5:$AA$164,$D233),武将天赋进度验证!AL223)</f>
        <v>1</v>
      </c>
      <c r="AJ233" s="56"/>
      <c r="AK233" s="56"/>
      <c r="AL233" s="56"/>
      <c r="AM233" s="56"/>
      <c r="AN233" s="56"/>
      <c r="AT233" s="56">
        <f t="shared" si="208"/>
        <v>201.99754999999999</v>
      </c>
      <c r="AU233" s="56">
        <f t="shared" ref="AU233:AY233" si="219">IF(AU188="",0,AU188)</f>
        <v>0</v>
      </c>
      <c r="AV233" s="56">
        <f t="shared" si="219"/>
        <v>0</v>
      </c>
      <c r="AW233" s="56">
        <f t="shared" si="219"/>
        <v>2</v>
      </c>
      <c r="AX233" s="56">
        <f t="shared" si="219"/>
        <v>2</v>
      </c>
      <c r="AY233" s="56">
        <f t="shared" si="219"/>
        <v>2</v>
      </c>
    </row>
    <row r="234" spans="1:51" x14ac:dyDescent="0.15">
      <c r="A234" s="82">
        <f t="shared" si="169"/>
        <v>41</v>
      </c>
      <c r="C234" s="56">
        <f t="shared" si="204"/>
        <v>14168.000000000002</v>
      </c>
      <c r="D234" s="56">
        <f>求节点(节奏总纲!$T$4:$T$163,节奏总纲!$O$4:$O$163,$C234)</f>
        <v>152.00526961196863</v>
      </c>
      <c r="F234" s="56"/>
      <c r="G234" s="56"/>
      <c r="H234" s="56"/>
      <c r="I234" s="56"/>
      <c r="J234" s="56">
        <v>6</v>
      </c>
      <c r="K234" s="56"/>
      <c r="L234" s="56"/>
      <c r="M234" s="56"/>
      <c r="N234" s="56"/>
      <c r="O234" s="56">
        <f>求节点(武将升星!H$104:H$112,武将升星!$C$104:$C$112,武将数量星级阶位验证!BM224/J234)</f>
        <v>8</v>
      </c>
      <c r="P234" s="110"/>
      <c r="Q234" s="110"/>
      <c r="R234" s="56" t="str">
        <f>IFERROR(MAX(0,求节点(武将进阶!F$4:F$8,武将进阶!$C$5:$C$9,W234)),"")</f>
        <v/>
      </c>
      <c r="S234" s="56" t="str">
        <f>IFERROR(MAX(0,求节点(武将进阶!G$4:G$8,武将进阶!$C$5:$C$9,X234)),"")</f>
        <v/>
      </c>
      <c r="T234" s="56">
        <f>IFERROR(MAX(0,求节点(武将进阶!H$4:H$8,武将进阶!$C$5:$C$9,Y234)),"")</f>
        <v>5</v>
      </c>
      <c r="U234" s="56" t="str">
        <f>IF(F234="","",MIN($D234*2,武将进阶!D$10))</f>
        <v/>
      </c>
      <c r="V234" s="56" t="str">
        <f>IF(G234="","",MIN($D234*2,武将进阶!E$10))</f>
        <v/>
      </c>
      <c r="W234" s="56" t="str">
        <f>IF(H234="","",MIN($D234*2,武将进阶!F$10))</f>
        <v/>
      </c>
      <c r="X234" s="56" t="str">
        <f>IF(I234="","",MIN($D234*2,武将进阶!G$10))</f>
        <v/>
      </c>
      <c r="Y234" s="56">
        <f>IF(J234="","",MIN($D234*2,武将进阶!H$10))</f>
        <v>300</v>
      </c>
      <c r="Z234" s="111"/>
      <c r="AA234" s="111"/>
      <c r="AB234" s="111" t="str">
        <f t="shared" si="205"/>
        <v/>
      </c>
      <c r="AC234" s="111" t="str">
        <f t="shared" si="206"/>
        <v/>
      </c>
      <c r="AD234" s="111">
        <f t="shared" si="207"/>
        <v>2</v>
      </c>
      <c r="AE234" s="112"/>
      <c r="AF234" s="56"/>
      <c r="AG234" s="56"/>
      <c r="AH234" s="56"/>
      <c r="AI234" s="112">
        <f>MIN(求节点(武将天赋进度验证!$Q$5:$Q$164,武将天赋进度验证!$AA$5:$AA$164,$D234),武将天赋进度验证!AL224)</f>
        <v>1</v>
      </c>
      <c r="AJ234" s="56"/>
      <c r="AK234" s="56"/>
      <c r="AL234" s="56"/>
      <c r="AM234" s="56"/>
      <c r="AN234" s="56"/>
      <c r="AT234" s="56">
        <f t="shared" si="208"/>
        <v>208.51359999999997</v>
      </c>
      <c r="AU234" s="56">
        <f t="shared" ref="AU234:AY234" si="220">IF(AU189="",0,AU189)</f>
        <v>0</v>
      </c>
      <c r="AV234" s="56">
        <f t="shared" si="220"/>
        <v>0</v>
      </c>
      <c r="AW234" s="56">
        <f t="shared" si="220"/>
        <v>2</v>
      </c>
      <c r="AX234" s="56">
        <f t="shared" si="220"/>
        <v>2</v>
      </c>
      <c r="AY234" s="56">
        <f t="shared" si="220"/>
        <v>2</v>
      </c>
    </row>
    <row r="235" spans="1:51" x14ac:dyDescent="0.15">
      <c r="A235" s="82">
        <f t="shared" si="169"/>
        <v>42</v>
      </c>
      <c r="C235" s="56">
        <f t="shared" si="204"/>
        <v>18012.5</v>
      </c>
      <c r="D235" s="56">
        <f>求节点(节奏总纲!$T$4:$T$163,节奏总纲!$O$4:$O$163,$C235)</f>
        <v>152.38629594951036</v>
      </c>
      <c r="F235" s="56"/>
      <c r="G235" s="56"/>
      <c r="H235" s="56"/>
      <c r="I235" s="56"/>
      <c r="J235" s="56">
        <v>6</v>
      </c>
      <c r="K235" s="56"/>
      <c r="L235" s="56"/>
      <c r="M235" s="56"/>
      <c r="N235" s="56"/>
      <c r="O235" s="56">
        <f>求节点(武将升星!H$104:H$112,武将升星!$C$104:$C$112,武将数量星级阶位验证!BM225/J235)</f>
        <v>8</v>
      </c>
      <c r="P235" s="110"/>
      <c r="Q235" s="110"/>
      <c r="R235" s="56" t="str">
        <f>IFERROR(MAX(0,求节点(武将进阶!F$4:F$8,武将进阶!$C$5:$C$9,W235)),"")</f>
        <v/>
      </c>
      <c r="S235" s="56" t="str">
        <f>IFERROR(MAX(0,求节点(武将进阶!G$4:G$8,武将进阶!$C$5:$C$9,X235)),"")</f>
        <v/>
      </c>
      <c r="T235" s="56">
        <f>IFERROR(MAX(0,求节点(武将进阶!H$4:H$8,武将进阶!$C$5:$C$9,Y235)),"")</f>
        <v>5</v>
      </c>
      <c r="U235" s="56" t="str">
        <f>IF(F235="","",MIN($D235*2,武将进阶!D$10))</f>
        <v/>
      </c>
      <c r="V235" s="56" t="str">
        <f>IF(G235="","",MIN($D235*2,武将进阶!E$10))</f>
        <v/>
      </c>
      <c r="W235" s="56" t="str">
        <f>IF(H235="","",MIN($D235*2,武将进阶!F$10))</f>
        <v/>
      </c>
      <c r="X235" s="56" t="str">
        <f>IF(I235="","",MIN($D235*2,武将进阶!G$10))</f>
        <v/>
      </c>
      <c r="Y235" s="56">
        <f>IF(J235="","",MIN($D235*2,武将进阶!H$10))</f>
        <v>300</v>
      </c>
      <c r="Z235" s="111"/>
      <c r="AA235" s="111"/>
      <c r="AB235" s="111" t="str">
        <f t="shared" si="205"/>
        <v/>
      </c>
      <c r="AC235" s="111" t="str">
        <f t="shared" si="206"/>
        <v/>
      </c>
      <c r="AD235" s="111">
        <f t="shared" si="207"/>
        <v>2</v>
      </c>
      <c r="AE235" s="112"/>
      <c r="AF235" s="56"/>
      <c r="AG235" s="56"/>
      <c r="AH235" s="56"/>
      <c r="AI235" s="112">
        <f>MIN(求节点(武将天赋进度验证!$Q$5:$Q$164,武将天赋进度验证!$AA$5:$AA$164,$D235),武将天赋进度验证!AL225)</f>
        <v>1</v>
      </c>
      <c r="AJ235" s="56"/>
      <c r="AK235" s="56"/>
      <c r="AL235" s="56"/>
      <c r="AM235" s="56"/>
      <c r="AN235" s="56"/>
      <c r="AT235" s="56">
        <f t="shared" si="208"/>
        <v>215.02964999999995</v>
      </c>
      <c r="AU235" s="56">
        <f t="shared" ref="AU235:AY235" si="221">IF(AU190="",0,AU190)</f>
        <v>0</v>
      </c>
      <c r="AV235" s="56">
        <f t="shared" si="221"/>
        <v>0</v>
      </c>
      <c r="AW235" s="56">
        <f t="shared" si="221"/>
        <v>2</v>
      </c>
      <c r="AX235" s="56">
        <f t="shared" si="221"/>
        <v>2</v>
      </c>
      <c r="AY235" s="56">
        <f t="shared" si="221"/>
        <v>2</v>
      </c>
    </row>
    <row r="236" spans="1:51" x14ac:dyDescent="0.15">
      <c r="A236" s="82">
        <f t="shared" si="169"/>
        <v>43</v>
      </c>
    </row>
    <row r="237" spans="1:51" x14ac:dyDescent="0.15">
      <c r="A237" s="82">
        <f t="shared" si="169"/>
        <v>44</v>
      </c>
    </row>
    <row r="238" spans="1:51" x14ac:dyDescent="0.15">
      <c r="A238" s="82">
        <f t="shared" si="169"/>
        <v>45</v>
      </c>
    </row>
  </sheetData>
  <mergeCells count="51">
    <mergeCell ref="F149:AN149"/>
    <mergeCell ref="AT150:AY150"/>
    <mergeCell ref="AT195:AY195"/>
    <mergeCell ref="AT60:AY60"/>
    <mergeCell ref="AT105:AY105"/>
    <mergeCell ref="AJ195:AN195"/>
    <mergeCell ref="AT15:AY15"/>
    <mergeCell ref="U15:Y15"/>
    <mergeCell ref="F14:AN14"/>
    <mergeCell ref="F15:J15"/>
    <mergeCell ref="K105:O105"/>
    <mergeCell ref="U105:Y105"/>
    <mergeCell ref="Z15:AD15"/>
    <mergeCell ref="Z60:AD60"/>
    <mergeCell ref="C104:D105"/>
    <mergeCell ref="F104:AN104"/>
    <mergeCell ref="AJ105:AN105"/>
    <mergeCell ref="AE105:AI105"/>
    <mergeCell ref="P105:T105"/>
    <mergeCell ref="F105:J105"/>
    <mergeCell ref="Z105:AD105"/>
    <mergeCell ref="C194:D195"/>
    <mergeCell ref="F194:AN194"/>
    <mergeCell ref="F150:J150"/>
    <mergeCell ref="K150:O150"/>
    <mergeCell ref="U150:Y150"/>
    <mergeCell ref="AJ150:AN150"/>
    <mergeCell ref="C149:D150"/>
    <mergeCell ref="AE150:AI150"/>
    <mergeCell ref="AE195:AI195"/>
    <mergeCell ref="P150:T150"/>
    <mergeCell ref="P195:T195"/>
    <mergeCell ref="F195:J195"/>
    <mergeCell ref="K195:O195"/>
    <mergeCell ref="Z150:AD150"/>
    <mergeCell ref="Z195:AD195"/>
    <mergeCell ref="U195:Y195"/>
    <mergeCell ref="B1:G1"/>
    <mergeCell ref="C59:D60"/>
    <mergeCell ref="F59:AN59"/>
    <mergeCell ref="F60:J60"/>
    <mergeCell ref="K60:O60"/>
    <mergeCell ref="P60:T60"/>
    <mergeCell ref="U60:Y60"/>
    <mergeCell ref="AJ60:AN60"/>
    <mergeCell ref="C14:D15"/>
    <mergeCell ref="AJ15:AN15"/>
    <mergeCell ref="AE15:AI15"/>
    <mergeCell ref="AE60:AI60"/>
    <mergeCell ref="P15:T15"/>
    <mergeCell ref="K15:O15"/>
  </mergeCells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theme="0" tint="-0.499984740745262"/>
  </sheetPr>
  <dimension ref="A1:BC125"/>
  <sheetViews>
    <sheetView workbookViewId="0">
      <selection activeCell="E97" sqref="E97"/>
    </sheetView>
  </sheetViews>
  <sheetFormatPr defaultColWidth="6.625" defaultRowHeight="11.25" x14ac:dyDescent="0.15"/>
  <cols>
    <col min="1" max="15" width="6.625" style="7"/>
    <col min="16" max="43" width="6.625" style="7" customWidth="1"/>
    <col min="44" max="44" width="6.625" style="25" customWidth="1"/>
    <col min="45" max="58" width="6.625" style="7" customWidth="1"/>
    <col min="59" max="16384" width="6.625" style="7"/>
  </cols>
  <sheetData>
    <row r="1" spans="1:55" ht="13.5" customHeight="1" x14ac:dyDescent="0.15">
      <c r="B1" s="159" t="s">
        <v>546</v>
      </c>
      <c r="C1" s="159"/>
      <c r="D1" s="159"/>
      <c r="E1" s="159"/>
      <c r="F1" s="159"/>
      <c r="G1" s="159"/>
      <c r="AR1" s="7"/>
    </row>
    <row r="2" spans="1:55" x14ac:dyDescent="0.15">
      <c r="B2" s="29"/>
      <c r="C2" s="29" t="s">
        <v>183</v>
      </c>
      <c r="D2" s="29" t="s">
        <v>182</v>
      </c>
      <c r="E2" s="29" t="s">
        <v>184</v>
      </c>
      <c r="F2" s="29" t="s">
        <v>185</v>
      </c>
      <c r="G2" s="29" t="s">
        <v>186</v>
      </c>
      <c r="AR2" s="7"/>
    </row>
    <row r="3" spans="1:55" x14ac:dyDescent="0.15">
      <c r="B3" s="29" t="s">
        <v>187</v>
      </c>
      <c r="C3" s="29">
        <v>30</v>
      </c>
      <c r="D3" s="29">
        <v>24</v>
      </c>
      <c r="E3" s="29">
        <v>18</v>
      </c>
      <c r="F3" s="29">
        <v>9</v>
      </c>
      <c r="G3" s="29">
        <v>6</v>
      </c>
      <c r="AR3" s="7"/>
    </row>
    <row r="4" spans="1:55" x14ac:dyDescent="0.15">
      <c r="B4" s="29" t="s">
        <v>188</v>
      </c>
      <c r="C4" s="29">
        <f>C3*1.5</f>
        <v>45</v>
      </c>
      <c r="D4" s="29">
        <f>D3*1.5</f>
        <v>36</v>
      </c>
      <c r="E4" s="29">
        <f>E3*1.5</f>
        <v>27</v>
      </c>
      <c r="F4" s="29">
        <f>F3*1.5</f>
        <v>13.5</v>
      </c>
      <c r="G4" s="29">
        <f>G3*1.5</f>
        <v>9</v>
      </c>
      <c r="AR4" s="7"/>
    </row>
    <row r="5" spans="1:55" x14ac:dyDescent="0.15">
      <c r="AR5" s="7"/>
    </row>
    <row r="6" spans="1:55" x14ac:dyDescent="0.15">
      <c r="B6" s="17"/>
      <c r="C6" s="17"/>
      <c r="D6" s="17"/>
      <c r="E6" s="17"/>
      <c r="F6" s="17"/>
      <c r="G6" s="17"/>
      <c r="AR6" s="7"/>
    </row>
    <row r="7" spans="1:55" x14ac:dyDescent="0.15">
      <c r="B7" s="27" t="s">
        <v>547</v>
      </c>
      <c r="C7" s="17"/>
      <c r="D7" s="17"/>
      <c r="E7" s="17"/>
      <c r="F7" s="17"/>
      <c r="G7" s="17"/>
      <c r="AR7" s="7"/>
    </row>
    <row r="8" spans="1:55" x14ac:dyDescent="0.15">
      <c r="B8" s="27" t="s">
        <v>548</v>
      </c>
      <c r="C8" s="17"/>
      <c r="D8" s="17"/>
      <c r="E8" s="17"/>
      <c r="F8" s="17"/>
      <c r="G8" s="17"/>
      <c r="AR8" s="7"/>
    </row>
    <row r="9" spans="1:55" x14ac:dyDescent="0.15">
      <c r="B9" s="27" t="s">
        <v>249</v>
      </c>
      <c r="C9" s="17"/>
      <c r="D9" s="17"/>
      <c r="E9" s="17"/>
      <c r="F9" s="17"/>
      <c r="G9" s="17"/>
      <c r="AR9" s="7"/>
    </row>
    <row r="10" spans="1:55" s="25" customFormat="1" x14ac:dyDescent="0.15">
      <c r="B10" s="26"/>
      <c r="C10" s="26"/>
      <c r="D10" s="26"/>
      <c r="E10" s="26"/>
      <c r="F10" s="26"/>
      <c r="G10" s="26"/>
    </row>
    <row r="11" spans="1:55" x14ac:dyDescent="0.15">
      <c r="B11" s="7" t="s">
        <v>230</v>
      </c>
    </row>
    <row r="12" spans="1:55" x14ac:dyDescent="0.15">
      <c r="B12" s="17"/>
      <c r="C12" s="17"/>
      <c r="D12" s="17"/>
      <c r="E12" s="17"/>
      <c r="F12" s="17"/>
      <c r="G12" s="17"/>
    </row>
    <row r="14" spans="1:55" ht="13.5" customHeight="1" x14ac:dyDescent="0.15">
      <c r="A14" s="7">
        <v>1</v>
      </c>
      <c r="C14" s="160" t="s">
        <v>169</v>
      </c>
      <c r="D14" s="160"/>
      <c r="E14" s="17"/>
      <c r="F14" s="160" t="s">
        <v>178</v>
      </c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160"/>
      <c r="AA14" s="160"/>
      <c r="AB14" s="160"/>
      <c r="AC14" s="160"/>
      <c r="AD14" s="160"/>
      <c r="AE14" s="160"/>
      <c r="AF14" s="160"/>
      <c r="AG14" s="160"/>
      <c r="AH14" s="160"/>
      <c r="AI14" s="160"/>
      <c r="AJ14" s="160"/>
      <c r="AK14" s="160"/>
      <c r="AL14" s="160"/>
      <c r="AM14" s="160"/>
      <c r="AN14" s="160"/>
      <c r="AO14" s="17"/>
      <c r="AP14" s="17"/>
      <c r="AQ14" s="17"/>
      <c r="AT14" s="159" t="s">
        <v>263</v>
      </c>
      <c r="AU14" s="159"/>
      <c r="AV14" s="159"/>
      <c r="AW14" s="159"/>
      <c r="AX14" s="159"/>
      <c r="AY14" s="159" t="s">
        <v>263</v>
      </c>
      <c r="AZ14" s="159"/>
      <c r="BA14" s="159"/>
      <c r="BB14" s="159"/>
      <c r="BC14" s="159"/>
    </row>
    <row r="15" spans="1:55" x14ac:dyDescent="0.15">
      <c r="A15" s="7">
        <f t="shared" ref="A15:A36" si="0">A14+1</f>
        <v>2</v>
      </c>
      <c r="C15" s="160"/>
      <c r="D15" s="160"/>
      <c r="E15" s="17"/>
      <c r="F15" s="160" t="s">
        <v>821</v>
      </c>
      <c r="G15" s="160"/>
      <c r="H15" s="160"/>
      <c r="I15" s="160"/>
      <c r="J15" s="160"/>
      <c r="K15" s="160" t="s">
        <v>150</v>
      </c>
      <c r="L15" s="160"/>
      <c r="M15" s="160"/>
      <c r="N15" s="160"/>
      <c r="O15" s="160"/>
      <c r="P15" s="160" t="s">
        <v>177</v>
      </c>
      <c r="Q15" s="160"/>
      <c r="R15" s="160"/>
      <c r="S15" s="160"/>
      <c r="T15" s="160"/>
      <c r="U15" s="160" t="s">
        <v>151</v>
      </c>
      <c r="V15" s="160"/>
      <c r="W15" s="160"/>
      <c r="X15" s="160"/>
      <c r="Y15" s="160"/>
      <c r="Z15" s="161" t="s">
        <v>348</v>
      </c>
      <c r="AA15" s="162"/>
      <c r="AB15" s="162"/>
      <c r="AC15" s="162"/>
      <c r="AD15" s="163"/>
      <c r="AE15" s="161"/>
      <c r="AF15" s="162"/>
      <c r="AG15" s="162"/>
      <c r="AH15" s="162"/>
      <c r="AI15" s="163"/>
      <c r="AJ15" s="160"/>
      <c r="AK15" s="160"/>
      <c r="AL15" s="160"/>
      <c r="AM15" s="160"/>
      <c r="AN15" s="160"/>
      <c r="AO15" s="17"/>
      <c r="AP15" s="17"/>
      <c r="AQ15" s="17"/>
      <c r="AT15" s="160" t="s">
        <v>270</v>
      </c>
      <c r="AU15" s="160"/>
      <c r="AV15" s="160"/>
      <c r="AW15" s="160"/>
      <c r="AX15" s="160"/>
      <c r="AY15" s="160" t="s">
        <v>271</v>
      </c>
      <c r="AZ15" s="160"/>
      <c r="BA15" s="160"/>
      <c r="BB15" s="160"/>
      <c r="BC15" s="160"/>
    </row>
    <row r="16" spans="1:55" x14ac:dyDescent="0.15">
      <c r="A16" s="7">
        <f t="shared" si="0"/>
        <v>3</v>
      </c>
      <c r="C16" s="29" t="s">
        <v>170</v>
      </c>
      <c r="D16" s="29" t="s">
        <v>484</v>
      </c>
      <c r="E16" s="17"/>
      <c r="F16" s="29" t="s">
        <v>3</v>
      </c>
      <c r="G16" s="29" t="s">
        <v>1</v>
      </c>
      <c r="H16" s="29" t="s">
        <v>2</v>
      </c>
      <c r="I16" s="29" t="s">
        <v>0</v>
      </c>
      <c r="J16" s="29" t="s">
        <v>545</v>
      </c>
      <c r="K16" s="29" t="s">
        <v>3</v>
      </c>
      <c r="L16" s="29" t="s">
        <v>1</v>
      </c>
      <c r="M16" s="29" t="s">
        <v>2</v>
      </c>
      <c r="N16" s="29" t="s">
        <v>0</v>
      </c>
      <c r="O16" s="29" t="s">
        <v>545</v>
      </c>
      <c r="P16" s="29" t="s">
        <v>3</v>
      </c>
      <c r="Q16" s="29" t="s">
        <v>1</v>
      </c>
      <c r="R16" s="29" t="s">
        <v>2</v>
      </c>
      <c r="S16" s="29" t="s">
        <v>0</v>
      </c>
      <c r="T16" s="29" t="s">
        <v>545</v>
      </c>
      <c r="U16" s="29" t="s">
        <v>3</v>
      </c>
      <c r="V16" s="29" t="s">
        <v>1</v>
      </c>
      <c r="W16" s="29" t="s">
        <v>2</v>
      </c>
      <c r="X16" s="29" t="s">
        <v>0</v>
      </c>
      <c r="Y16" s="29" t="s">
        <v>545</v>
      </c>
      <c r="Z16" s="29" t="s">
        <v>3</v>
      </c>
      <c r="AA16" s="29" t="s">
        <v>1</v>
      </c>
      <c r="AB16" s="29" t="s">
        <v>2</v>
      </c>
      <c r="AC16" s="29" t="s">
        <v>0</v>
      </c>
      <c r="AD16" s="29" t="s">
        <v>545</v>
      </c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17"/>
      <c r="AP16" s="17"/>
      <c r="AQ16" s="17"/>
      <c r="AT16" s="29" t="s">
        <v>3</v>
      </c>
      <c r="AU16" s="29" t="s">
        <v>1</v>
      </c>
      <c r="AV16" s="29" t="s">
        <v>2</v>
      </c>
      <c r="AW16" s="29" t="s">
        <v>0</v>
      </c>
      <c r="AX16" s="29" t="s">
        <v>545</v>
      </c>
      <c r="AY16" s="29" t="s">
        <v>3</v>
      </c>
      <c r="AZ16" s="29" t="s">
        <v>1</v>
      </c>
      <c r="BA16" s="29" t="s">
        <v>2</v>
      </c>
      <c r="BB16" s="29" t="s">
        <v>0</v>
      </c>
      <c r="BC16" s="29" t="s">
        <v>545</v>
      </c>
    </row>
    <row r="17" spans="1:55" x14ac:dyDescent="0.15">
      <c r="A17" s="7">
        <f t="shared" si="0"/>
        <v>4</v>
      </c>
      <c r="C17" s="29">
        <v>0.75</v>
      </c>
      <c r="D17" s="29">
        <f>求节点(节奏总纲!$Q$4:$Q$113,节奏总纲!$O$4:$O$113,$C17)</f>
        <v>9.1101892128288711</v>
      </c>
      <c r="E17" s="17"/>
      <c r="F17" s="29"/>
      <c r="G17" s="29">
        <v>4</v>
      </c>
      <c r="H17" s="29">
        <v>2</v>
      </c>
      <c r="I17" s="29"/>
      <c r="J17" s="29"/>
      <c r="K17" s="29"/>
      <c r="L17" s="29">
        <v>0</v>
      </c>
      <c r="M17" s="29">
        <v>0</v>
      </c>
      <c r="N17" s="29" t="str">
        <f>IF(I17="","",MIN(INT(C17/$C$24),武将升星!$G$14))</f>
        <v/>
      </c>
      <c r="O17" s="29"/>
      <c r="P17" s="29" t="str">
        <f>IF(U17="","",IFERROR(IFERROR(MATCH(U17,武将进阶!D$4:D$10,0),MATCH(U17,武将进阶!D$4:D$10,1)+1),1))</f>
        <v/>
      </c>
      <c r="Q17" s="29">
        <f>IF(V17="","",IFERROR(IFERROR(MATCH(V17,武将进阶!E$4:E$10,0),MATCH(V17,武将进阶!E$4:E$10,1)+1),1))</f>
        <v>1</v>
      </c>
      <c r="R17" s="29">
        <f>IF(W17="","",IFERROR(IFERROR(MATCH(W17,武将进阶!F$4:F$10,0),MATCH(W17,武将进阶!F$4:F$10,1)+1),1))</f>
        <v>1</v>
      </c>
      <c r="S17" s="29" t="str">
        <f>IF(X17="","",IFERROR(IFERROR(MATCH(X17,武将进阶!G$4:G$10,0),MATCH(X17,武将进阶!G$4:G$10,1)+1),1))</f>
        <v/>
      </c>
      <c r="T17" s="29" t="str">
        <f>IF(Y17="","",IFERROR(IFERROR(MATCH(Y17,武将进阶!H$4:H$10,0),MATCH(Y17,武将进阶!H$4:H$10,1)+1),1))</f>
        <v/>
      </c>
      <c r="U17" s="29" t="str">
        <f t="shared" ref="U17:Y33" si="1">IF(F17="","",INT($D17))</f>
        <v/>
      </c>
      <c r="V17" s="29">
        <f t="shared" si="1"/>
        <v>9</v>
      </c>
      <c r="W17" s="29">
        <f t="shared" si="1"/>
        <v>9</v>
      </c>
      <c r="X17" s="29" t="str">
        <f t="shared" si="1"/>
        <v/>
      </c>
      <c r="Y17" s="29" t="str">
        <f t="shared" si="1"/>
        <v/>
      </c>
      <c r="Z17" s="47"/>
      <c r="AA17" s="47"/>
      <c r="AB17" s="47"/>
      <c r="AC17" s="47"/>
      <c r="AD17" s="47"/>
      <c r="AE17" s="33"/>
      <c r="AF17" s="33"/>
      <c r="AG17" s="33"/>
      <c r="AH17" s="33"/>
      <c r="AI17" s="33"/>
      <c r="AJ17" s="29"/>
      <c r="AK17" s="29"/>
      <c r="AL17" s="29"/>
      <c r="AM17" s="29"/>
      <c r="AN17" s="29"/>
      <c r="AO17" s="17"/>
      <c r="AP17" s="17"/>
      <c r="AQ17" s="17"/>
      <c r="AR17" s="7"/>
      <c r="AT17" s="29"/>
      <c r="AU17" s="29"/>
      <c r="AV17" s="29"/>
      <c r="AW17" s="29"/>
      <c r="AX17" s="29"/>
      <c r="AY17" s="29"/>
      <c r="AZ17" s="29"/>
      <c r="BA17" s="29"/>
      <c r="BB17" s="29"/>
      <c r="BC17" s="29"/>
    </row>
    <row r="18" spans="1:55" x14ac:dyDescent="0.15">
      <c r="A18" s="7">
        <f t="shared" si="0"/>
        <v>5</v>
      </c>
      <c r="C18" s="29">
        <v>1.5</v>
      </c>
      <c r="D18" s="29">
        <f>求节点(节奏总纲!$Q$4:$Q$113,节奏总纲!$O$4:$O$113,$C18)</f>
        <v>14.520976611494559</v>
      </c>
      <c r="E18" s="17"/>
      <c r="F18" s="29"/>
      <c r="G18" s="29">
        <v>2</v>
      </c>
      <c r="H18" s="29">
        <v>3</v>
      </c>
      <c r="I18" s="29">
        <v>1</v>
      </c>
      <c r="J18" s="29"/>
      <c r="K18" s="29"/>
      <c r="L18" s="29">
        <v>0</v>
      </c>
      <c r="M18" s="29">
        <v>0</v>
      </c>
      <c r="N18" s="29">
        <f>IF(I18="","",MIN(INT(C18/$C$24),武将升星!$G$14))</f>
        <v>0</v>
      </c>
      <c r="O18" s="29"/>
      <c r="P18" s="29" t="str">
        <f>IF(U18="","",IFERROR(IFERROR(MATCH(U18,武将进阶!D$4:D$10,0),MATCH(U18,武将进阶!D$4:D$10,1)+1),1))</f>
        <v/>
      </c>
      <c r="Q18" s="29">
        <f>IF(V18="","",IFERROR(IFERROR(MATCH(V18,武将进阶!E$4:E$10,0),MATCH(V18,武将进阶!E$4:E$10,1)+1),1))</f>
        <v>1</v>
      </c>
      <c r="R18" s="29">
        <f>IF(W18="","",IFERROR(IFERROR(MATCH(W18,武将进阶!F$4:F$10,0),MATCH(W18,武将进阶!F$4:F$10,1)+1),1))</f>
        <v>1</v>
      </c>
      <c r="S18" s="29">
        <f>IF(X18="","",IFERROR(IFERROR(MATCH(X18,武将进阶!G$4:G$10,0),MATCH(X18,武将进阶!G$4:G$10,1)+1),1))</f>
        <v>1</v>
      </c>
      <c r="T18" s="29" t="str">
        <f>IF(Y18="","",IFERROR(IFERROR(MATCH(Y18,武将进阶!H$4:H$10,0),MATCH(Y18,武将进阶!H$4:H$10,1)+1),1))</f>
        <v/>
      </c>
      <c r="U18" s="29" t="str">
        <f t="shared" si="1"/>
        <v/>
      </c>
      <c r="V18" s="29">
        <f t="shared" si="1"/>
        <v>14</v>
      </c>
      <c r="W18" s="29">
        <f t="shared" si="1"/>
        <v>14</v>
      </c>
      <c r="X18" s="29">
        <f t="shared" si="1"/>
        <v>14</v>
      </c>
      <c r="Y18" s="29" t="str">
        <f t="shared" si="1"/>
        <v/>
      </c>
      <c r="Z18" s="47"/>
      <c r="AA18" s="47"/>
      <c r="AB18" s="47">
        <v>0.5</v>
      </c>
      <c r="AC18" s="47"/>
      <c r="AD18" s="47"/>
      <c r="AE18" s="33"/>
      <c r="AF18" s="33"/>
      <c r="AG18" s="33"/>
      <c r="AH18" s="33"/>
      <c r="AI18" s="33"/>
      <c r="AJ18" s="29"/>
      <c r="AK18" s="29"/>
      <c r="AL18" s="29"/>
      <c r="AM18" s="29"/>
      <c r="AN18" s="29"/>
      <c r="AO18" s="17"/>
      <c r="AP18" s="17"/>
      <c r="AQ18" s="17"/>
      <c r="AR18" s="7"/>
      <c r="AT18" s="29"/>
      <c r="AU18" s="29"/>
      <c r="AV18" s="29">
        <v>1</v>
      </c>
      <c r="AW18" s="29"/>
      <c r="AX18" s="29"/>
      <c r="AY18" s="29"/>
      <c r="AZ18" s="29"/>
      <c r="BA18" s="29"/>
      <c r="BB18" s="29"/>
      <c r="BC18" s="29"/>
    </row>
    <row r="19" spans="1:55" x14ac:dyDescent="0.15">
      <c r="A19" s="7">
        <f t="shared" si="0"/>
        <v>6</v>
      </c>
      <c r="C19" s="29">
        <v>3</v>
      </c>
      <c r="D19" s="29">
        <f>求节点(节奏总纲!$Q$4:$Q$113,节奏总纲!$O$4:$O$113,$C19)</f>
        <v>21.543844702365945</v>
      </c>
      <c r="E19" s="17"/>
      <c r="F19" s="29"/>
      <c r="G19" s="29"/>
      <c r="H19" s="29">
        <v>4</v>
      </c>
      <c r="I19" s="29">
        <v>2</v>
      </c>
      <c r="J19" s="29"/>
      <c r="K19" s="29"/>
      <c r="L19" s="29"/>
      <c r="M19" s="29">
        <v>0</v>
      </c>
      <c r="N19" s="29">
        <f>IF(I19="","",MIN(INT(C19/$C$24),武将升星!$G$14))</f>
        <v>0</v>
      </c>
      <c r="O19" s="29"/>
      <c r="P19" s="29" t="str">
        <f>IF(U19="","",IFERROR(IFERROR(MATCH(U19,武将进阶!D$4:D$10,0),MATCH(U19,武将进阶!D$4:D$10,1)+1),1))</f>
        <v/>
      </c>
      <c r="Q19" s="29" t="str">
        <f>IF(V19="","",IFERROR(IFERROR(MATCH(V19,武将进阶!E$4:E$10,0),MATCH(V19,武将进阶!E$4:E$10,1)+1),1))</f>
        <v/>
      </c>
      <c r="R19" s="29">
        <f>IF(W19="","",IFERROR(IFERROR(MATCH(W19,武将进阶!F$4:F$10,0),MATCH(W19,武将进阶!F$4:F$10,1)+1),1))</f>
        <v>1</v>
      </c>
      <c r="S19" s="29">
        <f>IF(X19="","",IFERROR(IFERROR(MATCH(X19,武将进阶!G$4:G$10,0),MATCH(X19,武将进阶!G$4:G$10,1)+1),1))</f>
        <v>1</v>
      </c>
      <c r="T19" s="29" t="str">
        <f>IF(Y19="","",IFERROR(IFERROR(MATCH(Y19,武将进阶!H$4:H$10,0),MATCH(Y19,武将进阶!H$4:H$10,1)+1),1))</f>
        <v/>
      </c>
      <c r="U19" s="29" t="str">
        <f t="shared" si="1"/>
        <v/>
      </c>
      <c r="V19" s="29" t="str">
        <f t="shared" si="1"/>
        <v/>
      </c>
      <c r="W19" s="29">
        <f t="shared" si="1"/>
        <v>21</v>
      </c>
      <c r="X19" s="29">
        <f t="shared" si="1"/>
        <v>21</v>
      </c>
      <c r="Y19" s="29" t="str">
        <f t="shared" si="1"/>
        <v/>
      </c>
      <c r="Z19" s="47"/>
      <c r="AA19" s="47"/>
      <c r="AB19" s="47">
        <v>1</v>
      </c>
      <c r="AC19" s="47">
        <v>0.5</v>
      </c>
      <c r="AD19" s="47"/>
      <c r="AE19" s="33"/>
      <c r="AF19" s="33"/>
      <c r="AG19" s="33"/>
      <c r="AH19" s="33"/>
      <c r="AI19" s="33"/>
      <c r="AJ19" s="29"/>
      <c r="AK19" s="29"/>
      <c r="AL19" s="29"/>
      <c r="AM19" s="29"/>
      <c r="AN19" s="29"/>
      <c r="AO19" s="17"/>
      <c r="AP19" s="17"/>
      <c r="AQ19" s="17"/>
      <c r="AR19" s="7"/>
      <c r="AT19" s="29"/>
      <c r="AU19" s="29"/>
      <c r="AV19" s="29">
        <v>1</v>
      </c>
      <c r="AW19" s="29"/>
      <c r="AX19" s="29"/>
      <c r="AY19" s="29"/>
      <c r="AZ19" s="29"/>
      <c r="BA19" s="29"/>
      <c r="BB19" s="29"/>
      <c r="BC19" s="29"/>
    </row>
    <row r="20" spans="1:55" x14ac:dyDescent="0.15">
      <c r="A20" s="7">
        <f t="shared" si="0"/>
        <v>7</v>
      </c>
      <c r="C20" s="29">
        <v>4.5</v>
      </c>
      <c r="D20" s="29">
        <f>求节点(节奏总纲!$Q$4:$Q$113,节奏总纲!$O$4:$O$113,$C20)</f>
        <v>26.24047598486435</v>
      </c>
      <c r="E20" s="17"/>
      <c r="F20" s="29"/>
      <c r="G20" s="29"/>
      <c r="H20" s="29">
        <v>3</v>
      </c>
      <c r="I20" s="29">
        <v>3</v>
      </c>
      <c r="J20" s="29"/>
      <c r="K20" s="29"/>
      <c r="L20" s="29"/>
      <c r="M20" s="29">
        <v>0</v>
      </c>
      <c r="N20" s="29">
        <f>IF(I20="","",MIN(INT(C20/$C$24),武将升星!$G$14))</f>
        <v>0</v>
      </c>
      <c r="O20" s="29"/>
      <c r="P20" s="29" t="str">
        <f>IF(U20="","",IFERROR(IFERROR(MATCH(U20,武将进阶!D$4:D$10,0),MATCH(U20,武将进阶!D$4:D$10,1)+1),1))</f>
        <v/>
      </c>
      <c r="Q20" s="29" t="str">
        <f>IF(V20="","",IFERROR(IFERROR(MATCH(V20,武将进阶!E$4:E$10,0),MATCH(V20,武将进阶!E$4:E$10,1)+1),1))</f>
        <v/>
      </c>
      <c r="R20" s="29">
        <f>IF(W20="","",IFERROR(IFERROR(MATCH(W20,武将进阶!F$4:F$10,0),MATCH(W20,武将进阶!F$4:F$10,1)+1),1))</f>
        <v>1</v>
      </c>
      <c r="S20" s="29">
        <f>IF(X20="","",IFERROR(IFERROR(MATCH(X20,武将进阶!G$4:G$10,0),MATCH(X20,武将进阶!G$4:G$10,1)+1),1))</f>
        <v>1</v>
      </c>
      <c r="T20" s="29" t="str">
        <f>IF(Y20="","",IFERROR(IFERROR(MATCH(Y20,武将进阶!H$4:H$10,0),MATCH(Y20,武将进阶!H$4:H$10,1)+1),1))</f>
        <v/>
      </c>
      <c r="U20" s="29" t="str">
        <f t="shared" si="1"/>
        <v/>
      </c>
      <c r="V20" s="29" t="str">
        <f t="shared" si="1"/>
        <v/>
      </c>
      <c r="W20" s="29">
        <f t="shared" si="1"/>
        <v>26</v>
      </c>
      <c r="X20" s="29">
        <f t="shared" si="1"/>
        <v>26</v>
      </c>
      <c r="Y20" s="29" t="str">
        <f t="shared" si="1"/>
        <v/>
      </c>
      <c r="Z20" s="47"/>
      <c r="AA20" s="47"/>
      <c r="AB20" s="47">
        <v>1</v>
      </c>
      <c r="AC20" s="47">
        <v>1</v>
      </c>
      <c r="AD20" s="47"/>
      <c r="AE20" s="33"/>
      <c r="AF20" s="33"/>
      <c r="AG20" s="33"/>
      <c r="AH20" s="33"/>
      <c r="AI20" s="33"/>
      <c r="AJ20" s="29"/>
      <c r="AK20" s="29"/>
      <c r="AL20" s="29"/>
      <c r="AM20" s="29"/>
      <c r="AN20" s="29"/>
      <c r="AO20" s="17"/>
      <c r="AP20" s="17"/>
      <c r="AQ20" s="17"/>
      <c r="AR20" s="7"/>
      <c r="AT20" s="29"/>
      <c r="AU20" s="29"/>
      <c r="AV20" s="29">
        <v>1</v>
      </c>
      <c r="AW20" s="29"/>
      <c r="AX20" s="29"/>
      <c r="AY20" s="29"/>
      <c r="AZ20" s="29"/>
      <c r="BA20" s="29"/>
      <c r="BB20" s="29"/>
      <c r="BC20" s="29"/>
    </row>
    <row r="21" spans="1:55" x14ac:dyDescent="0.15">
      <c r="A21" s="7">
        <f t="shared" si="0"/>
        <v>8</v>
      </c>
      <c r="C21" s="29">
        <v>6</v>
      </c>
      <c r="D21" s="29">
        <f>求节点(节奏总纲!$Q$4:$Q$113,节奏总纲!$O$4:$O$113,$C21)</f>
        <v>29.78183527117605</v>
      </c>
      <c r="E21" s="17"/>
      <c r="F21" s="29"/>
      <c r="G21" s="29"/>
      <c r="H21" s="29">
        <v>2</v>
      </c>
      <c r="I21" s="29">
        <v>4</v>
      </c>
      <c r="J21" s="29"/>
      <c r="K21" s="29"/>
      <c r="L21" s="29"/>
      <c r="M21" s="29">
        <v>0</v>
      </c>
      <c r="N21" s="29">
        <f>IF(I21="","",MIN(INT(C21/$C$24),武将升星!$G$14))</f>
        <v>0</v>
      </c>
      <c r="O21" s="29"/>
      <c r="P21" s="29" t="str">
        <f>IF(U21="","",IFERROR(IFERROR(MATCH(U21,武将进阶!D$4:D$10,0),MATCH(U21,武将进阶!D$4:D$10,1)+1),1))</f>
        <v/>
      </c>
      <c r="Q21" s="29" t="str">
        <f>IF(V21="","",IFERROR(IFERROR(MATCH(V21,武将进阶!E$4:E$10,0),MATCH(V21,武将进阶!E$4:E$10,1)+1),1))</f>
        <v/>
      </c>
      <c r="R21" s="29">
        <f>IF(W21="","",IFERROR(IFERROR(MATCH(W21,武将进阶!F$4:F$10,0),MATCH(W21,武将进阶!F$4:F$10,1)+1),1))</f>
        <v>1</v>
      </c>
      <c r="S21" s="29">
        <f>IF(X21="","",IFERROR(IFERROR(MATCH(X21,武将进阶!G$4:G$10,0),MATCH(X21,武将进阶!G$4:G$10,1)+1),1))</f>
        <v>1</v>
      </c>
      <c r="T21" s="29" t="str">
        <f>IF(Y21="","",IFERROR(IFERROR(MATCH(Y21,武将进阶!H$4:H$10,0),MATCH(Y21,武将进阶!H$4:H$10,1)+1),1))</f>
        <v/>
      </c>
      <c r="U21" s="29" t="str">
        <f t="shared" si="1"/>
        <v/>
      </c>
      <c r="V21" s="29" t="str">
        <f t="shared" si="1"/>
        <v/>
      </c>
      <c r="W21" s="29">
        <f t="shared" si="1"/>
        <v>29</v>
      </c>
      <c r="X21" s="29">
        <f t="shared" si="1"/>
        <v>29</v>
      </c>
      <c r="Y21" s="29" t="str">
        <f t="shared" si="1"/>
        <v/>
      </c>
      <c r="Z21" s="47"/>
      <c r="AA21" s="47"/>
      <c r="AB21" s="47">
        <v>1</v>
      </c>
      <c r="AC21" s="47">
        <v>1</v>
      </c>
      <c r="AD21" s="47"/>
      <c r="AE21" s="33"/>
      <c r="AF21" s="33"/>
      <c r="AG21" s="33"/>
      <c r="AH21" s="33"/>
      <c r="AI21" s="33"/>
      <c r="AJ21" s="29"/>
      <c r="AK21" s="29"/>
      <c r="AL21" s="29"/>
      <c r="AM21" s="29"/>
      <c r="AN21" s="29"/>
      <c r="AO21" s="17"/>
      <c r="AP21" s="17"/>
      <c r="AQ21" s="17"/>
      <c r="AR21" s="7"/>
      <c r="AT21" s="29"/>
      <c r="AU21" s="29"/>
      <c r="AV21" s="29">
        <v>1</v>
      </c>
      <c r="AW21" s="29"/>
      <c r="AX21" s="29"/>
      <c r="AY21" s="29"/>
      <c r="AZ21" s="29"/>
      <c r="BA21" s="29"/>
      <c r="BB21" s="29"/>
      <c r="BC21" s="29"/>
    </row>
    <row r="22" spans="1:55" x14ac:dyDescent="0.15">
      <c r="A22" s="7">
        <f t="shared" si="0"/>
        <v>9</v>
      </c>
      <c r="C22" s="29">
        <v>7.5</v>
      </c>
      <c r="D22" s="29">
        <f>求节点(节奏总纲!$Q$4:$Q$113,节奏总纲!$O$4:$O$113,$C22)</f>
        <v>32.621408320666355</v>
      </c>
      <c r="E22" s="17"/>
      <c r="F22" s="29"/>
      <c r="G22" s="29"/>
      <c r="H22" s="29">
        <v>1</v>
      </c>
      <c r="I22" s="29">
        <v>5</v>
      </c>
      <c r="J22" s="29"/>
      <c r="K22" s="29"/>
      <c r="L22" s="29"/>
      <c r="M22" s="29">
        <v>0</v>
      </c>
      <c r="N22" s="29">
        <f>IF(I22="","",MIN(INT(C22/$C$24),武将升星!$G$14))</f>
        <v>0</v>
      </c>
      <c r="O22" s="29"/>
      <c r="P22" s="29" t="str">
        <f>IF(U22="","",IFERROR(IFERROR(MATCH(U22,武将进阶!D$4:D$10,0),MATCH(U22,武将进阶!D$4:D$10,1)+1),1))</f>
        <v/>
      </c>
      <c r="Q22" s="29" t="str">
        <f>IF(V22="","",IFERROR(IFERROR(MATCH(V22,武将进阶!E$4:E$10,0),MATCH(V22,武将进阶!E$4:E$10,1)+1),1))</f>
        <v/>
      </c>
      <c r="R22" s="29">
        <f>IF(W22="","",IFERROR(IFERROR(MATCH(W22,武将进阶!F$4:F$10,0),MATCH(W22,武将进阶!F$4:F$10,1)+1),1))</f>
        <v>1</v>
      </c>
      <c r="S22" s="29">
        <f>IF(X22="","",IFERROR(IFERROR(MATCH(X22,武将进阶!G$4:G$10,0),MATCH(X22,武将进阶!G$4:G$10,1)+1),1))</f>
        <v>1</v>
      </c>
      <c r="T22" s="29" t="str">
        <f>IF(Y22="","",IFERROR(IFERROR(MATCH(Y22,武将进阶!H$4:H$10,0),MATCH(Y22,武将进阶!H$4:H$10,1)+1),1))</f>
        <v/>
      </c>
      <c r="U22" s="29" t="str">
        <f t="shared" si="1"/>
        <v/>
      </c>
      <c r="V22" s="29" t="str">
        <f t="shared" si="1"/>
        <v/>
      </c>
      <c r="W22" s="29">
        <f t="shared" si="1"/>
        <v>32</v>
      </c>
      <c r="X22" s="29">
        <f t="shared" si="1"/>
        <v>32</v>
      </c>
      <c r="Y22" s="29" t="str">
        <f t="shared" si="1"/>
        <v/>
      </c>
      <c r="Z22" s="47"/>
      <c r="AA22" s="47"/>
      <c r="AB22" s="47">
        <v>1</v>
      </c>
      <c r="AC22" s="47">
        <v>1</v>
      </c>
      <c r="AD22" s="47"/>
      <c r="AE22" s="33"/>
      <c r="AF22" s="33"/>
      <c r="AG22" s="33"/>
      <c r="AH22" s="33"/>
      <c r="AI22" s="33"/>
      <c r="AJ22" s="29"/>
      <c r="AK22" s="29"/>
      <c r="AL22" s="29"/>
      <c r="AM22" s="29"/>
      <c r="AN22" s="29"/>
      <c r="AO22" s="17"/>
      <c r="AP22" s="17"/>
      <c r="AQ22" s="17"/>
      <c r="AR22" s="7"/>
      <c r="AT22" s="29"/>
      <c r="AU22" s="29"/>
      <c r="AV22" s="29">
        <v>1</v>
      </c>
      <c r="AW22" s="29">
        <v>1</v>
      </c>
      <c r="AX22" s="29"/>
      <c r="AY22" s="29"/>
      <c r="AZ22" s="29"/>
      <c r="BA22" s="29"/>
      <c r="BB22" s="29"/>
      <c r="BC22" s="29"/>
    </row>
    <row r="23" spans="1:55" x14ac:dyDescent="0.15">
      <c r="A23" s="7">
        <f t="shared" si="0"/>
        <v>10</v>
      </c>
      <c r="C23" s="29">
        <v>9</v>
      </c>
      <c r="D23" s="29">
        <f>求节点(节奏总纲!$Q$4:$Q$113,节奏总纲!$O$4:$O$113,$C23)</f>
        <v>34.992730785174565</v>
      </c>
      <c r="E23" s="17"/>
      <c r="F23" s="29"/>
      <c r="G23" s="29"/>
      <c r="H23" s="29"/>
      <c r="I23" s="29">
        <v>6</v>
      </c>
      <c r="J23" s="29"/>
      <c r="K23" s="29"/>
      <c r="L23" s="29"/>
      <c r="M23" s="29"/>
      <c r="N23" s="29">
        <f>IF(I23="","",MIN(INT(C23/$C$24),武将升星!$G$14))</f>
        <v>0</v>
      </c>
      <c r="O23" s="29"/>
      <c r="P23" s="29" t="str">
        <f>IF(U23="","",IFERROR(IFERROR(MATCH(U23,武将进阶!D$4:D$10,0),MATCH(U23,武将进阶!D$4:D$10,1)+1),1))</f>
        <v/>
      </c>
      <c r="Q23" s="29" t="str">
        <f>IF(V23="","",IFERROR(IFERROR(MATCH(V23,武将进阶!E$4:E$10,0),MATCH(V23,武将进阶!E$4:E$10,1)+1),1))</f>
        <v/>
      </c>
      <c r="R23" s="29" t="str">
        <f>IF(W23="","",IFERROR(IFERROR(MATCH(W23,武将进阶!F$4:F$10,0),MATCH(W23,武将进阶!F$4:F$10,1)+1),1))</f>
        <v/>
      </c>
      <c r="S23" s="29">
        <f>IF(X23="","",IFERROR(IFERROR(MATCH(X23,武将进阶!G$4:G$10,0),MATCH(X23,武将进阶!G$4:G$10,1)+1),1))</f>
        <v>1</v>
      </c>
      <c r="T23" s="29" t="str">
        <f>IF(Y23="","",IFERROR(IFERROR(MATCH(Y23,武将进阶!H$4:H$10,0),MATCH(Y23,武将进阶!H$4:H$10,1)+1),1))</f>
        <v/>
      </c>
      <c r="U23" s="29" t="str">
        <f t="shared" si="1"/>
        <v/>
      </c>
      <c r="V23" s="29" t="str">
        <f t="shared" si="1"/>
        <v/>
      </c>
      <c r="W23" s="29" t="str">
        <f t="shared" si="1"/>
        <v/>
      </c>
      <c r="X23" s="29">
        <f t="shared" si="1"/>
        <v>34</v>
      </c>
      <c r="Y23" s="29" t="str">
        <f t="shared" si="1"/>
        <v/>
      </c>
      <c r="Z23" s="47"/>
      <c r="AA23" s="47"/>
      <c r="AB23" s="47">
        <v>1</v>
      </c>
      <c r="AC23" s="47">
        <v>1</v>
      </c>
      <c r="AD23" s="47"/>
      <c r="AE23" s="33"/>
      <c r="AF23" s="33"/>
      <c r="AG23" s="33"/>
      <c r="AH23" s="33"/>
      <c r="AI23" s="33"/>
      <c r="AJ23" s="29"/>
      <c r="AK23" s="29"/>
      <c r="AL23" s="29"/>
      <c r="AM23" s="29"/>
      <c r="AN23" s="29"/>
      <c r="AO23" s="17"/>
      <c r="AP23" s="17"/>
      <c r="AQ23" s="17"/>
      <c r="AR23" s="7"/>
      <c r="AT23" s="29"/>
      <c r="AU23" s="29"/>
      <c r="AV23" s="29">
        <v>1</v>
      </c>
      <c r="AW23" s="29">
        <v>1</v>
      </c>
      <c r="AX23" s="29"/>
      <c r="AY23" s="29"/>
      <c r="AZ23" s="29"/>
      <c r="BA23" s="29"/>
      <c r="BB23" s="29"/>
      <c r="BC23" s="29"/>
    </row>
    <row r="24" spans="1:55" x14ac:dyDescent="0.15">
      <c r="A24" s="7">
        <f t="shared" si="0"/>
        <v>11</v>
      </c>
      <c r="C24" s="29">
        <v>30</v>
      </c>
      <c r="D24" s="29">
        <f>求节点(节奏总纲!$Q$4:$Q$113,节奏总纲!$O$4:$O$113,$C24)</f>
        <v>51.497823295559343</v>
      </c>
      <c r="F24" s="29"/>
      <c r="G24" s="29"/>
      <c r="H24" s="29"/>
      <c r="I24" s="29">
        <v>5</v>
      </c>
      <c r="J24" s="29">
        <v>1</v>
      </c>
      <c r="K24" s="29"/>
      <c r="L24" s="29"/>
      <c r="M24" s="29"/>
      <c r="N24" s="29">
        <v>1</v>
      </c>
      <c r="O24" s="29">
        <v>0</v>
      </c>
      <c r="P24" s="29" t="str">
        <f>IF(U24="","",IFERROR(IFERROR(MATCH(U24,武将进阶!D$4:D$10,0),MATCH(U24,武将进阶!D$4:D$10,1)+1),1))</f>
        <v/>
      </c>
      <c r="Q24" s="29" t="str">
        <f>IF(V24="","",IFERROR(IFERROR(MATCH(V24,武将进阶!E$4:E$10,0),MATCH(V24,武将进阶!E$4:E$10,1)+1),1))</f>
        <v/>
      </c>
      <c r="R24" s="29" t="str">
        <f>IF(W24="","",IFERROR(IFERROR(MATCH(W24,武将进阶!F$4:F$10,0),MATCH(W24,武将进阶!F$4:F$10,1)+1),1))</f>
        <v/>
      </c>
      <c r="S24" s="29">
        <f>IF(X24="","",IFERROR(IFERROR(MATCH(X24,武将进阶!G$4:G$10,0),MATCH(X24,武将进阶!G$4:G$10,1)+1),1))</f>
        <v>2</v>
      </c>
      <c r="T24" s="29">
        <f>IF(Y24="","",IFERROR(IFERROR(MATCH(Y24,武将进阶!H$4:H$10,0),MATCH(Y24,武将进阶!H$4:H$10,1)+1),1))</f>
        <v>2</v>
      </c>
      <c r="U24" s="29" t="str">
        <f t="shared" si="1"/>
        <v/>
      </c>
      <c r="V24" s="29" t="str">
        <f t="shared" si="1"/>
        <v/>
      </c>
      <c r="W24" s="29" t="str">
        <f t="shared" si="1"/>
        <v/>
      </c>
      <c r="X24" s="29">
        <f t="shared" si="1"/>
        <v>51</v>
      </c>
      <c r="Y24" s="29">
        <f t="shared" si="1"/>
        <v>51</v>
      </c>
      <c r="Z24" s="47"/>
      <c r="AA24" s="47"/>
      <c r="AB24" s="47"/>
      <c r="AC24" s="47">
        <v>1.5</v>
      </c>
      <c r="AD24" s="47">
        <v>1</v>
      </c>
      <c r="AE24" s="33"/>
      <c r="AF24" s="33"/>
      <c r="AG24" s="33"/>
      <c r="AH24" s="33"/>
      <c r="AI24" s="33"/>
      <c r="AJ24" s="29"/>
      <c r="AK24" s="29"/>
      <c r="AL24" s="29"/>
      <c r="AM24" s="29"/>
      <c r="AN24" s="29"/>
      <c r="AO24" s="17"/>
      <c r="AP24" s="17"/>
      <c r="AR24" s="7"/>
      <c r="AT24" s="29"/>
      <c r="AU24" s="29"/>
      <c r="AV24" s="29">
        <v>3</v>
      </c>
      <c r="AW24" s="29">
        <v>2</v>
      </c>
      <c r="AX24" s="29">
        <v>1</v>
      </c>
      <c r="AY24" s="29"/>
      <c r="AZ24" s="29"/>
      <c r="BA24" s="29"/>
      <c r="BB24" s="29"/>
      <c r="BC24" s="29"/>
    </row>
    <row r="25" spans="1:55" x14ac:dyDescent="0.15">
      <c r="A25" s="7">
        <f t="shared" si="0"/>
        <v>12</v>
      </c>
      <c r="C25" s="29">
        <f>C24+30</f>
        <v>60</v>
      </c>
      <c r="D25" s="29">
        <f>求节点(节奏总纲!$Q$4:$Q$113,节奏总纲!$O$4:$O$113,$C25)</f>
        <v>61.330461663183208</v>
      </c>
      <c r="F25" s="29"/>
      <c r="G25" s="29"/>
      <c r="H25" s="29"/>
      <c r="I25" s="29">
        <v>4</v>
      </c>
      <c r="J25" s="29">
        <v>2</v>
      </c>
      <c r="K25" s="29"/>
      <c r="L25" s="29"/>
      <c r="M25" s="29"/>
      <c r="N25" s="29"/>
      <c r="O25" s="29">
        <v>0</v>
      </c>
      <c r="P25" s="29" t="str">
        <f>IF(U25="","",IFERROR(IFERROR(MATCH(U25,武将进阶!D$4:D$10,0),MATCH(U25,武将进阶!D$4:D$10,1)+1),1))</f>
        <v/>
      </c>
      <c r="Q25" s="29" t="str">
        <f>IF(V25="","",IFERROR(IFERROR(MATCH(V25,武将进阶!E$4:E$10,0),MATCH(V25,武将进阶!E$4:E$10,1)+1),1))</f>
        <v/>
      </c>
      <c r="R25" s="29" t="str">
        <f>IF(W25="","",IFERROR(IFERROR(MATCH(W25,武将进阶!F$4:F$10,0),MATCH(W25,武将进阶!F$4:F$10,1)+1),1))</f>
        <v/>
      </c>
      <c r="S25" s="29">
        <f>IF(X25="","",IFERROR(IFERROR(MATCH(X25,武将进阶!G$4:G$10,0),MATCH(X25,武将进阶!G$4:G$10,1)+1),1))</f>
        <v>2</v>
      </c>
      <c r="T25" s="29">
        <f>IF(Y25="","",IFERROR(IFERROR(MATCH(Y25,武将进阶!H$4:H$10,0),MATCH(Y25,武将进阶!H$4:H$10,1)+1),1))</f>
        <v>2</v>
      </c>
      <c r="U25" s="29" t="str">
        <f t="shared" si="1"/>
        <v/>
      </c>
      <c r="V25" s="29" t="str">
        <f t="shared" si="1"/>
        <v/>
      </c>
      <c r="W25" s="29" t="str">
        <f t="shared" si="1"/>
        <v/>
      </c>
      <c r="X25" s="29">
        <f t="shared" si="1"/>
        <v>61</v>
      </c>
      <c r="Y25" s="29">
        <f t="shared" si="1"/>
        <v>61</v>
      </c>
      <c r="Z25" s="47"/>
      <c r="AA25" s="47"/>
      <c r="AB25" s="47"/>
      <c r="AC25" s="47">
        <v>2</v>
      </c>
      <c r="AD25" s="47">
        <v>1</v>
      </c>
      <c r="AE25" s="33"/>
      <c r="AF25" s="33"/>
      <c r="AG25" s="33"/>
      <c r="AH25" s="33"/>
      <c r="AI25" s="33"/>
      <c r="AJ25" s="29"/>
      <c r="AK25" s="29"/>
      <c r="AL25" s="29"/>
      <c r="AM25" s="29"/>
      <c r="AN25" s="29"/>
      <c r="AO25" s="17"/>
      <c r="AP25" s="17"/>
      <c r="AR25" s="7"/>
      <c r="AT25" s="29"/>
      <c r="AU25" s="29"/>
      <c r="AV25" s="29">
        <v>6</v>
      </c>
      <c r="AW25" s="29">
        <v>3</v>
      </c>
      <c r="AX25" s="29">
        <v>2</v>
      </c>
      <c r="AY25" s="29"/>
      <c r="AZ25" s="29"/>
      <c r="BA25" s="29">
        <v>1</v>
      </c>
      <c r="BB25" s="29"/>
      <c r="BC25" s="29"/>
    </row>
    <row r="26" spans="1:55" x14ac:dyDescent="0.15">
      <c r="A26" s="7">
        <f t="shared" si="0"/>
        <v>13</v>
      </c>
      <c r="C26" s="29">
        <f t="shared" ref="C26:C29" si="2">C25+30</f>
        <v>90</v>
      </c>
      <c r="D26" s="29">
        <f>求节点(节奏总纲!$Q$4:$Q$113,节奏总纲!$O$4:$O$113,$C26)</f>
        <v>67.083433628014333</v>
      </c>
      <c r="E26" s="17"/>
      <c r="F26" s="29"/>
      <c r="G26" s="29"/>
      <c r="H26" s="29"/>
      <c r="I26" s="29">
        <v>3</v>
      </c>
      <c r="J26" s="29">
        <v>3</v>
      </c>
      <c r="K26" s="29"/>
      <c r="L26" s="29"/>
      <c r="M26" s="29"/>
      <c r="N26" s="29"/>
      <c r="O26" s="29">
        <v>0</v>
      </c>
      <c r="P26" s="29" t="str">
        <f>IF(U26="","",IFERROR(IFERROR(MATCH(U26,武将进阶!D$4:D$10,0),MATCH(U26,武将进阶!D$4:D$10,1)+1),1))</f>
        <v/>
      </c>
      <c r="Q26" s="29" t="str">
        <f>IF(V26="","",IFERROR(IFERROR(MATCH(V26,武将进阶!E$4:E$10,0),MATCH(V26,武将进阶!E$4:E$10,1)+1),1))</f>
        <v/>
      </c>
      <c r="R26" s="29" t="str">
        <f>IF(W26="","",IFERROR(IFERROR(MATCH(W26,武将进阶!F$4:F$10,0),MATCH(W26,武将进阶!F$4:F$10,1)+1),1))</f>
        <v/>
      </c>
      <c r="S26" s="29">
        <f>IF(X26="","",IFERROR(IFERROR(MATCH(X26,武将进阶!G$4:G$10,0),MATCH(X26,武将进阶!G$4:G$10,1)+1),1))</f>
        <v>2</v>
      </c>
      <c r="T26" s="29">
        <f>IF(Y26="","",IFERROR(IFERROR(MATCH(Y26,武将进阶!H$4:H$10,0),MATCH(Y26,武将进阶!H$4:H$10,1)+1),1))</f>
        <v>2</v>
      </c>
      <c r="U26" s="29" t="str">
        <f t="shared" si="1"/>
        <v/>
      </c>
      <c r="V26" s="29" t="str">
        <f t="shared" si="1"/>
        <v/>
      </c>
      <c r="W26" s="29" t="str">
        <f t="shared" si="1"/>
        <v/>
      </c>
      <c r="X26" s="29">
        <f t="shared" si="1"/>
        <v>67</v>
      </c>
      <c r="Y26" s="29">
        <f t="shared" si="1"/>
        <v>67</v>
      </c>
      <c r="Z26" s="47"/>
      <c r="AA26" s="47"/>
      <c r="AB26" s="47"/>
      <c r="AC26" s="47">
        <v>2</v>
      </c>
      <c r="AD26" s="47">
        <v>1</v>
      </c>
      <c r="AE26" s="33"/>
      <c r="AF26" s="33"/>
      <c r="AG26" s="33"/>
      <c r="AH26" s="33"/>
      <c r="AI26" s="33"/>
      <c r="AJ26" s="29"/>
      <c r="AK26" s="29"/>
      <c r="AL26" s="29"/>
      <c r="AM26" s="29"/>
      <c r="AN26" s="29"/>
      <c r="AO26" s="17"/>
      <c r="AP26" s="17"/>
      <c r="AR26" s="7"/>
      <c r="AT26" s="29"/>
      <c r="AU26" s="29"/>
      <c r="AV26" s="29">
        <v>9</v>
      </c>
      <c r="AW26" s="29">
        <v>5</v>
      </c>
      <c r="AX26" s="29">
        <v>3</v>
      </c>
      <c r="AY26" s="29"/>
      <c r="AZ26" s="29"/>
      <c r="BA26" s="29">
        <v>2</v>
      </c>
      <c r="BB26" s="29">
        <v>1</v>
      </c>
      <c r="BC26" s="29"/>
    </row>
    <row r="27" spans="1:55" x14ac:dyDescent="0.15">
      <c r="A27" s="7">
        <f t="shared" si="0"/>
        <v>14</v>
      </c>
      <c r="C27" s="29">
        <f t="shared" si="2"/>
        <v>120</v>
      </c>
      <c r="D27" s="29">
        <f>求节点(节奏总纲!$Q$4:$Q$113,节奏总纲!$O$4:$O$113,$C27)</f>
        <v>71.230067506391322</v>
      </c>
      <c r="F27" s="29"/>
      <c r="G27" s="29"/>
      <c r="H27" s="29"/>
      <c r="I27" s="29">
        <v>2</v>
      </c>
      <c r="J27" s="29">
        <v>4</v>
      </c>
      <c r="K27" s="29"/>
      <c r="L27" s="29"/>
      <c r="M27" s="29"/>
      <c r="N27" s="29"/>
      <c r="O27" s="29">
        <v>0</v>
      </c>
      <c r="P27" s="29" t="str">
        <f>IF(U27="","",IFERROR(IFERROR(MATCH(U27,武将进阶!D$4:D$10,0),MATCH(U27,武将进阶!D$4:D$10,1)+1),1))</f>
        <v/>
      </c>
      <c r="Q27" s="29" t="str">
        <f>IF(V27="","",IFERROR(IFERROR(MATCH(V27,武将进阶!E$4:E$10,0),MATCH(V27,武将进阶!E$4:E$10,1)+1),1))</f>
        <v/>
      </c>
      <c r="R27" s="29" t="str">
        <f>IF(W27="","",IFERROR(IFERROR(MATCH(W27,武将进阶!F$4:F$10,0),MATCH(W27,武将进阶!F$4:F$10,1)+1),1))</f>
        <v/>
      </c>
      <c r="S27" s="29">
        <f>IF(X27="","",IFERROR(IFERROR(MATCH(X27,武将进阶!G$4:G$10,0),MATCH(X27,武将进阶!G$4:G$10,1)+1),1))</f>
        <v>2</v>
      </c>
      <c r="T27" s="29">
        <f>IF(Y27="","",IFERROR(IFERROR(MATCH(Y27,武将进阶!H$4:H$10,0),MATCH(Y27,武将进阶!H$4:H$10,1)+1),1))</f>
        <v>2</v>
      </c>
      <c r="U27" s="29" t="str">
        <f t="shared" si="1"/>
        <v/>
      </c>
      <c r="V27" s="29" t="str">
        <f t="shared" si="1"/>
        <v/>
      </c>
      <c r="W27" s="29" t="str">
        <f t="shared" si="1"/>
        <v/>
      </c>
      <c r="X27" s="29">
        <f t="shared" si="1"/>
        <v>71</v>
      </c>
      <c r="Y27" s="29">
        <f t="shared" si="1"/>
        <v>71</v>
      </c>
      <c r="Z27" s="47"/>
      <c r="AA27" s="47"/>
      <c r="AB27" s="47"/>
      <c r="AC27" s="47">
        <v>2</v>
      </c>
      <c r="AD27" s="47">
        <v>1.2</v>
      </c>
      <c r="AE27" s="33"/>
      <c r="AF27" s="33"/>
      <c r="AG27" s="33"/>
      <c r="AH27" s="33"/>
      <c r="AI27" s="33"/>
      <c r="AJ27" s="29"/>
      <c r="AK27" s="29"/>
      <c r="AL27" s="29"/>
      <c r="AM27" s="29"/>
      <c r="AN27" s="29"/>
      <c r="AO27" s="17"/>
      <c r="AP27" s="17"/>
      <c r="AR27" s="7"/>
      <c r="AT27" s="29"/>
      <c r="AU27" s="29"/>
      <c r="AV27" s="29">
        <v>13</v>
      </c>
      <c r="AW27" s="29">
        <v>7</v>
      </c>
      <c r="AX27" s="29">
        <v>4</v>
      </c>
      <c r="AY27" s="29"/>
      <c r="AZ27" s="29"/>
      <c r="BA27" s="29">
        <v>5</v>
      </c>
      <c r="BB27" s="29">
        <v>2</v>
      </c>
      <c r="BC27" s="29"/>
    </row>
    <row r="28" spans="1:55" x14ac:dyDescent="0.15">
      <c r="A28" s="7">
        <f t="shared" si="0"/>
        <v>15</v>
      </c>
      <c r="C28" s="29">
        <f t="shared" si="2"/>
        <v>150</v>
      </c>
      <c r="D28" s="29">
        <f>求节点(节奏总纲!$Q$4:$Q$113,节奏总纲!$O$4:$O$113,$C28)</f>
        <v>74.456724480300707</v>
      </c>
      <c r="E28" s="17"/>
      <c r="F28" s="29"/>
      <c r="G28" s="29"/>
      <c r="H28" s="29"/>
      <c r="I28" s="29">
        <v>1</v>
      </c>
      <c r="J28" s="29">
        <v>5</v>
      </c>
      <c r="K28" s="29"/>
      <c r="L28" s="29"/>
      <c r="M28" s="29"/>
      <c r="N28" s="29"/>
      <c r="O28" s="29">
        <v>0</v>
      </c>
      <c r="P28" s="29" t="str">
        <f>IF(U28="","",IFERROR(IFERROR(MATCH(U28,武将进阶!D$4:D$10,0),MATCH(U28,武将进阶!D$4:D$10,1)+1),1))</f>
        <v/>
      </c>
      <c r="Q28" s="29" t="str">
        <f>IF(V28="","",IFERROR(IFERROR(MATCH(V28,武将进阶!E$4:E$10,0),MATCH(V28,武将进阶!E$4:E$10,1)+1),1))</f>
        <v/>
      </c>
      <c r="R28" s="29" t="str">
        <f>IF(W28="","",IFERROR(IFERROR(MATCH(W28,武将进阶!F$4:F$10,0),MATCH(W28,武将进阶!F$4:F$10,1)+1),1))</f>
        <v/>
      </c>
      <c r="S28" s="29">
        <f>IF(X28="","",IFERROR(IFERROR(MATCH(X28,武将进阶!G$4:G$10,0),MATCH(X28,武将进阶!G$4:G$10,1)+1),1))</f>
        <v>2</v>
      </c>
      <c r="T28" s="29">
        <f>IF(Y28="","",IFERROR(IFERROR(MATCH(Y28,武将进阶!H$4:H$10,0),MATCH(Y28,武将进阶!H$4:H$10,1)+1),1))</f>
        <v>2</v>
      </c>
      <c r="U28" s="29" t="str">
        <f t="shared" si="1"/>
        <v/>
      </c>
      <c r="V28" s="29" t="str">
        <f t="shared" si="1"/>
        <v/>
      </c>
      <c r="W28" s="29" t="str">
        <f t="shared" si="1"/>
        <v/>
      </c>
      <c r="X28" s="29">
        <f t="shared" si="1"/>
        <v>74</v>
      </c>
      <c r="Y28" s="29">
        <f t="shared" si="1"/>
        <v>74</v>
      </c>
      <c r="Z28" s="47"/>
      <c r="AA28" s="47"/>
      <c r="AB28" s="47"/>
      <c r="AC28" s="47">
        <v>2</v>
      </c>
      <c r="AD28" s="47">
        <v>1.4</v>
      </c>
      <c r="AE28" s="33"/>
      <c r="AF28" s="33"/>
      <c r="AG28" s="33"/>
      <c r="AH28" s="33"/>
      <c r="AI28" s="33"/>
      <c r="AJ28" s="29"/>
      <c r="AK28" s="29"/>
      <c r="AL28" s="29"/>
      <c r="AM28" s="29"/>
      <c r="AN28" s="29"/>
      <c r="AO28" s="17"/>
      <c r="AP28" s="17"/>
      <c r="AR28" s="7"/>
      <c r="AT28" s="29"/>
      <c r="AU28" s="29"/>
      <c r="AV28" s="29">
        <v>16</v>
      </c>
      <c r="AW28" s="29">
        <v>9</v>
      </c>
      <c r="AX28" s="29">
        <v>6</v>
      </c>
      <c r="AY28" s="29"/>
      <c r="AZ28" s="29"/>
      <c r="BA28" s="29">
        <v>7</v>
      </c>
      <c r="BB28" s="29">
        <v>4</v>
      </c>
      <c r="BC28" s="29">
        <v>1</v>
      </c>
    </row>
    <row r="29" spans="1:55" x14ac:dyDescent="0.15">
      <c r="A29" s="7">
        <f t="shared" si="0"/>
        <v>16</v>
      </c>
      <c r="C29" s="29">
        <f t="shared" si="2"/>
        <v>180</v>
      </c>
      <c r="D29" s="29">
        <f>求节点(节奏总纲!$Q$4:$Q$113,节奏总纲!$O$4:$O$113,$C29)</f>
        <v>77.06778397927944</v>
      </c>
      <c r="F29" s="29"/>
      <c r="G29" s="29"/>
      <c r="H29" s="29"/>
      <c r="I29" s="29"/>
      <c r="J29" s="29">
        <v>6</v>
      </c>
      <c r="K29" s="29"/>
      <c r="L29" s="29"/>
      <c r="M29" s="29"/>
      <c r="N29" s="29"/>
      <c r="O29" s="29">
        <v>0</v>
      </c>
      <c r="P29" s="29" t="str">
        <f>IF(U29="","",IFERROR(IFERROR(MATCH(U29,武将进阶!D$4:D$10,0),MATCH(U29,武将进阶!D$4:D$10,1)+1),1))</f>
        <v/>
      </c>
      <c r="Q29" s="29" t="str">
        <f>IF(V29="","",IFERROR(IFERROR(MATCH(V29,武将进阶!E$4:E$10,0),MATCH(V29,武将进阶!E$4:E$10,1)+1),1))</f>
        <v/>
      </c>
      <c r="R29" s="29" t="str">
        <f>IF(W29="","",IFERROR(IFERROR(MATCH(W29,武将进阶!F$4:F$10,0),MATCH(W29,武将进阶!F$4:F$10,1)+1),1))</f>
        <v/>
      </c>
      <c r="S29" s="29" t="str">
        <f>IF(X29="","",IFERROR(IFERROR(MATCH(X29,武将进阶!G$4:G$10,0),MATCH(X29,武将进阶!G$4:G$10,1)+1),1))</f>
        <v/>
      </c>
      <c r="T29" s="29">
        <f>IF(Y29="","",IFERROR(IFERROR(MATCH(Y29,武将进阶!H$4:H$10,0),MATCH(Y29,武将进阶!H$4:H$10,1)+1),1))</f>
        <v>2</v>
      </c>
      <c r="U29" s="29" t="str">
        <f t="shared" si="1"/>
        <v/>
      </c>
      <c r="V29" s="29" t="str">
        <f t="shared" si="1"/>
        <v/>
      </c>
      <c r="W29" s="29" t="str">
        <f t="shared" si="1"/>
        <v/>
      </c>
      <c r="X29" s="29" t="str">
        <f t="shared" si="1"/>
        <v/>
      </c>
      <c r="Y29" s="29">
        <f t="shared" si="1"/>
        <v>77</v>
      </c>
      <c r="Z29" s="47"/>
      <c r="AA29" s="47"/>
      <c r="AB29" s="47"/>
      <c r="AC29" s="47">
        <v>2</v>
      </c>
      <c r="AD29" s="47">
        <v>1.6</v>
      </c>
      <c r="AE29" s="33"/>
      <c r="AF29" s="33"/>
      <c r="AG29" s="33"/>
      <c r="AH29" s="33"/>
      <c r="AI29" s="33"/>
      <c r="AJ29" s="29"/>
      <c r="AK29" s="29"/>
      <c r="AL29" s="29"/>
      <c r="AM29" s="29"/>
      <c r="AN29" s="29"/>
      <c r="AO29" s="17"/>
      <c r="AP29" s="17"/>
      <c r="AR29" s="7"/>
      <c r="AT29" s="29"/>
      <c r="AU29" s="29"/>
      <c r="AV29" s="29">
        <v>19</v>
      </c>
      <c r="AW29" s="29">
        <v>11</v>
      </c>
      <c r="AX29" s="29">
        <v>7</v>
      </c>
      <c r="AY29" s="29"/>
      <c r="AZ29" s="29"/>
      <c r="BA29" s="29">
        <v>10</v>
      </c>
      <c r="BB29" s="29">
        <v>6</v>
      </c>
      <c r="BC29" s="29">
        <v>2</v>
      </c>
    </row>
    <row r="30" spans="1:55" x14ac:dyDescent="0.15">
      <c r="A30" s="7">
        <f t="shared" si="0"/>
        <v>17</v>
      </c>
      <c r="C30" s="29">
        <f t="shared" ref="C30:C33" si="3">C29+45</f>
        <v>225</v>
      </c>
      <c r="D30" s="29">
        <f>求节点(节奏总纲!$Q$4:$Q$113,节奏总纲!$O$4:$O$113,$C30)</f>
        <v>80.256315141199948</v>
      </c>
      <c r="E30" s="17"/>
      <c r="F30" s="29"/>
      <c r="G30" s="29"/>
      <c r="H30" s="29"/>
      <c r="I30" s="29"/>
      <c r="J30" s="29">
        <v>6</v>
      </c>
      <c r="K30" s="29"/>
      <c r="L30" s="29"/>
      <c r="M30" s="29"/>
      <c r="N30" s="29" t="str">
        <f>IF(I30="","",MIN(INT(C30/$C$24),武将升星!$G$14))</f>
        <v/>
      </c>
      <c r="O30" s="29">
        <v>1</v>
      </c>
      <c r="P30" s="29" t="str">
        <f>IF(U30="","",IFERROR(IFERROR(MATCH(U30,武将进阶!D$4:D$10,0),MATCH(U30,武将进阶!D$4:D$10,1)+1),1))</f>
        <v/>
      </c>
      <c r="Q30" s="29" t="str">
        <f>IF(V30="","",IFERROR(IFERROR(MATCH(V30,武将进阶!E$4:E$10,0),MATCH(V30,武将进阶!E$4:E$10,1)+1),1))</f>
        <v/>
      </c>
      <c r="R30" s="29" t="str">
        <f>IF(W30="","",IFERROR(IFERROR(MATCH(W30,武将进阶!F$4:F$10,0),MATCH(W30,武将进阶!F$4:F$10,1)+1),1))</f>
        <v/>
      </c>
      <c r="S30" s="29" t="str">
        <f>IF(X30="","",IFERROR(IFERROR(MATCH(X30,武将进阶!G$4:G$10,0),MATCH(X30,武将进阶!G$4:G$10,1)+1),1))</f>
        <v/>
      </c>
      <c r="T30" s="29">
        <f>IF(Y30="","",IFERROR(IFERROR(MATCH(Y30,武将进阶!H$4:H$10,0),MATCH(Y30,武将进阶!H$4:H$10,1)+1),1))</f>
        <v>2</v>
      </c>
      <c r="U30" s="29" t="str">
        <f t="shared" si="1"/>
        <v/>
      </c>
      <c r="V30" s="29" t="str">
        <f t="shared" si="1"/>
        <v/>
      </c>
      <c r="W30" s="29" t="str">
        <f t="shared" si="1"/>
        <v/>
      </c>
      <c r="X30" s="29" t="str">
        <f t="shared" si="1"/>
        <v/>
      </c>
      <c r="Y30" s="29">
        <f t="shared" si="1"/>
        <v>80</v>
      </c>
      <c r="Z30" s="47"/>
      <c r="AA30" s="47"/>
      <c r="AB30" s="47"/>
      <c r="AC30" s="47">
        <v>2</v>
      </c>
      <c r="AD30" s="47">
        <v>1.8</v>
      </c>
      <c r="AE30" s="33"/>
      <c r="AF30" s="33"/>
      <c r="AG30" s="33"/>
      <c r="AH30" s="33"/>
      <c r="AI30" s="33"/>
      <c r="AJ30" s="29"/>
      <c r="AK30" s="29"/>
      <c r="AL30" s="29"/>
      <c r="AM30" s="29"/>
      <c r="AN30" s="29"/>
      <c r="AO30" s="17"/>
      <c r="AP30" s="17"/>
      <c r="AR30" s="7"/>
      <c r="AT30" s="29"/>
      <c r="AU30" s="29"/>
      <c r="AV30" s="29">
        <v>24</v>
      </c>
      <c r="AW30" s="29">
        <v>14</v>
      </c>
      <c r="AX30" s="29">
        <v>9</v>
      </c>
      <c r="AY30" s="29"/>
      <c r="AZ30" s="29"/>
      <c r="BA30" s="29">
        <v>14</v>
      </c>
      <c r="BB30" s="29">
        <v>9</v>
      </c>
      <c r="BC30" s="29">
        <v>3</v>
      </c>
    </row>
    <row r="31" spans="1:55" x14ac:dyDescent="0.15">
      <c r="A31" s="7">
        <f t="shared" si="0"/>
        <v>18</v>
      </c>
      <c r="C31" s="29">
        <f t="shared" si="3"/>
        <v>270</v>
      </c>
      <c r="D31" s="29">
        <f>求节点(节奏总纲!$Q$4:$Q$113,节奏总纲!$O$4:$O$113,$C31)</f>
        <v>82.916268958926821</v>
      </c>
      <c r="E31" s="17"/>
      <c r="F31" s="29"/>
      <c r="G31" s="29"/>
      <c r="H31" s="29"/>
      <c r="I31" s="29"/>
      <c r="J31" s="29">
        <v>6</v>
      </c>
      <c r="K31" s="29"/>
      <c r="L31" s="29"/>
      <c r="M31" s="29"/>
      <c r="N31" s="29" t="str">
        <f>IF(I31="","",MIN(INT(C31/$C$24),武将升星!$G$14))</f>
        <v/>
      </c>
      <c r="O31" s="29">
        <v>2</v>
      </c>
      <c r="P31" s="29" t="str">
        <f>IF(U31="","",IFERROR(IFERROR(MATCH(U31,武将进阶!D$4:D$10,0),MATCH(U31,武将进阶!D$4:D$10,1)+1),1))</f>
        <v/>
      </c>
      <c r="Q31" s="29" t="str">
        <f>IF(V31="","",IFERROR(IFERROR(MATCH(V31,武将进阶!E$4:E$10,0),MATCH(V31,武将进阶!E$4:E$10,1)+1),1))</f>
        <v/>
      </c>
      <c r="R31" s="29" t="str">
        <f>IF(W31="","",IFERROR(IFERROR(MATCH(W31,武将进阶!F$4:F$10,0),MATCH(W31,武将进阶!F$4:F$10,1)+1),1))</f>
        <v/>
      </c>
      <c r="S31" s="29" t="str">
        <f>IF(X31="","",IFERROR(IFERROR(MATCH(X31,武将进阶!G$4:G$10,0),MATCH(X31,武将进阶!G$4:G$10,1)+1),1))</f>
        <v/>
      </c>
      <c r="T31" s="29">
        <f>IF(Y31="","",IFERROR(IFERROR(MATCH(Y31,武将进阶!H$4:H$10,0),MATCH(Y31,武将进阶!H$4:H$10,1)+1),1))</f>
        <v>2</v>
      </c>
      <c r="U31" s="29" t="str">
        <f t="shared" si="1"/>
        <v/>
      </c>
      <c r="V31" s="29" t="str">
        <f t="shared" si="1"/>
        <v/>
      </c>
      <c r="W31" s="29" t="str">
        <f t="shared" si="1"/>
        <v/>
      </c>
      <c r="X31" s="29" t="str">
        <f t="shared" si="1"/>
        <v/>
      </c>
      <c r="Y31" s="29">
        <f t="shared" si="1"/>
        <v>82</v>
      </c>
      <c r="Z31" s="47"/>
      <c r="AA31" s="47"/>
      <c r="AB31" s="47"/>
      <c r="AC31" s="47">
        <v>2</v>
      </c>
      <c r="AD31" s="47">
        <v>2</v>
      </c>
      <c r="AE31" s="33"/>
      <c r="AF31" s="33"/>
      <c r="AG31" s="33"/>
      <c r="AH31" s="33"/>
      <c r="AI31" s="33"/>
      <c r="AJ31" s="29"/>
      <c r="AK31" s="29"/>
      <c r="AL31" s="29"/>
      <c r="AM31" s="29"/>
      <c r="AN31" s="29"/>
      <c r="AO31" s="17"/>
      <c r="AP31" s="17"/>
      <c r="AR31" s="7"/>
      <c r="AT31" s="29"/>
      <c r="AU31" s="29"/>
      <c r="AV31" s="29">
        <v>30</v>
      </c>
      <c r="AW31" s="29">
        <v>18</v>
      </c>
      <c r="AX31" s="29">
        <v>12</v>
      </c>
      <c r="AY31" s="29"/>
      <c r="AZ31" s="29"/>
      <c r="BA31" s="29">
        <v>18</v>
      </c>
      <c r="BB31" s="29">
        <v>12</v>
      </c>
      <c r="BC31" s="29">
        <v>6</v>
      </c>
    </row>
    <row r="32" spans="1:55" x14ac:dyDescent="0.15">
      <c r="A32" s="7">
        <f t="shared" si="0"/>
        <v>19</v>
      </c>
      <c r="C32" s="29">
        <f t="shared" si="3"/>
        <v>315</v>
      </c>
      <c r="D32" s="29">
        <f>求节点(节奏总纲!$Q$4:$Q$113,节奏总纲!$O$4:$O$113,$C32)</f>
        <v>85.147178897252829</v>
      </c>
      <c r="F32" s="29"/>
      <c r="G32" s="29"/>
      <c r="H32" s="29"/>
      <c r="I32" s="29"/>
      <c r="J32" s="29">
        <v>6</v>
      </c>
      <c r="K32" s="29"/>
      <c r="L32" s="29"/>
      <c r="M32" s="29"/>
      <c r="N32" s="29" t="str">
        <f>IF(I32="","",MIN(INT(C32/$C$24),武将升星!$G$14))</f>
        <v/>
      </c>
      <c r="O32" s="29">
        <v>3</v>
      </c>
      <c r="P32" s="29" t="str">
        <f>IF(U32="","",IFERROR(IFERROR(MATCH(U32,武将进阶!D$4:D$10,0),MATCH(U32,武将进阶!D$4:D$10,1)+1),1))</f>
        <v/>
      </c>
      <c r="Q32" s="29" t="str">
        <f>IF(V32="","",IFERROR(IFERROR(MATCH(V32,武将进阶!E$4:E$10,0),MATCH(V32,武将进阶!E$4:E$10,1)+1),1))</f>
        <v/>
      </c>
      <c r="R32" s="29" t="str">
        <f>IF(W32="","",IFERROR(IFERROR(MATCH(W32,武将进阶!F$4:F$10,0),MATCH(W32,武将进阶!F$4:F$10,1)+1),1))</f>
        <v/>
      </c>
      <c r="S32" s="29" t="str">
        <f>IF(X32="","",IFERROR(IFERROR(MATCH(X32,武将进阶!G$4:G$10,0),MATCH(X32,武将进阶!G$4:G$10,1)+1),1))</f>
        <v/>
      </c>
      <c r="T32" s="29">
        <f>IF(Y32="","",IFERROR(IFERROR(MATCH(Y32,武将进阶!H$4:H$10,0),MATCH(Y32,武将进阶!H$4:H$10,1)+1),1))</f>
        <v>2</v>
      </c>
      <c r="U32" s="29" t="str">
        <f t="shared" si="1"/>
        <v/>
      </c>
      <c r="V32" s="29" t="str">
        <f t="shared" si="1"/>
        <v/>
      </c>
      <c r="W32" s="29" t="str">
        <f t="shared" si="1"/>
        <v/>
      </c>
      <c r="X32" s="29" t="str">
        <f t="shared" si="1"/>
        <v/>
      </c>
      <c r="Y32" s="29">
        <f t="shared" si="1"/>
        <v>85</v>
      </c>
      <c r="Z32" s="47"/>
      <c r="AA32" s="47"/>
      <c r="AB32" s="47"/>
      <c r="AC32" s="47">
        <v>2</v>
      </c>
      <c r="AD32" s="47">
        <v>2</v>
      </c>
      <c r="AE32" s="33"/>
      <c r="AF32" s="33"/>
      <c r="AG32" s="33"/>
      <c r="AH32" s="33"/>
      <c r="AI32" s="33"/>
      <c r="AJ32" s="29"/>
      <c r="AK32" s="29"/>
      <c r="AL32" s="29"/>
      <c r="AM32" s="29"/>
      <c r="AN32" s="29"/>
      <c r="AO32" s="17"/>
      <c r="AP32" s="17"/>
      <c r="AR32" s="7"/>
      <c r="AT32" s="29"/>
      <c r="AU32" s="29"/>
      <c r="AV32" s="29">
        <v>30</v>
      </c>
      <c r="AW32" s="29">
        <v>18</v>
      </c>
      <c r="AX32" s="29">
        <v>12</v>
      </c>
      <c r="AY32" s="29"/>
      <c r="AZ32" s="29"/>
      <c r="BA32" s="29">
        <v>18</v>
      </c>
      <c r="BB32" s="29">
        <v>12</v>
      </c>
      <c r="BC32" s="29">
        <v>6</v>
      </c>
    </row>
    <row r="33" spans="1:55" x14ac:dyDescent="0.15">
      <c r="A33" s="7">
        <f t="shared" si="0"/>
        <v>20</v>
      </c>
      <c r="C33" s="29">
        <f t="shared" si="3"/>
        <v>360</v>
      </c>
      <c r="D33" s="29">
        <f>求节点(节奏总纲!$Q$4:$Q$113,节奏总纲!$O$4:$O$113,$C33)</f>
        <v>87.064762367263285</v>
      </c>
      <c r="E33" s="17"/>
      <c r="F33" s="29"/>
      <c r="G33" s="29"/>
      <c r="H33" s="29"/>
      <c r="I33" s="29"/>
      <c r="J33" s="29">
        <v>6</v>
      </c>
      <c r="K33" s="29"/>
      <c r="L33" s="29"/>
      <c r="M33" s="29"/>
      <c r="N33" s="29" t="str">
        <f>IF(I33="","",MIN(INT(C33/$C$24),武将升星!$G$14))</f>
        <v/>
      </c>
      <c r="O33" s="29">
        <v>4</v>
      </c>
      <c r="P33" s="29" t="str">
        <f>IF(U33="","",IFERROR(IFERROR(MATCH(U33,武将进阶!D$4:D$10,0),MATCH(U33,武将进阶!D$4:D$10,1)+1),1))</f>
        <v/>
      </c>
      <c r="Q33" s="29" t="str">
        <f>IF(V33="","",IFERROR(IFERROR(MATCH(V33,武将进阶!E$4:E$10,0),MATCH(V33,武将进阶!E$4:E$10,1)+1),1))</f>
        <v/>
      </c>
      <c r="R33" s="29" t="str">
        <f>IF(W33="","",IFERROR(IFERROR(MATCH(W33,武将进阶!F$4:F$10,0),MATCH(W33,武将进阶!F$4:F$10,1)+1),1))</f>
        <v/>
      </c>
      <c r="S33" s="29" t="str">
        <f>IF(X33="","",IFERROR(IFERROR(MATCH(X33,武将进阶!G$4:G$10,0),MATCH(X33,武将进阶!G$4:G$10,1)+1),1))</f>
        <v/>
      </c>
      <c r="T33" s="29">
        <f>IF(Y33="","",IFERROR(IFERROR(MATCH(Y33,武将进阶!H$4:H$10,0),MATCH(Y33,武将进阶!H$4:H$10,1)+1),1))</f>
        <v>2</v>
      </c>
      <c r="U33" s="29" t="str">
        <f t="shared" si="1"/>
        <v/>
      </c>
      <c r="V33" s="29" t="str">
        <f t="shared" si="1"/>
        <v/>
      </c>
      <c r="W33" s="29" t="str">
        <f t="shared" si="1"/>
        <v/>
      </c>
      <c r="X33" s="29" t="str">
        <f t="shared" si="1"/>
        <v/>
      </c>
      <c r="Y33" s="29">
        <f t="shared" si="1"/>
        <v>87</v>
      </c>
      <c r="Z33" s="47"/>
      <c r="AA33" s="47"/>
      <c r="AB33" s="47"/>
      <c r="AC33" s="47">
        <v>2</v>
      </c>
      <c r="AD33" s="47">
        <v>2</v>
      </c>
      <c r="AE33" s="33"/>
      <c r="AF33" s="33"/>
      <c r="AG33" s="33"/>
      <c r="AH33" s="33"/>
      <c r="AI33" s="33"/>
      <c r="AJ33" s="29"/>
      <c r="AK33" s="29"/>
      <c r="AL33" s="29"/>
      <c r="AM33" s="29"/>
      <c r="AN33" s="29"/>
      <c r="AO33" s="17"/>
      <c r="AP33" s="17"/>
      <c r="AR33" s="7"/>
      <c r="AT33" s="29"/>
      <c r="AU33" s="29"/>
      <c r="AV33" s="29">
        <v>30</v>
      </c>
      <c r="AW33" s="29">
        <v>18</v>
      </c>
      <c r="AX33" s="29">
        <v>12</v>
      </c>
      <c r="AY33" s="29"/>
      <c r="AZ33" s="29"/>
      <c r="BA33" s="29">
        <v>18</v>
      </c>
      <c r="BB33" s="29">
        <v>12</v>
      </c>
      <c r="BC33" s="29">
        <v>6</v>
      </c>
    </row>
    <row r="34" spans="1:55" x14ac:dyDescent="0.15">
      <c r="A34" s="7">
        <f t="shared" si="0"/>
        <v>21</v>
      </c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R34" s="7"/>
    </row>
    <row r="35" spans="1:55" x14ac:dyDescent="0.15">
      <c r="A35" s="7">
        <f t="shared" si="0"/>
        <v>22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R35" s="7"/>
    </row>
    <row r="36" spans="1:55" x14ac:dyDescent="0.15">
      <c r="A36" s="7">
        <f t="shared" si="0"/>
        <v>23</v>
      </c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R36" s="7"/>
    </row>
    <row r="37" spans="1:55" ht="13.5" customHeight="1" x14ac:dyDescent="0.15">
      <c r="A37" s="7">
        <v>1</v>
      </c>
      <c r="C37" s="160" t="s">
        <v>174</v>
      </c>
      <c r="D37" s="160"/>
      <c r="E37" s="17"/>
      <c r="F37" s="160" t="s">
        <v>178</v>
      </c>
      <c r="G37" s="160"/>
      <c r="H37" s="160"/>
      <c r="I37" s="160"/>
      <c r="J37" s="160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0"/>
      <c r="W37" s="160"/>
      <c r="X37" s="160"/>
      <c r="Y37" s="160"/>
      <c r="Z37" s="160"/>
      <c r="AA37" s="160"/>
      <c r="AB37" s="160"/>
      <c r="AC37" s="160"/>
      <c r="AD37" s="160"/>
      <c r="AE37" s="160"/>
      <c r="AF37" s="160"/>
      <c r="AG37" s="160"/>
      <c r="AH37" s="160"/>
      <c r="AI37" s="160"/>
      <c r="AJ37" s="160"/>
      <c r="AK37" s="160"/>
      <c r="AL37" s="160"/>
      <c r="AM37" s="160"/>
      <c r="AN37" s="160"/>
      <c r="AO37" s="17"/>
      <c r="AP37" s="17"/>
      <c r="AQ37" s="17"/>
      <c r="AR37" s="7"/>
      <c r="AT37" s="159" t="s">
        <v>263</v>
      </c>
      <c r="AU37" s="159"/>
      <c r="AV37" s="159"/>
      <c r="AW37" s="159"/>
      <c r="AX37" s="159"/>
      <c r="AY37" s="159" t="s">
        <v>263</v>
      </c>
      <c r="AZ37" s="159"/>
      <c r="BA37" s="159"/>
      <c r="BB37" s="159"/>
      <c r="BC37" s="159"/>
    </row>
    <row r="38" spans="1:55" x14ac:dyDescent="0.15">
      <c r="A38" s="7">
        <f t="shared" ref="A38:A59" si="4">A37+1</f>
        <v>2</v>
      </c>
      <c r="C38" s="160"/>
      <c r="D38" s="160"/>
      <c r="E38" s="17"/>
      <c r="F38" s="160" t="s">
        <v>821</v>
      </c>
      <c r="G38" s="160"/>
      <c r="H38" s="160"/>
      <c r="I38" s="160"/>
      <c r="J38" s="160"/>
      <c r="K38" s="160" t="s">
        <v>150</v>
      </c>
      <c r="L38" s="160"/>
      <c r="M38" s="160"/>
      <c r="N38" s="160"/>
      <c r="O38" s="160"/>
      <c r="P38" s="160" t="s">
        <v>177</v>
      </c>
      <c r="Q38" s="160"/>
      <c r="R38" s="160"/>
      <c r="S38" s="160"/>
      <c r="T38" s="160"/>
      <c r="U38" s="160" t="s">
        <v>151</v>
      </c>
      <c r="V38" s="160"/>
      <c r="W38" s="160"/>
      <c r="X38" s="160"/>
      <c r="Y38" s="160"/>
      <c r="Z38" s="161"/>
      <c r="AA38" s="162"/>
      <c r="AB38" s="162"/>
      <c r="AC38" s="162"/>
      <c r="AD38" s="163"/>
      <c r="AE38" s="161"/>
      <c r="AF38" s="162"/>
      <c r="AG38" s="162"/>
      <c r="AH38" s="162"/>
      <c r="AI38" s="163"/>
      <c r="AJ38" s="160"/>
      <c r="AK38" s="160"/>
      <c r="AL38" s="160"/>
      <c r="AM38" s="160"/>
      <c r="AN38" s="160"/>
      <c r="AO38" s="17"/>
      <c r="AP38" s="17"/>
      <c r="AQ38" s="17"/>
      <c r="AR38" s="7"/>
      <c r="AT38" s="160" t="s">
        <v>264</v>
      </c>
      <c r="AU38" s="160"/>
      <c r="AV38" s="160"/>
      <c r="AW38" s="160"/>
      <c r="AX38" s="160"/>
      <c r="AY38" s="160" t="s">
        <v>265</v>
      </c>
      <c r="AZ38" s="160"/>
      <c r="BA38" s="160"/>
      <c r="BB38" s="160"/>
      <c r="BC38" s="160"/>
    </row>
    <row r="39" spans="1:55" x14ac:dyDescent="0.15">
      <c r="A39" s="7">
        <f t="shared" si="4"/>
        <v>3</v>
      </c>
      <c r="B39" s="1" t="s">
        <v>181</v>
      </c>
      <c r="C39" s="29" t="s">
        <v>170</v>
      </c>
      <c r="D39" s="29" t="s">
        <v>484</v>
      </c>
      <c r="E39" s="17"/>
      <c r="F39" s="29" t="s">
        <v>3</v>
      </c>
      <c r="G39" s="29" t="s">
        <v>1</v>
      </c>
      <c r="H39" s="29" t="s">
        <v>2</v>
      </c>
      <c r="I39" s="29" t="s">
        <v>0</v>
      </c>
      <c r="J39" s="29" t="s">
        <v>545</v>
      </c>
      <c r="K39" s="29" t="s">
        <v>3</v>
      </c>
      <c r="L39" s="29" t="s">
        <v>1</v>
      </c>
      <c r="M39" s="29" t="s">
        <v>2</v>
      </c>
      <c r="N39" s="29" t="s">
        <v>0</v>
      </c>
      <c r="O39" s="29" t="s">
        <v>545</v>
      </c>
      <c r="P39" s="29" t="s">
        <v>3</v>
      </c>
      <c r="Q39" s="29" t="s">
        <v>1</v>
      </c>
      <c r="R39" s="29" t="s">
        <v>2</v>
      </c>
      <c r="S39" s="29" t="s">
        <v>0</v>
      </c>
      <c r="T39" s="29" t="s">
        <v>545</v>
      </c>
      <c r="U39" s="29" t="s">
        <v>3</v>
      </c>
      <c r="V39" s="29" t="s">
        <v>1</v>
      </c>
      <c r="W39" s="29" t="s">
        <v>2</v>
      </c>
      <c r="X39" s="29" t="s">
        <v>0</v>
      </c>
      <c r="Y39" s="29" t="s">
        <v>545</v>
      </c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17"/>
      <c r="AP39" s="17"/>
      <c r="AQ39" s="17"/>
      <c r="AR39" s="7"/>
      <c r="AT39" s="29" t="s">
        <v>3</v>
      </c>
      <c r="AU39" s="29" t="s">
        <v>1</v>
      </c>
      <c r="AV39" s="29" t="s">
        <v>2</v>
      </c>
      <c r="AW39" s="29" t="s">
        <v>0</v>
      </c>
      <c r="AX39" s="29" t="s">
        <v>545</v>
      </c>
      <c r="AY39" s="29" t="s">
        <v>3</v>
      </c>
      <c r="AZ39" s="29" t="s">
        <v>1</v>
      </c>
      <c r="BA39" s="29" t="s">
        <v>2</v>
      </c>
      <c r="BB39" s="29" t="s">
        <v>0</v>
      </c>
      <c r="BC39" s="29" t="s">
        <v>545</v>
      </c>
    </row>
    <row r="40" spans="1:55" x14ac:dyDescent="0.15">
      <c r="A40" s="7">
        <f t="shared" si="4"/>
        <v>4</v>
      </c>
      <c r="B40" s="17">
        <f t="shared" ref="B40:B45" si="5">1/1.5</f>
        <v>0.66666666666666663</v>
      </c>
      <c r="C40" s="29">
        <f t="shared" ref="C40:C45" si="6">C17*B40</f>
        <v>0.5</v>
      </c>
      <c r="D40" s="29">
        <f>求节点(节奏总纲!$Q$4:$Q$113,节奏总纲!$O$4:$O$113,$C40)</f>
        <v>6.6396885144047246</v>
      </c>
      <c r="E40" s="17"/>
      <c r="F40" s="29"/>
      <c r="G40" s="29">
        <v>3</v>
      </c>
      <c r="H40" s="29">
        <v>2</v>
      </c>
      <c r="I40" s="29">
        <v>1</v>
      </c>
      <c r="J40" s="29"/>
      <c r="K40" s="29"/>
      <c r="L40" s="29">
        <v>0</v>
      </c>
      <c r="M40" s="29">
        <v>0</v>
      </c>
      <c r="N40" s="29">
        <f>IF(I40="","",MIN(INT(C40/$C$46),武将升星!$G$14))</f>
        <v>0</v>
      </c>
      <c r="O40" s="29"/>
      <c r="P40" s="29" t="str">
        <f>IF(U40="","",IFERROR(IFERROR(MATCH(U40,武将进阶!D$4:D$10,0),MATCH(U40,武将进阶!D$4:D$10,1)+1),1))</f>
        <v/>
      </c>
      <c r="Q40" s="29">
        <f>IF(V40="","",IFERROR(IFERROR(MATCH(V40,武将进阶!E$4:E$10,0),MATCH(V40,武将进阶!E$4:E$10,1)+1),1))</f>
        <v>1</v>
      </c>
      <c r="R40" s="29">
        <f>IF(W40="","",IFERROR(IFERROR(MATCH(W40,武将进阶!F$4:F$10,0),MATCH(W40,武将进阶!F$4:F$10,1)+1),1))</f>
        <v>1</v>
      </c>
      <c r="S40" s="29">
        <f>IF(X40="","",IFERROR(IFERROR(MATCH(X40,武将进阶!G$4:G$10,0),MATCH(X40,武将进阶!G$4:G$10,1)+1),1))</f>
        <v>1</v>
      </c>
      <c r="T40" s="29" t="str">
        <f>IF(Y40="","",IFERROR(IFERROR(MATCH(Y40,武将进阶!H$4:H$10,0),MATCH(Y40,武将进阶!H$4:H$10,1)+1),1))</f>
        <v/>
      </c>
      <c r="U40" s="29" t="str">
        <f t="shared" ref="U40:Y56" si="7">IF(F40="","",INT($D40))</f>
        <v/>
      </c>
      <c r="V40" s="29">
        <f t="shared" si="7"/>
        <v>6</v>
      </c>
      <c r="W40" s="29">
        <f t="shared" si="7"/>
        <v>6</v>
      </c>
      <c r="X40" s="29">
        <f t="shared" si="7"/>
        <v>6</v>
      </c>
      <c r="Y40" s="29" t="str">
        <f t="shared" si="7"/>
        <v/>
      </c>
      <c r="Z40" s="20"/>
      <c r="AA40" s="20"/>
      <c r="AB40" s="20"/>
      <c r="AC40" s="20"/>
      <c r="AD40" s="20"/>
      <c r="AE40" s="33"/>
      <c r="AF40" s="33"/>
      <c r="AG40" s="33"/>
      <c r="AH40" s="33"/>
      <c r="AI40" s="33"/>
      <c r="AJ40" s="29"/>
      <c r="AK40" s="29"/>
      <c r="AL40" s="29"/>
      <c r="AM40" s="29"/>
      <c r="AN40" s="29"/>
      <c r="AO40" s="17"/>
      <c r="AP40" s="17"/>
      <c r="AQ40" s="17"/>
      <c r="AR40" s="7"/>
      <c r="AT40" s="29"/>
      <c r="AU40" s="29"/>
      <c r="AV40" s="29"/>
      <c r="AW40" s="29"/>
      <c r="AX40" s="29"/>
      <c r="AY40" s="29"/>
      <c r="AZ40" s="29"/>
      <c r="BA40" s="29"/>
      <c r="BB40" s="29"/>
      <c r="BC40" s="29"/>
    </row>
    <row r="41" spans="1:55" x14ac:dyDescent="0.15">
      <c r="A41" s="7">
        <f t="shared" si="4"/>
        <v>5</v>
      </c>
      <c r="B41" s="17">
        <f t="shared" si="5"/>
        <v>0.66666666666666663</v>
      </c>
      <c r="C41" s="29">
        <f t="shared" si="6"/>
        <v>1</v>
      </c>
      <c r="D41" s="29">
        <f>求节点(节奏总纲!$Q$4:$Q$113,节奏总纲!$O$4:$O$113,$C41)</f>
        <v>11.148446722089302</v>
      </c>
      <c r="E41" s="17"/>
      <c r="F41" s="29"/>
      <c r="G41" s="29">
        <v>1</v>
      </c>
      <c r="H41" s="29">
        <v>3</v>
      </c>
      <c r="I41" s="29">
        <v>2</v>
      </c>
      <c r="J41" s="29"/>
      <c r="K41" s="29"/>
      <c r="L41" s="29">
        <v>0</v>
      </c>
      <c r="M41" s="29">
        <v>0</v>
      </c>
      <c r="N41" s="29">
        <f>IF(I41="","",MIN(INT(C41/$C$46),武将升星!$G$14))</f>
        <v>0</v>
      </c>
      <c r="O41" s="29"/>
      <c r="P41" s="29" t="str">
        <f>IF(U41="","",IFERROR(IFERROR(MATCH(U41,武将进阶!D$4:D$10,0),MATCH(U41,武将进阶!D$4:D$10,1)+1),1))</f>
        <v/>
      </c>
      <c r="Q41" s="29">
        <f>IF(V41="","",IFERROR(IFERROR(MATCH(V41,武将进阶!E$4:E$10,0),MATCH(V41,武将进阶!E$4:E$10,1)+1),1))</f>
        <v>1</v>
      </c>
      <c r="R41" s="29">
        <f>IF(W41="","",IFERROR(IFERROR(MATCH(W41,武将进阶!F$4:F$10,0),MATCH(W41,武将进阶!F$4:F$10,1)+1),1))</f>
        <v>1</v>
      </c>
      <c r="S41" s="29">
        <f>IF(X41="","",IFERROR(IFERROR(MATCH(X41,武将进阶!G$4:G$10,0),MATCH(X41,武将进阶!G$4:G$10,1)+1),1))</f>
        <v>1</v>
      </c>
      <c r="T41" s="29" t="str">
        <f>IF(Y41="","",IFERROR(IFERROR(MATCH(Y41,武将进阶!H$4:H$10,0),MATCH(Y41,武将进阶!H$4:H$10,1)+1),1))</f>
        <v/>
      </c>
      <c r="U41" s="29" t="str">
        <f t="shared" si="7"/>
        <v/>
      </c>
      <c r="V41" s="29">
        <f t="shared" si="7"/>
        <v>11</v>
      </c>
      <c r="W41" s="29">
        <f t="shared" si="7"/>
        <v>11</v>
      </c>
      <c r="X41" s="29">
        <f t="shared" si="7"/>
        <v>11</v>
      </c>
      <c r="Y41" s="29" t="str">
        <f t="shared" si="7"/>
        <v/>
      </c>
      <c r="Z41" s="20"/>
      <c r="AA41" s="20"/>
      <c r="AB41" s="20"/>
      <c r="AC41" s="20"/>
      <c r="AD41" s="20"/>
      <c r="AE41" s="33"/>
      <c r="AF41" s="33"/>
      <c r="AG41" s="33"/>
      <c r="AH41" s="33"/>
      <c r="AI41" s="33"/>
      <c r="AJ41" s="29"/>
      <c r="AK41" s="29"/>
      <c r="AL41" s="29"/>
      <c r="AM41" s="29"/>
      <c r="AN41" s="29"/>
      <c r="AO41" s="17"/>
      <c r="AP41" s="17"/>
      <c r="AQ41" s="17"/>
      <c r="AR41" s="7"/>
      <c r="AT41" s="29"/>
      <c r="AU41" s="29"/>
      <c r="AV41" s="29">
        <v>1</v>
      </c>
      <c r="AW41" s="29"/>
      <c r="AX41" s="29"/>
      <c r="AY41" s="29"/>
      <c r="AZ41" s="29"/>
      <c r="BA41" s="29"/>
      <c r="BB41" s="29"/>
      <c r="BC41" s="29"/>
    </row>
    <row r="42" spans="1:55" x14ac:dyDescent="0.15">
      <c r="A42" s="7">
        <f t="shared" si="4"/>
        <v>6</v>
      </c>
      <c r="B42" s="17">
        <f t="shared" si="5"/>
        <v>0.66666666666666663</v>
      </c>
      <c r="C42" s="29">
        <f t="shared" si="6"/>
        <v>2</v>
      </c>
      <c r="D42" s="29">
        <f>求节点(节奏总纲!$Q$4:$Q$113,节奏总纲!$O$4:$O$113,$C42)</f>
        <v>17.271997130667014</v>
      </c>
      <c r="E42" s="17"/>
      <c r="F42" s="29"/>
      <c r="G42" s="29"/>
      <c r="H42" s="29">
        <v>3</v>
      </c>
      <c r="I42" s="29">
        <v>3</v>
      </c>
      <c r="J42" s="29"/>
      <c r="K42" s="29"/>
      <c r="L42" s="29"/>
      <c r="M42" s="29">
        <v>0</v>
      </c>
      <c r="N42" s="29">
        <f>IF(I42="","",MIN(INT(C42/$C$46),武将升星!$G$14))</f>
        <v>0</v>
      </c>
      <c r="O42" s="29"/>
      <c r="P42" s="29" t="str">
        <f>IF(U42="","",IFERROR(IFERROR(MATCH(U42,武将进阶!D$4:D$10,0),MATCH(U42,武将进阶!D$4:D$10,1)+1),1))</f>
        <v/>
      </c>
      <c r="Q42" s="29" t="str">
        <f>IF(V42="","",IFERROR(IFERROR(MATCH(V42,武将进阶!E$4:E$10,0),MATCH(V42,武将进阶!E$4:E$10,1)+1),1))</f>
        <v/>
      </c>
      <c r="R42" s="29">
        <f>IF(W42="","",IFERROR(IFERROR(MATCH(W42,武将进阶!F$4:F$10,0),MATCH(W42,武将进阶!F$4:F$10,1)+1),1))</f>
        <v>1</v>
      </c>
      <c r="S42" s="29">
        <f>IF(X42="","",IFERROR(IFERROR(MATCH(X42,武将进阶!G$4:G$10,0),MATCH(X42,武将进阶!G$4:G$10,1)+1),1))</f>
        <v>1</v>
      </c>
      <c r="T42" s="29" t="str">
        <f>IF(Y42="","",IFERROR(IFERROR(MATCH(Y42,武将进阶!H$4:H$10,0),MATCH(Y42,武将进阶!H$4:H$10,1)+1),1))</f>
        <v/>
      </c>
      <c r="U42" s="29" t="str">
        <f t="shared" si="7"/>
        <v/>
      </c>
      <c r="V42" s="29" t="str">
        <f t="shared" si="7"/>
        <v/>
      </c>
      <c r="W42" s="29">
        <f t="shared" si="7"/>
        <v>17</v>
      </c>
      <c r="X42" s="29">
        <f t="shared" si="7"/>
        <v>17</v>
      </c>
      <c r="Y42" s="29" t="str">
        <f t="shared" si="7"/>
        <v/>
      </c>
      <c r="Z42" s="20"/>
      <c r="AA42" s="20"/>
      <c r="AB42" s="20"/>
      <c r="AC42" s="20"/>
      <c r="AD42" s="20"/>
      <c r="AE42" s="33"/>
      <c r="AF42" s="33"/>
      <c r="AG42" s="33"/>
      <c r="AH42" s="33"/>
      <c r="AI42" s="33"/>
      <c r="AJ42" s="29"/>
      <c r="AK42" s="29"/>
      <c r="AL42" s="29"/>
      <c r="AM42" s="29"/>
      <c r="AN42" s="29"/>
      <c r="AO42" s="17"/>
      <c r="AP42" s="17"/>
      <c r="AQ42" s="17"/>
      <c r="AR42" s="7"/>
      <c r="AT42" s="29"/>
      <c r="AU42" s="29"/>
      <c r="AV42" s="29">
        <v>1</v>
      </c>
      <c r="AW42" s="29"/>
      <c r="AX42" s="29"/>
      <c r="AY42" s="29"/>
      <c r="AZ42" s="29"/>
      <c r="BA42" s="29"/>
      <c r="BB42" s="29"/>
      <c r="BC42" s="29"/>
    </row>
    <row r="43" spans="1:55" x14ac:dyDescent="0.15">
      <c r="A43" s="7">
        <f t="shared" si="4"/>
        <v>7</v>
      </c>
      <c r="B43" s="17">
        <f t="shared" si="5"/>
        <v>0.66666666666666663</v>
      </c>
      <c r="C43" s="29">
        <f t="shared" si="6"/>
        <v>3</v>
      </c>
      <c r="D43" s="29">
        <f>求节点(节奏总纲!$Q$4:$Q$113,节奏总纲!$O$4:$O$113,$C43)</f>
        <v>21.543844702365945</v>
      </c>
      <c r="E43" s="17"/>
      <c r="F43" s="29"/>
      <c r="G43" s="29"/>
      <c r="H43" s="29">
        <v>2</v>
      </c>
      <c r="I43" s="29">
        <v>4</v>
      </c>
      <c r="J43" s="29"/>
      <c r="K43" s="29"/>
      <c r="L43" s="29"/>
      <c r="M43" s="29">
        <v>0</v>
      </c>
      <c r="N43" s="29">
        <f>IF(I43="","",MIN(INT(C43/$C$46),武将升星!$G$14))</f>
        <v>0</v>
      </c>
      <c r="O43" s="29"/>
      <c r="P43" s="29" t="str">
        <f>IF(U43="","",IFERROR(IFERROR(MATCH(U43,武将进阶!D$4:D$10,0),MATCH(U43,武将进阶!D$4:D$10,1)+1),1))</f>
        <v/>
      </c>
      <c r="Q43" s="29" t="str">
        <f>IF(V43="","",IFERROR(IFERROR(MATCH(V43,武将进阶!E$4:E$10,0),MATCH(V43,武将进阶!E$4:E$10,1)+1),1))</f>
        <v/>
      </c>
      <c r="R43" s="29">
        <f>IF(W43="","",IFERROR(IFERROR(MATCH(W43,武将进阶!F$4:F$10,0),MATCH(W43,武将进阶!F$4:F$10,1)+1),1))</f>
        <v>1</v>
      </c>
      <c r="S43" s="29">
        <f>IF(X43="","",IFERROR(IFERROR(MATCH(X43,武将进阶!G$4:G$10,0),MATCH(X43,武将进阶!G$4:G$10,1)+1),1))</f>
        <v>1</v>
      </c>
      <c r="T43" s="29" t="str">
        <f>IF(Y43="","",IFERROR(IFERROR(MATCH(Y43,武将进阶!H$4:H$10,0),MATCH(Y43,武将进阶!H$4:H$10,1)+1),1))</f>
        <v/>
      </c>
      <c r="U43" s="29" t="str">
        <f t="shared" si="7"/>
        <v/>
      </c>
      <c r="V43" s="29" t="str">
        <f t="shared" si="7"/>
        <v/>
      </c>
      <c r="W43" s="29">
        <f t="shared" si="7"/>
        <v>21</v>
      </c>
      <c r="X43" s="29">
        <f t="shared" si="7"/>
        <v>21</v>
      </c>
      <c r="Y43" s="29" t="str">
        <f t="shared" si="7"/>
        <v/>
      </c>
      <c r="Z43" s="20"/>
      <c r="AA43" s="20"/>
      <c r="AB43" s="20"/>
      <c r="AC43" s="20"/>
      <c r="AD43" s="20"/>
      <c r="AE43" s="33"/>
      <c r="AF43" s="33"/>
      <c r="AG43" s="33"/>
      <c r="AH43" s="33"/>
      <c r="AI43" s="33"/>
      <c r="AJ43" s="29"/>
      <c r="AK43" s="29"/>
      <c r="AL43" s="29"/>
      <c r="AM43" s="29"/>
      <c r="AN43" s="29"/>
      <c r="AO43" s="17"/>
      <c r="AP43" s="17"/>
      <c r="AQ43" s="17"/>
      <c r="AR43" s="7"/>
      <c r="AT43" s="29"/>
      <c r="AU43" s="29"/>
      <c r="AV43" s="29">
        <v>2</v>
      </c>
      <c r="AW43" s="29"/>
      <c r="AX43" s="29"/>
      <c r="AY43" s="29"/>
      <c r="AZ43" s="29"/>
      <c r="BA43" s="29"/>
      <c r="BB43" s="29"/>
      <c r="BC43" s="29"/>
    </row>
    <row r="44" spans="1:55" x14ac:dyDescent="0.15">
      <c r="A44" s="7">
        <f t="shared" si="4"/>
        <v>8</v>
      </c>
      <c r="B44" s="17">
        <f t="shared" si="5"/>
        <v>0.66666666666666663</v>
      </c>
      <c r="C44" s="29">
        <f t="shared" si="6"/>
        <v>4</v>
      </c>
      <c r="D44" s="29">
        <f>求节点(节奏总纲!$Q$4:$Q$113,节奏总纲!$O$4:$O$113,$C44)</f>
        <v>24.836966034810484</v>
      </c>
      <c r="E44" s="17"/>
      <c r="F44" s="29"/>
      <c r="G44" s="29"/>
      <c r="H44" s="29">
        <v>1</v>
      </c>
      <c r="I44" s="29">
        <v>5</v>
      </c>
      <c r="J44" s="29"/>
      <c r="K44" s="29"/>
      <c r="L44" s="29"/>
      <c r="M44" s="29">
        <v>0</v>
      </c>
      <c r="N44" s="29">
        <f>IF(I44="","",MIN(INT(C44/$C$46),武将升星!$G$14))</f>
        <v>0</v>
      </c>
      <c r="O44" s="29"/>
      <c r="P44" s="29" t="str">
        <f>IF(U44="","",IFERROR(IFERROR(MATCH(U44,武将进阶!D$4:D$10,0),MATCH(U44,武将进阶!D$4:D$10,1)+1),1))</f>
        <v/>
      </c>
      <c r="Q44" s="29" t="str">
        <f>IF(V44="","",IFERROR(IFERROR(MATCH(V44,武将进阶!E$4:E$10,0),MATCH(V44,武将进阶!E$4:E$10,1)+1),1))</f>
        <v/>
      </c>
      <c r="R44" s="29">
        <f>IF(W44="","",IFERROR(IFERROR(MATCH(W44,武将进阶!F$4:F$10,0),MATCH(W44,武将进阶!F$4:F$10,1)+1),1))</f>
        <v>1</v>
      </c>
      <c r="S44" s="29">
        <f>IF(X44="","",IFERROR(IFERROR(MATCH(X44,武将进阶!G$4:G$10,0),MATCH(X44,武将进阶!G$4:G$10,1)+1),1))</f>
        <v>1</v>
      </c>
      <c r="T44" s="29" t="str">
        <f>IF(Y44="","",IFERROR(IFERROR(MATCH(Y44,武将进阶!H$4:H$10,0),MATCH(Y44,武将进阶!H$4:H$10,1)+1),1))</f>
        <v/>
      </c>
      <c r="U44" s="29" t="str">
        <f t="shared" si="7"/>
        <v/>
      </c>
      <c r="V44" s="29" t="str">
        <f t="shared" si="7"/>
        <v/>
      </c>
      <c r="W44" s="29">
        <f t="shared" si="7"/>
        <v>24</v>
      </c>
      <c r="X44" s="29">
        <f t="shared" si="7"/>
        <v>24</v>
      </c>
      <c r="Y44" s="29" t="str">
        <f t="shared" si="7"/>
        <v/>
      </c>
      <c r="Z44" s="20"/>
      <c r="AA44" s="20"/>
      <c r="AB44" s="20"/>
      <c r="AC44" s="20"/>
      <c r="AD44" s="20"/>
      <c r="AE44" s="33"/>
      <c r="AF44" s="33"/>
      <c r="AG44" s="33"/>
      <c r="AH44" s="33"/>
      <c r="AI44" s="33"/>
      <c r="AJ44" s="29"/>
      <c r="AK44" s="29"/>
      <c r="AL44" s="29"/>
      <c r="AM44" s="29"/>
      <c r="AN44" s="29"/>
      <c r="AO44" s="17"/>
      <c r="AP44" s="17"/>
      <c r="AQ44" s="17"/>
      <c r="AR44" s="7"/>
      <c r="AT44" s="29"/>
      <c r="AU44" s="29"/>
      <c r="AV44" s="29">
        <v>2</v>
      </c>
      <c r="AW44" s="29"/>
      <c r="AX44" s="29"/>
      <c r="AY44" s="29"/>
      <c r="AZ44" s="29"/>
      <c r="BA44" s="29"/>
      <c r="BB44" s="29"/>
      <c r="BC44" s="29"/>
    </row>
    <row r="45" spans="1:55" x14ac:dyDescent="0.15">
      <c r="A45" s="7">
        <f t="shared" si="4"/>
        <v>9</v>
      </c>
      <c r="B45" s="17">
        <f t="shared" si="5"/>
        <v>0.66666666666666663</v>
      </c>
      <c r="C45" s="29">
        <f t="shared" si="6"/>
        <v>5</v>
      </c>
      <c r="D45" s="29">
        <f>求节点(节奏总纲!$Q$4:$Q$113,节奏总纲!$O$4:$O$113,$C45)</f>
        <v>27.525245270311611</v>
      </c>
      <c r="F45" s="29"/>
      <c r="G45" s="29"/>
      <c r="H45" s="29"/>
      <c r="I45" s="29">
        <v>6</v>
      </c>
      <c r="J45" s="29"/>
      <c r="K45" s="29"/>
      <c r="L45" s="29"/>
      <c r="M45" s="29"/>
      <c r="N45" s="29">
        <v>0</v>
      </c>
      <c r="O45" s="29"/>
      <c r="P45" s="29" t="str">
        <f>IF(U45="","",IFERROR(IFERROR(MATCH(U45,武将进阶!D$4:D$10,0),MATCH(U45,武将进阶!D$4:D$10,1)+1),1))</f>
        <v/>
      </c>
      <c r="Q45" s="29" t="str">
        <f>IF(V45="","",IFERROR(IFERROR(MATCH(V45,武将进阶!E$4:E$10,0),MATCH(V45,武将进阶!E$4:E$10,1)+1),1))</f>
        <v/>
      </c>
      <c r="R45" s="29" t="str">
        <f>IF(W45="","",IFERROR(IFERROR(MATCH(W45,武将进阶!F$4:F$10,0),MATCH(W45,武将进阶!F$4:F$10,1)+1),1))</f>
        <v/>
      </c>
      <c r="S45" s="29">
        <f>IF(X45="","",IFERROR(IFERROR(MATCH(X45,武将进阶!G$4:G$10,0),MATCH(X45,武将进阶!G$4:G$10,1)+1),1))</f>
        <v>1</v>
      </c>
      <c r="T45" s="29" t="str">
        <f>IF(Y45="","",IFERROR(IFERROR(MATCH(Y45,武将进阶!H$4:H$10,0),MATCH(Y45,武将进阶!H$4:H$10,1)+1),1))</f>
        <v/>
      </c>
      <c r="U45" s="29" t="str">
        <f t="shared" si="7"/>
        <v/>
      </c>
      <c r="V45" s="29" t="str">
        <f t="shared" si="7"/>
        <v/>
      </c>
      <c r="W45" s="29" t="str">
        <f t="shared" si="7"/>
        <v/>
      </c>
      <c r="X45" s="29">
        <f t="shared" si="7"/>
        <v>27</v>
      </c>
      <c r="Y45" s="29" t="str">
        <f t="shared" si="7"/>
        <v/>
      </c>
      <c r="Z45" s="20"/>
      <c r="AA45" s="20"/>
      <c r="AB45" s="20"/>
      <c r="AC45" s="20"/>
      <c r="AD45" s="20"/>
      <c r="AE45" s="33"/>
      <c r="AF45" s="33"/>
      <c r="AG45" s="33"/>
      <c r="AH45" s="33"/>
      <c r="AI45" s="33"/>
      <c r="AJ45" s="29"/>
      <c r="AK45" s="29"/>
      <c r="AL45" s="29"/>
      <c r="AM45" s="29"/>
      <c r="AN45" s="29"/>
      <c r="AO45" s="17"/>
      <c r="AP45" s="17"/>
      <c r="AR45" s="7"/>
      <c r="AT45" s="29"/>
      <c r="AU45" s="29"/>
      <c r="AV45" s="29">
        <v>3</v>
      </c>
      <c r="AW45" s="29">
        <v>1</v>
      </c>
      <c r="AX45" s="29"/>
      <c r="AY45" s="29"/>
      <c r="AZ45" s="29"/>
      <c r="BA45" s="29"/>
      <c r="BB45" s="29"/>
      <c r="BC45" s="29"/>
    </row>
    <row r="46" spans="1:55" x14ac:dyDescent="0.15">
      <c r="A46" s="7">
        <f t="shared" si="4"/>
        <v>10</v>
      </c>
      <c r="B46" s="17"/>
      <c r="C46" s="29">
        <f>C24*B45</f>
        <v>20</v>
      </c>
      <c r="D46" s="29">
        <f>求节点(节奏总纲!$Q$4:$Q$113,节奏总纲!$O$4:$O$113,$C46)</f>
        <v>45.780025086357675</v>
      </c>
      <c r="F46" s="29"/>
      <c r="G46" s="29"/>
      <c r="H46" s="29"/>
      <c r="I46" s="29">
        <v>6</v>
      </c>
      <c r="J46" s="29"/>
      <c r="K46" s="29"/>
      <c r="L46" s="29"/>
      <c r="M46" s="29"/>
      <c r="N46" s="29">
        <v>1</v>
      </c>
      <c r="O46" s="29"/>
      <c r="P46" s="29" t="str">
        <f>IF(U46="","",IFERROR(IFERROR(MATCH(U46,武将进阶!D$4:D$10,0),MATCH(U46,武将进阶!D$4:D$10,1)+1),1))</f>
        <v/>
      </c>
      <c r="Q46" s="29" t="str">
        <f>IF(V46="","",IFERROR(IFERROR(MATCH(V46,武将进阶!E$4:E$10,0),MATCH(V46,武将进阶!E$4:E$10,1)+1),1))</f>
        <v/>
      </c>
      <c r="R46" s="29" t="str">
        <f>IF(W46="","",IFERROR(IFERROR(MATCH(W46,武将进阶!F$4:F$10,0),MATCH(W46,武将进阶!F$4:F$10,1)+1),1))</f>
        <v/>
      </c>
      <c r="S46" s="29">
        <f>IF(X46="","",IFERROR(IFERROR(MATCH(X46,武将进阶!G$4:G$10,0),MATCH(X46,武将进阶!G$4:G$10,1)+1),1))</f>
        <v>1</v>
      </c>
      <c r="T46" s="29" t="str">
        <f>IF(Y46="","",IFERROR(IFERROR(MATCH(Y46,武将进阶!H$4:H$10,0),MATCH(Y46,武将进阶!H$4:H$10,1)+1),1))</f>
        <v/>
      </c>
      <c r="U46" s="29" t="str">
        <f t="shared" si="7"/>
        <v/>
      </c>
      <c r="V46" s="29" t="str">
        <f t="shared" si="7"/>
        <v/>
      </c>
      <c r="W46" s="29" t="str">
        <f t="shared" si="7"/>
        <v/>
      </c>
      <c r="X46" s="29">
        <f t="shared" si="7"/>
        <v>45</v>
      </c>
      <c r="Y46" s="29" t="str">
        <f t="shared" si="7"/>
        <v/>
      </c>
      <c r="Z46" s="20"/>
      <c r="AA46" s="20"/>
      <c r="AB46" s="20"/>
      <c r="AC46" s="20"/>
      <c r="AD46" s="20"/>
      <c r="AE46" s="33"/>
      <c r="AF46" s="33"/>
      <c r="AG46" s="33"/>
      <c r="AH46" s="33"/>
      <c r="AI46" s="33"/>
      <c r="AJ46" s="29"/>
      <c r="AK46" s="29"/>
      <c r="AL46" s="29"/>
      <c r="AM46" s="29"/>
      <c r="AN46" s="29"/>
      <c r="AO46" s="17"/>
      <c r="AP46" s="17"/>
      <c r="AR46" s="7"/>
      <c r="AT46" s="29"/>
      <c r="AU46" s="29"/>
      <c r="AV46" s="29">
        <v>3</v>
      </c>
      <c r="AW46" s="29">
        <v>1</v>
      </c>
      <c r="AX46" s="29">
        <v>1</v>
      </c>
      <c r="AY46" s="29"/>
      <c r="AZ46" s="29"/>
      <c r="BA46" s="29"/>
      <c r="BB46" s="29"/>
      <c r="BC46" s="29"/>
    </row>
    <row r="47" spans="1:55" x14ac:dyDescent="0.15">
      <c r="A47" s="7">
        <f t="shared" si="4"/>
        <v>11</v>
      </c>
      <c r="B47" s="17"/>
      <c r="C47" s="29">
        <f>$D$3</f>
        <v>24</v>
      </c>
      <c r="D47" s="29">
        <f>求节点(节奏总纲!$Q$4:$Q$113,节奏总纲!$O$4:$O$113,$C47)</f>
        <v>48.330142263709867</v>
      </c>
      <c r="F47" s="29"/>
      <c r="G47" s="29"/>
      <c r="H47" s="29"/>
      <c r="I47" s="29">
        <v>5</v>
      </c>
      <c r="J47" s="29">
        <v>1</v>
      </c>
      <c r="K47" s="29"/>
      <c r="L47" s="29"/>
      <c r="M47" s="29"/>
      <c r="N47" s="29">
        <v>1</v>
      </c>
      <c r="O47" s="29">
        <v>0</v>
      </c>
      <c r="P47" s="29" t="str">
        <f>IF(U47="","",IFERROR(IFERROR(MATCH(U47,武将进阶!D$4:D$10,0),MATCH(U47,武将进阶!D$4:D$10,1)+1),1))</f>
        <v/>
      </c>
      <c r="Q47" s="29" t="str">
        <f>IF(V47="","",IFERROR(IFERROR(MATCH(V47,武将进阶!E$4:E$10,0),MATCH(V47,武将进阶!E$4:E$10,1)+1),1))</f>
        <v/>
      </c>
      <c r="R47" s="29" t="str">
        <f>IF(W47="","",IFERROR(IFERROR(MATCH(W47,武将进阶!F$4:F$10,0),MATCH(W47,武将进阶!F$4:F$10,1)+1),1))</f>
        <v/>
      </c>
      <c r="S47" s="29">
        <f>IF(X47="","",IFERROR(IFERROR(MATCH(X47,武将进阶!G$4:G$10,0),MATCH(X47,武将进阶!G$4:G$10,1)+1),1))</f>
        <v>1</v>
      </c>
      <c r="T47" s="29">
        <f>IF(Y47="","",IFERROR(IFERROR(MATCH(Y47,武将进阶!H$4:H$10,0),MATCH(Y47,武将进阶!H$4:H$10,1)+1),1))</f>
        <v>1</v>
      </c>
      <c r="U47" s="29" t="str">
        <f t="shared" si="7"/>
        <v/>
      </c>
      <c r="V47" s="29" t="str">
        <f t="shared" si="7"/>
        <v/>
      </c>
      <c r="W47" s="29" t="str">
        <f t="shared" si="7"/>
        <v/>
      </c>
      <c r="X47" s="29">
        <f t="shared" si="7"/>
        <v>48</v>
      </c>
      <c r="Y47" s="29">
        <f t="shared" si="7"/>
        <v>48</v>
      </c>
      <c r="Z47" s="20"/>
      <c r="AA47" s="20"/>
      <c r="AB47" s="20"/>
      <c r="AC47" s="20"/>
      <c r="AD47" s="20"/>
      <c r="AE47" s="33"/>
      <c r="AF47" s="33"/>
      <c r="AG47" s="33"/>
      <c r="AH47" s="33"/>
      <c r="AI47" s="33"/>
      <c r="AJ47" s="29"/>
      <c r="AK47" s="29"/>
      <c r="AL47" s="29"/>
      <c r="AM47" s="29"/>
      <c r="AN47" s="29"/>
      <c r="AO47" s="17"/>
      <c r="AP47" s="17"/>
      <c r="AR47" s="7"/>
      <c r="AT47" s="29"/>
      <c r="AU47" s="29"/>
      <c r="AV47" s="29">
        <v>4</v>
      </c>
      <c r="AW47" s="29">
        <v>2</v>
      </c>
      <c r="AX47" s="29">
        <v>1</v>
      </c>
      <c r="AY47" s="29"/>
      <c r="AZ47" s="29"/>
      <c r="BA47" s="29"/>
      <c r="BB47" s="29"/>
      <c r="BC47" s="29"/>
    </row>
    <row r="48" spans="1:55" x14ac:dyDescent="0.15">
      <c r="A48" s="7">
        <f t="shared" si="4"/>
        <v>12</v>
      </c>
      <c r="B48" s="17"/>
      <c r="C48" s="29">
        <f>C47+$D$3</f>
        <v>48</v>
      </c>
      <c r="D48" s="29">
        <f>求节点(节奏总纲!$Q$4:$Q$113,节奏总纲!$O$4:$O$113,$C48)</f>
        <v>58.155157256402767</v>
      </c>
      <c r="F48" s="29"/>
      <c r="G48" s="29"/>
      <c r="H48" s="29"/>
      <c r="I48" s="29">
        <v>4</v>
      </c>
      <c r="J48" s="29">
        <v>2</v>
      </c>
      <c r="K48" s="29"/>
      <c r="L48" s="29"/>
      <c r="M48" s="29"/>
      <c r="N48" s="29">
        <v>2</v>
      </c>
      <c r="O48" s="29">
        <v>0</v>
      </c>
      <c r="P48" s="29" t="str">
        <f>IF(U48="","",IFERROR(IFERROR(MATCH(U48,武将进阶!D$4:D$10,0),MATCH(U48,武将进阶!D$4:D$10,1)+1),1))</f>
        <v/>
      </c>
      <c r="Q48" s="29" t="str">
        <f>IF(V48="","",IFERROR(IFERROR(MATCH(V48,武将进阶!E$4:E$10,0),MATCH(V48,武将进阶!E$4:E$10,1)+1),1))</f>
        <v/>
      </c>
      <c r="R48" s="29" t="str">
        <f>IF(W48="","",IFERROR(IFERROR(MATCH(W48,武将进阶!F$4:F$10,0),MATCH(W48,武将进阶!F$4:F$10,1)+1),1))</f>
        <v/>
      </c>
      <c r="S48" s="29">
        <f>IF(X48="","",IFERROR(IFERROR(MATCH(X48,武将进阶!G$4:G$10,0),MATCH(X48,武将进阶!G$4:G$10,1)+1),1))</f>
        <v>2</v>
      </c>
      <c r="T48" s="29">
        <f>IF(Y48="","",IFERROR(IFERROR(MATCH(Y48,武将进阶!H$4:H$10,0),MATCH(Y48,武将进阶!H$4:H$10,1)+1),1))</f>
        <v>2</v>
      </c>
      <c r="U48" s="29" t="str">
        <f t="shared" si="7"/>
        <v/>
      </c>
      <c r="V48" s="29" t="str">
        <f t="shared" si="7"/>
        <v/>
      </c>
      <c r="W48" s="29" t="str">
        <f t="shared" si="7"/>
        <v/>
      </c>
      <c r="X48" s="29">
        <f t="shared" si="7"/>
        <v>58</v>
      </c>
      <c r="Y48" s="29">
        <f t="shared" si="7"/>
        <v>58</v>
      </c>
      <c r="Z48" s="20"/>
      <c r="AA48" s="20"/>
      <c r="AB48" s="20"/>
      <c r="AC48" s="20"/>
      <c r="AD48" s="20"/>
      <c r="AE48" s="33"/>
      <c r="AF48" s="33"/>
      <c r="AG48" s="33"/>
      <c r="AH48" s="33"/>
      <c r="AI48" s="33"/>
      <c r="AJ48" s="29"/>
      <c r="AK48" s="29"/>
      <c r="AL48" s="29"/>
      <c r="AM48" s="29"/>
      <c r="AN48" s="29"/>
      <c r="AO48" s="17"/>
      <c r="AP48" s="17"/>
      <c r="AR48" s="7"/>
      <c r="AT48" s="29"/>
      <c r="AU48" s="29"/>
      <c r="AV48" s="29">
        <v>6</v>
      </c>
      <c r="AW48" s="29">
        <v>3</v>
      </c>
      <c r="AX48" s="29">
        <v>2</v>
      </c>
      <c r="AY48" s="29"/>
      <c r="AZ48" s="29"/>
      <c r="BA48" s="29">
        <v>1</v>
      </c>
      <c r="BB48" s="29"/>
      <c r="BC48" s="29"/>
    </row>
    <row r="49" spans="1:55" x14ac:dyDescent="0.15">
      <c r="A49" s="7">
        <f t="shared" si="4"/>
        <v>13</v>
      </c>
      <c r="B49" s="17"/>
      <c r="C49" s="29">
        <f>C48+$D$3</f>
        <v>72</v>
      </c>
      <c r="D49" s="29">
        <f>求节点(节奏总纲!$Q$4:$Q$113,节奏总纲!$O$4:$O$113,$C49)</f>
        <v>63.918876949118435</v>
      </c>
      <c r="F49" s="29"/>
      <c r="G49" s="29"/>
      <c r="H49" s="29"/>
      <c r="I49" s="29">
        <v>3</v>
      </c>
      <c r="J49" s="29">
        <v>3</v>
      </c>
      <c r="K49" s="29"/>
      <c r="L49" s="29"/>
      <c r="M49" s="29"/>
      <c r="N49" s="29">
        <v>2</v>
      </c>
      <c r="O49" s="29">
        <v>0</v>
      </c>
      <c r="P49" s="29" t="str">
        <f>IF(U49="","",IFERROR(IFERROR(MATCH(U49,武将进阶!D$4:D$10,0),MATCH(U49,武将进阶!D$4:D$10,1)+1),1))</f>
        <v/>
      </c>
      <c r="Q49" s="29" t="str">
        <f>IF(V49="","",IFERROR(IFERROR(MATCH(V49,武将进阶!E$4:E$10,0),MATCH(V49,武将进阶!E$4:E$10,1)+1),1))</f>
        <v/>
      </c>
      <c r="R49" s="29" t="str">
        <f>IF(W49="","",IFERROR(IFERROR(MATCH(W49,武将进阶!F$4:F$10,0),MATCH(W49,武将进阶!F$4:F$10,1)+1),1))</f>
        <v/>
      </c>
      <c r="S49" s="29">
        <f>IF(X49="","",IFERROR(IFERROR(MATCH(X49,武将进阶!G$4:G$10,0),MATCH(X49,武将进阶!G$4:G$10,1)+1),1))</f>
        <v>2</v>
      </c>
      <c r="T49" s="29">
        <f>IF(Y49="","",IFERROR(IFERROR(MATCH(Y49,武将进阶!H$4:H$10,0),MATCH(Y49,武将进阶!H$4:H$10,1)+1),1))</f>
        <v>2</v>
      </c>
      <c r="U49" s="29" t="str">
        <f t="shared" si="7"/>
        <v/>
      </c>
      <c r="V49" s="29" t="str">
        <f t="shared" si="7"/>
        <v/>
      </c>
      <c r="W49" s="29" t="str">
        <f t="shared" si="7"/>
        <v/>
      </c>
      <c r="X49" s="29">
        <f t="shared" si="7"/>
        <v>63</v>
      </c>
      <c r="Y49" s="29">
        <f t="shared" si="7"/>
        <v>63</v>
      </c>
      <c r="Z49" s="20"/>
      <c r="AA49" s="20"/>
      <c r="AB49" s="20"/>
      <c r="AC49" s="20"/>
      <c r="AD49" s="20"/>
      <c r="AE49" s="33"/>
      <c r="AF49" s="33"/>
      <c r="AG49" s="33"/>
      <c r="AH49" s="33"/>
      <c r="AI49" s="33"/>
      <c r="AJ49" s="29"/>
      <c r="AK49" s="29"/>
      <c r="AL49" s="29"/>
      <c r="AM49" s="29"/>
      <c r="AN49" s="29"/>
      <c r="AO49" s="17"/>
      <c r="AP49" s="17"/>
      <c r="AR49" s="7"/>
      <c r="AT49" s="29"/>
      <c r="AU49" s="29"/>
      <c r="AV49" s="29">
        <v>9</v>
      </c>
      <c r="AW49" s="29">
        <v>5</v>
      </c>
      <c r="AX49" s="29">
        <v>3</v>
      </c>
      <c r="AY49" s="29"/>
      <c r="AZ49" s="29"/>
      <c r="BA49" s="29">
        <v>2</v>
      </c>
      <c r="BB49" s="29">
        <v>1</v>
      </c>
      <c r="BC49" s="29"/>
    </row>
    <row r="50" spans="1:55" x14ac:dyDescent="0.15">
      <c r="A50" s="7">
        <f t="shared" si="4"/>
        <v>14</v>
      </c>
      <c r="B50" s="17"/>
      <c r="C50" s="29">
        <f>C49+$D$3*1.5</f>
        <v>108</v>
      </c>
      <c r="D50" s="29">
        <f>求节点(节奏总纲!$Q$4:$Q$113,节奏总纲!$O$4:$O$113,$C50)</f>
        <v>69.735941964920613</v>
      </c>
      <c r="F50" s="29"/>
      <c r="G50" s="29"/>
      <c r="H50" s="29"/>
      <c r="I50" s="29">
        <v>2</v>
      </c>
      <c r="J50" s="29">
        <v>4</v>
      </c>
      <c r="K50" s="29"/>
      <c r="L50" s="29"/>
      <c r="M50" s="29"/>
      <c r="N50" s="29">
        <v>3</v>
      </c>
      <c r="O50" s="29">
        <v>1</v>
      </c>
      <c r="P50" s="29" t="str">
        <f>IF(U50="","",IFERROR(IFERROR(MATCH(U50,武将进阶!D$4:D$10,0),MATCH(U50,武将进阶!D$4:D$10,1)+1),1))</f>
        <v/>
      </c>
      <c r="Q50" s="29" t="str">
        <f>IF(V50="","",IFERROR(IFERROR(MATCH(V50,武将进阶!E$4:E$10,0),MATCH(V50,武将进阶!E$4:E$10,1)+1),1))</f>
        <v/>
      </c>
      <c r="R50" s="29" t="str">
        <f>IF(W50="","",IFERROR(IFERROR(MATCH(W50,武将进阶!F$4:F$10,0),MATCH(W50,武将进阶!F$4:F$10,1)+1),1))</f>
        <v/>
      </c>
      <c r="S50" s="29">
        <f>IF(X50="","",IFERROR(IFERROR(MATCH(X50,武将进阶!G$4:G$10,0),MATCH(X50,武将进阶!G$4:G$10,1)+1),1))</f>
        <v>2</v>
      </c>
      <c r="T50" s="29">
        <f>IF(Y50="","",IFERROR(IFERROR(MATCH(Y50,武将进阶!H$4:H$10,0),MATCH(Y50,武将进阶!H$4:H$10,1)+1),1))</f>
        <v>2</v>
      </c>
      <c r="U50" s="29" t="str">
        <f t="shared" si="7"/>
        <v/>
      </c>
      <c r="V50" s="29" t="str">
        <f t="shared" si="7"/>
        <v/>
      </c>
      <c r="W50" s="29" t="str">
        <f t="shared" si="7"/>
        <v/>
      </c>
      <c r="X50" s="29">
        <f t="shared" si="7"/>
        <v>69</v>
      </c>
      <c r="Y50" s="29">
        <f t="shared" si="7"/>
        <v>69</v>
      </c>
      <c r="Z50" s="20"/>
      <c r="AA50" s="20"/>
      <c r="AB50" s="20"/>
      <c r="AC50" s="20"/>
      <c r="AD50" s="20"/>
      <c r="AE50" s="33"/>
      <c r="AF50" s="33"/>
      <c r="AG50" s="33"/>
      <c r="AH50" s="33"/>
      <c r="AI50" s="33"/>
      <c r="AJ50" s="29"/>
      <c r="AK50" s="29"/>
      <c r="AL50" s="29"/>
      <c r="AM50" s="29"/>
      <c r="AN50" s="29"/>
      <c r="AO50" s="17"/>
      <c r="AP50" s="17"/>
      <c r="AR50" s="7"/>
      <c r="AT50" s="29"/>
      <c r="AU50" s="29"/>
      <c r="AV50" s="29">
        <v>12</v>
      </c>
      <c r="AW50" s="29">
        <v>8</v>
      </c>
      <c r="AX50" s="29">
        <v>5</v>
      </c>
      <c r="AY50" s="29"/>
      <c r="AZ50" s="29"/>
      <c r="BA50" s="29">
        <v>5</v>
      </c>
      <c r="BB50" s="29">
        <v>2</v>
      </c>
      <c r="BC50" s="29"/>
    </row>
    <row r="51" spans="1:55" x14ac:dyDescent="0.15">
      <c r="A51" s="7">
        <f t="shared" si="4"/>
        <v>15</v>
      </c>
      <c r="B51" s="17"/>
      <c r="C51" s="29">
        <f>C50+$D$3</f>
        <v>132</v>
      </c>
      <c r="D51" s="29">
        <f>求节点(节奏总纲!$Q$4:$Q$113,节奏总纲!$O$4:$O$113,$C51)</f>
        <v>72.61332404243997</v>
      </c>
      <c r="F51" s="29"/>
      <c r="G51" s="29"/>
      <c r="H51" s="29"/>
      <c r="I51" s="29">
        <v>1</v>
      </c>
      <c r="J51" s="29">
        <v>5</v>
      </c>
      <c r="K51" s="29"/>
      <c r="L51" s="29"/>
      <c r="M51" s="29"/>
      <c r="N51" s="29">
        <v>4</v>
      </c>
      <c r="O51" s="29">
        <v>1</v>
      </c>
      <c r="P51" s="29" t="str">
        <f>IF(U51="","",IFERROR(IFERROR(MATCH(U51,武将进阶!D$4:D$10,0),MATCH(U51,武将进阶!D$4:D$10,1)+1),1))</f>
        <v/>
      </c>
      <c r="Q51" s="29" t="str">
        <f>IF(V51="","",IFERROR(IFERROR(MATCH(V51,武将进阶!E$4:E$10,0),MATCH(V51,武将进阶!E$4:E$10,1)+1),1))</f>
        <v/>
      </c>
      <c r="R51" s="29" t="str">
        <f>IF(W51="","",IFERROR(IFERROR(MATCH(W51,武将进阶!F$4:F$10,0),MATCH(W51,武将进阶!F$4:F$10,1)+1),1))</f>
        <v/>
      </c>
      <c r="S51" s="29">
        <f>IF(X51="","",IFERROR(IFERROR(MATCH(X51,武将进阶!G$4:G$10,0),MATCH(X51,武将进阶!G$4:G$10,1)+1),1))</f>
        <v>2</v>
      </c>
      <c r="T51" s="29">
        <f>IF(Y51="","",IFERROR(IFERROR(MATCH(Y51,武将进阶!H$4:H$10,0),MATCH(Y51,武将进阶!H$4:H$10,1)+1),1))</f>
        <v>2</v>
      </c>
      <c r="U51" s="29" t="str">
        <f t="shared" si="7"/>
        <v/>
      </c>
      <c r="V51" s="29" t="str">
        <f t="shared" si="7"/>
        <v/>
      </c>
      <c r="W51" s="29" t="str">
        <f t="shared" si="7"/>
        <v/>
      </c>
      <c r="X51" s="29">
        <f t="shared" si="7"/>
        <v>72</v>
      </c>
      <c r="Y51" s="29">
        <f t="shared" si="7"/>
        <v>72</v>
      </c>
      <c r="Z51" s="20"/>
      <c r="AA51" s="20"/>
      <c r="AB51" s="20"/>
      <c r="AC51" s="20"/>
      <c r="AD51" s="20"/>
      <c r="AE51" s="33"/>
      <c r="AF51" s="33"/>
      <c r="AG51" s="33"/>
      <c r="AH51" s="33"/>
      <c r="AI51" s="33"/>
      <c r="AJ51" s="29"/>
      <c r="AK51" s="29"/>
      <c r="AL51" s="29"/>
      <c r="AM51" s="29"/>
      <c r="AN51" s="29"/>
      <c r="AO51" s="17"/>
      <c r="AP51" s="17"/>
      <c r="AR51" s="7"/>
      <c r="AT51" s="29"/>
      <c r="AU51" s="29"/>
      <c r="AV51" s="29">
        <v>15</v>
      </c>
      <c r="AW51" s="29">
        <v>10</v>
      </c>
      <c r="AX51" s="29">
        <v>7</v>
      </c>
      <c r="AY51" s="29"/>
      <c r="AZ51" s="29"/>
      <c r="BA51" s="29">
        <v>7</v>
      </c>
      <c r="BB51" s="29">
        <v>4</v>
      </c>
      <c r="BC51" s="29"/>
    </row>
    <row r="52" spans="1:55" x14ac:dyDescent="0.15">
      <c r="A52" s="7">
        <f t="shared" si="4"/>
        <v>16</v>
      </c>
      <c r="B52" s="17"/>
      <c r="C52" s="29">
        <f t="shared" ref="C52:C56" si="8">C51+$D$3*1.5</f>
        <v>168</v>
      </c>
      <c r="D52" s="29">
        <f>求节点(节奏总纲!$Q$4:$Q$113,节奏总纲!$O$4:$O$113,$C52)</f>
        <v>76.084409020469636</v>
      </c>
      <c r="F52" s="29"/>
      <c r="G52" s="29"/>
      <c r="H52" s="29"/>
      <c r="I52" s="29"/>
      <c r="J52" s="29">
        <v>6</v>
      </c>
      <c r="K52" s="29"/>
      <c r="L52" s="29"/>
      <c r="M52" s="29"/>
      <c r="N52" s="29" t="str">
        <f>IF(I52="","",MIN(INT(C52/$C$46),武将升星!$G$14))</f>
        <v/>
      </c>
      <c r="O52" s="29">
        <v>2</v>
      </c>
      <c r="P52" s="29" t="str">
        <f>IF(U52="","",IFERROR(IFERROR(MATCH(U52,武将进阶!D$4:D$10,0),MATCH(U52,武将进阶!D$4:D$10,1)+1),1))</f>
        <v/>
      </c>
      <c r="Q52" s="29" t="str">
        <f>IF(V52="","",IFERROR(IFERROR(MATCH(V52,武将进阶!E$4:E$10,0),MATCH(V52,武将进阶!E$4:E$10,1)+1),1))</f>
        <v/>
      </c>
      <c r="R52" s="29" t="str">
        <f>IF(W52="","",IFERROR(IFERROR(MATCH(W52,武将进阶!F$4:F$10,0),MATCH(W52,武将进阶!F$4:F$10,1)+1),1))</f>
        <v/>
      </c>
      <c r="S52" s="29" t="str">
        <f>IF(X52="","",IFERROR(IFERROR(MATCH(X52,武将进阶!G$4:G$10,0),MATCH(X52,武将进阶!G$4:G$10,1)+1),1))</f>
        <v/>
      </c>
      <c r="T52" s="29">
        <f>IF(Y52="","",IFERROR(IFERROR(MATCH(Y52,武将进阶!H$4:H$10,0),MATCH(Y52,武将进阶!H$4:H$10,1)+1),1))</f>
        <v>2</v>
      </c>
      <c r="U52" s="29" t="str">
        <f t="shared" si="7"/>
        <v/>
      </c>
      <c r="V52" s="29" t="str">
        <f t="shared" si="7"/>
        <v/>
      </c>
      <c r="W52" s="29" t="str">
        <f t="shared" si="7"/>
        <v/>
      </c>
      <c r="X52" s="29" t="str">
        <f t="shared" si="7"/>
        <v/>
      </c>
      <c r="Y52" s="29">
        <f t="shared" si="7"/>
        <v>76</v>
      </c>
      <c r="Z52" s="20"/>
      <c r="AA52" s="20"/>
      <c r="AB52" s="20"/>
      <c r="AC52" s="20"/>
      <c r="AD52" s="20"/>
      <c r="AE52" s="33"/>
      <c r="AF52" s="33"/>
      <c r="AG52" s="33"/>
      <c r="AH52" s="33"/>
      <c r="AI52" s="33"/>
      <c r="AJ52" s="29"/>
      <c r="AK52" s="29"/>
      <c r="AL52" s="29"/>
      <c r="AM52" s="29"/>
      <c r="AN52" s="29"/>
      <c r="AO52" s="17"/>
      <c r="AP52" s="17"/>
      <c r="AR52" s="7"/>
      <c r="AT52" s="29"/>
      <c r="AU52" s="29"/>
      <c r="AV52" s="29">
        <v>19</v>
      </c>
      <c r="AW52" s="29">
        <v>12</v>
      </c>
      <c r="AX52" s="29">
        <v>8</v>
      </c>
      <c r="AY52" s="29"/>
      <c r="AZ52" s="29"/>
      <c r="BA52" s="29">
        <v>10</v>
      </c>
      <c r="BB52" s="29">
        <v>6</v>
      </c>
      <c r="BC52" s="29">
        <v>1</v>
      </c>
    </row>
    <row r="53" spans="1:55" x14ac:dyDescent="0.15">
      <c r="A53" s="7">
        <f t="shared" si="4"/>
        <v>17</v>
      </c>
      <c r="B53" s="17"/>
      <c r="C53" s="29">
        <f>C52+$D$3</f>
        <v>192</v>
      </c>
      <c r="D53" s="29">
        <f>求节点(节奏总纲!$Q$4:$Q$113,节奏总纲!$O$4:$O$113,$C53)</f>
        <v>77.996684344115593</v>
      </c>
      <c r="F53" s="29"/>
      <c r="G53" s="29"/>
      <c r="H53" s="29"/>
      <c r="I53" s="29"/>
      <c r="J53" s="29">
        <v>6</v>
      </c>
      <c r="K53" s="29"/>
      <c r="L53" s="29"/>
      <c r="M53" s="29"/>
      <c r="N53" s="29" t="str">
        <f>IF(I53="","",MIN(INT(C53/$C$46),武将升星!$G$14))</f>
        <v/>
      </c>
      <c r="O53" s="29">
        <v>2</v>
      </c>
      <c r="P53" s="29" t="str">
        <f>IF(U53="","",IFERROR(IFERROR(MATCH(U53,武将进阶!D$4:D$10,0),MATCH(U53,武将进阶!D$4:D$10,1)+1),1))</f>
        <v/>
      </c>
      <c r="Q53" s="29" t="str">
        <f>IF(V53="","",IFERROR(IFERROR(MATCH(V53,武将进阶!E$4:E$10,0),MATCH(V53,武将进阶!E$4:E$10,1)+1),1))</f>
        <v/>
      </c>
      <c r="R53" s="29" t="str">
        <f>IF(W53="","",IFERROR(IFERROR(MATCH(W53,武将进阶!F$4:F$10,0),MATCH(W53,武将进阶!F$4:F$10,1)+1),1))</f>
        <v/>
      </c>
      <c r="S53" s="29" t="str">
        <f>IF(X53="","",IFERROR(IFERROR(MATCH(X53,武将进阶!G$4:G$10,0),MATCH(X53,武将进阶!G$4:G$10,1)+1),1))</f>
        <v/>
      </c>
      <c r="T53" s="29">
        <f>IF(Y53="","",IFERROR(IFERROR(MATCH(Y53,武将进阶!H$4:H$10,0),MATCH(Y53,武将进阶!H$4:H$10,1)+1),1))</f>
        <v>2</v>
      </c>
      <c r="U53" s="29" t="str">
        <f t="shared" si="7"/>
        <v/>
      </c>
      <c r="V53" s="29" t="str">
        <f t="shared" si="7"/>
        <v/>
      </c>
      <c r="W53" s="29" t="str">
        <f t="shared" si="7"/>
        <v/>
      </c>
      <c r="X53" s="29" t="str">
        <f t="shared" si="7"/>
        <v/>
      </c>
      <c r="Y53" s="29">
        <f t="shared" si="7"/>
        <v>77</v>
      </c>
      <c r="Z53" s="20"/>
      <c r="AA53" s="20"/>
      <c r="AB53" s="20"/>
      <c r="AC53" s="20"/>
      <c r="AD53" s="20"/>
      <c r="AE53" s="33"/>
      <c r="AF53" s="33"/>
      <c r="AG53" s="33"/>
      <c r="AH53" s="33"/>
      <c r="AI53" s="33"/>
      <c r="AJ53" s="29"/>
      <c r="AK53" s="29"/>
      <c r="AL53" s="29"/>
      <c r="AM53" s="29"/>
      <c r="AN53" s="29"/>
      <c r="AO53" s="17"/>
      <c r="AP53" s="17"/>
      <c r="AR53" s="7"/>
      <c r="AT53" s="29"/>
      <c r="AU53" s="29"/>
      <c r="AV53" s="29">
        <v>23</v>
      </c>
      <c r="AW53" s="29">
        <v>15</v>
      </c>
      <c r="AX53" s="29">
        <v>11</v>
      </c>
      <c r="AY53" s="29"/>
      <c r="AZ53" s="29"/>
      <c r="BA53" s="29">
        <v>14</v>
      </c>
      <c r="BB53" s="29">
        <v>9</v>
      </c>
      <c r="BC53" s="29">
        <v>3</v>
      </c>
    </row>
    <row r="54" spans="1:55" x14ac:dyDescent="0.15">
      <c r="A54" s="7">
        <f t="shared" si="4"/>
        <v>18</v>
      </c>
      <c r="B54" s="17"/>
      <c r="C54" s="29">
        <f t="shared" si="8"/>
        <v>228</v>
      </c>
      <c r="D54" s="29">
        <f>求节点(节奏总纲!$Q$4:$Q$113,节奏总纲!$O$4:$O$113,$C54)</f>
        <v>80.452725211084953</v>
      </c>
      <c r="F54" s="29"/>
      <c r="G54" s="29"/>
      <c r="H54" s="29"/>
      <c r="I54" s="29"/>
      <c r="J54" s="29">
        <v>6</v>
      </c>
      <c r="K54" s="29"/>
      <c r="L54" s="29"/>
      <c r="M54" s="29"/>
      <c r="N54" s="29" t="str">
        <f>IF(I54="","",MIN(INT(C54/$C$46),武将升星!$G$14))</f>
        <v/>
      </c>
      <c r="O54" s="29">
        <v>3</v>
      </c>
      <c r="P54" s="29" t="str">
        <f>IF(U54="","",IFERROR(IFERROR(MATCH(U54,武将进阶!D$4:D$10,0),MATCH(U54,武将进阶!D$4:D$10,1)+1),1))</f>
        <v/>
      </c>
      <c r="Q54" s="29" t="str">
        <f>IF(V54="","",IFERROR(IFERROR(MATCH(V54,武将进阶!E$4:E$10,0),MATCH(V54,武将进阶!E$4:E$10,1)+1),1))</f>
        <v/>
      </c>
      <c r="R54" s="29" t="str">
        <f>IF(W54="","",IFERROR(IFERROR(MATCH(W54,武将进阶!F$4:F$10,0),MATCH(W54,武将进阶!F$4:F$10,1)+1),1))</f>
        <v/>
      </c>
      <c r="S54" s="29" t="str">
        <f>IF(X54="","",IFERROR(IFERROR(MATCH(X54,武将进阶!G$4:G$10,0),MATCH(X54,武将进阶!G$4:G$10,1)+1),1))</f>
        <v/>
      </c>
      <c r="T54" s="29">
        <f>IF(Y54="","",IFERROR(IFERROR(MATCH(Y54,武将进阶!H$4:H$10,0),MATCH(Y54,武将进阶!H$4:H$10,1)+1),1))</f>
        <v>2</v>
      </c>
      <c r="U54" s="29" t="str">
        <f t="shared" si="7"/>
        <v/>
      </c>
      <c r="V54" s="29" t="str">
        <f t="shared" si="7"/>
        <v/>
      </c>
      <c r="W54" s="29" t="str">
        <f t="shared" si="7"/>
        <v/>
      </c>
      <c r="X54" s="29" t="str">
        <f t="shared" si="7"/>
        <v/>
      </c>
      <c r="Y54" s="29">
        <f t="shared" si="7"/>
        <v>80</v>
      </c>
      <c r="Z54" s="20"/>
      <c r="AA54" s="20"/>
      <c r="AB54" s="20"/>
      <c r="AC54" s="20"/>
      <c r="AD54" s="20"/>
      <c r="AE54" s="33"/>
      <c r="AF54" s="33"/>
      <c r="AG54" s="33"/>
      <c r="AH54" s="33"/>
      <c r="AI54" s="33"/>
      <c r="AJ54" s="29"/>
      <c r="AK54" s="29"/>
      <c r="AL54" s="29"/>
      <c r="AM54" s="29"/>
      <c r="AN54" s="29"/>
      <c r="AO54" s="17"/>
      <c r="AP54" s="17"/>
      <c r="AR54" s="7"/>
      <c r="AT54" s="29"/>
      <c r="AU54" s="29"/>
      <c r="AV54" s="29">
        <v>28</v>
      </c>
      <c r="AW54" s="29">
        <v>19</v>
      </c>
      <c r="AX54" s="29">
        <v>14</v>
      </c>
      <c r="AY54" s="29"/>
      <c r="AZ54" s="29"/>
      <c r="BA54" s="29">
        <v>18</v>
      </c>
      <c r="BB54" s="29">
        <v>13</v>
      </c>
      <c r="BC54" s="29">
        <v>6</v>
      </c>
    </row>
    <row r="55" spans="1:55" x14ac:dyDescent="0.15">
      <c r="A55" s="7">
        <f t="shared" si="4"/>
        <v>19</v>
      </c>
      <c r="B55" s="17"/>
      <c r="C55" s="29">
        <f t="shared" si="8"/>
        <v>264</v>
      </c>
      <c r="D55" s="29">
        <f>求节点(节奏总纲!$Q$4:$Q$113,节奏总纲!$O$4:$O$113,$C55)</f>
        <v>82.589980097275202</v>
      </c>
      <c r="F55" s="29"/>
      <c r="G55" s="29"/>
      <c r="H55" s="29"/>
      <c r="I55" s="29"/>
      <c r="J55" s="29">
        <v>6</v>
      </c>
      <c r="K55" s="29"/>
      <c r="L55" s="29"/>
      <c r="M55" s="29"/>
      <c r="N55" s="29" t="str">
        <f>IF(I55="","",MIN(INT(C55/$C$46),武将升星!$G$14))</f>
        <v/>
      </c>
      <c r="O55" s="29">
        <v>4</v>
      </c>
      <c r="P55" s="29" t="str">
        <f>IF(U55="","",IFERROR(IFERROR(MATCH(U55,武将进阶!D$4:D$10,0),MATCH(U55,武将进阶!D$4:D$10,1)+1),1))</f>
        <v/>
      </c>
      <c r="Q55" s="29" t="str">
        <f>IF(V55="","",IFERROR(IFERROR(MATCH(V55,武将进阶!E$4:E$10,0),MATCH(V55,武将进阶!E$4:E$10,1)+1),1))</f>
        <v/>
      </c>
      <c r="R55" s="29" t="str">
        <f>IF(W55="","",IFERROR(IFERROR(MATCH(W55,武将进阶!F$4:F$10,0),MATCH(W55,武将进阶!F$4:F$10,1)+1),1))</f>
        <v/>
      </c>
      <c r="S55" s="29" t="str">
        <f>IF(X55="","",IFERROR(IFERROR(MATCH(X55,武将进阶!G$4:G$10,0),MATCH(X55,武将进阶!G$4:G$10,1)+1),1))</f>
        <v/>
      </c>
      <c r="T55" s="29">
        <f>IF(Y55="","",IFERROR(IFERROR(MATCH(Y55,武将进阶!H$4:H$10,0),MATCH(Y55,武将进阶!H$4:H$10,1)+1),1))</f>
        <v>2</v>
      </c>
      <c r="U55" s="29" t="str">
        <f t="shared" si="7"/>
        <v/>
      </c>
      <c r="V55" s="29" t="str">
        <f t="shared" si="7"/>
        <v/>
      </c>
      <c r="W55" s="29" t="str">
        <f t="shared" si="7"/>
        <v/>
      </c>
      <c r="X55" s="29" t="str">
        <f t="shared" si="7"/>
        <v/>
      </c>
      <c r="Y55" s="29">
        <f t="shared" si="7"/>
        <v>82</v>
      </c>
      <c r="Z55" s="20"/>
      <c r="AA55" s="20"/>
      <c r="AB55" s="20"/>
      <c r="AC55" s="20"/>
      <c r="AD55" s="20"/>
      <c r="AE55" s="33"/>
      <c r="AF55" s="33"/>
      <c r="AG55" s="33"/>
      <c r="AH55" s="33"/>
      <c r="AI55" s="33"/>
      <c r="AJ55" s="29"/>
      <c r="AK55" s="29"/>
      <c r="AL55" s="29"/>
      <c r="AM55" s="29"/>
      <c r="AN55" s="29"/>
      <c r="AO55" s="17"/>
      <c r="AP55" s="17"/>
      <c r="AR55" s="7"/>
      <c r="AT55" s="29"/>
      <c r="AU55" s="29"/>
      <c r="AV55" s="29">
        <v>36</v>
      </c>
      <c r="AW55" s="29">
        <v>24</v>
      </c>
      <c r="AX55" s="29">
        <v>18</v>
      </c>
      <c r="AY55" s="29"/>
      <c r="AZ55" s="29"/>
      <c r="BA55" s="29">
        <v>24</v>
      </c>
      <c r="BB55" s="29">
        <v>18</v>
      </c>
      <c r="BC55" s="29">
        <v>12</v>
      </c>
    </row>
    <row r="56" spans="1:55" x14ac:dyDescent="0.15">
      <c r="A56" s="7">
        <f t="shared" si="4"/>
        <v>20</v>
      </c>
      <c r="B56" s="17"/>
      <c r="C56" s="29">
        <f t="shared" si="8"/>
        <v>300</v>
      </c>
      <c r="D56" s="29">
        <f>求节点(节奏总纲!$Q$4:$Q$113,节奏总纲!$O$4:$O$113,$C56)</f>
        <v>84.427173250438543</v>
      </c>
      <c r="F56" s="29"/>
      <c r="G56" s="29"/>
      <c r="H56" s="29"/>
      <c r="I56" s="29"/>
      <c r="J56" s="29">
        <v>6</v>
      </c>
      <c r="K56" s="29"/>
      <c r="L56" s="29"/>
      <c r="M56" s="29"/>
      <c r="N56" s="29" t="str">
        <f>IF(I56="","",MIN(INT(C56/$C$46),武将升星!$G$14))</f>
        <v/>
      </c>
      <c r="O56" s="29">
        <v>5</v>
      </c>
      <c r="P56" s="29" t="str">
        <f>IF(U56="","",IFERROR(IFERROR(MATCH(U56,武将进阶!D$4:D$10,0),MATCH(U56,武将进阶!D$4:D$10,1)+1),1))</f>
        <v/>
      </c>
      <c r="Q56" s="29" t="str">
        <f>IF(V56="","",IFERROR(IFERROR(MATCH(V56,武将进阶!E$4:E$10,0),MATCH(V56,武将进阶!E$4:E$10,1)+1),1))</f>
        <v/>
      </c>
      <c r="R56" s="29" t="str">
        <f>IF(W56="","",IFERROR(IFERROR(MATCH(W56,武将进阶!F$4:F$10,0),MATCH(W56,武将进阶!F$4:F$10,1)+1),1))</f>
        <v/>
      </c>
      <c r="S56" s="29" t="str">
        <f>IF(X56="","",IFERROR(IFERROR(MATCH(X56,武将进阶!G$4:G$10,0),MATCH(X56,武将进阶!G$4:G$10,1)+1),1))</f>
        <v/>
      </c>
      <c r="T56" s="29">
        <f>IF(Y56="","",IFERROR(IFERROR(MATCH(Y56,武将进阶!H$4:H$10,0),MATCH(Y56,武将进阶!H$4:H$10,1)+1),1))</f>
        <v>2</v>
      </c>
      <c r="U56" s="29" t="str">
        <f t="shared" si="7"/>
        <v/>
      </c>
      <c r="V56" s="29" t="str">
        <f t="shared" si="7"/>
        <v/>
      </c>
      <c r="W56" s="29" t="str">
        <f t="shared" si="7"/>
        <v/>
      </c>
      <c r="X56" s="29" t="str">
        <f t="shared" si="7"/>
        <v/>
      </c>
      <c r="Y56" s="29">
        <f t="shared" si="7"/>
        <v>84</v>
      </c>
      <c r="Z56" s="20"/>
      <c r="AA56" s="20"/>
      <c r="AB56" s="20"/>
      <c r="AC56" s="20"/>
      <c r="AD56" s="20"/>
      <c r="AE56" s="33"/>
      <c r="AF56" s="33"/>
      <c r="AG56" s="33"/>
      <c r="AH56" s="33"/>
      <c r="AI56" s="33"/>
      <c r="AJ56" s="29"/>
      <c r="AK56" s="29"/>
      <c r="AL56" s="29"/>
      <c r="AM56" s="29"/>
      <c r="AN56" s="29"/>
      <c r="AO56" s="17"/>
      <c r="AP56" s="17"/>
      <c r="AR56" s="7"/>
      <c r="AT56" s="29"/>
      <c r="AU56" s="29"/>
      <c r="AV56" s="29">
        <v>36</v>
      </c>
      <c r="AW56" s="29">
        <v>24</v>
      </c>
      <c r="AX56" s="29">
        <v>18</v>
      </c>
      <c r="AY56" s="29"/>
      <c r="AZ56" s="29"/>
      <c r="BA56" s="29">
        <v>24</v>
      </c>
      <c r="BB56" s="29">
        <v>18</v>
      </c>
      <c r="BC56" s="29">
        <v>12</v>
      </c>
    </row>
    <row r="57" spans="1:55" x14ac:dyDescent="0.15">
      <c r="A57" s="7">
        <f t="shared" si="4"/>
        <v>21</v>
      </c>
      <c r="B57" s="17"/>
      <c r="C57" s="17"/>
      <c r="D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R57" s="7"/>
    </row>
    <row r="58" spans="1:55" x14ac:dyDescent="0.15">
      <c r="A58" s="7">
        <f t="shared" si="4"/>
        <v>22</v>
      </c>
      <c r="B58" s="17"/>
      <c r="C58" s="17"/>
      <c r="D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R58" s="7"/>
    </row>
    <row r="59" spans="1:55" x14ac:dyDescent="0.15">
      <c r="A59" s="7">
        <f t="shared" si="4"/>
        <v>23</v>
      </c>
      <c r="B59" s="17"/>
      <c r="C59" s="17"/>
      <c r="D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R59" s="7"/>
    </row>
    <row r="60" spans="1:55" ht="13.5" customHeight="1" x14ac:dyDescent="0.15">
      <c r="A60" s="7">
        <v>1</v>
      </c>
      <c r="C60" s="160" t="s">
        <v>171</v>
      </c>
      <c r="D60" s="160"/>
      <c r="E60" s="17"/>
      <c r="F60" s="160" t="s">
        <v>178</v>
      </c>
      <c r="G60" s="160"/>
      <c r="H60" s="160"/>
      <c r="I60" s="160"/>
      <c r="J60" s="160"/>
      <c r="K60" s="160"/>
      <c r="L60" s="160"/>
      <c r="M60" s="160"/>
      <c r="N60" s="160"/>
      <c r="O60" s="160"/>
      <c r="P60" s="160"/>
      <c r="Q60" s="160"/>
      <c r="R60" s="160"/>
      <c r="S60" s="160"/>
      <c r="T60" s="160"/>
      <c r="U60" s="160"/>
      <c r="V60" s="160"/>
      <c r="W60" s="160"/>
      <c r="X60" s="160"/>
      <c r="Y60" s="160"/>
      <c r="Z60" s="160"/>
      <c r="AA60" s="160"/>
      <c r="AB60" s="160"/>
      <c r="AC60" s="160"/>
      <c r="AD60" s="160"/>
      <c r="AE60" s="160"/>
      <c r="AF60" s="160"/>
      <c r="AG60" s="160"/>
      <c r="AH60" s="160"/>
      <c r="AI60" s="160"/>
      <c r="AJ60" s="160"/>
      <c r="AK60" s="160"/>
      <c r="AL60" s="160"/>
      <c r="AM60" s="160"/>
      <c r="AN60" s="160"/>
      <c r="AO60" s="17"/>
      <c r="AP60" s="17"/>
      <c r="AQ60" s="17"/>
      <c r="AR60" s="7"/>
      <c r="AT60" s="159" t="s">
        <v>263</v>
      </c>
      <c r="AU60" s="159"/>
      <c r="AV60" s="159"/>
      <c r="AW60" s="159"/>
      <c r="AX60" s="159"/>
      <c r="AY60" s="159" t="s">
        <v>263</v>
      </c>
      <c r="AZ60" s="159"/>
      <c r="BA60" s="159"/>
      <c r="BB60" s="159"/>
      <c r="BC60" s="159"/>
    </row>
    <row r="61" spans="1:55" x14ac:dyDescent="0.15">
      <c r="A61" s="7">
        <f t="shared" ref="A61:A82" si="9">A60+1</f>
        <v>2</v>
      </c>
      <c r="C61" s="160"/>
      <c r="D61" s="160"/>
      <c r="E61" s="17"/>
      <c r="F61" s="160" t="s">
        <v>821</v>
      </c>
      <c r="G61" s="160"/>
      <c r="H61" s="160"/>
      <c r="I61" s="160"/>
      <c r="J61" s="160"/>
      <c r="K61" s="160" t="s">
        <v>150</v>
      </c>
      <c r="L61" s="160"/>
      <c r="M61" s="160"/>
      <c r="N61" s="160"/>
      <c r="O61" s="160"/>
      <c r="P61" s="160" t="s">
        <v>177</v>
      </c>
      <c r="Q61" s="160"/>
      <c r="R61" s="160"/>
      <c r="S61" s="160"/>
      <c r="T61" s="160"/>
      <c r="U61" s="160" t="s">
        <v>151</v>
      </c>
      <c r="V61" s="160"/>
      <c r="W61" s="160"/>
      <c r="X61" s="160"/>
      <c r="Y61" s="160"/>
      <c r="Z61" s="161"/>
      <c r="AA61" s="162"/>
      <c r="AB61" s="162"/>
      <c r="AC61" s="162"/>
      <c r="AD61" s="163"/>
      <c r="AE61" s="161"/>
      <c r="AF61" s="162"/>
      <c r="AG61" s="162"/>
      <c r="AH61" s="162"/>
      <c r="AI61" s="163"/>
      <c r="AJ61" s="160"/>
      <c r="AK61" s="160"/>
      <c r="AL61" s="160"/>
      <c r="AM61" s="160"/>
      <c r="AN61" s="160"/>
      <c r="AO61" s="17"/>
      <c r="AP61" s="17"/>
      <c r="AQ61" s="17"/>
      <c r="AR61" s="7"/>
      <c r="AT61" s="160" t="s">
        <v>264</v>
      </c>
      <c r="AU61" s="160"/>
      <c r="AV61" s="160"/>
      <c r="AW61" s="160"/>
      <c r="AX61" s="160"/>
      <c r="AY61" s="160" t="s">
        <v>265</v>
      </c>
      <c r="AZ61" s="160"/>
      <c r="BA61" s="160"/>
      <c r="BB61" s="160"/>
      <c r="BC61" s="160"/>
    </row>
    <row r="62" spans="1:55" x14ac:dyDescent="0.15">
      <c r="A62" s="7">
        <f t="shared" si="9"/>
        <v>3</v>
      </c>
      <c r="B62" s="1" t="s">
        <v>181</v>
      </c>
      <c r="C62" s="29" t="s">
        <v>170</v>
      </c>
      <c r="D62" s="29" t="s">
        <v>484</v>
      </c>
      <c r="E62" s="17"/>
      <c r="F62" s="29" t="s">
        <v>3</v>
      </c>
      <c r="G62" s="29" t="s">
        <v>1</v>
      </c>
      <c r="H62" s="29" t="s">
        <v>2</v>
      </c>
      <c r="I62" s="29" t="s">
        <v>0</v>
      </c>
      <c r="J62" s="29" t="s">
        <v>545</v>
      </c>
      <c r="K62" s="29" t="s">
        <v>3</v>
      </c>
      <c r="L62" s="29" t="s">
        <v>1</v>
      </c>
      <c r="M62" s="29" t="s">
        <v>2</v>
      </c>
      <c r="N62" s="29" t="s">
        <v>0</v>
      </c>
      <c r="O62" s="29" t="s">
        <v>545</v>
      </c>
      <c r="P62" s="29" t="s">
        <v>3</v>
      </c>
      <c r="Q62" s="29" t="s">
        <v>1</v>
      </c>
      <c r="R62" s="29" t="s">
        <v>2</v>
      </c>
      <c r="S62" s="29" t="s">
        <v>0</v>
      </c>
      <c r="T62" s="29" t="s">
        <v>545</v>
      </c>
      <c r="U62" s="29" t="s">
        <v>3</v>
      </c>
      <c r="V62" s="29" t="s">
        <v>1</v>
      </c>
      <c r="W62" s="29" t="s">
        <v>2</v>
      </c>
      <c r="X62" s="29" t="s">
        <v>0</v>
      </c>
      <c r="Y62" s="29" t="s">
        <v>545</v>
      </c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17"/>
      <c r="AP62" s="17"/>
      <c r="AQ62" s="17"/>
      <c r="AR62" s="7"/>
      <c r="AT62" s="29" t="s">
        <v>3</v>
      </c>
      <c r="AU62" s="29" t="s">
        <v>1</v>
      </c>
      <c r="AV62" s="29" t="s">
        <v>2</v>
      </c>
      <c r="AW62" s="29" t="s">
        <v>0</v>
      </c>
      <c r="AX62" s="29" t="s">
        <v>545</v>
      </c>
      <c r="AY62" s="29" t="s">
        <v>3</v>
      </c>
      <c r="AZ62" s="29" t="s">
        <v>1</v>
      </c>
      <c r="BA62" s="29" t="s">
        <v>2</v>
      </c>
      <c r="BB62" s="29" t="s">
        <v>0</v>
      </c>
      <c r="BC62" s="29" t="s">
        <v>545</v>
      </c>
    </row>
    <row r="63" spans="1:55" x14ac:dyDescent="0.15">
      <c r="A63" s="7">
        <f t="shared" si="9"/>
        <v>4</v>
      </c>
      <c r="B63" s="17">
        <f>1/2.5</f>
        <v>0.4</v>
      </c>
      <c r="C63" s="29">
        <f>C17*B63</f>
        <v>0.30000000000000004</v>
      </c>
      <c r="D63" s="29">
        <f>求节点(节奏总纲!$R$4:$R$113,节奏总纲!$O$4:$O$113,$C63)</f>
        <v>5.2398943883212414</v>
      </c>
      <c r="E63" s="17"/>
      <c r="F63" s="29" t="str">
        <f>IF(F17="","",F17)</f>
        <v/>
      </c>
      <c r="G63" s="29">
        <v>2</v>
      </c>
      <c r="H63" s="29">
        <f>IF(H17="","",H17)</f>
        <v>2</v>
      </c>
      <c r="I63" s="29">
        <v>2</v>
      </c>
      <c r="J63" s="29" t="str">
        <f>IF(J17="","",J17)</f>
        <v/>
      </c>
      <c r="K63" s="29" t="s">
        <v>168</v>
      </c>
      <c r="L63" s="29">
        <v>0</v>
      </c>
      <c r="M63" s="29">
        <v>0</v>
      </c>
      <c r="N63" s="29">
        <f>IF(I63="","",MIN(INT(C63/$C$68),武将升星!$G$14))</f>
        <v>0</v>
      </c>
      <c r="O63" s="29" t="s">
        <v>168</v>
      </c>
      <c r="P63" s="29" t="str">
        <f>IF(U63="","",IFERROR(IFERROR(MATCH(U63,武将进阶!D$4:D$10,0),MATCH(U63,武将进阶!D$4:D$10,1)+1),1))</f>
        <v/>
      </c>
      <c r="Q63" s="29">
        <f>IF(V63="","",IFERROR(IFERROR(MATCH(V63,武将进阶!E$4:E$10,0),MATCH(V63,武将进阶!E$4:E$10,1)+1),1))</f>
        <v>1</v>
      </c>
      <c r="R63" s="29">
        <f>IF(W63="","",IFERROR(IFERROR(MATCH(W63,武将进阶!F$4:F$10,0),MATCH(W63,武将进阶!F$4:F$10,1)+1),1))</f>
        <v>1</v>
      </c>
      <c r="S63" s="29">
        <f>IF(X63="","",IFERROR(IFERROR(MATCH(X63,武将进阶!G$4:G$10,0),MATCH(X63,武将进阶!G$4:G$10,1)+1),1))</f>
        <v>1</v>
      </c>
      <c r="T63" s="29" t="str">
        <f>IF(Y63="","",IFERROR(IFERROR(MATCH(Y63,武将进阶!H$4:H$10,0),MATCH(Y63,武将进阶!H$4:H$10,1)+1),1))</f>
        <v/>
      </c>
      <c r="U63" s="29" t="str">
        <f t="shared" ref="U63:Y78" si="10">IF(F63="","",INT($D63))</f>
        <v/>
      </c>
      <c r="V63" s="29">
        <f t="shared" si="10"/>
        <v>5</v>
      </c>
      <c r="W63" s="29">
        <f t="shared" si="10"/>
        <v>5</v>
      </c>
      <c r="X63" s="29">
        <f t="shared" si="10"/>
        <v>5</v>
      </c>
      <c r="Y63" s="29" t="str">
        <f t="shared" si="10"/>
        <v/>
      </c>
      <c r="Z63" s="20"/>
      <c r="AA63" s="20"/>
      <c r="AB63" s="20"/>
      <c r="AC63" s="20"/>
      <c r="AD63" s="20"/>
      <c r="AE63" s="33"/>
      <c r="AF63" s="33"/>
      <c r="AG63" s="33"/>
      <c r="AH63" s="33"/>
      <c r="AI63" s="33"/>
      <c r="AJ63" s="29"/>
      <c r="AK63" s="29"/>
      <c r="AL63" s="29"/>
      <c r="AM63" s="29"/>
      <c r="AN63" s="29"/>
      <c r="AO63" s="17"/>
      <c r="AP63" s="17"/>
      <c r="AQ63" s="17"/>
      <c r="AR63" s="7"/>
      <c r="AT63" s="29"/>
      <c r="AU63" s="29"/>
      <c r="AV63" s="29"/>
      <c r="AW63" s="29"/>
      <c r="AX63" s="29"/>
      <c r="AY63" s="29"/>
      <c r="AZ63" s="29"/>
      <c r="BA63" s="29"/>
      <c r="BB63" s="29"/>
      <c r="BC63" s="29"/>
    </row>
    <row r="64" spans="1:55" x14ac:dyDescent="0.15">
      <c r="A64" s="7">
        <f t="shared" si="9"/>
        <v>5</v>
      </c>
      <c r="B64" s="17">
        <f t="shared" ref="B64:B67" si="11">1/2.5</f>
        <v>0.4</v>
      </c>
      <c r="C64" s="29">
        <f>C18*B64</f>
        <v>0.60000000000000009</v>
      </c>
      <c r="D64" s="29">
        <f>求节点(节奏总纲!$R$4:$R$113,节奏总纲!$O$4:$O$113,$C64)</f>
        <v>9.0742448837092802</v>
      </c>
      <c r="E64" s="17"/>
      <c r="F64" s="29" t="str">
        <f>IF(F18="","",F18)</f>
        <v/>
      </c>
      <c r="G64" s="29"/>
      <c r="H64" s="29">
        <f>IF(H18="","",H18)</f>
        <v>3</v>
      </c>
      <c r="I64" s="29">
        <v>3</v>
      </c>
      <c r="J64" s="29" t="str">
        <f>IF(J18="","",J18)</f>
        <v/>
      </c>
      <c r="K64" s="29" t="s">
        <v>168</v>
      </c>
      <c r="L64" s="29" t="s">
        <v>168</v>
      </c>
      <c r="M64" s="29">
        <v>0</v>
      </c>
      <c r="N64" s="29">
        <f>IF(I64="","",MIN(INT(C64/$C$68),武将升星!$G$14))</f>
        <v>0</v>
      </c>
      <c r="O64" s="29" t="s">
        <v>168</v>
      </c>
      <c r="P64" s="29" t="str">
        <f>IF(U64="","",IFERROR(IFERROR(MATCH(U64,武将进阶!D$4:D$10,0),MATCH(U64,武将进阶!D$4:D$10,1)+1),1))</f>
        <v/>
      </c>
      <c r="Q64" s="29" t="str">
        <f>IF(V64="","",IFERROR(IFERROR(MATCH(V64,武将进阶!E$4:E$10,0),MATCH(V64,武将进阶!E$4:E$10,1)+1),1))</f>
        <v/>
      </c>
      <c r="R64" s="29">
        <f>IF(W64="","",IFERROR(IFERROR(MATCH(W64,武将进阶!F$4:F$10,0),MATCH(W64,武将进阶!F$4:F$10,1)+1),1))</f>
        <v>1</v>
      </c>
      <c r="S64" s="29">
        <f>IF(X64="","",IFERROR(IFERROR(MATCH(X64,武将进阶!G$4:G$10,0),MATCH(X64,武将进阶!G$4:G$10,1)+1),1))</f>
        <v>1</v>
      </c>
      <c r="T64" s="29" t="str">
        <f>IF(Y64="","",IFERROR(IFERROR(MATCH(Y64,武将进阶!H$4:H$10,0),MATCH(Y64,武将进阶!H$4:H$10,1)+1),1))</f>
        <v/>
      </c>
      <c r="U64" s="29" t="str">
        <f t="shared" si="10"/>
        <v/>
      </c>
      <c r="V64" s="29" t="str">
        <f t="shared" si="10"/>
        <v/>
      </c>
      <c r="W64" s="29">
        <f t="shared" si="10"/>
        <v>9</v>
      </c>
      <c r="X64" s="29">
        <f t="shared" si="10"/>
        <v>9</v>
      </c>
      <c r="Y64" s="29" t="str">
        <f t="shared" si="10"/>
        <v/>
      </c>
      <c r="Z64" s="20"/>
      <c r="AA64" s="20"/>
      <c r="AB64" s="20"/>
      <c r="AC64" s="20"/>
      <c r="AD64" s="20"/>
      <c r="AE64" s="33"/>
      <c r="AF64" s="33"/>
      <c r="AG64" s="33"/>
      <c r="AH64" s="33"/>
      <c r="AI64" s="33"/>
      <c r="AJ64" s="29"/>
      <c r="AK64" s="29"/>
      <c r="AL64" s="29"/>
      <c r="AM64" s="29"/>
      <c r="AN64" s="29"/>
      <c r="AO64" s="17"/>
      <c r="AP64" s="17"/>
      <c r="AQ64" s="17"/>
      <c r="AR64" s="7"/>
      <c r="AT64" s="29"/>
      <c r="AU64" s="29"/>
      <c r="AV64" s="29"/>
      <c r="AW64" s="29"/>
      <c r="AX64" s="29"/>
      <c r="AY64" s="29"/>
      <c r="AZ64" s="29"/>
      <c r="BA64" s="29"/>
      <c r="BB64" s="29"/>
      <c r="BC64" s="29"/>
    </row>
    <row r="65" spans="1:55" x14ac:dyDescent="0.15">
      <c r="A65" s="7">
        <f t="shared" si="9"/>
        <v>6</v>
      </c>
      <c r="B65" s="17">
        <f t="shared" si="11"/>
        <v>0.4</v>
      </c>
      <c r="C65" s="29">
        <f>C19*B65</f>
        <v>1.2000000000000002</v>
      </c>
      <c r="D65" s="29">
        <f>求节点(节奏总纲!$R$4:$R$113,节奏总纲!$O$4:$O$113,$C65)</f>
        <v>14.328692454225996</v>
      </c>
      <c r="E65" s="17"/>
      <c r="F65" s="29" t="str">
        <f>IF(F19="","",F19)</f>
        <v/>
      </c>
      <c r="G65" s="29" t="str">
        <f>IF(G19="","",G19)</f>
        <v/>
      </c>
      <c r="H65" s="29">
        <v>2</v>
      </c>
      <c r="I65" s="29">
        <v>4</v>
      </c>
      <c r="J65" s="29" t="str">
        <f>IF(J19="","",J19)</f>
        <v/>
      </c>
      <c r="K65" s="29" t="s">
        <v>168</v>
      </c>
      <c r="L65" s="29" t="s">
        <v>168</v>
      </c>
      <c r="M65" s="29">
        <v>0</v>
      </c>
      <c r="N65" s="29">
        <f>IF(I65="","",MIN(INT(C65/$C$68),武将升星!$G$14))</f>
        <v>0</v>
      </c>
      <c r="O65" s="29" t="s">
        <v>168</v>
      </c>
      <c r="P65" s="29" t="str">
        <f>IF(U65="","",IFERROR(IFERROR(MATCH(U65,武将进阶!D$4:D$10,0),MATCH(U65,武将进阶!D$4:D$10,1)+1),1))</f>
        <v/>
      </c>
      <c r="Q65" s="29" t="str">
        <f>IF(V65="","",IFERROR(IFERROR(MATCH(V65,武将进阶!E$4:E$10,0),MATCH(V65,武将进阶!E$4:E$10,1)+1),1))</f>
        <v/>
      </c>
      <c r="R65" s="29">
        <f>IF(W65="","",IFERROR(IFERROR(MATCH(W65,武将进阶!F$4:F$10,0),MATCH(W65,武将进阶!F$4:F$10,1)+1),1))</f>
        <v>1</v>
      </c>
      <c r="S65" s="29">
        <f>IF(X65="","",IFERROR(IFERROR(MATCH(X65,武将进阶!G$4:G$10,0),MATCH(X65,武将进阶!G$4:G$10,1)+1),1))</f>
        <v>1</v>
      </c>
      <c r="T65" s="29" t="str">
        <f>IF(Y65="","",IFERROR(IFERROR(MATCH(Y65,武将进阶!H$4:H$10,0),MATCH(Y65,武将进阶!H$4:H$10,1)+1),1))</f>
        <v/>
      </c>
      <c r="U65" s="29" t="str">
        <f t="shared" si="10"/>
        <v/>
      </c>
      <c r="V65" s="29" t="str">
        <f t="shared" si="10"/>
        <v/>
      </c>
      <c r="W65" s="29">
        <f t="shared" si="10"/>
        <v>14</v>
      </c>
      <c r="X65" s="29">
        <f t="shared" si="10"/>
        <v>14</v>
      </c>
      <c r="Y65" s="29" t="str">
        <f t="shared" si="10"/>
        <v/>
      </c>
      <c r="Z65" s="20"/>
      <c r="AA65" s="20"/>
      <c r="AB65" s="20"/>
      <c r="AC65" s="20"/>
      <c r="AD65" s="20"/>
      <c r="AE65" s="33"/>
      <c r="AF65" s="33"/>
      <c r="AG65" s="33"/>
      <c r="AH65" s="33"/>
      <c r="AI65" s="33"/>
      <c r="AJ65" s="29"/>
      <c r="AK65" s="29"/>
      <c r="AL65" s="29"/>
      <c r="AM65" s="29"/>
      <c r="AN65" s="29"/>
      <c r="AO65" s="17"/>
      <c r="AP65" s="17"/>
      <c r="AQ65" s="17"/>
      <c r="AR65" s="7"/>
      <c r="AT65" s="29"/>
      <c r="AU65" s="29"/>
      <c r="AV65" s="29">
        <v>1</v>
      </c>
      <c r="AW65" s="29"/>
      <c r="AX65" s="29"/>
      <c r="AY65" s="29"/>
      <c r="AZ65" s="29"/>
      <c r="BA65" s="29"/>
      <c r="BB65" s="29"/>
      <c r="BC65" s="29"/>
    </row>
    <row r="66" spans="1:55" x14ac:dyDescent="0.15">
      <c r="A66" s="7">
        <f t="shared" si="9"/>
        <v>7</v>
      </c>
      <c r="B66" s="17">
        <f t="shared" si="11"/>
        <v>0.4</v>
      </c>
      <c r="C66" s="29">
        <f>C20*B66</f>
        <v>1.8</v>
      </c>
      <c r="D66" s="29">
        <f>求节点(节奏总纲!$R$4:$R$113,节奏总纲!$O$4:$O$113,$C66)</f>
        <v>18.170016337765279</v>
      </c>
      <c r="E66" s="17"/>
      <c r="F66" s="29" t="str">
        <f>IF(F20="","",F20)</f>
        <v/>
      </c>
      <c r="G66" s="29" t="str">
        <f>IF(G20="","",G20)</f>
        <v/>
      </c>
      <c r="H66" s="29">
        <v>1</v>
      </c>
      <c r="I66" s="29">
        <v>5</v>
      </c>
      <c r="J66" s="29" t="str">
        <f>IF(J20="","",J20)</f>
        <v/>
      </c>
      <c r="K66" s="29" t="s">
        <v>168</v>
      </c>
      <c r="L66" s="29" t="s">
        <v>168</v>
      </c>
      <c r="M66" s="29">
        <v>0</v>
      </c>
      <c r="N66" s="29">
        <f>IF(I66="","",MIN(INT(C66/$C$68),武将升星!$G$14))</f>
        <v>0</v>
      </c>
      <c r="O66" s="29" t="s">
        <v>168</v>
      </c>
      <c r="P66" s="29" t="str">
        <f>IF(U66="","",IFERROR(IFERROR(MATCH(U66,武将进阶!D$4:D$10,0),MATCH(U66,武将进阶!D$4:D$10,1)+1),1))</f>
        <v/>
      </c>
      <c r="Q66" s="29" t="str">
        <f>IF(V66="","",IFERROR(IFERROR(MATCH(V66,武将进阶!E$4:E$10,0),MATCH(V66,武将进阶!E$4:E$10,1)+1),1))</f>
        <v/>
      </c>
      <c r="R66" s="29">
        <f>IF(W66="","",IFERROR(IFERROR(MATCH(W66,武将进阶!F$4:F$10,0),MATCH(W66,武将进阶!F$4:F$10,1)+1),1))</f>
        <v>1</v>
      </c>
      <c r="S66" s="29">
        <f>IF(X66="","",IFERROR(IFERROR(MATCH(X66,武将进阶!G$4:G$10,0),MATCH(X66,武将进阶!G$4:G$10,1)+1),1))</f>
        <v>1</v>
      </c>
      <c r="T66" s="29" t="str">
        <f>IF(Y66="","",IFERROR(IFERROR(MATCH(Y66,武将进阶!H$4:H$10,0),MATCH(Y66,武将进阶!H$4:H$10,1)+1),1))</f>
        <v/>
      </c>
      <c r="U66" s="29" t="str">
        <f t="shared" si="10"/>
        <v/>
      </c>
      <c r="V66" s="29" t="str">
        <f t="shared" si="10"/>
        <v/>
      </c>
      <c r="W66" s="29">
        <f t="shared" si="10"/>
        <v>18</v>
      </c>
      <c r="X66" s="29">
        <f t="shared" si="10"/>
        <v>18</v>
      </c>
      <c r="Y66" s="29" t="str">
        <f t="shared" si="10"/>
        <v/>
      </c>
      <c r="Z66" s="20"/>
      <c r="AA66" s="20"/>
      <c r="AB66" s="20"/>
      <c r="AC66" s="20"/>
      <c r="AD66" s="20"/>
      <c r="AE66" s="33"/>
      <c r="AF66" s="33"/>
      <c r="AG66" s="33"/>
      <c r="AH66" s="33"/>
      <c r="AI66" s="33"/>
      <c r="AJ66" s="29"/>
      <c r="AK66" s="29"/>
      <c r="AL66" s="29"/>
      <c r="AM66" s="29"/>
      <c r="AN66" s="29"/>
      <c r="AO66" s="17"/>
      <c r="AP66" s="17"/>
      <c r="AQ66" s="17"/>
      <c r="AR66" s="7"/>
      <c r="AT66" s="29"/>
      <c r="AU66" s="29"/>
      <c r="AV66" s="29">
        <v>1</v>
      </c>
      <c r="AW66" s="29"/>
      <c r="AX66" s="29"/>
      <c r="AY66" s="29"/>
      <c r="AZ66" s="29"/>
      <c r="BA66" s="29"/>
      <c r="BB66" s="29"/>
      <c r="BC66" s="29"/>
    </row>
    <row r="67" spans="1:55" x14ac:dyDescent="0.15">
      <c r="A67" s="7">
        <f t="shared" si="9"/>
        <v>8</v>
      </c>
      <c r="B67" s="17">
        <f t="shared" si="11"/>
        <v>0.4</v>
      </c>
      <c r="C67" s="29">
        <f>C21*B67</f>
        <v>2.4000000000000004</v>
      </c>
      <c r="D67" s="29">
        <f>求节点(节奏总纲!$R$4:$R$113,节奏总纲!$O$4:$O$113,$C67)</f>
        <v>21.233662064321877</v>
      </c>
      <c r="E67" s="17"/>
      <c r="F67" s="29" t="str">
        <f>IF(F21="","",F21)</f>
        <v/>
      </c>
      <c r="G67" s="29" t="str">
        <f>IF(G21="","",G21)</f>
        <v/>
      </c>
      <c r="H67" s="29"/>
      <c r="I67" s="29">
        <v>6</v>
      </c>
      <c r="J67" s="29" t="str">
        <f>IF(J21="","",J21)</f>
        <v/>
      </c>
      <c r="K67" s="29" t="s">
        <v>168</v>
      </c>
      <c r="L67" s="29" t="s">
        <v>168</v>
      </c>
      <c r="M67" s="29" t="s">
        <v>168</v>
      </c>
      <c r="N67" s="29">
        <f>IF(I67="","",MIN(INT(C67/$C$68),武将升星!$G$14))</f>
        <v>0</v>
      </c>
      <c r="O67" s="29" t="s">
        <v>168</v>
      </c>
      <c r="P67" s="29" t="str">
        <f>IF(U67="","",IFERROR(IFERROR(MATCH(U67,武将进阶!D$4:D$10,0),MATCH(U67,武将进阶!D$4:D$10,1)+1),1))</f>
        <v/>
      </c>
      <c r="Q67" s="29" t="str">
        <f>IF(V67="","",IFERROR(IFERROR(MATCH(V67,武将进阶!E$4:E$10,0),MATCH(V67,武将进阶!E$4:E$10,1)+1),1))</f>
        <v/>
      </c>
      <c r="R67" s="29" t="str">
        <f>IF(W67="","",IFERROR(IFERROR(MATCH(W67,武将进阶!F$4:F$10,0),MATCH(W67,武将进阶!F$4:F$10,1)+1),1))</f>
        <v/>
      </c>
      <c r="S67" s="29">
        <f>IF(X67="","",IFERROR(IFERROR(MATCH(X67,武将进阶!G$4:G$10,0),MATCH(X67,武将进阶!G$4:G$10,1)+1),1))</f>
        <v>1</v>
      </c>
      <c r="T67" s="29" t="str">
        <f>IF(Y67="","",IFERROR(IFERROR(MATCH(Y67,武将进阶!H$4:H$10,0),MATCH(Y67,武将进阶!H$4:H$10,1)+1),1))</f>
        <v/>
      </c>
      <c r="U67" s="29" t="str">
        <f t="shared" si="10"/>
        <v/>
      </c>
      <c r="V67" s="29" t="str">
        <f t="shared" si="10"/>
        <v/>
      </c>
      <c r="W67" s="29" t="str">
        <f t="shared" si="10"/>
        <v/>
      </c>
      <c r="X67" s="29">
        <f t="shared" si="10"/>
        <v>21</v>
      </c>
      <c r="Y67" s="29" t="str">
        <f t="shared" si="10"/>
        <v/>
      </c>
      <c r="Z67" s="20"/>
      <c r="AA67" s="20"/>
      <c r="AB67" s="20"/>
      <c r="AC67" s="20"/>
      <c r="AD67" s="20"/>
      <c r="AE67" s="33"/>
      <c r="AF67" s="33"/>
      <c r="AG67" s="33"/>
      <c r="AH67" s="33"/>
      <c r="AI67" s="33"/>
      <c r="AJ67" s="29"/>
      <c r="AK67" s="29"/>
      <c r="AL67" s="29"/>
      <c r="AM67" s="29"/>
      <c r="AN67" s="29"/>
      <c r="AO67" s="17"/>
      <c r="AP67" s="17"/>
      <c r="AQ67" s="17"/>
      <c r="AR67" s="7"/>
      <c r="AT67" s="29"/>
      <c r="AU67" s="29"/>
      <c r="AV67" s="29">
        <v>2</v>
      </c>
      <c r="AW67" s="29"/>
      <c r="AX67" s="29"/>
      <c r="AY67" s="29"/>
      <c r="AZ67" s="29"/>
      <c r="BA67" s="29"/>
      <c r="BB67" s="29"/>
      <c r="BC67" s="29"/>
    </row>
    <row r="68" spans="1:55" x14ac:dyDescent="0.15">
      <c r="A68" s="7">
        <f t="shared" si="9"/>
        <v>9</v>
      </c>
      <c r="B68" s="17"/>
      <c r="C68" s="29">
        <f>30*B67</f>
        <v>12</v>
      </c>
      <c r="D68" s="29">
        <f>求节点(节奏总纲!$R$4:$R$113,节奏总纲!$O$4:$O$113,$C68)</f>
        <v>41.408320762540754</v>
      </c>
      <c r="F68" s="29" t="str">
        <f t="shared" ref="F68:J78" si="12">IF(F23="","",F23)</f>
        <v/>
      </c>
      <c r="G68" s="29" t="str">
        <f t="shared" si="12"/>
        <v/>
      </c>
      <c r="H68" s="29" t="str">
        <f t="shared" si="12"/>
        <v/>
      </c>
      <c r="I68" s="29">
        <f t="shared" si="12"/>
        <v>6</v>
      </c>
      <c r="J68" s="29" t="str">
        <f t="shared" si="12"/>
        <v/>
      </c>
      <c r="K68" s="29" t="s">
        <v>168</v>
      </c>
      <c r="L68" s="29" t="s">
        <v>168</v>
      </c>
      <c r="M68" s="29" t="s">
        <v>168</v>
      </c>
      <c r="N68" s="29">
        <v>1</v>
      </c>
      <c r="O68" s="29"/>
      <c r="P68" s="29" t="str">
        <f>IF(U68="","",IFERROR(IFERROR(MATCH(U68,武将进阶!D$4:D$10,0),MATCH(U68,武将进阶!D$4:D$10,1)+1),1))</f>
        <v/>
      </c>
      <c r="Q68" s="29" t="str">
        <f>IF(V68="","",IFERROR(IFERROR(MATCH(V68,武将进阶!E$4:E$10,0),MATCH(V68,武将进阶!E$4:E$10,1)+1),1))</f>
        <v/>
      </c>
      <c r="R68" s="29" t="str">
        <f>IF(W68="","",IFERROR(IFERROR(MATCH(W68,武将进阶!F$4:F$10,0),MATCH(W68,武将进阶!F$4:F$10,1)+1),1))</f>
        <v/>
      </c>
      <c r="S68" s="29">
        <f>IF(X68="","",IFERROR(IFERROR(MATCH(X68,武将进阶!G$4:G$10,0),MATCH(X68,武将进阶!G$4:G$10,1)+1),1))</f>
        <v>1</v>
      </c>
      <c r="T68" s="29" t="str">
        <f>IF(Y68="","",IFERROR(IFERROR(MATCH(Y68,武将进阶!H$4:H$10,0),MATCH(Y68,武将进阶!H$4:H$10,1)+1),1))</f>
        <v/>
      </c>
      <c r="U68" s="29" t="str">
        <f t="shared" si="10"/>
        <v/>
      </c>
      <c r="V68" s="29" t="str">
        <f t="shared" si="10"/>
        <v/>
      </c>
      <c r="W68" s="29" t="str">
        <f t="shared" si="10"/>
        <v/>
      </c>
      <c r="X68" s="29">
        <f t="shared" si="10"/>
        <v>41</v>
      </c>
      <c r="Y68" s="29" t="str">
        <f t="shared" si="10"/>
        <v/>
      </c>
      <c r="Z68" s="20"/>
      <c r="AA68" s="20"/>
      <c r="AB68" s="20"/>
      <c r="AC68" s="20"/>
      <c r="AD68" s="20"/>
      <c r="AE68" s="33"/>
      <c r="AF68" s="33"/>
      <c r="AG68" s="33"/>
      <c r="AH68" s="33"/>
      <c r="AI68" s="33"/>
      <c r="AJ68" s="29"/>
      <c r="AK68" s="29"/>
      <c r="AL68" s="29"/>
      <c r="AM68" s="29"/>
      <c r="AN68" s="29"/>
      <c r="AO68" s="17"/>
      <c r="AP68" s="17"/>
      <c r="AR68" s="7"/>
      <c r="AT68" s="29"/>
      <c r="AU68" s="29"/>
      <c r="AV68" s="29">
        <v>3</v>
      </c>
      <c r="AW68" s="29">
        <v>1</v>
      </c>
      <c r="AX68" s="29">
        <v>1</v>
      </c>
      <c r="AY68" s="29"/>
      <c r="AZ68" s="29"/>
      <c r="BA68" s="29"/>
      <c r="BB68" s="29"/>
      <c r="BC68" s="29"/>
    </row>
    <row r="69" spans="1:55" x14ac:dyDescent="0.15">
      <c r="A69" s="7">
        <f t="shared" si="9"/>
        <v>10</v>
      </c>
      <c r="B69" s="17"/>
      <c r="C69" s="29">
        <v>18</v>
      </c>
      <c r="D69" s="29">
        <f>求节点(节奏总纲!$R$4:$R$113,节奏总纲!$O$4:$O$113,$C69)</f>
        <v>47.002405448181747</v>
      </c>
      <c r="F69" s="29" t="str">
        <f t="shared" si="12"/>
        <v/>
      </c>
      <c r="G69" s="29" t="str">
        <f t="shared" si="12"/>
        <v/>
      </c>
      <c r="H69" s="29" t="str">
        <f t="shared" si="12"/>
        <v/>
      </c>
      <c r="I69" s="29">
        <f t="shared" si="12"/>
        <v>5</v>
      </c>
      <c r="J69" s="29">
        <f t="shared" si="12"/>
        <v>1</v>
      </c>
      <c r="K69" s="29" t="s">
        <v>168</v>
      </c>
      <c r="L69" s="29" t="s">
        <v>168</v>
      </c>
      <c r="M69" s="29" t="s">
        <v>168</v>
      </c>
      <c r="N69" s="29">
        <v>1</v>
      </c>
      <c r="O69" s="29">
        <v>0</v>
      </c>
      <c r="P69" s="29" t="str">
        <f>IF(U69="","",IFERROR(IFERROR(MATCH(U69,武将进阶!D$4:D$10,0),MATCH(U69,武将进阶!D$4:D$10,1)+1),1))</f>
        <v/>
      </c>
      <c r="Q69" s="29" t="str">
        <f>IF(V69="","",IFERROR(IFERROR(MATCH(V69,武将进阶!E$4:E$10,0),MATCH(V69,武将进阶!E$4:E$10,1)+1),1))</f>
        <v/>
      </c>
      <c r="R69" s="29" t="str">
        <f>IF(W69="","",IFERROR(IFERROR(MATCH(W69,武将进阶!F$4:F$10,0),MATCH(W69,武将进阶!F$4:F$10,1)+1),1))</f>
        <v/>
      </c>
      <c r="S69" s="29">
        <f>IF(X69="","",IFERROR(IFERROR(MATCH(X69,武将进阶!G$4:G$10,0),MATCH(X69,武将进阶!G$4:G$10,1)+1),1))</f>
        <v>1</v>
      </c>
      <c r="T69" s="29">
        <f>IF(Y69="","",IFERROR(IFERROR(MATCH(Y69,武将进阶!H$4:H$10,0),MATCH(Y69,武将进阶!H$4:H$10,1)+1),1))</f>
        <v>1</v>
      </c>
      <c r="U69" s="29" t="str">
        <f t="shared" si="10"/>
        <v/>
      </c>
      <c r="V69" s="29" t="str">
        <f t="shared" si="10"/>
        <v/>
      </c>
      <c r="W69" s="29" t="str">
        <f t="shared" si="10"/>
        <v/>
      </c>
      <c r="X69" s="29">
        <f t="shared" si="10"/>
        <v>47</v>
      </c>
      <c r="Y69" s="29">
        <f t="shared" si="10"/>
        <v>47</v>
      </c>
      <c r="Z69" s="20"/>
      <c r="AA69" s="20"/>
      <c r="AB69" s="20"/>
      <c r="AC69" s="20"/>
      <c r="AD69" s="20"/>
      <c r="AE69" s="33"/>
      <c r="AF69" s="33"/>
      <c r="AG69" s="33"/>
      <c r="AH69" s="33"/>
      <c r="AI69" s="33"/>
      <c r="AJ69" s="29"/>
      <c r="AK69" s="29"/>
      <c r="AL69" s="29"/>
      <c r="AM69" s="29"/>
      <c r="AN69" s="29"/>
      <c r="AO69" s="17"/>
      <c r="AP69" s="17"/>
      <c r="AR69" s="7"/>
      <c r="AT69" s="29"/>
      <c r="AU69" s="29"/>
      <c r="AV69" s="29">
        <v>4</v>
      </c>
      <c r="AW69" s="29">
        <v>2</v>
      </c>
      <c r="AX69" s="29">
        <v>2</v>
      </c>
      <c r="AY69" s="29"/>
      <c r="AZ69" s="29"/>
      <c r="BA69" s="29"/>
      <c r="BB69" s="29"/>
      <c r="BC69" s="29"/>
    </row>
    <row r="70" spans="1:55" x14ac:dyDescent="0.15">
      <c r="A70" s="7">
        <f t="shared" si="9"/>
        <v>11</v>
      </c>
      <c r="B70" s="17"/>
      <c r="C70" s="29">
        <f>C69+18</f>
        <v>36</v>
      </c>
      <c r="D70" s="29">
        <f>求节点(节奏总纲!$R$4:$R$113,节奏总纲!$O$4:$O$113,$C70)</f>
        <v>56.869815618584624</v>
      </c>
      <c r="F70" s="29" t="str">
        <f t="shared" si="12"/>
        <v/>
      </c>
      <c r="G70" s="29" t="str">
        <f t="shared" si="12"/>
        <v/>
      </c>
      <c r="H70" s="29" t="str">
        <f t="shared" si="12"/>
        <v/>
      </c>
      <c r="I70" s="29">
        <f t="shared" si="12"/>
        <v>4</v>
      </c>
      <c r="J70" s="29">
        <f t="shared" si="12"/>
        <v>2</v>
      </c>
      <c r="K70" s="29" t="s">
        <v>168</v>
      </c>
      <c r="L70" s="29" t="s">
        <v>168</v>
      </c>
      <c r="M70" s="29" t="s">
        <v>168</v>
      </c>
      <c r="N70" s="29">
        <v>2</v>
      </c>
      <c r="O70" s="29">
        <v>0</v>
      </c>
      <c r="P70" s="29" t="str">
        <f>IF(U70="","",IFERROR(IFERROR(MATCH(U70,武将进阶!D$4:D$10,0),MATCH(U70,武将进阶!D$4:D$10,1)+1),1))</f>
        <v/>
      </c>
      <c r="Q70" s="29" t="str">
        <f>IF(V70="","",IFERROR(IFERROR(MATCH(V70,武将进阶!E$4:E$10,0),MATCH(V70,武将进阶!E$4:E$10,1)+1),1))</f>
        <v/>
      </c>
      <c r="R70" s="29" t="str">
        <f>IF(W70="","",IFERROR(IFERROR(MATCH(W70,武将进阶!F$4:F$10,0),MATCH(W70,武将进阶!F$4:F$10,1)+1),1))</f>
        <v/>
      </c>
      <c r="S70" s="29">
        <f>IF(X70="","",IFERROR(IFERROR(MATCH(X70,武将进阶!G$4:G$10,0),MATCH(X70,武将进阶!G$4:G$10,1)+1),1))</f>
        <v>2</v>
      </c>
      <c r="T70" s="29">
        <f>IF(Y70="","",IFERROR(IFERROR(MATCH(Y70,武将进阶!H$4:H$10,0),MATCH(Y70,武将进阶!H$4:H$10,1)+1),1))</f>
        <v>2</v>
      </c>
      <c r="U70" s="29" t="str">
        <f t="shared" si="10"/>
        <v/>
      </c>
      <c r="V70" s="29" t="str">
        <f t="shared" si="10"/>
        <v/>
      </c>
      <c r="W70" s="29" t="str">
        <f t="shared" si="10"/>
        <v/>
      </c>
      <c r="X70" s="29">
        <f t="shared" si="10"/>
        <v>56</v>
      </c>
      <c r="Y70" s="29">
        <f t="shared" si="10"/>
        <v>56</v>
      </c>
      <c r="Z70" s="20"/>
      <c r="AA70" s="20"/>
      <c r="AB70" s="20"/>
      <c r="AC70" s="20"/>
      <c r="AD70" s="20"/>
      <c r="AE70" s="33"/>
      <c r="AF70" s="33"/>
      <c r="AG70" s="33"/>
      <c r="AH70" s="33"/>
      <c r="AI70" s="33"/>
      <c r="AJ70" s="29"/>
      <c r="AK70" s="29"/>
      <c r="AL70" s="29"/>
      <c r="AM70" s="29"/>
      <c r="AN70" s="29"/>
      <c r="AO70" s="17"/>
      <c r="AP70" s="17"/>
      <c r="AR70" s="7"/>
      <c r="AT70" s="29"/>
      <c r="AU70" s="29"/>
      <c r="AV70" s="29">
        <v>7</v>
      </c>
      <c r="AW70" s="29">
        <v>3</v>
      </c>
      <c r="AX70" s="29">
        <v>3</v>
      </c>
      <c r="AY70" s="29"/>
      <c r="AZ70" s="29"/>
      <c r="BA70" s="29">
        <v>1</v>
      </c>
      <c r="BB70" s="29"/>
      <c r="BC70" s="29"/>
    </row>
    <row r="71" spans="1:55" x14ac:dyDescent="0.15">
      <c r="A71" s="7">
        <f t="shared" si="9"/>
        <v>12</v>
      </c>
      <c r="B71" s="17"/>
      <c r="C71" s="29">
        <f t="shared" ref="C71" si="13">C70+18</f>
        <v>54</v>
      </c>
      <c r="D71" s="29">
        <f>求节点(节奏总纲!$R$4:$R$113,节奏总纲!$O$4:$O$113,$C71)</f>
        <v>62.660624101136307</v>
      </c>
      <c r="F71" s="29" t="str">
        <f t="shared" si="12"/>
        <v/>
      </c>
      <c r="G71" s="29" t="str">
        <f t="shared" si="12"/>
        <v/>
      </c>
      <c r="H71" s="29" t="str">
        <f t="shared" si="12"/>
        <v/>
      </c>
      <c r="I71" s="29">
        <f t="shared" si="12"/>
        <v>3</v>
      </c>
      <c r="J71" s="29">
        <f t="shared" si="12"/>
        <v>3</v>
      </c>
      <c r="K71" s="29" t="s">
        <v>168</v>
      </c>
      <c r="L71" s="29" t="s">
        <v>168</v>
      </c>
      <c r="M71" s="29" t="s">
        <v>168</v>
      </c>
      <c r="N71" s="29">
        <v>3</v>
      </c>
      <c r="O71" s="29">
        <v>0</v>
      </c>
      <c r="P71" s="29" t="str">
        <f>IF(U71="","",IFERROR(IFERROR(MATCH(U71,武将进阶!D$4:D$10,0),MATCH(U71,武将进阶!D$4:D$10,1)+1),1))</f>
        <v/>
      </c>
      <c r="Q71" s="29" t="str">
        <f>IF(V71="","",IFERROR(IFERROR(MATCH(V71,武将进阶!E$4:E$10,0),MATCH(V71,武将进阶!E$4:E$10,1)+1),1))</f>
        <v/>
      </c>
      <c r="R71" s="29" t="str">
        <f>IF(W71="","",IFERROR(IFERROR(MATCH(W71,武将进阶!F$4:F$10,0),MATCH(W71,武将进阶!F$4:F$10,1)+1),1))</f>
        <v/>
      </c>
      <c r="S71" s="29">
        <f>IF(X71="","",IFERROR(IFERROR(MATCH(X71,武将进阶!G$4:G$10,0),MATCH(X71,武将进阶!G$4:G$10,1)+1),1))</f>
        <v>2</v>
      </c>
      <c r="T71" s="29">
        <f>IF(Y71="","",IFERROR(IFERROR(MATCH(Y71,武将进阶!H$4:H$10,0),MATCH(Y71,武将进阶!H$4:H$10,1)+1),1))</f>
        <v>2</v>
      </c>
      <c r="U71" s="29" t="str">
        <f t="shared" si="10"/>
        <v/>
      </c>
      <c r="V71" s="29" t="str">
        <f t="shared" si="10"/>
        <v/>
      </c>
      <c r="W71" s="29" t="str">
        <f t="shared" si="10"/>
        <v/>
      </c>
      <c r="X71" s="29">
        <f t="shared" si="10"/>
        <v>62</v>
      </c>
      <c r="Y71" s="29">
        <f t="shared" si="10"/>
        <v>62</v>
      </c>
      <c r="Z71" s="20"/>
      <c r="AA71" s="20"/>
      <c r="AB71" s="20"/>
      <c r="AC71" s="20"/>
      <c r="AD71" s="20"/>
      <c r="AE71" s="33"/>
      <c r="AF71" s="33"/>
      <c r="AG71" s="33"/>
      <c r="AH71" s="33"/>
      <c r="AI71" s="33"/>
      <c r="AJ71" s="29"/>
      <c r="AK71" s="29"/>
      <c r="AL71" s="29"/>
      <c r="AM71" s="29"/>
      <c r="AN71" s="29"/>
      <c r="AO71" s="17"/>
      <c r="AP71" s="17"/>
      <c r="AR71" s="7"/>
      <c r="AT71" s="29"/>
      <c r="AU71" s="29"/>
      <c r="AV71" s="29">
        <v>10</v>
      </c>
      <c r="AW71" s="29">
        <v>6</v>
      </c>
      <c r="AX71" s="29">
        <v>5</v>
      </c>
      <c r="AY71" s="29"/>
      <c r="AZ71" s="29"/>
      <c r="BA71" s="29">
        <v>3</v>
      </c>
      <c r="BB71" s="29">
        <v>1</v>
      </c>
      <c r="BC71" s="29"/>
    </row>
    <row r="72" spans="1:55" x14ac:dyDescent="0.15">
      <c r="A72" s="7">
        <f t="shared" si="9"/>
        <v>13</v>
      </c>
      <c r="B72" s="17"/>
      <c r="C72" s="29">
        <f>C71+18*1.5</f>
        <v>81</v>
      </c>
      <c r="D72" s="29">
        <f>求节点(节奏总纲!$R$4:$R$113,节奏总纲!$O$4:$O$113,$C72)</f>
        <v>68.487101522580488</v>
      </c>
      <c r="F72" s="29" t="str">
        <f t="shared" si="12"/>
        <v/>
      </c>
      <c r="G72" s="29" t="str">
        <f t="shared" si="12"/>
        <v/>
      </c>
      <c r="H72" s="29" t="str">
        <f t="shared" si="12"/>
        <v/>
      </c>
      <c r="I72" s="29">
        <f t="shared" si="12"/>
        <v>2</v>
      </c>
      <c r="J72" s="29">
        <f t="shared" si="12"/>
        <v>4</v>
      </c>
      <c r="K72" s="29" t="s">
        <v>168</v>
      </c>
      <c r="L72" s="29" t="s">
        <v>168</v>
      </c>
      <c r="M72" s="29" t="s">
        <v>168</v>
      </c>
      <c r="N72" s="29">
        <v>4</v>
      </c>
      <c r="O72" s="29">
        <v>1</v>
      </c>
      <c r="P72" s="29" t="str">
        <f>IF(U72="","",IFERROR(IFERROR(MATCH(U72,武将进阶!D$4:D$10,0),MATCH(U72,武将进阶!D$4:D$10,1)+1),1))</f>
        <v/>
      </c>
      <c r="Q72" s="29" t="str">
        <f>IF(V72="","",IFERROR(IFERROR(MATCH(V72,武将进阶!E$4:E$10,0),MATCH(V72,武将进阶!E$4:E$10,1)+1),1))</f>
        <v/>
      </c>
      <c r="R72" s="29" t="str">
        <f>IF(W72="","",IFERROR(IFERROR(MATCH(W72,武将进阶!F$4:F$10,0),MATCH(W72,武将进阶!F$4:F$10,1)+1),1))</f>
        <v/>
      </c>
      <c r="S72" s="29">
        <f>IF(X72="","",IFERROR(IFERROR(MATCH(X72,武将进阶!G$4:G$10,0),MATCH(X72,武将进阶!G$4:G$10,1)+1),1))</f>
        <v>2</v>
      </c>
      <c r="T72" s="29">
        <f>IF(Y72="","",IFERROR(IFERROR(MATCH(Y72,武将进阶!H$4:H$10,0),MATCH(Y72,武将进阶!H$4:H$10,1)+1),1))</f>
        <v>2</v>
      </c>
      <c r="U72" s="29" t="str">
        <f t="shared" si="10"/>
        <v/>
      </c>
      <c r="V72" s="29" t="str">
        <f t="shared" si="10"/>
        <v/>
      </c>
      <c r="W72" s="29" t="str">
        <f t="shared" si="10"/>
        <v/>
      </c>
      <c r="X72" s="29">
        <f t="shared" si="10"/>
        <v>68</v>
      </c>
      <c r="Y72" s="29">
        <f t="shared" si="10"/>
        <v>68</v>
      </c>
      <c r="Z72" s="20"/>
      <c r="AA72" s="20"/>
      <c r="AB72" s="20"/>
      <c r="AC72" s="20"/>
      <c r="AD72" s="20"/>
      <c r="AE72" s="33"/>
      <c r="AF72" s="33"/>
      <c r="AG72" s="33"/>
      <c r="AH72" s="33"/>
      <c r="AI72" s="33"/>
      <c r="AJ72" s="29"/>
      <c r="AK72" s="29"/>
      <c r="AL72" s="29"/>
      <c r="AM72" s="29"/>
      <c r="AN72" s="29"/>
      <c r="AO72" s="17"/>
      <c r="AP72" s="17"/>
      <c r="AR72" s="7"/>
      <c r="AT72" s="29"/>
      <c r="AU72" s="29"/>
      <c r="AV72" s="29">
        <v>14</v>
      </c>
      <c r="AW72" s="29">
        <v>9</v>
      </c>
      <c r="AX72" s="29">
        <v>7</v>
      </c>
      <c r="AY72" s="29"/>
      <c r="AZ72" s="29"/>
      <c r="BA72" s="29">
        <v>6</v>
      </c>
      <c r="BB72" s="29">
        <v>2</v>
      </c>
      <c r="BC72" s="29"/>
    </row>
    <row r="73" spans="1:55" x14ac:dyDescent="0.15">
      <c r="A73" s="7">
        <f t="shared" si="9"/>
        <v>14</v>
      </c>
      <c r="B73" s="17"/>
      <c r="C73" s="29">
        <f t="shared" ref="C73:C78" si="14">C72+18*1.5</f>
        <v>108</v>
      </c>
      <c r="D73" s="29">
        <f>求节点(节奏总纲!$R$4:$R$113,节奏总纲!$O$4:$O$113,$C73)</f>
        <v>72.644573376036519</v>
      </c>
      <c r="F73" s="29" t="str">
        <f t="shared" si="12"/>
        <v/>
      </c>
      <c r="G73" s="29" t="str">
        <f t="shared" si="12"/>
        <v/>
      </c>
      <c r="H73" s="29" t="str">
        <f t="shared" si="12"/>
        <v/>
      </c>
      <c r="I73" s="29">
        <f t="shared" si="12"/>
        <v>1</v>
      </c>
      <c r="J73" s="29">
        <f t="shared" si="12"/>
        <v>5</v>
      </c>
      <c r="K73" s="29" t="s">
        <v>168</v>
      </c>
      <c r="L73" s="29" t="s">
        <v>168</v>
      </c>
      <c r="M73" s="29" t="s">
        <v>168</v>
      </c>
      <c r="N73" s="29">
        <v>5</v>
      </c>
      <c r="O73" s="29">
        <v>2</v>
      </c>
      <c r="P73" s="29" t="str">
        <f>IF(U73="","",IFERROR(IFERROR(MATCH(U73,武将进阶!D$4:D$10,0),MATCH(U73,武将进阶!D$4:D$10,1)+1),1))</f>
        <v/>
      </c>
      <c r="Q73" s="29" t="str">
        <f>IF(V73="","",IFERROR(IFERROR(MATCH(V73,武将进阶!E$4:E$10,0),MATCH(V73,武将进阶!E$4:E$10,1)+1),1))</f>
        <v/>
      </c>
      <c r="R73" s="29" t="str">
        <f>IF(W73="","",IFERROR(IFERROR(MATCH(W73,武将进阶!F$4:F$10,0),MATCH(W73,武将进阶!F$4:F$10,1)+1),1))</f>
        <v/>
      </c>
      <c r="S73" s="29">
        <f>IF(X73="","",IFERROR(IFERROR(MATCH(X73,武将进阶!G$4:G$10,0),MATCH(X73,武将进阶!G$4:G$10,1)+1),1))</f>
        <v>2</v>
      </c>
      <c r="T73" s="29">
        <f>IF(Y73="","",IFERROR(IFERROR(MATCH(Y73,武将进阶!H$4:H$10,0),MATCH(Y73,武将进阶!H$4:H$10,1)+1),1))</f>
        <v>2</v>
      </c>
      <c r="U73" s="29" t="str">
        <f t="shared" si="10"/>
        <v/>
      </c>
      <c r="V73" s="29" t="str">
        <f t="shared" si="10"/>
        <v/>
      </c>
      <c r="W73" s="29" t="str">
        <f t="shared" si="10"/>
        <v/>
      </c>
      <c r="X73" s="29">
        <f t="shared" si="10"/>
        <v>72</v>
      </c>
      <c r="Y73" s="29">
        <f t="shared" si="10"/>
        <v>72</v>
      </c>
      <c r="Z73" s="20"/>
      <c r="AA73" s="20"/>
      <c r="AB73" s="20"/>
      <c r="AC73" s="20"/>
      <c r="AD73" s="20"/>
      <c r="AE73" s="33"/>
      <c r="AF73" s="33"/>
      <c r="AG73" s="33"/>
      <c r="AH73" s="33"/>
      <c r="AI73" s="33"/>
      <c r="AJ73" s="29"/>
      <c r="AK73" s="29"/>
      <c r="AL73" s="29"/>
      <c r="AM73" s="29"/>
      <c r="AN73" s="29"/>
      <c r="AO73" s="17"/>
      <c r="AP73" s="17"/>
      <c r="AR73" s="7"/>
      <c r="AT73" s="29"/>
      <c r="AU73" s="29"/>
      <c r="AV73" s="29">
        <v>18</v>
      </c>
      <c r="AW73" s="29">
        <v>12</v>
      </c>
      <c r="AX73" s="29">
        <v>9</v>
      </c>
      <c r="AY73" s="29"/>
      <c r="AZ73" s="29"/>
      <c r="BA73" s="29">
        <v>9</v>
      </c>
      <c r="BB73" s="29">
        <v>5</v>
      </c>
      <c r="BC73" s="29"/>
    </row>
    <row r="74" spans="1:55" x14ac:dyDescent="0.15">
      <c r="A74" s="7">
        <f t="shared" si="9"/>
        <v>15</v>
      </c>
      <c r="B74" s="17"/>
      <c r="C74" s="29">
        <f t="shared" si="14"/>
        <v>135</v>
      </c>
      <c r="D74" s="29">
        <f>求节点(节奏总纲!$R$4:$R$113,节奏总纲!$O$4:$O$113,$C74)</f>
        <v>75.833923854467812</v>
      </c>
      <c r="F74" s="29" t="str">
        <f t="shared" si="12"/>
        <v/>
      </c>
      <c r="G74" s="29" t="str">
        <f t="shared" si="12"/>
        <v/>
      </c>
      <c r="H74" s="29" t="str">
        <f t="shared" si="12"/>
        <v/>
      </c>
      <c r="I74" s="29" t="str">
        <f t="shared" si="12"/>
        <v/>
      </c>
      <c r="J74" s="29">
        <f t="shared" si="12"/>
        <v>6</v>
      </c>
      <c r="K74" s="29" t="s">
        <v>168</v>
      </c>
      <c r="L74" s="29" t="s">
        <v>168</v>
      </c>
      <c r="M74" s="29" t="s">
        <v>168</v>
      </c>
      <c r="N74" s="29" t="str">
        <f>IF(I74="","",MIN(INT(C74/$C$68),武将升星!$G$14))</f>
        <v/>
      </c>
      <c r="O74" s="29">
        <v>3</v>
      </c>
      <c r="P74" s="29" t="str">
        <f>IF(U74="","",IFERROR(IFERROR(MATCH(U74,武将进阶!D$4:D$10,0),MATCH(U74,武将进阶!D$4:D$10,1)+1),1))</f>
        <v/>
      </c>
      <c r="Q74" s="29" t="str">
        <f>IF(V74="","",IFERROR(IFERROR(MATCH(V74,武将进阶!E$4:E$10,0),MATCH(V74,武将进阶!E$4:E$10,1)+1),1))</f>
        <v/>
      </c>
      <c r="R74" s="29" t="str">
        <f>IF(W74="","",IFERROR(IFERROR(MATCH(W74,武将进阶!F$4:F$10,0),MATCH(W74,武将进阶!F$4:F$10,1)+1),1))</f>
        <v/>
      </c>
      <c r="S74" s="29" t="str">
        <f>IF(X74="","",IFERROR(IFERROR(MATCH(X74,武将进阶!G$4:G$10,0),MATCH(X74,武将进阶!G$4:G$10,1)+1),1))</f>
        <v/>
      </c>
      <c r="T74" s="29">
        <f>IF(Y74="","",IFERROR(IFERROR(MATCH(Y74,武将进阶!H$4:H$10,0),MATCH(Y74,武将进阶!H$4:H$10,1)+1),1))</f>
        <v>2</v>
      </c>
      <c r="U74" s="29" t="str">
        <f t="shared" si="10"/>
        <v/>
      </c>
      <c r="V74" s="29" t="str">
        <f t="shared" si="10"/>
        <v/>
      </c>
      <c r="W74" s="29" t="str">
        <f t="shared" si="10"/>
        <v/>
      </c>
      <c r="X74" s="29" t="str">
        <f t="shared" si="10"/>
        <v/>
      </c>
      <c r="Y74" s="29">
        <f t="shared" si="10"/>
        <v>75</v>
      </c>
      <c r="Z74" s="20"/>
      <c r="AA74" s="20"/>
      <c r="AB74" s="20"/>
      <c r="AC74" s="20"/>
      <c r="AD74" s="20"/>
      <c r="AE74" s="33"/>
      <c r="AF74" s="33"/>
      <c r="AG74" s="33"/>
      <c r="AH74" s="33"/>
      <c r="AI74" s="33"/>
      <c r="AJ74" s="29"/>
      <c r="AK74" s="29"/>
      <c r="AL74" s="29"/>
      <c r="AM74" s="29"/>
      <c r="AN74" s="29"/>
      <c r="AO74" s="17"/>
      <c r="AP74" s="17"/>
      <c r="AR74" s="7"/>
      <c r="AT74" s="29"/>
      <c r="AU74" s="29"/>
      <c r="AV74" s="29">
        <v>22</v>
      </c>
      <c r="AW74" s="29">
        <v>15</v>
      </c>
      <c r="AX74" s="29">
        <v>12</v>
      </c>
      <c r="AY74" s="29"/>
      <c r="AZ74" s="29"/>
      <c r="BA74" s="29">
        <v>12</v>
      </c>
      <c r="BB74" s="29">
        <v>8</v>
      </c>
      <c r="BC74" s="29">
        <v>1</v>
      </c>
    </row>
    <row r="75" spans="1:55" x14ac:dyDescent="0.15">
      <c r="A75" s="7">
        <f t="shared" si="9"/>
        <v>16</v>
      </c>
      <c r="B75" s="17"/>
      <c r="C75" s="29">
        <f t="shared" si="14"/>
        <v>162</v>
      </c>
      <c r="D75" s="29">
        <f>求节点(节奏总纲!$R$4:$R$113,节奏总纲!$O$4:$O$113,$C75)</f>
        <v>78.414444170363964</v>
      </c>
      <c r="F75" s="29" t="str">
        <f t="shared" si="12"/>
        <v/>
      </c>
      <c r="G75" s="29" t="str">
        <f t="shared" si="12"/>
        <v/>
      </c>
      <c r="H75" s="29" t="str">
        <f t="shared" si="12"/>
        <v/>
      </c>
      <c r="I75" s="29" t="str">
        <f t="shared" si="12"/>
        <v/>
      </c>
      <c r="J75" s="29">
        <f t="shared" si="12"/>
        <v>6</v>
      </c>
      <c r="K75" s="29" t="s">
        <v>168</v>
      </c>
      <c r="L75" s="29" t="s">
        <v>168</v>
      </c>
      <c r="M75" s="29" t="s">
        <v>168</v>
      </c>
      <c r="N75" s="29" t="str">
        <f>IF(I75="","",MIN(INT(C75/$C$68),武将升星!$G$14))</f>
        <v/>
      </c>
      <c r="O75" s="29">
        <v>4</v>
      </c>
      <c r="P75" s="29" t="str">
        <f>IF(U75="","",IFERROR(IFERROR(MATCH(U75,武将进阶!D$4:D$10,0),MATCH(U75,武将进阶!D$4:D$10,1)+1),1))</f>
        <v/>
      </c>
      <c r="Q75" s="29" t="str">
        <f>IF(V75="","",IFERROR(IFERROR(MATCH(V75,武将进阶!E$4:E$10,0),MATCH(V75,武将进阶!E$4:E$10,1)+1),1))</f>
        <v/>
      </c>
      <c r="R75" s="29" t="str">
        <f>IF(W75="","",IFERROR(IFERROR(MATCH(W75,武将进阶!F$4:F$10,0),MATCH(W75,武将进阶!F$4:F$10,1)+1),1))</f>
        <v/>
      </c>
      <c r="S75" s="29" t="str">
        <f>IF(X75="","",IFERROR(IFERROR(MATCH(X75,武将进阶!G$4:G$10,0),MATCH(X75,武将进阶!G$4:G$10,1)+1),1))</f>
        <v/>
      </c>
      <c r="T75" s="29">
        <f>IF(Y75="","",IFERROR(IFERROR(MATCH(Y75,武将进阶!H$4:H$10,0),MATCH(Y75,武将进阶!H$4:H$10,1)+1),1))</f>
        <v>2</v>
      </c>
      <c r="U75" s="29" t="str">
        <f t="shared" si="10"/>
        <v/>
      </c>
      <c r="V75" s="29" t="str">
        <f t="shared" si="10"/>
        <v/>
      </c>
      <c r="W75" s="29" t="str">
        <f t="shared" si="10"/>
        <v/>
      </c>
      <c r="X75" s="29" t="str">
        <f t="shared" si="10"/>
        <v/>
      </c>
      <c r="Y75" s="29">
        <f t="shared" si="10"/>
        <v>78</v>
      </c>
      <c r="Z75" s="20"/>
      <c r="AA75" s="20"/>
      <c r="AB75" s="20"/>
      <c r="AC75" s="20"/>
      <c r="AD75" s="20"/>
      <c r="AE75" s="33"/>
      <c r="AF75" s="33"/>
      <c r="AG75" s="33"/>
      <c r="AH75" s="33"/>
      <c r="AI75" s="33"/>
      <c r="AJ75" s="29"/>
      <c r="AK75" s="29"/>
      <c r="AL75" s="29"/>
      <c r="AM75" s="29"/>
      <c r="AN75" s="29"/>
      <c r="AO75" s="17"/>
      <c r="AP75" s="17"/>
      <c r="AR75" s="7"/>
      <c r="AT75" s="29"/>
      <c r="AU75" s="29"/>
      <c r="AV75" s="29">
        <v>27</v>
      </c>
      <c r="AW75" s="29">
        <v>19</v>
      </c>
      <c r="AX75" s="29">
        <v>15</v>
      </c>
      <c r="AY75" s="29"/>
      <c r="AZ75" s="29"/>
      <c r="BA75" s="29">
        <v>17</v>
      </c>
      <c r="BB75" s="29">
        <v>13</v>
      </c>
      <c r="BC75" s="29">
        <v>5</v>
      </c>
    </row>
    <row r="76" spans="1:55" x14ac:dyDescent="0.15">
      <c r="A76" s="7">
        <f t="shared" si="9"/>
        <v>17</v>
      </c>
      <c r="B76" s="17"/>
      <c r="C76" s="29">
        <f t="shared" si="14"/>
        <v>189</v>
      </c>
      <c r="D76" s="29">
        <f>求节点(节奏总纲!$R$4:$R$113,节奏总纲!$O$4:$O$113,$C76)</f>
        <v>80.702220797417738</v>
      </c>
      <c r="F76" s="29" t="str">
        <f t="shared" si="12"/>
        <v/>
      </c>
      <c r="G76" s="29" t="str">
        <f t="shared" si="12"/>
        <v/>
      </c>
      <c r="H76" s="29" t="str">
        <f t="shared" si="12"/>
        <v/>
      </c>
      <c r="I76" s="29" t="str">
        <f t="shared" si="12"/>
        <v/>
      </c>
      <c r="J76" s="29">
        <f t="shared" si="12"/>
        <v>6</v>
      </c>
      <c r="K76" s="29" t="s">
        <v>168</v>
      </c>
      <c r="L76" s="29" t="s">
        <v>168</v>
      </c>
      <c r="M76" s="29" t="s">
        <v>168</v>
      </c>
      <c r="N76" s="29" t="str">
        <f>IF(I76="","",MIN(INT(C76/$C$68),武将升星!$G$14))</f>
        <v/>
      </c>
      <c r="O76" s="29">
        <v>5</v>
      </c>
      <c r="P76" s="29" t="str">
        <f>IF(U76="","",IFERROR(IFERROR(MATCH(U76,武将进阶!D$4:D$10,0),MATCH(U76,武将进阶!D$4:D$10,1)+1),1))</f>
        <v/>
      </c>
      <c r="Q76" s="29" t="str">
        <f>IF(V76="","",IFERROR(IFERROR(MATCH(V76,武将进阶!E$4:E$10,0),MATCH(V76,武将进阶!E$4:E$10,1)+1),1))</f>
        <v/>
      </c>
      <c r="R76" s="29" t="str">
        <f>IF(W76="","",IFERROR(IFERROR(MATCH(W76,武将进阶!F$4:F$10,0),MATCH(W76,武将进阶!F$4:F$10,1)+1),1))</f>
        <v/>
      </c>
      <c r="S76" s="29" t="str">
        <f>IF(X76="","",IFERROR(IFERROR(MATCH(X76,武将进阶!G$4:G$10,0),MATCH(X76,武将进阶!G$4:G$10,1)+1),1))</f>
        <v/>
      </c>
      <c r="T76" s="29">
        <f>IF(Y76="","",IFERROR(IFERROR(MATCH(Y76,武将进阶!H$4:H$10,0),MATCH(Y76,武将进阶!H$4:H$10,1)+1),1))</f>
        <v>2</v>
      </c>
      <c r="U76" s="29" t="str">
        <f t="shared" si="10"/>
        <v/>
      </c>
      <c r="V76" s="29" t="str">
        <f t="shared" si="10"/>
        <v/>
      </c>
      <c r="W76" s="29" t="str">
        <f t="shared" si="10"/>
        <v/>
      </c>
      <c r="X76" s="29" t="str">
        <f t="shared" si="10"/>
        <v/>
      </c>
      <c r="Y76" s="29">
        <f t="shared" si="10"/>
        <v>80</v>
      </c>
      <c r="Z76" s="20"/>
      <c r="AA76" s="20"/>
      <c r="AB76" s="20"/>
      <c r="AC76" s="20"/>
      <c r="AD76" s="20"/>
      <c r="AE76" s="33"/>
      <c r="AF76" s="33"/>
      <c r="AG76" s="33"/>
      <c r="AH76" s="33"/>
      <c r="AI76" s="33"/>
      <c r="AJ76" s="29"/>
      <c r="AK76" s="29"/>
      <c r="AL76" s="29"/>
      <c r="AM76" s="29"/>
      <c r="AN76" s="29"/>
      <c r="AO76" s="17"/>
      <c r="AP76" s="17"/>
      <c r="AR76" s="7"/>
      <c r="AT76" s="29"/>
      <c r="AU76" s="29"/>
      <c r="AV76" s="29">
        <v>33</v>
      </c>
      <c r="AW76" s="29">
        <v>23</v>
      </c>
      <c r="AX76" s="29">
        <v>18</v>
      </c>
      <c r="AY76" s="29"/>
      <c r="AZ76" s="29"/>
      <c r="BA76" s="29">
        <v>22</v>
      </c>
      <c r="BB76" s="29">
        <v>17</v>
      </c>
      <c r="BC76" s="29">
        <v>10</v>
      </c>
    </row>
    <row r="77" spans="1:55" x14ac:dyDescent="0.15">
      <c r="A77" s="7">
        <f t="shared" si="9"/>
        <v>18</v>
      </c>
      <c r="B77" s="17"/>
      <c r="C77" s="29">
        <f t="shared" si="14"/>
        <v>216</v>
      </c>
      <c r="D77" s="29">
        <f>求节点(节奏总纲!$R$4:$R$113,节奏总纲!$O$4:$O$113,$C77)</f>
        <v>82.634003923481771</v>
      </c>
      <c r="F77" s="29" t="str">
        <f t="shared" si="12"/>
        <v/>
      </c>
      <c r="G77" s="29" t="str">
        <f t="shared" si="12"/>
        <v/>
      </c>
      <c r="H77" s="29" t="str">
        <f t="shared" si="12"/>
        <v/>
      </c>
      <c r="I77" s="29" t="str">
        <f t="shared" si="12"/>
        <v/>
      </c>
      <c r="J77" s="29">
        <f t="shared" si="12"/>
        <v>6</v>
      </c>
      <c r="K77" s="29" t="s">
        <v>168</v>
      </c>
      <c r="L77" s="29" t="s">
        <v>168</v>
      </c>
      <c r="M77" s="29" t="s">
        <v>168</v>
      </c>
      <c r="N77" s="29" t="str">
        <f>IF(I77="","",MIN(INT(C77/$C$68),武将升星!$G$14))</f>
        <v/>
      </c>
      <c r="O77" s="29">
        <v>6</v>
      </c>
      <c r="P77" s="29" t="str">
        <f>IF(U77="","",IFERROR(IFERROR(MATCH(U77,武将进阶!D$4:D$10,0),MATCH(U77,武将进阶!D$4:D$10,1)+1),1))</f>
        <v/>
      </c>
      <c r="Q77" s="29" t="str">
        <f>IF(V77="","",IFERROR(IFERROR(MATCH(V77,武将进阶!E$4:E$10,0),MATCH(V77,武将进阶!E$4:E$10,1)+1),1))</f>
        <v/>
      </c>
      <c r="R77" s="29" t="str">
        <f>IF(W77="","",IFERROR(IFERROR(MATCH(W77,武将进阶!F$4:F$10,0),MATCH(W77,武将进阶!F$4:F$10,1)+1),1))</f>
        <v/>
      </c>
      <c r="S77" s="29" t="str">
        <f>IF(X77="","",IFERROR(IFERROR(MATCH(X77,武将进阶!G$4:G$10,0),MATCH(X77,武将进阶!G$4:G$10,1)+1),1))</f>
        <v/>
      </c>
      <c r="T77" s="29">
        <f>IF(Y77="","",IFERROR(IFERROR(MATCH(Y77,武将进阶!H$4:H$10,0),MATCH(Y77,武将进阶!H$4:H$10,1)+1),1))</f>
        <v>2</v>
      </c>
      <c r="U77" s="29" t="str">
        <f t="shared" si="10"/>
        <v/>
      </c>
      <c r="V77" s="29" t="str">
        <f t="shared" si="10"/>
        <v/>
      </c>
      <c r="W77" s="29" t="str">
        <f t="shared" si="10"/>
        <v/>
      </c>
      <c r="X77" s="29" t="str">
        <f t="shared" si="10"/>
        <v/>
      </c>
      <c r="Y77" s="29">
        <f t="shared" si="10"/>
        <v>82</v>
      </c>
      <c r="Z77" s="20"/>
      <c r="AA77" s="20"/>
      <c r="AB77" s="20"/>
      <c r="AC77" s="20"/>
      <c r="AD77" s="20"/>
      <c r="AE77" s="33"/>
      <c r="AF77" s="33"/>
      <c r="AG77" s="33"/>
      <c r="AH77" s="33"/>
      <c r="AI77" s="33"/>
      <c r="AJ77" s="29"/>
      <c r="AK77" s="29"/>
      <c r="AL77" s="29"/>
      <c r="AM77" s="29"/>
      <c r="AN77" s="29"/>
      <c r="AO77" s="17"/>
      <c r="AP77" s="17"/>
      <c r="AR77" s="7"/>
      <c r="AT77" s="29"/>
      <c r="AU77" s="29"/>
      <c r="AV77" s="29">
        <v>42</v>
      </c>
      <c r="AW77" s="29">
        <v>30</v>
      </c>
      <c r="AX77" s="29">
        <v>24</v>
      </c>
      <c r="AY77" s="29"/>
      <c r="AZ77" s="29"/>
      <c r="BA77" s="29">
        <v>30</v>
      </c>
      <c r="BB77" s="29">
        <v>24</v>
      </c>
      <c r="BC77" s="29">
        <v>18</v>
      </c>
    </row>
    <row r="78" spans="1:55" x14ac:dyDescent="0.15">
      <c r="A78" s="7">
        <f t="shared" si="9"/>
        <v>19</v>
      </c>
      <c r="B78" s="17"/>
      <c r="C78" s="29">
        <f t="shared" si="14"/>
        <v>243</v>
      </c>
      <c r="D78" s="29">
        <f>求节点(节奏总纲!$R$4:$R$113,节奏总纲!$O$4:$O$113,$C78)</f>
        <v>84.344120403804524</v>
      </c>
      <c r="F78" s="29" t="str">
        <f t="shared" si="12"/>
        <v/>
      </c>
      <c r="G78" s="29" t="str">
        <f t="shared" si="12"/>
        <v/>
      </c>
      <c r="H78" s="29" t="str">
        <f t="shared" si="12"/>
        <v/>
      </c>
      <c r="I78" s="29" t="str">
        <f t="shared" si="12"/>
        <v/>
      </c>
      <c r="J78" s="29">
        <f t="shared" si="12"/>
        <v>6</v>
      </c>
      <c r="K78" s="29" t="s">
        <v>168</v>
      </c>
      <c r="L78" s="29" t="s">
        <v>168</v>
      </c>
      <c r="M78" s="29" t="s">
        <v>168</v>
      </c>
      <c r="N78" s="29" t="str">
        <f>IF(I78="","",MIN(INT(C78/$C$68),武将升星!$G$14))</f>
        <v/>
      </c>
      <c r="O78" s="29">
        <v>7</v>
      </c>
      <c r="P78" s="29" t="str">
        <f>IF(U78="","",IFERROR(IFERROR(MATCH(U78,武将进阶!D$4:D$10,0),MATCH(U78,武将进阶!D$4:D$10,1)+1),1))</f>
        <v/>
      </c>
      <c r="Q78" s="29" t="str">
        <f>IF(V78="","",IFERROR(IFERROR(MATCH(V78,武将进阶!E$4:E$10,0),MATCH(V78,武将进阶!E$4:E$10,1)+1),1))</f>
        <v/>
      </c>
      <c r="R78" s="29" t="str">
        <f>IF(W78="","",IFERROR(IFERROR(MATCH(W78,武将进阶!F$4:F$10,0),MATCH(W78,武将进阶!F$4:F$10,1)+1),1))</f>
        <v/>
      </c>
      <c r="S78" s="29" t="str">
        <f>IF(X78="","",IFERROR(IFERROR(MATCH(X78,武将进阶!G$4:G$10,0),MATCH(X78,武将进阶!G$4:G$10,1)+1),1))</f>
        <v/>
      </c>
      <c r="T78" s="29">
        <f>IF(Y78="","",IFERROR(IFERROR(MATCH(Y78,武将进阶!H$4:H$10,0),MATCH(Y78,武将进阶!H$4:H$10,1)+1),1))</f>
        <v>2</v>
      </c>
      <c r="U78" s="29" t="str">
        <f t="shared" si="10"/>
        <v/>
      </c>
      <c r="V78" s="29" t="str">
        <f t="shared" si="10"/>
        <v/>
      </c>
      <c r="W78" s="29" t="str">
        <f t="shared" si="10"/>
        <v/>
      </c>
      <c r="X78" s="29" t="str">
        <f t="shared" si="10"/>
        <v/>
      </c>
      <c r="Y78" s="29">
        <f t="shared" si="10"/>
        <v>84</v>
      </c>
      <c r="Z78" s="20"/>
      <c r="AA78" s="20"/>
      <c r="AB78" s="20"/>
      <c r="AC78" s="20"/>
      <c r="AD78" s="20"/>
      <c r="AE78" s="33"/>
      <c r="AF78" s="33"/>
      <c r="AG78" s="33"/>
      <c r="AH78" s="33"/>
      <c r="AI78" s="33"/>
      <c r="AJ78" s="29"/>
      <c r="AK78" s="29"/>
      <c r="AL78" s="29"/>
      <c r="AM78" s="29"/>
      <c r="AN78" s="29"/>
      <c r="AO78" s="17"/>
      <c r="AP78" s="17"/>
      <c r="AR78" s="7"/>
      <c r="AT78" s="29"/>
      <c r="AU78" s="29"/>
      <c r="AV78" s="29">
        <v>42</v>
      </c>
      <c r="AW78" s="29">
        <v>30</v>
      </c>
      <c r="AX78" s="29">
        <v>24</v>
      </c>
      <c r="AY78" s="29"/>
      <c r="AZ78" s="29"/>
      <c r="BA78" s="29">
        <v>30</v>
      </c>
      <c r="BB78" s="29">
        <v>24</v>
      </c>
      <c r="BC78" s="29">
        <v>18</v>
      </c>
    </row>
    <row r="79" spans="1:55" x14ac:dyDescent="0.15">
      <c r="A79" s="7">
        <f t="shared" si="9"/>
        <v>20</v>
      </c>
      <c r="C79" s="24">
        <f t="shared" ref="C79:AI79" si="15">C78</f>
        <v>243</v>
      </c>
      <c r="D79" s="24">
        <f t="shared" si="15"/>
        <v>84.344120403804524</v>
      </c>
      <c r="E79" s="24">
        <f t="shared" si="15"/>
        <v>0</v>
      </c>
      <c r="F79" s="24" t="str">
        <f t="shared" si="15"/>
        <v/>
      </c>
      <c r="G79" s="24" t="str">
        <f t="shared" si="15"/>
        <v/>
      </c>
      <c r="H79" s="24" t="str">
        <f t="shared" si="15"/>
        <v/>
      </c>
      <c r="I79" s="24" t="str">
        <f t="shared" si="15"/>
        <v/>
      </c>
      <c r="J79" s="24">
        <f t="shared" si="15"/>
        <v>6</v>
      </c>
      <c r="K79" s="24" t="str">
        <f t="shared" si="15"/>
        <v/>
      </c>
      <c r="L79" s="24" t="str">
        <f t="shared" si="15"/>
        <v/>
      </c>
      <c r="M79" s="24" t="str">
        <f t="shared" si="15"/>
        <v/>
      </c>
      <c r="N79" s="24" t="str">
        <f t="shared" si="15"/>
        <v/>
      </c>
      <c r="O79" s="24">
        <f t="shared" si="15"/>
        <v>7</v>
      </c>
      <c r="P79" s="24" t="str">
        <f t="shared" si="15"/>
        <v/>
      </c>
      <c r="Q79" s="24" t="str">
        <f t="shared" si="15"/>
        <v/>
      </c>
      <c r="R79" s="24" t="str">
        <f t="shared" si="15"/>
        <v/>
      </c>
      <c r="S79" s="24" t="str">
        <f t="shared" si="15"/>
        <v/>
      </c>
      <c r="T79" s="24">
        <f t="shared" si="15"/>
        <v>2</v>
      </c>
      <c r="U79" s="24" t="str">
        <f t="shared" si="15"/>
        <v/>
      </c>
      <c r="V79" s="24" t="str">
        <f t="shared" si="15"/>
        <v/>
      </c>
      <c r="W79" s="24" t="str">
        <f t="shared" si="15"/>
        <v/>
      </c>
      <c r="X79" s="24" t="str">
        <f t="shared" si="15"/>
        <v/>
      </c>
      <c r="Y79" s="24">
        <f t="shared" si="15"/>
        <v>84</v>
      </c>
      <c r="Z79" s="24">
        <f t="shared" si="15"/>
        <v>0</v>
      </c>
      <c r="AA79" s="24">
        <f t="shared" si="15"/>
        <v>0</v>
      </c>
      <c r="AB79" s="24">
        <f t="shared" si="15"/>
        <v>0</v>
      </c>
      <c r="AC79" s="24">
        <f t="shared" si="15"/>
        <v>0</v>
      </c>
      <c r="AD79" s="24">
        <f t="shared" si="15"/>
        <v>0</v>
      </c>
      <c r="AE79" s="24">
        <f t="shared" si="15"/>
        <v>0</v>
      </c>
      <c r="AF79" s="24">
        <f t="shared" si="15"/>
        <v>0</v>
      </c>
      <c r="AG79" s="24">
        <f t="shared" si="15"/>
        <v>0</v>
      </c>
      <c r="AH79" s="24">
        <f t="shared" si="15"/>
        <v>0</v>
      </c>
      <c r="AI79" s="24">
        <f t="shared" si="15"/>
        <v>0</v>
      </c>
      <c r="AJ79" s="24"/>
      <c r="AK79" s="24"/>
      <c r="AL79" s="24"/>
      <c r="AM79" s="24"/>
      <c r="AN79" s="24"/>
      <c r="AO79" s="24"/>
      <c r="AP79" s="24"/>
      <c r="AR79" s="7"/>
      <c r="AT79" s="29"/>
      <c r="AU79" s="29"/>
      <c r="AV79" s="29">
        <v>42</v>
      </c>
      <c r="AW79" s="29">
        <v>30</v>
      </c>
      <c r="AX79" s="29">
        <v>24</v>
      </c>
      <c r="AY79" s="29"/>
      <c r="AZ79" s="29"/>
      <c r="BA79" s="29">
        <v>30</v>
      </c>
      <c r="BB79" s="29">
        <v>24</v>
      </c>
      <c r="BC79" s="29">
        <v>18</v>
      </c>
    </row>
    <row r="80" spans="1:55" x14ac:dyDescent="0.15">
      <c r="A80" s="7">
        <f t="shared" si="9"/>
        <v>21</v>
      </c>
      <c r="C80" s="17"/>
      <c r="D80" s="17"/>
      <c r="AR80" s="7"/>
    </row>
    <row r="81" spans="1:55" x14ac:dyDescent="0.15">
      <c r="A81" s="7">
        <f t="shared" si="9"/>
        <v>22</v>
      </c>
      <c r="C81" s="17"/>
      <c r="D81" s="17"/>
      <c r="AR81" s="7"/>
    </row>
    <row r="82" spans="1:55" x14ac:dyDescent="0.15">
      <c r="A82" s="7">
        <f t="shared" si="9"/>
        <v>23</v>
      </c>
      <c r="AR82" s="7"/>
    </row>
    <row r="83" spans="1:55" ht="13.5" customHeight="1" x14ac:dyDescent="0.15">
      <c r="A83" s="7">
        <v>1</v>
      </c>
      <c r="C83" s="160" t="s">
        <v>172</v>
      </c>
      <c r="D83" s="160"/>
      <c r="E83" s="17"/>
      <c r="F83" s="160" t="s">
        <v>178</v>
      </c>
      <c r="G83" s="160"/>
      <c r="H83" s="160"/>
      <c r="I83" s="160"/>
      <c r="J83" s="160"/>
      <c r="K83" s="160"/>
      <c r="L83" s="160"/>
      <c r="M83" s="160"/>
      <c r="N83" s="160"/>
      <c r="O83" s="160"/>
      <c r="P83" s="160"/>
      <c r="Q83" s="160"/>
      <c r="R83" s="160"/>
      <c r="S83" s="160"/>
      <c r="T83" s="160"/>
      <c r="U83" s="160"/>
      <c r="V83" s="160"/>
      <c r="W83" s="160"/>
      <c r="X83" s="160"/>
      <c r="Y83" s="160"/>
      <c r="Z83" s="160"/>
      <c r="AA83" s="160"/>
      <c r="AB83" s="160"/>
      <c r="AC83" s="160"/>
      <c r="AD83" s="160"/>
      <c r="AE83" s="160"/>
      <c r="AF83" s="160"/>
      <c r="AG83" s="160"/>
      <c r="AH83" s="160"/>
      <c r="AI83" s="160"/>
      <c r="AJ83" s="160"/>
      <c r="AK83" s="160"/>
      <c r="AL83" s="160"/>
      <c r="AM83" s="160"/>
      <c r="AN83" s="160"/>
      <c r="AO83" s="17"/>
      <c r="AP83" s="17"/>
      <c r="AQ83" s="17"/>
      <c r="AR83" s="7"/>
      <c r="AT83" s="159" t="s">
        <v>263</v>
      </c>
      <c r="AU83" s="159"/>
      <c r="AV83" s="159"/>
      <c r="AW83" s="159"/>
      <c r="AX83" s="159"/>
      <c r="AY83" s="159" t="s">
        <v>263</v>
      </c>
      <c r="AZ83" s="159"/>
      <c r="BA83" s="159"/>
      <c r="BB83" s="159"/>
      <c r="BC83" s="159"/>
    </row>
    <row r="84" spans="1:55" x14ac:dyDescent="0.15">
      <c r="A84" s="7">
        <f t="shared" ref="A84:A105" si="16">A83+1</f>
        <v>2</v>
      </c>
      <c r="C84" s="160"/>
      <c r="D84" s="160"/>
      <c r="E84" s="17"/>
      <c r="F84" s="160" t="s">
        <v>821</v>
      </c>
      <c r="G84" s="160"/>
      <c r="H84" s="160"/>
      <c r="I84" s="160"/>
      <c r="J84" s="160"/>
      <c r="K84" s="160" t="s">
        <v>150</v>
      </c>
      <c r="L84" s="160"/>
      <c r="M84" s="160"/>
      <c r="N84" s="160"/>
      <c r="O84" s="160"/>
      <c r="P84" s="160" t="s">
        <v>177</v>
      </c>
      <c r="Q84" s="160"/>
      <c r="R84" s="160"/>
      <c r="S84" s="160"/>
      <c r="T84" s="160"/>
      <c r="U84" s="160" t="s">
        <v>151</v>
      </c>
      <c r="V84" s="160"/>
      <c r="W84" s="160"/>
      <c r="X84" s="160"/>
      <c r="Y84" s="160"/>
      <c r="Z84" s="161"/>
      <c r="AA84" s="162"/>
      <c r="AB84" s="162"/>
      <c r="AC84" s="162"/>
      <c r="AD84" s="163"/>
      <c r="AE84" s="161"/>
      <c r="AF84" s="162"/>
      <c r="AG84" s="162"/>
      <c r="AH84" s="162"/>
      <c r="AI84" s="163"/>
      <c r="AJ84" s="160"/>
      <c r="AK84" s="160"/>
      <c r="AL84" s="160"/>
      <c r="AM84" s="160"/>
      <c r="AN84" s="160"/>
      <c r="AO84" s="17"/>
      <c r="AP84" s="17"/>
      <c r="AQ84" s="17"/>
      <c r="AR84" s="7"/>
      <c r="AT84" s="160" t="s">
        <v>264</v>
      </c>
      <c r="AU84" s="160"/>
      <c r="AV84" s="160"/>
      <c r="AW84" s="160"/>
      <c r="AX84" s="160"/>
      <c r="AY84" s="160" t="s">
        <v>265</v>
      </c>
      <c r="AZ84" s="160"/>
      <c r="BA84" s="160"/>
      <c r="BB84" s="160"/>
      <c r="BC84" s="160"/>
    </row>
    <row r="85" spans="1:55" x14ac:dyDescent="0.15">
      <c r="A85" s="7">
        <f t="shared" si="16"/>
        <v>3</v>
      </c>
      <c r="B85" s="1" t="s">
        <v>181</v>
      </c>
      <c r="C85" s="29" t="s">
        <v>170</v>
      </c>
      <c r="D85" s="29" t="s">
        <v>484</v>
      </c>
      <c r="E85" s="17"/>
      <c r="F85" s="29" t="s">
        <v>3</v>
      </c>
      <c r="G85" s="29" t="s">
        <v>1</v>
      </c>
      <c r="H85" s="29" t="s">
        <v>2</v>
      </c>
      <c r="I85" s="29" t="s">
        <v>0</v>
      </c>
      <c r="J85" s="29" t="s">
        <v>545</v>
      </c>
      <c r="K85" s="29" t="s">
        <v>3</v>
      </c>
      <c r="L85" s="29" t="s">
        <v>1</v>
      </c>
      <c r="M85" s="29" t="s">
        <v>2</v>
      </c>
      <c r="N85" s="29" t="s">
        <v>0</v>
      </c>
      <c r="O85" s="29" t="s">
        <v>545</v>
      </c>
      <c r="P85" s="29" t="s">
        <v>3</v>
      </c>
      <c r="Q85" s="29" t="s">
        <v>1</v>
      </c>
      <c r="R85" s="29" t="s">
        <v>2</v>
      </c>
      <c r="S85" s="29" t="s">
        <v>0</v>
      </c>
      <c r="T85" s="29" t="s">
        <v>545</v>
      </c>
      <c r="U85" s="29" t="s">
        <v>3</v>
      </c>
      <c r="V85" s="29" t="s">
        <v>1</v>
      </c>
      <c r="W85" s="29" t="s">
        <v>2</v>
      </c>
      <c r="X85" s="29" t="s">
        <v>0</v>
      </c>
      <c r="Y85" s="29" t="s">
        <v>545</v>
      </c>
      <c r="Z85" s="29"/>
      <c r="AA85" s="29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17"/>
      <c r="AP85" s="17"/>
      <c r="AQ85" s="17"/>
      <c r="AR85" s="7"/>
      <c r="AT85" s="29" t="s">
        <v>3</v>
      </c>
      <c r="AU85" s="29" t="s">
        <v>1</v>
      </c>
      <c r="AV85" s="29" t="s">
        <v>2</v>
      </c>
      <c r="AW85" s="29" t="s">
        <v>0</v>
      </c>
      <c r="AX85" s="29" t="s">
        <v>545</v>
      </c>
      <c r="AY85" s="29" t="s">
        <v>3</v>
      </c>
      <c r="AZ85" s="29" t="s">
        <v>1</v>
      </c>
      <c r="BA85" s="29" t="s">
        <v>2</v>
      </c>
      <c r="BB85" s="29" t="s">
        <v>0</v>
      </c>
      <c r="BC85" s="29" t="s">
        <v>545</v>
      </c>
    </row>
    <row r="86" spans="1:55" x14ac:dyDescent="0.15">
      <c r="A86" s="7">
        <f t="shared" si="16"/>
        <v>4</v>
      </c>
      <c r="B86" s="17">
        <f>1/10</f>
        <v>0.1</v>
      </c>
      <c r="C86" s="29">
        <f>C17*B86</f>
        <v>7.5000000000000011E-2</v>
      </c>
      <c r="D86" s="29">
        <f>求节点(节奏总纲!$S$4:$S$113,节奏总纲!$O$4:$O$113,$C86)</f>
        <v>2.1249854688027674</v>
      </c>
      <c r="E86" s="17"/>
      <c r="F86" s="29" t="s">
        <v>168</v>
      </c>
      <c r="G86" s="29">
        <v>1</v>
      </c>
      <c r="H86" s="29">
        <v>2</v>
      </c>
      <c r="I86" s="29">
        <v>2</v>
      </c>
      <c r="J86" s="29">
        <v>1</v>
      </c>
      <c r="K86" s="29" t="s">
        <v>168</v>
      </c>
      <c r="L86" s="29">
        <v>0</v>
      </c>
      <c r="M86" s="29">
        <v>0</v>
      </c>
      <c r="N86" s="29">
        <f>IF(I86="","",MIN(INT(C86/$C$90),武将升星!$G$14))</f>
        <v>0</v>
      </c>
      <c r="O86" s="29">
        <v>0</v>
      </c>
      <c r="P86" s="29" t="str">
        <f>IF(U86="","",IFERROR(IFERROR(MATCH(U86,武将进阶!D$4:D$10,0),MATCH(U86,武将进阶!D$4:D$10,1)+1),1))</f>
        <v/>
      </c>
      <c r="Q86" s="29">
        <f>IF(V86="","",IFERROR(IFERROR(MATCH(V86,武将进阶!E$4:E$10,0),MATCH(V86,武将进阶!E$4:E$10,1)+1),1))</f>
        <v>1</v>
      </c>
      <c r="R86" s="29">
        <f>IF(W86="","",IFERROR(IFERROR(MATCH(W86,武将进阶!F$4:F$10,0),MATCH(W86,武将进阶!F$4:F$10,1)+1),1))</f>
        <v>1</v>
      </c>
      <c r="S86" s="29">
        <f>IF(X86="","",IFERROR(IFERROR(MATCH(X86,武将进阶!G$4:G$10,0),MATCH(X86,武将进阶!G$4:G$10,1)+1),1))</f>
        <v>1</v>
      </c>
      <c r="T86" s="29">
        <f>IF(Y86="","",IFERROR(IFERROR(MATCH(Y86,武将进阶!H$4:H$10,0),MATCH(Y86,武将进阶!H$4:H$10,1)+1),1))</f>
        <v>1</v>
      </c>
      <c r="U86" s="29" t="str">
        <f t="shared" ref="U86:Y101" si="17">IF(F86="","",INT($D86))</f>
        <v/>
      </c>
      <c r="V86" s="29">
        <f t="shared" si="17"/>
        <v>2</v>
      </c>
      <c r="W86" s="29">
        <f t="shared" si="17"/>
        <v>2</v>
      </c>
      <c r="X86" s="29">
        <f t="shared" si="17"/>
        <v>2</v>
      </c>
      <c r="Y86" s="29">
        <f t="shared" si="17"/>
        <v>2</v>
      </c>
      <c r="Z86" s="20"/>
      <c r="AA86" s="20"/>
      <c r="AB86" s="20"/>
      <c r="AC86" s="20"/>
      <c r="AD86" s="20"/>
      <c r="AE86" s="33"/>
      <c r="AF86" s="33"/>
      <c r="AG86" s="33"/>
      <c r="AH86" s="33"/>
      <c r="AI86" s="33"/>
      <c r="AJ86" s="29"/>
      <c r="AK86" s="29"/>
      <c r="AL86" s="29"/>
      <c r="AM86" s="29"/>
      <c r="AN86" s="29"/>
      <c r="AO86" s="17"/>
      <c r="AP86" s="17"/>
      <c r="AQ86" s="17"/>
      <c r="AR86" s="7"/>
      <c r="AT86" s="29"/>
      <c r="AU86" s="29"/>
      <c r="AV86" s="29"/>
      <c r="AW86" s="29"/>
      <c r="AX86" s="29"/>
      <c r="AY86" s="29"/>
      <c r="AZ86" s="29"/>
      <c r="BA86" s="29"/>
      <c r="BB86" s="29"/>
      <c r="BC86" s="29"/>
    </row>
    <row r="87" spans="1:55" x14ac:dyDescent="0.15">
      <c r="A87" s="7">
        <f t="shared" si="16"/>
        <v>5</v>
      </c>
      <c r="B87" s="17">
        <f>1/10</f>
        <v>0.1</v>
      </c>
      <c r="C87" s="29">
        <f>C18*B87</f>
        <v>0.15000000000000002</v>
      </c>
      <c r="D87" s="29">
        <f>求节点(节奏总纲!$S$4:$S$113,节奏总纲!$O$4:$O$113,$C87)</f>
        <v>3.8645242584160631</v>
      </c>
      <c r="E87" s="17"/>
      <c r="F87" s="29" t="s">
        <v>168</v>
      </c>
      <c r="G87" s="29"/>
      <c r="H87" s="29">
        <v>2</v>
      </c>
      <c r="I87" s="29">
        <v>3</v>
      </c>
      <c r="J87" s="29">
        <v>1</v>
      </c>
      <c r="K87" s="29" t="s">
        <v>168</v>
      </c>
      <c r="L87" s="29" t="s">
        <v>168</v>
      </c>
      <c r="M87" s="29">
        <v>0</v>
      </c>
      <c r="N87" s="29">
        <f>IF(I87="","",MIN(INT(C87/$C$90),武将升星!$G$14))</f>
        <v>0</v>
      </c>
      <c r="O87" s="29">
        <v>0</v>
      </c>
      <c r="P87" s="29" t="str">
        <f>IF(U87="","",IFERROR(IFERROR(MATCH(U87,武将进阶!D$4:D$10,0),MATCH(U87,武将进阶!D$4:D$10,1)+1),1))</f>
        <v/>
      </c>
      <c r="Q87" s="29" t="str">
        <f>IF(V87="","",IFERROR(IFERROR(MATCH(V87,武将进阶!E$4:E$10,0),MATCH(V87,武将进阶!E$4:E$10,1)+1),1))</f>
        <v/>
      </c>
      <c r="R87" s="29">
        <f>IF(W87="","",IFERROR(IFERROR(MATCH(W87,武将进阶!F$4:F$10,0),MATCH(W87,武将进阶!F$4:F$10,1)+1),1))</f>
        <v>1</v>
      </c>
      <c r="S87" s="29">
        <f>IF(X87="","",IFERROR(IFERROR(MATCH(X87,武将进阶!G$4:G$10,0),MATCH(X87,武将进阶!G$4:G$10,1)+1),1))</f>
        <v>1</v>
      </c>
      <c r="T87" s="29">
        <f>IF(Y87="","",IFERROR(IFERROR(MATCH(Y87,武将进阶!H$4:H$10,0),MATCH(Y87,武将进阶!H$4:H$10,1)+1),1))</f>
        <v>1</v>
      </c>
      <c r="U87" s="29" t="str">
        <f t="shared" si="17"/>
        <v/>
      </c>
      <c r="V87" s="29" t="str">
        <f t="shared" si="17"/>
        <v/>
      </c>
      <c r="W87" s="29">
        <f t="shared" si="17"/>
        <v>3</v>
      </c>
      <c r="X87" s="29">
        <f t="shared" si="17"/>
        <v>3</v>
      </c>
      <c r="Y87" s="29">
        <f t="shared" si="17"/>
        <v>3</v>
      </c>
      <c r="Z87" s="20"/>
      <c r="AA87" s="20"/>
      <c r="AB87" s="20"/>
      <c r="AC87" s="20"/>
      <c r="AD87" s="20"/>
      <c r="AE87" s="33"/>
      <c r="AF87" s="33"/>
      <c r="AG87" s="33"/>
      <c r="AH87" s="33"/>
      <c r="AI87" s="33"/>
      <c r="AJ87" s="29"/>
      <c r="AK87" s="29"/>
      <c r="AL87" s="29"/>
      <c r="AM87" s="29"/>
      <c r="AN87" s="29"/>
      <c r="AO87" s="17"/>
      <c r="AP87" s="17"/>
      <c r="AQ87" s="17"/>
      <c r="AR87" s="7"/>
      <c r="AT87" s="29"/>
      <c r="AU87" s="29"/>
      <c r="AV87" s="29"/>
      <c r="AW87" s="29"/>
      <c r="AX87" s="29"/>
      <c r="AY87" s="29"/>
      <c r="AZ87" s="29"/>
      <c r="BA87" s="29"/>
      <c r="BB87" s="29"/>
      <c r="BC87" s="29"/>
    </row>
    <row r="88" spans="1:55" x14ac:dyDescent="0.15">
      <c r="A88" s="7">
        <f t="shared" si="16"/>
        <v>6</v>
      </c>
      <c r="B88" s="17">
        <f>1/10</f>
        <v>0.1</v>
      </c>
      <c r="C88" s="29">
        <f>C19*B88</f>
        <v>0.30000000000000004</v>
      </c>
      <c r="D88" s="29">
        <f>求节点(节奏总纲!$S$4:$S$113,节奏总纲!$O$4:$O$113,$C88)</f>
        <v>6.8275081581253696</v>
      </c>
      <c r="E88" s="17"/>
      <c r="F88" s="29" t="s">
        <v>168</v>
      </c>
      <c r="G88" s="29" t="s">
        <v>168</v>
      </c>
      <c r="H88" s="29">
        <v>1</v>
      </c>
      <c r="I88" s="29">
        <v>4</v>
      </c>
      <c r="J88" s="29">
        <v>1</v>
      </c>
      <c r="K88" s="29" t="s">
        <v>168</v>
      </c>
      <c r="L88" s="29" t="s">
        <v>168</v>
      </c>
      <c r="M88" s="29">
        <v>0</v>
      </c>
      <c r="N88" s="29">
        <f>IF(I88="","",MIN(INT(C88/$C$90),武将升星!$G$14))</f>
        <v>0</v>
      </c>
      <c r="O88" s="29">
        <v>0</v>
      </c>
      <c r="P88" s="29" t="str">
        <f>IF(U88="","",IFERROR(IFERROR(MATCH(U88,武将进阶!D$4:D$10,0),MATCH(U88,武将进阶!D$4:D$10,1)+1),1))</f>
        <v/>
      </c>
      <c r="Q88" s="29" t="str">
        <f>IF(V88="","",IFERROR(IFERROR(MATCH(V88,武将进阶!E$4:E$10,0),MATCH(V88,武将进阶!E$4:E$10,1)+1),1))</f>
        <v/>
      </c>
      <c r="R88" s="29">
        <f>IF(W88="","",IFERROR(IFERROR(MATCH(W88,武将进阶!F$4:F$10,0),MATCH(W88,武将进阶!F$4:F$10,1)+1),1))</f>
        <v>1</v>
      </c>
      <c r="S88" s="29">
        <f>IF(X88="","",IFERROR(IFERROR(MATCH(X88,武将进阶!G$4:G$10,0),MATCH(X88,武将进阶!G$4:G$10,1)+1),1))</f>
        <v>1</v>
      </c>
      <c r="T88" s="29">
        <f>IF(Y88="","",IFERROR(IFERROR(MATCH(Y88,武将进阶!H$4:H$10,0),MATCH(Y88,武将进阶!H$4:H$10,1)+1),1))</f>
        <v>1</v>
      </c>
      <c r="U88" s="29" t="str">
        <f t="shared" si="17"/>
        <v/>
      </c>
      <c r="V88" s="29" t="str">
        <f t="shared" si="17"/>
        <v/>
      </c>
      <c r="W88" s="29">
        <f t="shared" si="17"/>
        <v>6</v>
      </c>
      <c r="X88" s="29">
        <f t="shared" si="17"/>
        <v>6</v>
      </c>
      <c r="Y88" s="29">
        <f t="shared" si="17"/>
        <v>6</v>
      </c>
      <c r="Z88" s="20"/>
      <c r="AA88" s="20"/>
      <c r="AB88" s="20"/>
      <c r="AC88" s="20"/>
      <c r="AD88" s="20"/>
      <c r="AE88" s="33"/>
      <c r="AF88" s="33"/>
      <c r="AG88" s="33"/>
      <c r="AH88" s="33"/>
      <c r="AI88" s="33"/>
      <c r="AJ88" s="29"/>
      <c r="AK88" s="29"/>
      <c r="AL88" s="29"/>
      <c r="AM88" s="29"/>
      <c r="AN88" s="29"/>
      <c r="AO88" s="17"/>
      <c r="AP88" s="17"/>
      <c r="AQ88" s="17"/>
      <c r="AR88" s="7"/>
      <c r="AT88" s="29"/>
      <c r="AU88" s="29"/>
      <c r="AV88" s="29"/>
      <c r="AW88" s="29"/>
      <c r="AX88" s="29"/>
      <c r="AY88" s="29"/>
      <c r="AZ88" s="29"/>
      <c r="BA88" s="29"/>
      <c r="BB88" s="29"/>
      <c r="BC88" s="29"/>
    </row>
    <row r="89" spans="1:55" x14ac:dyDescent="0.15">
      <c r="A89" s="7">
        <f t="shared" si="16"/>
        <v>7</v>
      </c>
      <c r="B89" s="17">
        <f>1/10</f>
        <v>0.1</v>
      </c>
      <c r="C89" s="29">
        <f>C20*B89</f>
        <v>0.45</v>
      </c>
      <c r="D89" s="29">
        <f>求节点(节奏总纲!$S$4:$S$113,节奏总纲!$O$4:$O$113,$C89)</f>
        <v>9.3096432618317948</v>
      </c>
      <c r="E89" s="17"/>
      <c r="F89" s="29" t="s">
        <v>168</v>
      </c>
      <c r="G89" s="29" t="s">
        <v>168</v>
      </c>
      <c r="H89" s="29"/>
      <c r="I89" s="29">
        <v>5</v>
      </c>
      <c r="J89" s="29">
        <v>1</v>
      </c>
      <c r="K89" s="29" t="s">
        <v>168</v>
      </c>
      <c r="L89" s="29" t="s">
        <v>168</v>
      </c>
      <c r="M89" s="29"/>
      <c r="N89" s="29">
        <f>IF(I89="","",MIN(INT(C89/$C$90),武将升星!$G$14))</f>
        <v>0</v>
      </c>
      <c r="O89" s="29">
        <v>0</v>
      </c>
      <c r="P89" s="29" t="str">
        <f>IF(U89="","",IFERROR(IFERROR(MATCH(U89,武将进阶!D$4:D$10,0),MATCH(U89,武将进阶!D$4:D$10,1)+1),1))</f>
        <v/>
      </c>
      <c r="Q89" s="29" t="str">
        <f>IF(V89="","",IFERROR(IFERROR(MATCH(V89,武将进阶!E$4:E$10,0),MATCH(V89,武将进阶!E$4:E$10,1)+1),1))</f>
        <v/>
      </c>
      <c r="R89" s="29" t="str">
        <f>IF(W89="","",IFERROR(IFERROR(MATCH(W89,武将进阶!F$4:F$10,0),MATCH(W89,武将进阶!F$4:F$10,1)+1),1))</f>
        <v/>
      </c>
      <c r="S89" s="29">
        <f>IF(X89="","",IFERROR(IFERROR(MATCH(X89,武将进阶!G$4:G$10,0),MATCH(X89,武将进阶!G$4:G$10,1)+1),1))</f>
        <v>1</v>
      </c>
      <c r="T89" s="29">
        <f>IF(Y89="","",IFERROR(IFERROR(MATCH(Y89,武将进阶!H$4:H$10,0),MATCH(Y89,武将进阶!H$4:H$10,1)+1),1))</f>
        <v>1</v>
      </c>
      <c r="U89" s="29" t="str">
        <f t="shared" si="17"/>
        <v/>
      </c>
      <c r="V89" s="29" t="str">
        <f t="shared" si="17"/>
        <v/>
      </c>
      <c r="W89" s="29" t="str">
        <f t="shared" si="17"/>
        <v/>
      </c>
      <c r="X89" s="29">
        <f t="shared" si="17"/>
        <v>9</v>
      </c>
      <c r="Y89" s="29">
        <f t="shared" si="17"/>
        <v>9</v>
      </c>
      <c r="Z89" s="20"/>
      <c r="AA89" s="20"/>
      <c r="AB89" s="20"/>
      <c r="AC89" s="20"/>
      <c r="AD89" s="20"/>
      <c r="AE89" s="33"/>
      <c r="AF89" s="33"/>
      <c r="AG89" s="33"/>
      <c r="AH89" s="33"/>
      <c r="AI89" s="33"/>
      <c r="AJ89" s="29"/>
      <c r="AK89" s="29"/>
      <c r="AL89" s="29"/>
      <c r="AM89" s="29"/>
      <c r="AN89" s="29"/>
      <c r="AO89" s="17"/>
      <c r="AP89" s="17"/>
      <c r="AQ89" s="17"/>
      <c r="AR89" s="7"/>
      <c r="AT89" s="29"/>
      <c r="AU89" s="29"/>
      <c r="AV89" s="29">
        <v>1</v>
      </c>
      <c r="AW89" s="29"/>
      <c r="AX89" s="29"/>
      <c r="AY89" s="29"/>
      <c r="AZ89" s="29"/>
      <c r="BA89" s="29"/>
      <c r="BB89" s="29"/>
      <c r="BC89" s="29"/>
    </row>
    <row r="90" spans="1:55" x14ac:dyDescent="0.15">
      <c r="A90" s="7">
        <f t="shared" si="16"/>
        <v>8</v>
      </c>
      <c r="B90" s="17">
        <f>1/10</f>
        <v>0.1</v>
      </c>
      <c r="C90" s="29">
        <f>30*B90</f>
        <v>3</v>
      </c>
      <c r="D90" s="29">
        <f>求节点(节奏总纲!$S$4:$S$113,节奏总纲!$O$4:$O$113,$C90)</f>
        <v>27.324610510337703</v>
      </c>
      <c r="E90" s="17"/>
      <c r="F90" s="29" t="s">
        <v>168</v>
      </c>
      <c r="G90" s="29" t="s">
        <v>168</v>
      </c>
      <c r="H90" s="29"/>
      <c r="I90" s="29">
        <v>5</v>
      </c>
      <c r="J90" s="29">
        <v>1</v>
      </c>
      <c r="K90" s="29" t="s">
        <v>168</v>
      </c>
      <c r="L90" s="29" t="s">
        <v>168</v>
      </c>
      <c r="M90" s="29" t="s">
        <v>168</v>
      </c>
      <c r="N90" s="29">
        <f>IF(I90="","",MIN(INT(C90/$C$90),武将升星!$G$14))</f>
        <v>1</v>
      </c>
      <c r="O90" s="29">
        <v>0</v>
      </c>
      <c r="P90" s="29" t="str">
        <f>IF(U90="","",IFERROR(IFERROR(MATCH(U90,武将进阶!D$4:D$10,0),MATCH(U90,武将进阶!D$4:D$10,1)+1),1))</f>
        <v/>
      </c>
      <c r="Q90" s="29" t="str">
        <f>IF(V90="","",IFERROR(IFERROR(MATCH(V90,武将进阶!E$4:E$10,0),MATCH(V90,武将进阶!E$4:E$10,1)+1),1))</f>
        <v/>
      </c>
      <c r="R90" s="29" t="str">
        <f>IF(W90="","",IFERROR(IFERROR(MATCH(W90,武将进阶!F$4:F$10,0),MATCH(W90,武将进阶!F$4:F$10,1)+1),1))</f>
        <v/>
      </c>
      <c r="S90" s="29">
        <f>IF(X90="","",IFERROR(IFERROR(MATCH(X90,武将进阶!G$4:G$10,0),MATCH(X90,武将进阶!G$4:G$10,1)+1),1))</f>
        <v>1</v>
      </c>
      <c r="T90" s="29">
        <f>IF(Y90="","",IFERROR(IFERROR(MATCH(Y90,武将进阶!H$4:H$10,0),MATCH(Y90,武将进阶!H$4:H$10,1)+1),1))</f>
        <v>1</v>
      </c>
      <c r="U90" s="29" t="str">
        <f t="shared" si="17"/>
        <v/>
      </c>
      <c r="V90" s="29" t="str">
        <f t="shared" si="17"/>
        <v/>
      </c>
      <c r="W90" s="29" t="str">
        <f t="shared" si="17"/>
        <v/>
      </c>
      <c r="X90" s="29">
        <f t="shared" si="17"/>
        <v>27</v>
      </c>
      <c r="Y90" s="29">
        <f t="shared" si="17"/>
        <v>27</v>
      </c>
      <c r="Z90" s="20"/>
      <c r="AA90" s="20"/>
      <c r="AB90" s="20"/>
      <c r="AC90" s="20"/>
      <c r="AD90" s="20"/>
      <c r="AE90" s="33"/>
      <c r="AF90" s="33"/>
      <c r="AG90" s="33"/>
      <c r="AH90" s="33"/>
      <c r="AI90" s="33"/>
      <c r="AJ90" s="29"/>
      <c r="AK90" s="29"/>
      <c r="AL90" s="29"/>
      <c r="AM90" s="29"/>
      <c r="AN90" s="29"/>
      <c r="AO90" s="17"/>
      <c r="AP90" s="17"/>
      <c r="AQ90" s="17"/>
      <c r="AR90" s="7"/>
      <c r="AT90" s="29"/>
      <c r="AU90" s="29"/>
      <c r="AV90" s="29">
        <v>3</v>
      </c>
      <c r="AW90" s="29">
        <v>1</v>
      </c>
      <c r="AX90" s="29"/>
      <c r="AY90" s="29"/>
      <c r="AZ90" s="29"/>
      <c r="BA90" s="29"/>
      <c r="BB90" s="29"/>
      <c r="BC90" s="29"/>
    </row>
    <row r="91" spans="1:55" x14ac:dyDescent="0.15">
      <c r="A91" s="7">
        <f t="shared" si="16"/>
        <v>9</v>
      </c>
      <c r="B91" s="17"/>
      <c r="C91" s="29">
        <v>6</v>
      </c>
      <c r="D91" s="29">
        <f>求节点(节奏总纲!$S$4:$S$113,节奏总纲!$O$4:$O$113,$C91)</f>
        <v>36.067019846099676</v>
      </c>
      <c r="F91" s="29" t="s">
        <v>168</v>
      </c>
      <c r="G91" s="29" t="s">
        <v>168</v>
      </c>
      <c r="H91" s="29" t="s">
        <v>168</v>
      </c>
      <c r="I91" s="29">
        <v>5</v>
      </c>
      <c r="J91" s="29">
        <v>1</v>
      </c>
      <c r="K91" s="29" t="s">
        <v>168</v>
      </c>
      <c r="L91" s="29" t="s">
        <v>168</v>
      </c>
      <c r="M91" s="29" t="s">
        <v>168</v>
      </c>
      <c r="N91" s="29">
        <v>1</v>
      </c>
      <c r="O91" s="29">
        <v>0</v>
      </c>
      <c r="P91" s="29" t="str">
        <f>IF(U91="","",IFERROR(IFERROR(MATCH(U91,武将进阶!D$4:D$10,0),MATCH(U91,武将进阶!D$4:D$10,1)+1),1))</f>
        <v/>
      </c>
      <c r="Q91" s="29" t="str">
        <f>IF(V91="","",IFERROR(IFERROR(MATCH(V91,武将进阶!E$4:E$10,0),MATCH(V91,武将进阶!E$4:E$10,1)+1),1))</f>
        <v/>
      </c>
      <c r="R91" s="29" t="str">
        <f>IF(W91="","",IFERROR(IFERROR(MATCH(W91,武将进阶!F$4:F$10,0),MATCH(W91,武将进阶!F$4:F$10,1)+1),1))</f>
        <v/>
      </c>
      <c r="S91" s="29">
        <f>IF(X91="","",IFERROR(IFERROR(MATCH(X91,武将进阶!G$4:G$10,0),MATCH(X91,武将进阶!G$4:G$10,1)+1),1))</f>
        <v>1</v>
      </c>
      <c r="T91" s="29">
        <f>IF(Y91="","",IFERROR(IFERROR(MATCH(Y91,武将进阶!H$4:H$10,0),MATCH(Y91,武将进阶!H$4:H$10,1)+1),1))</f>
        <v>1</v>
      </c>
      <c r="U91" s="29" t="str">
        <f t="shared" si="17"/>
        <v/>
      </c>
      <c r="V91" s="29" t="str">
        <f t="shared" si="17"/>
        <v/>
      </c>
      <c r="W91" s="29" t="str">
        <f t="shared" si="17"/>
        <v/>
      </c>
      <c r="X91" s="29">
        <f t="shared" si="17"/>
        <v>36</v>
      </c>
      <c r="Y91" s="29">
        <f t="shared" si="17"/>
        <v>36</v>
      </c>
      <c r="Z91" s="20"/>
      <c r="AA91" s="20"/>
      <c r="AB91" s="20"/>
      <c r="AC91" s="20"/>
      <c r="AD91" s="20"/>
      <c r="AE91" s="33"/>
      <c r="AF91" s="33"/>
      <c r="AG91" s="33"/>
      <c r="AH91" s="33"/>
      <c r="AI91" s="33"/>
      <c r="AJ91" s="29"/>
      <c r="AK91" s="29"/>
      <c r="AL91" s="29"/>
      <c r="AM91" s="29"/>
      <c r="AN91" s="29"/>
      <c r="AO91" s="17"/>
      <c r="AP91" s="17"/>
      <c r="AR91" s="7"/>
      <c r="AT91" s="29"/>
      <c r="AU91" s="29"/>
      <c r="AV91" s="29">
        <v>4</v>
      </c>
      <c r="AW91" s="29">
        <v>3</v>
      </c>
      <c r="AX91" s="29"/>
      <c r="AY91" s="29"/>
      <c r="AZ91" s="29"/>
      <c r="BA91" s="29"/>
      <c r="BB91" s="29"/>
      <c r="BC91" s="29"/>
    </row>
    <row r="92" spans="1:55" x14ac:dyDescent="0.15">
      <c r="A92" s="7">
        <f t="shared" si="16"/>
        <v>10</v>
      </c>
      <c r="B92" s="17"/>
      <c r="C92" s="29">
        <v>9</v>
      </c>
      <c r="D92" s="29">
        <f>求节点(节奏总纲!$S$4:$S$113,节奏总纲!$O$4:$O$113,$C92)</f>
        <v>41.534743419557365</v>
      </c>
      <c r="F92" s="29" t="s">
        <v>168</v>
      </c>
      <c r="G92" s="29" t="s">
        <v>168</v>
      </c>
      <c r="H92" s="29" t="s">
        <v>168</v>
      </c>
      <c r="I92" s="29">
        <v>4</v>
      </c>
      <c r="J92" s="29">
        <v>2</v>
      </c>
      <c r="K92" s="29" t="s">
        <v>168</v>
      </c>
      <c r="L92" s="29" t="s">
        <v>168</v>
      </c>
      <c r="M92" s="29" t="s">
        <v>168</v>
      </c>
      <c r="N92" s="29">
        <v>2</v>
      </c>
      <c r="O92" s="29">
        <v>0</v>
      </c>
      <c r="P92" s="29" t="str">
        <f>IF(U92="","",IFERROR(IFERROR(MATCH(U92,武将进阶!D$4:D$10,0),MATCH(U92,武将进阶!D$4:D$10,1)+1),1))</f>
        <v/>
      </c>
      <c r="Q92" s="29" t="str">
        <f>IF(V92="","",IFERROR(IFERROR(MATCH(V92,武将进阶!E$4:E$10,0),MATCH(V92,武将进阶!E$4:E$10,1)+1),1))</f>
        <v/>
      </c>
      <c r="R92" s="29" t="str">
        <f>IF(W92="","",IFERROR(IFERROR(MATCH(W92,武将进阶!F$4:F$10,0),MATCH(W92,武将进阶!F$4:F$10,1)+1),1))</f>
        <v/>
      </c>
      <c r="S92" s="29">
        <f>IF(X92="","",IFERROR(IFERROR(MATCH(X92,武将进阶!G$4:G$10,0),MATCH(X92,武将进阶!G$4:G$10,1)+1),1))</f>
        <v>1</v>
      </c>
      <c r="T92" s="29">
        <f>IF(Y92="","",IFERROR(IFERROR(MATCH(Y92,武将进阶!H$4:H$10,0),MATCH(Y92,武将进阶!H$4:H$10,1)+1),1))</f>
        <v>1</v>
      </c>
      <c r="U92" s="29" t="str">
        <f t="shared" si="17"/>
        <v/>
      </c>
      <c r="V92" s="29" t="str">
        <f t="shared" si="17"/>
        <v/>
      </c>
      <c r="W92" s="29" t="str">
        <f t="shared" si="17"/>
        <v/>
      </c>
      <c r="X92" s="29">
        <f t="shared" si="17"/>
        <v>41</v>
      </c>
      <c r="Y92" s="29">
        <f t="shared" si="17"/>
        <v>41</v>
      </c>
      <c r="Z92" s="20"/>
      <c r="AA92" s="20"/>
      <c r="AB92" s="20"/>
      <c r="AC92" s="20"/>
      <c r="AD92" s="20"/>
      <c r="AE92" s="33"/>
      <c r="AF92" s="33"/>
      <c r="AG92" s="33"/>
      <c r="AH92" s="33"/>
      <c r="AI92" s="33"/>
      <c r="AJ92" s="29"/>
      <c r="AK92" s="29"/>
      <c r="AL92" s="29"/>
      <c r="AM92" s="29"/>
      <c r="AN92" s="29"/>
      <c r="AO92" s="17"/>
      <c r="AP92" s="17"/>
      <c r="AR92" s="7"/>
      <c r="AT92" s="29"/>
      <c r="AU92" s="29"/>
      <c r="AV92" s="29">
        <v>5</v>
      </c>
      <c r="AW92" s="29">
        <v>4</v>
      </c>
      <c r="AX92" s="29">
        <v>1</v>
      </c>
      <c r="AY92" s="29"/>
      <c r="AZ92" s="29"/>
      <c r="BA92" s="29"/>
      <c r="BB92" s="29"/>
      <c r="BC92" s="29"/>
    </row>
    <row r="93" spans="1:55" x14ac:dyDescent="0.15">
      <c r="A93" s="7">
        <f t="shared" si="16"/>
        <v>11</v>
      </c>
      <c r="B93" s="17"/>
      <c r="C93" s="29">
        <v>12</v>
      </c>
      <c r="D93" s="29">
        <f>求节点(节奏总纲!$S$4:$S$113,节奏总纲!$O$4:$O$113,$C93)</f>
        <v>45.500930067545958</v>
      </c>
      <c r="F93" s="29" t="s">
        <v>168</v>
      </c>
      <c r="G93" s="29" t="s">
        <v>168</v>
      </c>
      <c r="H93" s="29" t="s">
        <v>168</v>
      </c>
      <c r="I93" s="29">
        <v>4</v>
      </c>
      <c r="J93" s="29">
        <v>2</v>
      </c>
      <c r="K93" s="29" t="s">
        <v>168</v>
      </c>
      <c r="L93" s="29" t="s">
        <v>168</v>
      </c>
      <c r="M93" s="29" t="s">
        <v>168</v>
      </c>
      <c r="N93" s="29">
        <v>2</v>
      </c>
      <c r="O93" s="29">
        <v>0</v>
      </c>
      <c r="P93" s="29" t="str">
        <f>IF(U93="","",IFERROR(IFERROR(MATCH(U93,武将进阶!D$4:D$10,0),MATCH(U93,武将进阶!D$4:D$10,1)+1),1))</f>
        <v/>
      </c>
      <c r="Q93" s="29" t="str">
        <f>IF(V93="","",IFERROR(IFERROR(MATCH(V93,武将进阶!E$4:E$10,0),MATCH(V93,武将进阶!E$4:E$10,1)+1),1))</f>
        <v/>
      </c>
      <c r="R93" s="29" t="str">
        <f>IF(W93="","",IFERROR(IFERROR(MATCH(W93,武将进阶!F$4:F$10,0),MATCH(W93,武将进阶!F$4:F$10,1)+1),1))</f>
        <v/>
      </c>
      <c r="S93" s="29">
        <f>IF(X93="","",IFERROR(IFERROR(MATCH(X93,武将进阶!G$4:G$10,0),MATCH(X93,武将进阶!G$4:G$10,1)+1),1))</f>
        <v>1</v>
      </c>
      <c r="T93" s="29">
        <f>IF(Y93="","",IFERROR(IFERROR(MATCH(Y93,武将进阶!H$4:H$10,0),MATCH(Y93,武将进阶!H$4:H$10,1)+1),1))</f>
        <v>1</v>
      </c>
      <c r="U93" s="29" t="str">
        <f t="shared" si="17"/>
        <v/>
      </c>
      <c r="V93" s="29" t="str">
        <f t="shared" si="17"/>
        <v/>
      </c>
      <c r="W93" s="29" t="str">
        <f t="shared" si="17"/>
        <v/>
      </c>
      <c r="X93" s="29">
        <f t="shared" si="17"/>
        <v>45</v>
      </c>
      <c r="Y93" s="29">
        <f t="shared" si="17"/>
        <v>45</v>
      </c>
      <c r="Z93" s="20"/>
      <c r="AA93" s="20"/>
      <c r="AB93" s="20"/>
      <c r="AC93" s="20"/>
      <c r="AD93" s="20"/>
      <c r="AE93" s="33"/>
      <c r="AF93" s="33"/>
      <c r="AG93" s="33"/>
      <c r="AH93" s="33"/>
      <c r="AI93" s="33"/>
      <c r="AJ93" s="29"/>
      <c r="AK93" s="29"/>
      <c r="AL93" s="29"/>
      <c r="AM93" s="29"/>
      <c r="AN93" s="29"/>
      <c r="AO93" s="17"/>
      <c r="AP93" s="17"/>
      <c r="AR93" s="7"/>
      <c r="AT93" s="29"/>
      <c r="AU93" s="29"/>
      <c r="AV93" s="29">
        <v>7</v>
      </c>
      <c r="AW93" s="29">
        <v>5</v>
      </c>
      <c r="AX93" s="29">
        <v>3</v>
      </c>
      <c r="AY93" s="29"/>
      <c r="AZ93" s="29"/>
      <c r="BA93" s="29"/>
      <c r="BB93" s="29"/>
      <c r="BC93" s="29"/>
    </row>
    <row r="94" spans="1:55" x14ac:dyDescent="0.15">
      <c r="A94" s="7">
        <f t="shared" si="16"/>
        <v>12</v>
      </c>
      <c r="B94" s="17"/>
      <c r="C94" s="29">
        <f>C92+9</f>
        <v>18</v>
      </c>
      <c r="D94" s="29">
        <f>求节点(节奏总纲!$S$4:$S$113,节奏总纲!$O$4:$O$113,$C94)</f>
        <v>51.307235833425089</v>
      </c>
      <c r="E94" s="17"/>
      <c r="F94" s="29" t="s">
        <v>168</v>
      </c>
      <c r="G94" s="29" t="s">
        <v>168</v>
      </c>
      <c r="H94" s="29" t="s">
        <v>168</v>
      </c>
      <c r="I94" s="29">
        <v>3</v>
      </c>
      <c r="J94" s="29">
        <v>3</v>
      </c>
      <c r="K94" s="29" t="s">
        <v>168</v>
      </c>
      <c r="L94" s="29" t="s">
        <v>168</v>
      </c>
      <c r="M94" s="29" t="s">
        <v>168</v>
      </c>
      <c r="N94" s="29">
        <v>3</v>
      </c>
      <c r="O94" s="29">
        <v>0</v>
      </c>
      <c r="P94" s="29" t="str">
        <f>IF(U94="","",IFERROR(IFERROR(MATCH(U94,武将进阶!D$4:D$10,0),MATCH(U94,武将进阶!D$4:D$10,1)+1),1))</f>
        <v/>
      </c>
      <c r="Q94" s="29" t="str">
        <f>IF(V94="","",IFERROR(IFERROR(MATCH(V94,武将进阶!E$4:E$10,0),MATCH(V94,武将进阶!E$4:E$10,1)+1),1))</f>
        <v/>
      </c>
      <c r="R94" s="29" t="str">
        <f>IF(W94="","",IFERROR(IFERROR(MATCH(W94,武将进阶!F$4:F$10,0),MATCH(W94,武将进阶!F$4:F$10,1)+1),1))</f>
        <v/>
      </c>
      <c r="S94" s="29">
        <f>IF(X94="","",IFERROR(IFERROR(MATCH(X94,武将进阶!G$4:G$10,0),MATCH(X94,武将进阶!G$4:G$10,1)+1),1))</f>
        <v>2</v>
      </c>
      <c r="T94" s="29">
        <f>IF(Y94="","",IFERROR(IFERROR(MATCH(Y94,武将进阶!H$4:H$10,0),MATCH(Y94,武将进阶!H$4:H$10,1)+1),1))</f>
        <v>2</v>
      </c>
      <c r="U94" s="29" t="str">
        <f t="shared" si="17"/>
        <v/>
      </c>
      <c r="V94" s="29" t="str">
        <f t="shared" si="17"/>
        <v/>
      </c>
      <c r="W94" s="29" t="str">
        <f t="shared" si="17"/>
        <v/>
      </c>
      <c r="X94" s="29">
        <f t="shared" si="17"/>
        <v>51</v>
      </c>
      <c r="Y94" s="29">
        <f t="shared" si="17"/>
        <v>51</v>
      </c>
      <c r="Z94" s="20"/>
      <c r="AA94" s="20"/>
      <c r="AB94" s="20"/>
      <c r="AC94" s="20"/>
      <c r="AD94" s="20"/>
      <c r="AE94" s="33"/>
      <c r="AF94" s="33"/>
      <c r="AG94" s="33"/>
      <c r="AH94" s="33"/>
      <c r="AI94" s="33"/>
      <c r="AJ94" s="29"/>
      <c r="AK94" s="29"/>
      <c r="AL94" s="29"/>
      <c r="AM94" s="29"/>
      <c r="AN94" s="29"/>
      <c r="AO94" s="17"/>
      <c r="AP94" s="17"/>
      <c r="AQ94" s="17"/>
      <c r="AR94" s="7"/>
      <c r="AT94" s="29"/>
      <c r="AU94" s="29"/>
      <c r="AV94" s="29">
        <v>11</v>
      </c>
      <c r="AW94" s="29">
        <v>8</v>
      </c>
      <c r="AX94" s="29">
        <v>4</v>
      </c>
      <c r="AY94" s="29"/>
      <c r="AZ94" s="29"/>
      <c r="BA94" s="29">
        <v>1</v>
      </c>
      <c r="BB94" s="29"/>
      <c r="BC94" s="29"/>
    </row>
    <row r="95" spans="1:55" x14ac:dyDescent="0.15">
      <c r="A95" s="7">
        <f t="shared" si="16"/>
        <v>13</v>
      </c>
      <c r="B95" s="17"/>
      <c r="C95" s="29">
        <f>C94+9*1.5</f>
        <v>31.5</v>
      </c>
      <c r="D95" s="29">
        <f>求节点(节奏总纲!$S$4:$S$113,节奏总纲!$O$4:$O$113,$C95)</f>
        <v>59.40510284927862</v>
      </c>
      <c r="E95" s="17"/>
      <c r="F95" s="29" t="s">
        <v>168</v>
      </c>
      <c r="G95" s="29" t="s">
        <v>168</v>
      </c>
      <c r="H95" s="29" t="s">
        <v>168</v>
      </c>
      <c r="I95" s="29">
        <v>2</v>
      </c>
      <c r="J95" s="29">
        <v>4</v>
      </c>
      <c r="K95" s="29" t="s">
        <v>168</v>
      </c>
      <c r="L95" s="29" t="s">
        <v>168</v>
      </c>
      <c r="M95" s="29" t="s">
        <v>168</v>
      </c>
      <c r="N95" s="29">
        <v>4</v>
      </c>
      <c r="O95" s="29">
        <v>1</v>
      </c>
      <c r="P95" s="29" t="str">
        <f>IF(U95="","",IFERROR(IFERROR(MATCH(U95,武将进阶!D$4:D$10,0),MATCH(U95,武将进阶!D$4:D$10,1)+1),1))</f>
        <v/>
      </c>
      <c r="Q95" s="29" t="str">
        <f>IF(V95="","",IFERROR(IFERROR(MATCH(V95,武将进阶!E$4:E$10,0),MATCH(V95,武将进阶!E$4:E$10,1)+1),1))</f>
        <v/>
      </c>
      <c r="R95" s="29" t="str">
        <f>IF(W95="","",IFERROR(IFERROR(MATCH(W95,武将进阶!F$4:F$10,0),MATCH(W95,武将进阶!F$4:F$10,1)+1),1))</f>
        <v/>
      </c>
      <c r="S95" s="29">
        <f>IF(X95="","",IFERROR(IFERROR(MATCH(X95,武将进阶!G$4:G$10,0),MATCH(X95,武将进阶!G$4:G$10,1)+1),1))</f>
        <v>2</v>
      </c>
      <c r="T95" s="29">
        <f>IF(Y95="","",IFERROR(IFERROR(MATCH(Y95,武将进阶!H$4:H$10,0),MATCH(Y95,武将进阶!H$4:H$10,1)+1),1))</f>
        <v>2</v>
      </c>
      <c r="U95" s="29" t="str">
        <f t="shared" si="17"/>
        <v/>
      </c>
      <c r="V95" s="29" t="str">
        <f t="shared" si="17"/>
        <v/>
      </c>
      <c r="W95" s="29" t="str">
        <f t="shared" si="17"/>
        <v/>
      </c>
      <c r="X95" s="29">
        <f t="shared" si="17"/>
        <v>59</v>
      </c>
      <c r="Y95" s="29">
        <f t="shared" si="17"/>
        <v>59</v>
      </c>
      <c r="Z95" s="20"/>
      <c r="AA95" s="20"/>
      <c r="AB95" s="20"/>
      <c r="AC95" s="20"/>
      <c r="AD95" s="20"/>
      <c r="AE95" s="33"/>
      <c r="AF95" s="33"/>
      <c r="AG95" s="33"/>
      <c r="AH95" s="33"/>
      <c r="AI95" s="33"/>
      <c r="AJ95" s="29"/>
      <c r="AK95" s="29"/>
      <c r="AL95" s="29"/>
      <c r="AM95" s="29"/>
      <c r="AN95" s="29"/>
      <c r="AO95" s="17"/>
      <c r="AP95" s="17"/>
      <c r="AQ95" s="17"/>
      <c r="AR95" s="7"/>
      <c r="AT95" s="29"/>
      <c r="AU95" s="29"/>
      <c r="AV95" s="29">
        <v>15</v>
      </c>
      <c r="AW95" s="29">
        <v>11</v>
      </c>
      <c r="AX95" s="29">
        <v>7</v>
      </c>
      <c r="AY95" s="29"/>
      <c r="AZ95" s="29"/>
      <c r="BA95" s="29">
        <v>8</v>
      </c>
      <c r="BB95" s="29"/>
      <c r="BC95" s="29"/>
    </row>
    <row r="96" spans="1:55" x14ac:dyDescent="0.15">
      <c r="A96" s="7">
        <f t="shared" si="16"/>
        <v>14</v>
      </c>
      <c r="B96" s="17"/>
      <c r="C96" s="29">
        <f t="shared" ref="C96:C101" si="18">C95+9*1.5</f>
        <v>45</v>
      </c>
      <c r="D96" s="29">
        <f>求节点(节奏总纲!$S$4:$S$113,节奏总纲!$O$4:$O$113,$C96)</f>
        <v>64.399012521055653</v>
      </c>
      <c r="E96" s="17"/>
      <c r="F96" s="29" t="s">
        <v>168</v>
      </c>
      <c r="G96" s="29" t="s">
        <v>168</v>
      </c>
      <c r="H96" s="29" t="s">
        <v>168</v>
      </c>
      <c r="I96" s="29">
        <v>1</v>
      </c>
      <c r="J96" s="29">
        <v>5</v>
      </c>
      <c r="K96" s="29" t="s">
        <v>168</v>
      </c>
      <c r="L96" s="29" t="s">
        <v>168</v>
      </c>
      <c r="M96" s="29" t="s">
        <v>168</v>
      </c>
      <c r="N96" s="29">
        <f>IF(I96="","",MIN(INT(C96/$C$90),武将升星!$G$14))</f>
        <v>8</v>
      </c>
      <c r="O96" s="29">
        <v>2</v>
      </c>
      <c r="P96" s="29" t="str">
        <f>IF(U96="","",IFERROR(IFERROR(MATCH(U96,武将进阶!D$4:D$10,0),MATCH(U96,武将进阶!D$4:D$10,1)+1),1))</f>
        <v/>
      </c>
      <c r="Q96" s="29" t="str">
        <f>IF(V96="","",IFERROR(IFERROR(MATCH(V96,武将进阶!E$4:E$10,0),MATCH(V96,武将进阶!E$4:E$10,1)+1),1))</f>
        <v/>
      </c>
      <c r="R96" s="29" t="str">
        <f>IF(W96="","",IFERROR(IFERROR(MATCH(W96,武将进阶!F$4:F$10,0),MATCH(W96,武将进阶!F$4:F$10,1)+1),1))</f>
        <v/>
      </c>
      <c r="S96" s="29">
        <f>IF(X96="","",IFERROR(IFERROR(MATCH(X96,武将进阶!G$4:G$10,0),MATCH(X96,武将进阶!G$4:G$10,1)+1),1))</f>
        <v>2</v>
      </c>
      <c r="T96" s="29">
        <f>IF(Y96="","",IFERROR(IFERROR(MATCH(Y96,武将进阶!H$4:H$10,0),MATCH(Y96,武将进阶!H$4:H$10,1)+1),1))</f>
        <v>2</v>
      </c>
      <c r="U96" s="29" t="str">
        <f t="shared" si="17"/>
        <v/>
      </c>
      <c r="V96" s="29" t="str">
        <f t="shared" si="17"/>
        <v/>
      </c>
      <c r="W96" s="29" t="str">
        <f t="shared" si="17"/>
        <v/>
      </c>
      <c r="X96" s="29">
        <f t="shared" si="17"/>
        <v>64</v>
      </c>
      <c r="Y96" s="29">
        <f t="shared" si="17"/>
        <v>64</v>
      </c>
      <c r="Z96" s="20"/>
      <c r="AA96" s="20"/>
      <c r="AB96" s="20"/>
      <c r="AC96" s="20"/>
      <c r="AD96" s="20"/>
      <c r="AE96" s="33"/>
      <c r="AF96" s="33"/>
      <c r="AG96" s="33"/>
      <c r="AH96" s="33"/>
      <c r="AI96" s="33"/>
      <c r="AJ96" s="29"/>
      <c r="AK96" s="29"/>
      <c r="AL96" s="29"/>
      <c r="AM96" s="29"/>
      <c r="AN96" s="29"/>
      <c r="AO96" s="17"/>
      <c r="AP96" s="17"/>
      <c r="AQ96" s="17"/>
      <c r="AR96" s="7"/>
      <c r="AT96" s="29"/>
      <c r="AU96" s="29"/>
      <c r="AV96" s="29">
        <v>19</v>
      </c>
      <c r="AW96" s="29">
        <v>14</v>
      </c>
      <c r="AX96" s="29">
        <v>9</v>
      </c>
      <c r="AY96" s="29"/>
      <c r="AZ96" s="29"/>
      <c r="BA96" s="29">
        <v>11</v>
      </c>
      <c r="BB96" s="29">
        <v>1</v>
      </c>
      <c r="BC96" s="29"/>
    </row>
    <row r="97" spans="1:55" x14ac:dyDescent="0.15">
      <c r="A97" s="7">
        <f t="shared" si="16"/>
        <v>15</v>
      </c>
      <c r="B97" s="17"/>
      <c r="C97" s="29">
        <f t="shared" si="18"/>
        <v>58.5</v>
      </c>
      <c r="D97" s="29">
        <f>求节点(节奏总纲!$S$4:$S$113,节奏总纲!$O$4:$O$113,$C97)</f>
        <v>68.263722735923551</v>
      </c>
      <c r="E97" s="17"/>
      <c r="F97" s="29" t="s">
        <v>168</v>
      </c>
      <c r="G97" s="29" t="s">
        <v>168</v>
      </c>
      <c r="H97" s="29" t="s">
        <v>168</v>
      </c>
      <c r="I97" s="29"/>
      <c r="J97" s="29">
        <v>6</v>
      </c>
      <c r="K97" s="29" t="s">
        <v>168</v>
      </c>
      <c r="L97" s="29" t="s">
        <v>168</v>
      </c>
      <c r="M97" s="29" t="s">
        <v>168</v>
      </c>
      <c r="N97" s="29" t="str">
        <f>IF(I97="","",MIN(INT(C97/$C$90),武将升星!$G$14))</f>
        <v/>
      </c>
      <c r="O97" s="29">
        <v>3</v>
      </c>
      <c r="P97" s="29" t="str">
        <f>IF(U97="","",IFERROR(IFERROR(MATCH(U97,武将进阶!D$4:D$10,0),MATCH(U97,武将进阶!D$4:D$10,1)+1),1))</f>
        <v/>
      </c>
      <c r="Q97" s="29" t="str">
        <f>IF(V97="","",IFERROR(IFERROR(MATCH(V97,武将进阶!E$4:E$10,0),MATCH(V97,武将进阶!E$4:E$10,1)+1),1))</f>
        <v/>
      </c>
      <c r="R97" s="29" t="str">
        <f>IF(W97="","",IFERROR(IFERROR(MATCH(W97,武将进阶!F$4:F$10,0),MATCH(W97,武将进阶!F$4:F$10,1)+1),1))</f>
        <v/>
      </c>
      <c r="S97" s="29" t="str">
        <f>IF(X97="","",IFERROR(IFERROR(MATCH(X97,武将进阶!G$4:G$10,0),MATCH(X97,武将进阶!G$4:G$10,1)+1),1))</f>
        <v/>
      </c>
      <c r="T97" s="29">
        <f>IF(Y97="","",IFERROR(IFERROR(MATCH(Y97,武将进阶!H$4:H$10,0),MATCH(Y97,武将进阶!H$4:H$10,1)+1),1))</f>
        <v>2</v>
      </c>
      <c r="U97" s="29" t="str">
        <f t="shared" si="17"/>
        <v/>
      </c>
      <c r="V97" s="29" t="str">
        <f t="shared" si="17"/>
        <v/>
      </c>
      <c r="W97" s="29" t="str">
        <f t="shared" si="17"/>
        <v/>
      </c>
      <c r="X97" s="29" t="str">
        <f t="shared" si="17"/>
        <v/>
      </c>
      <c r="Y97" s="29">
        <f t="shared" si="17"/>
        <v>68</v>
      </c>
      <c r="Z97" s="20"/>
      <c r="AA97" s="20"/>
      <c r="AB97" s="20"/>
      <c r="AC97" s="20"/>
      <c r="AD97" s="20"/>
      <c r="AE97" s="33"/>
      <c r="AF97" s="33"/>
      <c r="AG97" s="33"/>
      <c r="AH97" s="33"/>
      <c r="AI97" s="33"/>
      <c r="AJ97" s="29"/>
      <c r="AK97" s="29"/>
      <c r="AL97" s="29"/>
      <c r="AM97" s="29"/>
      <c r="AN97" s="29"/>
      <c r="AO97" s="17"/>
      <c r="AP97" s="17"/>
      <c r="AQ97" s="17"/>
      <c r="AR97" s="7"/>
      <c r="AT97" s="29"/>
      <c r="AU97" s="29"/>
      <c r="AV97" s="29">
        <v>24</v>
      </c>
      <c r="AW97" s="29">
        <v>18</v>
      </c>
      <c r="AX97" s="29">
        <v>11</v>
      </c>
      <c r="AY97" s="29"/>
      <c r="AZ97" s="29"/>
      <c r="BA97" s="29">
        <v>14</v>
      </c>
      <c r="BB97" s="29">
        <v>11</v>
      </c>
      <c r="BC97" s="29"/>
    </row>
    <row r="98" spans="1:55" x14ac:dyDescent="0.15">
      <c r="A98" s="7">
        <f t="shared" si="16"/>
        <v>16</v>
      </c>
      <c r="B98" s="17"/>
      <c r="C98" s="29">
        <f t="shared" si="18"/>
        <v>72</v>
      </c>
      <c r="D98" s="29">
        <f>求节点(节奏总纲!$S$4:$S$113,节奏总纲!$O$4:$O$113,$C98)</f>
        <v>71.278862245535876</v>
      </c>
      <c r="E98" s="17"/>
      <c r="F98" s="29" t="s">
        <v>168</v>
      </c>
      <c r="G98" s="29" t="s">
        <v>168</v>
      </c>
      <c r="H98" s="29" t="s">
        <v>168</v>
      </c>
      <c r="I98" s="29" t="s">
        <v>168</v>
      </c>
      <c r="J98" s="29">
        <v>6</v>
      </c>
      <c r="K98" s="29" t="s">
        <v>168</v>
      </c>
      <c r="L98" s="29" t="s">
        <v>168</v>
      </c>
      <c r="M98" s="29" t="s">
        <v>168</v>
      </c>
      <c r="N98" s="29" t="str">
        <f>IF(I98="","",MIN(INT(C98/$C$90),武将升星!$G$14))</f>
        <v/>
      </c>
      <c r="O98" s="29">
        <v>4</v>
      </c>
      <c r="P98" s="29" t="str">
        <f>IF(U98="","",IFERROR(IFERROR(MATCH(U98,武将进阶!D$4:D$10,0),MATCH(U98,武将进阶!D$4:D$10,1)+1),1))</f>
        <v/>
      </c>
      <c r="Q98" s="29" t="str">
        <f>IF(V98="","",IFERROR(IFERROR(MATCH(V98,武将进阶!E$4:E$10,0),MATCH(V98,武将进阶!E$4:E$10,1)+1),1))</f>
        <v/>
      </c>
      <c r="R98" s="29" t="str">
        <f>IF(W98="","",IFERROR(IFERROR(MATCH(W98,武将进阶!F$4:F$10,0),MATCH(W98,武将进阶!F$4:F$10,1)+1),1))</f>
        <v/>
      </c>
      <c r="S98" s="29" t="str">
        <f>IF(X98="","",IFERROR(IFERROR(MATCH(X98,武将进阶!G$4:G$10,0),MATCH(X98,武将进阶!G$4:G$10,1)+1),1))</f>
        <v/>
      </c>
      <c r="T98" s="29">
        <f>IF(Y98="","",IFERROR(IFERROR(MATCH(Y98,武将进阶!H$4:H$10,0),MATCH(Y98,武将进阶!H$4:H$10,1)+1),1))</f>
        <v>2</v>
      </c>
      <c r="U98" s="29" t="str">
        <f t="shared" si="17"/>
        <v/>
      </c>
      <c r="V98" s="29" t="str">
        <f t="shared" si="17"/>
        <v/>
      </c>
      <c r="W98" s="29" t="str">
        <f t="shared" si="17"/>
        <v/>
      </c>
      <c r="X98" s="29" t="str">
        <f t="shared" si="17"/>
        <v/>
      </c>
      <c r="Y98" s="29">
        <f t="shared" si="17"/>
        <v>71</v>
      </c>
      <c r="Z98" s="20"/>
      <c r="AA98" s="20"/>
      <c r="AB98" s="20"/>
      <c r="AC98" s="20"/>
      <c r="AD98" s="20"/>
      <c r="AE98" s="33"/>
      <c r="AF98" s="33"/>
      <c r="AG98" s="33"/>
      <c r="AH98" s="33"/>
      <c r="AI98" s="33"/>
      <c r="AJ98" s="29"/>
      <c r="AK98" s="29"/>
      <c r="AL98" s="29"/>
      <c r="AM98" s="29"/>
      <c r="AN98" s="29"/>
      <c r="AO98" s="17"/>
      <c r="AP98" s="17"/>
      <c r="AQ98" s="17"/>
      <c r="AR98" s="7"/>
      <c r="AT98" s="29"/>
      <c r="AU98" s="29"/>
      <c r="AV98" s="29">
        <v>30</v>
      </c>
      <c r="AW98" s="29">
        <v>22</v>
      </c>
      <c r="AX98" s="29">
        <v>15</v>
      </c>
      <c r="AY98" s="29"/>
      <c r="AZ98" s="29"/>
      <c r="BA98" s="29">
        <v>18</v>
      </c>
      <c r="BB98" s="29">
        <v>15</v>
      </c>
      <c r="BC98" s="29"/>
    </row>
    <row r="99" spans="1:55" x14ac:dyDescent="0.15">
      <c r="A99" s="7">
        <f t="shared" si="16"/>
        <v>17</v>
      </c>
      <c r="B99" s="17"/>
      <c r="C99" s="29">
        <f t="shared" si="18"/>
        <v>85.5</v>
      </c>
      <c r="D99" s="29">
        <f>求节点(节奏总纲!$S$4:$S$113,节奏总纲!$O$4:$O$113,$C99)</f>
        <v>73.768388263943649</v>
      </c>
      <c r="F99" s="29" t="s">
        <v>168</v>
      </c>
      <c r="G99" s="29" t="s">
        <v>168</v>
      </c>
      <c r="H99" s="29" t="s">
        <v>168</v>
      </c>
      <c r="I99" s="29" t="s">
        <v>168</v>
      </c>
      <c r="J99" s="29">
        <v>6</v>
      </c>
      <c r="K99" s="29" t="s">
        <v>168</v>
      </c>
      <c r="L99" s="29" t="s">
        <v>168</v>
      </c>
      <c r="M99" s="29" t="s">
        <v>168</v>
      </c>
      <c r="N99" s="29" t="str">
        <f>IF(I99="","",MIN(INT(C99/$C$90),武将升星!$G$14))</f>
        <v/>
      </c>
      <c r="O99" s="29">
        <v>5</v>
      </c>
      <c r="P99" s="29" t="str">
        <f>IF(U99="","",IFERROR(IFERROR(MATCH(U99,武将进阶!D$4:D$10,0),MATCH(U99,武将进阶!D$4:D$10,1)+1),1))</f>
        <v/>
      </c>
      <c r="Q99" s="29" t="str">
        <f>IF(V99="","",IFERROR(IFERROR(MATCH(V99,武将进阶!E$4:E$10,0),MATCH(V99,武将进阶!E$4:E$10,1)+1),1))</f>
        <v/>
      </c>
      <c r="R99" s="29" t="str">
        <f>IF(W99="","",IFERROR(IFERROR(MATCH(W99,武将进阶!F$4:F$10,0),MATCH(W99,武将进阶!F$4:F$10,1)+1),1))</f>
        <v/>
      </c>
      <c r="S99" s="29" t="str">
        <f>IF(X99="","",IFERROR(IFERROR(MATCH(X99,武将进阶!G$4:G$10,0),MATCH(X99,武将进阶!G$4:G$10,1)+1),1))</f>
        <v/>
      </c>
      <c r="T99" s="29">
        <f>IF(Y99="","",IFERROR(IFERROR(MATCH(Y99,武将进阶!H$4:H$10,0),MATCH(Y99,武将进阶!H$4:H$10,1)+1),1))</f>
        <v>2</v>
      </c>
      <c r="U99" s="29" t="str">
        <f t="shared" si="17"/>
        <v/>
      </c>
      <c r="V99" s="29" t="str">
        <f t="shared" si="17"/>
        <v/>
      </c>
      <c r="W99" s="29" t="str">
        <f t="shared" si="17"/>
        <v/>
      </c>
      <c r="X99" s="29" t="str">
        <f t="shared" si="17"/>
        <v/>
      </c>
      <c r="Y99" s="29">
        <f t="shared" si="17"/>
        <v>73</v>
      </c>
      <c r="Z99" s="20"/>
      <c r="AA99" s="20"/>
      <c r="AB99" s="20"/>
      <c r="AC99" s="20"/>
      <c r="AD99" s="20"/>
      <c r="AE99" s="33"/>
      <c r="AF99" s="33"/>
      <c r="AG99" s="33"/>
      <c r="AH99" s="33"/>
      <c r="AI99" s="33"/>
      <c r="AJ99" s="29"/>
      <c r="AK99" s="29"/>
      <c r="AL99" s="29"/>
      <c r="AM99" s="29"/>
      <c r="AN99" s="29"/>
      <c r="AO99" s="17"/>
      <c r="AP99" s="17"/>
      <c r="AR99" s="7"/>
      <c r="AT99" s="29"/>
      <c r="AU99" s="29"/>
      <c r="AV99" s="29">
        <v>36</v>
      </c>
      <c r="AW99" s="29">
        <v>27</v>
      </c>
      <c r="AX99" s="29">
        <v>19</v>
      </c>
      <c r="AY99" s="29"/>
      <c r="AZ99" s="29"/>
      <c r="BA99" s="29">
        <v>22</v>
      </c>
      <c r="BB99" s="29">
        <v>19</v>
      </c>
      <c r="BC99" s="29">
        <v>1</v>
      </c>
    </row>
    <row r="100" spans="1:55" x14ac:dyDescent="0.15">
      <c r="A100" s="7">
        <f t="shared" si="16"/>
        <v>18</v>
      </c>
      <c r="B100" s="17"/>
      <c r="C100" s="29">
        <f t="shared" si="18"/>
        <v>99</v>
      </c>
      <c r="D100" s="29">
        <f>求节点(节奏总纲!$S$4:$S$113,节奏总纲!$O$4:$O$113,$C100)</f>
        <v>75.847892667718796</v>
      </c>
      <c r="E100" s="17"/>
      <c r="F100" s="29" t="s">
        <v>168</v>
      </c>
      <c r="G100" s="29" t="s">
        <v>168</v>
      </c>
      <c r="H100" s="29" t="s">
        <v>168</v>
      </c>
      <c r="I100" s="29" t="s">
        <v>168</v>
      </c>
      <c r="J100" s="29">
        <v>6</v>
      </c>
      <c r="K100" s="29" t="s">
        <v>168</v>
      </c>
      <c r="L100" s="29" t="s">
        <v>168</v>
      </c>
      <c r="M100" s="29" t="s">
        <v>168</v>
      </c>
      <c r="N100" s="29" t="str">
        <f>IF(I100="","",MIN(INT(C100/$C$90),武将升星!$G$14))</f>
        <v/>
      </c>
      <c r="O100" s="29">
        <v>6</v>
      </c>
      <c r="P100" s="29" t="str">
        <f>IF(U100="","",IFERROR(IFERROR(MATCH(U100,武将进阶!D$4:D$10,0),MATCH(U100,武将进阶!D$4:D$10,1)+1),1))</f>
        <v/>
      </c>
      <c r="Q100" s="29" t="str">
        <f>IF(V100="","",IFERROR(IFERROR(MATCH(V100,武将进阶!E$4:E$10,0),MATCH(V100,武将进阶!E$4:E$10,1)+1),1))</f>
        <v/>
      </c>
      <c r="R100" s="29" t="str">
        <f>IF(W100="","",IFERROR(IFERROR(MATCH(W100,武将进阶!F$4:F$10,0),MATCH(W100,武将进阶!F$4:F$10,1)+1),1))</f>
        <v/>
      </c>
      <c r="S100" s="29" t="str">
        <f>IF(X100="","",IFERROR(IFERROR(MATCH(X100,武将进阶!G$4:G$10,0),MATCH(X100,武将进阶!G$4:G$10,1)+1),1))</f>
        <v/>
      </c>
      <c r="T100" s="29">
        <f>IF(Y100="","",IFERROR(IFERROR(MATCH(Y100,武将进阶!H$4:H$10,0),MATCH(Y100,武将进阶!H$4:H$10,1)+1),1))</f>
        <v>2</v>
      </c>
      <c r="U100" s="29" t="str">
        <f t="shared" si="17"/>
        <v/>
      </c>
      <c r="V100" s="29" t="str">
        <f t="shared" si="17"/>
        <v/>
      </c>
      <c r="W100" s="29" t="str">
        <f t="shared" si="17"/>
        <v/>
      </c>
      <c r="X100" s="29" t="str">
        <f t="shared" si="17"/>
        <v/>
      </c>
      <c r="Y100" s="29">
        <f t="shared" si="17"/>
        <v>75</v>
      </c>
      <c r="Z100" s="20"/>
      <c r="AA100" s="20"/>
      <c r="AB100" s="20"/>
      <c r="AC100" s="20"/>
      <c r="AD100" s="20"/>
      <c r="AE100" s="33"/>
      <c r="AF100" s="33"/>
      <c r="AG100" s="33"/>
      <c r="AH100" s="33"/>
      <c r="AI100" s="33"/>
      <c r="AJ100" s="29"/>
      <c r="AK100" s="29"/>
      <c r="AL100" s="29"/>
      <c r="AM100" s="29"/>
      <c r="AN100" s="29"/>
      <c r="AO100" s="17"/>
      <c r="AP100" s="17"/>
      <c r="AR100" s="7"/>
      <c r="AT100" s="29"/>
      <c r="AU100" s="29"/>
      <c r="AV100" s="29">
        <v>42</v>
      </c>
      <c r="AW100" s="29">
        <v>32</v>
      </c>
      <c r="AX100" s="29">
        <v>24</v>
      </c>
      <c r="AY100" s="29"/>
      <c r="AZ100" s="29"/>
      <c r="BA100" s="29">
        <v>29</v>
      </c>
      <c r="BB100" s="29">
        <v>24</v>
      </c>
      <c r="BC100" s="29">
        <v>15</v>
      </c>
    </row>
    <row r="101" spans="1:55" x14ac:dyDescent="0.15">
      <c r="A101" s="7">
        <f t="shared" si="16"/>
        <v>19</v>
      </c>
      <c r="B101" s="17"/>
      <c r="C101" s="29">
        <f t="shared" si="18"/>
        <v>112.5</v>
      </c>
      <c r="D101" s="29">
        <f>求节点(节奏总纲!$S$4:$S$113,节奏总纲!$O$4:$O$113,$C101)</f>
        <v>77.655616323430237</v>
      </c>
      <c r="F101" s="29" t="s">
        <v>168</v>
      </c>
      <c r="G101" s="29" t="s">
        <v>168</v>
      </c>
      <c r="H101" s="29" t="s">
        <v>168</v>
      </c>
      <c r="I101" s="29" t="s">
        <v>168</v>
      </c>
      <c r="J101" s="29">
        <v>6</v>
      </c>
      <c r="K101" s="29" t="s">
        <v>168</v>
      </c>
      <c r="L101" s="29" t="s">
        <v>168</v>
      </c>
      <c r="M101" s="29" t="s">
        <v>168</v>
      </c>
      <c r="N101" s="29" t="str">
        <f>IF(I101="","",MIN(INT(C101/$C$90),武将升星!$G$14))</f>
        <v/>
      </c>
      <c r="O101" s="29">
        <v>7</v>
      </c>
      <c r="P101" s="29" t="str">
        <f>IF(U101="","",IFERROR(IFERROR(MATCH(U101,武将进阶!D$4:D$10,0),MATCH(U101,武将进阶!D$4:D$10,1)+1),1))</f>
        <v/>
      </c>
      <c r="Q101" s="29" t="str">
        <f>IF(V101="","",IFERROR(IFERROR(MATCH(V101,武将进阶!E$4:E$10,0),MATCH(V101,武将进阶!E$4:E$10,1)+1),1))</f>
        <v/>
      </c>
      <c r="R101" s="29" t="str">
        <f>IF(W101="","",IFERROR(IFERROR(MATCH(W101,武将进阶!F$4:F$10,0),MATCH(W101,武将进阶!F$4:F$10,1)+1),1))</f>
        <v/>
      </c>
      <c r="S101" s="29" t="str">
        <f>IF(X101="","",IFERROR(IFERROR(MATCH(X101,武将进阶!G$4:G$10,0),MATCH(X101,武将进阶!G$4:G$10,1)+1),1))</f>
        <v/>
      </c>
      <c r="T101" s="29">
        <f>IF(Y101="","",IFERROR(IFERROR(MATCH(Y101,武将进阶!H$4:H$10,0),MATCH(Y101,武将进阶!H$4:H$10,1)+1),1))</f>
        <v>2</v>
      </c>
      <c r="U101" s="29" t="str">
        <f t="shared" si="17"/>
        <v/>
      </c>
      <c r="V101" s="29" t="str">
        <f t="shared" si="17"/>
        <v/>
      </c>
      <c r="W101" s="29" t="str">
        <f t="shared" si="17"/>
        <v/>
      </c>
      <c r="X101" s="29" t="str">
        <f t="shared" si="17"/>
        <v/>
      </c>
      <c r="Y101" s="29">
        <f t="shared" si="17"/>
        <v>77</v>
      </c>
      <c r="Z101" s="20"/>
      <c r="AA101" s="20"/>
      <c r="AB101" s="20"/>
      <c r="AC101" s="20"/>
      <c r="AD101" s="20"/>
      <c r="AE101" s="33"/>
      <c r="AF101" s="33"/>
      <c r="AG101" s="33"/>
      <c r="AH101" s="33"/>
      <c r="AI101" s="33"/>
      <c r="AJ101" s="29"/>
      <c r="AK101" s="29"/>
      <c r="AL101" s="29"/>
      <c r="AM101" s="29"/>
      <c r="AN101" s="29"/>
      <c r="AO101" s="17"/>
      <c r="AP101" s="17"/>
      <c r="AR101" s="7"/>
      <c r="AT101" s="29"/>
      <c r="AU101" s="29"/>
      <c r="AV101" s="29">
        <v>48</v>
      </c>
      <c r="AW101" s="29">
        <v>36</v>
      </c>
      <c r="AX101" s="29">
        <v>30</v>
      </c>
      <c r="AY101" s="29"/>
      <c r="AZ101" s="29"/>
      <c r="BA101" s="29">
        <v>36</v>
      </c>
      <c r="BB101" s="29">
        <v>30</v>
      </c>
      <c r="BC101" s="29">
        <v>24</v>
      </c>
    </row>
    <row r="102" spans="1:55" x14ac:dyDescent="0.15">
      <c r="A102" s="7">
        <f t="shared" si="16"/>
        <v>20</v>
      </c>
      <c r="B102" s="17"/>
      <c r="C102" s="24">
        <f t="shared" ref="C102:AI102" si="19">C101</f>
        <v>112.5</v>
      </c>
      <c r="D102" s="24">
        <f t="shared" si="19"/>
        <v>77.655616323430237</v>
      </c>
      <c r="E102" s="24">
        <f t="shared" si="19"/>
        <v>0</v>
      </c>
      <c r="F102" s="24" t="str">
        <f t="shared" si="19"/>
        <v/>
      </c>
      <c r="G102" s="24" t="str">
        <f t="shared" si="19"/>
        <v/>
      </c>
      <c r="H102" s="24" t="str">
        <f t="shared" si="19"/>
        <v/>
      </c>
      <c r="I102" s="24" t="str">
        <f t="shared" si="19"/>
        <v/>
      </c>
      <c r="J102" s="24">
        <f t="shared" si="19"/>
        <v>6</v>
      </c>
      <c r="K102" s="24" t="str">
        <f t="shared" si="19"/>
        <v/>
      </c>
      <c r="L102" s="24" t="str">
        <f t="shared" si="19"/>
        <v/>
      </c>
      <c r="M102" s="24" t="str">
        <f t="shared" si="19"/>
        <v/>
      </c>
      <c r="N102" s="24" t="str">
        <f t="shared" si="19"/>
        <v/>
      </c>
      <c r="O102" s="24">
        <f t="shared" si="19"/>
        <v>7</v>
      </c>
      <c r="P102" s="24" t="str">
        <f t="shared" si="19"/>
        <v/>
      </c>
      <c r="Q102" s="24" t="str">
        <f t="shared" si="19"/>
        <v/>
      </c>
      <c r="R102" s="24" t="str">
        <f t="shared" si="19"/>
        <v/>
      </c>
      <c r="S102" s="24" t="str">
        <f t="shared" si="19"/>
        <v/>
      </c>
      <c r="T102" s="24">
        <f t="shared" si="19"/>
        <v>2</v>
      </c>
      <c r="U102" s="24" t="str">
        <f t="shared" si="19"/>
        <v/>
      </c>
      <c r="V102" s="24" t="str">
        <f t="shared" si="19"/>
        <v/>
      </c>
      <c r="W102" s="24" t="str">
        <f t="shared" si="19"/>
        <v/>
      </c>
      <c r="X102" s="24" t="str">
        <f t="shared" si="19"/>
        <v/>
      </c>
      <c r="Y102" s="24">
        <f t="shared" si="19"/>
        <v>77</v>
      </c>
      <c r="Z102" s="24">
        <f t="shared" si="19"/>
        <v>0</v>
      </c>
      <c r="AA102" s="24">
        <f t="shared" si="19"/>
        <v>0</v>
      </c>
      <c r="AB102" s="24">
        <f t="shared" si="19"/>
        <v>0</v>
      </c>
      <c r="AC102" s="24">
        <f t="shared" si="19"/>
        <v>0</v>
      </c>
      <c r="AD102" s="24">
        <f t="shared" si="19"/>
        <v>0</v>
      </c>
      <c r="AE102" s="24">
        <f t="shared" si="19"/>
        <v>0</v>
      </c>
      <c r="AF102" s="24">
        <f t="shared" si="19"/>
        <v>0</v>
      </c>
      <c r="AG102" s="24">
        <f t="shared" si="19"/>
        <v>0</v>
      </c>
      <c r="AH102" s="24">
        <f t="shared" si="19"/>
        <v>0</v>
      </c>
      <c r="AI102" s="24">
        <f t="shared" si="19"/>
        <v>0</v>
      </c>
      <c r="AJ102" s="24"/>
      <c r="AK102" s="24"/>
      <c r="AL102" s="24"/>
      <c r="AM102" s="24"/>
      <c r="AN102" s="24"/>
      <c r="AO102" s="24"/>
      <c r="AP102" s="24"/>
      <c r="AR102" s="7"/>
      <c r="AT102" s="29"/>
      <c r="AU102" s="29"/>
      <c r="AV102" s="29">
        <v>48</v>
      </c>
      <c r="AW102" s="29">
        <v>36</v>
      </c>
      <c r="AX102" s="29">
        <v>30</v>
      </c>
      <c r="AY102" s="29"/>
      <c r="AZ102" s="29"/>
      <c r="BA102" s="29">
        <v>36</v>
      </c>
      <c r="BB102" s="29">
        <v>30</v>
      </c>
      <c r="BC102" s="29">
        <v>24</v>
      </c>
    </row>
    <row r="103" spans="1:55" x14ac:dyDescent="0.15">
      <c r="A103" s="7">
        <f t="shared" si="16"/>
        <v>21</v>
      </c>
      <c r="B103" s="17"/>
      <c r="C103" s="17"/>
      <c r="D103" s="17"/>
      <c r="AR103" s="7"/>
    </row>
    <row r="104" spans="1:55" x14ac:dyDescent="0.15">
      <c r="A104" s="7">
        <f t="shared" si="16"/>
        <v>22</v>
      </c>
      <c r="AR104" s="7"/>
    </row>
    <row r="105" spans="1:55" x14ac:dyDescent="0.15">
      <c r="A105" s="7">
        <f t="shared" si="16"/>
        <v>23</v>
      </c>
      <c r="AR105" s="7"/>
    </row>
    <row r="106" spans="1:55" ht="13.5" customHeight="1" x14ac:dyDescent="0.15">
      <c r="A106" s="7">
        <v>1</v>
      </c>
      <c r="C106" s="160" t="s">
        <v>173</v>
      </c>
      <c r="D106" s="160"/>
      <c r="E106" s="17"/>
      <c r="F106" s="160" t="s">
        <v>178</v>
      </c>
      <c r="G106" s="160"/>
      <c r="H106" s="160"/>
      <c r="I106" s="160"/>
      <c r="J106" s="160"/>
      <c r="K106" s="160"/>
      <c r="L106" s="160"/>
      <c r="M106" s="160"/>
      <c r="N106" s="160"/>
      <c r="O106" s="160"/>
      <c r="P106" s="160"/>
      <c r="Q106" s="160"/>
      <c r="R106" s="160"/>
      <c r="S106" s="160"/>
      <c r="T106" s="160"/>
      <c r="U106" s="160"/>
      <c r="V106" s="160"/>
      <c r="W106" s="160"/>
      <c r="X106" s="160"/>
      <c r="Y106" s="160"/>
      <c r="Z106" s="160"/>
      <c r="AA106" s="160"/>
      <c r="AB106" s="160"/>
      <c r="AC106" s="160"/>
      <c r="AD106" s="160"/>
      <c r="AE106" s="160"/>
      <c r="AF106" s="160"/>
      <c r="AG106" s="160"/>
      <c r="AH106" s="160"/>
      <c r="AI106" s="160"/>
      <c r="AJ106" s="160"/>
      <c r="AK106" s="160"/>
      <c r="AL106" s="160"/>
      <c r="AM106" s="160"/>
      <c r="AN106" s="160"/>
      <c r="AO106" s="17"/>
      <c r="AP106" s="17"/>
      <c r="AQ106" s="17"/>
      <c r="AR106" s="7"/>
      <c r="AT106" s="159" t="s">
        <v>263</v>
      </c>
      <c r="AU106" s="159"/>
      <c r="AV106" s="159"/>
      <c r="AW106" s="159"/>
      <c r="AX106" s="159"/>
      <c r="AY106" s="159" t="s">
        <v>263</v>
      </c>
      <c r="AZ106" s="159"/>
      <c r="BA106" s="159"/>
      <c r="BB106" s="159"/>
      <c r="BC106" s="159"/>
    </row>
    <row r="107" spans="1:55" x14ac:dyDescent="0.15">
      <c r="A107" s="7">
        <f t="shared" ref="A107:A125" si="20">A106+1</f>
        <v>2</v>
      </c>
      <c r="C107" s="160"/>
      <c r="D107" s="160"/>
      <c r="E107" s="17"/>
      <c r="F107" s="160" t="s">
        <v>821</v>
      </c>
      <c r="G107" s="160"/>
      <c r="H107" s="160"/>
      <c r="I107" s="160"/>
      <c r="J107" s="160"/>
      <c r="K107" s="160" t="s">
        <v>150</v>
      </c>
      <c r="L107" s="160"/>
      <c r="M107" s="160"/>
      <c r="N107" s="160"/>
      <c r="O107" s="160"/>
      <c r="P107" s="160" t="s">
        <v>177</v>
      </c>
      <c r="Q107" s="160"/>
      <c r="R107" s="160"/>
      <c r="S107" s="160"/>
      <c r="T107" s="160"/>
      <c r="U107" s="160" t="s">
        <v>151</v>
      </c>
      <c r="V107" s="160"/>
      <c r="W107" s="160"/>
      <c r="X107" s="160"/>
      <c r="Y107" s="160"/>
      <c r="Z107" s="161"/>
      <c r="AA107" s="162"/>
      <c r="AB107" s="162"/>
      <c r="AC107" s="162"/>
      <c r="AD107" s="163"/>
      <c r="AE107" s="161"/>
      <c r="AF107" s="162"/>
      <c r="AG107" s="162"/>
      <c r="AH107" s="162"/>
      <c r="AI107" s="163"/>
      <c r="AJ107" s="160"/>
      <c r="AK107" s="160"/>
      <c r="AL107" s="160"/>
      <c r="AM107" s="160"/>
      <c r="AN107" s="160"/>
      <c r="AO107" s="17"/>
      <c r="AP107" s="17"/>
      <c r="AQ107" s="17"/>
      <c r="AR107" s="7"/>
      <c r="AT107" s="160" t="s">
        <v>264</v>
      </c>
      <c r="AU107" s="160"/>
      <c r="AV107" s="160"/>
      <c r="AW107" s="160"/>
      <c r="AX107" s="160"/>
      <c r="AY107" s="160" t="s">
        <v>265</v>
      </c>
      <c r="AZ107" s="160"/>
      <c r="BA107" s="160"/>
      <c r="BB107" s="160"/>
      <c r="BC107" s="160"/>
    </row>
    <row r="108" spans="1:55" x14ac:dyDescent="0.15">
      <c r="A108" s="7">
        <f t="shared" si="20"/>
        <v>3</v>
      </c>
      <c r="C108" s="29" t="s">
        <v>170</v>
      </c>
      <c r="D108" s="29" t="s">
        <v>484</v>
      </c>
      <c r="E108" s="17"/>
      <c r="F108" s="29" t="s">
        <v>3</v>
      </c>
      <c r="G108" s="29" t="s">
        <v>1</v>
      </c>
      <c r="H108" s="29" t="s">
        <v>2</v>
      </c>
      <c r="I108" s="29" t="s">
        <v>0</v>
      </c>
      <c r="J108" s="29" t="s">
        <v>545</v>
      </c>
      <c r="K108" s="29" t="s">
        <v>3</v>
      </c>
      <c r="L108" s="29" t="s">
        <v>1</v>
      </c>
      <c r="M108" s="29" t="s">
        <v>2</v>
      </c>
      <c r="N108" s="29" t="s">
        <v>0</v>
      </c>
      <c r="O108" s="29" t="s">
        <v>545</v>
      </c>
      <c r="P108" s="29" t="s">
        <v>3</v>
      </c>
      <c r="Q108" s="29" t="s">
        <v>1</v>
      </c>
      <c r="R108" s="29" t="s">
        <v>2</v>
      </c>
      <c r="S108" s="29" t="s">
        <v>0</v>
      </c>
      <c r="T108" s="29" t="s">
        <v>545</v>
      </c>
      <c r="U108" s="29" t="s">
        <v>3</v>
      </c>
      <c r="V108" s="29" t="s">
        <v>1</v>
      </c>
      <c r="W108" s="29" t="s">
        <v>2</v>
      </c>
      <c r="X108" s="29" t="s">
        <v>0</v>
      </c>
      <c r="Y108" s="29" t="s">
        <v>545</v>
      </c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17"/>
      <c r="AP108" s="17"/>
      <c r="AQ108" s="17"/>
      <c r="AR108" s="7"/>
      <c r="AT108" s="29" t="s">
        <v>3</v>
      </c>
      <c r="AU108" s="29" t="s">
        <v>1</v>
      </c>
      <c r="AV108" s="29" t="s">
        <v>2</v>
      </c>
      <c r="AW108" s="29" t="s">
        <v>0</v>
      </c>
      <c r="AX108" s="29" t="s">
        <v>545</v>
      </c>
      <c r="AY108" s="29" t="s">
        <v>3</v>
      </c>
      <c r="AZ108" s="29" t="s">
        <v>1</v>
      </c>
      <c r="BA108" s="29" t="s">
        <v>2</v>
      </c>
      <c r="BB108" s="29" t="s">
        <v>0</v>
      </c>
      <c r="BC108" s="29" t="s">
        <v>545</v>
      </c>
    </row>
    <row r="109" spans="1:55" x14ac:dyDescent="0.15">
      <c r="A109" s="7">
        <f t="shared" si="20"/>
        <v>4</v>
      </c>
      <c r="B109" s="17">
        <f>1/25</f>
        <v>0.04</v>
      </c>
      <c r="C109" s="29">
        <f>C17*B109</f>
        <v>0.03</v>
      </c>
      <c r="D109" s="29">
        <f>求节点(节奏总纲!$T$4:$T$113,节奏总纲!$O$4:$O$113,$C109)</f>
        <v>1.6465506273391022</v>
      </c>
      <c r="E109" s="17"/>
      <c r="F109" s="29" t="s">
        <v>168</v>
      </c>
      <c r="G109" s="29">
        <v>1</v>
      </c>
      <c r="H109" s="29">
        <v>2</v>
      </c>
      <c r="I109" s="29">
        <v>2</v>
      </c>
      <c r="J109" s="29">
        <v>1</v>
      </c>
      <c r="K109" s="29" t="s">
        <v>168</v>
      </c>
      <c r="L109" s="29">
        <v>0</v>
      </c>
      <c r="M109" s="29">
        <v>0</v>
      </c>
      <c r="N109" s="29">
        <f>IF(I109="","",MIN(INT(C109/$C$113),武将升星!$G$14))</f>
        <v>0</v>
      </c>
      <c r="O109" s="29">
        <v>0</v>
      </c>
      <c r="P109" s="29" t="str">
        <f>IF(U109="","",IFERROR(IFERROR(MATCH(U109,武将进阶!D$4:D$10,0),MATCH(U109,武将进阶!D$4:D$10,1)+1),1))</f>
        <v/>
      </c>
      <c r="Q109" s="29">
        <f>IF(V109="","",IFERROR(IFERROR(MATCH(V109,武将进阶!E$4:E$10,0),MATCH(V109,武将进阶!E$4:E$10,1)+1),1))</f>
        <v>1</v>
      </c>
      <c r="R109" s="29">
        <f>IF(W109="","",IFERROR(IFERROR(MATCH(W109,武将进阶!F$4:F$10,0),MATCH(W109,武将进阶!F$4:F$10,1)+1),1))</f>
        <v>1</v>
      </c>
      <c r="S109" s="29">
        <f>IF(X109="","",IFERROR(IFERROR(MATCH(X109,武将进阶!G$4:G$10,0),MATCH(X109,武将进阶!G$4:G$10,1)+1),1))</f>
        <v>1</v>
      </c>
      <c r="T109" s="29">
        <f>IF(Y109="","",IFERROR(IFERROR(MATCH(Y109,武将进阶!H$4:H$10,0),MATCH(Y109,武将进阶!H$4:H$10,1)+1),1))</f>
        <v>1</v>
      </c>
      <c r="U109" s="29" t="str">
        <f t="shared" ref="U109:Y125" si="21">IF(F109="","",INT($D109))</f>
        <v/>
      </c>
      <c r="V109" s="29">
        <f t="shared" si="21"/>
        <v>1</v>
      </c>
      <c r="W109" s="29">
        <f t="shared" si="21"/>
        <v>1</v>
      </c>
      <c r="X109" s="29">
        <f t="shared" si="21"/>
        <v>1</v>
      </c>
      <c r="Y109" s="29">
        <f t="shared" si="21"/>
        <v>1</v>
      </c>
      <c r="Z109" s="20"/>
      <c r="AA109" s="20"/>
      <c r="AB109" s="20"/>
      <c r="AC109" s="20"/>
      <c r="AD109" s="20"/>
      <c r="AE109" s="33"/>
      <c r="AF109" s="33"/>
      <c r="AG109" s="33"/>
      <c r="AH109" s="33"/>
      <c r="AI109" s="33"/>
      <c r="AJ109" s="29"/>
      <c r="AK109" s="29"/>
      <c r="AL109" s="29"/>
      <c r="AM109" s="29"/>
      <c r="AN109" s="29"/>
      <c r="AO109" s="17"/>
      <c r="AP109" s="17"/>
      <c r="AQ109" s="17"/>
      <c r="AR109" s="7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</row>
    <row r="110" spans="1:55" x14ac:dyDescent="0.15">
      <c r="A110" s="7">
        <f t="shared" si="20"/>
        <v>5</v>
      </c>
      <c r="B110" s="17">
        <f>1/25</f>
        <v>0.04</v>
      </c>
      <c r="C110" s="29">
        <f>C18*B110</f>
        <v>0.06</v>
      </c>
      <c r="D110" s="29">
        <f>求节点(节奏总纲!$T$4:$T$113,节奏总纲!$O$4:$O$113,$C110)</f>
        <v>3.0250794895279145</v>
      </c>
      <c r="E110" s="17"/>
      <c r="F110" s="29" t="s">
        <v>168</v>
      </c>
      <c r="G110" s="29"/>
      <c r="H110" s="29">
        <v>2</v>
      </c>
      <c r="I110" s="29">
        <v>3</v>
      </c>
      <c r="J110" s="29">
        <v>1</v>
      </c>
      <c r="K110" s="29" t="s">
        <v>168</v>
      </c>
      <c r="L110" s="29" t="s">
        <v>168</v>
      </c>
      <c r="M110" s="29">
        <v>0</v>
      </c>
      <c r="N110" s="29">
        <f>IF(I110="","",MIN(INT(C110/$C$113),武将升星!$G$14))</f>
        <v>0</v>
      </c>
      <c r="O110" s="29">
        <v>0</v>
      </c>
      <c r="P110" s="29" t="str">
        <f>IF(U110="","",IFERROR(IFERROR(MATCH(U110,武将进阶!D$4:D$10,0),MATCH(U110,武将进阶!D$4:D$10,1)+1),1))</f>
        <v/>
      </c>
      <c r="Q110" s="29" t="str">
        <f>IF(V110="","",IFERROR(IFERROR(MATCH(V110,武将进阶!E$4:E$10,0),MATCH(V110,武将进阶!E$4:E$10,1)+1),1))</f>
        <v/>
      </c>
      <c r="R110" s="29">
        <f>IF(W110="","",IFERROR(IFERROR(MATCH(W110,武将进阶!F$4:F$10,0),MATCH(W110,武将进阶!F$4:F$10,1)+1),1))</f>
        <v>1</v>
      </c>
      <c r="S110" s="29">
        <f>IF(X110="","",IFERROR(IFERROR(MATCH(X110,武将进阶!G$4:G$10,0),MATCH(X110,武将进阶!G$4:G$10,1)+1),1))</f>
        <v>1</v>
      </c>
      <c r="T110" s="29">
        <f>IF(Y110="","",IFERROR(IFERROR(MATCH(Y110,武将进阶!H$4:H$10,0),MATCH(Y110,武将进阶!H$4:H$10,1)+1),1))</f>
        <v>1</v>
      </c>
      <c r="U110" s="29" t="str">
        <f t="shared" si="21"/>
        <v/>
      </c>
      <c r="V110" s="29" t="str">
        <f t="shared" si="21"/>
        <v/>
      </c>
      <c r="W110" s="29">
        <f t="shared" si="21"/>
        <v>3</v>
      </c>
      <c r="X110" s="29">
        <f t="shared" si="21"/>
        <v>3</v>
      </c>
      <c r="Y110" s="29">
        <f t="shared" si="21"/>
        <v>3</v>
      </c>
      <c r="Z110" s="20"/>
      <c r="AA110" s="20"/>
      <c r="AB110" s="20"/>
      <c r="AC110" s="20"/>
      <c r="AD110" s="20"/>
      <c r="AE110" s="33"/>
      <c r="AF110" s="33"/>
      <c r="AG110" s="33"/>
      <c r="AH110" s="33"/>
      <c r="AI110" s="33"/>
      <c r="AJ110" s="29"/>
      <c r="AK110" s="29"/>
      <c r="AL110" s="29"/>
      <c r="AM110" s="29"/>
      <c r="AN110" s="29"/>
      <c r="AO110" s="17"/>
      <c r="AP110" s="17"/>
      <c r="AQ110" s="17"/>
      <c r="AR110" s="7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</row>
    <row r="111" spans="1:55" x14ac:dyDescent="0.15">
      <c r="A111" s="7">
        <f t="shared" si="20"/>
        <v>6</v>
      </c>
      <c r="B111" s="17">
        <f>1/25</f>
        <v>0.04</v>
      </c>
      <c r="C111" s="29">
        <f>C19*B111</f>
        <v>0.12</v>
      </c>
      <c r="D111" s="29">
        <f>求节点(节奏总纲!$T$4:$T$113,节奏总纲!$O$4:$O$113,$C111)</f>
        <v>5.3633417845674431</v>
      </c>
      <c r="E111" s="17"/>
      <c r="F111" s="29" t="s">
        <v>168</v>
      </c>
      <c r="G111" s="29" t="s">
        <v>168</v>
      </c>
      <c r="H111" s="29">
        <v>1</v>
      </c>
      <c r="I111" s="29">
        <v>4</v>
      </c>
      <c r="J111" s="29">
        <v>1</v>
      </c>
      <c r="K111" s="29" t="s">
        <v>168</v>
      </c>
      <c r="L111" s="29" t="s">
        <v>168</v>
      </c>
      <c r="M111" s="29">
        <v>0</v>
      </c>
      <c r="N111" s="29">
        <f>IF(I111="","",MIN(INT(C111/$C$113),武将升星!$G$14))</f>
        <v>0</v>
      </c>
      <c r="O111" s="29">
        <v>0</v>
      </c>
      <c r="P111" s="29" t="str">
        <f>IF(U111="","",IFERROR(IFERROR(MATCH(U111,武将进阶!D$4:D$10,0),MATCH(U111,武将进阶!D$4:D$10,1)+1),1))</f>
        <v/>
      </c>
      <c r="Q111" s="29" t="str">
        <f>IF(V111="","",IFERROR(IFERROR(MATCH(V111,武将进阶!E$4:E$10,0),MATCH(V111,武将进阶!E$4:E$10,1)+1),1))</f>
        <v/>
      </c>
      <c r="R111" s="29">
        <f>IF(W111="","",IFERROR(IFERROR(MATCH(W111,武将进阶!F$4:F$10,0),MATCH(W111,武将进阶!F$4:F$10,1)+1),1))</f>
        <v>1</v>
      </c>
      <c r="S111" s="29">
        <f>IF(X111="","",IFERROR(IFERROR(MATCH(X111,武将进阶!G$4:G$10,0),MATCH(X111,武将进阶!G$4:G$10,1)+1),1))</f>
        <v>1</v>
      </c>
      <c r="T111" s="29">
        <f>IF(Y111="","",IFERROR(IFERROR(MATCH(Y111,武将进阶!H$4:H$10,0),MATCH(Y111,武将进阶!H$4:H$10,1)+1),1))</f>
        <v>1</v>
      </c>
      <c r="U111" s="29" t="str">
        <f t="shared" si="21"/>
        <v/>
      </c>
      <c r="V111" s="29" t="str">
        <f t="shared" si="21"/>
        <v/>
      </c>
      <c r="W111" s="29">
        <f t="shared" si="21"/>
        <v>5</v>
      </c>
      <c r="X111" s="29">
        <f t="shared" si="21"/>
        <v>5</v>
      </c>
      <c r="Y111" s="29">
        <f t="shared" si="21"/>
        <v>5</v>
      </c>
      <c r="Z111" s="20"/>
      <c r="AA111" s="20"/>
      <c r="AB111" s="20"/>
      <c r="AC111" s="20"/>
      <c r="AD111" s="20"/>
      <c r="AE111" s="33"/>
      <c r="AF111" s="33"/>
      <c r="AG111" s="33"/>
      <c r="AH111" s="33"/>
      <c r="AI111" s="33"/>
      <c r="AJ111" s="29"/>
      <c r="AK111" s="29"/>
      <c r="AL111" s="29"/>
      <c r="AM111" s="29"/>
      <c r="AN111" s="29"/>
      <c r="AO111" s="17"/>
      <c r="AP111" s="17"/>
      <c r="AQ111" s="17"/>
      <c r="AR111" s="7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</row>
    <row r="112" spans="1:55" x14ac:dyDescent="0.15">
      <c r="A112" s="7">
        <f t="shared" si="20"/>
        <v>7</v>
      </c>
      <c r="B112" s="17">
        <f>1/25</f>
        <v>0.04</v>
      </c>
      <c r="C112" s="29">
        <f>C20*B112</f>
        <v>0.18</v>
      </c>
      <c r="D112" s="29">
        <f>求节点(节奏总纲!$T$4:$T$113,节奏总纲!$O$4:$O$113,$C112)</f>
        <v>7.4515471316834407</v>
      </c>
      <c r="E112" s="17"/>
      <c r="F112" s="29" t="s">
        <v>168</v>
      </c>
      <c r="G112" s="29" t="s">
        <v>168</v>
      </c>
      <c r="H112" s="29"/>
      <c r="I112" s="29">
        <v>5</v>
      </c>
      <c r="J112" s="29">
        <v>1</v>
      </c>
      <c r="K112" s="29" t="s">
        <v>168</v>
      </c>
      <c r="L112" s="29" t="s">
        <v>168</v>
      </c>
      <c r="M112" s="29"/>
      <c r="N112" s="29">
        <f>IF(I112="","",MIN(INT(C112/$C$113),武将升星!$G$14))</f>
        <v>0</v>
      </c>
      <c r="O112" s="29">
        <v>0</v>
      </c>
      <c r="P112" s="29" t="str">
        <f>IF(U112="","",IFERROR(IFERROR(MATCH(U112,武将进阶!D$4:D$10,0),MATCH(U112,武将进阶!D$4:D$10,1)+1),1))</f>
        <v/>
      </c>
      <c r="Q112" s="29" t="str">
        <f>IF(V112="","",IFERROR(IFERROR(MATCH(V112,武将进阶!E$4:E$10,0),MATCH(V112,武将进阶!E$4:E$10,1)+1),1))</f>
        <v/>
      </c>
      <c r="R112" s="29" t="str">
        <f>IF(W112="","",IFERROR(IFERROR(MATCH(W112,武将进阶!F$4:F$10,0),MATCH(W112,武将进阶!F$4:F$10,1)+1),1))</f>
        <v/>
      </c>
      <c r="S112" s="29">
        <f>IF(X112="","",IFERROR(IFERROR(MATCH(X112,武将进阶!G$4:G$10,0),MATCH(X112,武将进阶!G$4:G$10,1)+1),1))</f>
        <v>1</v>
      </c>
      <c r="T112" s="29">
        <f>IF(Y112="","",IFERROR(IFERROR(MATCH(Y112,武将进阶!H$4:H$10,0),MATCH(Y112,武将进阶!H$4:H$10,1)+1),1))</f>
        <v>1</v>
      </c>
      <c r="U112" s="29" t="str">
        <f t="shared" si="21"/>
        <v/>
      </c>
      <c r="V112" s="29" t="str">
        <f t="shared" si="21"/>
        <v/>
      </c>
      <c r="W112" s="29" t="str">
        <f t="shared" si="21"/>
        <v/>
      </c>
      <c r="X112" s="29">
        <f t="shared" si="21"/>
        <v>7</v>
      </c>
      <c r="Y112" s="29">
        <f t="shared" si="21"/>
        <v>7</v>
      </c>
      <c r="Z112" s="20"/>
      <c r="AA112" s="20"/>
      <c r="AB112" s="20"/>
      <c r="AC112" s="20"/>
      <c r="AD112" s="20"/>
      <c r="AE112" s="33"/>
      <c r="AF112" s="33"/>
      <c r="AG112" s="33"/>
      <c r="AH112" s="33"/>
      <c r="AI112" s="33"/>
      <c r="AJ112" s="29"/>
      <c r="AK112" s="29"/>
      <c r="AL112" s="29"/>
      <c r="AM112" s="29"/>
      <c r="AN112" s="29"/>
      <c r="AO112" s="17"/>
      <c r="AP112" s="17"/>
      <c r="AQ112" s="17"/>
      <c r="AR112" s="7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</row>
    <row r="113" spans="1:55" x14ac:dyDescent="0.15">
      <c r="A113" s="7">
        <f t="shared" si="20"/>
        <v>8</v>
      </c>
      <c r="B113" s="17">
        <f>1/25</f>
        <v>0.04</v>
      </c>
      <c r="C113" s="29">
        <f>30*B113</f>
        <v>1.2</v>
      </c>
      <c r="D113" s="29">
        <f>求节点(节奏总纲!$T$4:$T$113,节奏总纲!$O$4:$O$113,$C113)</f>
        <v>23.360786327608999</v>
      </c>
      <c r="E113" s="17"/>
      <c r="F113" s="29" t="s">
        <v>168</v>
      </c>
      <c r="G113" s="29" t="s">
        <v>168</v>
      </c>
      <c r="H113" s="29"/>
      <c r="I113" s="29">
        <v>5</v>
      </c>
      <c r="J113" s="29">
        <v>1</v>
      </c>
      <c r="K113" s="29" t="s">
        <v>168</v>
      </c>
      <c r="L113" s="29" t="s">
        <v>168</v>
      </c>
      <c r="M113" s="29" t="s">
        <v>168</v>
      </c>
      <c r="N113" s="29">
        <f>IF(I113="","",MIN(INT(C113/$C$113),武将升星!$G$14))</f>
        <v>1</v>
      </c>
      <c r="O113" s="29">
        <v>0</v>
      </c>
      <c r="P113" s="29" t="str">
        <f>IF(U113="","",IFERROR(IFERROR(MATCH(U113,武将进阶!D$4:D$10,0),MATCH(U113,武将进阶!D$4:D$10,1)+1),1))</f>
        <v/>
      </c>
      <c r="Q113" s="29" t="str">
        <f>IF(V113="","",IFERROR(IFERROR(MATCH(V113,武将进阶!E$4:E$10,0),MATCH(V113,武将进阶!E$4:E$10,1)+1),1))</f>
        <v/>
      </c>
      <c r="R113" s="29" t="str">
        <f>IF(W113="","",IFERROR(IFERROR(MATCH(W113,武将进阶!F$4:F$10,0),MATCH(W113,武将进阶!F$4:F$10,1)+1),1))</f>
        <v/>
      </c>
      <c r="S113" s="29">
        <f>IF(X113="","",IFERROR(IFERROR(MATCH(X113,武将进阶!G$4:G$10,0),MATCH(X113,武将进阶!G$4:G$10,1)+1),1))</f>
        <v>1</v>
      </c>
      <c r="T113" s="29">
        <f>IF(Y113="","",IFERROR(IFERROR(MATCH(Y113,武将进阶!H$4:H$10,0),MATCH(Y113,武将进阶!H$4:H$10,1)+1),1))</f>
        <v>1</v>
      </c>
      <c r="U113" s="29" t="str">
        <f t="shared" si="21"/>
        <v/>
      </c>
      <c r="V113" s="29" t="str">
        <f t="shared" si="21"/>
        <v/>
      </c>
      <c r="W113" s="29" t="str">
        <f t="shared" si="21"/>
        <v/>
      </c>
      <c r="X113" s="29">
        <f t="shared" si="21"/>
        <v>23</v>
      </c>
      <c r="Y113" s="29">
        <f t="shared" si="21"/>
        <v>23</v>
      </c>
      <c r="Z113" s="20"/>
      <c r="AA113" s="20"/>
      <c r="AB113" s="20"/>
      <c r="AC113" s="20"/>
      <c r="AD113" s="20"/>
      <c r="AE113" s="33"/>
      <c r="AF113" s="33"/>
      <c r="AG113" s="33"/>
      <c r="AH113" s="33"/>
      <c r="AI113" s="33"/>
      <c r="AJ113" s="29"/>
      <c r="AK113" s="29"/>
      <c r="AL113" s="29"/>
      <c r="AM113" s="29"/>
      <c r="AN113" s="29"/>
      <c r="AO113" s="17"/>
      <c r="AP113" s="17"/>
      <c r="AQ113" s="17"/>
      <c r="AR113" s="7"/>
      <c r="AT113" s="29"/>
      <c r="AU113" s="29"/>
      <c r="AV113" s="29">
        <v>1</v>
      </c>
      <c r="AW113" s="29">
        <v>1</v>
      </c>
      <c r="AX113" s="29"/>
      <c r="AY113" s="29"/>
      <c r="AZ113" s="29"/>
      <c r="BA113" s="29"/>
      <c r="BB113" s="29"/>
      <c r="BC113" s="29"/>
    </row>
    <row r="114" spans="1:55" x14ac:dyDescent="0.15">
      <c r="A114" s="7">
        <f t="shared" si="20"/>
        <v>9</v>
      </c>
      <c r="B114" s="17"/>
      <c r="C114" s="29">
        <f>C113+1.2</f>
        <v>2.4</v>
      </c>
      <c r="D114" s="29">
        <f>求节点(节奏总纲!$T$4:$T$113,节奏总纲!$O$4:$O$113,$C114)</f>
        <v>31.651589578078251</v>
      </c>
      <c r="F114" s="29" t="s">
        <v>168</v>
      </c>
      <c r="G114" s="29" t="s">
        <v>168</v>
      </c>
      <c r="H114" s="29" t="s">
        <v>168</v>
      </c>
      <c r="I114" s="29">
        <v>5</v>
      </c>
      <c r="J114" s="29">
        <v>1</v>
      </c>
      <c r="K114" s="29" t="s">
        <v>168</v>
      </c>
      <c r="L114" s="29" t="s">
        <v>168</v>
      </c>
      <c r="M114" s="29" t="s">
        <v>168</v>
      </c>
      <c r="N114" s="29">
        <f>IF(I114="","",MIN(INT(C114/$C$113),武将升星!$G$14))</f>
        <v>2</v>
      </c>
      <c r="O114" s="29">
        <v>0</v>
      </c>
      <c r="P114" s="29" t="str">
        <f>IF(U114="","",IFERROR(IFERROR(MATCH(U114,武将进阶!D$4:D$10,0),MATCH(U114,武将进阶!D$4:D$10,1)+1),1))</f>
        <v/>
      </c>
      <c r="Q114" s="29" t="str">
        <f>IF(V114="","",IFERROR(IFERROR(MATCH(V114,武将进阶!E$4:E$10,0),MATCH(V114,武将进阶!E$4:E$10,1)+1),1))</f>
        <v/>
      </c>
      <c r="R114" s="29" t="str">
        <f>IF(W114="","",IFERROR(IFERROR(MATCH(W114,武将进阶!F$4:F$10,0),MATCH(W114,武将进阶!F$4:F$10,1)+1),1))</f>
        <v/>
      </c>
      <c r="S114" s="29">
        <f>IF(X114="","",IFERROR(IFERROR(MATCH(X114,武将进阶!G$4:G$10,0),MATCH(X114,武将进阶!G$4:G$10,1)+1),1))</f>
        <v>1</v>
      </c>
      <c r="T114" s="29">
        <f>IF(Y114="","",IFERROR(IFERROR(MATCH(Y114,武将进阶!H$4:H$10,0),MATCH(Y114,武将进阶!H$4:H$10,1)+1),1))</f>
        <v>1</v>
      </c>
      <c r="U114" s="29" t="str">
        <f t="shared" si="21"/>
        <v/>
      </c>
      <c r="V114" s="29" t="str">
        <f t="shared" si="21"/>
        <v/>
      </c>
      <c r="W114" s="29" t="str">
        <f t="shared" si="21"/>
        <v/>
      </c>
      <c r="X114" s="29">
        <f t="shared" si="21"/>
        <v>31</v>
      </c>
      <c r="Y114" s="29">
        <f t="shared" si="21"/>
        <v>31</v>
      </c>
      <c r="Z114" s="20"/>
      <c r="AA114" s="20"/>
      <c r="AB114" s="20"/>
      <c r="AC114" s="20"/>
      <c r="AD114" s="20"/>
      <c r="AE114" s="33"/>
      <c r="AF114" s="33"/>
      <c r="AG114" s="33"/>
      <c r="AH114" s="33"/>
      <c r="AI114" s="33"/>
      <c r="AJ114" s="29"/>
      <c r="AK114" s="29"/>
      <c r="AL114" s="29"/>
      <c r="AM114" s="29"/>
      <c r="AN114" s="29"/>
      <c r="AO114" s="17"/>
      <c r="AP114" s="17"/>
      <c r="AR114" s="7"/>
      <c r="AT114" s="29"/>
      <c r="AU114" s="29"/>
      <c r="AV114" s="29">
        <v>2</v>
      </c>
      <c r="AW114" s="29">
        <v>2</v>
      </c>
      <c r="AX114" s="29"/>
      <c r="AY114" s="29"/>
      <c r="AZ114" s="29"/>
      <c r="BA114" s="29"/>
      <c r="BB114" s="29"/>
      <c r="BC114" s="29"/>
    </row>
    <row r="115" spans="1:55" x14ac:dyDescent="0.15">
      <c r="A115" s="7">
        <f t="shared" si="20"/>
        <v>10</v>
      </c>
      <c r="B115" s="17"/>
      <c r="C115" s="29">
        <f>C114+1.2</f>
        <v>3.5999999999999996</v>
      </c>
      <c r="D115" s="29">
        <f>求节点(节奏总纲!$T$4:$T$113,节奏总纲!$O$4:$O$113,$C115)</f>
        <v>36.999957476084475</v>
      </c>
      <c r="F115" s="29" t="s">
        <v>168</v>
      </c>
      <c r="G115" s="29" t="s">
        <v>168</v>
      </c>
      <c r="H115" s="29" t="s">
        <v>168</v>
      </c>
      <c r="I115" s="29">
        <v>5</v>
      </c>
      <c r="J115" s="29">
        <v>1</v>
      </c>
      <c r="K115" s="29" t="s">
        <v>168</v>
      </c>
      <c r="L115" s="29" t="s">
        <v>168</v>
      </c>
      <c r="M115" s="29" t="s">
        <v>168</v>
      </c>
      <c r="N115" s="29">
        <v>2</v>
      </c>
      <c r="O115" s="29">
        <v>0</v>
      </c>
      <c r="P115" s="29" t="str">
        <f>IF(U115="","",IFERROR(IFERROR(MATCH(U115,武将进阶!D$4:D$10,0),MATCH(U115,武将进阶!D$4:D$10,1)+1),1))</f>
        <v/>
      </c>
      <c r="Q115" s="29" t="str">
        <f>IF(V115="","",IFERROR(IFERROR(MATCH(V115,武将进阶!E$4:E$10,0),MATCH(V115,武将进阶!E$4:E$10,1)+1),1))</f>
        <v/>
      </c>
      <c r="R115" s="29" t="str">
        <f>IF(W115="","",IFERROR(IFERROR(MATCH(W115,武将进阶!F$4:F$10,0),MATCH(W115,武将进阶!F$4:F$10,1)+1),1))</f>
        <v/>
      </c>
      <c r="S115" s="29">
        <f>IF(X115="","",IFERROR(IFERROR(MATCH(X115,武将进阶!G$4:G$10,0),MATCH(X115,武将进阶!G$4:G$10,1)+1),1))</f>
        <v>1</v>
      </c>
      <c r="T115" s="29">
        <f>IF(Y115="","",IFERROR(IFERROR(MATCH(Y115,武将进阶!H$4:H$10,0),MATCH(Y115,武将进阶!H$4:H$10,1)+1),1))</f>
        <v>1</v>
      </c>
      <c r="U115" s="29" t="str">
        <f t="shared" si="21"/>
        <v/>
      </c>
      <c r="V115" s="29" t="str">
        <f t="shared" si="21"/>
        <v/>
      </c>
      <c r="W115" s="29" t="str">
        <f t="shared" si="21"/>
        <v/>
      </c>
      <c r="X115" s="29">
        <f t="shared" si="21"/>
        <v>36</v>
      </c>
      <c r="Y115" s="29">
        <f t="shared" si="21"/>
        <v>36</v>
      </c>
      <c r="Z115" s="20"/>
      <c r="AA115" s="20"/>
      <c r="AB115" s="20"/>
      <c r="AC115" s="20"/>
      <c r="AD115" s="20"/>
      <c r="AE115" s="33"/>
      <c r="AF115" s="33"/>
      <c r="AG115" s="33"/>
      <c r="AH115" s="33"/>
      <c r="AI115" s="33"/>
      <c r="AJ115" s="29"/>
      <c r="AK115" s="29"/>
      <c r="AL115" s="29"/>
      <c r="AM115" s="29"/>
      <c r="AN115" s="29"/>
      <c r="AO115" s="17"/>
      <c r="AP115" s="17"/>
      <c r="AR115" s="7"/>
      <c r="AT115" s="29"/>
      <c r="AU115" s="29"/>
      <c r="AV115" s="29">
        <v>3</v>
      </c>
      <c r="AW115" s="29">
        <v>3</v>
      </c>
      <c r="AX115" s="29">
        <v>1</v>
      </c>
      <c r="AY115" s="29"/>
      <c r="AZ115" s="29"/>
      <c r="BA115" s="29"/>
      <c r="BB115" s="29"/>
      <c r="BC115" s="29"/>
    </row>
    <row r="116" spans="1:55" x14ac:dyDescent="0.15">
      <c r="A116" s="7">
        <f t="shared" si="20"/>
        <v>11</v>
      </c>
      <c r="B116" s="17"/>
      <c r="C116" s="29">
        <f>C115+1.2</f>
        <v>4.8</v>
      </c>
      <c r="D116" s="29">
        <f>求节点(节奏总纲!$T$4:$T$113,节奏总纲!$O$4:$O$113,$C116)</f>
        <v>40.831806055217839</v>
      </c>
      <c r="F116" s="29" t="s">
        <v>168</v>
      </c>
      <c r="G116" s="29" t="s">
        <v>168</v>
      </c>
      <c r="H116" s="29" t="s">
        <v>168</v>
      </c>
      <c r="I116" s="29">
        <v>5</v>
      </c>
      <c r="J116" s="29">
        <v>1</v>
      </c>
      <c r="K116" s="29" t="s">
        <v>168</v>
      </c>
      <c r="L116" s="29" t="s">
        <v>168</v>
      </c>
      <c r="M116" s="29" t="s">
        <v>168</v>
      </c>
      <c r="N116" s="29">
        <v>3</v>
      </c>
      <c r="O116" s="29">
        <v>0</v>
      </c>
      <c r="P116" s="29" t="str">
        <f>IF(U116="","",IFERROR(IFERROR(MATCH(U116,武将进阶!D$4:D$10,0),MATCH(U116,武将进阶!D$4:D$10,1)+1),1))</f>
        <v/>
      </c>
      <c r="Q116" s="29" t="str">
        <f>IF(V116="","",IFERROR(IFERROR(MATCH(V116,武将进阶!E$4:E$10,0),MATCH(V116,武将进阶!E$4:E$10,1)+1),1))</f>
        <v/>
      </c>
      <c r="R116" s="29" t="str">
        <f>IF(W116="","",IFERROR(IFERROR(MATCH(W116,武将进阶!F$4:F$10,0),MATCH(W116,武将进阶!F$4:F$10,1)+1),1))</f>
        <v/>
      </c>
      <c r="S116" s="29">
        <f>IF(X116="","",IFERROR(IFERROR(MATCH(X116,武将进阶!G$4:G$10,0),MATCH(X116,武将进阶!G$4:G$10,1)+1),1))</f>
        <v>1</v>
      </c>
      <c r="T116" s="29">
        <f>IF(Y116="","",IFERROR(IFERROR(MATCH(Y116,武将进阶!H$4:H$10,0),MATCH(Y116,武将进阶!H$4:H$10,1)+1),1))</f>
        <v>1</v>
      </c>
      <c r="U116" s="29" t="str">
        <f t="shared" si="21"/>
        <v/>
      </c>
      <c r="V116" s="29" t="str">
        <f t="shared" si="21"/>
        <v/>
      </c>
      <c r="W116" s="29" t="str">
        <f t="shared" si="21"/>
        <v/>
      </c>
      <c r="X116" s="29">
        <f t="shared" si="21"/>
        <v>40</v>
      </c>
      <c r="Y116" s="29">
        <f t="shared" si="21"/>
        <v>40</v>
      </c>
      <c r="Z116" s="20"/>
      <c r="AA116" s="20"/>
      <c r="AB116" s="20"/>
      <c r="AC116" s="20"/>
      <c r="AD116" s="20"/>
      <c r="AE116" s="33"/>
      <c r="AF116" s="33"/>
      <c r="AG116" s="33"/>
      <c r="AH116" s="33"/>
      <c r="AI116" s="33"/>
      <c r="AJ116" s="29"/>
      <c r="AK116" s="29"/>
      <c r="AL116" s="29"/>
      <c r="AM116" s="29"/>
      <c r="AN116" s="29"/>
      <c r="AO116" s="17"/>
      <c r="AP116" s="17"/>
      <c r="AR116" s="7"/>
      <c r="AT116" s="29"/>
      <c r="AU116" s="29"/>
      <c r="AV116" s="29">
        <v>4</v>
      </c>
      <c r="AW116" s="29">
        <v>4</v>
      </c>
      <c r="AX116" s="29">
        <v>2</v>
      </c>
      <c r="AY116" s="29"/>
      <c r="AZ116" s="29"/>
      <c r="BA116" s="29"/>
      <c r="BB116" s="29"/>
      <c r="BC116" s="29"/>
    </row>
    <row r="117" spans="1:55" x14ac:dyDescent="0.15">
      <c r="A117" s="7">
        <f t="shared" si="20"/>
        <v>12</v>
      </c>
      <c r="B117" s="17"/>
      <c r="C117" s="29">
        <v>6</v>
      </c>
      <c r="D117" s="29">
        <f>求节点(节奏总纲!$T$4:$T$113,节奏总纲!$O$4:$O$113,$C117)</f>
        <v>43.870275262019007</v>
      </c>
      <c r="F117" s="29" t="s">
        <v>168</v>
      </c>
      <c r="G117" s="29" t="s">
        <v>168</v>
      </c>
      <c r="H117" s="29" t="s">
        <v>168</v>
      </c>
      <c r="I117" s="29">
        <v>4</v>
      </c>
      <c r="J117" s="29">
        <v>2</v>
      </c>
      <c r="K117" s="29" t="s">
        <v>168</v>
      </c>
      <c r="L117" s="29" t="s">
        <v>168</v>
      </c>
      <c r="M117" s="29" t="s">
        <v>168</v>
      </c>
      <c r="N117" s="29">
        <v>4</v>
      </c>
      <c r="O117" s="29">
        <v>0</v>
      </c>
      <c r="P117" s="29" t="str">
        <f>IF(U117="","",IFERROR(IFERROR(MATCH(U117,武将进阶!D$4:D$10,0),MATCH(U117,武将进阶!D$4:D$10,1)+1),1))</f>
        <v/>
      </c>
      <c r="Q117" s="29" t="str">
        <f>IF(V117="","",IFERROR(IFERROR(MATCH(V117,武将进阶!E$4:E$10,0),MATCH(V117,武将进阶!E$4:E$10,1)+1),1))</f>
        <v/>
      </c>
      <c r="R117" s="29" t="str">
        <f>IF(W117="","",IFERROR(IFERROR(MATCH(W117,武将进阶!F$4:F$10,0),MATCH(W117,武将进阶!F$4:F$10,1)+1),1))</f>
        <v/>
      </c>
      <c r="S117" s="29">
        <f>IF(X117="","",IFERROR(IFERROR(MATCH(X117,武将进阶!G$4:G$10,0),MATCH(X117,武将进阶!G$4:G$10,1)+1),1))</f>
        <v>1</v>
      </c>
      <c r="T117" s="29">
        <f>IF(Y117="","",IFERROR(IFERROR(MATCH(Y117,武将进阶!H$4:H$10,0),MATCH(Y117,武将进阶!H$4:H$10,1)+1),1))</f>
        <v>1</v>
      </c>
      <c r="U117" s="29" t="str">
        <f t="shared" si="21"/>
        <v/>
      </c>
      <c r="V117" s="29" t="str">
        <f t="shared" si="21"/>
        <v/>
      </c>
      <c r="W117" s="29" t="str">
        <f t="shared" si="21"/>
        <v/>
      </c>
      <c r="X117" s="29">
        <f t="shared" si="21"/>
        <v>43</v>
      </c>
      <c r="Y117" s="29">
        <f t="shared" si="21"/>
        <v>43</v>
      </c>
      <c r="Z117" s="20"/>
      <c r="AA117" s="20"/>
      <c r="AB117" s="20"/>
      <c r="AC117" s="20"/>
      <c r="AD117" s="20"/>
      <c r="AE117" s="33"/>
      <c r="AF117" s="33"/>
      <c r="AG117" s="33"/>
      <c r="AH117" s="33"/>
      <c r="AI117" s="33"/>
      <c r="AJ117" s="29"/>
      <c r="AK117" s="29"/>
      <c r="AL117" s="29"/>
      <c r="AM117" s="29"/>
      <c r="AN117" s="29"/>
      <c r="AO117" s="17"/>
      <c r="AP117" s="17"/>
      <c r="AR117" s="7"/>
      <c r="AT117" s="29"/>
      <c r="AU117" s="29"/>
      <c r="AV117" s="29">
        <v>5</v>
      </c>
      <c r="AW117" s="29">
        <v>5</v>
      </c>
      <c r="AX117" s="29">
        <v>3</v>
      </c>
      <c r="AY117" s="29"/>
      <c r="AZ117" s="29"/>
      <c r="BA117" s="29">
        <v>1</v>
      </c>
      <c r="BB117" s="29"/>
      <c r="BC117" s="29"/>
    </row>
    <row r="118" spans="1:55" x14ac:dyDescent="0.15">
      <c r="A118" s="7">
        <f t="shared" si="20"/>
        <v>13</v>
      </c>
      <c r="B118" s="17"/>
      <c r="C118" s="29">
        <f>C117+6</f>
        <v>12</v>
      </c>
      <c r="D118" s="29">
        <f>求节点(节奏总纲!$T$4:$T$113,节奏总纲!$O$4:$O$113,$C118)</f>
        <v>53.855547243088772</v>
      </c>
      <c r="E118" s="17"/>
      <c r="F118" s="29" t="s">
        <v>168</v>
      </c>
      <c r="G118" s="29" t="s">
        <v>168</v>
      </c>
      <c r="H118" s="29" t="s">
        <v>168</v>
      </c>
      <c r="I118" s="29">
        <v>3</v>
      </c>
      <c r="J118" s="29">
        <v>3</v>
      </c>
      <c r="K118" s="29" t="s">
        <v>168</v>
      </c>
      <c r="L118" s="29" t="s">
        <v>168</v>
      </c>
      <c r="M118" s="29" t="s">
        <v>168</v>
      </c>
      <c r="N118" s="29">
        <f>IF(I118="","",MIN(INT(C118/$C$113),武将升星!$G$14))</f>
        <v>8</v>
      </c>
      <c r="O118" s="29">
        <v>0</v>
      </c>
      <c r="P118" s="29" t="str">
        <f>IF(U118="","",IFERROR(IFERROR(MATCH(U118,武将进阶!D$4:D$10,0),MATCH(U118,武将进阶!D$4:D$10,1)+1),1))</f>
        <v/>
      </c>
      <c r="Q118" s="29" t="str">
        <f>IF(V118="","",IFERROR(IFERROR(MATCH(V118,武将进阶!E$4:E$10,0),MATCH(V118,武将进阶!E$4:E$10,1)+1),1))</f>
        <v/>
      </c>
      <c r="R118" s="29" t="str">
        <f>IF(W118="","",IFERROR(IFERROR(MATCH(W118,武将进阶!F$4:F$10,0),MATCH(W118,武将进阶!F$4:F$10,1)+1),1))</f>
        <v/>
      </c>
      <c r="S118" s="29">
        <f>IF(X118="","",IFERROR(IFERROR(MATCH(X118,武将进阶!G$4:G$10,0),MATCH(X118,武将进阶!G$4:G$10,1)+1),1))</f>
        <v>2</v>
      </c>
      <c r="T118" s="29">
        <f>IF(Y118="","",IFERROR(IFERROR(MATCH(Y118,武将进阶!H$4:H$10,0),MATCH(Y118,武将进阶!H$4:H$10,1)+1),1))</f>
        <v>2</v>
      </c>
      <c r="U118" s="29" t="str">
        <f t="shared" si="21"/>
        <v/>
      </c>
      <c r="V118" s="29" t="str">
        <f t="shared" si="21"/>
        <v/>
      </c>
      <c r="W118" s="29" t="str">
        <f t="shared" si="21"/>
        <v/>
      </c>
      <c r="X118" s="29">
        <f t="shared" si="21"/>
        <v>53</v>
      </c>
      <c r="Y118" s="29">
        <f t="shared" si="21"/>
        <v>53</v>
      </c>
      <c r="Z118" s="20"/>
      <c r="AA118" s="20"/>
      <c r="AB118" s="20"/>
      <c r="AC118" s="20"/>
      <c r="AD118" s="20"/>
      <c r="AE118" s="33"/>
      <c r="AF118" s="33"/>
      <c r="AG118" s="33"/>
      <c r="AH118" s="33"/>
      <c r="AI118" s="33"/>
      <c r="AJ118" s="29"/>
      <c r="AK118" s="29"/>
      <c r="AL118" s="29"/>
      <c r="AM118" s="29"/>
      <c r="AN118" s="29"/>
      <c r="AO118" s="17"/>
      <c r="AP118" s="17"/>
      <c r="AQ118" s="17"/>
      <c r="AR118" s="7"/>
      <c r="AT118" s="29"/>
      <c r="AU118" s="29"/>
      <c r="AV118" s="29">
        <v>8</v>
      </c>
      <c r="AW118" s="29">
        <v>7</v>
      </c>
      <c r="AX118" s="29">
        <v>5</v>
      </c>
      <c r="AY118" s="29"/>
      <c r="AZ118" s="29"/>
      <c r="BA118" s="29">
        <v>4</v>
      </c>
      <c r="BB118" s="29"/>
      <c r="BC118" s="29"/>
    </row>
    <row r="119" spans="1:55" x14ac:dyDescent="0.15">
      <c r="A119" s="7">
        <f t="shared" si="20"/>
        <v>14</v>
      </c>
      <c r="B119" s="17"/>
      <c r="C119" s="29">
        <f>C118+6*1.5</f>
        <v>21</v>
      </c>
      <c r="D119" s="29">
        <f>求节点(节奏总纲!$T$4:$T$113,节奏总纲!$O$4:$O$113,$C119)</f>
        <v>61.918453772109508</v>
      </c>
      <c r="E119" s="17"/>
      <c r="F119" s="29" t="s">
        <v>168</v>
      </c>
      <c r="G119" s="29" t="s">
        <v>168</v>
      </c>
      <c r="H119" s="29" t="s">
        <v>168</v>
      </c>
      <c r="I119" s="29">
        <v>2</v>
      </c>
      <c r="J119" s="29">
        <v>4</v>
      </c>
      <c r="K119" s="29" t="s">
        <v>168</v>
      </c>
      <c r="L119" s="29" t="s">
        <v>168</v>
      </c>
      <c r="M119" s="29" t="s">
        <v>168</v>
      </c>
      <c r="N119" s="29">
        <f>IF(I119="","",MIN(INT(C119/$C$113),武将升星!$G$14))</f>
        <v>8</v>
      </c>
      <c r="O119" s="29">
        <v>1</v>
      </c>
      <c r="P119" s="29" t="str">
        <f>IF(U119="","",IFERROR(IFERROR(MATCH(U119,武将进阶!D$4:D$10,0),MATCH(U119,武将进阶!D$4:D$10,1)+1),1))</f>
        <v/>
      </c>
      <c r="Q119" s="29" t="str">
        <f>IF(V119="","",IFERROR(IFERROR(MATCH(V119,武将进阶!E$4:E$10,0),MATCH(V119,武将进阶!E$4:E$10,1)+1),1))</f>
        <v/>
      </c>
      <c r="R119" s="29" t="str">
        <f>IF(W119="","",IFERROR(IFERROR(MATCH(W119,武将进阶!F$4:F$10,0),MATCH(W119,武将进阶!F$4:F$10,1)+1),1))</f>
        <v/>
      </c>
      <c r="S119" s="29">
        <f>IF(X119="","",IFERROR(IFERROR(MATCH(X119,武将进阶!G$4:G$10,0),MATCH(X119,武将进阶!G$4:G$10,1)+1),1))</f>
        <v>2</v>
      </c>
      <c r="T119" s="29">
        <f>IF(Y119="","",IFERROR(IFERROR(MATCH(Y119,武将进阶!H$4:H$10,0),MATCH(Y119,武将进阶!H$4:H$10,1)+1),1))</f>
        <v>2</v>
      </c>
      <c r="U119" s="29" t="str">
        <f t="shared" si="21"/>
        <v/>
      </c>
      <c r="V119" s="29" t="str">
        <f t="shared" si="21"/>
        <v/>
      </c>
      <c r="W119" s="29" t="str">
        <f t="shared" si="21"/>
        <v/>
      </c>
      <c r="X119" s="29">
        <f t="shared" si="21"/>
        <v>61</v>
      </c>
      <c r="Y119" s="29">
        <f t="shared" si="21"/>
        <v>61</v>
      </c>
      <c r="Z119" s="20"/>
      <c r="AA119" s="20"/>
      <c r="AB119" s="20"/>
      <c r="AC119" s="20"/>
      <c r="AD119" s="20"/>
      <c r="AE119" s="33"/>
      <c r="AF119" s="33"/>
      <c r="AG119" s="33"/>
      <c r="AH119" s="33"/>
      <c r="AI119" s="33"/>
      <c r="AJ119" s="29"/>
      <c r="AK119" s="29"/>
      <c r="AL119" s="29"/>
      <c r="AM119" s="29"/>
      <c r="AN119" s="29"/>
      <c r="AO119" s="17"/>
      <c r="AP119" s="17"/>
      <c r="AQ119" s="17"/>
      <c r="AR119" s="7"/>
      <c r="AT119" s="29"/>
      <c r="AU119" s="29"/>
      <c r="AV119" s="29">
        <v>13</v>
      </c>
      <c r="AW119" s="29">
        <v>10</v>
      </c>
      <c r="AX119" s="29">
        <v>8</v>
      </c>
      <c r="AY119" s="29"/>
      <c r="AZ119" s="29"/>
      <c r="BA119" s="29">
        <v>8</v>
      </c>
      <c r="BB119" s="29">
        <v>1</v>
      </c>
      <c r="BC119" s="29"/>
    </row>
    <row r="120" spans="1:55" x14ac:dyDescent="0.15">
      <c r="A120" s="7">
        <f t="shared" si="20"/>
        <v>15</v>
      </c>
      <c r="B120" s="17"/>
      <c r="C120" s="29">
        <f t="shared" ref="C120:C125" si="22">C119+6*1.5</f>
        <v>30</v>
      </c>
      <c r="D120" s="29">
        <f>求节点(节奏总纲!$T$4:$T$113,节奏总纲!$O$4:$O$113,$C120)</f>
        <v>67.097551508592701</v>
      </c>
      <c r="E120" s="17"/>
      <c r="F120" s="29" t="s">
        <v>168</v>
      </c>
      <c r="G120" s="29" t="s">
        <v>168</v>
      </c>
      <c r="H120" s="29" t="s">
        <v>168</v>
      </c>
      <c r="I120" s="29">
        <v>1</v>
      </c>
      <c r="J120" s="29">
        <v>5</v>
      </c>
      <c r="K120" s="29" t="s">
        <v>168</v>
      </c>
      <c r="L120" s="29" t="s">
        <v>168</v>
      </c>
      <c r="M120" s="29" t="s">
        <v>168</v>
      </c>
      <c r="N120" s="29">
        <f>IF(I120="","",MIN(INT(C120/$C$113),武将升星!$G$14))</f>
        <v>8</v>
      </c>
      <c r="O120" s="29">
        <v>2</v>
      </c>
      <c r="P120" s="29" t="str">
        <f>IF(U120="","",IFERROR(IFERROR(MATCH(U120,武将进阶!D$4:D$10,0),MATCH(U120,武将进阶!D$4:D$10,1)+1),1))</f>
        <v/>
      </c>
      <c r="Q120" s="29" t="str">
        <f>IF(V120="","",IFERROR(IFERROR(MATCH(V120,武将进阶!E$4:E$10,0),MATCH(V120,武将进阶!E$4:E$10,1)+1),1))</f>
        <v/>
      </c>
      <c r="R120" s="29" t="str">
        <f>IF(W120="","",IFERROR(IFERROR(MATCH(W120,武将进阶!F$4:F$10,0),MATCH(W120,武将进阶!F$4:F$10,1)+1),1))</f>
        <v/>
      </c>
      <c r="S120" s="29">
        <f>IF(X120="","",IFERROR(IFERROR(MATCH(X120,武将进阶!G$4:G$10,0),MATCH(X120,武将进阶!G$4:G$10,1)+1),1))</f>
        <v>2</v>
      </c>
      <c r="T120" s="29">
        <f>IF(Y120="","",IFERROR(IFERROR(MATCH(Y120,武将进阶!H$4:H$10,0),MATCH(Y120,武将进阶!H$4:H$10,1)+1),1))</f>
        <v>2</v>
      </c>
      <c r="U120" s="29" t="str">
        <f t="shared" si="21"/>
        <v/>
      </c>
      <c r="V120" s="29" t="str">
        <f t="shared" si="21"/>
        <v/>
      </c>
      <c r="W120" s="29" t="str">
        <f t="shared" si="21"/>
        <v/>
      </c>
      <c r="X120" s="29">
        <f t="shared" si="21"/>
        <v>67</v>
      </c>
      <c r="Y120" s="29">
        <f t="shared" si="21"/>
        <v>67</v>
      </c>
      <c r="Z120" s="20"/>
      <c r="AA120" s="20"/>
      <c r="AB120" s="20"/>
      <c r="AC120" s="20"/>
      <c r="AD120" s="20"/>
      <c r="AE120" s="33"/>
      <c r="AF120" s="33"/>
      <c r="AG120" s="33"/>
      <c r="AH120" s="33"/>
      <c r="AI120" s="33"/>
      <c r="AJ120" s="29"/>
      <c r="AK120" s="29"/>
      <c r="AL120" s="29"/>
      <c r="AM120" s="29"/>
      <c r="AN120" s="29"/>
      <c r="AO120" s="17"/>
      <c r="AP120" s="17"/>
      <c r="AQ120" s="17"/>
      <c r="AR120" s="7"/>
      <c r="AT120" s="29"/>
      <c r="AU120" s="29"/>
      <c r="AV120" s="29">
        <v>17</v>
      </c>
      <c r="AW120" s="29">
        <v>13</v>
      </c>
      <c r="AX120" s="29">
        <v>11</v>
      </c>
      <c r="AY120" s="29"/>
      <c r="AZ120" s="29"/>
      <c r="BA120" s="29">
        <v>11</v>
      </c>
      <c r="BB120" s="29">
        <v>4</v>
      </c>
      <c r="BC120" s="29"/>
    </row>
    <row r="121" spans="1:55" x14ac:dyDescent="0.15">
      <c r="A121" s="7">
        <f t="shared" si="20"/>
        <v>16</v>
      </c>
      <c r="B121" s="17"/>
      <c r="C121" s="29">
        <f t="shared" si="22"/>
        <v>39</v>
      </c>
      <c r="D121" s="29">
        <f>求节点(节奏总纲!$T$4:$T$113,节奏总纲!$O$4:$O$113,$C121)</f>
        <v>70.951831283621587</v>
      </c>
      <c r="E121" s="17"/>
      <c r="F121" s="29" t="s">
        <v>168</v>
      </c>
      <c r="G121" s="29" t="s">
        <v>168</v>
      </c>
      <c r="H121" s="29" t="s">
        <v>168</v>
      </c>
      <c r="I121" s="29"/>
      <c r="J121" s="29">
        <v>6</v>
      </c>
      <c r="K121" s="29" t="s">
        <v>168</v>
      </c>
      <c r="L121" s="29" t="s">
        <v>168</v>
      </c>
      <c r="M121" s="29" t="s">
        <v>168</v>
      </c>
      <c r="N121" s="29" t="str">
        <f>IF(I121="","",MIN(INT(C121/$C$113),武将升星!$G$14))</f>
        <v/>
      </c>
      <c r="O121" s="29">
        <v>3</v>
      </c>
      <c r="P121" s="29" t="str">
        <f>IF(U121="","",IFERROR(IFERROR(MATCH(U121,武将进阶!D$4:D$10,0),MATCH(U121,武将进阶!D$4:D$10,1)+1),1))</f>
        <v/>
      </c>
      <c r="Q121" s="29" t="str">
        <f>IF(V121="","",IFERROR(IFERROR(MATCH(V121,武将进阶!E$4:E$10,0),MATCH(V121,武将进阶!E$4:E$10,1)+1),1))</f>
        <v/>
      </c>
      <c r="R121" s="29" t="str">
        <f>IF(W121="","",IFERROR(IFERROR(MATCH(W121,武将进阶!F$4:F$10,0),MATCH(W121,武将进阶!F$4:F$10,1)+1),1))</f>
        <v/>
      </c>
      <c r="S121" s="29" t="str">
        <f>IF(X121="","",IFERROR(IFERROR(MATCH(X121,武将进阶!G$4:G$10,0),MATCH(X121,武将进阶!G$4:G$10,1)+1),1))</f>
        <v/>
      </c>
      <c r="T121" s="29">
        <f>IF(Y121="","",IFERROR(IFERROR(MATCH(Y121,武将进阶!H$4:H$10,0),MATCH(Y121,武将进阶!H$4:H$10,1)+1),1))</f>
        <v>2</v>
      </c>
      <c r="U121" s="29" t="str">
        <f t="shared" si="21"/>
        <v/>
      </c>
      <c r="V121" s="29" t="str">
        <f t="shared" si="21"/>
        <v/>
      </c>
      <c r="W121" s="29" t="str">
        <f t="shared" si="21"/>
        <v/>
      </c>
      <c r="X121" s="29" t="str">
        <f t="shared" si="21"/>
        <v/>
      </c>
      <c r="Y121" s="29">
        <f t="shared" si="21"/>
        <v>70</v>
      </c>
      <c r="Z121" s="20"/>
      <c r="AA121" s="20"/>
      <c r="AB121" s="20"/>
      <c r="AC121" s="20"/>
      <c r="AD121" s="20"/>
      <c r="AE121" s="33"/>
      <c r="AF121" s="33"/>
      <c r="AG121" s="33"/>
      <c r="AH121" s="33"/>
      <c r="AI121" s="33"/>
      <c r="AJ121" s="29"/>
      <c r="AK121" s="29"/>
      <c r="AL121" s="29"/>
      <c r="AM121" s="29"/>
      <c r="AN121" s="29"/>
      <c r="AO121" s="17"/>
      <c r="AP121" s="17"/>
      <c r="AQ121" s="17"/>
      <c r="AR121" s="7"/>
      <c r="AT121" s="29"/>
      <c r="AU121" s="29"/>
      <c r="AV121" s="29">
        <v>21</v>
      </c>
      <c r="AW121" s="29">
        <v>17</v>
      </c>
      <c r="AX121" s="29">
        <v>13</v>
      </c>
      <c r="AY121" s="29"/>
      <c r="AZ121" s="29"/>
      <c r="BA121" s="29">
        <v>15</v>
      </c>
      <c r="BB121" s="29">
        <v>8</v>
      </c>
      <c r="BC121" s="29"/>
    </row>
    <row r="122" spans="1:55" x14ac:dyDescent="0.15">
      <c r="A122" s="7">
        <f t="shared" si="20"/>
        <v>17</v>
      </c>
      <c r="B122" s="17"/>
      <c r="C122" s="29">
        <f t="shared" si="22"/>
        <v>48</v>
      </c>
      <c r="D122" s="29">
        <f>求节点(节奏总纲!$T$4:$T$113,节奏总纲!$O$4:$O$113,$C122)</f>
        <v>73.948464567473962</v>
      </c>
      <c r="E122" s="17"/>
      <c r="F122" s="29" t="s">
        <v>168</v>
      </c>
      <c r="G122" s="29" t="s">
        <v>168</v>
      </c>
      <c r="H122" s="29" t="s">
        <v>168</v>
      </c>
      <c r="I122" s="29" t="s">
        <v>168</v>
      </c>
      <c r="J122" s="29">
        <v>6</v>
      </c>
      <c r="K122" s="29" t="s">
        <v>168</v>
      </c>
      <c r="L122" s="29" t="s">
        <v>168</v>
      </c>
      <c r="M122" s="29" t="s">
        <v>168</v>
      </c>
      <c r="N122" s="29" t="str">
        <f>IF(I122="","",MIN(INT(C122/$C$113),武将升星!$G$14))</f>
        <v/>
      </c>
      <c r="O122" s="29">
        <v>4</v>
      </c>
      <c r="P122" s="29" t="str">
        <f>IF(U122="","",IFERROR(IFERROR(MATCH(U122,武将进阶!D$4:D$10,0),MATCH(U122,武将进阶!D$4:D$10,1)+1),1))</f>
        <v/>
      </c>
      <c r="Q122" s="29" t="str">
        <f>IF(V122="","",IFERROR(IFERROR(MATCH(V122,武将进阶!E$4:E$10,0),MATCH(V122,武将进阶!E$4:E$10,1)+1),1))</f>
        <v/>
      </c>
      <c r="R122" s="29" t="str">
        <f>IF(W122="","",IFERROR(IFERROR(MATCH(W122,武将进阶!F$4:F$10,0),MATCH(W122,武将进阶!F$4:F$10,1)+1),1))</f>
        <v/>
      </c>
      <c r="S122" s="29" t="str">
        <f>IF(X122="","",IFERROR(IFERROR(MATCH(X122,武将进阶!G$4:G$10,0),MATCH(X122,武将进阶!G$4:G$10,1)+1),1))</f>
        <v/>
      </c>
      <c r="T122" s="29">
        <f>IF(Y122="","",IFERROR(IFERROR(MATCH(Y122,武将进阶!H$4:H$10,0),MATCH(Y122,武将进阶!H$4:H$10,1)+1),1))</f>
        <v>2</v>
      </c>
      <c r="U122" s="29" t="str">
        <f t="shared" si="21"/>
        <v/>
      </c>
      <c r="V122" s="29" t="str">
        <f t="shared" si="21"/>
        <v/>
      </c>
      <c r="W122" s="29" t="str">
        <f t="shared" si="21"/>
        <v/>
      </c>
      <c r="X122" s="29" t="str">
        <f t="shared" si="21"/>
        <v/>
      </c>
      <c r="Y122" s="29">
        <f t="shared" si="21"/>
        <v>73</v>
      </c>
      <c r="Z122" s="20"/>
      <c r="AA122" s="20"/>
      <c r="AB122" s="20"/>
      <c r="AC122" s="20"/>
      <c r="AD122" s="20"/>
      <c r="AE122" s="33"/>
      <c r="AF122" s="33"/>
      <c r="AG122" s="33"/>
      <c r="AH122" s="33"/>
      <c r="AI122" s="33"/>
      <c r="AJ122" s="29"/>
      <c r="AK122" s="29"/>
      <c r="AL122" s="29"/>
      <c r="AM122" s="29"/>
      <c r="AN122" s="29"/>
      <c r="AO122" s="17"/>
      <c r="AP122" s="17"/>
      <c r="AQ122" s="17"/>
      <c r="AR122" s="7"/>
      <c r="AT122" s="29"/>
      <c r="AU122" s="29"/>
      <c r="AV122" s="29">
        <v>28</v>
      </c>
      <c r="AW122" s="29">
        <v>22</v>
      </c>
      <c r="AX122" s="29">
        <v>18</v>
      </c>
      <c r="AY122" s="29"/>
      <c r="AZ122" s="29"/>
      <c r="BA122" s="29">
        <v>20</v>
      </c>
      <c r="BB122" s="29">
        <v>13</v>
      </c>
      <c r="BC122" s="29">
        <v>1</v>
      </c>
    </row>
    <row r="123" spans="1:55" x14ac:dyDescent="0.15">
      <c r="A123" s="7">
        <f t="shared" si="20"/>
        <v>18</v>
      </c>
      <c r="B123" s="17"/>
      <c r="C123" s="29">
        <f t="shared" si="22"/>
        <v>57</v>
      </c>
      <c r="D123" s="29">
        <f>求节点(节奏总纲!$T$4:$T$113,节奏总纲!$O$4:$O$113,$C123)</f>
        <v>76.344973133357612</v>
      </c>
      <c r="F123" s="29" t="s">
        <v>168</v>
      </c>
      <c r="G123" s="29" t="s">
        <v>168</v>
      </c>
      <c r="H123" s="29" t="s">
        <v>168</v>
      </c>
      <c r="I123" s="29" t="s">
        <v>168</v>
      </c>
      <c r="J123" s="29">
        <v>6</v>
      </c>
      <c r="K123" s="29" t="s">
        <v>168</v>
      </c>
      <c r="L123" s="29" t="s">
        <v>168</v>
      </c>
      <c r="M123" s="29" t="s">
        <v>168</v>
      </c>
      <c r="N123" s="29" t="str">
        <f>IF(I123="","",MIN(INT(C123/$C$113),武将升星!$G$14))</f>
        <v/>
      </c>
      <c r="O123" s="29">
        <v>5</v>
      </c>
      <c r="P123" s="29" t="str">
        <f>IF(U123="","",IFERROR(IFERROR(MATCH(U123,武将进阶!D$4:D$10,0),MATCH(U123,武将进阶!D$4:D$10,1)+1),1))</f>
        <v/>
      </c>
      <c r="Q123" s="29" t="str">
        <f>IF(V123="","",IFERROR(IFERROR(MATCH(V123,武将进阶!E$4:E$10,0),MATCH(V123,武将进阶!E$4:E$10,1)+1),1))</f>
        <v/>
      </c>
      <c r="R123" s="29" t="str">
        <f>IF(W123="","",IFERROR(IFERROR(MATCH(W123,武将进阶!F$4:F$10,0),MATCH(W123,武将进阶!F$4:F$10,1)+1),1))</f>
        <v/>
      </c>
      <c r="S123" s="29" t="str">
        <f>IF(X123="","",IFERROR(IFERROR(MATCH(X123,武将进阶!G$4:G$10,0),MATCH(X123,武将进阶!G$4:G$10,1)+1),1))</f>
        <v/>
      </c>
      <c r="T123" s="29">
        <f>IF(Y123="","",IFERROR(IFERROR(MATCH(Y123,武将进阶!H$4:H$10,0),MATCH(Y123,武将进阶!H$4:H$10,1)+1),1))</f>
        <v>2</v>
      </c>
      <c r="U123" s="29" t="str">
        <f t="shared" si="21"/>
        <v/>
      </c>
      <c r="V123" s="29" t="str">
        <f t="shared" si="21"/>
        <v/>
      </c>
      <c r="W123" s="29" t="str">
        <f t="shared" si="21"/>
        <v/>
      </c>
      <c r="X123" s="29" t="str">
        <f t="shared" si="21"/>
        <v/>
      </c>
      <c r="Y123" s="29">
        <f t="shared" si="21"/>
        <v>76</v>
      </c>
      <c r="Z123" s="20"/>
      <c r="AA123" s="20"/>
      <c r="AB123" s="20"/>
      <c r="AC123" s="20"/>
      <c r="AD123" s="20"/>
      <c r="AE123" s="33"/>
      <c r="AF123" s="33"/>
      <c r="AG123" s="33"/>
      <c r="AH123" s="33"/>
      <c r="AI123" s="33"/>
      <c r="AJ123" s="29"/>
      <c r="AK123" s="29"/>
      <c r="AL123" s="29"/>
      <c r="AM123" s="29"/>
      <c r="AN123" s="29"/>
      <c r="AO123" s="17"/>
      <c r="AP123" s="17"/>
      <c r="AR123" s="7"/>
      <c r="AT123" s="29"/>
      <c r="AU123" s="29"/>
      <c r="AV123" s="29">
        <v>34</v>
      </c>
      <c r="AW123" s="29">
        <v>27</v>
      </c>
      <c r="AX123" s="29">
        <v>22</v>
      </c>
      <c r="AY123" s="29"/>
      <c r="AZ123" s="29"/>
      <c r="BA123" s="29">
        <v>25</v>
      </c>
      <c r="BB123" s="29">
        <v>19</v>
      </c>
      <c r="BC123" s="29">
        <v>8</v>
      </c>
    </row>
    <row r="124" spans="1:55" x14ac:dyDescent="0.15">
      <c r="A124" s="7">
        <f t="shared" si="20"/>
        <v>19</v>
      </c>
      <c r="B124" s="17"/>
      <c r="C124" s="29">
        <f t="shared" si="22"/>
        <v>66</v>
      </c>
      <c r="D124" s="29">
        <f>求节点(节奏总纲!$T$4:$T$113,节奏总纲!$O$4:$O$113,$C124)</f>
        <v>78.525279626417301</v>
      </c>
      <c r="E124" s="17"/>
      <c r="F124" s="29" t="s">
        <v>168</v>
      </c>
      <c r="G124" s="29" t="s">
        <v>168</v>
      </c>
      <c r="H124" s="29" t="s">
        <v>168</v>
      </c>
      <c r="I124" s="29" t="s">
        <v>168</v>
      </c>
      <c r="J124" s="29">
        <v>6</v>
      </c>
      <c r="K124" s="29" t="s">
        <v>168</v>
      </c>
      <c r="L124" s="29" t="s">
        <v>168</v>
      </c>
      <c r="M124" s="29" t="s">
        <v>168</v>
      </c>
      <c r="N124" s="29" t="str">
        <f>IF(I124="","",MIN(INT(C124/$C$113),武将升星!$G$14))</f>
        <v/>
      </c>
      <c r="O124" s="29">
        <v>6</v>
      </c>
      <c r="P124" s="29" t="str">
        <f>IF(U124="","",IFERROR(IFERROR(MATCH(U124,武将进阶!D$4:D$10,0),MATCH(U124,武将进阶!D$4:D$10,1)+1),1))</f>
        <v/>
      </c>
      <c r="Q124" s="29" t="str">
        <f>IF(V124="","",IFERROR(IFERROR(MATCH(V124,武将进阶!E$4:E$10,0),MATCH(V124,武将进阶!E$4:E$10,1)+1),1))</f>
        <v/>
      </c>
      <c r="R124" s="29" t="str">
        <f>IF(W124="","",IFERROR(IFERROR(MATCH(W124,武将进阶!F$4:F$10,0),MATCH(W124,武将进阶!F$4:F$10,1)+1),1))</f>
        <v/>
      </c>
      <c r="S124" s="29" t="str">
        <f>IF(X124="","",IFERROR(IFERROR(MATCH(X124,武将进阶!G$4:G$10,0),MATCH(X124,武将进阶!G$4:G$10,1)+1),1))</f>
        <v/>
      </c>
      <c r="T124" s="29">
        <f>IF(Y124="","",IFERROR(IFERROR(MATCH(Y124,武将进阶!H$4:H$10,0),MATCH(Y124,武将进阶!H$4:H$10,1)+1),1))</f>
        <v>2</v>
      </c>
      <c r="U124" s="29" t="str">
        <f t="shared" si="21"/>
        <v/>
      </c>
      <c r="V124" s="29" t="str">
        <f t="shared" si="21"/>
        <v/>
      </c>
      <c r="W124" s="29" t="str">
        <f t="shared" si="21"/>
        <v/>
      </c>
      <c r="X124" s="29" t="str">
        <f t="shared" si="21"/>
        <v/>
      </c>
      <c r="Y124" s="29">
        <f t="shared" si="21"/>
        <v>78</v>
      </c>
      <c r="Z124" s="20"/>
      <c r="AA124" s="20"/>
      <c r="AB124" s="20"/>
      <c r="AC124" s="20"/>
      <c r="AD124" s="20"/>
      <c r="AE124" s="33"/>
      <c r="AF124" s="33"/>
      <c r="AG124" s="33"/>
      <c r="AH124" s="33"/>
      <c r="AI124" s="33"/>
      <c r="AJ124" s="29"/>
      <c r="AK124" s="29"/>
      <c r="AL124" s="29"/>
      <c r="AM124" s="29"/>
      <c r="AN124" s="29"/>
      <c r="AO124" s="17"/>
      <c r="AP124" s="17"/>
      <c r="AR124" s="7"/>
      <c r="AT124" s="29"/>
      <c r="AU124" s="29"/>
      <c r="AV124" s="29">
        <v>44</v>
      </c>
      <c r="AW124" s="29">
        <v>34</v>
      </c>
      <c r="AX124" s="29">
        <v>29</v>
      </c>
      <c r="AY124" s="29"/>
      <c r="AZ124" s="29"/>
      <c r="BA124" s="29">
        <v>33</v>
      </c>
      <c r="BB124" s="29">
        <v>27</v>
      </c>
      <c r="BC124" s="29">
        <v>19</v>
      </c>
    </row>
    <row r="125" spans="1:55" x14ac:dyDescent="0.15">
      <c r="A125" s="7">
        <f t="shared" si="20"/>
        <v>20</v>
      </c>
      <c r="B125" s="17"/>
      <c r="C125" s="29">
        <f t="shared" si="22"/>
        <v>75</v>
      </c>
      <c r="D125" s="29">
        <f>求节点(节奏总纲!$T$4:$T$113,节奏总纲!$O$4:$O$113,$C125)</f>
        <v>80.437605572866573</v>
      </c>
      <c r="F125" s="29" t="s">
        <v>168</v>
      </c>
      <c r="G125" s="29" t="s">
        <v>168</v>
      </c>
      <c r="H125" s="29" t="s">
        <v>168</v>
      </c>
      <c r="I125" s="29" t="s">
        <v>168</v>
      </c>
      <c r="J125" s="29">
        <v>6</v>
      </c>
      <c r="K125" s="29" t="s">
        <v>168</v>
      </c>
      <c r="L125" s="29" t="s">
        <v>168</v>
      </c>
      <c r="M125" s="29" t="s">
        <v>168</v>
      </c>
      <c r="N125" s="29" t="str">
        <f>IF(I125="","",MIN(INT(C125/$C$113),武将升星!$G$14))</f>
        <v/>
      </c>
      <c r="O125" s="29">
        <v>7</v>
      </c>
      <c r="P125" s="29"/>
      <c r="Q125" s="29"/>
      <c r="R125" s="29"/>
      <c r="S125" s="29"/>
      <c r="T125" s="29">
        <f>IF(Y125="","",IFERROR(IFERROR(MATCH(Y125,武将进阶!H$4:H$10,0),MATCH(Y125,武将进阶!H$4:H$10,1)+1),1))</f>
        <v>2</v>
      </c>
      <c r="U125" s="29" t="str">
        <f t="shared" si="21"/>
        <v/>
      </c>
      <c r="V125" s="29" t="str">
        <f t="shared" si="21"/>
        <v/>
      </c>
      <c r="W125" s="29" t="str">
        <f t="shared" si="21"/>
        <v/>
      </c>
      <c r="X125" s="29" t="str">
        <f t="shared" si="21"/>
        <v/>
      </c>
      <c r="Y125" s="29">
        <f t="shared" si="21"/>
        <v>80</v>
      </c>
      <c r="Z125" s="20"/>
      <c r="AA125" s="20"/>
      <c r="AB125" s="20"/>
      <c r="AC125" s="20"/>
      <c r="AD125" s="20"/>
      <c r="AE125" s="33"/>
      <c r="AF125" s="33"/>
      <c r="AG125" s="33"/>
      <c r="AH125" s="33"/>
      <c r="AI125" s="33"/>
      <c r="AJ125" s="29"/>
      <c r="AK125" s="29"/>
      <c r="AL125" s="29"/>
      <c r="AM125" s="29"/>
      <c r="AN125" s="29"/>
      <c r="AO125" s="17"/>
      <c r="AP125" s="17"/>
      <c r="AR125" s="7"/>
      <c r="AT125" s="29"/>
      <c r="AU125" s="29"/>
      <c r="AV125" s="29">
        <v>54</v>
      </c>
      <c r="AW125" s="29">
        <v>42</v>
      </c>
      <c r="AX125" s="29">
        <v>36</v>
      </c>
      <c r="AY125" s="29"/>
      <c r="AZ125" s="29"/>
      <c r="BA125" s="29">
        <v>42</v>
      </c>
      <c r="BB125" s="29">
        <v>36</v>
      </c>
      <c r="BC125" s="29">
        <v>30</v>
      </c>
    </row>
  </sheetData>
  <mergeCells count="66">
    <mergeCell ref="C106:D107"/>
    <mergeCell ref="F106:AN106"/>
    <mergeCell ref="AT106:AX106"/>
    <mergeCell ref="AY106:BC106"/>
    <mergeCell ref="F107:J107"/>
    <mergeCell ref="K107:O107"/>
    <mergeCell ref="P107:T107"/>
    <mergeCell ref="U107:Y107"/>
    <mergeCell ref="Z107:AD107"/>
    <mergeCell ref="AE107:AI107"/>
    <mergeCell ref="AJ107:AN107"/>
    <mergeCell ref="AT107:AX107"/>
    <mergeCell ref="AY107:BC107"/>
    <mergeCell ref="C83:D84"/>
    <mergeCell ref="F83:AN83"/>
    <mergeCell ref="AT83:AX83"/>
    <mergeCell ref="AY83:BC83"/>
    <mergeCell ref="F84:J84"/>
    <mergeCell ref="K84:O84"/>
    <mergeCell ref="P84:T84"/>
    <mergeCell ref="U84:Y84"/>
    <mergeCell ref="Z84:AD84"/>
    <mergeCell ref="AE84:AI84"/>
    <mergeCell ref="AJ84:AN84"/>
    <mergeCell ref="AY84:BC84"/>
    <mergeCell ref="AT84:AX84"/>
    <mergeCell ref="C60:D61"/>
    <mergeCell ref="F60:AN60"/>
    <mergeCell ref="AT60:AX60"/>
    <mergeCell ref="AY60:BC60"/>
    <mergeCell ref="F61:J61"/>
    <mergeCell ref="K61:O61"/>
    <mergeCell ref="P61:T61"/>
    <mergeCell ref="U61:Y61"/>
    <mergeCell ref="Z61:AD61"/>
    <mergeCell ref="AE61:AI61"/>
    <mergeCell ref="AJ61:AN61"/>
    <mergeCell ref="AT61:AX61"/>
    <mergeCell ref="AY61:BC61"/>
    <mergeCell ref="C37:D38"/>
    <mergeCell ref="F37:AN37"/>
    <mergeCell ref="AT37:AX37"/>
    <mergeCell ref="AY37:BC37"/>
    <mergeCell ref="F38:J38"/>
    <mergeCell ref="K38:O38"/>
    <mergeCell ref="AY38:BC38"/>
    <mergeCell ref="P38:T38"/>
    <mergeCell ref="U38:Y38"/>
    <mergeCell ref="Z38:AD38"/>
    <mergeCell ref="AE38:AI38"/>
    <mergeCell ref="AJ38:AN38"/>
    <mergeCell ref="AT38:AX38"/>
    <mergeCell ref="B1:G1"/>
    <mergeCell ref="C14:D15"/>
    <mergeCell ref="F14:AN14"/>
    <mergeCell ref="AT14:AX14"/>
    <mergeCell ref="AY14:BC14"/>
    <mergeCell ref="F15:J15"/>
    <mergeCell ref="K15:O15"/>
    <mergeCell ref="P15:T15"/>
    <mergeCell ref="U15:Y15"/>
    <mergeCell ref="Z15:AD15"/>
    <mergeCell ref="AE15:AI15"/>
    <mergeCell ref="AJ15:AN15"/>
    <mergeCell ref="AT15:AX15"/>
    <mergeCell ref="AY15:BC15"/>
  </mergeCells>
  <phoneticPr fontId="1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CL225"/>
  <sheetViews>
    <sheetView zoomScaleNormal="100" workbookViewId="0">
      <selection activeCell="S4" sqref="S4"/>
    </sheetView>
  </sheetViews>
  <sheetFormatPr defaultColWidth="6.625" defaultRowHeight="11.25" x14ac:dyDescent="0.15"/>
  <cols>
    <col min="1" max="9" width="6.625" style="72"/>
    <col min="10" max="10" width="6.625" style="72" customWidth="1"/>
    <col min="11" max="11" width="6.625" style="74" customWidth="1"/>
    <col min="12" max="50" width="6.625" style="72" customWidth="1"/>
    <col min="51" max="51" width="6.625" style="74" customWidth="1"/>
    <col min="52" max="55" width="6.625" style="72" customWidth="1"/>
    <col min="56" max="56" width="9.75" style="72" customWidth="1"/>
    <col min="57" max="57" width="9" style="72" customWidth="1"/>
    <col min="58" max="58" width="9.75" style="72" customWidth="1"/>
    <col min="59" max="59" width="6.625" style="72" customWidth="1"/>
    <col min="60" max="60" width="6.625" style="74" customWidth="1"/>
    <col min="61" max="80" width="6.625" style="72" customWidth="1"/>
    <col min="81" max="16384" width="6.625" style="72"/>
  </cols>
  <sheetData>
    <row r="1" spans="2:69" x14ac:dyDescent="0.15">
      <c r="M1" s="72">
        <v>1</v>
      </c>
    </row>
    <row r="2" spans="2:69" ht="13.5" customHeight="1" x14ac:dyDescent="0.15">
      <c r="M2" s="72">
        <v>2</v>
      </c>
      <c r="N2" s="14" t="s">
        <v>291</v>
      </c>
      <c r="O2" s="161" t="s">
        <v>200</v>
      </c>
      <c r="P2" s="162"/>
      <c r="Q2" s="162"/>
      <c r="R2" s="162"/>
      <c r="S2" s="163"/>
      <c r="T2" s="161" t="s">
        <v>544</v>
      </c>
      <c r="U2" s="162"/>
      <c r="V2" s="162"/>
      <c r="W2" s="162"/>
      <c r="X2" s="162"/>
      <c r="Y2" s="160" t="s">
        <v>411</v>
      </c>
      <c r="Z2" s="160"/>
      <c r="AA2" s="160"/>
      <c r="AB2" s="160"/>
      <c r="AC2" s="160"/>
      <c r="AD2" s="160"/>
      <c r="AF2" s="161" t="s">
        <v>152</v>
      </c>
      <c r="AG2" s="162"/>
      <c r="AH2" s="162"/>
      <c r="AI2" s="162"/>
      <c r="AJ2" s="162"/>
      <c r="AK2" s="163"/>
      <c r="AL2" s="161" t="s">
        <v>197</v>
      </c>
      <c r="AM2" s="162"/>
      <c r="AN2" s="162"/>
      <c r="AO2" s="162"/>
      <c r="AP2" s="162"/>
      <c r="AQ2" s="163"/>
      <c r="AR2" s="161" t="s">
        <v>732</v>
      </c>
      <c r="AS2" s="162"/>
      <c r="AT2" s="162"/>
      <c r="AU2" s="162"/>
      <c r="AV2" s="162"/>
      <c r="AW2" s="163"/>
      <c r="BA2" s="29" t="s">
        <v>291</v>
      </c>
      <c r="BB2" s="165" t="s">
        <v>292</v>
      </c>
      <c r="BC2" s="166"/>
      <c r="BD2" s="160" t="s">
        <v>342</v>
      </c>
      <c r="BE2" s="160"/>
      <c r="BF2" s="160"/>
      <c r="BJ2" s="14" t="s">
        <v>291</v>
      </c>
      <c r="BK2" s="164" t="s">
        <v>334</v>
      </c>
      <c r="BL2" s="164"/>
      <c r="BN2" s="29" t="s">
        <v>291</v>
      </c>
      <c r="BO2" s="164" t="s">
        <v>332</v>
      </c>
      <c r="BP2" s="164"/>
      <c r="BQ2" s="164"/>
    </row>
    <row r="3" spans="2:69" x14ac:dyDescent="0.15">
      <c r="M3" s="72">
        <v>3</v>
      </c>
      <c r="N3" s="73" t="s">
        <v>478</v>
      </c>
      <c r="O3" s="19" t="s">
        <v>3</v>
      </c>
      <c r="P3" s="19" t="s">
        <v>1</v>
      </c>
      <c r="Q3" s="19" t="s">
        <v>2</v>
      </c>
      <c r="R3" s="19" t="s">
        <v>0</v>
      </c>
      <c r="S3" s="19" t="s">
        <v>545</v>
      </c>
      <c r="T3" s="19" t="s">
        <v>3</v>
      </c>
      <c r="U3" s="19" t="s">
        <v>1</v>
      </c>
      <c r="V3" s="19" t="s">
        <v>2</v>
      </c>
      <c r="W3" s="19" t="s">
        <v>0</v>
      </c>
      <c r="X3" s="19" t="s">
        <v>545</v>
      </c>
      <c r="Y3" s="29" t="s">
        <v>3</v>
      </c>
      <c r="Z3" s="29" t="s">
        <v>1</v>
      </c>
      <c r="AA3" s="29" t="s">
        <v>2</v>
      </c>
      <c r="AB3" s="29" t="s">
        <v>0</v>
      </c>
      <c r="AC3" s="29" t="s">
        <v>545</v>
      </c>
      <c r="AD3" s="29" t="s">
        <v>203</v>
      </c>
      <c r="AF3" s="29" t="s">
        <v>3</v>
      </c>
      <c r="AG3" s="29" t="s">
        <v>1</v>
      </c>
      <c r="AH3" s="29" t="s">
        <v>2</v>
      </c>
      <c r="AI3" s="29" t="s">
        <v>0</v>
      </c>
      <c r="AJ3" s="29" t="s">
        <v>545</v>
      </c>
      <c r="AK3" s="22" t="s">
        <v>206</v>
      </c>
      <c r="AL3" s="29" t="s">
        <v>3</v>
      </c>
      <c r="AM3" s="29" t="s">
        <v>1</v>
      </c>
      <c r="AN3" s="29" t="s">
        <v>2</v>
      </c>
      <c r="AO3" s="29" t="s">
        <v>0</v>
      </c>
      <c r="AP3" s="29" t="s">
        <v>545</v>
      </c>
      <c r="AQ3" s="29" t="s">
        <v>298</v>
      </c>
      <c r="AR3" s="29" t="s">
        <v>3</v>
      </c>
      <c r="AS3" s="29" t="s">
        <v>1</v>
      </c>
      <c r="AT3" s="29" t="s">
        <v>2</v>
      </c>
      <c r="AU3" s="29" t="s">
        <v>0</v>
      </c>
      <c r="AV3" s="29" t="s">
        <v>545</v>
      </c>
      <c r="AW3" s="29" t="s">
        <v>228</v>
      </c>
      <c r="BA3" s="73" t="s">
        <v>478</v>
      </c>
      <c r="BB3" s="29" t="s">
        <v>287</v>
      </c>
      <c r="BC3" s="29" t="s">
        <v>302</v>
      </c>
      <c r="BD3" s="29" t="s">
        <v>341</v>
      </c>
      <c r="BE3" s="29" t="s">
        <v>303</v>
      </c>
      <c r="BF3" s="75" t="s">
        <v>343</v>
      </c>
      <c r="BJ3" s="73" t="s">
        <v>478</v>
      </c>
      <c r="BK3" s="29" t="s">
        <v>333</v>
      </c>
      <c r="BL3" s="29" t="s">
        <v>335</v>
      </c>
      <c r="BN3" s="73" t="s">
        <v>478</v>
      </c>
      <c r="BO3" s="29" t="s">
        <v>304</v>
      </c>
      <c r="BP3" s="29" t="s">
        <v>305</v>
      </c>
      <c r="BQ3" s="29" t="s">
        <v>274</v>
      </c>
    </row>
    <row r="4" spans="2:69" ht="11.25" customHeight="1" x14ac:dyDescent="0.15">
      <c r="B4" s="169" t="s">
        <v>190</v>
      </c>
      <c r="C4" s="14" t="s">
        <v>175</v>
      </c>
      <c r="D4" s="29" t="s">
        <v>3</v>
      </c>
      <c r="E4" s="29" t="s">
        <v>1</v>
      </c>
      <c r="F4" s="29" t="s">
        <v>2</v>
      </c>
      <c r="G4" s="29" t="s">
        <v>0</v>
      </c>
      <c r="H4" s="14" t="s">
        <v>545</v>
      </c>
      <c r="I4" s="14" t="s">
        <v>30</v>
      </c>
      <c r="M4" s="72">
        <v>4</v>
      </c>
      <c r="N4" s="29">
        <f>基础状态预期!D17</f>
        <v>10</v>
      </c>
      <c r="O4" s="29">
        <f>IF(基础状态预期!F17="",0,求节点($C$104:$C$112,D$104:D$112,基础状态预期!K17))</f>
        <v>0</v>
      </c>
      <c r="P4" s="29">
        <f>IF(基础状态预期!G17="",0,求节点($C$104:$C$112,E$104:E$112,基础状态预期!L17))</f>
        <v>0</v>
      </c>
      <c r="Q4" s="29">
        <f>IF(基础状态预期!H17="",0,求节点($C$104:$C$112,F$104:F$112,基础状态预期!M17))</f>
        <v>1.4362353495391613</v>
      </c>
      <c r="R4" s="29">
        <f>IF(基础状态预期!I17="",0,求节点($C$104:$C$112,G$104:G$112,基础状态预期!N17))</f>
        <v>1</v>
      </c>
      <c r="S4" s="29">
        <f>IF(基础状态预期!J17="",0,求节点($C$104:$C$112,H$104:H$112,基础状态预期!O17))</f>
        <v>0</v>
      </c>
      <c r="T4" s="29">
        <f>IF(基础状态预期!F17="",0,求节点($C$114:$C$122,D$114:D$122,基础状态预期!K17)*基础状态预期!F17+求节点($C$124:$C$132,D$124:D$132,基础状态预期!$O17)*基础状态预期!$J17)</f>
        <v>0</v>
      </c>
      <c r="U4" s="29">
        <f>IF(基础状态预期!G17="",0,求节点($C$114:$C$122,E$114:E$122,基础状态预期!L17)*基础状态预期!G17+求节点($C$124:$C$132,E$124:E$132,基础状态预期!$O17)*基础状态预期!$J17)</f>
        <v>0</v>
      </c>
      <c r="V4" s="29">
        <f>IF(基础状态预期!H17="",0,求节点($C$114:$C$122,F$114:F$122,基础状态预期!M17)*基础状态预期!H17+求节点($C$124:$C$132,F$124:F$132,基础状态预期!$O17)*基础状态预期!$J17)</f>
        <v>0</v>
      </c>
      <c r="W4" s="148">
        <f>IF(基础状态预期!I17="",0,求节点($C$114:$C$122,G$114:G$122,基础状态预期!N17)*基础状态预期!I17)+IF(基础状态预期!O17="",0,求节点($C$124:$C$132,G$124:G$132,基础状态预期!$O17)*基础状态预期!$J17)</f>
        <v>0</v>
      </c>
      <c r="X4" s="29">
        <f>IF(基础状态预期!J17="",0,求节点($C$114:$C$122,H$114:H$122,基础状态预期!O17)*基础状态预期!J17+求节点($C$124:$C$132,H$124:H$132,基础状态预期!$O17)*基础状态预期!$J17)</f>
        <v>0</v>
      </c>
      <c r="Y4" s="14">
        <f>IF(基础状态预期!K17="",0,求节点($C$92:$C$100,D$92:D$100,基础状态预期!K17))</f>
        <v>0</v>
      </c>
      <c r="Z4" s="14">
        <f>IF(基础状态预期!L17="",0,求节点($C$92:$C$100,E$92:E$100,基础状态预期!L17))</f>
        <v>0</v>
      </c>
      <c r="AA4" s="14">
        <f>IF(基础状态预期!M17="",0,求节点($C$92:$C$100,F$92:F$100,基础状态预期!M17))</f>
        <v>2181.1767476958066</v>
      </c>
      <c r="AB4" s="14">
        <f>IF(基础状态预期!N17="",0,求节点($C$92:$C$100,G$92:G$100,基础状态预期!N17))</f>
        <v>0</v>
      </c>
      <c r="AC4" s="14">
        <f>IF(基础状态预期!O17="",0,求节点($C$92:$C$100,H$92:H$100,基础状态预期!O17))</f>
        <v>0</v>
      </c>
      <c r="AD4" s="29">
        <f>MAX(SUMPRODUCT(Y4:AC4,基础状态预期!F17:J17),AD3)</f>
        <v>4362.3534953916133</v>
      </c>
      <c r="AF4" s="29" t="str">
        <f>IF(基础状态预期!K17="","",基础状态预期!K17*D$59+D$58)</f>
        <v/>
      </c>
      <c r="AG4" s="29" t="str">
        <f>IF(基础状态预期!L17="","",基础状态预期!L17*E$59+E$58)</f>
        <v/>
      </c>
      <c r="AH4" s="29">
        <f>IF(基础状态预期!M17="","",基础状态预期!M17*F$59+F$58)</f>
        <v>72.181176747695801</v>
      </c>
      <c r="AI4" s="29">
        <f>IF(基础状态预期!N17="","",基础状态预期!N17*G$59+G$58)</f>
        <v>85</v>
      </c>
      <c r="AJ4" s="29" t="str">
        <f>IF(基础状态预期!O17="","",基础状态预期!O17*H$59+H$58)</f>
        <v/>
      </c>
      <c r="AK4" s="29">
        <f>MAX(SUMPRODUCT(AF4:AJ4,基础状态预期!$F17:$J17)/SUM(基础状态预期!$F17:$J17),AK3)</f>
        <v>80.72705891589861</v>
      </c>
      <c r="AL4" s="29">
        <f>IF(基础状态预期!K17="",0,求节点($C$68:$C$76,D$68:D$76,基础状态预期!K17))</f>
        <v>0</v>
      </c>
      <c r="AM4" s="29">
        <f>IF(基础状态预期!L17="",0,求节点($C$68:$C$76,E$68:E$76,基础状态预期!L17))</f>
        <v>0</v>
      </c>
      <c r="AN4" s="29">
        <f>IF(基础状态预期!M17="",0,求节点($C$68:$C$76,F$68:F$76,基础状态预期!M17)*求节点(武将升级!$H$52:$H$54,武将升级!$J$52:$J$54,基础状态预期!W17))</f>
        <v>0.1015098062307984</v>
      </c>
      <c r="AO4" s="29">
        <f>IF(基础状态预期!N17="",0,求节点($C$68:$C$76,G$68:G$76,基础状态预期!N17)*求节点(武将升级!$H$52:$H$54,武将升级!$J$52:$J$54,基础状态预期!X17))</f>
        <v>0.18</v>
      </c>
      <c r="AP4" s="29">
        <f>IF(基础状态预期!O17="",0,求节点($C$68:$C$76,H$68:H$76,基础状态预期!O17)*求节点(武将升级!$H$52:$H$54,武将升级!$J$52:$J$54,基础状态预期!Y17))</f>
        <v>0</v>
      </c>
      <c r="AQ4" s="29">
        <f>MAX(SUMPRODUCT(AL4:AP4,基础状态预期!$F17:$J17)/SUM(基础状态预期!$F17:$J17),AQ3)</f>
        <v>0.15383660207693281</v>
      </c>
      <c r="AR4" s="29">
        <f>IF(基础状态预期!K17="",0,求节点($C$158:$C$166,D$158:D$166,基础状态预期!K17))</f>
        <v>0</v>
      </c>
      <c r="AS4" s="29">
        <f>IF(基础状态预期!L17="",0,求节点($C$158:$C$166,E$158:E$166,基础状态预期!L17))</f>
        <v>0</v>
      </c>
      <c r="AT4" s="29">
        <f>IF(基础状态预期!M17="",0,求节点($C$158:$C$166,F$158:F$166,基础状态预期!M17))</f>
        <v>1.7449413981566454E-2</v>
      </c>
      <c r="AU4" s="29">
        <f>IF(基础状态预期!N17="",0,求节点($C$158:$C$166,G$158:G$166,基础状态预期!N17))</f>
        <v>0</v>
      </c>
      <c r="AV4" s="29">
        <f>IF(基础状态预期!O17="",0,求节点($C$158:$C$166,H$158:H$166,基础状态预期!O17))</f>
        <v>0</v>
      </c>
      <c r="AW4" s="29">
        <f>MAX(SUMPRODUCT(AR4:AV4,基础状态预期!$F17:$J17)/SUM(基础状态预期!$F17:$J17),AW3)</f>
        <v>5.8164713271888178E-3</v>
      </c>
      <c r="AX4" s="16"/>
      <c r="BA4" s="29">
        <v>10</v>
      </c>
      <c r="BB4" s="29">
        <f>求节点($N$4:$N$42,$AK$4:$AK$42,$BA4)</f>
        <v>80.72705891589861</v>
      </c>
      <c r="BC4" s="29">
        <f t="shared" ref="BC4:BC13" si="0">求节点($N$4:$N$42,$AQ$4:$AQ$42,$BA4)</f>
        <v>0.15383660207693281</v>
      </c>
      <c r="BD4" s="41">
        <f>BB4*(INDEX([2]非r将兵属性验证!$V$7:$V$166,$BA4,1)+INDEX([2]非r将兵属性验证!$AP$7:$AP$166,$BA4,1))</f>
        <v>24879477.999627911</v>
      </c>
      <c r="BE4" s="41">
        <f>BC4*(INDEX([2]非r将兵属性验证!$AC$7:$AC$166,$BA4,1)*[2]战法技能效用!$AH$4+INDEX([2]非r将兵属性验证!$AX$7:$AX$166,$BA4,1)*[2]战法技能效用!$AI$4)</f>
        <v>3502255.5898404773</v>
      </c>
      <c r="BF4" s="75">
        <f t="shared" ref="BF4:BF13" si="1">SUM(BD4:BE4)</f>
        <v>28381733.58946839</v>
      </c>
      <c r="BJ4" s="29">
        <f>$N4</f>
        <v>10</v>
      </c>
      <c r="BK4" s="75">
        <f>武将数量星级阶位验证!AT7</f>
        <v>11093.779889775267</v>
      </c>
      <c r="BL4" s="76">
        <f>AD4*INDEX('[1]功能-付费相关'!$AQ$6:$AQ$165,BJ4,1)</f>
        <v>10.905883738479034</v>
      </c>
      <c r="BN4" s="29">
        <v>10</v>
      </c>
      <c r="BO4" s="29">
        <f t="shared" ref="BO4:BO13" si="2">求节点($BJ$4:$BJ$42,BK$4:BK$42,$BN4)</f>
        <v>11093.779889775267</v>
      </c>
      <c r="BP4" s="29">
        <f t="shared" ref="BP4:BP13" si="3">求节点($BJ$4:$BJ$42,BL$4:BL$42,$BN4)</f>
        <v>10.905883738479034</v>
      </c>
      <c r="BQ4" s="29">
        <f>SUM(BO4:BP4)</f>
        <v>11104.685773513746</v>
      </c>
    </row>
    <row r="5" spans="2:69" x14ac:dyDescent="0.15">
      <c r="B5" s="170"/>
      <c r="C5" s="14">
        <v>0</v>
      </c>
      <c r="D5" s="29">
        <v>1</v>
      </c>
      <c r="E5" s="29">
        <v>1</v>
      </c>
      <c r="F5" s="29">
        <v>1</v>
      </c>
      <c r="G5" s="29">
        <v>1</v>
      </c>
      <c r="H5" s="29">
        <v>1</v>
      </c>
      <c r="I5" s="29">
        <f>H5</f>
        <v>1</v>
      </c>
      <c r="M5" s="72">
        <v>5</v>
      </c>
      <c r="N5" s="29">
        <f>基础状态预期!D18</f>
        <v>20</v>
      </c>
      <c r="O5" s="29">
        <f>IF(基础状态预期!F18="",0,求节点($C$104:$C$112,D$104:D$112,基础状态预期!K18))</f>
        <v>0</v>
      </c>
      <c r="P5" s="29">
        <f>IF(基础状态预期!G18="",0,求节点($C$104:$C$112,E$104:E$112,基础状态预期!L18))</f>
        <v>0</v>
      </c>
      <c r="Q5" s="29">
        <f>IF(基础状态预期!H18="",0,求节点($C$104:$C$112,F$104:F$112,基础状态预期!M18))</f>
        <v>0</v>
      </c>
      <c r="R5" s="29">
        <f>IF(基础状态预期!I18="",0,求节点($C$104:$C$112,G$104:G$112,基础状态预期!N18))</f>
        <v>1</v>
      </c>
      <c r="S5" s="29">
        <f>IF(基础状态预期!J18="",0,求节点($C$104:$C$112,H$104:H$112,基础状态预期!O18))</f>
        <v>0</v>
      </c>
      <c r="T5" s="29">
        <f>IF(基础状态预期!F18="",0,求节点($C$114:$C$122,D$114:D$122,基础状态预期!K18)*基础状态预期!F18+求节点($C$124:$C$132,D$124:D$132,基础状态预期!$O18)*基础状态预期!$J18)</f>
        <v>0</v>
      </c>
      <c r="U5" s="29">
        <f>IF(基础状态预期!G18="",0,求节点($C$114:$C$122,E$114:E$122,基础状态预期!L18)*基础状态预期!G18+求节点($C$124:$C$132,E$124:E$132,基础状态预期!$O18)*基础状态预期!$J18)</f>
        <v>0</v>
      </c>
      <c r="V5" s="29">
        <f>IF(基础状态预期!H18="",0,求节点($C$114:$C$122,F$114:F$122,基础状态预期!M18)*基础状态预期!H18+求节点($C$124:$C$132,F$124:F$132,基础状态预期!$O18)*基础状态预期!$J18)</f>
        <v>0</v>
      </c>
      <c r="W5" s="148">
        <f>IF(基础状态预期!I18="",0,求节点($C$114:$C$122,G$114:G$122,基础状态预期!N18)*基础状态预期!I18)+IF(基础状态预期!O18="",0,求节点($C$124:$C$132,G$124:G$132,基础状态预期!$O18)*基础状态预期!$J18)</f>
        <v>0</v>
      </c>
      <c r="X5" s="29">
        <f>IF(基础状态预期!J18="",0,求节点($C$114:$C$122,H$114:H$122,基础状态预期!O18)*基础状态预期!J18+求节点($C$124:$C$132,H$124:H$132,基础状态预期!$O18)*基础状态预期!$J18)</f>
        <v>0</v>
      </c>
      <c r="Y5" s="14">
        <f>IF(基础状态预期!K18="",0,求节点($C$92:$C$100,D$92:D$100,基础状态预期!K18))</f>
        <v>0</v>
      </c>
      <c r="Z5" s="14">
        <f>IF(基础状态预期!L18="",0,求节点($C$92:$C$100,E$92:E$100,基础状态预期!L18))</f>
        <v>0</v>
      </c>
      <c r="AA5" s="14">
        <f>IF(基础状态预期!M18="",0,求节点($C$92:$C$100,F$92:F$100,基础状态预期!M18))</f>
        <v>0</v>
      </c>
      <c r="AB5" s="14">
        <f>IF(基础状态预期!N18="",0,求节点($C$92:$C$100,G$92:G$100,基础状态预期!N18))</f>
        <v>0</v>
      </c>
      <c r="AC5" s="14">
        <f>IF(基础状态预期!O18="",0,求节点($C$92:$C$100,H$92:H$100,基础状态预期!O18))</f>
        <v>0</v>
      </c>
      <c r="AD5" s="29">
        <f>MAX(SUMPRODUCT(Y5:AC5,基础状态预期!F18:J18),AD4)</f>
        <v>4362.3534953916133</v>
      </c>
      <c r="AF5" s="29" t="str">
        <f>IF(基础状态预期!K18="","",基础状态预期!K18*D$59+D$58)</f>
        <v/>
      </c>
      <c r="AG5" s="29" t="str">
        <f>IF(基础状态预期!L18="","",基础状态预期!L18*E$59+E$58)</f>
        <v/>
      </c>
      <c r="AH5" s="29" t="str">
        <f>IF(基础状态预期!M18="","",基础状态预期!M18*F$59+F$58)</f>
        <v/>
      </c>
      <c r="AI5" s="29">
        <f>IF(基础状态预期!N18="","",基础状态预期!N18*G$59+G$58)</f>
        <v>85</v>
      </c>
      <c r="AJ5" s="29" t="str">
        <f>IF(基础状态预期!O18="","",基础状态预期!O18*H$59+H$58)</f>
        <v/>
      </c>
      <c r="AK5" s="29">
        <f>MAX(SUMPRODUCT(AF5:AJ5,基础状态预期!$F18:$J18)/SUM(基础状态预期!$F18:$J18),AK4)</f>
        <v>85</v>
      </c>
      <c r="AL5" s="29">
        <f>IF(基础状态预期!K18="",0,求节点($C$68:$C$76,D$68:D$76,基础状态预期!K18))</f>
        <v>0</v>
      </c>
      <c r="AM5" s="29">
        <f>IF(基础状态预期!L18="",0,求节点($C$68:$C$76,E$68:E$76,基础状态预期!L18))</f>
        <v>0</v>
      </c>
      <c r="AN5" s="29">
        <f>IF(基础状态预期!M18="",0,求节点($C$68:$C$76,F$68:F$76,基础状态预期!M18)*求节点(武将升级!$H$52:$H$54,武将升级!$J$52:$J$54,基础状态预期!W18))</f>
        <v>0</v>
      </c>
      <c r="AO5" s="29">
        <f>IF(基础状态预期!N18="",0,求节点($C$68:$C$76,G$68:G$76,基础状态预期!N18)*求节点(武将升级!$H$52:$H$54,武将升级!$J$52:$J$54,基础状态预期!X18))</f>
        <v>0.19800000000000001</v>
      </c>
      <c r="AP5" s="29">
        <f>IF(基础状态预期!O18="",0,求节点($C$68:$C$76,H$68:H$76,基础状态预期!O18)*求节点(武将升级!$H$52:$H$54,武将升级!$J$52:$J$54,基础状态预期!Y18))</f>
        <v>0</v>
      </c>
      <c r="AQ5" s="29">
        <f>MAX(SUMPRODUCT(AL5:AP5,基础状态预期!$F18:$J18)/SUM(基础状态预期!$F18:$J18),AQ4)</f>
        <v>0.19800000000000004</v>
      </c>
      <c r="AR5" s="29">
        <f>IF(基础状态预期!K18="",0,求节点($C$158:$C$166,D$158:D$166,基础状态预期!K18))</f>
        <v>0</v>
      </c>
      <c r="AS5" s="29">
        <f>IF(基础状态预期!L18="",0,求节点($C$158:$C$166,E$158:E$166,基础状态预期!L18))</f>
        <v>0</v>
      </c>
      <c r="AT5" s="29">
        <f>IF(基础状态预期!M18="",0,求节点($C$158:$C$166,F$158:F$166,基础状态预期!M18))</f>
        <v>0</v>
      </c>
      <c r="AU5" s="29">
        <f>IF(基础状态预期!N18="",0,求节点($C$158:$C$166,G$158:G$166,基础状态预期!N18))</f>
        <v>0</v>
      </c>
      <c r="AV5" s="29">
        <f>IF(基础状态预期!O18="",0,求节点($C$158:$C$166,H$158:H$166,基础状态预期!O18))</f>
        <v>0</v>
      </c>
      <c r="AW5" s="29">
        <f>MAX(SUMPRODUCT(AR5:AV5,基础状态预期!$F18:$J18)/SUM(基础状态预期!$F18:$J18),AW4)</f>
        <v>5.8164713271888178E-3</v>
      </c>
      <c r="AX5" s="16"/>
      <c r="BA5" s="29">
        <v>20</v>
      </c>
      <c r="BB5" s="29">
        <f t="shared" ref="BB5:BB13" si="4">求节点($N$4:$N$42,$AK$4:$AK$42,$BA5)</f>
        <v>85</v>
      </c>
      <c r="BC5" s="29">
        <f t="shared" si="0"/>
        <v>0.19800000000000004</v>
      </c>
      <c r="BD5" s="29">
        <f>(BB5-BB4)*(INDEX([2]非r将兵属性验证!$V$7:$V$166,$BA5,1)+INDEX([2]非r将兵属性验证!$AP$7:$AP$166,$BA5,1))+BD4</f>
        <v>29747853.547052655</v>
      </c>
      <c r="BE5" s="29">
        <f>(BC5-BC4)*(INDEX([2]非r将兵属性验证!$AC$7:$AC$166,$BA5,1)*[2]战法技能效用!$AH$4+INDEX([2]非r将兵属性验证!$AX$7:$AX$166,$BA5,1)*[2]战法技能效用!$AI$4)+BE4</f>
        <v>7165372.8642493868</v>
      </c>
      <c r="BF5" s="75">
        <f t="shared" si="1"/>
        <v>36913226.411302045</v>
      </c>
      <c r="BJ5" s="29">
        <f t="shared" ref="BJ5:BJ42" si="5">$N5</f>
        <v>20</v>
      </c>
      <c r="BK5" s="75">
        <f>武将数量星级阶位验证!AT8</f>
        <v>22096.934659166222</v>
      </c>
      <c r="BL5" s="75">
        <f>(AD5-AD4)*INDEX('[1]功能-付费相关'!$AQ$6:$AQ$165,BJ5,1)+BL4</f>
        <v>10.905883738479034</v>
      </c>
      <c r="BN5" s="29">
        <v>20</v>
      </c>
      <c r="BO5" s="29">
        <f t="shared" si="2"/>
        <v>22096.934659166222</v>
      </c>
      <c r="BP5" s="29">
        <f t="shared" si="3"/>
        <v>10.905883738479034</v>
      </c>
      <c r="BQ5" s="29">
        <f t="shared" ref="BQ5:BQ13" si="6">SUM(BO5:BP5)</f>
        <v>22107.840542904702</v>
      </c>
    </row>
    <row r="6" spans="2:69" x14ac:dyDescent="0.15">
      <c r="B6" s="170"/>
      <c r="C6" s="14">
        <v>1</v>
      </c>
      <c r="D6" s="29"/>
      <c r="E6" s="29">
        <v>1</v>
      </c>
      <c r="F6" s="29">
        <v>1</v>
      </c>
      <c r="G6" s="29">
        <v>1</v>
      </c>
      <c r="H6" s="29">
        <v>1</v>
      </c>
      <c r="I6" s="29">
        <f t="shared" ref="I6:I13" si="7">H6</f>
        <v>1</v>
      </c>
      <c r="M6" s="72">
        <v>6</v>
      </c>
      <c r="N6" s="29">
        <f>基础状态预期!D19</f>
        <v>28.071211008105138</v>
      </c>
      <c r="O6" s="29">
        <f>IF(基础状态预期!F19="",0,求节点($C$104:$C$112,D$104:D$112,基础状态预期!K19))</f>
        <v>0</v>
      </c>
      <c r="P6" s="29">
        <f>IF(基础状态预期!G19="",0,求节点($C$104:$C$112,E$104:E$112,基础状态预期!L19))</f>
        <v>0</v>
      </c>
      <c r="Q6" s="29">
        <f>IF(基础状态预期!H19="",0,求节点($C$104:$C$112,F$104:F$112,基础状态预期!M19))</f>
        <v>0</v>
      </c>
      <c r="R6" s="29">
        <f>IF(基础状态预期!I19="",0,求节点($C$104:$C$112,G$104:G$112,基础状态预期!N19))</f>
        <v>1.0470510520324257</v>
      </c>
      <c r="S6" s="29">
        <f>IF(基础状态预期!J19="",0,求节点($C$104:$C$112,H$104:H$112,基础状态预期!O19))</f>
        <v>0</v>
      </c>
      <c r="T6" s="29">
        <f>IF(基础状态预期!F19="",0,求节点($C$114:$C$122,D$114:D$122,基础状态预期!K19)*基础状态预期!F19+求节点($C$124:$C$132,D$124:D$132,基础状态预期!$O19)*基础状态预期!$J19)</f>
        <v>0</v>
      </c>
      <c r="U6" s="29">
        <f>IF(基础状态预期!G19="",0,求节点($C$114:$C$122,E$114:E$122,基础状态预期!L19)*基础状态预期!G19+求节点($C$124:$C$132,E$124:E$132,基础状态预期!$O19)*基础状态预期!$J19)</f>
        <v>0</v>
      </c>
      <c r="V6" s="29">
        <f>IF(基础状态预期!H19="",0,求节点($C$114:$C$122,F$114:F$122,基础状态预期!M19)*基础状态预期!H19+求节点($C$124:$C$132,F$124:F$132,基础状态预期!$O19)*基础状态预期!$J19)</f>
        <v>0</v>
      </c>
      <c r="W6" s="148">
        <f>IF(基础状态预期!I19="",0,求节点($C$114:$C$122,G$114:G$122,基础状态预期!N19)*基础状态预期!I19)+IF(基础状态预期!O19="",0,求节点($C$124:$C$132,G$124:G$132,基础状态预期!$O19)*基础状态预期!$J19)</f>
        <v>0</v>
      </c>
      <c r="X6" s="29">
        <f>IF(基础状态预期!J19="",0,求节点($C$114:$C$122,H$114:H$122,基础状态预期!O19)*基础状态预期!J19+求节点($C$124:$C$132,H$124:H$132,基础状态预期!$O19)*基础状态预期!$J19)</f>
        <v>0</v>
      </c>
      <c r="Y6" s="14">
        <f>IF(基础状态预期!K19="",0,求节点($C$92:$C$100,D$92:D$100,基础状态预期!K19))</f>
        <v>0</v>
      </c>
      <c r="Z6" s="14">
        <f>IF(基础状态预期!L19="",0,求节点($C$92:$C$100,E$92:E$100,基础状态预期!L19))</f>
        <v>0</v>
      </c>
      <c r="AA6" s="14">
        <f>IF(基础状态预期!M19="",0,求节点($C$92:$C$100,F$92:F$100,基础状态预期!M19))</f>
        <v>0</v>
      </c>
      <c r="AB6" s="14">
        <f>IF(基础状态预期!N19="",0,求节点($C$92:$C$100,G$92:G$100,基础状态预期!N19))</f>
        <v>470.51052032425656</v>
      </c>
      <c r="AC6" s="14">
        <f>IF(基础状态预期!O19="",0,求节点($C$92:$C$100,H$92:H$100,基础状态预期!O19))</f>
        <v>0</v>
      </c>
      <c r="AD6" s="29">
        <f>MAX(SUMPRODUCT(Y6:AC6,基础状态预期!F19:J19),AD5)</f>
        <v>4362.3534953916133</v>
      </c>
      <c r="AF6" s="29" t="str">
        <f>IF(基础状态预期!K19="","",基础状态预期!K19*D$59+D$58)</f>
        <v/>
      </c>
      <c r="AG6" s="29" t="str">
        <f>IF(基础状态预期!L19="","",基础状态预期!L19*E$59+E$58)</f>
        <v/>
      </c>
      <c r="AH6" s="29" t="str">
        <f>IF(基础状态预期!M19="","",基础状态预期!M19*F$59+F$58)</f>
        <v/>
      </c>
      <c r="AI6" s="29">
        <f>IF(基础状态预期!N19="","",基础状态预期!N19*G$59+G$58)</f>
        <v>85.235255260162134</v>
      </c>
      <c r="AJ6" s="29" t="str">
        <f>IF(基础状态预期!O19="","",基础状态预期!O19*H$59+H$58)</f>
        <v/>
      </c>
      <c r="AK6" s="29">
        <f>MAX(SUMPRODUCT(AF6:AJ6,基础状态预期!$F19:$J19)/SUM(基础状态预期!$F19:$J19),AK5)</f>
        <v>85.235255260162134</v>
      </c>
      <c r="AL6" s="29">
        <f>IF(基础状态预期!K19="",0,求节点($C$68:$C$76,D$68:D$76,基础状态预期!K19))</f>
        <v>0</v>
      </c>
      <c r="AM6" s="29">
        <f>IF(基础状态预期!L19="",0,求节点($C$68:$C$76,E$68:E$76,基础状态预期!L19))</f>
        <v>0</v>
      </c>
      <c r="AN6" s="29">
        <f>IF(基础状态预期!M19="",0,求节点($C$68:$C$76,F$68:F$76,基础状态预期!M19)*求节点(武将升级!$H$52:$H$54,武将升级!$J$52:$J$54,基础状态预期!W19))</f>
        <v>0</v>
      </c>
      <c r="AO6" s="29">
        <f>IF(基础状态预期!N19="",0,求节点($C$68:$C$76,G$68:G$76,基础状态预期!N19)*求节点(武将升级!$H$52:$H$54,武将升级!$J$52:$J$54,基础状态预期!X19))</f>
        <v>0.21586140463019357</v>
      </c>
      <c r="AP6" s="29">
        <f>IF(基础状态预期!O19="",0,求节点($C$68:$C$76,H$68:H$76,基础状态预期!O19)*求节点(武将升级!$H$52:$H$54,武将升级!$J$52:$J$54,基础状态预期!Y19))</f>
        <v>0</v>
      </c>
      <c r="AQ6" s="29">
        <f>MAX(SUMPRODUCT(AL6:AP6,基础状态预期!$F19:$J19)/SUM(基础状态预期!$F19:$J19),AQ5)</f>
        <v>0.21586140463019357</v>
      </c>
      <c r="AR6" s="29">
        <f>IF(基础状态预期!K19="",0,求节点($C$158:$C$166,D$158:D$166,基础状态预期!K19))</f>
        <v>0</v>
      </c>
      <c r="AS6" s="29">
        <f>IF(基础状态预期!L19="",0,求节点($C$158:$C$166,E$158:E$166,基础状态预期!L19))</f>
        <v>0</v>
      </c>
      <c r="AT6" s="29">
        <f>IF(基础状态预期!M19="",0,求节点($C$158:$C$166,F$158:F$166,基础状态预期!M19))</f>
        <v>0</v>
      </c>
      <c r="AU6" s="29">
        <f>IF(基础状态预期!N19="",0,求节点($C$158:$C$166,G$158:G$166,基础状态预期!N19))</f>
        <v>3.2935736422697961E-3</v>
      </c>
      <c r="AV6" s="29">
        <f>IF(基础状态预期!O19="",0,求节点($C$158:$C$166,H$158:H$166,基础状态预期!O19))</f>
        <v>0</v>
      </c>
      <c r="AW6" s="29">
        <f>MAX(SUMPRODUCT(AR6:AV6,基础状态预期!$F19:$J19)/SUM(基础状态预期!$F19:$J19),AW5)</f>
        <v>5.8164713271888178E-3</v>
      </c>
      <c r="AX6" s="16"/>
      <c r="BA6" s="29">
        <v>30</v>
      </c>
      <c r="BB6" s="29">
        <f t="shared" si="4"/>
        <v>85.816630577410308</v>
      </c>
      <c r="BC6" s="29">
        <f t="shared" si="0"/>
        <v>0.22527721733099138</v>
      </c>
      <c r="BD6" s="29">
        <f>(BB6-BB5)*(INDEX([2]非r将兵属性验证!$V$7:$V$166,$BA6,1)+INDEX([2]非r将兵属性验证!$AP$7:$AP$166,$BA6,1))+BD5</f>
        <v>32148675.836983897</v>
      </c>
      <c r="BE6" s="29">
        <f>(BC6-BC5)*(INDEX([2]非r将兵属性验证!$AC$7:$AC$166,$BA6,1)*[2]战法技能效用!$AH$4+INDEX([2]非r将兵属性验证!$AX$7:$AX$166,$BA6,1)*[2]战法技能效用!$AI$4)+BE5</f>
        <v>13482184.334291644</v>
      </c>
      <c r="BF6" s="75">
        <f t="shared" si="1"/>
        <v>45630860.171275541</v>
      </c>
      <c r="BJ6" s="29">
        <f t="shared" si="5"/>
        <v>28.071211008105138</v>
      </c>
      <c r="BK6" s="75">
        <f>武将数量星级阶位验证!AT9</f>
        <v>37261.904102831009</v>
      </c>
      <c r="BL6" s="75">
        <f>(AD6-AD5)*INDEX('[1]功能-付费相关'!$AQ$6:$AQ$165,BJ6,1)+BL5</f>
        <v>10.905883738479034</v>
      </c>
      <c r="BN6" s="29">
        <v>30</v>
      </c>
      <c r="BO6" s="29">
        <f t="shared" si="2"/>
        <v>41245.291229001392</v>
      </c>
      <c r="BP6" s="29">
        <f t="shared" si="3"/>
        <v>21.92070237888862</v>
      </c>
      <c r="BQ6" s="29">
        <f t="shared" si="6"/>
        <v>41267.211931380283</v>
      </c>
    </row>
    <row r="7" spans="2:69" x14ac:dyDescent="0.15">
      <c r="B7" s="170"/>
      <c r="C7" s="14">
        <v>2</v>
      </c>
      <c r="D7" s="29"/>
      <c r="E7" s="29">
        <v>1</v>
      </c>
      <c r="F7" s="29">
        <v>1</v>
      </c>
      <c r="G7" s="29">
        <v>1</v>
      </c>
      <c r="H7" s="29">
        <v>1</v>
      </c>
      <c r="I7" s="29">
        <f t="shared" si="7"/>
        <v>1</v>
      </c>
      <c r="M7" s="72">
        <v>7</v>
      </c>
      <c r="N7" s="29">
        <f>基础状态预期!D20</f>
        <v>34.585942742481357</v>
      </c>
      <c r="O7" s="29">
        <f>IF(基础状态预期!F20="",0,求节点($C$104:$C$112,D$104:D$112,基础状态预期!K20))</f>
        <v>0</v>
      </c>
      <c r="P7" s="29">
        <f>IF(基础状态预期!G20="",0,求节点($C$104:$C$112,E$104:E$112,基础状态预期!L20))</f>
        <v>0</v>
      </c>
      <c r="Q7" s="29">
        <f>IF(基础状态预期!H20="",0,求节点($C$104:$C$112,F$104:F$112,基础状态预期!M20))</f>
        <v>0</v>
      </c>
      <c r="R7" s="29">
        <f>IF(基础状态预期!I20="",0,求节点($C$104:$C$112,G$104:G$112,基础状态预期!N20))</f>
        <v>1.4397849638056219</v>
      </c>
      <c r="S7" s="29">
        <f>IF(基础状态预期!J20="",0,求节点($C$104:$C$112,H$104:H$112,基础状态预期!O20))</f>
        <v>0</v>
      </c>
      <c r="T7" s="29">
        <f>IF(基础状态预期!F20="",0,求节点($C$114:$C$122,D$114:D$122,基础状态预期!K20)*基础状态预期!F20+求节点($C$124:$C$132,D$124:D$132,基础状态预期!$O20)*基础状态预期!$J20)</f>
        <v>0</v>
      </c>
      <c r="U7" s="29">
        <f>IF(基础状态预期!G20="",0,求节点($C$114:$C$122,E$114:E$122,基础状态预期!L20)*基础状态预期!G20+求节点($C$124:$C$132,E$124:E$132,基础状态预期!$O20)*基础状态预期!$J20)</f>
        <v>0</v>
      </c>
      <c r="V7" s="29">
        <f>IF(基础状态预期!H20="",0,求节点($C$114:$C$122,F$114:F$122,基础状态预期!M20)*基础状态预期!H20+求节点($C$124:$C$132,F$124:F$132,基础状态预期!$O20)*基础状态预期!$J20)</f>
        <v>0</v>
      </c>
      <c r="W7" s="148">
        <f>IF(基础状态预期!I20="",0,求节点($C$114:$C$122,G$114:G$122,基础状态预期!N20)*基础状态预期!I20)+IF(基础状态预期!O20="",0,求节点($C$124:$C$132,G$124:G$132,基础状态预期!$O20)*基础状态预期!$J20)</f>
        <v>0</v>
      </c>
      <c r="X7" s="29">
        <f>IF(基础状态预期!J20="",0,求节点($C$114:$C$122,H$114:H$122,基础状态预期!O20)*基础状态预期!J20+求节点($C$124:$C$132,H$124:H$132,基础状态预期!$O20)*基础状态预期!$J20)</f>
        <v>0</v>
      </c>
      <c r="Y7" s="14">
        <f>IF(基础状态预期!K20="",0,求节点($C$92:$C$100,D$92:D$100,基础状态预期!K20))</f>
        <v>0</v>
      </c>
      <c r="Z7" s="14">
        <f>IF(基础状态预期!L20="",0,求节点($C$92:$C$100,E$92:E$100,基础状态预期!L20))</f>
        <v>0</v>
      </c>
      <c r="AA7" s="14">
        <f>IF(基础状态预期!M20="",0,求节点($C$92:$C$100,F$92:F$100,基础状态预期!M20))</f>
        <v>0</v>
      </c>
      <c r="AB7" s="14">
        <f>IF(基础状态预期!N20="",0,求节点($C$92:$C$100,G$92:G$100,基础状态预期!N20))</f>
        <v>4397.8496380562192</v>
      </c>
      <c r="AC7" s="14">
        <f>IF(基础状态预期!O20="",0,求节点($C$92:$C$100,H$92:H$100,基础状态预期!O20))</f>
        <v>0</v>
      </c>
      <c r="AD7" s="29">
        <f>MAX(SUMPRODUCT(Y7:AC7,基础状态预期!F20:J20),AD6)</f>
        <v>26387.097828337315</v>
      </c>
      <c r="AF7" s="29" t="str">
        <f>IF(基础状态预期!K20="","",基础状态预期!K20*D$59+D$58)</f>
        <v/>
      </c>
      <c r="AG7" s="29" t="str">
        <f>IF(基础状态预期!L20="","",基础状态预期!L20*E$59+E$58)</f>
        <v/>
      </c>
      <c r="AH7" s="29" t="str">
        <f>IF(基础状态预期!M20="","",基础状态预期!M20*F$59+F$58)</f>
        <v/>
      </c>
      <c r="AI7" s="29">
        <f>IF(基础状态预期!N20="","",基础状态预期!N20*G$59+G$58)</f>
        <v>87.198924819028107</v>
      </c>
      <c r="AJ7" s="29" t="str">
        <f>IF(基础状态预期!O20="","",基础状态预期!O20*H$59+H$58)</f>
        <v/>
      </c>
      <c r="AK7" s="29">
        <f>MAX(SUMPRODUCT(AF7:AJ7,基础状态预期!$F20:$J20)/SUM(基础状态预期!$F20:$J20),AK6)</f>
        <v>87.198924819028107</v>
      </c>
      <c r="AL7" s="29">
        <f>IF(基础状态预期!K20="",0,求节点($C$68:$C$76,D$68:D$76,基础状态预期!K20))</f>
        <v>0</v>
      </c>
      <c r="AM7" s="29">
        <f>IF(基础状态预期!L20="",0,求节点($C$68:$C$76,E$68:E$76,基础状态预期!L20))</f>
        <v>0</v>
      </c>
      <c r="AN7" s="29">
        <f>IF(基础状态预期!M20="",0,求节点($C$68:$C$76,F$68:F$76,基础状态预期!M20)*求节点(武将升级!$H$52:$H$54,武将升级!$J$52:$J$54,基础状态预期!W20))</f>
        <v>0</v>
      </c>
      <c r="AO7" s="29">
        <f>IF(基础状态预期!N20="",0,求节点($C$68:$C$76,G$68:G$76,基础状态预期!N20)*求节点(武将升级!$H$52:$H$54,武将升级!$J$52:$J$54,基础状态预期!X20))</f>
        <v>0.2476645173940048</v>
      </c>
      <c r="AP7" s="29">
        <f>IF(基础状态预期!O20="",0,求节点($C$68:$C$76,H$68:H$76,基础状态预期!O20)*求节点(武将升级!$H$52:$H$54,武将升级!$J$52:$J$54,基础状态预期!Y20))</f>
        <v>0</v>
      </c>
      <c r="AQ7" s="29">
        <f>MAX(SUMPRODUCT(AL7:AP7,基础状态预期!$F20:$J20)/SUM(基础状态预期!$F20:$J20),AQ6)</f>
        <v>0.24766451739400477</v>
      </c>
      <c r="AR7" s="29">
        <f>IF(基础状态预期!K20="",0,求节点($C$158:$C$166,D$158:D$166,基础状态预期!K20))</f>
        <v>0</v>
      </c>
      <c r="AS7" s="29">
        <f>IF(基础状态预期!L20="",0,求节点($C$158:$C$166,E$158:E$166,基础状态预期!L20))</f>
        <v>0</v>
      </c>
      <c r="AT7" s="29">
        <f>IF(基础状态预期!M20="",0,求节点($C$158:$C$166,F$158:F$166,基础状态预期!M20))</f>
        <v>0</v>
      </c>
      <c r="AU7" s="29">
        <f>IF(基础状态预期!N20="",0,求节点($C$158:$C$166,G$158:G$166,基础状态预期!N20))</f>
        <v>3.0784947466393538E-2</v>
      </c>
      <c r="AV7" s="29">
        <f>IF(基础状态预期!O20="",0,求节点($C$158:$C$166,H$158:H$166,基础状态预期!O20))</f>
        <v>0</v>
      </c>
      <c r="AW7" s="29">
        <f>MAX(SUMPRODUCT(AR7:AV7,基础状态预期!$F20:$J20)/SUM(基础状态预期!$F20:$J20),AW6)</f>
        <v>3.0784947466393538E-2</v>
      </c>
      <c r="AX7" s="16"/>
      <c r="BA7" s="29">
        <v>40</v>
      </c>
      <c r="BB7" s="29">
        <f t="shared" si="4"/>
        <v>89.275668884459563</v>
      </c>
      <c r="BC7" s="29">
        <f t="shared" si="0"/>
        <v>0.27756963193621775</v>
      </c>
      <c r="BD7" s="29">
        <f>(BB7-BB6)*(INDEX([2]非r将兵属性验证!$V$7:$V$166,$BA7,1)+INDEX([2]非r将兵属性验证!$AP$7:$AP$166,$BA7,1))+BD6</f>
        <v>61878681.080652118</v>
      </c>
      <c r="BE7" s="29">
        <f>(BC7-BC6)*(INDEX([2]非r将兵属性验证!$AC$7:$AC$166,$BA7,1)*[2]战法技能效用!$AH$4+INDEX([2]非r将兵属性验证!$AX$7:$AX$166,$BA7,1)*[2]战法技能效用!$AI$4)+BE6</f>
        <v>49682850.366013996</v>
      </c>
      <c r="BF7" s="75">
        <f t="shared" si="1"/>
        <v>111561531.44666612</v>
      </c>
      <c r="BJ7" s="29">
        <f t="shared" si="5"/>
        <v>34.585942742481357</v>
      </c>
      <c r="BK7" s="75">
        <f>武将数量星级阶位验证!AT10</f>
        <v>50716.304055452922</v>
      </c>
      <c r="BL7" s="75">
        <f>(AD7-AD6)*INDEX('[1]功能-付费相关'!$AQ$6:$AQ$165,BJ7,1)+BL6</f>
        <v>48.109843760346777</v>
      </c>
      <c r="BN7" s="29">
        <v>40</v>
      </c>
      <c r="BO7" s="29">
        <f t="shared" si="2"/>
        <v>64715.800327319994</v>
      </c>
      <c r="BP7" s="29">
        <f t="shared" si="3"/>
        <v>87.048794987186554</v>
      </c>
      <c r="BQ7" s="29">
        <f t="shared" si="6"/>
        <v>64802.849122307183</v>
      </c>
    </row>
    <row r="8" spans="2:69" x14ac:dyDescent="0.15">
      <c r="B8" s="170"/>
      <c r="C8" s="14">
        <v>3</v>
      </c>
      <c r="D8" s="29"/>
      <c r="E8" s="29">
        <v>2</v>
      </c>
      <c r="F8" s="29">
        <v>2</v>
      </c>
      <c r="G8" s="29">
        <v>1</v>
      </c>
      <c r="H8" s="29">
        <v>1</v>
      </c>
      <c r="I8" s="29">
        <f t="shared" si="7"/>
        <v>1</v>
      </c>
      <c r="M8" s="72">
        <v>8</v>
      </c>
      <c r="N8" s="29">
        <f>基础状态预期!D21</f>
        <v>40</v>
      </c>
      <c r="O8" s="29">
        <f>IF(基础状态预期!F21="",0,求节点($C$104:$C$112,D$104:D$112,基础状态预期!K21))</f>
        <v>0</v>
      </c>
      <c r="P8" s="29">
        <f>IF(基础状态预期!G21="",0,求节点($C$104:$C$112,E$104:E$112,基础状态预期!L21))</f>
        <v>0</v>
      </c>
      <c r="Q8" s="29">
        <f>IF(基础状态预期!H21="",0,求节点($C$104:$C$112,F$104:F$112,基础状态预期!M21))</f>
        <v>0</v>
      </c>
      <c r="R8" s="29">
        <f>IF(基础状态预期!I21="",0,求节点($C$104:$C$112,G$104:G$112,基础状态预期!N21))</f>
        <v>1.8551337768919127</v>
      </c>
      <c r="S8" s="29">
        <f>IF(基础状态预期!J21="",0,求节点($C$104:$C$112,H$104:H$112,基础状态预期!O21))</f>
        <v>0</v>
      </c>
      <c r="T8" s="29">
        <f>IF(基础状态预期!F21="",0,求节点($C$114:$C$122,D$114:D$122,基础状态预期!K21)*基础状态预期!F21+求节点($C$124:$C$132,D$124:D$132,基础状态预期!$O21)*基础状态预期!$J21)</f>
        <v>0</v>
      </c>
      <c r="U8" s="29">
        <f>IF(基础状态预期!G21="",0,求节点($C$114:$C$122,E$114:E$122,基础状态预期!L21)*基础状态预期!G21+求节点($C$124:$C$132,E$124:E$132,基础状态预期!$O21)*基础状态预期!$J21)</f>
        <v>0</v>
      </c>
      <c r="V8" s="29">
        <f>IF(基础状态预期!H21="",0,求节点($C$114:$C$122,F$114:F$122,基础状态预期!M21)*基础状态预期!H21+求节点($C$124:$C$132,F$124:F$132,基础状态预期!$O21)*基础状态预期!$J21)</f>
        <v>0</v>
      </c>
      <c r="W8" s="148">
        <f>IF(基础状态预期!I21="",0,求节点($C$114:$C$122,G$114:G$122,基础状态预期!N21)*基础状态预期!I21)+IF(基础状态预期!O21="",0,求节点($C$124:$C$132,G$124:G$132,基础状态预期!$O21)*基础状态预期!$J21)</f>
        <v>0</v>
      </c>
      <c r="X8" s="29">
        <f>IF(基础状态预期!J21="",0,求节点($C$114:$C$122,H$114:H$122,基础状态预期!O21)*基础状态预期!J21+求节点($C$124:$C$132,H$124:H$132,基础状态预期!$O21)*基础状态预期!$J21)</f>
        <v>0</v>
      </c>
      <c r="Y8" s="14">
        <f>IF(基础状态预期!K21="",0,求节点($C$92:$C$100,D$92:D$100,基础状态预期!K21))</f>
        <v>0</v>
      </c>
      <c r="Z8" s="14">
        <f>IF(基础状态预期!L21="",0,求节点($C$92:$C$100,E$92:E$100,基础状态预期!L21))</f>
        <v>0</v>
      </c>
      <c r="AA8" s="14">
        <f>IF(基础状态预期!M21="",0,求节点($C$92:$C$100,F$92:F$100,基础状态预期!M21))</f>
        <v>0</v>
      </c>
      <c r="AB8" s="14">
        <f>IF(基础状态预期!N21="",0,求节点($C$92:$C$100,G$92:G$100,基础状态预期!N21))</f>
        <v>8551.3377689191275</v>
      </c>
      <c r="AC8" s="14">
        <f>IF(基础状态预期!O21="",0,求节点($C$92:$C$100,H$92:H$100,基础状态预期!O21))</f>
        <v>0</v>
      </c>
      <c r="AD8" s="29">
        <f>MAX(SUMPRODUCT(Y8:AC8,基础状态预期!F21:J21),AD7)</f>
        <v>51308.026613514769</v>
      </c>
      <c r="AF8" s="29" t="str">
        <f>IF(基础状态预期!K21="","",基础状态预期!K21*D$59+D$58)</f>
        <v/>
      </c>
      <c r="AG8" s="29" t="str">
        <f>IF(基础状态预期!L21="","",基础状态预期!L21*E$59+E$58)</f>
        <v/>
      </c>
      <c r="AH8" s="29" t="str">
        <f>IF(基础状态预期!M21="","",基础状态预期!M21*F$59+F$58)</f>
        <v/>
      </c>
      <c r="AI8" s="29">
        <f>IF(基础状态预期!N21="","",基础状态预期!N21*G$59+G$58)</f>
        <v>89.275668884459563</v>
      </c>
      <c r="AJ8" s="29" t="str">
        <f>IF(基础状态预期!O21="","",基础状态预期!O21*H$59+H$58)</f>
        <v/>
      </c>
      <c r="AK8" s="29">
        <f>MAX(SUMPRODUCT(AF8:AJ8,基础状态预期!$F21:$J21)/SUM(基础状态预期!$F21:$J21),AK7)</f>
        <v>89.275668884459563</v>
      </c>
      <c r="AL8" s="29">
        <f>IF(基础状态预期!K21="",0,求节点($C$68:$C$76,D$68:D$76,基础状态预期!K21))</f>
        <v>0</v>
      </c>
      <c r="AM8" s="29">
        <f>IF(基础状态预期!L21="",0,求节点($C$68:$C$76,E$68:E$76,基础状态预期!L21))</f>
        <v>0</v>
      </c>
      <c r="AN8" s="29">
        <f>IF(基础状态预期!M21="",0,求节点($C$68:$C$76,F$68:F$76,基础状态预期!M21)*求节点(武将升级!$H$52:$H$54,武将升级!$J$52:$J$54,基础状态预期!W21))</f>
        <v>0</v>
      </c>
      <c r="AO8" s="29">
        <f>IF(基础状态预期!N21="",0,求节点($C$68:$C$76,G$68:G$76,基础状态预期!N21)*求节点(武将升级!$H$52:$H$54,武将升级!$J$52:$J$54,基础状态预期!X21))</f>
        <v>0.27756963193621775</v>
      </c>
      <c r="AP8" s="29">
        <f>IF(基础状态预期!O21="",0,求节点($C$68:$C$76,H$68:H$76,基础状态预期!O21)*求节点(武将升级!$H$52:$H$54,武将升级!$J$52:$J$54,基础状态预期!Y21))</f>
        <v>0</v>
      </c>
      <c r="AQ8" s="29">
        <f>MAX(SUMPRODUCT(AL8:AP8,基础状态预期!$F21:$J21)/SUM(基础状态预期!$F21:$J21),AQ7)</f>
        <v>0.27756963193621775</v>
      </c>
      <c r="AR8" s="29">
        <f>IF(基础状态预期!K21="",0,求节点($C$158:$C$166,D$158:D$166,基础状态预期!K21))</f>
        <v>0</v>
      </c>
      <c r="AS8" s="29">
        <f>IF(基础状态预期!L21="",0,求节点($C$158:$C$166,E$158:E$166,基础状态预期!L21))</f>
        <v>0</v>
      </c>
      <c r="AT8" s="29">
        <f>IF(基础状态预期!M21="",0,求节点($C$158:$C$166,F$158:F$166,基础状态预期!M21))</f>
        <v>0</v>
      </c>
      <c r="AU8" s="29">
        <f>IF(基础状态预期!N21="",0,求节点($C$158:$C$166,G$158:G$166,基础状态预期!N21))</f>
        <v>5.9859364382433895E-2</v>
      </c>
      <c r="AV8" s="29">
        <f>IF(基础状态预期!O21="",0,求节点($C$158:$C$166,H$158:H$166,基础状态预期!O21))</f>
        <v>0</v>
      </c>
      <c r="AW8" s="29">
        <f>MAX(SUMPRODUCT(AR8:AV8,基础状态预期!$F21:$J21)/SUM(基础状态预期!$F21:$J21),AW7)</f>
        <v>5.9859364382433895E-2</v>
      </c>
      <c r="AX8" s="16"/>
      <c r="BA8" s="29">
        <v>50</v>
      </c>
      <c r="BB8" s="29">
        <f t="shared" si="4"/>
        <v>95.369584259038334</v>
      </c>
      <c r="BC8" s="29">
        <f t="shared" si="0"/>
        <v>0.36663313977602235</v>
      </c>
      <c r="BD8" s="29">
        <f>(BB8-BB7)*(INDEX([2]非r将兵属性验证!$V$7:$V$166,$BA8,1)+INDEX([2]非r将兵属性验证!$AP$7:$AP$166,$BA8,1))+BD7</f>
        <v>161452862.81085223</v>
      </c>
      <c r="BE8" s="29">
        <f>(BC8-BC7)*(INDEX([2]非r将兵属性验证!$AC$7:$AC$166,$BA8,1)*[2]战法技能效用!$AH$4+INDEX([2]非r将兵属性验证!$AX$7:$AX$166,$BA8,1)*[2]战法技能效用!$AI$4)+BE7</f>
        <v>176231248.5403356</v>
      </c>
      <c r="BF8" s="75">
        <f t="shared" si="1"/>
        <v>337684111.35118783</v>
      </c>
      <c r="BJ8" s="29">
        <f t="shared" si="5"/>
        <v>40</v>
      </c>
      <c r="BK8" s="75">
        <f>武将数量星级阶位验证!AT11</f>
        <v>64715.800327319994</v>
      </c>
      <c r="BL8" s="75">
        <f>(AD8-AD7)*INDEX('[1]功能-付费相关'!$AQ$6:$AQ$165,BJ8,1)+BL7</f>
        <v>87.048794987186554</v>
      </c>
      <c r="BN8" s="29">
        <v>50</v>
      </c>
      <c r="BO8" s="29">
        <f t="shared" si="2"/>
        <v>107493.31929975102</v>
      </c>
      <c r="BP8" s="29">
        <f t="shared" si="3"/>
        <v>286.33281978958519</v>
      </c>
      <c r="BQ8" s="29">
        <f t="shared" si="6"/>
        <v>107779.65211954061</v>
      </c>
    </row>
    <row r="9" spans="2:69" x14ac:dyDescent="0.15">
      <c r="B9" s="170"/>
      <c r="C9" s="14">
        <v>4</v>
      </c>
      <c r="D9" s="29"/>
      <c r="E9" s="29"/>
      <c r="F9" s="29">
        <v>2</v>
      </c>
      <c r="G9" s="29">
        <v>2</v>
      </c>
      <c r="H9" s="29">
        <v>2</v>
      </c>
      <c r="I9" s="29">
        <f t="shared" si="7"/>
        <v>2</v>
      </c>
      <c r="M9" s="72">
        <v>9</v>
      </c>
      <c r="N9" s="29">
        <f>基础状态预期!D22</f>
        <v>43.920692243099523</v>
      </c>
      <c r="O9" s="29">
        <f>IF(基础状态预期!F22="",0,求节点($C$104:$C$112,D$104:D$112,基础状态预期!K22))</f>
        <v>0</v>
      </c>
      <c r="P9" s="29">
        <f>IF(基础状态预期!G22="",0,求节点($C$104:$C$112,E$104:E$112,基础状态预期!L22))</f>
        <v>0</v>
      </c>
      <c r="Q9" s="29">
        <f>IF(基础状态预期!H22="",0,求节点($C$104:$C$112,F$104:F$112,基础状态预期!M22))</f>
        <v>0</v>
      </c>
      <c r="R9" s="29">
        <f>IF(基础状态预期!I22="",0,求节点($C$104:$C$112,G$104:G$112,基础状态预期!N22))</f>
        <v>2.2620106040520085</v>
      </c>
      <c r="S9" s="29">
        <f>IF(基础状态预期!J22="",0,求节点($C$104:$C$112,H$104:H$112,基础状态预期!O22))</f>
        <v>0</v>
      </c>
      <c r="T9" s="29">
        <f>IF(基础状态预期!F22="",0,求节点($C$114:$C$122,D$114:D$122,基础状态预期!K22)*基础状态预期!F22+求节点($C$124:$C$132,D$124:D$132,基础状态预期!$O22)*基础状态预期!$J22)</f>
        <v>0</v>
      </c>
      <c r="U9" s="29">
        <f>IF(基础状态预期!G22="",0,求节点($C$114:$C$122,E$114:E$122,基础状态预期!L22)*基础状态预期!G22+求节点($C$124:$C$132,E$124:E$132,基础状态预期!$O22)*基础状态预期!$J22)</f>
        <v>0</v>
      </c>
      <c r="V9" s="29">
        <f>IF(基础状态预期!H22="",0,求节点($C$114:$C$122,F$114:F$122,基础状态预期!M22)*基础状态预期!H22+求节点($C$124:$C$132,F$124:F$132,基础状态预期!$O22)*基础状态预期!$J22)</f>
        <v>0</v>
      </c>
      <c r="W9" s="148">
        <f>IF(基础状态预期!I22="",0,求节点($C$114:$C$122,G$114:G$122,基础状态预期!N22)*基础状态预期!I22)+IF(基础状态预期!O22="",0,求节点($C$124:$C$132,G$124:G$132,基础状态预期!$O22)*基础状态预期!$J22)</f>
        <v>0</v>
      </c>
      <c r="X9" s="29">
        <f>IF(基础状态预期!J22="",0,求节点($C$114:$C$122,H$114:H$122,基础状态预期!O22)*基础状态预期!J22+求节点($C$124:$C$132,H$124:H$132,基础状态预期!$O22)*基础状态预期!$J22)</f>
        <v>0</v>
      </c>
      <c r="Y9" s="14">
        <f>IF(基础状态预期!K22="",0,求节点($C$92:$C$100,D$92:D$100,基础状态预期!K22))</f>
        <v>0</v>
      </c>
      <c r="Z9" s="14">
        <f>IF(基础状态预期!L22="",0,求节点($C$92:$C$100,E$92:E$100,基础状态预期!L22))</f>
        <v>0</v>
      </c>
      <c r="AA9" s="14">
        <f>IF(基础状态预期!M22="",0,求节点($C$92:$C$100,F$92:F$100,基础状态预期!M22))</f>
        <v>0</v>
      </c>
      <c r="AB9" s="14">
        <f>IF(基础状态预期!N22="",0,求节点($C$92:$C$100,G$92:G$100,基础状态预期!N22))</f>
        <v>15240.21208104017</v>
      </c>
      <c r="AC9" s="14">
        <f>IF(基础状态预期!O22="",0,求节点($C$92:$C$100,H$92:H$100,基础状态预期!O22))</f>
        <v>0</v>
      </c>
      <c r="AD9" s="29">
        <f>MAX(SUMPRODUCT(Y9:AC9,基础状态预期!F22:J22),AD8)</f>
        <v>91441.272486241025</v>
      </c>
      <c r="AF9" s="29" t="str">
        <f>IF(基础状态预期!K22="","",基础状态预期!K22*D$59+D$58)</f>
        <v/>
      </c>
      <c r="AG9" s="29" t="str">
        <f>IF(基础状态预期!L22="","",基础状态预期!L22*E$59+E$58)</f>
        <v/>
      </c>
      <c r="AH9" s="29" t="str">
        <f>IF(基础状态预期!M22="","",基础状态预期!M22*F$59+F$58)</f>
        <v/>
      </c>
      <c r="AI9" s="29">
        <f>IF(基础状态预期!N22="","",基础状态预期!N22*G$59+G$58)</f>
        <v>91.310053020260042</v>
      </c>
      <c r="AJ9" s="29" t="str">
        <f>IF(基础状态预期!O22="","",基础状态预期!O22*H$59+H$58)</f>
        <v/>
      </c>
      <c r="AK9" s="29">
        <f>MAX(SUMPRODUCT(AF9:AJ9,基础状态预期!$F22:$J22)/SUM(基础状态预期!$F22:$J22),AK8)</f>
        <v>91.310053020260042</v>
      </c>
      <c r="AL9" s="29">
        <f>IF(基础状态预期!K22="",0,求节点($C$68:$C$76,D$68:D$76,基础状态预期!K22))</f>
        <v>0</v>
      </c>
      <c r="AM9" s="29">
        <f>IF(基础状态预期!L22="",0,求节点($C$68:$C$76,E$68:E$76,基础状态预期!L22))</f>
        <v>0</v>
      </c>
      <c r="AN9" s="29">
        <f>IF(基础状态预期!M22="",0,求节点($C$68:$C$76,F$68:F$76,基础状态预期!M22)*求节点(武将升级!$H$52:$H$54,武将升级!$J$52:$J$54,基础状态预期!W22))</f>
        <v>0</v>
      </c>
      <c r="AO9" s="29">
        <f>IF(基础状态预期!N22="",0,求节点($C$68:$C$76,G$68:G$76,基础状态预期!N22)*求节点(武将升级!$H$52:$H$54,武将升级!$J$52:$J$54,基础状态预期!X22))</f>
        <v>0.30686476349174463</v>
      </c>
      <c r="AP9" s="29">
        <f>IF(基础状态预期!O22="",0,求节点($C$68:$C$76,H$68:H$76,基础状态预期!O22)*求节点(武将升级!$H$52:$H$54,武将升级!$J$52:$J$54,基础状态预期!Y22))</f>
        <v>0</v>
      </c>
      <c r="AQ9" s="29">
        <f>MAX(SUMPRODUCT(AL9:AP9,基础状态预期!$F22:$J22)/SUM(基础状态预期!$F22:$J22),AQ8)</f>
        <v>0.30686476349174463</v>
      </c>
      <c r="AR9" s="29">
        <f>IF(基础状态预期!K22="",0,求节点($C$158:$C$166,D$158:D$166,基础状态预期!K22))</f>
        <v>0</v>
      </c>
      <c r="AS9" s="29">
        <f>IF(基础状态预期!L22="",0,求节点($C$158:$C$166,E$158:E$166,基础状态预期!L22))</f>
        <v>0</v>
      </c>
      <c r="AT9" s="29">
        <f>IF(基础状态预期!M22="",0,求节点($C$158:$C$166,F$158:F$166,基础状态预期!M22))</f>
        <v>0</v>
      </c>
      <c r="AU9" s="29">
        <f>IF(基础状态预期!N22="",0,求节点($C$158:$C$166,G$158:G$166,基础状态预期!N22))</f>
        <v>8.8340742283640611E-2</v>
      </c>
      <c r="AV9" s="29">
        <f>IF(基础状态预期!O22="",0,求节点($C$158:$C$166,H$158:H$166,基础状态预期!O22))</f>
        <v>0</v>
      </c>
      <c r="AW9" s="29">
        <f>MAX(SUMPRODUCT(AR9:AV9,基础状态预期!$F22:$J22)/SUM(基础状态预期!$F22:$J22),AW8)</f>
        <v>8.8340742283640597E-2</v>
      </c>
      <c r="AX9" s="16"/>
      <c r="BA9" s="29">
        <v>60</v>
      </c>
      <c r="BB9" s="29">
        <f t="shared" si="4"/>
        <v>102.91071894261418</v>
      </c>
      <c r="BC9" s="29">
        <f t="shared" si="0"/>
        <v>0.49611845790685377</v>
      </c>
      <c r="BD9" s="29">
        <f>(BB9-BB8)*(INDEX([2]非r将兵属性验证!$V$7:$V$166,$BA9,1)+INDEX([2]非r将兵属性验证!$AP$7:$AP$166,$BA9,1))+BD8</f>
        <v>431947254.13349259</v>
      </c>
      <c r="BE9" s="29">
        <f>(BC9-BC8)*(INDEX([2]非r将兵属性验证!$AC$7:$AC$166,$BA9,1)*[2]战法技能效用!$AH$4+INDEX([2]非r将兵属性验证!$AX$7:$AX$166,$BA9,1)*[2]战法技能效用!$AI$4)+BE8</f>
        <v>646875387.04737473</v>
      </c>
      <c r="BF9" s="75">
        <f t="shared" si="1"/>
        <v>1078822641.1808672</v>
      </c>
      <c r="BJ9" s="29">
        <f t="shared" si="5"/>
        <v>43.920692243099523</v>
      </c>
      <c r="BK9" s="75">
        <f>武将数量星级阶位验证!AT12</f>
        <v>78399.314421399235</v>
      </c>
      <c r="BL9" s="75">
        <f>(AD9-AD8)*INDEX('[1]功能-付费相关'!$AQ$6:$AQ$165,BJ9,1)+BL8</f>
        <v>147.49043033767791</v>
      </c>
      <c r="BN9" s="29">
        <v>60</v>
      </c>
      <c r="BO9" s="29">
        <f t="shared" si="2"/>
        <v>188880.11369989053</v>
      </c>
      <c r="BP9" s="29">
        <f t="shared" si="3"/>
        <v>582.0829161550447</v>
      </c>
      <c r="BQ9" s="29">
        <f t="shared" si="6"/>
        <v>189462.19661604558</v>
      </c>
    </row>
    <row r="10" spans="2:69" x14ac:dyDescent="0.15">
      <c r="B10" s="170"/>
      <c r="C10" s="14">
        <v>5</v>
      </c>
      <c r="D10" s="29"/>
      <c r="E10" s="29"/>
      <c r="F10" s="29">
        <v>3</v>
      </c>
      <c r="G10" s="29">
        <v>2</v>
      </c>
      <c r="H10" s="29">
        <v>2</v>
      </c>
      <c r="I10" s="29">
        <f t="shared" si="7"/>
        <v>2</v>
      </c>
      <c r="M10" s="72">
        <v>10</v>
      </c>
      <c r="N10" s="29">
        <f>基础状态预期!D23</f>
        <v>49.533352307096472</v>
      </c>
      <c r="O10" s="29">
        <f>IF(基础状态预期!F23="",0,求节点($C$104:$C$112,D$104:D$112,基础状态预期!K23))</f>
        <v>0</v>
      </c>
      <c r="P10" s="29">
        <f>IF(基础状态预期!G23="",0,求节点($C$104:$C$112,E$104:E$112,基础状态预期!L23))</f>
        <v>0</v>
      </c>
      <c r="Q10" s="29">
        <f>IF(基础状态预期!H23="",0,求节点($C$104:$C$112,F$104:F$112,基础状态预期!M23))</f>
        <v>0</v>
      </c>
      <c r="R10" s="29">
        <f>IF(基础状态预期!I23="",0,求节点($C$104:$C$112,G$104:G$112,基础状态预期!N23))</f>
        <v>2.9889010593801029</v>
      </c>
      <c r="S10" s="29">
        <f>IF(基础状态预期!J23="",0,求节点($C$104:$C$112,H$104:H$112,基础状态预期!O23))</f>
        <v>0</v>
      </c>
      <c r="T10" s="29">
        <f>IF(基础状态预期!F23="",0,求节点($C$114:$C$122,D$114:D$122,基础状态预期!K23)*基础状态预期!F23+求节点($C$124:$C$132,D$124:D$132,基础状态预期!$O23)*基础状态预期!$J23)</f>
        <v>0</v>
      </c>
      <c r="U10" s="29">
        <f>IF(基础状态预期!G23="",0,求节点($C$114:$C$122,E$114:E$122,基础状态预期!L23)*基础状态预期!G23+求节点($C$124:$C$132,E$124:E$132,基础状态预期!$O23)*基础状态预期!$J23)</f>
        <v>0</v>
      </c>
      <c r="V10" s="29">
        <f>IF(基础状态预期!H23="",0,求节点($C$114:$C$122,F$114:F$122,基础状态预期!M23)*基础状态预期!H23+求节点($C$124:$C$132,F$124:F$132,基础状态预期!$O23)*基础状态预期!$J23)</f>
        <v>0</v>
      </c>
      <c r="W10" s="148">
        <f>IF(基础状态预期!I23="",0,求节点($C$114:$C$122,G$114:G$122,基础状态预期!N23)*基础状态预期!I23)+IF(基础状态预期!O23="",0,求节点($C$124:$C$132,G$124:G$132,基础状态预期!$O23)*基础状态预期!$J23)</f>
        <v>0</v>
      </c>
      <c r="X10" s="29">
        <f>IF(基础状态预期!J23="",0,求节点($C$114:$C$122,H$114:H$122,基础状态预期!O23)*基础状态预期!J23+求节点($C$124:$C$132,H$124:H$132,基础状态预期!$O23)*基础状态预期!$J23)</f>
        <v>0</v>
      </c>
      <c r="Y10" s="14">
        <f>IF(基础状态预期!K23="",0,求节点($C$92:$C$100,D$92:D$100,基础状态预期!K23))</f>
        <v>0</v>
      </c>
      <c r="Z10" s="14">
        <f>IF(基础状态预期!L23="",0,求节点($C$92:$C$100,E$92:E$100,基础状态预期!L23))</f>
        <v>0</v>
      </c>
      <c r="AA10" s="14">
        <f>IF(基础状态预期!M23="",0,求节点($C$92:$C$100,F$92:F$100,基础状态预期!M23))</f>
        <v>0</v>
      </c>
      <c r="AB10" s="14">
        <f>IF(基础状态预期!N23="",0,求节点($C$92:$C$100,G$92:G$100,基础状态预期!N23))</f>
        <v>29778.021187602058</v>
      </c>
      <c r="AC10" s="14">
        <f>IF(基础状态预期!O23="",0,求节点($C$92:$C$100,H$92:H$100,基础状态预期!O23))</f>
        <v>0</v>
      </c>
      <c r="AD10" s="29">
        <f>MAX(SUMPRODUCT(Y10:AC10,基础状态预期!F23:J23),AD9)</f>
        <v>178668.12712561234</v>
      </c>
      <c r="AF10" s="29" t="str">
        <f>IF(基础状态预期!K23="","",基础状态预期!K23*D$59+D$58)</f>
        <v/>
      </c>
      <c r="AG10" s="29" t="str">
        <f>IF(基础状态预期!L23="","",基础状态预期!L23*E$59+E$58)</f>
        <v/>
      </c>
      <c r="AH10" s="29" t="str">
        <f>IF(基础状态预期!M23="","",基础状态预期!M23*F$59+F$58)</f>
        <v/>
      </c>
      <c r="AI10" s="29">
        <f>IF(基础状态预期!N23="","",基础状态预期!N23*G$59+G$58)</f>
        <v>94.944505296900516</v>
      </c>
      <c r="AJ10" s="29" t="str">
        <f>IF(基础状态预期!O23="","",基础状态预期!O23*H$59+H$58)</f>
        <v/>
      </c>
      <c r="AK10" s="29">
        <f>MAX(SUMPRODUCT(AF10:AJ10,基础状态预期!$F23:$J23)/SUM(基础状态预期!$F23:$J23),AK9)</f>
        <v>94.944505296900516</v>
      </c>
      <c r="AL10" s="29">
        <f>IF(基础状态预期!K23="",0,求节点($C$68:$C$76,D$68:D$76,基础状态预期!K23))</f>
        <v>0</v>
      </c>
      <c r="AM10" s="29">
        <f>IF(基础状态预期!L23="",0,求节点($C$68:$C$76,E$68:E$76,基础状态预期!L23))</f>
        <v>0</v>
      </c>
      <c r="AN10" s="29">
        <f>IF(基础状态预期!M23="",0,求节点($C$68:$C$76,F$68:F$76,基础状态预期!M23)*求节点(武将升级!$H$52:$H$54,武将升级!$J$52:$J$54,基础状态预期!W23))</f>
        <v>0</v>
      </c>
      <c r="AO10" s="29">
        <f>IF(基础状态预期!N23="",0,求节点($C$68:$C$76,G$68:G$76,基础状态预期!N23)*求节点(武将升级!$H$52:$H$54,武将升级!$J$52:$J$54,基础状态预期!X23))</f>
        <v>0.35920087627536745</v>
      </c>
      <c r="AP10" s="29">
        <f>IF(基础状态预期!O23="",0,求节点($C$68:$C$76,H$68:H$76,基础状态预期!O23)*求节点(武将升级!$H$52:$H$54,武将升级!$J$52:$J$54,基础状态预期!Y23))</f>
        <v>0</v>
      </c>
      <c r="AQ10" s="29">
        <f>MAX(SUMPRODUCT(AL10:AP10,基础状态预期!$F23:$J23)/SUM(基础状态预期!$F23:$J23),AQ9)</f>
        <v>0.35920087627536751</v>
      </c>
      <c r="AR10" s="29">
        <f>IF(基础状态预期!K23="",0,求节点($C$158:$C$166,D$158:D$166,基础状态预期!K23))</f>
        <v>0</v>
      </c>
      <c r="AS10" s="29">
        <f>IF(基础状态预期!L23="",0,求节点($C$158:$C$166,E$158:E$166,基础状态预期!L23))</f>
        <v>0</v>
      </c>
      <c r="AT10" s="29">
        <f>IF(基础状态预期!M23="",0,求节点($C$158:$C$166,F$158:F$166,基础状态预期!M23))</f>
        <v>0</v>
      </c>
      <c r="AU10" s="29">
        <f>IF(基础状态预期!N23="",0,求节点($C$158:$C$166,G$158:G$166,基础状态预期!N23))</f>
        <v>0.13922307415660723</v>
      </c>
      <c r="AV10" s="29">
        <f>IF(基础状态预期!O23="",0,求节点($C$158:$C$166,H$158:H$166,基础状态预期!O23))</f>
        <v>0</v>
      </c>
      <c r="AW10" s="29">
        <f>MAX(SUMPRODUCT(AR10:AV10,基础状态预期!$F23:$J23)/SUM(基础状态预期!$F23:$J23),AW9)</f>
        <v>0.13922307415660723</v>
      </c>
      <c r="AX10" s="16"/>
      <c r="BA10" s="29">
        <v>70</v>
      </c>
      <c r="BB10" s="29">
        <f t="shared" si="4"/>
        <v>112.22317205811655</v>
      </c>
      <c r="BC10" s="29">
        <f t="shared" si="0"/>
        <v>0.6447886715252974</v>
      </c>
      <c r="BD10" s="29">
        <f>(BB10-BB9)*(INDEX([2]非r将兵属性验证!$V$7:$V$166,$BA10,1)+INDEX([2]非r将兵属性验证!$AP$7:$AP$166,$BA10,1))+BD9</f>
        <v>1299326967.9961681</v>
      </c>
      <c r="BE10" s="29">
        <f>(BC10-BC9)*(INDEX([2]非r将兵属性验证!$AC$7:$AC$166,$BA10,1)*[2]战法技能效用!$AH$4+INDEX([2]非r将兵属性验证!$AX$7:$AX$166,$BA10,1)*[2]战法技能效用!$AI$4)+BE9</f>
        <v>2049119195.4821994</v>
      </c>
      <c r="BF10" s="75">
        <f t="shared" si="1"/>
        <v>3348446163.4783678</v>
      </c>
      <c r="BJ10" s="29">
        <f t="shared" si="5"/>
        <v>49.533352307096472</v>
      </c>
      <c r="BK10" s="75">
        <f>武将数量星级阶位验证!AT13</f>
        <v>104456.19791097222</v>
      </c>
      <c r="BL10" s="75">
        <f>(AD10-AD9)*INDEX('[1]功能-付费相关'!$AQ$6:$AQ$165,BJ10,1)+BL9</f>
        <v>270.00005764016572</v>
      </c>
      <c r="BN10" s="29">
        <v>70</v>
      </c>
      <c r="BO10" s="29">
        <f t="shared" si="2"/>
        <v>308392.71208591707</v>
      </c>
      <c r="BP10" s="29">
        <f t="shared" si="3"/>
        <v>787.98976560588153</v>
      </c>
      <c r="BQ10" s="29">
        <f t="shared" si="6"/>
        <v>309180.70185152296</v>
      </c>
    </row>
    <row r="11" spans="2:69" x14ac:dyDescent="0.15">
      <c r="B11" s="170"/>
      <c r="C11" s="14">
        <v>6</v>
      </c>
      <c r="D11" s="29"/>
      <c r="E11" s="29"/>
      <c r="F11" s="29">
        <v>3</v>
      </c>
      <c r="G11" s="29">
        <v>3</v>
      </c>
      <c r="H11" s="29">
        <v>3</v>
      </c>
      <c r="I11" s="29">
        <f t="shared" si="7"/>
        <v>3</v>
      </c>
      <c r="M11" s="72">
        <v>11</v>
      </c>
      <c r="N11" s="29">
        <f>基础状态预期!D24</f>
        <v>53.567039423670657</v>
      </c>
      <c r="O11" s="29">
        <f>IF(基础状态预期!F24="",0,求节点($C$104:$C$112,D$104:D$112,基础状态预期!K24))</f>
        <v>0</v>
      </c>
      <c r="P11" s="29">
        <f>IF(基础状态预期!G24="",0,求节点($C$104:$C$112,E$104:E$112,基础状态预期!L24))</f>
        <v>0</v>
      </c>
      <c r="Q11" s="29">
        <f>IF(基础状态预期!H24="",0,求节点($C$104:$C$112,F$104:F$112,基础状态预期!M24))</f>
        <v>0</v>
      </c>
      <c r="R11" s="29">
        <f>IF(基础状态预期!I24="",0,求节点($C$104:$C$112,G$104:G$112,基础状态预期!N24))</f>
        <v>3.6685296853863125</v>
      </c>
      <c r="S11" s="29">
        <f>IF(基础状态预期!J24="",0,求节点($C$104:$C$112,H$104:H$112,基础状态预期!O24))</f>
        <v>1</v>
      </c>
      <c r="T11" s="29">
        <f>IF(基础状态预期!F24="",0,求节点($C$114:$C$122,D$114:D$122,基础状态预期!K24)*基础状态预期!F24+求节点($C$124:$C$132,D$124:D$132,基础状态预期!$O24)*基础状态预期!$J24)</f>
        <v>0</v>
      </c>
      <c r="U11" s="29">
        <f>IF(基础状态预期!G24="",0,求节点($C$114:$C$122,E$114:E$122,基础状态预期!L24)*基础状态预期!G24+求节点($C$124:$C$132,E$124:E$132,基础状态预期!$O24)*基础状态预期!$J24)</f>
        <v>0</v>
      </c>
      <c r="V11" s="29">
        <f>IF(基础状态预期!H24="",0,求节点($C$114:$C$122,F$114:F$122,基础状态预期!M24)*基础状态预期!H24+求节点($C$124:$C$132,F$124:F$132,基础状态预期!$O24)*基础状态预期!$J24)</f>
        <v>0</v>
      </c>
      <c r="W11" s="148">
        <f>IF(基础状态预期!I24="",0,求节点($C$114:$C$122,G$114:G$122,基础状态预期!N24)*基础状态预期!I24)+IF(基础状态预期!O24="",0,求节点($C$124:$C$132,G$124:G$132,基础状态预期!$O24)*基础状态预期!$J24)</f>
        <v>3.3426484269315626</v>
      </c>
      <c r="X11" s="29">
        <f>IF(基础状态预期!J24="",0,求节点($C$114:$C$122,H$114:H$122,基础状态预期!O24)*基础状态预期!J24+求节点($C$124:$C$132,H$124:H$132,基础状态预期!$O24)*基础状态预期!$J24)</f>
        <v>0</v>
      </c>
      <c r="Y11" s="14">
        <f>IF(基础状态预期!K24="",0,求节点($C$92:$C$100,D$92:D$100,基础状态预期!K24))</f>
        <v>0</v>
      </c>
      <c r="Z11" s="14">
        <f>IF(基础状态预期!L24="",0,求节点($C$92:$C$100,E$92:E$100,基础状态预期!L24))</f>
        <v>0</v>
      </c>
      <c r="AA11" s="14">
        <f>IF(基础状态预期!M24="",0,求节点($C$92:$C$100,F$92:F$100,基础状态预期!M24))</f>
        <v>0</v>
      </c>
      <c r="AB11" s="14">
        <f>IF(基础状态预期!N24="",0,求节点($C$92:$C$100,G$92:G$100,基础状态预期!N24))</f>
        <v>56741.187415452499</v>
      </c>
      <c r="AC11" s="14">
        <f>IF(基础状态预期!O24="",0,求节点($C$92:$C$100,H$92:H$100,基础状态预期!O24))</f>
        <v>0</v>
      </c>
      <c r="AD11" s="29">
        <f>MAX(SUMPRODUCT(Y11:AC11,基础状态预期!F24:J24),AD10)</f>
        <v>283705.9370772625</v>
      </c>
      <c r="AF11" s="29" t="str">
        <f>IF(基础状态预期!K24="","",基础状态预期!K24*D$59+D$58)</f>
        <v/>
      </c>
      <c r="AG11" s="29" t="str">
        <f>IF(基础状态预期!L24="","",基础状态预期!L24*E$59+E$58)</f>
        <v/>
      </c>
      <c r="AH11" s="29" t="str">
        <f>IF(基础状态预期!M24="","",基础状态预期!M24*F$59+F$58)</f>
        <v/>
      </c>
      <c r="AI11" s="29">
        <f>IF(基础状态预期!N24="","",基础状态预期!N24*G$59+G$58)</f>
        <v>98.342648426931561</v>
      </c>
      <c r="AJ11" s="29">
        <f>IF(基础状态预期!O24="","",基础状态预期!O24*H$59+H$58)</f>
        <v>100</v>
      </c>
      <c r="AK11" s="29">
        <f>MAX(SUMPRODUCT(AF11:AJ11,基础状态预期!$F24:$J24)/SUM(基础状态预期!$F24:$J24),AK10)</f>
        <v>98.618873689109634</v>
      </c>
      <c r="AL11" s="29">
        <f>IF(基础状态预期!K24="",0,求节点($C$68:$C$76,D$68:D$76,基础状态预期!K24))</f>
        <v>0</v>
      </c>
      <c r="AM11" s="29">
        <f>IF(基础状态预期!L24="",0,求节点($C$68:$C$76,E$68:E$76,基础状态预期!L24))</f>
        <v>0</v>
      </c>
      <c r="AN11" s="29">
        <f>IF(基础状态预期!M24="",0,求节点($C$68:$C$76,F$68:F$76,基础状态预期!M24)*求节点(武将升级!$H$52:$H$54,武将升级!$J$52:$J$54,基础状态预期!W24))</f>
        <v>0</v>
      </c>
      <c r="AO11" s="29">
        <f>IF(基础状态预期!N24="",0,求节点($C$68:$C$76,G$68:G$76,基础状态预期!N24)*求节点(武将升级!$H$52:$H$54,武将升级!$J$52:$J$54,基础状态预期!X24))</f>
        <v>0.40813413734781456</v>
      </c>
      <c r="AP11" s="29">
        <f>IF(基础状态预期!O24="",0,求节点($C$68:$C$76,H$68:H$76,基础状态预期!O24)*求节点(武将升级!$H$52:$H$54,武将升级!$J$52:$J$54,基础状态预期!Y24))</f>
        <v>0.5</v>
      </c>
      <c r="AQ11" s="29">
        <f>MAX(SUMPRODUCT(AL11:AP11,基础状态预期!$F24:$J24)/SUM(基础状态预期!$F24:$J24),AQ10)</f>
        <v>0.42344511445651212</v>
      </c>
      <c r="AR11" s="29">
        <f>IF(基础状态预期!K24="",0,求节点($C$158:$C$166,D$158:D$166,基础状态预期!K24))</f>
        <v>0</v>
      </c>
      <c r="AS11" s="29">
        <f>IF(基础状态预期!L24="",0,求节点($C$158:$C$166,E$158:E$166,基础状态预期!L24))</f>
        <v>0</v>
      </c>
      <c r="AT11" s="29">
        <f>IF(基础状态预期!M24="",0,求节点($C$158:$C$166,F$158:F$166,基础状态预期!M24))</f>
        <v>0</v>
      </c>
      <c r="AU11" s="29">
        <f>IF(基础状态预期!N24="",0,求节点($C$158:$C$166,G$158:G$166,基础状态预期!N24))</f>
        <v>0.18679707797704187</v>
      </c>
      <c r="AV11" s="29">
        <f>IF(基础状态预期!O24="",0,求节点($C$158:$C$166,H$158:H$166,基础状态预期!O24))</f>
        <v>0</v>
      </c>
      <c r="AW11" s="29">
        <f>MAX(SUMPRODUCT(AR11:AV11,基础状态预期!$F24:$J24)/SUM(基础状态预期!$F24:$J24),AW10)</f>
        <v>0.15566423164753487</v>
      </c>
      <c r="AX11" s="16"/>
      <c r="BA11" s="29">
        <v>80</v>
      </c>
      <c r="BB11" s="29">
        <f t="shared" si="4"/>
        <v>121.40671206112476</v>
      </c>
      <c r="BC11" s="29">
        <f t="shared" si="0"/>
        <v>0.78542282748166359</v>
      </c>
      <c r="BD11" s="29">
        <f>(BB11-BB10)*(INDEX([2]非r将兵属性验证!$V$7:$V$166,$BA11,1)+INDEX([2]非r将兵属性验证!$AP$7:$AP$166,$BA11,1))+BD10</f>
        <v>3422266785.3746209</v>
      </c>
      <c r="BE11" s="29">
        <f>(BC11-BC10)*(INDEX([2]非r将兵属性验证!$AC$7:$AC$166,$BA11,1)*[2]战法技能效用!$AH$4+INDEX([2]非r将兵属性验证!$AX$7:$AX$166,$BA11,1)*[2]战法技能效用!$AI$4)+BE10</f>
        <v>5449997925.3853922</v>
      </c>
      <c r="BF11" s="75">
        <f t="shared" si="1"/>
        <v>8872264710.7600136</v>
      </c>
      <c r="BJ11" s="29">
        <f t="shared" si="5"/>
        <v>53.567039423670657</v>
      </c>
      <c r="BK11" s="75">
        <f>武将数量星级阶位验证!AT14</f>
        <v>130708.97404956893</v>
      </c>
      <c r="BL11" s="75">
        <f>(AD11-AD10)*INDEX('[1]功能-付费相关'!$AQ$6:$AQ$165,BJ11,1)+BL10</f>
        <v>411.17990972571704</v>
      </c>
      <c r="BN11" s="29">
        <v>80</v>
      </c>
      <c r="BO11" s="29">
        <f t="shared" si="2"/>
        <v>477853.49805329688</v>
      </c>
      <c r="BP11" s="29">
        <f t="shared" si="3"/>
        <v>1259.1178071565046</v>
      </c>
      <c r="BQ11" s="29">
        <f t="shared" si="6"/>
        <v>479112.6158604534</v>
      </c>
    </row>
    <row r="12" spans="2:69" x14ac:dyDescent="0.15">
      <c r="B12" s="170"/>
      <c r="C12" s="14">
        <v>7</v>
      </c>
      <c r="D12" s="29"/>
      <c r="E12" s="29"/>
      <c r="F12" s="29"/>
      <c r="G12" s="29">
        <v>3</v>
      </c>
      <c r="H12" s="29">
        <v>3</v>
      </c>
      <c r="I12" s="29">
        <f t="shared" si="7"/>
        <v>3</v>
      </c>
      <c r="M12" s="72">
        <v>12</v>
      </c>
      <c r="N12" s="29">
        <f>基础状态预期!D25</f>
        <v>59.300028460644697</v>
      </c>
      <c r="O12" s="29">
        <f>IF(基础状态预期!F25="",0,求节点($C$104:$C$112,D$104:D$112,基础状态预期!K25))</f>
        <v>0</v>
      </c>
      <c r="P12" s="29">
        <f>IF(基础状态预期!G25="",0,求节点($C$104:$C$112,E$104:E$112,基础状态预期!L25))</f>
        <v>0</v>
      </c>
      <c r="Q12" s="29">
        <f>IF(基础状态预期!H25="",0,求节点($C$104:$C$112,F$104:F$112,基础状态预期!M25))</f>
        <v>0</v>
      </c>
      <c r="R12" s="29">
        <f>IF(基础状态预期!I25="",0,求节点($C$104:$C$112,G$104:G$112,基础状态预期!N25))</f>
        <v>4.667901639575315</v>
      </c>
      <c r="S12" s="29">
        <f>IF(基础状态预期!J25="",0,求节点($C$104:$C$112,H$104:H$112,基础状态预期!O25))</f>
        <v>1.526615126205678</v>
      </c>
      <c r="T12" s="29">
        <f>IF(基础状态预期!F25="",0,求节点($C$114:$C$122,D$114:D$122,基础状态预期!K25)*基础状态预期!F25+求节点($C$124:$C$132,D$124:D$132,基础状态预期!$O25)*基础状态预期!$J25)</f>
        <v>0</v>
      </c>
      <c r="U12" s="29">
        <f>IF(基础状态预期!G25="",0,求节点($C$114:$C$122,E$114:E$122,基础状态预期!L25)*基础状态预期!G25+求节点($C$124:$C$132,E$124:E$132,基础状态预期!$O25)*基础状态预期!$J25)</f>
        <v>0</v>
      </c>
      <c r="V12" s="29">
        <f>IF(基础状态预期!H25="",0,求节点($C$114:$C$122,F$114:F$122,基础状态预期!M25)*基础状态预期!H25+求节点($C$124:$C$132,F$124:F$132,基础状态预期!$O25)*基础状态预期!$J25)</f>
        <v>0</v>
      </c>
      <c r="W12" s="148">
        <f>IF(基础状态预期!I25="",0,求节点($C$114:$C$122,G$114:G$122,基础状态预期!N25)*基础状态预期!I25)+IF(基础状态预期!O25="",0,求节点($C$124:$C$132,G$124:G$132,基础状态预期!$O25)*基础状态预期!$J25)</f>
        <v>4</v>
      </c>
      <c r="X12" s="29">
        <f>IF(基础状态预期!J25="",0,求节点($C$114:$C$122,H$114:H$122,基础状态预期!O25)*基础状态预期!J25+求节点($C$124:$C$132,H$124:H$132,基础状态预期!$O25)*基础状态预期!$J25)</f>
        <v>0</v>
      </c>
      <c r="Y12" s="14">
        <f>IF(基础状态预期!K25="",0,求节点($C$92:$C$100,D$92:D$100,基础状态预期!K25))</f>
        <v>0</v>
      </c>
      <c r="Z12" s="14">
        <f>IF(基础状态预期!L25="",0,求节点($C$92:$C$100,E$92:E$100,基础状态预期!L25))</f>
        <v>0</v>
      </c>
      <c r="AA12" s="14">
        <f>IF(基础状态预期!M25="",0,求节点($C$92:$C$100,F$92:F$100,基础状态预期!M25))</f>
        <v>0</v>
      </c>
      <c r="AB12" s="14">
        <f>IF(基础状态预期!N25="",0,求节点($C$92:$C$100,G$92:G$100,基础状态预期!N25))</f>
        <v>96716.065583012605</v>
      </c>
      <c r="AC12" s="14">
        <f>IF(基础状态预期!O25="",0,求节点($C$92:$C$100,H$92:H$100,基础状态预期!O25))</f>
        <v>7899.2268930851696</v>
      </c>
      <c r="AD12" s="29">
        <f>MAX(SUMPRODUCT(Y12:AC12,基础状态预期!F25:J25),AD11)</f>
        <v>402662.71611822076</v>
      </c>
      <c r="AF12" s="29" t="str">
        <f>IF(基础状态预期!K25="","",基础状态预期!K25*D$59+D$58)</f>
        <v/>
      </c>
      <c r="AG12" s="29" t="str">
        <f>IF(基础状态预期!L25="","",基础状态预期!L25*E$59+E$58)</f>
        <v/>
      </c>
      <c r="AH12" s="29" t="str">
        <f>IF(基础状态预期!M25="","",基础状态预期!M25*F$59+F$58)</f>
        <v/>
      </c>
      <c r="AI12" s="29">
        <f>IF(基础状态预期!N25="","",基础状态预期!N25*G$59+G$58)</f>
        <v>101.66975409893828</v>
      </c>
      <c r="AJ12" s="29">
        <f>IF(基础状态预期!O25="","",基础状态预期!O25*H$59+H$58)</f>
        <v>103.15969075723407</v>
      </c>
      <c r="AK12" s="29">
        <f>MAX(SUMPRODUCT(AF12:AJ12,基础状态预期!$F25:$J25)/SUM(基础状态预期!$F25:$J25),AK11)</f>
        <v>102.16639965170354</v>
      </c>
      <c r="AL12" s="29">
        <f>IF(基础状态预期!K25="",0,求节点($C$68:$C$76,D$68:D$76,基础状态预期!K25))</f>
        <v>0</v>
      </c>
      <c r="AM12" s="29">
        <f>IF(基础状态预期!L25="",0,求节点($C$68:$C$76,E$68:E$76,基础状态预期!L25))</f>
        <v>0</v>
      </c>
      <c r="AN12" s="29">
        <f>IF(基础状态预期!M25="",0,求节点($C$68:$C$76,F$68:F$76,基础状态预期!M25)*求节点(武将升级!$H$52:$H$54,武将升级!$J$52:$J$54,基础状态预期!W25))</f>
        <v>0</v>
      </c>
      <c r="AO12" s="29">
        <f>IF(基础状态预期!N25="",0,求节点($C$68:$C$76,G$68:G$76,基础状态预期!N25)*求节点(武将升级!$H$52:$H$54,武将升级!$J$52:$J$54,基础状态预期!X25))</f>
        <v>0.45604445902471136</v>
      </c>
      <c r="AP12" s="29">
        <f>IF(基础状态预期!O25="",0,求节点($C$68:$C$76,H$68:H$76,基础状态预期!O25)*求节点(武将升级!$H$52:$H$54,武将升级!$J$52:$J$54,基础状态预期!Y25))</f>
        <v>0.54212921009645421</v>
      </c>
      <c r="AQ12" s="29">
        <f>MAX(SUMPRODUCT(AL12:AP12,基础状态预期!$F25:$J25)/SUM(基础状态预期!$F25:$J25),AQ11)</f>
        <v>0.48473937604862566</v>
      </c>
      <c r="AR12" s="29">
        <f>IF(基础状态预期!K25="",0,求节点($C$158:$C$166,D$158:D$166,基础状态预期!K25))</f>
        <v>0</v>
      </c>
      <c r="AS12" s="29">
        <f>IF(基础状态预期!L25="",0,求节点($C$158:$C$166,E$158:E$166,基础状态预期!L25))</f>
        <v>0</v>
      </c>
      <c r="AT12" s="29">
        <f>IF(基础状态预期!M25="",0,求节点($C$158:$C$166,F$158:F$166,基础状态预期!M25))</f>
        <v>0</v>
      </c>
      <c r="AU12" s="29">
        <f>IF(基础状态预期!N25="",0,求节点($C$158:$C$166,G$158:G$166,基础状态预期!N25))</f>
        <v>0.23337655738513602</v>
      </c>
      <c r="AV12" s="29">
        <f>IF(基础状态预期!O25="",0,求节点($C$158:$C$166,H$158:H$166,基础状态预期!O25))</f>
        <v>5.2661512620567799E-2</v>
      </c>
      <c r="AW12" s="29">
        <f>MAX(SUMPRODUCT(AR12:AV12,基础状态预期!$F25:$J25)/SUM(基础状态预期!$F25:$J25),AW11)</f>
        <v>0.17313820913027997</v>
      </c>
      <c r="AX12" s="16"/>
      <c r="BA12" s="29">
        <v>90</v>
      </c>
      <c r="BB12" s="29">
        <f t="shared" si="4"/>
        <v>132.80253460195217</v>
      </c>
      <c r="BC12" s="29">
        <f t="shared" si="0"/>
        <v>0.93736712802602895</v>
      </c>
      <c r="BD12" s="29">
        <f>(BB12-BB11)*(INDEX([2]非r将兵属性验证!$V$7:$V$166,$BA12,1)+INDEX([2]非r将兵属性验证!$AP$7:$AP$166,$BA12,1))+BD11</f>
        <v>9084406527.1989365</v>
      </c>
      <c r="BE12" s="29">
        <f>(BC12-BC11)*(INDEX([2]非r将兵属性验证!$AC$7:$AC$166,$BA12,1)*[2]战法技能效用!$AH$4+INDEX([2]非r将兵属性验证!$AX$7:$AX$166,$BA12,1)*[2]战法技能效用!$AI$4)+BE11</f>
        <v>13143983209.279064</v>
      </c>
      <c r="BF12" s="75">
        <f t="shared" si="1"/>
        <v>22228389736.478001</v>
      </c>
      <c r="BJ12" s="29">
        <f t="shared" si="5"/>
        <v>59.300028460644697</v>
      </c>
      <c r="BK12" s="75">
        <f>武将数量星级阶位验证!AT15</f>
        <v>180422.84944788757</v>
      </c>
      <c r="BL12" s="75">
        <f>(AD12-AD11)*INDEX('[1]功能-付费相关'!$AQ$6:$AQ$165,BJ12,1)+BL11</f>
        <v>561.37786306026032</v>
      </c>
      <c r="BN12" s="29">
        <v>90</v>
      </c>
      <c r="BO12" s="29">
        <f t="shared" si="2"/>
        <v>752706.14846203686</v>
      </c>
      <c r="BP12" s="29">
        <f t="shared" si="3"/>
        <v>4315.3792492657667</v>
      </c>
      <c r="BQ12" s="29">
        <f t="shared" si="6"/>
        <v>757021.52771130262</v>
      </c>
    </row>
    <row r="13" spans="2:69" x14ac:dyDescent="0.15">
      <c r="B13" s="171"/>
      <c r="C13" s="14">
        <v>8</v>
      </c>
      <c r="D13" s="29"/>
      <c r="E13" s="29"/>
      <c r="F13" s="29"/>
      <c r="G13" s="29">
        <v>4</v>
      </c>
      <c r="H13" s="29">
        <v>4</v>
      </c>
      <c r="I13" s="29">
        <f t="shared" si="7"/>
        <v>4</v>
      </c>
      <c r="M13" s="72">
        <v>13</v>
      </c>
      <c r="N13" s="29">
        <f>基础状态预期!D26</f>
        <v>65.075479910097457</v>
      </c>
      <c r="O13" s="29">
        <f>IF(基础状态预期!F26="",0,求节点($C$104:$C$112,D$104:D$112,基础状态预期!K26))</f>
        <v>0</v>
      </c>
      <c r="P13" s="29">
        <f>IF(基础状态预期!G26="",0,求节点($C$104:$C$112,E$104:E$112,基础状态预期!L26))</f>
        <v>0</v>
      </c>
      <c r="Q13" s="29">
        <f>IF(基础状态预期!H26="",0,求节点($C$104:$C$112,F$104:F$112,基础状态预期!M26))</f>
        <v>0</v>
      </c>
      <c r="R13" s="29">
        <f>IF(基础状态预期!I26="",0,求节点($C$104:$C$112,G$104:G$112,基础状态预期!N26))</f>
        <v>5.3933327460295599</v>
      </c>
      <c r="S13" s="29">
        <f>IF(基础状态预期!J26="",0,求节点($C$104:$C$112,H$104:H$112,基础状态预期!O26))</f>
        <v>3.1886991991130458</v>
      </c>
      <c r="T13" s="29">
        <f>IF(基础状态预期!F26="",0,求节点($C$114:$C$122,D$114:D$122,基础状态预期!K26)*基础状态预期!F26+求节点($C$124:$C$132,D$124:D$132,基础状态预期!$O26)*基础状态预期!$J26)</f>
        <v>0</v>
      </c>
      <c r="U13" s="29">
        <f>IF(基础状态预期!G26="",0,求节点($C$114:$C$122,E$114:E$122,基础状态预期!L26)*基础状态预期!G26+求节点($C$124:$C$132,E$124:E$132,基础状态预期!$O26)*基础状态预期!$J26)</f>
        <v>0</v>
      </c>
      <c r="V13" s="29">
        <f>IF(基础状态预期!H26="",0,求节点($C$114:$C$122,F$114:F$122,基础状态预期!M26)*基础状态预期!H26+求节点($C$124:$C$132,F$124:F$132,基础状态预期!$O26)*基础状态预期!$J26)</f>
        <v>0</v>
      </c>
      <c r="W13" s="148">
        <f>IF(基础状态预期!I26="",0,求节点($C$114:$C$122,G$114:G$122,基础状态预期!N26)*基础状态预期!I26)+IF(基础状态预期!O26="",0,求节点($C$124:$C$132,G$124:G$132,基础状态预期!$O26)*基础状态预期!$J26)</f>
        <v>4.698292792017412</v>
      </c>
      <c r="X13" s="29">
        <f>IF(基础状态预期!J26="",0,求节点($C$114:$C$122,H$114:H$122,基础状态预期!O26)*基础状态预期!J26+求节点($C$124:$C$132,H$124:H$132,基础状态预期!$O26)*基础状态预期!$J26)</f>
        <v>0</v>
      </c>
      <c r="Y13" s="14">
        <f>IF(基础状态预期!K26="",0,求节点($C$92:$C$100,D$92:D$100,基础状态预期!K26))</f>
        <v>0</v>
      </c>
      <c r="Z13" s="14">
        <f>IF(基础状态预期!L26="",0,求节点($C$92:$C$100,E$92:E$100,基础状态预期!L26))</f>
        <v>0</v>
      </c>
      <c r="AA13" s="14">
        <f>IF(基础状态预期!M26="",0,求节点($C$92:$C$100,F$92:F$100,基础状态预期!M26))</f>
        <v>0</v>
      </c>
      <c r="AB13" s="14">
        <f>IF(基础状态预期!N26="",0,求节点($C$92:$C$100,G$92:G$100,基础状态预期!N26))</f>
        <v>125733.3098411824</v>
      </c>
      <c r="AC13" s="14">
        <f>IF(基础状态预期!O26="",0,求节点($C$92:$C$100,H$92:H$100,基础状态预期!O26))</f>
        <v>56321.951946782749</v>
      </c>
      <c r="AD13" s="29">
        <f>MAX(SUMPRODUCT(Y13:AC13,基础状态预期!F26:J26),AD12)</f>
        <v>546165.78536389535</v>
      </c>
      <c r="AF13" s="29" t="str">
        <f>IF(基础状态预期!K26="","",基础状态预期!K26*D$59+D$58)</f>
        <v/>
      </c>
      <c r="AG13" s="29" t="str">
        <f>IF(基础状态预期!L26="","",基础状态预期!L26*E$59+E$58)</f>
        <v/>
      </c>
      <c r="AH13" s="29" t="str">
        <f>IF(基础状态预期!M26="","",基础状态预期!M26*F$59+F$58)</f>
        <v/>
      </c>
      <c r="AI13" s="29">
        <f>IF(基础状态预期!N26="","",基础状态预期!N26*G$59+G$58)</f>
        <v>103.48333186507389</v>
      </c>
      <c r="AJ13" s="29">
        <f>IF(基础状态预期!O26="","",基础状态预期!O26*H$59+H$58)</f>
        <v>113.13219519467827</v>
      </c>
      <c r="AK13" s="29">
        <f>MAX(SUMPRODUCT(AF13:AJ13,基础状态预期!$F26:$J26)/SUM(基础状态预期!$F26:$J26),AK12)</f>
        <v>108.30776352987608</v>
      </c>
      <c r="AL13" s="29">
        <f>IF(基础状态预期!K26="",0,求节点($C$68:$C$76,D$68:D$76,基础状态预期!K26))</f>
        <v>0</v>
      </c>
      <c r="AM13" s="29">
        <f>IF(基础状态预期!L26="",0,求节点($C$68:$C$76,E$68:E$76,基础状态预期!L26))</f>
        <v>0</v>
      </c>
      <c r="AN13" s="29">
        <f>IF(基础状态预期!M26="",0,求节点($C$68:$C$76,F$68:F$76,基础状态预期!M26)*求节点(武将升级!$H$52:$H$54,武将升级!$J$52:$J$54,基础状态预期!W26))</f>
        <v>0</v>
      </c>
      <c r="AO13" s="29">
        <f>IF(基础状态预期!N26="",0,求节点($C$68:$C$76,G$68:G$76,基础状态预期!N26)*求节点(武将升级!$H$52:$H$54,武将升级!$J$52:$J$54,基础状态预期!X26))</f>
        <v>0.48215997885706419</v>
      </c>
      <c r="AP13" s="29">
        <f>IF(基础状态预期!O26="",0,求节点($C$68:$C$76,H$68:H$76,基础状态预期!O26)*求节点(武将升级!$H$52:$H$54,武将升级!$J$52:$J$54,基础状态预期!Y26))</f>
        <v>0.6750959359290436</v>
      </c>
      <c r="AQ13" s="29">
        <f>MAX(SUMPRODUCT(AL13:AP13,基础状态预期!$F26:$J26)/SUM(基础状态预期!$F26:$J26),AQ12)</f>
        <v>0.57862795739305395</v>
      </c>
      <c r="AR13" s="29">
        <f>IF(基础状态预期!K26="",0,求节点($C$158:$C$166,D$158:D$166,基础状态预期!K26))</f>
        <v>0</v>
      </c>
      <c r="AS13" s="29">
        <f>IF(基础状态预期!L26="",0,求节点($C$158:$C$166,E$158:E$166,基础状态预期!L26))</f>
        <v>0</v>
      </c>
      <c r="AT13" s="29">
        <f>IF(基础状态预期!M26="",0,求节点($C$158:$C$166,F$158:F$166,基础状态预期!M26))</f>
        <v>0</v>
      </c>
      <c r="AU13" s="29">
        <f>IF(基础状态预期!N26="",0,求节点($C$158:$C$166,G$158:G$166,基础状态预期!N26))</f>
        <v>0.25876664611103461</v>
      </c>
      <c r="AV13" s="29">
        <f>IF(基础状态预期!O26="",0,求节点($C$158:$C$166,H$158:H$166,基础状态预期!O26))</f>
        <v>0.21886991991130458</v>
      </c>
      <c r="AW13" s="29">
        <f>MAX(SUMPRODUCT(AR13:AV13,基础状态预期!$F26:$J26)/SUM(基础状态预期!$F26:$J26),AW12)</f>
        <v>0.23881828301116959</v>
      </c>
      <c r="AX13" s="16"/>
      <c r="BA13" s="29">
        <v>100</v>
      </c>
      <c r="BB13" s="29">
        <f t="shared" si="4"/>
        <v>145.65440500899689</v>
      </c>
      <c r="BC13" s="29">
        <f t="shared" si="0"/>
        <v>1.1087254001199585</v>
      </c>
      <c r="BD13" s="29">
        <f>(BB13-BB12)*(INDEX([2]非r将兵属性验证!$V$7:$V$166,$BA13,1)+INDEX([2]非r将兵属性验证!$AP$7:$AP$166,$BA13,1))+BD12</f>
        <v>23088547419.622757</v>
      </c>
      <c r="BE13" s="29">
        <f>(BC13-BC12)*(INDEX([2]非r将兵属性验证!$AC$7:$AC$166,$BA13,1)*[2]战法技能效用!$AH$4+INDEX([2]非r将兵属性验证!$AX$7:$AX$166,$BA13,1)*[2]战法技能效用!$AI$4)+BE12</f>
        <v>29001130591.979992</v>
      </c>
      <c r="BF13" s="75">
        <f t="shared" si="1"/>
        <v>52089678011.602753</v>
      </c>
      <c r="BJ13" s="29">
        <f t="shared" si="5"/>
        <v>65.075479910097457</v>
      </c>
      <c r="BK13" s="75">
        <f>武将数量星级阶位验证!AT16</f>
        <v>250203.57100068522</v>
      </c>
      <c r="BL13" s="75">
        <f>(AD13-AD12)*INDEX('[1]功能-付费相关'!$AQ$6:$AQ$165,BJ13,1)+BL12</f>
        <v>732.214850257492</v>
      </c>
      <c r="BN13" s="29">
        <v>100</v>
      </c>
      <c r="BO13" s="29">
        <f t="shared" si="2"/>
        <v>1204890.0549818627</v>
      </c>
      <c r="BP13" s="29">
        <f t="shared" si="3"/>
        <v>17354.896802681633</v>
      </c>
      <c r="BQ13" s="29">
        <f t="shared" si="6"/>
        <v>1222244.9517845444</v>
      </c>
    </row>
    <row r="14" spans="2:69" x14ac:dyDescent="0.15">
      <c r="B14" s="160" t="s">
        <v>176</v>
      </c>
      <c r="C14" s="160"/>
      <c r="D14" s="14">
        <f t="shared" ref="D14:I14" si="8">COUNTA(D6:D13)</f>
        <v>0</v>
      </c>
      <c r="E14" s="14">
        <f t="shared" si="8"/>
        <v>3</v>
      </c>
      <c r="F14" s="14">
        <f t="shared" si="8"/>
        <v>6</v>
      </c>
      <c r="G14" s="14">
        <f t="shared" si="8"/>
        <v>8</v>
      </c>
      <c r="H14" s="14">
        <f t="shared" si="8"/>
        <v>8</v>
      </c>
      <c r="I14" s="14">
        <f t="shared" si="8"/>
        <v>8</v>
      </c>
      <c r="M14" s="72">
        <v>14</v>
      </c>
      <c r="N14" s="29">
        <f>基础状态预期!D27</f>
        <v>69.18336653741882</v>
      </c>
      <c r="O14" s="29">
        <f>IF(基础状态预期!F27="",0,求节点($C$104:$C$112,D$104:D$112,基础状态预期!K27))</f>
        <v>0</v>
      </c>
      <c r="P14" s="29">
        <f>IF(基础状态预期!G27="",0,求节点($C$104:$C$112,E$104:E$112,基础状态预期!L27))</f>
        <v>0</v>
      </c>
      <c r="Q14" s="29">
        <f>IF(基础状态预期!H27="",0,求节点($C$104:$C$112,F$104:F$112,基础状态预期!M27))</f>
        <v>0</v>
      </c>
      <c r="R14" s="29">
        <f>IF(基础状态预期!I27="",0,求节点($C$104:$C$112,G$104:G$112,基础状态预期!N27))</f>
        <v>5.9578073662031779</v>
      </c>
      <c r="S14" s="29">
        <f>IF(基础状态预期!J27="",0,求节点($C$104:$C$112,H$104:H$112,基础状态预期!O27))</f>
        <v>3.4798663545004613</v>
      </c>
      <c r="T14" s="29">
        <f>IF(基础状态预期!F27="",0,求节点($C$114:$C$122,D$114:D$122,基础状态预期!K27)*基础状态预期!F27+求节点($C$124:$C$132,D$124:D$132,基础状态预期!$O27)*基础状态预期!$J27)</f>
        <v>0</v>
      </c>
      <c r="U14" s="29">
        <f>IF(基础状态预期!G27="",0,求节点($C$114:$C$122,E$114:E$122,基础状态预期!L27)*基础状态预期!G27+求节点($C$124:$C$132,E$124:E$132,基础状态预期!$O27)*基础状态预期!$J27)</f>
        <v>0</v>
      </c>
      <c r="V14" s="29">
        <f>IF(基础状态预期!H27="",0,求节点($C$114:$C$122,F$114:F$122,基础状态预期!M27)*基础状态预期!H27+求节点($C$124:$C$132,F$124:F$132,基础状态预期!$O27)*基础状态预期!$J27)</f>
        <v>0</v>
      </c>
      <c r="W14" s="148">
        <f>IF(基础状态预期!I27="",0,求节点($C$114:$C$122,G$114:G$122,基础状态预期!N27)*基础状态预期!I27)+IF(基础状态预期!O27="",0,求节点($C$124:$C$132,G$124:G$132,基础状态预期!$O27)*基础状态预期!$J27)</f>
        <v>7.758396254005536</v>
      </c>
      <c r="X14" s="29">
        <f>IF(基础状态预期!J27="",0,求节点($C$114:$C$122,H$114:H$122,基础状态预期!O27)*基础状态预期!J27+求节点($C$124:$C$132,H$124:H$132,基础状态预期!$O27)*基础状态预期!$J27)</f>
        <v>0</v>
      </c>
      <c r="Y14" s="14">
        <f>IF(基础状态预期!K27="",0,求节点($C$92:$C$100,D$92:D$100,基础状态预期!K27))</f>
        <v>0</v>
      </c>
      <c r="Z14" s="14">
        <f>IF(基础状态预期!L27="",0,求节点($C$92:$C$100,E$92:E$100,基础状态预期!L27))</f>
        <v>0</v>
      </c>
      <c r="AA14" s="14">
        <f>IF(基础状态预期!M27="",0,求节点($C$92:$C$100,F$92:F$100,基础状态预期!M27))</f>
        <v>0</v>
      </c>
      <c r="AB14" s="14">
        <f>IF(基础状态预期!N27="",0,求节点($C$92:$C$100,G$92:G$100,基础状态预期!N27))</f>
        <v>148312.29464812711</v>
      </c>
      <c r="AC14" s="14">
        <f>IF(基础状态预期!O27="",0,求节点($C$92:$C$100,H$92:H$100,基础状态预期!O27))</f>
        <v>73791.981270027682</v>
      </c>
      <c r="AD14" s="29">
        <f>MAX(SUMPRODUCT(Y14:AC14,基础状态预期!F27:J27),AD13)</f>
        <v>591792.51437636488</v>
      </c>
      <c r="AF14" s="29" t="str">
        <f>IF(基础状态预期!K27="","",基础状态预期!K27*D$59+D$58)</f>
        <v/>
      </c>
      <c r="AG14" s="29" t="str">
        <f>IF(基础状态预期!L27="","",基础状态预期!L27*E$59+E$58)</f>
        <v/>
      </c>
      <c r="AH14" s="29" t="str">
        <f>IF(基础状态预期!M27="","",基础状态预期!M27*F$59+F$58)</f>
        <v/>
      </c>
      <c r="AI14" s="29">
        <f>IF(基础状态预期!N27="","",基础状态预期!N27*G$59+G$58)</f>
        <v>104.89451841550795</v>
      </c>
      <c r="AJ14" s="29">
        <f>IF(基础状态预期!O27="","",基础状态预期!O27*H$59+H$58)</f>
        <v>114.87919812700277</v>
      </c>
      <c r="AK14" s="29">
        <f>MAX(SUMPRODUCT(AF14:AJ14,基础状态预期!$F27:$J27)/SUM(基础状态预期!$F27:$J27),AK13)</f>
        <v>111.55097155650451</v>
      </c>
      <c r="AL14" s="29">
        <f>IF(基础状态预期!K27="",0,求节点($C$68:$C$76,D$68:D$76,基础状态预期!K27))</f>
        <v>0</v>
      </c>
      <c r="AM14" s="29">
        <f>IF(基础状态预期!L27="",0,求节点($C$68:$C$76,E$68:E$76,基础状态预期!L27))</f>
        <v>0</v>
      </c>
      <c r="AN14" s="29">
        <f>IF(基础状态预期!M27="",0,求节点($C$68:$C$76,F$68:F$76,基础状态预期!M27)*求节点(武将升级!$H$52:$H$54,武将升级!$J$52:$J$54,基础状态预期!W27))</f>
        <v>0</v>
      </c>
      <c r="AO14" s="29">
        <f>IF(基础状态预期!N27="",0,求节点($C$68:$C$76,G$68:G$76,基础状态预期!N27)*求节点(武将升级!$H$52:$H$54,武将升级!$J$52:$J$54,基础状态预期!X27))</f>
        <v>0.50248106518331437</v>
      </c>
      <c r="AP14" s="29">
        <f>IF(基础状态预期!O27="",0,求节点($C$68:$C$76,H$68:H$76,基础状态预期!O27)*求节点(武将升级!$H$52:$H$54,武将升级!$J$52:$J$54,基础状态预期!Y27))</f>
        <v>0.69838930836003676</v>
      </c>
      <c r="AQ14" s="29">
        <f>MAX(SUMPRODUCT(AL14:AP14,基础状态预期!$F27:$J27)/SUM(基础状态预期!$F27:$J27),AQ13)</f>
        <v>0.63308656063446256</v>
      </c>
      <c r="AR14" s="29">
        <f>IF(基础状态预期!K27="",0,求节点($C$158:$C$166,D$158:D$166,基础状态预期!K27))</f>
        <v>0</v>
      </c>
      <c r="AS14" s="29">
        <f>IF(基础状态预期!L27="",0,求节点($C$158:$C$166,E$158:E$166,基础状态预期!L27))</f>
        <v>0</v>
      </c>
      <c r="AT14" s="29">
        <f>IF(基础状态预期!M27="",0,求节点($C$158:$C$166,F$158:F$166,基础状态预期!M27))</f>
        <v>0</v>
      </c>
      <c r="AU14" s="29">
        <f>IF(基础状态预期!N27="",0,求节点($C$158:$C$166,G$158:G$166,基础状态预期!N27))</f>
        <v>0.27852325781711124</v>
      </c>
      <c r="AV14" s="29">
        <f>IF(基础状态预期!O27="",0,求节点($C$158:$C$166,H$158:H$166,基础状态预期!O27))</f>
        <v>0.24798663545004612</v>
      </c>
      <c r="AW14" s="29">
        <f>MAX(SUMPRODUCT(AR14:AV14,基础状态预期!$F27:$J27)/SUM(基础状态预期!$F27:$J27),AW13)</f>
        <v>0.25816550957240114</v>
      </c>
      <c r="AX14" s="16"/>
      <c r="BA14" s="29">
        <v>110</v>
      </c>
      <c r="BB14" s="29">
        <f t="shared" ref="BB14:BB18" si="9">求节点($N$4:$N$42,$AK$4:$AK$42,$BA14)</f>
        <v>148</v>
      </c>
      <c r="BC14" s="29">
        <f t="shared" ref="BC14:BC18" si="10">求节点($N$4:$N$42,$AQ$4:$AQ$42,$BA14)</f>
        <v>1.1399999999999999</v>
      </c>
      <c r="BD14" s="29">
        <f>(BB14-BB13)*(INDEX([2]非r将兵属性验证!$V$7:$V$166,$BA14,1)+INDEX([2]非r将兵属性验证!$AP$7:$AP$166,$BA14,1))+BD13</f>
        <v>28352510446.808144</v>
      </c>
      <c r="BE14" s="29">
        <f>(BC14-BC13)*(INDEX([2]非r将兵属性验证!$AC$7:$AC$166,$BA14,1)*[2]战法技能效用!$AH$4+INDEX([2]非r将兵属性验证!$AX$7:$AX$166,$BA14,1)*[2]战法技能效用!$AI$4)+BE13</f>
        <v>33734721832.891743</v>
      </c>
      <c r="BF14" s="75">
        <f t="shared" ref="BF14:BF19" si="11">SUM(BD14:BE14)</f>
        <v>62087232279.69989</v>
      </c>
      <c r="BJ14" s="29">
        <f t="shared" si="5"/>
        <v>69.18336653741882</v>
      </c>
      <c r="BK14" s="75">
        <f>武将数量星级阶位验证!AT17</f>
        <v>296846.79765064281</v>
      </c>
      <c r="BL14" s="75">
        <f>(AD14-AD13)*INDEX('[1]功能-付费相关'!$AQ$6:$AQ$165,BJ14,1)+BL13</f>
        <v>784.53908077637902</v>
      </c>
      <c r="BN14" s="29">
        <v>110</v>
      </c>
      <c r="BO14" s="29">
        <f t="shared" ref="BO14:BO19" si="12">求节点($BJ$4:$BJ$42,BK$4:BK$42,$BN14)</f>
        <v>2111567.4645694154</v>
      </c>
      <c r="BP14" s="29">
        <f t="shared" ref="BP14:BP19" si="13">求节点($BJ$4:$BJ$42,BL$4:BL$42,$BN14)</f>
        <v>21249.513873596094</v>
      </c>
      <c r="BQ14" s="29">
        <f t="shared" ref="BQ14:BQ19" si="14">SUM(BO14:BP14)</f>
        <v>2132816.9784430116</v>
      </c>
    </row>
    <row r="15" spans="2:69" ht="11.25" customHeight="1" x14ac:dyDescent="0.15">
      <c r="B15" s="169" t="s">
        <v>862</v>
      </c>
      <c r="C15" s="14" t="s">
        <v>175</v>
      </c>
      <c r="D15" s="29" t="s">
        <v>3</v>
      </c>
      <c r="E15" s="29" t="s">
        <v>1</v>
      </c>
      <c r="F15" s="29" t="s">
        <v>2</v>
      </c>
      <c r="G15" s="29" t="s">
        <v>0</v>
      </c>
      <c r="H15" s="14" t="s">
        <v>545</v>
      </c>
      <c r="I15" s="14" t="s">
        <v>30</v>
      </c>
      <c r="M15" s="72">
        <v>15</v>
      </c>
      <c r="N15" s="29">
        <f>基础状态预期!D28</f>
        <v>72.375871759353331</v>
      </c>
      <c r="O15" s="29">
        <f>IF(基础状态预期!F28="",0,求节点($C$104:$C$112,D$104:D$112,基础状态预期!K28))</f>
        <v>0</v>
      </c>
      <c r="P15" s="29">
        <f>IF(基础状态预期!G28="",0,求节点($C$104:$C$112,E$104:E$112,基础状态预期!L28))</f>
        <v>0</v>
      </c>
      <c r="Q15" s="29">
        <f>IF(基础状态预期!H28="",0,求节点($C$104:$C$112,F$104:F$112,基础状态预期!M28))</f>
        <v>0</v>
      </c>
      <c r="R15" s="29">
        <f>IF(基础状态预期!I28="",0,求节点($C$104:$C$112,G$104:G$112,基础状态预期!N28))</f>
        <v>6.5118039520536239</v>
      </c>
      <c r="S15" s="29">
        <f>IF(基础状态预期!J28="",0,求节点($C$104:$C$112,H$104:H$112,基础状态预期!O28))</f>
        <v>3.6264505889657337</v>
      </c>
      <c r="T15" s="29">
        <f>IF(基础状态预期!F28="",0,求节点($C$114:$C$122,D$114:D$122,基础状态预期!K28)*基础状态预期!F28+求节点($C$124:$C$132,D$124:D$132,基础状态预期!$O28)*基础状态预期!$J28)</f>
        <v>0</v>
      </c>
      <c r="U15" s="29">
        <f>IF(基础状态预期!G28="",0,求节点($C$114:$C$122,E$114:E$122,基础状态预期!L28)*基础状态预期!G28+求节点($C$124:$C$132,E$124:E$132,基础状态预期!$O28)*基础状态预期!$J28)</f>
        <v>0</v>
      </c>
      <c r="V15" s="29">
        <f>IF(基础状态预期!H28="",0,求节点($C$114:$C$122,F$114:F$122,基础状态预期!M28)*基础状态预期!H28+求节点($C$124:$C$132,F$124:F$132,基础状态预期!$O28)*基础状态预期!$J28)</f>
        <v>0</v>
      </c>
      <c r="W15" s="148">
        <f>IF(基础状态预期!I28="",0,求节点($C$114:$C$122,G$114:G$122,基础状态预期!N28)*基础状态预期!I28)+IF(基础状态预期!O28="",0,求节点($C$124:$C$132,G$124:G$132,基础状态预期!$O28)*基础状态预期!$J28)</f>
        <v>10.90856278653963</v>
      </c>
      <c r="X15" s="29">
        <f>IF(基础状态预期!J28="",0,求节点($C$114:$C$122,H$114:H$122,基础状态预期!O28)*基础状态预期!J28+求节点($C$124:$C$132,H$124:H$132,基础状态预期!$O28)*基础状态预期!$J28)</f>
        <v>0</v>
      </c>
      <c r="Y15" s="14">
        <f>IF(基础状态预期!K28="",0,求节点($C$92:$C$100,D$92:D$100,基础状态预期!K28))</f>
        <v>0</v>
      </c>
      <c r="Z15" s="14">
        <f>IF(基础状态预期!L28="",0,求节点($C$92:$C$100,E$92:E$100,基础状态预期!L28))</f>
        <v>0</v>
      </c>
      <c r="AA15" s="14">
        <f>IF(基础状态预期!M28="",0,求节点($C$92:$C$100,F$92:F$100,基础状态预期!M28))</f>
        <v>0</v>
      </c>
      <c r="AB15" s="14">
        <f>IF(基础状态预期!N28="",0,求节点($C$92:$C$100,G$92:G$100,基础状态预期!N28))</f>
        <v>190944.31616428992</v>
      </c>
      <c r="AC15" s="14">
        <f>IF(基础状态预期!O28="",0,求节点($C$92:$C$100,H$92:H$100,基础状态预期!O28))</f>
        <v>82587.03533794402</v>
      </c>
      <c r="AD15" s="29">
        <f>MAX(SUMPRODUCT(Y15:AC15,基础状态预期!F28:J28),AD14)</f>
        <v>603879.49285401008</v>
      </c>
      <c r="AF15" s="29" t="str">
        <f>IF(基础状态预期!K28="","",基础状态预期!K28*D$59+D$58)</f>
        <v/>
      </c>
      <c r="AG15" s="29" t="str">
        <f>IF(基础状态预期!L28="","",基础状态预期!L28*E$59+E$58)</f>
        <v/>
      </c>
      <c r="AH15" s="29" t="str">
        <f>IF(基础状态预期!M28="","",基础状态预期!M28*F$59+F$58)</f>
        <v/>
      </c>
      <c r="AI15" s="29">
        <f>IF(基础状态预期!N28="","",基础状态预期!N28*G$59+G$58)</f>
        <v>106.27950988013406</v>
      </c>
      <c r="AJ15" s="29">
        <f>IF(基础状态预期!O28="","",基础状态预期!O28*H$59+H$58)</f>
        <v>115.7587035337944</v>
      </c>
      <c r="AK15" s="29">
        <f>MAX(SUMPRODUCT(AF15:AJ15,基础状态预期!$F28:$J28)/SUM(基础状态预期!$F28:$J28),AK14)</f>
        <v>114.17883792485101</v>
      </c>
      <c r="AL15" s="29">
        <f>IF(基础状态预期!K28="",0,求节点($C$68:$C$76,D$68:D$76,基础状态预期!K28))</f>
        <v>0</v>
      </c>
      <c r="AM15" s="29">
        <f>IF(基础状态预期!L28="",0,求节点($C$68:$C$76,E$68:E$76,基础状态预期!L28))</f>
        <v>0</v>
      </c>
      <c r="AN15" s="29">
        <f>IF(基础状态预期!M28="",0,求节点($C$68:$C$76,F$68:F$76,基础状态预期!M28)*求节点(武将升级!$H$52:$H$54,武将升级!$J$52:$J$54,基础状态预期!W28))</f>
        <v>0</v>
      </c>
      <c r="AO15" s="29">
        <f>IF(基础状态预期!N28="",0,求节点($C$68:$C$76,G$68:G$76,基础状态预期!N28)*求节点(武将升级!$H$52:$H$54,武将升级!$J$52:$J$54,基础状态预期!X28))</f>
        <v>0.52242494227393044</v>
      </c>
      <c r="AP15" s="29">
        <f>IF(基础状态预期!O28="",0,求节点($C$68:$C$76,H$68:H$76,基础状态预期!O28)*求节点(武将升级!$H$52:$H$54,武将升级!$J$52:$J$54,基础状态预期!Y28))</f>
        <v>0.71011604711725862</v>
      </c>
      <c r="AQ15" s="29">
        <f>MAX(SUMPRODUCT(AL15:AP15,基础状态预期!$F28:$J28)/SUM(基础状态预期!$F28:$J28),AQ14)</f>
        <v>0.67883419631003727</v>
      </c>
      <c r="AR15" s="29">
        <f>IF(基础状态预期!K28="",0,求节点($C$158:$C$166,D$158:D$166,基础状态预期!K28))</f>
        <v>0</v>
      </c>
      <c r="AS15" s="29">
        <f>IF(基础状态预期!L28="",0,求节点($C$158:$C$166,E$158:E$166,基础状态预期!L28))</f>
        <v>0</v>
      </c>
      <c r="AT15" s="29">
        <f>IF(基础状态预期!M28="",0,求节点($C$158:$C$166,F$158:F$166,基础状态预期!M28))</f>
        <v>0</v>
      </c>
      <c r="AU15" s="29">
        <f>IF(基础状态预期!N28="",0,求节点($C$158:$C$166,G$158:G$166,基础状态预期!N28))</f>
        <v>0.29791313832187682</v>
      </c>
      <c r="AV15" s="29">
        <f>IF(基础状态预期!O28="",0,求节点($C$158:$C$166,H$158:H$166,基础状态预期!O28))</f>
        <v>0.26264505889657336</v>
      </c>
      <c r="AW15" s="29">
        <f>MAX(SUMPRODUCT(AR15:AV15,基础状态预期!$F28:$J28)/SUM(基础状态预期!$F28:$J28),AW14)</f>
        <v>0.26852307213412391</v>
      </c>
      <c r="AX15" s="16"/>
      <c r="BA15" s="29">
        <v>120</v>
      </c>
      <c r="BB15" s="29">
        <f t="shared" si="9"/>
        <v>148</v>
      </c>
      <c r="BC15" s="29">
        <f t="shared" si="10"/>
        <v>1.1399999999999999</v>
      </c>
      <c r="BD15" s="29">
        <f>(BB15-BB14)*(INDEX([2]非r将兵属性验证!$V$7:$V$166,$BA15,1)+INDEX([2]非r将兵属性验证!$AP$7:$AP$166,$BA15,1))+BD14</f>
        <v>28352510446.808144</v>
      </c>
      <c r="BE15" s="29">
        <f>(BC15-BC14)*(INDEX([2]非r将兵属性验证!$AC$7:$AC$166,$BA15,1)*[2]战法技能效用!$AH$4+INDEX([2]非r将兵属性验证!$AX$7:$AX$166,$BA15,1)*[2]战法技能效用!$AI$4)+BE14</f>
        <v>33734721832.891743</v>
      </c>
      <c r="BF15" s="75">
        <f t="shared" si="11"/>
        <v>62087232279.69989</v>
      </c>
      <c r="BJ15" s="29">
        <f t="shared" si="5"/>
        <v>72.375871759353331</v>
      </c>
      <c r="BK15" s="75">
        <f>武将数量星级阶位验证!AT18</f>
        <v>341983.80686664447</v>
      </c>
      <c r="BL15" s="75">
        <f>(AD15-AD14)*INDEX('[1]功能-付费相关'!$AQ$6:$AQ$165,BJ15,1)+BL14</f>
        <v>798.02901211303663</v>
      </c>
      <c r="BN15" s="29">
        <v>120</v>
      </c>
      <c r="BO15" s="29">
        <f t="shared" si="12"/>
        <v>3774077.0724769412</v>
      </c>
      <c r="BP15" s="29">
        <f t="shared" si="13"/>
        <v>21249.513873596094</v>
      </c>
      <c r="BQ15" s="29">
        <f t="shared" si="14"/>
        <v>3795326.5863505374</v>
      </c>
    </row>
    <row r="16" spans="2:69" x14ac:dyDescent="0.15">
      <c r="B16" s="170"/>
      <c r="C16" s="29">
        <v>0</v>
      </c>
      <c r="D16" s="14"/>
      <c r="E16" s="14"/>
      <c r="F16" s="14"/>
      <c r="G16" s="14"/>
      <c r="H16" s="14"/>
      <c r="I16" s="14"/>
      <c r="M16" s="72">
        <v>16</v>
      </c>
      <c r="N16" s="29">
        <f>基础状态预期!D29</f>
        <v>74.998404927577795</v>
      </c>
      <c r="O16" s="29">
        <f>IF(基础状态预期!F29="",0,求节点($C$104:$C$112,D$104:D$112,基础状态预期!K29))</f>
        <v>0</v>
      </c>
      <c r="P16" s="29">
        <f>IF(基础状态预期!G29="",0,求节点($C$104:$C$112,E$104:E$112,基础状态预期!L29))</f>
        <v>0</v>
      </c>
      <c r="Q16" s="29">
        <f>IF(基础状态预期!H29="",0,求节点($C$104:$C$112,F$104:F$112,基础状态预期!M29))</f>
        <v>0</v>
      </c>
      <c r="R16" s="29">
        <f>IF(基础状态预期!I29="",0,求节点($C$104:$C$112,G$104:G$112,基础状态预期!N29))</f>
        <v>7.0492816253478612</v>
      </c>
      <c r="S16" s="29">
        <f>IF(基础状态预期!J29="",0,求节点($C$104:$C$112,H$104:H$112,基础状态预期!O29))</f>
        <v>4.0224384960350941</v>
      </c>
      <c r="T16" s="29">
        <f>IF(基础状态预期!F29="",0,求节点($C$114:$C$122,D$114:D$122,基础状态预期!K29)*基础状态预期!F29+求节点($C$124:$C$132,D$124:D$132,基础状态预期!$O29)*基础状态预期!$J29)</f>
        <v>0</v>
      </c>
      <c r="U16" s="29">
        <f>IF(基础状态预期!G29="",0,求节点($C$114:$C$122,E$114:E$122,基础状态预期!L29)*基础状态预期!G29+求节点($C$124:$C$132,E$124:E$132,基础状态预期!$O29)*基础状态预期!$J29)</f>
        <v>0</v>
      </c>
      <c r="V16" s="29">
        <f>IF(基础状态预期!H29="",0,求节点($C$114:$C$122,F$114:F$122,基础状态预期!M29)*基础状态预期!H29+求节点($C$124:$C$132,F$124:F$132,基础状态预期!$O29)*基础状态预期!$J29)</f>
        <v>0</v>
      </c>
      <c r="W16" s="148">
        <f>IF(基础状态预期!I29="",0,求节点($C$114:$C$122,G$114:G$122,基础状态预期!N29)*基础状态预期!I29)+IF(基础状态预期!O29="",0,求节点($C$124:$C$132,G$124:G$132,基础状态预期!$O29)*基础状态预期!$J29)</f>
        <v>17.52464081267393</v>
      </c>
      <c r="X16" s="29">
        <f>IF(基础状态预期!J29="",0,求节点($C$114:$C$122,H$114:H$122,基础状态预期!O29)*基础状态预期!J29+求节点($C$124:$C$132,H$124:H$132,基础状态预期!$O29)*基础状态预期!$J29)</f>
        <v>0</v>
      </c>
      <c r="Y16" s="14">
        <f>IF(基础状态预期!K29="",0,求节点($C$92:$C$100,D$92:D$100,基础状态预期!K29))</f>
        <v>0</v>
      </c>
      <c r="Z16" s="14">
        <f>IF(基础状态预期!L29="",0,求节点($C$92:$C$100,E$92:E$100,基础状态预期!L29))</f>
        <v>0</v>
      </c>
      <c r="AA16" s="14">
        <f>IF(基础状态预期!M29="",0,求节点($C$92:$C$100,F$92:F$100,基础状态预期!M29))</f>
        <v>0</v>
      </c>
      <c r="AB16" s="14">
        <f>IF(基础状态预期!N29="",0,求节点($C$92:$C$100,G$92:G$100,基础状态预期!N29))</f>
        <v>233942.53002782888</v>
      </c>
      <c r="AC16" s="14">
        <f>IF(基础状态预期!O29="",0,求节点($C$92:$C$100,H$92:H$100,基础状态预期!O29))</f>
        <v>106346.30976210564</v>
      </c>
      <c r="AD16" s="29">
        <f>MAX(SUMPRODUCT(Y16:AC16,基础状态预期!F29:J29),AD15)</f>
        <v>701875.96870549547</v>
      </c>
      <c r="AF16" s="29" t="str">
        <f>IF(基础状态预期!K29="","",基础状态预期!K29*D$59+D$58)</f>
        <v/>
      </c>
      <c r="AG16" s="29" t="str">
        <f>IF(基础状态预期!L29="","",基础状态预期!L29*E$59+E$58)</f>
        <v/>
      </c>
      <c r="AH16" s="29" t="str">
        <f>IF(基础状态预期!M29="","",基础状态预期!M29*F$59+F$58)</f>
        <v/>
      </c>
      <c r="AI16" s="29">
        <f>IF(基础状态预期!N29="","",基础状态预期!N29*G$59+G$58)</f>
        <v>107.62320406336966</v>
      </c>
      <c r="AJ16" s="29">
        <f>IF(基础状态预期!O29="","",基础状态预期!O29*H$59+H$58)</f>
        <v>118.06731548810528</v>
      </c>
      <c r="AK16" s="29">
        <f>MAX(SUMPRODUCT(AF16:AJ16,基础状态预期!$F29:$J29)/SUM(基础状态预期!$F29:$J29),AK15)</f>
        <v>117.19697286937732</v>
      </c>
      <c r="AL16" s="29">
        <f>IF(基础状态预期!K29="",0,求节点($C$68:$C$76,D$68:D$76,基础状态预期!K29))</f>
        <v>0</v>
      </c>
      <c r="AM16" s="29">
        <f>IF(基础状态预期!L29="",0,求节点($C$68:$C$76,E$68:E$76,基础状态预期!L29))</f>
        <v>0</v>
      </c>
      <c r="AN16" s="29">
        <f>IF(基础状态预期!M29="",0,求节点($C$68:$C$76,F$68:F$76,基础状态预期!M29)*求节点(武将升级!$H$52:$H$54,武将升级!$J$52:$J$54,基础状态预期!W29))</f>
        <v>0</v>
      </c>
      <c r="AO16" s="29">
        <f>IF(基础状态预期!N29="",0,求节点($C$68:$C$76,G$68:G$76,基础状态预期!N29)*求节点(武将升级!$H$52:$H$54,武将升级!$J$52:$J$54,基础状态预期!X29))</f>
        <v>0.54177413851252298</v>
      </c>
      <c r="AP16" s="29">
        <f>IF(基础状态预期!O29="",0,求节点($C$68:$C$76,H$68:H$76,基础状态预期!O29)*求节点(武将升级!$H$52:$H$54,武将升级!$J$52:$J$54,基础状态预期!Y29))</f>
        <v>0.74089753984140361</v>
      </c>
      <c r="AQ16" s="29">
        <f>MAX(SUMPRODUCT(AL16:AP16,基础状态预期!$F29:$J29)/SUM(基础状态预期!$F29:$J29),AQ15)</f>
        <v>0.72430392306399682</v>
      </c>
      <c r="AR16" s="29">
        <f>IF(基础状态预期!K29="",0,求节点($C$158:$C$166,D$158:D$166,基础状态预期!K29))</f>
        <v>0</v>
      </c>
      <c r="AS16" s="29">
        <f>IF(基础状态预期!L29="",0,求节点($C$158:$C$166,E$158:E$166,基础状态预期!L29))</f>
        <v>0</v>
      </c>
      <c r="AT16" s="29">
        <f>IF(基础状态预期!M29="",0,求节点($C$158:$C$166,F$158:F$166,基础状态预期!M29))</f>
        <v>0</v>
      </c>
      <c r="AU16" s="29">
        <f>IF(基础状态预期!N29="",0,求节点($C$158:$C$166,G$158:G$166,基础状态预期!N29))</f>
        <v>0.31672485688717517</v>
      </c>
      <c r="AV16" s="29">
        <f>IF(基础状态预期!O29="",0,求节点($C$158:$C$166,H$158:H$166,基础状态预期!O29))</f>
        <v>0.3011219248017547</v>
      </c>
      <c r="AW16" s="29">
        <f>MAX(SUMPRODUCT(AR16:AV16,基础状态预期!$F29:$J29)/SUM(基础状态预期!$F29:$J29),AW15)</f>
        <v>0.30242216914220643</v>
      </c>
      <c r="AX16" s="16"/>
      <c r="BA16" s="29">
        <v>130</v>
      </c>
      <c r="BB16" s="29">
        <f t="shared" si="9"/>
        <v>148</v>
      </c>
      <c r="BC16" s="29">
        <f t="shared" si="10"/>
        <v>1.1399999999999999</v>
      </c>
      <c r="BD16" s="29">
        <f>(BB16-BB15)*(INDEX([2]非r将兵属性验证!$V$7:$V$166,$BA16,1)+INDEX([2]非r将兵属性验证!$AP$7:$AP$166,$BA16,1))+BD15</f>
        <v>28352510446.808144</v>
      </c>
      <c r="BE16" s="29">
        <f>(BC16-BC15)*(INDEX([2]非r将兵属性验证!$AC$7:$AC$166,$BA16,1)*[2]战法技能效用!$AH$4+INDEX([2]非r将兵属性验证!$AX$7:$AX$166,$BA16,1)*[2]战法技能效用!$AI$4)+BE15</f>
        <v>33734721832.891743</v>
      </c>
      <c r="BF16" s="75">
        <f t="shared" si="11"/>
        <v>62087232279.69989</v>
      </c>
      <c r="BJ16" s="29">
        <f t="shared" si="5"/>
        <v>74.998404927577795</v>
      </c>
      <c r="BK16" s="75">
        <f>武将数量星级阶位验证!AT19</f>
        <v>384746.22240269108</v>
      </c>
      <c r="BL16" s="75">
        <f>(AD16-AD15)*INDEX('[1]功能-付费相关'!$AQ$6:$AQ$165,BJ16,1)+BL15</f>
        <v>905.48128826598111</v>
      </c>
      <c r="BN16" s="29">
        <v>130</v>
      </c>
      <c r="BO16" s="29">
        <f t="shared" si="12"/>
        <v>6843346.1573937219</v>
      </c>
      <c r="BP16" s="29">
        <f t="shared" si="13"/>
        <v>21249.513873596094</v>
      </c>
      <c r="BQ16" s="29">
        <f t="shared" si="14"/>
        <v>6864595.6712673176</v>
      </c>
    </row>
    <row r="17" spans="2:69" x14ac:dyDescent="0.15">
      <c r="B17" s="170"/>
      <c r="C17" s="29">
        <v>1</v>
      </c>
      <c r="D17" s="14"/>
      <c r="E17" s="14"/>
      <c r="F17" s="14"/>
      <c r="G17" s="14"/>
      <c r="H17" s="14"/>
      <c r="I17" s="14"/>
      <c r="M17" s="72">
        <v>17</v>
      </c>
      <c r="N17" s="29">
        <f>基础状态预期!D30</f>
        <v>77.875308029777003</v>
      </c>
      <c r="O17" s="29">
        <f>IF(基础状态预期!F30="",0,求节点($C$104:$C$112,D$104:D$112,基础状态预期!K30))</f>
        <v>0</v>
      </c>
      <c r="P17" s="29">
        <f>IF(基础状态预期!G30="",0,求节点($C$104:$C$112,E$104:E$112,基础状态预期!L30))</f>
        <v>0</v>
      </c>
      <c r="Q17" s="29">
        <f>IF(基础状态预期!H30="",0,求节点($C$104:$C$112,F$104:F$112,基础状态预期!M30))</f>
        <v>0</v>
      </c>
      <c r="R17" s="29">
        <f>IF(基础状态预期!I30="",0,求节点($C$104:$C$112,G$104:G$112,基础状态预期!N30))</f>
        <v>0</v>
      </c>
      <c r="S17" s="29">
        <f>IF(基础状态预期!J30="",0,求节点($C$104:$C$112,H$104:H$112,基础状态预期!O30))</f>
        <v>4.4771599150473635</v>
      </c>
      <c r="T17" s="29">
        <f>IF(基础状态预期!F30="",0,求节点($C$114:$C$122,D$114:D$122,基础状态预期!K30)*基础状态预期!F30+求节点($C$124:$C$132,D$124:D$132,基础状态预期!$O30)*基础状态预期!$J30)</f>
        <v>0</v>
      </c>
      <c r="U17" s="29">
        <f>IF(基础状态预期!G30="",0,求节点($C$114:$C$122,E$114:E$122,基础状态预期!L30)*基础状态预期!G30+求节点($C$124:$C$132,E$124:E$132,基础状态预期!$O30)*基础状态预期!$J30)</f>
        <v>0</v>
      </c>
      <c r="V17" s="29">
        <f>IF(基础状态预期!H30="",0,求节点($C$114:$C$122,F$114:F$122,基础状态预期!M30)*基础状态预期!H30+求节点($C$124:$C$132,F$124:F$132,基础状态预期!$O30)*基础状态预期!$J30)</f>
        <v>0</v>
      </c>
      <c r="W17" s="148">
        <f>IF(基础状态预期!I30="",0,求节点($C$114:$C$122,G$114:G$122,基础状态预期!N30)*基础状态预期!I30)+IF(基础状态预期!O30="",0,求节点($C$124:$C$132,G$124:G$132,基础状态预期!$O30)*基础状态预期!$J30)</f>
        <v>18</v>
      </c>
      <c r="X17" s="29">
        <f>IF(基础状态预期!J30="",0,求节点($C$114:$C$122,H$114:H$122,基础状态预期!O30)*基础状态预期!J30+求节点($C$124:$C$132,H$124:H$132,基础状态预期!$O30)*基础状态预期!$J30)</f>
        <v>0</v>
      </c>
      <c r="Y17" s="14">
        <f>IF(基础状态预期!K30="",0,求节点($C$92:$C$100,D$92:D$100,基础状态预期!K30))</f>
        <v>0</v>
      </c>
      <c r="Z17" s="14">
        <f>IF(基础状态预期!L30="",0,求节点($C$92:$C$100,E$92:E$100,基础状态预期!L30))</f>
        <v>0</v>
      </c>
      <c r="AA17" s="14">
        <f>IF(基础状态预期!M30="",0,求节点($C$92:$C$100,F$92:F$100,基础状态预期!M30))</f>
        <v>0</v>
      </c>
      <c r="AB17" s="14">
        <f>IF(基础状态预期!N30="",0,求节点($C$92:$C$100,G$92:G$100,基础状态预期!N30))</f>
        <v>0</v>
      </c>
      <c r="AC17" s="14">
        <f>IF(基础状态预期!O30="",0,求节点($C$92:$C$100,H$92:H$100,基础状态预期!O30))</f>
        <v>133629.59490284181</v>
      </c>
      <c r="AD17" s="29">
        <f>MAX(SUMPRODUCT(Y17:AC17,基础状态预期!F30:J30),AD16)</f>
        <v>801777.56941705081</v>
      </c>
      <c r="AF17" s="29" t="str">
        <f>IF(基础状态预期!K30="","",基础状态预期!K30*D$59+D$58)</f>
        <v/>
      </c>
      <c r="AG17" s="29" t="str">
        <f>IF(基础状态预期!L30="","",基础状态预期!L30*E$59+E$58)</f>
        <v/>
      </c>
      <c r="AH17" s="29" t="str">
        <f>IF(基础状态预期!M30="","",基础状态预期!M30*F$59+F$58)</f>
        <v/>
      </c>
      <c r="AI17" s="29" t="str">
        <f>IF(基础状态预期!N30="","",基础状态预期!N30*G$59+G$58)</f>
        <v/>
      </c>
      <c r="AJ17" s="29">
        <f>IF(基础状态预期!O30="","",基础状态预期!O30*H$59+H$58)</f>
        <v>119.4314797451421</v>
      </c>
      <c r="AK17" s="29">
        <f>MAX(SUMPRODUCT(AF17:AJ17,基础状态预期!$F30:$J30)/SUM(基础状态预期!$F30:$J30),AK16)</f>
        <v>119.4314797451421</v>
      </c>
      <c r="AL17" s="29">
        <f>IF(基础状态预期!K30="",0,求节点($C$68:$C$76,D$68:D$76,基础状态预期!K30))</f>
        <v>0</v>
      </c>
      <c r="AM17" s="29">
        <f>IF(基础状态预期!L30="",0,求节点($C$68:$C$76,E$68:E$76,基础状态预期!L30))</f>
        <v>0</v>
      </c>
      <c r="AN17" s="29">
        <f>IF(基础状态预期!M30="",0,求节点($C$68:$C$76,F$68:F$76,基础状态预期!M30)*求节点(武将升级!$H$52:$H$54,武将升级!$J$52:$J$54,基础状态预期!W30))</f>
        <v>0</v>
      </c>
      <c r="AO17" s="29">
        <f>IF(基础状态预期!N30="",0,求节点($C$68:$C$76,G$68:G$76,基础状态预期!N30)*求节点(武将升级!$H$52:$H$54,武将升级!$J$52:$J$54,基础状态预期!X30))</f>
        <v>0</v>
      </c>
      <c r="AP17" s="29">
        <f>IF(基础状态预期!O30="",0,求节点($C$68:$C$76,H$68:H$76,基础状态预期!O30)*求节点(武将升级!$H$52:$H$54,武将升级!$J$52:$J$54,基础状态预期!Y30))</f>
        <v>0.75908639660189436</v>
      </c>
      <c r="AQ17" s="29">
        <f>MAX(SUMPRODUCT(AL17:AP17,基础状态预期!$F30:$J30)/SUM(基础状态预期!$F30:$J30),AQ16)</f>
        <v>0.75908639660189436</v>
      </c>
      <c r="AR17" s="29">
        <f>IF(基础状态预期!K30="",0,求节点($C$158:$C$166,D$158:D$166,基础状态预期!K30))</f>
        <v>0</v>
      </c>
      <c r="AS17" s="29">
        <f>IF(基础状态预期!L30="",0,求节点($C$158:$C$166,E$158:E$166,基础状态预期!L30))</f>
        <v>0</v>
      </c>
      <c r="AT17" s="29">
        <f>IF(基础状态预期!M30="",0,求节点($C$158:$C$166,F$158:F$166,基础状态预期!M30))</f>
        <v>0</v>
      </c>
      <c r="AU17" s="29">
        <f>IF(基础状态预期!N30="",0,求节点($C$158:$C$166,G$158:G$166,基础状态预期!N30))</f>
        <v>0</v>
      </c>
      <c r="AV17" s="29">
        <f>IF(基础状态预期!O30="",0,求节点($C$158:$C$166,H$158:H$166,基础状态预期!O30))</f>
        <v>0.32385799575236818</v>
      </c>
      <c r="AW17" s="29">
        <f>MAX(SUMPRODUCT(AR17:AV17,基础状态预期!$F30:$J30)/SUM(基础状态预期!$F30:$J30),AW16)</f>
        <v>0.32385799575236818</v>
      </c>
      <c r="AX17" s="16"/>
      <c r="BA17" s="29">
        <v>140</v>
      </c>
      <c r="BB17" s="29">
        <f t="shared" si="9"/>
        <v>148</v>
      </c>
      <c r="BC17" s="29">
        <f t="shared" si="10"/>
        <v>1.1399999999999999</v>
      </c>
      <c r="BD17" s="29">
        <f>(BB17-BB16)*(INDEX([2]非r将兵属性验证!$V$7:$V$166,$BA17,1)+INDEX([2]非r将兵属性验证!$AP$7:$AP$166,$BA17,1))+BD16</f>
        <v>28352510446.808144</v>
      </c>
      <c r="BE17" s="29">
        <f>(BC17-BC16)*(INDEX([2]非r将兵属性验证!$AC$7:$AC$166,$BA17,1)*[2]战法技能效用!$AH$4+INDEX([2]非r将兵属性验证!$AX$7:$AX$166,$BA17,1)*[2]战法技能效用!$AI$4)+BE16</f>
        <v>33734721832.891743</v>
      </c>
      <c r="BF17" s="75">
        <f t="shared" si="11"/>
        <v>62087232279.69989</v>
      </c>
      <c r="BJ17" s="29">
        <f t="shared" si="5"/>
        <v>77.875308029777003</v>
      </c>
      <c r="BK17" s="75">
        <f>武将数量星级阶位验证!AT20</f>
        <v>435527.09128223924</v>
      </c>
      <c r="BL17" s="75">
        <f>(AD17-AD16)*INDEX('[1]功能-付费相关'!$AQ$6:$AQ$165,BJ17,1)+BL16</f>
        <v>1012.2137676586684</v>
      </c>
      <c r="BN17" s="29">
        <v>140</v>
      </c>
      <c r="BO17" s="29">
        <f t="shared" si="12"/>
        <v>12542891.807382993</v>
      </c>
      <c r="BP17" s="29">
        <f t="shared" si="13"/>
        <v>21249.513873596094</v>
      </c>
      <c r="BQ17" s="29">
        <f t="shared" si="14"/>
        <v>12564141.321256589</v>
      </c>
    </row>
    <row r="18" spans="2:69" x14ac:dyDescent="0.15">
      <c r="B18" s="170"/>
      <c r="C18" s="29">
        <v>2</v>
      </c>
      <c r="D18" s="14"/>
      <c r="E18" s="14"/>
      <c r="F18" s="14"/>
      <c r="G18" s="14"/>
      <c r="H18" s="14"/>
      <c r="I18" s="14"/>
      <c r="M18" s="72">
        <v>18</v>
      </c>
      <c r="N18" s="29">
        <f>基础状态预期!D31</f>
        <v>80.272123558064706</v>
      </c>
      <c r="O18" s="29">
        <f>IF(基础状态预期!F31="",0,求节点($C$104:$C$112,D$104:D$112,基础状态预期!K31))</f>
        <v>0</v>
      </c>
      <c r="P18" s="29">
        <f>IF(基础状态预期!G31="",0,求节点($C$104:$C$112,E$104:E$112,基础状态预期!L31))</f>
        <v>0</v>
      </c>
      <c r="Q18" s="29">
        <f>IF(基础状态预期!H31="",0,求节点($C$104:$C$112,F$104:F$112,基础状态预期!M31))</f>
        <v>0</v>
      </c>
      <c r="R18" s="29">
        <f>IF(基础状态预期!I31="",0,求节点($C$104:$C$112,G$104:G$112,基础状态预期!N31))</f>
        <v>0</v>
      </c>
      <c r="S18" s="29">
        <f>IF(基础状态预期!J31="",0,求节点($C$104:$C$112,H$104:H$112,基础状态预期!O31))</f>
        <v>5.2198977727811773</v>
      </c>
      <c r="T18" s="29">
        <f>IF(基础状态预期!F31="",0,求节点($C$114:$C$122,D$114:D$122,基础状态预期!K31)*基础状态预期!F31+求节点($C$124:$C$132,D$124:D$132,基础状态预期!$O31)*基础状态预期!$J31)</f>
        <v>0</v>
      </c>
      <c r="U18" s="29">
        <f>IF(基础状态预期!G31="",0,求节点($C$114:$C$122,E$114:E$122,基础状态预期!L31)*基础状态预期!G31+求节点($C$124:$C$132,E$124:E$132,基础状态预期!$O31)*基础状态预期!$J31)</f>
        <v>0</v>
      </c>
      <c r="V18" s="29">
        <f>IF(基础状态预期!H31="",0,求节点($C$114:$C$122,F$114:F$122,基础状态预期!M31)*基础状态预期!H31+求节点($C$124:$C$132,F$124:F$132,基础状态预期!$O31)*基础状态预期!$J31)</f>
        <v>0</v>
      </c>
      <c r="W18" s="148">
        <f>IF(基础状态预期!I31="",0,求节点($C$114:$C$122,G$114:G$122,基础状态预期!N31)*基础状态预期!I31)+IF(基础状态预期!O31="",0,求节点($C$124:$C$132,G$124:G$132,基础状态预期!$O31)*基础状态预期!$J31)</f>
        <v>18</v>
      </c>
      <c r="X18" s="29">
        <f>IF(基础状态预期!J31="",0,求节点($C$114:$C$122,H$114:H$122,基础状态预期!O31)*基础状态预期!J31+求节点($C$124:$C$132,H$124:H$132,基础状态预期!$O31)*基础状态预期!$J31)</f>
        <v>0</v>
      </c>
      <c r="Y18" s="14">
        <f>IF(基础状态预期!K31="",0,求节点($C$92:$C$100,D$92:D$100,基础状态预期!K31))</f>
        <v>0</v>
      </c>
      <c r="Z18" s="14">
        <f>IF(基础状态预期!L31="",0,求节点($C$92:$C$100,E$92:E$100,基础状态预期!L31))</f>
        <v>0</v>
      </c>
      <c r="AA18" s="14">
        <f>IF(基础状态预期!M31="",0,求节点($C$92:$C$100,F$92:F$100,基础状态预期!M31))</f>
        <v>0</v>
      </c>
      <c r="AB18" s="14">
        <f>IF(基础状态预期!N31="",0,求节点($C$92:$C$100,G$92:G$100,基础状态预期!N31))</f>
        <v>0</v>
      </c>
      <c r="AC18" s="14">
        <f>IF(基础状态预期!O31="",0,求节点($C$92:$C$100,H$92:H$100,基础状态预期!O31))</f>
        <v>178193.86636687064</v>
      </c>
      <c r="AD18" s="29">
        <f>MAX(SUMPRODUCT(Y18:AC18,基础状态预期!F31:J31),AD17)</f>
        <v>1069163.1982012237</v>
      </c>
      <c r="AF18" s="29" t="str">
        <f>IF(基础状态预期!K31="","",基础状态预期!K31*D$59+D$58)</f>
        <v/>
      </c>
      <c r="AG18" s="29" t="str">
        <f>IF(基础状态预期!L31="","",基础状态预期!L31*E$59+E$58)</f>
        <v/>
      </c>
      <c r="AH18" s="29" t="str">
        <f>IF(基础状态预期!M31="","",基础状态预期!M31*F$59+F$58)</f>
        <v/>
      </c>
      <c r="AI18" s="29" t="str">
        <f>IF(基础状态预期!N31="","",基础状态预期!N31*G$59+G$58)</f>
        <v/>
      </c>
      <c r="AJ18" s="29">
        <f>IF(基础状态预期!O31="","",基础状态预期!O31*H$59+H$58)</f>
        <v>121.65969331834353</v>
      </c>
      <c r="AK18" s="29">
        <f>MAX(SUMPRODUCT(AF18:AJ18,基础状态预期!$F31:$J31)/SUM(基础状态预期!$F31:$J31),AK17)</f>
        <v>121.65969331834351</v>
      </c>
      <c r="AL18" s="29">
        <f>IF(基础状态预期!K31="",0,求节点($C$68:$C$76,D$68:D$76,基础状态预期!K31))</f>
        <v>0</v>
      </c>
      <c r="AM18" s="29">
        <f>IF(基础状态预期!L31="",0,求节点($C$68:$C$76,E$68:E$76,基础状态预期!L31))</f>
        <v>0</v>
      </c>
      <c r="AN18" s="29">
        <f>IF(基础状态预期!M31="",0,求节点($C$68:$C$76,F$68:F$76,基础状态预期!M31)*求节点(武将升级!$H$52:$H$54,武将升级!$J$52:$J$54,基础状态预期!W31))</f>
        <v>0</v>
      </c>
      <c r="AO18" s="29">
        <f>IF(基础状态预期!N31="",0,求节点($C$68:$C$76,G$68:G$76,基础状态预期!N31)*求节点(武将升级!$H$52:$H$54,武将升级!$J$52:$J$54,基础状态预期!X31))</f>
        <v>0</v>
      </c>
      <c r="AP18" s="29">
        <f>IF(基础状态预期!O31="",0,求节点($C$68:$C$76,H$68:H$76,基础状态预期!O31)*求节点(武将升级!$H$52:$H$54,武将升级!$J$52:$J$54,基础状态预期!Y31))</f>
        <v>0.7887959109112469</v>
      </c>
      <c r="AQ18" s="29">
        <f>MAX(SUMPRODUCT(AL18:AP18,基础状态预期!$F31:$J31)/SUM(基础状态预期!$F31:$J31),AQ17)</f>
        <v>0.7887959109112469</v>
      </c>
      <c r="AR18" s="29">
        <f>IF(基础状态预期!K31="",0,求节点($C$158:$C$166,D$158:D$166,基础状态预期!K31))</f>
        <v>0</v>
      </c>
      <c r="AS18" s="29">
        <f>IF(基础状态预期!L31="",0,求节点($C$158:$C$166,E$158:E$166,基础状态预期!L31))</f>
        <v>0</v>
      </c>
      <c r="AT18" s="29">
        <f>IF(基础状态预期!M31="",0,求节点($C$158:$C$166,F$158:F$166,基础状态预期!M31))</f>
        <v>0</v>
      </c>
      <c r="AU18" s="29">
        <f>IF(基础状态预期!N31="",0,求节点($C$158:$C$166,G$158:G$166,基础状态预期!N31))</f>
        <v>0</v>
      </c>
      <c r="AV18" s="29">
        <f>IF(基础状态预期!O31="",0,求节点($C$158:$C$166,H$158:H$166,基础状态预期!O31))</f>
        <v>0.36099488863905888</v>
      </c>
      <c r="AW18" s="29">
        <f>MAX(SUMPRODUCT(AR18:AV18,基础状态预期!$F31:$J31)/SUM(基础状态预期!$F31:$J31),AW17)</f>
        <v>0.36099488863905888</v>
      </c>
      <c r="AX18" s="16"/>
      <c r="BA18" s="29">
        <v>150</v>
      </c>
      <c r="BB18" s="29">
        <f t="shared" si="9"/>
        <v>148</v>
      </c>
      <c r="BC18" s="29">
        <f t="shared" si="10"/>
        <v>1.1399999999999999</v>
      </c>
      <c r="BD18" s="29">
        <f>(BB18-BB17)*(INDEX([2]非r将兵属性验证!$V$7:$V$166,$BA18,1)+INDEX([2]非r将兵属性验证!$AP$7:$AP$166,$BA18,1))+BD17</f>
        <v>28352510446.808144</v>
      </c>
      <c r="BE18" s="29">
        <f>(BC18-BC17)*(INDEX([2]非r将兵属性验证!$AC$7:$AC$166,$BA18,1)*[2]战法技能效用!$AH$4+INDEX([2]非r将兵属性验证!$AX$7:$AX$166,$BA18,1)*[2]战法技能效用!$AI$4)+BE17</f>
        <v>33734721832.891743</v>
      </c>
      <c r="BF18" s="75">
        <f t="shared" si="11"/>
        <v>62087232279.69989</v>
      </c>
      <c r="BJ18" s="29">
        <f t="shared" si="5"/>
        <v>80.272123558064706</v>
      </c>
      <c r="BK18" s="75">
        <f>武将数量星级阶位验证!AT21</f>
        <v>483274.52499369869</v>
      </c>
      <c r="BL18" s="75">
        <f>(AD18-AD17)*INDEX('[1]功能-付费相关'!$AQ$6:$AQ$165,BJ18,1)+BL17</f>
        <v>1290.7404643088485</v>
      </c>
      <c r="BN18" s="29">
        <v>150</v>
      </c>
      <c r="BO18" s="29">
        <f t="shared" si="12"/>
        <v>23205174.193226486</v>
      </c>
      <c r="BP18" s="29">
        <f t="shared" si="13"/>
        <v>21249.513873596094</v>
      </c>
      <c r="BQ18" s="29">
        <f t="shared" si="14"/>
        <v>23226423.707100082</v>
      </c>
    </row>
    <row r="19" spans="2:69" x14ac:dyDescent="0.15">
      <c r="B19" s="170"/>
      <c r="C19" s="29">
        <v>3</v>
      </c>
      <c r="D19" s="14"/>
      <c r="E19" s="14"/>
      <c r="F19" s="14"/>
      <c r="G19" s="14">
        <v>1</v>
      </c>
      <c r="H19" s="14"/>
      <c r="I19" s="14"/>
      <c r="M19" s="72">
        <v>19</v>
      </c>
      <c r="N19" s="29">
        <f>基础状态预期!D32</f>
        <v>82.328492296001457</v>
      </c>
      <c r="O19" s="29">
        <f>IF(基础状态预期!F32="",0,求节点($C$104:$C$112,D$104:D$112,基础状态预期!K32))</f>
        <v>0</v>
      </c>
      <c r="P19" s="29">
        <f>IF(基础状态预期!G32="",0,求节点($C$104:$C$112,E$104:E$112,基础状态预期!L32))</f>
        <v>0</v>
      </c>
      <c r="Q19" s="29">
        <f>IF(基础状态预期!H32="",0,求节点($C$104:$C$112,F$104:F$112,基础状态预期!M32))</f>
        <v>0</v>
      </c>
      <c r="R19" s="29">
        <f>IF(基础状态预期!I32="",0,求节点($C$104:$C$112,G$104:G$112,基础状态预期!N32))</f>
        <v>0</v>
      </c>
      <c r="S19" s="29">
        <f>IF(基础状态预期!J32="",0,求节点($C$104:$C$112,H$104:H$112,基础状态预期!O32))</f>
        <v>5.9789738317209968</v>
      </c>
      <c r="T19" s="29">
        <f>IF(基础状态预期!F32="",0,求节点($C$114:$C$122,D$114:D$122,基础状态预期!K32)*基础状态预期!F32+求节点($C$124:$C$132,D$124:D$132,基础状态预期!$O32)*基础状态预期!$J32)</f>
        <v>0</v>
      </c>
      <c r="U19" s="29">
        <f>IF(基础状态预期!G32="",0,求节点($C$114:$C$122,E$114:E$122,基础状态预期!L32)*基础状态预期!G32+求节点($C$124:$C$132,E$124:E$132,基础状态预期!$O32)*基础状态预期!$J32)</f>
        <v>0</v>
      </c>
      <c r="V19" s="29">
        <f>IF(基础状态预期!H32="",0,求节点($C$114:$C$122,F$114:F$122,基础状态预期!M32)*基础状态预期!H32+求节点($C$124:$C$132,F$124:F$132,基础状态预期!$O32)*基础状态预期!$J32)</f>
        <v>0</v>
      </c>
      <c r="W19" s="148">
        <f>IF(基础状态预期!I32="",0,求节点($C$114:$C$122,G$114:G$122,基础状态预期!N32)*基础状态预期!I32)+IF(基础状态预期!O32="",0,求节点($C$124:$C$132,G$124:G$132,基础状态预期!$O32)*基础状态预期!$J32)</f>
        <v>18</v>
      </c>
      <c r="X19" s="29">
        <f>IF(基础状态预期!J32="",0,求节点($C$114:$C$122,H$114:H$122,基础状态预期!O32)*基础状态预期!J32+求节点($C$124:$C$132,H$124:H$132,基础状态预期!$O32)*基础状态预期!$J32)</f>
        <v>0</v>
      </c>
      <c r="Y19" s="14">
        <f>IF(基础状态预期!K32="",0,求节点($C$92:$C$100,D$92:D$100,基础状态预期!K32))</f>
        <v>0</v>
      </c>
      <c r="Z19" s="14">
        <f>IF(基础状态预期!L32="",0,求节点($C$92:$C$100,E$92:E$100,基础状态预期!L32))</f>
        <v>0</v>
      </c>
      <c r="AA19" s="14">
        <f>IF(基础状态预期!M32="",0,求节点($C$92:$C$100,F$92:F$100,基础状态预期!M32))</f>
        <v>0</v>
      </c>
      <c r="AB19" s="14">
        <f>IF(基础状态预期!N32="",0,求节点($C$92:$C$100,G$92:G$100,基础状态预期!N32))</f>
        <v>0</v>
      </c>
      <c r="AC19" s="14">
        <f>IF(基础状态预期!O32="",0,求节点($C$92:$C$100,H$92:H$100,基础状态预期!O32))</f>
        <v>223738.42990325979</v>
      </c>
      <c r="AD19" s="29">
        <f>MAX(SUMPRODUCT(Y19:AC19,基础状态预期!F32:J32),AD18)</f>
        <v>1342430.5794195589</v>
      </c>
      <c r="AF19" s="29" t="str">
        <f>IF(基础状态预期!K32="","",基础状态预期!K32*D$59+D$58)</f>
        <v/>
      </c>
      <c r="AG19" s="29" t="str">
        <f>IF(基础状态预期!L32="","",基础状态预期!L32*E$59+E$58)</f>
        <v/>
      </c>
      <c r="AH19" s="29" t="str">
        <f>IF(基础状态预期!M32="","",基础状态预期!M32*F$59+F$58)</f>
        <v/>
      </c>
      <c r="AI19" s="29" t="str">
        <f>IF(基础状态预期!N32="","",基础状态预期!N32*G$59+G$58)</f>
        <v/>
      </c>
      <c r="AJ19" s="29">
        <f>IF(基础状态预期!O32="","",基础状态预期!O32*H$59+H$58)</f>
        <v>123.93692149516299</v>
      </c>
      <c r="AK19" s="29">
        <f>MAX(SUMPRODUCT(AF19:AJ19,基础状态预期!$F32:$J32)/SUM(基础状态预期!$F32:$J32),AK18)</f>
        <v>123.93692149516299</v>
      </c>
      <c r="AL19" s="29">
        <f>IF(基础状态预期!K32="",0,求节点($C$68:$C$76,D$68:D$76,基础状态预期!K32))</f>
        <v>0</v>
      </c>
      <c r="AM19" s="29">
        <f>IF(基础状态预期!L32="",0,求节点($C$68:$C$76,E$68:E$76,基础状态预期!L32))</f>
        <v>0</v>
      </c>
      <c r="AN19" s="29">
        <f>IF(基础状态预期!M32="",0,求节点($C$68:$C$76,F$68:F$76,基础状态预期!M32)*求节点(武将升级!$H$52:$H$54,武将升级!$J$52:$J$54,基础状态预期!W32))</f>
        <v>0</v>
      </c>
      <c r="AO19" s="29">
        <f>IF(基础状态预期!N32="",0,求节点($C$68:$C$76,G$68:G$76,基础状态预期!N32)*求节点(武将升级!$H$52:$H$54,武将升级!$J$52:$J$54,基础状态预期!X32))</f>
        <v>0</v>
      </c>
      <c r="AP19" s="29">
        <f>IF(基础状态预期!O32="",0,求节点($C$68:$C$76,H$68:H$76,基础状态预期!O32)*求节点(武将升级!$H$52:$H$54,武将升级!$J$52:$J$54,基础状态预期!Y32))</f>
        <v>0.8191589532688397</v>
      </c>
      <c r="AQ19" s="29">
        <f>MAX(SUMPRODUCT(AL19:AP19,基础状态预期!$F32:$J32)/SUM(基础状态预期!$F32:$J32),AQ18)</f>
        <v>0.8191589532688397</v>
      </c>
      <c r="AR19" s="29">
        <f>IF(基础状态预期!K32="",0,求节点($C$158:$C$166,D$158:D$166,基础状态预期!K32))</f>
        <v>0</v>
      </c>
      <c r="AS19" s="29">
        <f>IF(基础状态预期!L32="",0,求节点($C$158:$C$166,E$158:E$166,基础状态预期!L32))</f>
        <v>0</v>
      </c>
      <c r="AT19" s="29">
        <f>IF(基础状态预期!M32="",0,求节点($C$158:$C$166,F$158:F$166,基础状态预期!M32))</f>
        <v>0</v>
      </c>
      <c r="AU19" s="29">
        <f>IF(基础状态预期!N32="",0,求节点($C$158:$C$166,G$158:G$166,基础状态预期!N32))</f>
        <v>0</v>
      </c>
      <c r="AV19" s="29">
        <f>IF(基础状态预期!O32="",0,求节点($C$158:$C$166,H$158:H$166,基础状态预期!O32))</f>
        <v>0.39894869158604984</v>
      </c>
      <c r="AW19" s="29">
        <f>MAX(SUMPRODUCT(AR19:AV19,基础状态预期!$F32:$J32)/SUM(基础状态预期!$F32:$J32),AW18)</f>
        <v>0.39894869158604984</v>
      </c>
      <c r="AX19" s="16"/>
      <c r="BA19" s="29">
        <v>160</v>
      </c>
      <c r="BB19" s="29">
        <f>求节点($N$4:$N$42,$AK$4:$AK$42,$BA19)</f>
        <v>148</v>
      </c>
      <c r="BC19" s="29">
        <f>求节点($N$4:$N$42,$AQ$4:$AQ$42,$BA19)</f>
        <v>1.1399999999999999</v>
      </c>
      <c r="BD19" s="29">
        <f>(BB19-BB18)*(INDEX([2]非r将兵属性验证!$V$7:$V$166,$BA19,1)+INDEX([2]非r将兵属性验证!$AP$7:$AP$166,$BA19,1))+BD18</f>
        <v>28352510446.808144</v>
      </c>
      <c r="BE19" s="29">
        <f>(BC19-BC18)*(INDEX([2]非r将兵属性验证!$AC$7:$AC$166,$BA19,1)*[2]战法技能效用!$AH$4+INDEX([2]非r将兵属性验证!$AX$7:$AX$166,$BA19,1)*[2]战法技能效用!$AI$4)+BE18</f>
        <v>33734721832.891743</v>
      </c>
      <c r="BF19" s="75">
        <f t="shared" si="11"/>
        <v>62087232279.69989</v>
      </c>
      <c r="BJ19" s="29">
        <f t="shared" si="5"/>
        <v>82.328492296001457</v>
      </c>
      <c r="BK19" s="75">
        <f>武将数量星级阶位验证!AT22</f>
        <v>532072.27163982997</v>
      </c>
      <c r="BL19" s="75">
        <f>(AD19-AD18)*INDEX('[1]功能-付费相关'!$AQ$6:$AQ$165,BJ19,1)+BL18</f>
        <v>1570.7275352292738</v>
      </c>
      <c r="BN19" s="29">
        <v>160</v>
      </c>
      <c r="BO19" s="29">
        <f t="shared" si="12"/>
        <v>43139517.750770614</v>
      </c>
      <c r="BP19" s="29">
        <f t="shared" si="13"/>
        <v>21249.513873596094</v>
      </c>
      <c r="BQ19" s="29">
        <f t="shared" si="14"/>
        <v>43160767.264644213</v>
      </c>
    </row>
    <row r="20" spans="2:69" x14ac:dyDescent="0.15">
      <c r="B20" s="170"/>
      <c r="C20" s="29">
        <v>4</v>
      </c>
      <c r="D20" s="14"/>
      <c r="E20" s="14"/>
      <c r="F20" s="14">
        <v>1</v>
      </c>
      <c r="G20" s="14"/>
      <c r="H20" s="14"/>
      <c r="I20" s="14"/>
      <c r="M20" s="72">
        <v>20</v>
      </c>
      <c r="N20" s="29">
        <f>基础状态预期!D33</f>
        <v>84.132234338875293</v>
      </c>
      <c r="O20" s="29">
        <f>IF(基础状态预期!F33="",0,求节点($C$104:$C$112,D$104:D$112,基础状态预期!K33))</f>
        <v>0</v>
      </c>
      <c r="P20" s="29">
        <f>IF(基础状态预期!G33="",0,求节点($C$104:$C$112,E$104:E$112,基础状态预期!L33))</f>
        <v>0</v>
      </c>
      <c r="Q20" s="29">
        <f>IF(基础状态预期!H33="",0,求节点($C$104:$C$112,F$104:F$112,基础状态预期!M33))</f>
        <v>0</v>
      </c>
      <c r="R20" s="29">
        <f>IF(基础状态预期!I33="",0,求节点($C$104:$C$112,G$104:G$112,基础状态预期!N33))</f>
        <v>0</v>
      </c>
      <c r="S20" s="29">
        <f>IF(基础状态预期!J33="",0,求节点($C$104:$C$112,H$104:H$112,基础状态预期!O33))</f>
        <v>6.6993953158021249</v>
      </c>
      <c r="T20" s="29">
        <f>IF(基础状态预期!F33="",0,求节点($C$114:$C$122,D$114:D$122,基础状态预期!K33)*基础状态预期!F33+求节点($C$124:$C$132,D$124:D$132,基础状态预期!$O33)*基础状态预期!$J33)</f>
        <v>0</v>
      </c>
      <c r="U20" s="29">
        <f>IF(基础状态预期!G33="",0,求节点($C$114:$C$122,E$114:E$122,基础状态预期!L33)*基础状态预期!G33+求节点($C$124:$C$132,E$124:E$132,基础状态预期!$O33)*基础状态预期!$J33)</f>
        <v>0</v>
      </c>
      <c r="V20" s="29">
        <f>IF(基础状态预期!H33="",0,求节点($C$114:$C$122,F$114:F$122,基础状态预期!M33)*基础状态预期!H33+求节点($C$124:$C$132,F$124:F$132,基础状态预期!$O33)*基础状态预期!$J33)</f>
        <v>0</v>
      </c>
      <c r="W20" s="148">
        <f>IF(基础状态预期!I33="",0,求节点($C$114:$C$122,G$114:G$122,基础状态预期!N33)*基础状态预期!I33)+IF(基础状态预期!O33="",0,求节点($C$124:$C$132,G$124:G$132,基础状态预期!$O33)*基础状态预期!$J33)</f>
        <v>24.294557842219124</v>
      </c>
      <c r="X20" s="29">
        <f>IF(基础状态预期!J33="",0,求节点($C$114:$C$122,H$114:H$122,基础状态预期!O33)*基础状态预期!J33+求节点($C$124:$C$132,H$124:H$132,基础状态预期!$O33)*基础状态预期!$J33)</f>
        <v>0</v>
      </c>
      <c r="Y20" s="14">
        <f>IF(基础状态预期!K33="",0,求节点($C$92:$C$100,D$92:D$100,基础状态预期!K33))</f>
        <v>0</v>
      </c>
      <c r="Z20" s="14">
        <f>IF(基础状态预期!L33="",0,求节点($C$92:$C$100,E$92:E$100,基础状态预期!L33))</f>
        <v>0</v>
      </c>
      <c r="AA20" s="14">
        <f>IF(基础状态预期!M33="",0,求节点($C$92:$C$100,F$92:F$100,基础状态预期!M33))</f>
        <v>0</v>
      </c>
      <c r="AB20" s="14">
        <f>IF(基础状态预期!N33="",0,求节点($C$92:$C$100,G$92:G$100,基础状态预期!N33))</f>
        <v>0</v>
      </c>
      <c r="AC20" s="14">
        <f>IF(基础状态预期!O33="",0,求节点($C$92:$C$100,H$92:H$100,基础状态预期!O33))</f>
        <v>308927.437896255</v>
      </c>
      <c r="AD20" s="29">
        <f>MAX(SUMPRODUCT(Y20:AC20,基础状态预期!F33:J33),AD19)</f>
        <v>1853564.6273775301</v>
      </c>
      <c r="AF20" s="29" t="str">
        <f>IF(基础状态预期!K33="","",基础状态预期!K33*D$59+D$58)</f>
        <v/>
      </c>
      <c r="AG20" s="29" t="str">
        <f>IF(基础状态预期!L33="","",基础状态预期!L33*E$59+E$58)</f>
        <v/>
      </c>
      <c r="AH20" s="29" t="str">
        <f>IF(基础状态预期!M33="","",基础状态预期!M33*F$59+F$58)</f>
        <v/>
      </c>
      <c r="AI20" s="29" t="str">
        <f>IF(基础状态预期!N33="","",基础状态预期!N33*G$59+G$58)</f>
        <v/>
      </c>
      <c r="AJ20" s="29">
        <f>IF(基础状态预期!O33="","",基础状态预期!O33*H$59+H$58)</f>
        <v>126.09818594740638</v>
      </c>
      <c r="AK20" s="29">
        <f>MAX(SUMPRODUCT(AF20:AJ20,基础状态预期!$F33:$J33)/SUM(基础状态预期!$F33:$J33),AK19)</f>
        <v>126.09818594740638</v>
      </c>
      <c r="AL20" s="29">
        <f>IF(基础状态预期!K33="",0,求节点($C$68:$C$76,D$68:D$76,基础状态预期!K33))</f>
        <v>0</v>
      </c>
      <c r="AM20" s="29">
        <f>IF(基础状态预期!L33="",0,求节点($C$68:$C$76,E$68:E$76,基础状态预期!L33))</f>
        <v>0</v>
      </c>
      <c r="AN20" s="29">
        <f>IF(基础状态预期!M33="",0,求节点($C$68:$C$76,F$68:F$76,基础状态预期!M33)*求节点(武将升级!$H$52:$H$54,武将升级!$J$52:$J$54,基础状态预期!W33))</f>
        <v>0</v>
      </c>
      <c r="AO20" s="29">
        <f>IF(基础状态预期!N33="",0,求节点($C$68:$C$76,G$68:G$76,基础状态预期!N33)*求节点(武将升级!$H$52:$H$54,武将升级!$J$52:$J$54,基础状态预期!X33))</f>
        <v>0</v>
      </c>
      <c r="AP20" s="29">
        <f>IF(基础状态预期!O33="",0,求节点($C$68:$C$76,H$68:H$76,基础状态预期!O33)*求节点(武将升级!$H$52:$H$54,武将升级!$J$52:$J$54,基础状态预期!Y33))</f>
        <v>0.84797581263208477</v>
      </c>
      <c r="AQ20" s="29">
        <f>MAX(SUMPRODUCT(AL20:AP20,基础状态预期!$F33:$J33)/SUM(基础状态预期!$F33:$J33),AQ19)</f>
        <v>0.84797581263208477</v>
      </c>
      <c r="AR20" s="29">
        <f>IF(基础状态预期!K33="",0,求节点($C$158:$C$166,D$158:D$166,基础状态预期!K33))</f>
        <v>0</v>
      </c>
      <c r="AS20" s="29">
        <f>IF(基础状态预期!L33="",0,求节点($C$158:$C$166,E$158:E$166,基础状态预期!L33))</f>
        <v>0</v>
      </c>
      <c r="AT20" s="29">
        <f>IF(基础状态预期!M33="",0,求节点($C$158:$C$166,F$158:F$166,基础状态预期!M33))</f>
        <v>0</v>
      </c>
      <c r="AU20" s="29">
        <f>IF(基础状态预期!N33="",0,求节点($C$158:$C$166,G$158:G$166,基础状态预期!N33))</f>
        <v>0</v>
      </c>
      <c r="AV20" s="29">
        <f>IF(基础状态预期!O33="",0,求节点($C$158:$C$166,H$158:H$166,基础状态预期!O33))</f>
        <v>0.43496976579010627</v>
      </c>
      <c r="AW20" s="29">
        <f>MAX(SUMPRODUCT(AR20:AV20,基础状态预期!$F33:$J33)/SUM(基础状态预期!$F33:$J33),AW19)</f>
        <v>0.43496976579010632</v>
      </c>
      <c r="AX20" s="16"/>
      <c r="BJ20" s="29">
        <f t="shared" si="5"/>
        <v>84.132234338875293</v>
      </c>
      <c r="BK20" s="75">
        <f>武将数量星级阶位验证!AT23</f>
        <v>578385.08133075957</v>
      </c>
      <c r="BL20" s="75">
        <f>(AD20-AD19)*INDEX('[1]功能-付费相关'!$AQ$6:$AQ$165,BJ20,1)+BL19</f>
        <v>2085.9836319610995</v>
      </c>
    </row>
    <row r="21" spans="2:69" x14ac:dyDescent="0.15">
      <c r="B21" s="170"/>
      <c r="C21" s="29">
        <v>5</v>
      </c>
      <c r="D21" s="14"/>
      <c r="E21" s="14"/>
      <c r="F21" s="14"/>
      <c r="G21" s="14">
        <v>2</v>
      </c>
      <c r="H21" s="14"/>
      <c r="I21" s="14"/>
      <c r="M21" s="72">
        <v>21</v>
      </c>
      <c r="N21" s="29">
        <f>基础状态预期!D34</f>
        <v>86.465948248806328</v>
      </c>
      <c r="O21" s="29">
        <f>IF(基础状态预期!F34="",0,求节点($C$104:$C$112,D$104:D$112,基础状态预期!K34))</f>
        <v>0</v>
      </c>
      <c r="P21" s="29">
        <f>IF(基础状态预期!G34="",0,求节点($C$104:$C$112,E$104:E$112,基础状态预期!L34))</f>
        <v>0</v>
      </c>
      <c r="Q21" s="29">
        <f>IF(基础状态预期!H34="",0,求节点($C$104:$C$112,F$104:F$112,基础状态预期!M34))</f>
        <v>0</v>
      </c>
      <c r="R21" s="29">
        <f>IF(基础状态预期!I34="",0,求节点($C$104:$C$112,G$104:G$112,基础状态预期!N34))</f>
        <v>0</v>
      </c>
      <c r="S21" s="29">
        <f>IF(基础状态预期!J34="",0,求节点($C$104:$C$112,H$104:H$112,基础状态预期!O34))</f>
        <v>7.6979109872438158</v>
      </c>
      <c r="T21" s="29">
        <f>IF(基础状态预期!F34="",0,求节点($C$114:$C$122,D$114:D$122,基础状态预期!K34)*基础状态预期!F34+求节点($C$124:$C$132,D$124:D$132,基础状态预期!$O34)*基础状态预期!$J34)</f>
        <v>0</v>
      </c>
      <c r="U21" s="29">
        <f>IF(基础状态预期!G34="",0,求节点($C$114:$C$122,E$114:E$122,基础状态预期!L34)*基础状态预期!G34+求节点($C$124:$C$132,E$124:E$132,基础状态预期!$O34)*基础状态预期!$J34)</f>
        <v>0</v>
      </c>
      <c r="V21" s="29">
        <f>IF(基础状态预期!H34="",0,求节点($C$114:$C$122,F$114:F$122,基础状态预期!M34)*基础状态预期!H34+求节点($C$124:$C$132,F$124:F$132,基础状态预期!$O34)*基础状态预期!$J34)</f>
        <v>0</v>
      </c>
      <c r="W21" s="148">
        <f>IF(基础状态预期!I34="",0,求节点($C$114:$C$122,G$114:G$122,基础状态预期!N34)*基础状态预期!I34)+IF(基础状态预期!O34="",0,求节点($C$124:$C$132,G$124:G$132,基础状态预期!$O34)*基础状态预期!$J34)</f>
        <v>33.281198885194343</v>
      </c>
      <c r="X21" s="29">
        <f>IF(基础状态预期!J34="",0,求节点($C$114:$C$122,H$114:H$122,基础状态预期!O34)*基础状态预期!J34+求节点($C$124:$C$132,H$124:H$132,基础状态预期!$O34)*基础状态预期!$J34)</f>
        <v>0</v>
      </c>
      <c r="Y21" s="14">
        <f>IF(基础状态预期!K34="",0,求节点($C$92:$C$100,D$92:D$100,基础状态预期!K34))</f>
        <v>0</v>
      </c>
      <c r="Z21" s="14">
        <f>IF(基础状态预期!L34="",0,求节点($C$92:$C$100,E$92:E$100,基础状态预期!L34))</f>
        <v>0</v>
      </c>
      <c r="AA21" s="14">
        <f>IF(基础状态预期!M34="",0,求节点($C$92:$C$100,F$92:F$100,基础状态预期!M34))</f>
        <v>0</v>
      </c>
      <c r="AB21" s="14">
        <f>IF(基础状态预期!N34="",0,求节点($C$92:$C$100,G$92:G$100,基础状态预期!N34))</f>
        <v>0</v>
      </c>
      <c r="AC21" s="14">
        <f>IF(基础状态预期!O34="",0,求节点($C$92:$C$100,H$92:H$100,基础状态预期!O34))</f>
        <v>428749.31846925791</v>
      </c>
      <c r="AD21" s="29">
        <f>MAX(SUMPRODUCT(Y21:AC21,基础状态预期!F34:J34),AD20)</f>
        <v>2572495.9108155472</v>
      </c>
      <c r="AF21" s="29" t="str">
        <f>IF(基础状态预期!K34="","",基础状态预期!K34*D$59+D$58)</f>
        <v/>
      </c>
      <c r="AG21" s="29" t="str">
        <f>IF(基础状态预期!L34="","",基础状态预期!L34*E$59+E$58)</f>
        <v/>
      </c>
      <c r="AH21" s="29" t="str">
        <f>IF(基础状态预期!M34="","",基础状态预期!M34*F$59+F$58)</f>
        <v/>
      </c>
      <c r="AI21" s="29" t="str">
        <f>IF(基础状态预期!N34="","",基础状态预期!N34*G$59+G$58)</f>
        <v/>
      </c>
      <c r="AJ21" s="29">
        <f>IF(基础状态预期!O34="","",基础状态预期!O34*H$59+H$58)</f>
        <v>129.09373296173146</v>
      </c>
      <c r="AK21" s="29">
        <f>MAX(SUMPRODUCT(AF21:AJ21,基础状态预期!$F34:$J34)/SUM(基础状态预期!$F34:$J34),AK20)</f>
        <v>129.09373296173146</v>
      </c>
      <c r="AL21" s="29">
        <f>IF(基础状态预期!K34="",0,求节点($C$68:$C$76,D$68:D$76,基础状态预期!K34))</f>
        <v>0</v>
      </c>
      <c r="AM21" s="29">
        <f>IF(基础状态预期!L34="",0,求节点($C$68:$C$76,E$68:E$76,基础状态预期!L34))</f>
        <v>0</v>
      </c>
      <c r="AN21" s="29">
        <f>IF(基础状态预期!M34="",0,求节点($C$68:$C$76,F$68:F$76,基础状态预期!M34)*求节点(武将升级!$H$52:$H$54,武将升级!$J$52:$J$54,基础状态预期!W34))</f>
        <v>0</v>
      </c>
      <c r="AO21" s="29">
        <f>IF(基础状态预期!N34="",0,求节点($C$68:$C$76,G$68:G$76,基础状态预期!N34)*求节点(武将升级!$H$52:$H$54,武将升级!$J$52:$J$54,基础状态预期!X34))</f>
        <v>0</v>
      </c>
      <c r="AP21" s="29">
        <f>IF(基础状态预期!O34="",0,求节点($C$68:$C$76,H$68:H$76,基础状态预期!O34)*求节点(武将升级!$H$52:$H$54,武将升级!$J$52:$J$54,基础状态预期!Y34))</f>
        <v>0.88791643948975241</v>
      </c>
      <c r="AQ21" s="29">
        <f>MAX(SUMPRODUCT(AL21:AP21,基础状态预期!$F34:$J34)/SUM(基础状态预期!$F34:$J34),AQ20)</f>
        <v>0.88791643948975241</v>
      </c>
      <c r="AR21" s="29">
        <f>IF(基础状态预期!K34="",0,求节点($C$158:$C$166,D$158:D$166,基础状态预期!K34))</f>
        <v>0</v>
      </c>
      <c r="AS21" s="29">
        <f>IF(基础状态预期!L34="",0,求节点($C$158:$C$166,E$158:E$166,基础状态预期!L34))</f>
        <v>0</v>
      </c>
      <c r="AT21" s="29">
        <f>IF(基础状态预期!M34="",0,求节点($C$158:$C$166,F$158:F$166,基础状态预期!M34))</f>
        <v>0</v>
      </c>
      <c r="AU21" s="29">
        <f>IF(基础状态预期!N34="",0,求节点($C$158:$C$166,G$158:G$166,基础状态预期!N34))</f>
        <v>0</v>
      </c>
      <c r="AV21" s="29">
        <f>IF(基础状态预期!O34="",0,求节点($C$158:$C$166,H$158:H$166,基础状态预期!O34))</f>
        <v>0.48489554936219081</v>
      </c>
      <c r="AW21" s="29">
        <f>MAX(SUMPRODUCT(AR21:AV21,基础状态预期!$F34:$J34)/SUM(基础状态预期!$F34:$J34),AW20)</f>
        <v>0.48489554936219087</v>
      </c>
      <c r="AX21" s="16"/>
      <c r="BC21" s="72">
        <f>(INDEX([2]非r将兵属性验证!$V$7:$V$166,$BA4,1)+INDEX([2]非r将兵属性验证!$AP$7:$AP$166,$BA4,1))</f>
        <v>308192.54824515944</v>
      </c>
      <c r="BJ21" s="29">
        <f t="shared" si="5"/>
        <v>86.465948248806328</v>
      </c>
      <c r="BK21" s="75">
        <f>武将数量星级阶位验证!AT24</f>
        <v>642575.37449486845</v>
      </c>
      <c r="BL21" s="75">
        <f>(AD21-AD20)*INDEX('[1]功能-付费相关'!$AQ$6:$AQ$165,BJ21,1)+BL20</f>
        <v>2799.209111562307</v>
      </c>
    </row>
    <row r="22" spans="2:69" x14ac:dyDescent="0.15">
      <c r="B22" s="170"/>
      <c r="C22" s="29">
        <v>6</v>
      </c>
      <c r="D22" s="14"/>
      <c r="E22" s="14"/>
      <c r="F22" s="14">
        <v>2</v>
      </c>
      <c r="G22" s="14"/>
      <c r="H22" s="14"/>
      <c r="I22" s="14"/>
      <c r="M22" s="72">
        <v>22</v>
      </c>
      <c r="N22" s="29">
        <f>基础状态预期!D35</f>
        <v>90.244911202258237</v>
      </c>
      <c r="O22" s="29">
        <f>IF(基础状态预期!F35="",0,求节点($C$104:$C$112,D$104:D$112,基础状态预期!K35))</f>
        <v>0</v>
      </c>
      <c r="P22" s="29">
        <f>IF(基础状态预期!G35="",0,求节点($C$104:$C$112,E$104:E$112,基础状态预期!L35))</f>
        <v>0</v>
      </c>
      <c r="Q22" s="29">
        <f>IF(基础状态预期!H35="",0,求节点($C$104:$C$112,F$104:F$112,基础状态预期!M35))</f>
        <v>0</v>
      </c>
      <c r="R22" s="29">
        <f>IF(基础状态预期!I35="",0,求节点($C$104:$C$112,G$104:G$112,基础状态预期!N35))</f>
        <v>0</v>
      </c>
      <c r="S22" s="29">
        <f>IF(基础状态预期!J35="",0,求节点($C$104:$C$112,H$104:H$112,基础状态预期!O35))</f>
        <v>9.5297780207663436</v>
      </c>
      <c r="T22" s="29">
        <f>IF(基础状态预期!F35="",0,求节点($C$114:$C$122,D$114:D$122,基础状态预期!K35)*基础状态预期!F35+求节点($C$124:$C$132,D$124:D$132,基础状态预期!$O35)*基础状态预期!$J35)</f>
        <v>0</v>
      </c>
      <c r="U22" s="29">
        <f>IF(基础状态预期!G35="",0,求节点($C$114:$C$122,E$114:E$122,基础状态预期!L35)*基础状态预期!G35+求节点($C$124:$C$132,E$124:E$132,基础状态预期!$O35)*基础状态预期!$J35)</f>
        <v>0</v>
      </c>
      <c r="V22" s="29">
        <f>IF(基础状态预期!H35="",0,求节点($C$114:$C$122,F$114:F$122,基础状态预期!M35)*基础状态预期!H35+求节点($C$124:$C$132,F$124:F$132,基础状态预期!$O35)*基础状态预期!$J35)</f>
        <v>0</v>
      </c>
      <c r="W22" s="148">
        <f>IF(基础状态预期!I35="",0,求节点($C$114:$C$122,G$114:G$122,基础状态预期!N35)*基础状态预期!I35)+IF(基础状态预期!O35="",0,求节点($C$124:$C$132,G$124:G$132,基础状态预期!$O35)*基础状态预期!$J35)</f>
        <v>36</v>
      </c>
      <c r="X22" s="29">
        <f>IF(基础状态预期!J35="",0,求节点($C$114:$C$122,H$114:H$122,基础状态预期!O35)*基础状态预期!J35+求节点($C$124:$C$132,H$124:H$132,基础状态预期!$O35)*基础状态预期!$J35)</f>
        <v>0</v>
      </c>
      <c r="Y22" s="14">
        <f>IF(基础状态预期!K35="",0,求节点($C$92:$C$100,D$92:D$100,基础状态预期!K35))</f>
        <v>0</v>
      </c>
      <c r="Z22" s="14">
        <f>IF(基础状态预期!L35="",0,求节点($C$92:$C$100,E$92:E$100,基础状态预期!L35))</f>
        <v>0</v>
      </c>
      <c r="AA22" s="14">
        <f>IF(基础状态预期!M35="",0,求节点($C$92:$C$100,F$92:F$100,基础状态预期!M35))</f>
        <v>0</v>
      </c>
      <c r="AB22" s="14">
        <f>IF(基础状态预期!N35="",0,求节点($C$92:$C$100,G$92:G$100,基础状态预期!N35))</f>
        <v>0</v>
      </c>
      <c r="AC22" s="14">
        <f>IF(基础状态预期!O35="",0,求节点($C$92:$C$100,H$92:H$100,基础状态预期!O35))</f>
        <v>709764.48332261504</v>
      </c>
      <c r="AD22" s="29">
        <f>MAX(SUMPRODUCT(Y22:AC22,基础状态预期!F35:J35),AD21)</f>
        <v>4258586.8999356907</v>
      </c>
      <c r="AF22" s="29" t="str">
        <f>IF(基础状态预期!K35="","",基础状态预期!K35*D$59+D$58)</f>
        <v/>
      </c>
      <c r="AG22" s="29" t="str">
        <f>IF(基础状态预期!L35="","",基础状态预期!L35*E$59+E$58)</f>
        <v/>
      </c>
      <c r="AH22" s="29" t="str">
        <f>IF(基础状态预期!M35="","",基础状态预期!M35*F$59+F$58)</f>
        <v/>
      </c>
      <c r="AI22" s="29" t="str">
        <f>IF(基础状态预期!N35="","",基础状态预期!N35*G$59+G$58)</f>
        <v/>
      </c>
      <c r="AJ22" s="29">
        <f>IF(基础状态预期!O35="","",基础状态预期!O35*H$59+H$58)</f>
        <v>133.05955604153269</v>
      </c>
      <c r="AK22" s="29">
        <f>MAX(SUMPRODUCT(AF22:AJ22,基础状态预期!$F35:$J35)/SUM(基础状态预期!$F35:$J35),AK21)</f>
        <v>133.05955604153269</v>
      </c>
      <c r="AL22" s="29">
        <f>IF(基础状态预期!K35="",0,求节点($C$68:$C$76,D$68:D$76,基础状态预期!K35))</f>
        <v>0</v>
      </c>
      <c r="AM22" s="29">
        <f>IF(基础状态预期!L35="",0,求节点($C$68:$C$76,E$68:E$76,基础状态预期!L35))</f>
        <v>0</v>
      </c>
      <c r="AN22" s="29">
        <f>IF(基础状态预期!M35="",0,求节点($C$68:$C$76,F$68:F$76,基础状态预期!M35)*求节点(武将升级!$H$52:$H$54,武将升级!$J$52:$J$54,基础状态预期!W35))</f>
        <v>0</v>
      </c>
      <c r="AO22" s="29">
        <f>IF(基础状态预期!N35="",0,求节点($C$68:$C$76,G$68:G$76,基础状态预期!N35)*求节点(武将升级!$H$52:$H$54,武将升级!$J$52:$J$54,基础状态预期!X35))</f>
        <v>0</v>
      </c>
      <c r="AP22" s="29">
        <f>IF(基础状态预期!O35="",0,求节点($C$68:$C$76,H$68:H$76,基础状态预期!O35)*求节点(武将升级!$H$52:$H$54,武将升级!$J$52:$J$54,基础状态预期!Y35))</f>
        <v>0.9407940805537689</v>
      </c>
      <c r="AQ22" s="29">
        <f>MAX(SUMPRODUCT(AL22:AP22,基础状态预期!$F35:$J35)/SUM(基础状态预期!$F35:$J35),AQ21)</f>
        <v>0.9407940805537689</v>
      </c>
      <c r="AR22" s="29">
        <f>IF(基础状态预期!K35="",0,求节点($C$158:$C$166,D$158:D$166,基础状态预期!K35))</f>
        <v>0</v>
      </c>
      <c r="AS22" s="29">
        <f>IF(基础状态预期!L35="",0,求节点($C$158:$C$166,E$158:E$166,基础状态预期!L35))</f>
        <v>0</v>
      </c>
      <c r="AT22" s="29">
        <f>IF(基础状态预期!M35="",0,求节点($C$158:$C$166,F$158:F$166,基础状态预期!M35))</f>
        <v>0</v>
      </c>
      <c r="AU22" s="29">
        <f>IF(基础状态预期!N35="",0,求节点($C$158:$C$166,G$158:G$166,基础状态预期!N35))</f>
        <v>0</v>
      </c>
      <c r="AV22" s="29">
        <f>IF(基础状态预期!O35="",0,求节点($C$158:$C$166,H$158:H$166,基础状态预期!O35))</f>
        <v>0.55099260069221145</v>
      </c>
      <c r="AW22" s="29">
        <f>MAX(SUMPRODUCT(AR22:AV22,基础状态预期!$F35:$J35)/SUM(基础状态预期!$F35:$J35),AW21)</f>
        <v>0.55099260069221145</v>
      </c>
      <c r="AX22" s="16"/>
      <c r="BC22" s="72">
        <f>(INDEX([2]非r将兵属性验证!$V$7:$V$166,$BA5,1)+INDEX([2]非r将兵属性验证!$AP$7:$AP$166,$BA5,1))</f>
        <v>1139350.0288451968</v>
      </c>
      <c r="BJ22" s="29">
        <f t="shared" si="5"/>
        <v>90.244911202258237</v>
      </c>
      <c r="BK22" s="75">
        <f>武将数量星级阶位验证!AT25</f>
        <v>760338.25522131659</v>
      </c>
      <c r="BL22" s="75">
        <f>(AD22-AD21)*INDEX('[1]功能-付费相关'!$AQ$6:$AQ$165,BJ22,1)+BL21</f>
        <v>4420.4504472547524</v>
      </c>
    </row>
    <row r="23" spans="2:69" x14ac:dyDescent="0.15">
      <c r="B23" s="170"/>
      <c r="C23" s="29">
        <v>7</v>
      </c>
      <c r="D23" s="14"/>
      <c r="E23" s="14"/>
      <c r="F23" s="14"/>
      <c r="G23" s="14">
        <v>3</v>
      </c>
      <c r="H23" s="14"/>
      <c r="I23" s="14"/>
      <c r="M23" s="72">
        <v>23</v>
      </c>
      <c r="N23" s="29">
        <f>基础状态预期!D36</f>
        <v>93.235489905456092</v>
      </c>
      <c r="O23" s="29">
        <f>IF(基础状态预期!F36="",0,求节点($C$104:$C$112,D$104:D$112,基础状态预期!K36))</f>
        <v>0</v>
      </c>
      <c r="P23" s="29">
        <f>IF(基础状态预期!G36="",0,求节点($C$104:$C$112,E$104:E$112,基础状态预期!L36))</f>
        <v>0</v>
      </c>
      <c r="Q23" s="29">
        <f>IF(基础状态预期!H36="",0,求节点($C$104:$C$112,F$104:F$112,基础状态预期!M36))</f>
        <v>0</v>
      </c>
      <c r="R23" s="29">
        <f>IF(基础状态预期!I36="",0,求节点($C$104:$C$112,G$104:G$112,基础状态预期!N36))</f>
        <v>0</v>
      </c>
      <c r="S23" s="29">
        <f>IF(基础状态预期!J36="",0,求节点($C$104:$C$112,H$104:H$112,基础状态预期!O36))</f>
        <v>11.34676190245365</v>
      </c>
      <c r="T23" s="29">
        <f>IF(基础状态预期!F36="",0,求节点($C$114:$C$122,D$114:D$122,基础状态预期!K36)*基础状态预期!F36+求节点($C$124:$C$132,D$124:D$132,基础状态预期!$O36)*基础状态预期!$J36)</f>
        <v>0</v>
      </c>
      <c r="U23" s="29">
        <f>IF(基础状态预期!G36="",0,求节点($C$114:$C$122,E$114:E$122,基础状态预期!L36)*基础状态预期!G36+求节点($C$124:$C$132,E$124:E$132,基础状态预期!$O36)*基础状态预期!$J36)</f>
        <v>0</v>
      </c>
      <c r="V23" s="29">
        <f>IF(基础状态预期!H36="",0,求节点($C$114:$C$122,F$114:F$122,基础状态预期!M36)*基础状态预期!H36+求节点($C$124:$C$132,F$124:F$132,基础状态预期!$O36)*基础状态预期!$J36)</f>
        <v>0</v>
      </c>
      <c r="W23" s="148">
        <f>IF(基础状态预期!I36="",0,求节点($C$114:$C$122,G$114:G$122,基础状态预期!N36)*基础状态预期!I36)+IF(基础状态预期!O36="",0,求节点($C$124:$C$132,G$124:G$132,基础状态预期!$O36)*基础状态预期!$J36)</f>
        <v>38.080571414721895</v>
      </c>
      <c r="X23" s="29">
        <f>IF(基础状态预期!J36="",0,求节点($C$114:$C$122,H$114:H$122,基础状态预期!O36)*基础状态预期!J36+求节点($C$124:$C$132,H$124:H$132,基础状态预期!$O36)*基础状态预期!$J36)</f>
        <v>0</v>
      </c>
      <c r="Y23" s="14">
        <f>IF(基础状态预期!K36="",0,求节点($C$92:$C$100,D$92:D$100,基础状态预期!K36))</f>
        <v>0</v>
      </c>
      <c r="Z23" s="14">
        <f>IF(基础状态预期!L36="",0,求节点($C$92:$C$100,E$92:E$100,基础状态预期!L36))</f>
        <v>0</v>
      </c>
      <c r="AA23" s="14">
        <f>IF(基础状态预期!M36="",0,求节点($C$92:$C$100,F$92:F$100,基础状态预期!M36))</f>
        <v>0</v>
      </c>
      <c r="AB23" s="14">
        <f>IF(基础状态预期!N36="",0,求节点($C$92:$C$100,G$92:G$100,基础状态预期!N36))</f>
        <v>0</v>
      </c>
      <c r="AC23" s="14">
        <f>IF(基础状态预期!O36="",0,求节点($C$92:$C$100,H$92:H$100,基础状态预期!O36))</f>
        <v>1055963.8087851678</v>
      </c>
      <c r="AD23" s="29">
        <f>MAX(SUMPRODUCT(Y23:AC23,基础状态预期!F36:J36),AD22)</f>
        <v>6335782.852711007</v>
      </c>
      <c r="AF23" s="29" t="str">
        <f>IF(基础状态预期!K36="","",基础状态预期!K36*D$59+D$58)</f>
        <v/>
      </c>
      <c r="AG23" s="29" t="str">
        <f>IF(基础状态预期!L36="","",基础状态预期!L36*E$59+E$58)</f>
        <v/>
      </c>
      <c r="AH23" s="29" t="str">
        <f>IF(基础状态预期!M36="","",基础状态预期!M36*F$59+F$58)</f>
        <v/>
      </c>
      <c r="AI23" s="29" t="str">
        <f>IF(基础状态预期!N36="","",基础状态预期!N36*G$59+G$58)</f>
        <v/>
      </c>
      <c r="AJ23" s="29">
        <f>IF(基础状态预期!O36="","",基础状态预期!O36*H$59+H$58)</f>
        <v>136.6935238049073</v>
      </c>
      <c r="AK23" s="29">
        <f>MAX(SUMPRODUCT(AF23:AJ23,基础状态预期!$F36:$J36)/SUM(基础状态预期!$F36:$J36),AK22)</f>
        <v>136.6935238049073</v>
      </c>
      <c r="AL23" s="29">
        <f>IF(基础状态预期!K36="",0,求节点($C$68:$C$76,D$68:D$76,基础状态预期!K36))</f>
        <v>0</v>
      </c>
      <c r="AM23" s="29">
        <f>IF(基础状态预期!L36="",0,求节点($C$68:$C$76,E$68:E$76,基础状态预期!L36))</f>
        <v>0</v>
      </c>
      <c r="AN23" s="29">
        <f>IF(基础状态预期!M36="",0,求节点($C$68:$C$76,F$68:F$76,基础状态预期!M36)*求节点(武将升级!$H$52:$H$54,武将升级!$J$52:$J$54,基础状态预期!W36))</f>
        <v>0</v>
      </c>
      <c r="AO23" s="29">
        <f>IF(基础状态预期!N36="",0,求节点($C$68:$C$76,G$68:G$76,基础状态预期!N36)*求节点(武将升级!$H$52:$H$54,武将升级!$J$52:$J$54,基础状态预期!X36))</f>
        <v>0</v>
      </c>
      <c r="AP23" s="29">
        <f>IF(基础状态预期!O36="",0,求节点($C$68:$C$76,H$68:H$76,基础状态预期!O36)*求节点(武将升级!$H$52:$H$54,武将升级!$J$52:$J$54,基础状态预期!Y36))</f>
        <v>0.98924698406543043</v>
      </c>
      <c r="AQ23" s="29">
        <f>MAX(SUMPRODUCT(AL23:AP23,基础状态预期!$F36:$J36)/SUM(基础状态预期!$F36:$J36),AQ22)</f>
        <v>0.98924698406543043</v>
      </c>
      <c r="AR23" s="29">
        <f>IF(基础状态预期!K36="",0,求节点($C$158:$C$166,D$158:D$166,基础状态预期!K36))</f>
        <v>0</v>
      </c>
      <c r="AS23" s="29">
        <f>IF(基础状态预期!L36="",0,求节点($C$158:$C$166,E$158:E$166,基础状态预期!L36))</f>
        <v>0</v>
      </c>
      <c r="AT23" s="29">
        <f>IF(基础状态预期!M36="",0,求节点($C$158:$C$166,F$158:F$166,基础状态预期!M36))</f>
        <v>0</v>
      </c>
      <c r="AU23" s="29">
        <f>IF(基础状态预期!N36="",0,求节点($C$158:$C$166,G$158:G$166,基础状态预期!N36))</f>
        <v>0</v>
      </c>
      <c r="AV23" s="29">
        <f>IF(基础状态预期!O36="",0,求节点($C$158:$C$166,H$158:H$166,基础状态预期!O36))</f>
        <v>0.61155873008178829</v>
      </c>
      <c r="AW23" s="29">
        <f>MAX(SUMPRODUCT(AR23:AV23,基础状态预期!$F36:$J36)/SUM(基础状态预期!$F36:$J36),AW22)</f>
        <v>0.61155873008178829</v>
      </c>
      <c r="AX23" s="16"/>
      <c r="BC23" s="72">
        <f>(INDEX([2]非r将兵属性验证!$V$7:$V$166,$BA6,1)+INDEX([2]非r将兵属性验证!$AP$7:$AP$166,$BA6,1))</f>
        <v>2939912.3132821051</v>
      </c>
      <c r="BJ23" s="29">
        <f t="shared" si="5"/>
        <v>93.235489905456092</v>
      </c>
      <c r="BK23" s="75">
        <f>武将数量星级阶位验证!AT26</f>
        <v>877144.36190121493</v>
      </c>
      <c r="BL23" s="75">
        <f>(AD23-AD22)*INDEX('[1]功能-付费相关'!$AQ$6:$AQ$165,BJ23,1)+BL22</f>
        <v>6372.7022825698987</v>
      </c>
    </row>
    <row r="24" spans="2:69" x14ac:dyDescent="0.15">
      <c r="B24" s="171"/>
      <c r="C24" s="29">
        <v>8</v>
      </c>
      <c r="D24" s="14"/>
      <c r="E24" s="14"/>
      <c r="F24" s="14"/>
      <c r="G24" s="14"/>
      <c r="H24" s="14"/>
      <c r="I24" s="14"/>
      <c r="M24" s="72">
        <v>24</v>
      </c>
      <c r="N24" s="29">
        <f>基础状态预期!D37</f>
        <v>96.807063977001675</v>
      </c>
      <c r="O24" s="29">
        <f>IF(基础状态预期!F37="",0,求节点($C$104:$C$112,D$104:D$112,基础状态预期!K37))</f>
        <v>0</v>
      </c>
      <c r="P24" s="29">
        <f>IF(基础状态预期!G37="",0,求节点($C$104:$C$112,E$104:E$112,基础状态预期!L37))</f>
        <v>0</v>
      </c>
      <c r="Q24" s="29">
        <f>IF(基础状态预期!H37="",0,求节点($C$104:$C$112,F$104:F$112,基础状态预期!M37))</f>
        <v>0</v>
      </c>
      <c r="R24" s="29">
        <f>IF(基础状态预期!I37="",0,求节点($C$104:$C$112,G$104:G$112,基础状态预期!N37))</f>
        <v>0</v>
      </c>
      <c r="S24" s="29">
        <f>IF(基础状态预期!J37="",0,求节点($C$104:$C$112,H$104:H$112,基础状态预期!O37))</f>
        <v>13.807081135754558</v>
      </c>
      <c r="T24" s="29">
        <f>IF(基础状态预期!F37="",0,求节点($C$114:$C$122,D$114:D$122,基础状态预期!K37)*基础状态预期!F37+求节点($C$124:$C$132,D$124:D$132,基础状态预期!$O37)*基础状态预期!$J37)</f>
        <v>0</v>
      </c>
      <c r="U24" s="29">
        <f>IF(基础状态预期!G37="",0,求节点($C$114:$C$122,E$114:E$122,基础状态预期!L37)*基础状态预期!G37+求节点($C$124:$C$132,E$124:E$132,基础状态预期!$O37)*基础状态预期!$J37)</f>
        <v>0</v>
      </c>
      <c r="V24" s="29">
        <f>IF(基础状态预期!H37="",0,求节点($C$114:$C$122,F$114:F$122,基础状态预期!M37)*基础状态预期!H37+求节点($C$124:$C$132,F$124:F$132,基础状态预期!$O37)*基础状态预期!$J37)</f>
        <v>0</v>
      </c>
      <c r="W24" s="148">
        <f>IF(基础状态预期!I37="",0,求节点($C$114:$C$122,G$114:G$122,基础状态预期!N37)*基础状态预期!I37)+IF(基础状态预期!O37="",0,求节点($C$124:$C$132,G$124:G$132,基础状态预期!$O37)*基础状态预期!$J37)</f>
        <v>52.842486814527348</v>
      </c>
      <c r="X24" s="29">
        <f>IF(基础状态预期!J37="",0,求节点($C$114:$C$122,H$114:H$122,基础状态预期!O37)*基础状态预期!J37+求节点($C$124:$C$132,H$124:H$132,基础状态预期!$O37)*基础状态预期!$J37)</f>
        <v>0</v>
      </c>
      <c r="Y24" s="14">
        <f>IF(基础状态预期!K37="",0,求节点($C$92:$C$100,D$92:D$100,基础状态预期!K37))</f>
        <v>0</v>
      </c>
      <c r="Z24" s="14">
        <f>IF(基础状态预期!L37="",0,求节点($C$92:$C$100,E$92:E$100,基础状态预期!L37))</f>
        <v>0</v>
      </c>
      <c r="AA24" s="14">
        <f>IF(基础状态预期!M37="",0,求节点($C$92:$C$100,F$92:F$100,基础状态预期!M37))</f>
        <v>0</v>
      </c>
      <c r="AB24" s="14">
        <f>IF(基础状态预期!N37="",0,求节点($C$92:$C$100,G$92:G$100,基础状态预期!N37))</f>
        <v>0</v>
      </c>
      <c r="AC24" s="14">
        <f>IF(基础状态预期!O37="",0,求节点($C$92:$C$100,H$92:H$100,基础状态预期!O37))</f>
        <v>1843265.963441459</v>
      </c>
      <c r="AD24" s="29">
        <f>MAX(SUMPRODUCT(Y24:AC24,基础状态预期!F37:J37),AD23)</f>
        <v>11059595.780648753</v>
      </c>
      <c r="AF24" s="29" t="str">
        <f>IF(基础状态预期!K37="","",基础状态预期!K37*D$59+D$58)</f>
        <v/>
      </c>
      <c r="AG24" s="29" t="str">
        <f>IF(基础状态预期!L37="","",基础状态预期!L37*E$59+E$58)</f>
        <v/>
      </c>
      <c r="AH24" s="29" t="str">
        <f>IF(基础状态预期!M37="","",基础状态预期!M37*F$59+F$58)</f>
        <v/>
      </c>
      <c r="AI24" s="29" t="str">
        <f>IF(基础状态预期!N37="","",基础状态预期!N37*G$59+G$58)</f>
        <v/>
      </c>
      <c r="AJ24" s="29">
        <f>IF(基础状态预期!O37="","",基础状态预期!O37*H$59+H$58)</f>
        <v>141.61416227150912</v>
      </c>
      <c r="AK24" s="29">
        <f>MAX(SUMPRODUCT(AF24:AJ24,基础状态预期!$F37:$J37)/SUM(基础状态预期!$F37:$J37),AK23)</f>
        <v>141.61416227150912</v>
      </c>
      <c r="AL24" s="29">
        <f>IF(基础状态预期!K37="",0,求节点($C$68:$C$76,D$68:D$76,基础状态预期!K37))</f>
        <v>0</v>
      </c>
      <c r="AM24" s="29">
        <f>IF(基础状态预期!L37="",0,求节点($C$68:$C$76,E$68:E$76,基础状态预期!L37))</f>
        <v>0</v>
      </c>
      <c r="AN24" s="29">
        <f>IF(基础状态预期!M37="",0,求节点($C$68:$C$76,F$68:F$76,基础状态预期!M37)*求节点(武将升级!$H$52:$H$54,武将升级!$J$52:$J$54,基础状态预期!W37))</f>
        <v>0</v>
      </c>
      <c r="AO24" s="29">
        <f>IF(基础状态预期!N37="",0,求节点($C$68:$C$76,G$68:G$76,基础状态预期!N37)*求节点(武将升级!$H$52:$H$54,武将升级!$J$52:$J$54,基础状态预期!X37))</f>
        <v>0</v>
      </c>
      <c r="AP24" s="29">
        <f>IF(基础状态预期!O37="",0,求节点($C$68:$C$76,H$68:H$76,基础状态预期!O37)*求节点(武将升级!$H$52:$H$54,武将升级!$J$52:$J$54,基础状态预期!Y37))</f>
        <v>1.0548554969534547</v>
      </c>
      <c r="AQ24" s="29">
        <f>MAX(SUMPRODUCT(AL24:AP24,基础状态预期!$F37:$J37)/SUM(基础状态预期!$F37:$J37),AQ23)</f>
        <v>1.0548554969534547</v>
      </c>
      <c r="AR24" s="29">
        <f>IF(基础状态预期!K37="",0,求节点($C$158:$C$166,D$158:D$166,基础状态预期!K37))</f>
        <v>0</v>
      </c>
      <c r="AS24" s="29">
        <f>IF(基础状态预期!L37="",0,求节点($C$158:$C$166,E$158:E$166,基础状态预期!L37))</f>
        <v>0</v>
      </c>
      <c r="AT24" s="29">
        <f>IF(基础状态预期!M37="",0,求节点($C$158:$C$166,F$158:F$166,基础状态预期!M37))</f>
        <v>0</v>
      </c>
      <c r="AU24" s="29">
        <f>IF(基础状态预期!N37="",0,求节点($C$158:$C$166,G$158:G$166,基础状态预期!N37))</f>
        <v>0</v>
      </c>
      <c r="AV24" s="29">
        <f>IF(基础状态预期!O37="",0,求节点($C$158:$C$166,H$158:H$166,基础状态预期!O37))</f>
        <v>0.69356937119181861</v>
      </c>
      <c r="AW24" s="29">
        <f>MAX(SUMPRODUCT(AR24:AV24,基础状态预期!$F37:$J37)/SUM(基础状态预期!$F37:$J37),AW23)</f>
        <v>0.69356937119181861</v>
      </c>
      <c r="AX24" s="16"/>
      <c r="BC24" s="72">
        <f>(INDEX([2]非r将兵属性验证!$V$7:$V$166,$BA7,1)+INDEX([2]非r将兵属性验证!$AP$7:$AP$166,$BA7,1))</f>
        <v>8594875.9755220823</v>
      </c>
      <c r="BJ24" s="29">
        <f t="shared" si="5"/>
        <v>96.807063977001675</v>
      </c>
      <c r="BK24" s="75">
        <f>武将数量星级阶位验证!AT27</f>
        <v>1035307.7411848449</v>
      </c>
      <c r="BL24" s="75">
        <f>(AD24-AD23)*INDEX('[1]功能-付费相关'!$AQ$6:$AQ$165,BJ24,1)+BL23</f>
        <v>10714.442106042092</v>
      </c>
    </row>
    <row r="25" spans="2:69" x14ac:dyDescent="0.15">
      <c r="B25" s="169" t="s">
        <v>863</v>
      </c>
      <c r="C25" s="14" t="s">
        <v>175</v>
      </c>
      <c r="D25" s="29" t="s">
        <v>3</v>
      </c>
      <c r="E25" s="29" t="s">
        <v>1</v>
      </c>
      <c r="F25" s="29" t="s">
        <v>2</v>
      </c>
      <c r="G25" s="29" t="s">
        <v>0</v>
      </c>
      <c r="H25" s="14" t="s">
        <v>545</v>
      </c>
      <c r="I25" s="14" t="s">
        <v>30</v>
      </c>
      <c r="M25" s="72">
        <v>25</v>
      </c>
      <c r="N25" s="29">
        <f>基础状态预期!D38</f>
        <v>100.50342858241972</v>
      </c>
      <c r="O25" s="29">
        <f>IF(基础状态预期!F38="",0,求节点($C$104:$C$112,D$104:D$112,基础状态预期!K38))</f>
        <v>0</v>
      </c>
      <c r="P25" s="29">
        <f>IF(基础状态预期!G38="",0,求节点($C$104:$C$112,E$104:E$112,基础状态预期!L38))</f>
        <v>0</v>
      </c>
      <c r="Q25" s="29">
        <f>IF(基础状态预期!H38="",0,求节点($C$104:$C$112,F$104:F$112,基础状态预期!M38))</f>
        <v>0</v>
      </c>
      <c r="R25" s="29">
        <f>IF(基础状态预期!I38="",0,求节点($C$104:$C$112,G$104:G$112,基础状态预期!N38))</f>
        <v>0</v>
      </c>
      <c r="S25" s="29">
        <f>IF(基础状态预期!J38="",0,求节点($C$104:$C$112,H$104:H$112,基础状态预期!O38))</f>
        <v>16.860952003865417</v>
      </c>
      <c r="T25" s="29">
        <f>IF(基础状态预期!F38="",0,求节点($C$114:$C$122,D$114:D$122,基础状态预期!K38)*基础状态预期!F38+求节点($C$124:$C$132,D$124:D$132,基础状态预期!$O38)*基础状态预期!$J38)</f>
        <v>0</v>
      </c>
      <c r="U25" s="29">
        <f>IF(基础状态预期!G38="",0,求节点($C$114:$C$122,E$114:E$122,基础状态预期!L38)*基础状态预期!G38+求节点($C$124:$C$132,E$124:E$132,基础状态预期!$O38)*基础状态预期!$J38)</f>
        <v>0</v>
      </c>
      <c r="V25" s="29">
        <f>IF(基础状态预期!H38="",0,求节点($C$114:$C$122,F$114:F$122,基础状态预期!M38)*基础状态预期!H38+求节点($C$124:$C$132,F$124:F$132,基础状态预期!$O38)*基础状态预期!$J38)</f>
        <v>0</v>
      </c>
      <c r="W25" s="148">
        <f>IF(基础状态预期!I38="",0,求节点($C$114:$C$122,G$114:G$122,基础状态预期!N38)*基础状态预期!I38)+IF(基础状态预期!O38="",0,求节点($C$124:$C$132,G$124:G$132,基础状态预期!$O38)*基础状态预期!$J38)</f>
        <v>54</v>
      </c>
      <c r="X25" s="29">
        <f>IF(基础状态预期!J38="",0,求节点($C$114:$C$122,H$114:H$122,基础状态预期!O38)*基础状态预期!J38+求节点($C$124:$C$132,H$124:H$132,基础状态预期!$O38)*基础状态预期!$J38)</f>
        <v>0</v>
      </c>
      <c r="Y25" s="14">
        <f>IF(基础状态预期!K38="",0,求节点($C$92:$C$100,D$92:D$100,基础状态预期!K38))</f>
        <v>0</v>
      </c>
      <c r="Z25" s="14">
        <f>IF(基础状态预期!L38="",0,求节点($C$92:$C$100,E$92:E$100,基础状态预期!L38))</f>
        <v>0</v>
      </c>
      <c r="AA25" s="14">
        <f>IF(基础状态预期!M38="",0,求节点($C$92:$C$100,F$92:F$100,基础状态预期!M38))</f>
        <v>0</v>
      </c>
      <c r="AB25" s="14">
        <f>IF(基础状态预期!N38="",0,求节点($C$92:$C$100,G$92:G$100,基础状态预期!N38))</f>
        <v>0</v>
      </c>
      <c r="AC25" s="14">
        <f>IF(基础状态预期!O38="",0,求节点($C$92:$C$100,H$92:H$100,基础状态预期!O38))</f>
        <v>3278256.9618554004</v>
      </c>
      <c r="AD25" s="29">
        <f>MAX(SUMPRODUCT(Y25:AC25,基础状态预期!F38:J38),AD24)</f>
        <v>19669541.771132402</v>
      </c>
      <c r="AF25" s="29" t="str">
        <f>IF(基础状态预期!K38="","",基础状态预期!K38*D$59+D$58)</f>
        <v/>
      </c>
      <c r="AG25" s="29" t="str">
        <f>IF(基础状态预期!L38="","",基础状态预期!L38*E$59+E$58)</f>
        <v/>
      </c>
      <c r="AH25" s="29" t="str">
        <f>IF(基础状态预期!M38="","",基础状态预期!M38*F$59+F$58)</f>
        <v/>
      </c>
      <c r="AI25" s="29" t="str">
        <f>IF(基础状态预期!N38="","",基础状态预期!N38*G$59+G$58)</f>
        <v/>
      </c>
      <c r="AJ25" s="29">
        <f>IF(基础状态预期!O38="","",基础状态预期!O38*H$59+H$58)</f>
        <v>146.29142800579814</v>
      </c>
      <c r="AK25" s="29">
        <f>MAX(SUMPRODUCT(AF25:AJ25,基础状态预期!$F38:$J38)/SUM(基础状态预期!$F38:$J38),AK24)</f>
        <v>146.29142800579814</v>
      </c>
      <c r="AL25" s="29">
        <f>IF(基础状态预期!K38="",0,求节点($C$68:$C$76,D$68:D$76,基础状态预期!K38))</f>
        <v>0</v>
      </c>
      <c r="AM25" s="29">
        <f>IF(基础状态预期!L38="",0,求节点($C$68:$C$76,E$68:E$76,基础状态预期!L38))</f>
        <v>0</v>
      </c>
      <c r="AN25" s="29">
        <f>IF(基础状态预期!M38="",0,求节点($C$68:$C$76,F$68:F$76,基础状态预期!M38)*求节点(武将升级!$H$52:$H$54,武将升级!$J$52:$J$54,基础状态预期!W38))</f>
        <v>0</v>
      </c>
      <c r="AO25" s="29">
        <f>IF(基础状态预期!N38="",0,求节点($C$68:$C$76,G$68:G$76,基础状态预期!N38)*求节点(武将升级!$H$52:$H$54,武将升级!$J$52:$J$54,基础状态预期!X38))</f>
        <v>0</v>
      </c>
      <c r="AP25" s="29">
        <f>IF(基础状态预期!O38="",0,求节点($C$68:$C$76,H$68:H$76,基础状态预期!O38)*求节点(武将升级!$H$52:$H$54,武将升级!$J$52:$J$54,基础状态预期!Y38))</f>
        <v>1.1172190400773083</v>
      </c>
      <c r="AQ25" s="29">
        <f>MAX(SUMPRODUCT(AL25:AP25,基础状态预期!$F38:$J38)/SUM(基础状态预期!$F38:$J38),AQ24)</f>
        <v>1.1172190400773083</v>
      </c>
      <c r="AR25" s="29">
        <f>IF(基础状态预期!K38="",0,求节点($C$158:$C$166,D$158:D$166,基础状态预期!K38))</f>
        <v>0</v>
      </c>
      <c r="AS25" s="29">
        <f>IF(基础状态预期!L38="",0,求节点($C$158:$C$166,E$158:E$166,基础状态预期!L38))</f>
        <v>0</v>
      </c>
      <c r="AT25" s="29">
        <f>IF(基础状态预期!M38="",0,求节点($C$158:$C$166,F$158:F$166,基础状态预期!M38))</f>
        <v>0</v>
      </c>
      <c r="AU25" s="29">
        <f>IF(基础状态预期!N38="",0,求节点($C$158:$C$166,G$158:G$166,基础状态预期!N38))</f>
        <v>0</v>
      </c>
      <c r="AV25" s="29">
        <f>IF(基础状态预期!O38="",0,求节点($C$158:$C$166,H$158:H$166,基础状态预期!O38))</f>
        <v>0.77152380009663546</v>
      </c>
      <c r="AW25" s="29">
        <f>MAX(SUMPRODUCT(AR25:AV25,基础状态预期!$F38:$J38)/SUM(基础状态预期!$F38:$J38),AW24)</f>
        <v>0.77152380009663546</v>
      </c>
      <c r="AX25" s="16"/>
      <c r="BC25" s="72">
        <f>(INDEX([2]非r将兵属性验证!$V$7:$V$166,$BA8,1)+INDEX([2]非r将兵属性验证!$AP$7:$AP$166,$BA8,1))</f>
        <v>16339935.100769754</v>
      </c>
      <c r="BJ25" s="29">
        <f t="shared" si="5"/>
        <v>100.50342858241972</v>
      </c>
      <c r="BK25" s="75">
        <f>武将数量星级阶位验证!AT28</f>
        <v>1231628.0112776856</v>
      </c>
      <c r="BL25" s="75">
        <f>(AD25-AD24)*INDEX('[1]功能-付费相关'!$AQ$6:$AQ$165,BJ25,1)+BL24</f>
        <v>18401.893883259636</v>
      </c>
    </row>
    <row r="26" spans="2:69" x14ac:dyDescent="0.15">
      <c r="B26" s="170"/>
      <c r="C26" s="29">
        <v>0</v>
      </c>
      <c r="D26" s="14"/>
      <c r="E26" s="14"/>
      <c r="F26" s="14"/>
      <c r="G26" s="14"/>
      <c r="H26" s="14"/>
      <c r="I26" s="14"/>
      <c r="M26" s="72">
        <v>26</v>
      </c>
      <c r="N26" s="29">
        <f>基础状态预期!D39</f>
        <v>104.10129967499306</v>
      </c>
      <c r="O26" s="29">
        <f>IF(基础状态预期!F39="",0,求节点($C$104:$C$112,D$104:D$112,基础状态预期!K39))</f>
        <v>0</v>
      </c>
      <c r="P26" s="29">
        <f>IF(基础状态预期!G39="",0,求节点($C$104:$C$112,E$104:E$112,基础状态预期!L39))</f>
        <v>0</v>
      </c>
      <c r="Q26" s="29">
        <f>IF(基础状态预期!H39="",0,求节点($C$104:$C$112,F$104:F$112,基础状态预期!M39))</f>
        <v>0</v>
      </c>
      <c r="R26" s="29">
        <f>IF(基础状态预期!I39="",0,求节点($C$104:$C$112,G$104:G$112,基础状态预期!N39))</f>
        <v>0</v>
      </c>
      <c r="S26" s="29">
        <f>IF(基础状态预期!J39="",0,求节点($C$104:$C$112,H$104:H$112,基础状态预期!O39))</f>
        <v>18</v>
      </c>
      <c r="T26" s="29">
        <f>IF(基础状态预期!F39="",0,求节点($C$114:$C$122,D$114:D$122,基础状态预期!K39)*基础状态预期!F39+求节点($C$124:$C$132,D$124:D$132,基础状态预期!$O39)*基础状态预期!$J39)</f>
        <v>0</v>
      </c>
      <c r="U26" s="29">
        <f>IF(基础状态预期!G39="",0,求节点($C$114:$C$122,E$114:E$122,基础状态预期!L39)*基础状态预期!G39+求节点($C$124:$C$132,E$124:E$132,基础状态预期!$O39)*基础状态预期!$J39)</f>
        <v>0</v>
      </c>
      <c r="V26" s="29">
        <f>IF(基础状态预期!H39="",0,求节点($C$114:$C$122,F$114:F$122,基础状态预期!M39)*基础状态预期!H39+求节点($C$124:$C$132,F$124:F$132,基础状态预期!$O39)*基础状态预期!$J39)</f>
        <v>0</v>
      </c>
      <c r="W26" s="148">
        <f>IF(基础状态预期!I39="",0,求节点($C$114:$C$122,G$114:G$122,基础状态预期!N39)*基础状态预期!I39)+IF(基础状态预期!O39="",0,求节点($C$124:$C$132,G$124:G$132,基础状态预期!$O39)*基础状态预期!$J39)</f>
        <v>54</v>
      </c>
      <c r="X26" s="29">
        <f>IF(基础状态预期!J39="",0,求节点($C$114:$C$122,H$114:H$122,基础状态预期!O39)*基础状态预期!J39+求节点($C$124:$C$132,H$124:H$132,基础状态预期!$O39)*基础状态预期!$J39)</f>
        <v>0</v>
      </c>
      <c r="Y26" s="14">
        <f>IF(基础状态预期!K39="",0,求节点($C$92:$C$100,D$92:D$100,基础状态预期!K39))</f>
        <v>0</v>
      </c>
      <c r="Z26" s="14">
        <f>IF(基础状态预期!L39="",0,求节点($C$92:$C$100,E$92:E$100,基础状态预期!L39))</f>
        <v>0</v>
      </c>
      <c r="AA26" s="14">
        <f>IF(基础状态预期!M39="",0,求节点($C$92:$C$100,F$92:F$100,基础状态预期!M39))</f>
        <v>0</v>
      </c>
      <c r="AB26" s="14">
        <f>IF(基础状态预期!N39="",0,求节点($C$92:$C$100,G$92:G$100,基础状态预期!N39))</f>
        <v>0</v>
      </c>
      <c r="AC26" s="14">
        <f>IF(基础状态预期!O39="",0,求节点($C$92:$C$100,H$92:H$100,基础状态预期!O39))</f>
        <v>3825000</v>
      </c>
      <c r="AD26" s="29">
        <f>MAX(SUMPRODUCT(Y26:AC26,基础状态预期!F39:J39),AD25)</f>
        <v>22950000</v>
      </c>
      <c r="AF26" s="29" t="str">
        <f>IF(基础状态预期!K39="","",基础状态预期!K39*D$59+D$58)</f>
        <v/>
      </c>
      <c r="AG26" s="29" t="str">
        <f>IF(基础状态预期!L39="","",基础状态预期!L39*E$59+E$58)</f>
        <v/>
      </c>
      <c r="AH26" s="29" t="str">
        <f>IF(基础状态预期!M39="","",基础状态预期!M39*F$59+F$58)</f>
        <v/>
      </c>
      <c r="AI26" s="29" t="str">
        <f>IF(基础状态预期!N39="","",基础状态预期!N39*G$59+G$58)</f>
        <v/>
      </c>
      <c r="AJ26" s="29">
        <f>IF(基础状态预期!O39="","",基础状态预期!O39*H$59+H$58)</f>
        <v>148</v>
      </c>
      <c r="AK26" s="29">
        <f>MAX(SUMPRODUCT(AF26:AJ26,基础状态预期!$F39:$J39)/SUM(基础状态预期!$F39:$J39),AK25)</f>
        <v>148</v>
      </c>
      <c r="AL26" s="29">
        <f>IF(基础状态预期!K39="",0,求节点($C$68:$C$76,D$68:D$76,基础状态预期!K39))</f>
        <v>0</v>
      </c>
      <c r="AM26" s="29">
        <f>IF(基础状态预期!L39="",0,求节点($C$68:$C$76,E$68:E$76,基础状态预期!L39))</f>
        <v>0</v>
      </c>
      <c r="AN26" s="29">
        <f>IF(基础状态预期!M39="",0,求节点($C$68:$C$76,F$68:F$76,基础状态预期!M39)*求节点(武将升级!$H$52:$H$54,武将升级!$J$52:$J$54,基础状态预期!W39))</f>
        <v>0</v>
      </c>
      <c r="AO26" s="29">
        <f>IF(基础状态预期!N39="",0,求节点($C$68:$C$76,G$68:G$76,基础状态预期!N39)*求节点(武将升级!$H$52:$H$54,武将升级!$J$52:$J$54,基础状态预期!X39))</f>
        <v>0</v>
      </c>
      <c r="AP26" s="29">
        <f>IF(基础状态预期!O39="",0,求节点($C$68:$C$76,H$68:H$76,基础状态预期!O39)*求节点(武将升级!$H$52:$H$54,武将升级!$J$52:$J$54,基础状态预期!Y39))</f>
        <v>1.1399999999999999</v>
      </c>
      <c r="AQ26" s="29">
        <f>MAX(SUMPRODUCT(AL26:AP26,基础状态预期!$F39:$J39)/SUM(基础状态预期!$F39:$J39),AQ25)</f>
        <v>1.1399999999999999</v>
      </c>
      <c r="AR26" s="29">
        <f>IF(基础状态预期!K39="",0,求节点($C$158:$C$166,D$158:D$166,基础状态预期!K39))</f>
        <v>0</v>
      </c>
      <c r="AS26" s="29">
        <f>IF(基础状态预期!L39="",0,求节点($C$158:$C$166,E$158:E$166,基础状态预期!L39))</f>
        <v>0</v>
      </c>
      <c r="AT26" s="29">
        <f>IF(基础状态预期!M39="",0,求节点($C$158:$C$166,F$158:F$166,基础状态预期!M39))</f>
        <v>0</v>
      </c>
      <c r="AU26" s="29">
        <f>IF(基础状态预期!N39="",0,求节点($C$158:$C$166,G$158:G$166,基础状态预期!N39))</f>
        <v>0</v>
      </c>
      <c r="AV26" s="29">
        <f>IF(基础状态预期!O39="",0,求节点($C$158:$C$166,H$158:H$166,基础状态预期!O39))</f>
        <v>0.8</v>
      </c>
      <c r="AW26" s="29">
        <f>MAX(SUMPRODUCT(AR26:AV26,基础状态预期!$F39:$J39)/SUM(基础状态预期!$F39:$J39),AW25)</f>
        <v>0.80000000000000016</v>
      </c>
      <c r="AX26" s="16"/>
      <c r="BC26" s="72">
        <f>(INDEX([2]非r将兵属性验证!$V$7:$V$166,$BA9,1)+INDEX([2]非r将兵属性验证!$AP$7:$AP$166,$BA9,1))</f>
        <v>35869189.806642942</v>
      </c>
      <c r="BJ26" s="29">
        <f t="shared" si="5"/>
        <v>104.10129967499306</v>
      </c>
      <c r="BK26" s="75">
        <f>武将数量星级阶位验证!AT29</f>
        <v>1509619.9681693984</v>
      </c>
      <c r="BL26" s="75">
        <f>(AD26-AD25)*INDEX('[1]功能-付费相关'!$AQ$6:$AQ$165,BJ26,1)+BL25</f>
        <v>21249.513873596094</v>
      </c>
    </row>
    <row r="27" spans="2:69" x14ac:dyDescent="0.15">
      <c r="B27" s="170"/>
      <c r="C27" s="29">
        <v>1</v>
      </c>
      <c r="D27" s="14"/>
      <c r="E27" s="14"/>
      <c r="F27" s="14"/>
      <c r="G27" s="14"/>
      <c r="H27" s="14"/>
      <c r="I27" s="14"/>
      <c r="M27" s="72">
        <v>27</v>
      </c>
      <c r="N27" s="29">
        <f>基础状态预期!D40</f>
        <v>107.48165553683219</v>
      </c>
      <c r="O27" s="29">
        <f>IF(基础状态预期!F40="",0,求节点($C$104:$C$112,D$104:D$112,基础状态预期!K40))</f>
        <v>0</v>
      </c>
      <c r="P27" s="29">
        <f>IF(基础状态预期!G40="",0,求节点($C$104:$C$112,E$104:E$112,基础状态预期!L40))</f>
        <v>0</v>
      </c>
      <c r="Q27" s="29">
        <f>IF(基础状态预期!H40="",0,求节点($C$104:$C$112,F$104:F$112,基础状态预期!M40))</f>
        <v>0</v>
      </c>
      <c r="R27" s="29">
        <f>IF(基础状态预期!I40="",0,求节点($C$104:$C$112,G$104:G$112,基础状态预期!N40))</f>
        <v>0</v>
      </c>
      <c r="S27" s="29">
        <f>IF(基础状态预期!J40="",0,求节点($C$104:$C$112,H$104:H$112,基础状态预期!O40))</f>
        <v>18</v>
      </c>
      <c r="T27" s="29">
        <f>IF(基础状态预期!F40="",0,求节点($C$114:$C$122,D$114:D$122,基础状态预期!K40)*基础状态预期!F40+求节点($C$124:$C$132,D$124:D$132,基础状态预期!$O40)*基础状态预期!$J40)</f>
        <v>0</v>
      </c>
      <c r="U27" s="29">
        <f>IF(基础状态预期!G40="",0,求节点($C$114:$C$122,E$114:E$122,基础状态预期!L40)*基础状态预期!G40+求节点($C$124:$C$132,E$124:E$132,基础状态预期!$O40)*基础状态预期!$J40)</f>
        <v>0</v>
      </c>
      <c r="V27" s="29">
        <f>IF(基础状态预期!H40="",0,求节点($C$114:$C$122,F$114:F$122,基础状态预期!M40)*基础状态预期!H40+求节点($C$124:$C$132,F$124:F$132,基础状态预期!$O40)*基础状态预期!$J40)</f>
        <v>0</v>
      </c>
      <c r="W27" s="148">
        <f>IF(基础状态预期!I40="",0,求节点($C$114:$C$122,G$114:G$122,基础状态预期!N40)*基础状态预期!I40)+IF(基础状态预期!O40="",0,求节点($C$124:$C$132,G$124:G$132,基础状态预期!$O40)*基础状态预期!$J40)</f>
        <v>54</v>
      </c>
      <c r="X27" s="29">
        <f>IF(基础状态预期!J40="",0,求节点($C$114:$C$122,H$114:H$122,基础状态预期!O40)*基础状态预期!J40+求节点($C$124:$C$132,H$124:H$132,基础状态预期!$O40)*基础状态预期!$J40)</f>
        <v>0</v>
      </c>
      <c r="Y27" s="14">
        <f>IF(基础状态预期!K40="",0,求节点($C$92:$C$100,D$92:D$100,基础状态预期!K40))</f>
        <v>0</v>
      </c>
      <c r="Z27" s="14">
        <f>IF(基础状态预期!L40="",0,求节点($C$92:$C$100,E$92:E$100,基础状态预期!L40))</f>
        <v>0</v>
      </c>
      <c r="AA27" s="14">
        <f>IF(基础状态预期!M40="",0,求节点($C$92:$C$100,F$92:F$100,基础状态预期!M40))</f>
        <v>0</v>
      </c>
      <c r="AB27" s="14">
        <f>IF(基础状态预期!N40="",0,求节点($C$92:$C$100,G$92:G$100,基础状态预期!N40))</f>
        <v>0</v>
      </c>
      <c r="AC27" s="14">
        <f>IF(基础状态预期!O40="",0,求节点($C$92:$C$100,H$92:H$100,基础状态预期!O40))</f>
        <v>3825000</v>
      </c>
      <c r="AD27" s="29">
        <f>MAX(SUMPRODUCT(Y27:AC27,基础状态预期!F40:J40),AD26)</f>
        <v>22950000</v>
      </c>
      <c r="AF27" s="29" t="str">
        <f>IF(基础状态预期!K40="","",基础状态预期!K40*D$59+D$58)</f>
        <v/>
      </c>
      <c r="AG27" s="29" t="str">
        <f>IF(基础状态预期!L40="","",基础状态预期!L40*E$59+E$58)</f>
        <v/>
      </c>
      <c r="AH27" s="29" t="str">
        <f>IF(基础状态预期!M40="","",基础状态预期!M40*F$59+F$58)</f>
        <v/>
      </c>
      <c r="AI27" s="29" t="str">
        <f>IF(基础状态预期!N40="","",基础状态预期!N40*G$59+G$58)</f>
        <v/>
      </c>
      <c r="AJ27" s="29">
        <f>IF(基础状态预期!O40="","",基础状态预期!O40*H$59+H$58)</f>
        <v>148</v>
      </c>
      <c r="AK27" s="29">
        <f>MAX(SUMPRODUCT(AF27:AJ27,基础状态预期!$F40:$J40)/SUM(基础状态预期!$F40:$J40),AK26)</f>
        <v>148</v>
      </c>
      <c r="AL27" s="29">
        <f>IF(基础状态预期!K40="",0,求节点($C$68:$C$76,D$68:D$76,基础状态预期!K40))</f>
        <v>0</v>
      </c>
      <c r="AM27" s="29">
        <f>IF(基础状态预期!L40="",0,求节点($C$68:$C$76,E$68:E$76,基础状态预期!L40))</f>
        <v>0</v>
      </c>
      <c r="AN27" s="29">
        <f>IF(基础状态预期!M40="",0,求节点($C$68:$C$76,F$68:F$76,基础状态预期!M40)*求节点(武将升级!$H$52:$H$54,武将升级!$J$52:$J$54,基础状态预期!W40))</f>
        <v>0</v>
      </c>
      <c r="AO27" s="29">
        <f>IF(基础状态预期!N40="",0,求节点($C$68:$C$76,G$68:G$76,基础状态预期!N40)*求节点(武将升级!$H$52:$H$54,武将升级!$J$52:$J$54,基础状态预期!X40))</f>
        <v>0</v>
      </c>
      <c r="AP27" s="29">
        <f>IF(基础状态预期!O40="",0,求节点($C$68:$C$76,H$68:H$76,基础状态预期!O40)*求节点(武将升级!$H$52:$H$54,武将升级!$J$52:$J$54,基础状态预期!Y40))</f>
        <v>1.1399999999999999</v>
      </c>
      <c r="AQ27" s="29">
        <f>MAX(SUMPRODUCT(AL27:AP27,基础状态预期!$F40:$J40)/SUM(基础状态预期!$F40:$J40),AQ26)</f>
        <v>1.1399999999999999</v>
      </c>
      <c r="AR27" s="29">
        <f>IF(基础状态预期!K40="",0,求节点($C$158:$C$166,D$158:D$166,基础状态预期!K40))</f>
        <v>0</v>
      </c>
      <c r="AS27" s="29">
        <f>IF(基础状态预期!L40="",0,求节点($C$158:$C$166,E$158:E$166,基础状态预期!L40))</f>
        <v>0</v>
      </c>
      <c r="AT27" s="29">
        <f>IF(基础状态预期!M40="",0,求节点($C$158:$C$166,F$158:F$166,基础状态预期!M40))</f>
        <v>0</v>
      </c>
      <c r="AU27" s="29">
        <f>IF(基础状态预期!N40="",0,求节点($C$158:$C$166,G$158:G$166,基础状态预期!N40))</f>
        <v>0</v>
      </c>
      <c r="AV27" s="29">
        <f>IF(基础状态预期!O40="",0,求节点($C$158:$C$166,H$158:H$166,基础状态预期!O40))</f>
        <v>0.8</v>
      </c>
      <c r="AW27" s="29">
        <f>MAX(SUMPRODUCT(AR27:AV27,基础状态预期!$F40:$J40)/SUM(基础状态预期!$F40:$J40),AW26)</f>
        <v>0.80000000000000016</v>
      </c>
      <c r="AX27" s="16"/>
      <c r="BC27" s="72">
        <f>(INDEX([2]非r将兵属性验证!$V$7:$V$166,$BA10,1)+INDEX([2]非r将兵属性验证!$AP$7:$AP$166,$BA10,1))</f>
        <v>93141914.71404624</v>
      </c>
      <c r="BJ27" s="29">
        <f t="shared" si="5"/>
        <v>107.48165553683219</v>
      </c>
      <c r="BK27" s="75">
        <f>武将数量星级阶位验证!AT30</f>
        <v>1823763.2540297075</v>
      </c>
      <c r="BL27" s="75">
        <f>(AD27-AD26)*INDEX('[1]功能-付费相关'!$AQ$6:$AQ$165,BJ27,1)+BL26</f>
        <v>21249.513873596094</v>
      </c>
    </row>
    <row r="28" spans="2:69" x14ac:dyDescent="0.15">
      <c r="B28" s="170"/>
      <c r="C28" s="29">
        <v>2</v>
      </c>
      <c r="D28" s="14"/>
      <c r="E28" s="14"/>
      <c r="F28" s="14"/>
      <c r="G28" s="14"/>
      <c r="H28" s="14"/>
      <c r="I28" s="14"/>
      <c r="M28" s="72">
        <v>28</v>
      </c>
      <c r="N28" s="29">
        <f>基础状态预期!D41</f>
        <v>111.03813549320469</v>
      </c>
      <c r="O28" s="29">
        <f>IF(基础状态预期!F41="",0,求节点($C$104:$C$112,D$104:D$112,基础状态预期!K41))</f>
        <v>0</v>
      </c>
      <c r="P28" s="29">
        <f>IF(基础状态预期!G41="",0,求节点($C$104:$C$112,E$104:E$112,基础状态预期!L41))</f>
        <v>0</v>
      </c>
      <c r="Q28" s="29">
        <f>IF(基础状态预期!H41="",0,求节点($C$104:$C$112,F$104:F$112,基础状态预期!M41))</f>
        <v>0</v>
      </c>
      <c r="R28" s="29">
        <f>IF(基础状态预期!I41="",0,求节点($C$104:$C$112,G$104:G$112,基础状态预期!N41))</f>
        <v>0</v>
      </c>
      <c r="S28" s="29">
        <f>IF(基础状态预期!J41="",0,求节点($C$104:$C$112,H$104:H$112,基础状态预期!O41))</f>
        <v>18</v>
      </c>
      <c r="T28" s="29">
        <f>IF(基础状态预期!F41="",0,求节点($C$114:$C$122,D$114:D$122,基础状态预期!K41)*基础状态预期!F41+求节点($C$124:$C$132,D$124:D$132,基础状态预期!$O41)*基础状态预期!$J41)</f>
        <v>0</v>
      </c>
      <c r="U28" s="29">
        <f>IF(基础状态预期!G41="",0,求节点($C$114:$C$122,E$114:E$122,基础状态预期!L41)*基础状态预期!G41+求节点($C$124:$C$132,E$124:E$132,基础状态预期!$O41)*基础状态预期!$J41)</f>
        <v>0</v>
      </c>
      <c r="V28" s="29">
        <f>IF(基础状态预期!H41="",0,求节点($C$114:$C$122,F$114:F$122,基础状态预期!M41)*基础状态预期!H41+求节点($C$124:$C$132,F$124:F$132,基础状态预期!$O41)*基础状态预期!$J41)</f>
        <v>0</v>
      </c>
      <c r="W28" s="148">
        <f>IF(基础状态预期!I41="",0,求节点($C$114:$C$122,G$114:G$122,基础状态预期!N41)*基础状态预期!I41)+IF(基础状态预期!O41="",0,求节点($C$124:$C$132,G$124:G$132,基础状态预期!$O41)*基础状态预期!$J41)</f>
        <v>54</v>
      </c>
      <c r="X28" s="29">
        <f>IF(基础状态预期!J41="",0,求节点($C$114:$C$122,H$114:H$122,基础状态预期!O41)*基础状态预期!J41+求节点($C$124:$C$132,H$124:H$132,基础状态预期!$O41)*基础状态预期!$J41)</f>
        <v>0</v>
      </c>
      <c r="Y28" s="14">
        <f>IF(基础状态预期!K41="",0,求节点($C$92:$C$100,D$92:D$100,基础状态预期!K41))</f>
        <v>0</v>
      </c>
      <c r="Z28" s="14">
        <f>IF(基础状态预期!L41="",0,求节点($C$92:$C$100,E$92:E$100,基础状态预期!L41))</f>
        <v>0</v>
      </c>
      <c r="AA28" s="14">
        <f>IF(基础状态预期!M41="",0,求节点($C$92:$C$100,F$92:F$100,基础状态预期!M41))</f>
        <v>0</v>
      </c>
      <c r="AB28" s="14">
        <f>IF(基础状态预期!N41="",0,求节点($C$92:$C$100,G$92:G$100,基础状态预期!N41))</f>
        <v>0</v>
      </c>
      <c r="AC28" s="14">
        <f>IF(基础状态预期!O41="",0,求节点($C$92:$C$100,H$92:H$100,基础状态预期!O41))</f>
        <v>3825000</v>
      </c>
      <c r="AD28" s="29">
        <f>MAX(SUMPRODUCT(Y28:AC28,基础状态预期!F41:J41),AD27)</f>
        <v>22950000</v>
      </c>
      <c r="AF28" s="29" t="str">
        <f>IF(基础状态预期!K41="","",基础状态预期!K41*D$59+D$58)</f>
        <v/>
      </c>
      <c r="AG28" s="29" t="str">
        <f>IF(基础状态预期!L41="","",基础状态预期!L41*E$59+E$58)</f>
        <v/>
      </c>
      <c r="AH28" s="29" t="str">
        <f>IF(基础状态预期!M41="","",基础状态预期!M41*F$59+F$58)</f>
        <v/>
      </c>
      <c r="AI28" s="29" t="str">
        <f>IF(基础状态预期!N41="","",基础状态预期!N41*G$59+G$58)</f>
        <v/>
      </c>
      <c r="AJ28" s="29">
        <f>IF(基础状态预期!O41="","",基础状态预期!O41*H$59+H$58)</f>
        <v>148</v>
      </c>
      <c r="AK28" s="29">
        <f>MAX(SUMPRODUCT(AF28:AJ28,基础状态预期!$F41:$J41)/SUM(基础状态预期!$F41:$J41),AK27)</f>
        <v>148</v>
      </c>
      <c r="AL28" s="29">
        <f>IF(基础状态预期!K41="",0,求节点($C$68:$C$76,D$68:D$76,基础状态预期!K41))</f>
        <v>0</v>
      </c>
      <c r="AM28" s="29">
        <f>IF(基础状态预期!L41="",0,求节点($C$68:$C$76,E$68:E$76,基础状态预期!L41))</f>
        <v>0</v>
      </c>
      <c r="AN28" s="29">
        <f>IF(基础状态预期!M41="",0,求节点($C$68:$C$76,F$68:F$76,基础状态预期!M41)*求节点(武将升级!$H$52:$H$54,武将升级!$J$52:$J$54,基础状态预期!W41))</f>
        <v>0</v>
      </c>
      <c r="AO28" s="29">
        <f>IF(基础状态预期!N41="",0,求节点($C$68:$C$76,G$68:G$76,基础状态预期!N41)*求节点(武将升级!$H$52:$H$54,武将升级!$J$52:$J$54,基础状态预期!X41))</f>
        <v>0</v>
      </c>
      <c r="AP28" s="29">
        <f>IF(基础状态预期!O41="",0,求节点($C$68:$C$76,H$68:H$76,基础状态预期!O41)*求节点(武将升级!$H$52:$H$54,武将升级!$J$52:$J$54,基础状态预期!Y41))</f>
        <v>1.1399999999999999</v>
      </c>
      <c r="AQ28" s="29">
        <f>MAX(SUMPRODUCT(AL28:AP28,基础状态预期!$F41:$J41)/SUM(基础状态预期!$F41:$J41),AQ27)</f>
        <v>1.1399999999999999</v>
      </c>
      <c r="AR28" s="29">
        <f>IF(基础状态预期!K41="",0,求节点($C$158:$C$166,D$158:D$166,基础状态预期!K41))</f>
        <v>0</v>
      </c>
      <c r="AS28" s="29">
        <f>IF(基础状态预期!L41="",0,求节点($C$158:$C$166,E$158:E$166,基础状态预期!L41))</f>
        <v>0</v>
      </c>
      <c r="AT28" s="29">
        <f>IF(基础状态预期!M41="",0,求节点($C$158:$C$166,F$158:F$166,基础状态预期!M41))</f>
        <v>0</v>
      </c>
      <c r="AU28" s="29">
        <f>IF(基础状态预期!N41="",0,求节点($C$158:$C$166,G$158:G$166,基础状态预期!N41))</f>
        <v>0</v>
      </c>
      <c r="AV28" s="29">
        <f>IF(基础状态预期!O41="",0,求节点($C$158:$C$166,H$158:H$166,基础状态预期!O41))</f>
        <v>0.8</v>
      </c>
      <c r="AW28" s="29">
        <f>MAX(SUMPRODUCT(AR28:AV28,基础状态预期!$F41:$J41)/SUM(基础状态预期!$F41:$J41),AW27)</f>
        <v>0.80000000000000016</v>
      </c>
      <c r="AX28" s="16"/>
      <c r="BC28" s="72">
        <f>(INDEX([2]非r将兵属性验证!$V$7:$V$166,$BA11,1)+INDEX([2]非r将兵属性验证!$AP$7:$AP$166,$BA11,1))</f>
        <v>231167917.45699906</v>
      </c>
      <c r="BJ28" s="29">
        <f t="shared" si="5"/>
        <v>111.03813549320469</v>
      </c>
      <c r="BK28" s="75">
        <f>武将数量星级阶位验证!AT31</f>
        <v>2230208.8063019891</v>
      </c>
      <c r="BL28" s="75">
        <f>(AD28-AD27)*INDEX('[1]功能-付费相关'!$AQ$6:$AQ$165,BJ28,1)+BL27</f>
        <v>21249.513873596094</v>
      </c>
    </row>
    <row r="29" spans="2:69" x14ac:dyDescent="0.15">
      <c r="B29" s="170"/>
      <c r="C29" s="29">
        <v>3</v>
      </c>
      <c r="D29" s="14"/>
      <c r="E29" s="14"/>
      <c r="F29" s="14"/>
      <c r="G29" s="14">
        <v>3</v>
      </c>
      <c r="H29" s="14"/>
      <c r="I29" s="14"/>
      <c r="M29" s="72">
        <v>29</v>
      </c>
      <c r="N29" s="29">
        <f>基础状态预期!D42</f>
        <v>114.50860608277577</v>
      </c>
      <c r="O29" s="29">
        <f>IF(基础状态预期!F42="",0,求节点($C$104:$C$112,D$104:D$112,基础状态预期!K42))</f>
        <v>0</v>
      </c>
      <c r="P29" s="29">
        <f>IF(基础状态预期!G42="",0,求节点($C$104:$C$112,E$104:E$112,基础状态预期!L42))</f>
        <v>0</v>
      </c>
      <c r="Q29" s="29">
        <f>IF(基础状态预期!H42="",0,求节点($C$104:$C$112,F$104:F$112,基础状态预期!M42))</f>
        <v>0</v>
      </c>
      <c r="R29" s="29">
        <f>IF(基础状态预期!I42="",0,求节点($C$104:$C$112,G$104:G$112,基础状态预期!N42))</f>
        <v>0</v>
      </c>
      <c r="S29" s="29">
        <f>IF(基础状态预期!J42="",0,求节点($C$104:$C$112,H$104:H$112,基础状态预期!O42))</f>
        <v>18</v>
      </c>
      <c r="T29" s="29">
        <f>IF(基础状态预期!F42="",0,求节点($C$114:$C$122,D$114:D$122,基础状态预期!K42)*基础状态预期!F42+求节点($C$124:$C$132,D$124:D$132,基础状态预期!$O42)*基础状态预期!$J42)</f>
        <v>0</v>
      </c>
      <c r="U29" s="29">
        <f>IF(基础状态预期!G42="",0,求节点($C$114:$C$122,E$114:E$122,基础状态预期!L42)*基础状态预期!G42+求节点($C$124:$C$132,E$124:E$132,基础状态预期!$O42)*基础状态预期!$J42)</f>
        <v>0</v>
      </c>
      <c r="V29" s="29">
        <f>IF(基础状态预期!H42="",0,求节点($C$114:$C$122,F$114:F$122,基础状态预期!M42)*基础状态预期!H42+求节点($C$124:$C$132,F$124:F$132,基础状态预期!$O42)*基础状态预期!$J42)</f>
        <v>0</v>
      </c>
      <c r="W29" s="148">
        <f>IF(基础状态预期!I42="",0,求节点($C$114:$C$122,G$114:G$122,基础状态预期!N42)*基础状态预期!I42)+IF(基础状态预期!O42="",0,求节点($C$124:$C$132,G$124:G$132,基础状态预期!$O42)*基础状态预期!$J42)</f>
        <v>54</v>
      </c>
      <c r="X29" s="29">
        <f>IF(基础状态预期!J42="",0,求节点($C$114:$C$122,H$114:H$122,基础状态预期!O42)*基础状态预期!J42+求节点($C$124:$C$132,H$124:H$132,基础状态预期!$O42)*基础状态预期!$J42)</f>
        <v>0</v>
      </c>
      <c r="Y29" s="14">
        <f>IF(基础状态预期!K42="",0,求节点($C$92:$C$100,D$92:D$100,基础状态预期!K42))</f>
        <v>0</v>
      </c>
      <c r="Z29" s="14">
        <f>IF(基础状态预期!L42="",0,求节点($C$92:$C$100,E$92:E$100,基础状态预期!L42))</f>
        <v>0</v>
      </c>
      <c r="AA29" s="14">
        <f>IF(基础状态预期!M42="",0,求节点($C$92:$C$100,F$92:F$100,基础状态预期!M42))</f>
        <v>0</v>
      </c>
      <c r="AB29" s="14">
        <f>IF(基础状态预期!N42="",0,求节点($C$92:$C$100,G$92:G$100,基础状态预期!N42))</f>
        <v>0</v>
      </c>
      <c r="AC29" s="14">
        <f>IF(基础状态预期!O42="",0,求节点($C$92:$C$100,H$92:H$100,基础状态预期!O42))</f>
        <v>3825000</v>
      </c>
      <c r="AD29" s="29">
        <f>MAX(SUMPRODUCT(Y29:AC29,基础状态预期!F42:J42),AD28)</f>
        <v>22950000</v>
      </c>
      <c r="AF29" s="29" t="str">
        <f>IF(基础状态预期!K42="","",基础状态预期!K42*D$59+D$58)</f>
        <v/>
      </c>
      <c r="AG29" s="29" t="str">
        <f>IF(基础状态预期!L42="","",基础状态预期!L42*E$59+E$58)</f>
        <v/>
      </c>
      <c r="AH29" s="29" t="str">
        <f>IF(基础状态预期!M42="","",基础状态预期!M42*F$59+F$58)</f>
        <v/>
      </c>
      <c r="AI29" s="29" t="str">
        <f>IF(基础状态预期!N42="","",基础状态预期!N42*G$59+G$58)</f>
        <v/>
      </c>
      <c r="AJ29" s="29">
        <f>IF(基础状态预期!O42="","",基础状态预期!O42*H$59+H$58)</f>
        <v>148</v>
      </c>
      <c r="AK29" s="29">
        <f>MAX(SUMPRODUCT(AF29:AJ29,基础状态预期!$F42:$J42)/SUM(基础状态预期!$F42:$J42),AK28)</f>
        <v>148</v>
      </c>
      <c r="AL29" s="29">
        <f>IF(基础状态预期!K42="",0,求节点($C$68:$C$76,D$68:D$76,基础状态预期!K42))</f>
        <v>0</v>
      </c>
      <c r="AM29" s="29">
        <f>IF(基础状态预期!L42="",0,求节点($C$68:$C$76,E$68:E$76,基础状态预期!L42))</f>
        <v>0</v>
      </c>
      <c r="AN29" s="29">
        <f>IF(基础状态预期!M42="",0,求节点($C$68:$C$76,F$68:F$76,基础状态预期!M42)*求节点(武将升级!$H$52:$H$54,武将升级!$J$52:$J$54,基础状态预期!W42))</f>
        <v>0</v>
      </c>
      <c r="AO29" s="29">
        <f>IF(基础状态预期!N42="",0,求节点($C$68:$C$76,G$68:G$76,基础状态预期!N42)*求节点(武将升级!$H$52:$H$54,武将升级!$J$52:$J$54,基础状态预期!X42))</f>
        <v>0</v>
      </c>
      <c r="AP29" s="29">
        <f>IF(基础状态预期!O42="",0,求节点($C$68:$C$76,H$68:H$76,基础状态预期!O42)*求节点(武将升级!$H$52:$H$54,武将升级!$J$52:$J$54,基础状态预期!Y42))</f>
        <v>1.1399999999999999</v>
      </c>
      <c r="AQ29" s="29">
        <f>MAX(SUMPRODUCT(AL29:AP29,基础状态预期!$F42:$J42)/SUM(基础状态预期!$F42:$J42),AQ28)</f>
        <v>1.1399999999999999</v>
      </c>
      <c r="AR29" s="29">
        <f>IF(基础状态预期!K42="",0,求节点($C$158:$C$166,D$158:D$166,基础状态预期!K42))</f>
        <v>0</v>
      </c>
      <c r="AS29" s="29">
        <f>IF(基础状态预期!L42="",0,求节点($C$158:$C$166,E$158:E$166,基础状态预期!L42))</f>
        <v>0</v>
      </c>
      <c r="AT29" s="29">
        <f>IF(基础状态预期!M42="",0,求节点($C$158:$C$166,F$158:F$166,基础状态预期!M42))</f>
        <v>0</v>
      </c>
      <c r="AU29" s="29">
        <f>IF(基础状态预期!N42="",0,求节点($C$158:$C$166,G$158:G$166,基础状态预期!N42))</f>
        <v>0</v>
      </c>
      <c r="AV29" s="29">
        <f>IF(基础状态预期!O42="",0,求节点($C$158:$C$166,H$158:H$166,基础状态预期!O42))</f>
        <v>0.8</v>
      </c>
      <c r="AW29" s="29">
        <f>MAX(SUMPRODUCT(AR29:AV29,基础状态预期!$F42:$J42)/SUM(基础状态预期!$F42:$J42),AW28)</f>
        <v>0.80000000000000016</v>
      </c>
      <c r="AX29" s="16"/>
      <c r="BC29" s="72">
        <f>(INDEX([2]非r将兵属性验证!$V$7:$V$166,$BA12,1)+INDEX([2]非r将兵属性验证!$AP$7:$AP$166,$BA12,1))</f>
        <v>496860996.34657943</v>
      </c>
      <c r="BJ29" s="29">
        <f t="shared" si="5"/>
        <v>114.50860608277577</v>
      </c>
      <c r="BK29" s="75">
        <f>武将数量星级阶位验证!AT32</f>
        <v>2731818.3708913438</v>
      </c>
      <c r="BL29" s="75">
        <f>(AD29-AD28)*INDEX('[1]功能-付费相关'!$AQ$6:$AQ$165,BJ29,1)+BL28</f>
        <v>21249.513873596094</v>
      </c>
    </row>
    <row r="30" spans="2:69" x14ac:dyDescent="0.15">
      <c r="B30" s="170"/>
      <c r="C30" s="29">
        <v>4</v>
      </c>
      <c r="D30" s="14"/>
      <c r="E30" s="14"/>
      <c r="F30" s="14"/>
      <c r="G30" s="14"/>
      <c r="H30" s="14"/>
      <c r="I30" s="14"/>
      <c r="M30" s="72">
        <v>30</v>
      </c>
      <c r="N30" s="29">
        <f>基础状态预期!D43</f>
        <v>118.05948896247369</v>
      </c>
      <c r="O30" s="29">
        <f>IF(基础状态预期!F43="",0,求节点($C$104:$C$112,D$104:D$112,基础状态预期!K43))</f>
        <v>0</v>
      </c>
      <c r="P30" s="29">
        <f>IF(基础状态预期!G43="",0,求节点($C$104:$C$112,E$104:E$112,基础状态预期!L43))</f>
        <v>0</v>
      </c>
      <c r="Q30" s="29">
        <f>IF(基础状态预期!H43="",0,求节点($C$104:$C$112,F$104:F$112,基础状态预期!M43))</f>
        <v>0</v>
      </c>
      <c r="R30" s="29">
        <f>IF(基础状态预期!I43="",0,求节点($C$104:$C$112,G$104:G$112,基础状态预期!N43))</f>
        <v>0</v>
      </c>
      <c r="S30" s="29">
        <f>IF(基础状态预期!J43="",0,求节点($C$104:$C$112,H$104:H$112,基础状态预期!O43))</f>
        <v>18</v>
      </c>
      <c r="T30" s="29">
        <f>IF(基础状态预期!F43="",0,求节点($C$114:$C$122,D$114:D$122,基础状态预期!K43)*基础状态预期!F43+求节点($C$124:$C$132,D$124:D$132,基础状态预期!$O43)*基础状态预期!$J43)</f>
        <v>0</v>
      </c>
      <c r="U30" s="29">
        <f>IF(基础状态预期!G43="",0,求节点($C$114:$C$122,E$114:E$122,基础状态预期!L43)*基础状态预期!G43+求节点($C$124:$C$132,E$124:E$132,基础状态预期!$O43)*基础状态预期!$J43)</f>
        <v>0</v>
      </c>
      <c r="V30" s="29">
        <f>IF(基础状态预期!H43="",0,求节点($C$114:$C$122,F$114:F$122,基础状态预期!M43)*基础状态预期!H43+求节点($C$124:$C$132,F$124:F$132,基础状态预期!$O43)*基础状态预期!$J43)</f>
        <v>0</v>
      </c>
      <c r="W30" s="148">
        <f>IF(基础状态预期!I43="",0,求节点($C$114:$C$122,G$114:G$122,基础状态预期!N43)*基础状态预期!I43)+IF(基础状态预期!O43="",0,求节点($C$124:$C$132,G$124:G$132,基础状态预期!$O43)*基础状态预期!$J43)</f>
        <v>54</v>
      </c>
      <c r="X30" s="29">
        <f>IF(基础状态预期!J43="",0,求节点($C$114:$C$122,H$114:H$122,基础状态预期!O43)*基础状态预期!J43+求节点($C$124:$C$132,H$124:H$132,基础状态预期!$O43)*基础状态预期!$J43)</f>
        <v>0</v>
      </c>
      <c r="Y30" s="14">
        <f>IF(基础状态预期!K43="",0,求节点($C$92:$C$100,D$92:D$100,基础状态预期!K43))</f>
        <v>0</v>
      </c>
      <c r="Z30" s="14">
        <f>IF(基础状态预期!L43="",0,求节点($C$92:$C$100,E$92:E$100,基础状态预期!L43))</f>
        <v>0</v>
      </c>
      <c r="AA30" s="14">
        <f>IF(基础状态预期!M43="",0,求节点($C$92:$C$100,F$92:F$100,基础状态预期!M43))</f>
        <v>0</v>
      </c>
      <c r="AB30" s="14">
        <f>IF(基础状态预期!N43="",0,求节点($C$92:$C$100,G$92:G$100,基础状态预期!N43))</f>
        <v>0</v>
      </c>
      <c r="AC30" s="14">
        <f>IF(基础状态预期!O43="",0,求节点($C$92:$C$100,H$92:H$100,基础状态预期!O43))</f>
        <v>3825000</v>
      </c>
      <c r="AD30" s="29">
        <f>MAX(SUMPRODUCT(Y30:AC30,基础状态预期!F43:J43),AD29)</f>
        <v>22950000</v>
      </c>
      <c r="AF30" s="29" t="str">
        <f>IF(基础状态预期!K43="","",基础状态预期!K43*D$59+D$58)</f>
        <v/>
      </c>
      <c r="AG30" s="29" t="str">
        <f>IF(基础状态预期!L43="","",基础状态预期!L43*E$59+E$58)</f>
        <v/>
      </c>
      <c r="AH30" s="29" t="str">
        <f>IF(基础状态预期!M43="","",基础状态预期!M43*F$59+F$58)</f>
        <v/>
      </c>
      <c r="AI30" s="29" t="str">
        <f>IF(基础状态预期!N43="","",基础状态预期!N43*G$59+G$58)</f>
        <v/>
      </c>
      <c r="AJ30" s="29">
        <f>IF(基础状态预期!O43="","",基础状态预期!O43*H$59+H$58)</f>
        <v>148</v>
      </c>
      <c r="AK30" s="29">
        <f>MAX(SUMPRODUCT(AF30:AJ30,基础状态预期!$F43:$J43)/SUM(基础状态预期!$F43:$J43),AK29)</f>
        <v>148</v>
      </c>
      <c r="AL30" s="29">
        <f>IF(基础状态预期!K43="",0,求节点($C$68:$C$76,D$68:D$76,基础状态预期!K43))</f>
        <v>0</v>
      </c>
      <c r="AM30" s="29">
        <f>IF(基础状态预期!L43="",0,求节点($C$68:$C$76,E$68:E$76,基础状态预期!L43))</f>
        <v>0</v>
      </c>
      <c r="AN30" s="29">
        <f>IF(基础状态预期!M43="",0,求节点($C$68:$C$76,F$68:F$76,基础状态预期!M43)*求节点(武将升级!$H$52:$H$54,武将升级!$J$52:$J$54,基础状态预期!W43))</f>
        <v>0</v>
      </c>
      <c r="AO30" s="29">
        <f>IF(基础状态预期!N43="",0,求节点($C$68:$C$76,G$68:G$76,基础状态预期!N43)*求节点(武将升级!$H$52:$H$54,武将升级!$J$52:$J$54,基础状态预期!X43))</f>
        <v>0</v>
      </c>
      <c r="AP30" s="29">
        <f>IF(基础状态预期!O43="",0,求节点($C$68:$C$76,H$68:H$76,基础状态预期!O43)*求节点(武将升级!$H$52:$H$54,武将升级!$J$52:$J$54,基础状态预期!Y43))</f>
        <v>1.1399999999999999</v>
      </c>
      <c r="AQ30" s="29">
        <f>MAX(SUMPRODUCT(AL30:AP30,基础状态预期!$F43:$J43)/SUM(基础状态预期!$F43:$J43),AQ29)</f>
        <v>1.1399999999999999</v>
      </c>
      <c r="AR30" s="29">
        <f>IF(基础状态预期!K43="",0,求节点($C$158:$C$166,D$158:D$166,基础状态预期!K43))</f>
        <v>0</v>
      </c>
      <c r="AS30" s="29">
        <f>IF(基础状态预期!L43="",0,求节点($C$158:$C$166,E$158:E$166,基础状态预期!L43))</f>
        <v>0</v>
      </c>
      <c r="AT30" s="29">
        <f>IF(基础状态预期!M43="",0,求节点($C$158:$C$166,F$158:F$166,基础状态预期!M43))</f>
        <v>0</v>
      </c>
      <c r="AU30" s="29">
        <f>IF(基础状态预期!N43="",0,求节点($C$158:$C$166,G$158:G$166,基础状态预期!N43))</f>
        <v>0</v>
      </c>
      <c r="AV30" s="29">
        <f>IF(基础状态预期!O43="",0,求节点($C$158:$C$166,H$158:H$166,基础状态预期!O43))</f>
        <v>0.8</v>
      </c>
      <c r="AW30" s="29">
        <f>MAX(SUMPRODUCT(AR30:AV30,基础状态预期!$F43:$J43)/SUM(基础状态预期!$F43:$J43),AW29)</f>
        <v>0.80000000000000016</v>
      </c>
      <c r="AX30" s="16"/>
      <c r="BC30" s="72">
        <f>(INDEX([2]非r将兵属性验证!$V$7:$V$166,$BA13,1)+INDEX([2]非r将兵属性验证!$AP$7:$AP$166,$BA13,1))</f>
        <v>1089657804.5750828</v>
      </c>
      <c r="BJ30" s="29">
        <f t="shared" si="5"/>
        <v>118.05948896247369</v>
      </c>
      <c r="BK30" s="75">
        <f>武将数量星级阶位验证!AT33</f>
        <v>3350854.4473532396</v>
      </c>
      <c r="BL30" s="75">
        <f>(AD30-AD29)*INDEX('[1]功能-付费相关'!$AQ$6:$AQ$165,BJ30,1)+BL29</f>
        <v>21249.513873596094</v>
      </c>
    </row>
    <row r="31" spans="2:69" x14ac:dyDescent="0.15">
      <c r="B31" s="170"/>
      <c r="C31" s="29">
        <v>5</v>
      </c>
      <c r="D31" s="14"/>
      <c r="E31" s="14"/>
      <c r="F31" s="14"/>
      <c r="G31" s="14">
        <v>3</v>
      </c>
      <c r="H31" s="14"/>
      <c r="I31" s="14"/>
      <c r="M31" s="72">
        <v>31</v>
      </c>
      <c r="N31" s="29">
        <f>基础状态预期!D44</f>
        <v>121.47928719052189</v>
      </c>
      <c r="O31" s="29">
        <f>IF(基础状态预期!F44="",0,求节点($C$104:$C$112,D$104:D$112,基础状态预期!K44))</f>
        <v>0</v>
      </c>
      <c r="P31" s="29">
        <f>IF(基础状态预期!G44="",0,求节点($C$104:$C$112,E$104:E$112,基础状态预期!L44))</f>
        <v>0</v>
      </c>
      <c r="Q31" s="29">
        <f>IF(基础状态预期!H44="",0,求节点($C$104:$C$112,F$104:F$112,基础状态预期!M44))</f>
        <v>0</v>
      </c>
      <c r="R31" s="29">
        <f>IF(基础状态预期!I44="",0,求节点($C$104:$C$112,G$104:G$112,基础状态预期!N44))</f>
        <v>0</v>
      </c>
      <c r="S31" s="29">
        <f>IF(基础状态预期!J44="",0,求节点($C$104:$C$112,H$104:H$112,基础状态预期!O44))</f>
        <v>18</v>
      </c>
      <c r="T31" s="29">
        <f>IF(基础状态预期!F44="",0,求节点($C$114:$C$122,D$114:D$122,基础状态预期!K44)*基础状态预期!F44+求节点($C$124:$C$132,D$124:D$132,基础状态预期!$O44)*基础状态预期!$J44)</f>
        <v>0</v>
      </c>
      <c r="U31" s="29">
        <f>IF(基础状态预期!G44="",0,求节点($C$114:$C$122,E$114:E$122,基础状态预期!L44)*基础状态预期!G44+求节点($C$124:$C$132,E$124:E$132,基础状态预期!$O44)*基础状态预期!$J44)</f>
        <v>0</v>
      </c>
      <c r="V31" s="29">
        <f>IF(基础状态预期!H44="",0,求节点($C$114:$C$122,F$114:F$122,基础状态预期!M44)*基础状态预期!H44+求节点($C$124:$C$132,F$124:F$132,基础状态预期!$O44)*基础状态预期!$J44)</f>
        <v>0</v>
      </c>
      <c r="W31" s="148">
        <f>IF(基础状态预期!I44="",0,求节点($C$114:$C$122,G$114:G$122,基础状态预期!N44)*基础状态预期!I44)+IF(基础状态预期!O44="",0,求节点($C$124:$C$132,G$124:G$132,基础状态预期!$O44)*基础状态预期!$J44)</f>
        <v>54</v>
      </c>
      <c r="X31" s="29">
        <f>IF(基础状态预期!J44="",0,求节点($C$114:$C$122,H$114:H$122,基础状态预期!O44)*基础状态预期!J44+求节点($C$124:$C$132,H$124:H$132,基础状态预期!$O44)*基础状态预期!$J44)</f>
        <v>0</v>
      </c>
      <c r="Y31" s="14">
        <f>IF(基础状态预期!K44="",0,求节点($C$92:$C$100,D$92:D$100,基础状态预期!K44))</f>
        <v>0</v>
      </c>
      <c r="Z31" s="14">
        <f>IF(基础状态预期!L44="",0,求节点($C$92:$C$100,E$92:E$100,基础状态预期!L44))</f>
        <v>0</v>
      </c>
      <c r="AA31" s="14">
        <f>IF(基础状态预期!M44="",0,求节点($C$92:$C$100,F$92:F$100,基础状态预期!M44))</f>
        <v>0</v>
      </c>
      <c r="AB31" s="14">
        <f>IF(基础状态预期!N44="",0,求节点($C$92:$C$100,G$92:G$100,基础状态预期!N44))</f>
        <v>0</v>
      </c>
      <c r="AC31" s="14">
        <f>IF(基础状态预期!O44="",0,求节点($C$92:$C$100,H$92:H$100,基础状态预期!O44))</f>
        <v>3825000</v>
      </c>
      <c r="AD31" s="29">
        <f>MAX(SUMPRODUCT(Y31:AC31,基础状态预期!F44:J44),AD30)</f>
        <v>22950000</v>
      </c>
      <c r="AF31" s="29" t="str">
        <f>IF(基础状态预期!K44="","",基础状态预期!K44*D$59+D$58)</f>
        <v/>
      </c>
      <c r="AG31" s="29" t="str">
        <f>IF(基础状态预期!L44="","",基础状态预期!L44*E$59+E$58)</f>
        <v/>
      </c>
      <c r="AH31" s="29" t="str">
        <f>IF(基础状态预期!M44="","",基础状态预期!M44*F$59+F$58)</f>
        <v/>
      </c>
      <c r="AI31" s="29" t="str">
        <f>IF(基础状态预期!N44="","",基础状态预期!N44*G$59+G$58)</f>
        <v/>
      </c>
      <c r="AJ31" s="29">
        <f>IF(基础状态预期!O44="","",基础状态预期!O44*H$59+H$58)</f>
        <v>148</v>
      </c>
      <c r="AK31" s="29">
        <f>MAX(SUMPRODUCT(AF31:AJ31,基础状态预期!$F44:$J44)/SUM(基础状态预期!$F44:$J44),AK30)</f>
        <v>148</v>
      </c>
      <c r="AL31" s="29">
        <f>IF(基础状态预期!K44="",0,求节点($C$68:$C$76,D$68:D$76,基础状态预期!K44))</f>
        <v>0</v>
      </c>
      <c r="AM31" s="29">
        <f>IF(基础状态预期!L44="",0,求节点($C$68:$C$76,E$68:E$76,基础状态预期!L44))</f>
        <v>0</v>
      </c>
      <c r="AN31" s="29">
        <f>IF(基础状态预期!M44="",0,求节点($C$68:$C$76,F$68:F$76,基础状态预期!M44)*求节点(武将升级!$H$52:$H$54,武将升级!$J$52:$J$54,基础状态预期!W44))</f>
        <v>0</v>
      </c>
      <c r="AO31" s="29">
        <f>IF(基础状态预期!N44="",0,求节点($C$68:$C$76,G$68:G$76,基础状态预期!N44)*求节点(武将升级!$H$52:$H$54,武将升级!$J$52:$J$54,基础状态预期!X44))</f>
        <v>0</v>
      </c>
      <c r="AP31" s="29">
        <f>IF(基础状态预期!O44="",0,求节点($C$68:$C$76,H$68:H$76,基础状态预期!O44)*求节点(武将升级!$H$52:$H$54,武将升级!$J$52:$J$54,基础状态预期!Y44))</f>
        <v>1.1399999999999999</v>
      </c>
      <c r="AQ31" s="29">
        <f>MAX(SUMPRODUCT(AL31:AP31,基础状态预期!$F44:$J44)/SUM(基础状态预期!$F44:$J44),AQ30)</f>
        <v>1.1399999999999999</v>
      </c>
      <c r="AR31" s="29">
        <f>IF(基础状态预期!K44="",0,求节点($C$158:$C$166,D$158:D$166,基础状态预期!K44))</f>
        <v>0</v>
      </c>
      <c r="AS31" s="29">
        <f>IF(基础状态预期!L44="",0,求节点($C$158:$C$166,E$158:E$166,基础状态预期!L44))</f>
        <v>0</v>
      </c>
      <c r="AT31" s="29">
        <f>IF(基础状态预期!M44="",0,求节点($C$158:$C$166,F$158:F$166,基础状态预期!M44))</f>
        <v>0</v>
      </c>
      <c r="AU31" s="29">
        <f>IF(基础状态预期!N44="",0,求节点($C$158:$C$166,G$158:G$166,基础状态预期!N44))</f>
        <v>0</v>
      </c>
      <c r="AV31" s="29">
        <f>IF(基础状态预期!O44="",0,求节点($C$158:$C$166,H$158:H$166,基础状态预期!O44))</f>
        <v>0.8</v>
      </c>
      <c r="AW31" s="29">
        <f>MAX(SUMPRODUCT(AR31:AV31,基础状态预期!$F44:$J44)/SUM(基础状态预期!$F44:$J44),AW30)</f>
        <v>0.80000000000000016</v>
      </c>
      <c r="AX31" s="16"/>
      <c r="BC31" s="72">
        <f>(INDEX([2]非r将兵属性验证!$V$7:$V$166,$BA14,1)+INDEX([2]非r将兵属性验证!$AP$7:$AP$166,$BA14,1))</f>
        <v>2244190939.7726898</v>
      </c>
      <c r="BJ31" s="29">
        <f t="shared" si="5"/>
        <v>121.47928719052189</v>
      </c>
      <c r="BK31" s="75">
        <f>武将数量星级阶位验证!AT34</f>
        <v>4096707.4497216009</v>
      </c>
      <c r="BL31" s="75">
        <f>(AD31-AD30)*INDEX('[1]功能-付费相关'!$AQ$6:$AQ$165,BJ31,1)+BL30</f>
        <v>21249.513873596094</v>
      </c>
    </row>
    <row r="32" spans="2:69" x14ac:dyDescent="0.15">
      <c r="B32" s="170"/>
      <c r="C32" s="29">
        <v>6</v>
      </c>
      <c r="D32" s="14"/>
      <c r="E32" s="14"/>
      <c r="F32" s="14"/>
      <c r="G32" s="14"/>
      <c r="H32" s="14"/>
      <c r="I32" s="14"/>
      <c r="M32" s="72">
        <v>32</v>
      </c>
      <c r="N32" s="29">
        <f>基础状态预期!D45</f>
        <v>125.02015904129435</v>
      </c>
      <c r="O32" s="29">
        <f>IF(基础状态预期!F45="",0,求节点($C$104:$C$112,D$104:D$112,基础状态预期!K45))</f>
        <v>0</v>
      </c>
      <c r="P32" s="29">
        <f>IF(基础状态预期!G45="",0,求节点($C$104:$C$112,E$104:E$112,基础状态预期!L45))</f>
        <v>0</v>
      </c>
      <c r="Q32" s="29">
        <f>IF(基础状态预期!H45="",0,求节点($C$104:$C$112,F$104:F$112,基础状态预期!M45))</f>
        <v>0</v>
      </c>
      <c r="R32" s="29">
        <f>IF(基础状态预期!I45="",0,求节点($C$104:$C$112,G$104:G$112,基础状态预期!N45))</f>
        <v>0</v>
      </c>
      <c r="S32" s="29">
        <f>IF(基础状态预期!J45="",0,求节点($C$104:$C$112,H$104:H$112,基础状态预期!O45))</f>
        <v>18</v>
      </c>
      <c r="T32" s="29">
        <f>IF(基础状态预期!F45="",0,求节点($C$114:$C$122,D$114:D$122,基础状态预期!K45)*基础状态预期!F45+求节点($C$124:$C$132,D$124:D$132,基础状态预期!$O45)*基础状态预期!$J45)</f>
        <v>0</v>
      </c>
      <c r="U32" s="29">
        <f>IF(基础状态预期!G45="",0,求节点($C$114:$C$122,E$114:E$122,基础状态预期!L45)*基础状态预期!G45+求节点($C$124:$C$132,E$124:E$132,基础状态预期!$O45)*基础状态预期!$J45)</f>
        <v>0</v>
      </c>
      <c r="V32" s="29">
        <f>IF(基础状态预期!H45="",0,求节点($C$114:$C$122,F$114:F$122,基础状态预期!M45)*基础状态预期!H45+求节点($C$124:$C$132,F$124:F$132,基础状态预期!$O45)*基础状态预期!$J45)</f>
        <v>0</v>
      </c>
      <c r="W32" s="148">
        <f>IF(基础状态预期!I45="",0,求节点($C$114:$C$122,G$114:G$122,基础状态预期!N45)*基础状态预期!I45)+IF(基础状态预期!O45="",0,求节点($C$124:$C$132,G$124:G$132,基础状态预期!$O45)*基础状态预期!$J45)</f>
        <v>54</v>
      </c>
      <c r="X32" s="29">
        <f>IF(基础状态预期!J45="",0,求节点($C$114:$C$122,H$114:H$122,基础状态预期!O45)*基础状态预期!J45+求节点($C$124:$C$132,H$124:H$132,基础状态预期!$O45)*基础状态预期!$J45)</f>
        <v>0</v>
      </c>
      <c r="Y32" s="14">
        <f>IF(基础状态预期!K45="",0,求节点($C$92:$C$100,D$92:D$100,基础状态预期!K45))</f>
        <v>0</v>
      </c>
      <c r="Z32" s="14">
        <f>IF(基础状态预期!L45="",0,求节点($C$92:$C$100,E$92:E$100,基础状态预期!L45))</f>
        <v>0</v>
      </c>
      <c r="AA32" s="14">
        <f>IF(基础状态预期!M45="",0,求节点($C$92:$C$100,F$92:F$100,基础状态预期!M45))</f>
        <v>0</v>
      </c>
      <c r="AB32" s="14">
        <f>IF(基础状态预期!N45="",0,求节点($C$92:$C$100,G$92:G$100,基础状态预期!N45))</f>
        <v>0</v>
      </c>
      <c r="AC32" s="14">
        <f>IF(基础状态预期!O45="",0,求节点($C$92:$C$100,H$92:H$100,基础状态预期!O45))</f>
        <v>3825000</v>
      </c>
      <c r="AD32" s="29">
        <f>MAX(SUMPRODUCT(Y32:AC32,基础状态预期!F45:J45),AD31)</f>
        <v>22950000</v>
      </c>
      <c r="AF32" s="29" t="str">
        <f>IF(基础状态预期!K45="","",基础状态预期!K45*D$59+D$58)</f>
        <v/>
      </c>
      <c r="AG32" s="29" t="str">
        <f>IF(基础状态预期!L45="","",基础状态预期!L45*E$59+E$58)</f>
        <v/>
      </c>
      <c r="AH32" s="29" t="str">
        <f>IF(基础状态预期!M45="","",基础状态预期!M45*F$59+F$58)</f>
        <v/>
      </c>
      <c r="AI32" s="29" t="str">
        <f>IF(基础状态预期!N45="","",基础状态预期!N45*G$59+G$58)</f>
        <v/>
      </c>
      <c r="AJ32" s="29">
        <f>IF(基础状态预期!O45="","",基础状态预期!O45*H$59+H$58)</f>
        <v>148</v>
      </c>
      <c r="AK32" s="29">
        <f>MAX(SUMPRODUCT(AF32:AJ32,基础状态预期!$F45:$J45)/SUM(基础状态预期!$F45:$J45),AK31)</f>
        <v>148</v>
      </c>
      <c r="AL32" s="29">
        <f>IF(基础状态预期!K45="",0,求节点($C$68:$C$76,D$68:D$76,基础状态预期!K45))</f>
        <v>0</v>
      </c>
      <c r="AM32" s="29">
        <f>IF(基础状态预期!L45="",0,求节点($C$68:$C$76,E$68:E$76,基础状态预期!L45))</f>
        <v>0</v>
      </c>
      <c r="AN32" s="29">
        <f>IF(基础状态预期!M45="",0,求节点($C$68:$C$76,F$68:F$76,基础状态预期!M45)*求节点(武将升级!$H$52:$H$54,武将升级!$J$52:$J$54,基础状态预期!W45))</f>
        <v>0</v>
      </c>
      <c r="AO32" s="29">
        <f>IF(基础状态预期!N45="",0,求节点($C$68:$C$76,G$68:G$76,基础状态预期!N45)*求节点(武将升级!$H$52:$H$54,武将升级!$J$52:$J$54,基础状态预期!X45))</f>
        <v>0</v>
      </c>
      <c r="AP32" s="29">
        <f>IF(基础状态预期!O45="",0,求节点($C$68:$C$76,H$68:H$76,基础状态预期!O45)*求节点(武将升级!$H$52:$H$54,武将升级!$J$52:$J$54,基础状态预期!Y45))</f>
        <v>1.1399999999999999</v>
      </c>
      <c r="AQ32" s="29">
        <f>MAX(SUMPRODUCT(AL32:AP32,基础状态预期!$F45:$J45)/SUM(基础状态预期!$F45:$J45),AQ31)</f>
        <v>1.1399999999999999</v>
      </c>
      <c r="AR32" s="29">
        <f>IF(基础状态预期!K45="",0,求节点($C$158:$C$166,D$158:D$166,基础状态预期!K45))</f>
        <v>0</v>
      </c>
      <c r="AS32" s="29">
        <f>IF(基础状态预期!L45="",0,求节点($C$158:$C$166,E$158:E$166,基础状态预期!L45))</f>
        <v>0</v>
      </c>
      <c r="AT32" s="29">
        <f>IF(基础状态预期!M45="",0,求节点($C$158:$C$166,F$158:F$166,基础状态预期!M45))</f>
        <v>0</v>
      </c>
      <c r="AU32" s="29">
        <f>IF(基础状态预期!N45="",0,求节点($C$158:$C$166,G$158:G$166,基础状态预期!N45))</f>
        <v>0</v>
      </c>
      <c r="AV32" s="29">
        <f>IF(基础状态预期!O45="",0,求节点($C$158:$C$166,H$158:H$166,基础状态预期!O45))</f>
        <v>0.8</v>
      </c>
      <c r="AW32" s="29">
        <f>MAX(SUMPRODUCT(AR32:AV32,基础状态预期!$F45:$J45)/SUM(基础状态预期!$F45:$J45),AW31)</f>
        <v>0.80000000000000016</v>
      </c>
      <c r="AX32" s="16"/>
      <c r="BC32" s="72">
        <f>(INDEX([2]非r将兵属性验证!$V$7:$V$166,$BA15,1)+INDEX([2]非r将兵属性验证!$AP$7:$AP$166,$BA15,1))</f>
        <v>3700193092.048749</v>
      </c>
      <c r="BJ32" s="29">
        <f t="shared" si="5"/>
        <v>125.02015904129435</v>
      </c>
      <c r="BK32" s="75">
        <f>武将数量星级阶位验证!AT35</f>
        <v>5058990.8939569779</v>
      </c>
      <c r="BL32" s="75">
        <f>(AD32-AD31)*INDEX('[1]功能-付费相关'!$AQ$6:$AQ$165,BJ32,1)+BL31</f>
        <v>21249.513873596094</v>
      </c>
    </row>
    <row r="33" spans="2:69" x14ac:dyDescent="0.15">
      <c r="B33" s="170"/>
      <c r="C33" s="29">
        <v>7</v>
      </c>
      <c r="D33" s="14"/>
      <c r="E33" s="14"/>
      <c r="F33" s="14"/>
      <c r="G33" s="14">
        <v>3</v>
      </c>
      <c r="H33" s="14"/>
      <c r="I33" s="14"/>
      <c r="M33" s="72">
        <v>33</v>
      </c>
      <c r="N33" s="29">
        <f>基础状态预期!D46</f>
        <v>128.56549059889721</v>
      </c>
      <c r="O33" s="29">
        <f>IF(基础状态预期!F46="",0,求节点($C$104:$C$112,D$104:D$112,基础状态预期!K46))</f>
        <v>0</v>
      </c>
      <c r="P33" s="29">
        <f>IF(基础状态预期!G46="",0,求节点($C$104:$C$112,E$104:E$112,基础状态预期!L46))</f>
        <v>0</v>
      </c>
      <c r="Q33" s="29">
        <f>IF(基础状态预期!H46="",0,求节点($C$104:$C$112,F$104:F$112,基础状态预期!M46))</f>
        <v>0</v>
      </c>
      <c r="R33" s="29">
        <f>IF(基础状态预期!I46="",0,求节点($C$104:$C$112,G$104:G$112,基础状态预期!N46))</f>
        <v>0</v>
      </c>
      <c r="S33" s="29">
        <f>IF(基础状态预期!J46="",0,求节点($C$104:$C$112,H$104:H$112,基础状态预期!O46))</f>
        <v>18</v>
      </c>
      <c r="T33" s="29">
        <f>IF(基础状态预期!F46="",0,求节点($C$114:$C$122,D$114:D$122,基础状态预期!K46)*基础状态预期!F46+求节点($C$124:$C$132,D$124:D$132,基础状态预期!$O46)*基础状态预期!$J46)</f>
        <v>0</v>
      </c>
      <c r="U33" s="29">
        <f>IF(基础状态预期!G46="",0,求节点($C$114:$C$122,E$114:E$122,基础状态预期!L46)*基础状态预期!G46+求节点($C$124:$C$132,E$124:E$132,基础状态预期!$O46)*基础状态预期!$J46)</f>
        <v>0</v>
      </c>
      <c r="V33" s="29">
        <f>IF(基础状态预期!H46="",0,求节点($C$114:$C$122,F$114:F$122,基础状态预期!M46)*基础状态预期!H46+求节点($C$124:$C$132,F$124:F$132,基础状态预期!$O46)*基础状态预期!$J46)</f>
        <v>0</v>
      </c>
      <c r="W33" s="148">
        <f>IF(基础状态预期!I46="",0,求节点($C$114:$C$122,G$114:G$122,基础状态预期!N46)*基础状态预期!I46)+IF(基础状态预期!O46="",0,求节点($C$124:$C$132,G$124:G$132,基础状态预期!$O46)*基础状态预期!$J46)</f>
        <v>54</v>
      </c>
      <c r="X33" s="29">
        <f>IF(基础状态预期!J46="",0,求节点($C$114:$C$122,H$114:H$122,基础状态预期!O46)*基础状态预期!J46+求节点($C$124:$C$132,H$124:H$132,基础状态预期!$O46)*基础状态预期!$J46)</f>
        <v>0</v>
      </c>
      <c r="Y33" s="14">
        <f>IF(基础状态预期!K46="",0,求节点($C$92:$C$100,D$92:D$100,基础状态预期!K46))</f>
        <v>0</v>
      </c>
      <c r="Z33" s="14">
        <f>IF(基础状态预期!L46="",0,求节点($C$92:$C$100,E$92:E$100,基础状态预期!L46))</f>
        <v>0</v>
      </c>
      <c r="AA33" s="14">
        <f>IF(基础状态预期!M46="",0,求节点($C$92:$C$100,F$92:F$100,基础状态预期!M46))</f>
        <v>0</v>
      </c>
      <c r="AB33" s="14">
        <f>IF(基础状态预期!N46="",0,求节点($C$92:$C$100,G$92:G$100,基础状态预期!N46))</f>
        <v>0</v>
      </c>
      <c r="AC33" s="14">
        <f>IF(基础状态预期!O46="",0,求节点($C$92:$C$100,H$92:H$100,基础状态预期!O46))</f>
        <v>3825000</v>
      </c>
      <c r="AD33" s="29">
        <f>MAX(SUMPRODUCT(Y33:AC33,基础状态预期!F46:J46),AD32)</f>
        <v>22950000</v>
      </c>
      <c r="AF33" s="29" t="str">
        <f>IF(基础状态预期!K46="","",基础状态预期!K46*D$59+D$58)</f>
        <v/>
      </c>
      <c r="AG33" s="29" t="str">
        <f>IF(基础状态预期!L46="","",基础状态预期!L46*E$59+E$58)</f>
        <v/>
      </c>
      <c r="AH33" s="29" t="str">
        <f>IF(基础状态预期!M46="","",基础状态预期!M46*F$59+F$58)</f>
        <v/>
      </c>
      <c r="AI33" s="29" t="str">
        <f>IF(基础状态预期!N46="","",基础状态预期!N46*G$59+G$58)</f>
        <v/>
      </c>
      <c r="AJ33" s="29">
        <f>IF(基础状态预期!O46="","",基础状态预期!O46*H$59+H$58)</f>
        <v>148</v>
      </c>
      <c r="AK33" s="29">
        <f>MAX(SUMPRODUCT(AF33:AJ33,基础状态预期!$F46:$J46)/SUM(基础状态预期!$F46:$J46),AK32)</f>
        <v>148</v>
      </c>
      <c r="AL33" s="29">
        <f>IF(基础状态预期!K46="",0,求节点($C$68:$C$76,D$68:D$76,基础状态预期!K46))</f>
        <v>0</v>
      </c>
      <c r="AM33" s="29">
        <f>IF(基础状态预期!L46="",0,求节点($C$68:$C$76,E$68:E$76,基础状态预期!L46))</f>
        <v>0</v>
      </c>
      <c r="AN33" s="29">
        <f>IF(基础状态预期!M46="",0,求节点($C$68:$C$76,F$68:F$76,基础状态预期!M46)*求节点(武将升级!$H$52:$H$54,武将升级!$J$52:$J$54,基础状态预期!W46))</f>
        <v>0</v>
      </c>
      <c r="AO33" s="29">
        <f>IF(基础状态预期!N46="",0,求节点($C$68:$C$76,G$68:G$76,基础状态预期!N46)*求节点(武将升级!$H$52:$H$54,武将升级!$J$52:$J$54,基础状态预期!X46))</f>
        <v>0</v>
      </c>
      <c r="AP33" s="29">
        <f>IF(基础状态预期!O46="",0,求节点($C$68:$C$76,H$68:H$76,基础状态预期!O46)*求节点(武将升级!$H$52:$H$54,武将升级!$J$52:$J$54,基础状态预期!Y46))</f>
        <v>1.1399999999999999</v>
      </c>
      <c r="AQ33" s="29">
        <f>MAX(SUMPRODUCT(AL33:AP33,基础状态预期!$F46:$J46)/SUM(基础状态预期!$F46:$J46),AQ32)</f>
        <v>1.1399999999999999</v>
      </c>
      <c r="AR33" s="29">
        <f>IF(基础状态预期!K46="",0,求节点($C$158:$C$166,D$158:D$166,基础状态预期!K46))</f>
        <v>0</v>
      </c>
      <c r="AS33" s="29">
        <f>IF(基础状态预期!L46="",0,求节点($C$158:$C$166,E$158:E$166,基础状态预期!L46))</f>
        <v>0</v>
      </c>
      <c r="AT33" s="29">
        <f>IF(基础状态预期!M46="",0,求节点($C$158:$C$166,F$158:F$166,基础状态预期!M46))</f>
        <v>0</v>
      </c>
      <c r="AU33" s="29">
        <f>IF(基础状态预期!N46="",0,求节点($C$158:$C$166,G$158:G$166,基础状态预期!N46))</f>
        <v>0</v>
      </c>
      <c r="AV33" s="29">
        <f>IF(基础状态预期!O46="",0,求节点($C$158:$C$166,H$158:H$166,基础状态预期!O46))</f>
        <v>0.8</v>
      </c>
      <c r="AW33" s="29">
        <f>MAX(SUMPRODUCT(AR33:AV33,基础状态预期!$F46:$J46)/SUM(基础状态预期!$F46:$J46),AW32)</f>
        <v>0.80000000000000016</v>
      </c>
      <c r="AX33" s="16"/>
      <c r="BC33" s="72">
        <f>(INDEX([2]非r将兵属性验证!$V$7:$V$166,$BA16,1)+INDEX([2]非r将兵属性验证!$AP$7:$AP$166,$BA16,1))</f>
        <v>5493816017.2425499</v>
      </c>
      <c r="BJ33" s="29">
        <f t="shared" si="5"/>
        <v>128.56549059889721</v>
      </c>
      <c r="BK33" s="75">
        <f>武将数量星级阶位验证!AT36</f>
        <v>6243250.4572404344</v>
      </c>
      <c r="BL33" s="75">
        <f>(AD33-AD32)*INDEX('[1]功能-付费相关'!$AQ$6:$AQ$165,BJ33,1)+BL32</f>
        <v>21249.513873596094</v>
      </c>
    </row>
    <row r="34" spans="2:69" x14ac:dyDescent="0.15">
      <c r="B34" s="171"/>
      <c r="C34" s="29">
        <v>8</v>
      </c>
      <c r="D34" s="14"/>
      <c r="E34" s="14"/>
      <c r="F34" s="14"/>
      <c r="G34" s="14"/>
      <c r="H34" s="14"/>
      <c r="I34" s="14"/>
      <c r="M34" s="72">
        <v>34</v>
      </c>
      <c r="N34" s="29">
        <f>基础状态预期!D47</f>
        <v>132.07530828871487</v>
      </c>
      <c r="O34" s="29">
        <f>IF(基础状态预期!F47="",0,求节点($C$104:$C$112,D$104:D$112,基础状态预期!K47))</f>
        <v>0</v>
      </c>
      <c r="P34" s="29">
        <f>IF(基础状态预期!G47="",0,求节点($C$104:$C$112,E$104:E$112,基础状态预期!L47))</f>
        <v>0</v>
      </c>
      <c r="Q34" s="29">
        <f>IF(基础状态预期!H47="",0,求节点($C$104:$C$112,F$104:F$112,基础状态预期!M47))</f>
        <v>0</v>
      </c>
      <c r="R34" s="29">
        <f>IF(基础状态预期!I47="",0,求节点($C$104:$C$112,G$104:G$112,基础状态预期!N47))</f>
        <v>0</v>
      </c>
      <c r="S34" s="29">
        <f>IF(基础状态预期!J47="",0,求节点($C$104:$C$112,H$104:H$112,基础状态预期!O47))</f>
        <v>18</v>
      </c>
      <c r="T34" s="29">
        <f>IF(基础状态预期!F47="",0,求节点($C$114:$C$122,D$114:D$122,基础状态预期!K47)*基础状态预期!F47+求节点($C$124:$C$132,D$124:D$132,基础状态预期!$O47)*基础状态预期!$J47)</f>
        <v>0</v>
      </c>
      <c r="U34" s="29">
        <f>IF(基础状态预期!G47="",0,求节点($C$114:$C$122,E$114:E$122,基础状态预期!L47)*基础状态预期!G47+求节点($C$124:$C$132,E$124:E$132,基础状态预期!$O47)*基础状态预期!$J47)</f>
        <v>0</v>
      </c>
      <c r="V34" s="29">
        <f>IF(基础状态预期!H47="",0,求节点($C$114:$C$122,F$114:F$122,基础状态预期!M47)*基础状态预期!H47+求节点($C$124:$C$132,F$124:F$132,基础状态预期!$O47)*基础状态预期!$J47)</f>
        <v>0</v>
      </c>
      <c r="W34" s="148">
        <f>IF(基础状态预期!I47="",0,求节点($C$114:$C$122,G$114:G$122,基础状态预期!N47)*基础状态预期!I47)+IF(基础状态预期!O47="",0,求节点($C$124:$C$132,G$124:G$132,基础状态预期!$O47)*基础状态预期!$J47)</f>
        <v>54</v>
      </c>
      <c r="X34" s="29">
        <f>IF(基础状态预期!J47="",0,求节点($C$114:$C$122,H$114:H$122,基础状态预期!O47)*基础状态预期!J47+求节点($C$124:$C$132,H$124:H$132,基础状态预期!$O47)*基础状态预期!$J47)</f>
        <v>0</v>
      </c>
      <c r="Y34" s="14">
        <f>IF(基础状态预期!K47="",0,求节点($C$92:$C$100,D$92:D$100,基础状态预期!K47))</f>
        <v>0</v>
      </c>
      <c r="Z34" s="14">
        <f>IF(基础状态预期!L47="",0,求节点($C$92:$C$100,E$92:E$100,基础状态预期!L47))</f>
        <v>0</v>
      </c>
      <c r="AA34" s="14">
        <f>IF(基础状态预期!M47="",0,求节点($C$92:$C$100,F$92:F$100,基础状态预期!M47))</f>
        <v>0</v>
      </c>
      <c r="AB34" s="14">
        <f>IF(基础状态预期!N47="",0,求节点($C$92:$C$100,G$92:G$100,基础状态预期!N47))</f>
        <v>0</v>
      </c>
      <c r="AC34" s="14">
        <f>IF(基础状态预期!O47="",0,求节点($C$92:$C$100,H$92:H$100,基础状态预期!O47))</f>
        <v>3825000</v>
      </c>
      <c r="AD34" s="29">
        <f>MAX(SUMPRODUCT(Y34:AC34,基础状态预期!F47:J47),AD33)</f>
        <v>22950000</v>
      </c>
      <c r="AF34" s="29" t="str">
        <f>IF(基础状态预期!K47="","",基础状态预期!K47*D$59+D$58)</f>
        <v/>
      </c>
      <c r="AG34" s="29" t="str">
        <f>IF(基础状态预期!L47="","",基础状态预期!L47*E$59+E$58)</f>
        <v/>
      </c>
      <c r="AH34" s="29" t="str">
        <f>IF(基础状态预期!M47="","",基础状态预期!M47*F$59+F$58)</f>
        <v/>
      </c>
      <c r="AI34" s="29" t="str">
        <f>IF(基础状态预期!N47="","",基础状态预期!N47*G$59+G$58)</f>
        <v/>
      </c>
      <c r="AJ34" s="29">
        <f>IF(基础状态预期!O47="","",基础状态预期!O47*H$59+H$58)</f>
        <v>148</v>
      </c>
      <c r="AK34" s="29">
        <f>MAX(SUMPRODUCT(AF34:AJ34,基础状态预期!$F47:$J47)/SUM(基础状态预期!$F47:$J47),AK33)</f>
        <v>148</v>
      </c>
      <c r="AL34" s="29">
        <f>IF(基础状态预期!K47="",0,求节点($C$68:$C$76,D$68:D$76,基础状态预期!K47))</f>
        <v>0</v>
      </c>
      <c r="AM34" s="29">
        <f>IF(基础状态预期!L47="",0,求节点($C$68:$C$76,E$68:E$76,基础状态预期!L47))</f>
        <v>0</v>
      </c>
      <c r="AN34" s="29">
        <f>IF(基础状态预期!M47="",0,求节点($C$68:$C$76,F$68:F$76,基础状态预期!M47)*求节点(武将升级!$H$52:$H$54,武将升级!$J$52:$J$54,基础状态预期!W47))</f>
        <v>0</v>
      </c>
      <c r="AO34" s="29">
        <f>IF(基础状态预期!N47="",0,求节点($C$68:$C$76,G$68:G$76,基础状态预期!N47)*求节点(武将升级!$H$52:$H$54,武将升级!$J$52:$J$54,基础状态预期!X47))</f>
        <v>0</v>
      </c>
      <c r="AP34" s="29">
        <f>IF(基础状态预期!O47="",0,求节点($C$68:$C$76,H$68:H$76,基础状态预期!O47)*求节点(武将升级!$H$52:$H$54,武将升级!$J$52:$J$54,基础状态预期!Y47))</f>
        <v>1.1399999999999999</v>
      </c>
      <c r="AQ34" s="29">
        <f>MAX(SUMPRODUCT(AL34:AP34,基础状态预期!$F47:$J47)/SUM(基础状态预期!$F47:$J47),AQ33)</f>
        <v>1.1399999999999999</v>
      </c>
      <c r="AR34" s="29">
        <f>IF(基础状态预期!K47="",0,求节点($C$158:$C$166,D$158:D$166,基础状态预期!K47))</f>
        <v>0</v>
      </c>
      <c r="AS34" s="29">
        <f>IF(基础状态预期!L47="",0,求节点($C$158:$C$166,E$158:E$166,基础状态预期!L47))</f>
        <v>0</v>
      </c>
      <c r="AT34" s="29">
        <f>IF(基础状态预期!M47="",0,求节点($C$158:$C$166,F$158:F$166,基础状态预期!M47))</f>
        <v>0</v>
      </c>
      <c r="AU34" s="29">
        <f>IF(基础状态预期!N47="",0,求节点($C$158:$C$166,G$158:G$166,基础状态预期!N47))</f>
        <v>0</v>
      </c>
      <c r="AV34" s="29">
        <f>IF(基础状态预期!O47="",0,求节点($C$158:$C$166,H$158:H$166,基础状态预期!O47))</f>
        <v>0.8</v>
      </c>
      <c r="AW34" s="29">
        <f>MAX(SUMPRODUCT(AR34:AV34,基础状态预期!$F47:$J47)/SUM(基础状态预期!$F47:$J47),AW33)</f>
        <v>0.80000000000000016</v>
      </c>
      <c r="AX34" s="16"/>
      <c r="BC34" s="72">
        <f>(INDEX([2]非r将兵属性验证!$V$7:$V$166,$BA17,1)+INDEX([2]非r将兵属性验证!$AP$7:$AP$166,$BA17,1))</f>
        <v>7680730442.5166206</v>
      </c>
      <c r="BJ34" s="29">
        <f t="shared" si="5"/>
        <v>132.07530828871487</v>
      </c>
      <c r="BK34" s="75">
        <f>武将数量星级阶位验证!AT37</f>
        <v>7711506.0869089095</v>
      </c>
      <c r="BL34" s="75">
        <f>(AD34-AD33)*INDEX('[1]功能-付费相关'!$AQ$6:$AQ$165,BJ34,1)+BL33</f>
        <v>21249.513873596094</v>
      </c>
    </row>
    <row r="35" spans="2:69" x14ac:dyDescent="0.15">
      <c r="B35" s="169" t="s">
        <v>864</v>
      </c>
      <c r="C35" s="14" t="s">
        <v>175</v>
      </c>
      <c r="D35" s="29" t="s">
        <v>3</v>
      </c>
      <c r="E35" s="29" t="s">
        <v>1</v>
      </c>
      <c r="F35" s="29" t="s">
        <v>2</v>
      </c>
      <c r="G35" s="29" t="s">
        <v>0</v>
      </c>
      <c r="H35" s="14" t="s">
        <v>545</v>
      </c>
      <c r="I35" s="14" t="s">
        <v>30</v>
      </c>
      <c r="M35" s="72">
        <v>35</v>
      </c>
      <c r="N35" s="29">
        <f>基础状态预期!D48</f>
        <v>135.54811255008914</v>
      </c>
      <c r="O35" s="29">
        <f>IF(基础状态预期!F48="",0,求节点($C$104:$C$112,D$104:D$112,基础状态预期!K48))</f>
        <v>0</v>
      </c>
      <c r="P35" s="29">
        <f>IF(基础状态预期!G48="",0,求节点($C$104:$C$112,E$104:E$112,基础状态预期!L48))</f>
        <v>0</v>
      </c>
      <c r="Q35" s="29">
        <f>IF(基础状态预期!H48="",0,求节点($C$104:$C$112,F$104:F$112,基础状态预期!M48))</f>
        <v>0</v>
      </c>
      <c r="R35" s="29">
        <f>IF(基础状态预期!I48="",0,求节点($C$104:$C$112,G$104:G$112,基础状态预期!N48))</f>
        <v>0</v>
      </c>
      <c r="S35" s="29">
        <f>IF(基础状态预期!J48="",0,求节点($C$104:$C$112,H$104:H$112,基础状态预期!O48))</f>
        <v>18</v>
      </c>
      <c r="T35" s="29">
        <f>IF(基础状态预期!F48="",0,求节点($C$114:$C$122,D$114:D$122,基础状态预期!K48)*基础状态预期!F48+求节点($C$124:$C$132,D$124:D$132,基础状态预期!$O48)*基础状态预期!$J48)</f>
        <v>0</v>
      </c>
      <c r="U35" s="29">
        <f>IF(基础状态预期!G48="",0,求节点($C$114:$C$122,E$114:E$122,基础状态预期!L48)*基础状态预期!G48+求节点($C$124:$C$132,E$124:E$132,基础状态预期!$O48)*基础状态预期!$J48)</f>
        <v>0</v>
      </c>
      <c r="V35" s="29">
        <f>IF(基础状态预期!H48="",0,求节点($C$114:$C$122,F$114:F$122,基础状态预期!M48)*基础状态预期!H48+求节点($C$124:$C$132,F$124:F$132,基础状态预期!$O48)*基础状态预期!$J48)</f>
        <v>0</v>
      </c>
      <c r="W35" s="148">
        <f>IF(基础状态预期!I48="",0,求节点($C$114:$C$122,G$114:G$122,基础状态预期!N48)*基础状态预期!I48)+IF(基础状态预期!O48="",0,求节点($C$124:$C$132,G$124:G$132,基础状态预期!$O48)*基础状态预期!$J48)</f>
        <v>54</v>
      </c>
      <c r="X35" s="29">
        <f>IF(基础状态预期!J48="",0,求节点($C$114:$C$122,H$114:H$122,基础状态预期!O48)*基础状态预期!J48+求节点($C$124:$C$132,H$124:H$132,基础状态预期!$O48)*基础状态预期!$J48)</f>
        <v>0</v>
      </c>
      <c r="Y35" s="14">
        <f>IF(基础状态预期!K48="",0,求节点($C$92:$C$100,D$92:D$100,基础状态预期!K48))</f>
        <v>0</v>
      </c>
      <c r="Z35" s="14">
        <f>IF(基础状态预期!L48="",0,求节点($C$92:$C$100,E$92:E$100,基础状态预期!L48))</f>
        <v>0</v>
      </c>
      <c r="AA35" s="14">
        <f>IF(基础状态预期!M48="",0,求节点($C$92:$C$100,F$92:F$100,基础状态预期!M48))</f>
        <v>0</v>
      </c>
      <c r="AB35" s="14">
        <f>IF(基础状态预期!N48="",0,求节点($C$92:$C$100,G$92:G$100,基础状态预期!N48))</f>
        <v>0</v>
      </c>
      <c r="AC35" s="14">
        <f>IF(基础状态预期!O48="",0,求节点($C$92:$C$100,H$92:H$100,基础状态预期!O48))</f>
        <v>3825000</v>
      </c>
      <c r="AD35" s="29">
        <f>MAX(SUMPRODUCT(Y35:AC35,基础状态预期!F48:J48),AD34)</f>
        <v>22950000</v>
      </c>
      <c r="AF35" s="29" t="str">
        <f>IF(基础状态预期!K48="","",基础状态预期!K48*D$59+D$58)</f>
        <v/>
      </c>
      <c r="AG35" s="29" t="str">
        <f>IF(基础状态预期!L48="","",基础状态预期!L48*E$59+E$58)</f>
        <v/>
      </c>
      <c r="AH35" s="29" t="str">
        <f>IF(基础状态预期!M48="","",基础状态预期!M48*F$59+F$58)</f>
        <v/>
      </c>
      <c r="AI35" s="29" t="str">
        <f>IF(基础状态预期!N48="","",基础状态预期!N48*G$59+G$58)</f>
        <v/>
      </c>
      <c r="AJ35" s="29">
        <f>IF(基础状态预期!O48="","",基础状态预期!O48*H$59+H$58)</f>
        <v>148</v>
      </c>
      <c r="AK35" s="29">
        <f>MAX(SUMPRODUCT(AF35:AJ35,基础状态预期!$F48:$J48)/SUM(基础状态预期!$F48:$J48),AK34)</f>
        <v>148</v>
      </c>
      <c r="AL35" s="29">
        <f>IF(基础状态预期!K48="",0,求节点($C$68:$C$76,D$68:D$76,基础状态预期!K48))</f>
        <v>0</v>
      </c>
      <c r="AM35" s="29">
        <f>IF(基础状态预期!L48="",0,求节点($C$68:$C$76,E$68:E$76,基础状态预期!L48))</f>
        <v>0</v>
      </c>
      <c r="AN35" s="29">
        <f>IF(基础状态预期!M48="",0,求节点($C$68:$C$76,F$68:F$76,基础状态预期!M48)*求节点(武将升级!$H$52:$H$54,武将升级!$J$52:$J$54,基础状态预期!W48))</f>
        <v>0</v>
      </c>
      <c r="AO35" s="29">
        <f>IF(基础状态预期!N48="",0,求节点($C$68:$C$76,G$68:G$76,基础状态预期!N48)*求节点(武将升级!$H$52:$H$54,武将升级!$J$52:$J$54,基础状态预期!X48))</f>
        <v>0</v>
      </c>
      <c r="AP35" s="29">
        <f>IF(基础状态预期!O48="",0,求节点($C$68:$C$76,H$68:H$76,基础状态预期!O48)*求节点(武将升级!$H$52:$H$54,武将升级!$J$52:$J$54,基础状态预期!Y48))</f>
        <v>1.1399999999999999</v>
      </c>
      <c r="AQ35" s="29">
        <f>MAX(SUMPRODUCT(AL35:AP35,基础状态预期!$F48:$J48)/SUM(基础状态预期!$F48:$J48),AQ34)</f>
        <v>1.1399999999999999</v>
      </c>
      <c r="AR35" s="29">
        <f>IF(基础状态预期!K48="",0,求节点($C$158:$C$166,D$158:D$166,基础状态预期!K48))</f>
        <v>0</v>
      </c>
      <c r="AS35" s="29">
        <f>IF(基础状态预期!L48="",0,求节点($C$158:$C$166,E$158:E$166,基础状态预期!L48))</f>
        <v>0</v>
      </c>
      <c r="AT35" s="29">
        <f>IF(基础状态预期!M48="",0,求节点($C$158:$C$166,F$158:F$166,基础状态预期!M48))</f>
        <v>0</v>
      </c>
      <c r="AU35" s="29">
        <f>IF(基础状态预期!N48="",0,求节点($C$158:$C$166,G$158:G$166,基础状态预期!N48))</f>
        <v>0</v>
      </c>
      <c r="AV35" s="29">
        <f>IF(基础状态预期!O48="",0,求节点($C$158:$C$166,H$158:H$166,基础状态预期!O48))</f>
        <v>0.8</v>
      </c>
      <c r="AW35" s="29">
        <f>MAX(SUMPRODUCT(AR35:AV35,基础状态预期!$F48:$J48)/SUM(基础状态预期!$F48:$J48),AW34)</f>
        <v>0.80000000000000016</v>
      </c>
      <c r="AX35" s="16"/>
      <c r="BC35" s="72">
        <f>(INDEX([2]非r将兵属性验证!$V$7:$V$166,$BA18,1)+INDEX([2]非r将兵属性验证!$AP$7:$AP$166,$BA18,1))</f>
        <v>10580129534.871689</v>
      </c>
      <c r="BJ35" s="29">
        <f t="shared" si="5"/>
        <v>135.54811255008914</v>
      </c>
      <c r="BK35" s="75">
        <f>武将数量星级阶位验证!AT38</f>
        <v>9527329.0661092941</v>
      </c>
      <c r="BL35" s="75">
        <f>(AD35-AD34)*INDEX('[1]功能-付费相关'!$AQ$6:$AQ$165,BJ35,1)+BL34</f>
        <v>21249.513873596094</v>
      </c>
    </row>
    <row r="36" spans="2:69" x14ac:dyDescent="0.15">
      <c r="B36" s="170"/>
      <c r="C36" s="29">
        <v>0</v>
      </c>
      <c r="D36" s="14"/>
      <c r="E36" s="14"/>
      <c r="F36" s="14"/>
      <c r="G36" s="14"/>
      <c r="H36" s="14"/>
      <c r="I36" s="14"/>
      <c r="M36" s="72">
        <v>36</v>
      </c>
      <c r="N36" s="29">
        <f>基础状态预期!D49</f>
        <v>139.0493876099641</v>
      </c>
      <c r="O36" s="29">
        <f>IF(基础状态预期!F49="",0,求节点($C$104:$C$112,D$104:D$112,基础状态预期!K49))</f>
        <v>0</v>
      </c>
      <c r="P36" s="29">
        <f>IF(基础状态预期!G49="",0,求节点($C$104:$C$112,E$104:E$112,基础状态预期!L49))</f>
        <v>0</v>
      </c>
      <c r="Q36" s="29">
        <f>IF(基础状态预期!H49="",0,求节点($C$104:$C$112,F$104:F$112,基础状态预期!M49))</f>
        <v>0</v>
      </c>
      <c r="R36" s="29">
        <f>IF(基础状态预期!I49="",0,求节点($C$104:$C$112,G$104:G$112,基础状态预期!N49))</f>
        <v>0</v>
      </c>
      <c r="S36" s="29">
        <f>IF(基础状态预期!J49="",0,求节点($C$104:$C$112,H$104:H$112,基础状态预期!O49))</f>
        <v>18</v>
      </c>
      <c r="T36" s="29">
        <f>IF(基础状态预期!F49="",0,求节点($C$114:$C$122,D$114:D$122,基础状态预期!K49)*基础状态预期!F49+求节点($C$124:$C$132,D$124:D$132,基础状态预期!$O49)*基础状态预期!$J49)</f>
        <v>0</v>
      </c>
      <c r="U36" s="29">
        <f>IF(基础状态预期!G49="",0,求节点($C$114:$C$122,E$114:E$122,基础状态预期!L49)*基础状态预期!G49+求节点($C$124:$C$132,E$124:E$132,基础状态预期!$O49)*基础状态预期!$J49)</f>
        <v>0</v>
      </c>
      <c r="V36" s="29">
        <f>IF(基础状态预期!H49="",0,求节点($C$114:$C$122,F$114:F$122,基础状态预期!M49)*基础状态预期!H49+求节点($C$124:$C$132,F$124:F$132,基础状态预期!$O49)*基础状态预期!$J49)</f>
        <v>0</v>
      </c>
      <c r="W36" s="148">
        <f>IF(基础状态预期!I49="",0,求节点($C$114:$C$122,G$114:G$122,基础状态预期!N49)*基础状态预期!I49)+IF(基础状态预期!O49="",0,求节点($C$124:$C$132,G$124:G$132,基础状态预期!$O49)*基础状态预期!$J49)</f>
        <v>54</v>
      </c>
      <c r="X36" s="29">
        <f>IF(基础状态预期!J49="",0,求节点($C$114:$C$122,H$114:H$122,基础状态预期!O49)*基础状态预期!J49+求节点($C$124:$C$132,H$124:H$132,基础状态预期!$O49)*基础状态预期!$J49)</f>
        <v>0</v>
      </c>
      <c r="Y36" s="14">
        <f>IF(基础状态预期!K49="",0,求节点($C$92:$C$100,D$92:D$100,基础状态预期!K49))</f>
        <v>0</v>
      </c>
      <c r="Z36" s="14">
        <f>IF(基础状态预期!L49="",0,求节点($C$92:$C$100,E$92:E$100,基础状态预期!L49))</f>
        <v>0</v>
      </c>
      <c r="AA36" s="14">
        <f>IF(基础状态预期!M49="",0,求节点($C$92:$C$100,F$92:F$100,基础状态预期!M49))</f>
        <v>0</v>
      </c>
      <c r="AB36" s="14">
        <f>IF(基础状态预期!N49="",0,求节点($C$92:$C$100,G$92:G$100,基础状态预期!N49))</f>
        <v>0</v>
      </c>
      <c r="AC36" s="14">
        <f>IF(基础状态预期!O49="",0,求节点($C$92:$C$100,H$92:H$100,基础状态预期!O49))</f>
        <v>3825000</v>
      </c>
      <c r="AD36" s="29">
        <f>MAX(SUMPRODUCT(Y36:AC36,基础状态预期!F49:J49),AD35)</f>
        <v>22950000</v>
      </c>
      <c r="AF36" s="29" t="str">
        <f>IF(基础状态预期!K49="","",基础状态预期!K49*D$59+D$58)</f>
        <v/>
      </c>
      <c r="AG36" s="29" t="str">
        <f>IF(基础状态预期!L49="","",基础状态预期!L49*E$59+E$58)</f>
        <v/>
      </c>
      <c r="AH36" s="29" t="str">
        <f>IF(基础状态预期!M49="","",基础状态预期!M49*F$59+F$58)</f>
        <v/>
      </c>
      <c r="AI36" s="29" t="str">
        <f>IF(基础状态预期!N49="","",基础状态预期!N49*G$59+G$58)</f>
        <v/>
      </c>
      <c r="AJ36" s="29">
        <f>IF(基础状态预期!O49="","",基础状态预期!O49*H$59+H$58)</f>
        <v>148</v>
      </c>
      <c r="AK36" s="29">
        <f>MAX(SUMPRODUCT(AF36:AJ36,基础状态预期!$F49:$J49)/SUM(基础状态预期!$F49:$J49),AK35)</f>
        <v>148</v>
      </c>
      <c r="AL36" s="29">
        <f>IF(基础状态预期!K49="",0,求节点($C$68:$C$76,D$68:D$76,基础状态预期!K49))</f>
        <v>0</v>
      </c>
      <c r="AM36" s="29">
        <f>IF(基础状态预期!L49="",0,求节点($C$68:$C$76,E$68:E$76,基础状态预期!L49))</f>
        <v>0</v>
      </c>
      <c r="AN36" s="29">
        <f>IF(基础状态预期!M49="",0,求节点($C$68:$C$76,F$68:F$76,基础状态预期!M49)*求节点(武将升级!$H$52:$H$54,武将升级!$J$52:$J$54,基础状态预期!W49))</f>
        <v>0</v>
      </c>
      <c r="AO36" s="29">
        <f>IF(基础状态预期!N49="",0,求节点($C$68:$C$76,G$68:G$76,基础状态预期!N49)*求节点(武将升级!$H$52:$H$54,武将升级!$J$52:$J$54,基础状态预期!X49))</f>
        <v>0</v>
      </c>
      <c r="AP36" s="29">
        <f>IF(基础状态预期!O49="",0,求节点($C$68:$C$76,H$68:H$76,基础状态预期!O49)*求节点(武将升级!$H$52:$H$54,武将升级!$J$52:$J$54,基础状态预期!Y49))</f>
        <v>1.1399999999999999</v>
      </c>
      <c r="AQ36" s="29">
        <f>MAX(SUMPRODUCT(AL36:AP36,基础状态预期!$F49:$J49)/SUM(基础状态预期!$F49:$J49),AQ35)</f>
        <v>1.1399999999999999</v>
      </c>
      <c r="AR36" s="29">
        <f>IF(基础状态预期!K49="",0,求节点($C$158:$C$166,D$158:D$166,基础状态预期!K49))</f>
        <v>0</v>
      </c>
      <c r="AS36" s="29">
        <f>IF(基础状态预期!L49="",0,求节点($C$158:$C$166,E$158:E$166,基础状态预期!L49))</f>
        <v>0</v>
      </c>
      <c r="AT36" s="29">
        <f>IF(基础状态预期!M49="",0,求节点($C$158:$C$166,F$158:F$166,基础状态预期!M49))</f>
        <v>0</v>
      </c>
      <c r="AU36" s="29">
        <f>IF(基础状态预期!N49="",0,求节点($C$158:$C$166,G$158:G$166,基础状态预期!N49))</f>
        <v>0</v>
      </c>
      <c r="AV36" s="29">
        <f>IF(基础状态预期!O49="",0,求节点($C$158:$C$166,H$158:H$166,基础状态预期!O49))</f>
        <v>0.8</v>
      </c>
      <c r="AW36" s="29">
        <f>MAX(SUMPRODUCT(AR36:AV36,基础状态预期!$F49:$J49)/SUM(基础状态预期!$F49:$J49),AW35)</f>
        <v>0.80000000000000016</v>
      </c>
      <c r="AX36" s="16"/>
      <c r="BC36" s="72">
        <f>(INDEX([2]非r将兵属性验证!$V$7:$V$166,$BA19,1)+INDEX([2]非r将兵属性验证!$AP$7:$AP$166,$BA19,1))</f>
        <v>12785029237.118624</v>
      </c>
      <c r="BJ36" s="29">
        <f t="shared" si="5"/>
        <v>139.0493876099641</v>
      </c>
      <c r="BK36" s="75">
        <f>武将数量星级阶位验证!AT39</f>
        <v>11772796.454452736</v>
      </c>
      <c r="BL36" s="75">
        <f>(AD36-AD35)*INDEX('[1]功能-付费相关'!$AQ$6:$AQ$165,BJ36,1)+BL35</f>
        <v>21249.513873596094</v>
      </c>
    </row>
    <row r="37" spans="2:69" ht="11.25" customHeight="1" x14ac:dyDescent="0.15">
      <c r="B37" s="170"/>
      <c r="C37" s="29">
        <v>1</v>
      </c>
      <c r="D37" s="14"/>
      <c r="E37" s="14"/>
      <c r="F37" s="14"/>
      <c r="G37" s="14"/>
      <c r="H37" s="14"/>
      <c r="I37" s="14"/>
      <c r="M37" s="72">
        <v>37</v>
      </c>
      <c r="N37" s="29">
        <f>基础状态预期!D50</f>
        <v>142.53355653582128</v>
      </c>
      <c r="O37" s="29">
        <f>IF(基础状态预期!F50="",0,求节点($C$104:$C$112,D$104:D$112,基础状态预期!K50))</f>
        <v>0</v>
      </c>
      <c r="P37" s="29">
        <f>IF(基础状态预期!G50="",0,求节点($C$104:$C$112,E$104:E$112,基础状态预期!L50))</f>
        <v>0</v>
      </c>
      <c r="Q37" s="29">
        <f>IF(基础状态预期!H50="",0,求节点($C$104:$C$112,F$104:F$112,基础状态预期!M50))</f>
        <v>0</v>
      </c>
      <c r="R37" s="29">
        <f>IF(基础状态预期!I50="",0,求节点($C$104:$C$112,G$104:G$112,基础状态预期!N50))</f>
        <v>0</v>
      </c>
      <c r="S37" s="29">
        <f>IF(基础状态预期!J50="",0,求节点($C$104:$C$112,H$104:H$112,基础状态预期!O50))</f>
        <v>18</v>
      </c>
      <c r="T37" s="29">
        <f>IF(基础状态预期!F50="",0,求节点($C$114:$C$122,D$114:D$122,基础状态预期!K50)*基础状态预期!F50+求节点($C$124:$C$132,D$124:D$132,基础状态预期!$O50)*基础状态预期!$J50)</f>
        <v>0</v>
      </c>
      <c r="U37" s="29">
        <f>IF(基础状态预期!G50="",0,求节点($C$114:$C$122,E$114:E$122,基础状态预期!L50)*基础状态预期!G50+求节点($C$124:$C$132,E$124:E$132,基础状态预期!$O50)*基础状态预期!$J50)</f>
        <v>0</v>
      </c>
      <c r="V37" s="29">
        <f>IF(基础状态预期!H50="",0,求节点($C$114:$C$122,F$114:F$122,基础状态预期!M50)*基础状态预期!H50+求节点($C$124:$C$132,F$124:F$132,基础状态预期!$O50)*基础状态预期!$J50)</f>
        <v>0</v>
      </c>
      <c r="W37" s="148">
        <f>IF(基础状态预期!I50="",0,求节点($C$114:$C$122,G$114:G$122,基础状态预期!N50)*基础状态预期!I50)+IF(基础状态预期!O50="",0,求节点($C$124:$C$132,G$124:G$132,基础状态预期!$O50)*基础状态预期!$J50)</f>
        <v>54</v>
      </c>
      <c r="X37" s="29">
        <f>IF(基础状态预期!J50="",0,求节点($C$114:$C$122,H$114:H$122,基础状态预期!O50)*基础状态预期!J50+求节点($C$124:$C$132,H$124:H$132,基础状态预期!$O50)*基础状态预期!$J50)</f>
        <v>0</v>
      </c>
      <c r="Y37" s="14">
        <f>IF(基础状态预期!K50="",0,求节点($C$92:$C$100,D$92:D$100,基础状态预期!K50))</f>
        <v>0</v>
      </c>
      <c r="Z37" s="14">
        <f>IF(基础状态预期!L50="",0,求节点($C$92:$C$100,E$92:E$100,基础状态预期!L50))</f>
        <v>0</v>
      </c>
      <c r="AA37" s="14">
        <f>IF(基础状态预期!M50="",0,求节点($C$92:$C$100,F$92:F$100,基础状态预期!M50))</f>
        <v>0</v>
      </c>
      <c r="AB37" s="14">
        <f>IF(基础状态预期!N50="",0,求节点($C$92:$C$100,G$92:G$100,基础状态预期!N50))</f>
        <v>0</v>
      </c>
      <c r="AC37" s="14">
        <f>IF(基础状态预期!O50="",0,求节点($C$92:$C$100,H$92:H$100,基础状态预期!O50))</f>
        <v>3825000</v>
      </c>
      <c r="AD37" s="29">
        <f>MAX(SUMPRODUCT(Y37:AC37,基础状态预期!F50:J50),AD36)</f>
        <v>22950000</v>
      </c>
      <c r="AF37" s="29" t="str">
        <f>IF(基础状态预期!K50="","",基础状态预期!K50*D$59+D$58)</f>
        <v/>
      </c>
      <c r="AG37" s="29" t="str">
        <f>IF(基础状态预期!L50="","",基础状态预期!L50*E$59+E$58)</f>
        <v/>
      </c>
      <c r="AH37" s="29" t="str">
        <f>IF(基础状态预期!M50="","",基础状态预期!M50*F$59+F$58)</f>
        <v/>
      </c>
      <c r="AI37" s="29" t="str">
        <f>IF(基础状态预期!N50="","",基础状态预期!N50*G$59+G$58)</f>
        <v/>
      </c>
      <c r="AJ37" s="29">
        <f>IF(基础状态预期!O50="","",基础状态预期!O50*H$59+H$58)</f>
        <v>148</v>
      </c>
      <c r="AK37" s="29">
        <f>MAX(SUMPRODUCT(AF37:AJ37,基础状态预期!$F50:$J50)/SUM(基础状态预期!$F50:$J50),AK36)</f>
        <v>148</v>
      </c>
      <c r="AL37" s="29">
        <f>IF(基础状态预期!K50="",0,求节点($C$68:$C$76,D$68:D$76,基础状态预期!K50))</f>
        <v>0</v>
      </c>
      <c r="AM37" s="29">
        <f>IF(基础状态预期!L50="",0,求节点($C$68:$C$76,E$68:E$76,基础状态预期!L50))</f>
        <v>0</v>
      </c>
      <c r="AN37" s="29">
        <f>IF(基础状态预期!M50="",0,求节点($C$68:$C$76,F$68:F$76,基础状态预期!M50)*求节点(武将升级!$H$52:$H$54,武将升级!$J$52:$J$54,基础状态预期!W50))</f>
        <v>0</v>
      </c>
      <c r="AO37" s="29">
        <f>IF(基础状态预期!N50="",0,求节点($C$68:$C$76,G$68:G$76,基础状态预期!N50)*求节点(武将升级!$H$52:$H$54,武将升级!$J$52:$J$54,基础状态预期!X50))</f>
        <v>0</v>
      </c>
      <c r="AP37" s="29">
        <f>IF(基础状态预期!O50="",0,求节点($C$68:$C$76,H$68:H$76,基础状态预期!O50)*求节点(武将升级!$H$52:$H$54,武将升级!$J$52:$J$54,基础状态预期!Y50))</f>
        <v>1.1399999999999999</v>
      </c>
      <c r="AQ37" s="29">
        <f>MAX(SUMPRODUCT(AL37:AP37,基础状态预期!$F50:$J50)/SUM(基础状态预期!$F50:$J50),AQ36)</f>
        <v>1.1399999999999999</v>
      </c>
      <c r="AR37" s="29">
        <f>IF(基础状态预期!K50="",0,求节点($C$158:$C$166,D$158:D$166,基础状态预期!K50))</f>
        <v>0</v>
      </c>
      <c r="AS37" s="29">
        <f>IF(基础状态预期!L50="",0,求节点($C$158:$C$166,E$158:E$166,基础状态预期!L50))</f>
        <v>0</v>
      </c>
      <c r="AT37" s="29">
        <f>IF(基础状态预期!M50="",0,求节点($C$158:$C$166,F$158:F$166,基础状态预期!M50))</f>
        <v>0</v>
      </c>
      <c r="AU37" s="29">
        <f>IF(基础状态预期!N50="",0,求节点($C$158:$C$166,G$158:G$166,基础状态预期!N50))</f>
        <v>0</v>
      </c>
      <c r="AV37" s="29">
        <f>IF(基础状态预期!O50="",0,求节点($C$158:$C$166,H$158:H$166,基础状态预期!O50))</f>
        <v>0.8</v>
      </c>
      <c r="AW37" s="29">
        <f>MAX(SUMPRODUCT(AR37:AV37,基础状态预期!$F50:$J50)/SUM(基础状态预期!$F50:$J50),AW36)</f>
        <v>0.80000000000000016</v>
      </c>
      <c r="AX37" s="16"/>
      <c r="BJ37" s="29">
        <f t="shared" si="5"/>
        <v>142.53355653582128</v>
      </c>
      <c r="BK37" s="75">
        <f>武将数量星级阶位验证!AT40</f>
        <v>14595337.299439287</v>
      </c>
      <c r="BL37" s="75">
        <f>(AD37-AD36)*INDEX('[1]功能-付费相关'!$AQ$6:$AQ$165,BJ37,1)+BL36</f>
        <v>21249.513873596094</v>
      </c>
    </row>
    <row r="38" spans="2:69" x14ac:dyDescent="0.15">
      <c r="B38" s="170"/>
      <c r="C38" s="29">
        <v>2</v>
      </c>
      <c r="D38" s="14"/>
      <c r="E38" s="14"/>
      <c r="F38" s="14"/>
      <c r="G38" s="14"/>
      <c r="H38" s="14"/>
      <c r="I38" s="14"/>
      <c r="M38" s="72">
        <v>38</v>
      </c>
      <c r="N38" s="29">
        <f>基础状态预期!D51</f>
        <v>146.02664953963369</v>
      </c>
      <c r="O38" s="29">
        <f>IF(基础状态预期!F51="",0,求节点($C$104:$C$112,D$104:D$112,基础状态预期!K51))</f>
        <v>0</v>
      </c>
      <c r="P38" s="29">
        <f>IF(基础状态预期!G51="",0,求节点($C$104:$C$112,E$104:E$112,基础状态预期!L51))</f>
        <v>0</v>
      </c>
      <c r="Q38" s="29">
        <f>IF(基础状态预期!H51="",0,求节点($C$104:$C$112,F$104:F$112,基础状态预期!M51))</f>
        <v>0</v>
      </c>
      <c r="R38" s="29">
        <f>IF(基础状态预期!I51="",0,求节点($C$104:$C$112,G$104:G$112,基础状态预期!N51))</f>
        <v>0</v>
      </c>
      <c r="S38" s="29">
        <f>IF(基础状态预期!J51="",0,求节点($C$104:$C$112,H$104:H$112,基础状态预期!O51))</f>
        <v>18</v>
      </c>
      <c r="T38" s="29">
        <f>IF(基础状态预期!F51="",0,求节点($C$114:$C$122,D$114:D$122,基础状态预期!K51)*基础状态预期!F51+求节点($C$124:$C$132,D$124:D$132,基础状态预期!$O51)*基础状态预期!$J51)</f>
        <v>0</v>
      </c>
      <c r="U38" s="29">
        <f>IF(基础状态预期!G51="",0,求节点($C$114:$C$122,E$114:E$122,基础状态预期!L51)*基础状态预期!G51+求节点($C$124:$C$132,E$124:E$132,基础状态预期!$O51)*基础状态预期!$J51)</f>
        <v>0</v>
      </c>
      <c r="V38" s="29">
        <f>IF(基础状态预期!H51="",0,求节点($C$114:$C$122,F$114:F$122,基础状态预期!M51)*基础状态预期!H51+求节点($C$124:$C$132,F$124:F$132,基础状态预期!$O51)*基础状态预期!$J51)</f>
        <v>0</v>
      </c>
      <c r="W38" s="148">
        <f>IF(基础状态预期!I51="",0,求节点($C$114:$C$122,G$114:G$122,基础状态预期!N51)*基础状态预期!I51)+IF(基础状态预期!O51="",0,求节点($C$124:$C$132,G$124:G$132,基础状态预期!$O51)*基础状态预期!$J51)</f>
        <v>54</v>
      </c>
      <c r="X38" s="29">
        <f>IF(基础状态预期!J51="",0,求节点($C$114:$C$122,H$114:H$122,基础状态预期!O51)*基础状态预期!J51+求节点($C$124:$C$132,H$124:H$132,基础状态预期!$O51)*基础状态预期!$J51)</f>
        <v>0</v>
      </c>
      <c r="Y38" s="14">
        <f>IF(基础状态预期!K51="",0,求节点($C$92:$C$100,D$92:D$100,基础状态预期!K51))</f>
        <v>0</v>
      </c>
      <c r="Z38" s="14">
        <f>IF(基础状态预期!L51="",0,求节点($C$92:$C$100,E$92:E$100,基础状态预期!L51))</f>
        <v>0</v>
      </c>
      <c r="AA38" s="14">
        <f>IF(基础状态预期!M51="",0,求节点($C$92:$C$100,F$92:F$100,基础状态预期!M51))</f>
        <v>0</v>
      </c>
      <c r="AB38" s="14">
        <f>IF(基础状态预期!N51="",0,求节点($C$92:$C$100,G$92:G$100,基础状态预期!N51))</f>
        <v>0</v>
      </c>
      <c r="AC38" s="14">
        <f>IF(基础状态预期!O51="",0,求节点($C$92:$C$100,H$92:H$100,基础状态预期!O51))</f>
        <v>3825000</v>
      </c>
      <c r="AD38" s="29">
        <f>MAX(SUMPRODUCT(Y38:AC38,基础状态预期!F51:J51),AD37)</f>
        <v>22950000</v>
      </c>
      <c r="AF38" s="29" t="str">
        <f>IF(基础状态预期!K51="","",基础状态预期!K51*D$59+D$58)</f>
        <v/>
      </c>
      <c r="AG38" s="29" t="str">
        <f>IF(基础状态预期!L51="","",基础状态预期!L51*E$59+E$58)</f>
        <v/>
      </c>
      <c r="AH38" s="29" t="str">
        <f>IF(基础状态预期!M51="","",基础状态预期!M51*F$59+F$58)</f>
        <v/>
      </c>
      <c r="AI38" s="29" t="str">
        <f>IF(基础状态预期!N51="","",基础状态预期!N51*G$59+G$58)</f>
        <v/>
      </c>
      <c r="AJ38" s="29">
        <f>IF(基础状态预期!O51="","",基础状态预期!O51*H$59+H$58)</f>
        <v>148</v>
      </c>
      <c r="AK38" s="29">
        <f>MAX(SUMPRODUCT(AF38:AJ38,基础状态预期!$F51:$J51)/SUM(基础状态预期!$F51:$J51),AK37)</f>
        <v>148</v>
      </c>
      <c r="AL38" s="29">
        <f>IF(基础状态预期!K51="",0,求节点($C$68:$C$76,D$68:D$76,基础状态预期!K51))</f>
        <v>0</v>
      </c>
      <c r="AM38" s="29">
        <f>IF(基础状态预期!L51="",0,求节点($C$68:$C$76,E$68:E$76,基础状态预期!L51))</f>
        <v>0</v>
      </c>
      <c r="AN38" s="29">
        <f>IF(基础状态预期!M51="",0,求节点($C$68:$C$76,F$68:F$76,基础状态预期!M51)*求节点(武将升级!$H$52:$H$54,武将升级!$J$52:$J$54,基础状态预期!W51))</f>
        <v>0</v>
      </c>
      <c r="AO38" s="29">
        <f>IF(基础状态预期!N51="",0,求节点($C$68:$C$76,G$68:G$76,基础状态预期!N51)*求节点(武将升级!$H$52:$H$54,武将升级!$J$52:$J$54,基础状态预期!X51))</f>
        <v>0</v>
      </c>
      <c r="AP38" s="29">
        <f>IF(基础状态预期!O51="",0,求节点($C$68:$C$76,H$68:H$76,基础状态预期!O51)*求节点(武将升级!$H$52:$H$54,武将升级!$J$52:$J$54,基础状态预期!Y51))</f>
        <v>1.1399999999999999</v>
      </c>
      <c r="AQ38" s="29">
        <f>MAX(SUMPRODUCT(AL38:AP38,基础状态预期!$F51:$J51)/SUM(基础状态预期!$F51:$J51),AQ37)</f>
        <v>1.1399999999999999</v>
      </c>
      <c r="AR38" s="29">
        <f>IF(基础状态预期!K51="",0,求节点($C$158:$C$166,D$158:D$166,基础状态预期!K51))</f>
        <v>0</v>
      </c>
      <c r="AS38" s="29">
        <f>IF(基础状态预期!L51="",0,求节点($C$158:$C$166,E$158:E$166,基础状态预期!L51))</f>
        <v>0</v>
      </c>
      <c r="AT38" s="29">
        <f>IF(基础状态预期!M51="",0,求节点($C$158:$C$166,F$158:F$166,基础状态预期!M51))</f>
        <v>0</v>
      </c>
      <c r="AU38" s="29">
        <f>IF(基础状态预期!N51="",0,求节点($C$158:$C$166,G$158:G$166,基础状态预期!N51))</f>
        <v>0</v>
      </c>
      <c r="AV38" s="29">
        <f>IF(基础状态预期!O51="",0,求节点($C$158:$C$166,H$158:H$166,基础状态预期!O51))</f>
        <v>0.8</v>
      </c>
      <c r="AW38" s="29">
        <f>MAX(SUMPRODUCT(AR38:AV38,基础状态预期!$F51:$J51)/SUM(基础状态预期!$F51:$J51),AW37)</f>
        <v>0.80000000000000016</v>
      </c>
      <c r="AX38" s="16"/>
      <c r="BJ38" s="29">
        <f t="shared" si="5"/>
        <v>146.02664953963369</v>
      </c>
      <c r="BK38" s="75">
        <f>武将数量星级阶位验证!AT41</f>
        <v>18097483.483149234</v>
      </c>
      <c r="BL38" s="75">
        <f>(AD38-AD37)*INDEX('[1]功能-付费相关'!$AQ$6:$AQ$165,BJ38,1)+BL37</f>
        <v>21249.513873596094</v>
      </c>
    </row>
    <row r="39" spans="2:69" x14ac:dyDescent="0.15">
      <c r="B39" s="170"/>
      <c r="C39" s="29">
        <v>3</v>
      </c>
      <c r="D39" s="14"/>
      <c r="E39" s="14"/>
      <c r="F39" s="14"/>
      <c r="G39" s="14">
        <v>5</v>
      </c>
      <c r="H39" s="14"/>
      <c r="I39" s="14"/>
      <c r="M39" s="72">
        <v>39</v>
      </c>
      <c r="N39" s="29">
        <f>基础状态预期!D52</f>
        <v>149.52287096243165</v>
      </c>
      <c r="O39" s="29">
        <f>IF(基础状态预期!F52="",0,求节点($C$104:$C$112,D$104:D$112,基础状态预期!K52))</f>
        <v>0</v>
      </c>
      <c r="P39" s="29">
        <f>IF(基础状态预期!G52="",0,求节点($C$104:$C$112,E$104:E$112,基础状态预期!L52))</f>
        <v>0</v>
      </c>
      <c r="Q39" s="29">
        <f>IF(基础状态预期!H52="",0,求节点($C$104:$C$112,F$104:F$112,基础状态预期!M52))</f>
        <v>0</v>
      </c>
      <c r="R39" s="29">
        <f>IF(基础状态预期!I52="",0,求节点($C$104:$C$112,G$104:G$112,基础状态预期!N52))</f>
        <v>0</v>
      </c>
      <c r="S39" s="29">
        <f>IF(基础状态预期!J52="",0,求节点($C$104:$C$112,H$104:H$112,基础状态预期!O52))</f>
        <v>18</v>
      </c>
      <c r="T39" s="29">
        <f>IF(基础状态预期!F52="",0,求节点($C$114:$C$122,D$114:D$122,基础状态预期!K52)*基础状态预期!F52+求节点($C$124:$C$132,D$124:D$132,基础状态预期!$O52)*基础状态预期!$J52)</f>
        <v>0</v>
      </c>
      <c r="U39" s="29">
        <f>IF(基础状态预期!G52="",0,求节点($C$114:$C$122,E$114:E$122,基础状态预期!L52)*基础状态预期!G52+求节点($C$124:$C$132,E$124:E$132,基础状态预期!$O52)*基础状态预期!$J52)</f>
        <v>0</v>
      </c>
      <c r="V39" s="29">
        <f>IF(基础状态预期!H52="",0,求节点($C$114:$C$122,F$114:F$122,基础状态预期!M52)*基础状态预期!H52+求节点($C$124:$C$132,F$124:F$132,基础状态预期!$O52)*基础状态预期!$J52)</f>
        <v>0</v>
      </c>
      <c r="W39" s="148">
        <f>IF(基础状态预期!I52="",0,求节点($C$114:$C$122,G$114:G$122,基础状态预期!N52)*基础状态预期!I52)+IF(基础状态预期!O52="",0,求节点($C$124:$C$132,G$124:G$132,基础状态预期!$O52)*基础状态预期!$J52)</f>
        <v>54</v>
      </c>
      <c r="X39" s="29">
        <f>IF(基础状态预期!J52="",0,求节点($C$114:$C$122,H$114:H$122,基础状态预期!O52)*基础状态预期!J52+求节点($C$124:$C$132,H$124:H$132,基础状态预期!$O52)*基础状态预期!$J52)</f>
        <v>0</v>
      </c>
      <c r="Y39" s="14">
        <f>IF(基础状态预期!K52="",0,求节点($C$92:$C$100,D$92:D$100,基础状态预期!K52))</f>
        <v>0</v>
      </c>
      <c r="Z39" s="14">
        <f>IF(基础状态预期!L52="",0,求节点($C$92:$C$100,E$92:E$100,基础状态预期!L52))</f>
        <v>0</v>
      </c>
      <c r="AA39" s="14">
        <f>IF(基础状态预期!M52="",0,求节点($C$92:$C$100,F$92:F$100,基础状态预期!M52))</f>
        <v>0</v>
      </c>
      <c r="AB39" s="14">
        <f>IF(基础状态预期!N52="",0,求节点($C$92:$C$100,G$92:G$100,基础状态预期!N52))</f>
        <v>0</v>
      </c>
      <c r="AC39" s="14">
        <f>IF(基础状态预期!O52="",0,求节点($C$92:$C$100,H$92:H$100,基础状态预期!O52))</f>
        <v>3825000</v>
      </c>
      <c r="AD39" s="29">
        <f>MAX(SUMPRODUCT(Y39:AC39,基础状态预期!F52:J52),AD38)</f>
        <v>22950000</v>
      </c>
      <c r="AF39" s="29" t="str">
        <f>IF(基础状态预期!K52="","",基础状态预期!K52*D$59+D$58)</f>
        <v/>
      </c>
      <c r="AG39" s="29" t="str">
        <f>IF(基础状态预期!L52="","",基础状态预期!L52*E$59+E$58)</f>
        <v/>
      </c>
      <c r="AH39" s="29" t="str">
        <f>IF(基础状态预期!M52="","",基础状态预期!M52*F$59+F$58)</f>
        <v/>
      </c>
      <c r="AI39" s="29" t="str">
        <f>IF(基础状态预期!N52="","",基础状态预期!N52*G$59+G$58)</f>
        <v/>
      </c>
      <c r="AJ39" s="29">
        <f>IF(基础状态预期!O52="","",基础状态预期!O52*H$59+H$58)</f>
        <v>148</v>
      </c>
      <c r="AK39" s="29">
        <f>MAX(SUMPRODUCT(AF39:AJ39,基础状态预期!$F52:$J52)/SUM(基础状态预期!$F52:$J52),AK38)</f>
        <v>148</v>
      </c>
      <c r="AL39" s="29">
        <f>IF(基础状态预期!K52="",0,求节点($C$68:$C$76,D$68:D$76,基础状态预期!K52))</f>
        <v>0</v>
      </c>
      <c r="AM39" s="29">
        <f>IF(基础状态预期!L52="",0,求节点($C$68:$C$76,E$68:E$76,基础状态预期!L52))</f>
        <v>0</v>
      </c>
      <c r="AN39" s="29">
        <f>IF(基础状态预期!M52="",0,求节点($C$68:$C$76,F$68:F$76,基础状态预期!M52)*求节点(武将升级!$H$52:$H$54,武将升级!$J$52:$J$54,基础状态预期!W52))</f>
        <v>0</v>
      </c>
      <c r="AO39" s="29">
        <f>IF(基础状态预期!N52="",0,求节点($C$68:$C$76,G$68:G$76,基础状态预期!N52)*求节点(武将升级!$H$52:$H$54,武将升级!$J$52:$J$54,基础状态预期!X52))</f>
        <v>0</v>
      </c>
      <c r="AP39" s="29">
        <f>IF(基础状态预期!O52="",0,求节点($C$68:$C$76,H$68:H$76,基础状态预期!O52)*求节点(武将升级!$H$52:$H$54,武将升级!$J$52:$J$54,基础状态预期!Y52))</f>
        <v>1.1399999999999999</v>
      </c>
      <c r="AQ39" s="29">
        <f>MAX(SUMPRODUCT(AL39:AP39,基础状态预期!$F52:$J52)/SUM(基础状态预期!$F52:$J52),AQ38)</f>
        <v>1.1399999999999999</v>
      </c>
      <c r="AR39" s="29">
        <f>IF(基础状态预期!K52="",0,求节点($C$158:$C$166,D$158:D$166,基础状态预期!K52))</f>
        <v>0</v>
      </c>
      <c r="AS39" s="29">
        <f>IF(基础状态预期!L52="",0,求节点($C$158:$C$166,E$158:E$166,基础状态预期!L52))</f>
        <v>0</v>
      </c>
      <c r="AT39" s="29">
        <f>IF(基础状态预期!M52="",0,求节点($C$158:$C$166,F$158:F$166,基础状态预期!M52))</f>
        <v>0</v>
      </c>
      <c r="AU39" s="29">
        <f>IF(基础状态预期!N52="",0,求节点($C$158:$C$166,G$158:G$166,基础状态预期!N52))</f>
        <v>0</v>
      </c>
      <c r="AV39" s="29">
        <f>IF(基础状态预期!O52="",0,求节点($C$158:$C$166,H$158:H$166,基础状态预期!O52))</f>
        <v>0.8</v>
      </c>
      <c r="AW39" s="29">
        <f>MAX(SUMPRODUCT(AR39:AV39,基础状态预期!$F52:$J52)/SUM(基础状态预期!$F52:$J52),AW38)</f>
        <v>0.80000000000000016</v>
      </c>
      <c r="AX39" s="16"/>
      <c r="BJ39" s="29">
        <f t="shared" si="5"/>
        <v>149.52287096243165</v>
      </c>
      <c r="BK39" s="75">
        <f>武将数量星级阶位验证!AT42</f>
        <v>22457296.412813988</v>
      </c>
      <c r="BL39" s="75">
        <f>(AD39-AD38)*INDEX('[1]功能-付费相关'!$AQ$6:$AQ$165,BJ39,1)+BL38</f>
        <v>21249.513873596094</v>
      </c>
    </row>
    <row r="40" spans="2:69" x14ac:dyDescent="0.15">
      <c r="B40" s="170"/>
      <c r="C40" s="29">
        <v>4</v>
      </c>
      <c r="D40" s="14"/>
      <c r="E40" s="14"/>
      <c r="F40" s="14"/>
      <c r="G40" s="14"/>
      <c r="H40" s="14"/>
      <c r="I40" s="14"/>
      <c r="M40" s="72">
        <v>40</v>
      </c>
      <c r="N40" s="29">
        <f>基础状态预期!D53</f>
        <v>153.02723536432757</v>
      </c>
      <c r="O40" s="29">
        <f>IF(基础状态预期!F53="",0,求节点($C$104:$C$112,D$104:D$112,基础状态预期!K53))</f>
        <v>0</v>
      </c>
      <c r="P40" s="29">
        <f>IF(基础状态预期!G53="",0,求节点($C$104:$C$112,E$104:E$112,基础状态预期!L53))</f>
        <v>0</v>
      </c>
      <c r="Q40" s="29">
        <f>IF(基础状态预期!H53="",0,求节点($C$104:$C$112,F$104:F$112,基础状态预期!M53))</f>
        <v>0</v>
      </c>
      <c r="R40" s="29">
        <f>IF(基础状态预期!I53="",0,求节点($C$104:$C$112,G$104:G$112,基础状态预期!N53))</f>
        <v>0</v>
      </c>
      <c r="S40" s="29">
        <f>IF(基础状态预期!J53="",0,求节点($C$104:$C$112,H$104:H$112,基础状态预期!O53))</f>
        <v>18</v>
      </c>
      <c r="T40" s="29">
        <f>IF(基础状态预期!F53="",0,求节点($C$114:$C$122,D$114:D$122,基础状态预期!K53)*基础状态预期!F53+求节点($C$124:$C$132,D$124:D$132,基础状态预期!$O53)*基础状态预期!$J53)</f>
        <v>0</v>
      </c>
      <c r="U40" s="29">
        <f>IF(基础状态预期!G53="",0,求节点($C$114:$C$122,E$114:E$122,基础状态预期!L53)*基础状态预期!G53+求节点($C$124:$C$132,E$124:E$132,基础状态预期!$O53)*基础状态预期!$J53)</f>
        <v>0</v>
      </c>
      <c r="V40" s="29">
        <f>IF(基础状态预期!H53="",0,求节点($C$114:$C$122,F$114:F$122,基础状态预期!M53)*基础状态预期!H53+求节点($C$124:$C$132,F$124:F$132,基础状态预期!$O53)*基础状态预期!$J53)</f>
        <v>0</v>
      </c>
      <c r="W40" s="148">
        <f>IF(基础状态预期!I53="",0,求节点($C$114:$C$122,G$114:G$122,基础状态预期!N53)*基础状态预期!I53)+IF(基础状态预期!O53="",0,求节点($C$124:$C$132,G$124:G$132,基础状态预期!$O53)*基础状态预期!$J53)</f>
        <v>54</v>
      </c>
      <c r="X40" s="29">
        <f>IF(基础状态预期!J53="",0,求节点($C$114:$C$122,H$114:H$122,基础状态预期!O53)*基础状态预期!J53+求节点($C$124:$C$132,H$124:H$132,基础状态预期!$O53)*基础状态预期!$J53)</f>
        <v>0</v>
      </c>
      <c r="Y40" s="14">
        <f>IF(基础状态预期!K53="",0,求节点($C$92:$C$100,D$92:D$100,基础状态预期!K53))</f>
        <v>0</v>
      </c>
      <c r="Z40" s="14">
        <f>IF(基础状态预期!L53="",0,求节点($C$92:$C$100,E$92:E$100,基础状态预期!L53))</f>
        <v>0</v>
      </c>
      <c r="AA40" s="14">
        <f>IF(基础状态预期!M53="",0,求节点($C$92:$C$100,F$92:F$100,基础状态预期!M53))</f>
        <v>0</v>
      </c>
      <c r="AB40" s="14">
        <f>IF(基础状态预期!N53="",0,求节点($C$92:$C$100,G$92:G$100,基础状态预期!N53))</f>
        <v>0</v>
      </c>
      <c r="AC40" s="14">
        <f>IF(基础状态预期!O53="",0,求节点($C$92:$C$100,H$92:H$100,基础状态预期!O53))</f>
        <v>3825000</v>
      </c>
      <c r="AD40" s="29">
        <f>MAX(SUMPRODUCT(Y40:AC40,基础状态预期!F53:J53),AD39)</f>
        <v>22950000</v>
      </c>
      <c r="AF40" s="29" t="str">
        <f>IF(基础状态预期!K53="","",基础状态预期!K53*D$59+D$58)</f>
        <v/>
      </c>
      <c r="AG40" s="29" t="str">
        <f>IF(基础状态预期!L53="","",基础状态预期!L53*E$59+E$58)</f>
        <v/>
      </c>
      <c r="AH40" s="29" t="str">
        <f>IF(基础状态预期!M53="","",基础状态预期!M53*F$59+F$58)</f>
        <v/>
      </c>
      <c r="AI40" s="29" t="str">
        <f>IF(基础状态预期!N53="","",基础状态预期!N53*G$59+G$58)</f>
        <v/>
      </c>
      <c r="AJ40" s="29">
        <f>IF(基础状态预期!O53="","",基础状态预期!O53*H$59+H$58)</f>
        <v>148</v>
      </c>
      <c r="AK40" s="29">
        <f>MAX(SUMPRODUCT(AF40:AJ40,基础状态预期!$F53:$J53)/SUM(基础状态预期!$F53:$J53),AK39)</f>
        <v>148</v>
      </c>
      <c r="AL40" s="29">
        <f>IF(基础状态预期!K53="",0,求节点($C$68:$C$76,D$68:D$76,基础状态预期!K53))</f>
        <v>0</v>
      </c>
      <c r="AM40" s="29">
        <f>IF(基础状态预期!L53="",0,求节点($C$68:$C$76,E$68:E$76,基础状态预期!L53))</f>
        <v>0</v>
      </c>
      <c r="AN40" s="29">
        <f>IF(基础状态预期!M53="",0,求节点($C$68:$C$76,F$68:F$76,基础状态预期!M53)*求节点(武将升级!$H$52:$H$54,武将升级!$J$52:$J$54,基础状态预期!W53))</f>
        <v>0</v>
      </c>
      <c r="AO40" s="29">
        <f>IF(基础状态预期!N53="",0,求节点($C$68:$C$76,G$68:G$76,基础状态预期!N53)*求节点(武将升级!$H$52:$H$54,武将升级!$J$52:$J$54,基础状态预期!X53))</f>
        <v>0</v>
      </c>
      <c r="AP40" s="29">
        <f>IF(基础状态预期!O53="",0,求节点($C$68:$C$76,H$68:H$76,基础状态预期!O53)*求节点(武将升级!$H$52:$H$54,武将升级!$J$52:$J$54,基础状态预期!Y53))</f>
        <v>1.1399999999999999</v>
      </c>
      <c r="AQ40" s="29">
        <f>MAX(SUMPRODUCT(AL40:AP40,基础状态预期!$F53:$J53)/SUM(基础状态预期!$F53:$J53),AQ39)</f>
        <v>1.1399999999999999</v>
      </c>
      <c r="AR40" s="29">
        <f>IF(基础状态预期!K53="",0,求节点($C$158:$C$166,D$158:D$166,基础状态预期!K53))</f>
        <v>0</v>
      </c>
      <c r="AS40" s="29">
        <f>IF(基础状态预期!L53="",0,求节点($C$158:$C$166,E$158:E$166,基础状态预期!L53))</f>
        <v>0</v>
      </c>
      <c r="AT40" s="29">
        <f>IF(基础状态预期!M53="",0,求节点($C$158:$C$166,F$158:F$166,基础状态预期!M53))</f>
        <v>0</v>
      </c>
      <c r="AU40" s="29">
        <f>IF(基础状态预期!N53="",0,求节点($C$158:$C$166,G$158:G$166,基础状态预期!N53))</f>
        <v>0</v>
      </c>
      <c r="AV40" s="29">
        <f>IF(基础状态预期!O53="",0,求节点($C$158:$C$166,H$158:H$166,基础状态预期!O53))</f>
        <v>0.8</v>
      </c>
      <c r="AW40" s="29">
        <f>MAX(SUMPRODUCT(AR40:AV40,基础状态预期!$F53:$J53)/SUM(基础状态预期!$F53:$J53),AW39)</f>
        <v>0.80000000000000016</v>
      </c>
      <c r="AX40" s="16"/>
      <c r="BJ40" s="29">
        <f t="shared" si="5"/>
        <v>153.02723536432757</v>
      </c>
      <c r="BK40" s="75">
        <f>武将数量星级阶位验证!AT43</f>
        <v>27950226.132630229</v>
      </c>
      <c r="BL40" s="75">
        <f>(AD40-AD39)*INDEX('[1]功能-付费相关'!$AQ$6:$AQ$165,BJ40,1)+BL39</f>
        <v>21249.513873596094</v>
      </c>
    </row>
    <row r="41" spans="2:69" x14ac:dyDescent="0.15">
      <c r="B41" s="170"/>
      <c r="C41" s="29">
        <v>5</v>
      </c>
      <c r="D41" s="14"/>
      <c r="E41" s="14"/>
      <c r="F41" s="14"/>
      <c r="G41" s="14">
        <v>10</v>
      </c>
      <c r="H41" s="14"/>
      <c r="I41" s="14"/>
      <c r="M41" s="72">
        <v>41</v>
      </c>
      <c r="N41" s="29">
        <f>基础状态预期!D54</f>
        <v>156.52008914974525</v>
      </c>
      <c r="O41" s="29">
        <f>IF(基础状态预期!F54="",0,求节点($C$104:$C$112,D$104:D$112,基础状态预期!K54))</f>
        <v>0</v>
      </c>
      <c r="P41" s="29">
        <f>IF(基础状态预期!G54="",0,求节点($C$104:$C$112,E$104:E$112,基础状态预期!L54))</f>
        <v>0</v>
      </c>
      <c r="Q41" s="29">
        <f>IF(基础状态预期!H54="",0,求节点($C$104:$C$112,F$104:F$112,基础状态预期!M54))</f>
        <v>0</v>
      </c>
      <c r="R41" s="29">
        <f>IF(基础状态预期!I54="",0,求节点($C$104:$C$112,G$104:G$112,基础状态预期!N54))</f>
        <v>0</v>
      </c>
      <c r="S41" s="29">
        <f>IF(基础状态预期!J54="",0,求节点($C$104:$C$112,H$104:H$112,基础状态预期!O54))</f>
        <v>18</v>
      </c>
      <c r="T41" s="29">
        <f>IF(基础状态预期!F54="",0,求节点($C$114:$C$122,D$114:D$122,基础状态预期!K54)*基础状态预期!F54+求节点($C$124:$C$132,D$124:D$132,基础状态预期!$O54)*基础状态预期!$J54)</f>
        <v>0</v>
      </c>
      <c r="U41" s="29">
        <f>IF(基础状态预期!G54="",0,求节点($C$114:$C$122,E$114:E$122,基础状态预期!L54)*基础状态预期!G54+求节点($C$124:$C$132,E$124:E$132,基础状态预期!$O54)*基础状态预期!$J54)</f>
        <v>0</v>
      </c>
      <c r="V41" s="29">
        <f>IF(基础状态预期!H54="",0,求节点($C$114:$C$122,F$114:F$122,基础状态预期!M54)*基础状态预期!H54+求节点($C$124:$C$132,F$124:F$132,基础状态预期!$O54)*基础状态预期!$J54)</f>
        <v>0</v>
      </c>
      <c r="W41" s="148">
        <f>IF(基础状态预期!I54="",0,求节点($C$114:$C$122,G$114:G$122,基础状态预期!N54)*基础状态预期!I54)+IF(基础状态预期!O54="",0,求节点($C$124:$C$132,G$124:G$132,基础状态预期!$O54)*基础状态预期!$J54)</f>
        <v>54</v>
      </c>
      <c r="X41" s="29">
        <f>IF(基础状态预期!J54="",0,求节点($C$114:$C$122,H$114:H$122,基础状态预期!O54)*基础状态预期!J54+求节点($C$124:$C$132,H$124:H$132,基础状态预期!$O54)*基础状态预期!$J54)</f>
        <v>0</v>
      </c>
      <c r="Y41" s="14">
        <f>IF(基础状态预期!K54="",0,求节点($C$92:$C$100,D$92:D$100,基础状态预期!K54))</f>
        <v>0</v>
      </c>
      <c r="Z41" s="14">
        <f>IF(基础状态预期!L54="",0,求节点($C$92:$C$100,E$92:E$100,基础状态预期!L54))</f>
        <v>0</v>
      </c>
      <c r="AA41" s="14">
        <f>IF(基础状态预期!M54="",0,求节点($C$92:$C$100,F$92:F$100,基础状态预期!M54))</f>
        <v>0</v>
      </c>
      <c r="AB41" s="14">
        <f>IF(基础状态预期!N54="",0,求节点($C$92:$C$100,G$92:G$100,基础状态预期!N54))</f>
        <v>0</v>
      </c>
      <c r="AC41" s="14">
        <f>IF(基础状态预期!O54="",0,求节点($C$92:$C$100,H$92:H$100,基础状态预期!O54))</f>
        <v>3825000</v>
      </c>
      <c r="AD41" s="29">
        <f>MAX(SUMPRODUCT(Y41:AC41,基础状态预期!F54:J54),AD40)</f>
        <v>22950000</v>
      </c>
      <c r="AF41" s="29" t="str">
        <f>IF(基础状态预期!K54="","",基础状态预期!K54*D$59+D$58)</f>
        <v/>
      </c>
      <c r="AG41" s="29" t="str">
        <f>IF(基础状态预期!L54="","",基础状态预期!L54*E$59+E$58)</f>
        <v/>
      </c>
      <c r="AH41" s="29" t="str">
        <f>IF(基础状态预期!M54="","",基础状态预期!M54*F$59+F$58)</f>
        <v/>
      </c>
      <c r="AI41" s="29" t="str">
        <f>IF(基础状态预期!N54="","",基础状态预期!N54*G$59+G$58)</f>
        <v/>
      </c>
      <c r="AJ41" s="29">
        <f>IF(基础状态预期!O54="","",基础状态预期!O54*H$59+H$58)</f>
        <v>148</v>
      </c>
      <c r="AK41" s="29">
        <f>MAX(SUMPRODUCT(AF41:AJ41,基础状态预期!$F54:$J54)/SUM(基础状态预期!$F54:$J54),AK40)</f>
        <v>148</v>
      </c>
      <c r="AL41" s="29">
        <f>IF(基础状态预期!K54="",0,求节点($C$68:$C$76,D$68:D$76,基础状态预期!K54))</f>
        <v>0</v>
      </c>
      <c r="AM41" s="29">
        <f>IF(基础状态预期!L54="",0,求节点($C$68:$C$76,E$68:E$76,基础状态预期!L54))</f>
        <v>0</v>
      </c>
      <c r="AN41" s="29">
        <f>IF(基础状态预期!M54="",0,求节点($C$68:$C$76,F$68:F$76,基础状态预期!M54)*求节点(武将升级!$H$52:$H$54,武将升级!$J$52:$J$54,基础状态预期!W54))</f>
        <v>0</v>
      </c>
      <c r="AO41" s="29">
        <f>IF(基础状态预期!N54="",0,求节点($C$68:$C$76,G$68:G$76,基础状态预期!N54)*求节点(武将升级!$H$52:$H$54,武将升级!$J$52:$J$54,基础状态预期!X54))</f>
        <v>0</v>
      </c>
      <c r="AP41" s="29">
        <f>IF(基础状态预期!O54="",0,求节点($C$68:$C$76,H$68:H$76,基础状态预期!O54)*求节点(武将升级!$H$52:$H$54,武将升级!$J$52:$J$54,基础状态预期!Y54))</f>
        <v>1.1399999999999999</v>
      </c>
      <c r="AQ41" s="29">
        <f>MAX(SUMPRODUCT(AL41:AP41,基础状态预期!$F54:$J54)/SUM(基础状态预期!$F54:$J54),AQ40)</f>
        <v>1.1399999999999999</v>
      </c>
      <c r="AR41" s="29">
        <f>IF(基础状态预期!K54="",0,求节点($C$158:$C$166,D$158:D$166,基础状态预期!K54))</f>
        <v>0</v>
      </c>
      <c r="AS41" s="29">
        <f>IF(基础状态预期!L54="",0,求节点($C$158:$C$166,E$158:E$166,基础状态预期!L54))</f>
        <v>0</v>
      </c>
      <c r="AT41" s="29">
        <f>IF(基础状态预期!M54="",0,求节点($C$158:$C$166,F$158:F$166,基础状态预期!M54))</f>
        <v>0</v>
      </c>
      <c r="AU41" s="29">
        <f>IF(基础状态预期!N54="",0,求节点($C$158:$C$166,G$158:G$166,基础状态预期!N54))</f>
        <v>0</v>
      </c>
      <c r="AV41" s="29">
        <f>IF(基础状态预期!O54="",0,求节点($C$158:$C$166,H$158:H$166,基础状态预期!O54))</f>
        <v>0.8</v>
      </c>
      <c r="AW41" s="29">
        <f>MAX(SUMPRODUCT(AR41:AV41,基础状态预期!$F54:$J54)/SUM(基础状态预期!$F54:$J54),AW40)</f>
        <v>0.80000000000000016</v>
      </c>
      <c r="AX41" s="16"/>
      <c r="BJ41" s="29">
        <f t="shared" si="5"/>
        <v>156.52008914974525</v>
      </c>
      <c r="BK41" s="75">
        <f>武将数量星级阶位验证!AT44</f>
        <v>34775317.882123791</v>
      </c>
      <c r="BL41" s="75">
        <f>(AD41-AD40)*INDEX('[1]功能-付费相关'!$AQ$6:$AQ$165,BJ41,1)+BL40</f>
        <v>21249.513873596094</v>
      </c>
    </row>
    <row r="42" spans="2:69" x14ac:dyDescent="0.15">
      <c r="B42" s="170"/>
      <c r="C42" s="29">
        <v>6</v>
      </c>
      <c r="D42" s="14"/>
      <c r="E42" s="14"/>
      <c r="F42" s="14"/>
      <c r="G42" s="14"/>
      <c r="H42" s="14"/>
      <c r="I42" s="14"/>
      <c r="M42" s="72">
        <v>42</v>
      </c>
      <c r="N42" s="29">
        <f>基础状态预期!D55</f>
        <v>159.99202506384199</v>
      </c>
      <c r="O42" s="29">
        <f>IF(基础状态预期!F55="",0,求节点($C$104:$C$112,D$104:D$112,基础状态预期!K55))</f>
        <v>0</v>
      </c>
      <c r="P42" s="29">
        <f>IF(基础状态预期!G55="",0,求节点($C$104:$C$112,E$104:E$112,基础状态预期!L55))</f>
        <v>0</v>
      </c>
      <c r="Q42" s="29">
        <f>IF(基础状态预期!H55="",0,求节点($C$104:$C$112,F$104:F$112,基础状态预期!M55))</f>
        <v>0</v>
      </c>
      <c r="R42" s="29">
        <f>IF(基础状态预期!I55="",0,求节点($C$104:$C$112,G$104:G$112,基础状态预期!N55))</f>
        <v>0</v>
      </c>
      <c r="S42" s="29">
        <f>IF(基础状态预期!J55="",0,求节点($C$104:$C$112,H$104:H$112,基础状态预期!O55))</f>
        <v>18</v>
      </c>
      <c r="T42" s="29">
        <f>IF(基础状态预期!F55="",0,求节点($C$114:$C$122,D$114:D$122,基础状态预期!K55)*基础状态预期!F55+求节点($C$124:$C$132,D$124:D$132,基础状态预期!$O55)*基础状态预期!$J55)</f>
        <v>0</v>
      </c>
      <c r="U42" s="29">
        <f>IF(基础状态预期!G55="",0,求节点($C$114:$C$122,E$114:E$122,基础状态预期!L55)*基础状态预期!G55+求节点($C$124:$C$132,E$124:E$132,基础状态预期!$O55)*基础状态预期!$J55)</f>
        <v>0</v>
      </c>
      <c r="V42" s="29">
        <f>IF(基础状态预期!H55="",0,求节点($C$114:$C$122,F$114:F$122,基础状态预期!M55)*基础状态预期!H55+求节点($C$124:$C$132,F$124:F$132,基础状态预期!$O55)*基础状态预期!$J55)</f>
        <v>0</v>
      </c>
      <c r="W42" s="148">
        <f>IF(基础状态预期!I55="",0,求节点($C$114:$C$122,G$114:G$122,基础状态预期!N55)*基础状态预期!I55)+IF(基础状态预期!O55="",0,求节点($C$124:$C$132,G$124:G$132,基础状态预期!$O55)*基础状态预期!$J55)</f>
        <v>54</v>
      </c>
      <c r="X42" s="29">
        <f>IF(基础状态预期!J55="",0,求节点($C$114:$C$122,H$114:H$122,基础状态预期!O55)*基础状态预期!J55+求节点($C$124:$C$132,H$124:H$132,基础状态预期!$O55)*基础状态预期!$J55)</f>
        <v>0</v>
      </c>
      <c r="Y42" s="14">
        <f>IF(基础状态预期!K55="",0,求节点($C$92:$C$100,D$92:D$100,基础状态预期!K55))</f>
        <v>0</v>
      </c>
      <c r="Z42" s="14">
        <f>IF(基础状态预期!L55="",0,求节点($C$92:$C$100,E$92:E$100,基础状态预期!L55))</f>
        <v>0</v>
      </c>
      <c r="AA42" s="14">
        <f>IF(基础状态预期!M55="",0,求节点($C$92:$C$100,F$92:F$100,基础状态预期!M55))</f>
        <v>0</v>
      </c>
      <c r="AB42" s="14">
        <f>IF(基础状态预期!N55="",0,求节点($C$92:$C$100,G$92:G$100,基础状态预期!N55))</f>
        <v>0</v>
      </c>
      <c r="AC42" s="14">
        <f>IF(基础状态预期!O55="",0,求节点($C$92:$C$100,H$92:H$100,基础状态预期!O55))</f>
        <v>3825000</v>
      </c>
      <c r="AD42" s="29">
        <f>MAX(SUMPRODUCT(Y42:AC42,基础状态预期!F55:J55),AD41)</f>
        <v>22950000</v>
      </c>
      <c r="AF42" s="29" t="str">
        <f>IF(基础状态预期!K55="","",基础状态预期!K55*D$59+D$58)</f>
        <v/>
      </c>
      <c r="AG42" s="29" t="str">
        <f>IF(基础状态预期!L55="","",基础状态预期!L55*E$59+E$58)</f>
        <v/>
      </c>
      <c r="AH42" s="29" t="str">
        <f>IF(基础状态预期!M55="","",基础状态预期!M55*F$59+F$58)</f>
        <v/>
      </c>
      <c r="AI42" s="29" t="str">
        <f>IF(基础状态预期!N55="","",基础状态预期!N55*G$59+G$58)</f>
        <v/>
      </c>
      <c r="AJ42" s="29">
        <f>IF(基础状态预期!O55="","",基础状态预期!O55*H$59+H$58)</f>
        <v>148</v>
      </c>
      <c r="AK42" s="29">
        <f>MAX(SUMPRODUCT(AF42:AJ42,基础状态预期!$F55:$J55)/SUM(基础状态预期!$F55:$J55),AK41)</f>
        <v>148</v>
      </c>
      <c r="AL42" s="29">
        <f>IF(基础状态预期!K55="",0,求节点($C$68:$C$76,D$68:D$76,基础状态预期!K55))</f>
        <v>0</v>
      </c>
      <c r="AM42" s="29">
        <f>IF(基础状态预期!L55="",0,求节点($C$68:$C$76,E$68:E$76,基础状态预期!L55))</f>
        <v>0</v>
      </c>
      <c r="AN42" s="29">
        <f>IF(基础状态预期!M55="",0,求节点($C$68:$C$76,F$68:F$76,基础状态预期!M55)*求节点(武将升级!$H$52:$H$54,武将升级!$J$52:$J$54,基础状态预期!W55))</f>
        <v>0</v>
      </c>
      <c r="AO42" s="29">
        <f>IF(基础状态预期!N55="",0,求节点($C$68:$C$76,G$68:G$76,基础状态预期!N55)*求节点(武将升级!$H$52:$H$54,武将升级!$J$52:$J$54,基础状态预期!X55))</f>
        <v>0</v>
      </c>
      <c r="AP42" s="29">
        <f>IF(基础状态预期!O55="",0,求节点($C$68:$C$76,H$68:H$76,基础状态预期!O55)*求节点(武将升级!$H$52:$H$54,武将升级!$J$52:$J$54,基础状态预期!Y55))</f>
        <v>1.1399999999999999</v>
      </c>
      <c r="AQ42" s="29">
        <f>MAX(SUMPRODUCT(AL42:AP42,基础状态预期!$F55:$J55)/SUM(基础状态预期!$F55:$J55),AQ41)</f>
        <v>1.1399999999999999</v>
      </c>
      <c r="AR42" s="29">
        <f>IF(基础状态预期!K55="",0,求节点($C$158:$C$166,D$158:D$166,基础状态预期!K55))</f>
        <v>0</v>
      </c>
      <c r="AS42" s="29">
        <f>IF(基础状态预期!L55="",0,求节点($C$158:$C$166,E$158:E$166,基础状态预期!L55))</f>
        <v>0</v>
      </c>
      <c r="AT42" s="29">
        <f>IF(基础状态预期!M55="",0,求节点($C$158:$C$166,F$158:F$166,基础状态预期!M55))</f>
        <v>0</v>
      </c>
      <c r="AU42" s="29">
        <f>IF(基础状态预期!N55="",0,求节点($C$158:$C$166,G$158:G$166,基础状态预期!N55))</f>
        <v>0</v>
      </c>
      <c r="AV42" s="29">
        <f>IF(基础状态预期!O55="",0,求节点($C$158:$C$166,H$158:H$166,基础状态预期!O55))</f>
        <v>0.8</v>
      </c>
      <c r="AW42" s="29">
        <f>MAX(SUMPRODUCT(AR42:AV42,基础状态预期!$F55:$J55)/SUM(基础状态预期!$F55:$J55),AW41)</f>
        <v>0.80000000000000016</v>
      </c>
      <c r="AX42" s="16"/>
      <c r="BJ42" s="29">
        <f t="shared" si="5"/>
        <v>159.99202506384199</v>
      </c>
      <c r="BK42" s="75">
        <f>武将数量星级阶位验证!AT45</f>
        <v>43139517.750770614</v>
      </c>
      <c r="BL42" s="75">
        <f>(AD42-AD41)*INDEX('[1]功能-付费相关'!$AQ$6:$AQ$165,BJ42,1)+BL41</f>
        <v>21249.513873596094</v>
      </c>
    </row>
    <row r="43" spans="2:69" x14ac:dyDescent="0.15">
      <c r="B43" s="170"/>
      <c r="C43" s="29">
        <v>7</v>
      </c>
      <c r="D43" s="14"/>
      <c r="E43" s="14"/>
      <c r="F43" s="14"/>
      <c r="G43" s="14">
        <v>20</v>
      </c>
      <c r="H43" s="14"/>
      <c r="I43" s="14"/>
      <c r="M43" s="72">
        <v>43</v>
      </c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AX43" s="16"/>
      <c r="BA43" s="17"/>
      <c r="BB43" s="17"/>
      <c r="BJ43" s="17"/>
      <c r="BN43" s="17"/>
      <c r="BO43" s="17"/>
    </row>
    <row r="44" spans="2:69" x14ac:dyDescent="0.15">
      <c r="B44" s="171"/>
      <c r="C44" s="29">
        <v>8</v>
      </c>
      <c r="D44" s="14"/>
      <c r="E44" s="14"/>
      <c r="F44" s="14"/>
      <c r="G44" s="14"/>
      <c r="H44" s="14"/>
      <c r="I44" s="14"/>
      <c r="M44" s="72">
        <v>44</v>
      </c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BA44" s="17"/>
      <c r="BB44" s="17"/>
      <c r="BJ44" s="17"/>
      <c r="BN44" s="17"/>
      <c r="BO44" s="17"/>
    </row>
    <row r="45" spans="2:69" x14ac:dyDescent="0.15">
      <c r="B45" s="169" t="s">
        <v>189</v>
      </c>
      <c r="C45" s="14" t="s">
        <v>175</v>
      </c>
      <c r="D45" s="29" t="s">
        <v>3</v>
      </c>
      <c r="E45" s="29" t="s">
        <v>1</v>
      </c>
      <c r="F45" s="29" t="s">
        <v>2</v>
      </c>
      <c r="G45" s="29" t="s">
        <v>0</v>
      </c>
      <c r="H45" s="14" t="s">
        <v>545</v>
      </c>
      <c r="I45" s="14" t="s">
        <v>30</v>
      </c>
      <c r="M45" s="72">
        <v>45</v>
      </c>
    </row>
    <row r="46" spans="2:69" x14ac:dyDescent="0.15">
      <c r="B46" s="170"/>
      <c r="C46" s="14">
        <v>0</v>
      </c>
      <c r="D46" s="29">
        <v>0</v>
      </c>
      <c r="E46" s="29">
        <v>0</v>
      </c>
      <c r="F46" s="29">
        <v>0</v>
      </c>
      <c r="G46" s="29">
        <v>0</v>
      </c>
      <c r="H46" s="29">
        <v>0</v>
      </c>
      <c r="I46" s="29">
        <v>0</v>
      </c>
      <c r="M46" s="72">
        <v>1</v>
      </c>
    </row>
    <row r="47" spans="2:69" x14ac:dyDescent="0.15">
      <c r="B47" s="170"/>
      <c r="C47" s="14">
        <v>1</v>
      </c>
      <c r="D47" s="29">
        <v>1000</v>
      </c>
      <c r="E47" s="29">
        <v>2000</v>
      </c>
      <c r="F47" s="29">
        <v>5000</v>
      </c>
      <c r="G47" s="29">
        <v>10000</v>
      </c>
      <c r="H47" s="29">
        <v>15000</v>
      </c>
      <c r="I47" s="29">
        <v>50000</v>
      </c>
      <c r="M47" s="72">
        <v>2</v>
      </c>
      <c r="N47" s="14" t="s">
        <v>182</v>
      </c>
      <c r="O47" s="161" t="s">
        <v>201</v>
      </c>
      <c r="P47" s="162"/>
      <c r="Q47" s="162"/>
      <c r="R47" s="162"/>
      <c r="S47" s="163"/>
      <c r="T47" s="161" t="s">
        <v>544</v>
      </c>
      <c r="U47" s="162"/>
      <c r="V47" s="162"/>
      <c r="W47" s="162"/>
      <c r="X47" s="162"/>
      <c r="Y47" s="160" t="s">
        <v>411</v>
      </c>
      <c r="Z47" s="160"/>
      <c r="AA47" s="160"/>
      <c r="AB47" s="160"/>
      <c r="AC47" s="160"/>
      <c r="AD47" s="160"/>
      <c r="AF47" s="161" t="s">
        <v>152</v>
      </c>
      <c r="AG47" s="162"/>
      <c r="AH47" s="162"/>
      <c r="AI47" s="162"/>
      <c r="AJ47" s="162"/>
      <c r="AK47" s="163"/>
      <c r="AL47" s="161" t="s">
        <v>197</v>
      </c>
      <c r="AM47" s="162"/>
      <c r="AN47" s="162"/>
      <c r="AO47" s="162"/>
      <c r="AP47" s="162"/>
      <c r="AQ47" s="163"/>
      <c r="AR47" s="161" t="s">
        <v>732</v>
      </c>
      <c r="AS47" s="162"/>
      <c r="AT47" s="162"/>
      <c r="AU47" s="162"/>
      <c r="AV47" s="162"/>
      <c r="AW47" s="163"/>
      <c r="BA47" s="29" t="s">
        <v>97</v>
      </c>
      <c r="BB47" s="14" t="s">
        <v>292</v>
      </c>
      <c r="BC47" s="14"/>
      <c r="BD47" s="160" t="s">
        <v>342</v>
      </c>
      <c r="BE47" s="160"/>
      <c r="BF47" s="160"/>
      <c r="BJ47" s="14" t="s">
        <v>76</v>
      </c>
      <c r="BK47" s="164" t="s">
        <v>306</v>
      </c>
      <c r="BL47" s="164"/>
      <c r="BN47" s="29" t="s">
        <v>97</v>
      </c>
      <c r="BO47" s="53" t="s">
        <v>366</v>
      </c>
      <c r="BP47" s="54"/>
    </row>
    <row r="48" spans="2:69" x14ac:dyDescent="0.15">
      <c r="B48" s="170"/>
      <c r="C48" s="14">
        <v>2</v>
      </c>
      <c r="D48" s="29">
        <f t="shared" ref="D48:F48" si="15">ROUND(D47*2,-3)</f>
        <v>2000</v>
      </c>
      <c r="E48" s="29">
        <f t="shared" si="15"/>
        <v>4000</v>
      </c>
      <c r="F48" s="29">
        <f t="shared" si="15"/>
        <v>10000</v>
      </c>
      <c r="G48" s="29">
        <f>ROUND(G47*2,-3)</f>
        <v>20000</v>
      </c>
      <c r="H48" s="29">
        <f>ROUND(H47*2,-3)</f>
        <v>30000</v>
      </c>
      <c r="I48" s="29">
        <f>ROUND(I47*2,-3)</f>
        <v>100000</v>
      </c>
      <c r="M48" s="72">
        <v>3</v>
      </c>
      <c r="N48" s="73" t="s">
        <v>478</v>
      </c>
      <c r="O48" s="19" t="s">
        <v>3</v>
      </c>
      <c r="P48" s="19" t="s">
        <v>1</v>
      </c>
      <c r="Q48" s="19" t="s">
        <v>2</v>
      </c>
      <c r="R48" s="19" t="s">
        <v>0</v>
      </c>
      <c r="S48" s="19" t="s">
        <v>545</v>
      </c>
      <c r="T48" s="19" t="s">
        <v>3</v>
      </c>
      <c r="U48" s="19" t="s">
        <v>1</v>
      </c>
      <c r="V48" s="19" t="s">
        <v>2</v>
      </c>
      <c r="W48" s="19" t="s">
        <v>0</v>
      </c>
      <c r="X48" s="19" t="s">
        <v>545</v>
      </c>
      <c r="Y48" s="29" t="s">
        <v>3</v>
      </c>
      <c r="Z48" s="29" t="s">
        <v>1</v>
      </c>
      <c r="AA48" s="29" t="s">
        <v>2</v>
      </c>
      <c r="AB48" s="29" t="s">
        <v>0</v>
      </c>
      <c r="AC48" s="29" t="s">
        <v>545</v>
      </c>
      <c r="AD48" s="29" t="s">
        <v>203</v>
      </c>
      <c r="AF48" s="29" t="s">
        <v>3</v>
      </c>
      <c r="AG48" s="29" t="s">
        <v>1</v>
      </c>
      <c r="AH48" s="29" t="s">
        <v>2</v>
      </c>
      <c r="AI48" s="29" t="s">
        <v>0</v>
      </c>
      <c r="AJ48" s="29" t="s">
        <v>545</v>
      </c>
      <c r="AK48" s="22" t="s">
        <v>206</v>
      </c>
      <c r="AL48" s="29" t="s">
        <v>3</v>
      </c>
      <c r="AM48" s="29" t="s">
        <v>1</v>
      </c>
      <c r="AN48" s="29" t="s">
        <v>2</v>
      </c>
      <c r="AO48" s="29" t="s">
        <v>0</v>
      </c>
      <c r="AP48" s="29" t="s">
        <v>545</v>
      </c>
      <c r="AQ48" s="29" t="s">
        <v>298</v>
      </c>
      <c r="AR48" s="29" t="s">
        <v>3</v>
      </c>
      <c r="AS48" s="29" t="s">
        <v>1</v>
      </c>
      <c r="AT48" s="29" t="s">
        <v>2</v>
      </c>
      <c r="AU48" s="29" t="s">
        <v>0</v>
      </c>
      <c r="AV48" s="29" t="s">
        <v>545</v>
      </c>
      <c r="AW48" s="29" t="s">
        <v>228</v>
      </c>
      <c r="BA48" s="73" t="s">
        <v>478</v>
      </c>
      <c r="BB48" s="29" t="s">
        <v>287</v>
      </c>
      <c r="BC48" s="29" t="s">
        <v>302</v>
      </c>
      <c r="BD48" s="29" t="s">
        <v>287</v>
      </c>
      <c r="BE48" s="29" t="s">
        <v>303</v>
      </c>
      <c r="BF48" s="75" t="s">
        <v>343</v>
      </c>
      <c r="BJ48" s="73" t="s">
        <v>478</v>
      </c>
      <c r="BK48" s="29" t="s">
        <v>304</v>
      </c>
      <c r="BL48" s="29" t="s">
        <v>335</v>
      </c>
      <c r="BN48" s="73" t="s">
        <v>478</v>
      </c>
      <c r="BO48" s="29" t="s">
        <v>304</v>
      </c>
      <c r="BP48" s="29" t="s">
        <v>305</v>
      </c>
      <c r="BQ48" s="29" t="s">
        <v>274</v>
      </c>
    </row>
    <row r="49" spans="2:90" ht="11.25" customHeight="1" x14ac:dyDescent="0.15">
      <c r="B49" s="170"/>
      <c r="C49" s="14">
        <v>3</v>
      </c>
      <c r="D49" s="29">
        <f t="shared" ref="D49:H49" si="16">ROUND(D48*2,-3)</f>
        <v>4000</v>
      </c>
      <c r="E49" s="29">
        <f t="shared" si="16"/>
        <v>8000</v>
      </c>
      <c r="F49" s="29">
        <f t="shared" si="16"/>
        <v>20000</v>
      </c>
      <c r="G49" s="29">
        <f t="shared" si="16"/>
        <v>40000</v>
      </c>
      <c r="H49" s="29">
        <f t="shared" si="16"/>
        <v>60000</v>
      </c>
      <c r="I49" s="29">
        <f t="shared" ref="I49" si="17">ROUND(I48*2,-3)</f>
        <v>200000</v>
      </c>
      <c r="M49" s="72">
        <v>4</v>
      </c>
      <c r="N49" s="29">
        <f>基础状态预期!D62</f>
        <v>9.9592453074578113</v>
      </c>
      <c r="O49" s="29">
        <f>IF(基础状态预期!F62="",0,求节点($C$104:$C$112,D$104:D$112,基础状态预期!K62))</f>
        <v>0</v>
      </c>
      <c r="P49" s="29">
        <f>IF(基础状态预期!G62="",0,求节点($C$104:$C$112,E$104:E$112,基础状态预期!L62))</f>
        <v>0</v>
      </c>
      <c r="Q49" s="29">
        <f>IF(基础状态预期!H62="",0,求节点($C$104:$C$112,F$104:F$112,基础状态预期!M62))</f>
        <v>1.5401204663266532</v>
      </c>
      <c r="R49" s="29">
        <f>IF(基础状态预期!I62="",0,求节点($C$104:$C$112,G$104:G$112,基础状态预期!N62))</f>
        <v>1</v>
      </c>
      <c r="S49" s="29">
        <f>IF(基础状态预期!J62="",0,求节点($C$104:$C$112,H$104:H$112,基础状态预期!O62))</f>
        <v>0</v>
      </c>
      <c r="T49" s="29">
        <f>IF(基础状态预期!F62="",0,求节点($C$114:$C$122,D$114:D$122,基础状态预期!K62)*基础状态预期!F62+求节点($C$124:$C$132,D$124:D$132,基础状态预期!$O62)*基础状态预期!$J62)</f>
        <v>0</v>
      </c>
      <c r="U49" s="29">
        <f>IF(基础状态预期!G62="",0,求节点($C$114:$C$122,E$114:E$122,基础状态预期!L62)*基础状态预期!G62+求节点($C$124:$C$132,E$124:E$132,基础状态预期!$O62)*基础状态预期!$J62)</f>
        <v>0</v>
      </c>
      <c r="V49" s="29">
        <f>IF(基础状态预期!H62="",0,求节点($C$114:$C$122,F$114:F$122,基础状态预期!M62)*基础状态预期!H62+求节点($C$124:$C$132,F$124:F$132,基础状态预期!$O62)*基础状态预期!$J62)</f>
        <v>0</v>
      </c>
      <c r="W49" s="148">
        <f>IF(基础状态预期!I62="",0,求节点($C$114:$C$122,G$114:G$122,基础状态预期!N62)*基础状态预期!I62)+IF(基础状态预期!O62="",0,求节点($C$124:$C$132,G$124:G$132,基础状态预期!$O62)*基础状态预期!$J62)</f>
        <v>0</v>
      </c>
      <c r="X49" s="29">
        <f>IF(基础状态预期!J62="",0,求节点($C$114:$C$122,H$114:H$122,基础状态预期!O62)*基础状态预期!J62+求节点($C$124:$C$132,H$124:H$132,基础状态预期!$O62)*基础状态预期!$J62)</f>
        <v>0</v>
      </c>
      <c r="Y49" s="14">
        <f>IF(基础状态预期!K62="",0,求节点($C$92:$C$100,D$92:D$100,基础状态预期!K62))</f>
        <v>0</v>
      </c>
      <c r="Z49" s="14">
        <f>IF(基础状态预期!L62="",0,求节点($C$92:$C$100,E$92:E$100,基础状态预期!L62))</f>
        <v>0</v>
      </c>
      <c r="AA49" s="14">
        <f>IF(基础状态预期!M62="",0,求节点($C$92:$C$100,F$92:F$100,基础状态预期!M62))</f>
        <v>2700.6023316332662</v>
      </c>
      <c r="AB49" s="14">
        <f>IF(基础状态预期!N62="",0,求节点($C$92:$C$100,G$92:G$100,基础状态预期!N62))</f>
        <v>0</v>
      </c>
      <c r="AC49" s="14">
        <f>IF(基础状态预期!O62="",0,求节点($C$92:$C$100,H$92:H$100,基础状态预期!O62))</f>
        <v>0</v>
      </c>
      <c r="AD49" s="29">
        <f>MAX(SUMPRODUCT(Y49:AC49,基础状态预期!F62:J62),AD48)</f>
        <v>5401.2046632665324</v>
      </c>
      <c r="AF49" s="29" t="str">
        <f>IF(基础状态预期!K62="","",基础状态预期!K62*D$59+D$58)</f>
        <v/>
      </c>
      <c r="AG49" s="29" t="str">
        <f>IF(基础状态预期!L62="","",基础状态预期!L62*E$59+E$58)</f>
        <v/>
      </c>
      <c r="AH49" s="29">
        <f>IF(基础状态预期!M62="","",基础状态预期!M62*F$59+F$58)</f>
        <v>72.700602331633263</v>
      </c>
      <c r="AI49" s="29">
        <f>IF(基础状态预期!N62="","",基础状态预期!N62*G$59+G$58)</f>
        <v>85</v>
      </c>
      <c r="AJ49" s="29" t="str">
        <f>IF(基础状态预期!O62="","",基础状态预期!O62*H$59+H$58)</f>
        <v/>
      </c>
      <c r="AK49" s="29">
        <f>MAX(SUMPRODUCT(AF49:AJ49,基础状态预期!$F62:$J62)/SUM(基础状态预期!$F62:$J62),AK48)</f>
        <v>80.900200777211083</v>
      </c>
      <c r="AL49" s="29">
        <f>IF(基础状态预期!K62="",0,求节点($C$68:$C$76,D$68:D$76,基础状态预期!K62))</f>
        <v>0</v>
      </c>
      <c r="AM49" s="29">
        <f>IF(基础状态预期!L62="",0,求节点($C$68:$C$76,E$68:E$76,基础状态预期!L62))</f>
        <v>0</v>
      </c>
      <c r="AN49" s="29">
        <f>IF(基础状态预期!M62="",0,求节点($C$68:$C$76,F$68:F$76,基础状态预期!M62)*求节点(武将升级!$H$52:$H$54,武将升级!$J$52:$J$54,基础状态预期!W62))</f>
        <v>0.10566581638256846</v>
      </c>
      <c r="AO49" s="29">
        <f>IF(基础状态预期!N62="",0,求节点($C$68:$C$76,G$68:G$76,基础状态预期!N62)*求节点(武将升级!$H$52:$H$54,武将升级!$J$52:$J$54,基础状态预期!X62))</f>
        <v>0.17970656621369624</v>
      </c>
      <c r="AP49" s="29">
        <f>IF(基础状态预期!O62="",0,求节点($C$68:$C$76,H$68:H$76,基础状态预期!O62)*求节点(武将升级!$H$52:$H$54,武将升级!$J$52:$J$54,基础状态预期!Y62))</f>
        <v>0</v>
      </c>
      <c r="AQ49" s="29">
        <f>MAX(SUMPRODUCT(AL49:AP49,基础状态预期!$F62:$J62)/SUM(基础状态预期!$F62:$J62),AQ48)</f>
        <v>0.15502631626998697</v>
      </c>
      <c r="AR49" s="29">
        <f>IF(基础状态预期!K62="",0,求节点($C$158:$C$166,D$158:D$166,基础状态预期!K62))</f>
        <v>0</v>
      </c>
      <c r="AS49" s="29">
        <f>IF(基础状态预期!L62="",0,求节点($C$158:$C$166,E$158:E$166,基础状态预期!L62))</f>
        <v>0</v>
      </c>
      <c r="AT49" s="29">
        <f>IF(基础状态预期!M62="",0,求节点($C$158:$C$166,F$158:F$166,基础状态预期!M62))</f>
        <v>2.160481865306613E-2</v>
      </c>
      <c r="AU49" s="29">
        <f>IF(基础状态预期!N62="",0,求节点($C$158:$C$166,G$158:G$166,基础状态预期!N62))</f>
        <v>0</v>
      </c>
      <c r="AV49" s="29">
        <f>IF(基础状态预期!O62="",0,求节点($C$158:$C$166,H$158:H$166,基础状态预期!O62))</f>
        <v>0</v>
      </c>
      <c r="AW49" s="29">
        <f>MAX(SUMPRODUCT(AR49:AV49,基础状态预期!$F62:$J62)/SUM(基础状态预期!$F62:$J62),AW48)</f>
        <v>7.2016062176887101E-3</v>
      </c>
      <c r="BA49" s="29">
        <v>10</v>
      </c>
      <c r="BB49" s="29">
        <f t="shared" ref="BB49:BB58" si="18">求节点($N$49:$N$87,$AK$49:$AK$87,$BA49)</f>
        <v>80.917237202046564</v>
      </c>
      <c r="BC49" s="29">
        <f t="shared" ref="BC49:BC58" si="19">求节点($N$4:$N$42,$AQ$49:$AQ$87,$BA49)</f>
        <v>0.15502631626998697</v>
      </c>
      <c r="BD49" s="41">
        <f>BB49*(INDEX([2]小r将兵属性验证!$V$7:$V$166,$BA49,1)+INDEX([2]小r将兵属性验证!$AP$7:$AP$166,$BA49,1))</f>
        <v>26031963.239656523</v>
      </c>
      <c r="BE49" s="41" t="e">
        <f>BC49*(INDEX([2]小r将兵属性验证!$AC$7:$AC$166,$BA49,1)*[2]战法技能效用!$AB$4+INDEX([2]小r将兵属性验证!$AX$7:$AX$166,$BA49,1)*[2]战法技能效用!$AC$4)</f>
        <v>#VALUE!</v>
      </c>
      <c r="BF49" s="75" t="e">
        <f t="shared" ref="BF49:BF58" si="20">SUM(BD49:BE49)</f>
        <v>#VALUE!</v>
      </c>
      <c r="BJ49" s="29">
        <f>$N49</f>
        <v>9.9592453074578113</v>
      </c>
      <c r="BK49" s="75">
        <f>武将数量星级阶位验证!AT52</f>
        <v>12713.584196939879</v>
      </c>
      <c r="BL49" s="76">
        <f>AD49*INDEX('[1]功能-付费相关'!$AR$6:$AR$165,BJ49,1)</f>
        <v>13.77858332465952</v>
      </c>
      <c r="BN49" s="29">
        <v>10</v>
      </c>
      <c r="BO49" s="29">
        <f t="shared" ref="BO49:BO58" si="21">求节点($BJ$49:$BJ$87,BK$49:BK$87,$BN49)</f>
        <v>12768.606254718341</v>
      </c>
      <c r="BP49" s="29">
        <f t="shared" ref="BP49:BP58" si="22">求节点($BJ$49:$BJ$87,BL$49:BL$87,$BN49)</f>
        <v>13.77858332465952</v>
      </c>
      <c r="BQ49" s="29">
        <f>SUM(BO49:BP49)</f>
        <v>12782.384838043001</v>
      </c>
    </row>
    <row r="50" spans="2:90" x14ac:dyDescent="0.15">
      <c r="B50" s="170"/>
      <c r="C50" s="14">
        <v>4</v>
      </c>
      <c r="D50" s="29">
        <f t="shared" ref="D50:H50" si="23">ROUND(D49*2,-3)</f>
        <v>8000</v>
      </c>
      <c r="E50" s="29">
        <f t="shared" si="23"/>
        <v>16000</v>
      </c>
      <c r="F50" s="29">
        <f t="shared" si="23"/>
        <v>40000</v>
      </c>
      <c r="G50" s="29">
        <f t="shared" si="23"/>
        <v>80000</v>
      </c>
      <c r="H50" s="29">
        <f t="shared" si="23"/>
        <v>120000</v>
      </c>
      <c r="I50" s="29">
        <f t="shared" ref="I50" si="24">ROUND(I49*2,-3)</f>
        <v>400000</v>
      </c>
      <c r="M50" s="72">
        <v>5</v>
      </c>
      <c r="N50" s="29">
        <f>基础状态预期!D63</f>
        <v>19.766822802328868</v>
      </c>
      <c r="O50" s="29">
        <f>IF(基础状态预期!F63="",0,求节点($C$104:$C$112,D$104:D$112,基础状态预期!K63))</f>
        <v>0</v>
      </c>
      <c r="P50" s="29">
        <f>IF(基础状态预期!G63="",0,求节点($C$104:$C$112,E$104:E$112,基础状态预期!L63))</f>
        <v>0</v>
      </c>
      <c r="Q50" s="29">
        <f>IF(基础状态预期!H63="",0,求节点($C$104:$C$112,F$104:F$112,基础状态预期!M63))</f>
        <v>0</v>
      </c>
      <c r="R50" s="29">
        <f>IF(基础状态预期!I63="",0,求节点($C$104:$C$112,G$104:G$112,基础状态预期!N63))</f>
        <v>1</v>
      </c>
      <c r="S50" s="29">
        <f>IF(基础状态预期!J63="",0,求节点($C$104:$C$112,H$104:H$112,基础状态预期!O63))</f>
        <v>0</v>
      </c>
      <c r="T50" s="29">
        <f>IF(基础状态预期!F63="",0,求节点($C$114:$C$122,D$114:D$122,基础状态预期!K63)*基础状态预期!F63+求节点($C$124:$C$132,D$124:D$132,基础状态预期!$O63)*基础状态预期!$J63)</f>
        <v>0</v>
      </c>
      <c r="U50" s="29">
        <f>IF(基础状态预期!G63="",0,求节点($C$114:$C$122,E$114:E$122,基础状态预期!L63)*基础状态预期!G63+求节点($C$124:$C$132,E$124:E$132,基础状态预期!$O63)*基础状态预期!$J63)</f>
        <v>0</v>
      </c>
      <c r="V50" s="29">
        <f>IF(基础状态预期!H63="",0,求节点($C$114:$C$122,F$114:F$122,基础状态预期!M63)*基础状态预期!H63+求节点($C$124:$C$132,F$124:F$132,基础状态预期!$O63)*基础状态预期!$J63)</f>
        <v>0</v>
      </c>
      <c r="W50" s="148">
        <f>IF(基础状态预期!I63="",0,求节点($C$114:$C$122,G$114:G$122,基础状态预期!N63)*基础状态预期!I63)+IF(基础状态预期!O63="",0,求节点($C$124:$C$132,G$124:G$132,基础状态预期!$O63)*基础状态预期!$J63)</f>
        <v>0</v>
      </c>
      <c r="X50" s="29">
        <f>IF(基础状态预期!J63="",0,求节点($C$114:$C$122,H$114:H$122,基础状态预期!O63)*基础状态预期!J63+求节点($C$124:$C$132,H$124:H$132,基础状态预期!$O63)*基础状态预期!$J63)</f>
        <v>0</v>
      </c>
      <c r="Y50" s="14">
        <f>IF(基础状态预期!K63="",0,求节点($C$92:$C$100,D$92:D$100,基础状态预期!K63))</f>
        <v>0</v>
      </c>
      <c r="Z50" s="14">
        <f>IF(基础状态预期!L63="",0,求节点($C$92:$C$100,E$92:E$100,基础状态预期!L63))</f>
        <v>0</v>
      </c>
      <c r="AA50" s="14">
        <f>IF(基础状态预期!M63="",0,求节点($C$92:$C$100,F$92:F$100,基础状态预期!M63))</f>
        <v>0</v>
      </c>
      <c r="AB50" s="14">
        <f>IF(基础状态预期!N63="",0,求节点($C$92:$C$100,G$92:G$100,基础状态预期!N63))</f>
        <v>0</v>
      </c>
      <c r="AC50" s="14">
        <f>IF(基础状态预期!O63="",0,求节点($C$92:$C$100,H$92:H$100,基础状态预期!O63))</f>
        <v>0</v>
      </c>
      <c r="AD50" s="29">
        <f>MAX(SUMPRODUCT(Y50:AC50,基础状态预期!F63:J63),AD49)</f>
        <v>5401.2046632665324</v>
      </c>
      <c r="AF50" s="29" t="str">
        <f>IF(基础状态预期!K63="","",基础状态预期!K63*D$59+D$58)</f>
        <v/>
      </c>
      <c r="AG50" s="29" t="str">
        <f>IF(基础状态预期!L63="","",基础状态预期!L63*E$59+E$58)</f>
        <v/>
      </c>
      <c r="AH50" s="29" t="str">
        <f>IF(基础状态预期!M63="","",基础状态预期!M63*F$59+F$58)</f>
        <v/>
      </c>
      <c r="AI50" s="29">
        <f>IF(基础状态预期!N63="","",基础状态预期!N63*G$59+G$58)</f>
        <v>85</v>
      </c>
      <c r="AJ50" s="29" t="str">
        <f>IF(基础状态预期!O63="","",基础状态预期!O63*H$59+H$58)</f>
        <v/>
      </c>
      <c r="AK50" s="29">
        <f>MAX(SUMPRODUCT(AF50:AJ50,基础状态预期!$F63:$J63)/SUM(基础状态预期!$F63:$J63),AK49)</f>
        <v>85</v>
      </c>
      <c r="AL50" s="29">
        <f>IF(基础状态预期!K63="",0,求节点($C$68:$C$76,D$68:D$76,基础状态预期!K63))</f>
        <v>0</v>
      </c>
      <c r="AM50" s="29">
        <f>IF(基础状态预期!L63="",0,求节点($C$68:$C$76,E$68:E$76,基础状态预期!L63))</f>
        <v>0</v>
      </c>
      <c r="AN50" s="29">
        <f>IF(基础状态预期!M63="",0,求节点($C$68:$C$76,F$68:F$76,基础状态预期!M63)*求节点(武将升级!$H$52:$H$54,武将升级!$J$52:$J$54,基础状态预期!W63))</f>
        <v>0</v>
      </c>
      <c r="AO50" s="29">
        <f>IF(基础状态预期!N63="",0,求节点($C$68:$C$76,G$68:G$76,基础状态预期!N63)*求节点(武将升级!$H$52:$H$54,武将升级!$J$52:$J$54,基础状态预期!X63))</f>
        <v>0.19758028104419195</v>
      </c>
      <c r="AP50" s="29">
        <f>IF(基础状态预期!O63="",0,求节点($C$68:$C$76,H$68:H$76,基础状态预期!O63)*求节点(武将升级!$H$52:$H$54,武将升级!$J$52:$J$54,基础状态预期!Y63))</f>
        <v>0</v>
      </c>
      <c r="AQ50" s="29">
        <f>MAX(SUMPRODUCT(AL50:AP50,基础状态预期!$F63:$J63)/SUM(基础状态预期!$F63:$J63),AQ49)</f>
        <v>0.19758028104419192</v>
      </c>
      <c r="AR50" s="29">
        <f>IF(基础状态预期!K63="",0,求节点($C$158:$C$166,D$158:D$166,基础状态预期!K63))</f>
        <v>0</v>
      </c>
      <c r="AS50" s="29">
        <f>IF(基础状态预期!L63="",0,求节点($C$158:$C$166,E$158:E$166,基础状态预期!L63))</f>
        <v>0</v>
      </c>
      <c r="AT50" s="29">
        <f>IF(基础状态预期!M63="",0,求节点($C$158:$C$166,F$158:F$166,基础状态预期!M63))</f>
        <v>0</v>
      </c>
      <c r="AU50" s="29">
        <f>IF(基础状态预期!N63="",0,求节点($C$158:$C$166,G$158:G$166,基础状态预期!N63))</f>
        <v>0</v>
      </c>
      <c r="AV50" s="29">
        <f>IF(基础状态预期!O63="",0,求节点($C$158:$C$166,H$158:H$166,基础状态预期!O63))</f>
        <v>0</v>
      </c>
      <c r="AW50" s="29">
        <f>MAX(SUMPRODUCT(AR50:AV50,基础状态预期!$F63:$J63)/SUM(基础状态预期!$F63:$J63),AW49)</f>
        <v>7.2016062176887101E-3</v>
      </c>
      <c r="BA50" s="29">
        <v>20</v>
      </c>
      <c r="BB50" s="29">
        <f t="shared" si="18"/>
        <v>85.024657959141877</v>
      </c>
      <c r="BC50" s="29">
        <f t="shared" si="19"/>
        <v>0.19758028104419192</v>
      </c>
      <c r="BD50" s="29">
        <f>(BB50-BB49)*(INDEX([2]小r将兵属性验证!$V$7:$V$166,$BA50,1)+INDEX([2]小r将兵属性验证!$AP$7:$AP$166,$BA50,1))+BD49</f>
        <v>30917996.907473557</v>
      </c>
      <c r="BE50" s="29" t="e">
        <f>(BC50-BC49)*(INDEX([2]小r将兵属性验证!$AC$7:$AC$166,$BA50,1)*[2]战法技能效用!$AB$4+INDEX([2]小r将兵属性验证!$AX$7:$AX$166,$BA50,1)*[2]战法技能效用!$AC$4)+BE49</f>
        <v>#VALUE!</v>
      </c>
      <c r="BF50" s="75" t="e">
        <f t="shared" si="20"/>
        <v>#VALUE!</v>
      </c>
      <c r="BJ50" s="29">
        <f t="shared" ref="BJ50:BJ87" si="25">$N50</f>
        <v>19.766822802328868</v>
      </c>
      <c r="BK50" s="75">
        <f>武将数量星级阶位验证!AT53</f>
        <v>25954.589389922679</v>
      </c>
      <c r="BL50" s="75">
        <f>(AD50-AD49)*INDEX('[1]功能-付费相关'!$AR$6:$AR$165,BJ50,1)+BL49</f>
        <v>13.77858332465952</v>
      </c>
      <c r="BN50" s="29">
        <v>20</v>
      </c>
      <c r="BO50" s="29">
        <f t="shared" si="21"/>
        <v>26449.910060062932</v>
      </c>
      <c r="BP50" s="29">
        <f t="shared" si="22"/>
        <v>14.03715137008431</v>
      </c>
      <c r="BQ50" s="29">
        <f t="shared" ref="BQ50:BQ58" si="26">SUM(BO50:BP50)</f>
        <v>26463.947211433016</v>
      </c>
    </row>
    <row r="51" spans="2:90" x14ac:dyDescent="0.15">
      <c r="B51" s="170"/>
      <c r="C51" s="14">
        <v>5</v>
      </c>
      <c r="D51" s="29">
        <f t="shared" ref="D51:H51" si="27">ROUND(D50*2,-3)</f>
        <v>16000</v>
      </c>
      <c r="E51" s="29">
        <f t="shared" si="27"/>
        <v>32000</v>
      </c>
      <c r="F51" s="29">
        <f t="shared" si="27"/>
        <v>80000</v>
      </c>
      <c r="G51" s="29">
        <f t="shared" si="27"/>
        <v>160000</v>
      </c>
      <c r="H51" s="29">
        <f t="shared" si="27"/>
        <v>240000</v>
      </c>
      <c r="I51" s="29">
        <f t="shared" ref="I51" si="28">ROUND(I50*2,-3)</f>
        <v>800000</v>
      </c>
      <c r="M51" s="72">
        <v>6</v>
      </c>
      <c r="N51" s="29">
        <f>基础状态预期!D64</f>
        <v>27.773265580596355</v>
      </c>
      <c r="O51" s="29">
        <f>IF(基础状态预期!F64="",0,求节点($C$104:$C$112,D$104:D$112,基础状态预期!K64))</f>
        <v>0</v>
      </c>
      <c r="P51" s="29">
        <f>IF(基础状态预期!G64="",0,求节点($C$104:$C$112,E$104:E$112,基础状态预期!L64))</f>
        <v>0</v>
      </c>
      <c r="Q51" s="29">
        <f>IF(基础状态预期!H64="",0,求节点($C$104:$C$112,F$104:F$112,基础状态预期!M64))</f>
        <v>0</v>
      </c>
      <c r="R51" s="29">
        <f>IF(基础状态预期!I64="",0,求节点($C$104:$C$112,G$104:G$112,基础状态预期!N64))</f>
        <v>1.1693326284645549</v>
      </c>
      <c r="S51" s="29">
        <f>IF(基础状态预期!J64="",0,求节点($C$104:$C$112,H$104:H$112,基础状态预期!O64))</f>
        <v>0</v>
      </c>
      <c r="T51" s="29">
        <f>IF(基础状态预期!F64="",0,求节点($C$114:$C$122,D$114:D$122,基础状态预期!K64)*基础状态预期!F64+求节点($C$124:$C$132,D$124:D$132,基础状态预期!$O64)*基础状态预期!$J64)</f>
        <v>0</v>
      </c>
      <c r="U51" s="29">
        <f>IF(基础状态预期!G64="",0,求节点($C$114:$C$122,E$114:E$122,基础状态预期!L64)*基础状态预期!G64+求节点($C$124:$C$132,E$124:E$132,基础状态预期!$O64)*基础状态预期!$J64)</f>
        <v>0</v>
      </c>
      <c r="V51" s="29">
        <f>IF(基础状态预期!H64="",0,求节点($C$114:$C$122,F$114:F$122,基础状态预期!M64)*基础状态预期!H64+求节点($C$124:$C$132,F$124:F$132,基础状态预期!$O64)*基础状态预期!$J64)</f>
        <v>0</v>
      </c>
      <c r="W51" s="148">
        <f>IF(基础状态预期!I64="",0,求节点($C$114:$C$122,G$114:G$122,基础状态预期!N64)*基础状态预期!I64)+IF(基础状态预期!O64="",0,求节点($C$124:$C$132,G$124:G$132,基础状态预期!$O64)*基础状态预期!$J64)</f>
        <v>0</v>
      </c>
      <c r="X51" s="29">
        <f>IF(基础状态预期!J64="",0,求节点($C$114:$C$122,H$114:H$122,基础状态预期!O64)*基础状态预期!J64+求节点($C$124:$C$132,H$124:H$132,基础状态预期!$O64)*基础状态预期!$J64)</f>
        <v>0</v>
      </c>
      <c r="Y51" s="14">
        <f>IF(基础状态预期!K64="",0,求节点($C$92:$C$100,D$92:D$100,基础状态预期!K64))</f>
        <v>0</v>
      </c>
      <c r="Z51" s="14">
        <f>IF(基础状态预期!L64="",0,求节点($C$92:$C$100,E$92:E$100,基础状态预期!L64))</f>
        <v>0</v>
      </c>
      <c r="AA51" s="14">
        <f>IF(基础状态预期!M64="",0,求节点($C$92:$C$100,F$92:F$100,基础状态预期!M64))</f>
        <v>0</v>
      </c>
      <c r="AB51" s="14">
        <f>IF(基础状态预期!N64="",0,求节点($C$92:$C$100,G$92:G$100,基础状态预期!N64))</f>
        <v>1693.3262846455489</v>
      </c>
      <c r="AC51" s="14">
        <f>IF(基础状态预期!O64="",0,求节点($C$92:$C$100,H$92:H$100,基础状态预期!O64))</f>
        <v>0</v>
      </c>
      <c r="AD51" s="29">
        <f>MAX(SUMPRODUCT(Y51:AC51,基础状态预期!F64:J64),AD50)</f>
        <v>10159.957707873293</v>
      </c>
      <c r="AF51" s="29" t="str">
        <f>IF(基础状态预期!K64="","",基础状态预期!K64*D$59+D$58)</f>
        <v/>
      </c>
      <c r="AG51" s="29" t="str">
        <f>IF(基础状态预期!L64="","",基础状态预期!L64*E$59+E$58)</f>
        <v/>
      </c>
      <c r="AH51" s="29" t="str">
        <f>IF(基础状态预期!M64="","",基础状态预期!M64*F$59+F$58)</f>
        <v/>
      </c>
      <c r="AI51" s="29">
        <f>IF(基础状态预期!N64="","",基础状态预期!N64*G$59+G$58)</f>
        <v>85.846663142322768</v>
      </c>
      <c r="AJ51" s="29" t="str">
        <f>IF(基础状态预期!O64="","",基础状态预期!O64*H$59+H$58)</f>
        <v/>
      </c>
      <c r="AK51" s="29">
        <f>MAX(SUMPRODUCT(AF51:AJ51,基础状态预期!$F64:$J64)/SUM(基础状态预期!$F64:$J64),AK50)</f>
        <v>85.846663142322768</v>
      </c>
      <c r="AL51" s="29">
        <f>IF(基础状态预期!K64="",0,求节点($C$68:$C$76,D$68:D$76,基础状态预期!K64))</f>
        <v>0</v>
      </c>
      <c r="AM51" s="29">
        <f>IF(基础状态预期!L64="",0,求节点($C$68:$C$76,E$68:E$76,基础状态预期!L64))</f>
        <v>0</v>
      </c>
      <c r="AN51" s="29">
        <f>IF(基础状态预期!M64="",0,求节点($C$68:$C$76,F$68:F$76,基础状态预期!M64)*求节点(武将升级!$H$52:$H$54,武将升级!$J$52:$J$54,基础状态预期!W64))</f>
        <v>0</v>
      </c>
      <c r="AO51" s="29">
        <f>IF(基础状态预期!N64="",0,求节点($C$68:$C$76,G$68:G$76,基础状态预期!N64)*求节点(武将升级!$H$52:$H$54,武将升级!$J$52:$J$54,基础状态预期!X64))</f>
        <v>0.22395759201924334</v>
      </c>
      <c r="AP51" s="29">
        <f>IF(基础状态预期!O64="",0,求节点($C$68:$C$76,H$68:H$76,基础状态预期!O64)*求节点(武将升级!$H$52:$H$54,武将升级!$J$52:$J$54,基础状态预期!Y64))</f>
        <v>0</v>
      </c>
      <c r="AQ51" s="29">
        <f>MAX(SUMPRODUCT(AL51:AP51,基础状态预期!$F64:$J64)/SUM(基础状态预期!$F64:$J64),AQ50)</f>
        <v>0.22395759201924334</v>
      </c>
      <c r="AR51" s="29">
        <f>IF(基础状态预期!K64="",0,求节点($C$158:$C$166,D$158:D$166,基础状态预期!K64))</f>
        <v>0</v>
      </c>
      <c r="AS51" s="29">
        <f>IF(基础状态预期!L64="",0,求节点($C$158:$C$166,E$158:E$166,基础状态预期!L64))</f>
        <v>0</v>
      </c>
      <c r="AT51" s="29">
        <f>IF(基础状态预期!M64="",0,求节点($C$158:$C$166,F$158:F$166,基础状态预期!M64))</f>
        <v>0</v>
      </c>
      <c r="AU51" s="29">
        <f>IF(基础状态预期!N64="",0,求节点($C$158:$C$166,G$158:G$166,基础状态预期!N64))</f>
        <v>1.1853283992518842E-2</v>
      </c>
      <c r="AV51" s="29">
        <f>IF(基础状态预期!O64="",0,求节点($C$158:$C$166,H$158:H$166,基础状态预期!O64))</f>
        <v>0</v>
      </c>
      <c r="AW51" s="29">
        <f>MAX(SUMPRODUCT(AR51:AV51,基础状态预期!$F64:$J64)/SUM(基础状态预期!$F64:$J64),AW50)</f>
        <v>1.1853283992518842E-2</v>
      </c>
      <c r="BA51" s="29">
        <v>30</v>
      </c>
      <c r="BB51" s="29">
        <f t="shared" si="18"/>
        <v>86.705843851643763</v>
      </c>
      <c r="BC51" s="29">
        <f t="shared" si="19"/>
        <v>0.23586681574743329</v>
      </c>
      <c r="BD51" s="29">
        <f>(BB51-BB50)*(INDEX([2]小r将兵属性验证!$V$7:$V$166,$BA51,1)+INDEX([2]小r将兵属性验证!$AP$7:$AP$166,$BA51,1))+BD50</f>
        <v>36264843.562828816</v>
      </c>
      <c r="BE51" s="29" t="e">
        <f>(BC51-BC50)*(INDEX([2]小r将兵属性验证!$AC$7:$AC$166,$BA51,1)*[2]战法技能效用!$AB$4+INDEX([2]小r将兵属性验证!$AX$7:$AX$166,$BA51,1)*[2]战法技能效用!$AC$4)+BE50</f>
        <v>#VALUE!</v>
      </c>
      <c r="BF51" s="75" t="e">
        <f t="shared" si="20"/>
        <v>#VALUE!</v>
      </c>
      <c r="BJ51" s="29">
        <f t="shared" si="25"/>
        <v>27.773265580596355</v>
      </c>
      <c r="BK51" s="75">
        <f>武将数量星级阶位验证!AT54</f>
        <v>42962.069718098923</v>
      </c>
      <c r="BL51" s="75">
        <f>(AD51-AD50)*INDEX('[1]功能-付费相关'!$AR$6:$AR$165,BJ51,1)+BL50</f>
        <v>22.656853930269147</v>
      </c>
      <c r="BN51" s="29">
        <v>30</v>
      </c>
      <c r="BO51" s="29">
        <f t="shared" si="21"/>
        <v>49147.73628664414</v>
      </c>
      <c r="BP51" s="29">
        <f t="shared" si="22"/>
        <v>40.072679119208097</v>
      </c>
      <c r="BQ51" s="29">
        <f t="shared" si="26"/>
        <v>49187.808965763346</v>
      </c>
    </row>
    <row r="52" spans="2:90" x14ac:dyDescent="0.15">
      <c r="B52" s="170"/>
      <c r="C52" s="14">
        <v>6</v>
      </c>
      <c r="D52" s="29">
        <f t="shared" ref="D52:H52" si="29">ROUND(D51*2,-3)</f>
        <v>32000</v>
      </c>
      <c r="E52" s="29">
        <f t="shared" si="29"/>
        <v>64000</v>
      </c>
      <c r="F52" s="29">
        <f t="shared" si="29"/>
        <v>160000</v>
      </c>
      <c r="G52" s="29">
        <f t="shared" si="29"/>
        <v>320000</v>
      </c>
      <c r="H52" s="29">
        <f t="shared" si="29"/>
        <v>480000</v>
      </c>
      <c r="I52" s="29">
        <f t="shared" ref="I52" si="30">ROUND(I51*2,-3)</f>
        <v>1600000</v>
      </c>
      <c r="M52" s="72">
        <v>7</v>
      </c>
      <c r="N52" s="29">
        <f>基础状态预期!D65</f>
        <v>34.250806171891597</v>
      </c>
      <c r="O52" s="29">
        <f>IF(基础状态预期!F65="",0,求节点($C$104:$C$112,D$104:D$112,基础状态预期!K65))</f>
        <v>0</v>
      </c>
      <c r="P52" s="29">
        <f>IF(基础状态预期!G65="",0,求节点($C$104:$C$112,E$104:E$112,基础状态预期!L65))</f>
        <v>0</v>
      </c>
      <c r="Q52" s="29">
        <f>IF(基础状态预期!H65="",0,求节点($C$104:$C$112,F$104:F$112,基础状态预期!M65))</f>
        <v>0</v>
      </c>
      <c r="R52" s="29">
        <f>IF(基础状态预期!I65="",0,求节点($C$104:$C$112,G$104:G$112,基础状态预期!N65))</f>
        <v>1.6692016628126238</v>
      </c>
      <c r="S52" s="29">
        <f>IF(基础状态预期!J65="",0,求节点($C$104:$C$112,H$104:H$112,基础状态预期!O65))</f>
        <v>0</v>
      </c>
      <c r="T52" s="29">
        <f>IF(基础状态预期!F65="",0,求节点($C$114:$C$122,D$114:D$122,基础状态预期!K65)*基础状态预期!F65+求节点($C$124:$C$132,D$124:D$132,基础状态预期!$O65)*基础状态预期!$J65)</f>
        <v>0</v>
      </c>
      <c r="U52" s="29">
        <f>IF(基础状态预期!G65="",0,求节点($C$114:$C$122,E$114:E$122,基础状态预期!L65)*基础状态预期!G65+求节点($C$124:$C$132,E$124:E$132,基础状态预期!$O65)*基础状态预期!$J65)</f>
        <v>0</v>
      </c>
      <c r="V52" s="29">
        <f>IF(基础状态预期!H65="",0,求节点($C$114:$C$122,F$114:F$122,基础状态预期!M65)*基础状态预期!H65+求节点($C$124:$C$132,F$124:F$132,基础状态预期!$O65)*基础状态预期!$J65)</f>
        <v>0</v>
      </c>
      <c r="W52" s="148">
        <f>IF(基础状态预期!I65="",0,求节点($C$114:$C$122,G$114:G$122,基础状态预期!N65)*基础状态预期!I65)+IF(基础状态预期!O65="",0,求节点($C$124:$C$132,G$124:G$132,基础状态预期!$O65)*基础状态预期!$J65)</f>
        <v>0</v>
      </c>
      <c r="X52" s="29">
        <f>IF(基础状态预期!J65="",0,求节点($C$114:$C$122,H$114:H$122,基础状态预期!O65)*基础状态预期!J65+求节点($C$124:$C$132,H$124:H$132,基础状态预期!$O65)*基础状态预期!$J65)</f>
        <v>0</v>
      </c>
      <c r="Y52" s="14">
        <f>IF(基础状态预期!K65="",0,求节点($C$92:$C$100,D$92:D$100,基础状态预期!K65))</f>
        <v>0</v>
      </c>
      <c r="Z52" s="14">
        <f>IF(基础状态预期!L65="",0,求节点($C$92:$C$100,E$92:E$100,基础状态预期!L65))</f>
        <v>0</v>
      </c>
      <c r="AA52" s="14">
        <f>IF(基础状态预期!M65="",0,求节点($C$92:$C$100,F$92:F$100,基础状态预期!M65))</f>
        <v>0</v>
      </c>
      <c r="AB52" s="14">
        <f>IF(基础状态预期!N65="",0,求节点($C$92:$C$100,G$92:G$100,基础状态预期!N65))</f>
        <v>6692.0166281262382</v>
      </c>
      <c r="AC52" s="14">
        <f>IF(基础状态预期!O65="",0,求节点($C$92:$C$100,H$92:H$100,基础状态预期!O65))</f>
        <v>0</v>
      </c>
      <c r="AD52" s="29">
        <f>MAX(SUMPRODUCT(Y52:AC52,基础状态预期!F65:J65),AD51)</f>
        <v>40152.099768757427</v>
      </c>
      <c r="AF52" s="29" t="str">
        <f>IF(基础状态预期!K65="","",基础状态预期!K65*D$59+D$58)</f>
        <v/>
      </c>
      <c r="AG52" s="29" t="str">
        <f>IF(基础状态预期!L65="","",基础状态预期!L65*E$59+E$58)</f>
        <v/>
      </c>
      <c r="AH52" s="29" t="str">
        <f>IF(基础状态预期!M65="","",基础状态预期!M65*F$59+F$58)</f>
        <v/>
      </c>
      <c r="AI52" s="29">
        <f>IF(基础状态预期!N65="","",基础状态预期!N65*G$59+G$58)</f>
        <v>88.346008314063113</v>
      </c>
      <c r="AJ52" s="29" t="str">
        <f>IF(基础状态预期!O65="","",基础状态预期!O65*H$59+H$58)</f>
        <v/>
      </c>
      <c r="AK52" s="29">
        <f>MAX(SUMPRODUCT(AF52:AJ52,基础状态预期!$F65:$J65)/SUM(基础状态预期!$F65:$J65),AK51)</f>
        <v>88.346008314063113</v>
      </c>
      <c r="AL52" s="29">
        <f>IF(基础状态预期!K65="",0,求节点($C$68:$C$76,D$68:D$76,基础状态预期!K65))</f>
        <v>0</v>
      </c>
      <c r="AM52" s="29">
        <f>IF(基础状态预期!L65="",0,求节点($C$68:$C$76,E$68:E$76,基础状态预期!L65))</f>
        <v>0</v>
      </c>
      <c r="AN52" s="29">
        <f>IF(基础状态预期!M65="",0,求节点($C$68:$C$76,F$68:F$76,基础状态预期!M65)*求节点(武将升级!$H$52:$H$54,武将升级!$J$52:$J$54,基础状态预期!W65))</f>
        <v>0</v>
      </c>
      <c r="AO52" s="29">
        <f>IF(基础状态预期!N65="",0,求节点($C$68:$C$76,G$68:G$76,基础状态预期!N65)*求节点(武将升级!$H$52:$H$54,武将升级!$J$52:$J$54,基础状态预期!X65))</f>
        <v>0.26418251972250895</v>
      </c>
      <c r="AP52" s="29">
        <f>IF(基础状态预期!O65="",0,求节点($C$68:$C$76,H$68:H$76,基础状态预期!O65)*求节点(武将升级!$H$52:$H$54,武将升级!$J$52:$J$54,基础状态预期!Y65))</f>
        <v>0</v>
      </c>
      <c r="AQ52" s="29">
        <f>MAX(SUMPRODUCT(AL52:AP52,基础状态预期!$F65:$J65)/SUM(基础状态预期!$F65:$J65),AQ51)</f>
        <v>0.26418251972250895</v>
      </c>
      <c r="AR52" s="29">
        <f>IF(基础状态预期!K65="",0,求节点($C$158:$C$166,D$158:D$166,基础状态预期!K65))</f>
        <v>0</v>
      </c>
      <c r="AS52" s="29">
        <f>IF(基础状态预期!L65="",0,求节点($C$158:$C$166,E$158:E$166,基础状态预期!L65))</f>
        <v>0</v>
      </c>
      <c r="AT52" s="29">
        <f>IF(基础状态预期!M65="",0,求节点($C$158:$C$166,F$158:F$166,基础状态预期!M65))</f>
        <v>0</v>
      </c>
      <c r="AU52" s="29">
        <f>IF(基础状态预期!N65="",0,求节点($C$158:$C$166,G$158:G$166,基础状态预期!N65))</f>
        <v>4.684411639688367E-2</v>
      </c>
      <c r="AV52" s="29">
        <f>IF(基础状态预期!O65="",0,求节点($C$158:$C$166,H$158:H$166,基础状态预期!O65))</f>
        <v>0</v>
      </c>
      <c r="AW52" s="29">
        <f>MAX(SUMPRODUCT(AR52:AV52,基础状态预期!$F65:$J65)/SUM(基础状态预期!$F65:$J65),AW51)</f>
        <v>4.6844116396883663E-2</v>
      </c>
      <c r="BA52" s="29">
        <v>40</v>
      </c>
      <c r="BB52" s="29">
        <f t="shared" si="18"/>
        <v>90.930130622082174</v>
      </c>
      <c r="BC52" s="29">
        <f t="shared" si="19"/>
        <v>0.2985168707456568</v>
      </c>
      <c r="BD52" s="29">
        <f>(BB52-BB51)*(INDEX([2]小r将兵属性验证!$V$7:$V$166,$BA52,1)+INDEX([2]小r将兵属性验证!$AP$7:$AP$166,$BA52,1))+BD51</f>
        <v>74694119.547338009</v>
      </c>
      <c r="BE52" s="29" t="e">
        <f>(BC52-BC51)*(INDEX([2]小r将兵属性验证!$AC$7:$AC$166,$BA52,1)*[2]战法技能效用!$AB$4+INDEX([2]小r将兵属性验证!$AX$7:$AX$166,$BA52,1)*[2]战法技能效用!$AC$4)+BE51</f>
        <v>#VALUE!</v>
      </c>
      <c r="BF52" s="75" t="e">
        <f t="shared" si="20"/>
        <v>#VALUE!</v>
      </c>
      <c r="BJ52" s="29">
        <f t="shared" si="25"/>
        <v>34.250806171891597</v>
      </c>
      <c r="BK52" s="75">
        <f>武将数量星级阶位验证!AT55</f>
        <v>60956.090887763341</v>
      </c>
      <c r="BL52" s="75">
        <f>(AD52-AD51)*INDEX('[1]功能-付费相关'!$AR$6:$AR$165,BJ52,1)+BL51</f>
        <v>73.319256060141001</v>
      </c>
      <c r="BN52" s="29">
        <v>40</v>
      </c>
      <c r="BO52" s="29">
        <f t="shared" si="21"/>
        <v>79223.51485635998</v>
      </c>
      <c r="BP52" s="29">
        <f t="shared" si="22"/>
        <v>139.67993644558123</v>
      </c>
      <c r="BQ52" s="29">
        <f t="shared" si="26"/>
        <v>79363.19479280556</v>
      </c>
    </row>
    <row r="53" spans="2:90" x14ac:dyDescent="0.15">
      <c r="B53" s="170"/>
      <c r="C53" s="14">
        <v>7</v>
      </c>
      <c r="D53" s="29">
        <f t="shared" ref="D53:H53" si="31">ROUND(D52*2,-3)</f>
        <v>64000</v>
      </c>
      <c r="E53" s="29">
        <f t="shared" si="31"/>
        <v>128000</v>
      </c>
      <c r="F53" s="29">
        <f t="shared" si="31"/>
        <v>320000</v>
      </c>
      <c r="G53" s="29">
        <f t="shared" si="31"/>
        <v>640000</v>
      </c>
      <c r="H53" s="29">
        <f t="shared" si="31"/>
        <v>960000</v>
      </c>
      <c r="I53" s="29">
        <f t="shared" ref="I53" si="32">ROUND(I52*2,-3)</f>
        <v>3200000</v>
      </c>
      <c r="M53" s="72">
        <v>8</v>
      </c>
      <c r="N53" s="29">
        <f>基础状态预期!D66</f>
        <v>39.661158518499626</v>
      </c>
      <c r="O53" s="29">
        <f>IF(基础状态预期!F66="",0,求节点($C$104:$C$112,D$104:D$112,基础状态预期!K66))</f>
        <v>0</v>
      </c>
      <c r="P53" s="29">
        <f>IF(基础状态预期!G66="",0,求节点($C$104:$C$112,E$104:E$112,基础状态预期!L66))</f>
        <v>0</v>
      </c>
      <c r="Q53" s="29">
        <f>IF(基础状态预期!H66="",0,求节点($C$104:$C$112,F$104:F$112,基础状态预期!M66))</f>
        <v>0</v>
      </c>
      <c r="R53" s="29">
        <f>IF(基础状态预期!I66="",0,求节点($C$104:$C$112,G$104:G$112,基础状态预期!N66))</f>
        <v>2.1460676492452331</v>
      </c>
      <c r="S53" s="29">
        <f>IF(基础状态预期!J66="",0,求节点($C$104:$C$112,H$104:H$112,基础状态预期!O66))</f>
        <v>0</v>
      </c>
      <c r="T53" s="29">
        <f>IF(基础状态预期!F66="",0,求节点($C$114:$C$122,D$114:D$122,基础状态预期!K66)*基础状态预期!F66+求节点($C$124:$C$132,D$124:D$132,基础状态预期!$O66)*基础状态预期!$J66)</f>
        <v>0</v>
      </c>
      <c r="U53" s="29">
        <f>IF(基础状态预期!G66="",0,求节点($C$114:$C$122,E$114:E$122,基础状态预期!L66)*基础状态预期!G66+求节点($C$124:$C$132,E$124:E$132,基础状态预期!$O66)*基础状态预期!$J66)</f>
        <v>0</v>
      </c>
      <c r="V53" s="29">
        <f>IF(基础状态预期!H66="",0,求节点($C$114:$C$122,F$114:F$122,基础状态预期!M66)*基础状态预期!H66+求节点($C$124:$C$132,F$124:F$132,基础状态预期!$O66)*基础状态预期!$J66)</f>
        <v>0</v>
      </c>
      <c r="W53" s="148">
        <f>IF(基础状态预期!I66="",0,求节点($C$114:$C$122,G$114:G$122,基础状态预期!N66)*基础状态预期!I66)+IF(基础状态预期!O66="",0,求节点($C$124:$C$132,G$124:G$132,基础状态预期!$O66)*基础状态预期!$J66)</f>
        <v>0</v>
      </c>
      <c r="X53" s="29">
        <f>IF(基础状态预期!J66="",0,求节点($C$114:$C$122,H$114:H$122,基础状态预期!O66)*基础状态预期!J66+求节点($C$124:$C$132,H$124:H$132,基础状态预期!$O66)*基础状态预期!$J66)</f>
        <v>0</v>
      </c>
      <c r="Y53" s="14">
        <f>IF(基础状态预期!K66="",0,求节点($C$92:$C$100,D$92:D$100,基础状态预期!K66))</f>
        <v>0</v>
      </c>
      <c r="Z53" s="14">
        <f>IF(基础状态预期!L66="",0,求节点($C$92:$C$100,E$92:E$100,基础状态预期!L66))</f>
        <v>0</v>
      </c>
      <c r="AA53" s="14">
        <f>IF(基础状态预期!M66="",0,求节点($C$92:$C$100,F$92:F$100,基础状态预期!M66))</f>
        <v>0</v>
      </c>
      <c r="AB53" s="14">
        <f>IF(基础状态预期!N66="",0,求节点($C$92:$C$100,G$92:G$100,基础状态预期!N66))</f>
        <v>12921.352984904661</v>
      </c>
      <c r="AC53" s="14">
        <f>IF(基础状态预期!O66="",0,求节点($C$92:$C$100,H$92:H$100,基础状态预期!O66))</f>
        <v>0</v>
      </c>
      <c r="AD53" s="29">
        <f>MAX(SUMPRODUCT(Y53:AC53,基础状态预期!F66:J66),AD52)</f>
        <v>77528.117909427965</v>
      </c>
      <c r="AF53" s="29" t="str">
        <f>IF(基础状态预期!K66="","",基础状态预期!K66*D$59+D$58)</f>
        <v/>
      </c>
      <c r="AG53" s="29" t="str">
        <f>IF(基础状态预期!L66="","",基础状态预期!L66*E$59+E$58)</f>
        <v/>
      </c>
      <c r="AH53" s="29" t="str">
        <f>IF(基础状态预期!M66="","",基础状态预期!M66*F$59+F$58)</f>
        <v/>
      </c>
      <c r="AI53" s="29">
        <f>IF(基础状态预期!N66="","",基础状态预期!N66*G$59+G$58)</f>
        <v>90.730338246226168</v>
      </c>
      <c r="AJ53" s="29" t="str">
        <f>IF(基础状态预期!O66="","",基础状态预期!O66*H$59+H$58)</f>
        <v/>
      </c>
      <c r="AK53" s="29">
        <f>MAX(SUMPRODUCT(AF53:AJ53,基础状态预期!$F66:$J66)/SUM(基础状态预期!$F66:$J66),AK52)</f>
        <v>90.730338246226168</v>
      </c>
      <c r="AL53" s="29">
        <f>IF(基础状态预期!K66="",0,求节点($C$68:$C$76,D$68:D$76,基础状态预期!K66))</f>
        <v>0</v>
      </c>
      <c r="AM53" s="29">
        <f>IF(基础状态预期!L66="",0,求节点($C$68:$C$76,E$68:E$76,基础状态预期!L66))</f>
        <v>0</v>
      </c>
      <c r="AN53" s="29">
        <f>IF(基础状态预期!M66="",0,求节点($C$68:$C$76,F$68:F$76,基础状态预期!M66)*求节点(武将升级!$H$52:$H$54,武将升级!$J$52:$J$54,基础状态预期!W66))</f>
        <v>0</v>
      </c>
      <c r="AO53" s="29">
        <f>IF(基础状态预期!N66="",0,求节点($C$68:$C$76,G$68:G$76,基础状态预期!N66)*求节点(武将升级!$H$52:$H$54,武将升级!$J$52:$J$54,基础状态预期!X66))</f>
        <v>0.2985168707456568</v>
      </c>
      <c r="AP53" s="29">
        <f>IF(基础状态预期!O66="",0,求节点($C$68:$C$76,H$68:H$76,基础状态预期!O66)*求节点(武将升级!$H$52:$H$54,武将升级!$J$52:$J$54,基础状态预期!Y66))</f>
        <v>0</v>
      </c>
      <c r="AQ53" s="29">
        <f>MAX(SUMPRODUCT(AL53:AP53,基础状态预期!$F66:$J66)/SUM(基础状态预期!$F66:$J66),AQ52)</f>
        <v>0.2985168707456568</v>
      </c>
      <c r="AR53" s="29">
        <f>IF(基础状态预期!K66="",0,求节点($C$158:$C$166,D$158:D$166,基础状态预期!K66))</f>
        <v>0</v>
      </c>
      <c r="AS53" s="29">
        <f>IF(基础状态预期!L66="",0,求节点($C$158:$C$166,E$158:E$166,基础状态预期!L66))</f>
        <v>0</v>
      </c>
      <c r="AT53" s="29">
        <f>IF(基础状态预期!M66="",0,求节点($C$158:$C$166,F$158:F$166,基础状态预期!M66))</f>
        <v>0</v>
      </c>
      <c r="AU53" s="29">
        <f>IF(基础状态预期!N66="",0,求节点($C$158:$C$166,G$158:G$166,基础状态预期!N66))</f>
        <v>8.0224735447166323E-2</v>
      </c>
      <c r="AV53" s="29">
        <f>IF(基础状态预期!O66="",0,求节点($C$158:$C$166,H$158:H$166,基础状态预期!O66))</f>
        <v>0</v>
      </c>
      <c r="AW53" s="29">
        <f>MAX(SUMPRODUCT(AR53:AV53,基础状态预期!$F66:$J66)/SUM(基础状态预期!$F66:$J66),AW52)</f>
        <v>8.0224735447166323E-2</v>
      </c>
      <c r="BA53" s="29">
        <v>50</v>
      </c>
      <c r="BB53" s="29">
        <f t="shared" si="18"/>
        <v>97.711625149343845</v>
      </c>
      <c r="BC53" s="29">
        <f t="shared" si="19"/>
        <v>0.39617776210214883</v>
      </c>
      <c r="BD53" s="29">
        <f>(BB53-BB52)*(INDEX([2]小r将兵属性验证!$V$7:$V$166,$BA53,1)+INDEX([2]小r将兵属性验证!$AP$7:$AP$166,$BA53,1))+BD52</f>
        <v>191474942.30705106</v>
      </c>
      <c r="BE53" s="29" t="e">
        <f>(BC53-BC52)*(INDEX([2]小r将兵属性验证!$AC$7:$AC$166,$BA53,1)*[2]战法技能效用!$AB$4+INDEX([2]小r将兵属性验证!$AX$7:$AX$166,$BA53,1)*[2]战法技能效用!$AC$4)+BE52</f>
        <v>#VALUE!</v>
      </c>
      <c r="BF53" s="75" t="e">
        <f t="shared" si="20"/>
        <v>#VALUE!</v>
      </c>
      <c r="BJ53" s="29">
        <f t="shared" si="25"/>
        <v>39.661158518499626</v>
      </c>
      <c r="BK53" s="75">
        <f>武将数量星级阶位验证!AT56</f>
        <v>77815.540854025428</v>
      </c>
      <c r="BL53" s="75">
        <f>(AD53-AD52)*INDEX('[1]功能-付费相关'!$AR$6:$AR$165,BJ53,1)+BL52</f>
        <v>132.45852527006275</v>
      </c>
      <c r="BN53" s="29">
        <v>50</v>
      </c>
      <c r="BO53" s="29">
        <f t="shared" si="21"/>
        <v>130310.24188191825</v>
      </c>
      <c r="BP53" s="29">
        <f t="shared" si="22"/>
        <v>447.22460780033134</v>
      </c>
      <c r="BQ53" s="29">
        <f t="shared" si="26"/>
        <v>130757.46648971859</v>
      </c>
    </row>
    <row r="54" spans="2:90" x14ac:dyDescent="0.15">
      <c r="B54" s="171"/>
      <c r="C54" s="14">
        <v>8</v>
      </c>
      <c r="D54" s="29">
        <f t="shared" ref="D54:H54" si="33">ROUND(D53*2,-3)</f>
        <v>128000</v>
      </c>
      <c r="E54" s="29">
        <f t="shared" si="33"/>
        <v>256000</v>
      </c>
      <c r="F54" s="29">
        <f t="shared" si="33"/>
        <v>640000</v>
      </c>
      <c r="G54" s="29">
        <f t="shared" si="33"/>
        <v>1280000</v>
      </c>
      <c r="H54" s="29">
        <f t="shared" si="33"/>
        <v>1920000</v>
      </c>
      <c r="I54" s="29">
        <f t="shared" ref="I54" si="34">ROUND(I53*2,-3)</f>
        <v>6400000</v>
      </c>
      <c r="M54" s="72">
        <v>9</v>
      </c>
      <c r="N54" s="29">
        <f>基础状态预期!D67</f>
        <v>43.535389560453282</v>
      </c>
      <c r="O54" s="29">
        <f>IF(基础状态预期!F67="",0,求节点($C$104:$C$112,D$104:D$112,基础状态预期!K67))</f>
        <v>0</v>
      </c>
      <c r="P54" s="29">
        <f>IF(基础状态预期!G67="",0,求节点($C$104:$C$112,E$104:E$112,基础状态预期!L67))</f>
        <v>0</v>
      </c>
      <c r="Q54" s="29">
        <f>IF(基础状态预期!H67="",0,求节点($C$104:$C$112,F$104:F$112,基础状态预期!M67))</f>
        <v>0</v>
      </c>
      <c r="R54" s="29">
        <f>IF(基础状态预期!I67="",0,求节点($C$104:$C$112,G$104:G$112,基础状态预期!N67))</f>
        <v>2.6029431304051021</v>
      </c>
      <c r="S54" s="29">
        <f>IF(基础状态预期!J67="",0,求节点($C$104:$C$112,H$104:H$112,基础状态预期!O67))</f>
        <v>0</v>
      </c>
      <c r="T54" s="29">
        <f>IF(基础状态预期!F67="",0,求节点($C$114:$C$122,D$114:D$122,基础状态预期!K67)*基础状态预期!F67+求节点($C$124:$C$132,D$124:D$132,基础状态预期!$O67)*基础状态预期!$J67)</f>
        <v>0</v>
      </c>
      <c r="U54" s="29">
        <f>IF(基础状态预期!G67="",0,求节点($C$114:$C$122,E$114:E$122,基础状态预期!L67)*基础状态预期!G67+求节点($C$124:$C$132,E$124:E$132,基础状态预期!$O67)*基础状态预期!$J67)</f>
        <v>0</v>
      </c>
      <c r="V54" s="29">
        <f>IF(基础状态预期!H67="",0,求节点($C$114:$C$122,F$114:F$122,基础状态预期!M67)*基础状态预期!H67+求节点($C$124:$C$132,F$124:F$132,基础状态预期!$O67)*基础状态预期!$J67)</f>
        <v>0</v>
      </c>
      <c r="W54" s="148">
        <f>IF(基础状态预期!I67="",0,求节点($C$114:$C$122,G$114:G$122,基础状态预期!N67)*基础状态预期!I67)+IF(基础状态预期!O67="",0,求节点($C$124:$C$132,G$124:G$132,基础状态预期!$O67)*基础状态预期!$J67)</f>
        <v>0</v>
      </c>
      <c r="X54" s="29">
        <f>IF(基础状态预期!J67="",0,求节点($C$114:$C$122,H$114:H$122,基础状态预期!O67)*基础状态预期!J67+求节点($C$124:$C$132,H$124:H$132,基础状态预期!$O67)*基础状态预期!$J67)</f>
        <v>0</v>
      </c>
      <c r="Y54" s="14">
        <f>IF(基础状态预期!K67="",0,求节点($C$92:$C$100,D$92:D$100,基础状态预期!K67))</f>
        <v>0</v>
      </c>
      <c r="Z54" s="14">
        <f>IF(基础状态预期!L67="",0,求节点($C$92:$C$100,E$92:E$100,基础状态预期!L67))</f>
        <v>0</v>
      </c>
      <c r="AA54" s="14">
        <f>IF(基础状态预期!M67="",0,求节点($C$92:$C$100,F$92:F$100,基础状态预期!M67))</f>
        <v>0</v>
      </c>
      <c r="AB54" s="14">
        <f>IF(基础状态预期!N67="",0,求节点($C$92:$C$100,G$92:G$100,基础状态预期!N67))</f>
        <v>22058.862608102041</v>
      </c>
      <c r="AC54" s="14">
        <f>IF(基础状态预期!O67="",0,求节点($C$92:$C$100,H$92:H$100,基础状态预期!O67))</f>
        <v>0</v>
      </c>
      <c r="AD54" s="29">
        <f>MAX(SUMPRODUCT(Y54:AC54,基础状态预期!F67:J67),AD53)</f>
        <v>132353.17564861226</v>
      </c>
      <c r="AF54" s="29" t="str">
        <f>IF(基础状态预期!K67="","",基础状态预期!K67*D$59+D$58)</f>
        <v/>
      </c>
      <c r="AG54" s="29" t="str">
        <f>IF(基础状态预期!L67="","",基础状态预期!L67*E$59+E$58)</f>
        <v/>
      </c>
      <c r="AH54" s="29" t="str">
        <f>IF(基础状态预期!M67="","",基础状态预期!M67*F$59+F$58)</f>
        <v/>
      </c>
      <c r="AI54" s="29">
        <f>IF(基础状态预期!N67="","",基础状态预期!N67*G$59+G$58)</f>
        <v>93.014715652025515</v>
      </c>
      <c r="AJ54" s="29" t="str">
        <f>IF(基础状态预期!O67="","",基础状态预期!O67*H$59+H$58)</f>
        <v/>
      </c>
      <c r="AK54" s="29">
        <f>MAX(SUMPRODUCT(AF54:AJ54,基础状态预期!$F67:$J67)/SUM(基础状态预期!$F67:$J67),AK53)</f>
        <v>93.014715652025515</v>
      </c>
      <c r="AL54" s="29">
        <f>IF(基础状态预期!K67="",0,求节点($C$68:$C$76,D$68:D$76,基础状态预期!K67))</f>
        <v>0</v>
      </c>
      <c r="AM54" s="29">
        <f>IF(基础状态预期!L67="",0,求节点($C$68:$C$76,E$68:E$76,基础状态预期!L67))</f>
        <v>0</v>
      </c>
      <c r="AN54" s="29">
        <f>IF(基础状态预期!M67="",0,求节点($C$68:$C$76,F$68:F$76,基础状态预期!M67)*求节点(武将升级!$H$52:$H$54,武将升级!$J$52:$J$54,基础状态预期!W67))</f>
        <v>0</v>
      </c>
      <c r="AO54" s="29">
        <f>IF(基础状态预期!N67="",0,求节点($C$68:$C$76,G$68:G$76,基础状态预期!N67)*求节点(武将升级!$H$52:$H$54,武将升级!$J$52:$J$54,基础状态预期!X67))</f>
        <v>0.33141190538916737</v>
      </c>
      <c r="AP54" s="29">
        <f>IF(基础状态预期!O67="",0,求节点($C$68:$C$76,H$68:H$76,基础状态预期!O67)*求节点(武将升级!$H$52:$H$54,武将升级!$J$52:$J$54,基础状态预期!Y67))</f>
        <v>0</v>
      </c>
      <c r="AQ54" s="29">
        <f>MAX(SUMPRODUCT(AL54:AP54,基础状态预期!$F67:$J67)/SUM(基础状态预期!$F67:$J67),AQ53)</f>
        <v>0.33141190538916737</v>
      </c>
      <c r="AR54" s="29">
        <f>IF(基础状态预期!K67="",0,求节点($C$158:$C$166,D$158:D$166,基础状态预期!K67))</f>
        <v>0</v>
      </c>
      <c r="AS54" s="29">
        <f>IF(基础状态预期!L67="",0,求节点($C$158:$C$166,E$158:E$166,基础状态预期!L67))</f>
        <v>0</v>
      </c>
      <c r="AT54" s="29">
        <f>IF(基础状态预期!M67="",0,求节点($C$158:$C$166,F$158:F$166,基础状态预期!M67))</f>
        <v>0</v>
      </c>
      <c r="AU54" s="29">
        <f>IF(基础状态预期!N67="",0,求节点($C$158:$C$166,G$158:G$166,基础状态预期!N67))</f>
        <v>0.11220601912835715</v>
      </c>
      <c r="AV54" s="29">
        <f>IF(基础状态预期!O67="",0,求节点($C$158:$C$166,H$158:H$166,基础状态预期!O67))</f>
        <v>0</v>
      </c>
      <c r="AW54" s="29">
        <f>MAX(SUMPRODUCT(AR54:AV54,基础状态预期!$F67:$J67)/SUM(基础状态预期!$F67:$J67),AW53)</f>
        <v>0.11220601912835715</v>
      </c>
      <c r="BA54" s="29">
        <v>60</v>
      </c>
      <c r="BB54" s="29">
        <f t="shared" si="18"/>
        <v>105.90310940712544</v>
      </c>
      <c r="BC54" s="29">
        <f t="shared" si="19"/>
        <v>0.53174414411952187</v>
      </c>
      <c r="BD54" s="29">
        <f>(BB54-BB53)*(INDEX([2]小r将兵属性验证!$V$7:$V$166,$BA54,1)+INDEX([2]小r将兵属性验证!$AP$7:$AP$166,$BA54,1))+BD53</f>
        <v>510362609.66504622</v>
      </c>
      <c r="BE54" s="29" t="e">
        <f>(BC54-BC53)*(INDEX([2]小r将兵属性验证!$AC$7:$AC$166,$BA54,1)*[2]战法技能效用!$AB$4+INDEX([2]小r将兵属性验证!$AX$7:$AX$166,$BA54,1)*[2]战法技能效用!$AC$4)+BE53</f>
        <v>#VALUE!</v>
      </c>
      <c r="BF54" s="75" t="e">
        <f t="shared" si="20"/>
        <v>#VALUE!</v>
      </c>
      <c r="BJ54" s="29">
        <f t="shared" si="25"/>
        <v>43.535389560453282</v>
      </c>
      <c r="BK54" s="75">
        <f>武将数量星级阶位验证!AT57</f>
        <v>93913.972964387343</v>
      </c>
      <c r="BL54" s="75">
        <f>(AD54-AD53)*INDEX('[1]功能-付费相关'!$AR$6:$AR$165,BJ54,1)+BL53</f>
        <v>215.02638331100297</v>
      </c>
      <c r="BN54" s="29">
        <v>60</v>
      </c>
      <c r="BO54" s="29">
        <f t="shared" si="21"/>
        <v>226753.7311797814</v>
      </c>
      <c r="BP54" s="29">
        <f t="shared" si="22"/>
        <v>812.52951609096988</v>
      </c>
      <c r="BQ54" s="29">
        <f t="shared" si="26"/>
        <v>227566.26069587236</v>
      </c>
    </row>
    <row r="55" spans="2:90" x14ac:dyDescent="0.15">
      <c r="M55" s="72">
        <v>10</v>
      </c>
      <c r="N55" s="29">
        <f>基础状态预期!D68</f>
        <v>49.178590903134719</v>
      </c>
      <c r="O55" s="29">
        <f>IF(基础状态预期!F68="",0,求节点($C$104:$C$112,D$104:D$112,基础状态预期!K68))</f>
        <v>0</v>
      </c>
      <c r="P55" s="29">
        <f>IF(基础状态预期!G68="",0,求节点($C$104:$C$112,E$104:E$112,基础状态预期!L68))</f>
        <v>0</v>
      </c>
      <c r="Q55" s="29">
        <f>IF(基础状态预期!H68="",0,求节点($C$104:$C$112,F$104:F$112,基础状态预期!M68))</f>
        <v>0</v>
      </c>
      <c r="R55" s="29">
        <f>IF(基础状态预期!I68="",0,求节点($C$104:$C$112,G$104:G$112,基础状态预期!N68))</f>
        <v>3.4074491677725511</v>
      </c>
      <c r="S55" s="29">
        <f>IF(基础状态预期!J68="",0,求节点($C$104:$C$112,H$104:H$112,基础状态预期!O68))</f>
        <v>0</v>
      </c>
      <c r="T55" s="29">
        <f>IF(基础状态预期!F68="",0,求节点($C$114:$C$122,D$114:D$122,基础状态预期!K68)*基础状态预期!F68+求节点($C$124:$C$132,D$124:D$132,基础状态预期!$O68)*基础状态预期!$J68)</f>
        <v>0</v>
      </c>
      <c r="U55" s="29">
        <f>IF(基础状态预期!G68="",0,求节点($C$114:$C$122,E$114:E$122,基础状态预期!L68)*基础状态预期!G68+求节点($C$124:$C$132,E$124:E$132,基础状态预期!$O68)*基础状态预期!$J68)</f>
        <v>0</v>
      </c>
      <c r="V55" s="29">
        <f>IF(基础状态预期!H68="",0,求节点($C$114:$C$122,F$114:F$122,基础状态预期!M68)*基础状态预期!H68+求节点($C$124:$C$132,F$124:F$132,基础状态预期!$O68)*基础状态预期!$J68)</f>
        <v>0</v>
      </c>
      <c r="W55" s="148">
        <f>IF(基础状态预期!I68="",0,求节点($C$114:$C$122,G$114:G$122,基础状态预期!N68)*基础状态预期!I68)+IF(基础状态预期!O68="",0,求节点($C$124:$C$132,G$124:G$132,基础状态预期!$O68)*基础状态预期!$J68)</f>
        <v>2.4446950066353068</v>
      </c>
      <c r="X55" s="29">
        <f>IF(基础状态预期!J68="",0,求节点($C$114:$C$122,H$114:H$122,基础状态预期!O68)*基础状态预期!J68+求节点($C$124:$C$132,H$124:H$132,基础状态预期!$O68)*基础状态预期!$J68)</f>
        <v>0</v>
      </c>
      <c r="Y55" s="14">
        <f>IF(基础状态预期!K68="",0,求节点($C$92:$C$100,D$92:D$100,基础状态预期!K68))</f>
        <v>0</v>
      </c>
      <c r="Z55" s="14">
        <f>IF(基础状态预期!L68="",0,求节点($C$92:$C$100,E$92:E$100,基础状态预期!L68))</f>
        <v>0</v>
      </c>
      <c r="AA55" s="14">
        <f>IF(基础状态预期!M68="",0,求节点($C$92:$C$100,F$92:F$100,基础状态预期!M68))</f>
        <v>0</v>
      </c>
      <c r="AB55" s="14">
        <f>IF(基础状态预期!N68="",0,求节点($C$92:$C$100,G$92:G$100,基础状态预期!N68))</f>
        <v>46297.966710902045</v>
      </c>
      <c r="AC55" s="14">
        <f>IF(基础状态预期!O68="",0,求节点($C$92:$C$100,H$92:H$100,基础状态预期!O68))</f>
        <v>0</v>
      </c>
      <c r="AD55" s="29">
        <f>MAX(SUMPRODUCT(Y55:AC55,基础状态预期!F68:J68),AD54)</f>
        <v>277787.80026541225</v>
      </c>
      <c r="AF55" s="29" t="str">
        <f>IF(基础状态预期!K68="","",基础状态预期!K68*D$59+D$58)</f>
        <v/>
      </c>
      <c r="AG55" s="29" t="str">
        <f>IF(基础状态预期!L68="","",基础状态预期!L68*E$59+E$58)</f>
        <v/>
      </c>
      <c r="AH55" s="29" t="str">
        <f>IF(基础状态预期!M68="","",基础状态预期!M68*F$59+F$58)</f>
        <v/>
      </c>
      <c r="AI55" s="29">
        <f>IF(基础状态预期!N68="","",基础状态预期!N68*G$59+G$58)</f>
        <v>97.037245838862759</v>
      </c>
      <c r="AJ55" s="29" t="str">
        <f>IF(基础状态预期!O68="","",基础状态预期!O68*H$59+H$58)</f>
        <v/>
      </c>
      <c r="AK55" s="29">
        <f>MAX(SUMPRODUCT(AF55:AJ55,基础状态预期!$F68:$J68)/SUM(基础状态预期!$F68:$J68),AK54)</f>
        <v>97.037245838862759</v>
      </c>
      <c r="AL55" s="29">
        <f>IF(基础状态预期!K68="",0,求节点($C$68:$C$76,D$68:D$76,基础状态预期!K68))</f>
        <v>0</v>
      </c>
      <c r="AM55" s="29">
        <f>IF(基础状态预期!L68="",0,求节点($C$68:$C$76,E$68:E$76,基础状态预期!L68))</f>
        <v>0</v>
      </c>
      <c r="AN55" s="29">
        <f>IF(基础状态预期!M68="",0,求节点($C$68:$C$76,F$68:F$76,基础状态预期!M68)*求节点(武将升级!$H$52:$H$54,武将升级!$J$52:$J$54,基础状态预期!W68))</f>
        <v>0</v>
      </c>
      <c r="AO55" s="29">
        <f>IF(基础状态预期!N68="",0,求节点($C$68:$C$76,G$68:G$76,基础状态预期!N68)*求节点(武将升级!$H$52:$H$54,武将升级!$J$52:$J$54,基础状态预期!X68))</f>
        <v>0.3893363400796237</v>
      </c>
      <c r="AP55" s="29">
        <f>IF(基础状态预期!O68="",0,求节点($C$68:$C$76,H$68:H$76,基础状态预期!O68)*求节点(武将升级!$H$52:$H$54,武将升级!$J$52:$J$54,基础状态预期!Y68))</f>
        <v>0</v>
      </c>
      <c r="AQ55" s="29">
        <f>MAX(SUMPRODUCT(AL55:AP55,基础状态预期!$F68:$J68)/SUM(基础状态预期!$F68:$J68),AQ54)</f>
        <v>0.3893363400796237</v>
      </c>
      <c r="AR55" s="29">
        <f>IF(基础状态预期!K68="",0,求节点($C$158:$C$166,D$158:D$166,基础状态预期!K68))</f>
        <v>0</v>
      </c>
      <c r="AS55" s="29">
        <f>IF(基础状态预期!L68="",0,求节点($C$158:$C$166,E$158:E$166,基础状态预期!L68))</f>
        <v>0</v>
      </c>
      <c r="AT55" s="29">
        <f>IF(基础状态预期!M68="",0,求节点($C$158:$C$166,F$158:F$166,基础状态预期!M68))</f>
        <v>0</v>
      </c>
      <c r="AU55" s="29">
        <f>IF(基础状态预期!N68="",0,求节点($C$158:$C$166,G$158:G$166,基础状态预期!N68))</f>
        <v>0.16852144174407857</v>
      </c>
      <c r="AV55" s="29">
        <f>IF(基础状态预期!O68="",0,求节点($C$158:$C$166,H$158:H$166,基础状态预期!O68))</f>
        <v>0</v>
      </c>
      <c r="AW55" s="29">
        <f>MAX(SUMPRODUCT(AR55:AV55,基础状态预期!$F68:$J68)/SUM(基础状态预期!$F68:$J68),AW54)</f>
        <v>0.16852144174407857</v>
      </c>
      <c r="BA55" s="29">
        <v>70</v>
      </c>
      <c r="BB55" s="29">
        <f t="shared" si="18"/>
        <v>118.50963682209245</v>
      </c>
      <c r="BC55" s="29">
        <f t="shared" si="19"/>
        <v>0.7253226897556192</v>
      </c>
      <c r="BD55" s="29">
        <f>(BB55-BB54)*(INDEX([2]小r将兵属性验证!$V$7:$V$166,$BA55,1)+INDEX([2]小r将兵属性验证!$AP$7:$AP$166,$BA55,1))+BD54</f>
        <v>2048058059.5427663</v>
      </c>
      <c r="BE55" s="29" t="e">
        <f>(BC55-BC54)*(INDEX([2]小r将兵属性验证!$AC$7:$AC$166,$BA55,1)*[2]战法技能效用!$AB$4+INDEX([2]小r将兵属性验证!$AX$7:$AX$166,$BA55,1)*[2]战法技能效用!$AC$4)+BE54</f>
        <v>#VALUE!</v>
      </c>
      <c r="BF55" s="75" t="e">
        <f t="shared" si="20"/>
        <v>#VALUE!</v>
      </c>
      <c r="BJ55" s="29">
        <f t="shared" si="25"/>
        <v>49.178590903134719</v>
      </c>
      <c r="BK55" s="75">
        <f>武将数量星级阶位验证!AT58</f>
        <v>124212.92456871227</v>
      </c>
      <c r="BL55" s="75">
        <f>(AD55-AD54)*INDEX('[1]功能-付费相关'!$AR$6:$AR$165,BJ55,1)+BL54</f>
        <v>419.28849653684563</v>
      </c>
      <c r="BN55" s="29">
        <v>70</v>
      </c>
      <c r="BO55" s="29">
        <f t="shared" si="21"/>
        <v>384293.80126462551</v>
      </c>
      <c r="BP55" s="29">
        <f t="shared" si="22"/>
        <v>1578.5870161135222</v>
      </c>
      <c r="BQ55" s="29">
        <f t="shared" si="26"/>
        <v>385872.38828073902</v>
      </c>
    </row>
    <row r="56" spans="2:90" x14ac:dyDescent="0.15">
      <c r="M56" s="72">
        <v>11</v>
      </c>
      <c r="N56" s="29">
        <f>基础状态预期!D69</f>
        <v>53.226994578658328</v>
      </c>
      <c r="O56" s="29">
        <f>IF(基础状态预期!F69="",0,求节点($C$104:$C$112,D$104:D$112,基础状态预期!K69))</f>
        <v>0</v>
      </c>
      <c r="P56" s="29">
        <f>IF(基础状态预期!G69="",0,求节点($C$104:$C$112,E$104:E$112,基础状态预期!L69))</f>
        <v>0</v>
      </c>
      <c r="Q56" s="29">
        <f>IF(基础状态预期!H69="",0,求节点($C$104:$C$112,F$104:F$112,基础状态预期!M69))</f>
        <v>0</v>
      </c>
      <c r="R56" s="29">
        <f>IF(基础状态预期!I69="",0,求节点($C$104:$C$112,G$104:G$112,基础状态预期!N69))</f>
        <v>4.1470301389052819</v>
      </c>
      <c r="S56" s="29">
        <f>IF(基础状态预期!J69="",0,求节点($C$104:$C$112,H$104:H$112,基础状态预期!O69))</f>
        <v>1.0546845025197811</v>
      </c>
      <c r="T56" s="29">
        <f>IF(基础状态预期!F69="",0,求节点($C$114:$C$122,D$114:D$122,基础状态预期!K69)*基础状态预期!F69+求节点($C$124:$C$132,D$124:D$132,基础状态预期!$O69)*基础状态预期!$J69)</f>
        <v>0</v>
      </c>
      <c r="U56" s="29">
        <f>IF(基础状态预期!G69="",0,求节点($C$114:$C$122,E$114:E$122,基础状态预期!L69)*基础状态预期!G69+求节点($C$124:$C$132,E$124:E$132,基础状态预期!$O69)*基础状态预期!$J69)</f>
        <v>0</v>
      </c>
      <c r="V56" s="29">
        <f>IF(基础状态预期!H69="",0,求节点($C$114:$C$122,F$114:F$122,基础状态预期!M69)*基础状态预期!H69+求节点($C$124:$C$132,F$124:F$132,基础状态预期!$O69)*基础状态预期!$J69)</f>
        <v>0</v>
      </c>
      <c r="W56" s="148">
        <f>IF(基础状态预期!I69="",0,求节点($C$114:$C$122,G$114:G$122,基础状态预期!N69)*基础状态预期!I69)+IF(基础状态预期!O69="",0,求节点($C$124:$C$132,G$124:G$132,基础状态预期!$O69)*基础状态预期!$J69)</f>
        <v>5</v>
      </c>
      <c r="X56" s="29">
        <f>IF(基础状态预期!J69="",0,求节点($C$114:$C$122,H$114:H$122,基础状态预期!O69)*基础状态预期!J69+求节点($C$124:$C$132,H$124:H$132,基础状态预期!$O69)*基础状态预期!$J69)</f>
        <v>0</v>
      </c>
      <c r="Y56" s="14">
        <f>IF(基础状态预期!K69="",0,求节点($C$92:$C$100,D$92:D$100,基础状态预期!K69))</f>
        <v>0</v>
      </c>
      <c r="Z56" s="14">
        <f>IF(基础状态预期!L69="",0,求节点($C$92:$C$100,E$92:E$100,基础状态预期!L69))</f>
        <v>0</v>
      </c>
      <c r="AA56" s="14">
        <f>IF(基础状态预期!M69="",0,求节点($C$92:$C$100,F$92:F$100,基础状态预期!M69))</f>
        <v>0</v>
      </c>
      <c r="AB56" s="14">
        <f>IF(基础状态预期!N69="",0,求节点($C$92:$C$100,G$92:G$100,基础状态预期!N69))</f>
        <v>75881.20555621128</v>
      </c>
      <c r="AC56" s="14">
        <f>IF(基础状态预期!O69="",0,求节点($C$92:$C$100,H$92:H$100,基础状态预期!O69))</f>
        <v>820.26753779671617</v>
      </c>
      <c r="AD56" s="29">
        <f>MAX(SUMPRODUCT(Y56:AC56,基础状态预期!F69:J69),AD55)</f>
        <v>380226.29531885311</v>
      </c>
      <c r="AF56" s="29" t="str">
        <f>IF(基础状态预期!K69="","",基础状态预期!K69*D$59+D$58)</f>
        <v/>
      </c>
      <c r="AG56" s="29" t="str">
        <f>IF(基础状态预期!L69="","",基础状态预期!L69*E$59+E$58)</f>
        <v/>
      </c>
      <c r="AH56" s="29" t="str">
        <f>IF(基础状态预期!M69="","",基础状态预期!M69*F$59+F$58)</f>
        <v/>
      </c>
      <c r="AI56" s="29">
        <f>IF(基础状态预期!N69="","",基础状态预期!N69*G$59+G$58)</f>
        <v>100.3675753472632</v>
      </c>
      <c r="AJ56" s="29">
        <f>IF(基础状态预期!O69="","",基础状态预期!O69*H$59+H$58)</f>
        <v>100.32810701511869</v>
      </c>
      <c r="AK56" s="29">
        <f>MAX(SUMPRODUCT(AF56:AJ56,基础状态预期!$F69:$J69)/SUM(基础状态预期!$F69:$J69),AK55)</f>
        <v>100.36099729190578</v>
      </c>
      <c r="AL56" s="29">
        <f>IF(基础状态预期!K69="",0,求节点($C$68:$C$76,D$68:D$76,基础状态预期!K69))</f>
        <v>0</v>
      </c>
      <c r="AM56" s="29">
        <f>IF(基础状态预期!L69="",0,求节点($C$68:$C$76,E$68:E$76,基础状态预期!L69))</f>
        <v>0</v>
      </c>
      <c r="AN56" s="29">
        <f>IF(基础状态预期!M69="",0,求节点($C$68:$C$76,F$68:F$76,基础状态预期!M69)*求节点(武将升级!$H$52:$H$54,武将升级!$J$52:$J$54,基础状态预期!W69))</f>
        <v>0</v>
      </c>
      <c r="AO56" s="29">
        <f>IF(基础状态预期!N69="",0,求节点($C$68:$C$76,G$68:G$76,基础状态预期!N69)*求节点(武将升级!$H$52:$H$54,武将升级!$J$52:$J$54,基础状态预期!X69))</f>
        <v>0.43729308500059022</v>
      </c>
      <c r="AP56" s="29">
        <f>IF(基础状态预期!O69="",0,求节点($C$68:$C$76,H$68:H$76,基础状态预期!O69)*求节点(武将升级!$H$52:$H$54,武将升级!$J$52:$J$54,基础状态预期!Y69))</f>
        <v>0.50437476020158245</v>
      </c>
      <c r="AQ56" s="29">
        <f>MAX(SUMPRODUCT(AL56:AP56,基础状态预期!$F69:$J69)/SUM(基础状态预期!$F69:$J69),AQ55)</f>
        <v>0.44847336420075562</v>
      </c>
      <c r="AR56" s="29">
        <f>IF(基础状态预期!K69="",0,求节点($C$158:$C$166,D$158:D$166,基础状态预期!K69))</f>
        <v>0</v>
      </c>
      <c r="AS56" s="29">
        <f>IF(基础状态预期!L69="",0,求节点($C$158:$C$166,E$158:E$166,基础状态预期!L69))</f>
        <v>0</v>
      </c>
      <c r="AT56" s="29">
        <f>IF(基础状态预期!M69="",0,求节点($C$158:$C$166,F$158:F$166,基础状态预期!M69))</f>
        <v>0</v>
      </c>
      <c r="AU56" s="29">
        <f>IF(基础状态预期!N69="",0,求节点($C$158:$C$166,G$158:G$166,基础状态预期!N69))</f>
        <v>0.21514605486168487</v>
      </c>
      <c r="AV56" s="29">
        <f>IF(基础状态预期!O69="",0,求节点($C$158:$C$166,H$158:H$166,基础状态预期!O69))</f>
        <v>5.4684502519781082E-3</v>
      </c>
      <c r="AW56" s="29">
        <f>MAX(SUMPRODUCT(AR56:AV56,基础状态预期!$F69:$J69)/SUM(基础状态预期!$F69:$J69),AW55)</f>
        <v>0.18019978742673373</v>
      </c>
      <c r="BA56" s="29">
        <v>80</v>
      </c>
      <c r="BB56" s="29">
        <f t="shared" si="18"/>
        <v>131.00082871404274</v>
      </c>
      <c r="BC56" s="29">
        <f t="shared" si="19"/>
        <v>0.90846519501199485</v>
      </c>
      <c r="BD56" s="29">
        <f>(BB56-BB55)*(INDEX([2]小r将兵属性验证!$V$7:$V$166,$BA56,1)+INDEX([2]小r将兵属性验证!$AP$7:$AP$166,$BA56,1))+BD55</f>
        <v>5788282339.0165997</v>
      </c>
      <c r="BE56" s="29" t="e">
        <f>(BC56-BC55)*(INDEX([2]小r将兵属性验证!$AC$7:$AC$166,$BA56,1)*[2]战法技能效用!$AB$4+INDEX([2]小r将兵属性验证!$AX$7:$AX$166,$BA56,1)*[2]战法技能效用!$AC$4)+BE55</f>
        <v>#VALUE!</v>
      </c>
      <c r="BF56" s="75" t="e">
        <f t="shared" si="20"/>
        <v>#VALUE!</v>
      </c>
      <c r="BJ56" s="29">
        <f t="shared" si="25"/>
        <v>53.226994578658328</v>
      </c>
      <c r="BK56" s="75">
        <f>武将数量星级阶位验证!AT59</f>
        <v>154264.2131602547</v>
      </c>
      <c r="BL56" s="75">
        <f>(AD56-AD55)*INDEX('[1]功能-付费相关'!$AR$6:$AR$165,BJ56,1)+BL55</f>
        <v>556.97464580222311</v>
      </c>
      <c r="BN56" s="29">
        <v>80</v>
      </c>
      <c r="BO56" s="29">
        <f t="shared" si="21"/>
        <v>611601.8957185694</v>
      </c>
      <c r="BP56" s="29">
        <f t="shared" si="22"/>
        <v>3746.0157637749535</v>
      </c>
      <c r="BQ56" s="29">
        <f t="shared" si="26"/>
        <v>615347.91148234438</v>
      </c>
    </row>
    <row r="57" spans="2:90" x14ac:dyDescent="0.15">
      <c r="B57" s="167" t="s">
        <v>199</v>
      </c>
      <c r="C57" s="168"/>
      <c r="D57" s="29" t="s">
        <v>3</v>
      </c>
      <c r="E57" s="29" t="s">
        <v>1</v>
      </c>
      <c r="F57" s="29" t="s">
        <v>2</v>
      </c>
      <c r="G57" s="29" t="s">
        <v>0</v>
      </c>
      <c r="H57" s="14" t="s">
        <v>545</v>
      </c>
      <c r="I57" s="14" t="s">
        <v>30</v>
      </c>
      <c r="J57" s="77"/>
      <c r="M57" s="72">
        <v>12</v>
      </c>
      <c r="N57" s="29">
        <f>基础状态预期!D70</f>
        <v>59.016342740868758</v>
      </c>
      <c r="O57" s="29">
        <f>IF(基础状态预期!F70="",0,求节点($C$104:$C$112,D$104:D$112,基础状态预期!K70))</f>
        <v>0</v>
      </c>
      <c r="P57" s="29">
        <f>IF(基础状态预期!G70="",0,求节点($C$104:$C$112,E$104:E$112,基础状态预期!L70))</f>
        <v>0</v>
      </c>
      <c r="Q57" s="29">
        <f>IF(基础状态预期!H70="",0,求节点($C$104:$C$112,F$104:F$112,基础状态预期!M70))</f>
        <v>0</v>
      </c>
      <c r="R57" s="29">
        <f>IF(基础状态预期!I70="",0,求节点($C$104:$C$112,G$104:G$112,基础状态预期!N70))</f>
        <v>5.245175960304409</v>
      </c>
      <c r="S57" s="29">
        <f>IF(基础状态预期!J70="",0,求节点($C$104:$C$112,H$104:H$112,基础状态预期!O70))</f>
        <v>2.2314729140240206</v>
      </c>
      <c r="T57" s="29">
        <f>IF(基础状态预期!F70="",0,求节点($C$114:$C$122,D$114:D$122,基础状态预期!K70)*基础状态预期!F70+求节点($C$124:$C$132,D$124:D$132,基础状态预期!$O70)*基础状态预期!$J70)</f>
        <v>0</v>
      </c>
      <c r="U57" s="29">
        <f>IF(基础状态预期!G70="",0,求节点($C$114:$C$122,E$114:E$122,基础状态预期!L70)*基础状态预期!G70+求节点($C$124:$C$132,E$124:E$132,基础状态预期!$O70)*基础状态预期!$J70)</f>
        <v>0</v>
      </c>
      <c r="V57" s="29">
        <f>IF(基础状态预期!H70="",0,求节点($C$114:$C$122,F$114:F$122,基础状态预期!M70)*基础状态预期!H70+求节点($C$124:$C$132,F$124:F$132,基础状态预期!$O70)*基础状态预期!$J70)</f>
        <v>0</v>
      </c>
      <c r="W57" s="148">
        <f>IF(基础状态预期!I70="",0,求节点($C$114:$C$122,G$114:G$122,基础状态预期!N70)*基础状态预期!I70)+IF(基础状态预期!O70="",0,求节点($C$124:$C$132,G$124:G$132,基础状态预期!$O70)*基础状态预期!$J70)</f>
        <v>4</v>
      </c>
      <c r="X57" s="29">
        <f>IF(基础状态预期!J70="",0,求节点($C$114:$C$122,H$114:H$122,基础状态预期!O70)*基础状态预期!J70+求节点($C$124:$C$132,H$124:H$132,基础状态预期!$O70)*基础状态预期!$J70)</f>
        <v>0</v>
      </c>
      <c r="Y57" s="14">
        <f>IF(基础状态预期!K70="",0,求节点($C$92:$C$100,D$92:D$100,基础状态预期!K70))</f>
        <v>0</v>
      </c>
      <c r="Z57" s="14">
        <f>IF(基础状态预期!L70="",0,求节点($C$92:$C$100,E$92:E$100,基础状态预期!L70))</f>
        <v>0</v>
      </c>
      <c r="AA57" s="14">
        <f>IF(基础状态预期!M70="",0,求节点($C$92:$C$100,F$92:F$100,基础状态预期!M70))</f>
        <v>0</v>
      </c>
      <c r="AB57" s="14">
        <f>IF(基础状态预期!N70="",0,求节点($C$92:$C$100,G$92:G$100,基础状态预期!N70))</f>
        <v>119807.03841217636</v>
      </c>
      <c r="AC57" s="14">
        <f>IF(基础状态预期!O70="",0,求节点($C$92:$C$100,H$92:H$100,基础状态预期!O70))</f>
        <v>21944.187420720617</v>
      </c>
      <c r="AD57" s="29">
        <f>MAX(SUMPRODUCT(Y57:AC57,基础状态预期!F70:J70),AD56)</f>
        <v>523116.52849014668</v>
      </c>
      <c r="AF57" s="29" t="str">
        <f>IF(基础状态预期!K70="","",基础状态预期!K70*D$59+D$58)</f>
        <v/>
      </c>
      <c r="AG57" s="29" t="str">
        <f>IF(基础状态预期!L70="","",基础状态预期!L70*E$59+E$58)</f>
        <v/>
      </c>
      <c r="AH57" s="29" t="str">
        <f>IF(基础状态预期!M70="","",基础状态预期!M70*F$59+F$58)</f>
        <v/>
      </c>
      <c r="AI57" s="29">
        <f>IF(基础状态预期!N70="","",基础状态预期!N70*G$59+G$58)</f>
        <v>103.11293990076102</v>
      </c>
      <c r="AJ57" s="29">
        <f>IF(基础状态预期!O70="","",基础状态预期!O70*H$59+H$58)</f>
        <v>107.38883748414412</v>
      </c>
      <c r="AK57" s="29">
        <f>MAX(SUMPRODUCT(AF57:AJ57,基础状态预期!$F70:$J70)/SUM(基础状态预期!$F70:$J70),AK56)</f>
        <v>104.53823909522207</v>
      </c>
      <c r="AL57" s="29">
        <f>IF(基础状态预期!K70="",0,求节点($C$68:$C$76,D$68:D$76,基础状态预期!K70))</f>
        <v>0</v>
      </c>
      <c r="AM57" s="29">
        <f>IF(基础状态预期!L70="",0,求节点($C$68:$C$76,E$68:E$76,基础状态预期!L70))</f>
        <v>0</v>
      </c>
      <c r="AN57" s="29">
        <f>IF(基础状态预期!M70="",0,求节点($C$68:$C$76,F$68:F$76,基础状态预期!M70)*求节点(武将升级!$H$52:$H$54,武将升级!$J$52:$J$54,基础状态预期!W70))</f>
        <v>0</v>
      </c>
      <c r="AO57" s="29">
        <f>IF(基础状态预期!N70="",0,求节点($C$68:$C$76,G$68:G$76,基础状态预期!N70)*求节点(武将升级!$H$52:$H$54,武将升级!$J$52:$J$54,基础状态预期!X70))</f>
        <v>0.47682633457095874</v>
      </c>
      <c r="AP57" s="29">
        <f>IF(基础状态预期!O70="",0,求节点($C$68:$C$76,H$68:H$76,基础状态预期!O70)*求节点(武将升级!$H$52:$H$54,武将升级!$J$52:$J$54,基础状态预期!Y70))</f>
        <v>0.59851783312192164</v>
      </c>
      <c r="AQ57" s="29">
        <f>MAX(SUMPRODUCT(AL57:AP57,基础状态预期!$F70:$J70)/SUM(基础状态预期!$F70:$J70),AQ56)</f>
        <v>0.51739016742127975</v>
      </c>
      <c r="AR57" s="29">
        <f>IF(基础状态预期!K70="",0,求节点($C$158:$C$166,D$158:D$166,基础状态预期!K70))</f>
        <v>0</v>
      </c>
      <c r="AS57" s="29">
        <f>IF(基础状态预期!L70="",0,求节点($C$158:$C$166,E$158:E$166,基础状态预期!L70))</f>
        <v>0</v>
      </c>
      <c r="AT57" s="29">
        <f>IF(基础状态预期!M70="",0,求节点($C$158:$C$166,F$158:F$166,基础状态预期!M70))</f>
        <v>0</v>
      </c>
      <c r="AU57" s="29">
        <f>IF(基础状态预期!N70="",0,求节点($C$158:$C$166,G$158:G$166,基础状态预期!N70))</f>
        <v>0.25358115861065433</v>
      </c>
      <c r="AV57" s="29">
        <f>IF(基础状态预期!O70="",0,求节点($C$158:$C$166,H$158:H$166,基础状态预期!O70))</f>
        <v>0.12314729140240206</v>
      </c>
      <c r="AW57" s="29">
        <f>MAX(SUMPRODUCT(AR57:AV57,基础状态预期!$F70:$J70)/SUM(基础状态预期!$F70:$J70),AW56)</f>
        <v>0.21010320287457027</v>
      </c>
      <c r="BA57" s="29">
        <v>90</v>
      </c>
      <c r="BB57" s="29">
        <f t="shared" si="18"/>
        <v>144.57386554961559</v>
      </c>
      <c r="BC57" s="29">
        <f t="shared" si="19"/>
        <v>1.0919421618911493</v>
      </c>
      <c r="BD57" s="29">
        <f>(BB57-BB56)*(INDEX([2]小r将兵属性验证!$V$7:$V$166,$BA57,1)+INDEX([2]小r将兵属性验证!$AP$7:$AP$166,$BA57,1))+BD56</f>
        <v>14979134729.850912</v>
      </c>
      <c r="BE57" s="29" t="e">
        <f>(BC57-BC56)*(INDEX([2]小r将兵属性验证!$AC$7:$AC$166,$BA57,1)*[2]战法技能效用!$AB$4+INDEX([2]小r将兵属性验证!$AX$7:$AX$166,$BA57,1)*[2]战法技能效用!$AC$4)+BE56</f>
        <v>#VALUE!</v>
      </c>
      <c r="BF57" s="75" t="e">
        <f t="shared" si="20"/>
        <v>#VALUE!</v>
      </c>
      <c r="BJ57" s="29">
        <f t="shared" si="25"/>
        <v>59.016342740868758</v>
      </c>
      <c r="BK57" s="75">
        <f>武将数量星级阶位验证!AT60</f>
        <v>212691.55016931059</v>
      </c>
      <c r="BL57" s="75">
        <f>(AD57-AD56)*INDEX('[1]功能-付费相关'!$AR$6:$AR$165,BJ57,1)+BL56</f>
        <v>737.39160687708875</v>
      </c>
      <c r="BN57" s="29">
        <v>90</v>
      </c>
      <c r="BO57" s="29">
        <f t="shared" si="21"/>
        <v>983399.98418965912</v>
      </c>
      <c r="BP57" s="29">
        <f t="shared" si="22"/>
        <v>16658.572604281555</v>
      </c>
      <c r="BQ57" s="29">
        <f t="shared" si="26"/>
        <v>1000058.5567939407</v>
      </c>
    </row>
    <row r="58" spans="2:90" x14ac:dyDescent="0.15">
      <c r="B58" s="161" t="s">
        <v>192</v>
      </c>
      <c r="C58" s="163"/>
      <c r="D58" s="29">
        <v>50</v>
      </c>
      <c r="E58" s="29">
        <v>60</v>
      </c>
      <c r="F58" s="29">
        <v>70</v>
      </c>
      <c r="G58" s="29">
        <v>85</v>
      </c>
      <c r="H58" s="29">
        <v>100</v>
      </c>
      <c r="I58" s="29">
        <v>120</v>
      </c>
      <c r="L58" s="123">
        <f>I68/H68</f>
        <v>1.4</v>
      </c>
      <c r="M58" s="72">
        <v>13</v>
      </c>
      <c r="N58" s="29">
        <f>基础状态预期!D71</f>
        <v>64.781009552500748</v>
      </c>
      <c r="O58" s="29">
        <f>IF(基础状态预期!F71="",0,求节点($C$104:$C$112,D$104:D$112,基础状态预期!K71))</f>
        <v>0</v>
      </c>
      <c r="P58" s="29">
        <f>IF(基础状态预期!G71="",0,求节点($C$104:$C$112,E$104:E$112,基础状态预期!L71))</f>
        <v>0</v>
      </c>
      <c r="Q58" s="29">
        <f>IF(基础状态预期!H71="",0,求节点($C$104:$C$112,F$104:F$112,基础状态预期!M71))</f>
        <v>0</v>
      </c>
      <c r="R58" s="29">
        <f>IF(基础状态预期!I71="",0,求节点($C$104:$C$112,G$104:G$112,基础状态预期!N71))</f>
        <v>5.9985799823368904</v>
      </c>
      <c r="S58" s="29">
        <f>IF(基础状态预期!J71="",0,求节点($C$104:$C$112,H$104:H$112,基础状态预期!O71))</f>
        <v>4.6925054045388217</v>
      </c>
      <c r="T58" s="29">
        <f>IF(基础状态预期!F71="",0,求节点($C$114:$C$122,D$114:D$122,基础状态预期!K71)*基础状态预期!F71+求节点($C$124:$C$132,D$124:D$132,基础状态预期!$O71)*基础状态预期!$J71)</f>
        <v>0</v>
      </c>
      <c r="U58" s="29">
        <f>IF(基础状态预期!G71="",0,求节点($C$114:$C$122,E$114:E$122,基础状态预期!L71)*基础状态预期!G71+求节点($C$124:$C$132,E$124:E$132,基础状态预期!$O71)*基础状态预期!$J71)</f>
        <v>0</v>
      </c>
      <c r="V58" s="29">
        <f>IF(基础状态预期!H71="",0,求节点($C$114:$C$122,F$114:F$122,基础状态预期!M71)*基础状态预期!H71+求节点($C$124:$C$132,F$124:F$132,基础状态预期!$O71)*基础状态预期!$J71)</f>
        <v>0</v>
      </c>
      <c r="W58" s="148">
        <f>IF(基础状态预期!I71="",0,求节点($C$114:$C$122,G$114:G$122,基础状态预期!N71)*基础状态预期!I71)+IF(基础状态预期!O71="",0,求节点($C$124:$C$132,G$124:G$132,基础状态预期!$O71)*基础状态预期!$J71)</f>
        <v>12</v>
      </c>
      <c r="X58" s="29">
        <f>IF(基础状态预期!J71="",0,求节点($C$114:$C$122,H$114:H$122,基础状态预期!O71)*基础状态预期!J71+求节点($C$124:$C$132,H$124:H$132,基础状态预期!$O71)*基础状态预期!$J71)</f>
        <v>0</v>
      </c>
      <c r="Y58" s="14">
        <f>IF(基础状态预期!K71="",0,求节点($C$92:$C$100,D$92:D$100,基础状态预期!K71))</f>
        <v>0</v>
      </c>
      <c r="Z58" s="14">
        <f>IF(基础状态预期!L71="",0,求节点($C$92:$C$100,E$92:E$100,基础状态预期!L71))</f>
        <v>0</v>
      </c>
      <c r="AA58" s="14">
        <f>IF(基础状态预期!M71="",0,求节点($C$92:$C$100,F$92:F$100,基础状态预期!M71))</f>
        <v>0</v>
      </c>
      <c r="AB58" s="14">
        <f>IF(基础状态预期!N71="",0,求节点($C$92:$C$100,G$92:G$100,基础状态预期!N71))</f>
        <v>149943.1992934756</v>
      </c>
      <c r="AC58" s="14">
        <f>IF(基础状态预期!O71="",0,求节点($C$92:$C$100,H$92:H$100,基础状态预期!O71))</f>
        <v>146550.32427232931</v>
      </c>
      <c r="AD58" s="29">
        <f>MAX(SUMPRODUCT(Y58:AC58,基础状态预期!F71:J71),AD57)</f>
        <v>889480.57069741469</v>
      </c>
      <c r="AF58" s="29" t="str">
        <f>IF(基础状态预期!K71="","",基础状态预期!K71*D$59+D$58)</f>
        <v/>
      </c>
      <c r="AG58" s="29" t="str">
        <f>IF(基础状态预期!L71="","",基础状态预期!L71*E$59+E$58)</f>
        <v/>
      </c>
      <c r="AH58" s="29" t="str">
        <f>IF(基础状态预期!M71="","",基础状态预期!M71*F$59+F$58)</f>
        <v/>
      </c>
      <c r="AI58" s="29">
        <f>IF(基础状态预期!N71="","",基础状态预期!N71*G$59+G$58)</f>
        <v>104.99644995584222</v>
      </c>
      <c r="AJ58" s="29">
        <f>IF(基础状态预期!O71="","",基础状态预期!O71*H$59+H$58)</f>
        <v>120.07751621361646</v>
      </c>
      <c r="AK58" s="29">
        <f>MAX(SUMPRODUCT(AF58:AJ58,基础状态预期!$F71:$J71)/SUM(基础状态预期!$F71:$J71),AK57)</f>
        <v>112.53698308472934</v>
      </c>
      <c r="AL58" s="29">
        <f>IF(基础状态预期!K71="",0,求节点($C$68:$C$76,D$68:D$76,基础状态预期!K71))</f>
        <v>0</v>
      </c>
      <c r="AM58" s="29">
        <f>IF(基础状态预期!L71="",0,求节点($C$68:$C$76,E$68:E$76,基础状态预期!L71))</f>
        <v>0</v>
      </c>
      <c r="AN58" s="29">
        <f>IF(基础状态预期!M71="",0,求节点($C$68:$C$76,F$68:F$76,基础状态预期!M71)*求节点(武将升级!$H$52:$H$54,武将升级!$J$52:$J$54,基础状态预期!W71))</f>
        <v>0</v>
      </c>
      <c r="AO58" s="29">
        <f>IF(基础状态预期!N71="",0,求节点($C$68:$C$76,G$68:G$76,基础状态预期!N71)*求节点(武将升级!$H$52:$H$54,武将升级!$J$52:$J$54,基础状态预期!X71))</f>
        <v>0.50394887936412802</v>
      </c>
      <c r="AP58" s="29">
        <f>IF(基础状态预期!O71="",0,求节点($C$68:$C$76,H$68:H$76,基础状态预期!O71)*求节点(武将升级!$H$52:$H$54,武将升级!$J$52:$J$54,基础状态预期!Y71))</f>
        <v>0.76770021618155271</v>
      </c>
      <c r="AQ58" s="29">
        <f>MAX(SUMPRODUCT(AL58:AP58,基础状态预期!$F71:$J71)/SUM(基础状态预期!$F71:$J71),AQ57)</f>
        <v>0.63582454777284036</v>
      </c>
      <c r="AR58" s="29">
        <f>IF(基础状态预期!K71="",0,求节点($C$158:$C$166,D$158:D$166,基础状态预期!K71))</f>
        <v>0</v>
      </c>
      <c r="AS58" s="29">
        <f>IF(基础状态预期!L71="",0,求节点($C$158:$C$166,E$158:E$166,基础状态预期!L71))</f>
        <v>0</v>
      </c>
      <c r="AT58" s="29">
        <f>IF(基础状态预期!M71="",0,求节点($C$158:$C$166,F$158:F$166,基础状态预期!M71))</f>
        <v>0</v>
      </c>
      <c r="AU58" s="29">
        <f>IF(基础状态预期!N71="",0,求节点($C$158:$C$166,G$158:G$166,基础状态预期!N71))</f>
        <v>0.27995029938179117</v>
      </c>
      <c r="AV58" s="29">
        <f>IF(基础状态预期!O71="",0,求节点($C$158:$C$166,H$158:H$166,基础状态预期!O71))</f>
        <v>0.33462527022694111</v>
      </c>
      <c r="AW58" s="29">
        <f>MAX(SUMPRODUCT(AR58:AV58,基础状态预期!$F71:$J71)/SUM(基础状态预期!$F71:$J71),AW57)</f>
        <v>0.30728778480436608</v>
      </c>
      <c r="BA58" s="29">
        <v>100</v>
      </c>
      <c r="BB58" s="29">
        <f t="shared" si="18"/>
        <v>148</v>
      </c>
      <c r="BC58" s="29">
        <f t="shared" si="19"/>
        <v>1.1399999999999999</v>
      </c>
      <c r="BD58" s="29">
        <f>(BB58-BB57)*(INDEX([2]小r将兵属性验证!$V$7:$V$166,$BA58,1)+INDEX([2]小r将兵属性验证!$AP$7:$AP$166,$BA58,1))+BD57</f>
        <v>20133092203.790638</v>
      </c>
      <c r="BE58" s="29" t="e">
        <f>(BC58-BC57)*(INDEX([2]小r将兵属性验证!$AC$7:$AC$166,$BA58,1)*[2]战法技能效用!$AB$4+INDEX([2]小r将兵属性验证!$AX$7:$AX$166,$BA58,1)*[2]战法技能效用!$AC$4)+BE57</f>
        <v>#VALUE!</v>
      </c>
      <c r="BF58" s="75" t="e">
        <f t="shared" si="20"/>
        <v>#VALUE!</v>
      </c>
      <c r="BJ58" s="29">
        <f t="shared" si="25"/>
        <v>64.781009552500748</v>
      </c>
      <c r="BK58" s="75">
        <f>武将数量星级阶位验证!AT61</f>
        <v>295102.15347418282</v>
      </c>
      <c r="BL58" s="75">
        <f>(AD58-AD57)*INDEX('[1]功能-付费相关'!$AR$6:$AR$165,BJ58,1)+BL57</f>
        <v>1177.7330037608244</v>
      </c>
      <c r="BN58" s="29">
        <v>100</v>
      </c>
      <c r="BO58" s="29">
        <f t="shared" si="21"/>
        <v>1613759.1040922049</v>
      </c>
      <c r="BP58" s="29">
        <f t="shared" si="22"/>
        <v>22771.119957274819</v>
      </c>
      <c r="BQ58" s="29">
        <f t="shared" si="26"/>
        <v>1636530.2240494797</v>
      </c>
      <c r="CL58" s="123"/>
    </row>
    <row r="59" spans="2:90" x14ac:dyDescent="0.15">
      <c r="B59" s="161" t="s">
        <v>242</v>
      </c>
      <c r="C59" s="163"/>
      <c r="D59" s="29">
        <v>5</v>
      </c>
      <c r="E59" s="29">
        <v>5</v>
      </c>
      <c r="F59" s="29">
        <v>5</v>
      </c>
      <c r="G59" s="29">
        <v>5</v>
      </c>
      <c r="H59" s="29">
        <v>6</v>
      </c>
      <c r="I59" s="29">
        <v>6</v>
      </c>
      <c r="L59" s="123">
        <f t="shared" ref="L59:L66" si="35">I69/H69</f>
        <v>1.3586206896551725</v>
      </c>
      <c r="M59" s="72">
        <v>14</v>
      </c>
      <c r="N59" s="29">
        <f>基础状态预期!D72</f>
        <v>68.923431594456531</v>
      </c>
      <c r="O59" s="29">
        <f>IF(基础状态预期!F72="",0,求节点($C$104:$C$112,D$104:D$112,基础状态预期!K72))</f>
        <v>0</v>
      </c>
      <c r="P59" s="29">
        <f>IF(基础状态预期!G72="",0,求节点($C$104:$C$112,E$104:E$112,基础状态预期!L72))</f>
        <v>0</v>
      </c>
      <c r="Q59" s="29">
        <f>IF(基础状态预期!H72="",0,求节点($C$104:$C$112,F$104:F$112,基础状态预期!M72))</f>
        <v>0</v>
      </c>
      <c r="R59" s="29">
        <f>IF(基础状态预期!I72="",0,求节点($C$104:$C$112,G$104:G$112,基础状态预期!N72))</f>
        <v>6.667622924417655</v>
      </c>
      <c r="S59" s="29">
        <f>IF(基础状态预期!J72="",0,求节点($C$104:$C$112,H$104:H$112,基础状态预期!O72))</f>
        <v>5.5539419250074644</v>
      </c>
      <c r="T59" s="29">
        <f>IF(基础状态预期!F72="",0,求节点($C$114:$C$122,D$114:D$122,基础状态预期!K72)*基础状态预期!F72+求节点($C$124:$C$132,D$124:D$132,基础状态预期!$O72)*基础状态预期!$J72)</f>
        <v>0</v>
      </c>
      <c r="U59" s="29">
        <f>IF(基础状态预期!G72="",0,求节点($C$114:$C$122,E$114:E$122,基础状态预期!L72)*基础状态预期!G72+求节点($C$124:$C$132,E$124:E$132,基础状态预期!$O72)*基础状态预期!$J72)</f>
        <v>0</v>
      </c>
      <c r="V59" s="29">
        <f>IF(基础状态预期!H72="",0,求节点($C$114:$C$122,F$114:F$122,基础状态预期!M72)*基础状态预期!H72+求节点($C$124:$C$132,F$124:F$132,基础状态预期!$O72)*基础状态预期!$J72)</f>
        <v>0</v>
      </c>
      <c r="W59" s="148">
        <f>IF(基础状态预期!I72="",0,求节点($C$114:$C$122,G$114:G$122,基础状态预期!N72)*基础状态预期!I72)+IF(基础状态预期!O72="",0,求节点($C$124:$C$132,G$124:G$132,基础状态预期!$O72)*基础状态预期!$J72)</f>
        <v>15.33524584883531</v>
      </c>
      <c r="X59" s="29">
        <f>IF(基础状态预期!J72="",0,求节点($C$114:$C$122,H$114:H$122,基础状态预期!O72)*基础状态预期!J72+求节点($C$124:$C$132,H$124:H$132,基础状态预期!$O72)*基础状态预期!$J72)</f>
        <v>0</v>
      </c>
      <c r="Y59" s="14">
        <f>IF(基础状态预期!K72="",0,求节点($C$92:$C$100,D$92:D$100,基础状态预期!K72))</f>
        <v>0</v>
      </c>
      <c r="Z59" s="14">
        <f>IF(基础状态预期!L72="",0,求节点($C$92:$C$100,E$92:E$100,基础状态预期!L72))</f>
        <v>0</v>
      </c>
      <c r="AA59" s="14">
        <f>IF(基础状态预期!M72="",0,求节点($C$92:$C$100,F$92:F$100,基础状态预期!M72))</f>
        <v>0</v>
      </c>
      <c r="AB59" s="14">
        <f>IF(基础状态预期!N72="",0,求节点($C$92:$C$100,G$92:G$100,基础状态预期!N72))</f>
        <v>203409.8339534124</v>
      </c>
      <c r="AC59" s="14">
        <f>IF(基础状态预期!O72="",0,求节点($C$92:$C$100,H$92:H$100,基础状态预期!O72))</f>
        <v>198236.51550044786</v>
      </c>
      <c r="AD59" s="29">
        <f>MAX(SUMPRODUCT(Y59:AC59,基础状态预期!F72:J72),AD58)</f>
        <v>1199765.7299086163</v>
      </c>
      <c r="AF59" s="29" t="str">
        <f>IF(基础状态预期!K72="","",基础状态预期!K72*D$59+D$58)</f>
        <v/>
      </c>
      <c r="AG59" s="29" t="str">
        <f>IF(基础状态预期!L72="","",基础状态预期!L72*E$59+E$58)</f>
        <v/>
      </c>
      <c r="AH59" s="29" t="str">
        <f>IF(基础状态预期!M72="","",基础状态预期!M72*F$59+F$58)</f>
        <v/>
      </c>
      <c r="AI59" s="29">
        <f>IF(基础状态预期!N72="","",基础状态预期!N72*G$59+G$58)</f>
        <v>106.66905731104414</v>
      </c>
      <c r="AJ59" s="29">
        <f>IF(基础状态预期!O72="","",基础状态预期!O72*H$59+H$58)</f>
        <v>122.66182577502239</v>
      </c>
      <c r="AK59" s="29">
        <f>MAX(SUMPRODUCT(AF59:AJ59,基础状态预期!$F72:$J72)/SUM(基础状态预期!$F72:$J72),AK58)</f>
        <v>117.33090295369631</v>
      </c>
      <c r="AL59" s="29">
        <f>IF(基础状态预期!K72="",0,求节点($C$68:$C$76,D$68:D$76,基础状态预期!K72))</f>
        <v>0</v>
      </c>
      <c r="AM59" s="29">
        <f>IF(基础状态预期!L72="",0,求节点($C$68:$C$76,E$68:E$76,基础状态预期!L72))</f>
        <v>0</v>
      </c>
      <c r="AN59" s="29">
        <f>IF(基础状态预期!M72="",0,求节点($C$68:$C$76,F$68:F$76,基础状态预期!M72)*求节点(武将升级!$H$52:$H$54,武将升级!$J$52:$J$54,基础状态预期!W72))</f>
        <v>0</v>
      </c>
      <c r="AO59" s="29">
        <f>IF(基础状态预期!N72="",0,求节点($C$68:$C$76,G$68:G$76,基础状态预期!N72)*求节点(武将升级!$H$52:$H$54,武将升级!$J$52:$J$54,基础状态预期!X72))</f>
        <v>0.52803442527903566</v>
      </c>
      <c r="AP59" s="29">
        <f>IF(基础状态预期!O72="",0,求节点($C$68:$C$76,H$68:H$76,基础状态预期!O72)*求节点(武将升级!$H$52:$H$54,武将升级!$J$52:$J$54,基础状态预期!Y72))</f>
        <v>0.80215767700029839</v>
      </c>
      <c r="AQ59" s="29">
        <f>MAX(SUMPRODUCT(AL59:AP59,基础状态预期!$F72:$J72)/SUM(基础状态预期!$F72:$J72),AQ58)</f>
        <v>0.71078325975987744</v>
      </c>
      <c r="AR59" s="29">
        <f>IF(基础状态预期!K72="",0,求节点($C$158:$C$166,D$158:D$166,基础状态预期!K72))</f>
        <v>0</v>
      </c>
      <c r="AS59" s="29">
        <f>IF(基础状态预期!L72="",0,求节点($C$158:$C$166,E$158:E$166,基础状态预期!L72))</f>
        <v>0</v>
      </c>
      <c r="AT59" s="29">
        <f>IF(基础状态预期!M72="",0,求节点($C$158:$C$166,F$158:F$166,基础状态预期!M72))</f>
        <v>0</v>
      </c>
      <c r="AU59" s="29">
        <f>IF(基础状态预期!N72="",0,求节点($C$158:$C$166,G$158:G$166,基础状态预期!N72))</f>
        <v>0.30336680235461794</v>
      </c>
      <c r="AV59" s="29">
        <f>IF(基础状态预期!O72="",0,求节点($C$158:$C$166,H$158:H$166,基础状态预期!O72))</f>
        <v>0.37769709625037323</v>
      </c>
      <c r="AW59" s="29">
        <f>MAX(SUMPRODUCT(AR59:AV59,基础状态预期!$F72:$J72)/SUM(基础状态预期!$F72:$J72),AW58)</f>
        <v>0.35292033161845482</v>
      </c>
      <c r="BA59" s="29">
        <v>110</v>
      </c>
      <c r="BB59" s="29">
        <f t="shared" ref="BB59:BB64" si="36">求节点($N$49:$N$87,$AK$49:$AK$87,$BA59)</f>
        <v>148</v>
      </c>
      <c r="BC59" s="29">
        <f t="shared" ref="BC59:BC64" si="37">求节点($N$4:$N$42,$AQ$49:$AQ$87,$BA59)</f>
        <v>1.1399999999999999</v>
      </c>
      <c r="BD59" s="29">
        <f>(BB59-BB58)*(INDEX([2]小r将兵属性验证!$V$7:$V$166,$BA59,1)+INDEX([2]小r将兵属性验证!$AP$7:$AP$166,$BA59,1))+BD58</f>
        <v>20133092203.790638</v>
      </c>
      <c r="BE59" s="29" t="e">
        <f>(BC59-BC58)*(INDEX([2]小r将兵属性验证!$AC$7:$AC$166,$BA59,1)*[2]战法技能效用!$AB$4+INDEX([2]小r将兵属性验证!$AX$7:$AX$166,$BA59,1)*[2]战法技能效用!$AC$4)+BE58</f>
        <v>#VALUE!</v>
      </c>
      <c r="BF59" s="75" t="e">
        <f t="shared" ref="BF59:BF64" si="38">SUM(BD59:BE59)</f>
        <v>#VALUE!</v>
      </c>
      <c r="BJ59" s="29">
        <f t="shared" si="25"/>
        <v>68.923431594456531</v>
      </c>
      <c r="BK59" s="75">
        <f>武将数量星级阶位验证!AT62</f>
        <v>364858.59478629759</v>
      </c>
      <c r="BL59" s="75">
        <f>(AD59-AD58)*INDEX('[1]功能-付费相关'!$AR$6:$AR$165,BJ59,1)+BL58</f>
        <v>1536.8593454404559</v>
      </c>
      <c r="BN59" s="29">
        <v>110</v>
      </c>
      <c r="BO59" s="29">
        <f t="shared" ref="BO59:BO64" si="39">求节点($BJ$49:$BJ$87,BK$49:BK$87,$BN59)</f>
        <v>2887804.5907651871</v>
      </c>
      <c r="BP59" s="29">
        <f t="shared" ref="BP59:BP64" si="40">求节点($BJ$49:$BJ$87,BL$49:BL$87,$BN59)</f>
        <v>22771.119957274819</v>
      </c>
      <c r="BQ59" s="29">
        <f t="shared" ref="BQ59:BQ64" si="41">SUM(BO59:BP59)</f>
        <v>2910575.7107224618</v>
      </c>
      <c r="CL59" s="123"/>
    </row>
    <row r="60" spans="2:90" x14ac:dyDescent="0.15">
      <c r="J60" s="78"/>
      <c r="L60" s="123">
        <f t="shared" si="35"/>
        <v>1.3272727272727272</v>
      </c>
      <c r="M60" s="72">
        <v>15</v>
      </c>
      <c r="N60" s="29">
        <f>基础状态预期!D73</f>
        <v>72.103942950990486</v>
      </c>
      <c r="O60" s="29">
        <f>IF(基础状态预期!F73="",0,求节点($C$104:$C$112,D$104:D$112,基础状态预期!K73))</f>
        <v>0</v>
      </c>
      <c r="P60" s="29">
        <f>IF(基础状态预期!G73="",0,求节点($C$104:$C$112,E$104:E$112,基础状态预期!L73))</f>
        <v>0</v>
      </c>
      <c r="Q60" s="29">
        <f>IF(基础状态预期!H73="",0,求节点($C$104:$C$112,F$104:F$112,基础状态预期!M73))</f>
        <v>0</v>
      </c>
      <c r="R60" s="29">
        <f>IF(基础状态预期!I73="",0,求节点($C$104:$C$112,G$104:G$112,基础状态预期!N73))</f>
        <v>7.2544064342105123</v>
      </c>
      <c r="S60" s="29">
        <f>IF(基础状态预期!J73="",0,求节点($C$104:$C$112,H$104:H$112,基础状态预期!O73))</f>
        <v>5.7828958242809714</v>
      </c>
      <c r="T60" s="29">
        <f>IF(基础状态预期!F73="",0,求节点($C$114:$C$122,D$114:D$122,基础状态预期!K73)*基础状态预期!F73+求节点($C$124:$C$132,D$124:D$132,基础状态预期!$O73)*基础状态预期!$J73)</f>
        <v>0</v>
      </c>
      <c r="U60" s="29">
        <f>IF(基础状态预期!G73="",0,求节点($C$114:$C$122,E$114:E$122,基础状态预期!L73)*基础状态预期!G73+求节点($C$124:$C$132,E$124:E$132,基础状态预期!$O73)*基础状态预期!$J73)</f>
        <v>0</v>
      </c>
      <c r="V60" s="29">
        <f>IF(基础状态预期!H73="",0,求节点($C$114:$C$122,F$114:F$122,基础状态预期!M73)*基础状态预期!H73+求节点($C$124:$C$132,F$124:F$132,基础状态预期!$O73)*基础状态预期!$J73)</f>
        <v>0</v>
      </c>
      <c r="W60" s="148">
        <f>IF(基础状态预期!I73="",0,求节点($C$114:$C$122,G$114:G$122,基础状态预期!N73)*基础状态预期!I73)+IF(基础状态预期!O73="",0,求节点($C$124:$C$132,G$124:G$132,基础状态预期!$O73)*基础状态预期!$J73)</f>
        <v>17.254406434210512</v>
      </c>
      <c r="X60" s="29">
        <f>IF(基础状态预期!J73="",0,求节点($C$114:$C$122,H$114:H$122,基础状态预期!O73)*基础状态预期!J73+求节点($C$124:$C$132,H$124:H$132,基础状态预期!$O73)*基础状态预期!$J73)</f>
        <v>0</v>
      </c>
      <c r="Y60" s="14">
        <f>IF(基础状态预期!K73="",0,求节点($C$92:$C$100,D$92:D$100,基础状态预期!K73))</f>
        <v>0</v>
      </c>
      <c r="Z60" s="14">
        <f>IF(基础状态预期!L73="",0,求节点($C$92:$C$100,E$92:E$100,基础状态预期!L73))</f>
        <v>0</v>
      </c>
      <c r="AA60" s="14">
        <f>IF(基础状态预期!M73="",0,求节点($C$92:$C$100,F$92:F$100,基础状态预期!M73))</f>
        <v>0</v>
      </c>
      <c r="AB60" s="14">
        <f>IF(基础状态预期!N73="",0,求节点($C$92:$C$100,G$92:G$100,基础状态预期!N73))</f>
        <v>250352.51473684097</v>
      </c>
      <c r="AC60" s="14">
        <f>IF(基础状态预期!O73="",0,求节点($C$92:$C$100,H$92:H$100,基础状态预期!O73))</f>
        <v>211973.74945685826</v>
      </c>
      <c r="AD60" s="29">
        <f>MAX(SUMPRODUCT(Y60:AC60,基础状态预期!F73:J73),AD59)</f>
        <v>1310221.2620211323</v>
      </c>
      <c r="AF60" s="29" t="str">
        <f>IF(基础状态预期!K73="","",基础状态预期!K73*D$59+D$58)</f>
        <v/>
      </c>
      <c r="AG60" s="29" t="str">
        <f>IF(基础状态预期!L73="","",基础状态预期!L73*E$59+E$58)</f>
        <v/>
      </c>
      <c r="AH60" s="29" t="str">
        <f>IF(基础状态预期!M73="","",基础状态预期!M73*F$59+F$58)</f>
        <v/>
      </c>
      <c r="AI60" s="29">
        <f>IF(基础状态预期!N73="","",基础状态预期!N73*G$59+G$58)</f>
        <v>108.13601608552628</v>
      </c>
      <c r="AJ60" s="29">
        <f>IF(基础状态预期!O73="","",基础状态预期!O73*H$59+H$58)</f>
        <v>123.34868747284291</v>
      </c>
      <c r="AK60" s="29">
        <f>MAX(SUMPRODUCT(AF60:AJ60,基础状态预期!$F73:$J73)/SUM(基础状态预期!$F73:$J73),AK59)</f>
        <v>120.81324224162347</v>
      </c>
      <c r="AL60" s="29">
        <f>IF(基础状态预期!K73="",0,求节点($C$68:$C$76,D$68:D$76,基础状态预期!K73))</f>
        <v>0</v>
      </c>
      <c r="AM60" s="29">
        <f>IF(基础状态预期!L73="",0,求节点($C$68:$C$76,E$68:E$76,基础状态预期!L73))</f>
        <v>0</v>
      </c>
      <c r="AN60" s="29">
        <f>IF(基础状态预期!M73="",0,求节点($C$68:$C$76,F$68:F$76,基础状态预期!M73)*求节点(武将升级!$H$52:$H$54,武将升级!$J$52:$J$54,基础状态预期!W73))</f>
        <v>0</v>
      </c>
      <c r="AO60" s="29">
        <f>IF(基础状态预期!N73="",0,求节点($C$68:$C$76,G$68:G$76,基础状态预期!N73)*求节点(武将升级!$H$52:$H$54,武将升级!$J$52:$J$54,基础状态预期!X73))</f>
        <v>0.54915863163157852</v>
      </c>
      <c r="AP60" s="29">
        <f>IF(基础状态预期!O73="",0,求节点($C$68:$C$76,H$68:H$76,基础状态预期!O73)*求节点(武将升级!$H$52:$H$54,武将升级!$J$52:$J$54,基础状态预期!Y73))</f>
        <v>0.81131583297123866</v>
      </c>
      <c r="AQ60" s="29">
        <f>MAX(SUMPRODUCT(AL60:AP60,基础状态预期!$F73:$J73)/SUM(基础状态预期!$F73:$J73),AQ59)</f>
        <v>0.76762296608129532</v>
      </c>
      <c r="AR60" s="29">
        <f>IF(基础状态预期!K73="",0,求节点($C$158:$C$166,D$158:D$166,基础状态预期!K73))</f>
        <v>0</v>
      </c>
      <c r="AS60" s="29">
        <f>IF(基础状态预期!L73="",0,求节点($C$158:$C$166,E$158:E$166,基础状态预期!L73))</f>
        <v>0</v>
      </c>
      <c r="AT60" s="29">
        <f>IF(基础状态预期!M73="",0,求节点($C$158:$C$166,F$158:F$166,基础状态预期!M73))</f>
        <v>0</v>
      </c>
      <c r="AU60" s="29">
        <f>IF(基础状态预期!N73="",0,求节点($C$158:$C$166,G$158:G$166,基础状态预期!N73))</f>
        <v>0.32390422519736795</v>
      </c>
      <c r="AV60" s="29">
        <f>IF(基础状态预期!O73="",0,求节点($C$158:$C$166,H$158:H$166,基础状态预期!O73))</f>
        <v>0.3891447912140486</v>
      </c>
      <c r="AW60" s="29">
        <f>MAX(SUMPRODUCT(AR60:AV60,基础状态预期!$F73:$J73)/SUM(基础状态预期!$F73:$J73),AW59)</f>
        <v>0.37827136354460184</v>
      </c>
      <c r="BA60" s="29">
        <v>120</v>
      </c>
      <c r="BB60" s="29">
        <f t="shared" si="36"/>
        <v>148</v>
      </c>
      <c r="BC60" s="29">
        <f t="shared" si="37"/>
        <v>1.1399999999999999</v>
      </c>
      <c r="BD60" s="29">
        <f>(BB60-BB59)*(INDEX([2]小r将兵属性验证!$V$7:$V$166,$BA60,1)+INDEX([2]小r将兵属性验证!$AP$7:$AP$166,$BA60,1))+BD59</f>
        <v>20133092203.790638</v>
      </c>
      <c r="BE60" s="29" t="e">
        <f>(BC60-BC59)*(INDEX([2]小r将兵属性验证!$AC$7:$AC$166,$BA60,1)*[2]战法技能效用!$AB$4+INDEX([2]小r将兵属性验证!$AX$7:$AX$166,$BA60,1)*[2]战法技能效用!$AC$4)+BE59</f>
        <v>#VALUE!</v>
      </c>
      <c r="BF60" s="75" t="e">
        <f t="shared" si="38"/>
        <v>#VALUE!</v>
      </c>
      <c r="BJ60" s="29">
        <f t="shared" si="25"/>
        <v>72.103942950990486</v>
      </c>
      <c r="BK60" s="75">
        <f>武将数量星级阶位验证!AT63</f>
        <v>422276.12125522614</v>
      </c>
      <c r="BL60" s="75">
        <f>(AD60-AD59)*INDEX('[1]功能-付费相关'!$AR$6:$AR$165,BJ60,1)+BL59</f>
        <v>1660.135608958889</v>
      </c>
      <c r="BN60" s="29">
        <v>120</v>
      </c>
      <c r="BO60" s="29">
        <f t="shared" si="39"/>
        <v>5250671.0240544006</v>
      </c>
      <c r="BP60" s="29">
        <f t="shared" si="40"/>
        <v>22771.119957274819</v>
      </c>
      <c r="BQ60" s="29">
        <f t="shared" si="41"/>
        <v>5273442.1440116754</v>
      </c>
      <c r="CL60" s="123"/>
    </row>
    <row r="61" spans="2:90" ht="11.25" customHeight="1" x14ac:dyDescent="0.15">
      <c r="L61" s="123">
        <f t="shared" si="35"/>
        <v>1.3027027027027027</v>
      </c>
      <c r="M61" s="72">
        <v>16</v>
      </c>
      <c r="N61" s="29">
        <f>基础状态预期!D74</f>
        <v>74.74003809013405</v>
      </c>
      <c r="O61" s="29">
        <f>IF(基础状态预期!F74="",0,求节点($C$104:$C$112,D$104:D$112,基础状态预期!K74))</f>
        <v>0</v>
      </c>
      <c r="P61" s="29">
        <f>IF(基础状态预期!G74="",0,求节点($C$104:$C$112,E$104:E$112,基础状态预期!L74))</f>
        <v>0</v>
      </c>
      <c r="Q61" s="29">
        <f>IF(基础状态预期!H74="",0,求节点($C$104:$C$112,F$104:F$112,基础状态预期!M74))</f>
        <v>0</v>
      </c>
      <c r="R61" s="29">
        <f>IF(基础状态预期!I74="",0,求节点($C$104:$C$112,G$104:G$112,基础状态预期!N74))</f>
        <v>7.8209808258178874</v>
      </c>
      <c r="S61" s="29">
        <f>IF(基础状态预期!J74="",0,求节点($C$104:$C$112,H$104:H$112,基础状态预期!O74))</f>
        <v>6.4108238135516231</v>
      </c>
      <c r="T61" s="29">
        <f>IF(基础状态预期!F74="",0,求节点($C$114:$C$122,D$114:D$122,基础状态预期!K74)*基础状态预期!F74+求节点($C$124:$C$132,D$124:D$132,基础状态预期!$O74)*基础状态预期!$J74)</f>
        <v>0</v>
      </c>
      <c r="U61" s="29">
        <f>IF(基础状态预期!G74="",0,求节点($C$114:$C$122,E$114:E$122,基础状态预期!L74)*基础状态预期!G74+求节点($C$124:$C$132,E$124:E$132,基础状态预期!$O74)*基础状态预期!$J74)</f>
        <v>0</v>
      </c>
      <c r="V61" s="29">
        <f>IF(基础状态预期!H74="",0,求节点($C$114:$C$122,F$114:F$122,基础状态预期!M74)*基础状态预期!H74+求节点($C$124:$C$132,F$124:F$132,基础状态预期!$O74)*基础状态预期!$J74)</f>
        <v>0</v>
      </c>
      <c r="W61" s="148">
        <f>IF(基础状态预期!I74="",0,求节点($C$114:$C$122,G$114:G$122,基础状态预期!N74)*基础状态预期!I74)+IF(基础状态预期!O74="",0,求节点($C$124:$C$132,G$124:G$132,基础状态预期!$O74)*基础状态预期!$J74)</f>
        <v>21.299786874709831</v>
      </c>
      <c r="X61" s="29">
        <f>IF(基础状态预期!J74="",0,求节点($C$114:$C$122,H$114:H$122,基础状态预期!O74)*基础状态预期!J74+求节点($C$124:$C$132,H$124:H$132,基础状态预期!$O74)*基础状态预期!$J74)</f>
        <v>0</v>
      </c>
      <c r="Y61" s="14">
        <f>IF(基础状态预期!K74="",0,求节点($C$92:$C$100,D$92:D$100,基础状态预期!K74))</f>
        <v>0</v>
      </c>
      <c r="Z61" s="14">
        <f>IF(基础状态预期!L74="",0,求节点($C$92:$C$100,E$92:E$100,基础状态预期!L74))</f>
        <v>0</v>
      </c>
      <c r="AA61" s="14">
        <f>IF(基础状态预期!M74="",0,求节点($C$92:$C$100,F$92:F$100,基础状态预期!M74))</f>
        <v>0</v>
      </c>
      <c r="AB61" s="14">
        <f>IF(基础状态预期!N74="",0,求节点($C$92:$C$100,G$92:G$100,基础状态预期!N74))</f>
        <v>295678.46606543101</v>
      </c>
      <c r="AC61" s="14">
        <f>IF(基础状态预期!O74="",0,求节点($C$92:$C$100,H$92:H$100,基础状态预期!O74))</f>
        <v>274298.85762619477</v>
      </c>
      <c r="AD61" s="29">
        <f>MAX(SUMPRODUCT(Y61:AC61,基础状态预期!F74:J74),AD60)</f>
        <v>1656482.9499767867</v>
      </c>
      <c r="AF61" s="29" t="str">
        <f>IF(基础状态预期!K74="","",基础状态预期!K74*D$59+D$58)</f>
        <v/>
      </c>
      <c r="AG61" s="29" t="str">
        <f>IF(基础状态预期!L74="","",基础状态预期!L74*E$59+E$58)</f>
        <v/>
      </c>
      <c r="AH61" s="29" t="str">
        <f>IF(基础状态预期!M74="","",基础状态预期!M74*F$59+F$58)</f>
        <v/>
      </c>
      <c r="AI61" s="29">
        <f>IF(基础状态预期!N74="","",基础状态预期!N74*G$59+G$58)</f>
        <v>109.55245206454472</v>
      </c>
      <c r="AJ61" s="29">
        <f>IF(基础状态预期!O74="","",基础状态预期!O74*H$59+H$58)</f>
        <v>125.23247144065488</v>
      </c>
      <c r="AK61" s="29">
        <f>MAX(SUMPRODUCT(AF61:AJ61,基础状态预期!$F74:$J74)/SUM(基础状态预期!$F74:$J74),AK60)</f>
        <v>123.92580315931235</v>
      </c>
      <c r="AL61" s="29">
        <f>IF(基础状态预期!K74="",0,求节点($C$68:$C$76,D$68:D$76,基础状态预期!K74))</f>
        <v>0</v>
      </c>
      <c r="AM61" s="29">
        <f>IF(基础状态预期!L74="",0,求节点($C$68:$C$76,E$68:E$76,基础状态预期!L74))</f>
        <v>0</v>
      </c>
      <c r="AN61" s="29">
        <f>IF(基础状态预期!M74="",0,求节点($C$68:$C$76,F$68:F$76,基础状态预期!M74)*求节点(武将升级!$H$52:$H$54,武将升级!$J$52:$J$54,基础状态预期!W74))</f>
        <v>0</v>
      </c>
      <c r="AO61" s="29">
        <f>IF(基础状态预期!N74="",0,求节点($C$68:$C$76,G$68:G$76,基础状态预期!N74)*求节点(武将升级!$H$52:$H$54,武将升级!$J$52:$J$54,基础状态预期!X74))</f>
        <v>0.56955530972944401</v>
      </c>
      <c r="AP61" s="29">
        <f>IF(基础状态预期!O74="",0,求节点($C$68:$C$76,H$68:H$76,基础状态预期!O74)*求节点(武将升级!$H$52:$H$54,武将升级!$J$52:$J$54,基础状态预期!Y74))</f>
        <v>0.83643295254206473</v>
      </c>
      <c r="AQ61" s="29">
        <f>MAX(SUMPRODUCT(AL61:AP61,基础状态预期!$F74:$J74)/SUM(基础状态预期!$F74:$J74),AQ60)</f>
        <v>0.81419314897434625</v>
      </c>
      <c r="AR61" s="29">
        <f>IF(基础状态预期!K74="",0,求节点($C$158:$C$166,D$158:D$166,基础状态预期!K74))</f>
        <v>0</v>
      </c>
      <c r="AS61" s="29">
        <f>IF(基础状态预期!L74="",0,求节点($C$158:$C$166,E$158:E$166,基础状态预期!L74))</f>
        <v>0</v>
      </c>
      <c r="AT61" s="29">
        <f>IF(基础状态预期!M74="",0,求节点($C$158:$C$166,F$158:F$166,基础状态预期!M74))</f>
        <v>0</v>
      </c>
      <c r="AU61" s="29">
        <f>IF(基础状态预期!N74="",0,求节点($C$158:$C$166,G$158:G$166,基础状态预期!N74))</f>
        <v>0.34373432890362604</v>
      </c>
      <c r="AV61" s="29">
        <f>IF(基础状态预期!O74="",0,求节点($C$158:$C$166,H$158:H$166,基础状态预期!O74))</f>
        <v>0.42054119067758117</v>
      </c>
      <c r="AW61" s="29">
        <f>MAX(SUMPRODUCT(AR61:AV61,基础状态预期!$F74:$J74)/SUM(基础状态预期!$F74:$J74),AW60)</f>
        <v>0.4141406188630849</v>
      </c>
      <c r="BA61" s="29">
        <v>130</v>
      </c>
      <c r="BB61" s="29">
        <f t="shared" si="36"/>
        <v>148</v>
      </c>
      <c r="BC61" s="29">
        <f t="shared" si="37"/>
        <v>1.1399999999999999</v>
      </c>
      <c r="BD61" s="29">
        <f>(BB61-BB60)*(INDEX([2]小r将兵属性验证!$V$7:$V$166,$BA61,1)+INDEX([2]小r将兵属性验证!$AP$7:$AP$166,$BA61,1))+BD60</f>
        <v>20133092203.790638</v>
      </c>
      <c r="BE61" s="29" t="e">
        <f>(BC61-BC60)*(INDEX([2]小r将兵属性验证!$AC$7:$AC$166,$BA61,1)*[2]战法技能效用!$AB$4+INDEX([2]小r将兵属性验证!$AX$7:$AX$166,$BA61,1)*[2]战法技能效用!$AC$4)+BE60</f>
        <v>#VALUE!</v>
      </c>
      <c r="BF61" s="75" t="e">
        <f t="shared" si="38"/>
        <v>#VALUE!</v>
      </c>
      <c r="BJ61" s="29">
        <f t="shared" si="25"/>
        <v>74.74003809013405</v>
      </c>
      <c r="BK61" s="75">
        <f>武将数量星级阶位验证!AT64</f>
        <v>476662.27999633242</v>
      </c>
      <c r="BL61" s="75">
        <f>(AD61-AD60)*INDEX('[1]功能-付费相关'!$AR$6:$AR$165,BJ61,1)+BL60</f>
        <v>2039.8085124190363</v>
      </c>
      <c r="BN61" s="29">
        <v>130</v>
      </c>
      <c r="BO61" s="29">
        <f t="shared" si="39"/>
        <v>9655395.1260591764</v>
      </c>
      <c r="BP61" s="29">
        <f t="shared" si="40"/>
        <v>22771.119957274819</v>
      </c>
      <c r="BQ61" s="29">
        <f t="shared" si="41"/>
        <v>9678166.2460164521</v>
      </c>
      <c r="BT61" s="78"/>
      <c r="CL61" s="123"/>
    </row>
    <row r="62" spans="2:90" x14ac:dyDescent="0.15">
      <c r="B62" s="167" t="s">
        <v>241</v>
      </c>
      <c r="C62" s="168"/>
      <c r="D62" s="29" t="s">
        <v>3</v>
      </c>
      <c r="E62" s="29" t="s">
        <v>1</v>
      </c>
      <c r="F62" s="29" t="s">
        <v>2</v>
      </c>
      <c r="G62" s="29" t="s">
        <v>0</v>
      </c>
      <c r="H62" s="29" t="s">
        <v>545</v>
      </c>
      <c r="I62" s="14" t="s">
        <v>30</v>
      </c>
      <c r="L62" s="123">
        <f t="shared" si="35"/>
        <v>1.2829268292682927</v>
      </c>
      <c r="M62" s="72">
        <v>17</v>
      </c>
      <c r="N62" s="29">
        <f>基础状态预期!D75</f>
        <v>77.609642525433856</v>
      </c>
      <c r="O62" s="29">
        <f>IF(基础状态预期!F75="",0,求节点($C$104:$C$112,D$104:D$112,基础状态预期!K75))</f>
        <v>0</v>
      </c>
      <c r="P62" s="29">
        <f>IF(基础状态预期!G75="",0,求节点($C$104:$C$112,E$104:E$112,基础状态预期!L75))</f>
        <v>0</v>
      </c>
      <c r="Q62" s="29">
        <f>IF(基础状态预期!H75="",0,求节点($C$104:$C$112,F$104:F$112,基础状态预期!M75))</f>
        <v>0</v>
      </c>
      <c r="R62" s="29">
        <f>IF(基础状态预期!I75="",0,求节点($C$104:$C$112,G$104:G$112,基础状态预期!N75))</f>
        <v>0</v>
      </c>
      <c r="S62" s="29">
        <f>IF(基础状态预期!J75="",0,求节点($C$104:$C$112,H$104:H$112,基础状态预期!O75))</f>
        <v>7.2766324144444425</v>
      </c>
      <c r="T62" s="29">
        <f>IF(基础状态预期!F75="",0,求节点($C$114:$C$122,D$114:D$122,基础状态预期!K75)*基础状态预期!F75+求节点($C$124:$C$132,D$124:D$132,基础状态预期!$O75)*基础状态预期!$J75)</f>
        <v>0</v>
      </c>
      <c r="U62" s="29">
        <f>IF(基础状态预期!G75="",0,求节点($C$114:$C$122,E$114:E$122,基础状态预期!L75)*基础状态预期!G75+求节点($C$124:$C$132,E$124:E$132,基础状态预期!$O75)*基础状态预期!$J75)</f>
        <v>0</v>
      </c>
      <c r="V62" s="29">
        <f>IF(基础状态预期!H75="",0,求节点($C$114:$C$122,F$114:F$122,基础状态预期!M75)*基础状态预期!H75+求节点($C$124:$C$132,F$124:F$132,基础状态预期!$O75)*基础状态预期!$J75)</f>
        <v>0</v>
      </c>
      <c r="W62" s="148">
        <f>IF(基础状态预期!I75="",0,求节点($C$114:$C$122,G$114:G$122,基础状态预期!N75)*基础状态预期!I75)+IF(基础状态预期!O75="",0,求节点($C$124:$C$132,G$124:G$132,基础状态预期!$O75)*基础状态预期!$J75)</f>
        <v>29.489691729999983</v>
      </c>
      <c r="X62" s="29">
        <f>IF(基础状态预期!J75="",0,求节点($C$114:$C$122,H$114:H$122,基础状态预期!O75)*基础状态预期!J75+求节点($C$124:$C$132,H$124:H$132,基础状态预期!$O75)*基础状态预期!$J75)</f>
        <v>0</v>
      </c>
      <c r="Y62" s="14">
        <f>IF(基础状态预期!K75="",0,求节点($C$92:$C$100,D$92:D$100,基础状态预期!K75))</f>
        <v>0</v>
      </c>
      <c r="Z62" s="14">
        <f>IF(基础状态预期!L75="",0,求节点($C$92:$C$100,E$92:E$100,基础状态预期!L75))</f>
        <v>0</v>
      </c>
      <c r="AA62" s="14">
        <f>IF(基础状态预期!M75="",0,求节点($C$92:$C$100,F$92:F$100,基础状态预期!M75))</f>
        <v>0</v>
      </c>
      <c r="AB62" s="14">
        <f>IF(基础状态预期!N75="",0,求节点($C$92:$C$100,G$92:G$100,基础状态预期!N75))</f>
        <v>0</v>
      </c>
      <c r="AC62" s="14">
        <f>IF(基础状态预期!O75="",0,求节点($C$92:$C$100,H$92:H$100,基础状态预期!O75))</f>
        <v>378195.88973333314</v>
      </c>
      <c r="AD62" s="29">
        <f>MAX(SUMPRODUCT(Y62:AC62,基础状态预期!F75:J75),AD61)</f>
        <v>2269175.3383999988</v>
      </c>
      <c r="AF62" s="29" t="str">
        <f>IF(基础状态预期!K75="","",基础状态预期!K75*D$59+D$58)</f>
        <v/>
      </c>
      <c r="AG62" s="29" t="str">
        <f>IF(基础状态预期!L75="","",基础状态预期!L75*E$59+E$58)</f>
        <v/>
      </c>
      <c r="AH62" s="29" t="str">
        <f>IF(基础状态预期!M75="","",基础状态预期!M75*F$59+F$58)</f>
        <v/>
      </c>
      <c r="AI62" s="29" t="str">
        <f>IF(基础状态预期!N75="","",基础状态预期!N75*G$59+G$58)</f>
        <v/>
      </c>
      <c r="AJ62" s="29">
        <f>IF(基础状态预期!O75="","",基础状态预期!O75*H$59+H$58)</f>
        <v>127.82989724333333</v>
      </c>
      <c r="AK62" s="29">
        <f>MAX(SUMPRODUCT(AF62:AJ62,基础状态预期!$F75:$J75)/SUM(基础状态预期!$F75:$J75),AK61)</f>
        <v>127.82989724333333</v>
      </c>
      <c r="AL62" s="29">
        <f>IF(基础状态预期!K75="",0,求节点($C$68:$C$76,D$68:D$76,基础状态预期!K75))</f>
        <v>0</v>
      </c>
      <c r="AM62" s="29">
        <f>IF(基础状态预期!L75="",0,求节点($C$68:$C$76,E$68:E$76,基础状态预期!L75))</f>
        <v>0</v>
      </c>
      <c r="AN62" s="29">
        <f>IF(基础状态预期!M75="",0,求节点($C$68:$C$76,F$68:F$76,基础状态预期!M75)*求节点(武将升级!$H$52:$H$54,武将升级!$J$52:$J$54,基础状态预期!W75))</f>
        <v>0</v>
      </c>
      <c r="AO62" s="29">
        <f>IF(基础状态预期!N75="",0,求节点($C$68:$C$76,G$68:G$76,基础状态预期!N75)*求节点(武将升级!$H$52:$H$54,武将升级!$J$52:$J$54,基础状态预期!X75))</f>
        <v>0</v>
      </c>
      <c r="AP62" s="29">
        <f>IF(基础状态预期!O75="",0,求节点($C$68:$C$76,H$68:H$76,基础状态预期!O75)*求节点(武将升级!$H$52:$H$54,武将升级!$J$52:$J$54,基础状态预期!Y75))</f>
        <v>0.87106529657777754</v>
      </c>
      <c r="AQ62" s="29">
        <f>MAX(SUMPRODUCT(AL62:AP62,基础状态预期!$F75:$J75)/SUM(基础状态预期!$F75:$J75),AQ61)</f>
        <v>0.87106529657777754</v>
      </c>
      <c r="AR62" s="29">
        <f>IF(基础状态预期!K75="",0,求节点($C$158:$C$166,D$158:D$166,基础状态预期!K75))</f>
        <v>0</v>
      </c>
      <c r="AS62" s="29">
        <f>IF(基础状态预期!L75="",0,求节点($C$158:$C$166,E$158:E$166,基础状态预期!L75))</f>
        <v>0</v>
      </c>
      <c r="AT62" s="29">
        <f>IF(基础状态预期!M75="",0,求节点($C$158:$C$166,F$158:F$166,基础状态预期!M75))</f>
        <v>0</v>
      </c>
      <c r="AU62" s="29">
        <f>IF(基础状态预期!N75="",0,求节点($C$158:$C$166,G$158:G$166,基础状态预期!N75))</f>
        <v>0</v>
      </c>
      <c r="AV62" s="29">
        <f>IF(基础状态预期!O75="",0,求节点($C$158:$C$166,H$158:H$166,基础状态预期!O75))</f>
        <v>0.46383162072222212</v>
      </c>
      <c r="AW62" s="29">
        <f>MAX(SUMPRODUCT(AR62:AV62,基础状态预期!$F75:$J75)/SUM(基础状态预期!$F75:$J75),AW61)</f>
        <v>0.46383162072222212</v>
      </c>
      <c r="BA62" s="29">
        <v>140</v>
      </c>
      <c r="BB62" s="29">
        <f t="shared" si="36"/>
        <v>148</v>
      </c>
      <c r="BC62" s="29">
        <f t="shared" si="37"/>
        <v>1.1399999999999999</v>
      </c>
      <c r="BD62" s="29">
        <f>(BB62-BB61)*(INDEX([2]小r将兵属性验证!$V$7:$V$166,$BA62,1)+INDEX([2]小r将兵属性验证!$AP$7:$AP$166,$BA62,1))+BD61</f>
        <v>20133092203.790638</v>
      </c>
      <c r="BE62" s="29" t="e">
        <f>(BC62-BC61)*(INDEX([2]小r将兵属性验证!$AC$7:$AC$166,$BA62,1)*[2]战法技能效用!$AB$4+INDEX([2]小r将兵属性验证!$AX$7:$AX$166,$BA62,1)*[2]战法技能效用!$AC$4)+BE61</f>
        <v>#VALUE!</v>
      </c>
      <c r="BF62" s="75" t="e">
        <f t="shared" si="38"/>
        <v>#VALUE!</v>
      </c>
      <c r="BJ62" s="29">
        <f t="shared" si="25"/>
        <v>77.609642525433856</v>
      </c>
      <c r="BK62" s="75">
        <f>武将数量星级阶位验证!AT65</f>
        <v>548664.53867175581</v>
      </c>
      <c r="BL62" s="75">
        <f>(AD62-AD61)*INDEX('[1]功能-付费相关'!$AR$6:$AR$165,BJ62,1)+BL61</f>
        <v>2694.3943974865706</v>
      </c>
      <c r="BN62" s="29">
        <v>140</v>
      </c>
      <c r="BO62" s="29">
        <f t="shared" si="39"/>
        <v>17931126.325864505</v>
      </c>
      <c r="BP62" s="29">
        <f t="shared" si="40"/>
        <v>22771.119957274819</v>
      </c>
      <c r="BQ62" s="29">
        <f t="shared" si="41"/>
        <v>17953897.445821781</v>
      </c>
      <c r="CL62" s="123"/>
    </row>
    <row r="63" spans="2:90" x14ac:dyDescent="0.15">
      <c r="B63" s="161" t="s">
        <v>192</v>
      </c>
      <c r="C63" s="163"/>
      <c r="D63" s="29">
        <v>0</v>
      </c>
      <c r="E63" s="29">
        <v>0</v>
      </c>
      <c r="F63" s="29">
        <v>0</v>
      </c>
      <c r="G63" s="29">
        <v>0</v>
      </c>
      <c r="H63" s="29">
        <v>0</v>
      </c>
      <c r="I63" s="29">
        <v>0</v>
      </c>
      <c r="L63" s="123">
        <f t="shared" si="35"/>
        <v>1.2666666666666668</v>
      </c>
      <c r="M63" s="72">
        <v>18</v>
      </c>
      <c r="N63" s="29">
        <f>基础状态预期!D76</f>
        <v>79.994335665275713</v>
      </c>
      <c r="O63" s="29">
        <f>IF(基础状态预期!F76="",0,求节点($C$104:$C$112,D$104:D$112,基础状态预期!K76))</f>
        <v>0</v>
      </c>
      <c r="P63" s="29">
        <f>IF(基础状态预期!G76="",0,求节点($C$104:$C$112,E$104:E$112,基础状态预期!L76))</f>
        <v>0</v>
      </c>
      <c r="Q63" s="29">
        <f>IF(基础状态预期!H76="",0,求节点($C$104:$C$112,F$104:F$112,基础状态预期!M76))</f>
        <v>0</v>
      </c>
      <c r="R63" s="29">
        <f>IF(基础状态预期!I76="",0,求节点($C$104:$C$112,G$104:G$112,基础状态预期!N76))</f>
        <v>0</v>
      </c>
      <c r="S63" s="29">
        <f>IF(基础状态预期!J76="",0,求节点($C$104:$C$112,H$104:H$112,基础状态预期!O76))</f>
        <v>8.497071911415345</v>
      </c>
      <c r="T63" s="29">
        <f>IF(基础状态预期!F76="",0,求节点($C$114:$C$122,D$114:D$122,基础状态预期!K76)*基础状态预期!F76+求节点($C$124:$C$132,D$124:D$132,基础状态预期!$O76)*基础状态预期!$J76)</f>
        <v>0</v>
      </c>
      <c r="U63" s="29">
        <f>IF(基础状态预期!G76="",0,求节点($C$114:$C$122,E$114:E$122,基础状态预期!L76)*基础状态预期!G76+求节点($C$124:$C$132,E$124:E$132,基础状态预期!$O76)*基础状态预期!$J76)</f>
        <v>0</v>
      </c>
      <c r="V63" s="29">
        <f>IF(基础状态预期!H76="",0,求节点($C$114:$C$122,F$114:F$122,基础状态预期!M76)*基础状态预期!H76+求节点($C$124:$C$132,F$124:F$132,基础状态预期!$O76)*基础状态预期!$J76)</f>
        <v>0</v>
      </c>
      <c r="W63" s="148">
        <f>IF(基础状态预期!I76="",0,求节点($C$114:$C$122,G$114:G$122,基础状态预期!N76)*基础状态预期!I76)+IF(基础状态预期!O76="",0,求节点($C$124:$C$132,G$124:G$132,基础状态预期!$O76)*基础状态预期!$J76)</f>
        <v>36</v>
      </c>
      <c r="X63" s="29">
        <f>IF(基础状态预期!J76="",0,求节点($C$114:$C$122,H$114:H$122,基础状态预期!O76)*基础状态预期!J76+求节点($C$124:$C$132,H$124:H$132,基础状态预期!$O76)*基础状态预期!$J76)</f>
        <v>0</v>
      </c>
      <c r="Y63" s="14">
        <f>IF(基础状态预期!K76="",0,求节点($C$92:$C$100,D$92:D$100,基础状态预期!K76))</f>
        <v>0</v>
      </c>
      <c r="Z63" s="14">
        <f>IF(基础状态预期!L76="",0,求节点($C$92:$C$100,E$92:E$100,基础状态预期!L76))</f>
        <v>0</v>
      </c>
      <c r="AA63" s="14">
        <f>IF(基础状态预期!M76="",0,求节点($C$92:$C$100,F$92:F$100,基础状态预期!M76))</f>
        <v>0</v>
      </c>
      <c r="AB63" s="14">
        <f>IF(基础状态预期!N76="",0,求节点($C$92:$C$100,G$92:G$100,基础状态预期!N76))</f>
        <v>0</v>
      </c>
      <c r="AC63" s="14">
        <f>IF(基础状态预期!O76="",0,求节点($C$92:$C$100,H$92:H$100,基础状态预期!O76))</f>
        <v>544531.50582645519</v>
      </c>
      <c r="AD63" s="29">
        <f>MAX(SUMPRODUCT(Y63:AC63,基础状态预期!F76:J76),AD62)</f>
        <v>3267189.0349587314</v>
      </c>
      <c r="AF63" s="29" t="str">
        <f>IF(基础状态预期!K76="","",基础状态预期!K76*D$59+D$58)</f>
        <v/>
      </c>
      <c r="AG63" s="29" t="str">
        <f>IF(基础状态预期!L76="","",基础状态预期!L76*E$59+E$58)</f>
        <v/>
      </c>
      <c r="AH63" s="29" t="str">
        <f>IF(基础状态预期!M76="","",基础状态预期!M76*F$59+F$58)</f>
        <v/>
      </c>
      <c r="AI63" s="29" t="str">
        <f>IF(基础状态预期!N76="","",基础状态预期!N76*G$59+G$58)</f>
        <v/>
      </c>
      <c r="AJ63" s="29">
        <f>IF(基础状态预期!O76="","",基础状态预期!O76*H$59+H$58)</f>
        <v>130.99414382283069</v>
      </c>
      <c r="AK63" s="29">
        <f>MAX(SUMPRODUCT(AF63:AJ63,基础状态预期!$F76:$J76)/SUM(基础状态预期!$F76:$J76),AK62)</f>
        <v>130.99414382283069</v>
      </c>
      <c r="AL63" s="29">
        <f>IF(基础状态预期!K76="",0,求节点($C$68:$C$76,D$68:D$76,基础状态预期!K76))</f>
        <v>0</v>
      </c>
      <c r="AM63" s="29">
        <f>IF(基础状态预期!L76="",0,求节点($C$68:$C$76,E$68:E$76,基础状态预期!L76))</f>
        <v>0</v>
      </c>
      <c r="AN63" s="29">
        <f>IF(基础状态预期!M76="",0,求节点($C$68:$C$76,F$68:F$76,基础状态预期!M76)*求节点(武将升级!$H$52:$H$54,武将升级!$J$52:$J$54,基础状态预期!W76))</f>
        <v>0</v>
      </c>
      <c r="AO63" s="29">
        <f>IF(基础状态预期!N76="",0,求节点($C$68:$C$76,G$68:G$76,基础状态预期!N76)*求节点(武将升级!$H$52:$H$54,武将升级!$J$52:$J$54,基础状态预期!X76))</f>
        <v>0</v>
      </c>
      <c r="AP63" s="29">
        <f>IF(基础状态预期!O76="",0,求节点($C$68:$C$76,H$68:H$76,基础状态预期!O76)*求节点(武将升级!$H$52:$H$54,武将升级!$J$52:$J$54,基础状态预期!Y76))</f>
        <v>0.91325525097107563</v>
      </c>
      <c r="AQ63" s="29">
        <f>MAX(SUMPRODUCT(AL63:AP63,基础状态预期!$F76:$J76)/SUM(基础状态预期!$F76:$J76),AQ62)</f>
        <v>0.91325525097107574</v>
      </c>
      <c r="AR63" s="29">
        <f>IF(基础状态预期!K76="",0,求节点($C$158:$C$166,D$158:D$166,基础状态预期!K76))</f>
        <v>0</v>
      </c>
      <c r="AS63" s="29">
        <f>IF(基础状态预期!L76="",0,求节点($C$158:$C$166,E$158:E$166,基础状态预期!L76))</f>
        <v>0</v>
      </c>
      <c r="AT63" s="29">
        <f>IF(基础状态预期!M76="",0,求节点($C$158:$C$166,F$158:F$166,基础状态预期!M76))</f>
        <v>0</v>
      </c>
      <c r="AU63" s="29">
        <f>IF(基础状态预期!N76="",0,求节点($C$158:$C$166,G$158:G$166,基础状态预期!N76))</f>
        <v>0</v>
      </c>
      <c r="AV63" s="29">
        <f>IF(基础状态预期!O76="",0,求节点($C$158:$C$166,H$158:H$166,基础状态预期!O76))</f>
        <v>0.51656906371384481</v>
      </c>
      <c r="AW63" s="29">
        <f>MAX(SUMPRODUCT(AR63:AV63,基础状态预期!$F76:$J76)/SUM(基础状态预期!$F76:$J76),AW62)</f>
        <v>0.51656906371384481</v>
      </c>
      <c r="BA63" s="29">
        <v>150</v>
      </c>
      <c r="BB63" s="29">
        <f t="shared" si="36"/>
        <v>148</v>
      </c>
      <c r="BC63" s="29">
        <f t="shared" si="37"/>
        <v>1.1399999999999999</v>
      </c>
      <c r="BD63" s="29">
        <f>(BB63-BB62)*(INDEX([2]小r将兵属性验证!$V$7:$V$166,$BA63,1)+INDEX([2]小r将兵属性验证!$AP$7:$AP$166,$BA63,1))+BD62</f>
        <v>20133092203.790638</v>
      </c>
      <c r="BE63" s="29" t="e">
        <f>(BC63-BC62)*(INDEX([2]小r将兵属性验证!$AC$7:$AC$166,$BA63,1)*[2]战法技能效用!$AB$4+INDEX([2]小r将兵属性验证!$AX$7:$AX$166,$BA63,1)*[2]战法技能效用!$AC$4)+BE62</f>
        <v>#VALUE!</v>
      </c>
      <c r="BF63" s="75" t="e">
        <f t="shared" si="38"/>
        <v>#VALUE!</v>
      </c>
      <c r="BJ63" s="29">
        <f t="shared" si="25"/>
        <v>79.994335665275713</v>
      </c>
      <c r="BK63" s="75">
        <f>武将数量星级阶位验证!AT66</f>
        <v>611429.99851597368</v>
      </c>
      <c r="BL63" s="75">
        <f>(AD63-AD62)*INDEX('[1]功能-付费相关'!$AR$6:$AR$165,BJ63,1)+BL62</f>
        <v>3742.7281123591888</v>
      </c>
      <c r="BN63" s="29">
        <v>150</v>
      </c>
      <c r="BO63" s="29">
        <f t="shared" si="39"/>
        <v>33449898.954362243</v>
      </c>
      <c r="BP63" s="29">
        <f t="shared" si="40"/>
        <v>22771.119957274819</v>
      </c>
      <c r="BQ63" s="29">
        <f t="shared" si="41"/>
        <v>33472670.074319519</v>
      </c>
      <c r="CL63" s="123"/>
    </row>
    <row r="64" spans="2:90" x14ac:dyDescent="0.15">
      <c r="B64" s="161" t="s">
        <v>248</v>
      </c>
      <c r="C64" s="163"/>
      <c r="D64" s="29">
        <v>0</v>
      </c>
      <c r="E64" s="29">
        <v>0</v>
      </c>
      <c r="F64" s="29">
        <v>0</v>
      </c>
      <c r="G64" s="29">
        <v>0</v>
      </c>
      <c r="H64" s="29">
        <v>0</v>
      </c>
      <c r="I64" s="29">
        <v>0</v>
      </c>
      <c r="L64" s="123">
        <f t="shared" si="35"/>
        <v>1.2530612244897963</v>
      </c>
      <c r="M64" s="72">
        <v>19</v>
      </c>
      <c r="N64" s="29">
        <f>基础状态预期!D77</f>
        <v>82.100546804797787</v>
      </c>
      <c r="O64" s="29">
        <f>IF(基础状态预期!F77="",0,求节点($C$104:$C$112,D$104:D$112,基础状态预期!K77))</f>
        <v>0</v>
      </c>
      <c r="P64" s="29">
        <f>IF(基础状态预期!G77="",0,求节点($C$104:$C$112,E$104:E$112,基础状态预期!L77))</f>
        <v>0</v>
      </c>
      <c r="Q64" s="29">
        <f>IF(基础状态预期!H77="",0,求节点($C$104:$C$112,F$104:F$112,基础状态预期!M77))</f>
        <v>0</v>
      </c>
      <c r="R64" s="29">
        <f>IF(基础状态预期!I77="",0,求节点($C$104:$C$112,G$104:G$112,基础状态预期!N77))</f>
        <v>0</v>
      </c>
      <c r="S64" s="29">
        <f>IF(基础状态预期!J77="",0,求节点($C$104:$C$112,H$104:H$112,基础状态预期!O77))</f>
        <v>9.7399179844902264</v>
      </c>
      <c r="T64" s="29">
        <f>IF(基础状态预期!F77="",0,求节点($C$114:$C$122,D$114:D$122,基础状态预期!K77)*基础状态预期!F77+求节点($C$124:$C$132,D$124:D$132,基础状态预期!$O77)*基础状态预期!$J77)</f>
        <v>0</v>
      </c>
      <c r="U64" s="29">
        <f>IF(基础状态预期!G77="",0,求节点($C$114:$C$122,E$114:E$122,基础状态预期!L77)*基础状态预期!G77+求节点($C$124:$C$132,E$124:E$132,基础状态预期!$O77)*基础状态预期!$J77)</f>
        <v>0</v>
      </c>
      <c r="V64" s="29">
        <f>IF(基础状态预期!H77="",0,求节点($C$114:$C$122,F$114:F$122,基础状态预期!M77)*基础状态预期!H77+求节点($C$124:$C$132,F$124:F$132,基础状态预期!$O77)*基础状态预期!$J77)</f>
        <v>0</v>
      </c>
      <c r="W64" s="148">
        <f>IF(基础状态预期!I77="",0,求节点($C$114:$C$122,G$114:G$122,基础状态预期!N77)*基础状态预期!I77)+IF(基础状态预期!O77="",0,求节点($C$124:$C$132,G$124:G$132,基础状态预期!$O77)*基础状态预期!$J77)</f>
        <v>36</v>
      </c>
      <c r="X64" s="29">
        <f>IF(基础状态预期!J77="",0,求节点($C$114:$C$122,H$114:H$122,基础状态预期!O77)*基础状态预期!J77+求节点($C$124:$C$132,H$124:H$132,基础状态预期!$O77)*基础状态预期!$J77)</f>
        <v>0</v>
      </c>
      <c r="Y64" s="14">
        <f>IF(基础状态预期!K77="",0,求节点($C$92:$C$100,D$92:D$100,基础状态预期!K77))</f>
        <v>0</v>
      </c>
      <c r="Z64" s="14">
        <f>IF(基础状态预期!L77="",0,求节点($C$92:$C$100,E$92:E$100,基础状态预期!L77))</f>
        <v>0</v>
      </c>
      <c r="AA64" s="14">
        <f>IF(基础状态预期!M77="",0,求节点($C$92:$C$100,F$92:F$100,基础状态预期!M77))</f>
        <v>0</v>
      </c>
      <c r="AB64" s="14">
        <f>IF(基础状态预期!N77="",0,求节点($C$92:$C$100,G$92:G$100,基础状态预期!N77))</f>
        <v>0</v>
      </c>
      <c r="AC64" s="14">
        <f>IF(基础状态预期!O77="",0,求节点($C$92:$C$100,H$92:H$100,基础状态预期!O77))</f>
        <v>743386.87751843641</v>
      </c>
      <c r="AD64" s="29">
        <f>MAX(SUMPRODUCT(Y64:AC64,基础状态预期!F77:J77),AD63)</f>
        <v>4460321.2651106184</v>
      </c>
      <c r="AF64" s="29" t="str">
        <f>IF(基础状态预期!K77="","",基础状态预期!K77*D$59+D$58)</f>
        <v/>
      </c>
      <c r="AG64" s="29" t="str">
        <f>IF(基础状态预期!L77="","",基础状态预期!L77*E$59+E$58)</f>
        <v/>
      </c>
      <c r="AH64" s="29" t="str">
        <f>IF(基础状态预期!M77="","",基础状态预期!M77*F$59+F$58)</f>
        <v/>
      </c>
      <c r="AI64" s="29" t="str">
        <f>IF(基础状态预期!N77="","",基础状态预期!N77*G$59+G$58)</f>
        <v/>
      </c>
      <c r="AJ64" s="29">
        <f>IF(基础状态预期!O77="","",基础状态预期!O77*H$59+H$58)</f>
        <v>133.47983596898047</v>
      </c>
      <c r="AK64" s="29">
        <f>MAX(SUMPRODUCT(AF64:AJ64,基础状态预期!$F77:$J77)/SUM(基础状态预期!$F77:$J77),AK63)</f>
        <v>133.47983596898047</v>
      </c>
      <c r="AL64" s="29">
        <f>IF(基础状态预期!K77="",0,求节点($C$68:$C$76,D$68:D$76,基础状态预期!K77))</f>
        <v>0</v>
      </c>
      <c r="AM64" s="29">
        <f>IF(基础状态预期!L77="",0,求节点($C$68:$C$76,E$68:E$76,基础状态预期!L77))</f>
        <v>0</v>
      </c>
      <c r="AN64" s="29">
        <f>IF(基础状态预期!M77="",0,求节点($C$68:$C$76,F$68:F$76,基础状态预期!M77)*求节点(武将升级!$H$52:$H$54,武将升级!$J$52:$J$54,基础状态预期!W77))</f>
        <v>0</v>
      </c>
      <c r="AO64" s="29">
        <f>IF(基础状态预期!N77="",0,求节点($C$68:$C$76,G$68:G$76,基础状态预期!N77)*求节点(武将升级!$H$52:$H$54,武将升级!$J$52:$J$54,基础状态预期!X77))</f>
        <v>0</v>
      </c>
      <c r="AP64" s="29">
        <f>IF(基础状态预期!O77="",0,求节点($C$68:$C$76,H$68:H$76,基础状态预期!O77)*求节点(武将升级!$H$52:$H$54,武将升级!$J$52:$J$54,基础状态预期!Y77))</f>
        <v>0.94639781291973912</v>
      </c>
      <c r="AQ64" s="29">
        <f>MAX(SUMPRODUCT(AL64:AP64,基础状态预期!$F77:$J77)/SUM(基础状态预期!$F77:$J77),AQ63)</f>
        <v>0.94639781291973912</v>
      </c>
      <c r="AR64" s="29">
        <f>IF(基础状态预期!K77="",0,求节点($C$158:$C$166,D$158:D$166,基础状态预期!K77))</f>
        <v>0</v>
      </c>
      <c r="AS64" s="29">
        <f>IF(基础状态预期!L77="",0,求节点($C$158:$C$166,E$158:E$166,基础状态预期!L77))</f>
        <v>0</v>
      </c>
      <c r="AT64" s="29">
        <f>IF(基础状态预期!M77="",0,求节点($C$158:$C$166,F$158:F$166,基础状态预期!M77))</f>
        <v>0</v>
      </c>
      <c r="AU64" s="29">
        <f>IF(基础状态预期!N77="",0,求节点($C$158:$C$166,G$158:G$166,基础状态预期!N77))</f>
        <v>0</v>
      </c>
      <c r="AV64" s="29">
        <f>IF(基础状态预期!O77="",0,求节点($C$158:$C$166,H$158:H$166,基础状态预期!O77))</f>
        <v>0.55799726614967426</v>
      </c>
      <c r="AW64" s="29">
        <f>MAX(SUMPRODUCT(AR64:AV64,基础状态预期!$F77:$J77)/SUM(基础状态预期!$F77:$J77),AW63)</f>
        <v>0.55799726614967426</v>
      </c>
      <c r="BA64" s="29">
        <v>160</v>
      </c>
      <c r="BB64" s="29">
        <f t="shared" si="36"/>
        <v>148</v>
      </c>
      <c r="BC64" s="29">
        <f t="shared" si="37"/>
        <v>1.1399999999999999</v>
      </c>
      <c r="BD64" s="29">
        <f>(BB64-BB63)*(INDEX([2]小r将兵属性验证!$V$7:$V$166,$BA64,1)+INDEX([2]小r将兵属性验证!$AP$7:$AP$166,$BA64,1))+BD63</f>
        <v>20133092203.790638</v>
      </c>
      <c r="BE64" s="29" t="e">
        <f>(BC64-BC63)*(INDEX([2]小r将兵属性验证!$AC$7:$AC$166,$BA64,1)*[2]战法技能效用!$AB$4+INDEX([2]小r将兵属性验证!$AX$7:$AX$166,$BA64,1)*[2]战法技能效用!$AC$4)+BE63</f>
        <v>#VALUE!</v>
      </c>
      <c r="BF64" s="75" t="e">
        <f t="shared" si="38"/>
        <v>#VALUE!</v>
      </c>
      <c r="BJ64" s="29">
        <f t="shared" si="25"/>
        <v>82.100546804797787</v>
      </c>
      <c r="BK64" s="75">
        <f>武将数量星级阶位验证!AT67</f>
        <v>675347.79655982472</v>
      </c>
      <c r="BL64" s="75">
        <f>(AD64-AD63)*INDEX('[1]功能-付费相关'!$AR$6:$AR$165,BJ64,1)+BL63</f>
        <v>4965.1996596459585</v>
      </c>
      <c r="BN64" s="29">
        <v>160</v>
      </c>
      <c r="BO64" s="29">
        <f t="shared" si="39"/>
        <v>63095498.869196452</v>
      </c>
      <c r="BP64" s="29">
        <f t="shared" si="40"/>
        <v>22771.119957274819</v>
      </c>
      <c r="BQ64" s="29">
        <f t="shared" si="41"/>
        <v>63118269.989153728</v>
      </c>
      <c r="CL64" s="123"/>
    </row>
    <row r="65" spans="1:90" x14ac:dyDescent="0.15">
      <c r="L65" s="123">
        <f t="shared" si="35"/>
        <v>1.2415094339622643</v>
      </c>
      <c r="M65" s="72">
        <v>20</v>
      </c>
      <c r="N65" s="29">
        <f>基础状态预期!D78</f>
        <v>83.885420957389968</v>
      </c>
      <c r="O65" s="29">
        <f>IF(基础状态预期!F78="",0,求节点($C$104:$C$112,D$104:D$112,基础状态预期!K78))</f>
        <v>0</v>
      </c>
      <c r="P65" s="29">
        <f>IF(基础状态预期!G78="",0,求节点($C$104:$C$112,E$104:E$112,基础状态预期!L78))</f>
        <v>0</v>
      </c>
      <c r="Q65" s="29">
        <f>IF(基础状态预期!H78="",0,求节点($C$104:$C$112,F$104:F$112,基础状态预期!M78))</f>
        <v>0</v>
      </c>
      <c r="R65" s="29">
        <f>IF(基础状态预期!I78="",0,求节点($C$104:$C$112,G$104:G$112,基础状态预期!N78))</f>
        <v>0</v>
      </c>
      <c r="S65" s="29">
        <f>IF(基础状态预期!J78="",0,求节点($C$104:$C$112,H$104:H$112,基础状态预期!O78))</f>
        <v>10.920293467763742</v>
      </c>
      <c r="T65" s="29">
        <f>IF(基础状态预期!F78="",0,求节点($C$114:$C$122,D$114:D$122,基础状态预期!K78)*基础状态预期!F78+求节点($C$124:$C$132,D$124:D$132,基础状态预期!$O78)*基础状态预期!$J78)</f>
        <v>0</v>
      </c>
      <c r="U65" s="29">
        <f>IF(基础状态预期!G78="",0,求节点($C$114:$C$122,E$114:E$122,基础状态预期!L78)*基础状态预期!G78+求节点($C$124:$C$132,E$124:E$132,基础状态预期!$O78)*基础状态预期!$J78)</f>
        <v>0</v>
      </c>
      <c r="V65" s="29">
        <f>IF(基础状态预期!H78="",0,求节点($C$114:$C$122,F$114:F$122,基础状态预期!M78)*基础状态预期!H78+求节点($C$124:$C$132,F$124:F$132,基础状态预期!$O78)*基础状态预期!$J78)</f>
        <v>0</v>
      </c>
      <c r="W65" s="148">
        <f>IF(基础状态预期!I78="",0,求节点($C$114:$C$122,G$114:G$122,基础状态预期!N78)*基础状态预期!I78)+IF(基础状态预期!O78="",0,求节点($C$124:$C$132,G$124:G$132,基础状态预期!$O78)*基础状态预期!$J78)</f>
        <v>36</v>
      </c>
      <c r="X65" s="29">
        <f>IF(基础状态预期!J78="",0,求节点($C$114:$C$122,H$114:H$122,基础状态预期!O78)*基础状态预期!J78+求节点($C$124:$C$132,H$124:H$132,基础状态预期!$O78)*基础状态预期!$J78)</f>
        <v>0</v>
      </c>
      <c r="Y65" s="14">
        <f>IF(基础状态预期!K78="",0,求节点($C$92:$C$100,D$92:D$100,基础状态预期!K78))</f>
        <v>0</v>
      </c>
      <c r="Z65" s="14">
        <f>IF(基础状态预期!L78="",0,求节点($C$92:$C$100,E$92:E$100,基础状态预期!L78))</f>
        <v>0</v>
      </c>
      <c r="AA65" s="14">
        <f>IF(基础状态预期!M78="",0,求节点($C$92:$C$100,F$92:F$100,基础状态预期!M78))</f>
        <v>0</v>
      </c>
      <c r="AB65" s="14">
        <f>IF(基础状态预期!N78="",0,求节点($C$92:$C$100,G$92:G$100,基础状态预期!N78))</f>
        <v>0</v>
      </c>
      <c r="AC65" s="14">
        <f>IF(基础状态预期!O78="",0,求节点($C$92:$C$100,H$92:H$100,基础状态预期!O78))</f>
        <v>932246.95484219864</v>
      </c>
      <c r="AD65" s="29">
        <f>MAX(SUMPRODUCT(Y65:AC65,基础状态预期!F78:J78),AD64)</f>
        <v>5593481.7290531918</v>
      </c>
      <c r="AF65" s="29" t="str">
        <f>IF(基础状态预期!K78="","",基础状态预期!K78*D$59+D$58)</f>
        <v/>
      </c>
      <c r="AG65" s="29" t="str">
        <f>IF(基础状态预期!L78="","",基础状态预期!L78*E$59+E$58)</f>
        <v/>
      </c>
      <c r="AH65" s="29" t="str">
        <f>IF(基础状态预期!M78="","",基础状态预期!M78*F$59+F$58)</f>
        <v/>
      </c>
      <c r="AI65" s="29" t="str">
        <f>IF(基础状态预期!N78="","",基础状态预期!N78*G$59+G$58)</f>
        <v/>
      </c>
      <c r="AJ65" s="29">
        <f>IF(基础状态预期!O78="","",基础状态预期!O78*H$59+H$58)</f>
        <v>135.84058693552748</v>
      </c>
      <c r="AK65" s="29">
        <f>MAX(SUMPRODUCT(AF65:AJ65,基础状态预期!$F78:$J78)/SUM(基础状态预期!$F78:$J78),AK64)</f>
        <v>135.84058693552748</v>
      </c>
      <c r="AL65" s="29">
        <f>IF(基础状态预期!K78="",0,求节点($C$68:$C$76,D$68:D$76,基础状态预期!K78))</f>
        <v>0</v>
      </c>
      <c r="AM65" s="29">
        <f>IF(基础状态预期!L78="",0,求节点($C$68:$C$76,E$68:E$76,基础状态预期!L78))</f>
        <v>0</v>
      </c>
      <c r="AN65" s="29">
        <f>IF(基础状态预期!M78="",0,求节点($C$68:$C$76,F$68:F$76,基础状态预期!M78)*求节点(武将升级!$H$52:$H$54,武将升级!$J$52:$J$54,基础状态预期!W78))</f>
        <v>0</v>
      </c>
      <c r="AO65" s="29">
        <f>IF(基础状态预期!N78="",0,求节点($C$68:$C$76,G$68:G$76,基础状态预期!N78)*求节点(武将升级!$H$52:$H$54,武将升级!$J$52:$J$54,基础状态预期!X78))</f>
        <v>0</v>
      </c>
      <c r="AP65" s="29">
        <f>IF(基础状态预期!O78="",0,求节点($C$68:$C$76,H$68:H$76,基础状态预期!O78)*求节点(武将升级!$H$52:$H$54,武将升级!$J$52:$J$54,基础状态预期!Y78))</f>
        <v>0.97787449247369951</v>
      </c>
      <c r="AQ65" s="29">
        <f>MAX(SUMPRODUCT(AL65:AP65,基础状态预期!$F78:$J78)/SUM(基础状态预期!$F78:$J78),AQ64)</f>
        <v>0.97787449247369951</v>
      </c>
      <c r="AR65" s="29">
        <f>IF(基础状态预期!K78="",0,求节点($C$158:$C$166,D$158:D$166,基础状态预期!K78))</f>
        <v>0</v>
      </c>
      <c r="AS65" s="29">
        <f>IF(基础状态预期!L78="",0,求节点($C$158:$C$166,E$158:E$166,基础状态预期!L78))</f>
        <v>0</v>
      </c>
      <c r="AT65" s="29">
        <f>IF(基础状态预期!M78="",0,求节点($C$158:$C$166,F$158:F$166,基础状态预期!M78))</f>
        <v>0</v>
      </c>
      <c r="AU65" s="29">
        <f>IF(基础状态预期!N78="",0,求节点($C$158:$C$166,G$158:G$166,基础状态预期!N78))</f>
        <v>0</v>
      </c>
      <c r="AV65" s="29">
        <f>IF(基础状态预期!O78="",0,求节点($C$158:$C$166,H$158:H$166,基础状态预期!O78))</f>
        <v>0.59734311559212472</v>
      </c>
      <c r="AW65" s="29">
        <f>MAX(SUMPRODUCT(AR65:AV65,基础状态预期!$F78:$J78)/SUM(基础状态预期!$F78:$J78),AW64)</f>
        <v>0.59734311559212472</v>
      </c>
      <c r="BJ65" s="29">
        <f t="shared" si="25"/>
        <v>83.885420957389968</v>
      </c>
      <c r="BK65" s="75">
        <f>武将数量星级阶位验证!AT68</f>
        <v>736052.82141389127</v>
      </c>
      <c r="BL65" s="75">
        <f>(AD65-AD64)*INDEX('[1]功能-付费相关'!$AR$6:$AR$165,BJ65,1)+BL64</f>
        <v>6116.7854969859727</v>
      </c>
      <c r="CL65" s="123"/>
    </row>
    <row r="66" spans="1:90" x14ac:dyDescent="0.15">
      <c r="L66" s="123">
        <f t="shared" si="35"/>
        <v>1.2315789473684213</v>
      </c>
      <c r="M66" s="72">
        <v>21</v>
      </c>
      <c r="N66" s="29">
        <f>基础状态预期!D79</f>
        <v>86.247032860782397</v>
      </c>
      <c r="O66" s="29">
        <f>IF(基础状态预期!F79="",0,求节点($C$104:$C$112,D$104:D$112,基础状态预期!K79))</f>
        <v>0</v>
      </c>
      <c r="P66" s="29">
        <f>IF(基础状态预期!G79="",0,求节点($C$104:$C$112,E$104:E$112,基础状态预期!L79))</f>
        <v>0</v>
      </c>
      <c r="Q66" s="29">
        <f>IF(基础状态预期!H79="",0,求节点($C$104:$C$112,F$104:F$112,基础状态预期!M79))</f>
        <v>0</v>
      </c>
      <c r="R66" s="29">
        <f>IF(基础状态预期!I79="",0,求节点($C$104:$C$112,G$104:G$112,基础状态预期!N79))</f>
        <v>0</v>
      </c>
      <c r="S66" s="29">
        <f>IF(基础状态预期!J79="",0,求节点($C$104:$C$112,H$104:H$112,基础状态预期!O79))</f>
        <v>12.682631878135879</v>
      </c>
      <c r="T66" s="29">
        <f>IF(基础状态预期!F79="",0,求节点($C$114:$C$122,D$114:D$122,基础状态预期!K79)*基础状态预期!F79+求节点($C$124:$C$132,D$124:D$132,基础状态预期!$O79)*基础状态预期!$J79)</f>
        <v>0</v>
      </c>
      <c r="U66" s="29">
        <f>IF(基础状态预期!G79="",0,求节点($C$114:$C$122,E$114:E$122,基础状态预期!L79)*基础状态预期!G79+求节点($C$124:$C$132,E$124:E$132,基础状态预期!$O79)*基础状态预期!$J79)</f>
        <v>0</v>
      </c>
      <c r="V66" s="29">
        <f>IF(基础状态预期!H79="",0,求节点($C$114:$C$122,F$114:F$122,基础状态预期!M79)*基础状态预期!H79+求节点($C$124:$C$132,F$124:F$132,基础状态预期!$O79)*基础状态预期!$J79)</f>
        <v>0</v>
      </c>
      <c r="W66" s="148">
        <f>IF(基础状态预期!I79="",0,求节点($C$114:$C$122,G$114:G$122,基础状态预期!N79)*基础状态预期!I79)+IF(基础状态预期!O79="",0,求节点($C$124:$C$132,G$124:G$132,基础状态预期!$O79)*基础状态预期!$J79)</f>
        <v>46.095791268815283</v>
      </c>
      <c r="X66" s="29">
        <f>IF(基础状态预期!J79="",0,求节点($C$114:$C$122,H$114:H$122,基础状态预期!O79)*基础状态预期!J79+求节点($C$124:$C$132,H$124:H$132,基础状态预期!$O79)*基础状态预期!$J79)</f>
        <v>0</v>
      </c>
      <c r="Y66" s="14">
        <f>IF(基础状态预期!K79="",0,求节点($C$92:$C$100,D$92:D$100,基础状态预期!K79))</f>
        <v>0</v>
      </c>
      <c r="Z66" s="14">
        <f>IF(基础状态预期!L79="",0,求节点($C$92:$C$100,E$92:E$100,基础状态预期!L79))</f>
        <v>0</v>
      </c>
      <c r="AA66" s="14">
        <f>IF(基础状态预期!M79="",0,求节点($C$92:$C$100,F$92:F$100,基础状态预期!M79))</f>
        <v>0</v>
      </c>
      <c r="AB66" s="14">
        <f>IF(基础状态预期!N79="",0,求节点($C$92:$C$100,G$92:G$100,基础状态预期!N79))</f>
        <v>0</v>
      </c>
      <c r="AC66" s="14">
        <f>IF(基础状态预期!O79="",0,求节点($C$92:$C$100,H$92:H$100,基础状态预期!O79))</f>
        <v>1483442.2010034816</v>
      </c>
      <c r="AD66" s="29">
        <f>MAX(SUMPRODUCT(Y66:AC66,基础状态预期!F79:J79),AD65)</f>
        <v>8900653.2060208898</v>
      </c>
      <c r="AF66" s="29" t="str">
        <f>IF(基础状态预期!K79="","",基础状态预期!K79*D$59+D$58)</f>
        <v/>
      </c>
      <c r="AG66" s="29" t="str">
        <f>IF(基础状态预期!L79="","",基础状态预期!L79*E$59+E$58)</f>
        <v/>
      </c>
      <c r="AH66" s="29" t="str">
        <f>IF(基础状态预期!M79="","",基础状态预期!M79*F$59+F$58)</f>
        <v/>
      </c>
      <c r="AI66" s="29" t="str">
        <f>IF(基础状态预期!N79="","",基础状态预期!N79*G$59+G$58)</f>
        <v/>
      </c>
      <c r="AJ66" s="29">
        <f>IF(基础状态预期!O79="","",基础状态预期!O79*H$59+H$58)</f>
        <v>139.36526375627176</v>
      </c>
      <c r="AK66" s="29">
        <f>MAX(SUMPRODUCT(AF66:AJ66,基础状态预期!$F79:$J79)/SUM(基础状态预期!$F79:$J79),AK65)</f>
        <v>139.36526375627176</v>
      </c>
      <c r="AL66" s="29">
        <f>IF(基础状态预期!K79="",0,求节点($C$68:$C$76,D$68:D$76,基础状态预期!K79))</f>
        <v>0</v>
      </c>
      <c r="AM66" s="29">
        <f>IF(基础状态预期!L79="",0,求节点($C$68:$C$76,E$68:E$76,基础状态预期!L79))</f>
        <v>0</v>
      </c>
      <c r="AN66" s="29">
        <f>IF(基础状态预期!M79="",0,求节点($C$68:$C$76,F$68:F$76,基础状态预期!M79)*求节点(武将升级!$H$52:$H$54,武将升级!$J$52:$J$54,基础状态预期!W79))</f>
        <v>0</v>
      </c>
      <c r="AO66" s="29">
        <f>IF(基础状态预期!N79="",0,求节点($C$68:$C$76,G$68:G$76,基础状态预期!N79)*求节点(武将升级!$H$52:$H$54,武将升级!$J$52:$J$54,基础状态预期!X79))</f>
        <v>0</v>
      </c>
      <c r="AP66" s="29">
        <f>IF(基础状态预期!O79="",0,求节点($C$68:$C$76,H$68:H$76,基础状态预期!O79)*求节点(武将升级!$H$52:$H$54,武将升级!$J$52:$J$54,基础状态预期!Y79))</f>
        <v>1.0248701834169567</v>
      </c>
      <c r="AQ66" s="29">
        <f>MAX(SUMPRODUCT(AL66:AP66,基础状态预期!$F79:$J79)/SUM(基础状态预期!$F79:$J79),AQ65)</f>
        <v>1.0248701834169567</v>
      </c>
      <c r="AR66" s="29">
        <f>IF(基础状态预期!K79="",0,求节点($C$158:$C$166,D$158:D$166,基础状态预期!K79))</f>
        <v>0</v>
      </c>
      <c r="AS66" s="29">
        <f>IF(基础状态预期!L79="",0,求节点($C$158:$C$166,E$158:E$166,基础状态预期!L79))</f>
        <v>0</v>
      </c>
      <c r="AT66" s="29">
        <f>IF(基础状态预期!M79="",0,求节点($C$158:$C$166,F$158:F$166,基础状态预期!M79))</f>
        <v>0</v>
      </c>
      <c r="AU66" s="29">
        <f>IF(基础状态预期!N79="",0,求节点($C$158:$C$166,G$158:G$166,基础状态预期!N79))</f>
        <v>0</v>
      </c>
      <c r="AV66" s="29">
        <f>IF(基础状态预期!O79="",0,求节点($C$158:$C$166,H$158:H$166,基础状态预期!O79))</f>
        <v>0.65608772927119596</v>
      </c>
      <c r="AW66" s="29">
        <f>MAX(SUMPRODUCT(AR66:AV66,基础状态预期!$F79:$J79)/SUM(基础状态预期!$F79:$J79),AW65)</f>
        <v>0.65608772927119596</v>
      </c>
      <c r="BJ66" s="29">
        <f t="shared" si="25"/>
        <v>86.247032860782397</v>
      </c>
      <c r="BK66" s="75">
        <f>武将数量星级阶位验证!AT69</f>
        <v>826687.36823302996</v>
      </c>
      <c r="BL66" s="75">
        <f>(AD66-AD65)*INDEX('[1]功能-付费相关'!$AR$6:$AR$165,BJ66,1)+BL65</f>
        <v>9397.7095812793232</v>
      </c>
      <c r="CL66" s="123"/>
    </row>
    <row r="67" spans="1:90" x14ac:dyDescent="0.15">
      <c r="B67" s="169" t="s">
        <v>662</v>
      </c>
      <c r="C67" s="14" t="s">
        <v>175</v>
      </c>
      <c r="D67" s="29" t="s">
        <v>193</v>
      </c>
      <c r="E67" s="29" t="s">
        <v>194</v>
      </c>
      <c r="F67" s="29" t="s">
        <v>195</v>
      </c>
      <c r="G67" s="29" t="s">
        <v>196</v>
      </c>
      <c r="H67" s="29" t="s">
        <v>545</v>
      </c>
      <c r="I67" s="14" t="s">
        <v>30</v>
      </c>
      <c r="M67" s="72">
        <v>22</v>
      </c>
      <c r="N67" s="29">
        <f>基础状态预期!D80</f>
        <v>90.122782504866933</v>
      </c>
      <c r="O67" s="29">
        <f>IF(基础状态预期!F80="",0,求节点($C$104:$C$112,D$104:D$112,基础状态预期!K80))</f>
        <v>0</v>
      </c>
      <c r="P67" s="29">
        <f>IF(基础状态预期!G80="",0,求节点($C$104:$C$112,E$104:E$112,基础状态预期!L80))</f>
        <v>0</v>
      </c>
      <c r="Q67" s="29">
        <f>IF(基础状态预期!H80="",0,求节点($C$104:$C$112,F$104:F$112,基础状态预期!M80))</f>
        <v>0</v>
      </c>
      <c r="R67" s="29">
        <f>IF(基础状态预期!I80="",0,求节点($C$104:$C$112,G$104:G$112,基础状态预期!N80))</f>
        <v>0</v>
      </c>
      <c r="S67" s="29">
        <f>IF(基础状态预期!J80="",0,求节点($C$104:$C$112,H$104:H$112,基础状态预期!O80))</f>
        <v>15.829513843573523</v>
      </c>
      <c r="T67" s="29">
        <f>IF(基础状态预期!F80="",0,求节点($C$114:$C$122,D$114:D$122,基础状态预期!K80)*基础状态预期!F80+求节点($C$124:$C$132,D$124:D$132,基础状态预期!$O80)*基础状态预期!$J80)</f>
        <v>0</v>
      </c>
      <c r="U67" s="29">
        <f>IF(基础状态预期!G80="",0,求节点($C$114:$C$122,E$114:E$122,基础状态预期!L80)*基础状态预期!G80+求节点($C$124:$C$132,E$124:E$132,基础状态预期!$O80)*基础状态预期!$J80)</f>
        <v>0</v>
      </c>
      <c r="V67" s="29">
        <f>IF(基础状态预期!H80="",0,求节点($C$114:$C$122,F$114:F$122,基础状态预期!M80)*基础状态预期!H80+求节点($C$124:$C$132,F$124:F$132,基础状态预期!$O80)*基础状态预期!$J80)</f>
        <v>0</v>
      </c>
      <c r="W67" s="148">
        <f>IF(基础状态预期!I80="",0,求节点($C$114:$C$122,G$114:G$122,基础状态预期!N80)*基础状态预期!I80)+IF(基础状态预期!O80="",0,求节点($C$124:$C$132,G$124:G$132,基础状态预期!$O80)*基础状态预期!$J80)</f>
        <v>54</v>
      </c>
      <c r="X67" s="29">
        <f>IF(基础状态预期!J80="",0,求节点($C$114:$C$122,H$114:H$122,基础状态预期!O80)*基础状态预期!J80+求节点($C$124:$C$132,H$124:H$132,基础状态预期!$O80)*基础状态预期!$J80)</f>
        <v>0</v>
      </c>
      <c r="Y67" s="14">
        <f>IF(基础状态预期!K80="",0,求节点($C$92:$C$100,D$92:D$100,基础状态预期!K80))</f>
        <v>0</v>
      </c>
      <c r="Z67" s="14">
        <f>IF(基础状态预期!L80="",0,求节点($C$92:$C$100,E$92:E$100,基础状态预期!L80))</f>
        <v>0</v>
      </c>
      <c r="AA67" s="14">
        <f>IF(基础状态预期!M80="",0,求节点($C$92:$C$100,F$92:F$100,基础状态预期!M80))</f>
        <v>0</v>
      </c>
      <c r="AB67" s="14">
        <f>IF(基础状态预期!N80="",0,求节点($C$92:$C$100,G$92:G$100,基础状态预期!N80))</f>
        <v>0</v>
      </c>
      <c r="AC67" s="14">
        <f>IF(基础状态预期!O80="",0,求节点($C$92:$C$100,H$92:H$100,基础状态预期!O80))</f>
        <v>2783166.6449152911</v>
      </c>
      <c r="AD67" s="29">
        <f>MAX(SUMPRODUCT(Y67:AC67,基础状态预期!F80:J80),AD66)</f>
        <v>16698999.869491747</v>
      </c>
      <c r="AF67" s="29" t="str">
        <f>IF(基础状态预期!K80="","",基础状态预期!K80*D$59+D$58)</f>
        <v/>
      </c>
      <c r="AG67" s="29" t="str">
        <f>IF(基础状态预期!L80="","",基础状态预期!L80*E$59+E$58)</f>
        <v/>
      </c>
      <c r="AH67" s="29" t="str">
        <f>IF(基础状态预期!M80="","",基础状态预期!M80*F$59+F$58)</f>
        <v/>
      </c>
      <c r="AI67" s="29" t="str">
        <f>IF(基础状态预期!N80="","",基础状态预期!N80*G$59+G$58)</f>
        <v/>
      </c>
      <c r="AJ67" s="29">
        <f>IF(基础状态预期!O80="","",基础状态预期!O80*H$59+H$58)</f>
        <v>144.74427076536028</v>
      </c>
      <c r="AK67" s="29">
        <f>MAX(SUMPRODUCT(AF67:AJ67,基础状态预期!$F80:$J80)/SUM(基础状态预期!$F80:$J80),AK66)</f>
        <v>144.74427076536028</v>
      </c>
      <c r="AL67" s="29">
        <f>IF(基础状态预期!K80="",0,求节点($C$68:$C$76,D$68:D$76,基础状态预期!K80))</f>
        <v>0</v>
      </c>
      <c r="AM67" s="29">
        <f>IF(基础状态预期!L80="",0,求节点($C$68:$C$76,E$68:E$76,基础状态预期!L80))</f>
        <v>0</v>
      </c>
      <c r="AN67" s="29">
        <f>IF(基础状态预期!M80="",0,求节点($C$68:$C$76,F$68:F$76,基础状态预期!M80)*求节点(武将升级!$H$52:$H$54,武将升级!$J$52:$J$54,基础状态预期!W80))</f>
        <v>0</v>
      </c>
      <c r="AO67" s="29">
        <f>IF(基础状态预期!N80="",0,求节点($C$68:$C$76,G$68:G$76,基础状态预期!N80)*求节点(武将升级!$H$52:$H$54,武将升级!$J$52:$J$54,基础状态预期!X80))</f>
        <v>0</v>
      </c>
      <c r="AP67" s="29">
        <f>IF(基础状态预期!O80="",0,求节点($C$68:$C$76,H$68:H$76,基础状态预期!O80)*求节点(武将升级!$H$52:$H$54,武将升级!$J$52:$J$54,基础状态预期!Y80))</f>
        <v>1.0965902768714704</v>
      </c>
      <c r="AQ67" s="29">
        <f>MAX(SUMPRODUCT(AL67:AP67,基础状态预期!$F80:$J80)/SUM(基础状态预期!$F80:$J80),AQ66)</f>
        <v>1.0965902768714704</v>
      </c>
      <c r="AR67" s="29">
        <f>IF(基础状态预期!K80="",0,求节点($C$158:$C$166,D$158:D$166,基础状态预期!K80))</f>
        <v>0</v>
      </c>
      <c r="AS67" s="29">
        <f>IF(基础状态预期!L80="",0,求节点($C$158:$C$166,E$158:E$166,基础状态预期!L80))</f>
        <v>0</v>
      </c>
      <c r="AT67" s="29">
        <f>IF(基础状态预期!M80="",0,求节点($C$158:$C$166,F$158:F$166,基础状态预期!M80))</f>
        <v>0</v>
      </c>
      <c r="AU67" s="29">
        <f>IF(基础状态预期!N80="",0,求节点($C$158:$C$166,G$158:G$166,基础状态预期!N80))</f>
        <v>0</v>
      </c>
      <c r="AV67" s="29">
        <f>IF(基础状态预期!O80="",0,求节点($C$158:$C$166,H$158:H$166,基础状态预期!O80))</f>
        <v>0.74573784608933802</v>
      </c>
      <c r="AW67" s="29">
        <f>MAX(SUMPRODUCT(AR67:AV67,基础状态预期!$F80:$J80)/SUM(基础状态预期!$F80:$J80),AW66)</f>
        <v>0.74573784608933791</v>
      </c>
      <c r="BJ67" s="29">
        <f t="shared" si="25"/>
        <v>90.122782504866933</v>
      </c>
      <c r="BK67" s="75">
        <f>武将数量星级阶位验证!AT70</f>
        <v>988527.01216982305</v>
      </c>
      <c r="BL67" s="75">
        <f>(AD67-AD66)*INDEX('[1]功能-付费相关'!$AR$6:$AR$165,BJ67,1)+BL66</f>
        <v>16896.119834616686</v>
      </c>
    </row>
    <row r="68" spans="1:90" x14ac:dyDescent="0.15">
      <c r="A68" s="79"/>
      <c r="B68" s="170"/>
      <c r="C68" s="14">
        <v>0</v>
      </c>
      <c r="D68" s="95">
        <v>0</v>
      </c>
      <c r="E68" s="95">
        <v>0.06</v>
      </c>
      <c r="F68" s="95">
        <v>0.1</v>
      </c>
      <c r="G68" s="95">
        <v>0.216</v>
      </c>
      <c r="H68" s="95">
        <v>0.5</v>
      </c>
      <c r="I68" s="95">
        <v>0.7</v>
      </c>
      <c r="J68" s="72">
        <f>H68/G68</f>
        <v>2.3148148148148149</v>
      </c>
      <c r="M68" s="72">
        <v>23</v>
      </c>
      <c r="N68" s="29">
        <f>基础状态预期!D81</f>
        <v>93.149045658279036</v>
      </c>
      <c r="O68" s="29">
        <f>IF(基础状态预期!F81="",0,求节点($C$104:$C$112,D$104:D$112,基础状态预期!K81))</f>
        <v>0</v>
      </c>
      <c r="P68" s="29">
        <f>IF(基础状态预期!G81="",0,求节点($C$104:$C$112,E$104:E$112,基础状态预期!L81))</f>
        <v>0</v>
      </c>
      <c r="Q68" s="29">
        <f>IF(基础状态预期!H81="",0,求节点($C$104:$C$112,F$104:F$112,基础状态预期!M81))</f>
        <v>0</v>
      </c>
      <c r="R68" s="29">
        <f>IF(基础状态预期!I81="",0,求节点($C$104:$C$112,G$104:G$112,基础状态预期!N81))</f>
        <v>0</v>
      </c>
      <c r="S68" s="29">
        <f>IF(基础状态预期!J81="",0,求节点($C$104:$C$112,H$104:H$112,基础状态预期!O81))</f>
        <v>18</v>
      </c>
      <c r="T68" s="29">
        <f>IF(基础状态预期!F81="",0,求节点($C$114:$C$122,D$114:D$122,基础状态预期!K81)*基础状态预期!F81+求节点($C$124:$C$132,D$124:D$132,基础状态预期!$O81)*基础状态预期!$J81)</f>
        <v>0</v>
      </c>
      <c r="U68" s="29">
        <f>IF(基础状态预期!G81="",0,求节点($C$114:$C$122,E$114:E$122,基础状态预期!L81)*基础状态预期!G81+求节点($C$124:$C$132,E$124:E$132,基础状态预期!$O81)*基础状态预期!$J81)</f>
        <v>0</v>
      </c>
      <c r="V68" s="29">
        <f>IF(基础状态预期!H81="",0,求节点($C$114:$C$122,F$114:F$122,基础状态预期!M81)*基础状态预期!H81+求节点($C$124:$C$132,F$124:F$132,基础状态预期!$O81)*基础状态预期!$J81)</f>
        <v>0</v>
      </c>
      <c r="W68" s="148">
        <f>IF(基础状态预期!I81="",0,求节点($C$114:$C$122,G$114:G$122,基础状态预期!N81)*基础状态预期!I81)+IF(基础状态预期!O81="",0,求节点($C$124:$C$132,G$124:G$132,基础状态预期!$O81)*基础状态预期!$J81)</f>
        <v>54</v>
      </c>
      <c r="X68" s="29">
        <f>IF(基础状态预期!J81="",0,求节点($C$114:$C$122,H$114:H$122,基础状态预期!O81)*基础状态预期!J81+求节点($C$124:$C$132,H$124:H$132,基础状态预期!$O81)*基础状态预期!$J81)</f>
        <v>0</v>
      </c>
      <c r="Y68" s="14">
        <f>IF(基础状态预期!K81="",0,求节点($C$92:$C$100,D$92:D$100,基础状态预期!K81))</f>
        <v>0</v>
      </c>
      <c r="Z68" s="14">
        <f>IF(基础状态预期!L81="",0,求节点($C$92:$C$100,E$92:E$100,基础状态预期!L81))</f>
        <v>0</v>
      </c>
      <c r="AA68" s="14">
        <f>IF(基础状态预期!M81="",0,求节点($C$92:$C$100,F$92:F$100,基础状态预期!M81))</f>
        <v>0</v>
      </c>
      <c r="AB68" s="14">
        <f>IF(基础状态预期!N81="",0,求节点($C$92:$C$100,G$92:G$100,基础状态预期!N81))</f>
        <v>0</v>
      </c>
      <c r="AC68" s="14">
        <f>IF(基础状态预期!O81="",0,求节点($C$92:$C$100,H$92:H$100,基础状态预期!O81))</f>
        <v>3825000</v>
      </c>
      <c r="AD68" s="29">
        <f>MAX(SUMPRODUCT(Y68:AC68,基础状态预期!F81:J81),AD67)</f>
        <v>22950000</v>
      </c>
      <c r="AF68" s="29" t="str">
        <f>IF(基础状态预期!K81="","",基础状态预期!K81*D$59+D$58)</f>
        <v/>
      </c>
      <c r="AG68" s="29" t="str">
        <f>IF(基础状态预期!L81="","",基础状态预期!L81*E$59+E$58)</f>
        <v/>
      </c>
      <c r="AH68" s="29" t="str">
        <f>IF(基础状态预期!M81="","",基础状态预期!M81*F$59+F$58)</f>
        <v/>
      </c>
      <c r="AI68" s="29" t="str">
        <f>IF(基础状态预期!N81="","",基础状态预期!N81*G$59+G$58)</f>
        <v/>
      </c>
      <c r="AJ68" s="29">
        <f>IF(基础状态预期!O81="","",基础状态预期!O81*H$59+H$58)</f>
        <v>148</v>
      </c>
      <c r="AK68" s="29">
        <f>MAX(SUMPRODUCT(AF68:AJ68,基础状态预期!$F81:$J81)/SUM(基础状态预期!$F81:$J81),AK67)</f>
        <v>148</v>
      </c>
      <c r="AL68" s="29">
        <f>IF(基础状态预期!K81="",0,求节点($C$68:$C$76,D$68:D$76,基础状态预期!K81))</f>
        <v>0</v>
      </c>
      <c r="AM68" s="29">
        <f>IF(基础状态预期!L81="",0,求节点($C$68:$C$76,E$68:E$76,基础状态预期!L81))</f>
        <v>0</v>
      </c>
      <c r="AN68" s="29">
        <f>IF(基础状态预期!M81="",0,求节点($C$68:$C$76,F$68:F$76,基础状态预期!M81)*求节点(武将升级!$H$52:$H$54,武将升级!$J$52:$J$54,基础状态预期!W81))</f>
        <v>0</v>
      </c>
      <c r="AO68" s="29">
        <f>IF(基础状态预期!N81="",0,求节点($C$68:$C$76,G$68:G$76,基础状态预期!N81)*求节点(武将升级!$H$52:$H$54,武将升级!$J$52:$J$54,基础状态预期!X81))</f>
        <v>0</v>
      </c>
      <c r="AP68" s="29">
        <f>IF(基础状态预期!O81="",0,求节点($C$68:$C$76,H$68:H$76,基础状态预期!O81)*求节点(武将升级!$H$52:$H$54,武将升级!$J$52:$J$54,基础状态预期!Y81))</f>
        <v>1.1399999999999999</v>
      </c>
      <c r="AQ68" s="29">
        <f>MAX(SUMPRODUCT(AL68:AP68,基础状态预期!$F81:$J81)/SUM(基础状态预期!$F81:$J81),AQ67)</f>
        <v>1.1399999999999999</v>
      </c>
      <c r="AR68" s="29">
        <f>IF(基础状态预期!K81="",0,求节点($C$158:$C$166,D$158:D$166,基础状态预期!K81))</f>
        <v>0</v>
      </c>
      <c r="AS68" s="29">
        <f>IF(基础状态预期!L81="",0,求节点($C$158:$C$166,E$158:E$166,基础状态预期!L81))</f>
        <v>0</v>
      </c>
      <c r="AT68" s="29">
        <f>IF(基础状态预期!M81="",0,求节点($C$158:$C$166,F$158:F$166,基础状态预期!M81))</f>
        <v>0</v>
      </c>
      <c r="AU68" s="29">
        <f>IF(基础状态预期!N81="",0,求节点($C$158:$C$166,G$158:G$166,基础状态预期!N81))</f>
        <v>0</v>
      </c>
      <c r="AV68" s="29">
        <f>IF(基础状态预期!O81="",0,求节点($C$158:$C$166,H$158:H$166,基础状态预期!O81))</f>
        <v>0.8</v>
      </c>
      <c r="AW68" s="29">
        <f>MAX(SUMPRODUCT(AR68:AV68,基础状态预期!$F81:$J81)/SUM(基础状态预期!$F81:$J81),AW67)</f>
        <v>0.80000000000000016</v>
      </c>
      <c r="BJ68" s="29">
        <f t="shared" si="25"/>
        <v>93.149045658279036</v>
      </c>
      <c r="BK68" s="75">
        <f>武将数量星级阶位验证!AT71</f>
        <v>1145880.1246564023</v>
      </c>
      <c r="BL68" s="75">
        <f>(AD68-AD67)*INDEX('[1]功能-付费相关'!$AR$6:$AR$165,BJ68,1)+BL67</f>
        <v>22771.119957274819</v>
      </c>
    </row>
    <row r="69" spans="1:90" x14ac:dyDescent="0.15">
      <c r="A69" s="79"/>
      <c r="B69" s="170"/>
      <c r="C69" s="14">
        <v>1</v>
      </c>
      <c r="D69" s="95">
        <f>D68+0.015</f>
        <v>1.4999999999999999E-2</v>
      </c>
      <c r="E69" s="95">
        <f>E68+3%</f>
        <v>0.09</v>
      </c>
      <c r="F69" s="95">
        <f>F68+5%</f>
        <v>0.15000000000000002</v>
      </c>
      <c r="G69" s="95">
        <f>G68+7.2%</f>
        <v>0.28800000000000003</v>
      </c>
      <c r="H69" s="95">
        <f>H68+0.08</f>
        <v>0.57999999999999996</v>
      </c>
      <c r="I69" s="95">
        <f>I68+0.088</f>
        <v>0.78799999999999992</v>
      </c>
      <c r="J69" s="72">
        <f t="shared" ref="J69:J76" si="42">H69/G69</f>
        <v>2.0138888888888884</v>
      </c>
      <c r="M69" s="72">
        <v>24</v>
      </c>
      <c r="N69" s="29">
        <f>基础状态预期!D82</f>
        <v>96.770480813454071</v>
      </c>
      <c r="O69" s="29">
        <f>IF(基础状态预期!F82="",0,求节点($C$104:$C$112,D$104:D$112,基础状态预期!K82))</f>
        <v>0</v>
      </c>
      <c r="P69" s="29">
        <f>IF(基础状态预期!G82="",0,求节点($C$104:$C$112,E$104:E$112,基础状态预期!L82))</f>
        <v>0</v>
      </c>
      <c r="Q69" s="29">
        <f>IF(基础状态预期!H82="",0,求节点($C$104:$C$112,F$104:F$112,基础状态预期!M82))</f>
        <v>0</v>
      </c>
      <c r="R69" s="29">
        <f>IF(基础状态预期!I82="",0,求节点($C$104:$C$112,G$104:G$112,基础状态预期!N82))</f>
        <v>0</v>
      </c>
      <c r="S69" s="29">
        <f>IF(基础状态预期!J82="",0,求节点($C$104:$C$112,H$104:H$112,基础状态预期!O82))</f>
        <v>18</v>
      </c>
      <c r="T69" s="29">
        <f>IF(基础状态预期!F82="",0,求节点($C$114:$C$122,D$114:D$122,基础状态预期!K82)*基础状态预期!F82+求节点($C$124:$C$132,D$124:D$132,基础状态预期!$O82)*基础状态预期!$J82)</f>
        <v>0</v>
      </c>
      <c r="U69" s="29">
        <f>IF(基础状态预期!G82="",0,求节点($C$114:$C$122,E$114:E$122,基础状态预期!L82)*基础状态预期!G82+求节点($C$124:$C$132,E$124:E$132,基础状态预期!$O82)*基础状态预期!$J82)</f>
        <v>0</v>
      </c>
      <c r="V69" s="29">
        <f>IF(基础状态预期!H82="",0,求节点($C$114:$C$122,F$114:F$122,基础状态预期!M82)*基础状态预期!H82+求节点($C$124:$C$132,F$124:F$132,基础状态预期!$O82)*基础状态预期!$J82)</f>
        <v>0</v>
      </c>
      <c r="W69" s="148">
        <f>IF(基础状态预期!I82="",0,求节点($C$114:$C$122,G$114:G$122,基础状态预期!N82)*基础状态预期!I82)+IF(基础状态预期!O82="",0,求节点($C$124:$C$132,G$124:G$132,基础状态预期!$O82)*基础状态预期!$J82)</f>
        <v>54</v>
      </c>
      <c r="X69" s="29">
        <f>IF(基础状态预期!J82="",0,求节点($C$114:$C$122,H$114:H$122,基础状态预期!O82)*基础状态预期!J82+求节点($C$124:$C$132,H$124:H$132,基础状态预期!$O82)*基础状态预期!$J82)</f>
        <v>0</v>
      </c>
      <c r="Y69" s="14">
        <f>IF(基础状态预期!K82="",0,求节点($C$92:$C$100,D$92:D$100,基础状态预期!K82))</f>
        <v>0</v>
      </c>
      <c r="Z69" s="14">
        <f>IF(基础状态预期!L82="",0,求节点($C$92:$C$100,E$92:E$100,基础状态预期!L82))</f>
        <v>0</v>
      </c>
      <c r="AA69" s="14">
        <f>IF(基础状态预期!M82="",0,求节点($C$92:$C$100,F$92:F$100,基础状态预期!M82))</f>
        <v>0</v>
      </c>
      <c r="AB69" s="14">
        <f>IF(基础状态预期!N82="",0,求节点($C$92:$C$100,G$92:G$100,基础状态预期!N82))</f>
        <v>0</v>
      </c>
      <c r="AC69" s="14">
        <f>IF(基础状态预期!O82="",0,求节点($C$92:$C$100,H$92:H$100,基础状态预期!O82))</f>
        <v>3825000</v>
      </c>
      <c r="AD69" s="29">
        <f>MAX(SUMPRODUCT(Y69:AC69,基础状态预期!F82:J82),AD68)</f>
        <v>22950000</v>
      </c>
      <c r="AF69" s="29" t="str">
        <f>IF(基础状态预期!K82="","",基础状态预期!K82*D$59+D$58)</f>
        <v/>
      </c>
      <c r="AG69" s="29" t="str">
        <f>IF(基础状态预期!L82="","",基础状态预期!L82*E$59+E$58)</f>
        <v/>
      </c>
      <c r="AH69" s="29" t="str">
        <f>IF(基础状态预期!M82="","",基础状态预期!M82*F$59+F$58)</f>
        <v/>
      </c>
      <c r="AI69" s="29" t="str">
        <f>IF(基础状态预期!N82="","",基础状态预期!N82*G$59+G$58)</f>
        <v/>
      </c>
      <c r="AJ69" s="29">
        <f>IF(基础状态预期!O82="","",基础状态预期!O82*H$59+H$58)</f>
        <v>148</v>
      </c>
      <c r="AK69" s="29">
        <f>MAX(SUMPRODUCT(AF69:AJ69,基础状态预期!$F82:$J82)/SUM(基础状态预期!$F82:$J82),AK68)</f>
        <v>148</v>
      </c>
      <c r="AL69" s="29">
        <f>IF(基础状态预期!K82="",0,求节点($C$68:$C$76,D$68:D$76,基础状态预期!K82))</f>
        <v>0</v>
      </c>
      <c r="AM69" s="29">
        <f>IF(基础状态预期!L82="",0,求节点($C$68:$C$76,E$68:E$76,基础状态预期!L82))</f>
        <v>0</v>
      </c>
      <c r="AN69" s="29">
        <f>IF(基础状态预期!M82="",0,求节点($C$68:$C$76,F$68:F$76,基础状态预期!M82)*求节点(武将升级!$H$52:$H$54,武将升级!$J$52:$J$54,基础状态预期!W82))</f>
        <v>0</v>
      </c>
      <c r="AO69" s="29">
        <f>IF(基础状态预期!N82="",0,求节点($C$68:$C$76,G$68:G$76,基础状态预期!N82)*求节点(武将升级!$H$52:$H$54,武将升级!$J$52:$J$54,基础状态预期!X82))</f>
        <v>0</v>
      </c>
      <c r="AP69" s="29">
        <f>IF(基础状态预期!O82="",0,求节点($C$68:$C$76,H$68:H$76,基础状态预期!O82)*求节点(武将升级!$H$52:$H$54,武将升级!$J$52:$J$54,基础状态预期!Y82))</f>
        <v>1.1399999999999999</v>
      </c>
      <c r="AQ69" s="29">
        <f>MAX(SUMPRODUCT(AL69:AP69,基础状态预期!$F82:$J82)/SUM(基础状态预期!$F82:$J82),AQ68)</f>
        <v>1.1399999999999999</v>
      </c>
      <c r="AR69" s="29">
        <f>IF(基础状态预期!K82="",0,求节点($C$158:$C$166,D$158:D$166,基础状态预期!K82))</f>
        <v>0</v>
      </c>
      <c r="AS69" s="29">
        <f>IF(基础状态预期!L82="",0,求节点($C$158:$C$166,E$158:E$166,基础状态预期!L82))</f>
        <v>0</v>
      </c>
      <c r="AT69" s="29">
        <f>IF(基础状态预期!M82="",0,求节点($C$158:$C$166,F$158:F$166,基础状态预期!M82))</f>
        <v>0</v>
      </c>
      <c r="AU69" s="29">
        <f>IF(基础状态预期!N82="",0,求节点($C$158:$C$166,G$158:G$166,基础状态预期!N82))</f>
        <v>0</v>
      </c>
      <c r="AV69" s="29">
        <f>IF(基础状态预期!O82="",0,求节点($C$158:$C$166,H$158:H$166,基础状态预期!O82))</f>
        <v>0.8</v>
      </c>
      <c r="AW69" s="29">
        <f>MAX(SUMPRODUCT(AR69:AV69,基础状态预期!$F82:$J82)/SUM(基础状态预期!$F82:$J82),AW68)</f>
        <v>0.80000000000000016</v>
      </c>
      <c r="BJ69" s="29">
        <f t="shared" si="25"/>
        <v>96.770480813454071</v>
      </c>
      <c r="BK69" s="75">
        <f>武将数量星级阶位验证!AT72</f>
        <v>1370397.0313293894</v>
      </c>
      <c r="BL69" s="75">
        <f>(AD69-AD68)*INDEX('[1]功能-付费相关'!$AR$6:$AR$165,BJ69,1)+BL68</f>
        <v>22771.119957274819</v>
      </c>
    </row>
    <row r="70" spans="1:90" x14ac:dyDescent="0.15">
      <c r="A70" s="79"/>
      <c r="B70" s="170"/>
      <c r="C70" s="14">
        <v>2</v>
      </c>
      <c r="D70" s="95">
        <f t="shared" ref="D70:D76" si="43">D69+0.015</f>
        <v>0.03</v>
      </c>
      <c r="E70" s="95">
        <f t="shared" ref="E70:E76" si="44">E69+3%</f>
        <v>0.12</v>
      </c>
      <c r="F70" s="95">
        <f t="shared" ref="F70:F76" si="45">F69+5%</f>
        <v>0.2</v>
      </c>
      <c r="G70" s="95">
        <f t="shared" ref="G70:G76" si="46">G69+7.2%</f>
        <v>0.36000000000000004</v>
      </c>
      <c r="H70" s="95">
        <f t="shared" ref="H70:H76" si="47">H69+0.08</f>
        <v>0.65999999999999992</v>
      </c>
      <c r="I70" s="95">
        <f t="shared" ref="I70:I76" si="48">I69+0.088</f>
        <v>0.87599999999999989</v>
      </c>
      <c r="J70" s="72">
        <f t="shared" si="42"/>
        <v>1.8333333333333328</v>
      </c>
      <c r="M70" s="72">
        <v>25</v>
      </c>
      <c r="N70" s="29">
        <f>基础状态预期!D83</f>
        <v>100.40175326279811</v>
      </c>
      <c r="O70" s="29">
        <f>IF(基础状态预期!F83="",0,求节点($C$104:$C$112,D$104:D$112,基础状态预期!K83))</f>
        <v>0</v>
      </c>
      <c r="P70" s="29">
        <f>IF(基础状态预期!G83="",0,求节点($C$104:$C$112,E$104:E$112,基础状态预期!L83))</f>
        <v>0</v>
      </c>
      <c r="Q70" s="29">
        <f>IF(基础状态预期!H83="",0,求节点($C$104:$C$112,F$104:F$112,基础状态预期!M83))</f>
        <v>0</v>
      </c>
      <c r="R70" s="29">
        <f>IF(基础状态预期!I83="",0,求节点($C$104:$C$112,G$104:G$112,基础状态预期!N83))</f>
        <v>0</v>
      </c>
      <c r="S70" s="29">
        <f>IF(基础状态预期!J83="",0,求节点($C$104:$C$112,H$104:H$112,基础状态预期!O83))</f>
        <v>18</v>
      </c>
      <c r="T70" s="29">
        <f>IF(基础状态预期!F83="",0,求节点($C$114:$C$122,D$114:D$122,基础状态预期!K83)*基础状态预期!F83+求节点($C$124:$C$132,D$124:D$132,基础状态预期!$O83)*基础状态预期!$J83)</f>
        <v>0</v>
      </c>
      <c r="U70" s="29">
        <f>IF(基础状态预期!G83="",0,求节点($C$114:$C$122,E$114:E$122,基础状态预期!L83)*基础状态预期!G83+求节点($C$124:$C$132,E$124:E$132,基础状态预期!$O83)*基础状态预期!$J83)</f>
        <v>0</v>
      </c>
      <c r="V70" s="29">
        <f>IF(基础状态预期!H83="",0,求节点($C$114:$C$122,F$114:F$122,基础状态预期!M83)*基础状态预期!H83+求节点($C$124:$C$132,F$124:F$132,基础状态预期!$O83)*基础状态预期!$J83)</f>
        <v>0</v>
      </c>
      <c r="W70" s="148">
        <f>IF(基础状态预期!I83="",0,求节点($C$114:$C$122,G$114:G$122,基础状态预期!N83)*基础状态预期!I83)+IF(基础状态预期!O83="",0,求节点($C$124:$C$132,G$124:G$132,基础状态预期!$O83)*基础状态预期!$J83)</f>
        <v>54</v>
      </c>
      <c r="X70" s="29">
        <f>IF(基础状态预期!J83="",0,求节点($C$114:$C$122,H$114:H$122,基础状态预期!O83)*基础状态预期!J83+求节点($C$124:$C$132,H$124:H$132,基础状态预期!$O83)*基础状态预期!$J83)</f>
        <v>0</v>
      </c>
      <c r="Y70" s="14">
        <f>IF(基础状态预期!K83="",0,求节点($C$92:$C$100,D$92:D$100,基础状态预期!K83))</f>
        <v>0</v>
      </c>
      <c r="Z70" s="14">
        <f>IF(基础状态预期!L83="",0,求节点($C$92:$C$100,E$92:E$100,基础状态预期!L83))</f>
        <v>0</v>
      </c>
      <c r="AA70" s="14">
        <f>IF(基础状态预期!M83="",0,求节点($C$92:$C$100,F$92:F$100,基础状态预期!M83))</f>
        <v>0</v>
      </c>
      <c r="AB70" s="14">
        <f>IF(基础状态预期!N83="",0,求节点($C$92:$C$100,G$92:G$100,基础状态预期!N83))</f>
        <v>0</v>
      </c>
      <c r="AC70" s="14">
        <f>IF(基础状态预期!O83="",0,求节点($C$92:$C$100,H$92:H$100,基础状态预期!O83))</f>
        <v>3825000</v>
      </c>
      <c r="AD70" s="29">
        <f>MAX(SUMPRODUCT(Y70:AC70,基础状态预期!F83:J83),AD69)</f>
        <v>22950000</v>
      </c>
      <c r="AF70" s="29" t="str">
        <f>IF(基础状态预期!K83="","",基础状态预期!K83*D$59+D$58)</f>
        <v/>
      </c>
      <c r="AG70" s="29" t="str">
        <f>IF(基础状态预期!L83="","",基础状态预期!L83*E$59+E$58)</f>
        <v/>
      </c>
      <c r="AH70" s="29" t="str">
        <f>IF(基础状态预期!M83="","",基础状态预期!M83*F$59+F$58)</f>
        <v/>
      </c>
      <c r="AI70" s="29" t="str">
        <f>IF(基础状态预期!N83="","",基础状态预期!N83*G$59+G$58)</f>
        <v/>
      </c>
      <c r="AJ70" s="29">
        <f>IF(基础状态预期!O83="","",基础状态预期!O83*H$59+H$58)</f>
        <v>148</v>
      </c>
      <c r="AK70" s="29">
        <f>MAX(SUMPRODUCT(AF70:AJ70,基础状态预期!$F83:$J83)/SUM(基础状态预期!$F83:$J83),AK69)</f>
        <v>148</v>
      </c>
      <c r="AL70" s="29">
        <f>IF(基础状态预期!K83="",0,求节点($C$68:$C$76,D$68:D$76,基础状态预期!K83))</f>
        <v>0</v>
      </c>
      <c r="AM70" s="29">
        <f>IF(基础状态预期!L83="",0,求节点($C$68:$C$76,E$68:E$76,基础状态预期!L83))</f>
        <v>0</v>
      </c>
      <c r="AN70" s="29">
        <f>IF(基础状态预期!M83="",0,求节点($C$68:$C$76,F$68:F$76,基础状态预期!M83)*求节点(武将升级!$H$52:$H$54,武将升级!$J$52:$J$54,基础状态预期!W83))</f>
        <v>0</v>
      </c>
      <c r="AO70" s="29">
        <f>IF(基础状态预期!N83="",0,求节点($C$68:$C$76,G$68:G$76,基础状态预期!N83)*求节点(武将升级!$H$52:$H$54,武将升级!$J$52:$J$54,基础状态预期!X83))</f>
        <v>0</v>
      </c>
      <c r="AP70" s="29">
        <f>IF(基础状态预期!O83="",0,求节点($C$68:$C$76,H$68:H$76,基础状态预期!O83)*求节点(武将升级!$H$52:$H$54,武将升级!$J$52:$J$54,基础状态预期!Y83))</f>
        <v>1.1399999999999999</v>
      </c>
      <c r="AQ70" s="29">
        <f>MAX(SUMPRODUCT(AL70:AP70,基础状态预期!$F83:$J83)/SUM(基础状态预期!$F83:$J83),AQ69)</f>
        <v>1.1399999999999999</v>
      </c>
      <c r="AR70" s="29">
        <f>IF(基础状态预期!K83="",0,求节点($C$158:$C$166,D$158:D$166,基础状态预期!K83))</f>
        <v>0</v>
      </c>
      <c r="AS70" s="29">
        <f>IF(基础状态预期!L83="",0,求节点($C$158:$C$166,E$158:E$166,基础状态预期!L83))</f>
        <v>0</v>
      </c>
      <c r="AT70" s="29">
        <f>IF(基础状态预期!M83="",0,求节点($C$158:$C$166,F$158:F$166,基础状态预期!M83))</f>
        <v>0</v>
      </c>
      <c r="AU70" s="29">
        <f>IF(基础状态预期!N83="",0,求节点($C$158:$C$166,G$158:G$166,基础状态预期!N83))</f>
        <v>0</v>
      </c>
      <c r="AV70" s="29">
        <f>IF(基础状态预期!O83="",0,求节点($C$158:$C$166,H$158:H$166,基础状态预期!O83))</f>
        <v>0.8</v>
      </c>
      <c r="AW70" s="29">
        <f>MAX(SUMPRODUCT(AR70:AV70,基础状态预期!$F83:$J83)/SUM(基础状态预期!$F83:$J83),AW69)</f>
        <v>0.80000000000000016</v>
      </c>
      <c r="BJ70" s="29">
        <f t="shared" si="25"/>
        <v>100.40175326279811</v>
      </c>
      <c r="BK70" s="75">
        <f>武将数量星级阶位验证!AT73</f>
        <v>1644033.4270258122</v>
      </c>
      <c r="BL70" s="75">
        <f>(AD70-AD69)*INDEX('[1]功能-付费相关'!$AR$6:$AR$165,BJ70,1)+BL69</f>
        <v>22771.119957274819</v>
      </c>
    </row>
    <row r="71" spans="1:90" x14ac:dyDescent="0.15">
      <c r="A71" s="79"/>
      <c r="B71" s="170"/>
      <c r="C71" s="14">
        <v>3</v>
      </c>
      <c r="D71" s="95">
        <f t="shared" si="43"/>
        <v>4.4999999999999998E-2</v>
      </c>
      <c r="E71" s="95">
        <f t="shared" si="44"/>
        <v>0.15</v>
      </c>
      <c r="F71" s="95">
        <f t="shared" si="45"/>
        <v>0.25</v>
      </c>
      <c r="G71" s="95">
        <f t="shared" si="46"/>
        <v>0.43200000000000005</v>
      </c>
      <c r="H71" s="95">
        <f t="shared" si="47"/>
        <v>0.73999999999999988</v>
      </c>
      <c r="I71" s="95">
        <f t="shared" si="48"/>
        <v>0.96399999999999986</v>
      </c>
      <c r="J71" s="72">
        <f t="shared" si="42"/>
        <v>1.7129629629629626</v>
      </c>
      <c r="M71" s="72">
        <v>26</v>
      </c>
      <c r="N71" s="29">
        <f>基础状态预期!D84</f>
        <v>104.06236366727887</v>
      </c>
      <c r="O71" s="29">
        <f>IF(基础状态预期!F84="",0,求节点($C$104:$C$112,D$104:D$112,基础状态预期!K84))</f>
        <v>0</v>
      </c>
      <c r="P71" s="29">
        <f>IF(基础状态预期!G84="",0,求节点($C$104:$C$112,E$104:E$112,基础状态预期!L84))</f>
        <v>0</v>
      </c>
      <c r="Q71" s="29">
        <f>IF(基础状态预期!H84="",0,求节点($C$104:$C$112,F$104:F$112,基础状态预期!M84))</f>
        <v>0</v>
      </c>
      <c r="R71" s="29">
        <f>IF(基础状态预期!I84="",0,求节点($C$104:$C$112,G$104:G$112,基础状态预期!N84))</f>
        <v>0</v>
      </c>
      <c r="S71" s="29">
        <f>IF(基础状态预期!J84="",0,求节点($C$104:$C$112,H$104:H$112,基础状态预期!O84))</f>
        <v>18</v>
      </c>
      <c r="T71" s="29">
        <f>IF(基础状态预期!F84="",0,求节点($C$114:$C$122,D$114:D$122,基础状态预期!K84)*基础状态预期!F84+求节点($C$124:$C$132,D$124:D$132,基础状态预期!$O84)*基础状态预期!$J84)</f>
        <v>0</v>
      </c>
      <c r="U71" s="29">
        <f>IF(基础状态预期!G84="",0,求节点($C$114:$C$122,E$114:E$122,基础状态预期!L84)*基础状态预期!G84+求节点($C$124:$C$132,E$124:E$132,基础状态预期!$O84)*基础状态预期!$J84)</f>
        <v>0</v>
      </c>
      <c r="V71" s="29">
        <f>IF(基础状态预期!H84="",0,求节点($C$114:$C$122,F$114:F$122,基础状态预期!M84)*基础状态预期!H84+求节点($C$124:$C$132,F$124:F$132,基础状态预期!$O84)*基础状态预期!$J84)</f>
        <v>0</v>
      </c>
      <c r="W71" s="148">
        <f>IF(基础状态预期!I84="",0,求节点($C$114:$C$122,G$114:G$122,基础状态预期!N84)*基础状态预期!I84)+IF(基础状态预期!O84="",0,求节点($C$124:$C$132,G$124:G$132,基础状态预期!$O84)*基础状态预期!$J84)</f>
        <v>54</v>
      </c>
      <c r="X71" s="29">
        <f>IF(基础状态预期!J84="",0,求节点($C$114:$C$122,H$114:H$122,基础状态预期!O84)*基础状态预期!J84+求节点($C$124:$C$132,H$124:H$132,基础状态预期!$O84)*基础状态预期!$J84)</f>
        <v>0</v>
      </c>
      <c r="Y71" s="14">
        <f>IF(基础状态预期!K84="",0,求节点($C$92:$C$100,D$92:D$100,基础状态预期!K84))</f>
        <v>0</v>
      </c>
      <c r="Z71" s="14">
        <f>IF(基础状态预期!L84="",0,求节点($C$92:$C$100,E$92:E$100,基础状态预期!L84))</f>
        <v>0</v>
      </c>
      <c r="AA71" s="14">
        <f>IF(基础状态预期!M84="",0,求节点($C$92:$C$100,F$92:F$100,基础状态预期!M84))</f>
        <v>0</v>
      </c>
      <c r="AB71" s="14">
        <f>IF(基础状态预期!N84="",0,求节点($C$92:$C$100,G$92:G$100,基础状态预期!N84))</f>
        <v>0</v>
      </c>
      <c r="AC71" s="14">
        <f>IF(基础状态预期!O84="",0,求节点($C$92:$C$100,H$92:H$100,基础状态预期!O84))</f>
        <v>3825000</v>
      </c>
      <c r="AD71" s="29">
        <f>MAX(SUMPRODUCT(Y71:AC71,基础状态预期!F84:J84),AD70)</f>
        <v>22950000</v>
      </c>
      <c r="AF71" s="29" t="str">
        <f>IF(基础状态预期!K84="","",基础状态预期!K84*D$59+D$58)</f>
        <v/>
      </c>
      <c r="AG71" s="29" t="str">
        <f>IF(基础状态预期!L84="","",基础状态预期!L84*E$59+E$58)</f>
        <v/>
      </c>
      <c r="AH71" s="29" t="str">
        <f>IF(基础状态预期!M84="","",基础状态预期!M84*F$59+F$58)</f>
        <v/>
      </c>
      <c r="AI71" s="29" t="str">
        <f>IF(基础状态预期!N84="","",基础状态预期!N84*G$59+G$58)</f>
        <v/>
      </c>
      <c r="AJ71" s="29">
        <f>IF(基础状态预期!O84="","",基础状态预期!O84*H$59+H$58)</f>
        <v>148</v>
      </c>
      <c r="AK71" s="29">
        <f>MAX(SUMPRODUCT(AF71:AJ71,基础状态预期!$F84:$J84)/SUM(基础状态预期!$F84:$J84),AK70)</f>
        <v>148</v>
      </c>
      <c r="AL71" s="29">
        <f>IF(基础状态预期!K84="",0,求节点($C$68:$C$76,D$68:D$76,基础状态预期!K84))</f>
        <v>0</v>
      </c>
      <c r="AM71" s="29">
        <f>IF(基础状态预期!L84="",0,求节点($C$68:$C$76,E$68:E$76,基础状态预期!L84))</f>
        <v>0</v>
      </c>
      <c r="AN71" s="29">
        <f>IF(基础状态预期!M84="",0,求节点($C$68:$C$76,F$68:F$76,基础状态预期!M84)*求节点(武将升级!$H$52:$H$54,武将升级!$J$52:$J$54,基础状态预期!W84))</f>
        <v>0</v>
      </c>
      <c r="AO71" s="29">
        <f>IF(基础状态预期!N84="",0,求节点($C$68:$C$76,G$68:G$76,基础状态预期!N84)*求节点(武将升级!$H$52:$H$54,武将升级!$J$52:$J$54,基础状态预期!X84))</f>
        <v>0</v>
      </c>
      <c r="AP71" s="29">
        <f>IF(基础状态预期!O84="",0,求节点($C$68:$C$76,H$68:H$76,基础状态预期!O84)*求节点(武将升级!$H$52:$H$54,武将升级!$J$52:$J$54,基础状态预期!Y84))</f>
        <v>1.1399999999999999</v>
      </c>
      <c r="AQ71" s="29">
        <f>MAX(SUMPRODUCT(AL71:AP71,基础状态预期!$F84:$J84)/SUM(基础状态预期!$F84:$J84),AQ70)</f>
        <v>1.1399999999999999</v>
      </c>
      <c r="AR71" s="29">
        <f>IF(基础状态预期!K84="",0,求节点($C$158:$C$166,D$158:D$166,基础状态预期!K84))</f>
        <v>0</v>
      </c>
      <c r="AS71" s="29">
        <f>IF(基础状态预期!L84="",0,求节点($C$158:$C$166,E$158:E$166,基础状态预期!L84))</f>
        <v>0</v>
      </c>
      <c r="AT71" s="29">
        <f>IF(基础状态预期!M84="",0,求节点($C$158:$C$166,F$158:F$166,基础状态预期!M84))</f>
        <v>0</v>
      </c>
      <c r="AU71" s="29">
        <f>IF(基础状态预期!N84="",0,求节点($C$158:$C$166,G$158:G$166,基础状态预期!N84))</f>
        <v>0</v>
      </c>
      <c r="AV71" s="29">
        <f>IF(基础状态预期!O84="",0,求节点($C$158:$C$166,H$158:H$166,基础状态预期!O84))</f>
        <v>0.8</v>
      </c>
      <c r="AW71" s="29">
        <f>MAX(SUMPRODUCT(AR71:AV71,基础状态预期!$F84:$J84)/SUM(基础状态预期!$F84:$J84),AW70)</f>
        <v>0.80000000000000016</v>
      </c>
      <c r="BJ71" s="29">
        <f t="shared" si="25"/>
        <v>104.06236366727887</v>
      </c>
      <c r="BK71" s="75">
        <f>武将数量星级阶位验证!AT74</f>
        <v>2026257.4209332366</v>
      </c>
      <c r="BL71" s="75">
        <f>(AD71-AD70)*INDEX('[1]功能-付费相关'!$AR$6:$AR$165,BJ71,1)+BL70</f>
        <v>22771.119957274819</v>
      </c>
    </row>
    <row r="72" spans="1:90" x14ac:dyDescent="0.15">
      <c r="A72" s="79"/>
      <c r="B72" s="170"/>
      <c r="C72" s="14">
        <v>4</v>
      </c>
      <c r="D72" s="95">
        <f t="shared" si="43"/>
        <v>0.06</v>
      </c>
      <c r="E72" s="95">
        <f t="shared" si="44"/>
        <v>0.18</v>
      </c>
      <c r="F72" s="95">
        <f t="shared" si="45"/>
        <v>0.3</v>
      </c>
      <c r="G72" s="95">
        <f t="shared" si="46"/>
        <v>0.504</v>
      </c>
      <c r="H72" s="95">
        <f t="shared" si="47"/>
        <v>0.81999999999999984</v>
      </c>
      <c r="I72" s="95">
        <f t="shared" si="48"/>
        <v>1.0519999999999998</v>
      </c>
      <c r="J72" s="72">
        <f t="shared" si="42"/>
        <v>1.6269841269841268</v>
      </c>
      <c r="M72" s="72">
        <v>27</v>
      </c>
      <c r="N72" s="29">
        <f>基础状态预期!D85</f>
        <v>107.42257994053838</v>
      </c>
      <c r="O72" s="29">
        <f>IF(基础状态预期!F85="",0,求节点($C$104:$C$112,D$104:D$112,基础状态预期!K85))</f>
        <v>0</v>
      </c>
      <c r="P72" s="29">
        <f>IF(基础状态预期!G85="",0,求节点($C$104:$C$112,E$104:E$112,基础状态预期!L85))</f>
        <v>0</v>
      </c>
      <c r="Q72" s="29">
        <f>IF(基础状态预期!H85="",0,求节点($C$104:$C$112,F$104:F$112,基础状态预期!M85))</f>
        <v>0</v>
      </c>
      <c r="R72" s="29">
        <f>IF(基础状态预期!I85="",0,求节点($C$104:$C$112,G$104:G$112,基础状态预期!N85))</f>
        <v>0</v>
      </c>
      <c r="S72" s="29">
        <f>IF(基础状态预期!J85="",0,求节点($C$104:$C$112,H$104:H$112,基础状态预期!O85))</f>
        <v>18</v>
      </c>
      <c r="T72" s="29">
        <f>IF(基础状态预期!F85="",0,求节点($C$114:$C$122,D$114:D$122,基础状态预期!K85)*基础状态预期!F85+求节点($C$124:$C$132,D$124:D$132,基础状态预期!$O85)*基础状态预期!$J85)</f>
        <v>0</v>
      </c>
      <c r="U72" s="29">
        <f>IF(基础状态预期!G85="",0,求节点($C$114:$C$122,E$114:E$122,基础状态预期!L85)*基础状态预期!G85+求节点($C$124:$C$132,E$124:E$132,基础状态预期!$O85)*基础状态预期!$J85)</f>
        <v>0</v>
      </c>
      <c r="V72" s="29">
        <f>IF(基础状态预期!H85="",0,求节点($C$114:$C$122,F$114:F$122,基础状态预期!M85)*基础状态预期!H85+求节点($C$124:$C$132,F$124:F$132,基础状态预期!$O85)*基础状态预期!$J85)</f>
        <v>0</v>
      </c>
      <c r="W72" s="148">
        <f>IF(基础状态预期!I85="",0,求节点($C$114:$C$122,G$114:G$122,基础状态预期!N85)*基础状态预期!I85)+IF(基础状态预期!O85="",0,求节点($C$124:$C$132,G$124:G$132,基础状态预期!$O85)*基础状态预期!$J85)</f>
        <v>54</v>
      </c>
      <c r="X72" s="29">
        <f>IF(基础状态预期!J85="",0,求节点($C$114:$C$122,H$114:H$122,基础状态预期!O85)*基础状态预期!J85+求节点($C$124:$C$132,H$124:H$132,基础状态预期!$O85)*基础状态预期!$J85)</f>
        <v>0</v>
      </c>
      <c r="Y72" s="14">
        <f>IF(基础状态预期!K85="",0,求节点($C$92:$C$100,D$92:D$100,基础状态预期!K85))</f>
        <v>0</v>
      </c>
      <c r="Z72" s="14">
        <f>IF(基础状态预期!L85="",0,求节点($C$92:$C$100,E$92:E$100,基础状态预期!L85))</f>
        <v>0</v>
      </c>
      <c r="AA72" s="14">
        <f>IF(基础状态预期!M85="",0,求节点($C$92:$C$100,F$92:F$100,基础状态预期!M85))</f>
        <v>0</v>
      </c>
      <c r="AB72" s="14">
        <f>IF(基础状态预期!N85="",0,求节点($C$92:$C$100,G$92:G$100,基础状态预期!N85))</f>
        <v>0</v>
      </c>
      <c r="AC72" s="14">
        <f>IF(基础状态预期!O85="",0,求节点($C$92:$C$100,H$92:H$100,基础状态预期!O85))</f>
        <v>3825000</v>
      </c>
      <c r="AD72" s="29">
        <f>MAX(SUMPRODUCT(Y72:AC72,基础状态预期!F85:J85),AD71)</f>
        <v>22950000</v>
      </c>
      <c r="AF72" s="29" t="str">
        <f>IF(基础状态预期!K85="","",基础状态预期!K85*D$59+D$58)</f>
        <v/>
      </c>
      <c r="AG72" s="29" t="str">
        <f>IF(基础状态预期!L85="","",基础状态预期!L85*E$59+E$58)</f>
        <v/>
      </c>
      <c r="AH72" s="29" t="str">
        <f>IF(基础状态预期!M85="","",基础状态预期!M85*F$59+F$58)</f>
        <v/>
      </c>
      <c r="AI72" s="29" t="str">
        <f>IF(基础状态预期!N85="","",基础状态预期!N85*G$59+G$58)</f>
        <v/>
      </c>
      <c r="AJ72" s="29">
        <f>IF(基础状态预期!O85="","",基础状态预期!O85*H$59+H$58)</f>
        <v>148</v>
      </c>
      <c r="AK72" s="29">
        <f>MAX(SUMPRODUCT(AF72:AJ72,基础状态预期!$F85:$J85)/SUM(基础状态预期!$F85:$J85),AK71)</f>
        <v>148</v>
      </c>
      <c r="AL72" s="29">
        <f>IF(基础状态预期!K85="",0,求节点($C$68:$C$76,D$68:D$76,基础状态预期!K85))</f>
        <v>0</v>
      </c>
      <c r="AM72" s="29">
        <f>IF(基础状态预期!L85="",0,求节点($C$68:$C$76,E$68:E$76,基础状态预期!L85))</f>
        <v>0</v>
      </c>
      <c r="AN72" s="29">
        <f>IF(基础状态预期!M85="",0,求节点($C$68:$C$76,F$68:F$76,基础状态预期!M85)*求节点(武将升级!$H$52:$H$54,武将升级!$J$52:$J$54,基础状态预期!W85))</f>
        <v>0</v>
      </c>
      <c r="AO72" s="29">
        <f>IF(基础状态预期!N85="",0,求节点($C$68:$C$76,G$68:G$76,基础状态预期!N85)*求节点(武将升级!$H$52:$H$54,武将升级!$J$52:$J$54,基础状态预期!X85))</f>
        <v>0</v>
      </c>
      <c r="AP72" s="29">
        <f>IF(基础状态预期!O85="",0,求节点($C$68:$C$76,H$68:H$76,基础状态预期!O85)*求节点(武将升级!$H$52:$H$54,武将升级!$J$52:$J$54,基础状态预期!Y85))</f>
        <v>1.1399999999999999</v>
      </c>
      <c r="AQ72" s="29">
        <f>MAX(SUMPRODUCT(AL72:AP72,基础状态预期!$F85:$J85)/SUM(基础状态预期!$F85:$J85),AQ71)</f>
        <v>1.1399999999999999</v>
      </c>
      <c r="AR72" s="29">
        <f>IF(基础状态预期!K85="",0,求节点($C$158:$C$166,D$158:D$166,基础状态预期!K85))</f>
        <v>0</v>
      </c>
      <c r="AS72" s="29">
        <f>IF(基础状态预期!L85="",0,求节点($C$158:$C$166,E$158:E$166,基础状态预期!L85))</f>
        <v>0</v>
      </c>
      <c r="AT72" s="29">
        <f>IF(基础状态预期!M85="",0,求节点($C$158:$C$166,F$158:F$166,基础状态预期!M85))</f>
        <v>0</v>
      </c>
      <c r="AU72" s="29">
        <f>IF(基础状态预期!N85="",0,求节点($C$158:$C$166,G$158:G$166,基础状态预期!N85))</f>
        <v>0</v>
      </c>
      <c r="AV72" s="29">
        <f>IF(基础状态预期!O85="",0,求节点($C$158:$C$166,H$158:H$166,基础状态预期!O85))</f>
        <v>0.8</v>
      </c>
      <c r="AW72" s="29">
        <f>MAX(SUMPRODUCT(AR72:AV72,基础状态预期!$F85:$J85)/SUM(基础状态预期!$F85:$J85),AW71)</f>
        <v>0.80000000000000016</v>
      </c>
      <c r="BJ72" s="29">
        <f t="shared" si="25"/>
        <v>107.42257994053838</v>
      </c>
      <c r="BK72" s="75">
        <f>武将数量星级阶位验证!AT75</f>
        <v>2477502.4734299658</v>
      </c>
      <c r="BL72" s="75">
        <f>(AD72-AD71)*INDEX('[1]功能-付费相关'!$AR$6:$AR$165,BJ72,1)+BL71</f>
        <v>22771.119957274819</v>
      </c>
    </row>
    <row r="73" spans="1:90" ht="11.25" customHeight="1" x14ac:dyDescent="0.15">
      <c r="B73" s="170"/>
      <c r="C73" s="14">
        <v>5</v>
      </c>
      <c r="D73" s="95">
        <f t="shared" si="43"/>
        <v>7.4999999999999997E-2</v>
      </c>
      <c r="E73" s="95">
        <f t="shared" si="44"/>
        <v>0.21</v>
      </c>
      <c r="F73" s="95">
        <f t="shared" si="45"/>
        <v>0.35</v>
      </c>
      <c r="G73" s="95">
        <f t="shared" si="46"/>
        <v>0.57600000000000007</v>
      </c>
      <c r="H73" s="95">
        <f t="shared" si="47"/>
        <v>0.8999999999999998</v>
      </c>
      <c r="I73" s="95">
        <f t="shared" si="48"/>
        <v>1.1399999999999999</v>
      </c>
      <c r="J73" s="72">
        <f t="shared" si="42"/>
        <v>1.5624999999999996</v>
      </c>
      <c r="M73" s="72">
        <v>28</v>
      </c>
      <c r="N73" s="29">
        <f>基础状态预期!D86</f>
        <v>111.00691759243479</v>
      </c>
      <c r="O73" s="29">
        <f>IF(基础状态预期!F86="",0,求节点($C$104:$C$112,D$104:D$112,基础状态预期!K86))</f>
        <v>0</v>
      </c>
      <c r="P73" s="29">
        <f>IF(基础状态预期!G86="",0,求节点($C$104:$C$112,E$104:E$112,基础状态预期!L86))</f>
        <v>0</v>
      </c>
      <c r="Q73" s="29">
        <f>IF(基础状态预期!H86="",0,求节点($C$104:$C$112,F$104:F$112,基础状态预期!M86))</f>
        <v>0</v>
      </c>
      <c r="R73" s="29">
        <f>IF(基础状态预期!I86="",0,求节点($C$104:$C$112,G$104:G$112,基础状态预期!N86))</f>
        <v>0</v>
      </c>
      <c r="S73" s="29">
        <f>IF(基础状态预期!J86="",0,求节点($C$104:$C$112,H$104:H$112,基础状态预期!O86))</f>
        <v>18</v>
      </c>
      <c r="T73" s="29">
        <f>IF(基础状态预期!F86="",0,求节点($C$114:$C$122,D$114:D$122,基础状态预期!K86)*基础状态预期!F86+求节点($C$124:$C$132,D$124:D$132,基础状态预期!$O86)*基础状态预期!$J86)</f>
        <v>0</v>
      </c>
      <c r="U73" s="29">
        <f>IF(基础状态预期!G86="",0,求节点($C$114:$C$122,E$114:E$122,基础状态预期!L86)*基础状态预期!G86+求节点($C$124:$C$132,E$124:E$132,基础状态预期!$O86)*基础状态预期!$J86)</f>
        <v>0</v>
      </c>
      <c r="V73" s="29">
        <f>IF(基础状态预期!H86="",0,求节点($C$114:$C$122,F$114:F$122,基础状态预期!M86)*基础状态预期!H86+求节点($C$124:$C$132,F$124:F$132,基础状态预期!$O86)*基础状态预期!$J86)</f>
        <v>0</v>
      </c>
      <c r="W73" s="148">
        <f>IF(基础状态预期!I86="",0,求节点($C$114:$C$122,G$114:G$122,基础状态预期!N86)*基础状态预期!I86)+IF(基础状态预期!O86="",0,求节点($C$124:$C$132,G$124:G$132,基础状态预期!$O86)*基础状态预期!$J86)</f>
        <v>54</v>
      </c>
      <c r="X73" s="29">
        <f>IF(基础状态预期!J86="",0,求节点($C$114:$C$122,H$114:H$122,基础状态预期!O86)*基础状态预期!J86+求节点($C$124:$C$132,H$124:H$132,基础状态预期!$O86)*基础状态预期!$J86)</f>
        <v>0</v>
      </c>
      <c r="Y73" s="14">
        <f>IF(基础状态预期!K86="",0,求节点($C$92:$C$100,D$92:D$100,基础状态预期!K86))</f>
        <v>0</v>
      </c>
      <c r="Z73" s="14">
        <f>IF(基础状态预期!L86="",0,求节点($C$92:$C$100,E$92:E$100,基础状态预期!L86))</f>
        <v>0</v>
      </c>
      <c r="AA73" s="14">
        <f>IF(基础状态预期!M86="",0,求节点($C$92:$C$100,F$92:F$100,基础状态预期!M86))</f>
        <v>0</v>
      </c>
      <c r="AB73" s="14">
        <f>IF(基础状态预期!N86="",0,求节点($C$92:$C$100,G$92:G$100,基础状态预期!N86))</f>
        <v>0</v>
      </c>
      <c r="AC73" s="14">
        <f>IF(基础状态预期!O86="",0,求节点($C$92:$C$100,H$92:H$100,基础状态预期!O86))</f>
        <v>3825000</v>
      </c>
      <c r="AD73" s="29">
        <f>MAX(SUMPRODUCT(Y73:AC73,基础状态预期!F86:J86),AD72)</f>
        <v>22950000</v>
      </c>
      <c r="AF73" s="29" t="str">
        <f>IF(基础状态预期!K86="","",基础状态预期!K86*D$59+D$58)</f>
        <v/>
      </c>
      <c r="AG73" s="29" t="str">
        <f>IF(基础状态预期!L86="","",基础状态预期!L86*E$59+E$58)</f>
        <v/>
      </c>
      <c r="AH73" s="29" t="str">
        <f>IF(基础状态预期!M86="","",基础状态预期!M86*F$59+F$58)</f>
        <v/>
      </c>
      <c r="AI73" s="29" t="str">
        <f>IF(基础状态预期!N86="","",基础状态预期!N86*G$59+G$58)</f>
        <v/>
      </c>
      <c r="AJ73" s="29">
        <f>IF(基础状态预期!O86="","",基础状态预期!O86*H$59+H$58)</f>
        <v>148</v>
      </c>
      <c r="AK73" s="29">
        <f>MAX(SUMPRODUCT(AF73:AJ73,基础状态预期!$F86:$J86)/SUM(基础状态预期!$F86:$J86),AK72)</f>
        <v>148</v>
      </c>
      <c r="AL73" s="29">
        <f>IF(基础状态预期!K86="",0,求节点($C$68:$C$76,D$68:D$76,基础状态预期!K86))</f>
        <v>0</v>
      </c>
      <c r="AM73" s="29">
        <f>IF(基础状态预期!L86="",0,求节点($C$68:$C$76,E$68:E$76,基础状态预期!L86))</f>
        <v>0</v>
      </c>
      <c r="AN73" s="29">
        <f>IF(基础状态预期!M86="",0,求节点($C$68:$C$76,F$68:F$76,基础状态预期!M86)*求节点(武将升级!$H$52:$H$54,武将升级!$J$52:$J$54,基础状态预期!W86))</f>
        <v>0</v>
      </c>
      <c r="AO73" s="29">
        <f>IF(基础状态预期!N86="",0,求节点($C$68:$C$76,G$68:G$76,基础状态预期!N86)*求节点(武将升级!$H$52:$H$54,武将升级!$J$52:$J$54,基础状态预期!X86))</f>
        <v>0</v>
      </c>
      <c r="AP73" s="29">
        <f>IF(基础状态预期!O86="",0,求节点($C$68:$C$76,H$68:H$76,基础状态预期!O86)*求节点(武将升级!$H$52:$H$54,武将升级!$J$52:$J$54,基础状态预期!Y86))</f>
        <v>1.1399999999999999</v>
      </c>
      <c r="AQ73" s="29">
        <f>MAX(SUMPRODUCT(AL73:AP73,基础状态预期!$F86:$J86)/SUM(基础状态预期!$F86:$J86),AQ72)</f>
        <v>1.1399999999999999</v>
      </c>
      <c r="AR73" s="29">
        <f>IF(基础状态预期!K86="",0,求节点($C$158:$C$166,D$158:D$166,基础状态预期!K86))</f>
        <v>0</v>
      </c>
      <c r="AS73" s="29">
        <f>IF(基础状态预期!L86="",0,求节点($C$158:$C$166,E$158:E$166,基础状态预期!L86))</f>
        <v>0</v>
      </c>
      <c r="AT73" s="29">
        <f>IF(基础状态预期!M86="",0,求节点($C$158:$C$166,F$158:F$166,基础状态预期!M86))</f>
        <v>0</v>
      </c>
      <c r="AU73" s="29">
        <f>IF(基础状态预期!N86="",0,求节点($C$158:$C$166,G$158:G$166,基础状态预期!N86))</f>
        <v>0</v>
      </c>
      <c r="AV73" s="29">
        <f>IF(基础状态预期!O86="",0,求节点($C$158:$C$166,H$158:H$166,基础状态预期!O86))</f>
        <v>0.8</v>
      </c>
      <c r="AW73" s="29">
        <f>MAX(SUMPRODUCT(AR73:AV73,基础状态预期!$F86:$J86)/SUM(基础状态预期!$F86:$J86),AW72)</f>
        <v>0.80000000000000016</v>
      </c>
      <c r="BJ73" s="29">
        <f t="shared" si="25"/>
        <v>111.00691759243479</v>
      </c>
      <c r="BK73" s="75">
        <f>武将数量星级阶位验证!AT76</f>
        <v>3048096.8251029518</v>
      </c>
      <c r="BL73" s="75">
        <f>(AD73-AD72)*INDEX('[1]功能-付费相关'!$AR$6:$AR$165,BJ73,1)+BL72</f>
        <v>22771.119957274819</v>
      </c>
    </row>
    <row r="74" spans="1:90" x14ac:dyDescent="0.15">
      <c r="B74" s="170"/>
      <c r="C74" s="14">
        <v>6</v>
      </c>
      <c r="D74" s="95">
        <f t="shared" si="43"/>
        <v>0.09</v>
      </c>
      <c r="E74" s="95">
        <f t="shared" si="44"/>
        <v>0.24</v>
      </c>
      <c r="F74" s="95">
        <f t="shared" si="45"/>
        <v>0.39999999999999997</v>
      </c>
      <c r="G74" s="95">
        <f t="shared" si="46"/>
        <v>0.64800000000000013</v>
      </c>
      <c r="H74" s="95">
        <f t="shared" si="47"/>
        <v>0.97999999999999976</v>
      </c>
      <c r="I74" s="95">
        <f t="shared" si="48"/>
        <v>1.228</v>
      </c>
      <c r="J74" s="72">
        <f t="shared" si="42"/>
        <v>1.5123456790123451</v>
      </c>
      <c r="M74" s="72">
        <v>29</v>
      </c>
      <c r="N74" s="29">
        <f>基础状态预期!D87</f>
        <v>114.47614359759058</v>
      </c>
      <c r="O74" s="29">
        <f>IF(基础状态预期!F87="",0,求节点($C$104:$C$112,D$104:D$112,基础状态预期!K87))</f>
        <v>0</v>
      </c>
      <c r="P74" s="29">
        <f>IF(基础状态预期!G87="",0,求节点($C$104:$C$112,E$104:E$112,基础状态预期!L87))</f>
        <v>0</v>
      </c>
      <c r="Q74" s="29">
        <f>IF(基础状态预期!H87="",0,求节点($C$104:$C$112,F$104:F$112,基础状态预期!M87))</f>
        <v>0</v>
      </c>
      <c r="R74" s="29">
        <f>IF(基础状态预期!I87="",0,求节点($C$104:$C$112,G$104:G$112,基础状态预期!N87))</f>
        <v>0</v>
      </c>
      <c r="S74" s="29">
        <f>IF(基础状态预期!J87="",0,求节点($C$104:$C$112,H$104:H$112,基础状态预期!O87))</f>
        <v>18</v>
      </c>
      <c r="T74" s="29">
        <f>IF(基础状态预期!F87="",0,求节点($C$114:$C$122,D$114:D$122,基础状态预期!K87)*基础状态预期!F87+求节点($C$124:$C$132,D$124:D$132,基础状态预期!$O87)*基础状态预期!$J87)</f>
        <v>0</v>
      </c>
      <c r="U74" s="29">
        <f>IF(基础状态预期!G87="",0,求节点($C$114:$C$122,E$114:E$122,基础状态预期!L87)*基础状态预期!G87+求节点($C$124:$C$132,E$124:E$132,基础状态预期!$O87)*基础状态预期!$J87)</f>
        <v>0</v>
      </c>
      <c r="V74" s="29">
        <f>IF(基础状态预期!H87="",0,求节点($C$114:$C$122,F$114:F$122,基础状态预期!M87)*基础状态预期!H87+求节点($C$124:$C$132,F$124:F$132,基础状态预期!$O87)*基础状态预期!$J87)</f>
        <v>0</v>
      </c>
      <c r="W74" s="148">
        <f>IF(基础状态预期!I87="",0,求节点($C$114:$C$122,G$114:G$122,基础状态预期!N87)*基础状态预期!I87)+IF(基础状态预期!O87="",0,求节点($C$124:$C$132,G$124:G$132,基础状态预期!$O87)*基础状态预期!$J87)</f>
        <v>54</v>
      </c>
      <c r="X74" s="29">
        <f>IF(基础状态预期!J87="",0,求节点($C$114:$C$122,H$114:H$122,基础状态预期!O87)*基础状态预期!J87+求节点($C$124:$C$132,H$124:H$132,基础状态预期!$O87)*基础状态预期!$J87)</f>
        <v>0</v>
      </c>
      <c r="Y74" s="14">
        <f>IF(基础状态预期!K87="",0,求节点($C$92:$C$100,D$92:D$100,基础状态预期!K87))</f>
        <v>0</v>
      </c>
      <c r="Z74" s="14">
        <f>IF(基础状态预期!L87="",0,求节点($C$92:$C$100,E$92:E$100,基础状态预期!L87))</f>
        <v>0</v>
      </c>
      <c r="AA74" s="14">
        <f>IF(基础状态预期!M87="",0,求节点($C$92:$C$100,F$92:F$100,基础状态预期!M87))</f>
        <v>0</v>
      </c>
      <c r="AB74" s="14">
        <f>IF(基础状态预期!N87="",0,求节点($C$92:$C$100,G$92:G$100,基础状态预期!N87))</f>
        <v>0</v>
      </c>
      <c r="AC74" s="14">
        <f>IF(基础状态预期!O87="",0,求节点($C$92:$C$100,H$92:H$100,基础状态预期!O87))</f>
        <v>3825000</v>
      </c>
      <c r="AD74" s="29">
        <f>MAX(SUMPRODUCT(Y74:AC74,基础状态预期!F87:J87),AD73)</f>
        <v>22950000</v>
      </c>
      <c r="AF74" s="29" t="str">
        <f>IF(基础状态预期!K87="","",基础状态预期!K87*D$59+D$58)</f>
        <v/>
      </c>
      <c r="AG74" s="29" t="str">
        <f>IF(基础状态预期!L87="","",基础状态预期!L87*E$59+E$58)</f>
        <v/>
      </c>
      <c r="AH74" s="29" t="str">
        <f>IF(基础状态预期!M87="","",基础状态预期!M87*F$59+F$58)</f>
        <v/>
      </c>
      <c r="AI74" s="29" t="str">
        <f>IF(基础状态预期!N87="","",基础状态预期!N87*G$59+G$58)</f>
        <v/>
      </c>
      <c r="AJ74" s="29">
        <f>IF(基础状态预期!O87="","",基础状态预期!O87*H$59+H$58)</f>
        <v>148</v>
      </c>
      <c r="AK74" s="29">
        <f>MAX(SUMPRODUCT(AF74:AJ74,基础状态预期!$F87:$J87)/SUM(基础状态预期!$F87:$J87),AK73)</f>
        <v>148</v>
      </c>
      <c r="AL74" s="29">
        <f>IF(基础状态预期!K87="",0,求节点($C$68:$C$76,D$68:D$76,基础状态预期!K87))</f>
        <v>0</v>
      </c>
      <c r="AM74" s="29">
        <f>IF(基础状态预期!L87="",0,求节点($C$68:$C$76,E$68:E$76,基础状态预期!L87))</f>
        <v>0</v>
      </c>
      <c r="AN74" s="29">
        <f>IF(基础状态预期!M87="",0,求节点($C$68:$C$76,F$68:F$76,基础状态预期!M87)*求节点(武将升级!$H$52:$H$54,武将升级!$J$52:$J$54,基础状态预期!W87))</f>
        <v>0</v>
      </c>
      <c r="AO74" s="29">
        <f>IF(基础状态预期!N87="",0,求节点($C$68:$C$76,G$68:G$76,基础状态预期!N87)*求节点(武将升级!$H$52:$H$54,武将升级!$J$52:$J$54,基础状态预期!X87))</f>
        <v>0</v>
      </c>
      <c r="AP74" s="29">
        <f>IF(基础状态预期!O87="",0,求节点($C$68:$C$76,H$68:H$76,基础状态预期!O87)*求节点(武将升级!$H$52:$H$54,武将升级!$J$52:$J$54,基础状态预期!Y87))</f>
        <v>1.1399999999999999</v>
      </c>
      <c r="AQ74" s="29">
        <f>MAX(SUMPRODUCT(AL74:AP74,基础状态预期!$F87:$J87)/SUM(基础状态预期!$F87:$J87),AQ73)</f>
        <v>1.1399999999999999</v>
      </c>
      <c r="AR74" s="29">
        <f>IF(基础状态预期!K87="",0,求节点($C$158:$C$166,D$158:D$166,基础状态预期!K87))</f>
        <v>0</v>
      </c>
      <c r="AS74" s="29">
        <f>IF(基础状态预期!L87="",0,求节点($C$158:$C$166,E$158:E$166,基础状态预期!L87))</f>
        <v>0</v>
      </c>
      <c r="AT74" s="29">
        <f>IF(基础状态预期!M87="",0,求节点($C$158:$C$166,F$158:F$166,基础状态预期!M87))</f>
        <v>0</v>
      </c>
      <c r="AU74" s="29">
        <f>IF(基础状态预期!N87="",0,求节点($C$158:$C$166,G$158:G$166,基础状态预期!N87))</f>
        <v>0</v>
      </c>
      <c r="AV74" s="29">
        <f>IF(基础状态预期!O87="",0,求节点($C$158:$C$166,H$158:H$166,基础状态预期!O87))</f>
        <v>0.8</v>
      </c>
      <c r="AW74" s="29">
        <f>MAX(SUMPRODUCT(AR74:AV74,基础状态预期!$F87:$J87)/SUM(基础状态预期!$F87:$J87),AW73)</f>
        <v>0.80000000000000016</v>
      </c>
      <c r="BJ74" s="29">
        <f t="shared" si="25"/>
        <v>114.47614359759058</v>
      </c>
      <c r="BK74" s="75">
        <f>武将数量星级阶位验证!AT77</f>
        <v>3751505.0216269894</v>
      </c>
      <c r="BL74" s="75">
        <f>(AD74-AD73)*INDEX('[1]功能-付费相关'!$AR$6:$AR$165,BJ74,1)+BL73</f>
        <v>22771.119957274819</v>
      </c>
    </row>
    <row r="75" spans="1:90" x14ac:dyDescent="0.15">
      <c r="B75" s="170"/>
      <c r="C75" s="14">
        <v>7</v>
      </c>
      <c r="D75" s="95">
        <f t="shared" si="43"/>
        <v>0.105</v>
      </c>
      <c r="E75" s="95">
        <f t="shared" si="44"/>
        <v>0.27</v>
      </c>
      <c r="F75" s="95">
        <f t="shared" si="45"/>
        <v>0.44999999999999996</v>
      </c>
      <c r="G75" s="95">
        <f t="shared" si="46"/>
        <v>0.7200000000000002</v>
      </c>
      <c r="H75" s="95">
        <f t="shared" si="47"/>
        <v>1.0599999999999998</v>
      </c>
      <c r="I75" s="95">
        <f t="shared" si="48"/>
        <v>1.3160000000000001</v>
      </c>
      <c r="J75" s="72">
        <f t="shared" si="42"/>
        <v>1.4722222222222217</v>
      </c>
      <c r="M75" s="72">
        <v>30</v>
      </c>
      <c r="N75" s="29">
        <f>基础状态预期!D88</f>
        <v>118.05724034557241</v>
      </c>
      <c r="O75" s="29">
        <f>IF(基础状态预期!F88="",0,求节点($C$104:$C$112,D$104:D$112,基础状态预期!K88))</f>
        <v>0</v>
      </c>
      <c r="P75" s="29">
        <f>IF(基础状态预期!G88="",0,求节点($C$104:$C$112,E$104:E$112,基础状态预期!L88))</f>
        <v>0</v>
      </c>
      <c r="Q75" s="29">
        <f>IF(基础状态预期!H88="",0,求节点($C$104:$C$112,F$104:F$112,基础状态预期!M88))</f>
        <v>0</v>
      </c>
      <c r="R75" s="29">
        <f>IF(基础状态预期!I88="",0,求节点($C$104:$C$112,G$104:G$112,基础状态预期!N88))</f>
        <v>0</v>
      </c>
      <c r="S75" s="29">
        <f>IF(基础状态预期!J88="",0,求节点($C$104:$C$112,H$104:H$112,基础状态预期!O88))</f>
        <v>18</v>
      </c>
      <c r="T75" s="29">
        <f>IF(基础状态预期!F88="",0,求节点($C$114:$C$122,D$114:D$122,基础状态预期!K88)*基础状态预期!F88+求节点($C$124:$C$132,D$124:D$132,基础状态预期!$O88)*基础状态预期!$J88)</f>
        <v>0</v>
      </c>
      <c r="U75" s="29">
        <f>IF(基础状态预期!G88="",0,求节点($C$114:$C$122,E$114:E$122,基础状态预期!L88)*基础状态预期!G88+求节点($C$124:$C$132,E$124:E$132,基础状态预期!$O88)*基础状态预期!$J88)</f>
        <v>0</v>
      </c>
      <c r="V75" s="29">
        <f>IF(基础状态预期!H88="",0,求节点($C$114:$C$122,F$114:F$122,基础状态预期!M88)*基础状态预期!H88+求节点($C$124:$C$132,F$124:F$132,基础状态预期!$O88)*基础状态预期!$J88)</f>
        <v>0</v>
      </c>
      <c r="W75" s="148">
        <f>IF(基础状态预期!I88="",0,求节点($C$114:$C$122,G$114:G$122,基础状态预期!N88)*基础状态预期!I88)+IF(基础状态预期!O88="",0,求节点($C$124:$C$132,G$124:G$132,基础状态预期!$O88)*基础状态预期!$J88)</f>
        <v>54</v>
      </c>
      <c r="X75" s="29">
        <f>IF(基础状态预期!J88="",0,求节点($C$114:$C$122,H$114:H$122,基础状态预期!O88)*基础状态预期!J88+求节点($C$124:$C$132,H$124:H$132,基础状态预期!$O88)*基础状态预期!$J88)</f>
        <v>0</v>
      </c>
      <c r="Y75" s="14">
        <f>IF(基础状态预期!K88="",0,求节点($C$92:$C$100,D$92:D$100,基础状态预期!K88))</f>
        <v>0</v>
      </c>
      <c r="Z75" s="14">
        <f>IF(基础状态预期!L88="",0,求节点($C$92:$C$100,E$92:E$100,基础状态预期!L88))</f>
        <v>0</v>
      </c>
      <c r="AA75" s="14">
        <f>IF(基础状态预期!M88="",0,求节点($C$92:$C$100,F$92:F$100,基础状态预期!M88))</f>
        <v>0</v>
      </c>
      <c r="AB75" s="14">
        <f>IF(基础状态预期!N88="",0,求节点($C$92:$C$100,G$92:G$100,基础状态预期!N88))</f>
        <v>0</v>
      </c>
      <c r="AC75" s="14">
        <f>IF(基础状态预期!O88="",0,求节点($C$92:$C$100,H$92:H$100,基础状态预期!O88))</f>
        <v>3825000</v>
      </c>
      <c r="AD75" s="29">
        <f>MAX(SUMPRODUCT(Y75:AC75,基础状态预期!F88:J88),AD74)</f>
        <v>22950000</v>
      </c>
      <c r="AF75" s="29" t="str">
        <f>IF(基础状态预期!K88="","",基础状态预期!K88*D$59+D$58)</f>
        <v/>
      </c>
      <c r="AG75" s="29" t="str">
        <f>IF(基础状态预期!L88="","",基础状态预期!L88*E$59+E$58)</f>
        <v/>
      </c>
      <c r="AH75" s="29" t="str">
        <f>IF(基础状态预期!M88="","",基础状态预期!M88*F$59+F$58)</f>
        <v/>
      </c>
      <c r="AI75" s="29" t="str">
        <f>IF(基础状态预期!N88="","",基础状态预期!N88*G$59+G$58)</f>
        <v/>
      </c>
      <c r="AJ75" s="29">
        <f>IF(基础状态预期!O88="","",基础状态预期!O88*H$59+H$58)</f>
        <v>148</v>
      </c>
      <c r="AK75" s="29">
        <f>MAX(SUMPRODUCT(AF75:AJ75,基础状态预期!$F88:$J88)/SUM(基础状态预期!$F88:$J88),AK74)</f>
        <v>148</v>
      </c>
      <c r="AL75" s="29">
        <f>IF(基础状态预期!K88="",0,求节点($C$68:$C$76,D$68:D$76,基础状态预期!K88))</f>
        <v>0</v>
      </c>
      <c r="AM75" s="29">
        <f>IF(基础状态预期!L88="",0,求节点($C$68:$C$76,E$68:E$76,基础状态预期!L88))</f>
        <v>0</v>
      </c>
      <c r="AN75" s="29">
        <f>IF(基础状态预期!M88="",0,求节点($C$68:$C$76,F$68:F$76,基础状态预期!M88)*求节点(武将升级!$H$52:$H$54,武将升级!$J$52:$J$54,基础状态预期!W88))</f>
        <v>0</v>
      </c>
      <c r="AO75" s="29">
        <f>IF(基础状态预期!N88="",0,求节点($C$68:$C$76,G$68:G$76,基础状态预期!N88)*求节点(武将升级!$H$52:$H$54,武将升级!$J$52:$J$54,基础状态预期!X88))</f>
        <v>0</v>
      </c>
      <c r="AP75" s="29">
        <f>IF(基础状态预期!O88="",0,求节点($C$68:$C$76,H$68:H$76,基础状态预期!O88)*求节点(武将升级!$H$52:$H$54,武将升级!$J$52:$J$54,基础状态预期!Y88))</f>
        <v>1.1399999999999999</v>
      </c>
      <c r="AQ75" s="29">
        <f>MAX(SUMPRODUCT(AL75:AP75,基础状态预期!$F88:$J88)/SUM(基础状态预期!$F88:$J88),AQ74)</f>
        <v>1.1399999999999999</v>
      </c>
      <c r="AR75" s="29">
        <f>IF(基础状态预期!K88="",0,求节点($C$158:$C$166,D$158:D$166,基础状态预期!K88))</f>
        <v>0</v>
      </c>
      <c r="AS75" s="29">
        <f>IF(基础状态预期!L88="",0,求节点($C$158:$C$166,E$158:E$166,基础状态预期!L88))</f>
        <v>0</v>
      </c>
      <c r="AT75" s="29">
        <f>IF(基础状态预期!M88="",0,求节点($C$158:$C$166,F$158:F$166,基础状态预期!M88))</f>
        <v>0</v>
      </c>
      <c r="AU75" s="29">
        <f>IF(基础状态预期!N88="",0,求节点($C$158:$C$166,G$158:G$166,基础状态预期!N88))</f>
        <v>0</v>
      </c>
      <c r="AV75" s="29">
        <f>IF(基础状态预期!O88="",0,求节点($C$158:$C$166,H$158:H$166,基础状态预期!O88))</f>
        <v>0.8</v>
      </c>
      <c r="AW75" s="29">
        <f>MAX(SUMPRODUCT(AR75:AV75,基础状态预期!$F88:$J88)/SUM(基础状态预期!$F88:$J88),AW74)</f>
        <v>0.80000000000000016</v>
      </c>
      <c r="BJ75" s="29">
        <f t="shared" si="25"/>
        <v>118.05724034557241</v>
      </c>
      <c r="BK75" s="75">
        <f>武将数量星级阶位验证!AT78</f>
        <v>4650414.6724204468</v>
      </c>
      <c r="BL75" s="75">
        <f>(AD75-AD74)*INDEX('[1]功能-付费相关'!$AR$6:$AR$165,BJ75,1)+BL74</f>
        <v>22771.119957274819</v>
      </c>
    </row>
    <row r="76" spans="1:90" x14ac:dyDescent="0.15">
      <c r="B76" s="171"/>
      <c r="C76" s="14">
        <v>8</v>
      </c>
      <c r="D76" s="95">
        <f t="shared" si="43"/>
        <v>0.12</v>
      </c>
      <c r="E76" s="95">
        <f t="shared" si="44"/>
        <v>0.30000000000000004</v>
      </c>
      <c r="F76" s="95">
        <f t="shared" si="45"/>
        <v>0.49999999999999994</v>
      </c>
      <c r="G76" s="95">
        <f t="shared" si="46"/>
        <v>0.79200000000000026</v>
      </c>
      <c r="H76" s="95">
        <f t="shared" si="47"/>
        <v>1.1399999999999999</v>
      </c>
      <c r="I76" s="95">
        <f t="shared" si="48"/>
        <v>1.4040000000000001</v>
      </c>
      <c r="J76" s="72">
        <f t="shared" si="42"/>
        <v>1.4393939393939388</v>
      </c>
      <c r="M76" s="72">
        <v>31</v>
      </c>
      <c r="N76" s="29">
        <f>基础状态预期!D89</f>
        <v>121.49411884885473</v>
      </c>
      <c r="O76" s="29">
        <f>IF(基础状态预期!F89="",0,求节点($C$104:$C$112,D$104:D$112,基础状态预期!K89))</f>
        <v>0</v>
      </c>
      <c r="P76" s="29">
        <f>IF(基础状态预期!G89="",0,求节点($C$104:$C$112,E$104:E$112,基础状态预期!L89))</f>
        <v>0</v>
      </c>
      <c r="Q76" s="29">
        <f>IF(基础状态预期!H89="",0,求节点($C$104:$C$112,F$104:F$112,基础状态预期!M89))</f>
        <v>0</v>
      </c>
      <c r="R76" s="29">
        <f>IF(基础状态预期!I89="",0,求节点($C$104:$C$112,G$104:G$112,基础状态预期!N89))</f>
        <v>0</v>
      </c>
      <c r="S76" s="29">
        <f>IF(基础状态预期!J89="",0,求节点($C$104:$C$112,H$104:H$112,基础状态预期!O89))</f>
        <v>18</v>
      </c>
      <c r="T76" s="29">
        <f>IF(基础状态预期!F89="",0,求节点($C$114:$C$122,D$114:D$122,基础状态预期!K89)*基础状态预期!F89+求节点($C$124:$C$132,D$124:D$132,基础状态预期!$O89)*基础状态预期!$J89)</f>
        <v>0</v>
      </c>
      <c r="U76" s="29">
        <f>IF(基础状态预期!G89="",0,求节点($C$114:$C$122,E$114:E$122,基础状态预期!L89)*基础状态预期!G89+求节点($C$124:$C$132,E$124:E$132,基础状态预期!$O89)*基础状态预期!$J89)</f>
        <v>0</v>
      </c>
      <c r="V76" s="29">
        <f>IF(基础状态预期!H89="",0,求节点($C$114:$C$122,F$114:F$122,基础状态预期!M89)*基础状态预期!H89+求节点($C$124:$C$132,F$124:F$132,基础状态预期!$O89)*基础状态预期!$J89)</f>
        <v>0</v>
      </c>
      <c r="W76" s="148">
        <f>IF(基础状态预期!I89="",0,求节点($C$114:$C$122,G$114:G$122,基础状态预期!N89)*基础状态预期!I89)+IF(基础状态预期!O89="",0,求节点($C$124:$C$132,G$124:G$132,基础状态预期!$O89)*基础状态预期!$J89)</f>
        <v>54</v>
      </c>
      <c r="X76" s="29">
        <f>IF(基础状态预期!J89="",0,求节点($C$114:$C$122,H$114:H$122,基础状态预期!O89)*基础状态预期!J89+求节点($C$124:$C$132,H$124:H$132,基础状态预期!$O89)*基础状态预期!$J89)</f>
        <v>0</v>
      </c>
      <c r="Y76" s="14">
        <f>IF(基础状态预期!K89="",0,求节点($C$92:$C$100,D$92:D$100,基础状态预期!K89))</f>
        <v>0</v>
      </c>
      <c r="Z76" s="14">
        <f>IF(基础状态预期!L89="",0,求节点($C$92:$C$100,E$92:E$100,基础状态预期!L89))</f>
        <v>0</v>
      </c>
      <c r="AA76" s="14">
        <f>IF(基础状态预期!M89="",0,求节点($C$92:$C$100,F$92:F$100,基础状态预期!M89))</f>
        <v>0</v>
      </c>
      <c r="AB76" s="14">
        <f>IF(基础状态预期!N89="",0,求节点($C$92:$C$100,G$92:G$100,基础状态预期!N89))</f>
        <v>0</v>
      </c>
      <c r="AC76" s="14">
        <f>IF(基础状态预期!O89="",0,求节点($C$92:$C$100,H$92:H$100,基础状态预期!O89))</f>
        <v>3825000</v>
      </c>
      <c r="AD76" s="29">
        <f>MAX(SUMPRODUCT(Y76:AC76,基础状态预期!F89:J89),AD75)</f>
        <v>22950000</v>
      </c>
      <c r="AF76" s="29" t="str">
        <f>IF(基础状态预期!K89="","",基础状态预期!K89*D$59+D$58)</f>
        <v/>
      </c>
      <c r="AG76" s="29" t="str">
        <f>IF(基础状态预期!L89="","",基础状态预期!L89*E$59+E$58)</f>
        <v/>
      </c>
      <c r="AH76" s="29" t="str">
        <f>IF(基础状态预期!M89="","",基础状态预期!M89*F$59+F$58)</f>
        <v/>
      </c>
      <c r="AI76" s="29" t="str">
        <f>IF(基础状态预期!N89="","",基础状态预期!N89*G$59+G$58)</f>
        <v/>
      </c>
      <c r="AJ76" s="29">
        <f>IF(基础状态预期!O89="","",基础状态预期!O89*H$59+H$58)</f>
        <v>148</v>
      </c>
      <c r="AK76" s="29">
        <f>MAX(SUMPRODUCT(AF76:AJ76,基础状态预期!$F89:$J89)/SUM(基础状态预期!$F89:$J89),AK75)</f>
        <v>148</v>
      </c>
      <c r="AL76" s="29">
        <f>IF(基础状态预期!K89="",0,求节点($C$68:$C$76,D$68:D$76,基础状态预期!K89))</f>
        <v>0</v>
      </c>
      <c r="AM76" s="29">
        <f>IF(基础状态预期!L89="",0,求节点($C$68:$C$76,E$68:E$76,基础状态预期!L89))</f>
        <v>0</v>
      </c>
      <c r="AN76" s="29">
        <f>IF(基础状态预期!M89="",0,求节点($C$68:$C$76,F$68:F$76,基础状态预期!M89)*求节点(武将升级!$H$52:$H$54,武将升级!$J$52:$J$54,基础状态预期!W89))</f>
        <v>0</v>
      </c>
      <c r="AO76" s="29">
        <f>IF(基础状态预期!N89="",0,求节点($C$68:$C$76,G$68:G$76,基础状态预期!N89)*求节点(武将升级!$H$52:$H$54,武将升级!$J$52:$J$54,基础状态预期!X89))</f>
        <v>0</v>
      </c>
      <c r="AP76" s="29">
        <f>IF(基础状态预期!O89="",0,求节点($C$68:$C$76,H$68:H$76,基础状态预期!O89)*求节点(武将升级!$H$52:$H$54,武将升级!$J$52:$J$54,基础状态预期!Y89))</f>
        <v>1.1399999999999999</v>
      </c>
      <c r="AQ76" s="29">
        <f>MAX(SUMPRODUCT(AL76:AP76,基础状态预期!$F89:$J89)/SUM(基础状态预期!$F89:$J89),AQ75)</f>
        <v>1.1399999999999999</v>
      </c>
      <c r="AR76" s="29">
        <f>IF(基础状态预期!K89="",0,求节点($C$158:$C$166,D$158:D$166,基础状态预期!K89))</f>
        <v>0</v>
      </c>
      <c r="AS76" s="29">
        <f>IF(基础状态预期!L89="",0,求节点($C$158:$C$166,E$158:E$166,基础状态预期!L89))</f>
        <v>0</v>
      </c>
      <c r="AT76" s="29">
        <f>IF(基础状态预期!M89="",0,求节点($C$158:$C$166,F$158:F$166,基础状态预期!M89))</f>
        <v>0</v>
      </c>
      <c r="AU76" s="29">
        <f>IF(基础状态预期!N89="",0,求节点($C$158:$C$166,G$158:G$166,基础状态预期!N89))</f>
        <v>0</v>
      </c>
      <c r="AV76" s="29">
        <f>IF(基础状态预期!O89="",0,求节点($C$158:$C$166,H$158:H$166,基础状态预期!O89))</f>
        <v>0.8</v>
      </c>
      <c r="AW76" s="29">
        <f>MAX(SUMPRODUCT(AR76:AV76,基础状态预期!$F89:$J89)/SUM(基础状态预期!$F89:$J89),AW75)</f>
        <v>0.80000000000000016</v>
      </c>
      <c r="BJ76" s="29">
        <f t="shared" si="25"/>
        <v>121.49411884885473</v>
      </c>
      <c r="BK76" s="75">
        <f>武将数量星级阶位验证!AT79</f>
        <v>5712310.3869457962</v>
      </c>
      <c r="BL76" s="75">
        <f>(AD76-AD75)*INDEX('[1]功能-付费相关'!$AR$6:$AR$165,BJ76,1)+BL75</f>
        <v>22771.119957274819</v>
      </c>
    </row>
    <row r="77" spans="1:90" x14ac:dyDescent="0.15">
      <c r="D77" s="78"/>
      <c r="E77" s="78"/>
      <c r="F77" s="78"/>
      <c r="G77" s="78"/>
      <c r="H77" s="78"/>
      <c r="I77" s="78"/>
      <c r="M77" s="72">
        <v>32</v>
      </c>
      <c r="N77" s="29">
        <f>基础状态预期!D90</f>
        <v>125.03100311549058</v>
      </c>
      <c r="O77" s="29">
        <f>IF(基础状态预期!F90="",0,求节点($C$104:$C$112,D$104:D$112,基础状态预期!K90))</f>
        <v>0</v>
      </c>
      <c r="P77" s="29">
        <f>IF(基础状态预期!G90="",0,求节点($C$104:$C$112,E$104:E$112,基础状态预期!L90))</f>
        <v>0</v>
      </c>
      <c r="Q77" s="29">
        <f>IF(基础状态预期!H90="",0,求节点($C$104:$C$112,F$104:F$112,基础状态预期!M90))</f>
        <v>0</v>
      </c>
      <c r="R77" s="29">
        <f>IF(基础状态预期!I90="",0,求节点($C$104:$C$112,G$104:G$112,基础状态预期!N90))</f>
        <v>0</v>
      </c>
      <c r="S77" s="29">
        <f>IF(基础状态预期!J90="",0,求节点($C$104:$C$112,H$104:H$112,基础状态预期!O90))</f>
        <v>18</v>
      </c>
      <c r="T77" s="29">
        <f>IF(基础状态预期!F90="",0,求节点($C$114:$C$122,D$114:D$122,基础状态预期!K90)*基础状态预期!F90+求节点($C$124:$C$132,D$124:D$132,基础状态预期!$O90)*基础状态预期!$J90)</f>
        <v>0</v>
      </c>
      <c r="U77" s="29">
        <f>IF(基础状态预期!G90="",0,求节点($C$114:$C$122,E$114:E$122,基础状态预期!L90)*基础状态预期!G90+求节点($C$124:$C$132,E$124:E$132,基础状态预期!$O90)*基础状态预期!$J90)</f>
        <v>0</v>
      </c>
      <c r="V77" s="29">
        <f>IF(基础状态预期!H90="",0,求节点($C$114:$C$122,F$114:F$122,基础状态预期!M90)*基础状态预期!H90+求节点($C$124:$C$132,F$124:F$132,基础状态预期!$O90)*基础状态预期!$J90)</f>
        <v>0</v>
      </c>
      <c r="W77" s="148">
        <f>IF(基础状态预期!I90="",0,求节点($C$114:$C$122,G$114:G$122,基础状态预期!N90)*基础状态预期!I90)+IF(基础状态预期!O90="",0,求节点($C$124:$C$132,G$124:G$132,基础状态预期!$O90)*基础状态预期!$J90)</f>
        <v>54</v>
      </c>
      <c r="X77" s="29">
        <f>IF(基础状态预期!J90="",0,求节点($C$114:$C$122,H$114:H$122,基础状态预期!O90)*基础状态预期!J90+求节点($C$124:$C$132,H$124:H$132,基础状态预期!$O90)*基础状态预期!$J90)</f>
        <v>0</v>
      </c>
      <c r="Y77" s="14">
        <f>IF(基础状态预期!K90="",0,求节点($C$92:$C$100,D$92:D$100,基础状态预期!K90))</f>
        <v>0</v>
      </c>
      <c r="Z77" s="14">
        <f>IF(基础状态预期!L90="",0,求节点($C$92:$C$100,E$92:E$100,基础状态预期!L90))</f>
        <v>0</v>
      </c>
      <c r="AA77" s="14">
        <f>IF(基础状态预期!M90="",0,求节点($C$92:$C$100,F$92:F$100,基础状态预期!M90))</f>
        <v>0</v>
      </c>
      <c r="AB77" s="14">
        <f>IF(基础状态预期!N90="",0,求节点($C$92:$C$100,G$92:G$100,基础状态预期!N90))</f>
        <v>0</v>
      </c>
      <c r="AC77" s="14">
        <f>IF(基础状态预期!O90="",0,求节点($C$92:$C$100,H$92:H$100,基础状态预期!O90))</f>
        <v>3825000</v>
      </c>
      <c r="AD77" s="29">
        <f>MAX(SUMPRODUCT(Y77:AC77,基础状态预期!F90:J90),AD76)</f>
        <v>22950000</v>
      </c>
      <c r="AF77" s="29" t="str">
        <f>IF(基础状态预期!K90="","",基础状态预期!K90*D$59+D$58)</f>
        <v/>
      </c>
      <c r="AG77" s="29" t="str">
        <f>IF(基础状态预期!L90="","",基础状态预期!L90*E$59+E$58)</f>
        <v/>
      </c>
      <c r="AH77" s="29" t="str">
        <f>IF(基础状态预期!M90="","",基础状态预期!M90*F$59+F$58)</f>
        <v/>
      </c>
      <c r="AI77" s="29" t="str">
        <f>IF(基础状态预期!N90="","",基础状态预期!N90*G$59+G$58)</f>
        <v/>
      </c>
      <c r="AJ77" s="29">
        <f>IF(基础状态预期!O90="","",基础状态预期!O90*H$59+H$58)</f>
        <v>148</v>
      </c>
      <c r="AK77" s="29">
        <f>MAX(SUMPRODUCT(AF77:AJ77,基础状态预期!$F90:$J90)/SUM(基础状态预期!$F90:$J90),AK76)</f>
        <v>148</v>
      </c>
      <c r="AL77" s="29">
        <f>IF(基础状态预期!K90="",0,求节点($C$68:$C$76,D$68:D$76,基础状态预期!K90))</f>
        <v>0</v>
      </c>
      <c r="AM77" s="29">
        <f>IF(基础状态预期!L90="",0,求节点($C$68:$C$76,E$68:E$76,基础状态预期!L90))</f>
        <v>0</v>
      </c>
      <c r="AN77" s="29">
        <f>IF(基础状态预期!M90="",0,求节点($C$68:$C$76,F$68:F$76,基础状态预期!M90)*求节点(武将升级!$H$52:$H$54,武将升级!$J$52:$J$54,基础状态预期!W90))</f>
        <v>0</v>
      </c>
      <c r="AO77" s="29">
        <f>IF(基础状态预期!N90="",0,求节点($C$68:$C$76,G$68:G$76,基础状态预期!N90)*求节点(武将升级!$H$52:$H$54,武将升级!$J$52:$J$54,基础状态预期!X90))</f>
        <v>0</v>
      </c>
      <c r="AP77" s="29">
        <f>IF(基础状态预期!O90="",0,求节点($C$68:$C$76,H$68:H$76,基础状态预期!O90)*求节点(武将升级!$H$52:$H$54,武将升级!$J$52:$J$54,基础状态预期!Y90))</f>
        <v>1.1399999999999999</v>
      </c>
      <c r="AQ77" s="29">
        <f>MAX(SUMPRODUCT(AL77:AP77,基础状态预期!$F90:$J90)/SUM(基础状态预期!$F90:$J90),AQ76)</f>
        <v>1.1399999999999999</v>
      </c>
      <c r="AR77" s="29">
        <f>IF(基础状态预期!K90="",0,求节点($C$158:$C$166,D$158:D$166,基础状态预期!K90))</f>
        <v>0</v>
      </c>
      <c r="AS77" s="29">
        <f>IF(基础状态预期!L90="",0,求节点($C$158:$C$166,E$158:E$166,基础状态预期!L90))</f>
        <v>0</v>
      </c>
      <c r="AT77" s="29">
        <f>IF(基础状态预期!M90="",0,求节点($C$158:$C$166,F$158:F$166,基础状态预期!M90))</f>
        <v>0</v>
      </c>
      <c r="AU77" s="29">
        <f>IF(基础状态预期!N90="",0,求节点($C$158:$C$166,G$158:G$166,基础状态预期!N90))</f>
        <v>0</v>
      </c>
      <c r="AV77" s="29">
        <f>IF(基础状态预期!O90="",0,求节点($C$158:$C$166,H$158:H$166,基础状态预期!O90))</f>
        <v>0.8</v>
      </c>
      <c r="AW77" s="29">
        <f>MAX(SUMPRODUCT(AR77:AV77,基础状态预期!$F90:$J90)/SUM(基础状态预期!$F90:$J90),AW76)</f>
        <v>0.80000000000000016</v>
      </c>
      <c r="BJ77" s="29">
        <f t="shared" si="25"/>
        <v>125.03100311549058</v>
      </c>
      <c r="BK77" s="75">
        <f>武将数量星级阶位验证!AT80</f>
        <v>7083647.6633438012</v>
      </c>
      <c r="BL77" s="75">
        <f>(AD77-AD76)*INDEX('[1]功能-付费相关'!$AR$6:$AR$165,BJ77,1)+BL76</f>
        <v>22771.119957274819</v>
      </c>
    </row>
    <row r="78" spans="1:90" x14ac:dyDescent="0.15">
      <c r="M78" s="72">
        <v>33</v>
      </c>
      <c r="N78" s="29">
        <f>基础状态预期!D91</f>
        <v>128.62542789463421</v>
      </c>
      <c r="O78" s="29">
        <f>IF(基础状态预期!F91="",0,求节点($C$104:$C$112,D$104:D$112,基础状态预期!K91))</f>
        <v>0</v>
      </c>
      <c r="P78" s="29">
        <f>IF(基础状态预期!G91="",0,求节点($C$104:$C$112,E$104:E$112,基础状态预期!L91))</f>
        <v>0</v>
      </c>
      <c r="Q78" s="29">
        <f>IF(基础状态预期!H91="",0,求节点($C$104:$C$112,F$104:F$112,基础状态预期!M91))</f>
        <v>0</v>
      </c>
      <c r="R78" s="29">
        <f>IF(基础状态预期!I91="",0,求节点($C$104:$C$112,G$104:G$112,基础状态预期!N91))</f>
        <v>0</v>
      </c>
      <c r="S78" s="29">
        <f>IF(基础状态预期!J91="",0,求节点($C$104:$C$112,H$104:H$112,基础状态预期!O91))</f>
        <v>18</v>
      </c>
      <c r="T78" s="29">
        <f>IF(基础状态预期!F91="",0,求节点($C$114:$C$122,D$114:D$122,基础状态预期!K91)*基础状态预期!F91+求节点($C$124:$C$132,D$124:D$132,基础状态预期!$O91)*基础状态预期!$J91)</f>
        <v>0</v>
      </c>
      <c r="U78" s="29">
        <f>IF(基础状态预期!G91="",0,求节点($C$114:$C$122,E$114:E$122,基础状态预期!L91)*基础状态预期!G91+求节点($C$124:$C$132,E$124:E$132,基础状态预期!$O91)*基础状态预期!$J91)</f>
        <v>0</v>
      </c>
      <c r="V78" s="29">
        <f>IF(基础状态预期!H91="",0,求节点($C$114:$C$122,F$114:F$122,基础状态预期!M91)*基础状态预期!H91+求节点($C$124:$C$132,F$124:F$132,基础状态预期!$O91)*基础状态预期!$J91)</f>
        <v>0</v>
      </c>
      <c r="W78" s="148">
        <f>IF(基础状态预期!I91="",0,求节点($C$114:$C$122,G$114:G$122,基础状态预期!N91)*基础状态预期!I91)+IF(基础状态预期!O91="",0,求节点($C$124:$C$132,G$124:G$132,基础状态预期!$O91)*基础状态预期!$J91)</f>
        <v>54</v>
      </c>
      <c r="X78" s="29">
        <f>IF(基础状态预期!J91="",0,求节点($C$114:$C$122,H$114:H$122,基础状态预期!O91)*基础状态预期!J91+求节点($C$124:$C$132,H$124:H$132,基础状态预期!$O91)*基础状态预期!$J91)</f>
        <v>0</v>
      </c>
      <c r="Y78" s="14">
        <f>IF(基础状态预期!K91="",0,求节点($C$92:$C$100,D$92:D$100,基础状态预期!K91))</f>
        <v>0</v>
      </c>
      <c r="Z78" s="14">
        <f>IF(基础状态预期!L91="",0,求节点($C$92:$C$100,E$92:E$100,基础状态预期!L91))</f>
        <v>0</v>
      </c>
      <c r="AA78" s="14">
        <f>IF(基础状态预期!M91="",0,求节点($C$92:$C$100,F$92:F$100,基础状态预期!M91))</f>
        <v>0</v>
      </c>
      <c r="AB78" s="14">
        <f>IF(基础状态预期!N91="",0,求节点($C$92:$C$100,G$92:G$100,基础状态预期!N91))</f>
        <v>0</v>
      </c>
      <c r="AC78" s="14">
        <f>IF(基础状态预期!O91="",0,求节点($C$92:$C$100,H$92:H$100,基础状态预期!O91))</f>
        <v>3825000</v>
      </c>
      <c r="AD78" s="29">
        <f>MAX(SUMPRODUCT(Y78:AC78,基础状态预期!F91:J91),AD77)</f>
        <v>22950000</v>
      </c>
      <c r="AF78" s="29" t="str">
        <f>IF(基础状态预期!K91="","",基础状态预期!K91*D$59+D$58)</f>
        <v/>
      </c>
      <c r="AG78" s="29" t="str">
        <f>IF(基础状态预期!L91="","",基础状态预期!L91*E$59+E$58)</f>
        <v/>
      </c>
      <c r="AH78" s="29" t="str">
        <f>IF(基础状态预期!M91="","",基础状态预期!M91*F$59+F$58)</f>
        <v/>
      </c>
      <c r="AI78" s="29" t="str">
        <f>IF(基础状态预期!N91="","",基础状态预期!N91*G$59+G$58)</f>
        <v/>
      </c>
      <c r="AJ78" s="29">
        <f>IF(基础状态预期!O91="","",基础状态预期!O91*H$59+H$58)</f>
        <v>148</v>
      </c>
      <c r="AK78" s="29">
        <f>MAX(SUMPRODUCT(AF78:AJ78,基础状态预期!$F91:$J91)/SUM(基础状态预期!$F91:$J91),AK77)</f>
        <v>148</v>
      </c>
      <c r="AL78" s="29">
        <f>IF(基础状态预期!K91="",0,求节点($C$68:$C$76,D$68:D$76,基础状态预期!K91))</f>
        <v>0</v>
      </c>
      <c r="AM78" s="29">
        <f>IF(基础状态预期!L91="",0,求节点($C$68:$C$76,E$68:E$76,基础状态预期!L91))</f>
        <v>0</v>
      </c>
      <c r="AN78" s="29">
        <f>IF(基础状态预期!M91="",0,求节点($C$68:$C$76,F$68:F$76,基础状态预期!M91)*求节点(武将升级!$H$52:$H$54,武将升级!$J$52:$J$54,基础状态预期!W91))</f>
        <v>0</v>
      </c>
      <c r="AO78" s="29">
        <f>IF(基础状态预期!N91="",0,求节点($C$68:$C$76,G$68:G$76,基础状态预期!N91)*求节点(武将升级!$H$52:$H$54,武将升级!$J$52:$J$54,基础状态预期!X91))</f>
        <v>0</v>
      </c>
      <c r="AP78" s="29">
        <f>IF(基础状态预期!O91="",0,求节点($C$68:$C$76,H$68:H$76,基础状态预期!O91)*求节点(武将升级!$H$52:$H$54,武将升级!$J$52:$J$54,基础状态预期!Y91))</f>
        <v>1.1399999999999999</v>
      </c>
      <c r="AQ78" s="29">
        <f>MAX(SUMPRODUCT(AL78:AP78,基础状态预期!$F91:$J91)/SUM(基础状态预期!$F91:$J91),AQ77)</f>
        <v>1.1399999999999999</v>
      </c>
      <c r="AR78" s="29">
        <f>IF(基础状态预期!K91="",0,求节点($C$158:$C$166,D$158:D$166,基础状态预期!K91))</f>
        <v>0</v>
      </c>
      <c r="AS78" s="29">
        <f>IF(基础状态预期!L91="",0,求节点($C$158:$C$166,E$158:E$166,基础状态预期!L91))</f>
        <v>0</v>
      </c>
      <c r="AT78" s="29">
        <f>IF(基础状态预期!M91="",0,求节点($C$158:$C$166,F$158:F$166,基础状态预期!M91))</f>
        <v>0</v>
      </c>
      <c r="AU78" s="29">
        <f>IF(基础状态预期!N91="",0,求节点($C$158:$C$166,G$158:G$166,基础状态预期!N91))</f>
        <v>0</v>
      </c>
      <c r="AV78" s="29">
        <f>IF(基础状态预期!O91="",0,求节点($C$158:$C$166,H$158:H$166,基础状态预期!O91))</f>
        <v>0.8</v>
      </c>
      <c r="AW78" s="29">
        <f>MAX(SUMPRODUCT(AR78:AV78,基础状态预期!$F91:$J91)/SUM(基础状态预期!$F91:$J91),AW77)</f>
        <v>0.80000000000000016</v>
      </c>
      <c r="BJ78" s="29">
        <f t="shared" si="25"/>
        <v>128.62542789463421</v>
      </c>
      <c r="BK78" s="75">
        <f>武将数量星级阶位验证!AT81</f>
        <v>8817884.4883687515</v>
      </c>
      <c r="BL78" s="75">
        <f>(AD78-AD77)*INDEX('[1]功能-付费相关'!$AR$6:$AR$165,BJ78,1)+BL77</f>
        <v>22771.119957274819</v>
      </c>
    </row>
    <row r="79" spans="1:90" x14ac:dyDescent="0.15">
      <c r="B79" s="169" t="s">
        <v>284</v>
      </c>
      <c r="C79" s="29" t="s">
        <v>175</v>
      </c>
      <c r="D79" s="29" t="s">
        <v>3</v>
      </c>
      <c r="E79" s="29" t="s">
        <v>1</v>
      </c>
      <c r="F79" s="29" t="s">
        <v>2</v>
      </c>
      <c r="G79" s="29" t="s">
        <v>0</v>
      </c>
      <c r="H79" s="29" t="s">
        <v>545</v>
      </c>
      <c r="I79" s="14" t="s">
        <v>30</v>
      </c>
      <c r="M79" s="72">
        <v>34</v>
      </c>
      <c r="N79" s="29">
        <f>基础状态预期!D92</f>
        <v>132.09902390525281</v>
      </c>
      <c r="O79" s="29">
        <f>IF(基础状态预期!F92="",0,求节点($C$104:$C$112,D$104:D$112,基础状态预期!K92))</f>
        <v>0</v>
      </c>
      <c r="P79" s="29">
        <f>IF(基础状态预期!G92="",0,求节点($C$104:$C$112,E$104:E$112,基础状态预期!L92))</f>
        <v>0</v>
      </c>
      <c r="Q79" s="29">
        <f>IF(基础状态预期!H92="",0,求节点($C$104:$C$112,F$104:F$112,基础状态预期!M92))</f>
        <v>0</v>
      </c>
      <c r="R79" s="29">
        <f>IF(基础状态预期!I92="",0,求节点($C$104:$C$112,G$104:G$112,基础状态预期!N92))</f>
        <v>0</v>
      </c>
      <c r="S79" s="29">
        <f>IF(基础状态预期!J92="",0,求节点($C$104:$C$112,H$104:H$112,基础状态预期!O92))</f>
        <v>18</v>
      </c>
      <c r="T79" s="29">
        <f>IF(基础状态预期!F92="",0,求节点($C$114:$C$122,D$114:D$122,基础状态预期!K92)*基础状态预期!F92+求节点($C$124:$C$132,D$124:D$132,基础状态预期!$O92)*基础状态预期!$J92)</f>
        <v>0</v>
      </c>
      <c r="U79" s="29">
        <f>IF(基础状态预期!G92="",0,求节点($C$114:$C$122,E$114:E$122,基础状态预期!L92)*基础状态预期!G92+求节点($C$124:$C$132,E$124:E$132,基础状态预期!$O92)*基础状态预期!$J92)</f>
        <v>0</v>
      </c>
      <c r="V79" s="29">
        <f>IF(基础状态预期!H92="",0,求节点($C$114:$C$122,F$114:F$122,基础状态预期!M92)*基础状态预期!H92+求节点($C$124:$C$132,F$124:F$132,基础状态预期!$O92)*基础状态预期!$J92)</f>
        <v>0</v>
      </c>
      <c r="W79" s="148">
        <f>IF(基础状态预期!I92="",0,求节点($C$114:$C$122,G$114:G$122,基础状态预期!N92)*基础状态预期!I92)+IF(基础状态预期!O92="",0,求节点($C$124:$C$132,G$124:G$132,基础状态预期!$O92)*基础状态预期!$J92)</f>
        <v>54</v>
      </c>
      <c r="X79" s="29">
        <f>IF(基础状态预期!J92="",0,求节点($C$114:$C$122,H$114:H$122,基础状态预期!O92)*基础状态预期!J92+求节点($C$124:$C$132,H$124:H$132,基础状态预期!$O92)*基础状态预期!$J92)</f>
        <v>0</v>
      </c>
      <c r="Y79" s="14">
        <f>IF(基础状态预期!K92="",0,求节点($C$92:$C$100,D$92:D$100,基础状态预期!K92))</f>
        <v>0</v>
      </c>
      <c r="Z79" s="14">
        <f>IF(基础状态预期!L92="",0,求节点($C$92:$C$100,E$92:E$100,基础状态预期!L92))</f>
        <v>0</v>
      </c>
      <c r="AA79" s="14">
        <f>IF(基础状态预期!M92="",0,求节点($C$92:$C$100,F$92:F$100,基础状态预期!M92))</f>
        <v>0</v>
      </c>
      <c r="AB79" s="14">
        <f>IF(基础状态预期!N92="",0,求节点($C$92:$C$100,G$92:G$100,基础状态预期!N92))</f>
        <v>0</v>
      </c>
      <c r="AC79" s="14">
        <f>IF(基础状态预期!O92="",0,求节点($C$92:$C$100,H$92:H$100,基础状态预期!O92))</f>
        <v>3825000</v>
      </c>
      <c r="AD79" s="29">
        <f>MAX(SUMPRODUCT(Y79:AC79,基础状态预期!F92:J92),AD78)</f>
        <v>22950000</v>
      </c>
      <c r="AF79" s="29" t="str">
        <f>IF(基础状态预期!K92="","",基础状态预期!K92*D$59+D$58)</f>
        <v/>
      </c>
      <c r="AG79" s="29" t="str">
        <f>IF(基础状态预期!L92="","",基础状态预期!L92*E$59+E$58)</f>
        <v/>
      </c>
      <c r="AH79" s="29" t="str">
        <f>IF(基础状态预期!M92="","",基础状态预期!M92*F$59+F$58)</f>
        <v/>
      </c>
      <c r="AI79" s="29" t="str">
        <f>IF(基础状态预期!N92="","",基础状态预期!N92*G$59+G$58)</f>
        <v/>
      </c>
      <c r="AJ79" s="29">
        <f>IF(基础状态预期!O92="","",基础状态预期!O92*H$59+H$58)</f>
        <v>148</v>
      </c>
      <c r="AK79" s="29">
        <f>MAX(SUMPRODUCT(AF79:AJ79,基础状态预期!$F92:$J92)/SUM(基础状态预期!$F92:$J92),AK78)</f>
        <v>148</v>
      </c>
      <c r="AL79" s="29">
        <f>IF(基础状态预期!K92="",0,求节点($C$68:$C$76,D$68:D$76,基础状态预期!K92))</f>
        <v>0</v>
      </c>
      <c r="AM79" s="29">
        <f>IF(基础状态预期!L92="",0,求节点($C$68:$C$76,E$68:E$76,基础状态预期!L92))</f>
        <v>0</v>
      </c>
      <c r="AN79" s="29">
        <f>IF(基础状态预期!M92="",0,求节点($C$68:$C$76,F$68:F$76,基础状态预期!M92)*求节点(武将升级!$H$52:$H$54,武将升级!$J$52:$J$54,基础状态预期!W92))</f>
        <v>0</v>
      </c>
      <c r="AO79" s="29">
        <f>IF(基础状态预期!N92="",0,求节点($C$68:$C$76,G$68:G$76,基础状态预期!N92)*求节点(武将升级!$H$52:$H$54,武将升级!$J$52:$J$54,基础状态预期!X92))</f>
        <v>0</v>
      </c>
      <c r="AP79" s="29">
        <f>IF(基础状态预期!O92="",0,求节点($C$68:$C$76,H$68:H$76,基础状态预期!O92)*求节点(武将升级!$H$52:$H$54,武将升级!$J$52:$J$54,基础状态预期!Y92))</f>
        <v>1.1399999999999999</v>
      </c>
      <c r="AQ79" s="29">
        <f>MAX(SUMPRODUCT(AL79:AP79,基础状态预期!$F92:$J92)/SUM(基础状态预期!$F92:$J92),AQ78)</f>
        <v>1.1399999999999999</v>
      </c>
      <c r="AR79" s="29">
        <f>IF(基础状态预期!K92="",0,求节点($C$158:$C$166,D$158:D$166,基础状态预期!K92))</f>
        <v>0</v>
      </c>
      <c r="AS79" s="29">
        <f>IF(基础状态预期!L92="",0,求节点($C$158:$C$166,E$158:E$166,基础状态预期!L92))</f>
        <v>0</v>
      </c>
      <c r="AT79" s="29">
        <f>IF(基础状态预期!M92="",0,求节点($C$158:$C$166,F$158:F$166,基础状态预期!M92))</f>
        <v>0</v>
      </c>
      <c r="AU79" s="29">
        <f>IF(基础状态预期!N92="",0,求节点($C$158:$C$166,G$158:G$166,基础状态预期!N92))</f>
        <v>0</v>
      </c>
      <c r="AV79" s="29">
        <f>IF(基础状态预期!O92="",0,求节点($C$158:$C$166,H$158:H$166,基础状态预期!O92))</f>
        <v>0.8</v>
      </c>
      <c r="AW79" s="29">
        <f>MAX(SUMPRODUCT(AR79:AV79,基础状态预期!$F92:$J92)/SUM(基础状态预期!$F92:$J92),AW78)</f>
        <v>0.80000000000000016</v>
      </c>
      <c r="BJ79" s="29">
        <f t="shared" si="25"/>
        <v>132.09902390525281</v>
      </c>
      <c r="BK79" s="75">
        <f>武将数量星级阶位验证!AT82</f>
        <v>10934305.735807013</v>
      </c>
      <c r="BL79" s="75">
        <f>(AD79-AD78)*INDEX('[1]功能-付费相关'!$AR$6:$AR$165,BJ79,1)+BL78</f>
        <v>22771.119957274819</v>
      </c>
    </row>
    <row r="80" spans="1:90" x14ac:dyDescent="0.15">
      <c r="B80" s="170"/>
      <c r="C80" s="29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M80" s="72">
        <v>35</v>
      </c>
      <c r="N80" s="29">
        <f>基础状态预期!D93</f>
        <v>135.61521761503846</v>
      </c>
      <c r="O80" s="29">
        <f>IF(基础状态预期!F93="",0,求节点($C$104:$C$112,D$104:D$112,基础状态预期!K93))</f>
        <v>0</v>
      </c>
      <c r="P80" s="29">
        <f>IF(基础状态预期!G93="",0,求节点($C$104:$C$112,E$104:E$112,基础状态预期!L93))</f>
        <v>0</v>
      </c>
      <c r="Q80" s="29">
        <f>IF(基础状态预期!H93="",0,求节点($C$104:$C$112,F$104:F$112,基础状态预期!M93))</f>
        <v>0</v>
      </c>
      <c r="R80" s="29">
        <f>IF(基础状态预期!I93="",0,求节点($C$104:$C$112,G$104:G$112,基础状态预期!N93))</f>
        <v>0</v>
      </c>
      <c r="S80" s="29">
        <f>IF(基础状态预期!J93="",0,求节点($C$104:$C$112,H$104:H$112,基础状态预期!O93))</f>
        <v>18</v>
      </c>
      <c r="T80" s="29">
        <f>IF(基础状态预期!F93="",0,求节点($C$114:$C$122,D$114:D$122,基础状态预期!K93)*基础状态预期!F93+求节点($C$124:$C$132,D$124:D$132,基础状态预期!$O93)*基础状态预期!$J93)</f>
        <v>0</v>
      </c>
      <c r="U80" s="29">
        <f>IF(基础状态预期!G93="",0,求节点($C$114:$C$122,E$114:E$122,基础状态预期!L93)*基础状态预期!G93+求节点($C$124:$C$132,E$124:E$132,基础状态预期!$O93)*基础状态预期!$J93)</f>
        <v>0</v>
      </c>
      <c r="V80" s="29">
        <f>IF(基础状态预期!H93="",0,求节点($C$114:$C$122,F$114:F$122,基础状态预期!M93)*基础状态预期!H93+求节点($C$124:$C$132,F$124:F$132,基础状态预期!$O93)*基础状态预期!$J93)</f>
        <v>0</v>
      </c>
      <c r="W80" s="148">
        <f>IF(基础状态预期!I93="",0,求节点($C$114:$C$122,G$114:G$122,基础状态预期!N93)*基础状态预期!I93)+IF(基础状态预期!O93="",0,求节点($C$124:$C$132,G$124:G$132,基础状态预期!$O93)*基础状态预期!$J93)</f>
        <v>54</v>
      </c>
      <c r="X80" s="29">
        <f>IF(基础状态预期!J93="",0,求节点($C$114:$C$122,H$114:H$122,基础状态预期!O93)*基础状态预期!J93+求节点($C$124:$C$132,H$124:H$132,基础状态预期!$O93)*基础状态预期!$J93)</f>
        <v>0</v>
      </c>
      <c r="Y80" s="14">
        <f>IF(基础状态预期!K93="",0,求节点($C$92:$C$100,D$92:D$100,基础状态预期!K93))</f>
        <v>0</v>
      </c>
      <c r="Z80" s="14">
        <f>IF(基础状态预期!L93="",0,求节点($C$92:$C$100,E$92:E$100,基础状态预期!L93))</f>
        <v>0</v>
      </c>
      <c r="AA80" s="14">
        <f>IF(基础状态预期!M93="",0,求节点($C$92:$C$100,F$92:F$100,基础状态预期!M93))</f>
        <v>0</v>
      </c>
      <c r="AB80" s="14">
        <f>IF(基础状态预期!N93="",0,求节点($C$92:$C$100,G$92:G$100,基础状态预期!N93))</f>
        <v>0</v>
      </c>
      <c r="AC80" s="14">
        <f>IF(基础状态预期!O93="",0,求节点($C$92:$C$100,H$92:H$100,基础状态预期!O93))</f>
        <v>3825000</v>
      </c>
      <c r="AD80" s="29">
        <f>MAX(SUMPRODUCT(Y80:AC80,基础状态预期!F93:J93),AD79)</f>
        <v>22950000</v>
      </c>
      <c r="AF80" s="29" t="str">
        <f>IF(基础状态预期!K93="","",基础状态预期!K93*D$59+D$58)</f>
        <v/>
      </c>
      <c r="AG80" s="29" t="str">
        <f>IF(基础状态预期!L93="","",基础状态预期!L93*E$59+E$58)</f>
        <v/>
      </c>
      <c r="AH80" s="29" t="str">
        <f>IF(基础状态预期!M93="","",基础状态预期!M93*F$59+F$58)</f>
        <v/>
      </c>
      <c r="AI80" s="29" t="str">
        <f>IF(基础状态预期!N93="","",基础状态预期!N93*G$59+G$58)</f>
        <v/>
      </c>
      <c r="AJ80" s="29">
        <f>IF(基础状态预期!O93="","",基础状态预期!O93*H$59+H$58)</f>
        <v>148</v>
      </c>
      <c r="AK80" s="29">
        <f>MAX(SUMPRODUCT(AF80:AJ80,基础状态预期!$F93:$J93)/SUM(基础状态预期!$F93:$J93),AK79)</f>
        <v>148</v>
      </c>
      <c r="AL80" s="29">
        <f>IF(基础状态预期!K93="",0,求节点($C$68:$C$76,D$68:D$76,基础状态预期!K93))</f>
        <v>0</v>
      </c>
      <c r="AM80" s="29">
        <f>IF(基础状态预期!L93="",0,求节点($C$68:$C$76,E$68:E$76,基础状态预期!L93))</f>
        <v>0</v>
      </c>
      <c r="AN80" s="29">
        <f>IF(基础状态预期!M93="",0,求节点($C$68:$C$76,F$68:F$76,基础状态预期!M93)*求节点(武将升级!$H$52:$H$54,武将升级!$J$52:$J$54,基础状态预期!W93))</f>
        <v>0</v>
      </c>
      <c r="AO80" s="29">
        <f>IF(基础状态预期!N93="",0,求节点($C$68:$C$76,G$68:G$76,基础状态预期!N93)*求节点(武将升级!$H$52:$H$54,武将升级!$J$52:$J$54,基础状态预期!X93))</f>
        <v>0</v>
      </c>
      <c r="AP80" s="29">
        <f>IF(基础状态预期!O93="",0,求节点($C$68:$C$76,H$68:H$76,基础状态预期!O93)*求节点(武将升级!$H$52:$H$54,武将升级!$J$52:$J$54,基础状态预期!Y93))</f>
        <v>1.1399999999999999</v>
      </c>
      <c r="AQ80" s="29">
        <f>MAX(SUMPRODUCT(AL80:AP80,基础状态预期!$F93:$J93)/SUM(基础状态预期!$F93:$J93),AQ79)</f>
        <v>1.1399999999999999</v>
      </c>
      <c r="AR80" s="29">
        <f>IF(基础状态预期!K93="",0,求节点($C$158:$C$166,D$158:D$166,基础状态预期!K93))</f>
        <v>0</v>
      </c>
      <c r="AS80" s="29">
        <f>IF(基础状态预期!L93="",0,求节点($C$158:$C$166,E$158:E$166,基础状态预期!L93))</f>
        <v>0</v>
      </c>
      <c r="AT80" s="29">
        <f>IF(基础状态预期!M93="",0,求节点($C$158:$C$166,F$158:F$166,基础状态预期!M93))</f>
        <v>0</v>
      </c>
      <c r="AU80" s="29">
        <f>IF(基础状态预期!N93="",0,求节点($C$158:$C$166,G$158:G$166,基础状态预期!N93))</f>
        <v>0</v>
      </c>
      <c r="AV80" s="29">
        <f>IF(基础状态预期!O93="",0,求节点($C$158:$C$166,H$158:H$166,基础状态预期!O93))</f>
        <v>0.8</v>
      </c>
      <c r="AW80" s="29">
        <f>MAX(SUMPRODUCT(AR80:AV80,基础状态预期!$F93:$J93)/SUM(基础状态预期!$F93:$J93),AW79)</f>
        <v>0.80000000000000016</v>
      </c>
      <c r="BJ80" s="29">
        <f t="shared" si="25"/>
        <v>135.61521761503846</v>
      </c>
      <c r="BK80" s="75">
        <f>武将数量星级阶位验证!AT83</f>
        <v>13567001.118561968</v>
      </c>
      <c r="BL80" s="75">
        <f>(AD80-AD79)*INDEX('[1]功能-付费相关'!$AR$6:$AR$165,BJ80,1)+BL79</f>
        <v>22771.119957274819</v>
      </c>
    </row>
    <row r="81" spans="2:69" x14ac:dyDescent="0.15">
      <c r="B81" s="170"/>
      <c r="C81" s="29">
        <v>1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M81" s="72">
        <v>36</v>
      </c>
      <c r="N81" s="29">
        <f>基础状态预期!D94</f>
        <v>139.08794136138388</v>
      </c>
      <c r="O81" s="29">
        <f>IF(基础状态预期!F94="",0,求节点($C$104:$C$112,D$104:D$112,基础状态预期!K94))</f>
        <v>0</v>
      </c>
      <c r="P81" s="29">
        <f>IF(基础状态预期!G94="",0,求节点($C$104:$C$112,E$104:E$112,基础状态预期!L94))</f>
        <v>0</v>
      </c>
      <c r="Q81" s="29">
        <f>IF(基础状态预期!H94="",0,求节点($C$104:$C$112,F$104:F$112,基础状态预期!M94))</f>
        <v>0</v>
      </c>
      <c r="R81" s="29">
        <f>IF(基础状态预期!I94="",0,求节点($C$104:$C$112,G$104:G$112,基础状态预期!N94))</f>
        <v>0</v>
      </c>
      <c r="S81" s="29">
        <f>IF(基础状态预期!J94="",0,求节点($C$104:$C$112,H$104:H$112,基础状态预期!O94))</f>
        <v>18</v>
      </c>
      <c r="T81" s="29">
        <f>IF(基础状态预期!F94="",0,求节点($C$114:$C$122,D$114:D$122,基础状态预期!K94)*基础状态预期!F94+求节点($C$124:$C$132,D$124:D$132,基础状态预期!$O94)*基础状态预期!$J94)</f>
        <v>0</v>
      </c>
      <c r="U81" s="29">
        <f>IF(基础状态预期!G94="",0,求节点($C$114:$C$122,E$114:E$122,基础状态预期!L94)*基础状态预期!G94+求节点($C$124:$C$132,E$124:E$132,基础状态预期!$O94)*基础状态预期!$J94)</f>
        <v>0</v>
      </c>
      <c r="V81" s="29">
        <f>IF(基础状态预期!H94="",0,求节点($C$114:$C$122,F$114:F$122,基础状态预期!M94)*基础状态预期!H94+求节点($C$124:$C$132,F$124:F$132,基础状态预期!$O94)*基础状态预期!$J94)</f>
        <v>0</v>
      </c>
      <c r="W81" s="148">
        <f>IF(基础状态预期!I94="",0,求节点($C$114:$C$122,G$114:G$122,基础状态预期!N94)*基础状态预期!I94)+IF(基础状态预期!O94="",0,求节点($C$124:$C$132,G$124:G$132,基础状态预期!$O94)*基础状态预期!$J94)</f>
        <v>54</v>
      </c>
      <c r="X81" s="29">
        <f>IF(基础状态预期!J94="",0,求节点($C$114:$C$122,H$114:H$122,基础状态预期!O94)*基础状态预期!J94+求节点($C$124:$C$132,H$124:H$132,基础状态预期!$O94)*基础状态预期!$J94)</f>
        <v>0</v>
      </c>
      <c r="Y81" s="14">
        <f>IF(基础状态预期!K94="",0,求节点($C$92:$C$100,D$92:D$100,基础状态预期!K94))</f>
        <v>0</v>
      </c>
      <c r="Z81" s="14">
        <f>IF(基础状态预期!L94="",0,求节点($C$92:$C$100,E$92:E$100,基础状态预期!L94))</f>
        <v>0</v>
      </c>
      <c r="AA81" s="14">
        <f>IF(基础状态预期!M94="",0,求节点($C$92:$C$100,F$92:F$100,基础状态预期!M94))</f>
        <v>0</v>
      </c>
      <c r="AB81" s="14">
        <f>IF(基础状态预期!N94="",0,求节点($C$92:$C$100,G$92:G$100,基础状态预期!N94))</f>
        <v>0</v>
      </c>
      <c r="AC81" s="14">
        <f>IF(基础状态预期!O94="",0,求节点($C$92:$C$100,H$92:H$100,基础状态预期!O94))</f>
        <v>3825000</v>
      </c>
      <c r="AD81" s="29">
        <f>MAX(SUMPRODUCT(Y81:AC81,基础状态预期!F94:J94),AD80)</f>
        <v>22950000</v>
      </c>
      <c r="AF81" s="29" t="str">
        <f>IF(基础状态预期!K94="","",基础状态预期!K94*D$59+D$58)</f>
        <v/>
      </c>
      <c r="AG81" s="29" t="str">
        <f>IF(基础状态预期!L94="","",基础状态预期!L94*E$59+E$58)</f>
        <v/>
      </c>
      <c r="AH81" s="29" t="str">
        <f>IF(基础状态预期!M94="","",基础状态预期!M94*F$59+F$58)</f>
        <v/>
      </c>
      <c r="AI81" s="29" t="str">
        <f>IF(基础状态预期!N94="","",基础状态预期!N94*G$59+G$58)</f>
        <v/>
      </c>
      <c r="AJ81" s="29">
        <f>IF(基础状态预期!O94="","",基础状态预期!O94*H$59+H$58)</f>
        <v>148</v>
      </c>
      <c r="AK81" s="29">
        <f>MAX(SUMPRODUCT(AF81:AJ81,基础状态预期!$F94:$J94)/SUM(基础状态预期!$F94:$J94),AK80)</f>
        <v>148</v>
      </c>
      <c r="AL81" s="29">
        <f>IF(基础状态预期!K94="",0,求节点($C$68:$C$76,D$68:D$76,基础状态预期!K94))</f>
        <v>0</v>
      </c>
      <c r="AM81" s="29">
        <f>IF(基础状态预期!L94="",0,求节点($C$68:$C$76,E$68:E$76,基础状态预期!L94))</f>
        <v>0</v>
      </c>
      <c r="AN81" s="29">
        <f>IF(基础状态预期!M94="",0,求节点($C$68:$C$76,F$68:F$76,基础状态预期!M94)*求节点(武将升级!$H$52:$H$54,武将升级!$J$52:$J$54,基础状态预期!W94))</f>
        <v>0</v>
      </c>
      <c r="AO81" s="29">
        <f>IF(基础状态预期!N94="",0,求节点($C$68:$C$76,G$68:G$76,基础状态预期!N94)*求节点(武将升级!$H$52:$H$54,武将升级!$J$52:$J$54,基础状态预期!X94))</f>
        <v>0</v>
      </c>
      <c r="AP81" s="29">
        <f>IF(基础状态预期!O94="",0,求节点($C$68:$C$76,H$68:H$76,基础状态预期!O94)*求节点(武将升级!$H$52:$H$54,武将升级!$J$52:$J$54,基础状态预期!Y94))</f>
        <v>1.1399999999999999</v>
      </c>
      <c r="AQ81" s="29">
        <f>MAX(SUMPRODUCT(AL81:AP81,基础状态预期!$F94:$J94)/SUM(基础状态预期!$F94:$J94),AQ80)</f>
        <v>1.1399999999999999</v>
      </c>
      <c r="AR81" s="29">
        <f>IF(基础状态预期!K94="",0,求节点($C$158:$C$166,D$158:D$166,基础状态预期!K94))</f>
        <v>0</v>
      </c>
      <c r="AS81" s="29">
        <f>IF(基础状态预期!L94="",0,求节点($C$158:$C$166,E$158:E$166,基础状态预期!L94))</f>
        <v>0</v>
      </c>
      <c r="AT81" s="29">
        <f>IF(基础状态预期!M94="",0,求节点($C$158:$C$166,F$158:F$166,基础状态预期!M94))</f>
        <v>0</v>
      </c>
      <c r="AU81" s="29">
        <f>IF(基础状态预期!N94="",0,求节点($C$158:$C$166,G$158:G$166,基础状态预期!N94))</f>
        <v>0</v>
      </c>
      <c r="AV81" s="29">
        <f>IF(基础状态预期!O94="",0,求节点($C$158:$C$166,H$158:H$166,基础状态预期!O94))</f>
        <v>0.8</v>
      </c>
      <c r="AW81" s="29">
        <f>MAX(SUMPRODUCT(AR81:AV81,基础状态预期!$F94:$J94)/SUM(基础状态预期!$F94:$J94),AW80)</f>
        <v>0.80000000000000016</v>
      </c>
      <c r="BJ81" s="29">
        <f t="shared" si="25"/>
        <v>139.08794136138388</v>
      </c>
      <c r="BK81" s="75">
        <f>武将数量星级阶位验证!AT84</f>
        <v>16866186.914086092</v>
      </c>
      <c r="BL81" s="75">
        <f>(AD81-AD80)*INDEX('[1]功能-付费相关'!$AR$6:$AR$165,BJ81,1)+BL80</f>
        <v>22771.119957274819</v>
      </c>
    </row>
    <row r="82" spans="2:69" x14ac:dyDescent="0.15">
      <c r="B82" s="170"/>
      <c r="C82" s="29">
        <v>2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M82" s="72">
        <v>37</v>
      </c>
      <c r="N82" s="29">
        <f>基础状态预期!D95</f>
        <v>142.60670974426387</v>
      </c>
      <c r="O82" s="29">
        <f>IF(基础状态预期!F95="",0,求节点($C$104:$C$112,D$104:D$112,基础状态预期!K95))</f>
        <v>0</v>
      </c>
      <c r="P82" s="29">
        <f>IF(基础状态预期!G95="",0,求节点($C$104:$C$112,E$104:E$112,基础状态预期!L95))</f>
        <v>0</v>
      </c>
      <c r="Q82" s="29">
        <f>IF(基础状态预期!H95="",0,求节点($C$104:$C$112,F$104:F$112,基础状态预期!M95))</f>
        <v>0</v>
      </c>
      <c r="R82" s="29">
        <f>IF(基础状态预期!I95="",0,求节点($C$104:$C$112,G$104:G$112,基础状态预期!N95))</f>
        <v>0</v>
      </c>
      <c r="S82" s="29">
        <f>IF(基础状态预期!J95="",0,求节点($C$104:$C$112,H$104:H$112,基础状态预期!O95))</f>
        <v>18</v>
      </c>
      <c r="T82" s="29">
        <f>IF(基础状态预期!F95="",0,求节点($C$114:$C$122,D$114:D$122,基础状态预期!K95)*基础状态预期!F95+求节点($C$124:$C$132,D$124:D$132,基础状态预期!$O95)*基础状态预期!$J95)</f>
        <v>0</v>
      </c>
      <c r="U82" s="29">
        <f>IF(基础状态预期!G95="",0,求节点($C$114:$C$122,E$114:E$122,基础状态预期!L95)*基础状态预期!G95+求节点($C$124:$C$132,E$124:E$132,基础状态预期!$O95)*基础状态预期!$J95)</f>
        <v>0</v>
      </c>
      <c r="V82" s="29">
        <f>IF(基础状态预期!H95="",0,求节点($C$114:$C$122,F$114:F$122,基础状态预期!M95)*基础状态预期!H95+求节点($C$124:$C$132,F$124:F$132,基础状态预期!$O95)*基础状态预期!$J95)</f>
        <v>0</v>
      </c>
      <c r="W82" s="148">
        <f>IF(基础状态预期!I95="",0,求节点($C$114:$C$122,G$114:G$122,基础状态预期!N95)*基础状态预期!I95)+IF(基础状态预期!O95="",0,求节点($C$124:$C$132,G$124:G$132,基础状态预期!$O95)*基础状态预期!$J95)</f>
        <v>54</v>
      </c>
      <c r="X82" s="29">
        <f>IF(基础状态预期!J95="",0,求节点($C$114:$C$122,H$114:H$122,基础状态预期!O95)*基础状态预期!J95+求节点($C$124:$C$132,H$124:H$132,基础状态预期!$O95)*基础状态预期!$J95)</f>
        <v>0</v>
      </c>
      <c r="Y82" s="14">
        <f>IF(基础状态预期!K95="",0,求节点($C$92:$C$100,D$92:D$100,基础状态预期!K95))</f>
        <v>0</v>
      </c>
      <c r="Z82" s="14">
        <f>IF(基础状态预期!L95="",0,求节点($C$92:$C$100,E$92:E$100,基础状态预期!L95))</f>
        <v>0</v>
      </c>
      <c r="AA82" s="14">
        <f>IF(基础状态预期!M95="",0,求节点($C$92:$C$100,F$92:F$100,基础状态预期!M95))</f>
        <v>0</v>
      </c>
      <c r="AB82" s="14">
        <f>IF(基础状态预期!N95="",0,求节点($C$92:$C$100,G$92:G$100,基础状态预期!N95))</f>
        <v>0</v>
      </c>
      <c r="AC82" s="14">
        <f>IF(基础状态预期!O95="",0,求节点($C$92:$C$100,H$92:H$100,基础状态预期!O95))</f>
        <v>3825000</v>
      </c>
      <c r="AD82" s="29">
        <f>MAX(SUMPRODUCT(Y82:AC82,基础状态预期!F95:J95),AD81)</f>
        <v>22950000</v>
      </c>
      <c r="AF82" s="29" t="str">
        <f>IF(基础状态预期!K95="","",基础状态预期!K95*D$59+D$58)</f>
        <v/>
      </c>
      <c r="AG82" s="29" t="str">
        <f>IF(基础状态预期!L95="","",基础状态预期!L95*E$59+E$58)</f>
        <v/>
      </c>
      <c r="AH82" s="29" t="str">
        <f>IF(基础状态预期!M95="","",基础状态预期!M95*F$59+F$58)</f>
        <v/>
      </c>
      <c r="AI82" s="29" t="str">
        <f>IF(基础状态预期!N95="","",基础状态预期!N95*G$59+G$58)</f>
        <v/>
      </c>
      <c r="AJ82" s="29">
        <f>IF(基础状态预期!O95="","",基础状态预期!O95*H$59+H$58)</f>
        <v>148</v>
      </c>
      <c r="AK82" s="29">
        <f>MAX(SUMPRODUCT(AF82:AJ82,基础状态预期!$F95:$J95)/SUM(基础状态预期!$F95:$J95),AK81)</f>
        <v>148</v>
      </c>
      <c r="AL82" s="29">
        <f>IF(基础状态预期!K95="",0,求节点($C$68:$C$76,D$68:D$76,基础状态预期!K95))</f>
        <v>0</v>
      </c>
      <c r="AM82" s="29">
        <f>IF(基础状态预期!L95="",0,求节点($C$68:$C$76,E$68:E$76,基础状态预期!L95))</f>
        <v>0</v>
      </c>
      <c r="AN82" s="29">
        <f>IF(基础状态预期!M95="",0,求节点($C$68:$C$76,F$68:F$76,基础状态预期!M95)*求节点(武将升级!$H$52:$H$54,武将升级!$J$52:$J$54,基础状态预期!W95))</f>
        <v>0</v>
      </c>
      <c r="AO82" s="29">
        <f>IF(基础状态预期!N95="",0,求节点($C$68:$C$76,G$68:G$76,基础状态预期!N95)*求节点(武将升级!$H$52:$H$54,武将升级!$J$52:$J$54,基础状态预期!X95))</f>
        <v>0</v>
      </c>
      <c r="AP82" s="29">
        <f>IF(基础状态预期!O95="",0,求节点($C$68:$C$76,H$68:H$76,基础状态预期!O95)*求节点(武将升级!$H$52:$H$54,武将升级!$J$52:$J$54,基础状态预期!Y95))</f>
        <v>1.1399999999999999</v>
      </c>
      <c r="AQ82" s="29">
        <f>MAX(SUMPRODUCT(AL82:AP82,基础状态预期!$F95:$J95)/SUM(基础状态预期!$F95:$J95),AQ81)</f>
        <v>1.1399999999999999</v>
      </c>
      <c r="AR82" s="29">
        <f>IF(基础状态预期!K95="",0,求节点($C$158:$C$166,D$158:D$166,基础状态预期!K95))</f>
        <v>0</v>
      </c>
      <c r="AS82" s="29">
        <f>IF(基础状态预期!L95="",0,求节点($C$158:$C$166,E$158:E$166,基础状态预期!L95))</f>
        <v>0</v>
      </c>
      <c r="AT82" s="29">
        <f>IF(基础状态预期!M95="",0,求节点($C$158:$C$166,F$158:F$166,基础状态预期!M95))</f>
        <v>0</v>
      </c>
      <c r="AU82" s="29">
        <f>IF(基础状态预期!N95="",0,求节点($C$158:$C$166,G$158:G$166,基础状态预期!N95))</f>
        <v>0</v>
      </c>
      <c r="AV82" s="29">
        <f>IF(基础状态预期!O95="",0,求节点($C$158:$C$166,H$158:H$166,基础状态预期!O95))</f>
        <v>0.8</v>
      </c>
      <c r="AW82" s="29">
        <f>MAX(SUMPRODUCT(AR82:AV82,基础状态预期!$F95:$J95)/SUM(基础状态预期!$F95:$J95),AW81)</f>
        <v>0.80000000000000016</v>
      </c>
      <c r="BJ82" s="29">
        <f t="shared" si="25"/>
        <v>142.60670974426387</v>
      </c>
      <c r="BK82" s="75">
        <f>武将数量星级阶位验证!AT85</f>
        <v>20974777.056420028</v>
      </c>
      <c r="BL82" s="75">
        <f>(AD82-AD81)*INDEX('[1]功能-付费相关'!$AR$6:$AR$165,BJ82,1)+BL81</f>
        <v>22771.119957274819</v>
      </c>
    </row>
    <row r="83" spans="2:69" x14ac:dyDescent="0.15">
      <c r="B83" s="170"/>
      <c r="C83" s="29">
        <v>3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M83" s="72">
        <v>38</v>
      </c>
      <c r="N83" s="29">
        <f>基础状态预期!D96</f>
        <v>146.07830147206653</v>
      </c>
      <c r="O83" s="29">
        <f>IF(基础状态预期!F96="",0,求节点($C$104:$C$112,D$104:D$112,基础状态预期!K96))</f>
        <v>0</v>
      </c>
      <c r="P83" s="29">
        <f>IF(基础状态预期!G96="",0,求节点($C$104:$C$112,E$104:E$112,基础状态预期!L96))</f>
        <v>0</v>
      </c>
      <c r="Q83" s="29">
        <f>IF(基础状态预期!H96="",0,求节点($C$104:$C$112,F$104:F$112,基础状态预期!M96))</f>
        <v>0</v>
      </c>
      <c r="R83" s="29">
        <f>IF(基础状态预期!I96="",0,求节点($C$104:$C$112,G$104:G$112,基础状态预期!N96))</f>
        <v>0</v>
      </c>
      <c r="S83" s="29">
        <f>IF(基础状态预期!J96="",0,求节点($C$104:$C$112,H$104:H$112,基础状态预期!O96))</f>
        <v>18</v>
      </c>
      <c r="T83" s="29">
        <f>IF(基础状态预期!F96="",0,求节点($C$114:$C$122,D$114:D$122,基础状态预期!K96)*基础状态预期!F96+求节点($C$124:$C$132,D$124:D$132,基础状态预期!$O96)*基础状态预期!$J96)</f>
        <v>0</v>
      </c>
      <c r="U83" s="29">
        <f>IF(基础状态预期!G96="",0,求节点($C$114:$C$122,E$114:E$122,基础状态预期!L96)*基础状态预期!G96+求节点($C$124:$C$132,E$124:E$132,基础状态预期!$O96)*基础状态预期!$J96)</f>
        <v>0</v>
      </c>
      <c r="V83" s="29">
        <f>IF(基础状态预期!H96="",0,求节点($C$114:$C$122,F$114:F$122,基础状态预期!M96)*基础状态预期!H96+求节点($C$124:$C$132,F$124:F$132,基础状态预期!$O96)*基础状态预期!$J96)</f>
        <v>0</v>
      </c>
      <c r="W83" s="148">
        <f>IF(基础状态预期!I96="",0,求节点($C$114:$C$122,G$114:G$122,基础状态预期!N96)*基础状态预期!I96)+IF(基础状态预期!O96="",0,求节点($C$124:$C$132,G$124:G$132,基础状态预期!$O96)*基础状态预期!$J96)</f>
        <v>54</v>
      </c>
      <c r="X83" s="29">
        <f>IF(基础状态预期!J96="",0,求节点($C$114:$C$122,H$114:H$122,基础状态预期!O96)*基础状态预期!J96+求节点($C$124:$C$132,H$124:H$132,基础状态预期!$O96)*基础状态预期!$J96)</f>
        <v>0</v>
      </c>
      <c r="Y83" s="14">
        <f>IF(基础状态预期!K96="",0,求节点($C$92:$C$100,D$92:D$100,基础状态预期!K96))</f>
        <v>0</v>
      </c>
      <c r="Z83" s="14">
        <f>IF(基础状态预期!L96="",0,求节点($C$92:$C$100,E$92:E$100,基础状态预期!L96))</f>
        <v>0</v>
      </c>
      <c r="AA83" s="14">
        <f>IF(基础状态预期!M96="",0,求节点($C$92:$C$100,F$92:F$100,基础状态预期!M96))</f>
        <v>0</v>
      </c>
      <c r="AB83" s="14">
        <f>IF(基础状态预期!N96="",0,求节点($C$92:$C$100,G$92:G$100,基础状态预期!N96))</f>
        <v>0</v>
      </c>
      <c r="AC83" s="14">
        <f>IF(基础状态预期!O96="",0,求节点($C$92:$C$100,H$92:H$100,基础状态预期!O96))</f>
        <v>3825000</v>
      </c>
      <c r="AD83" s="29">
        <f>MAX(SUMPRODUCT(Y83:AC83,基础状态预期!F96:J96),AD82)</f>
        <v>22950000</v>
      </c>
      <c r="AF83" s="29" t="str">
        <f>IF(基础状态预期!K96="","",基础状态预期!K96*D$59+D$58)</f>
        <v/>
      </c>
      <c r="AG83" s="29" t="str">
        <f>IF(基础状态预期!L96="","",基础状态预期!L96*E$59+E$58)</f>
        <v/>
      </c>
      <c r="AH83" s="29" t="str">
        <f>IF(基础状态预期!M96="","",基础状态预期!M96*F$59+F$58)</f>
        <v/>
      </c>
      <c r="AI83" s="29" t="str">
        <f>IF(基础状态预期!N96="","",基础状态预期!N96*G$59+G$58)</f>
        <v/>
      </c>
      <c r="AJ83" s="29">
        <f>IF(基础状态预期!O96="","",基础状态预期!O96*H$59+H$58)</f>
        <v>148</v>
      </c>
      <c r="AK83" s="29">
        <f>MAX(SUMPRODUCT(AF83:AJ83,基础状态预期!$F96:$J96)/SUM(基础状态预期!$F96:$J96),AK82)</f>
        <v>148</v>
      </c>
      <c r="AL83" s="29">
        <f>IF(基础状态预期!K96="",0,求节点($C$68:$C$76,D$68:D$76,基础状态预期!K96))</f>
        <v>0</v>
      </c>
      <c r="AM83" s="29">
        <f>IF(基础状态预期!L96="",0,求节点($C$68:$C$76,E$68:E$76,基础状态预期!L96))</f>
        <v>0</v>
      </c>
      <c r="AN83" s="29">
        <f>IF(基础状态预期!M96="",0,求节点($C$68:$C$76,F$68:F$76,基础状态预期!M96)*求节点(武将升级!$H$52:$H$54,武将升级!$J$52:$J$54,基础状态预期!W96))</f>
        <v>0</v>
      </c>
      <c r="AO83" s="29">
        <f>IF(基础状态预期!N96="",0,求节点($C$68:$C$76,G$68:G$76,基础状态预期!N96)*求节点(武将升级!$H$52:$H$54,武将升级!$J$52:$J$54,基础状态预期!X96))</f>
        <v>0</v>
      </c>
      <c r="AP83" s="29">
        <f>IF(基础状态预期!O96="",0,求节点($C$68:$C$76,H$68:H$76,基础状态预期!O96)*求节点(武将升级!$H$52:$H$54,武将升级!$J$52:$J$54,基础状态预期!Y96))</f>
        <v>1.1399999999999999</v>
      </c>
      <c r="AQ83" s="29">
        <f>MAX(SUMPRODUCT(AL83:AP83,基础状态预期!$F96:$J96)/SUM(基础状态预期!$F96:$J96),AQ82)</f>
        <v>1.1399999999999999</v>
      </c>
      <c r="AR83" s="29">
        <f>IF(基础状态预期!K96="",0,求节点($C$158:$C$166,D$158:D$166,基础状态预期!K96))</f>
        <v>0</v>
      </c>
      <c r="AS83" s="29">
        <f>IF(基础状态预期!L96="",0,求节点($C$158:$C$166,E$158:E$166,基础状态预期!L96))</f>
        <v>0</v>
      </c>
      <c r="AT83" s="29">
        <f>IF(基础状态预期!M96="",0,求节点($C$158:$C$166,F$158:F$166,基础状态预期!M96))</f>
        <v>0</v>
      </c>
      <c r="AU83" s="29">
        <f>IF(基础状态预期!N96="",0,求节点($C$158:$C$166,G$158:G$166,基础状态预期!N96))</f>
        <v>0</v>
      </c>
      <c r="AV83" s="29">
        <f>IF(基础状态预期!O96="",0,求节点($C$158:$C$166,H$158:H$166,基础状态预期!O96))</f>
        <v>0.8</v>
      </c>
      <c r="AW83" s="29">
        <f>MAX(SUMPRODUCT(AR83:AV83,基础状态预期!$F96:$J96)/SUM(基础状态预期!$F96:$J96),AW82)</f>
        <v>0.80000000000000016</v>
      </c>
      <c r="BJ83" s="29">
        <f t="shared" si="25"/>
        <v>146.07830147206653</v>
      </c>
      <c r="BK83" s="75">
        <f>武将数量星级阶位验证!AT86</f>
        <v>26112451.271725077</v>
      </c>
      <c r="BL83" s="75">
        <f>(AD83-AD82)*INDEX('[1]功能-付费相关'!$AR$6:$AR$165,BJ83,1)+BL82</f>
        <v>22771.119957274819</v>
      </c>
    </row>
    <row r="84" spans="2:69" x14ac:dyDescent="0.15">
      <c r="B84" s="170"/>
      <c r="C84" s="29">
        <v>4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M84" s="72">
        <v>39</v>
      </c>
      <c r="N84" s="29">
        <f>基础状态预期!D97</f>
        <v>149.61701338734093</v>
      </c>
      <c r="O84" s="29">
        <f>IF(基础状态预期!F97="",0,求节点($C$104:$C$112,D$104:D$112,基础状态预期!K97))</f>
        <v>0</v>
      </c>
      <c r="P84" s="29">
        <f>IF(基础状态预期!G97="",0,求节点($C$104:$C$112,E$104:E$112,基础状态预期!L97))</f>
        <v>0</v>
      </c>
      <c r="Q84" s="29">
        <f>IF(基础状态预期!H97="",0,求节点($C$104:$C$112,F$104:F$112,基础状态预期!M97))</f>
        <v>0</v>
      </c>
      <c r="R84" s="29">
        <f>IF(基础状态预期!I97="",0,求节点($C$104:$C$112,G$104:G$112,基础状态预期!N97))</f>
        <v>0</v>
      </c>
      <c r="S84" s="29">
        <f>IF(基础状态预期!J97="",0,求节点($C$104:$C$112,H$104:H$112,基础状态预期!O97))</f>
        <v>18</v>
      </c>
      <c r="T84" s="29">
        <f>IF(基础状态预期!F97="",0,求节点($C$114:$C$122,D$114:D$122,基础状态预期!K97)*基础状态预期!F97+求节点($C$124:$C$132,D$124:D$132,基础状态预期!$O97)*基础状态预期!$J97)</f>
        <v>0</v>
      </c>
      <c r="U84" s="29">
        <f>IF(基础状态预期!G97="",0,求节点($C$114:$C$122,E$114:E$122,基础状态预期!L97)*基础状态预期!G97+求节点($C$124:$C$132,E$124:E$132,基础状态预期!$O97)*基础状态预期!$J97)</f>
        <v>0</v>
      </c>
      <c r="V84" s="29">
        <f>IF(基础状态预期!H97="",0,求节点($C$114:$C$122,F$114:F$122,基础状态预期!M97)*基础状态预期!H97+求节点($C$124:$C$132,F$124:F$132,基础状态预期!$O97)*基础状态预期!$J97)</f>
        <v>0</v>
      </c>
      <c r="W84" s="148">
        <f>IF(基础状态预期!I97="",0,求节点($C$114:$C$122,G$114:G$122,基础状态预期!N97)*基础状态预期!I97)+IF(基础状态预期!O97="",0,求节点($C$124:$C$132,G$124:G$132,基础状态预期!$O97)*基础状态预期!$J97)</f>
        <v>54</v>
      </c>
      <c r="X84" s="29">
        <f>IF(基础状态预期!J97="",0,求节点($C$114:$C$122,H$114:H$122,基础状态预期!O97)*基础状态预期!J97+求节点($C$124:$C$132,H$124:H$132,基础状态预期!$O97)*基础状态预期!$J97)</f>
        <v>0</v>
      </c>
      <c r="Y84" s="14">
        <f>IF(基础状态预期!K97="",0,求节点($C$92:$C$100,D$92:D$100,基础状态预期!K97))</f>
        <v>0</v>
      </c>
      <c r="Z84" s="14">
        <f>IF(基础状态预期!L97="",0,求节点($C$92:$C$100,E$92:E$100,基础状态预期!L97))</f>
        <v>0</v>
      </c>
      <c r="AA84" s="14">
        <f>IF(基础状态预期!M97="",0,求节点($C$92:$C$100,F$92:F$100,基础状态预期!M97))</f>
        <v>0</v>
      </c>
      <c r="AB84" s="14">
        <f>IF(基础状态预期!N97="",0,求节点($C$92:$C$100,G$92:G$100,基础状态预期!N97))</f>
        <v>0</v>
      </c>
      <c r="AC84" s="14">
        <f>IF(基础状态预期!O97="",0,求节点($C$92:$C$100,H$92:H$100,基础状态预期!O97))</f>
        <v>3825000</v>
      </c>
      <c r="AD84" s="29">
        <f>MAX(SUMPRODUCT(Y84:AC84,基础状态预期!F97:J97),AD83)</f>
        <v>22950000</v>
      </c>
      <c r="AF84" s="29" t="str">
        <f>IF(基础状态预期!K97="","",基础状态预期!K97*D$59+D$58)</f>
        <v/>
      </c>
      <c r="AG84" s="29" t="str">
        <f>IF(基础状态预期!L97="","",基础状态预期!L97*E$59+E$58)</f>
        <v/>
      </c>
      <c r="AH84" s="29" t="str">
        <f>IF(基础状态预期!M97="","",基础状态预期!M97*F$59+F$58)</f>
        <v/>
      </c>
      <c r="AI84" s="29" t="str">
        <f>IF(基础状态预期!N97="","",基础状态预期!N97*G$59+G$58)</f>
        <v/>
      </c>
      <c r="AJ84" s="29">
        <f>IF(基础状态预期!O97="","",基础状态预期!O97*H$59+H$58)</f>
        <v>148</v>
      </c>
      <c r="AK84" s="29">
        <f>MAX(SUMPRODUCT(AF84:AJ84,基础状态预期!$F97:$J97)/SUM(基础状态预期!$F97:$J97),AK83)</f>
        <v>148</v>
      </c>
      <c r="AL84" s="29">
        <f>IF(基础状态预期!K97="",0,求节点($C$68:$C$76,D$68:D$76,基础状态预期!K97))</f>
        <v>0</v>
      </c>
      <c r="AM84" s="29">
        <f>IF(基础状态预期!L97="",0,求节点($C$68:$C$76,E$68:E$76,基础状态预期!L97))</f>
        <v>0</v>
      </c>
      <c r="AN84" s="29">
        <f>IF(基础状态预期!M97="",0,求节点($C$68:$C$76,F$68:F$76,基础状态预期!M97)*求节点(武将升级!$H$52:$H$54,武将升级!$J$52:$J$54,基础状态预期!W97))</f>
        <v>0</v>
      </c>
      <c r="AO84" s="29">
        <f>IF(基础状态预期!N97="",0,求节点($C$68:$C$76,G$68:G$76,基础状态预期!N97)*求节点(武将升级!$H$52:$H$54,武将升级!$J$52:$J$54,基础状态预期!X97))</f>
        <v>0</v>
      </c>
      <c r="AP84" s="29">
        <f>IF(基础状态预期!O97="",0,求节点($C$68:$C$76,H$68:H$76,基础状态预期!O97)*求节点(武将升级!$H$52:$H$54,武将升级!$J$52:$J$54,基础状态预期!Y97))</f>
        <v>1.1399999999999999</v>
      </c>
      <c r="AQ84" s="29">
        <f>MAX(SUMPRODUCT(AL84:AP84,基础状态预期!$F97:$J97)/SUM(基础状态预期!$F97:$J97),AQ83)</f>
        <v>1.1399999999999999</v>
      </c>
      <c r="AR84" s="29">
        <f>IF(基础状态预期!K97="",0,求节点($C$158:$C$166,D$158:D$166,基础状态预期!K97))</f>
        <v>0</v>
      </c>
      <c r="AS84" s="29">
        <f>IF(基础状态预期!L97="",0,求节点($C$158:$C$166,E$158:E$166,基础状态预期!L97))</f>
        <v>0</v>
      </c>
      <c r="AT84" s="29">
        <f>IF(基础状态预期!M97="",0,求节点($C$158:$C$166,F$158:F$166,基础状态预期!M97))</f>
        <v>0</v>
      </c>
      <c r="AU84" s="29">
        <f>IF(基础状态预期!N97="",0,求节点($C$158:$C$166,G$158:G$166,基础状态预期!N97))</f>
        <v>0</v>
      </c>
      <c r="AV84" s="29">
        <f>IF(基础状态预期!O97="",0,求节点($C$158:$C$166,H$158:H$166,基础状态预期!O97))</f>
        <v>0.8</v>
      </c>
      <c r="AW84" s="29">
        <f>MAX(SUMPRODUCT(AR84:AV84,基础状态预期!$F97:$J97)/SUM(基础状态预期!$F97:$J97),AW83)</f>
        <v>0.80000000000000016</v>
      </c>
      <c r="BJ84" s="29">
        <f t="shared" si="25"/>
        <v>149.61701338734093</v>
      </c>
      <c r="BK84" s="75">
        <f>武将数量星级阶位验证!AT87</f>
        <v>32540477.417904146</v>
      </c>
      <c r="BL84" s="75">
        <f>(AD84-AD83)*INDEX('[1]功能-付费相关'!$AR$6:$AR$165,BJ84,1)+BL83</f>
        <v>22771.119957274819</v>
      </c>
    </row>
    <row r="85" spans="2:69" x14ac:dyDescent="0.15">
      <c r="B85" s="170"/>
      <c r="C85" s="29">
        <v>5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M85" s="72">
        <v>40</v>
      </c>
      <c r="N85" s="29">
        <f>基础状态预期!D98</f>
        <v>153.01012120353457</v>
      </c>
      <c r="O85" s="29">
        <f>IF(基础状态预期!F98="",0,求节点($C$104:$C$112,D$104:D$112,基础状态预期!K98))</f>
        <v>0</v>
      </c>
      <c r="P85" s="29">
        <f>IF(基础状态预期!G98="",0,求节点($C$104:$C$112,E$104:E$112,基础状态预期!L98))</f>
        <v>0</v>
      </c>
      <c r="Q85" s="29">
        <f>IF(基础状态预期!H98="",0,求节点($C$104:$C$112,F$104:F$112,基础状态预期!M98))</f>
        <v>0</v>
      </c>
      <c r="R85" s="29">
        <f>IF(基础状态预期!I98="",0,求节点($C$104:$C$112,G$104:G$112,基础状态预期!N98))</f>
        <v>0</v>
      </c>
      <c r="S85" s="29">
        <f>IF(基础状态预期!J98="",0,求节点($C$104:$C$112,H$104:H$112,基础状态预期!O98))</f>
        <v>18</v>
      </c>
      <c r="T85" s="29">
        <f>IF(基础状态预期!F98="",0,求节点($C$114:$C$122,D$114:D$122,基础状态预期!K98)*基础状态预期!F98+求节点($C$124:$C$132,D$124:D$132,基础状态预期!$O98)*基础状态预期!$J98)</f>
        <v>0</v>
      </c>
      <c r="U85" s="29">
        <f>IF(基础状态预期!G98="",0,求节点($C$114:$C$122,E$114:E$122,基础状态预期!L98)*基础状态预期!G98+求节点($C$124:$C$132,E$124:E$132,基础状态预期!$O98)*基础状态预期!$J98)</f>
        <v>0</v>
      </c>
      <c r="V85" s="29">
        <f>IF(基础状态预期!H98="",0,求节点($C$114:$C$122,F$114:F$122,基础状态预期!M98)*基础状态预期!H98+求节点($C$124:$C$132,F$124:F$132,基础状态预期!$O98)*基础状态预期!$J98)</f>
        <v>0</v>
      </c>
      <c r="W85" s="148">
        <f>IF(基础状态预期!I98="",0,求节点($C$114:$C$122,G$114:G$122,基础状态预期!N98)*基础状态预期!I98)+IF(基础状态预期!O98="",0,求节点($C$124:$C$132,G$124:G$132,基础状态预期!$O98)*基础状态预期!$J98)</f>
        <v>54</v>
      </c>
      <c r="X85" s="29">
        <f>IF(基础状态预期!J98="",0,求节点($C$114:$C$122,H$114:H$122,基础状态预期!O98)*基础状态预期!J98+求节点($C$124:$C$132,H$124:H$132,基础状态预期!$O98)*基础状态预期!$J98)</f>
        <v>0</v>
      </c>
      <c r="Y85" s="14">
        <f>IF(基础状态预期!K98="",0,求节点($C$92:$C$100,D$92:D$100,基础状态预期!K98))</f>
        <v>0</v>
      </c>
      <c r="Z85" s="14">
        <f>IF(基础状态预期!L98="",0,求节点($C$92:$C$100,E$92:E$100,基础状态预期!L98))</f>
        <v>0</v>
      </c>
      <c r="AA85" s="14">
        <f>IF(基础状态预期!M98="",0,求节点($C$92:$C$100,F$92:F$100,基础状态预期!M98))</f>
        <v>0</v>
      </c>
      <c r="AB85" s="14">
        <f>IF(基础状态预期!N98="",0,求节点($C$92:$C$100,G$92:G$100,基础状态预期!N98))</f>
        <v>0</v>
      </c>
      <c r="AC85" s="14">
        <f>IF(基础状态预期!O98="",0,求节点($C$92:$C$100,H$92:H$100,基础状态预期!O98))</f>
        <v>3825000</v>
      </c>
      <c r="AD85" s="29">
        <f>MAX(SUMPRODUCT(Y85:AC85,基础状态预期!F98:J98),AD84)</f>
        <v>22950000</v>
      </c>
      <c r="AF85" s="29" t="str">
        <f>IF(基础状态预期!K98="","",基础状态预期!K98*D$59+D$58)</f>
        <v/>
      </c>
      <c r="AG85" s="29" t="str">
        <f>IF(基础状态预期!L98="","",基础状态预期!L98*E$59+E$58)</f>
        <v/>
      </c>
      <c r="AH85" s="29" t="str">
        <f>IF(基础状态预期!M98="","",基础状态预期!M98*F$59+F$58)</f>
        <v/>
      </c>
      <c r="AI85" s="29" t="str">
        <f>IF(基础状态预期!N98="","",基础状态预期!N98*G$59+G$58)</f>
        <v/>
      </c>
      <c r="AJ85" s="29">
        <f>IF(基础状态预期!O98="","",基础状态预期!O98*H$59+H$58)</f>
        <v>148</v>
      </c>
      <c r="AK85" s="29">
        <f>MAX(SUMPRODUCT(AF85:AJ85,基础状态预期!$F98:$J98)/SUM(基础状态预期!$F98:$J98),AK84)</f>
        <v>148</v>
      </c>
      <c r="AL85" s="29">
        <f>IF(基础状态预期!K98="",0,求节点($C$68:$C$76,D$68:D$76,基础状态预期!K98))</f>
        <v>0</v>
      </c>
      <c r="AM85" s="29">
        <f>IF(基础状态预期!L98="",0,求节点($C$68:$C$76,E$68:E$76,基础状态预期!L98))</f>
        <v>0</v>
      </c>
      <c r="AN85" s="29">
        <f>IF(基础状态预期!M98="",0,求节点($C$68:$C$76,F$68:F$76,基础状态预期!M98)*求节点(武将升级!$H$52:$H$54,武将升级!$J$52:$J$54,基础状态预期!W98))</f>
        <v>0</v>
      </c>
      <c r="AO85" s="29">
        <f>IF(基础状态预期!N98="",0,求节点($C$68:$C$76,G$68:G$76,基础状态预期!N98)*求节点(武将升级!$H$52:$H$54,武将升级!$J$52:$J$54,基础状态预期!X98))</f>
        <v>0</v>
      </c>
      <c r="AP85" s="29">
        <f>IF(基础状态预期!O98="",0,求节点($C$68:$C$76,H$68:H$76,基础状态预期!O98)*求节点(武将升级!$H$52:$H$54,武将升级!$J$52:$J$54,基础状态预期!Y98))</f>
        <v>1.1399999999999999</v>
      </c>
      <c r="AQ85" s="29">
        <f>MAX(SUMPRODUCT(AL85:AP85,基础状态预期!$F98:$J98)/SUM(基础状态预期!$F98:$J98),AQ84)</f>
        <v>1.1399999999999999</v>
      </c>
      <c r="AR85" s="29">
        <f>IF(基础状态预期!K98="",0,求节点($C$158:$C$166,D$158:D$166,基础状态预期!K98))</f>
        <v>0</v>
      </c>
      <c r="AS85" s="29">
        <f>IF(基础状态预期!L98="",0,求节点($C$158:$C$166,E$158:E$166,基础状态预期!L98))</f>
        <v>0</v>
      </c>
      <c r="AT85" s="29">
        <f>IF(基础状态预期!M98="",0,求节点($C$158:$C$166,F$158:F$166,基础状态预期!M98))</f>
        <v>0</v>
      </c>
      <c r="AU85" s="29">
        <f>IF(基础状态预期!N98="",0,求节点($C$158:$C$166,G$158:G$166,基础状态预期!N98))</f>
        <v>0</v>
      </c>
      <c r="AV85" s="29">
        <f>IF(基础状态预期!O98="",0,求节点($C$158:$C$166,H$158:H$166,基础状态预期!O98))</f>
        <v>0.8</v>
      </c>
      <c r="AW85" s="29">
        <f>MAX(SUMPRODUCT(AR85:AV85,基础状态预期!$F98:$J98)/SUM(基础状态预期!$F98:$J98),AW84)</f>
        <v>0.80000000000000016</v>
      </c>
      <c r="BJ85" s="29">
        <f t="shared" si="25"/>
        <v>153.01012120353457</v>
      </c>
      <c r="BK85" s="75">
        <f>武将数量星级阶位验证!AT88</f>
        <v>40597587.566340931</v>
      </c>
      <c r="BL85" s="75">
        <f>(AD85-AD84)*INDEX('[1]功能-付费相关'!$AR$6:$AR$165,BJ85,1)+BL84</f>
        <v>22771.119957274819</v>
      </c>
    </row>
    <row r="86" spans="2:69" x14ac:dyDescent="0.15">
      <c r="B86" s="170"/>
      <c r="C86" s="29">
        <v>6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M86" s="72">
        <v>41</v>
      </c>
      <c r="N86" s="29">
        <f>基础状态预期!D99</f>
        <v>154.95970315183646</v>
      </c>
      <c r="O86" s="29">
        <f>IF(基础状态预期!F99="",0,求节点($C$104:$C$112,D$104:D$112,基础状态预期!K99))</f>
        <v>0</v>
      </c>
      <c r="P86" s="29">
        <f>IF(基础状态预期!G99="",0,求节点($C$104:$C$112,E$104:E$112,基础状态预期!L99))</f>
        <v>0</v>
      </c>
      <c r="Q86" s="29">
        <f>IF(基础状态预期!H99="",0,求节点($C$104:$C$112,F$104:F$112,基础状态预期!M99))</f>
        <v>0</v>
      </c>
      <c r="R86" s="29">
        <f>IF(基础状态预期!I99="",0,求节点($C$104:$C$112,G$104:G$112,基础状态预期!N99))</f>
        <v>0</v>
      </c>
      <c r="S86" s="29">
        <f>IF(基础状态预期!J99="",0,求节点($C$104:$C$112,H$104:H$112,基础状态预期!O99))</f>
        <v>18</v>
      </c>
      <c r="T86" s="29">
        <f>IF(基础状态预期!F99="",0,求节点($C$114:$C$122,D$114:D$122,基础状态预期!K99)*基础状态预期!F99+求节点($C$124:$C$132,D$124:D$132,基础状态预期!$O99)*基础状态预期!$J99)</f>
        <v>0</v>
      </c>
      <c r="U86" s="29">
        <f>IF(基础状态预期!G99="",0,求节点($C$114:$C$122,E$114:E$122,基础状态预期!L99)*基础状态预期!G99+求节点($C$124:$C$132,E$124:E$132,基础状态预期!$O99)*基础状态预期!$J99)</f>
        <v>0</v>
      </c>
      <c r="V86" s="29">
        <f>IF(基础状态预期!H99="",0,求节点($C$114:$C$122,F$114:F$122,基础状态预期!M99)*基础状态预期!H99+求节点($C$124:$C$132,F$124:F$132,基础状态预期!$O99)*基础状态预期!$J99)</f>
        <v>0</v>
      </c>
      <c r="W86" s="148">
        <f>IF(基础状态预期!I99="",0,求节点($C$114:$C$122,G$114:G$122,基础状态预期!N99)*基础状态预期!I99)+IF(基础状态预期!O99="",0,求节点($C$124:$C$132,G$124:G$132,基础状态预期!$O99)*基础状态预期!$J99)</f>
        <v>54</v>
      </c>
      <c r="X86" s="29">
        <f>IF(基础状态预期!J99="",0,求节点($C$114:$C$122,H$114:H$122,基础状态预期!O99)*基础状态预期!J99+求节点($C$124:$C$132,H$124:H$132,基础状态预期!$O99)*基础状态预期!$J99)</f>
        <v>0</v>
      </c>
      <c r="Y86" s="14">
        <f>IF(基础状态预期!K99="",0,求节点($C$92:$C$100,D$92:D$100,基础状态预期!K99))</f>
        <v>0</v>
      </c>
      <c r="Z86" s="14">
        <f>IF(基础状态预期!L99="",0,求节点($C$92:$C$100,E$92:E$100,基础状态预期!L99))</f>
        <v>0</v>
      </c>
      <c r="AA86" s="14">
        <f>IF(基础状态预期!M99="",0,求节点($C$92:$C$100,F$92:F$100,基础状态预期!M99))</f>
        <v>0</v>
      </c>
      <c r="AB86" s="14">
        <f>IF(基础状态预期!N99="",0,求节点($C$92:$C$100,G$92:G$100,基础状态预期!N99))</f>
        <v>0</v>
      </c>
      <c r="AC86" s="14">
        <f>IF(基础状态预期!O99="",0,求节点($C$92:$C$100,H$92:H$100,基础状态预期!O99))</f>
        <v>3825000</v>
      </c>
      <c r="AD86" s="29">
        <f>MAX(SUMPRODUCT(Y86:AC86,基础状态预期!F99:J99),AD85)</f>
        <v>22950000</v>
      </c>
      <c r="AF86" s="29" t="str">
        <f>IF(基础状态预期!K99="","",基础状态预期!K99*D$59+D$58)</f>
        <v/>
      </c>
      <c r="AG86" s="29" t="str">
        <f>IF(基础状态预期!L99="","",基础状态预期!L99*E$59+E$58)</f>
        <v/>
      </c>
      <c r="AH86" s="29" t="str">
        <f>IF(基础状态预期!M99="","",基础状态预期!M99*F$59+F$58)</f>
        <v/>
      </c>
      <c r="AI86" s="29" t="str">
        <f>IF(基础状态预期!N99="","",基础状态预期!N99*G$59+G$58)</f>
        <v/>
      </c>
      <c r="AJ86" s="29">
        <f>IF(基础状态预期!O99="","",基础状态预期!O99*H$59+H$58)</f>
        <v>148</v>
      </c>
      <c r="AK86" s="29">
        <f>MAX(SUMPRODUCT(AF86:AJ86,基础状态预期!$F99:$J99)/SUM(基础状态预期!$F99:$J99),AK85)</f>
        <v>148</v>
      </c>
      <c r="AL86" s="29">
        <f>IF(基础状态预期!K99="",0,求节点($C$68:$C$76,D$68:D$76,基础状态预期!K99))</f>
        <v>0</v>
      </c>
      <c r="AM86" s="29">
        <f>IF(基础状态预期!L99="",0,求节点($C$68:$C$76,E$68:E$76,基础状态预期!L99))</f>
        <v>0</v>
      </c>
      <c r="AN86" s="29">
        <f>IF(基础状态预期!M99="",0,求节点($C$68:$C$76,F$68:F$76,基础状态预期!M99)*求节点(武将升级!$H$52:$H$54,武将升级!$J$52:$J$54,基础状态预期!W99))</f>
        <v>0</v>
      </c>
      <c r="AO86" s="29">
        <f>IF(基础状态预期!N99="",0,求节点($C$68:$C$76,G$68:G$76,基础状态预期!N99)*求节点(武将升级!$H$52:$H$54,武将升级!$J$52:$J$54,基础状态预期!X99))</f>
        <v>0</v>
      </c>
      <c r="AP86" s="29">
        <f>IF(基础状态预期!O99="",0,求节点($C$68:$C$76,H$68:H$76,基础状态预期!O99)*求节点(武将升级!$H$52:$H$54,武将升级!$J$52:$J$54,基础状态预期!Y99))</f>
        <v>1.1399999999999999</v>
      </c>
      <c r="AQ86" s="29">
        <f>MAX(SUMPRODUCT(AL86:AP86,基础状态预期!$F99:$J99)/SUM(基础状态预期!$F99:$J99),AQ85)</f>
        <v>1.1399999999999999</v>
      </c>
      <c r="AR86" s="29">
        <f>IF(基础状态预期!K99="",0,求节点($C$158:$C$166,D$158:D$166,基础状态预期!K99))</f>
        <v>0</v>
      </c>
      <c r="AS86" s="29">
        <f>IF(基础状态预期!L99="",0,求节点($C$158:$C$166,E$158:E$166,基础状态预期!L99))</f>
        <v>0</v>
      </c>
      <c r="AT86" s="29">
        <f>IF(基础状态预期!M99="",0,求节点($C$158:$C$166,F$158:F$166,基础状态预期!M99))</f>
        <v>0</v>
      </c>
      <c r="AU86" s="29">
        <f>IF(基础状态预期!N99="",0,求节点($C$158:$C$166,G$158:G$166,基础状态预期!N99))</f>
        <v>0</v>
      </c>
      <c r="AV86" s="29">
        <f>IF(基础状态预期!O99="",0,求节点($C$158:$C$166,H$158:H$166,基础状态预期!O99))</f>
        <v>0.8</v>
      </c>
      <c r="AW86" s="29">
        <f>MAX(SUMPRODUCT(AR86:AV86,基础状态预期!$F99:$J99)/SUM(基础状态预期!$F99:$J99),AW85)</f>
        <v>0.80000000000000016</v>
      </c>
      <c r="BJ86" s="29">
        <f t="shared" si="25"/>
        <v>154.95970315183646</v>
      </c>
      <c r="BK86" s="75">
        <f>武将数量星级阶位验证!AT89</f>
        <v>50707740.09835165</v>
      </c>
      <c r="BL86" s="75">
        <f>(AD86-AD85)*INDEX('[1]功能-付费相关'!$AR$6:$AR$165,BJ86,1)+BL85</f>
        <v>22771.119957274819</v>
      </c>
    </row>
    <row r="87" spans="2:69" x14ac:dyDescent="0.15">
      <c r="B87" s="170"/>
      <c r="C87" s="29">
        <v>7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M87" s="72">
        <v>42</v>
      </c>
      <c r="N87" s="29">
        <f>基础状态预期!D100</f>
        <v>157.63974470288184</v>
      </c>
      <c r="O87" s="29">
        <f>IF(基础状态预期!F100="",0,求节点($C$104:$C$112,D$104:D$112,基础状态预期!K100))</f>
        <v>0</v>
      </c>
      <c r="P87" s="29">
        <f>IF(基础状态预期!G100="",0,求节点($C$104:$C$112,E$104:E$112,基础状态预期!L100))</f>
        <v>0</v>
      </c>
      <c r="Q87" s="29">
        <f>IF(基础状态预期!H100="",0,求节点($C$104:$C$112,F$104:F$112,基础状态预期!M100))</f>
        <v>0</v>
      </c>
      <c r="R87" s="29">
        <f>IF(基础状态预期!I100="",0,求节点($C$104:$C$112,G$104:G$112,基础状态预期!N100))</f>
        <v>0</v>
      </c>
      <c r="S87" s="29">
        <f>IF(基础状态预期!J100="",0,求节点($C$104:$C$112,H$104:H$112,基础状态预期!O100))</f>
        <v>18</v>
      </c>
      <c r="T87" s="29">
        <f>IF(基础状态预期!F100="",0,求节点($C$114:$C$122,D$114:D$122,基础状态预期!K100)*基础状态预期!F100+求节点($C$124:$C$132,D$124:D$132,基础状态预期!$O100)*基础状态预期!$J100)</f>
        <v>0</v>
      </c>
      <c r="U87" s="29">
        <f>IF(基础状态预期!G100="",0,求节点($C$114:$C$122,E$114:E$122,基础状态预期!L100)*基础状态预期!G100+求节点($C$124:$C$132,E$124:E$132,基础状态预期!$O100)*基础状态预期!$J100)</f>
        <v>0</v>
      </c>
      <c r="V87" s="29">
        <f>IF(基础状态预期!H100="",0,求节点($C$114:$C$122,F$114:F$122,基础状态预期!M100)*基础状态预期!H100+求节点($C$124:$C$132,F$124:F$132,基础状态预期!$O100)*基础状态预期!$J100)</f>
        <v>0</v>
      </c>
      <c r="W87" s="148">
        <f>IF(基础状态预期!I100="",0,求节点($C$114:$C$122,G$114:G$122,基础状态预期!N100)*基础状态预期!I100)+IF(基础状态预期!O100="",0,求节点($C$124:$C$132,G$124:G$132,基础状态预期!$O100)*基础状态预期!$J100)</f>
        <v>54</v>
      </c>
      <c r="X87" s="29">
        <f>IF(基础状态预期!J100="",0,求节点($C$114:$C$122,H$114:H$122,基础状态预期!O100)*基础状态预期!J100+求节点($C$124:$C$132,H$124:H$132,基础状态预期!$O100)*基础状态预期!$J100)</f>
        <v>0</v>
      </c>
      <c r="Y87" s="14">
        <f>IF(基础状态预期!K100="",0,求节点($C$92:$C$100,D$92:D$100,基础状态预期!K100))</f>
        <v>0</v>
      </c>
      <c r="Z87" s="14">
        <f>IF(基础状态预期!L100="",0,求节点($C$92:$C$100,E$92:E$100,基础状态预期!L100))</f>
        <v>0</v>
      </c>
      <c r="AA87" s="14">
        <f>IF(基础状态预期!M100="",0,求节点($C$92:$C$100,F$92:F$100,基础状态预期!M100))</f>
        <v>0</v>
      </c>
      <c r="AB87" s="14">
        <f>IF(基础状态预期!N100="",0,求节点($C$92:$C$100,G$92:G$100,基础状态预期!N100))</f>
        <v>0</v>
      </c>
      <c r="AC87" s="14">
        <f>IF(基础状态预期!O100="",0,求节点($C$92:$C$100,H$92:H$100,基础状态预期!O100))</f>
        <v>3825000</v>
      </c>
      <c r="AD87" s="29">
        <f>MAX(SUMPRODUCT(Y87:AC87,基础状态预期!F100:J100),AD86)</f>
        <v>22950000</v>
      </c>
      <c r="AF87" s="29" t="str">
        <f>IF(基础状态预期!K100="","",基础状态预期!K100*D$59+D$58)</f>
        <v/>
      </c>
      <c r="AG87" s="29" t="str">
        <f>IF(基础状态预期!L100="","",基础状态预期!L100*E$59+E$58)</f>
        <v/>
      </c>
      <c r="AH87" s="29" t="str">
        <f>IF(基础状态预期!M100="","",基础状态预期!M100*F$59+F$58)</f>
        <v/>
      </c>
      <c r="AI87" s="29" t="str">
        <f>IF(基础状态预期!N100="","",基础状态预期!N100*G$59+G$58)</f>
        <v/>
      </c>
      <c r="AJ87" s="29">
        <f>IF(基础状态预期!O100="","",基础状态预期!O100*H$59+H$58)</f>
        <v>148</v>
      </c>
      <c r="AK87" s="29">
        <f>MAX(SUMPRODUCT(AF87:AJ87,基础状态预期!$F100:$J100)/SUM(基础状态预期!$F100:$J100),AK86)</f>
        <v>148</v>
      </c>
      <c r="AL87" s="29">
        <f>IF(基础状态预期!K100="",0,求节点($C$68:$C$76,D$68:D$76,基础状态预期!K100))</f>
        <v>0</v>
      </c>
      <c r="AM87" s="29">
        <f>IF(基础状态预期!L100="",0,求节点($C$68:$C$76,E$68:E$76,基础状态预期!L100))</f>
        <v>0</v>
      </c>
      <c r="AN87" s="29">
        <f>IF(基础状态预期!M100="",0,求节点($C$68:$C$76,F$68:F$76,基础状态预期!M100)*求节点(武将升级!$H$52:$H$54,武将升级!$J$52:$J$54,基础状态预期!W100))</f>
        <v>0</v>
      </c>
      <c r="AO87" s="29">
        <f>IF(基础状态预期!N100="",0,求节点($C$68:$C$76,G$68:G$76,基础状态预期!N100)*求节点(武将升级!$H$52:$H$54,武将升级!$J$52:$J$54,基础状态预期!X100))</f>
        <v>0</v>
      </c>
      <c r="AP87" s="29">
        <f>IF(基础状态预期!O100="",0,求节点($C$68:$C$76,H$68:H$76,基础状态预期!O100)*求节点(武将升级!$H$52:$H$54,武将升级!$J$52:$J$54,基础状态预期!Y100))</f>
        <v>1.1399999999999999</v>
      </c>
      <c r="AQ87" s="29">
        <f>MAX(SUMPRODUCT(AL87:AP87,基础状态预期!$F100:$J100)/SUM(基础状态预期!$F100:$J100),AQ86)</f>
        <v>1.1399999999999999</v>
      </c>
      <c r="AR87" s="29">
        <f>IF(基础状态预期!K100="",0,求节点($C$158:$C$166,D$158:D$166,基础状态预期!K100))</f>
        <v>0</v>
      </c>
      <c r="AS87" s="29">
        <f>IF(基础状态预期!L100="",0,求节点($C$158:$C$166,E$158:E$166,基础状态预期!L100))</f>
        <v>0</v>
      </c>
      <c r="AT87" s="29">
        <f>IF(基础状态预期!M100="",0,求节点($C$158:$C$166,F$158:F$166,基础状态预期!M100))</f>
        <v>0</v>
      </c>
      <c r="AU87" s="29">
        <f>IF(基础状态预期!N100="",0,求节点($C$158:$C$166,G$158:G$166,基础状态预期!N100))</f>
        <v>0</v>
      </c>
      <c r="AV87" s="29">
        <f>IF(基础状态预期!O100="",0,求节点($C$158:$C$166,H$158:H$166,基础状态预期!O100))</f>
        <v>0.8</v>
      </c>
      <c r="AW87" s="29">
        <f>MAX(SUMPRODUCT(AR87:AV87,基础状态预期!$F100:$J100)/SUM(基础状态预期!$F100:$J100),AW86)</f>
        <v>0.80000000000000016</v>
      </c>
      <c r="BJ87" s="29">
        <f t="shared" si="25"/>
        <v>157.63974470288184</v>
      </c>
      <c r="BK87" s="75">
        <f>武将数量星级阶位验证!AT90</f>
        <v>63095498.869196452</v>
      </c>
      <c r="BL87" s="75">
        <f>(AD87-AD86)*INDEX('[1]功能-付费相关'!$AR$6:$AR$165,BJ87,1)+BL86</f>
        <v>22771.119957274819</v>
      </c>
    </row>
    <row r="88" spans="2:69" x14ac:dyDescent="0.15">
      <c r="B88" s="171"/>
      <c r="C88" s="29">
        <v>8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M88" s="72">
        <v>43</v>
      </c>
    </row>
    <row r="89" spans="2:69" x14ac:dyDescent="0.15">
      <c r="L89" s="78"/>
      <c r="M89" s="72">
        <v>44</v>
      </c>
    </row>
    <row r="90" spans="2:69" x14ac:dyDescent="0.15">
      <c r="M90" s="72">
        <v>45</v>
      </c>
    </row>
    <row r="91" spans="2:69" x14ac:dyDescent="0.15">
      <c r="B91" s="169" t="s">
        <v>375</v>
      </c>
      <c r="C91" s="14" t="s">
        <v>175</v>
      </c>
      <c r="D91" s="29" t="s">
        <v>3</v>
      </c>
      <c r="E91" s="29" t="s">
        <v>1</v>
      </c>
      <c r="F91" s="29" t="s">
        <v>2</v>
      </c>
      <c r="G91" s="29" t="s">
        <v>0</v>
      </c>
      <c r="H91" s="14" t="s">
        <v>545</v>
      </c>
      <c r="I91" s="14" t="s">
        <v>30</v>
      </c>
      <c r="M91" s="72">
        <v>1</v>
      </c>
    </row>
    <row r="92" spans="2:69" x14ac:dyDescent="0.15">
      <c r="B92" s="170"/>
      <c r="C92" s="14">
        <v>0</v>
      </c>
      <c r="D92" s="29">
        <f>SUM(D$46:D46)</f>
        <v>0</v>
      </c>
      <c r="E92" s="29">
        <f>SUM(E$46:E46)</f>
        <v>0</v>
      </c>
      <c r="F92" s="29">
        <f>SUM(F$46:F46)</f>
        <v>0</v>
      </c>
      <c r="G92" s="29">
        <f>SUM(G$46:G46)</f>
        <v>0</v>
      </c>
      <c r="H92" s="29">
        <f>SUM(H$46:H46)</f>
        <v>0</v>
      </c>
      <c r="I92" s="29">
        <f>SUM(I$46:I46)</f>
        <v>0</v>
      </c>
      <c r="M92" s="72">
        <v>2</v>
      </c>
      <c r="N92" s="14" t="s">
        <v>184</v>
      </c>
      <c r="O92" s="161" t="s">
        <v>201</v>
      </c>
      <c r="P92" s="162"/>
      <c r="Q92" s="162"/>
      <c r="R92" s="162"/>
      <c r="S92" s="163"/>
      <c r="T92" s="161" t="s">
        <v>544</v>
      </c>
      <c r="U92" s="162"/>
      <c r="V92" s="162"/>
      <c r="W92" s="162"/>
      <c r="X92" s="162"/>
      <c r="Y92" s="160" t="s">
        <v>411</v>
      </c>
      <c r="Z92" s="160"/>
      <c r="AA92" s="160"/>
      <c r="AB92" s="160"/>
      <c r="AC92" s="160"/>
      <c r="AD92" s="160"/>
      <c r="AF92" s="161" t="s">
        <v>152</v>
      </c>
      <c r="AG92" s="162"/>
      <c r="AH92" s="162"/>
      <c r="AI92" s="162"/>
      <c r="AJ92" s="162"/>
      <c r="AK92" s="163"/>
      <c r="AL92" s="161" t="s">
        <v>197</v>
      </c>
      <c r="AM92" s="162"/>
      <c r="AN92" s="162"/>
      <c r="AO92" s="162"/>
      <c r="AP92" s="162"/>
      <c r="AQ92" s="163"/>
      <c r="AR92" s="161" t="s">
        <v>732</v>
      </c>
      <c r="AS92" s="162"/>
      <c r="AT92" s="162"/>
      <c r="AU92" s="162"/>
      <c r="AV92" s="162"/>
      <c r="AW92" s="163"/>
      <c r="BA92" s="29" t="s">
        <v>98</v>
      </c>
      <c r="BB92" s="14" t="s">
        <v>292</v>
      </c>
      <c r="BC92" s="14"/>
      <c r="BD92" s="160" t="s">
        <v>342</v>
      </c>
      <c r="BE92" s="160"/>
      <c r="BF92" s="160"/>
      <c r="BJ92" s="14" t="s">
        <v>77</v>
      </c>
      <c r="BK92" s="164" t="s">
        <v>306</v>
      </c>
      <c r="BL92" s="164"/>
      <c r="BN92" s="29" t="s">
        <v>77</v>
      </c>
      <c r="BO92" s="164" t="s">
        <v>308</v>
      </c>
      <c r="BP92" s="164"/>
    </row>
    <row r="93" spans="2:69" x14ac:dyDescent="0.15">
      <c r="B93" s="170"/>
      <c r="C93" s="14">
        <v>1</v>
      </c>
      <c r="D93" s="29">
        <f>SUM(D$46:D47)</f>
        <v>1000</v>
      </c>
      <c r="E93" s="29">
        <f>SUM(E$46:E47)</f>
        <v>2000</v>
      </c>
      <c r="F93" s="29">
        <f>SUM(F$46:F47)</f>
        <v>5000</v>
      </c>
      <c r="G93" s="29">
        <f>SUM(G$46:G47)</f>
        <v>10000</v>
      </c>
      <c r="H93" s="29">
        <f>SUM(H$46:H47)</f>
        <v>15000</v>
      </c>
      <c r="I93" s="29">
        <f>SUM(I$46:I47)</f>
        <v>50000</v>
      </c>
      <c r="M93" s="72">
        <v>3</v>
      </c>
      <c r="N93" s="73" t="s">
        <v>478</v>
      </c>
      <c r="O93" s="19" t="s">
        <v>3</v>
      </c>
      <c r="P93" s="19" t="s">
        <v>1</v>
      </c>
      <c r="Q93" s="19" t="s">
        <v>2</v>
      </c>
      <c r="R93" s="19" t="s">
        <v>0</v>
      </c>
      <c r="S93" s="19" t="s">
        <v>545</v>
      </c>
      <c r="T93" s="19" t="s">
        <v>3</v>
      </c>
      <c r="U93" s="19" t="s">
        <v>1</v>
      </c>
      <c r="V93" s="19" t="s">
        <v>2</v>
      </c>
      <c r="W93" s="19" t="s">
        <v>0</v>
      </c>
      <c r="X93" s="19" t="s">
        <v>545</v>
      </c>
      <c r="Y93" s="29" t="s">
        <v>3</v>
      </c>
      <c r="Z93" s="29" t="s">
        <v>1</v>
      </c>
      <c r="AA93" s="29" t="s">
        <v>2</v>
      </c>
      <c r="AB93" s="29" t="s">
        <v>0</v>
      </c>
      <c r="AC93" s="29" t="s">
        <v>545</v>
      </c>
      <c r="AD93" s="29" t="s">
        <v>203</v>
      </c>
      <c r="AF93" s="29" t="s">
        <v>3</v>
      </c>
      <c r="AG93" s="29" t="s">
        <v>1</v>
      </c>
      <c r="AH93" s="29" t="s">
        <v>2</v>
      </c>
      <c r="AI93" s="29" t="s">
        <v>0</v>
      </c>
      <c r="AJ93" s="29" t="s">
        <v>545</v>
      </c>
      <c r="AK93" s="22" t="s">
        <v>206</v>
      </c>
      <c r="AL93" s="29" t="s">
        <v>3</v>
      </c>
      <c r="AM93" s="29" t="s">
        <v>1</v>
      </c>
      <c r="AN93" s="29" t="s">
        <v>2</v>
      </c>
      <c r="AO93" s="29" t="s">
        <v>0</v>
      </c>
      <c r="AP93" s="29" t="s">
        <v>545</v>
      </c>
      <c r="AQ93" s="29" t="s">
        <v>298</v>
      </c>
      <c r="AR93" s="29" t="s">
        <v>3</v>
      </c>
      <c r="AS93" s="29" t="s">
        <v>1</v>
      </c>
      <c r="AT93" s="29" t="s">
        <v>2</v>
      </c>
      <c r="AU93" s="29" t="s">
        <v>0</v>
      </c>
      <c r="AV93" s="29" t="s">
        <v>545</v>
      </c>
      <c r="AW93" s="29" t="s">
        <v>228</v>
      </c>
      <c r="BA93" s="73" t="s">
        <v>478</v>
      </c>
      <c r="BB93" s="29" t="s">
        <v>287</v>
      </c>
      <c r="BC93" s="29" t="s">
        <v>302</v>
      </c>
      <c r="BD93" s="29" t="s">
        <v>287</v>
      </c>
      <c r="BE93" s="29" t="s">
        <v>303</v>
      </c>
      <c r="BF93" s="75" t="s">
        <v>343</v>
      </c>
      <c r="BJ93" s="73" t="s">
        <v>478</v>
      </c>
      <c r="BK93" s="29" t="s">
        <v>304</v>
      </c>
      <c r="BL93" s="29" t="s">
        <v>335</v>
      </c>
      <c r="BN93" s="73" t="s">
        <v>478</v>
      </c>
      <c r="BO93" s="29" t="s">
        <v>304</v>
      </c>
      <c r="BP93" s="29" t="s">
        <v>305</v>
      </c>
      <c r="BQ93" s="29" t="s">
        <v>274</v>
      </c>
    </row>
    <row r="94" spans="2:69" x14ac:dyDescent="0.15">
      <c r="B94" s="170"/>
      <c r="C94" s="14">
        <v>2</v>
      </c>
      <c r="D94" s="29">
        <f>SUM(D$46:D48)</f>
        <v>3000</v>
      </c>
      <c r="E94" s="29">
        <f>SUM(E$46:E48)</f>
        <v>6000</v>
      </c>
      <c r="F94" s="29">
        <f>SUM(F$46:F48)</f>
        <v>15000</v>
      </c>
      <c r="G94" s="29">
        <f>SUM(G$46:G48)</f>
        <v>30000</v>
      </c>
      <c r="H94" s="29">
        <f>SUM(H$46:H48)</f>
        <v>45000</v>
      </c>
      <c r="I94" s="29">
        <f>SUM(I$46:I48)</f>
        <v>150000</v>
      </c>
      <c r="M94" s="72">
        <v>4</v>
      </c>
      <c r="N94" s="29">
        <f>基础状态预期!D107</f>
        <v>10.099965341977441</v>
      </c>
      <c r="O94" s="29">
        <f>IF(基础状态预期!F107="",0,求节点($C$104:$C$112,D$104:D$112,基础状态预期!K107))</f>
        <v>0</v>
      </c>
      <c r="P94" s="29">
        <f>IF(基础状态预期!G107="",0,求节点($C$104:$C$112,E$104:E$112,基础状态预期!L107))</f>
        <v>0</v>
      </c>
      <c r="Q94" s="29">
        <f>IF(基础状态预期!H107="",0,求节点($C$104:$C$112,F$104:F$112,基础状态预期!M107))</f>
        <v>1.9522979518488506</v>
      </c>
      <c r="R94" s="29">
        <f>IF(基础状态预期!I107="",0,求节点($C$104:$C$112,G$104:G$112,基础状态预期!N107))</f>
        <v>1</v>
      </c>
      <c r="S94" s="29">
        <f>IF(基础状态预期!J107="",0,求节点($C$104:$C$112,H$104:H$112,基础状态预期!O107))</f>
        <v>0</v>
      </c>
      <c r="T94" s="29">
        <f>IF(基础状态预期!F107="",0,求节点($C$114:$C$122,D$114:D$122,基础状态预期!K107)*基础状态预期!F107+求节点($C$124:$C$132,D$124:D$132,基础状态预期!$O107)*基础状态预期!$J107)</f>
        <v>0</v>
      </c>
      <c r="U94" s="29">
        <f>IF(基础状态预期!G107="",0,求节点($C$114:$C$122,E$114:E$122,基础状态预期!L107)*基础状态预期!G107+求节点($C$124:$C$132,E$124:E$132,基础状态预期!$O107)*基础状态预期!$J107)</f>
        <v>0</v>
      </c>
      <c r="V94" s="29">
        <f>IF(基础状态预期!H107="",0,求节点($C$114:$C$122,F$114:F$122,基础状态预期!M107)*基础状态预期!H107+求节点($C$124:$C$132,F$124:F$132,基础状态预期!$O107)*基础状态预期!$J107)</f>
        <v>0</v>
      </c>
      <c r="W94" s="148">
        <f>IF(基础状态预期!I107="",0,求节点($C$114:$C$122,G$114:G$122,基础状态预期!N107)*基础状态预期!I107)+IF(基础状态预期!O107="",0,求节点($C$124:$C$132,G$124:G$132,基础状态预期!$O107)*基础状态预期!$J107)</f>
        <v>0</v>
      </c>
      <c r="X94" s="29">
        <f>IF(基础状态预期!J107="",0,求节点($C$114:$C$122,H$114:H$122,基础状态预期!O107)*基础状态预期!J107+求节点($C$124:$C$132,H$124:H$132,基础状态预期!$O107)*基础状态预期!$J107)</f>
        <v>0</v>
      </c>
      <c r="Y94" s="14">
        <f>IF(基础状态预期!K107="",0,求节点($C$92:$C$100,D$92:D$100,基础状态预期!K107))</f>
        <v>0</v>
      </c>
      <c r="Z94" s="14">
        <f>IF(基础状态预期!L107="",0,求节点($C$92:$C$100,E$92:E$100,基础状态预期!L107))</f>
        <v>0</v>
      </c>
      <c r="AA94" s="14">
        <f>IF(基础状态预期!M107="",0,求节点($C$92:$C$100,F$92:F$100,基础状态预期!M107))</f>
        <v>4761.489759244253</v>
      </c>
      <c r="AB94" s="14">
        <f>IF(基础状态预期!N107="",0,求节点($C$92:$C$100,G$92:G$100,基础状态预期!N107))</f>
        <v>0</v>
      </c>
      <c r="AC94" s="14">
        <f>IF(基础状态预期!O107="",0,求节点($C$92:$C$100,H$92:H$100,基础状态预期!O107))</f>
        <v>0</v>
      </c>
      <c r="AD94" s="29">
        <f>MAX(SUMPRODUCT(Y94:AC94,基础状态预期!F107:J107),AD93)</f>
        <v>9522.9795184885061</v>
      </c>
      <c r="AF94" s="29" t="str">
        <f>IF(基础状态预期!K107="","",基础状态预期!K107*D$59+D$58)</f>
        <v/>
      </c>
      <c r="AG94" s="29" t="str">
        <f>IF(基础状态预期!L107="","",基础状态预期!L107*E$59+E$58)</f>
        <v/>
      </c>
      <c r="AH94" s="29">
        <f>IF(基础状态预期!M107="","",基础状态预期!M107*F$59+F$58)</f>
        <v>74.761489759244256</v>
      </c>
      <c r="AI94" s="29">
        <f>IF(基础状态预期!N107="","",基础状态预期!N107*G$59+G$58)</f>
        <v>85</v>
      </c>
      <c r="AJ94" s="29" t="str">
        <f>IF(基础状态预期!O107="","",基础状态预期!O107*H$59+H$58)</f>
        <v/>
      </c>
      <c r="AK94" s="29">
        <f>MAX(SUMPRODUCT(AF94:AJ94,基础状态预期!$F107:$J107)/SUM(基础状态预期!$F107:$J107),AK93)</f>
        <v>81.587163253081414</v>
      </c>
      <c r="AL94" s="29">
        <f>IF(基础状态预期!K107="",0,求节点($C$68:$C$76,D$68:D$76,基础状态预期!K107))</f>
        <v>0</v>
      </c>
      <c r="AM94" s="29">
        <f>IF(基础状态预期!L107="",0,求节点($C$68:$C$76,E$68:E$76,基础状态预期!L107))</f>
        <v>0</v>
      </c>
      <c r="AN94" s="29">
        <f>IF(基础状态预期!M107="",0,求节点($C$68:$C$76,F$68:F$76,基础状态预期!M107)*求节点(武将升级!$H$52:$H$54,武将升级!$J$52:$J$54,基础状态预期!W107))</f>
        <v>0.12313538444135876</v>
      </c>
      <c r="AO94" s="29">
        <f>IF(基础状态预期!N107="",0,求节点($C$68:$C$76,G$68:G$76,基础状态预期!N107)*求节点(武将升级!$H$52:$H$54,武将升级!$J$52:$J$54,基础状态预期!X107))</f>
        <v>0.18017993761555939</v>
      </c>
      <c r="AP94" s="29">
        <f>IF(基础状态预期!O107="",0,求节点($C$68:$C$76,H$68:H$76,基础状态预期!O107)*求节点(武将升级!$H$52:$H$54,武将升级!$J$52:$J$54,基础状态预期!Y107))</f>
        <v>0</v>
      </c>
      <c r="AQ94" s="29">
        <f>MAX(SUMPRODUCT(AL94:AP94,基础状态预期!$F107:$J107)/SUM(基础状态预期!$F107:$J107),AQ93)</f>
        <v>0.16116508655749251</v>
      </c>
      <c r="AR94" s="29">
        <f>IF(基础状态预期!K107="",0,求节点($C$158:$C$166,D$158:D$166,基础状态预期!K107))</f>
        <v>0</v>
      </c>
      <c r="AS94" s="29">
        <f>IF(基础状态预期!L107="",0,求节点($C$158:$C$166,E$158:E$166,基础状态预期!L107))</f>
        <v>0</v>
      </c>
      <c r="AT94" s="29">
        <f>IF(基础状态预期!M107="",0,求节点($C$158:$C$166,F$158:F$166,基础状态预期!M107))</f>
        <v>3.8091918073954026E-2</v>
      </c>
      <c r="AU94" s="29">
        <f>IF(基础状态预期!N107="",0,求节点($C$158:$C$166,G$158:G$166,基础状态预期!N107))</f>
        <v>0</v>
      </c>
      <c r="AV94" s="29">
        <f>IF(基础状态预期!O107="",0,求节点($C$158:$C$166,H$158:H$166,基础状态预期!O107))</f>
        <v>0</v>
      </c>
      <c r="AW94" s="29">
        <f>MAX(SUMPRODUCT(AR94:AV94,基础状态预期!$F107:$J107)/SUM(基础状态预期!$F107:$J107),AW93)</f>
        <v>1.2697306024651342E-2</v>
      </c>
      <c r="BA94" s="29">
        <v>10</v>
      </c>
      <c r="BB94" s="29">
        <f t="shared" ref="BB94:BB109" si="49">求节点($N$94:$N$132,$AK$94:$AK$132,$BA94)</f>
        <v>80.779646751844908</v>
      </c>
      <c r="BC94" s="29">
        <f t="shared" ref="BC94:BC109" si="50">求节点($N$4:$N$42,$AQ$94:$AQ$132,$BA94)</f>
        <v>0.16116508655749251</v>
      </c>
      <c r="BD94" s="41">
        <f>BB94*(INDEX([2]中r将兵属性验证!$V$7:$V$166,$BA94,1)+INDEX([2]中r将兵属性验证!$AP$7:$AP$166,$BA94,1))</f>
        <v>28252224.470275652</v>
      </c>
      <c r="BE94" s="41" t="e">
        <f>BC94*(INDEX([2]中r将兵属性验证!$AC$7:$AC$166,$BA94,1)*[2]战法技能效用!$AB$4+INDEX([2]中r将兵属性验证!$AX$7:$AX$166,$BA94,1)*[2]战法技能效用!$AC$4)</f>
        <v>#VALUE!</v>
      </c>
      <c r="BF94" s="75" t="e">
        <f t="shared" ref="BF94:BF95" si="51">SUM(BD94:BE94)</f>
        <v>#VALUE!</v>
      </c>
      <c r="BJ94" s="29">
        <f>$N94</f>
        <v>10.099965341977441</v>
      </c>
      <c r="BK94" s="75">
        <f>武将数量星级阶位验证!AT97</f>
        <v>16625.681566639654</v>
      </c>
      <c r="BL94" s="76">
        <f>AD94*INDEX('[1]功能-付费相关'!$AS$6:$AS$165,BJ94,1)</f>
        <v>23.807448796221266</v>
      </c>
      <c r="BN94" s="29">
        <v>10</v>
      </c>
      <c r="BO94" s="29">
        <f t="shared" ref="BO94:BO103" si="52">求节点($BJ$94:$BJ$132,BK$94:BK$132,$BN94)</f>
        <v>16461.127344209839</v>
      </c>
      <c r="BP94" s="29">
        <f t="shared" ref="BP94:BP103" si="53">求节点($BJ$94:$BJ$132,BL$94:BL$132,$BN94)</f>
        <v>23.571812367783906</v>
      </c>
      <c r="BQ94" s="29">
        <f>SUM(BO94:BP94)</f>
        <v>16484.699156577622</v>
      </c>
    </row>
    <row r="95" spans="2:69" x14ac:dyDescent="0.15">
      <c r="B95" s="170"/>
      <c r="C95" s="14">
        <v>3</v>
      </c>
      <c r="D95" s="29">
        <f>SUM(D$46:D49)</f>
        <v>7000</v>
      </c>
      <c r="E95" s="29">
        <f>SUM(E$46:E49)</f>
        <v>14000</v>
      </c>
      <c r="F95" s="29">
        <f>SUM(F$46:F49)</f>
        <v>35000</v>
      </c>
      <c r="G95" s="29">
        <f>SUM(G$46:G49)</f>
        <v>70000</v>
      </c>
      <c r="H95" s="29">
        <f>SUM(H$46:H49)</f>
        <v>105000</v>
      </c>
      <c r="I95" s="29">
        <f>SUM(I$46:I49)</f>
        <v>350000</v>
      </c>
      <c r="M95" s="72">
        <v>5</v>
      </c>
      <c r="N95" s="29">
        <f>基础状态预期!D108</f>
        <v>19.800198258084681</v>
      </c>
      <c r="O95" s="29">
        <f>IF(基础状态预期!F108="",0,求节点($C$104:$C$112,D$104:D$112,基础状态预期!K108))</f>
        <v>0</v>
      </c>
      <c r="P95" s="29">
        <f>IF(基础状态预期!G108="",0,求节点($C$104:$C$112,E$104:E$112,基础状态预期!L108))</f>
        <v>0</v>
      </c>
      <c r="Q95" s="29">
        <f>IF(基础状态预期!H108="",0,求节点($C$104:$C$112,F$104:F$112,基础状态预期!M108))</f>
        <v>0</v>
      </c>
      <c r="R95" s="29">
        <f>IF(基础状态预期!I108="",0,求节点($C$104:$C$112,G$104:G$112,基础状态预期!N108))</f>
        <v>1</v>
      </c>
      <c r="S95" s="29">
        <f>IF(基础状态预期!J108="",0,求节点($C$104:$C$112,H$104:H$112,基础状态预期!O108))</f>
        <v>0</v>
      </c>
      <c r="T95" s="29">
        <f>IF(基础状态预期!F108="",0,求节点($C$114:$C$122,D$114:D$122,基础状态预期!K108)*基础状态预期!F108+求节点($C$124:$C$132,D$124:D$132,基础状态预期!$O108)*基础状态预期!$J108)</f>
        <v>0</v>
      </c>
      <c r="U95" s="29">
        <f>IF(基础状态预期!G108="",0,求节点($C$114:$C$122,E$114:E$122,基础状态预期!L108)*基础状态预期!G108+求节点($C$124:$C$132,E$124:E$132,基础状态预期!$O108)*基础状态预期!$J108)</f>
        <v>0</v>
      </c>
      <c r="V95" s="29">
        <f>IF(基础状态预期!H108="",0,求节点($C$114:$C$122,F$114:F$122,基础状态预期!M108)*基础状态预期!H108+求节点($C$124:$C$132,F$124:F$132,基础状态预期!$O108)*基础状态预期!$J108)</f>
        <v>0</v>
      </c>
      <c r="W95" s="148">
        <f>IF(基础状态预期!I108="",0,求节点($C$114:$C$122,G$114:G$122,基础状态预期!N108)*基础状态预期!I108)+IF(基础状态预期!O108="",0,求节点($C$124:$C$132,G$124:G$132,基础状态预期!$O108)*基础状态预期!$J108)</f>
        <v>0</v>
      </c>
      <c r="X95" s="29">
        <f>IF(基础状态预期!J108="",0,求节点($C$114:$C$122,H$114:H$122,基础状态预期!O108)*基础状态预期!J108+求节点($C$124:$C$132,H$124:H$132,基础状态预期!$O108)*基础状态预期!$J108)</f>
        <v>0</v>
      </c>
      <c r="Y95" s="14">
        <f>IF(基础状态预期!K108="",0,求节点($C$92:$C$100,D$92:D$100,基础状态预期!K108))</f>
        <v>0</v>
      </c>
      <c r="Z95" s="14">
        <f>IF(基础状态预期!L108="",0,求节点($C$92:$C$100,E$92:E$100,基础状态预期!L108))</f>
        <v>0</v>
      </c>
      <c r="AA95" s="14">
        <f>IF(基础状态预期!M108="",0,求节点($C$92:$C$100,F$92:F$100,基础状态预期!M108))</f>
        <v>0</v>
      </c>
      <c r="AB95" s="14">
        <f>IF(基础状态预期!N108="",0,求节点($C$92:$C$100,G$92:G$100,基础状态预期!N108))</f>
        <v>0</v>
      </c>
      <c r="AC95" s="14">
        <f>IF(基础状态预期!O108="",0,求节点($C$92:$C$100,H$92:H$100,基础状态预期!O108))</f>
        <v>0</v>
      </c>
      <c r="AD95" s="29">
        <f>MAX(SUMPRODUCT(Y95:AC95,基础状态预期!F108:J108),AD94)</f>
        <v>9522.9795184885061</v>
      </c>
      <c r="AF95" s="29" t="str">
        <f>IF(基础状态预期!K108="","",基础状态预期!K108*D$59+D$58)</f>
        <v/>
      </c>
      <c r="AG95" s="29" t="str">
        <f>IF(基础状态预期!L108="","",基础状态预期!L108*E$59+E$58)</f>
        <v/>
      </c>
      <c r="AH95" s="29" t="str">
        <f>IF(基础状态预期!M108="","",基础状态预期!M108*F$59+F$58)</f>
        <v/>
      </c>
      <c r="AI95" s="29">
        <f>IF(基础状态预期!N108="","",基础状态预期!N108*G$59+G$58)</f>
        <v>85</v>
      </c>
      <c r="AJ95" s="29" t="str">
        <f>IF(基础状态预期!O108="","",基础状态预期!O108*H$59+H$58)</f>
        <v/>
      </c>
      <c r="AK95" s="29">
        <f>MAX(SUMPRODUCT(AF95:AJ95,基础状态预期!$F108:$J108)/SUM(基础状态预期!$F108:$J108),AK94)</f>
        <v>85</v>
      </c>
      <c r="AL95" s="29">
        <f>IF(基础状态预期!K108="",0,求节点($C$68:$C$76,D$68:D$76,基础状态预期!K108))</f>
        <v>0</v>
      </c>
      <c r="AM95" s="29">
        <f>IF(基础状态预期!L108="",0,求节点($C$68:$C$76,E$68:E$76,基础状态预期!L108))</f>
        <v>0</v>
      </c>
      <c r="AN95" s="29">
        <f>IF(基础状态预期!M108="",0,求节点($C$68:$C$76,F$68:F$76,基础状态预期!M108)*求节点(武将升级!$H$52:$H$54,武将升级!$J$52:$J$54,基础状态预期!W108))</f>
        <v>0</v>
      </c>
      <c r="AO95" s="29">
        <f>IF(基础状态预期!N108="",0,求节点($C$68:$C$76,G$68:G$76,基础状态预期!N108)*求节点(武将升级!$H$52:$H$54,武将升级!$J$52:$J$54,基础状态预期!X108))</f>
        <v>0.19764035686455245</v>
      </c>
      <c r="AP95" s="29">
        <f>IF(基础状态预期!O108="",0,求节点($C$68:$C$76,H$68:H$76,基础状态预期!O108)*求节点(武将升级!$H$52:$H$54,武将升级!$J$52:$J$54,基础状态预期!Y108))</f>
        <v>0</v>
      </c>
      <c r="AQ95" s="29">
        <f>MAX(SUMPRODUCT(AL95:AP95,基础状态预期!$F108:$J108)/SUM(基础状态预期!$F108:$J108),AQ94)</f>
        <v>0.19764035686455247</v>
      </c>
      <c r="AR95" s="29">
        <f>IF(基础状态预期!K108="",0,求节点($C$158:$C$166,D$158:D$166,基础状态预期!K108))</f>
        <v>0</v>
      </c>
      <c r="AS95" s="29">
        <f>IF(基础状态预期!L108="",0,求节点($C$158:$C$166,E$158:E$166,基础状态预期!L108))</f>
        <v>0</v>
      </c>
      <c r="AT95" s="29">
        <f>IF(基础状态预期!M108="",0,求节点($C$158:$C$166,F$158:F$166,基础状态预期!M108))</f>
        <v>0</v>
      </c>
      <c r="AU95" s="29">
        <f>IF(基础状态预期!N108="",0,求节点($C$158:$C$166,G$158:G$166,基础状态预期!N108))</f>
        <v>0</v>
      </c>
      <c r="AV95" s="29">
        <f>IF(基础状态预期!O108="",0,求节点($C$158:$C$166,H$158:H$166,基础状态预期!O108))</f>
        <v>0</v>
      </c>
      <c r="AW95" s="29">
        <f>MAX(SUMPRODUCT(AR95:AV95,基础状态预期!$F108:$J108)/SUM(基础状态预期!$F108:$J108),AW94)</f>
        <v>1.2697306024651342E-2</v>
      </c>
      <c r="BA95" s="29">
        <v>20</v>
      </c>
      <c r="BB95" s="29">
        <f t="shared" si="49"/>
        <v>85.059423817876635</v>
      </c>
      <c r="BC95" s="29">
        <f t="shared" si="50"/>
        <v>0.19764035686455247</v>
      </c>
      <c r="BD95" s="29">
        <f>(BB95-BB94)*(INDEX([2]中r将兵属性验证!$V$7:$V$166,$BA95,1)+INDEX([2]中r将兵属性验证!$AP$7:$AP$166,$BA95,1))+BD94</f>
        <v>33774682.119179659</v>
      </c>
      <c r="BE95" s="29" t="e">
        <f>(BC95-BC94)*(INDEX([2]中r将兵属性验证!$AC$7:$AC$166,$BA95,1)*[2]战法技能效用!$AB$4+INDEX([2]中r将兵属性验证!$AX$7:$AX$166,$BA95,1)*[2]战法技能效用!$AC$4)+BE94</f>
        <v>#VALUE!</v>
      </c>
      <c r="BF95" s="75" t="e">
        <f t="shared" si="51"/>
        <v>#VALUE!</v>
      </c>
      <c r="BJ95" s="29">
        <f t="shared" ref="BJ95:BJ132" si="54">$N95</f>
        <v>19.800198258084681</v>
      </c>
      <c r="BK95" s="75">
        <f>武将数量星级阶位验证!AT98</f>
        <v>35230.680708718755</v>
      </c>
      <c r="BL95" s="75">
        <f>(AD95-AD94)*INDEX('[1]功能-付费相关'!$AS$6:$AS$165,BJ95,1)+BL94</f>
        <v>23.807448796221266</v>
      </c>
      <c r="BN95" s="29">
        <v>20</v>
      </c>
      <c r="BO95" s="29">
        <f t="shared" si="52"/>
        <v>35771.437859440535</v>
      </c>
      <c r="BP95" s="29">
        <f t="shared" si="53"/>
        <v>24.692372909379632</v>
      </c>
      <c r="BQ95" s="29">
        <f t="shared" ref="BQ95:BQ103" si="55">SUM(BO95:BP95)</f>
        <v>35796.130232349919</v>
      </c>
    </row>
    <row r="96" spans="2:69" x14ac:dyDescent="0.15">
      <c r="B96" s="170"/>
      <c r="C96" s="14">
        <v>4</v>
      </c>
      <c r="D96" s="29">
        <f>SUM(D$46:D50)</f>
        <v>15000</v>
      </c>
      <c r="E96" s="29">
        <f>SUM(E$46:E50)</f>
        <v>30000</v>
      </c>
      <c r="F96" s="29">
        <f>SUM(F$46:F50)</f>
        <v>75000</v>
      </c>
      <c r="G96" s="29">
        <f>SUM(G$46:G50)</f>
        <v>150000</v>
      </c>
      <c r="H96" s="29">
        <f>SUM(H$46:H50)</f>
        <v>225000</v>
      </c>
      <c r="I96" s="29">
        <f>SUM(I$46:I50)</f>
        <v>750000</v>
      </c>
      <c r="M96" s="72">
        <v>6</v>
      </c>
      <c r="N96" s="29">
        <f>基础状态预期!D109</f>
        <v>27.769105021676069</v>
      </c>
      <c r="O96" s="29">
        <f>IF(基础状态预期!F109="",0,求节点($C$104:$C$112,D$104:D$112,基础状态预期!K109))</f>
        <v>0</v>
      </c>
      <c r="P96" s="29">
        <f>IF(基础状态预期!G109="",0,求节点($C$104:$C$112,E$104:E$112,基础状态预期!L109))</f>
        <v>0</v>
      </c>
      <c r="Q96" s="29">
        <f>IF(基础状态预期!H109="",0,求节点($C$104:$C$112,F$104:F$112,基础状态预期!M109))</f>
        <v>0</v>
      </c>
      <c r="R96" s="29">
        <f>IF(基础状态预期!I109="",0,求节点($C$104:$C$112,G$104:G$112,基础状态预期!N109))</f>
        <v>1.4740127484936845</v>
      </c>
      <c r="S96" s="29">
        <f>IF(基础状态预期!J109="",0,求节点($C$104:$C$112,H$104:H$112,基础状态预期!O109))</f>
        <v>0</v>
      </c>
      <c r="T96" s="29">
        <f>IF(基础状态预期!F109="",0,求节点($C$114:$C$122,D$114:D$122,基础状态预期!K109)*基础状态预期!F109+求节点($C$124:$C$132,D$124:D$132,基础状态预期!$O109)*基础状态预期!$J109)</f>
        <v>0</v>
      </c>
      <c r="U96" s="29">
        <f>IF(基础状态预期!G109="",0,求节点($C$114:$C$122,E$114:E$122,基础状态预期!L109)*基础状态预期!G109+求节点($C$124:$C$132,E$124:E$132,基础状态预期!$O109)*基础状态预期!$J109)</f>
        <v>0</v>
      </c>
      <c r="V96" s="29">
        <f>IF(基础状态预期!H109="",0,求节点($C$114:$C$122,F$114:F$122,基础状态预期!M109)*基础状态预期!H109+求节点($C$124:$C$132,F$124:F$132,基础状态预期!$O109)*基础状态预期!$J109)</f>
        <v>0</v>
      </c>
      <c r="W96" s="148">
        <f>IF(基础状态预期!I109="",0,求节点($C$114:$C$122,G$114:G$122,基础状态预期!N109)*基础状态预期!I109)+IF(基础状态预期!O109="",0,求节点($C$124:$C$132,G$124:G$132,基础状态预期!$O109)*基础状态预期!$J109)</f>
        <v>0</v>
      </c>
      <c r="X96" s="29">
        <f>IF(基础状态预期!J109="",0,求节点($C$114:$C$122,H$114:H$122,基础状态预期!O109)*基础状态预期!J109+求节点($C$124:$C$132,H$124:H$132,基础状态预期!$O109)*基础状态预期!$J109)</f>
        <v>0</v>
      </c>
      <c r="Y96" s="14">
        <f>IF(基础状态预期!K109="",0,求节点($C$92:$C$100,D$92:D$100,基础状态预期!K109))</f>
        <v>0</v>
      </c>
      <c r="Z96" s="14">
        <f>IF(基础状态预期!L109="",0,求节点($C$92:$C$100,E$92:E$100,基础状态预期!L109))</f>
        <v>0</v>
      </c>
      <c r="AA96" s="14">
        <f>IF(基础状态预期!M109="",0,求节点($C$92:$C$100,F$92:F$100,基础状态预期!M109))</f>
        <v>0</v>
      </c>
      <c r="AB96" s="14">
        <f>IF(基础状态预期!N109="",0,求节点($C$92:$C$100,G$92:G$100,基础状态预期!N109))</f>
        <v>4740.1274849368447</v>
      </c>
      <c r="AC96" s="14">
        <f>IF(基础状态预期!O109="",0,求节点($C$92:$C$100,H$92:H$100,基础状态预期!O109))</f>
        <v>0</v>
      </c>
      <c r="AD96" s="29">
        <f>MAX(SUMPRODUCT(Y96:AC96,基础状态预期!F109:J109),AD95)</f>
        <v>28440.764909621066</v>
      </c>
      <c r="AF96" s="29" t="str">
        <f>IF(基础状态预期!K109="","",基础状态预期!K109*D$59+D$58)</f>
        <v/>
      </c>
      <c r="AG96" s="29" t="str">
        <f>IF(基础状态预期!L109="","",基础状态预期!L109*E$59+E$58)</f>
        <v/>
      </c>
      <c r="AH96" s="29" t="str">
        <f>IF(基础状态预期!M109="","",基础状态预期!M109*F$59+F$58)</f>
        <v/>
      </c>
      <c r="AI96" s="29">
        <f>IF(基础状态预期!N109="","",基础状态预期!N109*G$59+G$58)</f>
        <v>87.370063742468417</v>
      </c>
      <c r="AJ96" s="29" t="str">
        <f>IF(基础状态预期!O109="","",基础状态预期!O109*H$59+H$58)</f>
        <v/>
      </c>
      <c r="AK96" s="29">
        <f>MAX(SUMPRODUCT(AF96:AJ96,基础状态预期!$F109:$J109)/SUM(基础状态预期!$F109:$J109),AK95)</f>
        <v>87.370063742468417</v>
      </c>
      <c r="AL96" s="29">
        <f>IF(基础状态预期!K109="",0,求节点($C$68:$C$76,D$68:D$76,基础状态预期!K109))</f>
        <v>0</v>
      </c>
      <c r="AM96" s="29">
        <f>IF(基础状态预期!L109="",0,求节点($C$68:$C$76,E$68:E$76,基础状态预期!L109))</f>
        <v>0</v>
      </c>
      <c r="AN96" s="29">
        <f>IF(基础状态预期!M109="",0,求节点($C$68:$C$76,F$68:F$76,基础状态预期!M109)*求节点(武将升级!$H$52:$H$54,武将升级!$J$52:$J$54,基础状态预期!W109))</f>
        <v>0</v>
      </c>
      <c r="AO96" s="29">
        <f>IF(基础状态预期!N109="",0,求节点($C$68:$C$76,G$68:G$76,基础状态预期!N109)*求节点(武将升级!$H$52:$H$54,武将升级!$J$52:$J$54,基础状态预期!X109))</f>
        <v>0.24547882333439655</v>
      </c>
      <c r="AP96" s="29">
        <f>IF(基础状态预期!O109="",0,求节点($C$68:$C$76,H$68:H$76,基础状态预期!O109)*求节点(武将升级!$H$52:$H$54,武将升级!$J$52:$J$54,基础状态预期!Y109))</f>
        <v>0</v>
      </c>
      <c r="AQ96" s="29">
        <f>MAX(SUMPRODUCT(AL96:AP96,基础状态预期!$F109:$J109)/SUM(基础状态预期!$F109:$J109),AQ95)</f>
        <v>0.24547882333439655</v>
      </c>
      <c r="AR96" s="29">
        <f>IF(基础状态预期!K109="",0,求节点($C$158:$C$166,D$158:D$166,基础状态预期!K109))</f>
        <v>0</v>
      </c>
      <c r="AS96" s="29">
        <f>IF(基础状态预期!L109="",0,求节点($C$158:$C$166,E$158:E$166,基础状态预期!L109))</f>
        <v>0</v>
      </c>
      <c r="AT96" s="29">
        <f>IF(基础状态预期!M109="",0,求节点($C$158:$C$166,F$158:F$166,基础状态预期!M109))</f>
        <v>0</v>
      </c>
      <c r="AU96" s="29">
        <f>IF(基础状态预期!N109="",0,求节点($C$158:$C$166,G$158:G$166,基础状态预期!N109))</f>
        <v>3.3180892394557918E-2</v>
      </c>
      <c r="AV96" s="29">
        <f>IF(基础状态预期!O109="",0,求节点($C$158:$C$166,H$158:H$166,基础状态预期!O109))</f>
        <v>0</v>
      </c>
      <c r="AW96" s="29">
        <f>MAX(SUMPRODUCT(AR96:AV96,基础状态预期!$F109:$J109)/SUM(基础状态预期!$F109:$J109),AW95)</f>
        <v>3.3180892394557918E-2</v>
      </c>
      <c r="BA96" s="29">
        <v>30</v>
      </c>
      <c r="BB96" s="29">
        <f t="shared" si="49"/>
        <v>88.615720860520597</v>
      </c>
      <c r="BC96" s="29">
        <f t="shared" si="50"/>
        <v>0.26214569405616911</v>
      </c>
      <c r="BD96" s="29">
        <f>(BB96-BB95)*(INDEX([2]中r将兵属性验证!$V$7:$V$166,$BA96,1)+INDEX([2]中r将兵属性验证!$AP$7:$AP$166,$BA96,1))+BD95</f>
        <v>46469956.636562042</v>
      </c>
      <c r="BE96" s="29" t="e">
        <f>(BC96-BC95)*(INDEX([2]中r将兵属性验证!$AC$7:$AC$166,$BA96,1)*[2]战法技能效用!$AB$4+INDEX([2]中r将兵属性验证!$AX$7:$AX$166,$BA96,1)*[2]战法技能效用!$AC$4)+BE95</f>
        <v>#VALUE!</v>
      </c>
      <c r="BF96" s="75" t="e">
        <f t="shared" ref="BF96:BF109" si="56">SUM(BD96:BE96)</f>
        <v>#VALUE!</v>
      </c>
      <c r="BJ96" s="29">
        <f t="shared" si="54"/>
        <v>27.769105021676069</v>
      </c>
      <c r="BK96" s="75">
        <f>武将数量星级阶位验证!AT99</f>
        <v>56798.277039653462</v>
      </c>
      <c r="BL96" s="75">
        <f>(AD96-AD95)*INDEX('[1]功能-付费相关'!$AS$6:$AS$165,BJ96,1)+BL95</f>
        <v>59.101824525946185</v>
      </c>
      <c r="BN96" s="29">
        <v>30</v>
      </c>
      <c r="BO96" s="29">
        <f t="shared" si="52"/>
        <v>65986.271811154264</v>
      </c>
      <c r="BP96" s="29">
        <f t="shared" si="53"/>
        <v>91.085633435869369</v>
      </c>
      <c r="BQ96" s="29">
        <f t="shared" si="55"/>
        <v>66077.357444590132</v>
      </c>
    </row>
    <row r="97" spans="2:69" x14ac:dyDescent="0.15">
      <c r="B97" s="170"/>
      <c r="C97" s="14">
        <v>5</v>
      </c>
      <c r="D97" s="29">
        <f>SUM(D$46:D51)</f>
        <v>31000</v>
      </c>
      <c r="E97" s="29">
        <f>SUM(E$46:E51)</f>
        <v>62000</v>
      </c>
      <c r="F97" s="29">
        <f>SUM(F$46:F51)</f>
        <v>155000</v>
      </c>
      <c r="G97" s="29">
        <f>SUM(G$46:G51)</f>
        <v>310000</v>
      </c>
      <c r="H97" s="29">
        <f>SUM(H$46:H51)</f>
        <v>465000</v>
      </c>
      <c r="I97" s="29">
        <f>SUM(I$46:I51)</f>
        <v>1550000</v>
      </c>
      <c r="M97" s="72">
        <v>7</v>
      </c>
      <c r="N97" s="29">
        <f>基础状态预期!D110</f>
        <v>34.192155176139416</v>
      </c>
      <c r="O97" s="29">
        <f>IF(基础状态预期!F110="",0,求节点($C$104:$C$112,D$104:D$112,基础状态预期!K110))</f>
        <v>0</v>
      </c>
      <c r="P97" s="29">
        <f>IF(基础状态预期!G110="",0,求节点($C$104:$C$112,E$104:E$112,基础状态预期!L110))</f>
        <v>0</v>
      </c>
      <c r="Q97" s="29">
        <f>IF(基础状态预期!H110="",0,求节点($C$104:$C$112,F$104:F$112,基础状态预期!M110))</f>
        <v>0</v>
      </c>
      <c r="R97" s="29">
        <f>IF(基础状态预期!I110="",0,求节点($C$104:$C$112,G$104:G$112,基础状态预期!N110))</f>
        <v>2.1912960112427449</v>
      </c>
      <c r="S97" s="29">
        <f>IF(基础状态预期!J110="",0,求节点($C$104:$C$112,H$104:H$112,基础状态预期!O110))</f>
        <v>0</v>
      </c>
      <c r="T97" s="29">
        <f>IF(基础状态预期!F110="",0,求节点($C$114:$C$122,D$114:D$122,基础状态预期!K110)*基础状态预期!F110+求节点($C$124:$C$132,D$124:D$132,基础状态预期!$O110)*基础状态预期!$J110)</f>
        <v>0</v>
      </c>
      <c r="U97" s="29">
        <f>IF(基础状态预期!G110="",0,求节点($C$114:$C$122,E$114:E$122,基础状态预期!L110)*基础状态预期!G110+求节点($C$124:$C$132,E$124:E$132,基础状态预期!$O110)*基础状态预期!$J110)</f>
        <v>0</v>
      </c>
      <c r="V97" s="29">
        <f>IF(基础状态预期!H110="",0,求节点($C$114:$C$122,F$114:F$122,基础状态预期!M110)*基础状态预期!H110+求节点($C$124:$C$132,F$124:F$132,基础状态预期!$O110)*基础状态预期!$J110)</f>
        <v>0</v>
      </c>
      <c r="W97" s="148">
        <f>IF(基础状态预期!I110="",0,求节点($C$114:$C$122,G$114:G$122,基础状态预期!N110)*基础状态预期!I110)+IF(基础状态预期!O110="",0,求节点($C$124:$C$132,G$124:G$132,基础状态预期!$O110)*基础状态预期!$J110)</f>
        <v>0</v>
      </c>
      <c r="X97" s="29">
        <f>IF(基础状态预期!J110="",0,求节点($C$114:$C$122,H$114:H$122,基础状态预期!O110)*基础状态预期!J110+求节点($C$124:$C$132,H$124:H$132,基础状态预期!$O110)*基础状态预期!$J110)</f>
        <v>0</v>
      </c>
      <c r="Y97" s="14">
        <f>IF(基础状态预期!K110="",0,求节点($C$92:$C$100,D$92:D$100,基础状态预期!K110))</f>
        <v>0</v>
      </c>
      <c r="Z97" s="14">
        <f>IF(基础状态预期!L110="",0,求节点($C$92:$C$100,E$92:E$100,基础状态预期!L110))</f>
        <v>0</v>
      </c>
      <c r="AA97" s="14">
        <f>IF(基础状态预期!M110="",0,求节点($C$92:$C$100,F$92:F$100,基础状态预期!M110))</f>
        <v>0</v>
      </c>
      <c r="AB97" s="14">
        <f>IF(基础状态预期!N110="",0,求节点($C$92:$C$100,G$92:G$100,基础状态预期!N110))</f>
        <v>13825.920224854897</v>
      </c>
      <c r="AC97" s="14">
        <f>IF(基础状态预期!O110="",0,求节点($C$92:$C$100,H$92:H$100,基础状态预期!O110))</f>
        <v>0</v>
      </c>
      <c r="AD97" s="29">
        <f>MAX(SUMPRODUCT(Y97:AC97,基础状态预期!F110:J110),AD96)</f>
        <v>82955.521349129383</v>
      </c>
      <c r="AF97" s="29" t="str">
        <f>IF(基础状态预期!K110="","",基础状态预期!K110*D$59+D$58)</f>
        <v/>
      </c>
      <c r="AG97" s="29" t="str">
        <f>IF(基础状态预期!L110="","",基础状态预期!L110*E$59+E$58)</f>
        <v/>
      </c>
      <c r="AH97" s="29" t="str">
        <f>IF(基础状态预期!M110="","",基础状态预期!M110*F$59+F$58)</f>
        <v/>
      </c>
      <c r="AI97" s="29">
        <f>IF(基础状态预期!N110="","",基础状态预期!N110*G$59+G$58)</f>
        <v>90.956480056213721</v>
      </c>
      <c r="AJ97" s="29" t="str">
        <f>IF(基础状态预期!O110="","",基础状态预期!O110*H$59+H$58)</f>
        <v/>
      </c>
      <c r="AK97" s="29">
        <f>MAX(SUMPRODUCT(AF97:AJ97,基础状态预期!$F110:$J110)/SUM(基础状态预期!$F110:$J110),AK96)</f>
        <v>90.956480056213721</v>
      </c>
      <c r="AL97" s="29">
        <f>IF(基础状态预期!K110="",0,求节点($C$68:$C$76,D$68:D$76,基础状态预期!K110))</f>
        <v>0</v>
      </c>
      <c r="AM97" s="29">
        <f>IF(基础状态预期!L110="",0,求节点($C$68:$C$76,E$68:E$76,基础状态预期!L110))</f>
        <v>0</v>
      </c>
      <c r="AN97" s="29">
        <f>IF(基础状态预期!M110="",0,求节点($C$68:$C$76,F$68:F$76,基础状态预期!M110)*求节点(武将升级!$H$52:$H$54,武将升级!$J$52:$J$54,基础状态预期!W110))</f>
        <v>0</v>
      </c>
      <c r="AO97" s="29">
        <f>IF(基础状态预期!N110="",0,求节点($C$68:$C$76,G$68:G$76,基础状态预期!N110)*求节点(武将升级!$H$52:$H$54,武将升级!$J$52:$J$54,基础状态预期!X110))</f>
        <v>0.30177331280947767</v>
      </c>
      <c r="AP97" s="29">
        <f>IF(基础状态预期!O110="",0,求节点($C$68:$C$76,H$68:H$76,基础状态预期!O110)*求节点(武将升级!$H$52:$H$54,武将升级!$J$52:$J$54,基础状态预期!Y110))</f>
        <v>0</v>
      </c>
      <c r="AQ97" s="29">
        <f>MAX(SUMPRODUCT(AL97:AP97,基础状态预期!$F110:$J110)/SUM(基础状态预期!$F110:$J110),AQ96)</f>
        <v>0.30177331280947767</v>
      </c>
      <c r="AR97" s="29">
        <f>IF(基础状态预期!K110="",0,求节点($C$158:$C$166,D$158:D$166,基础状态预期!K110))</f>
        <v>0</v>
      </c>
      <c r="AS97" s="29">
        <f>IF(基础状态预期!L110="",0,求节点($C$158:$C$166,E$158:E$166,基础状态预期!L110))</f>
        <v>0</v>
      </c>
      <c r="AT97" s="29">
        <f>IF(基础状态预期!M110="",0,求节点($C$158:$C$166,F$158:F$166,基础状态预期!M110))</f>
        <v>0</v>
      </c>
      <c r="AU97" s="29">
        <f>IF(基础状态预期!N110="",0,求节点($C$158:$C$166,G$158:G$166,基础状态预期!N110))</f>
        <v>8.3390720786992154E-2</v>
      </c>
      <c r="AV97" s="29">
        <f>IF(基础状态预期!O110="",0,求节点($C$158:$C$166,H$158:H$166,基础状态预期!O110))</f>
        <v>0</v>
      </c>
      <c r="AW97" s="29">
        <f>MAX(SUMPRODUCT(AR97:AV97,基础状态预期!$F110:$J110)/SUM(基础状态预期!$F110:$J110),AW96)</f>
        <v>8.3390720786992154E-2</v>
      </c>
      <c r="BA97" s="29">
        <v>40</v>
      </c>
      <c r="BB97" s="29">
        <f t="shared" si="49"/>
        <v>94.519524555568296</v>
      </c>
      <c r="BC97" s="29">
        <f t="shared" si="50"/>
        <v>0.34875234797714666</v>
      </c>
      <c r="BD97" s="29">
        <f>(BB97-BB96)*(INDEX([2]中r将兵属性验证!$V$7:$V$166,$BA97,1)+INDEX([2]中r将兵属性验证!$AP$7:$AP$166,$BA97,1))+BD96</f>
        <v>105777648.38898215</v>
      </c>
      <c r="BE97" s="29" t="e">
        <f>(BC97-BC96)*(INDEX([2]中r将兵属性验证!$AC$7:$AC$166,$BA97,1)*[2]战法技能效用!$AB$4+INDEX([2]中r将兵属性验证!$AX$7:$AX$166,$BA97,1)*[2]战法技能效用!$AC$4)+BE96</f>
        <v>#VALUE!</v>
      </c>
      <c r="BF97" s="75" t="e">
        <f t="shared" si="56"/>
        <v>#VALUE!</v>
      </c>
      <c r="BJ97" s="29">
        <f t="shared" si="54"/>
        <v>34.192155176139416</v>
      </c>
      <c r="BK97" s="75">
        <f>武将数量星级阶位验证!AT100</f>
        <v>83251.764007755628</v>
      </c>
      <c r="BL97" s="75">
        <f>(AD97-AD96)*INDEX('[1]功能-付费相关'!$AS$6:$AS$165,BJ97,1)+BL96</f>
        <v>151.18756175484538</v>
      </c>
      <c r="BN97" s="29">
        <v>40</v>
      </c>
      <c r="BO97" s="29">
        <f t="shared" si="52"/>
        <v>109212.27057624781</v>
      </c>
      <c r="BP97" s="29">
        <f t="shared" si="53"/>
        <v>294.11089856682685</v>
      </c>
      <c r="BQ97" s="29">
        <f t="shared" si="55"/>
        <v>109506.38147481464</v>
      </c>
    </row>
    <row r="98" spans="2:69" x14ac:dyDescent="0.15">
      <c r="B98" s="170"/>
      <c r="C98" s="14">
        <v>6</v>
      </c>
      <c r="D98" s="29">
        <f>SUM(D$46:D52)</f>
        <v>63000</v>
      </c>
      <c r="E98" s="29">
        <f>SUM(E$46:E52)</f>
        <v>126000</v>
      </c>
      <c r="F98" s="29">
        <f>SUM(F$46:F52)</f>
        <v>315000</v>
      </c>
      <c r="G98" s="29">
        <f>SUM(G$46:G52)</f>
        <v>630000</v>
      </c>
      <c r="H98" s="29">
        <f>SUM(H$46:H52)</f>
        <v>945000</v>
      </c>
      <c r="I98" s="29">
        <f>SUM(I$46:I52)</f>
        <v>3150000</v>
      </c>
      <c r="M98" s="72">
        <v>8</v>
      </c>
      <c r="N98" s="29">
        <f>基础状态预期!D111</f>
        <v>39.631851677253941</v>
      </c>
      <c r="O98" s="29">
        <f>IF(基础状态预期!F111="",0,求节点($C$104:$C$112,D$104:D$112,基础状态预期!K111))</f>
        <v>0</v>
      </c>
      <c r="P98" s="29">
        <f>IF(基础状态预期!G111="",0,求节点($C$104:$C$112,E$104:E$112,基础状态预期!L111))</f>
        <v>0</v>
      </c>
      <c r="Q98" s="29">
        <f>IF(基础状态预期!H111="",0,求节点($C$104:$C$112,F$104:F$112,基础状态预期!M111))</f>
        <v>0</v>
      </c>
      <c r="R98" s="29">
        <f>IF(基础状态预期!I111="",0,求节点($C$104:$C$112,G$104:G$112,基础状态预期!N111))</f>
        <v>2.8437826107937041</v>
      </c>
      <c r="S98" s="29">
        <f>IF(基础状态预期!J111="",0,求节点($C$104:$C$112,H$104:H$112,基础状态预期!O111))</f>
        <v>0</v>
      </c>
      <c r="T98" s="29">
        <f>IF(基础状态预期!F111="",0,求节点($C$114:$C$122,D$114:D$122,基础状态预期!K111)*基础状态预期!F111+求节点($C$124:$C$132,D$124:D$132,基础状态预期!$O111)*基础状态预期!$J111)</f>
        <v>0</v>
      </c>
      <c r="U98" s="29">
        <f>IF(基础状态预期!G111="",0,求节点($C$114:$C$122,E$114:E$122,基础状态预期!L111)*基础状态预期!G111+求节点($C$124:$C$132,E$124:E$132,基础状态预期!$O111)*基础状态预期!$J111)</f>
        <v>0</v>
      </c>
      <c r="V98" s="29">
        <f>IF(基础状态预期!H111="",0,求节点($C$114:$C$122,F$114:F$122,基础状态预期!M111)*基础状态预期!H111+求节点($C$124:$C$132,F$124:F$132,基础状态预期!$O111)*基础状态预期!$J111)</f>
        <v>0</v>
      </c>
      <c r="W98" s="148">
        <f>IF(基础状态预期!I111="",0,求节点($C$114:$C$122,G$114:G$122,基础状态预期!N111)*基础状态预期!I111)+IF(基础状态预期!O111="",0,求节点($C$124:$C$132,G$124:G$132,基础状态预期!$O111)*基础状态预期!$J111)</f>
        <v>0</v>
      </c>
      <c r="X98" s="29">
        <f>IF(基础状态预期!J111="",0,求节点($C$114:$C$122,H$114:H$122,基础状态预期!O111)*基础状态预期!J111+求节点($C$124:$C$132,H$124:H$132,基础状态预期!$O111)*基础状态预期!$J111)</f>
        <v>0</v>
      </c>
      <c r="Y98" s="14">
        <f>IF(基础状态预期!K111="",0,求节点($C$92:$C$100,D$92:D$100,基础状态预期!K111))</f>
        <v>0</v>
      </c>
      <c r="Z98" s="14">
        <f>IF(基础状态预期!L111="",0,求节点($C$92:$C$100,E$92:E$100,基础状态预期!L111))</f>
        <v>0</v>
      </c>
      <c r="AA98" s="14">
        <f>IF(基础状态预期!M111="",0,求节点($C$92:$C$100,F$92:F$100,基础状态预期!M111))</f>
        <v>0</v>
      </c>
      <c r="AB98" s="14">
        <f>IF(基础状态预期!N111="",0,求节点($C$92:$C$100,G$92:G$100,基础状态预期!N111))</f>
        <v>26875.652215874081</v>
      </c>
      <c r="AC98" s="14">
        <f>IF(基础状态预期!O111="",0,求节点($C$92:$C$100,H$92:H$100,基础状态预期!O111))</f>
        <v>0</v>
      </c>
      <c r="AD98" s="29">
        <f>MAX(SUMPRODUCT(Y98:AC98,基础状态预期!F111:J111),AD97)</f>
        <v>161253.91329524448</v>
      </c>
      <c r="AF98" s="29" t="str">
        <f>IF(基础状态预期!K111="","",基础状态预期!K111*D$59+D$58)</f>
        <v/>
      </c>
      <c r="AG98" s="29" t="str">
        <f>IF(基础状态预期!L111="","",基础状态预期!L111*E$59+E$58)</f>
        <v/>
      </c>
      <c r="AH98" s="29" t="str">
        <f>IF(基础状态预期!M111="","",基础状态预期!M111*F$59+F$58)</f>
        <v/>
      </c>
      <c r="AI98" s="29">
        <f>IF(基础状态预期!N111="","",基础状态预期!N111*G$59+G$58)</f>
        <v>94.218913053968521</v>
      </c>
      <c r="AJ98" s="29" t="str">
        <f>IF(基础状态预期!O111="","",基础状态预期!O111*H$59+H$58)</f>
        <v/>
      </c>
      <c r="AK98" s="29">
        <f>MAX(SUMPRODUCT(AF98:AJ98,基础状态预期!$F111:$J111)/SUM(基础状态预期!$F111:$J111),AK97)</f>
        <v>94.218913053968507</v>
      </c>
      <c r="AL98" s="29">
        <f>IF(基础状态预期!K111="",0,求节点($C$68:$C$76,D$68:D$76,基础状态预期!K111))</f>
        <v>0</v>
      </c>
      <c r="AM98" s="29">
        <f>IF(基础状态预期!L111="",0,求节点($C$68:$C$76,E$68:E$76,基础状态预期!L111))</f>
        <v>0</v>
      </c>
      <c r="AN98" s="29">
        <f>IF(基础状态预期!M111="",0,求节点($C$68:$C$76,F$68:F$76,基础状态预期!M111)*求节点(武将升级!$H$52:$H$54,武将升级!$J$52:$J$54,基础状态预期!W111))</f>
        <v>0</v>
      </c>
      <c r="AO98" s="29">
        <f>IF(基础状态预期!N111="",0,求节点($C$68:$C$76,G$68:G$76,基础状态预期!N111)*求节点(武将升级!$H$52:$H$54,武将升级!$J$52:$J$54,基础状态预期!X111))</f>
        <v>0.34875234797714671</v>
      </c>
      <c r="AP98" s="29">
        <f>IF(基础状态预期!O111="",0,求节点($C$68:$C$76,H$68:H$76,基础状态预期!O111)*求节点(武将升级!$H$52:$H$54,武将升级!$J$52:$J$54,基础状态预期!Y111))</f>
        <v>0</v>
      </c>
      <c r="AQ98" s="29">
        <f>MAX(SUMPRODUCT(AL98:AP98,基础状态预期!$F111:$J111)/SUM(基础状态预期!$F111:$J111),AQ97)</f>
        <v>0.34875234797714666</v>
      </c>
      <c r="AR98" s="29">
        <f>IF(基础状态预期!K111="",0,求节点($C$158:$C$166,D$158:D$166,基础状态预期!K111))</f>
        <v>0</v>
      </c>
      <c r="AS98" s="29">
        <f>IF(基础状态预期!L111="",0,求节点($C$158:$C$166,E$158:E$166,基础状态预期!L111))</f>
        <v>0</v>
      </c>
      <c r="AT98" s="29">
        <f>IF(基础状态预期!M111="",0,求节点($C$158:$C$166,F$158:F$166,基础状态预期!M111))</f>
        <v>0</v>
      </c>
      <c r="AU98" s="29">
        <f>IF(基础状态预期!N111="",0,求节点($C$158:$C$166,G$158:G$166,基础状态预期!N111))</f>
        <v>0.1290647827555593</v>
      </c>
      <c r="AV98" s="29">
        <f>IF(基础状态预期!O111="",0,求节点($C$158:$C$166,H$158:H$166,基础状态预期!O111))</f>
        <v>0</v>
      </c>
      <c r="AW98" s="29">
        <f>MAX(SUMPRODUCT(AR98:AV98,基础状态预期!$F111:$J111)/SUM(基础状态预期!$F111:$J111),AW97)</f>
        <v>0.1290647827555593</v>
      </c>
      <c r="BA98" s="29">
        <v>50</v>
      </c>
      <c r="BB98" s="29">
        <f t="shared" si="49"/>
        <v>101.68073157134033</v>
      </c>
      <c r="BC98" s="29">
        <f t="shared" si="50"/>
        <v>0.4551136666274393</v>
      </c>
      <c r="BD98" s="29">
        <f>(BB98-BB97)*(INDEX([2]中r将兵属性验证!$V$7:$V$166,$BA98,1)+INDEX([2]中r将兵属性验证!$AP$7:$AP$166,$BA98,1))+BD97</f>
        <v>252792876.79141504</v>
      </c>
      <c r="BE98" s="29" t="e">
        <f>(BC98-BC97)*(INDEX([2]中r将兵属性验证!$AC$7:$AC$166,$BA98,1)*[2]战法技能效用!$AB$4+INDEX([2]中r将兵属性验证!$AX$7:$AX$166,$BA98,1)*[2]战法技能效用!$AC$4)+BE97</f>
        <v>#VALUE!</v>
      </c>
      <c r="BF98" s="75" t="e">
        <f t="shared" si="56"/>
        <v>#VALUE!</v>
      </c>
      <c r="BJ98" s="29">
        <f t="shared" si="54"/>
        <v>39.631851677253941</v>
      </c>
      <c r="BK98" s="75">
        <f>武将数量星级阶位验证!AT101</f>
        <v>107025.32283204042</v>
      </c>
      <c r="BL98" s="75">
        <f>(AD98-AD97)*INDEX('[1]功能-付费相关'!$AS$6:$AS$165,BJ98,1)+BL97</f>
        <v>275.07742242907813</v>
      </c>
      <c r="BN98" s="29">
        <v>50</v>
      </c>
      <c r="BO98" s="29">
        <f t="shared" si="52"/>
        <v>178489.22154713151</v>
      </c>
      <c r="BP98" s="29">
        <f t="shared" si="53"/>
        <v>853.10581250151108</v>
      </c>
      <c r="BQ98" s="29">
        <f t="shared" si="55"/>
        <v>179342.32735963303</v>
      </c>
    </row>
    <row r="99" spans="2:69" x14ac:dyDescent="0.15">
      <c r="B99" s="170"/>
      <c r="C99" s="14">
        <v>7</v>
      </c>
      <c r="D99" s="29">
        <f>SUM(D$46:D53)</f>
        <v>127000</v>
      </c>
      <c r="E99" s="29">
        <f>SUM(E$46:E53)</f>
        <v>254000</v>
      </c>
      <c r="F99" s="29">
        <f>SUM(F$46:F53)</f>
        <v>635000</v>
      </c>
      <c r="G99" s="29">
        <f>SUM(G$46:G53)</f>
        <v>1270000</v>
      </c>
      <c r="H99" s="29">
        <f>SUM(H$46:H53)</f>
        <v>1905000</v>
      </c>
      <c r="I99" s="29">
        <f>SUM(I$46:I53)</f>
        <v>6350000</v>
      </c>
      <c r="M99" s="72">
        <v>9</v>
      </c>
      <c r="N99" s="29">
        <f>基础状态预期!D112</f>
        <v>43.484929789964411</v>
      </c>
      <c r="O99" s="29">
        <f>IF(基础状态预期!F112="",0,求节点($C$104:$C$112,D$104:D$112,基础状态预期!K112))</f>
        <v>0</v>
      </c>
      <c r="P99" s="29">
        <f>IF(基础状态预期!G112="",0,求节点($C$104:$C$112,E$104:E$112,基础状态预期!L112))</f>
        <v>0</v>
      </c>
      <c r="Q99" s="29">
        <f>IF(基础状态预期!H112="",0,求节点($C$104:$C$112,F$104:F$112,基础状态预期!M112))</f>
        <v>0</v>
      </c>
      <c r="R99" s="29">
        <f>IF(基础状态预期!I112="",0,求节点($C$104:$C$112,G$104:G$112,基础状态预期!N112))</f>
        <v>3.4730287736464525</v>
      </c>
      <c r="S99" s="29">
        <f>IF(基础状态预期!J112="",0,求节点($C$104:$C$112,H$104:H$112,基础状态预期!O112))</f>
        <v>0</v>
      </c>
      <c r="T99" s="29">
        <f>IF(基础状态预期!F112="",0,求节点($C$114:$C$122,D$114:D$122,基础状态预期!K112)*基础状态预期!F112+求节点($C$124:$C$132,D$124:D$132,基础状态预期!$O112)*基础状态预期!$J112)</f>
        <v>0</v>
      </c>
      <c r="U99" s="29">
        <f>IF(基础状态预期!G112="",0,求节点($C$114:$C$122,E$114:E$122,基础状态预期!L112)*基础状态预期!G112+求节点($C$124:$C$132,E$124:E$132,基础状态预期!$O112)*基础状态预期!$J112)</f>
        <v>0</v>
      </c>
      <c r="V99" s="29">
        <f>IF(基础状态预期!H112="",0,求节点($C$114:$C$122,F$114:F$122,基础状态预期!M112)*基础状态预期!H112+求节点($C$124:$C$132,F$124:F$132,基础状态预期!$O112)*基础状态预期!$J112)</f>
        <v>0</v>
      </c>
      <c r="W99" s="148">
        <f>IF(基础状态预期!I112="",0,求节点($C$114:$C$122,G$114:G$122,基础状态预期!N112)*基础状态预期!I112)+IF(基础状态预期!O112="",0,求节点($C$124:$C$132,G$124:G$132,基础状态预期!$O112)*基础状态预期!$J112)</f>
        <v>2.8381726418787148</v>
      </c>
      <c r="X99" s="29">
        <f>IF(基础状态预期!J112="",0,求节点($C$114:$C$122,H$114:H$122,基础状态预期!O112)*基础状态预期!J112+求节点($C$124:$C$132,H$124:H$132,基础状态预期!$O112)*基础状态预期!$J112)</f>
        <v>0</v>
      </c>
      <c r="Y99" s="14">
        <f>IF(基础状态预期!K112="",0,求节点($C$92:$C$100,D$92:D$100,基础状态预期!K112))</f>
        <v>0</v>
      </c>
      <c r="Z99" s="14">
        <f>IF(基础状态预期!L112="",0,求节点($C$92:$C$100,E$92:E$100,基础状态预期!L112))</f>
        <v>0</v>
      </c>
      <c r="AA99" s="14">
        <f>IF(基础状态预期!M112="",0,求节点($C$92:$C$100,F$92:F$100,基础状态预期!M112))</f>
        <v>0</v>
      </c>
      <c r="AB99" s="14">
        <f>IF(基础状态预期!N112="",0,求节点($C$92:$C$100,G$92:G$100,基础状态预期!N112))</f>
        <v>48921.150945858099</v>
      </c>
      <c r="AC99" s="14">
        <f>IF(基础状态预期!O112="",0,求节点($C$92:$C$100,H$92:H$100,基础状态预期!O112))</f>
        <v>0</v>
      </c>
      <c r="AD99" s="29">
        <f>MAX(SUMPRODUCT(Y99:AC99,基础状态预期!F112:J112),AD98)</f>
        <v>293526.90567514859</v>
      </c>
      <c r="AF99" s="29" t="str">
        <f>IF(基础状态预期!K112="","",基础状态预期!K112*D$59+D$58)</f>
        <v/>
      </c>
      <c r="AG99" s="29" t="str">
        <f>IF(基础状态预期!L112="","",基础状态预期!L112*E$59+E$58)</f>
        <v/>
      </c>
      <c r="AH99" s="29" t="str">
        <f>IF(基础状态预期!M112="","",基础状态预期!M112*F$59+F$58)</f>
        <v/>
      </c>
      <c r="AI99" s="29">
        <f>IF(基础状态预期!N112="","",基础状态预期!N112*G$59+G$58)</f>
        <v>97.365143868232266</v>
      </c>
      <c r="AJ99" s="29" t="str">
        <f>IF(基础状态预期!O112="","",基础状态预期!O112*H$59+H$58)</f>
        <v/>
      </c>
      <c r="AK99" s="29">
        <f>MAX(SUMPRODUCT(AF99:AJ99,基础状态预期!$F112:$J112)/SUM(基础状态预期!$F112:$J112),AK98)</f>
        <v>97.365143868232266</v>
      </c>
      <c r="AL99" s="29">
        <f>IF(基础状态预期!K112="",0,求节点($C$68:$C$76,D$68:D$76,基础状态预期!K112))</f>
        <v>0</v>
      </c>
      <c r="AM99" s="29">
        <f>IF(基础状态预期!L112="",0,求节点($C$68:$C$76,E$68:E$76,基础状态预期!L112))</f>
        <v>0</v>
      </c>
      <c r="AN99" s="29">
        <f>IF(基础状态预期!M112="",0,求节点($C$68:$C$76,F$68:F$76,基础状态预期!M112)*求节点(武将升级!$H$52:$H$54,武将升级!$J$52:$J$54,基础状态预期!W112))</f>
        <v>0</v>
      </c>
      <c r="AO99" s="29">
        <f>IF(基础状态预期!N112="",0,求节点($C$68:$C$76,G$68:G$76,基础状态预期!N112)*求节点(武将升级!$H$52:$H$54,武将升级!$J$52:$J$54,基础状态预期!X112))</f>
        <v>0.39405807170254464</v>
      </c>
      <c r="AP99" s="29">
        <f>IF(基础状态预期!O112="",0,求节点($C$68:$C$76,H$68:H$76,基础状态预期!O112)*求节点(武将升级!$H$52:$H$54,武将升级!$J$52:$J$54,基础状态预期!Y112))</f>
        <v>0</v>
      </c>
      <c r="AQ99" s="29">
        <f>MAX(SUMPRODUCT(AL99:AP99,基础状态预期!$F112:$J112)/SUM(基础状态预期!$F112:$J112),AQ98)</f>
        <v>0.39405807170254464</v>
      </c>
      <c r="AR99" s="29">
        <f>IF(基础状态预期!K112="",0,求节点($C$158:$C$166,D$158:D$166,基础状态预期!K112))</f>
        <v>0</v>
      </c>
      <c r="AS99" s="29">
        <f>IF(基础状态预期!L112="",0,求节点($C$158:$C$166,E$158:E$166,基础状态预期!L112))</f>
        <v>0</v>
      </c>
      <c r="AT99" s="29">
        <f>IF(基础状态预期!M112="",0,求节点($C$158:$C$166,F$158:F$166,基础状态预期!M112))</f>
        <v>0</v>
      </c>
      <c r="AU99" s="29">
        <f>IF(基础状态预期!N112="",0,求节点($C$158:$C$166,G$158:G$166,基础状态预期!N112))</f>
        <v>0.17311201415525168</v>
      </c>
      <c r="AV99" s="29">
        <f>IF(基础状态预期!O112="",0,求节点($C$158:$C$166,H$158:H$166,基础状态预期!O112))</f>
        <v>0</v>
      </c>
      <c r="AW99" s="29">
        <f>MAX(SUMPRODUCT(AR99:AV99,基础状态预期!$F112:$J112)/SUM(基础状态预期!$F112:$J112),AW98)</f>
        <v>0.17311201415525168</v>
      </c>
      <c r="BA99" s="29">
        <v>60</v>
      </c>
      <c r="BB99" s="29">
        <f t="shared" si="49"/>
        <v>109.1279226578544</v>
      </c>
      <c r="BC99" s="29">
        <f t="shared" si="50"/>
        <v>0.57882618285829146</v>
      </c>
      <c r="BD99" s="29">
        <f>(BB99-BB98)*(INDEX([2]中r将兵属性验证!$V$7:$V$166,$BA99,1)+INDEX([2]中r将兵属性验证!$AP$7:$AP$166,$BA99,1))+BD98</f>
        <v>591012854.84394407</v>
      </c>
      <c r="BE99" s="29" t="e">
        <f>(BC99-BC98)*(INDEX([2]中r将兵属性验证!$AC$7:$AC$166,$BA99,1)*[2]战法技能效用!$AB$4+INDEX([2]中r将兵属性验证!$AX$7:$AX$166,$BA99,1)*[2]战法技能效用!$AC$4)+BE98</f>
        <v>#VALUE!</v>
      </c>
      <c r="BF99" s="75" t="e">
        <f t="shared" si="56"/>
        <v>#VALUE!</v>
      </c>
      <c r="BJ99" s="29">
        <f t="shared" si="54"/>
        <v>43.484929789964411</v>
      </c>
      <c r="BK99" s="75">
        <f>武将数量星级阶位验证!AT102</f>
        <v>129914.1422730554</v>
      </c>
      <c r="BL99" s="75">
        <f>(AD99-AD98)*INDEX('[1]功能-付费相关'!$AS$6:$AS$165,BJ99,1)+BL98</f>
        <v>474.2837362542349</v>
      </c>
      <c r="BN99" s="29">
        <v>60</v>
      </c>
      <c r="BO99" s="29">
        <f t="shared" si="52"/>
        <v>305861.7304801608</v>
      </c>
      <c r="BP99" s="29">
        <f t="shared" si="53"/>
        <v>1426.1047583215222</v>
      </c>
      <c r="BQ99" s="29">
        <f t="shared" si="55"/>
        <v>307287.83523848234</v>
      </c>
    </row>
    <row r="100" spans="2:69" x14ac:dyDescent="0.15">
      <c r="B100" s="171"/>
      <c r="C100" s="14">
        <v>8</v>
      </c>
      <c r="D100" s="29">
        <f>SUM(D$46:D54)</f>
        <v>255000</v>
      </c>
      <c r="E100" s="29">
        <f>SUM(E$46:E54)</f>
        <v>510000</v>
      </c>
      <c r="F100" s="29">
        <f>SUM(F$46:F54)</f>
        <v>1275000</v>
      </c>
      <c r="G100" s="29">
        <f>SUM(G$46:G54)</f>
        <v>2550000</v>
      </c>
      <c r="H100" s="29">
        <f>SUM(H$46:H54)</f>
        <v>3825000</v>
      </c>
      <c r="I100" s="29">
        <f>SUM(I$46:I54)</f>
        <v>12750000</v>
      </c>
      <c r="M100" s="72">
        <v>10</v>
      </c>
      <c r="N100" s="29">
        <f>基础状态预期!D113</f>
        <v>49.18886033229559</v>
      </c>
      <c r="O100" s="29">
        <f>IF(基础状态预期!F113="",0,求节点($C$104:$C$112,D$104:D$112,基础状态预期!K113))</f>
        <v>0</v>
      </c>
      <c r="P100" s="29">
        <f>IF(基础状态预期!G113="",0,求节点($C$104:$C$112,E$104:E$112,基础状态预期!L113))</f>
        <v>0</v>
      </c>
      <c r="Q100" s="29">
        <f>IF(基础状态预期!H113="",0,求节点($C$104:$C$112,F$104:F$112,基础状态预期!M113))</f>
        <v>0</v>
      </c>
      <c r="R100" s="29">
        <f>IF(基础状态预期!I113="",0,求节点($C$104:$C$112,G$104:G$112,基础状态预期!N113))</f>
        <v>4.5173819441061109</v>
      </c>
      <c r="S100" s="29">
        <f>IF(基础状态预期!J113="",0,求节点($C$104:$C$112,H$104:H$112,基础状态预期!O113))</f>
        <v>0</v>
      </c>
      <c r="T100" s="29">
        <f>IF(基础状态预期!F113="",0,求节点($C$114:$C$122,D$114:D$122,基础状态预期!K113)*基础状态预期!F113+求节点($C$124:$C$132,D$124:D$132,基础状态预期!$O113)*基础状态预期!$J113)</f>
        <v>0</v>
      </c>
      <c r="U100" s="29">
        <f>IF(基础状态预期!G113="",0,求节点($C$114:$C$122,E$114:E$122,基础状态预期!L113)*基础状态预期!G113+求节点($C$124:$C$132,E$124:E$132,基础状态预期!$O113)*基础状态预期!$J113)</f>
        <v>0</v>
      </c>
      <c r="V100" s="29">
        <f>IF(基础状态预期!H113="",0,求节点($C$114:$C$122,F$114:F$122,基础状态预期!M113)*基础状态预期!H113+求节点($C$124:$C$132,F$124:F$132,基础状态预期!$O113)*基础状态预期!$J113)</f>
        <v>0</v>
      </c>
      <c r="W100" s="148">
        <f>IF(基础状态预期!I113="",0,求节点($C$114:$C$122,G$114:G$122,基础状态预期!N113)*基础状态预期!I113)+IF(基础状态预期!O113="",0,求节点($C$124:$C$132,G$124:G$132,基础状态预期!$O113)*基础状态预期!$J113)</f>
        <v>6</v>
      </c>
      <c r="X100" s="29">
        <f>IF(基础状态预期!J113="",0,求节点($C$114:$C$122,H$114:H$122,基础状态预期!O113)*基础状态预期!J113+求节点($C$124:$C$132,H$124:H$132,基础状态预期!$O113)*基础状态预期!$J113)</f>
        <v>0</v>
      </c>
      <c r="Y100" s="14">
        <f>IF(基础状态预期!K113="",0,求节点($C$92:$C$100,D$92:D$100,基础状态预期!K113))</f>
        <v>0</v>
      </c>
      <c r="Z100" s="14">
        <f>IF(基础状态预期!L113="",0,求节点($C$92:$C$100,E$92:E$100,基础状态预期!L113))</f>
        <v>0</v>
      </c>
      <c r="AA100" s="14">
        <f>IF(基础状态预期!M113="",0,求节点($C$92:$C$100,F$92:F$100,基础状态预期!M113))</f>
        <v>0</v>
      </c>
      <c r="AB100" s="14">
        <f>IF(基础状态预期!N113="",0,求节点($C$92:$C$100,G$92:G$100,基础状态预期!N113))</f>
        <v>90695.277764244442</v>
      </c>
      <c r="AC100" s="14">
        <f>IF(基础状态预期!O113="",0,求节点($C$92:$C$100,H$92:H$100,基础状态预期!O113))</f>
        <v>0</v>
      </c>
      <c r="AD100" s="29">
        <f>MAX(SUMPRODUCT(Y100:AC100,基础状态预期!F113:J113),AD99)</f>
        <v>544171.66658546659</v>
      </c>
      <c r="AF100" s="29" t="str">
        <f>IF(基础状态预期!K113="","",基础状态预期!K113*D$59+D$58)</f>
        <v/>
      </c>
      <c r="AG100" s="29" t="str">
        <f>IF(基础状态预期!L113="","",基础状态预期!L113*E$59+E$58)</f>
        <v/>
      </c>
      <c r="AH100" s="29" t="str">
        <f>IF(基础状态预期!M113="","",基础状态预期!M113*F$59+F$58)</f>
        <v/>
      </c>
      <c r="AI100" s="29">
        <f>IF(基础状态预期!N113="","",基础状态预期!N113*G$59+G$58)</f>
        <v>101.29345486026529</v>
      </c>
      <c r="AJ100" s="29" t="str">
        <f>IF(基础状态预期!O113="","",基础状态预期!O113*H$59+H$58)</f>
        <v/>
      </c>
      <c r="AK100" s="29">
        <f>MAX(SUMPRODUCT(AF100:AJ100,基础状态预期!$F113:$J113)/SUM(基础状态预期!$F113:$J113),AK99)</f>
        <v>101.29345486026529</v>
      </c>
      <c r="AL100" s="29">
        <f>IF(基础状态预期!K113="",0,求节点($C$68:$C$76,D$68:D$76,基础状态预期!K113))</f>
        <v>0</v>
      </c>
      <c r="AM100" s="29">
        <f>IF(基础状态预期!L113="",0,求节点($C$68:$C$76,E$68:E$76,基础状态预期!L113))</f>
        <v>0</v>
      </c>
      <c r="AN100" s="29">
        <f>IF(基础状态预期!M113="",0,求节点($C$68:$C$76,F$68:F$76,基础状态预期!M113)*求节点(武将升级!$H$52:$H$54,武将升级!$J$52:$J$54,基础状态预期!W113))</f>
        <v>0</v>
      </c>
      <c r="AO100" s="29">
        <f>IF(基础状态预期!N113="",0,求节点($C$68:$C$76,G$68:G$76,基础状态预期!N113)*求节点(武将升级!$H$52:$H$54,武将升级!$J$52:$J$54,基础状态预期!X113))</f>
        <v>0.45062574998782001</v>
      </c>
      <c r="AP100" s="29">
        <f>IF(基础状态预期!O113="",0,求节点($C$68:$C$76,H$68:H$76,基础状态预期!O113)*求节点(武将升级!$H$52:$H$54,武将升级!$J$52:$J$54,基础状态预期!Y113))</f>
        <v>0</v>
      </c>
      <c r="AQ100" s="29">
        <f>MAX(SUMPRODUCT(AL100:AP100,基础状态预期!$F113:$J113)/SUM(基础状态预期!$F113:$J113),AQ99)</f>
        <v>0.45062574998782007</v>
      </c>
      <c r="AR100" s="29">
        <f>IF(基础状态预期!K113="",0,求节点($C$158:$C$166,D$158:D$166,基础状态预期!K113))</f>
        <v>0</v>
      </c>
      <c r="AS100" s="29">
        <f>IF(基础状态预期!L113="",0,求节点($C$158:$C$166,E$158:E$166,基础状态预期!L113))</f>
        <v>0</v>
      </c>
      <c r="AT100" s="29">
        <f>IF(基础状态预期!M113="",0,求节点($C$158:$C$166,F$158:F$166,基础状态预期!M113))</f>
        <v>0</v>
      </c>
      <c r="AU100" s="29">
        <f>IF(基础状态预期!N113="",0,求节点($C$158:$C$166,G$158:G$166,基础状态预期!N113))</f>
        <v>0.22810836804371387</v>
      </c>
      <c r="AV100" s="29">
        <f>IF(基础状态预期!O113="",0,求节点($C$158:$C$166,H$158:H$166,基础状态预期!O113))</f>
        <v>0</v>
      </c>
      <c r="AW100" s="29">
        <f>MAX(SUMPRODUCT(AR100:AV100,基础状态预期!$F113:$J113)/SUM(基础状态预期!$F113:$J113),AW99)</f>
        <v>0.22810836804371384</v>
      </c>
      <c r="BA100" s="29">
        <v>70</v>
      </c>
      <c r="BB100" s="29">
        <f t="shared" si="49"/>
        <v>122.34833056123013</v>
      </c>
      <c r="BC100" s="29">
        <f t="shared" si="50"/>
        <v>0.77910342664752386</v>
      </c>
      <c r="BD100" s="29">
        <f>(BB100-BB99)*(INDEX([2]中r将兵属性验证!$V$7:$V$166,$BA100,1)+INDEX([2]中r将兵属性验证!$AP$7:$AP$166,$BA100,1))+BD99</f>
        <v>2609436097.987359</v>
      </c>
      <c r="BE100" s="29" t="e">
        <f>(BC100-BC99)*(INDEX([2]中r将兵属性验证!$AC$7:$AC$166,$BA100,1)*[2]战法技能效用!$AB$4+INDEX([2]中r将兵属性验证!$AX$7:$AX$166,$BA100,1)*[2]战法技能效用!$AC$4)+BE99</f>
        <v>#VALUE!</v>
      </c>
      <c r="BF100" s="75" t="e">
        <f t="shared" si="56"/>
        <v>#VALUE!</v>
      </c>
      <c r="BJ100" s="29">
        <f t="shared" si="54"/>
        <v>49.18886033229559</v>
      </c>
      <c r="BK100" s="75">
        <f>武将数量星级阶位验证!AT103</f>
        <v>170573.77486313824</v>
      </c>
      <c r="BL100" s="75">
        <f>(AD100-AD99)*INDEX('[1]功能-付费相关'!$AS$6:$AS$165,BJ100,1)+BL99</f>
        <v>826.31289483614216</v>
      </c>
      <c r="BN100" s="29">
        <v>70</v>
      </c>
      <c r="BO100" s="29">
        <f t="shared" si="52"/>
        <v>534094.12148923322</v>
      </c>
      <c r="BP100" s="29">
        <f t="shared" si="53"/>
        <v>7654.038204085894</v>
      </c>
      <c r="BQ100" s="29">
        <f t="shared" si="55"/>
        <v>541748.15969331912</v>
      </c>
    </row>
    <row r="101" spans="2:69" x14ac:dyDescent="0.15">
      <c r="M101" s="72">
        <v>11</v>
      </c>
      <c r="N101" s="29">
        <f>基础状态预期!D114</f>
        <v>53.212684955585161</v>
      </c>
      <c r="O101" s="29">
        <f>IF(基础状态预期!F114="",0,求节点($C$104:$C$112,D$104:D$112,基础状态预期!K114))</f>
        <v>0</v>
      </c>
      <c r="P101" s="29">
        <f>IF(基础状态预期!G114="",0,求节点($C$104:$C$112,E$104:E$112,基础状态预期!L114))</f>
        <v>0</v>
      </c>
      <c r="Q101" s="29">
        <f>IF(基础状态预期!H114="",0,求节点($C$104:$C$112,F$104:F$112,基础状态预期!M114))</f>
        <v>0</v>
      </c>
      <c r="R101" s="29">
        <f>IF(基础状态预期!I114="",0,求节点($C$104:$C$112,G$104:G$112,基础状态预期!N114))</f>
        <v>5.4508960660534873</v>
      </c>
      <c r="S101" s="29">
        <f>IF(基础状态预期!J114="",0,求节点($C$104:$C$112,H$104:H$112,基础状态预期!O114))</f>
        <v>1.1919202482661846</v>
      </c>
      <c r="T101" s="29">
        <f>IF(基础状态预期!F114="",0,求节点($C$114:$C$122,D$114:D$122,基础状态预期!K114)*基础状态预期!F114+求节点($C$124:$C$132,D$124:D$132,基础状态预期!$O114)*基础状态预期!$J114)</f>
        <v>0</v>
      </c>
      <c r="U101" s="29">
        <f>IF(基础状态预期!G114="",0,求节点($C$114:$C$122,E$114:E$122,基础状态预期!L114)*基础状态预期!G114+求节点($C$124:$C$132,E$124:E$132,基础状态预期!$O114)*基础状态预期!$J114)</f>
        <v>0</v>
      </c>
      <c r="V101" s="29">
        <f>IF(基础状态预期!H114="",0,求节点($C$114:$C$122,F$114:F$122,基础状态预期!M114)*基础状态预期!H114+求节点($C$124:$C$132,F$124:F$132,基础状态预期!$O114)*基础状态预期!$J114)</f>
        <v>0</v>
      </c>
      <c r="W101" s="148">
        <f>IF(基础状态预期!I114="",0,求节点($C$114:$C$122,G$114:G$122,基础状态预期!N114)*基础状态预期!I114)+IF(基础状态预期!O114="",0,求节点($C$124:$C$132,G$124:G$132,基础状态预期!$O114)*基础状态预期!$J114)</f>
        <v>5</v>
      </c>
      <c r="X101" s="29">
        <f>IF(基础状态预期!J114="",0,求节点($C$114:$C$122,H$114:H$122,基础状态预期!O114)*基础状态预期!J114+求节点($C$124:$C$132,H$124:H$132,基础状态预期!$O114)*基础状态预期!$J114)</f>
        <v>0</v>
      </c>
      <c r="Y101" s="14">
        <f>IF(基础状态预期!K114="",0,求节点($C$92:$C$100,D$92:D$100,基础状态预期!K114))</f>
        <v>0</v>
      </c>
      <c r="Z101" s="14">
        <f>IF(基础状态预期!L114="",0,求节点($C$92:$C$100,E$92:E$100,基础状态预期!L114))</f>
        <v>0</v>
      </c>
      <c r="AA101" s="14">
        <f>IF(基础状态预期!M114="",0,求节点($C$92:$C$100,F$92:F$100,基础状态预期!M114))</f>
        <v>0</v>
      </c>
      <c r="AB101" s="14">
        <f>IF(基础状态预期!N114="",0,求节点($C$92:$C$100,G$92:G$100,基础状态预期!N114))</f>
        <v>128035.8426421395</v>
      </c>
      <c r="AC101" s="14">
        <f>IF(基础状态预期!O114="",0,求节点($C$92:$C$100,H$92:H$100,基础状态预期!O114))</f>
        <v>2878.8037239927689</v>
      </c>
      <c r="AD101" s="29">
        <f>MAX(SUMPRODUCT(Y101:AC101,基础状态预期!F114:J114),AD100)</f>
        <v>643058.0169346903</v>
      </c>
      <c r="AF101" s="29" t="str">
        <f>IF(基础状态预期!K114="","",基础状态预期!K114*D$59+D$58)</f>
        <v/>
      </c>
      <c r="AG101" s="29" t="str">
        <f>IF(基础状态预期!L114="","",基础状态预期!L114*E$59+E$58)</f>
        <v/>
      </c>
      <c r="AH101" s="29" t="str">
        <f>IF(基础状态预期!M114="","",基础状态预期!M114*F$59+F$58)</f>
        <v/>
      </c>
      <c r="AI101" s="29">
        <f>IF(基础状态预期!N114="","",基础状态预期!N114*G$59+G$58)</f>
        <v>103.62724016513371</v>
      </c>
      <c r="AJ101" s="29">
        <f>IF(基础状态预期!O114="","",基础状态预期!O114*H$59+H$58)</f>
        <v>101.1515214895971</v>
      </c>
      <c r="AK101" s="29">
        <f>MAX(SUMPRODUCT(AF101:AJ101,基础状态预期!$F114:$J114)/SUM(基础状态预期!$F114:$J114),AK100)</f>
        <v>103.21462038587761</v>
      </c>
      <c r="AL101" s="29">
        <f>IF(基础状态预期!K114="",0,求节点($C$68:$C$76,D$68:D$76,基础状态预期!K114))</f>
        <v>0</v>
      </c>
      <c r="AM101" s="29">
        <f>IF(基础状态预期!L114="",0,求节点($C$68:$C$76,E$68:E$76,基础状态预期!L114))</f>
        <v>0</v>
      </c>
      <c r="AN101" s="29">
        <f>IF(基础状态预期!M114="",0,求节点($C$68:$C$76,F$68:F$76,基础状态预期!M114)*求节点(武将升级!$H$52:$H$54,武将升级!$J$52:$J$54,基础状态预期!W114))</f>
        <v>0</v>
      </c>
      <c r="AO101" s="29">
        <f>IF(基础状态预期!N114="",0,求节点($C$68:$C$76,G$68:G$76,基础状态预期!N114)*求节点(武将升级!$H$52:$H$54,武将升级!$J$52:$J$54,基础状态预期!X114))</f>
        <v>0.48423225837792555</v>
      </c>
      <c r="AP101" s="29">
        <f>IF(基础状态预期!O114="",0,求节点($C$68:$C$76,H$68:H$76,基础状态预期!O114)*求节点(武将升级!$H$52:$H$54,武将升级!$J$52:$J$54,基础状态预期!Y114))</f>
        <v>0.5153536198612948</v>
      </c>
      <c r="AQ101" s="29">
        <f>MAX(SUMPRODUCT(AL101:AP101,基础状态预期!$F114:$J114)/SUM(基础状态预期!$F114:$J114),AQ100)</f>
        <v>0.48941915195848712</v>
      </c>
      <c r="AR101" s="29">
        <f>IF(基础状态预期!K114="",0,求节点($C$158:$C$166,D$158:D$166,基础状态预期!K114))</f>
        <v>0</v>
      </c>
      <c r="AS101" s="29">
        <f>IF(基础状态预期!L114="",0,求节点($C$158:$C$166,E$158:E$166,基础状态预期!L114))</f>
        <v>0</v>
      </c>
      <c r="AT101" s="29">
        <f>IF(基础状态预期!M114="",0,求节点($C$158:$C$166,F$158:F$166,基础状态预期!M114))</f>
        <v>0</v>
      </c>
      <c r="AU101" s="29">
        <f>IF(基础状态预期!N114="",0,求节点($C$158:$C$166,G$158:G$166,基础状态预期!N114))</f>
        <v>0.2607813623118721</v>
      </c>
      <c r="AV101" s="29">
        <f>IF(基础状态预期!O114="",0,求节点($C$158:$C$166,H$158:H$166,基础状态预期!O114))</f>
        <v>1.919202482661846E-2</v>
      </c>
      <c r="AW101" s="29">
        <f>MAX(SUMPRODUCT(AR101:AV101,基础状态预期!$F114:$J114)/SUM(基础状态预期!$F114:$J114),AW100)</f>
        <v>0.22810836804371384</v>
      </c>
      <c r="BA101" s="29">
        <v>80</v>
      </c>
      <c r="BB101" s="29">
        <f t="shared" si="49"/>
        <v>135.54416694751566</v>
      </c>
      <c r="BC101" s="29">
        <f t="shared" si="50"/>
        <v>0.97128057656370226</v>
      </c>
      <c r="BD101" s="29">
        <f>(BB101-BB100)*(INDEX([2]中r将兵属性验证!$V$7:$V$166,$BA101,1)+INDEX([2]中r将兵属性验证!$AP$7:$AP$166,$BA101,1))+BD100</f>
        <v>7450943905.303875</v>
      </c>
      <c r="BE101" s="29" t="e">
        <f>(BC101-BC100)*(INDEX([2]中r将兵属性验证!$AC$7:$AC$166,$BA101,1)*[2]战法技能效用!$AB$4+INDEX([2]中r将兵属性验证!$AX$7:$AX$166,$BA101,1)*[2]战法技能效用!$AC$4)+BE100</f>
        <v>#VALUE!</v>
      </c>
      <c r="BF101" s="75" t="e">
        <f t="shared" si="56"/>
        <v>#VALUE!</v>
      </c>
      <c r="BJ101" s="29">
        <f t="shared" si="54"/>
        <v>53.212684955585161</v>
      </c>
      <c r="BK101" s="75">
        <f>武将数量星级阶位验证!AT104</f>
        <v>209839.97098140605</v>
      </c>
      <c r="BL101" s="75">
        <f>(AD101-AD100)*INDEX('[1]功能-付费相关'!$AS$6:$AS$165,BJ101,1)+BL100</f>
        <v>959.22465605821708</v>
      </c>
      <c r="BN101" s="29">
        <v>80</v>
      </c>
      <c r="BO101" s="29">
        <f t="shared" si="52"/>
        <v>883411.10578093398</v>
      </c>
      <c r="BP101" s="29">
        <f t="shared" si="53"/>
        <v>6658.2136314336894</v>
      </c>
      <c r="BQ101" s="29">
        <f t="shared" si="55"/>
        <v>890069.31941236765</v>
      </c>
    </row>
    <row r="102" spans="2:69" x14ac:dyDescent="0.15">
      <c r="M102" s="72">
        <v>12</v>
      </c>
      <c r="N102" s="29">
        <f>基础状态预期!D115</f>
        <v>59.09095196730258</v>
      </c>
      <c r="O102" s="29">
        <f>IF(基础状态预期!F115="",0,求节点($C$104:$C$112,D$104:D$112,基础状态预期!K115))</f>
        <v>0</v>
      </c>
      <c r="P102" s="29">
        <f>IF(基础状态预期!G115="",0,求节点($C$104:$C$112,E$104:E$112,基础状态预期!L115))</f>
        <v>0</v>
      </c>
      <c r="Q102" s="29">
        <f>IF(基础状态预期!H115="",0,求节点($C$104:$C$112,F$104:F$112,基础状态预期!M115))</f>
        <v>0</v>
      </c>
      <c r="R102" s="29">
        <f>IF(基础状态预期!I115="",0,求节点($C$104:$C$112,G$104:G$112,基础状态预期!N115))</f>
        <v>6.8527976577476259</v>
      </c>
      <c r="S102" s="29">
        <f>IF(基础状态预期!J115="",0,求节点($C$104:$C$112,H$104:H$112,基础状态预期!O115))</f>
        <v>2.5542265669690796</v>
      </c>
      <c r="T102" s="29">
        <f>IF(基础状态预期!F115="",0,求节点($C$114:$C$122,D$114:D$122,基础状态预期!K115)*基础状态预期!F115+求节点($C$124:$C$132,D$124:D$132,基础状态预期!$O115)*基础状态预期!$J115)</f>
        <v>0</v>
      </c>
      <c r="U102" s="29">
        <f>IF(基础状态预期!G115="",0,求节点($C$114:$C$122,E$114:E$122,基础状态预期!L115)*基础状态预期!G115+求节点($C$124:$C$132,E$124:E$132,基础状态预期!$O115)*基础状态预期!$J115)</f>
        <v>0</v>
      </c>
      <c r="V102" s="29">
        <f>IF(基础状态预期!H115="",0,求节点($C$114:$C$122,F$114:F$122,基础状态预期!M115)*基础状态预期!H115+求节点($C$124:$C$132,F$124:F$132,基础状态预期!$O115)*基础状态预期!$J115)</f>
        <v>0</v>
      </c>
      <c r="W102" s="148">
        <f>IF(基础状态预期!I115="",0,求节点($C$114:$C$122,G$114:G$122,基础状态预期!N115)*基础状态预期!I115)+IF(基础状态预期!O115="",0,求节点($C$124:$C$132,G$124:G$132,基础状态预期!$O115)*基础状态预期!$J115)</f>
        <v>7.4111906309905038</v>
      </c>
      <c r="X102" s="29">
        <f>IF(基础状态预期!J115="",0,求节点($C$114:$C$122,H$114:H$122,基础状态预期!O115)*基础状态预期!J115+求节点($C$124:$C$132,H$124:H$132,基础状态预期!$O115)*基础状态预期!$J115)</f>
        <v>0</v>
      </c>
      <c r="Y102" s="14">
        <f>IF(基础状态预期!K115="",0,求节点($C$92:$C$100,D$92:D$100,基础状态预期!K115))</f>
        <v>0</v>
      </c>
      <c r="Z102" s="14">
        <f>IF(基础状态预期!L115="",0,求节点($C$92:$C$100,E$92:E$100,基础状态预期!L115))</f>
        <v>0</v>
      </c>
      <c r="AA102" s="14">
        <f>IF(基础状态预期!M115="",0,求节点($C$92:$C$100,F$92:F$100,基础状态预期!M115))</f>
        <v>0</v>
      </c>
      <c r="AB102" s="14">
        <f>IF(基础状态预期!N115="",0,求节点($C$92:$C$100,G$92:G$100,基础状态预期!N115))</f>
        <v>218223.81261981008</v>
      </c>
      <c r="AC102" s="14">
        <f>IF(基础状态预期!O115="",0,求节点($C$92:$C$100,H$92:H$100,基础状态预期!O115))</f>
        <v>31626.797009072387</v>
      </c>
      <c r="AD102" s="29">
        <f>MAX(SUMPRODUCT(Y102:AC102,基础状态预期!F115:J115),AD101)</f>
        <v>936148.84449738509</v>
      </c>
      <c r="AF102" s="29" t="str">
        <f>IF(基础状态预期!K115="","",基础状态预期!K115*D$59+D$58)</f>
        <v/>
      </c>
      <c r="AG102" s="29" t="str">
        <f>IF(基础状态预期!L115="","",基础状态预期!L115*E$59+E$58)</f>
        <v/>
      </c>
      <c r="AH102" s="29" t="str">
        <f>IF(基础状态预期!M115="","",基础状态预期!M115*F$59+F$58)</f>
        <v/>
      </c>
      <c r="AI102" s="29">
        <f>IF(基础状态预期!N115="","",基础状态预期!N115*G$59+G$58)</f>
        <v>107.13199414436906</v>
      </c>
      <c r="AJ102" s="29">
        <f>IF(基础状态预期!O115="","",基础状态预期!O115*H$59+H$58)</f>
        <v>109.32535940181448</v>
      </c>
      <c r="AK102" s="29">
        <f>MAX(SUMPRODUCT(AF102:AJ102,基础状态预期!$F115:$J115)/SUM(基础状态预期!$F115:$J115),AK101)</f>
        <v>107.86311589685086</v>
      </c>
      <c r="AL102" s="29">
        <f>IF(基础状态预期!K115="",0,求节点($C$68:$C$76,D$68:D$76,基础状态预期!K115))</f>
        <v>0</v>
      </c>
      <c r="AM102" s="29">
        <f>IF(基础状态预期!L115="",0,求节点($C$68:$C$76,E$68:E$76,基础状态预期!L115))</f>
        <v>0</v>
      </c>
      <c r="AN102" s="29">
        <f>IF(基础状态预期!M115="",0,求节点($C$68:$C$76,F$68:F$76,基础状态预期!M115)*求节点(武将升级!$H$52:$H$54,武将升级!$J$52:$J$54,基础状态预期!W115))</f>
        <v>0</v>
      </c>
      <c r="AO102" s="29">
        <f>IF(基础状态预期!N115="",0,求节点($C$68:$C$76,G$68:G$76,基础状态预期!N115)*求节点(武将升级!$H$52:$H$54,武将升级!$J$52:$J$54,基础状态预期!X115))</f>
        <v>0.53470071567891453</v>
      </c>
      <c r="AP102" s="29">
        <f>IF(基础状态预期!O115="",0,求节点($C$68:$C$76,H$68:H$76,基础状态预期!O115)*求节点(武将升级!$H$52:$H$54,武将升级!$J$52:$J$54,基础状态预期!Y115))</f>
        <v>0.62433812535752631</v>
      </c>
      <c r="AQ102" s="29">
        <f>MAX(SUMPRODUCT(AL102:AP102,基础状态预期!$F115:$J115)/SUM(基础状态预期!$F115:$J115),AQ101)</f>
        <v>0.56457985223845186</v>
      </c>
      <c r="AR102" s="29">
        <f>IF(基础状态预期!K115="",0,求节点($C$158:$C$166,D$158:D$166,基础状态预期!K115))</f>
        <v>0</v>
      </c>
      <c r="AS102" s="29">
        <f>IF(基础状态预期!L115="",0,求节点($C$158:$C$166,E$158:E$166,基础状态预期!L115))</f>
        <v>0</v>
      </c>
      <c r="AT102" s="29">
        <f>IF(基础状态预期!M115="",0,求节点($C$158:$C$166,F$158:F$166,基础状态预期!M115))</f>
        <v>0</v>
      </c>
      <c r="AU102" s="29">
        <f>IF(基础状态预期!N115="",0,求节点($C$158:$C$166,G$158:G$166,基础状态预期!N115))</f>
        <v>0.3098479180211669</v>
      </c>
      <c r="AV102" s="29">
        <f>IF(基础状态预期!O115="",0,求节点($C$158:$C$166,H$158:H$166,基础状态预期!O115))</f>
        <v>0.15542265669690797</v>
      </c>
      <c r="AW102" s="29">
        <f>MAX(SUMPRODUCT(AR102:AV102,基础状态预期!$F115:$J115)/SUM(基础状态预期!$F115:$J115),AW101)</f>
        <v>0.25837283091308061</v>
      </c>
      <c r="BA102" s="29">
        <v>90</v>
      </c>
      <c r="BB102" s="29">
        <f t="shared" si="49"/>
        <v>147.75293778613269</v>
      </c>
      <c r="BC102" s="29">
        <f t="shared" si="50"/>
        <v>1.1378865430595604</v>
      </c>
      <c r="BD102" s="29">
        <f>(BB102-BB101)*(INDEX([2]中r将兵属性验证!$V$7:$V$166,$BA102,1)+INDEX([2]中r将兵属性验证!$AP$7:$AP$166,$BA102,1))+BD101</f>
        <v>17991570418.965111</v>
      </c>
      <c r="BE102" s="29" t="e">
        <f>(BC102-BC101)*(INDEX([2]中r将兵属性验证!$AC$7:$AC$166,$BA102,1)*[2]战法技能效用!$AB$4+INDEX([2]中r将兵属性验证!$AX$7:$AX$166,$BA102,1)*[2]战法技能效用!$AC$4)+BE101</f>
        <v>#VALUE!</v>
      </c>
      <c r="BF102" s="75" t="e">
        <f t="shared" si="56"/>
        <v>#VALUE!</v>
      </c>
      <c r="BJ102" s="29">
        <f t="shared" si="54"/>
        <v>59.09095196730258</v>
      </c>
      <c r="BK102" s="75">
        <f>武将数量星级阶位验证!AT105</f>
        <v>288170.62869484554</v>
      </c>
      <c r="BL102" s="75">
        <f>(AD102-AD101)*INDEX('[1]功能-付费相关'!$AS$6:$AS$165,BJ102,1)+BL101</f>
        <v>1329.2888322737408</v>
      </c>
      <c r="BN102" s="29">
        <v>90</v>
      </c>
      <c r="BO102" s="29">
        <f t="shared" si="52"/>
        <v>1456131.4525170254</v>
      </c>
      <c r="BP102" s="29">
        <f t="shared" si="53"/>
        <v>23569.64425652126</v>
      </c>
      <c r="BQ102" s="29">
        <f t="shared" si="55"/>
        <v>1479701.0967735467</v>
      </c>
    </row>
    <row r="103" spans="2:69" x14ac:dyDescent="0.15">
      <c r="B103" s="169" t="s">
        <v>410</v>
      </c>
      <c r="C103" s="14" t="s">
        <v>175</v>
      </c>
      <c r="D103" s="29" t="s">
        <v>3</v>
      </c>
      <c r="E103" s="29" t="s">
        <v>1</v>
      </c>
      <c r="F103" s="29" t="s">
        <v>2</v>
      </c>
      <c r="G103" s="29" t="s">
        <v>0</v>
      </c>
      <c r="H103" s="14" t="s">
        <v>545</v>
      </c>
      <c r="I103" s="14" t="s">
        <v>30</v>
      </c>
      <c r="M103" s="72">
        <v>13</v>
      </c>
      <c r="N103" s="29">
        <f>基础状态预期!D116</f>
        <v>64.819145630244321</v>
      </c>
      <c r="O103" s="29">
        <f>IF(基础状态预期!F116="",0,求节点($C$104:$C$112,D$104:D$112,基础状态预期!K116))</f>
        <v>0</v>
      </c>
      <c r="P103" s="29">
        <f>IF(基础状态预期!G116="",0,求节点($C$104:$C$112,E$104:E$112,基础状态预期!L116))</f>
        <v>0</v>
      </c>
      <c r="Q103" s="29">
        <f>IF(基础状态预期!H116="",0,求节点($C$104:$C$112,F$104:F$112,基础状态预期!M116))</f>
        <v>0</v>
      </c>
      <c r="R103" s="29">
        <f>IF(基础状态预期!I116="",0,求节点($C$104:$C$112,G$104:G$112,基础状态预期!N116))</f>
        <v>7.7639784614901934</v>
      </c>
      <c r="S103" s="29">
        <f>IF(基础状态预期!J116="",0,求节点($C$104:$C$112,H$104:H$112,基础状态预期!O116))</f>
        <v>5.418721730025557</v>
      </c>
      <c r="T103" s="29">
        <f>IF(基础状态预期!F116="",0,求节点($C$114:$C$122,D$114:D$122,基础状态预期!K116)*基础状态预期!F116+求节点($C$124:$C$132,D$124:D$132,基础状态预期!$O116)*基础状态预期!$J116)</f>
        <v>0</v>
      </c>
      <c r="U103" s="29">
        <f>IF(基础状态预期!G116="",0,求节点($C$114:$C$122,E$114:E$122,基础状态预期!L116)*基础状态预期!G116+求节点($C$124:$C$132,E$124:E$132,基础状态预期!$O116)*基础状态预期!$J116)</f>
        <v>0</v>
      </c>
      <c r="V103" s="29">
        <f>IF(基础状态预期!H116="",0,求节点($C$114:$C$122,F$114:F$122,基础状态预期!M116)*基础状态预期!H116+求节点($C$124:$C$132,F$124:F$132,基础状态预期!$O116)*基础状态预期!$J116)</f>
        <v>0</v>
      </c>
      <c r="W103" s="148">
        <f>IF(基础状态预期!I116="",0,求节点($C$114:$C$122,G$114:G$122,基础状态预期!N116)*基础状态预期!I116)+IF(基础状态预期!O116="",0,求节点($C$124:$C$132,G$124:G$132,基础状态预期!$O116)*基础状态预期!$J116)</f>
        <v>17.29193538447058</v>
      </c>
      <c r="X103" s="29">
        <f>IF(基础状态预期!J116="",0,求节点($C$114:$C$122,H$114:H$122,基础状态预期!O116)*基础状态预期!J116+求节点($C$124:$C$132,H$124:H$132,基础状态预期!$O116)*基础状态预期!$J116)</f>
        <v>0</v>
      </c>
      <c r="Y103" s="14">
        <f>IF(基础状态预期!K116="",0,求节点($C$92:$C$100,D$92:D$100,基础状态预期!K116))</f>
        <v>0</v>
      </c>
      <c r="Z103" s="14">
        <f>IF(基础状态预期!L116="",0,求节点($C$92:$C$100,E$92:E$100,基础状态预期!L116))</f>
        <v>0</v>
      </c>
      <c r="AA103" s="14">
        <f>IF(基础状态预期!M116="",0,求节点($C$92:$C$100,F$92:F$100,基础状态预期!M116))</f>
        <v>0</v>
      </c>
      <c r="AB103" s="14">
        <f>IF(基础状态预期!N116="",0,求节点($C$92:$C$100,G$92:G$100,基础状态预期!N116))</f>
        <v>291118.27691921545</v>
      </c>
      <c r="AC103" s="14">
        <f>IF(基础状态预期!O116="",0,求节点($C$92:$C$100,H$92:H$100,基础状态预期!O116))</f>
        <v>190123.30380153342</v>
      </c>
      <c r="AD103" s="29">
        <f>MAX(SUMPRODUCT(Y103:AC103,基础状态预期!F116:J116),AD102)</f>
        <v>1443724.7421622467</v>
      </c>
      <c r="AF103" s="29" t="str">
        <f>IF(基础状态预期!K116="","",基础状态预期!K116*D$59+D$58)</f>
        <v/>
      </c>
      <c r="AG103" s="29" t="str">
        <f>IF(基础状态预期!L116="","",基础状态预期!L116*E$59+E$58)</f>
        <v/>
      </c>
      <c r="AH103" s="29" t="str">
        <f>IF(基础状态预期!M116="","",基础状态预期!M116*F$59+F$58)</f>
        <v/>
      </c>
      <c r="AI103" s="29">
        <f>IF(基础状态预期!N116="","",基础状态预期!N116*G$59+G$58)</f>
        <v>109.40994615372549</v>
      </c>
      <c r="AJ103" s="29">
        <f>IF(基础状态预期!O116="","",基础状态预期!O116*H$59+H$58)</f>
        <v>122.25616519007667</v>
      </c>
      <c r="AK103" s="29">
        <f>MAX(SUMPRODUCT(AF103:AJ103,基础状态预期!$F116:$J116)/SUM(基础状态预期!$F116:$J116),AK102)</f>
        <v>115.83305567190108</v>
      </c>
      <c r="AL103" s="29">
        <f>IF(基础状态预期!K116="",0,求节点($C$68:$C$76,D$68:D$76,基础状态预期!K116))</f>
        <v>0</v>
      </c>
      <c r="AM103" s="29">
        <f>IF(基础状态预期!L116="",0,求节点($C$68:$C$76,E$68:E$76,基础状态预期!L116))</f>
        <v>0</v>
      </c>
      <c r="AN103" s="29">
        <f>IF(基础状态预期!M116="",0,求节点($C$68:$C$76,F$68:F$76,基础状态预期!M116)*求节点(武将升级!$H$52:$H$54,武将升级!$J$52:$J$54,基础状态预期!W116))</f>
        <v>0</v>
      </c>
      <c r="AO103" s="29">
        <f>IF(基础状态预期!N116="",0,求节点($C$68:$C$76,G$68:G$76,基础状态预期!N116)*求节点(武将升级!$H$52:$H$54,武将升级!$J$52:$J$54,基础状态预期!X116))</f>
        <v>0.56750322461364699</v>
      </c>
      <c r="AP103" s="29">
        <f>IF(基础状态预期!O116="",0,求节点($C$68:$C$76,H$68:H$76,基础状态预期!O116)*求节点(武将升级!$H$52:$H$54,武将升级!$J$52:$J$54,基础状态预期!Y116))</f>
        <v>0.79674886920102217</v>
      </c>
      <c r="AQ103" s="29">
        <f>MAX(SUMPRODUCT(AL103:AP103,基础状态预期!$F116:$J116)/SUM(基础状态预期!$F116:$J116),AQ102)</f>
        <v>0.68212604690733458</v>
      </c>
      <c r="AR103" s="29">
        <f>IF(基础状态预期!K116="",0,求节点($C$158:$C$166,D$158:D$166,基础状态预期!K116))</f>
        <v>0</v>
      </c>
      <c r="AS103" s="29">
        <f>IF(基础状态预期!L116="",0,求节点($C$158:$C$166,E$158:E$166,基础状态预期!L116))</f>
        <v>0</v>
      </c>
      <c r="AT103" s="29">
        <f>IF(基础状态预期!M116="",0,求节点($C$158:$C$166,F$158:F$166,基础状态预期!M116))</f>
        <v>0</v>
      </c>
      <c r="AU103" s="29">
        <f>IF(基础状态预期!N116="",0,求节点($C$158:$C$166,G$158:G$166,基础状态预期!N116))</f>
        <v>0.34173924615215678</v>
      </c>
      <c r="AV103" s="29">
        <f>IF(基础状态预期!O116="",0,求节点($C$158:$C$166,H$158:H$166,基础状态预期!O116))</f>
        <v>0.37093608650127785</v>
      </c>
      <c r="AW103" s="29">
        <f>MAX(SUMPRODUCT(AR103:AV103,基础状态预期!$F116:$J116)/SUM(基础状态预期!$F116:$J116),AW102)</f>
        <v>0.35633766632671726</v>
      </c>
      <c r="BA103" s="29">
        <v>100</v>
      </c>
      <c r="BB103" s="29">
        <f t="shared" si="49"/>
        <v>148</v>
      </c>
      <c r="BC103" s="29">
        <f t="shared" si="50"/>
        <v>1.1399999999999999</v>
      </c>
      <c r="BD103" s="29">
        <f>(BB103-BB102)*(INDEX([2]中r将兵属性验证!$V$7:$V$166,$BA103,1)+INDEX([2]中r将兵属性验证!$AP$7:$AP$166,$BA103,1))+BD102</f>
        <v>18483173468.988022</v>
      </c>
      <c r="BE103" s="29" t="e">
        <f>(BC103-BC102)*(INDEX([2]中r将兵属性验证!$AC$7:$AC$166,$BA103,1)*[2]战法技能效用!$AB$4+INDEX([2]中r将兵属性验证!$AX$7:$AX$166,$BA103,1)*[2]战法技能效用!$AC$4)+BE102</f>
        <v>#VALUE!</v>
      </c>
      <c r="BF103" s="75" t="e">
        <f t="shared" si="56"/>
        <v>#VALUE!</v>
      </c>
      <c r="BJ103" s="29">
        <f t="shared" si="54"/>
        <v>64.819145630244321</v>
      </c>
      <c r="BK103" s="75">
        <f>武将数量星级阶位验证!AT106</f>
        <v>399647.74925623066</v>
      </c>
      <c r="BL103" s="75">
        <f>(AD103-AD102)*INDEX('[1]功能-付费相关'!$AS$6:$AS$165,BJ103,1)+BL102</f>
        <v>1939.3560169670841</v>
      </c>
      <c r="BN103" s="29">
        <v>100</v>
      </c>
      <c r="BO103" s="29">
        <f t="shared" si="52"/>
        <v>2449206.9539509043</v>
      </c>
      <c r="BP103" s="29">
        <f t="shared" si="53"/>
        <v>24025.759112891668</v>
      </c>
      <c r="BQ103" s="29">
        <f t="shared" si="55"/>
        <v>2473232.7130637961</v>
      </c>
    </row>
    <row r="104" spans="2:69" x14ac:dyDescent="0.15">
      <c r="B104" s="170"/>
      <c r="C104" s="14">
        <v>0</v>
      </c>
      <c r="D104" s="29">
        <f>SUM(D$5:D5)</f>
        <v>1</v>
      </c>
      <c r="E104" s="29">
        <f>SUM(E$5:E5)</f>
        <v>1</v>
      </c>
      <c r="F104" s="29">
        <f>SUM(F$5:F5)</f>
        <v>1</v>
      </c>
      <c r="G104" s="29">
        <f>SUM(G$5:G5)</f>
        <v>1</v>
      </c>
      <c r="H104" s="29">
        <f>SUM(H$5:H5)</f>
        <v>1</v>
      </c>
      <c r="I104" s="29">
        <f>SUM(I$5:I5)</f>
        <v>1</v>
      </c>
      <c r="M104" s="72">
        <v>14</v>
      </c>
      <c r="N104" s="29">
        <f>基础状态预期!D117</f>
        <v>69.01697485309198</v>
      </c>
      <c r="O104" s="29">
        <f>IF(基础状态预期!F117="",0,求节点($C$104:$C$112,D$104:D$112,基础状态预期!K117))</f>
        <v>0</v>
      </c>
      <c r="P104" s="29">
        <f>IF(基础状态预期!G117="",0,求节点($C$104:$C$112,E$104:E$112,基础状态预期!L117))</f>
        <v>0</v>
      </c>
      <c r="Q104" s="29">
        <f>IF(基础状态预期!H117="",0,求节点($C$104:$C$112,F$104:F$112,基础状态预期!M117))</f>
        <v>0</v>
      </c>
      <c r="R104" s="29">
        <f>IF(基础状态预期!I117="",0,求节点($C$104:$C$112,G$104:G$112,基础状态预期!N117))</f>
        <v>8.6436512355409789</v>
      </c>
      <c r="S104" s="29">
        <f>IF(基础状态预期!J117="",0,求节点($C$104:$C$112,H$104:H$112,基础状态预期!O117))</f>
        <v>6.7328142002096065</v>
      </c>
      <c r="T104" s="29">
        <f>IF(基础状态预期!F117="",0,求节点($C$114:$C$122,D$114:D$122,基础状态预期!K117)*基础状态预期!F117+求节点($C$124:$C$132,D$124:D$132,基础状态预期!$O117)*基础状态预期!$J117)</f>
        <v>0</v>
      </c>
      <c r="U104" s="29">
        <f>IF(基础状态预期!G117="",0,求节点($C$114:$C$122,E$114:E$122,基础状态预期!L117)*基础状态预期!G117+求节点($C$124:$C$132,E$124:E$132,基础状态预期!$O117)*基础状态预期!$J117)</f>
        <v>0</v>
      </c>
      <c r="V104" s="29">
        <f>IF(基础状态预期!H117="",0,求节点($C$114:$C$122,F$114:F$122,基础状态预期!M117)*基础状态预期!H117+求节点($C$124:$C$132,F$124:F$132,基础状态预期!$O117)*基础状态预期!$J117)</f>
        <v>0</v>
      </c>
      <c r="W104" s="148">
        <f>IF(基础状态预期!I117="",0,求节点($C$114:$C$122,G$114:G$122,基础状态预期!N117)*基础状态预期!I117)+IF(基础状态预期!O117="",0,求节点($C$124:$C$132,G$124:G$132,基础状态预期!$O117)*基础状态预期!$J117)</f>
        <v>22.396885201257639</v>
      </c>
      <c r="X104" s="29">
        <f>IF(基础状态预期!J117="",0,求节点($C$114:$C$122,H$114:H$122,基础状态预期!O117)*基础状态预期!J117+求节点($C$124:$C$132,H$124:H$132,基础状态预期!$O117)*基础状态预期!$J117)</f>
        <v>0</v>
      </c>
      <c r="Y104" s="14">
        <f>IF(基础状态预期!K117="",0,求节点($C$92:$C$100,D$92:D$100,基础状态预期!K117))</f>
        <v>0</v>
      </c>
      <c r="Z104" s="14">
        <f>IF(基础状态预期!L117="",0,求节点($C$92:$C$100,E$92:E$100,基础状态预期!L117))</f>
        <v>0</v>
      </c>
      <c r="AA104" s="14">
        <f>IF(基础状态预期!M117="",0,求节点($C$92:$C$100,F$92:F$100,基础状态预期!M117))</f>
        <v>0</v>
      </c>
      <c r="AB104" s="14">
        <f>IF(基础状态预期!N117="",0,求节点($C$92:$C$100,G$92:G$100,基础状态预期!N117))</f>
        <v>378656.13179103774</v>
      </c>
      <c r="AC104" s="14">
        <f>IF(基础状态预期!O117="",0,求节点($C$92:$C$100,H$92:H$100,基础状态预期!O117))</f>
        <v>312937.70402515278</v>
      </c>
      <c r="AD104" s="29">
        <f>MAX(SUMPRODUCT(Y104:AC104,基础状态预期!F117:J117),AD103)</f>
        <v>2009063.0796826866</v>
      </c>
      <c r="AF104" s="29" t="str">
        <f>IF(基础状态预期!K117="","",基础状态预期!K117*D$59+D$58)</f>
        <v/>
      </c>
      <c r="AG104" s="29" t="str">
        <f>IF(基础状态预期!L117="","",基础状态预期!L117*E$59+E$58)</f>
        <v/>
      </c>
      <c r="AH104" s="29" t="str">
        <f>IF(基础状态预期!M117="","",基础状态预期!M117*F$59+F$58)</f>
        <v/>
      </c>
      <c r="AI104" s="29">
        <f>IF(基础状态预期!N117="","",基础状态预期!N117*G$59+G$58)</f>
        <v>111.07275205923497</v>
      </c>
      <c r="AJ104" s="29">
        <f>IF(基础状态预期!O117="","",基础状态预期!O117*H$59+H$58)</f>
        <v>126.19844260062882</v>
      </c>
      <c r="AK104" s="29">
        <f>MAX(SUMPRODUCT(AF104:AJ104,基础状态预期!$F117:$J117)/SUM(基础状态预期!$F117:$J117),AK103)</f>
        <v>121.15654575349754</v>
      </c>
      <c r="AL104" s="29">
        <f>IF(基础状态预期!K117="",0,求节点($C$68:$C$76,D$68:D$76,基础状态预期!K117))</f>
        <v>0</v>
      </c>
      <c r="AM104" s="29">
        <f>IF(基础状态预期!L117="",0,求节点($C$68:$C$76,E$68:E$76,基础状态预期!L117))</f>
        <v>0</v>
      </c>
      <c r="AN104" s="29">
        <f>IF(基础状态预期!M117="",0,求节点($C$68:$C$76,F$68:F$76,基础状态预期!M117)*求节点(武将升级!$H$52:$H$54,武将升级!$J$52:$J$54,基础状态预期!W117))</f>
        <v>0</v>
      </c>
      <c r="AO104" s="29">
        <f>IF(基础状态预期!N117="",0,求节点($C$68:$C$76,G$68:G$76,基础状态预期!N117)*求节点(武将升级!$H$52:$H$54,武将升级!$J$52:$J$54,基础状态预期!X117))</f>
        <v>0.59144762965298359</v>
      </c>
      <c r="AP104" s="29">
        <f>IF(基础状态预期!O117="",0,求节点($C$68:$C$76,H$68:H$76,基础状态预期!O117)*求节点(武将升级!$H$52:$H$54,武将升级!$J$52:$J$54,基础状态预期!Y117))</f>
        <v>0.84931256800838406</v>
      </c>
      <c r="AQ104" s="29">
        <f>MAX(SUMPRODUCT(AL104:AP104,基础状态预期!$F117:$J117)/SUM(基础状态预期!$F117:$J117),AQ103)</f>
        <v>0.76335758855658398</v>
      </c>
      <c r="AR104" s="29">
        <f>IF(基础状态预期!K117="",0,求节点($C$158:$C$166,D$158:D$166,基础状态预期!K117))</f>
        <v>0</v>
      </c>
      <c r="AS104" s="29">
        <f>IF(基础状态预期!L117="",0,求节点($C$158:$C$166,E$158:E$166,基础状态预期!L117))</f>
        <v>0</v>
      </c>
      <c r="AT104" s="29">
        <f>IF(基础状态预期!M117="",0,求节点($C$158:$C$166,F$158:F$166,基础状态预期!M117))</f>
        <v>0</v>
      </c>
      <c r="AU104" s="29">
        <f>IF(基础状态预期!N117="",0,求节点($C$158:$C$166,G$158:G$166,基础状态预期!N117))</f>
        <v>0.36501852882928948</v>
      </c>
      <c r="AV104" s="29">
        <f>IF(基础状态预期!O117="",0,求节点($C$158:$C$166,H$158:H$166,基础状态预期!O117))</f>
        <v>0.43664071001048033</v>
      </c>
      <c r="AW104" s="29">
        <f>MAX(SUMPRODUCT(AR104:AV104,基础状态预期!$F117:$J117)/SUM(基础状态预期!$F117:$J117),AW103)</f>
        <v>0.41276664961675008</v>
      </c>
      <c r="BA104" s="29">
        <v>110</v>
      </c>
      <c r="BB104" s="29">
        <f t="shared" si="49"/>
        <v>148</v>
      </c>
      <c r="BC104" s="29">
        <f t="shared" si="50"/>
        <v>1.1399999999999999</v>
      </c>
      <c r="BD104" s="29">
        <f>(BB104-BB103)*(INDEX([2]中r将兵属性验证!$V$7:$V$166,$BA104,1)+INDEX([2]中r将兵属性验证!$AP$7:$AP$166,$BA104,1))+BD103</f>
        <v>18483173468.988022</v>
      </c>
      <c r="BE104" s="29" t="e">
        <f>(BC104-BC103)*(INDEX([2]中r将兵属性验证!$AC$7:$AC$166,$BA104,1)*[2]战法技能效用!$AB$4+INDEX([2]中r将兵属性验证!$AX$7:$AX$166,$BA104,1)*[2]战法技能效用!$AC$4)+BE103</f>
        <v>#VALUE!</v>
      </c>
      <c r="BF104" s="75" t="e">
        <f t="shared" si="56"/>
        <v>#VALUE!</v>
      </c>
      <c r="BJ104" s="29">
        <f t="shared" si="54"/>
        <v>69.01697485309198</v>
      </c>
      <c r="BK104" s="75">
        <f>武将数量星级阶位验证!AT107</f>
        <v>506398.66536384821</v>
      </c>
      <c r="BL104" s="75">
        <f>(AD104-AD103)*INDEX('[1]功能-付费相关'!$AS$6:$AS$165,BJ104,1)+BL103</f>
        <v>2587.6797985272215</v>
      </c>
      <c r="BN104" s="29">
        <v>110</v>
      </c>
      <c r="BO104" s="29">
        <f t="shared" ref="BO104:BO109" si="57">求节点($BJ$94:$BJ$132,BK$94:BK$132,$BN104)</f>
        <v>4463116.6078440268</v>
      </c>
      <c r="BP104" s="29">
        <f t="shared" ref="BP104:BP109" si="58">求节点($BJ$94:$BJ$132,BL$94:BL$132,$BN104)</f>
        <v>24025.759112891668</v>
      </c>
      <c r="BQ104" s="29">
        <f t="shared" ref="BQ104:BQ109" si="59">SUM(BO104:BP104)</f>
        <v>4487142.3669569185</v>
      </c>
    </row>
    <row r="105" spans="2:69" x14ac:dyDescent="0.15">
      <c r="B105" s="170"/>
      <c r="C105" s="14">
        <v>1</v>
      </c>
      <c r="D105" s="29">
        <f>SUM(D$5:D6)</f>
        <v>1</v>
      </c>
      <c r="E105" s="29">
        <f>SUM(E$5:E6)</f>
        <v>2</v>
      </c>
      <c r="F105" s="29">
        <f>SUM(F$5:F6)</f>
        <v>2</v>
      </c>
      <c r="G105" s="29">
        <f>SUM(G$5:G6)</f>
        <v>2</v>
      </c>
      <c r="H105" s="29">
        <f>SUM(H$5:H6)</f>
        <v>2</v>
      </c>
      <c r="I105" s="29">
        <f>SUM(I$5:I6)</f>
        <v>2</v>
      </c>
      <c r="M105" s="72">
        <v>15</v>
      </c>
      <c r="N105" s="29">
        <f>基础状态预期!D118</f>
        <v>72.23150684883845</v>
      </c>
      <c r="O105" s="29">
        <f>IF(基础状态预期!F118="",0,求节点($C$104:$C$112,D$104:D$112,基础状态预期!K118))</f>
        <v>0</v>
      </c>
      <c r="P105" s="29">
        <f>IF(基础状态预期!G118="",0,求节点($C$104:$C$112,E$104:E$112,基础状态预期!L118))</f>
        <v>0</v>
      </c>
      <c r="Q105" s="29">
        <f>IF(基础状态预期!H118="",0,求节点($C$104:$C$112,F$104:F$112,基础状态预期!M118))</f>
        <v>0</v>
      </c>
      <c r="R105" s="29">
        <f>IF(基础状态预期!I118="",0,求节点($C$104:$C$112,G$104:G$112,基础状态预期!N118))</f>
        <v>9.4154196479894878</v>
      </c>
      <c r="S105" s="29">
        <f>IF(基础状态预期!J118="",0,求节点($C$104:$C$112,H$104:H$112,基础状态预期!O118))</f>
        <v>7.1975565975132163</v>
      </c>
      <c r="T105" s="29">
        <f>IF(基础状态预期!F118="",0,求节点($C$114:$C$122,D$114:D$122,基础状态预期!K118)*基础状态预期!F118+求节点($C$124:$C$132,D$124:D$132,基础状态预期!$O118)*基础状态预期!$J118)</f>
        <v>0</v>
      </c>
      <c r="U105" s="29">
        <f>IF(基础状态预期!G118="",0,求节点($C$114:$C$122,E$114:E$122,基础状态预期!L118)*基础状态预期!G118+求节点($C$124:$C$132,E$124:E$132,基础状态预期!$O118)*基础状态预期!$J118)</f>
        <v>0</v>
      </c>
      <c r="V105" s="29">
        <f>IF(基础状态预期!H118="",0,求节点($C$114:$C$122,F$114:F$122,基础状态预期!M118)*基础状态预期!H118+求节点($C$124:$C$132,F$124:F$132,基础状态预期!$O118)*基础状态预期!$J118)</f>
        <v>0</v>
      </c>
      <c r="W105" s="148">
        <f>IF(基础状态预期!I118="",0,求节点($C$114:$C$122,G$114:G$122,基础状态预期!N118)*基础状态预期!I118)+IF(基础状态预期!O118="",0,求节点($C$124:$C$132,G$124:G$132,基础状态预期!$O118)*基础状态预期!$J118)</f>
        <v>26.981674481349124</v>
      </c>
      <c r="X105" s="29">
        <f>IF(基础状态预期!J118="",0,求节点($C$114:$C$122,H$114:H$122,基础状态预期!O118)*基础状态预期!J118+求节点($C$124:$C$132,H$124:H$132,基础状态预期!$O118)*基础状态预期!$J118)</f>
        <v>0</v>
      </c>
      <c r="Y105" s="14">
        <f>IF(基础状态预期!K118="",0,求节点($C$92:$C$100,D$92:D$100,基础状态预期!K118))</f>
        <v>0</v>
      </c>
      <c r="Z105" s="14">
        <f>IF(基础状态预期!L118="",0,求节点($C$92:$C$100,E$92:E$100,基础状态预期!L118))</f>
        <v>0</v>
      </c>
      <c r="AA105" s="14">
        <f>IF(基础状态预期!M118="",0,求节点($C$92:$C$100,F$92:F$100,基础状态预期!M118))</f>
        <v>0</v>
      </c>
      <c r="AB105" s="14">
        <f>IF(基础状态预期!N118="",0,求节点($C$92:$C$100,G$92:G$100,基础状态预期!N118))</f>
        <v>460978.09578554548</v>
      </c>
      <c r="AC105" s="14">
        <f>IF(基础状态预期!O118="",0,求节点($C$92:$C$100,H$92:H$100,基础状态预期!O118))</f>
        <v>368706.79170158599</v>
      </c>
      <c r="AD105" s="29">
        <f>MAX(SUMPRODUCT(Y105:AC105,基础状态预期!F118:J118),AD104)</f>
        <v>2304512.0542934756</v>
      </c>
      <c r="AF105" s="29" t="str">
        <f>IF(基础状态预期!K118="","",基础状态预期!K118*D$59+D$58)</f>
        <v/>
      </c>
      <c r="AG105" s="29" t="str">
        <f>IF(基础状态预期!L118="","",基础状态预期!L118*E$59+E$58)</f>
        <v/>
      </c>
      <c r="AH105" s="29" t="str">
        <f>IF(基础状态预期!M118="","",基础状态预期!M118*F$59+F$58)</f>
        <v/>
      </c>
      <c r="AI105" s="29">
        <f>IF(基础状态预期!N118="","",基础状态预期!N118*G$59+G$58)</f>
        <v>112.35903274664915</v>
      </c>
      <c r="AJ105" s="29">
        <f>IF(基础状态预期!O118="","",基础状态预期!O118*H$59+H$58)</f>
        <v>127.59266979253965</v>
      </c>
      <c r="AK105" s="29">
        <f>MAX(SUMPRODUCT(AF105:AJ105,基础状态预期!$F118:$J118)/SUM(基础状态预期!$F118:$J118),AK104)</f>
        <v>125.05373028489124</v>
      </c>
      <c r="AL105" s="29">
        <f>IF(基础状态预期!K118="",0,求节点($C$68:$C$76,D$68:D$76,基础状态预期!K118))</f>
        <v>0</v>
      </c>
      <c r="AM105" s="29">
        <f>IF(基础状态预期!L118="",0,求节点($C$68:$C$76,E$68:E$76,基础状态预期!L118))</f>
        <v>0</v>
      </c>
      <c r="AN105" s="29">
        <f>IF(基础状态预期!M118="",0,求节点($C$68:$C$76,F$68:F$76,基础状态预期!M118)*求节点(武将升级!$H$52:$H$54,武将升级!$J$52:$J$54,基础状态预期!W118))</f>
        <v>0</v>
      </c>
      <c r="AO105" s="29">
        <f>IF(基础状态预期!N118="",0,求节点($C$68:$C$76,G$68:G$76,基础状态预期!N118)*求节点(武将升级!$H$52:$H$54,武将升级!$J$52:$J$54,基础状态预期!X118))</f>
        <v>0.60997007155174787</v>
      </c>
      <c r="AP105" s="29">
        <f>IF(基础状态预期!O118="",0,求节点($C$68:$C$76,H$68:H$76,基础状态预期!O118)*求节点(武将升级!$H$52:$H$54,武将升级!$J$52:$J$54,基础状态预期!Y118))</f>
        <v>0.86790226390052849</v>
      </c>
      <c r="AQ105" s="29">
        <f>MAX(SUMPRODUCT(AL105:AP105,基础状态预期!$F118:$J118)/SUM(基础状态预期!$F118:$J118),AQ104)</f>
        <v>0.82491356517573189</v>
      </c>
      <c r="AR105" s="29">
        <f>IF(基础状态预期!K118="",0,求节点($C$158:$C$166,D$158:D$166,基础状态预期!K118))</f>
        <v>0</v>
      </c>
      <c r="AS105" s="29">
        <f>IF(基础状态预期!L118="",0,求节点($C$158:$C$166,E$158:E$166,基础状态预期!L118))</f>
        <v>0</v>
      </c>
      <c r="AT105" s="29">
        <f>IF(基础状态预期!M118="",0,求节点($C$158:$C$166,F$158:F$166,基础状态预期!M118))</f>
        <v>0</v>
      </c>
      <c r="AU105" s="29">
        <f>IF(基础状态预期!N118="",0,求节点($C$158:$C$166,G$158:G$166,基础状态预期!N118))</f>
        <v>0.38302645845308803</v>
      </c>
      <c r="AV105" s="29">
        <f>IF(基础状态预期!O118="",0,求节点($C$158:$C$166,H$158:H$166,基础状态预期!O118))</f>
        <v>0.45987782987566084</v>
      </c>
      <c r="AW105" s="29">
        <f>MAX(SUMPRODUCT(AR105:AV105,基础状态预期!$F118:$J118)/SUM(基础状态预期!$F118:$J118),AW104)</f>
        <v>0.44706926797189867</v>
      </c>
      <c r="BA105" s="29">
        <v>120</v>
      </c>
      <c r="BB105" s="29">
        <f t="shared" si="49"/>
        <v>148</v>
      </c>
      <c r="BC105" s="29">
        <f t="shared" si="50"/>
        <v>1.1399999999999999</v>
      </c>
      <c r="BD105" s="29">
        <f>(BB105-BB104)*(INDEX([2]中r将兵属性验证!$V$7:$V$166,$BA105,1)+INDEX([2]中r将兵属性验证!$AP$7:$AP$166,$BA105,1))+BD104</f>
        <v>18483173468.988022</v>
      </c>
      <c r="BE105" s="29" t="e">
        <f>(BC105-BC104)*(INDEX([2]中r将兵属性验证!$AC$7:$AC$166,$BA105,1)*[2]战法技能效用!$AB$4+INDEX([2]中r将兵属性验证!$AX$7:$AX$166,$BA105,1)*[2]战法技能效用!$AC$4)+BE104</f>
        <v>#VALUE!</v>
      </c>
      <c r="BF105" s="75" t="e">
        <f t="shared" si="56"/>
        <v>#VALUE!</v>
      </c>
      <c r="BJ105" s="29">
        <f t="shared" si="54"/>
        <v>72.23150684883845</v>
      </c>
      <c r="BK105" s="75">
        <f>武将数量星级阶位验证!AT108</f>
        <v>596963.92723112472</v>
      </c>
      <c r="BL105" s="75">
        <f>(AD165-AD104)*INDEX('[1]功能-付费相关'!$AS$6:$AS$165,BJ165,1)+BL104</f>
        <v>19154.876729158008</v>
      </c>
      <c r="BN105" s="29">
        <v>120</v>
      </c>
      <c r="BO105" s="29">
        <f t="shared" si="57"/>
        <v>8236994.8606424425</v>
      </c>
      <c r="BP105" s="29">
        <f t="shared" si="58"/>
        <v>24025.759112891668</v>
      </c>
      <c r="BQ105" s="29">
        <f t="shared" si="59"/>
        <v>8261020.6197553342</v>
      </c>
    </row>
    <row r="106" spans="2:69" x14ac:dyDescent="0.15">
      <c r="B106" s="170"/>
      <c r="C106" s="14">
        <v>2</v>
      </c>
      <c r="D106" s="29">
        <f>SUM(D$5:D7)</f>
        <v>1</v>
      </c>
      <c r="E106" s="29">
        <f>SUM(E$5:E7)</f>
        <v>3</v>
      </c>
      <c r="F106" s="29">
        <f>SUM(F$5:F7)</f>
        <v>3</v>
      </c>
      <c r="G106" s="29">
        <f>SUM(G$5:G7)</f>
        <v>3</v>
      </c>
      <c r="H106" s="29">
        <f>SUM(H$5:H7)</f>
        <v>3</v>
      </c>
      <c r="I106" s="29">
        <f>SUM(I$5:I7)</f>
        <v>3</v>
      </c>
      <c r="M106" s="72">
        <v>16</v>
      </c>
      <c r="N106" s="29">
        <f>基础状态预期!D119</f>
        <v>74.840792411391348</v>
      </c>
      <c r="O106" s="29">
        <f>IF(基础状态预期!F119="",0,求节点($C$104:$C$112,D$104:D$112,基础状态预期!K119))</f>
        <v>0</v>
      </c>
      <c r="P106" s="29">
        <f>IF(基础状态预期!G119="",0,求节点($C$104:$C$112,E$104:E$112,基础状态预期!L119))</f>
        <v>0</v>
      </c>
      <c r="Q106" s="29">
        <f>IF(基础状态预期!H119="",0,求节点($C$104:$C$112,F$104:F$112,基础状态预期!M119))</f>
        <v>0</v>
      </c>
      <c r="R106" s="29">
        <f>IF(基础状态预期!I119="",0,求节点($C$104:$C$112,G$104:G$112,基础状态预期!N119))</f>
        <v>10.123247909759289</v>
      </c>
      <c r="S106" s="29">
        <f>IF(基础状态预期!J119="",0,求节点($C$104:$C$112,H$104:H$112,基础状态预期!O119))</f>
        <v>8.0154921662023817</v>
      </c>
      <c r="T106" s="29">
        <f>IF(基础状态预期!F119="",0,求节点($C$114:$C$122,D$114:D$122,基础状态预期!K119)*基础状态预期!F119+求节点($C$124:$C$132,D$124:D$132,基础状态预期!$O119)*基础状态预期!$J119)</f>
        <v>0</v>
      </c>
      <c r="U106" s="29">
        <f>IF(基础状态预期!G119="",0,求节点($C$114:$C$122,E$114:E$122,基础状态预期!L119)*基础状态预期!G119+求节点($C$124:$C$132,E$124:E$132,基础状态预期!$O119)*基础状态预期!$J119)</f>
        <v>0</v>
      </c>
      <c r="V106" s="29">
        <f>IF(基础状态预期!H119="",0,求节点($C$114:$C$122,F$114:F$122,基础状态预期!M119)*基础状态预期!H119+求节点($C$124:$C$132,F$124:F$132,基础状态预期!$O119)*基础状态预期!$J119)</f>
        <v>0</v>
      </c>
      <c r="W106" s="148">
        <f>IF(基础状态预期!I119="",0,求节点($C$114:$C$122,G$114:G$122,基础状态预期!N119)*基础状态预期!I119)+IF(基础状态预期!O119="",0,求节点($C$124:$C$132,G$124:G$132,基础状态预期!$O119)*基础状态预期!$J119)</f>
        <v>34.5</v>
      </c>
      <c r="X106" s="29">
        <f>IF(基础状态预期!J119="",0,求节点($C$114:$C$122,H$114:H$122,基础状态预期!O119)*基础状态预期!J119+求节点($C$124:$C$132,H$124:H$132,基础状态预期!$O119)*基础状态预期!$J119)</f>
        <v>0</v>
      </c>
      <c r="Y106" s="14">
        <f>IF(基础状态预期!K119="",0,求节点($C$92:$C$100,D$92:D$100,基础状态预期!K119))</f>
        <v>0</v>
      </c>
      <c r="Z106" s="14">
        <f>IF(基础状态预期!L119="",0,求节点($C$92:$C$100,E$92:E$100,基础状态预期!L119))</f>
        <v>0</v>
      </c>
      <c r="AA106" s="14">
        <f>IF(基础状态预期!M119="",0,求节点($C$92:$C$100,F$92:F$100,基础状态预期!M119))</f>
        <v>0</v>
      </c>
      <c r="AB106" s="14">
        <f>IF(基础状态预期!N119="",0,求节点($C$92:$C$100,G$92:G$100,基础状态预期!N119))</f>
        <v>536479.77704099077</v>
      </c>
      <c r="AC106" s="14">
        <f>IF(基础状态预期!O119="",0,求节点($C$92:$C$100,H$92:H$100,基础状态预期!O119))</f>
        <v>467478.7465923811</v>
      </c>
      <c r="AD106" s="29">
        <f>MAX(SUMPRODUCT(Y106:AC106,基础状态预期!F119:J119),AD105)</f>
        <v>2839372.9947785917</v>
      </c>
      <c r="AF106" s="29" t="str">
        <f>IF(基础状态预期!K119="","",基础状态预期!K119*D$59+D$58)</f>
        <v/>
      </c>
      <c r="AG106" s="29" t="str">
        <f>IF(基础状态预期!L119="","",基础状态预期!L119*E$59+E$58)</f>
        <v/>
      </c>
      <c r="AH106" s="29" t="str">
        <f>IF(基础状态预期!M119="","",基础状态预期!M119*F$59+F$58)</f>
        <v/>
      </c>
      <c r="AI106" s="29">
        <f>IF(基础状态预期!N119="","",基础状态预期!N119*G$59+G$58)</f>
        <v>113.53874651626548</v>
      </c>
      <c r="AJ106" s="29">
        <f>IF(基础状态预期!O119="","",基础状态预期!O119*H$59+H$58)</f>
        <v>130.03098433240476</v>
      </c>
      <c r="AK106" s="29">
        <f>MAX(SUMPRODUCT(AF106:AJ106,基础状态预期!$F119:$J119)/SUM(基础状态预期!$F119:$J119),AK105)</f>
        <v>128.65663118105982</v>
      </c>
      <c r="AL106" s="29">
        <f>IF(基础状态预期!K119="",0,求节点($C$68:$C$76,D$68:D$76,基础状态预期!K119))</f>
        <v>0</v>
      </c>
      <c r="AM106" s="29">
        <f>IF(基础状态预期!L119="",0,求节点($C$68:$C$76,E$68:E$76,基础状态预期!L119))</f>
        <v>0</v>
      </c>
      <c r="AN106" s="29">
        <f>IF(基础状态预期!M119="",0,求节点($C$68:$C$76,F$68:F$76,基础状态预期!M119)*求节点(武将升级!$H$52:$H$54,武将升级!$J$52:$J$54,基础状态预期!W119))</f>
        <v>0</v>
      </c>
      <c r="AO106" s="29">
        <f>IF(基础状态预期!N119="",0,求节点($C$68:$C$76,G$68:G$76,基础状态预期!N119)*求节点(武将升级!$H$52:$H$54,武将升级!$J$52:$J$54,基础状态预期!X119))</f>
        <v>0.62695794983422304</v>
      </c>
      <c r="AP106" s="29">
        <f>IF(基础状态预期!O119="",0,求节点($C$68:$C$76,H$68:H$76,基础状态预期!O119)*求节点(武将升级!$H$52:$H$54,武将升级!$J$52:$J$54,基础状态预期!Y119))</f>
        <v>0.90041312443206334</v>
      </c>
      <c r="AQ106" s="29">
        <f>MAX(SUMPRODUCT(AL106:AP106,基础状态预期!$F119:$J119)/SUM(基础状态预期!$F119:$J119),AQ105)</f>
        <v>0.87762519321557664</v>
      </c>
      <c r="AR106" s="29">
        <f>IF(基础状态预期!K119="",0,求节点($C$158:$C$166,D$158:D$166,基础状态预期!K119))</f>
        <v>0</v>
      </c>
      <c r="AS106" s="29">
        <f>IF(基础状态预期!L119="",0,求节点($C$158:$C$166,E$158:E$166,基础状态预期!L119))</f>
        <v>0</v>
      </c>
      <c r="AT106" s="29">
        <f>IF(基础状态预期!M119="",0,求节点($C$158:$C$166,F$158:F$166,基础状态预期!M119))</f>
        <v>0</v>
      </c>
      <c r="AU106" s="29">
        <f>IF(基础状态预期!N119="",0,求节点($C$158:$C$166,G$158:G$166,基础状态预期!N119))</f>
        <v>0.3995424512277167</v>
      </c>
      <c r="AV106" s="29">
        <f>IF(基础状态预期!O119="",0,求节点($C$158:$C$166,H$158:H$166,基础状态预期!O119))</f>
        <v>0.50051640554007937</v>
      </c>
      <c r="AW106" s="29">
        <f>MAX(SUMPRODUCT(AR106:AV106,基础状态预期!$F119:$J119)/SUM(基础状态预期!$F119:$J119),AW105)</f>
        <v>0.49210190934738246</v>
      </c>
      <c r="BA106" s="29">
        <v>130</v>
      </c>
      <c r="BB106" s="29">
        <f t="shared" si="49"/>
        <v>148</v>
      </c>
      <c r="BC106" s="29">
        <f t="shared" si="50"/>
        <v>1.1399999999999999</v>
      </c>
      <c r="BD106" s="29">
        <f>(BB106-BB105)*(INDEX([2]中r将兵属性验证!$V$7:$V$166,$BA106,1)+INDEX([2]中r将兵属性验证!$AP$7:$AP$166,$BA106,1))+BD105</f>
        <v>18483173468.988022</v>
      </c>
      <c r="BE106" s="29" t="e">
        <f>(BC106-BC105)*(INDEX([2]中r将兵属性验证!$AC$7:$AC$166,$BA106,1)*[2]战法技能效用!$AB$4+INDEX([2]中r将兵属性验证!$AX$7:$AX$166,$BA106,1)*[2]战法技能效用!$AC$4)+BE105</f>
        <v>#VALUE!</v>
      </c>
      <c r="BF106" s="75" t="e">
        <f t="shared" si="56"/>
        <v>#VALUE!</v>
      </c>
      <c r="BJ106" s="29">
        <f t="shared" si="54"/>
        <v>74.840792411391348</v>
      </c>
      <c r="BK106" s="75">
        <f>武将数量星级阶位验证!AT109</f>
        <v>677938.1664965949</v>
      </c>
      <c r="BL106" s="75">
        <f>(AD106-AD165)*INDEX('[1]功能-付费相关'!$AS$6:$AS$165,BJ106,1)+BL165</f>
        <v>3909.0330002605879</v>
      </c>
      <c r="BN106" s="29">
        <v>130</v>
      </c>
      <c r="BO106" s="29">
        <f t="shared" si="57"/>
        <v>15339112.770212054</v>
      </c>
      <c r="BP106" s="29">
        <f t="shared" si="58"/>
        <v>24025.759112891668</v>
      </c>
      <c r="BQ106" s="29">
        <f t="shared" si="59"/>
        <v>15363138.529324945</v>
      </c>
    </row>
    <row r="107" spans="2:69" x14ac:dyDescent="0.15">
      <c r="B107" s="170"/>
      <c r="C107" s="14">
        <v>3</v>
      </c>
      <c r="D107" s="29">
        <f>SUM(D$5:D8)</f>
        <v>1</v>
      </c>
      <c r="E107" s="29">
        <f>SUM(E$5:E8)</f>
        <v>5</v>
      </c>
      <c r="F107" s="29">
        <f>SUM(F$5:F8)</f>
        <v>5</v>
      </c>
      <c r="G107" s="29">
        <f>SUM(G$5:G8)</f>
        <v>4</v>
      </c>
      <c r="H107" s="29">
        <f>SUM(H$5:H8)</f>
        <v>4</v>
      </c>
      <c r="I107" s="29">
        <f>SUM(I$5:I8)</f>
        <v>4</v>
      </c>
      <c r="M107" s="72">
        <v>17</v>
      </c>
      <c r="N107" s="29">
        <f>基础状态预期!D120</f>
        <v>77.697893604818219</v>
      </c>
      <c r="O107" s="29">
        <f>IF(基础状态预期!F120="",0,求节点($C$104:$C$112,D$104:D$112,基础状态预期!K120))</f>
        <v>0</v>
      </c>
      <c r="P107" s="29">
        <f>IF(基础状态预期!G120="",0,求节点($C$104:$C$112,E$104:E$112,基础状态预期!L120))</f>
        <v>0</v>
      </c>
      <c r="Q107" s="29">
        <f>IF(基础状态预期!H120="",0,求节点($C$104:$C$112,F$104:F$112,基础状态预期!M120))</f>
        <v>0</v>
      </c>
      <c r="R107" s="29">
        <f>IF(基础状态预期!I120="",0,求节点($C$104:$C$112,G$104:G$112,基础状态预期!N120))</f>
        <v>0</v>
      </c>
      <c r="S107" s="29">
        <f>IF(基础状态预期!J120="",0,求节点($C$104:$C$112,H$104:H$112,基础状态预期!O120))</f>
        <v>9.1639972549700346</v>
      </c>
      <c r="T107" s="29">
        <f>IF(基础状态预期!F120="",0,求节点($C$114:$C$122,D$114:D$122,基础状态预期!K120)*基础状态预期!F120+求节点($C$124:$C$132,D$124:D$132,基础状态预期!$O120)*基础状态预期!$J120)</f>
        <v>0</v>
      </c>
      <c r="U107" s="29">
        <f>IF(基础状态预期!G120="",0,求节点($C$114:$C$122,E$114:E$122,基础状态预期!L120)*基础状态预期!G120+求节点($C$124:$C$132,E$124:E$132,基础状态预期!$O120)*基础状态预期!$J120)</f>
        <v>0</v>
      </c>
      <c r="V107" s="29">
        <f>IF(基础状态预期!H120="",0,求节点($C$114:$C$122,F$114:F$122,基础状态预期!M120)*基础状态预期!H120+求节点($C$124:$C$132,F$124:F$132,基础状态预期!$O120)*基础状态预期!$J120)</f>
        <v>0</v>
      </c>
      <c r="W107" s="148">
        <f>IF(基础状态预期!I120="",0,求节点($C$114:$C$122,G$114:G$122,基础状态预期!N120)*基础状态预期!I120)+IF(基础状态预期!O120="",0,求节点($C$124:$C$132,G$124:G$132,基础状态预期!$O120)*基础状态预期!$J120)</f>
        <v>36</v>
      </c>
      <c r="X107" s="29">
        <f>IF(基础状态预期!J120="",0,求节点($C$114:$C$122,H$114:H$122,基础状态预期!O120)*基础状态预期!J120+求节点($C$124:$C$132,H$124:H$132,基础状态预期!$O120)*基础状态预期!$J120)</f>
        <v>0</v>
      </c>
      <c r="Y107" s="14">
        <f>IF(基础状态预期!K120="",0,求节点($C$92:$C$100,D$92:D$100,基础状态预期!K120))</f>
        <v>0</v>
      </c>
      <c r="Z107" s="14">
        <f>IF(基础状态预期!L120="",0,求节点($C$92:$C$100,E$92:E$100,基础状态预期!L120))</f>
        <v>0</v>
      </c>
      <c r="AA107" s="14">
        <f>IF(基础状态预期!M120="",0,求节点($C$92:$C$100,F$92:F$100,基础状态预期!M120))</f>
        <v>0</v>
      </c>
      <c r="AB107" s="14">
        <f>IF(基础状态预期!N120="",0,求节点($C$92:$C$100,G$92:G$100,基础状态预期!N120))</f>
        <v>0</v>
      </c>
      <c r="AC107" s="14">
        <f>IF(基础状态预期!O120="",0,求节点($C$92:$C$100,H$92:H$100,基础状态预期!O120))</f>
        <v>651239.56079520541</v>
      </c>
      <c r="AD107" s="29">
        <f>MAX(SUMPRODUCT(Y107:AC107,基础状态预期!F120:J120),AD106)</f>
        <v>3907437.3647712325</v>
      </c>
      <c r="AF107" s="29" t="str">
        <f>IF(基础状态预期!K120="","",基础状态预期!K120*D$59+D$58)</f>
        <v/>
      </c>
      <c r="AG107" s="29" t="str">
        <f>IF(基础状态预期!L120="","",基础状态预期!L120*E$59+E$58)</f>
        <v/>
      </c>
      <c r="AH107" s="29" t="str">
        <f>IF(基础状态预期!M120="","",基础状态预期!M120*F$59+F$58)</f>
        <v/>
      </c>
      <c r="AI107" s="29" t="str">
        <f>IF(基础状态预期!N120="","",基础状态预期!N120*G$59+G$58)</f>
        <v/>
      </c>
      <c r="AJ107" s="29">
        <f>IF(基础状态预期!O120="","",基础状态预期!O120*H$59+H$58)</f>
        <v>132.32799450994008</v>
      </c>
      <c r="AK107" s="29">
        <f>MAX(SUMPRODUCT(AF107:AJ107,基础状态预期!$F120:$J120)/SUM(基础状态预期!$F120:$J120),AK106)</f>
        <v>132.32799450994008</v>
      </c>
      <c r="AL107" s="29">
        <f>IF(基础状态预期!K120="",0,求节点($C$68:$C$76,D$68:D$76,基础状态预期!K120))</f>
        <v>0</v>
      </c>
      <c r="AM107" s="29">
        <f>IF(基础状态预期!L120="",0,求节点($C$68:$C$76,E$68:E$76,基础状态预期!L120))</f>
        <v>0</v>
      </c>
      <c r="AN107" s="29">
        <f>IF(基础状态预期!M120="",0,求节点($C$68:$C$76,F$68:F$76,基础状态预期!M120)*求节点(武将升级!$H$52:$H$54,武将升级!$J$52:$J$54,基础状态预期!W120))</f>
        <v>0</v>
      </c>
      <c r="AO107" s="29">
        <f>IF(基础状态预期!N120="",0,求节点($C$68:$C$76,G$68:G$76,基础状态预期!N120)*求节点(武将升级!$H$52:$H$54,武将升级!$J$52:$J$54,基础状态预期!X120))</f>
        <v>0</v>
      </c>
      <c r="AP107" s="29">
        <f>IF(基础状态预期!O120="",0,求节点($C$68:$C$76,H$68:H$76,基础状态预期!O120)*求节点(武将升级!$H$52:$H$54,武将升级!$J$52:$J$54,基础状态预期!Y120))</f>
        <v>0.93103992679920067</v>
      </c>
      <c r="AQ107" s="29">
        <f>MAX(SUMPRODUCT(AL107:AP107,基础状态预期!$F120:$J120)/SUM(基础状态预期!$F120:$J120),AQ106)</f>
        <v>0.93103992679920067</v>
      </c>
      <c r="AR107" s="29">
        <f>IF(基础状态预期!K120="",0,求节点($C$158:$C$166,D$158:D$166,基础状态预期!K120))</f>
        <v>0</v>
      </c>
      <c r="AS107" s="29">
        <f>IF(基础状态预期!L120="",0,求节点($C$158:$C$166,E$158:E$166,基础状态预期!L120))</f>
        <v>0</v>
      </c>
      <c r="AT107" s="29">
        <f>IF(基础状态预期!M120="",0,求节点($C$158:$C$166,F$158:F$166,基础状态预期!M120))</f>
        <v>0</v>
      </c>
      <c r="AU107" s="29">
        <f>IF(基础状态预期!N120="",0,求节点($C$158:$C$166,G$158:G$166,基础状态预期!N120))</f>
        <v>0</v>
      </c>
      <c r="AV107" s="29">
        <f>IF(基础状态预期!O120="",0,求节点($C$158:$C$166,H$158:H$166,基础状态预期!O120))</f>
        <v>0.53879990849900117</v>
      </c>
      <c r="AW107" s="29">
        <f>MAX(SUMPRODUCT(AR107:AV107,基础状态预期!$F120:$J120)/SUM(基础状态预期!$F120:$J120),AW106)</f>
        <v>0.53879990849900117</v>
      </c>
      <c r="BA107" s="29">
        <v>140</v>
      </c>
      <c r="BB107" s="29">
        <f t="shared" si="49"/>
        <v>148</v>
      </c>
      <c r="BC107" s="29">
        <f t="shared" si="50"/>
        <v>1.1399999999999999</v>
      </c>
      <c r="BD107" s="29">
        <f>(BB107-BB106)*(INDEX([2]中r将兵属性验证!$V$7:$V$166,$BA107,1)+INDEX([2]中r将兵属性验证!$AP$7:$AP$166,$BA107,1))+BD106</f>
        <v>18483173468.988022</v>
      </c>
      <c r="BE107" s="29" t="e">
        <f>(BC107-BC106)*(INDEX([2]中r将兵属性验证!$AC$7:$AC$166,$BA107,1)*[2]战法技能效用!$AB$4+INDEX([2]中r将兵属性验证!$AX$7:$AX$166,$BA107,1)*[2]战法技能效用!$AC$4)+BE106</f>
        <v>#VALUE!</v>
      </c>
      <c r="BF107" s="75" t="e">
        <f t="shared" si="56"/>
        <v>#VALUE!</v>
      </c>
      <c r="BJ107" s="29">
        <f t="shared" si="54"/>
        <v>77.697893604818219</v>
      </c>
      <c r="BK107" s="75">
        <f>武将数量星级阶位验证!AT110</f>
        <v>786925.93265366589</v>
      </c>
      <c r="BL107" s="75">
        <f>(AD107-AD106)*INDEX('[1]功能-付费相关'!$AS$6:$AS$165,BJ107,1)+BL106</f>
        <v>5050.1274126458884</v>
      </c>
      <c r="BN107" s="29">
        <v>140</v>
      </c>
      <c r="BO107" s="29">
        <f t="shared" si="57"/>
        <v>28790480.50791445</v>
      </c>
      <c r="BP107" s="29">
        <f t="shared" si="58"/>
        <v>24025.759112891668</v>
      </c>
      <c r="BQ107" s="29">
        <f t="shared" si="59"/>
        <v>28814506.267027341</v>
      </c>
    </row>
    <row r="108" spans="2:69" x14ac:dyDescent="0.15">
      <c r="B108" s="170"/>
      <c r="C108" s="14">
        <v>4</v>
      </c>
      <c r="D108" s="29">
        <f>SUM(D$5:D9)</f>
        <v>1</v>
      </c>
      <c r="E108" s="29">
        <f>SUM(E$5:E9)</f>
        <v>5</v>
      </c>
      <c r="F108" s="29">
        <f>SUM(F$5:F9)</f>
        <v>7</v>
      </c>
      <c r="G108" s="29">
        <f>SUM(G$5:G9)</f>
        <v>6</v>
      </c>
      <c r="H108" s="29">
        <f>SUM(H$5:H9)</f>
        <v>6</v>
      </c>
      <c r="I108" s="29">
        <f>SUM(I$5:I9)</f>
        <v>6</v>
      </c>
      <c r="M108" s="72">
        <v>18</v>
      </c>
      <c r="N108" s="29">
        <f>基础状态预期!D121</f>
        <v>80.134867890916794</v>
      </c>
      <c r="O108" s="29">
        <f>IF(基础状态预期!F121="",0,求节点($C$104:$C$112,D$104:D$112,基础状态预期!K121))</f>
        <v>0</v>
      </c>
      <c r="P108" s="29">
        <f>IF(基础状态预期!G121="",0,求节点($C$104:$C$112,E$104:E$112,基础状态预期!L121))</f>
        <v>0</v>
      </c>
      <c r="Q108" s="29">
        <f>IF(基础状态预期!H121="",0,求节点($C$104:$C$112,F$104:F$112,基础状态预期!M121))</f>
        <v>0</v>
      </c>
      <c r="R108" s="29">
        <f>IF(基础状态预期!I121="",0,求节点($C$104:$C$112,G$104:G$112,基础状态预期!N121))</f>
        <v>0</v>
      </c>
      <c r="S108" s="29">
        <f>IF(基础状态预期!J121="",0,求节点($C$104:$C$112,H$104:H$112,基础状态预期!O121))</f>
        <v>10.866292497803897</v>
      </c>
      <c r="T108" s="29">
        <f>IF(基础状态预期!F121="",0,求节点($C$114:$C$122,D$114:D$122,基础状态预期!K121)*基础状态预期!F121+求节点($C$124:$C$132,D$124:D$132,基础状态预期!$O121)*基础状态预期!$J121)</f>
        <v>0</v>
      </c>
      <c r="U108" s="29">
        <f>IF(基础状态预期!G121="",0,求节点($C$114:$C$122,E$114:E$122,基础状态预期!L121)*基础状态预期!G121+求节点($C$124:$C$132,E$124:E$132,基础状态预期!$O121)*基础状态预期!$J121)</f>
        <v>0</v>
      </c>
      <c r="V108" s="29">
        <f>IF(基础状态预期!H121="",0,求节点($C$114:$C$122,F$114:F$122,基础状态预期!M121)*基础状态预期!H121+求节点($C$124:$C$132,F$124:F$132,基础状态预期!$O121)*基础状态预期!$J121)</f>
        <v>0</v>
      </c>
      <c r="W108" s="148">
        <f>IF(基础状态预期!I121="",0,求节点($C$114:$C$122,G$114:G$122,基础状态预期!N121)*基础状态预期!I121)+IF(基础状态预期!O121="",0,求节点($C$124:$C$132,G$124:G$132,基础状态预期!$O121)*基础状态预期!$J121)</f>
        <v>36</v>
      </c>
      <c r="X108" s="29">
        <f>IF(基础状态预期!J121="",0,求节点($C$114:$C$122,H$114:H$122,基础状态预期!O121)*基础状态预期!J121+求节点($C$124:$C$132,H$124:H$132,基础状态预期!$O121)*基础状态预期!$J121)</f>
        <v>0</v>
      </c>
      <c r="Y108" s="14">
        <f>IF(基础状态预期!K121="",0,求节点($C$92:$C$100,D$92:D$100,基础状态预期!K121))</f>
        <v>0</v>
      </c>
      <c r="Z108" s="14">
        <f>IF(基础状态预期!L121="",0,求节点($C$92:$C$100,E$92:E$100,基础状态预期!L121))</f>
        <v>0</v>
      </c>
      <c r="AA108" s="14">
        <f>IF(基础状态预期!M121="",0,求节点($C$92:$C$100,F$92:F$100,基础状态预期!M121))</f>
        <v>0</v>
      </c>
      <c r="AB108" s="14">
        <f>IF(基础状态预期!N121="",0,求节点($C$92:$C$100,G$92:G$100,基础状态预期!N121))</f>
        <v>0</v>
      </c>
      <c r="AC108" s="14">
        <f>IF(基础状态预期!O121="",0,求节点($C$92:$C$100,H$92:H$100,基础状态预期!O121))</f>
        <v>923606.79964862345</v>
      </c>
      <c r="AD108" s="29">
        <f>MAX(SUMPRODUCT(Y108:AC108,基础状态预期!F121:J121),AD107)</f>
        <v>5541640.7978917407</v>
      </c>
      <c r="AF108" s="29" t="str">
        <f>IF(基础状态预期!K121="","",基础状态预期!K121*D$59+D$58)</f>
        <v/>
      </c>
      <c r="AG108" s="29" t="str">
        <f>IF(基础状态预期!L121="","",基础状态预期!L121*E$59+E$58)</f>
        <v/>
      </c>
      <c r="AH108" s="29" t="str">
        <f>IF(基础状态预期!M121="","",基础状态预期!M121*F$59+F$58)</f>
        <v/>
      </c>
      <c r="AI108" s="29" t="str">
        <f>IF(基础状态预期!N121="","",基础状态预期!N121*G$59+G$58)</f>
        <v/>
      </c>
      <c r="AJ108" s="29">
        <f>IF(基础状态预期!O121="","",基础状态预期!O121*H$59+H$58)</f>
        <v>135.73258499560779</v>
      </c>
      <c r="AK108" s="29">
        <f>MAX(SUMPRODUCT(AF108:AJ108,基础状态预期!$F121:$J121)/SUM(基础状态预期!$F121:$J121),AK107)</f>
        <v>135.73258499560779</v>
      </c>
      <c r="AL108" s="29">
        <f>IF(基础状态预期!K121="",0,求节点($C$68:$C$76,D$68:D$76,基础状态预期!K121))</f>
        <v>0</v>
      </c>
      <c r="AM108" s="29">
        <f>IF(基础状态预期!L121="",0,求节点($C$68:$C$76,E$68:E$76,基础状态预期!L121))</f>
        <v>0</v>
      </c>
      <c r="AN108" s="29">
        <f>IF(基础状态预期!M121="",0,求节点($C$68:$C$76,F$68:F$76,基础状态预期!M121)*求节点(武将升级!$H$52:$H$54,武将升级!$J$52:$J$54,基础状态预期!W121))</f>
        <v>0</v>
      </c>
      <c r="AO108" s="29">
        <f>IF(基础状态预期!N121="",0,求节点($C$68:$C$76,G$68:G$76,基础状态预期!N121)*求节点(武将升级!$H$52:$H$54,武将升级!$J$52:$J$54,基础状态预期!X121))</f>
        <v>0</v>
      </c>
      <c r="AP108" s="29">
        <f>IF(基础状态预期!O121="",0,求节点($C$68:$C$76,H$68:H$76,基础状态预期!O121)*求节点(武将升级!$H$52:$H$54,武将升级!$J$52:$J$54,基础状态预期!Y121))</f>
        <v>0.97643446660810362</v>
      </c>
      <c r="AQ108" s="29">
        <f>MAX(SUMPRODUCT(AL108:AP108,基础状态预期!$F121:$J121)/SUM(基础状态预期!$F121:$J121),AQ107)</f>
        <v>0.97643446660810362</v>
      </c>
      <c r="AR108" s="29">
        <f>IF(基础状态预期!K121="",0,求节点($C$158:$C$166,D$158:D$166,基础状态预期!K121))</f>
        <v>0</v>
      </c>
      <c r="AS108" s="29">
        <f>IF(基础状态预期!L121="",0,求节点($C$158:$C$166,E$158:E$166,基础状态预期!L121))</f>
        <v>0</v>
      </c>
      <c r="AT108" s="29">
        <f>IF(基础状态预期!M121="",0,求节点($C$158:$C$166,F$158:F$166,基础状态预期!M121))</f>
        <v>0</v>
      </c>
      <c r="AU108" s="29">
        <f>IF(基础状态预期!N121="",0,求节点($C$158:$C$166,G$158:G$166,基础状态预期!N121))</f>
        <v>0</v>
      </c>
      <c r="AV108" s="29">
        <f>IF(基础状态预期!O121="",0,求节点($C$158:$C$166,H$158:H$166,基础状态预期!O121))</f>
        <v>0.59554308326012984</v>
      </c>
      <c r="AW108" s="29">
        <f>MAX(SUMPRODUCT(AR108:AV108,基础状态预期!$F121:$J121)/SUM(基础状态预期!$F121:$J121),AW107)</f>
        <v>0.59554308326012984</v>
      </c>
      <c r="BA108" s="29">
        <v>150</v>
      </c>
      <c r="BB108" s="29">
        <f t="shared" si="49"/>
        <v>148</v>
      </c>
      <c r="BC108" s="29">
        <f t="shared" si="50"/>
        <v>1.1399999999999999</v>
      </c>
      <c r="BD108" s="29">
        <f>(BB108-BB107)*(INDEX([2]中r将兵属性验证!$V$7:$V$166,$BA108,1)+INDEX([2]中r将兵属性验证!$AP$7:$AP$166,$BA108,1))+BD107</f>
        <v>18483173468.988022</v>
      </c>
      <c r="BE108" s="29" t="e">
        <f>(BC108-BC107)*(INDEX([2]中r将兵属性验证!$AC$7:$AC$166,$BA108,1)*[2]战法技能效用!$AB$4+INDEX([2]中r将兵属性验证!$AX$7:$AX$166,$BA108,1)*[2]战法技能效用!$AC$4)+BE107</f>
        <v>#VALUE!</v>
      </c>
      <c r="BF108" s="75" t="e">
        <f t="shared" si="56"/>
        <v>#VALUE!</v>
      </c>
      <c r="BJ108" s="29">
        <f t="shared" si="54"/>
        <v>80.134867890916794</v>
      </c>
      <c r="BK108" s="75">
        <f>武将数量星级阶位验证!AT111</f>
        <v>889063.64722369774</v>
      </c>
      <c r="BL108" s="75">
        <f>(AD108-AD107)*INDEX('[1]功能-付费相关'!$AS$6:$AS$165,BJ108,1)+BL107</f>
        <v>6752.4226554797515</v>
      </c>
      <c r="BN108" s="29">
        <v>150</v>
      </c>
      <c r="BO108" s="29">
        <f t="shared" si="57"/>
        <v>54094602.584225759</v>
      </c>
      <c r="BP108" s="29">
        <f t="shared" si="58"/>
        <v>24025.759112891668</v>
      </c>
      <c r="BQ108" s="29">
        <f t="shared" si="59"/>
        <v>54118628.343338653</v>
      </c>
    </row>
    <row r="109" spans="2:69" x14ac:dyDescent="0.15">
      <c r="B109" s="170"/>
      <c r="C109" s="14">
        <v>5</v>
      </c>
      <c r="D109" s="29">
        <f>SUM(D$5:D10)</f>
        <v>1</v>
      </c>
      <c r="E109" s="29">
        <f>SUM(E$5:E10)</f>
        <v>5</v>
      </c>
      <c r="F109" s="29">
        <f>SUM(F$5:F10)</f>
        <v>10</v>
      </c>
      <c r="G109" s="29">
        <f>SUM(G$5:G10)</f>
        <v>8</v>
      </c>
      <c r="H109" s="29">
        <f>SUM(H$5:H10)</f>
        <v>8</v>
      </c>
      <c r="I109" s="29">
        <f>SUM(I$5:I10)</f>
        <v>8</v>
      </c>
      <c r="M109" s="72">
        <v>19</v>
      </c>
      <c r="N109" s="29">
        <f>基础状态预期!D122</f>
        <v>82.238672852681816</v>
      </c>
      <c r="O109" s="29">
        <f>IF(基础状态预期!F122="",0,求节点($C$104:$C$112,D$104:D$112,基础状态预期!K122))</f>
        <v>0</v>
      </c>
      <c r="P109" s="29">
        <f>IF(基础状态预期!G122="",0,求节点($C$104:$C$112,E$104:E$112,基础状态预期!L122))</f>
        <v>0</v>
      </c>
      <c r="Q109" s="29">
        <f>IF(基础状态预期!H122="",0,求节点($C$104:$C$112,F$104:F$112,基础状态预期!M122))</f>
        <v>0</v>
      </c>
      <c r="R109" s="29">
        <f>IF(基础状态预期!I122="",0,求节点($C$104:$C$112,G$104:G$112,基础状态预期!N122))</f>
        <v>0</v>
      </c>
      <c r="S109" s="29">
        <f>IF(基础状态预期!J122="",0,求节点($C$104:$C$112,H$104:H$112,基础状态预期!O122))</f>
        <v>12.501124229530625</v>
      </c>
      <c r="T109" s="29">
        <f>IF(基础状态预期!F122="",0,求节点($C$114:$C$122,D$114:D$122,基础状态预期!K122)*基础状态预期!F122+求节点($C$124:$C$132,D$124:D$132,基础状态预期!$O122)*基础状态预期!$J122)</f>
        <v>0</v>
      </c>
      <c r="U109" s="29">
        <f>IF(基础状态预期!G122="",0,求节点($C$114:$C$122,E$114:E$122,基础状态预期!L122)*基础状态预期!G122+求节点($C$124:$C$132,E$124:E$132,基础状态预期!$O122)*基础状态预期!$J122)</f>
        <v>0</v>
      </c>
      <c r="V109" s="29">
        <f>IF(基础状态预期!H122="",0,求节点($C$114:$C$122,F$114:F$122,基础状态预期!M122)*基础状态预期!H122+求节点($C$124:$C$132,F$124:F$132,基础状态预期!$O122)*基础状态预期!$J122)</f>
        <v>0</v>
      </c>
      <c r="W109" s="148">
        <f>IF(基础状态预期!I122="",0,求节点($C$114:$C$122,G$114:G$122,基础状态预期!N122)*基础状态预期!I122)+IF(基础状态预期!O122="",0,求节点($C$124:$C$132,G$124:G$132,基础状态预期!$O122)*基础状态预期!$J122)</f>
        <v>45.006745377183741</v>
      </c>
      <c r="X109" s="29">
        <f>IF(基础状态预期!J122="",0,求节点($C$114:$C$122,H$114:H$122,基础状态预期!O122)*基础状态预期!J122+求节点($C$124:$C$132,H$124:H$132,基础状态预期!$O122)*基础状态预期!$J122)</f>
        <v>0</v>
      </c>
      <c r="Y109" s="14">
        <f>IF(基础状态预期!K122="",0,求节点($C$92:$C$100,D$92:D$100,基础状态预期!K122))</f>
        <v>0</v>
      </c>
      <c r="Z109" s="14">
        <f>IF(基础状态预期!L122="",0,求节点($C$92:$C$100,E$92:E$100,基础状态预期!L122))</f>
        <v>0</v>
      </c>
      <c r="AA109" s="14">
        <f>IF(基础状态预期!M122="",0,求节点($C$92:$C$100,F$92:F$100,基础状态预期!M122))</f>
        <v>0</v>
      </c>
      <c r="AB109" s="14">
        <f>IF(基础状态预期!N122="",0,求节点($C$92:$C$100,G$92:G$100,基础状态预期!N122))</f>
        <v>0</v>
      </c>
      <c r="AC109" s="14">
        <f>IF(基础状态预期!O122="",0,求节点($C$92:$C$100,H$92:H$100,基础状态预期!O122))</f>
        <v>1425359.7534497995</v>
      </c>
      <c r="AD109" s="29">
        <f>MAX(SUMPRODUCT(Y109:AC109,基础状态预期!F122:J122),AD108)</f>
        <v>8552158.520698797</v>
      </c>
      <c r="AF109" s="29" t="str">
        <f>IF(基础状态预期!K122="","",基础状态预期!K122*D$59+D$58)</f>
        <v/>
      </c>
      <c r="AG109" s="29" t="str">
        <f>IF(基础状态预期!L122="","",基础状态预期!L122*E$59+E$58)</f>
        <v/>
      </c>
      <c r="AH109" s="29" t="str">
        <f>IF(基础状态预期!M122="","",基础状态预期!M122*F$59+F$58)</f>
        <v/>
      </c>
      <c r="AI109" s="29" t="str">
        <f>IF(基础状态预期!N122="","",基础状态预期!N122*G$59+G$58)</f>
        <v/>
      </c>
      <c r="AJ109" s="29">
        <f>IF(基础状态预期!O122="","",基础状态预期!O122*H$59+H$58)</f>
        <v>139.00224845906126</v>
      </c>
      <c r="AK109" s="29">
        <f>MAX(SUMPRODUCT(AF109:AJ109,基础状态预期!$F122:$J122)/SUM(基础状态预期!$F122:$J122),AK108)</f>
        <v>139.00224845906126</v>
      </c>
      <c r="AL109" s="29">
        <f>IF(基础状态预期!K122="",0,求节点($C$68:$C$76,D$68:D$76,基础状态预期!K122))</f>
        <v>0</v>
      </c>
      <c r="AM109" s="29">
        <f>IF(基础状态预期!L122="",0,求节点($C$68:$C$76,E$68:E$76,基础状态预期!L122))</f>
        <v>0</v>
      </c>
      <c r="AN109" s="29">
        <f>IF(基础状态预期!M122="",0,求节点($C$68:$C$76,F$68:F$76,基础状态预期!M122)*求节点(武将升级!$H$52:$H$54,武将升级!$J$52:$J$54,基础状态预期!W122))</f>
        <v>0</v>
      </c>
      <c r="AO109" s="29">
        <f>IF(基础状态预期!N122="",0,求节点($C$68:$C$76,G$68:G$76,基础状态预期!N122)*求节点(武将升级!$H$52:$H$54,武将升级!$J$52:$J$54,基础状态预期!X122))</f>
        <v>0</v>
      </c>
      <c r="AP109" s="29">
        <f>IF(基础状态预期!O122="",0,求节点($C$68:$C$76,H$68:H$76,基础状态预期!O122)*求节点(武将升级!$H$52:$H$54,武将升级!$J$52:$J$54,基础状态预期!Y122))</f>
        <v>1.0200299794541499</v>
      </c>
      <c r="AQ109" s="29">
        <f>MAX(SUMPRODUCT(AL109:AP109,基础状态预期!$F122:$J122)/SUM(基础状态预期!$F122:$J122),AQ108)</f>
        <v>1.0200299794541499</v>
      </c>
      <c r="AR109" s="29">
        <f>IF(基础状态预期!K122="",0,求节点($C$158:$C$166,D$158:D$166,基础状态预期!K122))</f>
        <v>0</v>
      </c>
      <c r="AS109" s="29">
        <f>IF(基础状态预期!L122="",0,求节点($C$158:$C$166,E$158:E$166,基础状态预期!L122))</f>
        <v>0</v>
      </c>
      <c r="AT109" s="29">
        <f>IF(基础状态预期!M122="",0,求节点($C$158:$C$166,F$158:F$166,基础状态预期!M122))</f>
        <v>0</v>
      </c>
      <c r="AU109" s="29">
        <f>IF(基础状态预期!N122="",0,求节点($C$158:$C$166,G$158:G$166,基础状态预期!N122))</f>
        <v>0</v>
      </c>
      <c r="AV109" s="29">
        <f>IF(基础状态预期!O122="",0,求节点($C$158:$C$166,H$158:H$166,基础状态预期!O122))</f>
        <v>0.65003747431768744</v>
      </c>
      <c r="AW109" s="29">
        <f>MAX(SUMPRODUCT(AR109:AV109,基础状态预期!$F122:$J122)/SUM(基础状态预期!$F122:$J122),AW108)</f>
        <v>0.65003747431768744</v>
      </c>
      <c r="BA109" s="29">
        <v>160</v>
      </c>
      <c r="BB109" s="29">
        <f t="shared" si="49"/>
        <v>148</v>
      </c>
      <c r="BC109" s="29">
        <f t="shared" si="50"/>
        <v>1.1399999999999999</v>
      </c>
      <c r="BD109" s="29">
        <f>(BB109-BB108)*(INDEX([2]中r将兵属性验证!$V$7:$V$166,$BA109,1)+INDEX([2]中r将兵属性验证!$AP$7:$AP$166,$BA109,1))+BD108</f>
        <v>18483173468.988022</v>
      </c>
      <c r="BE109" s="29" t="e">
        <f>(BC109-BC108)*(INDEX([2]中r将兵属性验证!$AC$7:$AC$166,$BA109,1)*[2]战法技能效用!$AB$4+INDEX([2]中r将兵属性验证!$AX$7:$AX$166,$BA109,1)*[2]战法技能效用!$AC$4)+BE108</f>
        <v>#VALUE!</v>
      </c>
      <c r="BF109" s="75" t="e">
        <f t="shared" si="56"/>
        <v>#VALUE!</v>
      </c>
      <c r="BJ109" s="29">
        <f t="shared" si="54"/>
        <v>82.238672852681816</v>
      </c>
      <c r="BK109" s="75">
        <f>武将数量星级阶位验证!AT112</f>
        <v>987153.55112730141</v>
      </c>
      <c r="BL109" s="75">
        <f>(AD109-AD108)*INDEX('[1]功能-付费相关'!$AS$6:$AS$165,BJ109,1)+BL108</f>
        <v>9836.9695026181289</v>
      </c>
      <c r="BN109" s="29">
        <v>160</v>
      </c>
      <c r="BO109" s="29">
        <f t="shared" si="57"/>
        <v>106579834.91217634</v>
      </c>
      <c r="BP109" s="29">
        <f t="shared" si="58"/>
        <v>24025.759112891668</v>
      </c>
      <c r="BQ109" s="29">
        <f t="shared" si="59"/>
        <v>106603860.67128924</v>
      </c>
    </row>
    <row r="110" spans="2:69" x14ac:dyDescent="0.15">
      <c r="B110" s="170"/>
      <c r="C110" s="14">
        <v>6</v>
      </c>
      <c r="D110" s="29">
        <f>SUM(D$5:D11)</f>
        <v>1</v>
      </c>
      <c r="E110" s="29">
        <f>SUM(E$5:E11)</f>
        <v>5</v>
      </c>
      <c r="F110" s="29">
        <f>SUM(F$5:F11)</f>
        <v>13</v>
      </c>
      <c r="G110" s="29">
        <f>SUM(G$5:G11)</f>
        <v>11</v>
      </c>
      <c r="H110" s="29">
        <f>SUM(H$5:H11)</f>
        <v>11</v>
      </c>
      <c r="I110" s="29">
        <f>SUM(I$5:I11)</f>
        <v>11</v>
      </c>
      <c r="M110" s="72">
        <v>20</v>
      </c>
      <c r="N110" s="29">
        <f>基础状态预期!D123</f>
        <v>84.043767921022209</v>
      </c>
      <c r="O110" s="29">
        <f>IF(基础状态预期!F123="",0,求节点($C$104:$C$112,D$104:D$112,基础状态预期!K123))</f>
        <v>0</v>
      </c>
      <c r="P110" s="29">
        <f>IF(基础状态预期!G123="",0,求节点($C$104:$C$112,E$104:E$112,基础状态预期!L123))</f>
        <v>0</v>
      </c>
      <c r="Q110" s="29">
        <f>IF(基础状态预期!H123="",0,求节点($C$104:$C$112,F$104:F$112,基础状态预期!M123))</f>
        <v>0</v>
      </c>
      <c r="R110" s="29">
        <f>IF(基础状态预期!I123="",0,求节点($C$104:$C$112,G$104:G$112,基础状态预期!N123))</f>
        <v>0</v>
      </c>
      <c r="S110" s="29">
        <f>IF(基础状态预期!J123="",0,求节点($C$104:$C$112,H$104:H$112,基础状态预期!O123))</f>
        <v>14.054491684858888</v>
      </c>
      <c r="T110" s="29">
        <f>IF(基础状态预期!F123="",0,求节点($C$114:$C$122,D$114:D$122,基础状态预期!K123)*基础状态预期!F123+求节点($C$124:$C$132,D$124:D$132,基础状态预期!$O123)*基础状态预期!$J123)</f>
        <v>0</v>
      </c>
      <c r="U110" s="29">
        <f>IF(基础状态预期!G123="",0,求节点($C$114:$C$122,E$114:E$122,基础状态预期!L123)*基础状态预期!G123+求节点($C$124:$C$132,E$124:E$132,基础状态预期!$O123)*基础状态预期!$J123)</f>
        <v>0</v>
      </c>
      <c r="V110" s="29">
        <f>IF(基础状态预期!H123="",0,求节点($C$114:$C$122,F$114:F$122,基础状态预期!M123)*基础状态预期!H123+求节点($C$124:$C$132,F$124:F$132,基础状态预期!$O123)*基础状态预期!$J123)</f>
        <v>0</v>
      </c>
      <c r="W110" s="148">
        <f>IF(基础状态预期!I123="",0,求节点($C$114:$C$122,G$114:G$122,基础状态预期!N123)*基础状态预期!I123)+IF(基础状态预期!O123="",0,求节点($C$124:$C$132,G$124:G$132,基础状态预期!$O123)*基础状态预期!$J123)</f>
        <v>54</v>
      </c>
      <c r="X110" s="29">
        <f>IF(基础状态预期!J123="",0,求节点($C$114:$C$122,H$114:H$122,基础状态预期!O123)*基础状态预期!J123+求节点($C$124:$C$132,H$124:H$132,基础状态预期!$O123)*基础状态预期!$J123)</f>
        <v>0</v>
      </c>
      <c r="Y110" s="14">
        <f>IF(基础状态预期!K123="",0,求节点($C$92:$C$100,D$92:D$100,基础状态预期!K123))</f>
        <v>0</v>
      </c>
      <c r="Z110" s="14">
        <f>IF(基础状态预期!L123="",0,求节点($C$92:$C$100,E$92:E$100,基础状态预期!L123))</f>
        <v>0</v>
      </c>
      <c r="AA110" s="14">
        <f>IF(基础状态预期!M123="",0,求节点($C$92:$C$100,F$92:F$100,基础状态预期!M123))</f>
        <v>0</v>
      </c>
      <c r="AB110" s="14">
        <f>IF(基础状态预期!N123="",0,求节点($C$92:$C$100,G$92:G$100,基础状态预期!N123))</f>
        <v>0</v>
      </c>
      <c r="AC110" s="14">
        <f>IF(基础状态预期!O123="",0,求节点($C$92:$C$100,H$92:H$100,基础状态预期!O123))</f>
        <v>1931156.0087322665</v>
      </c>
      <c r="AD110" s="29">
        <f>MAX(SUMPRODUCT(Y110:AC110,基础状态预期!F123:J123),AD109)</f>
        <v>11586936.052393598</v>
      </c>
      <c r="AF110" s="29" t="str">
        <f>IF(基础状态预期!K123="","",基础状态预期!K123*D$59+D$58)</f>
        <v/>
      </c>
      <c r="AG110" s="29" t="str">
        <f>IF(基础状态预期!L123="","",基础状态预期!L123*E$59+E$58)</f>
        <v/>
      </c>
      <c r="AH110" s="29" t="str">
        <f>IF(基础状态预期!M123="","",基础状态预期!M123*F$59+F$58)</f>
        <v/>
      </c>
      <c r="AI110" s="29" t="str">
        <f>IF(基础状态预期!N123="","",基础状态预期!N123*G$59+G$58)</f>
        <v/>
      </c>
      <c r="AJ110" s="29">
        <f>IF(基础状态预期!O123="","",基础状态预期!O123*H$59+H$58)</f>
        <v>142.08173752728834</v>
      </c>
      <c r="AK110" s="29">
        <f>MAX(SUMPRODUCT(AF110:AJ110,基础状态预期!$F123:$J123)/SUM(基础状态预期!$F123:$J123),AK109)</f>
        <v>142.08173752728834</v>
      </c>
      <c r="AL110" s="29">
        <f>IF(基础状态预期!K123="",0,求节点($C$68:$C$76,D$68:D$76,基础状态预期!K123))</f>
        <v>0</v>
      </c>
      <c r="AM110" s="29">
        <f>IF(基础状态预期!L123="",0,求节点($C$68:$C$76,E$68:E$76,基础状态预期!L123))</f>
        <v>0</v>
      </c>
      <c r="AN110" s="29">
        <f>IF(基础状态预期!M123="",0,求节点($C$68:$C$76,F$68:F$76,基础状态预期!M123)*求节点(武将升级!$H$52:$H$54,武将升级!$J$52:$J$54,基础状态预期!W123))</f>
        <v>0</v>
      </c>
      <c r="AO110" s="29">
        <f>IF(基础状态预期!N123="",0,求节点($C$68:$C$76,G$68:G$76,基础状态预期!N123)*求节点(武将升级!$H$52:$H$54,武将升级!$J$52:$J$54,基础状态预期!X123))</f>
        <v>0</v>
      </c>
      <c r="AP110" s="29">
        <f>IF(基础状态预期!O123="",0,求节点($C$68:$C$76,H$68:H$76,基础状态预期!O123)*求节点(武将升级!$H$52:$H$54,武将升级!$J$52:$J$54,基础状态预期!Y123))</f>
        <v>1.0610898336971777</v>
      </c>
      <c r="AQ110" s="29">
        <f>MAX(SUMPRODUCT(AL110:AP110,基础状态预期!$F123:$J123)/SUM(基础状态预期!$F123:$J123),AQ109)</f>
        <v>1.0610898336971777</v>
      </c>
      <c r="AR110" s="29">
        <f>IF(基础状态预期!K123="",0,求节点($C$158:$C$166,D$158:D$166,基础状态预期!K123))</f>
        <v>0</v>
      </c>
      <c r="AS110" s="29">
        <f>IF(基础状态预期!L123="",0,求节点($C$158:$C$166,E$158:E$166,基础状态预期!L123))</f>
        <v>0</v>
      </c>
      <c r="AT110" s="29">
        <f>IF(基础状态预期!M123="",0,求节点($C$158:$C$166,F$158:F$166,基础状态预期!M123))</f>
        <v>0</v>
      </c>
      <c r="AU110" s="29">
        <f>IF(基础状态预期!N123="",0,求节点($C$158:$C$166,G$158:G$166,基础状态预期!N123))</f>
        <v>0</v>
      </c>
      <c r="AV110" s="29">
        <f>IF(基础状态预期!O123="",0,求节点($C$158:$C$166,H$158:H$166,基础状态预期!O123))</f>
        <v>0.70136229212147216</v>
      </c>
      <c r="AW110" s="29">
        <f>MAX(SUMPRODUCT(AR110:AV110,基础状态预期!$F123:$J123)/SUM(基础状态预期!$F123:$J123),AW109)</f>
        <v>0.70136229212147205</v>
      </c>
      <c r="BJ110" s="29">
        <f t="shared" si="54"/>
        <v>84.043767921022209</v>
      </c>
      <c r="BK110" s="75">
        <f>武将数量星级阶位验证!AT113</f>
        <v>1080355.5984469973</v>
      </c>
      <c r="BL110" s="75">
        <f>(AD110-AD109)*INDEX('[1]功能-付费相关'!$AS$6:$AS$165,BJ110,1)+BL109</f>
        <v>12896.221046665309</v>
      </c>
    </row>
    <row r="111" spans="2:69" x14ac:dyDescent="0.15">
      <c r="B111" s="170"/>
      <c r="C111" s="14">
        <v>7</v>
      </c>
      <c r="D111" s="29">
        <f>SUM(D$5:D12)</f>
        <v>1</v>
      </c>
      <c r="E111" s="29">
        <f>SUM(E$5:E12)</f>
        <v>5</v>
      </c>
      <c r="F111" s="29">
        <f>SUM(F$5:F12)</f>
        <v>13</v>
      </c>
      <c r="G111" s="29">
        <f>SUM(G$5:G12)</f>
        <v>14</v>
      </c>
      <c r="H111" s="29">
        <f>SUM(H$5:H12)</f>
        <v>14</v>
      </c>
      <c r="I111" s="29">
        <f>SUM(I$5:I12)</f>
        <v>14</v>
      </c>
      <c r="M111" s="72">
        <v>21</v>
      </c>
      <c r="N111" s="29">
        <f>基础状态预期!D124</f>
        <v>86.385105215793828</v>
      </c>
      <c r="O111" s="29">
        <f>IF(基础状态预期!F124="",0,求节点($C$104:$C$112,D$104:D$112,基础状态预期!K124))</f>
        <v>0</v>
      </c>
      <c r="P111" s="29">
        <f>IF(基础状态预期!G124="",0,求节点($C$104:$C$112,E$104:E$112,基础状态预期!L124))</f>
        <v>0</v>
      </c>
      <c r="Q111" s="29">
        <f>IF(基础状态预期!H124="",0,求节点($C$104:$C$112,F$104:F$112,基础状态预期!M124))</f>
        <v>0</v>
      </c>
      <c r="R111" s="29">
        <f>IF(基础状态预期!I124="",0,求节点($C$104:$C$112,G$104:G$112,基础状态预期!N124))</f>
        <v>0</v>
      </c>
      <c r="S111" s="29">
        <f>IF(基础状态预期!J124="",0,求节点($C$104:$C$112,H$104:H$112,基础状态预期!O124))</f>
        <v>16.369475261238716</v>
      </c>
      <c r="T111" s="29">
        <f>IF(基础状态预期!F124="",0,求节点($C$114:$C$122,D$114:D$122,基础状态预期!K124)*基础状态预期!F124+求节点($C$124:$C$132,D$124:D$132,基础状态预期!$O124)*基础状态预期!$J124)</f>
        <v>0</v>
      </c>
      <c r="U111" s="29">
        <f>IF(基础状态预期!G124="",0,求节点($C$114:$C$122,E$114:E$122,基础状态预期!L124)*基础状态预期!G124+求节点($C$124:$C$132,E$124:E$132,基础状态预期!$O124)*基础状态预期!$J124)</f>
        <v>0</v>
      </c>
      <c r="V111" s="29">
        <f>IF(基础状态预期!H124="",0,求节点($C$114:$C$122,F$114:F$122,基础状态预期!M124)*基础状态预期!H124+求节点($C$124:$C$132,F$124:F$132,基础状态预期!$O124)*基础状态预期!$J124)</f>
        <v>0</v>
      </c>
      <c r="W111" s="148">
        <f>IF(基础状态预期!I124="",0,求节点($C$114:$C$122,G$114:G$122,基础状态预期!N124)*基础状态预期!I124)+IF(基础状态预期!O124="",0,求节点($C$124:$C$132,G$124:G$132,基础状态预期!$O124)*基础状态预期!$J124)</f>
        <v>54</v>
      </c>
      <c r="X111" s="29">
        <f>IF(基础状态预期!J124="",0,求节点($C$114:$C$122,H$114:H$122,基础状态预期!O124)*基础状态预期!J124+求节点($C$124:$C$132,H$124:H$132,基础状态预期!$O124)*基础状态预期!$J124)</f>
        <v>0</v>
      </c>
      <c r="Y111" s="14">
        <f>IF(基础状态预期!K124="",0,求节点($C$92:$C$100,D$92:D$100,基础状态预期!K124))</f>
        <v>0</v>
      </c>
      <c r="Z111" s="14">
        <f>IF(基础状态预期!L124="",0,求节点($C$92:$C$100,E$92:E$100,基础状态预期!L124))</f>
        <v>0</v>
      </c>
      <c r="AA111" s="14">
        <f>IF(基础状态预期!M124="",0,求节点($C$92:$C$100,F$92:F$100,基础状态预期!M124))</f>
        <v>0</v>
      </c>
      <c r="AB111" s="14">
        <f>IF(基础状态预期!N124="",0,求节点($C$92:$C$100,G$92:G$100,基础状态预期!N124))</f>
        <v>0</v>
      </c>
      <c r="AC111" s="14">
        <f>IF(基础状态预期!O124="",0,求节点($C$92:$C$100,H$92:H$100,基础状态预期!O124))</f>
        <v>3042348.1253945837</v>
      </c>
      <c r="AD111" s="29">
        <f>MAX(SUMPRODUCT(Y111:AC111,基础状态预期!F124:J124),AD110)</f>
        <v>18254088.752367504</v>
      </c>
      <c r="AF111" s="29" t="str">
        <f>IF(基础状态预期!K124="","",基础状态预期!K124*D$59+D$58)</f>
        <v/>
      </c>
      <c r="AG111" s="29" t="str">
        <f>IF(基础状态预期!L124="","",基础状态预期!L124*E$59+E$58)</f>
        <v/>
      </c>
      <c r="AH111" s="29" t="str">
        <f>IF(基础状态预期!M124="","",基础状态预期!M124*F$59+F$58)</f>
        <v/>
      </c>
      <c r="AI111" s="29" t="str">
        <f>IF(基础状态预期!N124="","",基础状态预期!N124*G$59+G$58)</f>
        <v/>
      </c>
      <c r="AJ111" s="29">
        <f>IF(基础状态预期!O124="","",基础状态预期!O124*H$59+H$58)</f>
        <v>145.55421289185807</v>
      </c>
      <c r="AK111" s="29">
        <f>MAX(SUMPRODUCT(AF111:AJ111,基础状态预期!$F124:$J124)/SUM(基础状态预期!$F124:$J124),AK110)</f>
        <v>145.55421289185807</v>
      </c>
      <c r="AL111" s="29">
        <f>IF(基础状态预期!K124="",0,求节点($C$68:$C$76,D$68:D$76,基础状态预期!K124))</f>
        <v>0</v>
      </c>
      <c r="AM111" s="29">
        <f>IF(基础状态预期!L124="",0,求节点($C$68:$C$76,E$68:E$76,基础状态预期!L124))</f>
        <v>0</v>
      </c>
      <c r="AN111" s="29">
        <f>IF(基础状态预期!M124="",0,求节点($C$68:$C$76,F$68:F$76,基础状态预期!M124)*求节点(武将升级!$H$52:$H$54,武将升级!$J$52:$J$54,基础状态预期!W124))</f>
        <v>0</v>
      </c>
      <c r="AO111" s="29">
        <f>IF(基础状态预期!N124="",0,求节点($C$68:$C$76,G$68:G$76,基础状态预期!N124)*求节点(武将升级!$H$52:$H$54,武将升级!$J$52:$J$54,基础状态预期!X124))</f>
        <v>0</v>
      </c>
      <c r="AP111" s="29">
        <f>IF(基础状态预期!O124="",0,求节点($C$68:$C$76,H$68:H$76,基础状态预期!O124)*求节点(武将升级!$H$52:$H$54,武将升级!$J$52:$J$54,基础状态预期!Y124))</f>
        <v>1.1073895052247742</v>
      </c>
      <c r="AQ111" s="29">
        <f>MAX(SUMPRODUCT(AL111:AP111,基础状态预期!$F124:$J124)/SUM(基础状态预期!$F124:$J124),AQ110)</f>
        <v>1.1073895052247742</v>
      </c>
      <c r="AR111" s="29">
        <f>IF(基础状态预期!K124="",0,求节点($C$158:$C$166,D$158:D$166,基础状态预期!K124))</f>
        <v>0</v>
      </c>
      <c r="AS111" s="29">
        <f>IF(基础状态预期!L124="",0,求节点($C$158:$C$166,E$158:E$166,基础状态预期!L124))</f>
        <v>0</v>
      </c>
      <c r="AT111" s="29">
        <f>IF(基础状态预期!M124="",0,求节点($C$158:$C$166,F$158:F$166,基础状态预期!M124))</f>
        <v>0</v>
      </c>
      <c r="AU111" s="29">
        <f>IF(基础状态预期!N124="",0,求节点($C$158:$C$166,G$158:G$166,基础状态预期!N124))</f>
        <v>0</v>
      </c>
      <c r="AV111" s="29">
        <f>IF(基础状态预期!O124="",0,求节点($C$158:$C$166,H$158:H$166,基础状态预期!O124))</f>
        <v>0.75923688153096791</v>
      </c>
      <c r="AW111" s="29">
        <f>MAX(SUMPRODUCT(AR111:AV111,基础状态预期!$F124:$J124)/SUM(基础状态预期!$F124:$J124),AW110)</f>
        <v>0.75923688153096791</v>
      </c>
      <c r="BJ111" s="29">
        <f t="shared" si="54"/>
        <v>86.385105215793828</v>
      </c>
      <c r="BK111" s="75">
        <f>武将数量星级阶位验证!AT114</f>
        <v>1219254.6130297869</v>
      </c>
      <c r="BL111" s="75">
        <f>(AD111-AD110)*INDEX('[1]功能-付费相关'!$AS$6:$AS$165,BJ111,1)+BL110</f>
        <v>19510.459836321959</v>
      </c>
    </row>
    <row r="112" spans="2:69" x14ac:dyDescent="0.15">
      <c r="B112" s="171"/>
      <c r="C112" s="14">
        <v>8</v>
      </c>
      <c r="D112" s="29">
        <f>SUM(D$5:D13)</f>
        <v>1</v>
      </c>
      <c r="E112" s="29">
        <f>SUM(E$5:E13)</f>
        <v>5</v>
      </c>
      <c r="F112" s="29">
        <f>SUM(F$5:F13)</f>
        <v>13</v>
      </c>
      <c r="G112" s="29">
        <f>SUM(G$5:G13)</f>
        <v>18</v>
      </c>
      <c r="H112" s="29">
        <f>SUM(H$5:H13)</f>
        <v>18</v>
      </c>
      <c r="I112" s="29">
        <f>SUM(I$5:I13)</f>
        <v>18</v>
      </c>
      <c r="M112" s="72">
        <v>22</v>
      </c>
      <c r="N112" s="29">
        <f>基础状态预期!D125</f>
        <v>90.406191748048585</v>
      </c>
      <c r="O112" s="29">
        <f>IF(基础状态预期!F125="",0,求节点($C$104:$C$112,D$104:D$112,基础状态预期!K125))</f>
        <v>0</v>
      </c>
      <c r="P112" s="29">
        <f>IF(基础状态预期!G125="",0,求节点($C$104:$C$112,E$104:E$112,基础状态预期!L125))</f>
        <v>0</v>
      </c>
      <c r="Q112" s="29">
        <f>IF(基础状态预期!H125="",0,求节点($C$104:$C$112,F$104:F$112,基础状态预期!M125))</f>
        <v>0</v>
      </c>
      <c r="R112" s="29">
        <f>IF(基础状态预期!I125="",0,求节点($C$104:$C$112,G$104:G$112,基础状态预期!N125))</f>
        <v>0</v>
      </c>
      <c r="S112" s="29">
        <f>IF(基础状态预期!J125="",0,求节点($C$104:$C$112,H$104:H$112,基础状态预期!O125))</f>
        <v>18</v>
      </c>
      <c r="T112" s="29">
        <f>IF(基础状态预期!F125="",0,求节点($C$114:$C$122,D$114:D$122,基础状态预期!K125)*基础状态预期!F125+求节点($C$124:$C$132,D$124:D$132,基础状态预期!$O125)*基础状态预期!$J125)</f>
        <v>0</v>
      </c>
      <c r="U112" s="29">
        <f>IF(基础状态预期!G125="",0,求节点($C$114:$C$122,E$114:E$122,基础状态预期!L125)*基础状态预期!G125+求节点($C$124:$C$132,E$124:E$132,基础状态预期!$O125)*基础状态预期!$J125)</f>
        <v>0</v>
      </c>
      <c r="V112" s="29">
        <f>IF(基础状态预期!H125="",0,求节点($C$114:$C$122,F$114:F$122,基础状态预期!M125)*基础状态预期!H125+求节点($C$124:$C$132,F$124:F$132,基础状态预期!$O125)*基础状态预期!$J125)</f>
        <v>0</v>
      </c>
      <c r="W112" s="148">
        <f>IF(基础状态预期!I125="",0,求节点($C$114:$C$122,G$114:G$122,基础状态预期!N125)*基础状态预期!I125)+IF(基础状态预期!O125="",0,求节点($C$124:$C$132,G$124:G$132,基础状态预期!$O125)*基础状态预期!$J125)</f>
        <v>54</v>
      </c>
      <c r="X112" s="29">
        <f>IF(基础状态预期!J125="",0,求节点($C$114:$C$122,H$114:H$122,基础状态预期!O125)*基础状态预期!J125+求节点($C$124:$C$132,H$124:H$132,基础状态预期!$O125)*基础状态预期!$J125)</f>
        <v>0</v>
      </c>
      <c r="Y112" s="14">
        <f>IF(基础状态预期!K125="",0,求节点($C$92:$C$100,D$92:D$100,基础状态预期!K125))</f>
        <v>0</v>
      </c>
      <c r="Z112" s="14">
        <f>IF(基础状态预期!L125="",0,求节点($C$92:$C$100,E$92:E$100,基础状态预期!L125))</f>
        <v>0</v>
      </c>
      <c r="AA112" s="14">
        <f>IF(基础状态预期!M125="",0,求节点($C$92:$C$100,F$92:F$100,基础状态预期!M125))</f>
        <v>0</v>
      </c>
      <c r="AB112" s="14">
        <f>IF(基础状态预期!N125="",0,求节点($C$92:$C$100,G$92:G$100,基础状态预期!N125))</f>
        <v>0</v>
      </c>
      <c r="AC112" s="14">
        <f>IF(基础状态预期!O125="",0,求节点($C$92:$C$100,H$92:H$100,基础状态预期!O125))</f>
        <v>3825000</v>
      </c>
      <c r="AD112" s="29">
        <f>MAX(SUMPRODUCT(Y112:AC112,基础状态预期!F125:J125),AD111)</f>
        <v>22950000</v>
      </c>
      <c r="AF112" s="29" t="str">
        <f>IF(基础状态预期!K125="","",基础状态预期!K125*D$59+D$58)</f>
        <v/>
      </c>
      <c r="AG112" s="29" t="str">
        <f>IF(基础状态预期!L125="","",基础状态预期!L125*E$59+E$58)</f>
        <v/>
      </c>
      <c r="AH112" s="29" t="str">
        <f>IF(基础状态预期!M125="","",基础状态预期!M125*F$59+F$58)</f>
        <v/>
      </c>
      <c r="AI112" s="29" t="str">
        <f>IF(基础状态预期!N125="","",基础状态预期!N125*G$59+G$58)</f>
        <v/>
      </c>
      <c r="AJ112" s="29">
        <f>IF(基础状态预期!O125="","",基础状态预期!O125*H$59+H$58)</f>
        <v>148</v>
      </c>
      <c r="AK112" s="29">
        <f>MAX(SUMPRODUCT(AF112:AJ112,基础状态预期!$F125:$J125)/SUM(基础状态预期!$F125:$J125),AK111)</f>
        <v>148</v>
      </c>
      <c r="AL112" s="29">
        <f>IF(基础状态预期!K125="",0,求节点($C$68:$C$76,D$68:D$76,基础状态预期!K125))</f>
        <v>0</v>
      </c>
      <c r="AM112" s="29">
        <f>IF(基础状态预期!L125="",0,求节点($C$68:$C$76,E$68:E$76,基础状态预期!L125))</f>
        <v>0</v>
      </c>
      <c r="AN112" s="29">
        <f>IF(基础状态预期!M125="",0,求节点($C$68:$C$76,F$68:F$76,基础状态预期!M125)*求节点(武将升级!$H$52:$H$54,武将升级!$J$52:$J$54,基础状态预期!W125))</f>
        <v>0</v>
      </c>
      <c r="AO112" s="29">
        <f>IF(基础状态预期!N125="",0,求节点($C$68:$C$76,G$68:G$76,基础状态预期!N125)*求节点(武将升级!$H$52:$H$54,武将升级!$J$52:$J$54,基础状态预期!X125))</f>
        <v>0</v>
      </c>
      <c r="AP112" s="29">
        <f>IF(基础状态预期!O125="",0,求节点($C$68:$C$76,H$68:H$76,基础状态预期!O125)*求节点(武将升级!$H$52:$H$54,武将升级!$J$52:$J$54,基础状态预期!Y125))</f>
        <v>1.1399999999999999</v>
      </c>
      <c r="AQ112" s="29">
        <f>MAX(SUMPRODUCT(AL112:AP112,基础状态预期!$F125:$J125)/SUM(基础状态预期!$F125:$J125),AQ111)</f>
        <v>1.1399999999999999</v>
      </c>
      <c r="AR112" s="29">
        <f>IF(基础状态预期!K125="",0,求节点($C$158:$C$166,D$158:D$166,基础状态预期!K125))</f>
        <v>0</v>
      </c>
      <c r="AS112" s="29">
        <f>IF(基础状态预期!L125="",0,求节点($C$158:$C$166,E$158:E$166,基础状态预期!L125))</f>
        <v>0</v>
      </c>
      <c r="AT112" s="29">
        <f>IF(基础状态预期!M125="",0,求节点($C$158:$C$166,F$158:F$166,基础状态预期!M125))</f>
        <v>0</v>
      </c>
      <c r="AU112" s="29">
        <f>IF(基础状态预期!N125="",0,求节点($C$158:$C$166,G$158:G$166,基础状态预期!N125))</f>
        <v>0</v>
      </c>
      <c r="AV112" s="29">
        <f>IF(基础状态预期!O125="",0,求节点($C$158:$C$166,H$158:H$166,基础状态预期!O125))</f>
        <v>0.8</v>
      </c>
      <c r="AW112" s="29">
        <f>MAX(SUMPRODUCT(AR112:AV112,基础状态预期!$F125:$J125)/SUM(基础状态预期!$F125:$J125),AW111)</f>
        <v>0.80000000000000016</v>
      </c>
      <c r="BJ112" s="29">
        <f t="shared" si="54"/>
        <v>90.406191748048585</v>
      </c>
      <c r="BK112" s="75">
        <f>武将数量星级阶位验证!AT115</f>
        <v>1482748.3869638948</v>
      </c>
      <c r="BL112" s="75">
        <f>(AD112-AD111)*INDEX('[1]功能-付费相关'!$AS$6:$AS$165,BJ112,1)+BL111</f>
        <v>24025.759112891668</v>
      </c>
    </row>
    <row r="113" spans="2:64" x14ac:dyDescent="0.15">
      <c r="B113" s="169" t="s">
        <v>543</v>
      </c>
      <c r="C113" s="14" t="s">
        <v>175</v>
      </c>
      <c r="D113" s="29" t="s">
        <v>3</v>
      </c>
      <c r="E113" s="29" t="s">
        <v>1</v>
      </c>
      <c r="F113" s="29" t="s">
        <v>2</v>
      </c>
      <c r="G113" s="29" t="s">
        <v>0</v>
      </c>
      <c r="H113" s="14" t="s">
        <v>545</v>
      </c>
      <c r="I113" s="14" t="s">
        <v>30</v>
      </c>
      <c r="M113" s="72">
        <v>23</v>
      </c>
      <c r="N113" s="29">
        <f>基础状态预期!D126</f>
        <v>93.471491811086082</v>
      </c>
      <c r="O113" s="29">
        <f>IF(基础状态预期!F126="",0,求节点($C$104:$C$112,D$104:D$112,基础状态预期!K126))</f>
        <v>0</v>
      </c>
      <c r="P113" s="29">
        <f>IF(基础状态预期!G126="",0,求节点($C$104:$C$112,E$104:E$112,基础状态预期!L126))</f>
        <v>0</v>
      </c>
      <c r="Q113" s="29">
        <f>IF(基础状态预期!H126="",0,求节点($C$104:$C$112,F$104:F$112,基础状态预期!M126))</f>
        <v>0</v>
      </c>
      <c r="R113" s="29">
        <f>IF(基础状态预期!I126="",0,求节点($C$104:$C$112,G$104:G$112,基础状态预期!N126))</f>
        <v>0</v>
      </c>
      <c r="S113" s="29">
        <f>IF(基础状态预期!J126="",0,求节点($C$104:$C$112,H$104:H$112,基础状态预期!O126))</f>
        <v>18</v>
      </c>
      <c r="T113" s="29">
        <f>IF(基础状态预期!F126="",0,求节点($C$114:$C$122,D$114:D$122,基础状态预期!K126)*基础状态预期!F126+求节点($C$124:$C$132,D$124:D$132,基础状态预期!$O126)*基础状态预期!$J126)</f>
        <v>0</v>
      </c>
      <c r="U113" s="29">
        <f>IF(基础状态预期!G126="",0,求节点($C$114:$C$122,E$114:E$122,基础状态预期!L126)*基础状态预期!G126+求节点($C$124:$C$132,E$124:E$132,基础状态预期!$O126)*基础状态预期!$J126)</f>
        <v>0</v>
      </c>
      <c r="V113" s="29">
        <f>IF(基础状态预期!H126="",0,求节点($C$114:$C$122,F$114:F$122,基础状态预期!M126)*基础状态预期!H126+求节点($C$124:$C$132,F$124:F$132,基础状态预期!$O126)*基础状态预期!$J126)</f>
        <v>0</v>
      </c>
      <c r="W113" s="148">
        <f>IF(基础状态预期!I126="",0,求节点($C$114:$C$122,G$114:G$122,基础状态预期!N126)*基础状态预期!I126)+IF(基础状态预期!O126="",0,求节点($C$124:$C$132,G$124:G$132,基础状态预期!$O126)*基础状态预期!$J126)</f>
        <v>54</v>
      </c>
      <c r="X113" s="29">
        <f>IF(基础状态预期!J126="",0,求节点($C$114:$C$122,H$114:H$122,基础状态预期!O126)*基础状态预期!J126+求节点($C$124:$C$132,H$124:H$132,基础状态预期!$O126)*基础状态预期!$J126)</f>
        <v>0</v>
      </c>
      <c r="Y113" s="14">
        <f>IF(基础状态预期!K126="",0,求节点($C$92:$C$100,D$92:D$100,基础状态预期!K126))</f>
        <v>0</v>
      </c>
      <c r="Z113" s="14">
        <f>IF(基础状态预期!L126="",0,求节点($C$92:$C$100,E$92:E$100,基础状态预期!L126))</f>
        <v>0</v>
      </c>
      <c r="AA113" s="14">
        <f>IF(基础状态预期!M126="",0,求节点($C$92:$C$100,F$92:F$100,基础状态预期!M126))</f>
        <v>0</v>
      </c>
      <c r="AB113" s="14">
        <f>IF(基础状态预期!N126="",0,求节点($C$92:$C$100,G$92:G$100,基础状态预期!N126))</f>
        <v>0</v>
      </c>
      <c r="AC113" s="14">
        <f>IF(基础状态预期!O126="",0,求节点($C$92:$C$100,H$92:H$100,基础状态预期!O126))</f>
        <v>3825000</v>
      </c>
      <c r="AD113" s="29">
        <f>MAX(SUMPRODUCT(Y113:AC113,基础状态预期!F126:J126),AD112)</f>
        <v>22950000</v>
      </c>
      <c r="AF113" s="29" t="str">
        <f>IF(基础状态预期!K126="","",基础状态预期!K126*D$59+D$58)</f>
        <v/>
      </c>
      <c r="AG113" s="29" t="str">
        <f>IF(基础状态预期!L126="","",基础状态预期!L126*E$59+E$58)</f>
        <v/>
      </c>
      <c r="AH113" s="29" t="str">
        <f>IF(基础状态预期!M126="","",基础状态预期!M126*F$59+F$58)</f>
        <v/>
      </c>
      <c r="AI113" s="29" t="str">
        <f>IF(基础状态预期!N126="","",基础状态预期!N126*G$59+G$58)</f>
        <v/>
      </c>
      <c r="AJ113" s="29">
        <f>IF(基础状态预期!O126="","",基础状态预期!O126*H$59+H$58)</f>
        <v>148</v>
      </c>
      <c r="AK113" s="29">
        <f>MAX(SUMPRODUCT(AF113:AJ113,基础状态预期!$F126:$J126)/SUM(基础状态预期!$F126:$J126),AK112)</f>
        <v>148</v>
      </c>
      <c r="AL113" s="29">
        <f>IF(基础状态预期!K126="",0,求节点($C$68:$C$76,D$68:D$76,基础状态预期!K126))</f>
        <v>0</v>
      </c>
      <c r="AM113" s="29">
        <f>IF(基础状态预期!L126="",0,求节点($C$68:$C$76,E$68:E$76,基础状态预期!L126))</f>
        <v>0</v>
      </c>
      <c r="AN113" s="29">
        <f>IF(基础状态预期!M126="",0,求节点($C$68:$C$76,F$68:F$76,基础状态预期!M126)*求节点(武将升级!$H$52:$H$54,武将升级!$J$52:$J$54,基础状态预期!W126))</f>
        <v>0</v>
      </c>
      <c r="AO113" s="29">
        <f>IF(基础状态预期!N126="",0,求节点($C$68:$C$76,G$68:G$76,基础状态预期!N126)*求节点(武将升级!$H$52:$H$54,武将升级!$J$52:$J$54,基础状态预期!X126))</f>
        <v>0</v>
      </c>
      <c r="AP113" s="29">
        <f>IF(基础状态预期!O126="",0,求节点($C$68:$C$76,H$68:H$76,基础状态预期!O126)*求节点(武将升级!$H$52:$H$54,武将升级!$J$52:$J$54,基础状态预期!Y126))</f>
        <v>1.1399999999999999</v>
      </c>
      <c r="AQ113" s="29">
        <f>MAX(SUMPRODUCT(AL113:AP113,基础状态预期!$F126:$J126)/SUM(基础状态预期!$F126:$J126),AQ112)</f>
        <v>1.1399999999999999</v>
      </c>
      <c r="AR113" s="29">
        <f>IF(基础状态预期!K126="",0,求节点($C$158:$C$166,D$158:D$166,基础状态预期!K126))</f>
        <v>0</v>
      </c>
      <c r="AS113" s="29">
        <f>IF(基础状态预期!L126="",0,求节点($C$158:$C$166,E$158:E$166,基础状态预期!L126))</f>
        <v>0</v>
      </c>
      <c r="AT113" s="29">
        <f>IF(基础状态预期!M126="",0,求节点($C$158:$C$166,F$158:F$166,基础状态预期!M126))</f>
        <v>0</v>
      </c>
      <c r="AU113" s="29">
        <f>IF(基础状态预期!N126="",0,求节点($C$158:$C$166,G$158:G$166,基础状态预期!N126))</f>
        <v>0</v>
      </c>
      <c r="AV113" s="29">
        <f>IF(基础状态预期!O126="",0,求节点($C$158:$C$166,H$158:H$166,基础状态预期!O126))</f>
        <v>0.8</v>
      </c>
      <c r="AW113" s="29">
        <f>MAX(SUMPRODUCT(AR113:AV113,基础状态预期!$F126:$J126)/SUM(基础状态预期!$F126:$J126),AW112)</f>
        <v>0.80000000000000016</v>
      </c>
      <c r="BJ113" s="29">
        <f t="shared" si="54"/>
        <v>93.471491811086082</v>
      </c>
      <c r="BK113" s="75">
        <f>武将数量星级阶位验证!AT116</f>
        <v>1731446.2955231478</v>
      </c>
      <c r="BL113" s="75">
        <f>(AD113-AD112)*INDEX('[1]功能-付费相关'!$AS$6:$AS$165,BJ113,1)+BL112</f>
        <v>24025.759112891668</v>
      </c>
    </row>
    <row r="114" spans="2:64" x14ac:dyDescent="0.15">
      <c r="B114" s="170"/>
      <c r="C114" s="14">
        <v>0</v>
      </c>
      <c r="D114" s="29">
        <f>SUM(D$16:D16)</f>
        <v>0</v>
      </c>
      <c r="E114" s="29">
        <f>SUM(E$16:E16)</f>
        <v>0</v>
      </c>
      <c r="F114" s="29">
        <f>SUM(F$16:F16)</f>
        <v>0</v>
      </c>
      <c r="G114" s="29">
        <f>SUM(G$16:G16)</f>
        <v>0</v>
      </c>
      <c r="H114" s="29">
        <f>SUM(H$16:H16)</f>
        <v>0</v>
      </c>
      <c r="I114" s="29">
        <f>SUM(I$16:I16)</f>
        <v>0</v>
      </c>
      <c r="M114" s="72">
        <v>24</v>
      </c>
      <c r="N114" s="29">
        <f>基础状态预期!D127</f>
        <v>97.107381566993553</v>
      </c>
      <c r="O114" s="29">
        <f>IF(基础状态预期!F127="",0,求节点($C$104:$C$112,D$104:D$112,基础状态预期!K127))</f>
        <v>0</v>
      </c>
      <c r="P114" s="29">
        <f>IF(基础状态预期!G127="",0,求节点($C$104:$C$112,E$104:E$112,基础状态预期!L127))</f>
        <v>0</v>
      </c>
      <c r="Q114" s="29">
        <f>IF(基础状态预期!H127="",0,求节点($C$104:$C$112,F$104:F$112,基础状态预期!M127))</f>
        <v>0</v>
      </c>
      <c r="R114" s="29">
        <f>IF(基础状态预期!I127="",0,求节点($C$104:$C$112,G$104:G$112,基础状态预期!N127))</f>
        <v>0</v>
      </c>
      <c r="S114" s="29">
        <f>IF(基础状态预期!J127="",0,求节点($C$104:$C$112,H$104:H$112,基础状态预期!O127))</f>
        <v>18</v>
      </c>
      <c r="T114" s="29">
        <f>IF(基础状态预期!F127="",0,求节点($C$114:$C$122,D$114:D$122,基础状态预期!K127)*基础状态预期!F127+求节点($C$124:$C$132,D$124:D$132,基础状态预期!$O127)*基础状态预期!$J127)</f>
        <v>0</v>
      </c>
      <c r="U114" s="29">
        <f>IF(基础状态预期!G127="",0,求节点($C$114:$C$122,E$114:E$122,基础状态预期!L127)*基础状态预期!G127+求节点($C$124:$C$132,E$124:E$132,基础状态预期!$O127)*基础状态预期!$J127)</f>
        <v>0</v>
      </c>
      <c r="V114" s="29">
        <f>IF(基础状态预期!H127="",0,求节点($C$114:$C$122,F$114:F$122,基础状态预期!M127)*基础状态预期!H127+求节点($C$124:$C$132,F$124:F$132,基础状态预期!$O127)*基础状态预期!$J127)</f>
        <v>0</v>
      </c>
      <c r="W114" s="148">
        <f>IF(基础状态预期!I127="",0,求节点($C$114:$C$122,G$114:G$122,基础状态预期!N127)*基础状态预期!I127)+IF(基础状态预期!O127="",0,求节点($C$124:$C$132,G$124:G$132,基础状态预期!$O127)*基础状态预期!$J127)</f>
        <v>54</v>
      </c>
      <c r="X114" s="29">
        <f>IF(基础状态预期!J127="",0,求节点($C$114:$C$122,H$114:H$122,基础状态预期!O127)*基础状态预期!J127+求节点($C$124:$C$132,H$124:H$132,基础状态预期!$O127)*基础状态预期!$J127)</f>
        <v>0</v>
      </c>
      <c r="Y114" s="14">
        <f>IF(基础状态预期!K127="",0,求节点($C$92:$C$100,D$92:D$100,基础状态预期!K127))</f>
        <v>0</v>
      </c>
      <c r="Z114" s="14">
        <f>IF(基础状态预期!L127="",0,求节点($C$92:$C$100,E$92:E$100,基础状态预期!L127))</f>
        <v>0</v>
      </c>
      <c r="AA114" s="14">
        <f>IF(基础状态预期!M127="",0,求节点($C$92:$C$100,F$92:F$100,基础状态预期!M127))</f>
        <v>0</v>
      </c>
      <c r="AB114" s="14">
        <f>IF(基础状态预期!N127="",0,求节点($C$92:$C$100,G$92:G$100,基础状态预期!N127))</f>
        <v>0</v>
      </c>
      <c r="AC114" s="14">
        <f>IF(基础状态预期!O127="",0,求节点($C$92:$C$100,H$92:H$100,基础状态预期!O127))</f>
        <v>3825000</v>
      </c>
      <c r="AD114" s="29">
        <f>MAX(SUMPRODUCT(Y114:AC114,基础状态预期!F127:J127),AD113)</f>
        <v>22950000</v>
      </c>
      <c r="AF114" s="29" t="str">
        <f>IF(基础状态预期!K127="","",基础状态预期!K127*D$59+D$58)</f>
        <v/>
      </c>
      <c r="AG114" s="29" t="str">
        <f>IF(基础状态预期!L127="","",基础状态预期!L127*E$59+E$58)</f>
        <v/>
      </c>
      <c r="AH114" s="29" t="str">
        <f>IF(基础状态预期!M127="","",基础状态预期!M127*F$59+F$58)</f>
        <v/>
      </c>
      <c r="AI114" s="29" t="str">
        <f>IF(基础状态预期!N127="","",基础状态预期!N127*G$59+G$58)</f>
        <v/>
      </c>
      <c r="AJ114" s="29">
        <f>IF(基础状态预期!O127="","",基础状态预期!O127*H$59+H$58)</f>
        <v>148</v>
      </c>
      <c r="AK114" s="29">
        <f>MAX(SUMPRODUCT(AF114:AJ114,基础状态预期!$F127:$J127)/SUM(基础状态预期!$F127:$J127),AK113)</f>
        <v>148</v>
      </c>
      <c r="AL114" s="29">
        <f>IF(基础状态预期!K127="",0,求节点($C$68:$C$76,D$68:D$76,基础状态预期!K127))</f>
        <v>0</v>
      </c>
      <c r="AM114" s="29">
        <f>IF(基础状态预期!L127="",0,求节点($C$68:$C$76,E$68:E$76,基础状态预期!L127))</f>
        <v>0</v>
      </c>
      <c r="AN114" s="29">
        <f>IF(基础状态预期!M127="",0,求节点($C$68:$C$76,F$68:F$76,基础状态预期!M127)*求节点(武将升级!$H$52:$H$54,武将升级!$J$52:$J$54,基础状态预期!W127))</f>
        <v>0</v>
      </c>
      <c r="AO114" s="29">
        <f>IF(基础状态预期!N127="",0,求节点($C$68:$C$76,G$68:G$76,基础状态预期!N127)*求节点(武将升级!$H$52:$H$54,武将升级!$J$52:$J$54,基础状态预期!X127))</f>
        <v>0</v>
      </c>
      <c r="AP114" s="29">
        <f>IF(基础状态预期!O127="",0,求节点($C$68:$C$76,H$68:H$76,基础状态预期!O127)*求节点(武将升级!$H$52:$H$54,武将升级!$J$52:$J$54,基础状态预期!Y127))</f>
        <v>1.1399999999999999</v>
      </c>
      <c r="AQ114" s="29">
        <f>MAX(SUMPRODUCT(AL114:AP114,基础状态预期!$F127:$J127)/SUM(基础状态预期!$F127:$J127),AQ113)</f>
        <v>1.1399999999999999</v>
      </c>
      <c r="AR114" s="29">
        <f>IF(基础状态预期!K127="",0,求节点($C$158:$C$166,D$158:D$166,基础状态预期!K127))</f>
        <v>0</v>
      </c>
      <c r="AS114" s="29">
        <f>IF(基础状态预期!L127="",0,求节点($C$158:$C$166,E$158:E$166,基础状态预期!L127))</f>
        <v>0</v>
      </c>
      <c r="AT114" s="29">
        <f>IF(基础状态预期!M127="",0,求节点($C$158:$C$166,F$158:F$166,基础状态预期!M127))</f>
        <v>0</v>
      </c>
      <c r="AU114" s="29">
        <f>IF(基础状态预期!N127="",0,求节点($C$158:$C$166,G$158:G$166,基础状态预期!N127))</f>
        <v>0</v>
      </c>
      <c r="AV114" s="29">
        <f>IF(基础状态预期!O127="",0,求节点($C$158:$C$166,H$158:H$166,基础状态预期!O127))</f>
        <v>0.8</v>
      </c>
      <c r="AW114" s="29">
        <f>MAX(SUMPRODUCT(AR114:AV114,基础状态预期!$F127:$J127)/SUM(基础状态预期!$F127:$J127),AW113)</f>
        <v>0.80000000000000016</v>
      </c>
      <c r="BJ114" s="29">
        <f t="shared" si="54"/>
        <v>97.107381566993553</v>
      </c>
      <c r="BK114" s="75">
        <f>武将数量星级阶位验证!AT117</f>
        <v>2085193.2871272045</v>
      </c>
      <c r="BL114" s="75">
        <f>(AD114-AD113)*INDEX('[1]功能-付费相关'!$AS$6:$AS$165,BJ114,1)+BL113</f>
        <v>24025.759112891668</v>
      </c>
    </row>
    <row r="115" spans="2:64" x14ac:dyDescent="0.15">
      <c r="B115" s="170"/>
      <c r="C115" s="14">
        <v>1</v>
      </c>
      <c r="D115" s="29">
        <f>SUM(D$16:D17)</f>
        <v>0</v>
      </c>
      <c r="E115" s="29">
        <f>SUM(E$16:E17)</f>
        <v>0</v>
      </c>
      <c r="F115" s="29">
        <f>SUM(F$16:F17)</f>
        <v>0</v>
      </c>
      <c r="G115" s="29">
        <f>SUM(G$16:G17)</f>
        <v>0</v>
      </c>
      <c r="H115" s="29">
        <f>SUM(H$16:H17)</f>
        <v>0</v>
      </c>
      <c r="I115" s="29">
        <f>SUM(I$16:I17)</f>
        <v>0</v>
      </c>
      <c r="M115" s="72">
        <v>25</v>
      </c>
      <c r="N115" s="29">
        <f>基础状态预期!D128</f>
        <v>100.71243145193914</v>
      </c>
      <c r="O115" s="29">
        <f>IF(基础状态预期!F128="",0,求节点($C$104:$C$112,D$104:D$112,基础状态预期!K128))</f>
        <v>0</v>
      </c>
      <c r="P115" s="29">
        <f>IF(基础状态预期!G128="",0,求节点($C$104:$C$112,E$104:E$112,基础状态预期!L128))</f>
        <v>0</v>
      </c>
      <c r="Q115" s="29">
        <f>IF(基础状态预期!H128="",0,求节点($C$104:$C$112,F$104:F$112,基础状态预期!M128))</f>
        <v>0</v>
      </c>
      <c r="R115" s="29">
        <f>IF(基础状态预期!I128="",0,求节点($C$104:$C$112,G$104:G$112,基础状态预期!N128))</f>
        <v>0</v>
      </c>
      <c r="S115" s="29">
        <f>IF(基础状态预期!J128="",0,求节点($C$104:$C$112,H$104:H$112,基础状态预期!O128))</f>
        <v>18</v>
      </c>
      <c r="T115" s="29">
        <f>IF(基础状态预期!F128="",0,求节点($C$114:$C$122,D$114:D$122,基础状态预期!K128)*基础状态预期!F128+求节点($C$124:$C$132,D$124:D$132,基础状态预期!$O128)*基础状态预期!$J128)</f>
        <v>0</v>
      </c>
      <c r="U115" s="29">
        <f>IF(基础状态预期!G128="",0,求节点($C$114:$C$122,E$114:E$122,基础状态预期!L128)*基础状态预期!G128+求节点($C$124:$C$132,E$124:E$132,基础状态预期!$O128)*基础状态预期!$J128)</f>
        <v>0</v>
      </c>
      <c r="V115" s="29">
        <f>IF(基础状态预期!H128="",0,求节点($C$114:$C$122,F$114:F$122,基础状态预期!M128)*基础状态预期!H128+求节点($C$124:$C$132,F$124:F$132,基础状态预期!$O128)*基础状态预期!$J128)</f>
        <v>0</v>
      </c>
      <c r="W115" s="148">
        <f>IF(基础状态预期!I128="",0,求节点($C$114:$C$122,G$114:G$122,基础状态预期!N128)*基础状态预期!I128)+IF(基础状态预期!O128="",0,求节点($C$124:$C$132,G$124:G$132,基础状态预期!$O128)*基础状态预期!$J128)</f>
        <v>54</v>
      </c>
      <c r="X115" s="29">
        <f>IF(基础状态预期!J128="",0,求节点($C$114:$C$122,H$114:H$122,基础状态预期!O128)*基础状态预期!J128+求节点($C$124:$C$132,H$124:H$132,基础状态预期!$O128)*基础状态预期!$J128)</f>
        <v>0</v>
      </c>
      <c r="Y115" s="14">
        <f>IF(基础状态预期!K128="",0,求节点($C$92:$C$100,D$92:D$100,基础状态预期!K128))</f>
        <v>0</v>
      </c>
      <c r="Z115" s="14">
        <f>IF(基础状态预期!L128="",0,求节点($C$92:$C$100,E$92:E$100,基础状态预期!L128))</f>
        <v>0</v>
      </c>
      <c r="AA115" s="14">
        <f>IF(基础状态预期!M128="",0,求节点($C$92:$C$100,F$92:F$100,基础状态预期!M128))</f>
        <v>0</v>
      </c>
      <c r="AB115" s="14">
        <f>IF(基础状态预期!N128="",0,求节点($C$92:$C$100,G$92:G$100,基础状态预期!N128))</f>
        <v>0</v>
      </c>
      <c r="AC115" s="14">
        <f>IF(基础状态预期!O128="",0,求节点($C$92:$C$100,H$92:H$100,基础状态预期!O128))</f>
        <v>3825000</v>
      </c>
      <c r="AD115" s="29">
        <f>MAX(SUMPRODUCT(Y115:AC115,基础状态预期!F128:J128),AD114)</f>
        <v>22950000</v>
      </c>
      <c r="AF115" s="29" t="str">
        <f>IF(基础状态预期!K128="","",基础状态预期!K128*D$59+D$58)</f>
        <v/>
      </c>
      <c r="AG115" s="29" t="str">
        <f>IF(基础状态预期!L128="","",基础状态预期!L128*E$59+E$58)</f>
        <v/>
      </c>
      <c r="AH115" s="29" t="str">
        <f>IF(基础状态预期!M128="","",基础状态预期!M128*F$59+F$58)</f>
        <v/>
      </c>
      <c r="AI115" s="29" t="str">
        <f>IF(基础状态预期!N128="","",基础状态预期!N128*G$59+G$58)</f>
        <v/>
      </c>
      <c r="AJ115" s="29">
        <f>IF(基础状态预期!O128="","",基础状态预期!O128*H$59+H$58)</f>
        <v>148</v>
      </c>
      <c r="AK115" s="29">
        <f>MAX(SUMPRODUCT(AF115:AJ115,基础状态预期!$F128:$J128)/SUM(基础状态预期!$F128:$J128),AK114)</f>
        <v>148</v>
      </c>
      <c r="AL115" s="29">
        <f>IF(基础状态预期!K128="",0,求节点($C$68:$C$76,D$68:D$76,基础状态预期!K128))</f>
        <v>0</v>
      </c>
      <c r="AM115" s="29">
        <f>IF(基础状态预期!L128="",0,求节点($C$68:$C$76,E$68:E$76,基础状态预期!L128))</f>
        <v>0</v>
      </c>
      <c r="AN115" s="29">
        <f>IF(基础状态预期!M128="",0,求节点($C$68:$C$76,F$68:F$76,基础状态预期!M128)*求节点(武将升级!$H$52:$H$54,武将升级!$J$52:$J$54,基础状态预期!W128))</f>
        <v>0</v>
      </c>
      <c r="AO115" s="29">
        <f>IF(基础状态预期!N128="",0,求节点($C$68:$C$76,G$68:G$76,基础状态预期!N128)*求节点(武将升级!$H$52:$H$54,武将升级!$J$52:$J$54,基础状态预期!X128))</f>
        <v>0</v>
      </c>
      <c r="AP115" s="29">
        <f>IF(基础状态预期!O128="",0,求节点($C$68:$C$76,H$68:H$76,基础状态预期!O128)*求节点(武将升级!$H$52:$H$54,武将升级!$J$52:$J$54,基础状态预期!Y128))</f>
        <v>1.1399999999999999</v>
      </c>
      <c r="AQ115" s="29">
        <f>MAX(SUMPRODUCT(AL115:AP115,基础状态预期!$F128:$J128)/SUM(基础状态预期!$F128:$J128),AQ114)</f>
        <v>1.1399999999999999</v>
      </c>
      <c r="AR115" s="29">
        <f>IF(基础状态预期!K128="",0,求节点($C$158:$C$166,D$158:D$166,基础状态预期!K128))</f>
        <v>0</v>
      </c>
      <c r="AS115" s="29">
        <f>IF(基础状态预期!L128="",0,求节点($C$158:$C$166,E$158:E$166,基础状态预期!L128))</f>
        <v>0</v>
      </c>
      <c r="AT115" s="29">
        <f>IF(基础状态预期!M128="",0,求节点($C$158:$C$166,F$158:F$166,基础状态预期!M128))</f>
        <v>0</v>
      </c>
      <c r="AU115" s="29">
        <f>IF(基础状态预期!N128="",0,求节点($C$158:$C$166,G$158:G$166,基础状态预期!N128))</f>
        <v>0</v>
      </c>
      <c r="AV115" s="29">
        <f>IF(基础状态预期!O128="",0,求节点($C$158:$C$166,H$158:H$166,基础状态预期!O128))</f>
        <v>0.8</v>
      </c>
      <c r="AW115" s="29">
        <f>MAX(SUMPRODUCT(AR115:AV115,基础状态预期!$F128:$J128)/SUM(基础状态预期!$F128:$J128),AW114)</f>
        <v>0.80000000000000016</v>
      </c>
      <c r="BJ115" s="29">
        <f t="shared" si="54"/>
        <v>100.71243145193914</v>
      </c>
      <c r="BK115" s="75">
        <f>武将数量星级阶位验证!AT118</f>
        <v>2538860.944336134</v>
      </c>
      <c r="BL115" s="75">
        <f>(AD115-AD114)*INDEX('[1]功能-付费相关'!$AS$6:$AS$165,BJ115,1)+BL114</f>
        <v>24025.759112891668</v>
      </c>
    </row>
    <row r="116" spans="2:64" x14ac:dyDescent="0.15">
      <c r="B116" s="170"/>
      <c r="C116" s="14">
        <v>2</v>
      </c>
      <c r="D116" s="29">
        <f>SUM(D$16:D18)</f>
        <v>0</v>
      </c>
      <c r="E116" s="29">
        <f>SUM(E$16:E18)</f>
        <v>0</v>
      </c>
      <c r="F116" s="29">
        <f>SUM(F$16:F18)</f>
        <v>0</v>
      </c>
      <c r="G116" s="29">
        <f>SUM(G$16:G18)</f>
        <v>0</v>
      </c>
      <c r="H116" s="29">
        <f>SUM(H$16:H18)</f>
        <v>0</v>
      </c>
      <c r="I116" s="29">
        <f>SUM(I$16:I18)</f>
        <v>0</v>
      </c>
      <c r="M116" s="72">
        <v>26</v>
      </c>
      <c r="N116" s="29">
        <f>基础状态预期!D129</f>
        <v>104.39233713204413</v>
      </c>
      <c r="O116" s="29">
        <f>IF(基础状态预期!F129="",0,求节点($C$104:$C$112,D$104:D$112,基础状态预期!K129))</f>
        <v>0</v>
      </c>
      <c r="P116" s="29">
        <f>IF(基础状态预期!G129="",0,求节点($C$104:$C$112,E$104:E$112,基础状态预期!L129))</f>
        <v>0</v>
      </c>
      <c r="Q116" s="29">
        <f>IF(基础状态预期!H129="",0,求节点($C$104:$C$112,F$104:F$112,基础状态预期!M129))</f>
        <v>0</v>
      </c>
      <c r="R116" s="29">
        <f>IF(基础状态预期!I129="",0,求节点($C$104:$C$112,G$104:G$112,基础状态预期!N129))</f>
        <v>0</v>
      </c>
      <c r="S116" s="29">
        <f>IF(基础状态预期!J129="",0,求节点($C$104:$C$112,H$104:H$112,基础状态预期!O129))</f>
        <v>18</v>
      </c>
      <c r="T116" s="29">
        <f>IF(基础状态预期!F129="",0,求节点($C$114:$C$122,D$114:D$122,基础状态预期!K129)*基础状态预期!F129+求节点($C$124:$C$132,D$124:D$132,基础状态预期!$O129)*基础状态预期!$J129)</f>
        <v>0</v>
      </c>
      <c r="U116" s="29">
        <f>IF(基础状态预期!G129="",0,求节点($C$114:$C$122,E$114:E$122,基础状态预期!L129)*基础状态预期!G129+求节点($C$124:$C$132,E$124:E$132,基础状态预期!$O129)*基础状态预期!$J129)</f>
        <v>0</v>
      </c>
      <c r="V116" s="29">
        <f>IF(基础状态预期!H129="",0,求节点($C$114:$C$122,F$114:F$122,基础状态预期!M129)*基础状态预期!H129+求节点($C$124:$C$132,F$124:F$132,基础状态预期!$O129)*基础状态预期!$J129)</f>
        <v>0</v>
      </c>
      <c r="W116" s="148">
        <f>IF(基础状态预期!I129="",0,求节点($C$114:$C$122,G$114:G$122,基础状态预期!N129)*基础状态预期!I129)+IF(基础状态预期!O129="",0,求节点($C$124:$C$132,G$124:G$132,基础状态预期!$O129)*基础状态预期!$J129)</f>
        <v>54</v>
      </c>
      <c r="X116" s="29">
        <f>IF(基础状态预期!J129="",0,求节点($C$114:$C$122,H$114:H$122,基础状态预期!O129)*基础状态预期!J129+求节点($C$124:$C$132,H$124:H$132,基础状态预期!$O129)*基础状态预期!$J129)</f>
        <v>0</v>
      </c>
      <c r="Y116" s="14">
        <f>IF(基础状态预期!K129="",0,求节点($C$92:$C$100,D$92:D$100,基础状态预期!K129))</f>
        <v>0</v>
      </c>
      <c r="Z116" s="14">
        <f>IF(基础状态预期!L129="",0,求节点($C$92:$C$100,E$92:E$100,基础状态预期!L129))</f>
        <v>0</v>
      </c>
      <c r="AA116" s="14">
        <f>IF(基础状态预期!M129="",0,求节点($C$92:$C$100,F$92:F$100,基础状态预期!M129))</f>
        <v>0</v>
      </c>
      <c r="AB116" s="14">
        <f>IF(基础状态预期!N129="",0,求节点($C$92:$C$100,G$92:G$100,基础状态预期!N129))</f>
        <v>0</v>
      </c>
      <c r="AC116" s="14">
        <f>IF(基础状态预期!O129="",0,求节点($C$92:$C$100,H$92:H$100,基础状态预期!O129))</f>
        <v>3825000</v>
      </c>
      <c r="AD116" s="29">
        <f>MAX(SUMPRODUCT(Y116:AC116,基础状态预期!F129:J129),AD115)</f>
        <v>22950000</v>
      </c>
      <c r="AF116" s="29" t="str">
        <f>IF(基础状态预期!K129="","",基础状态预期!K129*D$59+D$58)</f>
        <v/>
      </c>
      <c r="AG116" s="29" t="str">
        <f>IF(基础状态预期!L129="","",基础状态预期!L129*E$59+E$58)</f>
        <v/>
      </c>
      <c r="AH116" s="29" t="str">
        <f>IF(基础状态预期!M129="","",基础状态预期!M129*F$59+F$58)</f>
        <v/>
      </c>
      <c r="AI116" s="29" t="str">
        <f>IF(基础状态预期!N129="","",基础状态预期!N129*G$59+G$58)</f>
        <v/>
      </c>
      <c r="AJ116" s="29">
        <f>IF(基础状态预期!O129="","",基础状态预期!O129*H$59+H$58)</f>
        <v>148</v>
      </c>
      <c r="AK116" s="29">
        <f>MAX(SUMPRODUCT(AF116:AJ116,基础状态预期!$F129:$J129)/SUM(基础状态预期!$F129:$J129),AK115)</f>
        <v>148</v>
      </c>
      <c r="AL116" s="29">
        <f>IF(基础状态预期!K129="",0,求节点($C$68:$C$76,D$68:D$76,基础状态预期!K129))</f>
        <v>0</v>
      </c>
      <c r="AM116" s="29">
        <f>IF(基础状态预期!L129="",0,求节点($C$68:$C$76,E$68:E$76,基础状态预期!L129))</f>
        <v>0</v>
      </c>
      <c r="AN116" s="29">
        <f>IF(基础状态预期!M129="",0,求节点($C$68:$C$76,F$68:F$76,基础状态预期!M129)*求节点(武将升级!$H$52:$H$54,武将升级!$J$52:$J$54,基础状态预期!W129))</f>
        <v>0</v>
      </c>
      <c r="AO116" s="29">
        <f>IF(基础状态预期!N129="",0,求节点($C$68:$C$76,G$68:G$76,基础状态预期!N129)*求节点(武将升级!$H$52:$H$54,武将升级!$J$52:$J$54,基础状态预期!X129))</f>
        <v>0</v>
      </c>
      <c r="AP116" s="29">
        <f>IF(基础状态预期!O129="",0,求节点($C$68:$C$76,H$68:H$76,基础状态预期!O129)*求节点(武将升级!$H$52:$H$54,武将升级!$J$52:$J$54,基础状态预期!Y129))</f>
        <v>1.1399999999999999</v>
      </c>
      <c r="AQ116" s="29">
        <f>MAX(SUMPRODUCT(AL116:AP116,基础状态预期!$F129:$J129)/SUM(基础状态预期!$F129:$J129),AQ115)</f>
        <v>1.1399999999999999</v>
      </c>
      <c r="AR116" s="29">
        <f>IF(基础状态预期!K129="",0,求节点($C$158:$C$166,D$158:D$166,基础状态预期!K129))</f>
        <v>0</v>
      </c>
      <c r="AS116" s="29">
        <f>IF(基础状态预期!L129="",0,求节点($C$158:$C$166,E$158:E$166,基础状态预期!L129))</f>
        <v>0</v>
      </c>
      <c r="AT116" s="29">
        <f>IF(基础状态预期!M129="",0,求节点($C$158:$C$166,F$158:F$166,基础状态预期!M129))</f>
        <v>0</v>
      </c>
      <c r="AU116" s="29">
        <f>IF(基础状态预期!N129="",0,求节点($C$158:$C$166,G$158:G$166,基础状态预期!N129))</f>
        <v>0</v>
      </c>
      <c r="AV116" s="29">
        <f>IF(基础状态预期!O129="",0,求节点($C$158:$C$166,H$158:H$166,基础状态预期!O129))</f>
        <v>0.8</v>
      </c>
      <c r="AW116" s="29">
        <f>MAX(SUMPRODUCT(AR116:AV116,基础状态预期!$F129:$J129)/SUM(基础状态预期!$F129:$J129),AW115)</f>
        <v>0.80000000000000016</v>
      </c>
      <c r="BJ116" s="29">
        <f t="shared" si="54"/>
        <v>104.39233713204413</v>
      </c>
      <c r="BK116" s="75">
        <f>武将数量星级阶位验证!AT119</f>
        <v>3152665.4619128159</v>
      </c>
      <c r="BL116" s="75">
        <f>(AD116-AD115)*INDEX('[1]功能-付费相关'!$AS$6:$AS$165,BJ116,1)+BL115</f>
        <v>24025.759112891668</v>
      </c>
    </row>
    <row r="117" spans="2:64" x14ac:dyDescent="0.15">
      <c r="B117" s="170"/>
      <c r="C117" s="14">
        <v>3</v>
      </c>
      <c r="D117" s="29">
        <f>SUM(D$16:D19)</f>
        <v>0</v>
      </c>
      <c r="E117" s="29">
        <f>SUM(E$16:E19)</f>
        <v>0</v>
      </c>
      <c r="F117" s="29">
        <f>SUM(F$16:F19)</f>
        <v>0</v>
      </c>
      <c r="G117" s="29">
        <f>SUM(G$16:G19)</f>
        <v>1</v>
      </c>
      <c r="H117" s="29">
        <f>SUM(H$16:H19)</f>
        <v>0</v>
      </c>
      <c r="I117" s="29">
        <f>SUM(I$16:I19)</f>
        <v>0</v>
      </c>
      <c r="M117" s="72">
        <v>27</v>
      </c>
      <c r="N117" s="29">
        <f>基础状态预期!D130</f>
        <v>107.81562240612369</v>
      </c>
      <c r="O117" s="29">
        <f>IF(基础状态预期!F130="",0,求节点($C$104:$C$112,D$104:D$112,基础状态预期!K130))</f>
        <v>0</v>
      </c>
      <c r="P117" s="29">
        <f>IF(基础状态预期!G130="",0,求节点($C$104:$C$112,E$104:E$112,基础状态预期!L130))</f>
        <v>0</v>
      </c>
      <c r="Q117" s="29">
        <f>IF(基础状态预期!H130="",0,求节点($C$104:$C$112,F$104:F$112,基础状态预期!M130))</f>
        <v>0</v>
      </c>
      <c r="R117" s="29">
        <f>IF(基础状态预期!I130="",0,求节点($C$104:$C$112,G$104:G$112,基础状态预期!N130))</f>
        <v>0</v>
      </c>
      <c r="S117" s="29">
        <f>IF(基础状态预期!J130="",0,求节点($C$104:$C$112,H$104:H$112,基础状态预期!O130))</f>
        <v>18</v>
      </c>
      <c r="T117" s="29">
        <f>IF(基础状态预期!F130="",0,求节点($C$114:$C$122,D$114:D$122,基础状态预期!K130)*基础状态预期!F130+求节点($C$124:$C$132,D$124:D$132,基础状态预期!$O130)*基础状态预期!$J130)</f>
        <v>0</v>
      </c>
      <c r="U117" s="29">
        <f>IF(基础状态预期!G130="",0,求节点($C$114:$C$122,E$114:E$122,基础状态预期!L130)*基础状态预期!G130+求节点($C$124:$C$132,E$124:E$132,基础状态预期!$O130)*基础状态预期!$J130)</f>
        <v>0</v>
      </c>
      <c r="V117" s="29">
        <f>IF(基础状态预期!H130="",0,求节点($C$114:$C$122,F$114:F$122,基础状态预期!M130)*基础状态预期!H130+求节点($C$124:$C$132,F$124:F$132,基础状态预期!$O130)*基础状态预期!$J130)</f>
        <v>0</v>
      </c>
      <c r="W117" s="148">
        <f>IF(基础状态预期!I130="",0,求节点($C$114:$C$122,G$114:G$122,基础状态预期!N130)*基础状态预期!I130)+IF(基础状态预期!O130="",0,求节点($C$124:$C$132,G$124:G$132,基础状态预期!$O130)*基础状态预期!$J130)</f>
        <v>54</v>
      </c>
      <c r="X117" s="29">
        <f>IF(基础状态预期!J130="",0,求节点($C$114:$C$122,H$114:H$122,基础状态预期!O130)*基础状态预期!J130+求节点($C$124:$C$132,H$124:H$132,基础状态预期!$O130)*基础状态预期!$J130)</f>
        <v>0</v>
      </c>
      <c r="Y117" s="14">
        <f>IF(基础状态预期!K130="",0,求节点($C$92:$C$100,D$92:D$100,基础状态预期!K130))</f>
        <v>0</v>
      </c>
      <c r="Z117" s="14">
        <f>IF(基础状态预期!L130="",0,求节点($C$92:$C$100,E$92:E$100,基础状态预期!L130))</f>
        <v>0</v>
      </c>
      <c r="AA117" s="14">
        <f>IF(基础状态预期!M130="",0,求节点($C$92:$C$100,F$92:F$100,基础状态预期!M130))</f>
        <v>0</v>
      </c>
      <c r="AB117" s="14">
        <f>IF(基础状态预期!N130="",0,求节点($C$92:$C$100,G$92:G$100,基础状态预期!N130))</f>
        <v>0</v>
      </c>
      <c r="AC117" s="14">
        <f>IF(基础状态预期!O130="",0,求节点($C$92:$C$100,H$92:H$100,基础状态预期!O130))</f>
        <v>3825000</v>
      </c>
      <c r="AD117" s="29">
        <f>MAX(SUMPRODUCT(Y117:AC117,基础状态预期!F130:J130),AD116)</f>
        <v>22950000</v>
      </c>
      <c r="AF117" s="29" t="str">
        <f>IF(基础状态预期!K130="","",基础状态预期!K130*D$59+D$58)</f>
        <v/>
      </c>
      <c r="AG117" s="29" t="str">
        <f>IF(基础状态预期!L130="","",基础状态预期!L130*E$59+E$58)</f>
        <v/>
      </c>
      <c r="AH117" s="29" t="str">
        <f>IF(基础状态预期!M130="","",基础状态预期!M130*F$59+F$58)</f>
        <v/>
      </c>
      <c r="AI117" s="29" t="str">
        <f>IF(基础状态预期!N130="","",基础状态预期!N130*G$59+G$58)</f>
        <v/>
      </c>
      <c r="AJ117" s="29">
        <f>IF(基础状态预期!O130="","",基础状态预期!O130*H$59+H$58)</f>
        <v>148</v>
      </c>
      <c r="AK117" s="29">
        <f>MAX(SUMPRODUCT(AF117:AJ117,基础状态预期!$F130:$J130)/SUM(基础状态预期!$F130:$J130),AK116)</f>
        <v>148</v>
      </c>
      <c r="AL117" s="29">
        <f>IF(基础状态预期!K130="",0,求节点($C$68:$C$76,D$68:D$76,基础状态预期!K130))</f>
        <v>0</v>
      </c>
      <c r="AM117" s="29">
        <f>IF(基础状态预期!L130="",0,求节点($C$68:$C$76,E$68:E$76,基础状态预期!L130))</f>
        <v>0</v>
      </c>
      <c r="AN117" s="29">
        <f>IF(基础状态预期!M130="",0,求节点($C$68:$C$76,F$68:F$76,基础状态预期!M130)*求节点(武将升级!$H$52:$H$54,武将升级!$J$52:$J$54,基础状态预期!W130))</f>
        <v>0</v>
      </c>
      <c r="AO117" s="29">
        <f>IF(基础状态预期!N130="",0,求节点($C$68:$C$76,G$68:G$76,基础状态预期!N130)*求节点(武将升级!$H$52:$H$54,武将升级!$J$52:$J$54,基础状态预期!X130))</f>
        <v>0</v>
      </c>
      <c r="AP117" s="29">
        <f>IF(基础状态预期!O130="",0,求节点($C$68:$C$76,H$68:H$76,基础状态预期!O130)*求节点(武将升级!$H$52:$H$54,武将升级!$J$52:$J$54,基础状态预期!Y130))</f>
        <v>1.1399999999999999</v>
      </c>
      <c r="AQ117" s="29">
        <f>MAX(SUMPRODUCT(AL117:AP117,基础状态预期!$F130:$J130)/SUM(基础状态预期!$F130:$J130),AQ116)</f>
        <v>1.1399999999999999</v>
      </c>
      <c r="AR117" s="29">
        <f>IF(基础状态预期!K130="",0,求节点($C$158:$C$166,D$158:D$166,基础状态预期!K130))</f>
        <v>0</v>
      </c>
      <c r="AS117" s="29">
        <f>IF(基础状态预期!L130="",0,求节点($C$158:$C$166,E$158:E$166,基础状态预期!L130))</f>
        <v>0</v>
      </c>
      <c r="AT117" s="29">
        <f>IF(基础状态预期!M130="",0,求节点($C$158:$C$166,F$158:F$166,基础状态预期!M130))</f>
        <v>0</v>
      </c>
      <c r="AU117" s="29">
        <f>IF(基础状态预期!N130="",0,求节点($C$158:$C$166,G$158:G$166,基础状态预期!N130))</f>
        <v>0</v>
      </c>
      <c r="AV117" s="29">
        <f>IF(基础状态预期!O130="",0,求节点($C$158:$C$166,H$158:H$166,基础状态预期!O130))</f>
        <v>0.8</v>
      </c>
      <c r="AW117" s="29">
        <f>MAX(SUMPRODUCT(AR117:AV117,基础状态预期!$F130:$J130)/SUM(基础状态预期!$F130:$J130),AW116)</f>
        <v>0.80000000000000016</v>
      </c>
      <c r="BJ117" s="29">
        <f t="shared" si="54"/>
        <v>107.81562240612369</v>
      </c>
      <c r="BK117" s="75">
        <f>武将数量星级阶位验证!AT120</f>
        <v>3879910.3452364416</v>
      </c>
      <c r="BL117" s="75">
        <f>(AD117-AD116)*INDEX('[1]功能-付费相关'!$AS$6:$AS$165,BJ117,1)+BL116</f>
        <v>24025.759112891668</v>
      </c>
    </row>
    <row r="118" spans="2:64" x14ac:dyDescent="0.15">
      <c r="B118" s="170"/>
      <c r="C118" s="14">
        <v>4</v>
      </c>
      <c r="D118" s="29">
        <f>SUM(D$16:D20)</f>
        <v>0</v>
      </c>
      <c r="E118" s="29">
        <f>SUM(E$16:E20)</f>
        <v>0</v>
      </c>
      <c r="F118" s="29">
        <f>SUM(F$16:F20)</f>
        <v>1</v>
      </c>
      <c r="G118" s="29">
        <f>SUM(G$16:G20)</f>
        <v>1</v>
      </c>
      <c r="H118" s="29">
        <f>SUM(H$16:H20)</f>
        <v>0</v>
      </c>
      <c r="I118" s="29">
        <f>SUM(I$16:I20)</f>
        <v>0</v>
      </c>
      <c r="M118" s="72">
        <v>28</v>
      </c>
      <c r="N118" s="29">
        <f>基础状态预期!D131</f>
        <v>111.36292001894914</v>
      </c>
      <c r="O118" s="29">
        <f>IF(基础状态预期!F131="",0,求节点($C$104:$C$112,D$104:D$112,基础状态预期!K131))</f>
        <v>0</v>
      </c>
      <c r="P118" s="29">
        <f>IF(基础状态预期!G131="",0,求节点($C$104:$C$112,E$104:E$112,基础状态预期!L131))</f>
        <v>0</v>
      </c>
      <c r="Q118" s="29">
        <f>IF(基础状态预期!H131="",0,求节点($C$104:$C$112,F$104:F$112,基础状态预期!M131))</f>
        <v>0</v>
      </c>
      <c r="R118" s="29">
        <f>IF(基础状态预期!I131="",0,求节点($C$104:$C$112,G$104:G$112,基础状态预期!N131))</f>
        <v>0</v>
      </c>
      <c r="S118" s="29">
        <f>IF(基础状态预期!J131="",0,求节点($C$104:$C$112,H$104:H$112,基础状态预期!O131))</f>
        <v>18</v>
      </c>
      <c r="T118" s="29">
        <f>IF(基础状态预期!F131="",0,求节点($C$114:$C$122,D$114:D$122,基础状态预期!K131)*基础状态预期!F131+求节点($C$124:$C$132,D$124:D$132,基础状态预期!$O131)*基础状态预期!$J131)</f>
        <v>0</v>
      </c>
      <c r="U118" s="29">
        <f>IF(基础状态预期!G131="",0,求节点($C$114:$C$122,E$114:E$122,基础状态预期!L131)*基础状态预期!G131+求节点($C$124:$C$132,E$124:E$132,基础状态预期!$O131)*基础状态预期!$J131)</f>
        <v>0</v>
      </c>
      <c r="V118" s="29">
        <f>IF(基础状态预期!H131="",0,求节点($C$114:$C$122,F$114:F$122,基础状态预期!M131)*基础状态预期!H131+求节点($C$124:$C$132,F$124:F$132,基础状态预期!$O131)*基础状态预期!$J131)</f>
        <v>0</v>
      </c>
      <c r="W118" s="148">
        <f>IF(基础状态预期!I131="",0,求节点($C$114:$C$122,G$114:G$122,基础状态预期!N131)*基础状态预期!I131)+IF(基础状态预期!O131="",0,求节点($C$124:$C$132,G$124:G$132,基础状态预期!$O131)*基础状态预期!$J131)</f>
        <v>54</v>
      </c>
      <c r="X118" s="29">
        <f>IF(基础状态预期!J131="",0,求节点($C$114:$C$122,H$114:H$122,基础状态预期!O131)*基础状态预期!J131+求节点($C$124:$C$132,H$124:H$132,基础状态预期!$O131)*基础状态预期!$J131)</f>
        <v>0</v>
      </c>
      <c r="Y118" s="14">
        <f>IF(基础状态预期!K131="",0,求节点($C$92:$C$100,D$92:D$100,基础状态预期!K131))</f>
        <v>0</v>
      </c>
      <c r="Z118" s="14">
        <f>IF(基础状态预期!L131="",0,求节点($C$92:$C$100,E$92:E$100,基础状态预期!L131))</f>
        <v>0</v>
      </c>
      <c r="AA118" s="14">
        <f>IF(基础状态预期!M131="",0,求节点($C$92:$C$100,F$92:F$100,基础状态预期!M131))</f>
        <v>0</v>
      </c>
      <c r="AB118" s="14">
        <f>IF(基础状态预期!N131="",0,求节点($C$92:$C$100,G$92:G$100,基础状态预期!N131))</f>
        <v>0</v>
      </c>
      <c r="AC118" s="14">
        <f>IF(基础状态预期!O131="",0,求节点($C$92:$C$100,H$92:H$100,基础状态预期!O131))</f>
        <v>3825000</v>
      </c>
      <c r="AD118" s="29">
        <f>MAX(SUMPRODUCT(Y118:AC118,基础状态预期!F131:J131),AD117)</f>
        <v>22950000</v>
      </c>
      <c r="AF118" s="29" t="str">
        <f>IF(基础状态预期!K131="","",基础状态预期!K131*D$59+D$58)</f>
        <v/>
      </c>
      <c r="AG118" s="29" t="str">
        <f>IF(基础状态预期!L131="","",基础状态预期!L131*E$59+E$58)</f>
        <v/>
      </c>
      <c r="AH118" s="29" t="str">
        <f>IF(基础状态预期!M131="","",基础状态预期!M131*F$59+F$58)</f>
        <v/>
      </c>
      <c r="AI118" s="29" t="str">
        <f>IF(基础状态预期!N131="","",基础状态预期!N131*G$59+G$58)</f>
        <v/>
      </c>
      <c r="AJ118" s="29">
        <f>IF(基础状态预期!O131="","",基础状态预期!O131*H$59+H$58)</f>
        <v>148</v>
      </c>
      <c r="AK118" s="29">
        <f>MAX(SUMPRODUCT(AF118:AJ118,基础状态预期!$F131:$J131)/SUM(基础状态预期!$F131:$J131),AK117)</f>
        <v>148</v>
      </c>
      <c r="AL118" s="29">
        <f>IF(基础状态预期!K131="",0,求节点($C$68:$C$76,D$68:D$76,基础状态预期!K131))</f>
        <v>0</v>
      </c>
      <c r="AM118" s="29">
        <f>IF(基础状态预期!L131="",0,求节点($C$68:$C$76,E$68:E$76,基础状态预期!L131))</f>
        <v>0</v>
      </c>
      <c r="AN118" s="29">
        <f>IF(基础状态预期!M131="",0,求节点($C$68:$C$76,F$68:F$76,基础状态预期!M131)*求节点(武将升级!$H$52:$H$54,武将升级!$J$52:$J$54,基础状态预期!W131))</f>
        <v>0</v>
      </c>
      <c r="AO118" s="29">
        <f>IF(基础状态预期!N131="",0,求节点($C$68:$C$76,G$68:G$76,基础状态预期!N131)*求节点(武将升级!$H$52:$H$54,武将升级!$J$52:$J$54,基础状态预期!X131))</f>
        <v>0</v>
      </c>
      <c r="AP118" s="29">
        <f>IF(基础状态预期!O131="",0,求节点($C$68:$C$76,H$68:H$76,基础状态预期!O131)*求节点(武将升级!$H$52:$H$54,武将升级!$J$52:$J$54,基础状态预期!Y131))</f>
        <v>1.1399999999999999</v>
      </c>
      <c r="AQ118" s="29">
        <f>MAX(SUMPRODUCT(AL118:AP118,基础状态预期!$F131:$J131)/SUM(基础状态预期!$F131:$J131),AQ117)</f>
        <v>1.1399999999999999</v>
      </c>
      <c r="AR118" s="29">
        <f>IF(基础状态预期!K131="",0,求节点($C$158:$C$166,D$158:D$166,基础状态预期!K131))</f>
        <v>0</v>
      </c>
      <c r="AS118" s="29">
        <f>IF(基础状态预期!L131="",0,求节点($C$158:$C$166,E$158:E$166,基础状态预期!L131))</f>
        <v>0</v>
      </c>
      <c r="AT118" s="29">
        <f>IF(基础状态预期!M131="",0,求节点($C$158:$C$166,F$158:F$166,基础状态预期!M131))</f>
        <v>0</v>
      </c>
      <c r="AU118" s="29">
        <f>IF(基础状态预期!N131="",0,求节点($C$158:$C$166,G$158:G$166,基础状态预期!N131))</f>
        <v>0</v>
      </c>
      <c r="AV118" s="29">
        <f>IF(基础状态预期!O131="",0,求节点($C$158:$C$166,H$158:H$166,基础状态预期!O131))</f>
        <v>0.8</v>
      </c>
      <c r="AW118" s="29">
        <f>MAX(SUMPRODUCT(AR118:AV118,基础状态预期!$F131:$J131)/SUM(基础状态预期!$F131:$J131),AW117)</f>
        <v>0.80000000000000016</v>
      </c>
      <c r="BJ118" s="29">
        <f t="shared" si="54"/>
        <v>111.36292001894914</v>
      </c>
      <c r="BK118" s="75">
        <f>武将数量星级阶位验证!AT121</f>
        <v>4827002.1799688786</v>
      </c>
      <c r="BL118" s="75">
        <f>(AD118-AD117)*INDEX('[1]功能-付费相关'!$AS$6:$AS$165,BJ118,1)+BL117</f>
        <v>24025.759112891668</v>
      </c>
    </row>
    <row r="119" spans="2:64" x14ac:dyDescent="0.15">
      <c r="B119" s="170"/>
      <c r="C119" s="14">
        <v>5</v>
      </c>
      <c r="D119" s="29">
        <f>SUM(D$16:D21)</f>
        <v>0</v>
      </c>
      <c r="E119" s="29">
        <f>SUM(E$16:E21)</f>
        <v>0</v>
      </c>
      <c r="F119" s="29">
        <f>SUM(F$16:F21)</f>
        <v>1</v>
      </c>
      <c r="G119" s="29">
        <f>SUM(G$16:G21)</f>
        <v>3</v>
      </c>
      <c r="H119" s="29">
        <f>SUM(H$16:H21)</f>
        <v>0</v>
      </c>
      <c r="I119" s="29">
        <f>SUM(I$16:I21)</f>
        <v>0</v>
      </c>
      <c r="M119" s="72">
        <v>29</v>
      </c>
      <c r="N119" s="29">
        <f>基础状态预期!D132</f>
        <v>114.91934497223426</v>
      </c>
      <c r="O119" s="29">
        <f>IF(基础状态预期!F132="",0,求节点($C$104:$C$112,D$104:D$112,基础状态预期!K132))</f>
        <v>0</v>
      </c>
      <c r="P119" s="29">
        <f>IF(基础状态预期!G132="",0,求节点($C$104:$C$112,E$104:E$112,基础状态预期!L132))</f>
        <v>0</v>
      </c>
      <c r="Q119" s="29">
        <f>IF(基础状态预期!H132="",0,求节点($C$104:$C$112,F$104:F$112,基础状态预期!M132))</f>
        <v>0</v>
      </c>
      <c r="R119" s="29">
        <f>IF(基础状态预期!I132="",0,求节点($C$104:$C$112,G$104:G$112,基础状态预期!N132))</f>
        <v>0</v>
      </c>
      <c r="S119" s="29">
        <f>IF(基础状态预期!J132="",0,求节点($C$104:$C$112,H$104:H$112,基础状态预期!O132))</f>
        <v>18</v>
      </c>
      <c r="T119" s="29">
        <f>IF(基础状态预期!F132="",0,求节点($C$114:$C$122,D$114:D$122,基础状态预期!K132)*基础状态预期!F132+求节点($C$124:$C$132,D$124:D$132,基础状态预期!$O132)*基础状态预期!$J132)</f>
        <v>0</v>
      </c>
      <c r="U119" s="29">
        <f>IF(基础状态预期!G132="",0,求节点($C$114:$C$122,E$114:E$122,基础状态预期!L132)*基础状态预期!G132+求节点($C$124:$C$132,E$124:E$132,基础状态预期!$O132)*基础状态预期!$J132)</f>
        <v>0</v>
      </c>
      <c r="V119" s="29">
        <f>IF(基础状态预期!H132="",0,求节点($C$114:$C$122,F$114:F$122,基础状态预期!M132)*基础状态预期!H132+求节点($C$124:$C$132,F$124:F$132,基础状态预期!$O132)*基础状态预期!$J132)</f>
        <v>0</v>
      </c>
      <c r="W119" s="148">
        <f>IF(基础状态预期!I132="",0,求节点($C$114:$C$122,G$114:G$122,基础状态预期!N132)*基础状态预期!I132)+IF(基础状态预期!O132="",0,求节点($C$124:$C$132,G$124:G$132,基础状态预期!$O132)*基础状态预期!$J132)</f>
        <v>54</v>
      </c>
      <c r="X119" s="29">
        <f>IF(基础状态预期!J132="",0,求节点($C$114:$C$122,H$114:H$122,基础状态预期!O132)*基础状态预期!J132+求节点($C$124:$C$132,H$124:H$132,基础状态预期!$O132)*基础状态预期!$J132)</f>
        <v>0</v>
      </c>
      <c r="Y119" s="14">
        <f>IF(基础状态预期!K132="",0,求节点($C$92:$C$100,D$92:D$100,基础状态预期!K132))</f>
        <v>0</v>
      </c>
      <c r="Z119" s="14">
        <f>IF(基础状态预期!L132="",0,求节点($C$92:$C$100,E$92:E$100,基础状态预期!L132))</f>
        <v>0</v>
      </c>
      <c r="AA119" s="14">
        <f>IF(基础状态预期!M132="",0,求节点($C$92:$C$100,F$92:F$100,基础状态预期!M132))</f>
        <v>0</v>
      </c>
      <c r="AB119" s="14">
        <f>IF(基础状态预期!N132="",0,求节点($C$92:$C$100,G$92:G$100,基础状态预期!N132))</f>
        <v>0</v>
      </c>
      <c r="AC119" s="14">
        <f>IF(基础状态预期!O132="",0,求节点($C$92:$C$100,H$92:H$100,基础状态预期!O132))</f>
        <v>3825000</v>
      </c>
      <c r="AD119" s="29">
        <f>MAX(SUMPRODUCT(Y119:AC119,基础状态预期!F132:J132),AD118)</f>
        <v>22950000</v>
      </c>
      <c r="AF119" s="29" t="str">
        <f>IF(基础状态预期!K132="","",基础状态预期!K132*D$59+D$58)</f>
        <v/>
      </c>
      <c r="AG119" s="29" t="str">
        <f>IF(基础状态预期!L132="","",基础状态预期!L132*E$59+E$58)</f>
        <v/>
      </c>
      <c r="AH119" s="29" t="str">
        <f>IF(基础状态预期!M132="","",基础状态预期!M132*F$59+F$58)</f>
        <v/>
      </c>
      <c r="AI119" s="29" t="str">
        <f>IF(基础状态预期!N132="","",基础状态预期!N132*G$59+G$58)</f>
        <v/>
      </c>
      <c r="AJ119" s="29">
        <f>IF(基础状态预期!O132="","",基础状态预期!O132*H$59+H$58)</f>
        <v>148</v>
      </c>
      <c r="AK119" s="29">
        <f>MAX(SUMPRODUCT(AF119:AJ119,基础状态预期!$F132:$J132)/SUM(基础状态预期!$F132:$J132),AK118)</f>
        <v>148</v>
      </c>
      <c r="AL119" s="29">
        <f>IF(基础状态预期!K132="",0,求节点($C$68:$C$76,D$68:D$76,基础状态预期!K132))</f>
        <v>0</v>
      </c>
      <c r="AM119" s="29">
        <f>IF(基础状态预期!L132="",0,求节点($C$68:$C$76,E$68:E$76,基础状态预期!L132))</f>
        <v>0</v>
      </c>
      <c r="AN119" s="29">
        <f>IF(基础状态预期!M132="",0,求节点($C$68:$C$76,F$68:F$76,基础状态预期!M132)*求节点(武将升级!$H$52:$H$54,武将升级!$J$52:$J$54,基础状态预期!W132))</f>
        <v>0</v>
      </c>
      <c r="AO119" s="29">
        <f>IF(基础状态预期!N132="",0,求节点($C$68:$C$76,G$68:G$76,基础状态预期!N132)*求节点(武将升级!$H$52:$H$54,武将升级!$J$52:$J$54,基础状态预期!X132))</f>
        <v>0</v>
      </c>
      <c r="AP119" s="29">
        <f>IF(基础状态预期!O132="",0,求节点($C$68:$C$76,H$68:H$76,基础状态预期!O132)*求节点(武将升级!$H$52:$H$54,武将升级!$J$52:$J$54,基础状态预期!Y132))</f>
        <v>1.1399999999999999</v>
      </c>
      <c r="AQ119" s="29">
        <f>MAX(SUMPRODUCT(AL119:AP119,基础状态预期!$F132:$J132)/SUM(基础状态预期!$F132:$J132),AQ118)</f>
        <v>1.1399999999999999</v>
      </c>
      <c r="AR119" s="29">
        <f>IF(基础状态预期!K132="",0,求节点($C$158:$C$166,D$158:D$166,基础状态预期!K132))</f>
        <v>0</v>
      </c>
      <c r="AS119" s="29">
        <f>IF(基础状态预期!L132="",0,求节点($C$158:$C$166,E$158:E$166,基础状态预期!L132))</f>
        <v>0</v>
      </c>
      <c r="AT119" s="29">
        <f>IF(基础状态预期!M132="",0,求节点($C$158:$C$166,F$158:F$166,基础状态预期!M132))</f>
        <v>0</v>
      </c>
      <c r="AU119" s="29">
        <f>IF(基础状态预期!N132="",0,求节点($C$158:$C$166,G$158:G$166,基础状态预期!N132))</f>
        <v>0</v>
      </c>
      <c r="AV119" s="29">
        <f>IF(基础状态预期!O132="",0,求节点($C$158:$C$166,H$158:H$166,基础状态预期!O132))</f>
        <v>0.8</v>
      </c>
      <c r="AW119" s="29">
        <f>MAX(SUMPRODUCT(AR119:AV119,基础状态预期!$F132:$J132)/SUM(基础状态预期!$F132:$J132),AW118)</f>
        <v>0.80000000000000016</v>
      </c>
      <c r="BJ119" s="29">
        <f t="shared" si="54"/>
        <v>114.91934497223426</v>
      </c>
      <c r="BK119" s="75">
        <f>武将数量星级阶位验证!AT122</f>
        <v>5975615.3089653542</v>
      </c>
      <c r="BL119" s="75">
        <f>(AD119-AD118)*INDEX('[1]功能-付费相关'!$AS$6:$AS$165,BJ119,1)+BL118</f>
        <v>24025.759112891668</v>
      </c>
    </row>
    <row r="120" spans="2:64" x14ac:dyDescent="0.15">
      <c r="B120" s="170"/>
      <c r="C120" s="14">
        <v>6</v>
      </c>
      <c r="D120" s="29">
        <f>SUM(D$16:D22)</f>
        <v>0</v>
      </c>
      <c r="E120" s="29">
        <f>SUM(E$16:E22)</f>
        <v>0</v>
      </c>
      <c r="F120" s="29">
        <f>SUM(F$16:F22)</f>
        <v>3</v>
      </c>
      <c r="G120" s="29">
        <f>SUM(G$16:G22)</f>
        <v>3</v>
      </c>
      <c r="H120" s="29">
        <f>SUM(H$16:H22)</f>
        <v>0</v>
      </c>
      <c r="I120" s="29">
        <f>SUM(I$16:I22)</f>
        <v>0</v>
      </c>
      <c r="M120" s="72">
        <v>30</v>
      </c>
      <c r="N120" s="29">
        <f>基础状态预期!D133</f>
        <v>118.44741987029688</v>
      </c>
      <c r="O120" s="29">
        <f>IF(基础状态预期!F133="",0,求节点($C$104:$C$112,D$104:D$112,基础状态预期!K133))</f>
        <v>0</v>
      </c>
      <c r="P120" s="29">
        <f>IF(基础状态预期!G133="",0,求节点($C$104:$C$112,E$104:E$112,基础状态预期!L133))</f>
        <v>0</v>
      </c>
      <c r="Q120" s="29">
        <f>IF(基础状态预期!H133="",0,求节点($C$104:$C$112,F$104:F$112,基础状态预期!M133))</f>
        <v>0</v>
      </c>
      <c r="R120" s="29">
        <f>IF(基础状态预期!I133="",0,求节点($C$104:$C$112,G$104:G$112,基础状态预期!N133))</f>
        <v>0</v>
      </c>
      <c r="S120" s="29">
        <f>IF(基础状态预期!J133="",0,求节点($C$104:$C$112,H$104:H$112,基础状态预期!O133))</f>
        <v>18</v>
      </c>
      <c r="T120" s="29">
        <f>IF(基础状态预期!F133="",0,求节点($C$114:$C$122,D$114:D$122,基础状态预期!K133)*基础状态预期!F133+求节点($C$124:$C$132,D$124:D$132,基础状态预期!$O133)*基础状态预期!$J133)</f>
        <v>0</v>
      </c>
      <c r="U120" s="29">
        <f>IF(基础状态预期!G133="",0,求节点($C$114:$C$122,E$114:E$122,基础状态预期!L133)*基础状态预期!G133+求节点($C$124:$C$132,E$124:E$132,基础状态预期!$O133)*基础状态预期!$J133)</f>
        <v>0</v>
      </c>
      <c r="V120" s="29">
        <f>IF(基础状态预期!H133="",0,求节点($C$114:$C$122,F$114:F$122,基础状态预期!M133)*基础状态预期!H133+求节点($C$124:$C$132,F$124:F$132,基础状态预期!$O133)*基础状态预期!$J133)</f>
        <v>0</v>
      </c>
      <c r="W120" s="148">
        <f>IF(基础状态预期!I133="",0,求节点($C$114:$C$122,G$114:G$122,基础状态预期!N133)*基础状态预期!I133)+IF(基础状态预期!O133="",0,求节点($C$124:$C$132,G$124:G$132,基础状态预期!$O133)*基础状态预期!$J133)</f>
        <v>54</v>
      </c>
      <c r="X120" s="29">
        <f>IF(基础状态预期!J133="",0,求节点($C$114:$C$122,H$114:H$122,基础状态预期!O133)*基础状态预期!J133+求节点($C$124:$C$132,H$124:H$132,基础状态预期!$O133)*基础状态预期!$J133)</f>
        <v>0</v>
      </c>
      <c r="Y120" s="14">
        <f>IF(基础状态预期!K133="",0,求节点($C$92:$C$100,D$92:D$100,基础状态预期!K133))</f>
        <v>0</v>
      </c>
      <c r="Z120" s="14">
        <f>IF(基础状态预期!L133="",0,求节点($C$92:$C$100,E$92:E$100,基础状态预期!L133))</f>
        <v>0</v>
      </c>
      <c r="AA120" s="14">
        <f>IF(基础状态预期!M133="",0,求节点($C$92:$C$100,F$92:F$100,基础状态预期!M133))</f>
        <v>0</v>
      </c>
      <c r="AB120" s="14">
        <f>IF(基础状态预期!N133="",0,求节点($C$92:$C$100,G$92:G$100,基础状态预期!N133))</f>
        <v>0</v>
      </c>
      <c r="AC120" s="14">
        <f>IF(基础状态预期!O133="",0,求节点($C$92:$C$100,H$92:H$100,基础状态预期!O133))</f>
        <v>3825000</v>
      </c>
      <c r="AD120" s="29">
        <f>MAX(SUMPRODUCT(Y120:AC120,基础状态预期!F133:J133),AD119)</f>
        <v>22950000</v>
      </c>
      <c r="AF120" s="29" t="str">
        <f>IF(基础状态预期!K133="","",基础状态预期!K133*D$59+D$58)</f>
        <v/>
      </c>
      <c r="AG120" s="29" t="str">
        <f>IF(基础状态预期!L133="","",基础状态预期!L133*E$59+E$58)</f>
        <v/>
      </c>
      <c r="AH120" s="29" t="str">
        <f>IF(基础状态预期!M133="","",基础状态预期!M133*F$59+F$58)</f>
        <v/>
      </c>
      <c r="AI120" s="29" t="str">
        <f>IF(基础状态预期!N133="","",基础状态预期!N133*G$59+G$58)</f>
        <v/>
      </c>
      <c r="AJ120" s="29">
        <f>IF(基础状态预期!O133="","",基础状态预期!O133*H$59+H$58)</f>
        <v>148</v>
      </c>
      <c r="AK120" s="29">
        <f>MAX(SUMPRODUCT(AF120:AJ120,基础状态预期!$F133:$J133)/SUM(基础状态预期!$F133:$J133),AK119)</f>
        <v>148</v>
      </c>
      <c r="AL120" s="29">
        <f>IF(基础状态预期!K133="",0,求节点($C$68:$C$76,D$68:D$76,基础状态预期!K133))</f>
        <v>0</v>
      </c>
      <c r="AM120" s="29">
        <f>IF(基础状态预期!L133="",0,求节点($C$68:$C$76,E$68:E$76,基础状态预期!L133))</f>
        <v>0</v>
      </c>
      <c r="AN120" s="29">
        <f>IF(基础状态预期!M133="",0,求节点($C$68:$C$76,F$68:F$76,基础状态预期!M133)*求节点(武将升级!$H$52:$H$54,武将升级!$J$52:$J$54,基础状态预期!W133))</f>
        <v>0</v>
      </c>
      <c r="AO120" s="29">
        <f>IF(基础状态预期!N133="",0,求节点($C$68:$C$76,G$68:G$76,基础状态预期!N133)*求节点(武将升级!$H$52:$H$54,武将升级!$J$52:$J$54,基础状态预期!X133))</f>
        <v>0</v>
      </c>
      <c r="AP120" s="29">
        <f>IF(基础状态预期!O133="",0,求节点($C$68:$C$76,H$68:H$76,基础状态预期!O133)*求节点(武将升级!$H$52:$H$54,武将升级!$J$52:$J$54,基础状态预期!Y133))</f>
        <v>1.1399999999999999</v>
      </c>
      <c r="AQ120" s="29">
        <f>MAX(SUMPRODUCT(AL120:AP120,基础状态预期!$F133:$J133)/SUM(基础状态预期!$F133:$J133),AQ119)</f>
        <v>1.1399999999999999</v>
      </c>
      <c r="AR120" s="29">
        <f>IF(基础状态预期!K133="",0,求节点($C$158:$C$166,D$158:D$166,基础状态预期!K133))</f>
        <v>0</v>
      </c>
      <c r="AS120" s="29">
        <f>IF(基础状态预期!L133="",0,求节点($C$158:$C$166,E$158:E$166,基础状态预期!L133))</f>
        <v>0</v>
      </c>
      <c r="AT120" s="29">
        <f>IF(基础状态预期!M133="",0,求节点($C$158:$C$166,F$158:F$166,基础状态预期!M133))</f>
        <v>0</v>
      </c>
      <c r="AU120" s="29">
        <f>IF(基础状态预期!N133="",0,求节点($C$158:$C$166,G$158:G$166,基础状态预期!N133))</f>
        <v>0</v>
      </c>
      <c r="AV120" s="29">
        <f>IF(基础状态预期!O133="",0,求节点($C$158:$C$166,H$158:H$166,基础状态预期!O133))</f>
        <v>0.8</v>
      </c>
      <c r="AW120" s="29">
        <f>MAX(SUMPRODUCT(AR120:AV120,基础状态预期!$F133:$J133)/SUM(基础状态预期!$F133:$J133),AW119)</f>
        <v>0.80000000000000016</v>
      </c>
      <c r="BJ120" s="29">
        <f t="shared" si="54"/>
        <v>118.44741987029688</v>
      </c>
      <c r="BK120" s="75">
        <f>武将数量星级阶位验证!AT123</f>
        <v>7454538.1590941437</v>
      </c>
      <c r="BL120" s="75">
        <f>(AD120-AD119)*INDEX('[1]功能-付费相关'!$AS$6:$AS$165,BJ120,1)+BL119</f>
        <v>24025.759112891668</v>
      </c>
    </row>
    <row r="121" spans="2:64" x14ac:dyDescent="0.15">
      <c r="B121" s="170"/>
      <c r="C121" s="14">
        <v>7</v>
      </c>
      <c r="D121" s="29">
        <f>SUM(D$16:D23)</f>
        <v>0</v>
      </c>
      <c r="E121" s="29">
        <f>SUM(E$16:E23)</f>
        <v>0</v>
      </c>
      <c r="F121" s="29">
        <f>SUM(F$16:F23)</f>
        <v>3</v>
      </c>
      <c r="G121" s="29">
        <f>SUM(G$16:G23)</f>
        <v>6</v>
      </c>
      <c r="H121" s="29">
        <f>SUM(H$16:H23)</f>
        <v>0</v>
      </c>
      <c r="I121" s="29">
        <f>SUM(I$16:I23)</f>
        <v>0</v>
      </c>
      <c r="M121" s="72">
        <v>31</v>
      </c>
      <c r="N121" s="29">
        <f>基础状态预期!D134</f>
        <v>121.97211685892326</v>
      </c>
      <c r="O121" s="29">
        <f>IF(基础状态预期!F134="",0,求节点($C$104:$C$112,D$104:D$112,基础状态预期!K134))</f>
        <v>0</v>
      </c>
      <c r="P121" s="29">
        <f>IF(基础状态预期!G134="",0,求节点($C$104:$C$112,E$104:E$112,基础状态预期!L134))</f>
        <v>0</v>
      </c>
      <c r="Q121" s="29">
        <f>IF(基础状态预期!H134="",0,求节点($C$104:$C$112,F$104:F$112,基础状态预期!M134))</f>
        <v>0</v>
      </c>
      <c r="R121" s="29">
        <f>IF(基础状态预期!I134="",0,求节点($C$104:$C$112,G$104:G$112,基础状态预期!N134))</f>
        <v>0</v>
      </c>
      <c r="S121" s="29">
        <f>IF(基础状态预期!J134="",0,求节点($C$104:$C$112,H$104:H$112,基础状态预期!O134))</f>
        <v>18</v>
      </c>
      <c r="T121" s="29">
        <f>IF(基础状态预期!F134="",0,求节点($C$114:$C$122,D$114:D$122,基础状态预期!K134)*基础状态预期!F134+求节点($C$124:$C$132,D$124:D$132,基础状态预期!$O134)*基础状态预期!$J134)</f>
        <v>0</v>
      </c>
      <c r="U121" s="29">
        <f>IF(基础状态预期!G134="",0,求节点($C$114:$C$122,E$114:E$122,基础状态预期!L134)*基础状态预期!G134+求节点($C$124:$C$132,E$124:E$132,基础状态预期!$O134)*基础状态预期!$J134)</f>
        <v>0</v>
      </c>
      <c r="V121" s="29">
        <f>IF(基础状态预期!H134="",0,求节点($C$114:$C$122,F$114:F$122,基础状态预期!M134)*基础状态预期!H134+求节点($C$124:$C$132,F$124:F$132,基础状态预期!$O134)*基础状态预期!$J134)</f>
        <v>0</v>
      </c>
      <c r="W121" s="148">
        <f>IF(基础状态预期!I134="",0,求节点($C$114:$C$122,G$114:G$122,基础状态预期!N134)*基础状态预期!I134)+IF(基础状态预期!O134="",0,求节点($C$124:$C$132,G$124:G$132,基础状态预期!$O134)*基础状态预期!$J134)</f>
        <v>54</v>
      </c>
      <c r="X121" s="29">
        <f>IF(基础状态预期!J134="",0,求节点($C$114:$C$122,H$114:H$122,基础状态预期!O134)*基础状态预期!J134+求节点($C$124:$C$132,H$124:H$132,基础状态预期!$O134)*基础状态预期!$J134)</f>
        <v>0</v>
      </c>
      <c r="Y121" s="14">
        <f>IF(基础状态预期!K134="",0,求节点($C$92:$C$100,D$92:D$100,基础状态预期!K134))</f>
        <v>0</v>
      </c>
      <c r="Z121" s="14">
        <f>IF(基础状态预期!L134="",0,求节点($C$92:$C$100,E$92:E$100,基础状态预期!L134))</f>
        <v>0</v>
      </c>
      <c r="AA121" s="14">
        <f>IF(基础状态预期!M134="",0,求节点($C$92:$C$100,F$92:F$100,基础状态预期!M134))</f>
        <v>0</v>
      </c>
      <c r="AB121" s="14">
        <f>IF(基础状态预期!N134="",0,求节点($C$92:$C$100,G$92:G$100,基础状态预期!N134))</f>
        <v>0</v>
      </c>
      <c r="AC121" s="14">
        <f>IF(基础状态预期!O134="",0,求节点($C$92:$C$100,H$92:H$100,基础状态预期!O134))</f>
        <v>3825000</v>
      </c>
      <c r="AD121" s="29">
        <f>MAX(SUMPRODUCT(Y121:AC121,基础状态预期!F134:J134),AD120)</f>
        <v>22950000</v>
      </c>
      <c r="AF121" s="29" t="str">
        <f>IF(基础状态预期!K134="","",基础状态预期!K134*D$59+D$58)</f>
        <v/>
      </c>
      <c r="AG121" s="29" t="str">
        <f>IF(基础状态预期!L134="","",基础状态预期!L134*E$59+E$58)</f>
        <v/>
      </c>
      <c r="AH121" s="29" t="str">
        <f>IF(基础状态预期!M134="","",基础状态预期!M134*F$59+F$58)</f>
        <v/>
      </c>
      <c r="AI121" s="29" t="str">
        <f>IF(基础状态预期!N134="","",基础状态预期!N134*G$59+G$58)</f>
        <v/>
      </c>
      <c r="AJ121" s="29">
        <f>IF(基础状态预期!O134="","",基础状态预期!O134*H$59+H$58)</f>
        <v>148</v>
      </c>
      <c r="AK121" s="29">
        <f>MAX(SUMPRODUCT(AF121:AJ121,基础状态预期!$F134:$J134)/SUM(基础状态预期!$F134:$J134),AK120)</f>
        <v>148</v>
      </c>
      <c r="AL121" s="29">
        <f>IF(基础状态预期!K134="",0,求节点($C$68:$C$76,D$68:D$76,基础状态预期!K134))</f>
        <v>0</v>
      </c>
      <c r="AM121" s="29">
        <f>IF(基础状态预期!L134="",0,求节点($C$68:$C$76,E$68:E$76,基础状态预期!L134))</f>
        <v>0</v>
      </c>
      <c r="AN121" s="29">
        <f>IF(基础状态预期!M134="",0,求节点($C$68:$C$76,F$68:F$76,基础状态预期!M134)*求节点(武将升级!$H$52:$H$54,武将升级!$J$52:$J$54,基础状态预期!W134))</f>
        <v>0</v>
      </c>
      <c r="AO121" s="29">
        <f>IF(基础状态预期!N134="",0,求节点($C$68:$C$76,G$68:G$76,基础状态预期!N134)*求节点(武将升级!$H$52:$H$54,武将升级!$J$52:$J$54,基础状态预期!X134))</f>
        <v>0</v>
      </c>
      <c r="AP121" s="29">
        <f>IF(基础状态预期!O134="",0,求节点($C$68:$C$76,H$68:H$76,基础状态预期!O134)*求节点(武将升级!$H$52:$H$54,武将升级!$J$52:$J$54,基础状态预期!Y134))</f>
        <v>1.1399999999999999</v>
      </c>
      <c r="AQ121" s="29">
        <f>MAX(SUMPRODUCT(AL121:AP121,基础状态预期!$F134:$J134)/SUM(基础状态预期!$F134:$J134),AQ120)</f>
        <v>1.1399999999999999</v>
      </c>
      <c r="AR121" s="29">
        <f>IF(基础状态预期!K134="",0,求节点($C$158:$C$166,D$158:D$166,基础状态预期!K134))</f>
        <v>0</v>
      </c>
      <c r="AS121" s="29">
        <f>IF(基础状态预期!L134="",0,求节点($C$158:$C$166,E$158:E$166,基础状态预期!L134))</f>
        <v>0</v>
      </c>
      <c r="AT121" s="29">
        <f>IF(基础状态预期!M134="",0,求节点($C$158:$C$166,F$158:F$166,基础状态预期!M134))</f>
        <v>0</v>
      </c>
      <c r="AU121" s="29">
        <f>IF(基础状态预期!N134="",0,求节点($C$158:$C$166,G$158:G$166,基础状态预期!N134))</f>
        <v>0</v>
      </c>
      <c r="AV121" s="29">
        <f>IF(基础状态预期!O134="",0,求节点($C$158:$C$166,H$158:H$166,基础状态预期!O134))</f>
        <v>0.8</v>
      </c>
      <c r="AW121" s="29">
        <f>MAX(SUMPRODUCT(AR121:AV121,基础状态预期!$F134:$J134)/SUM(基础状态预期!$F134:$J134),AW120)</f>
        <v>0.80000000000000016</v>
      </c>
      <c r="BJ121" s="29">
        <f t="shared" si="54"/>
        <v>121.97211685892326</v>
      </c>
      <c r="BK121" s="75">
        <f>武将数量星级阶位验证!AT124</f>
        <v>9230886.2695167493</v>
      </c>
      <c r="BL121" s="75">
        <f>(AD121-AD120)*INDEX('[1]功能-付费相关'!$AS$6:$AS$165,BJ121,1)+BL120</f>
        <v>24025.759112891668</v>
      </c>
    </row>
    <row r="122" spans="2:64" x14ac:dyDescent="0.15">
      <c r="B122" s="171"/>
      <c r="C122" s="14">
        <v>8</v>
      </c>
      <c r="D122" s="29">
        <f>SUM(D$16:D24)</f>
        <v>0</v>
      </c>
      <c r="E122" s="29">
        <f>SUM(E$16:E24)</f>
        <v>0</v>
      </c>
      <c r="F122" s="29">
        <f>SUM(F$16:F24)</f>
        <v>3</v>
      </c>
      <c r="G122" s="29">
        <f>SUM(G$16:G24)</f>
        <v>6</v>
      </c>
      <c r="H122" s="29">
        <f>SUM(H$16:H24)</f>
        <v>0</v>
      </c>
      <c r="I122" s="29">
        <f>SUM(I$16:I24)</f>
        <v>0</v>
      </c>
      <c r="M122" s="72">
        <v>32</v>
      </c>
      <c r="N122" s="29">
        <f>基础状态预期!D135</f>
        <v>125.41953077529134</v>
      </c>
      <c r="O122" s="29">
        <f>IF(基础状态预期!F135="",0,求节点($C$104:$C$112,D$104:D$112,基础状态预期!K135))</f>
        <v>0</v>
      </c>
      <c r="P122" s="29">
        <f>IF(基础状态预期!G135="",0,求节点($C$104:$C$112,E$104:E$112,基础状态预期!L135))</f>
        <v>0</v>
      </c>
      <c r="Q122" s="29">
        <f>IF(基础状态预期!H135="",0,求节点($C$104:$C$112,F$104:F$112,基础状态预期!M135))</f>
        <v>0</v>
      </c>
      <c r="R122" s="29">
        <f>IF(基础状态预期!I135="",0,求节点($C$104:$C$112,G$104:G$112,基础状态预期!N135))</f>
        <v>0</v>
      </c>
      <c r="S122" s="29">
        <f>IF(基础状态预期!J135="",0,求节点($C$104:$C$112,H$104:H$112,基础状态预期!O135))</f>
        <v>18</v>
      </c>
      <c r="T122" s="29">
        <f>IF(基础状态预期!F135="",0,求节点($C$114:$C$122,D$114:D$122,基础状态预期!K135)*基础状态预期!F135+求节点($C$124:$C$132,D$124:D$132,基础状态预期!$O135)*基础状态预期!$J135)</f>
        <v>0</v>
      </c>
      <c r="U122" s="29">
        <f>IF(基础状态预期!G135="",0,求节点($C$114:$C$122,E$114:E$122,基础状态预期!L135)*基础状态预期!G135+求节点($C$124:$C$132,E$124:E$132,基础状态预期!$O135)*基础状态预期!$J135)</f>
        <v>0</v>
      </c>
      <c r="V122" s="29">
        <f>IF(基础状态预期!H135="",0,求节点($C$114:$C$122,F$114:F$122,基础状态预期!M135)*基础状态预期!H135+求节点($C$124:$C$132,F$124:F$132,基础状态预期!$O135)*基础状态预期!$J135)</f>
        <v>0</v>
      </c>
      <c r="W122" s="148">
        <f>IF(基础状态预期!I135="",0,求节点($C$114:$C$122,G$114:G$122,基础状态预期!N135)*基础状态预期!I135)+IF(基础状态预期!O135="",0,求节点($C$124:$C$132,G$124:G$132,基础状态预期!$O135)*基础状态预期!$J135)</f>
        <v>54</v>
      </c>
      <c r="X122" s="29">
        <f>IF(基础状态预期!J135="",0,求节点($C$114:$C$122,H$114:H$122,基础状态预期!O135)*基础状态预期!J135+求节点($C$124:$C$132,H$124:H$132,基础状态预期!$O135)*基础状态预期!$J135)</f>
        <v>0</v>
      </c>
      <c r="Y122" s="14">
        <f>IF(基础状态预期!K135="",0,求节点($C$92:$C$100,D$92:D$100,基础状态预期!K135))</f>
        <v>0</v>
      </c>
      <c r="Z122" s="14">
        <f>IF(基础状态预期!L135="",0,求节点($C$92:$C$100,E$92:E$100,基础状态预期!L135))</f>
        <v>0</v>
      </c>
      <c r="AA122" s="14">
        <f>IF(基础状态预期!M135="",0,求节点($C$92:$C$100,F$92:F$100,基础状态预期!M135))</f>
        <v>0</v>
      </c>
      <c r="AB122" s="14">
        <f>IF(基础状态预期!N135="",0,求节点($C$92:$C$100,G$92:G$100,基础状态预期!N135))</f>
        <v>0</v>
      </c>
      <c r="AC122" s="14">
        <f>IF(基础状态预期!O135="",0,求节点($C$92:$C$100,H$92:H$100,基础状态预期!O135))</f>
        <v>3825000</v>
      </c>
      <c r="AD122" s="29">
        <f>MAX(SUMPRODUCT(Y122:AC122,基础状态预期!F135:J135),AD121)</f>
        <v>22950000</v>
      </c>
      <c r="AF122" s="29" t="str">
        <f>IF(基础状态预期!K135="","",基础状态预期!K135*D$59+D$58)</f>
        <v/>
      </c>
      <c r="AG122" s="29" t="str">
        <f>IF(基础状态预期!L135="","",基础状态预期!L135*E$59+E$58)</f>
        <v/>
      </c>
      <c r="AH122" s="29" t="str">
        <f>IF(基础状态预期!M135="","",基础状态预期!M135*F$59+F$58)</f>
        <v/>
      </c>
      <c r="AI122" s="29" t="str">
        <f>IF(基础状态预期!N135="","",基础状态预期!N135*G$59+G$58)</f>
        <v/>
      </c>
      <c r="AJ122" s="29">
        <f>IF(基础状态预期!O135="","",基础状态预期!O135*H$59+H$58)</f>
        <v>148</v>
      </c>
      <c r="AK122" s="29">
        <f>MAX(SUMPRODUCT(AF122:AJ122,基础状态预期!$F135:$J135)/SUM(基础状态预期!$F135:$J135),AK121)</f>
        <v>148</v>
      </c>
      <c r="AL122" s="29">
        <f>IF(基础状态预期!K135="",0,求节点($C$68:$C$76,D$68:D$76,基础状态预期!K135))</f>
        <v>0</v>
      </c>
      <c r="AM122" s="29">
        <f>IF(基础状态预期!L135="",0,求节点($C$68:$C$76,E$68:E$76,基础状态预期!L135))</f>
        <v>0</v>
      </c>
      <c r="AN122" s="29">
        <f>IF(基础状态预期!M135="",0,求节点($C$68:$C$76,F$68:F$76,基础状态预期!M135)*求节点(武将升级!$H$52:$H$54,武将升级!$J$52:$J$54,基础状态预期!W135))</f>
        <v>0</v>
      </c>
      <c r="AO122" s="29">
        <f>IF(基础状态预期!N135="",0,求节点($C$68:$C$76,G$68:G$76,基础状态预期!N135)*求节点(武将升级!$H$52:$H$54,武将升级!$J$52:$J$54,基础状态预期!X135))</f>
        <v>0</v>
      </c>
      <c r="AP122" s="29">
        <f>IF(基础状态预期!O135="",0,求节点($C$68:$C$76,H$68:H$76,基础状态预期!O135)*求节点(武将升级!$H$52:$H$54,武将升级!$J$52:$J$54,基础状态预期!Y135))</f>
        <v>1.1399999999999999</v>
      </c>
      <c r="AQ122" s="29">
        <f>MAX(SUMPRODUCT(AL122:AP122,基础状态预期!$F135:$J135)/SUM(基础状态预期!$F135:$J135),AQ121)</f>
        <v>1.1399999999999999</v>
      </c>
      <c r="AR122" s="29">
        <f>IF(基础状态预期!K135="",0,求节点($C$158:$C$166,D$158:D$166,基础状态预期!K135))</f>
        <v>0</v>
      </c>
      <c r="AS122" s="29">
        <f>IF(基础状态预期!L135="",0,求节点($C$158:$C$166,E$158:E$166,基础状态预期!L135))</f>
        <v>0</v>
      </c>
      <c r="AT122" s="29">
        <f>IF(基础状态预期!M135="",0,求节点($C$158:$C$166,F$158:F$166,基础状态预期!M135))</f>
        <v>0</v>
      </c>
      <c r="AU122" s="29">
        <f>IF(基础状态预期!N135="",0,求节点($C$158:$C$166,G$158:G$166,基础状态预期!N135))</f>
        <v>0</v>
      </c>
      <c r="AV122" s="29">
        <f>IF(基础状态预期!O135="",0,求节点($C$158:$C$166,H$158:H$166,基础状态预期!O135))</f>
        <v>0.8</v>
      </c>
      <c r="AW122" s="29">
        <f>MAX(SUMPRODUCT(AR122:AV122,基础状态预期!$F135:$J135)/SUM(基础状态预期!$F135:$J135),AW121)</f>
        <v>0.80000000000000016</v>
      </c>
      <c r="BJ122" s="29">
        <f t="shared" si="54"/>
        <v>125.41953077529134</v>
      </c>
      <c r="BK122" s="75">
        <f>武将数量星级阶位验证!AT125</f>
        <v>11500722.490225201</v>
      </c>
      <c r="BL122" s="75">
        <f>(AD122-AD121)*INDEX('[1]功能-付费相关'!$AS$6:$AS$165,BJ122,1)+BL121</f>
        <v>24025.759112891668</v>
      </c>
    </row>
    <row r="123" spans="2:64" x14ac:dyDescent="0.15">
      <c r="B123" s="169" t="s">
        <v>865</v>
      </c>
      <c r="C123" s="14" t="s">
        <v>175</v>
      </c>
      <c r="D123" s="29" t="s">
        <v>3</v>
      </c>
      <c r="E123" s="29" t="s">
        <v>1</v>
      </c>
      <c r="F123" s="29" t="s">
        <v>2</v>
      </c>
      <c r="G123" s="29" t="s">
        <v>0</v>
      </c>
      <c r="H123" s="14" t="s">
        <v>545</v>
      </c>
      <c r="I123" s="14" t="s">
        <v>30</v>
      </c>
      <c r="M123" s="72">
        <v>33</v>
      </c>
      <c r="N123" s="29">
        <f>基础状态预期!D136</f>
        <v>129.09045404756728</v>
      </c>
      <c r="O123" s="29">
        <f>IF(基础状态预期!F136="",0,求节点($C$104:$C$112,D$104:D$112,基础状态预期!K136))</f>
        <v>0</v>
      </c>
      <c r="P123" s="29">
        <f>IF(基础状态预期!G136="",0,求节点($C$104:$C$112,E$104:E$112,基础状态预期!L136))</f>
        <v>0</v>
      </c>
      <c r="Q123" s="29">
        <f>IF(基础状态预期!H136="",0,求节点($C$104:$C$112,F$104:F$112,基础状态预期!M136))</f>
        <v>0</v>
      </c>
      <c r="R123" s="29">
        <f>IF(基础状态预期!I136="",0,求节点($C$104:$C$112,G$104:G$112,基础状态预期!N136))</f>
        <v>0</v>
      </c>
      <c r="S123" s="29">
        <f>IF(基础状态预期!J136="",0,求节点($C$104:$C$112,H$104:H$112,基础状态预期!O136))</f>
        <v>18</v>
      </c>
      <c r="T123" s="29">
        <f>IF(基础状态预期!F136="",0,求节点($C$114:$C$122,D$114:D$122,基础状态预期!K136)*基础状态预期!F136+求节点($C$124:$C$132,D$124:D$132,基础状态预期!$O136)*基础状态预期!$J136)</f>
        <v>0</v>
      </c>
      <c r="U123" s="29">
        <f>IF(基础状态预期!G136="",0,求节点($C$114:$C$122,E$114:E$122,基础状态预期!L136)*基础状态预期!G136+求节点($C$124:$C$132,E$124:E$132,基础状态预期!$O136)*基础状态预期!$J136)</f>
        <v>0</v>
      </c>
      <c r="V123" s="29">
        <f>IF(基础状态预期!H136="",0,求节点($C$114:$C$122,F$114:F$122,基础状态预期!M136)*基础状态预期!H136+求节点($C$124:$C$132,F$124:F$132,基础状态预期!$O136)*基础状态预期!$J136)</f>
        <v>0</v>
      </c>
      <c r="W123" s="148">
        <f>IF(基础状态预期!I136="",0,求节点($C$114:$C$122,G$114:G$122,基础状态预期!N136)*基础状态预期!I136)+IF(基础状态预期!O136="",0,求节点($C$124:$C$132,G$124:G$132,基础状态预期!$O136)*基础状态预期!$J136)</f>
        <v>54</v>
      </c>
      <c r="X123" s="29">
        <f>IF(基础状态预期!J136="",0,求节点($C$114:$C$122,H$114:H$122,基础状态预期!O136)*基础状态预期!J136+求节点($C$124:$C$132,H$124:H$132,基础状态预期!$O136)*基础状态预期!$J136)</f>
        <v>0</v>
      </c>
      <c r="Y123" s="14">
        <f>IF(基础状态预期!K136="",0,求节点($C$92:$C$100,D$92:D$100,基础状态预期!K136))</f>
        <v>0</v>
      </c>
      <c r="Z123" s="14">
        <f>IF(基础状态预期!L136="",0,求节点($C$92:$C$100,E$92:E$100,基础状态预期!L136))</f>
        <v>0</v>
      </c>
      <c r="AA123" s="14">
        <f>IF(基础状态预期!M136="",0,求节点($C$92:$C$100,F$92:F$100,基础状态预期!M136))</f>
        <v>0</v>
      </c>
      <c r="AB123" s="14">
        <f>IF(基础状态预期!N136="",0,求节点($C$92:$C$100,G$92:G$100,基础状态预期!N136))</f>
        <v>0</v>
      </c>
      <c r="AC123" s="14">
        <f>IF(基础状态预期!O136="",0,求节点($C$92:$C$100,H$92:H$100,基础状态预期!O136))</f>
        <v>3825000</v>
      </c>
      <c r="AD123" s="29">
        <f>MAX(SUMPRODUCT(Y123:AC123,基础状态预期!F136:J136),AD122)</f>
        <v>22950000</v>
      </c>
      <c r="AF123" s="29" t="str">
        <f>IF(基础状态预期!K136="","",基础状态预期!K136*D$59+D$58)</f>
        <v/>
      </c>
      <c r="AG123" s="29" t="str">
        <f>IF(基础状态预期!L136="","",基础状态预期!L136*E$59+E$58)</f>
        <v/>
      </c>
      <c r="AH123" s="29" t="str">
        <f>IF(基础状态预期!M136="","",基础状态预期!M136*F$59+F$58)</f>
        <v/>
      </c>
      <c r="AI123" s="29" t="str">
        <f>IF(基础状态预期!N136="","",基础状态预期!N136*G$59+G$58)</f>
        <v/>
      </c>
      <c r="AJ123" s="29">
        <f>IF(基础状态预期!O136="","",基础状态预期!O136*H$59+H$58)</f>
        <v>148</v>
      </c>
      <c r="AK123" s="29">
        <f>MAX(SUMPRODUCT(AF123:AJ123,基础状态预期!$F136:$J136)/SUM(基础状态预期!$F136:$J136),AK122)</f>
        <v>148</v>
      </c>
      <c r="AL123" s="29">
        <f>IF(基础状态预期!K136="",0,求节点($C$68:$C$76,D$68:D$76,基础状态预期!K136))</f>
        <v>0</v>
      </c>
      <c r="AM123" s="29">
        <f>IF(基础状态预期!L136="",0,求节点($C$68:$C$76,E$68:E$76,基础状态预期!L136))</f>
        <v>0</v>
      </c>
      <c r="AN123" s="29">
        <f>IF(基础状态预期!M136="",0,求节点($C$68:$C$76,F$68:F$76,基础状态预期!M136)*求节点(武将升级!$H$52:$H$54,武将升级!$J$52:$J$54,基础状态预期!W136))</f>
        <v>0</v>
      </c>
      <c r="AO123" s="29">
        <f>IF(基础状态预期!N136="",0,求节点($C$68:$C$76,G$68:G$76,基础状态预期!N136)*求节点(武将升级!$H$52:$H$54,武将升级!$J$52:$J$54,基础状态预期!X136))</f>
        <v>0</v>
      </c>
      <c r="AP123" s="29">
        <f>IF(基础状态预期!O136="",0,求节点($C$68:$C$76,H$68:H$76,基础状态预期!O136)*求节点(武将升级!$H$52:$H$54,武将升级!$J$52:$J$54,基础状态预期!Y136))</f>
        <v>1.1399999999999999</v>
      </c>
      <c r="AQ123" s="29">
        <f>MAX(SUMPRODUCT(AL123:AP123,基础状态预期!$F136:$J136)/SUM(基础状态预期!$F136:$J136),AQ122)</f>
        <v>1.1399999999999999</v>
      </c>
      <c r="AR123" s="29">
        <f>IF(基础状态预期!K136="",0,求节点($C$158:$C$166,D$158:D$166,基础状态预期!K136))</f>
        <v>0</v>
      </c>
      <c r="AS123" s="29">
        <f>IF(基础状态预期!L136="",0,求节点($C$158:$C$166,E$158:E$166,基础状态预期!L136))</f>
        <v>0</v>
      </c>
      <c r="AT123" s="29">
        <f>IF(基础状态预期!M136="",0,求节点($C$158:$C$166,F$158:F$166,基础状态预期!M136))</f>
        <v>0</v>
      </c>
      <c r="AU123" s="29">
        <f>IF(基础状态预期!N136="",0,求节点($C$158:$C$166,G$158:G$166,基础状态预期!N136))</f>
        <v>0</v>
      </c>
      <c r="AV123" s="29">
        <f>IF(基础状态预期!O136="",0,求节点($C$158:$C$166,H$158:H$166,基础状态预期!O136))</f>
        <v>0.8</v>
      </c>
      <c r="AW123" s="29">
        <f>MAX(SUMPRODUCT(AR123:AV123,基础状态预期!$F136:$J136)/SUM(基础状态预期!$F136:$J136),AW122)</f>
        <v>0.80000000000000016</v>
      </c>
      <c r="BJ123" s="29">
        <f t="shared" si="54"/>
        <v>129.09045404756728</v>
      </c>
      <c r="BK123" s="75">
        <f>武将数量星级阶位验证!AT126</f>
        <v>14398821.808893049</v>
      </c>
      <c r="BL123" s="75">
        <f>(AD123-AD122)*INDEX('[1]功能-付费相关'!$AS$6:$AS$165,BJ123,1)+BL122</f>
        <v>24025.759112891668</v>
      </c>
    </row>
    <row r="124" spans="2:64" x14ac:dyDescent="0.15">
      <c r="B124" s="170"/>
      <c r="C124" s="14">
        <v>0</v>
      </c>
      <c r="D124" s="29">
        <f>SUM(D$26:D26)</f>
        <v>0</v>
      </c>
      <c r="E124" s="29">
        <f>SUM(E$26:E26)</f>
        <v>0</v>
      </c>
      <c r="F124" s="29">
        <f>SUM(F$26:F26)</f>
        <v>0</v>
      </c>
      <c r="G124" s="29">
        <f>SUM(G$26:G26)</f>
        <v>0</v>
      </c>
      <c r="H124" s="29">
        <f>SUM(H$26:H26)</f>
        <v>0</v>
      </c>
      <c r="I124" s="29">
        <f>SUM(I$26:I26)</f>
        <v>0</v>
      </c>
      <c r="M124" s="72">
        <v>34</v>
      </c>
      <c r="N124" s="29">
        <f>基础状态预期!D137</f>
        <v>132.53488795708068</v>
      </c>
      <c r="O124" s="29">
        <f>IF(基础状态预期!F137="",0,求节点($C$104:$C$112,D$104:D$112,基础状态预期!K137))</f>
        <v>0</v>
      </c>
      <c r="P124" s="29">
        <f>IF(基础状态预期!G137="",0,求节点($C$104:$C$112,E$104:E$112,基础状态预期!L137))</f>
        <v>0</v>
      </c>
      <c r="Q124" s="29">
        <f>IF(基础状态预期!H137="",0,求节点($C$104:$C$112,F$104:F$112,基础状态预期!M137))</f>
        <v>0</v>
      </c>
      <c r="R124" s="29">
        <f>IF(基础状态预期!I137="",0,求节点($C$104:$C$112,G$104:G$112,基础状态预期!N137))</f>
        <v>0</v>
      </c>
      <c r="S124" s="29">
        <f>IF(基础状态预期!J137="",0,求节点($C$104:$C$112,H$104:H$112,基础状态预期!O137))</f>
        <v>18</v>
      </c>
      <c r="T124" s="29">
        <f>IF(基础状态预期!F137="",0,求节点($C$114:$C$122,D$114:D$122,基础状态预期!K137)*基础状态预期!F137+求节点($C$124:$C$132,D$124:D$132,基础状态预期!$O137)*基础状态预期!$J137)</f>
        <v>0</v>
      </c>
      <c r="U124" s="29">
        <f>IF(基础状态预期!G137="",0,求节点($C$114:$C$122,E$114:E$122,基础状态预期!L137)*基础状态预期!G137+求节点($C$124:$C$132,E$124:E$132,基础状态预期!$O137)*基础状态预期!$J137)</f>
        <v>0</v>
      </c>
      <c r="V124" s="29">
        <f>IF(基础状态预期!H137="",0,求节点($C$114:$C$122,F$114:F$122,基础状态预期!M137)*基础状态预期!H137+求节点($C$124:$C$132,F$124:F$132,基础状态预期!$O137)*基础状态预期!$J137)</f>
        <v>0</v>
      </c>
      <c r="W124" s="148">
        <f>IF(基础状态预期!I137="",0,求节点($C$114:$C$122,G$114:G$122,基础状态预期!N137)*基础状态预期!I137)+IF(基础状态预期!O137="",0,求节点($C$124:$C$132,G$124:G$132,基础状态预期!$O137)*基础状态预期!$J137)</f>
        <v>54</v>
      </c>
      <c r="X124" s="29">
        <f>IF(基础状态预期!J137="",0,求节点($C$114:$C$122,H$114:H$122,基础状态预期!O137)*基础状态预期!J137+求节点($C$124:$C$132,H$124:H$132,基础状态预期!$O137)*基础状态预期!$J137)</f>
        <v>0</v>
      </c>
      <c r="Y124" s="14">
        <f>IF(基础状态预期!K137="",0,求节点($C$92:$C$100,D$92:D$100,基础状态预期!K137))</f>
        <v>0</v>
      </c>
      <c r="Z124" s="14">
        <f>IF(基础状态预期!L137="",0,求节点($C$92:$C$100,E$92:E$100,基础状态预期!L137))</f>
        <v>0</v>
      </c>
      <c r="AA124" s="14">
        <f>IF(基础状态预期!M137="",0,求节点($C$92:$C$100,F$92:F$100,基础状态预期!M137))</f>
        <v>0</v>
      </c>
      <c r="AB124" s="14">
        <f>IF(基础状态预期!N137="",0,求节点($C$92:$C$100,G$92:G$100,基础状态预期!N137))</f>
        <v>0</v>
      </c>
      <c r="AC124" s="14">
        <f>IF(基础状态预期!O137="",0,求节点($C$92:$C$100,H$92:H$100,基础状态预期!O137))</f>
        <v>3825000</v>
      </c>
      <c r="AD124" s="29">
        <f>MAX(SUMPRODUCT(Y124:AC124,基础状态预期!F137:J137),AD123)</f>
        <v>22950000</v>
      </c>
      <c r="AF124" s="29" t="str">
        <f>IF(基础状态预期!K137="","",基础状态预期!K137*D$59+D$58)</f>
        <v/>
      </c>
      <c r="AG124" s="29" t="str">
        <f>IF(基础状态预期!L137="","",基础状态预期!L137*E$59+E$58)</f>
        <v/>
      </c>
      <c r="AH124" s="29" t="str">
        <f>IF(基础状态预期!M137="","",基础状态预期!M137*F$59+F$58)</f>
        <v/>
      </c>
      <c r="AI124" s="29" t="str">
        <f>IF(基础状态预期!N137="","",基础状态预期!N137*G$59+G$58)</f>
        <v/>
      </c>
      <c r="AJ124" s="29">
        <f>IF(基础状态预期!O137="","",基础状态预期!O137*H$59+H$58)</f>
        <v>148</v>
      </c>
      <c r="AK124" s="29">
        <f>MAX(SUMPRODUCT(AF124:AJ124,基础状态预期!$F137:$J137)/SUM(基础状态预期!$F137:$J137),AK123)</f>
        <v>148</v>
      </c>
      <c r="AL124" s="29">
        <f>IF(基础状态预期!K137="",0,求节点($C$68:$C$76,D$68:D$76,基础状态预期!K137))</f>
        <v>0</v>
      </c>
      <c r="AM124" s="29">
        <f>IF(基础状态预期!L137="",0,求节点($C$68:$C$76,E$68:E$76,基础状态预期!L137))</f>
        <v>0</v>
      </c>
      <c r="AN124" s="29">
        <f>IF(基础状态预期!M137="",0,求节点($C$68:$C$76,F$68:F$76,基础状态预期!M137)*求节点(武将升级!$H$52:$H$54,武将升级!$J$52:$J$54,基础状态预期!W137))</f>
        <v>0</v>
      </c>
      <c r="AO124" s="29">
        <f>IF(基础状态预期!N137="",0,求节点($C$68:$C$76,G$68:G$76,基础状态预期!N137)*求节点(武将升级!$H$52:$H$54,武将升级!$J$52:$J$54,基础状态预期!X137))</f>
        <v>0</v>
      </c>
      <c r="AP124" s="29">
        <f>IF(基础状态预期!O137="",0,求节点($C$68:$C$76,H$68:H$76,基础状态预期!O137)*求节点(武将升级!$H$52:$H$54,武将升级!$J$52:$J$54,基础状态预期!Y137))</f>
        <v>1.1399999999999999</v>
      </c>
      <c r="AQ124" s="29">
        <f>MAX(SUMPRODUCT(AL124:AP124,基础状态预期!$F137:$J137)/SUM(基础状态预期!$F137:$J137),AQ123)</f>
        <v>1.1399999999999999</v>
      </c>
      <c r="AR124" s="29">
        <f>IF(基础状态预期!K137="",0,求节点($C$158:$C$166,D$158:D$166,基础状态预期!K137))</f>
        <v>0</v>
      </c>
      <c r="AS124" s="29">
        <f>IF(基础状态预期!L137="",0,求节点($C$158:$C$166,E$158:E$166,基础状态预期!L137))</f>
        <v>0</v>
      </c>
      <c r="AT124" s="29">
        <f>IF(基础状态预期!M137="",0,求节点($C$158:$C$166,F$158:F$166,基础状态预期!M137))</f>
        <v>0</v>
      </c>
      <c r="AU124" s="29">
        <f>IF(基础状态预期!N137="",0,求节点($C$158:$C$166,G$158:G$166,基础状态预期!N137))</f>
        <v>0</v>
      </c>
      <c r="AV124" s="29">
        <f>IF(基础状态预期!O137="",0,求节点($C$158:$C$166,H$158:H$166,基础状态预期!O137))</f>
        <v>0.8</v>
      </c>
      <c r="AW124" s="29">
        <f>MAX(SUMPRODUCT(AR124:AV124,基础状态预期!$F137:$J137)/SUM(基础状态预期!$F137:$J137),AW123)</f>
        <v>0.80000000000000016</v>
      </c>
      <c r="BJ124" s="29">
        <f t="shared" si="54"/>
        <v>132.53488795708068</v>
      </c>
      <c r="BK124" s="75">
        <f>武将数量星级阶位验证!AT127</f>
        <v>17959686.505518377</v>
      </c>
      <c r="BL124" s="75">
        <f>(AD124-AD123)*INDEX('[1]功能-付费相关'!$AS$6:$AS$165,BJ124,1)+BL123</f>
        <v>24025.759112891668</v>
      </c>
    </row>
    <row r="125" spans="2:64" x14ac:dyDescent="0.15">
      <c r="B125" s="170"/>
      <c r="C125" s="14">
        <v>1</v>
      </c>
      <c r="D125" s="29">
        <f>SUM(D$26:D27)</f>
        <v>0</v>
      </c>
      <c r="E125" s="29">
        <f>SUM(E$26:E27)</f>
        <v>0</v>
      </c>
      <c r="F125" s="29">
        <f>SUM(F$26:F27)</f>
        <v>0</v>
      </c>
      <c r="G125" s="29">
        <f>SUM(G$26:G27)</f>
        <v>0</v>
      </c>
      <c r="H125" s="29">
        <f>SUM(H$26:H27)</f>
        <v>0</v>
      </c>
      <c r="I125" s="29">
        <f>SUM(I$26:I27)</f>
        <v>0</v>
      </c>
      <c r="M125" s="72">
        <v>35</v>
      </c>
      <c r="N125" s="29">
        <f>基础状态预期!D138</f>
        <v>136.07141427598387</v>
      </c>
      <c r="O125" s="29">
        <f>IF(基础状态预期!F138="",0,求节点($C$104:$C$112,D$104:D$112,基础状态预期!K138))</f>
        <v>0</v>
      </c>
      <c r="P125" s="29">
        <f>IF(基础状态预期!G138="",0,求节点($C$104:$C$112,E$104:E$112,基础状态预期!L138))</f>
        <v>0</v>
      </c>
      <c r="Q125" s="29">
        <f>IF(基础状态预期!H138="",0,求节点($C$104:$C$112,F$104:F$112,基础状态预期!M138))</f>
        <v>0</v>
      </c>
      <c r="R125" s="29">
        <f>IF(基础状态预期!I138="",0,求节点($C$104:$C$112,G$104:G$112,基础状态预期!N138))</f>
        <v>0</v>
      </c>
      <c r="S125" s="29">
        <f>IF(基础状态预期!J138="",0,求节点($C$104:$C$112,H$104:H$112,基础状态预期!O138))</f>
        <v>18</v>
      </c>
      <c r="T125" s="29">
        <f>IF(基础状态预期!F138="",0,求节点($C$114:$C$122,D$114:D$122,基础状态预期!K138)*基础状态预期!F138+求节点($C$124:$C$132,D$124:D$132,基础状态预期!$O138)*基础状态预期!$J138)</f>
        <v>0</v>
      </c>
      <c r="U125" s="29">
        <f>IF(基础状态预期!G138="",0,求节点($C$114:$C$122,E$114:E$122,基础状态预期!L138)*基础状态预期!G138+求节点($C$124:$C$132,E$124:E$132,基础状态预期!$O138)*基础状态预期!$J138)</f>
        <v>0</v>
      </c>
      <c r="V125" s="29">
        <f>IF(基础状态预期!H138="",0,求节点($C$114:$C$122,F$114:F$122,基础状态预期!M138)*基础状态预期!H138+求节点($C$124:$C$132,F$124:F$132,基础状态预期!$O138)*基础状态预期!$J138)</f>
        <v>0</v>
      </c>
      <c r="W125" s="148">
        <f>IF(基础状态预期!I138="",0,求节点($C$114:$C$122,G$114:G$122,基础状态预期!N138)*基础状态预期!I138)+IF(基础状态预期!O138="",0,求节点($C$124:$C$132,G$124:G$132,基础状态预期!$O138)*基础状态预期!$J138)</f>
        <v>54</v>
      </c>
      <c r="X125" s="29">
        <f>IF(基础状态预期!J138="",0,求节点($C$114:$C$122,H$114:H$122,基础状态预期!O138)*基础状态预期!J138+求节点($C$124:$C$132,H$124:H$132,基础状态预期!$O138)*基础状态预期!$J138)</f>
        <v>0</v>
      </c>
      <c r="Y125" s="14">
        <f>IF(基础状态预期!K138="",0,求节点($C$92:$C$100,D$92:D$100,基础状态预期!K138))</f>
        <v>0</v>
      </c>
      <c r="Z125" s="14">
        <f>IF(基础状态预期!L138="",0,求节点($C$92:$C$100,E$92:E$100,基础状态预期!L138))</f>
        <v>0</v>
      </c>
      <c r="AA125" s="14">
        <f>IF(基础状态预期!M138="",0,求节点($C$92:$C$100,F$92:F$100,基础状态预期!M138))</f>
        <v>0</v>
      </c>
      <c r="AB125" s="14">
        <f>IF(基础状态预期!N138="",0,求节点($C$92:$C$100,G$92:G$100,基础状态预期!N138))</f>
        <v>0</v>
      </c>
      <c r="AC125" s="14">
        <f>IF(基础状态预期!O138="",0,求节点($C$92:$C$100,H$92:H$100,基础状态预期!O138))</f>
        <v>3825000</v>
      </c>
      <c r="AD125" s="29">
        <f>MAX(SUMPRODUCT(Y125:AC125,基础状态预期!F138:J138),AD124)</f>
        <v>22950000</v>
      </c>
      <c r="AF125" s="29" t="str">
        <f>IF(基础状态预期!K138="","",基础状态预期!K138*D$59+D$58)</f>
        <v/>
      </c>
      <c r="AG125" s="29" t="str">
        <f>IF(基础状态预期!L138="","",基础状态预期!L138*E$59+E$58)</f>
        <v/>
      </c>
      <c r="AH125" s="29" t="str">
        <f>IF(基础状态预期!M138="","",基础状态预期!M138*F$59+F$58)</f>
        <v/>
      </c>
      <c r="AI125" s="29" t="str">
        <f>IF(基础状态预期!N138="","",基础状态预期!N138*G$59+G$58)</f>
        <v/>
      </c>
      <c r="AJ125" s="29">
        <f>IF(基础状态预期!O138="","",基础状态预期!O138*H$59+H$58)</f>
        <v>148</v>
      </c>
      <c r="AK125" s="29">
        <f>MAX(SUMPRODUCT(AF125:AJ125,基础状态预期!$F138:$J138)/SUM(基础状态预期!$F138:$J138),AK124)</f>
        <v>148</v>
      </c>
      <c r="AL125" s="29">
        <f>IF(基础状态预期!K138="",0,求节点($C$68:$C$76,D$68:D$76,基础状态预期!K138))</f>
        <v>0</v>
      </c>
      <c r="AM125" s="29">
        <f>IF(基础状态预期!L138="",0,求节点($C$68:$C$76,E$68:E$76,基础状态预期!L138))</f>
        <v>0</v>
      </c>
      <c r="AN125" s="29">
        <f>IF(基础状态预期!M138="",0,求节点($C$68:$C$76,F$68:F$76,基础状态预期!M138)*求节点(武将升级!$H$52:$H$54,武将升级!$J$52:$J$54,基础状态预期!W138))</f>
        <v>0</v>
      </c>
      <c r="AO125" s="29">
        <f>IF(基础状态预期!N138="",0,求节点($C$68:$C$76,G$68:G$76,基础状态预期!N138)*求节点(武将升级!$H$52:$H$54,武将升级!$J$52:$J$54,基础状态预期!X138))</f>
        <v>0</v>
      </c>
      <c r="AP125" s="29">
        <f>IF(基础状态预期!O138="",0,求节点($C$68:$C$76,H$68:H$76,基础状态预期!O138)*求节点(武将升级!$H$52:$H$54,武将升级!$J$52:$J$54,基础状态预期!Y138))</f>
        <v>1.1399999999999999</v>
      </c>
      <c r="AQ125" s="29">
        <f>MAX(SUMPRODUCT(AL125:AP125,基础状态预期!$F138:$J138)/SUM(基础状态预期!$F138:$J138),AQ124)</f>
        <v>1.1399999999999999</v>
      </c>
      <c r="AR125" s="29">
        <f>IF(基础状态预期!K138="",0,求节点($C$158:$C$166,D$158:D$166,基础状态预期!K138))</f>
        <v>0</v>
      </c>
      <c r="AS125" s="29">
        <f>IF(基础状态预期!L138="",0,求节点($C$158:$C$166,E$158:E$166,基础状态预期!L138))</f>
        <v>0</v>
      </c>
      <c r="AT125" s="29">
        <f>IF(基础状态预期!M138="",0,求节点($C$158:$C$166,F$158:F$166,基础状态预期!M138))</f>
        <v>0</v>
      </c>
      <c r="AU125" s="29">
        <f>IF(基础状态预期!N138="",0,求节点($C$158:$C$166,G$158:G$166,基础状态预期!N138))</f>
        <v>0</v>
      </c>
      <c r="AV125" s="29">
        <f>IF(基础状态预期!O138="",0,求节点($C$158:$C$166,H$158:H$166,基础状态预期!O138))</f>
        <v>0.8</v>
      </c>
      <c r="AW125" s="29">
        <f>MAX(SUMPRODUCT(AR125:AV125,基础状态预期!$F138:$J138)/SUM(基础状态预期!$F138:$J138),AW124)</f>
        <v>0.80000000000000016</v>
      </c>
      <c r="BJ125" s="29">
        <f t="shared" si="54"/>
        <v>136.07141427598387</v>
      </c>
      <c r="BK125" s="75">
        <f>武将数量星级阶位验证!AT128</f>
        <v>22363573.974476635</v>
      </c>
      <c r="BL125" s="75">
        <f>(AD125-AD124)*INDEX('[1]功能-付费相关'!$AS$6:$AS$165,BJ125,1)+BL124</f>
        <v>24025.759112891668</v>
      </c>
    </row>
    <row r="126" spans="2:64" x14ac:dyDescent="0.15">
      <c r="B126" s="170"/>
      <c r="C126" s="14">
        <v>2</v>
      </c>
      <c r="D126" s="29">
        <f>SUM(D$26:D28)</f>
        <v>0</v>
      </c>
      <c r="E126" s="29">
        <f>SUM(E$26:E28)</f>
        <v>0</v>
      </c>
      <c r="F126" s="29">
        <f>SUM(F$26:F28)</f>
        <v>0</v>
      </c>
      <c r="G126" s="29">
        <f>SUM(G$26:G28)</f>
        <v>0</v>
      </c>
      <c r="H126" s="29">
        <f>SUM(H$26:H28)</f>
        <v>0</v>
      </c>
      <c r="I126" s="29">
        <f>SUM(I$26:I28)</f>
        <v>0</v>
      </c>
      <c r="M126" s="72">
        <v>36</v>
      </c>
      <c r="N126" s="29">
        <f>基础状态预期!D139</f>
        <v>139.56936219880694</v>
      </c>
      <c r="O126" s="29">
        <f>IF(基础状态预期!F139="",0,求节点($C$104:$C$112,D$104:D$112,基础状态预期!K139))</f>
        <v>0</v>
      </c>
      <c r="P126" s="29">
        <f>IF(基础状态预期!G139="",0,求节点($C$104:$C$112,E$104:E$112,基础状态预期!L139))</f>
        <v>0</v>
      </c>
      <c r="Q126" s="29">
        <f>IF(基础状态预期!H139="",0,求节点($C$104:$C$112,F$104:F$112,基础状态预期!M139))</f>
        <v>0</v>
      </c>
      <c r="R126" s="29">
        <f>IF(基础状态预期!I139="",0,求节点($C$104:$C$112,G$104:G$112,基础状态预期!N139))</f>
        <v>0</v>
      </c>
      <c r="S126" s="29">
        <f>IF(基础状态预期!J139="",0,求节点($C$104:$C$112,H$104:H$112,基础状态预期!O139))</f>
        <v>18</v>
      </c>
      <c r="T126" s="29">
        <f>IF(基础状态预期!F139="",0,求节点($C$114:$C$122,D$114:D$122,基础状态预期!K139)*基础状态预期!F139+求节点($C$124:$C$132,D$124:D$132,基础状态预期!$O139)*基础状态预期!$J139)</f>
        <v>0</v>
      </c>
      <c r="U126" s="29">
        <f>IF(基础状态预期!G139="",0,求节点($C$114:$C$122,E$114:E$122,基础状态预期!L139)*基础状态预期!G139+求节点($C$124:$C$132,E$124:E$132,基础状态预期!$O139)*基础状态预期!$J139)</f>
        <v>0</v>
      </c>
      <c r="V126" s="29">
        <f>IF(基础状态预期!H139="",0,求节点($C$114:$C$122,F$114:F$122,基础状态预期!M139)*基础状态预期!H139+求节点($C$124:$C$132,F$124:F$132,基础状态预期!$O139)*基础状态预期!$J139)</f>
        <v>0</v>
      </c>
      <c r="W126" s="148">
        <f>IF(基础状态预期!I139="",0,求节点($C$114:$C$122,G$114:G$122,基础状态预期!N139)*基础状态预期!I139)+IF(基础状态预期!O139="",0,求节点($C$124:$C$132,G$124:G$132,基础状态预期!$O139)*基础状态预期!$J139)</f>
        <v>54</v>
      </c>
      <c r="X126" s="29">
        <f>IF(基础状态预期!J139="",0,求节点($C$114:$C$122,H$114:H$122,基础状态预期!O139)*基础状态预期!J139+求节点($C$124:$C$132,H$124:H$132,基础状态预期!$O139)*基础状态预期!$J139)</f>
        <v>0</v>
      </c>
      <c r="Y126" s="14">
        <f>IF(基础状态预期!K139="",0,求节点($C$92:$C$100,D$92:D$100,基础状态预期!K139))</f>
        <v>0</v>
      </c>
      <c r="Z126" s="14">
        <f>IF(基础状态预期!L139="",0,求节点($C$92:$C$100,E$92:E$100,基础状态预期!L139))</f>
        <v>0</v>
      </c>
      <c r="AA126" s="14">
        <f>IF(基础状态预期!M139="",0,求节点($C$92:$C$100,F$92:F$100,基础状态预期!M139))</f>
        <v>0</v>
      </c>
      <c r="AB126" s="14">
        <f>IF(基础状态预期!N139="",0,求节点($C$92:$C$100,G$92:G$100,基础状态预期!N139))</f>
        <v>0</v>
      </c>
      <c r="AC126" s="14">
        <f>IF(基础状态预期!O139="",0,求节点($C$92:$C$100,H$92:H$100,基础状态预期!O139))</f>
        <v>3825000</v>
      </c>
      <c r="AD126" s="29">
        <f>MAX(SUMPRODUCT(Y126:AC126,基础状态预期!F139:J139),AD125)</f>
        <v>22950000</v>
      </c>
      <c r="AF126" s="29" t="str">
        <f>IF(基础状态预期!K139="","",基础状态预期!K139*D$59+D$58)</f>
        <v/>
      </c>
      <c r="AG126" s="29" t="str">
        <f>IF(基础状态预期!L139="","",基础状态预期!L139*E$59+E$58)</f>
        <v/>
      </c>
      <c r="AH126" s="29" t="str">
        <f>IF(基础状态预期!M139="","",基础状态预期!M139*F$59+F$58)</f>
        <v/>
      </c>
      <c r="AI126" s="29" t="str">
        <f>IF(基础状态预期!N139="","",基础状态预期!N139*G$59+G$58)</f>
        <v/>
      </c>
      <c r="AJ126" s="29">
        <f>IF(基础状态预期!O139="","",基础状态预期!O139*H$59+H$58)</f>
        <v>148</v>
      </c>
      <c r="AK126" s="29">
        <f>MAX(SUMPRODUCT(AF126:AJ126,基础状态预期!$F139:$J139)/SUM(基础状态预期!$F139:$J139),AK125)</f>
        <v>148</v>
      </c>
      <c r="AL126" s="29">
        <f>IF(基础状态预期!K139="",0,求节点($C$68:$C$76,D$68:D$76,基础状态预期!K139))</f>
        <v>0</v>
      </c>
      <c r="AM126" s="29">
        <f>IF(基础状态预期!L139="",0,求节点($C$68:$C$76,E$68:E$76,基础状态预期!L139))</f>
        <v>0</v>
      </c>
      <c r="AN126" s="29">
        <f>IF(基础状态预期!M139="",0,求节点($C$68:$C$76,F$68:F$76,基础状态预期!M139)*求节点(武将升级!$H$52:$H$54,武将升级!$J$52:$J$54,基础状态预期!W139))</f>
        <v>0</v>
      </c>
      <c r="AO126" s="29">
        <f>IF(基础状态预期!N139="",0,求节点($C$68:$C$76,G$68:G$76,基础状态预期!N139)*求节点(武将升级!$H$52:$H$54,武将升级!$J$52:$J$54,基础状态预期!X139))</f>
        <v>0</v>
      </c>
      <c r="AP126" s="29">
        <f>IF(基础状态预期!O139="",0,求节点($C$68:$C$76,H$68:H$76,基础状态预期!O139)*求节点(武将升级!$H$52:$H$54,武将升级!$J$52:$J$54,基础状态预期!Y139))</f>
        <v>1.1399999999999999</v>
      </c>
      <c r="AQ126" s="29">
        <f>MAX(SUMPRODUCT(AL126:AP126,基础状态预期!$F139:$J139)/SUM(基础状态预期!$F139:$J139),AQ125)</f>
        <v>1.1399999999999999</v>
      </c>
      <c r="AR126" s="29">
        <f>IF(基础状态预期!K139="",0,求节点($C$158:$C$166,D$158:D$166,基础状态预期!K139))</f>
        <v>0</v>
      </c>
      <c r="AS126" s="29">
        <f>IF(基础状态预期!L139="",0,求节点($C$158:$C$166,E$158:E$166,基础状态预期!L139))</f>
        <v>0</v>
      </c>
      <c r="AT126" s="29">
        <f>IF(基础状态预期!M139="",0,求节点($C$158:$C$166,F$158:F$166,基础状态预期!M139))</f>
        <v>0</v>
      </c>
      <c r="AU126" s="29">
        <f>IF(基础状态预期!N139="",0,求节点($C$158:$C$166,G$158:G$166,基础状态预期!N139))</f>
        <v>0</v>
      </c>
      <c r="AV126" s="29">
        <f>IF(基础状态预期!O139="",0,求节点($C$158:$C$166,H$158:H$166,基础状态预期!O139))</f>
        <v>0.8</v>
      </c>
      <c r="AW126" s="29">
        <f>MAX(SUMPRODUCT(AR126:AV126,基础状态预期!$F139:$J139)/SUM(基础状态预期!$F139:$J139),AW125)</f>
        <v>0.80000000000000016</v>
      </c>
      <c r="BJ126" s="29">
        <f t="shared" si="54"/>
        <v>139.56936219880694</v>
      </c>
      <c r="BK126" s="75">
        <f>武将数量星级阶位验证!AT129</f>
        <v>27938950.09962615</v>
      </c>
      <c r="BL126" s="75">
        <f>(AD126-AD125)*INDEX('[1]功能-付费相关'!$AS$6:$AS$165,BJ126,1)+BL125</f>
        <v>24025.759112891668</v>
      </c>
    </row>
    <row r="127" spans="2:64" x14ac:dyDescent="0.15">
      <c r="B127" s="170"/>
      <c r="C127" s="14">
        <v>3</v>
      </c>
      <c r="D127" s="29">
        <f>SUM(D$26:D29)</f>
        <v>0</v>
      </c>
      <c r="E127" s="29">
        <f>SUM(E$26:E29)</f>
        <v>0</v>
      </c>
      <c r="F127" s="29">
        <f>SUM(F$26:F29)</f>
        <v>0</v>
      </c>
      <c r="G127" s="29">
        <f>SUM(G$26:G29)</f>
        <v>3</v>
      </c>
      <c r="H127" s="29">
        <f>SUM(H$26:H29)</f>
        <v>0</v>
      </c>
      <c r="I127" s="29">
        <f>SUM(I$26:I29)</f>
        <v>0</v>
      </c>
      <c r="M127" s="72">
        <v>37</v>
      </c>
      <c r="N127" s="29">
        <f>基础状态预期!D140</f>
        <v>143.08413721822018</v>
      </c>
      <c r="O127" s="29">
        <f>IF(基础状态预期!F140="",0,求节点($C$104:$C$112,D$104:D$112,基础状态预期!K140))</f>
        <v>0</v>
      </c>
      <c r="P127" s="29">
        <f>IF(基础状态预期!G140="",0,求节点($C$104:$C$112,E$104:E$112,基础状态预期!L140))</f>
        <v>0</v>
      </c>
      <c r="Q127" s="29">
        <f>IF(基础状态预期!H140="",0,求节点($C$104:$C$112,F$104:F$112,基础状态预期!M140))</f>
        <v>0</v>
      </c>
      <c r="R127" s="29">
        <f>IF(基础状态预期!I140="",0,求节点($C$104:$C$112,G$104:G$112,基础状态预期!N140))</f>
        <v>0</v>
      </c>
      <c r="S127" s="29">
        <f>IF(基础状态预期!J140="",0,求节点($C$104:$C$112,H$104:H$112,基础状态预期!O140))</f>
        <v>18</v>
      </c>
      <c r="T127" s="29">
        <f>IF(基础状态预期!F140="",0,求节点($C$114:$C$122,D$114:D$122,基础状态预期!K140)*基础状态预期!F140+求节点($C$124:$C$132,D$124:D$132,基础状态预期!$O140)*基础状态预期!$J140)</f>
        <v>0</v>
      </c>
      <c r="U127" s="29">
        <f>IF(基础状态预期!G140="",0,求节点($C$114:$C$122,E$114:E$122,基础状态预期!L140)*基础状态预期!G140+求节点($C$124:$C$132,E$124:E$132,基础状态预期!$O140)*基础状态预期!$J140)</f>
        <v>0</v>
      </c>
      <c r="V127" s="29">
        <f>IF(基础状态预期!H140="",0,求节点($C$114:$C$122,F$114:F$122,基础状态预期!M140)*基础状态预期!H140+求节点($C$124:$C$132,F$124:F$132,基础状态预期!$O140)*基础状态预期!$J140)</f>
        <v>0</v>
      </c>
      <c r="W127" s="148">
        <f>IF(基础状态预期!I140="",0,求节点($C$114:$C$122,G$114:G$122,基础状态预期!N140)*基础状态预期!I140)+IF(基础状态预期!O140="",0,求节点($C$124:$C$132,G$124:G$132,基础状态预期!$O140)*基础状态预期!$J140)</f>
        <v>54</v>
      </c>
      <c r="X127" s="29">
        <f>IF(基础状态预期!J140="",0,求节点($C$114:$C$122,H$114:H$122,基础状态预期!O140)*基础状态预期!J140+求节点($C$124:$C$132,H$124:H$132,基础状态预期!$O140)*基础状态预期!$J140)</f>
        <v>0</v>
      </c>
      <c r="Y127" s="14">
        <f>IF(基础状态预期!K140="",0,求节点($C$92:$C$100,D$92:D$100,基础状态预期!K140))</f>
        <v>0</v>
      </c>
      <c r="Z127" s="14">
        <f>IF(基础状态预期!L140="",0,求节点($C$92:$C$100,E$92:E$100,基础状态预期!L140))</f>
        <v>0</v>
      </c>
      <c r="AA127" s="14">
        <f>IF(基础状态预期!M140="",0,求节点($C$92:$C$100,F$92:F$100,基础状态预期!M140))</f>
        <v>0</v>
      </c>
      <c r="AB127" s="14">
        <f>IF(基础状态预期!N140="",0,求节点($C$92:$C$100,G$92:G$100,基础状态预期!N140))</f>
        <v>0</v>
      </c>
      <c r="AC127" s="14">
        <f>IF(基础状态预期!O140="",0,求节点($C$92:$C$100,H$92:H$100,基础状态预期!O140))</f>
        <v>3825000</v>
      </c>
      <c r="AD127" s="29">
        <f>MAX(SUMPRODUCT(Y127:AC127,基础状态预期!F140:J140),AD126)</f>
        <v>22950000</v>
      </c>
      <c r="AF127" s="29" t="str">
        <f>IF(基础状态预期!K140="","",基础状态预期!K140*D$59+D$58)</f>
        <v/>
      </c>
      <c r="AG127" s="29" t="str">
        <f>IF(基础状态预期!L140="","",基础状态预期!L140*E$59+E$58)</f>
        <v/>
      </c>
      <c r="AH127" s="29" t="str">
        <f>IF(基础状态预期!M140="","",基础状态预期!M140*F$59+F$58)</f>
        <v/>
      </c>
      <c r="AI127" s="29" t="str">
        <f>IF(基础状态预期!N140="","",基础状态预期!N140*G$59+G$58)</f>
        <v/>
      </c>
      <c r="AJ127" s="29">
        <f>IF(基础状态预期!O140="","",基础状态预期!O140*H$59+H$58)</f>
        <v>148</v>
      </c>
      <c r="AK127" s="29">
        <f>MAX(SUMPRODUCT(AF127:AJ127,基础状态预期!$F140:$J140)/SUM(基础状态预期!$F140:$J140),AK126)</f>
        <v>148</v>
      </c>
      <c r="AL127" s="29">
        <f>IF(基础状态预期!K140="",0,求节点($C$68:$C$76,D$68:D$76,基础状态预期!K140))</f>
        <v>0</v>
      </c>
      <c r="AM127" s="29">
        <f>IF(基础状态预期!L140="",0,求节点($C$68:$C$76,E$68:E$76,基础状态预期!L140))</f>
        <v>0</v>
      </c>
      <c r="AN127" s="29">
        <f>IF(基础状态预期!M140="",0,求节点($C$68:$C$76,F$68:F$76,基础状态预期!M140)*求节点(武将升级!$H$52:$H$54,武将升级!$J$52:$J$54,基础状态预期!W140))</f>
        <v>0</v>
      </c>
      <c r="AO127" s="29">
        <f>IF(基础状态预期!N140="",0,求节点($C$68:$C$76,G$68:G$76,基础状态预期!N140)*求节点(武将升级!$H$52:$H$54,武将升级!$J$52:$J$54,基础状态预期!X140))</f>
        <v>0</v>
      </c>
      <c r="AP127" s="29">
        <f>IF(基础状态预期!O140="",0,求节点($C$68:$C$76,H$68:H$76,基础状态预期!O140)*求节点(武将升级!$H$52:$H$54,武将升级!$J$52:$J$54,基础状态预期!Y140))</f>
        <v>1.1399999999999999</v>
      </c>
      <c r="AQ127" s="29">
        <f>MAX(SUMPRODUCT(AL127:AP127,基础状态预期!$F140:$J140)/SUM(基础状态预期!$F140:$J140),AQ126)</f>
        <v>1.1399999999999999</v>
      </c>
      <c r="AR127" s="29">
        <f>IF(基础状态预期!K140="",0,求节点($C$158:$C$166,D$158:D$166,基础状态预期!K140))</f>
        <v>0</v>
      </c>
      <c r="AS127" s="29">
        <f>IF(基础状态预期!L140="",0,求节点($C$158:$C$166,E$158:E$166,基础状态预期!L140))</f>
        <v>0</v>
      </c>
      <c r="AT127" s="29">
        <f>IF(基础状态预期!M140="",0,求节点($C$158:$C$166,F$158:F$166,基础状态预期!M140))</f>
        <v>0</v>
      </c>
      <c r="AU127" s="29">
        <f>IF(基础状态预期!N140="",0,求节点($C$158:$C$166,G$158:G$166,基础状态预期!N140))</f>
        <v>0</v>
      </c>
      <c r="AV127" s="29">
        <f>IF(基础状态预期!O140="",0,求节点($C$158:$C$166,H$158:H$166,基础状态预期!O140))</f>
        <v>0.8</v>
      </c>
      <c r="AW127" s="29">
        <f>MAX(SUMPRODUCT(AR127:AV127,基础状态预期!$F140:$J140)/SUM(基础状态预期!$F140:$J140),AW126)</f>
        <v>0.80000000000000016</v>
      </c>
      <c r="BJ127" s="29">
        <f t="shared" si="54"/>
        <v>143.08413721822018</v>
      </c>
      <c r="BK127" s="75">
        <f>武将数量星级阶位验证!AT130</f>
        <v>34888961.917053014</v>
      </c>
      <c r="BL127" s="75">
        <f>(AD127-AD126)*INDEX('[1]功能-付费相关'!$AS$6:$AS$165,BJ127,1)+BL126</f>
        <v>24025.759112891668</v>
      </c>
    </row>
    <row r="128" spans="2:64" x14ac:dyDescent="0.15">
      <c r="B128" s="170"/>
      <c r="C128" s="14">
        <v>4</v>
      </c>
      <c r="D128" s="29">
        <f>SUM(D$26:D30)</f>
        <v>0</v>
      </c>
      <c r="E128" s="29">
        <f>SUM(E$26:E30)</f>
        <v>0</v>
      </c>
      <c r="F128" s="29">
        <f>SUM(F$26:F30)</f>
        <v>0</v>
      </c>
      <c r="G128" s="29">
        <f>SUM(G$26:G30)</f>
        <v>3</v>
      </c>
      <c r="H128" s="29">
        <f>SUM(H$26:H30)</f>
        <v>0</v>
      </c>
      <c r="I128" s="29">
        <f>SUM(I$26:I30)</f>
        <v>0</v>
      </c>
      <c r="M128" s="72">
        <v>38</v>
      </c>
      <c r="N128" s="29">
        <f>基础状态预期!D141</f>
        <v>146.62302564097175</v>
      </c>
      <c r="O128" s="29">
        <f>IF(基础状态预期!F141="",0,求节点($C$104:$C$112,D$104:D$112,基础状态预期!K141))</f>
        <v>0</v>
      </c>
      <c r="P128" s="29">
        <f>IF(基础状态预期!G141="",0,求节点($C$104:$C$112,E$104:E$112,基础状态预期!L141))</f>
        <v>0</v>
      </c>
      <c r="Q128" s="29">
        <f>IF(基础状态预期!H141="",0,求节点($C$104:$C$112,F$104:F$112,基础状态预期!M141))</f>
        <v>0</v>
      </c>
      <c r="R128" s="29">
        <f>IF(基础状态预期!I141="",0,求节点($C$104:$C$112,G$104:G$112,基础状态预期!N141))</f>
        <v>0</v>
      </c>
      <c r="S128" s="29">
        <f>IF(基础状态预期!J141="",0,求节点($C$104:$C$112,H$104:H$112,基础状态预期!O141))</f>
        <v>18</v>
      </c>
      <c r="T128" s="29">
        <f>IF(基础状态预期!F141="",0,求节点($C$114:$C$122,D$114:D$122,基础状态预期!K141)*基础状态预期!F141+求节点($C$124:$C$132,D$124:D$132,基础状态预期!$O141)*基础状态预期!$J141)</f>
        <v>0</v>
      </c>
      <c r="U128" s="29">
        <f>IF(基础状态预期!G141="",0,求节点($C$114:$C$122,E$114:E$122,基础状态预期!L141)*基础状态预期!G141+求节点($C$124:$C$132,E$124:E$132,基础状态预期!$O141)*基础状态预期!$J141)</f>
        <v>0</v>
      </c>
      <c r="V128" s="29">
        <f>IF(基础状态预期!H141="",0,求节点($C$114:$C$122,F$114:F$122,基础状态预期!M141)*基础状态预期!H141+求节点($C$124:$C$132,F$124:F$132,基础状态预期!$O141)*基础状态预期!$J141)</f>
        <v>0</v>
      </c>
      <c r="W128" s="148">
        <f>IF(基础状态预期!I141="",0,求节点($C$114:$C$122,G$114:G$122,基础状态预期!N141)*基础状态预期!I141)+IF(基础状态预期!O141="",0,求节点($C$124:$C$132,G$124:G$132,基础状态预期!$O141)*基础状态预期!$J141)</f>
        <v>54</v>
      </c>
      <c r="X128" s="29">
        <f>IF(基础状态预期!J141="",0,求节点($C$114:$C$122,H$114:H$122,基础状态预期!O141)*基础状态预期!J141+求节点($C$124:$C$132,H$124:H$132,基础状态预期!$O141)*基础状态预期!$J141)</f>
        <v>0</v>
      </c>
      <c r="Y128" s="14">
        <f>IF(基础状态预期!K141="",0,求节点($C$92:$C$100,D$92:D$100,基础状态预期!K141))</f>
        <v>0</v>
      </c>
      <c r="Z128" s="14">
        <f>IF(基础状态预期!L141="",0,求节点($C$92:$C$100,E$92:E$100,基础状态预期!L141))</f>
        <v>0</v>
      </c>
      <c r="AA128" s="14">
        <f>IF(基础状态预期!M141="",0,求节点($C$92:$C$100,F$92:F$100,基础状态预期!M141))</f>
        <v>0</v>
      </c>
      <c r="AB128" s="14">
        <f>IF(基础状态预期!N141="",0,求节点($C$92:$C$100,G$92:G$100,基础状态预期!N141))</f>
        <v>0</v>
      </c>
      <c r="AC128" s="14">
        <f>IF(基础状态预期!O141="",0,求节点($C$92:$C$100,H$92:H$100,基础状态预期!O141))</f>
        <v>3825000</v>
      </c>
      <c r="AD128" s="29">
        <f>MAX(SUMPRODUCT(Y128:AC128,基础状态预期!F141:J141),AD127)</f>
        <v>22950000</v>
      </c>
      <c r="AF128" s="29" t="str">
        <f>IF(基础状态预期!K141="","",基础状态预期!K141*D$59+D$58)</f>
        <v/>
      </c>
      <c r="AG128" s="29" t="str">
        <f>IF(基础状态预期!L141="","",基础状态预期!L141*E$59+E$58)</f>
        <v/>
      </c>
      <c r="AH128" s="29" t="str">
        <f>IF(基础状态预期!M141="","",基础状态预期!M141*F$59+F$58)</f>
        <v/>
      </c>
      <c r="AI128" s="29" t="str">
        <f>IF(基础状态预期!N141="","",基础状态预期!N141*G$59+G$58)</f>
        <v/>
      </c>
      <c r="AJ128" s="29">
        <f>IF(基础状态预期!O141="","",基础状态预期!O141*H$59+H$58)</f>
        <v>148</v>
      </c>
      <c r="AK128" s="29">
        <f>MAX(SUMPRODUCT(AF128:AJ128,基础状态预期!$F141:$J141)/SUM(基础状态预期!$F141:$J141),AK127)</f>
        <v>148</v>
      </c>
      <c r="AL128" s="29">
        <f>IF(基础状态预期!K141="",0,求节点($C$68:$C$76,D$68:D$76,基础状态预期!K141))</f>
        <v>0</v>
      </c>
      <c r="AM128" s="29">
        <f>IF(基础状态预期!L141="",0,求节点($C$68:$C$76,E$68:E$76,基础状态预期!L141))</f>
        <v>0</v>
      </c>
      <c r="AN128" s="29">
        <f>IF(基础状态预期!M141="",0,求节点($C$68:$C$76,F$68:F$76,基础状态预期!M141)*求节点(武将升级!$H$52:$H$54,武将升级!$J$52:$J$54,基础状态预期!W141))</f>
        <v>0</v>
      </c>
      <c r="AO128" s="29">
        <f>IF(基础状态预期!N141="",0,求节点($C$68:$C$76,G$68:G$76,基础状态预期!N141)*求节点(武将升级!$H$52:$H$54,武将升级!$J$52:$J$54,基础状态预期!X141))</f>
        <v>0</v>
      </c>
      <c r="AP128" s="29">
        <f>IF(基础状态预期!O141="",0,求节点($C$68:$C$76,H$68:H$76,基础状态预期!O141)*求节点(武将升级!$H$52:$H$54,武将升级!$J$52:$J$54,基础状态预期!Y141))</f>
        <v>1.1399999999999999</v>
      </c>
      <c r="AQ128" s="29">
        <f>MAX(SUMPRODUCT(AL128:AP128,基础状态预期!$F141:$J141)/SUM(基础状态预期!$F141:$J141),AQ127)</f>
        <v>1.1399999999999999</v>
      </c>
      <c r="AR128" s="29">
        <f>IF(基础状态预期!K141="",0,求节点($C$158:$C$166,D$158:D$166,基础状态预期!K141))</f>
        <v>0</v>
      </c>
      <c r="AS128" s="29">
        <f>IF(基础状态预期!L141="",0,求节点($C$158:$C$166,E$158:E$166,基础状态预期!L141))</f>
        <v>0</v>
      </c>
      <c r="AT128" s="29">
        <f>IF(基础状态预期!M141="",0,求节点($C$158:$C$166,F$158:F$166,基础状态预期!M141))</f>
        <v>0</v>
      </c>
      <c r="AU128" s="29">
        <f>IF(基础状态预期!N141="",0,求节点($C$158:$C$166,G$158:G$166,基础状态预期!N141))</f>
        <v>0</v>
      </c>
      <c r="AV128" s="29">
        <f>IF(基础状态预期!O141="",0,求节点($C$158:$C$166,H$158:H$166,基础状态预期!O141))</f>
        <v>0.8</v>
      </c>
      <c r="AW128" s="29">
        <f>MAX(SUMPRODUCT(AR128:AV128,基础状态预期!$F141:$J141)/SUM(基础状态预期!$F141:$J141),AW127)</f>
        <v>0.80000000000000016</v>
      </c>
      <c r="BJ128" s="29">
        <f t="shared" si="54"/>
        <v>146.62302564097175</v>
      </c>
      <c r="BK128" s="75">
        <f>武将数量星级阶位验证!AT131</f>
        <v>43553774.658416346</v>
      </c>
      <c r="BL128" s="75">
        <f>(AD128-AD127)*INDEX('[1]功能-付费相关'!$AS$6:$AS$165,BJ128,1)+BL127</f>
        <v>24025.759112891668</v>
      </c>
    </row>
    <row r="129" spans="2:69" x14ac:dyDescent="0.15">
      <c r="B129" s="170"/>
      <c r="C129" s="14">
        <v>5</v>
      </c>
      <c r="D129" s="29">
        <f>SUM(D$26:D31)</f>
        <v>0</v>
      </c>
      <c r="E129" s="29">
        <f>SUM(E$26:E31)</f>
        <v>0</v>
      </c>
      <c r="F129" s="29">
        <f>SUM(F$26:F31)</f>
        <v>0</v>
      </c>
      <c r="G129" s="29">
        <f>SUM(G$26:G31)</f>
        <v>6</v>
      </c>
      <c r="H129" s="29">
        <f>SUM(H$26:H31)</f>
        <v>0</v>
      </c>
      <c r="I129" s="29">
        <f>SUM(I$26:I31)</f>
        <v>0</v>
      </c>
      <c r="M129" s="72">
        <v>39</v>
      </c>
      <c r="N129" s="29">
        <f>基础状态预期!D142</f>
        <v>150.12999034316616</v>
      </c>
      <c r="O129" s="29">
        <f>IF(基础状态预期!F142="",0,求节点($C$104:$C$112,D$104:D$112,基础状态预期!K142))</f>
        <v>0</v>
      </c>
      <c r="P129" s="29">
        <f>IF(基础状态预期!G142="",0,求节点($C$104:$C$112,E$104:E$112,基础状态预期!L142))</f>
        <v>0</v>
      </c>
      <c r="Q129" s="29">
        <f>IF(基础状态预期!H142="",0,求节点($C$104:$C$112,F$104:F$112,基础状态预期!M142))</f>
        <v>0</v>
      </c>
      <c r="R129" s="29">
        <f>IF(基础状态预期!I142="",0,求节点($C$104:$C$112,G$104:G$112,基础状态预期!N142))</f>
        <v>0</v>
      </c>
      <c r="S129" s="29">
        <f>IF(基础状态预期!J142="",0,求节点($C$104:$C$112,H$104:H$112,基础状态预期!O142))</f>
        <v>18</v>
      </c>
      <c r="T129" s="29">
        <f>IF(基础状态预期!F142="",0,求节点($C$114:$C$122,D$114:D$122,基础状态预期!K142)*基础状态预期!F142+求节点($C$124:$C$132,D$124:D$132,基础状态预期!$O142)*基础状态预期!$J142)</f>
        <v>0</v>
      </c>
      <c r="U129" s="29">
        <f>IF(基础状态预期!G142="",0,求节点($C$114:$C$122,E$114:E$122,基础状态预期!L142)*基础状态预期!G142+求节点($C$124:$C$132,E$124:E$132,基础状态预期!$O142)*基础状态预期!$J142)</f>
        <v>0</v>
      </c>
      <c r="V129" s="29">
        <f>IF(基础状态预期!H142="",0,求节点($C$114:$C$122,F$114:F$122,基础状态预期!M142)*基础状态预期!H142+求节点($C$124:$C$132,F$124:F$132,基础状态预期!$O142)*基础状态预期!$J142)</f>
        <v>0</v>
      </c>
      <c r="W129" s="148">
        <f>IF(基础状态预期!I142="",0,求节点($C$114:$C$122,G$114:G$122,基础状态预期!N142)*基础状态预期!I142)+IF(基础状态预期!O142="",0,求节点($C$124:$C$132,G$124:G$132,基础状态预期!$O142)*基础状态预期!$J142)</f>
        <v>54</v>
      </c>
      <c r="X129" s="29">
        <f>IF(基础状态预期!J142="",0,求节点($C$114:$C$122,H$114:H$122,基础状态预期!O142)*基础状态预期!J142+求节点($C$124:$C$132,H$124:H$132,基础状态预期!$O142)*基础状态预期!$J142)</f>
        <v>0</v>
      </c>
      <c r="Y129" s="14">
        <f>IF(基础状态预期!K142="",0,求节点($C$92:$C$100,D$92:D$100,基础状态预期!K142))</f>
        <v>0</v>
      </c>
      <c r="Z129" s="14">
        <f>IF(基础状态预期!L142="",0,求节点($C$92:$C$100,E$92:E$100,基础状态预期!L142))</f>
        <v>0</v>
      </c>
      <c r="AA129" s="14">
        <f>IF(基础状态预期!M142="",0,求节点($C$92:$C$100,F$92:F$100,基础状态预期!M142))</f>
        <v>0</v>
      </c>
      <c r="AB129" s="14">
        <f>IF(基础状态预期!N142="",0,求节点($C$92:$C$100,G$92:G$100,基础状态预期!N142))</f>
        <v>0</v>
      </c>
      <c r="AC129" s="14">
        <f>IF(基础状态预期!O142="",0,求节点($C$92:$C$100,H$92:H$100,基础状态预期!O142))</f>
        <v>3825000</v>
      </c>
      <c r="AD129" s="29">
        <f>MAX(SUMPRODUCT(Y129:AC129,基础状态预期!F142:J142),AD128)</f>
        <v>22950000</v>
      </c>
      <c r="AF129" s="29" t="str">
        <f>IF(基础状态预期!K142="","",基础状态预期!K142*D$59+D$58)</f>
        <v/>
      </c>
      <c r="AG129" s="29" t="str">
        <f>IF(基础状态预期!L142="","",基础状态预期!L142*E$59+E$58)</f>
        <v/>
      </c>
      <c r="AH129" s="29" t="str">
        <f>IF(基础状态预期!M142="","",基础状态预期!M142*F$59+F$58)</f>
        <v/>
      </c>
      <c r="AI129" s="29" t="str">
        <f>IF(基础状态预期!N142="","",基础状态预期!N142*G$59+G$58)</f>
        <v/>
      </c>
      <c r="AJ129" s="29">
        <f>IF(基础状态预期!O142="","",基础状态预期!O142*H$59+H$58)</f>
        <v>148</v>
      </c>
      <c r="AK129" s="29">
        <f>MAX(SUMPRODUCT(AF129:AJ129,基础状态预期!$F142:$J142)/SUM(基础状态预期!$F142:$J142),AK128)</f>
        <v>148</v>
      </c>
      <c r="AL129" s="29">
        <f>IF(基础状态预期!K142="",0,求节点($C$68:$C$76,D$68:D$76,基础状态预期!K142))</f>
        <v>0</v>
      </c>
      <c r="AM129" s="29">
        <f>IF(基础状态预期!L142="",0,求节点($C$68:$C$76,E$68:E$76,基础状态预期!L142))</f>
        <v>0</v>
      </c>
      <c r="AN129" s="29">
        <f>IF(基础状态预期!M142="",0,求节点($C$68:$C$76,F$68:F$76,基础状态预期!M142)*求节点(武将升级!$H$52:$H$54,武将升级!$J$52:$J$54,基础状态预期!W142))</f>
        <v>0</v>
      </c>
      <c r="AO129" s="29">
        <f>IF(基础状态预期!N142="",0,求节点($C$68:$C$76,G$68:G$76,基础状态预期!N142)*求节点(武将升级!$H$52:$H$54,武将升级!$J$52:$J$54,基础状态预期!X142))</f>
        <v>0</v>
      </c>
      <c r="AP129" s="29">
        <f>IF(基础状态预期!O142="",0,求节点($C$68:$C$76,H$68:H$76,基础状态预期!O142)*求节点(武将升级!$H$52:$H$54,武将升级!$J$52:$J$54,基础状态预期!Y142))</f>
        <v>1.1399999999999999</v>
      </c>
      <c r="AQ129" s="29">
        <f>MAX(SUMPRODUCT(AL129:AP129,基础状态预期!$F142:$J142)/SUM(基础状态预期!$F142:$J142),AQ128)</f>
        <v>1.1399999999999999</v>
      </c>
      <c r="AR129" s="29">
        <f>IF(基础状态预期!K142="",0,求节点($C$158:$C$166,D$158:D$166,基础状态预期!K142))</f>
        <v>0</v>
      </c>
      <c r="AS129" s="29">
        <f>IF(基础状态预期!L142="",0,求节点($C$158:$C$166,E$158:E$166,基础状态预期!L142))</f>
        <v>0</v>
      </c>
      <c r="AT129" s="29">
        <f>IF(基础状态预期!M142="",0,求节点($C$158:$C$166,F$158:F$166,基础状态预期!M142))</f>
        <v>0</v>
      </c>
      <c r="AU129" s="29">
        <f>IF(基础状态预期!N142="",0,求节点($C$158:$C$166,G$158:G$166,基础状态预期!N142))</f>
        <v>0</v>
      </c>
      <c r="AV129" s="29">
        <f>IF(基础状态预期!O142="",0,求节点($C$158:$C$166,H$158:H$166,基础状态预期!O142))</f>
        <v>0.8</v>
      </c>
      <c r="AW129" s="29">
        <f>MAX(SUMPRODUCT(AR129:AV129,基础状态预期!$F142:$J142)/SUM(基础状态预期!$F142:$J142),AW128)</f>
        <v>0.80000000000000016</v>
      </c>
      <c r="BJ129" s="29">
        <f t="shared" si="54"/>
        <v>150.12999034316616</v>
      </c>
      <c r="BK129" s="75">
        <f>武将数量星级阶位验证!AT132</f>
        <v>54500352.138014391</v>
      </c>
      <c r="BL129" s="75">
        <f>(AD129-AD128)*INDEX('[1]功能-付费相关'!$AS$6:$AS$165,BJ129,1)+BL128</f>
        <v>24025.759112891668</v>
      </c>
    </row>
    <row r="130" spans="2:69" x14ac:dyDescent="0.15">
      <c r="B130" s="170"/>
      <c r="C130" s="14">
        <v>6</v>
      </c>
      <c r="D130" s="29">
        <f>SUM(D$26:D32)</f>
        <v>0</v>
      </c>
      <c r="E130" s="29">
        <f>SUM(E$26:E32)</f>
        <v>0</v>
      </c>
      <c r="F130" s="29">
        <f>SUM(F$26:F32)</f>
        <v>0</v>
      </c>
      <c r="G130" s="29">
        <f>SUM(G$26:G32)</f>
        <v>6</v>
      </c>
      <c r="H130" s="29">
        <f>SUM(H$26:H32)</f>
        <v>0</v>
      </c>
      <c r="I130" s="29">
        <f>SUM(I$26:I32)</f>
        <v>0</v>
      </c>
      <c r="M130" s="72">
        <v>40</v>
      </c>
      <c r="N130" s="29">
        <f>基础状态预期!D143</f>
        <v>153.11600330857166</v>
      </c>
      <c r="O130" s="29">
        <f>IF(基础状态预期!F143="",0,求节点($C$104:$C$112,D$104:D$112,基础状态预期!K143))</f>
        <v>0</v>
      </c>
      <c r="P130" s="29">
        <f>IF(基础状态预期!G143="",0,求节点($C$104:$C$112,E$104:E$112,基础状态预期!L143))</f>
        <v>0</v>
      </c>
      <c r="Q130" s="29">
        <f>IF(基础状态预期!H143="",0,求节点($C$104:$C$112,F$104:F$112,基础状态预期!M143))</f>
        <v>0</v>
      </c>
      <c r="R130" s="29">
        <f>IF(基础状态预期!I143="",0,求节点($C$104:$C$112,G$104:G$112,基础状态预期!N143))</f>
        <v>0</v>
      </c>
      <c r="S130" s="29">
        <f>IF(基础状态预期!J143="",0,求节点($C$104:$C$112,H$104:H$112,基础状态预期!O143))</f>
        <v>18</v>
      </c>
      <c r="T130" s="29">
        <f>IF(基础状态预期!F143="",0,求节点($C$114:$C$122,D$114:D$122,基础状态预期!K143)*基础状态预期!F143+求节点($C$124:$C$132,D$124:D$132,基础状态预期!$O143)*基础状态预期!$J143)</f>
        <v>0</v>
      </c>
      <c r="U130" s="29">
        <f>IF(基础状态预期!G143="",0,求节点($C$114:$C$122,E$114:E$122,基础状态预期!L143)*基础状态预期!G143+求节点($C$124:$C$132,E$124:E$132,基础状态预期!$O143)*基础状态预期!$J143)</f>
        <v>0</v>
      </c>
      <c r="V130" s="29">
        <f>IF(基础状态预期!H143="",0,求节点($C$114:$C$122,F$114:F$122,基础状态预期!M143)*基础状态预期!H143+求节点($C$124:$C$132,F$124:F$132,基础状态预期!$O143)*基础状态预期!$J143)</f>
        <v>0</v>
      </c>
      <c r="W130" s="148">
        <f>IF(基础状态预期!I143="",0,求节点($C$114:$C$122,G$114:G$122,基础状态预期!N143)*基础状态预期!I143)+IF(基础状态预期!O143="",0,求节点($C$124:$C$132,G$124:G$132,基础状态预期!$O143)*基础状态预期!$J143)</f>
        <v>54</v>
      </c>
      <c r="X130" s="29">
        <f>IF(基础状态预期!J143="",0,求节点($C$114:$C$122,H$114:H$122,基础状态预期!O143)*基础状态预期!J143+求节点($C$124:$C$132,H$124:H$132,基础状态预期!$O143)*基础状态预期!$J143)</f>
        <v>0</v>
      </c>
      <c r="Y130" s="14">
        <f>IF(基础状态预期!K143="",0,求节点($C$92:$C$100,D$92:D$100,基础状态预期!K143))</f>
        <v>0</v>
      </c>
      <c r="Z130" s="14">
        <f>IF(基础状态预期!L143="",0,求节点($C$92:$C$100,E$92:E$100,基础状态预期!L143))</f>
        <v>0</v>
      </c>
      <c r="AA130" s="14">
        <f>IF(基础状态预期!M143="",0,求节点($C$92:$C$100,F$92:F$100,基础状态预期!M143))</f>
        <v>0</v>
      </c>
      <c r="AB130" s="14">
        <f>IF(基础状态预期!N143="",0,求节点($C$92:$C$100,G$92:G$100,基础状态预期!N143))</f>
        <v>0</v>
      </c>
      <c r="AC130" s="14">
        <f>IF(基础状态预期!O143="",0,求节点($C$92:$C$100,H$92:H$100,基础状态预期!O143))</f>
        <v>3825000</v>
      </c>
      <c r="AD130" s="29">
        <f>MAX(SUMPRODUCT(Y130:AC130,基础状态预期!F143:J143),AD129)</f>
        <v>22950000</v>
      </c>
      <c r="AF130" s="29" t="str">
        <f>IF(基础状态预期!K143="","",基础状态预期!K143*D$59+D$58)</f>
        <v/>
      </c>
      <c r="AG130" s="29" t="str">
        <f>IF(基础状态预期!L143="","",基础状态预期!L143*E$59+E$58)</f>
        <v/>
      </c>
      <c r="AH130" s="29" t="str">
        <f>IF(基础状态预期!M143="","",基础状态预期!M143*F$59+F$58)</f>
        <v/>
      </c>
      <c r="AI130" s="29" t="str">
        <f>IF(基础状态预期!N143="","",基础状态预期!N143*G$59+G$58)</f>
        <v/>
      </c>
      <c r="AJ130" s="29">
        <f>IF(基础状态预期!O143="","",基础状态预期!O143*H$59+H$58)</f>
        <v>148</v>
      </c>
      <c r="AK130" s="29">
        <f>MAX(SUMPRODUCT(AF130:AJ130,基础状态预期!$F143:$J143)/SUM(基础状态预期!$F143:$J143),AK129)</f>
        <v>148</v>
      </c>
      <c r="AL130" s="29">
        <f>IF(基础状态预期!K143="",0,求节点($C$68:$C$76,D$68:D$76,基础状态预期!K143))</f>
        <v>0</v>
      </c>
      <c r="AM130" s="29">
        <f>IF(基础状态预期!L143="",0,求节点($C$68:$C$76,E$68:E$76,基础状态预期!L143))</f>
        <v>0</v>
      </c>
      <c r="AN130" s="29">
        <f>IF(基础状态预期!M143="",0,求节点($C$68:$C$76,F$68:F$76,基础状态预期!M143)*求节点(武将升级!$H$52:$H$54,武将升级!$J$52:$J$54,基础状态预期!W143))</f>
        <v>0</v>
      </c>
      <c r="AO130" s="29">
        <f>IF(基础状态预期!N143="",0,求节点($C$68:$C$76,G$68:G$76,基础状态预期!N143)*求节点(武将升级!$H$52:$H$54,武将升级!$J$52:$J$54,基础状态预期!X143))</f>
        <v>0</v>
      </c>
      <c r="AP130" s="29">
        <f>IF(基础状态预期!O143="",0,求节点($C$68:$C$76,H$68:H$76,基础状态预期!O143)*求节点(武将升级!$H$52:$H$54,武将升级!$J$52:$J$54,基础状态预期!Y143))</f>
        <v>1.1399999999999999</v>
      </c>
      <c r="AQ130" s="29">
        <f>MAX(SUMPRODUCT(AL130:AP130,基础状态预期!$F143:$J143)/SUM(基础状态预期!$F143:$J143),AQ129)</f>
        <v>1.1399999999999999</v>
      </c>
      <c r="AR130" s="29">
        <f>IF(基础状态预期!K143="",0,求节点($C$158:$C$166,D$158:D$166,基础状态预期!K143))</f>
        <v>0</v>
      </c>
      <c r="AS130" s="29">
        <f>IF(基础状态预期!L143="",0,求节点($C$158:$C$166,E$158:E$166,基础状态预期!L143))</f>
        <v>0</v>
      </c>
      <c r="AT130" s="29">
        <f>IF(基础状态预期!M143="",0,求节点($C$158:$C$166,F$158:F$166,基础状态预期!M143))</f>
        <v>0</v>
      </c>
      <c r="AU130" s="29">
        <f>IF(基础状态预期!N143="",0,求节点($C$158:$C$166,G$158:G$166,基础状态预期!N143))</f>
        <v>0</v>
      </c>
      <c r="AV130" s="29">
        <f>IF(基础状态预期!O143="",0,求节点($C$158:$C$166,H$158:H$166,基础状态预期!O143))</f>
        <v>0.8</v>
      </c>
      <c r="AW130" s="29">
        <f>MAX(SUMPRODUCT(AR130:AV130,基础状态预期!$F143:$J143)/SUM(基础状态预期!$F143:$J143),AW129)</f>
        <v>0.80000000000000016</v>
      </c>
      <c r="BJ130" s="29">
        <f t="shared" si="54"/>
        <v>153.11600330857166</v>
      </c>
      <c r="BK130" s="75">
        <f>武将数量星级阶位验证!AT133</f>
        <v>68192735.460043281</v>
      </c>
      <c r="BL130" s="75">
        <f>(AD130-AD129)*INDEX('[1]功能-付费相关'!$AS$6:$AS$165,BJ130,1)+BL129</f>
        <v>24025.759112891668</v>
      </c>
    </row>
    <row r="131" spans="2:69" x14ac:dyDescent="0.15">
      <c r="B131" s="170"/>
      <c r="C131" s="14">
        <v>7</v>
      </c>
      <c r="D131" s="29">
        <f>SUM(D$26:D33)</f>
        <v>0</v>
      </c>
      <c r="E131" s="29">
        <f>SUM(E$26:E33)</f>
        <v>0</v>
      </c>
      <c r="F131" s="29">
        <f>SUM(F$26:F33)</f>
        <v>0</v>
      </c>
      <c r="G131" s="29">
        <f>SUM(G$26:G33)</f>
        <v>9</v>
      </c>
      <c r="H131" s="29">
        <f>SUM(H$26:H33)</f>
        <v>0</v>
      </c>
      <c r="I131" s="29">
        <f>SUM(I$26:I33)</f>
        <v>0</v>
      </c>
      <c r="M131" s="72">
        <v>41</v>
      </c>
      <c r="N131" s="29">
        <f>基础状态预期!D144</f>
        <v>154.20294442048996</v>
      </c>
      <c r="O131" s="29">
        <f>IF(基础状态预期!F144="",0,求节点($C$104:$C$112,D$104:D$112,基础状态预期!K144))</f>
        <v>0</v>
      </c>
      <c r="P131" s="29">
        <f>IF(基础状态预期!G144="",0,求节点($C$104:$C$112,E$104:E$112,基础状态预期!L144))</f>
        <v>0</v>
      </c>
      <c r="Q131" s="29">
        <f>IF(基础状态预期!H144="",0,求节点($C$104:$C$112,F$104:F$112,基础状态预期!M144))</f>
        <v>0</v>
      </c>
      <c r="R131" s="29">
        <f>IF(基础状态预期!I144="",0,求节点($C$104:$C$112,G$104:G$112,基础状态预期!N144))</f>
        <v>0</v>
      </c>
      <c r="S131" s="29">
        <f>IF(基础状态预期!J144="",0,求节点($C$104:$C$112,H$104:H$112,基础状态预期!O144))</f>
        <v>18</v>
      </c>
      <c r="T131" s="29">
        <f>IF(基础状态预期!F144="",0,求节点($C$114:$C$122,D$114:D$122,基础状态预期!K144)*基础状态预期!F144+求节点($C$124:$C$132,D$124:D$132,基础状态预期!$O144)*基础状态预期!$J144)</f>
        <v>0</v>
      </c>
      <c r="U131" s="29">
        <f>IF(基础状态预期!G144="",0,求节点($C$114:$C$122,E$114:E$122,基础状态预期!L144)*基础状态预期!G144+求节点($C$124:$C$132,E$124:E$132,基础状态预期!$O144)*基础状态预期!$J144)</f>
        <v>0</v>
      </c>
      <c r="V131" s="29">
        <f>IF(基础状态预期!H144="",0,求节点($C$114:$C$122,F$114:F$122,基础状态预期!M144)*基础状态预期!H144+求节点($C$124:$C$132,F$124:F$132,基础状态预期!$O144)*基础状态预期!$J144)</f>
        <v>0</v>
      </c>
      <c r="W131" s="148">
        <f>IF(基础状态预期!I144="",0,求节点($C$114:$C$122,G$114:G$122,基础状态预期!N144)*基础状态预期!I144)+IF(基础状态预期!O144="",0,求节点($C$124:$C$132,G$124:G$132,基础状态预期!$O144)*基础状态预期!$J144)</f>
        <v>54</v>
      </c>
      <c r="X131" s="29">
        <f>IF(基础状态预期!J144="",0,求节点($C$114:$C$122,H$114:H$122,基础状态预期!O144)*基础状态预期!J144+求节点($C$124:$C$132,H$124:H$132,基础状态预期!$O144)*基础状态预期!$J144)</f>
        <v>0</v>
      </c>
      <c r="Y131" s="14">
        <f>IF(基础状态预期!K144="",0,求节点($C$92:$C$100,D$92:D$100,基础状态预期!K144))</f>
        <v>0</v>
      </c>
      <c r="Z131" s="14">
        <f>IF(基础状态预期!L144="",0,求节点($C$92:$C$100,E$92:E$100,基础状态预期!L144))</f>
        <v>0</v>
      </c>
      <c r="AA131" s="14">
        <f>IF(基础状态预期!M144="",0,求节点($C$92:$C$100,F$92:F$100,基础状态预期!M144))</f>
        <v>0</v>
      </c>
      <c r="AB131" s="14">
        <f>IF(基础状态预期!N144="",0,求节点($C$92:$C$100,G$92:G$100,基础状态预期!N144))</f>
        <v>0</v>
      </c>
      <c r="AC131" s="14">
        <f>IF(基础状态预期!O144="",0,求节点($C$92:$C$100,H$92:H$100,基础状态预期!O144))</f>
        <v>3825000</v>
      </c>
      <c r="AD131" s="29">
        <f>MAX(SUMPRODUCT(Y131:AC131,基础状态预期!F144:J144),AD130)</f>
        <v>22950000</v>
      </c>
      <c r="AF131" s="29" t="str">
        <f>IF(基础状态预期!K144="","",基础状态预期!K144*D$59+D$58)</f>
        <v/>
      </c>
      <c r="AG131" s="29" t="str">
        <f>IF(基础状态预期!L144="","",基础状态预期!L144*E$59+E$58)</f>
        <v/>
      </c>
      <c r="AH131" s="29" t="str">
        <f>IF(基础状态预期!M144="","",基础状态预期!M144*F$59+F$58)</f>
        <v/>
      </c>
      <c r="AI131" s="29" t="str">
        <f>IF(基础状态预期!N144="","",基础状态预期!N144*G$59+G$58)</f>
        <v/>
      </c>
      <c r="AJ131" s="29">
        <f>IF(基础状态预期!O144="","",基础状态预期!O144*H$59+H$58)</f>
        <v>148</v>
      </c>
      <c r="AK131" s="29">
        <f>MAX(SUMPRODUCT(AF131:AJ131,基础状态预期!$F144:$J144)/SUM(基础状态预期!$F144:$J144),AK130)</f>
        <v>148</v>
      </c>
      <c r="AL131" s="29">
        <f>IF(基础状态预期!K144="",0,求节点($C$68:$C$76,D$68:D$76,基础状态预期!K144))</f>
        <v>0</v>
      </c>
      <c r="AM131" s="29">
        <f>IF(基础状态预期!L144="",0,求节点($C$68:$C$76,E$68:E$76,基础状态预期!L144))</f>
        <v>0</v>
      </c>
      <c r="AN131" s="29">
        <f>IF(基础状态预期!M144="",0,求节点($C$68:$C$76,F$68:F$76,基础状态预期!M144)*求节点(武将升级!$H$52:$H$54,武将升级!$J$52:$J$54,基础状态预期!W144))</f>
        <v>0</v>
      </c>
      <c r="AO131" s="29">
        <f>IF(基础状态预期!N144="",0,求节点($C$68:$C$76,G$68:G$76,基础状态预期!N144)*求节点(武将升级!$H$52:$H$54,武将升级!$J$52:$J$54,基础状态预期!X144))</f>
        <v>0</v>
      </c>
      <c r="AP131" s="29">
        <f>IF(基础状态预期!O144="",0,求节点($C$68:$C$76,H$68:H$76,基础状态预期!O144)*求节点(武将升级!$H$52:$H$54,武将升级!$J$52:$J$54,基础状态预期!Y144))</f>
        <v>1.1399999999999999</v>
      </c>
      <c r="AQ131" s="29">
        <f>MAX(SUMPRODUCT(AL131:AP131,基础状态预期!$F144:$J144)/SUM(基础状态预期!$F144:$J144),AQ130)</f>
        <v>1.1399999999999999</v>
      </c>
      <c r="AR131" s="29">
        <f>IF(基础状态预期!K144="",0,求节点($C$158:$C$166,D$158:D$166,基础状态预期!K144))</f>
        <v>0</v>
      </c>
      <c r="AS131" s="29">
        <f>IF(基础状态预期!L144="",0,求节点($C$158:$C$166,E$158:E$166,基础状态预期!L144))</f>
        <v>0</v>
      </c>
      <c r="AT131" s="29">
        <f>IF(基础状态预期!M144="",0,求节点($C$158:$C$166,F$158:F$166,基础状态预期!M144))</f>
        <v>0</v>
      </c>
      <c r="AU131" s="29">
        <f>IF(基础状态预期!N144="",0,求节点($C$158:$C$166,G$158:G$166,基础状态预期!N144))</f>
        <v>0</v>
      </c>
      <c r="AV131" s="29">
        <f>IF(基础状态预期!O144="",0,求节点($C$158:$C$166,H$158:H$166,基础状态预期!O144))</f>
        <v>0.8</v>
      </c>
      <c r="AW131" s="29">
        <f>MAX(SUMPRODUCT(AR131:AV131,基础状态预期!$F144:$J144)/SUM(基础状态预期!$F144:$J144),AW130)</f>
        <v>0.80000000000000016</v>
      </c>
      <c r="BJ131" s="29">
        <f t="shared" si="54"/>
        <v>154.20294442048996</v>
      </c>
      <c r="BK131" s="75">
        <f>武将数量星级阶位验证!AT134</f>
        <v>85351512.951306954</v>
      </c>
      <c r="BL131" s="75">
        <f>(AD131-AD130)*INDEX('[1]功能-付费相关'!$AS$6:$AS$165,BJ131,1)+BL130</f>
        <v>24025.759112891668</v>
      </c>
    </row>
    <row r="132" spans="2:69" x14ac:dyDescent="0.15">
      <c r="B132" s="171"/>
      <c r="C132" s="14">
        <v>8</v>
      </c>
      <c r="D132" s="29">
        <f>SUM(D$26:D34)</f>
        <v>0</v>
      </c>
      <c r="E132" s="29">
        <f>SUM(E$26:E34)</f>
        <v>0</v>
      </c>
      <c r="F132" s="29">
        <f>SUM(F$26:F34)</f>
        <v>0</v>
      </c>
      <c r="G132" s="29">
        <f>SUM(G$26:G34)</f>
        <v>9</v>
      </c>
      <c r="H132" s="29">
        <f>SUM(H$26:H34)</f>
        <v>0</v>
      </c>
      <c r="I132" s="29">
        <f>SUM(I$26:I34)</f>
        <v>0</v>
      </c>
      <c r="M132" s="72">
        <v>42</v>
      </c>
      <c r="N132" s="29">
        <f>基础状态预期!D145</f>
        <v>155.2512378743358</v>
      </c>
      <c r="O132" s="29">
        <f>IF(基础状态预期!F145="",0,求节点($C$104:$C$112,D$104:D$112,基础状态预期!K145))</f>
        <v>0</v>
      </c>
      <c r="P132" s="29">
        <f>IF(基础状态预期!G145="",0,求节点($C$104:$C$112,E$104:E$112,基础状态预期!L145))</f>
        <v>0</v>
      </c>
      <c r="Q132" s="29">
        <f>IF(基础状态预期!H145="",0,求节点($C$104:$C$112,F$104:F$112,基础状态预期!M145))</f>
        <v>0</v>
      </c>
      <c r="R132" s="29">
        <f>IF(基础状态预期!I145="",0,求节点($C$104:$C$112,G$104:G$112,基础状态预期!N145))</f>
        <v>0</v>
      </c>
      <c r="S132" s="29">
        <f>IF(基础状态预期!J145="",0,求节点($C$104:$C$112,H$104:H$112,基础状态预期!O145))</f>
        <v>18</v>
      </c>
      <c r="T132" s="29">
        <f>IF(基础状态预期!F145="",0,求节点($C$114:$C$122,D$114:D$122,基础状态预期!K145)*基础状态预期!F145+求节点($C$124:$C$132,D$124:D$132,基础状态预期!$O145)*基础状态预期!$J145)</f>
        <v>0</v>
      </c>
      <c r="U132" s="29">
        <f>IF(基础状态预期!G145="",0,求节点($C$114:$C$122,E$114:E$122,基础状态预期!L145)*基础状态预期!G145+求节点($C$124:$C$132,E$124:E$132,基础状态预期!$O145)*基础状态预期!$J145)</f>
        <v>0</v>
      </c>
      <c r="V132" s="29">
        <f>IF(基础状态预期!H145="",0,求节点($C$114:$C$122,F$114:F$122,基础状态预期!M145)*基础状态预期!H145+求节点($C$124:$C$132,F$124:F$132,基础状态预期!$O145)*基础状态预期!$J145)</f>
        <v>0</v>
      </c>
      <c r="W132" s="148">
        <f>IF(基础状态预期!I145="",0,求节点($C$114:$C$122,G$114:G$122,基础状态预期!N145)*基础状态预期!I145)+IF(基础状态预期!O145="",0,求节点($C$124:$C$132,G$124:G$132,基础状态预期!$O145)*基础状态预期!$J145)</f>
        <v>54</v>
      </c>
      <c r="X132" s="29">
        <f>IF(基础状态预期!J145="",0,求节点($C$114:$C$122,H$114:H$122,基础状态预期!O145)*基础状态预期!J145+求节点($C$124:$C$132,H$124:H$132,基础状态预期!$O145)*基础状态预期!$J145)</f>
        <v>0</v>
      </c>
      <c r="Y132" s="14">
        <f>IF(基础状态预期!K145="",0,求节点($C$92:$C$100,D$92:D$100,基础状态预期!K145))</f>
        <v>0</v>
      </c>
      <c r="Z132" s="14">
        <f>IF(基础状态预期!L145="",0,求节点($C$92:$C$100,E$92:E$100,基础状态预期!L145))</f>
        <v>0</v>
      </c>
      <c r="AA132" s="14">
        <f>IF(基础状态预期!M145="",0,求节点($C$92:$C$100,F$92:F$100,基础状态预期!M145))</f>
        <v>0</v>
      </c>
      <c r="AB132" s="14">
        <f>IF(基础状态预期!N145="",0,求节点($C$92:$C$100,G$92:G$100,基础状态预期!N145))</f>
        <v>0</v>
      </c>
      <c r="AC132" s="14">
        <f>IF(基础状态预期!O145="",0,求节点($C$92:$C$100,H$92:H$100,基础状态预期!O145))</f>
        <v>3825000</v>
      </c>
      <c r="AD132" s="29">
        <f>MAX(SUMPRODUCT(Y132:AC132,基础状态预期!F145:J145),AD109)</f>
        <v>22950000</v>
      </c>
      <c r="AF132" s="29" t="str">
        <f>IF(基础状态预期!K145="","",基础状态预期!K145*D$59+D$58)</f>
        <v/>
      </c>
      <c r="AG132" s="29" t="str">
        <f>IF(基础状态预期!L145="","",基础状态预期!L145*E$59+E$58)</f>
        <v/>
      </c>
      <c r="AH132" s="29" t="str">
        <f>IF(基础状态预期!M145="","",基础状态预期!M145*F$59+F$58)</f>
        <v/>
      </c>
      <c r="AI132" s="29" t="str">
        <f>IF(基础状态预期!N145="","",基础状态预期!N145*G$59+G$58)</f>
        <v/>
      </c>
      <c r="AJ132" s="29">
        <f>IF(基础状态预期!O145="","",基础状态预期!O145*H$59+H$58)</f>
        <v>148</v>
      </c>
      <c r="AK132" s="29">
        <f>MAX(SUMPRODUCT(AF132:AJ132,基础状态预期!$F145:$J145)/SUM(基础状态预期!$F145:$J145),AK131)</f>
        <v>148</v>
      </c>
      <c r="AL132" s="29">
        <f>IF(基础状态预期!K145="",0,求节点($C$68:$C$76,D$68:D$76,基础状态预期!K145))</f>
        <v>0</v>
      </c>
      <c r="AM132" s="29">
        <f>IF(基础状态预期!L145="",0,求节点($C$68:$C$76,E$68:E$76,基础状态预期!L145))</f>
        <v>0</v>
      </c>
      <c r="AN132" s="29">
        <f>IF(基础状态预期!M145="",0,求节点($C$68:$C$76,F$68:F$76,基础状态预期!M145)*求节点(武将升级!$H$52:$H$54,武将升级!$J$52:$J$54,基础状态预期!W145))</f>
        <v>0</v>
      </c>
      <c r="AO132" s="29">
        <f>IF(基础状态预期!N145="",0,求节点($C$68:$C$76,G$68:G$76,基础状态预期!N145)*求节点(武将升级!$H$52:$H$54,武将升级!$J$52:$J$54,基础状态预期!X145))</f>
        <v>0</v>
      </c>
      <c r="AP132" s="29">
        <f>IF(基础状态预期!O145="",0,求节点($C$68:$C$76,H$68:H$76,基础状态预期!O145)*求节点(武将升级!$H$52:$H$54,武将升级!$J$52:$J$54,基础状态预期!Y145))</f>
        <v>1.1399999999999999</v>
      </c>
      <c r="AQ132" s="29">
        <f>MAX(SUMPRODUCT(AL132:AP132,基础状态预期!$F145:$J145)/SUM(基础状态预期!$F145:$J145),AQ131)</f>
        <v>1.1399999999999999</v>
      </c>
      <c r="AR132" s="29">
        <f>IF(基础状态预期!K145="",0,求节点($C$158:$C$166,D$158:D$166,基础状态预期!K145))</f>
        <v>0</v>
      </c>
      <c r="AS132" s="29">
        <f>IF(基础状态预期!L145="",0,求节点($C$158:$C$166,E$158:E$166,基础状态预期!L145))</f>
        <v>0</v>
      </c>
      <c r="AT132" s="29">
        <f>IF(基础状态预期!M145="",0,求节点($C$158:$C$166,F$158:F$166,基础状态预期!M145))</f>
        <v>0</v>
      </c>
      <c r="AU132" s="29">
        <f>IF(基础状态预期!N145="",0,求节点($C$158:$C$166,G$158:G$166,基础状态预期!N145))</f>
        <v>0</v>
      </c>
      <c r="AV132" s="29">
        <f>IF(基础状态预期!O145="",0,求节点($C$158:$C$166,H$158:H$166,基础状态预期!O145))</f>
        <v>0.8</v>
      </c>
      <c r="AW132" s="29">
        <f>MAX(SUMPRODUCT(AR132:AV132,基础状态预期!$F145:$J145)/SUM(基础状态预期!$F145:$J145),AW131)</f>
        <v>0.80000000000000016</v>
      </c>
      <c r="BJ132" s="29">
        <f t="shared" si="54"/>
        <v>155.2512378743358</v>
      </c>
      <c r="BK132" s="75">
        <f>武将数量星级阶位验证!AT135</f>
        <v>106579834.91217634</v>
      </c>
      <c r="BL132" s="75">
        <f>(AD132-AD131)*INDEX('[1]功能-付费相关'!$AS$6:$AS$165,BJ132,1)+BL131</f>
        <v>24025.759112891668</v>
      </c>
    </row>
    <row r="133" spans="2:69" x14ac:dyDescent="0.15">
      <c r="B133" s="169" t="s">
        <v>866</v>
      </c>
      <c r="C133" s="14" t="s">
        <v>175</v>
      </c>
      <c r="D133" s="29" t="s">
        <v>3</v>
      </c>
      <c r="E133" s="29" t="s">
        <v>1</v>
      </c>
      <c r="F133" s="29" t="s">
        <v>2</v>
      </c>
      <c r="G133" s="29" t="s">
        <v>0</v>
      </c>
      <c r="H133" s="14" t="s">
        <v>545</v>
      </c>
      <c r="I133" s="14" t="s">
        <v>30</v>
      </c>
      <c r="M133" s="72">
        <v>43</v>
      </c>
    </row>
    <row r="134" spans="2:69" x14ac:dyDescent="0.15">
      <c r="B134" s="170"/>
      <c r="C134" s="14">
        <v>0</v>
      </c>
      <c r="D134" s="29">
        <f>SUM(D$36:D36)</f>
        <v>0</v>
      </c>
      <c r="E134" s="29">
        <f>SUM(E$36:E36)</f>
        <v>0</v>
      </c>
      <c r="F134" s="29">
        <f>SUM(F$36:F36)</f>
        <v>0</v>
      </c>
      <c r="G134" s="29">
        <f>SUM(G$36:G36)</f>
        <v>0</v>
      </c>
      <c r="H134" s="29">
        <f>SUM(H$36:H36)</f>
        <v>0</v>
      </c>
      <c r="I134" s="29">
        <f>SUM(I$36:I36)</f>
        <v>0</v>
      </c>
      <c r="M134" s="72">
        <v>44</v>
      </c>
    </row>
    <row r="135" spans="2:69" x14ac:dyDescent="0.15">
      <c r="B135" s="170"/>
      <c r="C135" s="14">
        <v>1</v>
      </c>
      <c r="D135" s="29">
        <f>SUM(D$36:D37)</f>
        <v>0</v>
      </c>
      <c r="E135" s="29">
        <f>SUM(E$36:E37)</f>
        <v>0</v>
      </c>
      <c r="F135" s="29">
        <f>SUM(F$36:F37)</f>
        <v>0</v>
      </c>
      <c r="G135" s="29">
        <f>SUM(G$36:G37)</f>
        <v>0</v>
      </c>
      <c r="H135" s="29">
        <f>SUM(H$36:H37)</f>
        <v>0</v>
      </c>
      <c r="I135" s="29">
        <f>SUM(I$36:I37)</f>
        <v>0</v>
      </c>
      <c r="M135" s="72">
        <v>45</v>
      </c>
    </row>
    <row r="136" spans="2:69" x14ac:dyDescent="0.15">
      <c r="B136" s="170"/>
      <c r="C136" s="14">
        <v>2</v>
      </c>
      <c r="D136" s="29">
        <f>SUM(D$36:D38)</f>
        <v>0</v>
      </c>
      <c r="E136" s="29">
        <f>SUM(E$36:E38)</f>
        <v>0</v>
      </c>
      <c r="F136" s="29">
        <f>SUM(F$36:F38)</f>
        <v>0</v>
      </c>
      <c r="G136" s="29">
        <f>SUM(G$36:G38)</f>
        <v>0</v>
      </c>
      <c r="H136" s="29">
        <f>SUM(H$36:H38)</f>
        <v>0</v>
      </c>
      <c r="I136" s="29">
        <f>SUM(I$36:I38)</f>
        <v>0</v>
      </c>
      <c r="M136" s="72">
        <v>1</v>
      </c>
    </row>
    <row r="137" spans="2:69" x14ac:dyDescent="0.15">
      <c r="B137" s="170"/>
      <c r="C137" s="14">
        <v>3</v>
      </c>
      <c r="D137" s="29">
        <f>SUM(D$36:D39)</f>
        <v>0</v>
      </c>
      <c r="E137" s="29">
        <f>SUM(E$36:E39)</f>
        <v>0</v>
      </c>
      <c r="F137" s="29">
        <f>SUM(F$36:F39)</f>
        <v>0</v>
      </c>
      <c r="G137" s="29">
        <f>SUM(G$36:G39)</f>
        <v>5</v>
      </c>
      <c r="H137" s="29">
        <f>SUM(H$36:H39)</f>
        <v>0</v>
      </c>
      <c r="I137" s="29">
        <f>SUM(I$36:I39)</f>
        <v>0</v>
      </c>
      <c r="M137" s="72">
        <v>2</v>
      </c>
      <c r="N137" s="14" t="s">
        <v>185</v>
      </c>
      <c r="O137" s="161" t="s">
        <v>201</v>
      </c>
      <c r="P137" s="162"/>
      <c r="Q137" s="162"/>
      <c r="R137" s="162"/>
      <c r="S137" s="163"/>
      <c r="T137" s="161" t="s">
        <v>544</v>
      </c>
      <c r="U137" s="162"/>
      <c r="V137" s="162"/>
      <c r="W137" s="162"/>
      <c r="X137" s="162"/>
      <c r="Y137" s="160" t="s">
        <v>411</v>
      </c>
      <c r="Z137" s="160"/>
      <c r="AA137" s="160"/>
      <c r="AB137" s="160"/>
      <c r="AC137" s="160"/>
      <c r="AD137" s="160"/>
      <c r="AF137" s="161" t="s">
        <v>152</v>
      </c>
      <c r="AG137" s="162"/>
      <c r="AH137" s="162"/>
      <c r="AI137" s="162"/>
      <c r="AJ137" s="162"/>
      <c r="AK137" s="163"/>
      <c r="AL137" s="161" t="s">
        <v>197</v>
      </c>
      <c r="AM137" s="162"/>
      <c r="AN137" s="162"/>
      <c r="AO137" s="162"/>
      <c r="AP137" s="162"/>
      <c r="AQ137" s="163"/>
      <c r="AR137" s="161" t="s">
        <v>732</v>
      </c>
      <c r="AS137" s="162"/>
      <c r="AT137" s="162"/>
      <c r="AU137" s="162"/>
      <c r="AV137" s="162"/>
      <c r="AW137" s="163"/>
      <c r="BA137" s="29" t="s">
        <v>99</v>
      </c>
      <c r="BB137" s="14" t="s">
        <v>292</v>
      </c>
      <c r="BC137" s="14"/>
      <c r="BD137" s="160" t="s">
        <v>342</v>
      </c>
      <c r="BE137" s="160"/>
      <c r="BF137" s="160"/>
      <c r="BJ137" s="14" t="s">
        <v>78</v>
      </c>
      <c r="BK137" s="164" t="s">
        <v>306</v>
      </c>
      <c r="BL137" s="164"/>
      <c r="BN137" s="29" t="s">
        <v>78</v>
      </c>
      <c r="BO137" s="164" t="s">
        <v>308</v>
      </c>
      <c r="BP137" s="164"/>
    </row>
    <row r="138" spans="2:69" x14ac:dyDescent="0.15">
      <c r="B138" s="170"/>
      <c r="C138" s="14">
        <v>4</v>
      </c>
      <c r="D138" s="29">
        <f>SUM(D$36:D40)</f>
        <v>0</v>
      </c>
      <c r="E138" s="29">
        <f>SUM(E$36:E40)</f>
        <v>0</v>
      </c>
      <c r="F138" s="29">
        <f>SUM(F$36:F40)</f>
        <v>0</v>
      </c>
      <c r="G138" s="29">
        <f>SUM(G$36:G40)</f>
        <v>5</v>
      </c>
      <c r="H138" s="29">
        <f>SUM(H$36:H40)</f>
        <v>0</v>
      </c>
      <c r="I138" s="29">
        <f>SUM(I$36:I40)</f>
        <v>0</v>
      </c>
      <c r="M138" s="72">
        <v>3</v>
      </c>
      <c r="N138" s="73" t="s">
        <v>478</v>
      </c>
      <c r="O138" s="19" t="s">
        <v>3</v>
      </c>
      <c r="P138" s="19" t="s">
        <v>1</v>
      </c>
      <c r="Q138" s="19" t="s">
        <v>2</v>
      </c>
      <c r="R138" s="19" t="s">
        <v>0</v>
      </c>
      <c r="S138" s="19" t="s">
        <v>545</v>
      </c>
      <c r="T138" s="19" t="s">
        <v>3</v>
      </c>
      <c r="U138" s="19" t="s">
        <v>1</v>
      </c>
      <c r="V138" s="19" t="s">
        <v>2</v>
      </c>
      <c r="W138" s="19" t="s">
        <v>0</v>
      </c>
      <c r="X138" s="19" t="s">
        <v>545</v>
      </c>
      <c r="Y138" s="29" t="s">
        <v>3</v>
      </c>
      <c r="Z138" s="29" t="s">
        <v>1</v>
      </c>
      <c r="AA138" s="29" t="s">
        <v>2</v>
      </c>
      <c r="AB138" s="29" t="s">
        <v>0</v>
      </c>
      <c r="AC138" s="29" t="s">
        <v>545</v>
      </c>
      <c r="AD138" s="29" t="s">
        <v>203</v>
      </c>
      <c r="AF138" s="29" t="s">
        <v>3</v>
      </c>
      <c r="AG138" s="29" t="s">
        <v>1</v>
      </c>
      <c r="AH138" s="29" t="s">
        <v>2</v>
      </c>
      <c r="AI138" s="29" t="s">
        <v>0</v>
      </c>
      <c r="AJ138" s="29" t="s">
        <v>545</v>
      </c>
      <c r="AK138" s="22" t="s">
        <v>206</v>
      </c>
      <c r="AL138" s="29" t="s">
        <v>3</v>
      </c>
      <c r="AM138" s="29" t="s">
        <v>1</v>
      </c>
      <c r="AN138" s="29" t="s">
        <v>2</v>
      </c>
      <c r="AO138" s="29" t="s">
        <v>0</v>
      </c>
      <c r="AP138" s="29" t="s">
        <v>545</v>
      </c>
      <c r="AQ138" s="29" t="s">
        <v>298</v>
      </c>
      <c r="AR138" s="29" t="s">
        <v>3</v>
      </c>
      <c r="AS138" s="29" t="s">
        <v>1</v>
      </c>
      <c r="AT138" s="29" t="s">
        <v>2</v>
      </c>
      <c r="AU138" s="29" t="s">
        <v>0</v>
      </c>
      <c r="AV138" s="29" t="s">
        <v>545</v>
      </c>
      <c r="AW138" s="29" t="s">
        <v>228</v>
      </c>
      <c r="BA138" s="73" t="s">
        <v>478</v>
      </c>
      <c r="BB138" s="29" t="s">
        <v>287</v>
      </c>
      <c r="BC138" s="29" t="s">
        <v>302</v>
      </c>
      <c r="BD138" s="29" t="s">
        <v>287</v>
      </c>
      <c r="BE138" s="29" t="s">
        <v>303</v>
      </c>
      <c r="BF138" s="75" t="s">
        <v>343</v>
      </c>
      <c r="BJ138" s="73" t="s">
        <v>478</v>
      </c>
      <c r="BK138" s="29" t="s">
        <v>304</v>
      </c>
      <c r="BL138" s="29" t="s">
        <v>335</v>
      </c>
      <c r="BN138" s="73" t="s">
        <v>478</v>
      </c>
      <c r="BO138" s="29" t="s">
        <v>304</v>
      </c>
      <c r="BP138" s="29" t="s">
        <v>305</v>
      </c>
      <c r="BQ138" s="29" t="s">
        <v>274</v>
      </c>
    </row>
    <row r="139" spans="2:69" x14ac:dyDescent="0.15">
      <c r="B139" s="170"/>
      <c r="C139" s="14">
        <v>5</v>
      </c>
      <c r="D139" s="29">
        <f>SUM(D$36:D41)</f>
        <v>0</v>
      </c>
      <c r="E139" s="29">
        <f>SUM(E$36:E41)</f>
        <v>0</v>
      </c>
      <c r="F139" s="29">
        <f>SUM(F$36:F41)</f>
        <v>0</v>
      </c>
      <c r="G139" s="29">
        <f>SUM(G$36:G41)</f>
        <v>15</v>
      </c>
      <c r="H139" s="29">
        <f>SUM(H$36:H41)</f>
        <v>0</v>
      </c>
      <c r="I139" s="29">
        <f>SUM(I$36:I41)</f>
        <v>0</v>
      </c>
      <c r="M139" s="72">
        <v>4</v>
      </c>
      <c r="N139" s="29">
        <f>基础状态预期!D152</f>
        <v>10.00263241450434</v>
      </c>
      <c r="O139" s="29">
        <f>IF(基础状态预期!F152="",0,求节点($C$104:$C$112,D$104:D$112,基础状态预期!K152))</f>
        <v>0</v>
      </c>
      <c r="P139" s="29">
        <f>IF(基础状态预期!G152="",0,求节点($C$104:$C$112,E$104:E$112,基础状态预期!L152))</f>
        <v>0</v>
      </c>
      <c r="Q139" s="29">
        <f>IF(基础状态预期!H152="",0,求节点($C$104:$C$112,F$104:F$112,基础状态预期!M152))</f>
        <v>0</v>
      </c>
      <c r="R139" s="29">
        <f>IF(基础状态预期!I152="",0,求节点($C$104:$C$112,G$104:G$112,基础状态预期!N152))</f>
        <v>1</v>
      </c>
      <c r="S139" s="29">
        <f>IF(基础状态预期!J152="",0,求节点($C$104:$C$112,H$104:H$112,基础状态预期!O152))</f>
        <v>0</v>
      </c>
      <c r="T139" s="29">
        <f>IF(基础状态预期!F152="",0,求节点($C$114:$C$122,D$114:D$122,基础状态预期!K152)*基础状态预期!F152+求节点($C$124:$C$132,D$124:D$132,基础状态预期!$O152)*基础状态预期!$J152)</f>
        <v>0</v>
      </c>
      <c r="U139" s="29">
        <f>IF(基础状态预期!G152="",0,求节点($C$114:$C$122,E$114:E$122,基础状态预期!L152)*基础状态预期!G152+求节点($C$124:$C$132,E$124:E$132,基础状态预期!$O152)*基础状态预期!$J152)</f>
        <v>0</v>
      </c>
      <c r="V139" s="29">
        <f>IF(基础状态预期!H152="",0,求节点($C$114:$C$122,F$114:F$122,基础状态预期!M152)*基础状态预期!H152+求节点($C$124:$C$132,F$124:F$132,基础状态预期!$O152)*基础状态预期!$J152)</f>
        <v>0</v>
      </c>
      <c r="W139" s="148">
        <f>IF(基础状态预期!I152="",0,求节点($C$114:$C$122,G$114:G$122,基础状态预期!N152)*基础状态预期!I152)+IF(基础状态预期!O152="",0,求节点($C$124:$C$132,G$124:G$132,基础状态预期!$O152)*基础状态预期!$J152)</f>
        <v>0</v>
      </c>
      <c r="X139" s="29">
        <f>IF(基础状态预期!J152="",0,求节点($C$114:$C$122,H$114:H$122,基础状态预期!O152)*基础状态预期!J152+求节点($C$124:$C$132,H$124:H$132,基础状态预期!$O152)*基础状态预期!$J152)</f>
        <v>0</v>
      </c>
      <c r="Y139" s="14">
        <f>IF(基础状态预期!K152="",0,求节点($C$92:$C$100,D$92:D$100,基础状态预期!K152))</f>
        <v>0</v>
      </c>
      <c r="Z139" s="14">
        <f>IF(基础状态预期!L152="",0,求节点($C$92:$C$100,E$92:E$100,基础状态预期!L152))</f>
        <v>0</v>
      </c>
      <c r="AA139" s="14">
        <f>IF(基础状态预期!M152="",0,求节点($C$92:$C$100,F$92:F$100,基础状态预期!M152))</f>
        <v>0</v>
      </c>
      <c r="AB139" s="14">
        <f>IF(基础状态预期!N152="",0,求节点($C$92:$C$100,G$92:G$100,基础状态预期!N152))</f>
        <v>0</v>
      </c>
      <c r="AC139" s="14">
        <f>IF(基础状态预期!O152="",0,求节点($C$92:$C$100,H$92:H$100,基础状态预期!O152))</f>
        <v>0</v>
      </c>
      <c r="AD139" s="29">
        <f>MAX(SUMPRODUCT(Y139:AC139,基础状态预期!F152:J152),AD138)</f>
        <v>0</v>
      </c>
      <c r="AF139" s="29" t="str">
        <f>IF(基础状态预期!K152="","",基础状态预期!K152*D$59+D$58)</f>
        <v/>
      </c>
      <c r="AG139" s="29" t="str">
        <f>IF(基础状态预期!L152="","",基础状态预期!L152*E$59+E$58)</f>
        <v/>
      </c>
      <c r="AH139" s="29" t="str">
        <f>IF(基础状态预期!M152="","",基础状态预期!M152*F$59+F$58)</f>
        <v/>
      </c>
      <c r="AI139" s="29">
        <f>IF(基础状态预期!N152="","",基础状态预期!N152*G$59+G$58)</f>
        <v>85</v>
      </c>
      <c r="AJ139" s="29" t="str">
        <f>IF(基础状态预期!O152="","",基础状态预期!O152*H$59+H$58)</f>
        <v/>
      </c>
      <c r="AK139" s="29">
        <f>MAX(SUMPRODUCT(AF139:AJ139,基础状态预期!$F152:$J152)/SUM(基础状态预期!$F152:$J152),AK138)</f>
        <v>85</v>
      </c>
      <c r="AL139" s="29">
        <f>IF(基础状态预期!K152="",0,求节点($C$68:$C$76,D$68:D$76,基础状态预期!K152))</f>
        <v>0</v>
      </c>
      <c r="AM139" s="29">
        <f>IF(基础状态预期!L152="",0,求节点($C$68:$C$76,E$68:E$76,基础状态预期!L152))</f>
        <v>0</v>
      </c>
      <c r="AN139" s="29">
        <f>IF(基础状态预期!M152="",0,求节点($C$68:$C$76,F$68:F$76,基础状态预期!M152)*求节点(武将升级!$H$52:$H$54,武将升级!$J$52:$J$54,基础状态预期!W152))</f>
        <v>0</v>
      </c>
      <c r="AO139" s="29">
        <f>IF(基础状态预期!N152="",0,求节点($C$68:$C$76,G$68:G$76,基础状态预期!N152)*求节点(武将升级!$H$52:$H$54,武将升级!$J$52:$J$54,基础状态预期!X152))</f>
        <v>0.18000473834610781</v>
      </c>
      <c r="AP139" s="29">
        <f>IF(基础状态预期!O152="",0,求节点($C$68:$C$76,H$68:H$76,基础状态预期!O152)*求节点(武将升级!$H$52:$H$54,武将升级!$J$52:$J$54,基础状态预期!Y152))</f>
        <v>0</v>
      </c>
      <c r="AQ139" s="29">
        <f>MAX(SUMPRODUCT(AL139:AP139,基础状态预期!$F152:$J152)/SUM(基础状态预期!$F152:$J152),AQ138)</f>
        <v>0.18000473834610778</v>
      </c>
      <c r="AR139" s="29">
        <f>IF(基础状态预期!K152="",0,求节点($C$158:$C$166,D$158:D$166,基础状态预期!K152))</f>
        <v>0</v>
      </c>
      <c r="AS139" s="29">
        <f>IF(基础状态预期!L152="",0,求节点($C$158:$C$166,E$158:E$166,基础状态预期!L152))</f>
        <v>0</v>
      </c>
      <c r="AT139" s="29">
        <f>IF(基础状态预期!M152="",0,求节点($C$158:$C$166,F$158:F$166,基础状态预期!M152))</f>
        <v>0</v>
      </c>
      <c r="AU139" s="29">
        <f>IF(基础状态预期!N152="",0,求节点($C$158:$C$166,G$158:G$166,基础状态预期!N152))</f>
        <v>0</v>
      </c>
      <c r="AV139" s="29">
        <f>IF(基础状态预期!O152="",0,求节点($C$158:$C$166,H$158:H$166,基础状态预期!O152))</f>
        <v>0</v>
      </c>
      <c r="AW139" s="29">
        <f>MAX(SUMPRODUCT(AR139:AV139,基础状态预期!$F152:$J152)/SUM(基础状态预期!$F152:$J152),AW138)</f>
        <v>0</v>
      </c>
      <c r="BA139" s="29">
        <v>10</v>
      </c>
      <c r="BB139" s="29">
        <f t="shared" ref="BB139:BB154" si="60">求节点($N$139:$N$177,$AK$139:$AK$177,$BA139)</f>
        <v>84.977630365328181</v>
      </c>
      <c r="BC139" s="29">
        <f t="shared" ref="BC139:BC154" si="61">求节点($N$4:$N$42,$AQ$139:$AQ$177,$BA139)</f>
        <v>0.18000473834610778</v>
      </c>
      <c r="BD139" s="41">
        <f>BB139*(INDEX([2]大r将兵属性验证!$V$7:$V$166,$BA139,1)+INDEX([2]大r将兵属性验证!$AP$7:$AP$166,$BA139,1))</f>
        <v>32668202.820700925</v>
      </c>
      <c r="BE139" s="41" t="e">
        <f>BC139*(INDEX([2]大r将兵属性验证!$AC$7:$AC$166,$BA139,1)*[2]战法技能效用!$AB$4+INDEX([2]大r将兵属性验证!$AX$7:$AX$166,$BA139,1)*[2]战法技能效用!$AC$4)</f>
        <v>#VALUE!</v>
      </c>
      <c r="BF139" s="75" t="e">
        <f t="shared" ref="BF139:BF140" si="62">SUM(BD139:BE139)</f>
        <v>#VALUE!</v>
      </c>
      <c r="BJ139" s="29">
        <f>$N139</f>
        <v>10.00263241450434</v>
      </c>
      <c r="BK139" s="75">
        <f>武将数量星级阶位验证!AT142</f>
        <v>29472.285516645439</v>
      </c>
      <c r="BL139" s="76">
        <f>AD139*INDEX('[1]功能-付费相关'!$AT$6:$AT$165,BJ139,1)</f>
        <v>0</v>
      </c>
      <c r="BN139" s="29">
        <v>10</v>
      </c>
      <c r="BO139" s="29">
        <f t="shared" ref="BO139:BO148" si="63">求节点($BJ$139:$BJ$177,BK$139:BK$177,$BN139)</f>
        <v>29464.529231234254</v>
      </c>
      <c r="BP139" s="29">
        <f t="shared" ref="BP139:BP148" si="64">求节点($BJ$139:$BJ$177,BL$139:BL$177,$BN139)</f>
        <v>0</v>
      </c>
      <c r="BQ139" s="29">
        <f>SUM(BO139:BP139)</f>
        <v>29464.529231234254</v>
      </c>
    </row>
    <row r="140" spans="2:69" x14ac:dyDescent="0.15">
      <c r="B140" s="170"/>
      <c r="C140" s="14">
        <v>6</v>
      </c>
      <c r="D140" s="29">
        <f>SUM(D$36:D42)</f>
        <v>0</v>
      </c>
      <c r="E140" s="29">
        <f>SUM(E$36:E42)</f>
        <v>0</v>
      </c>
      <c r="F140" s="29">
        <f>SUM(F$36:F42)</f>
        <v>0</v>
      </c>
      <c r="G140" s="29">
        <f>SUM(G$36:G42)</f>
        <v>15</v>
      </c>
      <c r="H140" s="29">
        <f>SUM(H$36:H42)</f>
        <v>0</v>
      </c>
      <c r="I140" s="29">
        <f>SUM(I$36:I42)</f>
        <v>0</v>
      </c>
      <c r="M140" s="72">
        <v>5</v>
      </c>
      <c r="N140" s="29">
        <f>基础状态预期!D153</f>
        <v>19.43005414991557</v>
      </c>
      <c r="O140" s="29">
        <f>IF(基础状态预期!F153="",0,求节点($C$104:$C$112,D$104:D$112,基础状态预期!K153))</f>
        <v>0</v>
      </c>
      <c r="P140" s="29">
        <f>IF(基础状态预期!G153="",0,求节点($C$104:$C$112,E$104:E$112,基础状态预期!L153))</f>
        <v>0</v>
      </c>
      <c r="Q140" s="29">
        <f>IF(基础状态预期!H153="",0,求节点($C$104:$C$112,F$104:F$112,基础状态预期!M153))</f>
        <v>0</v>
      </c>
      <c r="R140" s="29">
        <f>IF(基础状态预期!I153="",0,求节点($C$104:$C$112,G$104:G$112,基础状态预期!N153))</f>
        <v>1.2507836652468862</v>
      </c>
      <c r="S140" s="29">
        <f>IF(基础状态预期!J153="",0,求节点($C$104:$C$112,H$104:H$112,基础状态预期!O153))</f>
        <v>0</v>
      </c>
      <c r="T140" s="29">
        <f>IF(基础状态预期!F153="",0,求节点($C$114:$C$122,D$114:D$122,基础状态预期!K153)*基础状态预期!F153+求节点($C$124:$C$132,D$124:D$132,基础状态预期!$O153)*基础状态预期!$J153)</f>
        <v>0</v>
      </c>
      <c r="U140" s="29">
        <f>IF(基础状态预期!G153="",0,求节点($C$114:$C$122,E$114:E$122,基础状态预期!L153)*基础状态预期!G153+求节点($C$124:$C$132,E$124:E$132,基础状态预期!$O153)*基础状态预期!$J153)</f>
        <v>0</v>
      </c>
      <c r="V140" s="29">
        <f>IF(基础状态预期!H153="",0,求节点($C$114:$C$122,F$114:F$122,基础状态预期!M153)*基础状态预期!H153+求节点($C$124:$C$132,F$124:F$132,基础状态预期!$O153)*基础状态预期!$J153)</f>
        <v>0</v>
      </c>
      <c r="W140" s="148">
        <f>IF(基础状态预期!I153="",0,求节点($C$114:$C$122,G$114:G$122,基础状态预期!N153)*基础状态预期!I153)+IF(基础状态预期!O153="",0,求节点($C$124:$C$132,G$124:G$132,基础状态预期!$O153)*基础状态预期!$J153)</f>
        <v>0</v>
      </c>
      <c r="X140" s="29">
        <f>IF(基础状态预期!J153="",0,求节点($C$114:$C$122,H$114:H$122,基础状态预期!O153)*基础状态预期!J153+求节点($C$124:$C$132,H$124:H$132,基础状态预期!$O153)*基础状态预期!$J153)</f>
        <v>0</v>
      </c>
      <c r="Y140" s="14">
        <f>IF(基础状态预期!K153="",0,求节点($C$92:$C$100,D$92:D$100,基础状态预期!K153))</f>
        <v>0</v>
      </c>
      <c r="Z140" s="14">
        <f>IF(基础状态预期!L153="",0,求节点($C$92:$C$100,E$92:E$100,基础状态预期!L153))</f>
        <v>0</v>
      </c>
      <c r="AA140" s="14">
        <f>IF(基础状态预期!M153="",0,求节点($C$92:$C$100,F$92:F$100,基础状态预期!M153))</f>
        <v>0</v>
      </c>
      <c r="AB140" s="14">
        <f>IF(基础状态预期!N153="",0,求节点($C$92:$C$100,G$92:G$100,基础状态预期!N153))</f>
        <v>2507.8366524688622</v>
      </c>
      <c r="AC140" s="14">
        <f>IF(基础状态预期!O153="",0,求节点($C$92:$C$100,H$92:H$100,基础状态预期!O153))</f>
        <v>0</v>
      </c>
      <c r="AD140" s="29">
        <f>MAX(SUMPRODUCT(Y140:AC140,基础状态预期!F153:J153),AD139)</f>
        <v>15047.019914813172</v>
      </c>
      <c r="AF140" s="29" t="str">
        <f>IF(基础状态预期!K153="","",基础状态预期!K153*D$59+D$58)</f>
        <v/>
      </c>
      <c r="AG140" s="29" t="str">
        <f>IF(基础状态预期!L153="","",基础状态预期!L153*E$59+E$58)</f>
        <v/>
      </c>
      <c r="AH140" s="29" t="str">
        <f>IF(基础状态预期!M153="","",基础状态预期!M153*F$59+F$58)</f>
        <v/>
      </c>
      <c r="AI140" s="29">
        <f>IF(基础状态预期!N153="","",基础状态预期!N153*G$59+G$58)</f>
        <v>86.253918326234427</v>
      </c>
      <c r="AJ140" s="29" t="str">
        <f>IF(基础状态预期!O153="","",基础状态预期!O153*H$59+H$58)</f>
        <v/>
      </c>
      <c r="AK140" s="29">
        <f>MAX(SUMPRODUCT(AF140:AJ140,基础状态预期!$F153:$J153)/SUM(基础状态预期!$F153:$J153),AK139)</f>
        <v>86.253918326234427</v>
      </c>
      <c r="AL140" s="29">
        <f>IF(基础状态预期!K153="",0,求节点($C$68:$C$76,D$68:D$76,基础状态预期!K153))</f>
        <v>0</v>
      </c>
      <c r="AM140" s="29">
        <f>IF(基础状态预期!L153="",0,求节点($C$68:$C$76,E$68:E$76,基础状态预期!L153))</f>
        <v>0</v>
      </c>
      <c r="AN140" s="29">
        <f>IF(基础状态预期!M153="",0,求节点($C$68:$C$76,F$68:F$76,基础状态预期!M153)*求节点(武将升级!$H$52:$H$54,武将升级!$J$52:$J$54,基础状态预期!W153))</f>
        <v>0</v>
      </c>
      <c r="AO140" s="29">
        <f>IF(基础状态预期!N153="",0,求节点($C$68:$C$76,G$68:G$76,基础状态预期!N153)*求节点(武将升级!$H$52:$H$54,武将升级!$J$52:$J$54,基础状态预期!X153))</f>
        <v>0.21344005951057665</v>
      </c>
      <c r="AP140" s="29">
        <f>IF(基础状态预期!O153="",0,求节点($C$68:$C$76,H$68:H$76,基础状态预期!O153)*求节点(武将升级!$H$52:$H$54,武将升级!$J$52:$J$54,基础状态预期!Y153))</f>
        <v>0</v>
      </c>
      <c r="AQ140" s="29">
        <f>MAX(SUMPRODUCT(AL140:AP140,基础状态预期!$F153:$J153)/SUM(基础状态预期!$F153:$J153),AQ139)</f>
        <v>0.21344005951057665</v>
      </c>
      <c r="AR140" s="29">
        <f>IF(基础状态预期!K153="",0,求节点($C$158:$C$166,D$158:D$166,基础状态预期!K153))</f>
        <v>0</v>
      </c>
      <c r="AS140" s="29">
        <f>IF(基础状态预期!L153="",0,求节点($C$158:$C$166,E$158:E$166,基础状态预期!L153))</f>
        <v>0</v>
      </c>
      <c r="AT140" s="29">
        <f>IF(基础状态预期!M153="",0,求节点($C$158:$C$166,F$158:F$166,基础状态预期!M153))</f>
        <v>0</v>
      </c>
      <c r="AU140" s="29">
        <f>IF(基础状态预期!N153="",0,求节点($C$158:$C$166,G$158:G$166,基础状态预期!N153))</f>
        <v>1.7554856567282038E-2</v>
      </c>
      <c r="AV140" s="29">
        <f>IF(基础状态预期!O153="",0,求节点($C$158:$C$166,H$158:H$166,基础状态预期!O153))</f>
        <v>0</v>
      </c>
      <c r="AW140" s="29">
        <f>MAX(SUMPRODUCT(AR140:AV140,基础状态预期!$F153:$J153)/SUM(基础状态预期!$F153:$J153),AW139)</f>
        <v>1.7554856567282038E-2</v>
      </c>
      <c r="BA140" s="29">
        <v>20</v>
      </c>
      <c r="BB140" s="29">
        <f t="shared" si="60"/>
        <v>86.560125312991346</v>
      </c>
      <c r="BC140" s="29">
        <f t="shared" si="61"/>
        <v>0.21344005951057665</v>
      </c>
      <c r="BD140" s="29">
        <f>(BB140-BB139)*(INDEX([2]大r将兵属性验证!$V$7:$V$166,$BA140,1)+INDEX([2]大r将兵属性验证!$AP$7:$AP$166,$BA140,1))+BD139</f>
        <v>34954869.152910888</v>
      </c>
      <c r="BE140" s="29" t="e">
        <f>(BC140-BC139)*(INDEX([2]大r将兵属性验证!$AC$7:$AC$166,$BA140,1)*[2]战法技能效用!$AB$4+INDEX([2]大r将兵属性验证!$AX$7:$AX$166,$BA140,1)*[2]战法技能效用!$AC$4)+BE139</f>
        <v>#VALUE!</v>
      </c>
      <c r="BF140" s="75" t="e">
        <f t="shared" si="62"/>
        <v>#VALUE!</v>
      </c>
      <c r="BJ140" s="29">
        <f t="shared" ref="BJ140:BJ177" si="65">$N140</f>
        <v>19.43005414991557</v>
      </c>
      <c r="BK140" s="75">
        <f>武将数量星级阶位验证!AT143</f>
        <v>68702.693219750901</v>
      </c>
      <c r="BL140" s="75">
        <f>(AD140-AD139)*INDEX('[1]功能-付费相关'!$AT$6:$AT$165,BJ140,1)+BL139</f>
        <v>31.879279480536383</v>
      </c>
      <c r="BN140" s="29">
        <v>20</v>
      </c>
      <c r="BO140" s="29">
        <f t="shared" si="63"/>
        <v>71337.976347777061</v>
      </c>
      <c r="BP140" s="29">
        <f t="shared" si="64"/>
        <v>39.535243397617187</v>
      </c>
      <c r="BQ140" s="29">
        <f t="shared" ref="BQ140:BQ148" si="66">SUM(BO140:BP140)</f>
        <v>71377.511591174683</v>
      </c>
    </row>
    <row r="141" spans="2:69" x14ac:dyDescent="0.15">
      <c r="B141" s="170"/>
      <c r="C141" s="14">
        <v>7</v>
      </c>
      <c r="D141" s="29">
        <f>SUM(D$36:D43)</f>
        <v>0</v>
      </c>
      <c r="E141" s="29">
        <f>SUM(E$36:E43)</f>
        <v>0</v>
      </c>
      <c r="F141" s="29">
        <f>SUM(F$36:F43)</f>
        <v>0</v>
      </c>
      <c r="G141" s="29">
        <f>SUM(G$36:G43)</f>
        <v>35</v>
      </c>
      <c r="H141" s="29">
        <f>SUM(H$36:H43)</f>
        <v>0</v>
      </c>
      <c r="I141" s="29">
        <f>SUM(I$36:I43)</f>
        <v>0</v>
      </c>
      <c r="M141" s="72">
        <v>6</v>
      </c>
      <c r="N141" s="29">
        <f>基础状态预期!D154</f>
        <v>27.324610510337703</v>
      </c>
      <c r="O141" s="29">
        <f>IF(基础状态预期!F154="",0,求节点($C$104:$C$112,D$104:D$112,基础状态预期!K154))</f>
        <v>0</v>
      </c>
      <c r="P141" s="29">
        <f>IF(基础状态预期!G154="",0,求节点($C$104:$C$112,E$104:E$112,基础状态预期!L154))</f>
        <v>0</v>
      </c>
      <c r="Q141" s="29">
        <f>IF(基础状态预期!H154="",0,求节点($C$104:$C$112,F$104:F$112,基础状态预期!M154))</f>
        <v>0</v>
      </c>
      <c r="R141" s="29">
        <f>IF(基础状态预期!I154="",0,求节点($C$104:$C$112,G$104:G$112,基础状态预期!N154))</f>
        <v>2.0990636604602502</v>
      </c>
      <c r="S141" s="29">
        <f>IF(基础状态预期!J154="",0,求节点($C$104:$C$112,H$104:H$112,基础状态预期!O154))</f>
        <v>0</v>
      </c>
      <c r="T141" s="29">
        <f>IF(基础状态预期!F154="",0,求节点($C$114:$C$122,D$114:D$122,基础状态预期!K154)*基础状态预期!F154+求节点($C$124:$C$132,D$124:D$132,基础状态预期!$O154)*基础状态预期!$J154)</f>
        <v>0</v>
      </c>
      <c r="U141" s="29">
        <f>IF(基础状态预期!G154="",0,求节点($C$114:$C$122,E$114:E$122,基础状态预期!L154)*基础状态预期!G154+求节点($C$124:$C$132,E$124:E$132,基础状态预期!$O154)*基础状态预期!$J154)</f>
        <v>0</v>
      </c>
      <c r="V141" s="29">
        <f>IF(基础状态预期!H154="",0,求节点($C$114:$C$122,F$114:F$122,基础状态预期!M154)*基础状态预期!H154+求节点($C$124:$C$132,F$124:F$132,基础状态预期!$O154)*基础状态预期!$J154)</f>
        <v>0</v>
      </c>
      <c r="W141" s="148">
        <f>IF(基础状态预期!I154="",0,求节点($C$114:$C$122,G$114:G$122,基础状态预期!N154)*基础状态预期!I154)+IF(基础状态预期!O154="",0,求节点($C$124:$C$132,G$124:G$132,基础状态预期!$O154)*基础状态预期!$J154)</f>
        <v>0</v>
      </c>
      <c r="X141" s="29">
        <f>IF(基础状态预期!J154="",0,求节点($C$114:$C$122,H$114:H$122,基础状态预期!O154)*基础状态预期!J154+求节点($C$124:$C$132,H$124:H$132,基础状态预期!$O154)*基础状态预期!$J154)</f>
        <v>0</v>
      </c>
      <c r="Y141" s="14">
        <f>IF(基础状态预期!K154="",0,求节点($C$92:$C$100,D$92:D$100,基础状态预期!K154))</f>
        <v>0</v>
      </c>
      <c r="Z141" s="14">
        <f>IF(基础状态预期!L154="",0,求节点($C$92:$C$100,E$92:E$100,基础状态预期!L154))</f>
        <v>0</v>
      </c>
      <c r="AA141" s="14">
        <f>IF(基础状态预期!M154="",0,求节点($C$92:$C$100,F$92:F$100,基础状态预期!M154))</f>
        <v>0</v>
      </c>
      <c r="AB141" s="14">
        <f>IF(基础状态预期!N154="",0,求节点($C$92:$C$100,G$92:G$100,基础状态预期!N154))</f>
        <v>11981.273209205003</v>
      </c>
      <c r="AC141" s="14">
        <f>IF(基础状态预期!O154="",0,求节点($C$92:$C$100,H$92:H$100,基础状态预期!O154))</f>
        <v>0</v>
      </c>
      <c r="AD141" s="29">
        <f>MAX(SUMPRODUCT(Y141:AC141,基础状态预期!F154:J154),AD140)</f>
        <v>71887.639255230024</v>
      </c>
      <c r="AF141" s="29" t="str">
        <f>IF(基础状态预期!K154="","",基础状态预期!K154*D$59+D$58)</f>
        <v/>
      </c>
      <c r="AG141" s="29" t="str">
        <f>IF(基础状态预期!L154="","",基础状态预期!L154*E$59+E$58)</f>
        <v/>
      </c>
      <c r="AH141" s="29" t="str">
        <f>IF(基础状态预期!M154="","",基础状态预期!M154*F$59+F$58)</f>
        <v/>
      </c>
      <c r="AI141" s="29">
        <f>IF(基础状态预期!N154="","",基础状态预期!N154*G$59+G$58)</f>
        <v>90.495318302301257</v>
      </c>
      <c r="AJ141" s="29" t="str">
        <f>IF(基础状态预期!O154="","",基础状态预期!O154*H$59+H$58)</f>
        <v/>
      </c>
      <c r="AK141" s="29">
        <f>MAX(SUMPRODUCT(AF141:AJ141,基础状态预期!$F154:$J154)/SUM(基础状态预期!$F154:$J154),AK140)</f>
        <v>90.495318302301257</v>
      </c>
      <c r="AL141" s="29">
        <f>IF(基础状态预期!K154="",0,求节点($C$68:$C$76,D$68:D$76,基础状态预期!K154))</f>
        <v>0</v>
      </c>
      <c r="AM141" s="29">
        <f>IF(基础状态预期!L154="",0,求节点($C$68:$C$76,E$68:E$76,基础状态预期!L154))</f>
        <v>0</v>
      </c>
      <c r="AN141" s="29">
        <f>IF(基础状态预期!M154="",0,求节点($C$68:$C$76,F$68:F$76,基础状态预期!M154)*求节点(武将升级!$H$52:$H$54,武将升级!$J$52:$J$54,基础状态预期!W154))</f>
        <v>0</v>
      </c>
      <c r="AO141" s="29">
        <f>IF(基础状态预期!N154="",0,求节点($C$68:$C$76,G$68:G$76,基础状态预期!N154)*求节点(武将升级!$H$52:$H$54,武将升级!$J$52:$J$54,基础状态预期!X154))</f>
        <v>0.2885526284523468</v>
      </c>
      <c r="AP141" s="29">
        <f>IF(基础状态预期!O154="",0,求节点($C$68:$C$76,H$68:H$76,基础状态预期!O154)*求节点(武将升级!$H$52:$H$54,武将升级!$J$52:$J$54,基础状态预期!Y154))</f>
        <v>0</v>
      </c>
      <c r="AQ141" s="29">
        <f>MAX(SUMPRODUCT(AL141:AP141,基础状态预期!$F154:$J154)/SUM(基础状态预期!$F154:$J154),AQ140)</f>
        <v>0.2885526284523468</v>
      </c>
      <c r="AR141" s="29">
        <f>IF(基础状态预期!K154="",0,求节点($C$158:$C$166,D$158:D$166,基础状态预期!K154))</f>
        <v>0</v>
      </c>
      <c r="AS141" s="29">
        <f>IF(基础状态预期!L154="",0,求节点($C$158:$C$166,E$158:E$166,基础状态预期!L154))</f>
        <v>0</v>
      </c>
      <c r="AT141" s="29">
        <f>IF(基础状态预期!M154="",0,求节点($C$158:$C$166,F$158:F$166,基础状态预期!M154))</f>
        <v>0</v>
      </c>
      <c r="AU141" s="29">
        <f>IF(基础状态预期!N154="",0,求节点($C$158:$C$166,G$158:G$166,基础状态预期!N154))</f>
        <v>7.6934456232217521E-2</v>
      </c>
      <c r="AV141" s="29">
        <f>IF(基础状态预期!O154="",0,求节点($C$158:$C$166,H$158:H$166,基础状态预期!O154))</f>
        <v>0</v>
      </c>
      <c r="AW141" s="29">
        <f>MAX(SUMPRODUCT(AR141:AV141,基础状态预期!$F154:$J154)/SUM(基础状态预期!$F154:$J154),AW140)</f>
        <v>7.6934456232217521E-2</v>
      </c>
      <c r="BA141" s="29">
        <v>30</v>
      </c>
      <c r="BB141" s="29">
        <f t="shared" si="60"/>
        <v>92.791751463147733</v>
      </c>
      <c r="BC141" s="29">
        <f t="shared" si="61"/>
        <v>0.31372930175668062</v>
      </c>
      <c r="BD141" s="29">
        <f>(BB141-BB140)*(INDEX([2]大r将兵属性验证!$V$7:$V$166,$BA141,1)+INDEX([2]大r将兵属性验证!$AP$7:$AP$166,$BA141,1))+BD140</f>
        <v>61235760.926212579</v>
      </c>
      <c r="BE141" s="29" t="e">
        <f>(BC141-BC140)*(INDEX([2]大r将兵属性验证!$AC$7:$AC$166,$BA141,1)*[2]战法技能效用!$AB$4+INDEX([2]大r将兵属性验证!$AX$7:$AX$166,$BA141,1)*[2]战法技能效用!$AC$4)+BE140</f>
        <v>#VALUE!</v>
      </c>
      <c r="BF141" s="75" t="e">
        <f t="shared" ref="BF141:BF154" si="67">SUM(BD141:BE141)</f>
        <v>#VALUE!</v>
      </c>
      <c r="BJ141" s="29">
        <f t="shared" si="65"/>
        <v>27.324610510337703</v>
      </c>
      <c r="BK141" s="75">
        <f>武将数量星级阶位验证!AT144</f>
        <v>105205.09283681998</v>
      </c>
      <c r="BL141" s="75">
        <f>(AD141-AD140)*INDEX('[1]功能-付费相关'!$AT$6:$AT$165,BJ141,1)+BL140</f>
        <v>137.92521108579172</v>
      </c>
      <c r="BN141" s="29">
        <v>30</v>
      </c>
      <c r="BO141" s="29">
        <f t="shared" si="63"/>
        <v>124324.33821889367</v>
      </c>
      <c r="BP141" s="29">
        <f t="shared" si="64"/>
        <v>248.64622653904775</v>
      </c>
      <c r="BQ141" s="29">
        <f t="shared" si="66"/>
        <v>124572.98444543271</v>
      </c>
    </row>
    <row r="142" spans="2:69" x14ac:dyDescent="0.15">
      <c r="B142" s="171"/>
      <c r="C142" s="14">
        <v>8</v>
      </c>
      <c r="D142" s="29">
        <f>SUM(D$36:D44)</f>
        <v>0</v>
      </c>
      <c r="E142" s="29">
        <f>SUM(E$36:E44)</f>
        <v>0</v>
      </c>
      <c r="F142" s="29">
        <f>SUM(F$36:F44)</f>
        <v>0</v>
      </c>
      <c r="G142" s="29">
        <f>SUM(G$36:G44)</f>
        <v>35</v>
      </c>
      <c r="H142" s="29">
        <f>SUM(H$36:H44)</f>
        <v>0</v>
      </c>
      <c r="I142" s="29">
        <f>SUM(I$36:I44)</f>
        <v>0</v>
      </c>
      <c r="M142" s="72">
        <v>7</v>
      </c>
      <c r="N142" s="29">
        <f>基础状态预期!D155</f>
        <v>33.672145166817529</v>
      </c>
      <c r="O142" s="29">
        <f>IF(基础状态预期!F155="",0,求节点($C$104:$C$112,D$104:D$112,基础状态预期!K155))</f>
        <v>0</v>
      </c>
      <c r="P142" s="29">
        <f>IF(基础状态预期!G155="",0,求节点($C$104:$C$112,E$104:E$112,基础状态预期!L155))</f>
        <v>0</v>
      </c>
      <c r="Q142" s="29">
        <f>IF(基础状态预期!H155="",0,求节点($C$104:$C$112,F$104:F$112,基础状态预期!M155))</f>
        <v>0</v>
      </c>
      <c r="R142" s="29">
        <f>IF(基础状态预期!I155="",0,求节点($C$104:$C$112,G$104:G$112,基础状态预期!N155))</f>
        <v>3.1887509101924376</v>
      </c>
      <c r="S142" s="29">
        <f>IF(基础状态预期!J155="",0,求节点($C$104:$C$112,H$104:H$112,基础状态预期!O155))</f>
        <v>0</v>
      </c>
      <c r="T142" s="29">
        <f>IF(基础状态预期!F155="",0,求节点($C$114:$C$122,D$114:D$122,基础状态预期!K155)*基础状态预期!F155+求节点($C$124:$C$132,D$124:D$132,基础状态预期!$O155)*基础状态预期!$J155)</f>
        <v>0</v>
      </c>
      <c r="U142" s="29">
        <f>IF(基础状态预期!G155="",0,求节点($C$114:$C$122,E$114:E$122,基础状态预期!L155)*基础状态预期!G155+求节点($C$124:$C$132,E$124:E$132,基础状态预期!$O155)*基础状态预期!$J155)</f>
        <v>0</v>
      </c>
      <c r="V142" s="29">
        <f>IF(基础状态预期!H155="",0,求节点($C$114:$C$122,F$114:F$122,基础状态预期!M155)*基础状态预期!H155+求节点($C$124:$C$132,F$124:F$132,基础状态预期!$O155)*基础状态预期!$J155)</f>
        <v>0</v>
      </c>
      <c r="W142" s="148">
        <f>IF(基础状态预期!I155="",0,求节点($C$114:$C$122,G$114:G$122,基础状态预期!N155)*基础状态预期!I155)+IF(基础状态预期!O155="",0,求节点($C$124:$C$132,G$124:G$132,基础状态预期!$O155)*基础状态预期!$J155)</f>
        <v>1.1325054611546257</v>
      </c>
      <c r="X142" s="29">
        <f>IF(基础状态预期!J155="",0,求节点($C$114:$C$122,H$114:H$122,基础状态预期!O155)*基础状态预期!J155+求节点($C$124:$C$132,H$124:H$132,基础状态预期!$O155)*基础状态预期!$J155)</f>
        <v>0</v>
      </c>
      <c r="Y142" s="14">
        <f>IF(基础状态预期!K155="",0,求节点($C$92:$C$100,D$92:D$100,基础状态预期!K155))</f>
        <v>0</v>
      </c>
      <c r="Z142" s="14">
        <f>IF(基础状态预期!L155="",0,求节点($C$92:$C$100,E$92:E$100,基础状态预期!L155))</f>
        <v>0</v>
      </c>
      <c r="AA142" s="14">
        <f>IF(基础状态预期!M155="",0,求节点($C$92:$C$100,F$92:F$100,基础状态预期!M155))</f>
        <v>0</v>
      </c>
      <c r="AB142" s="14">
        <f>IF(基础状态预期!N155="",0,求节点($C$92:$C$100,G$92:G$100,基础状态预期!N155))</f>
        <v>37550.036407697502</v>
      </c>
      <c r="AC142" s="14">
        <f>IF(基础状态预期!O155="",0,求节点($C$92:$C$100,H$92:H$100,基础状态预期!O155))</f>
        <v>0</v>
      </c>
      <c r="AD142" s="29">
        <f>MAX(SUMPRODUCT(Y142:AC142,基础状态预期!F155:J155),AD141)</f>
        <v>225300.218446185</v>
      </c>
      <c r="AF142" s="29" t="str">
        <f>IF(基础状态预期!K155="","",基础状态预期!K155*D$59+D$58)</f>
        <v/>
      </c>
      <c r="AG142" s="29" t="str">
        <f>IF(基础状态预期!L155="","",基础状态预期!L155*E$59+E$58)</f>
        <v/>
      </c>
      <c r="AH142" s="29" t="str">
        <f>IF(基础状态预期!M155="","",基础状态预期!M155*F$59+F$58)</f>
        <v/>
      </c>
      <c r="AI142" s="29">
        <f>IF(基础状态预期!N155="","",基础状态预期!N155*G$59+G$58)</f>
        <v>95.943754550962183</v>
      </c>
      <c r="AJ142" s="29" t="str">
        <f>IF(基础状态预期!O155="","",基础状态预期!O155*H$59+H$58)</f>
        <v/>
      </c>
      <c r="AK142" s="29">
        <f>MAX(SUMPRODUCT(AF142:AJ142,基础状态预期!$F155:$J155)/SUM(基础状态预期!$F155:$J155),AK141)</f>
        <v>95.943754550962183</v>
      </c>
      <c r="AL142" s="29">
        <f>IF(基础状态预期!K155="",0,求节点($C$68:$C$76,D$68:D$76,基础状态预期!K155))</f>
        <v>0</v>
      </c>
      <c r="AM142" s="29">
        <f>IF(基础状态预期!L155="",0,求节点($C$68:$C$76,E$68:E$76,基础状态预期!L155))</f>
        <v>0</v>
      </c>
      <c r="AN142" s="29">
        <f>IF(基础状态预期!M155="",0,求节点($C$68:$C$76,F$68:F$76,基础状态预期!M155)*求节点(武将升级!$H$52:$H$54,武将升级!$J$52:$J$54,基础状态预期!W155))</f>
        <v>0</v>
      </c>
      <c r="AO142" s="29">
        <f>IF(基础状态预期!N155="",0,求节点($C$68:$C$76,G$68:G$76,基础状态预期!N155)*求节点(武将升级!$H$52:$H$54,武将升级!$J$52:$J$54,基础状态预期!X155))</f>
        <v>0.37359006553385554</v>
      </c>
      <c r="AP142" s="29">
        <f>IF(基础状态预期!O155="",0,求节点($C$68:$C$76,H$68:H$76,基础状态预期!O155)*求节点(武将升级!$H$52:$H$54,武将升级!$J$52:$J$54,基础状态预期!Y155))</f>
        <v>0</v>
      </c>
      <c r="AQ142" s="29">
        <f>MAX(SUMPRODUCT(AL142:AP142,基础状态预期!$F155:$J155)/SUM(基础状态预期!$F155:$J155),AQ141)</f>
        <v>0.37359006553385554</v>
      </c>
      <c r="AR142" s="29">
        <f>IF(基础状态预期!K155="",0,求节点($C$158:$C$166,D$158:D$166,基础状态预期!K155))</f>
        <v>0</v>
      </c>
      <c r="AS142" s="29">
        <f>IF(基础状态预期!L155="",0,求节点($C$158:$C$166,E$158:E$166,基础状态预期!L155))</f>
        <v>0</v>
      </c>
      <c r="AT142" s="29">
        <f>IF(基础状态预期!M155="",0,求节点($C$158:$C$166,F$158:F$166,基础状态预期!M155))</f>
        <v>0</v>
      </c>
      <c r="AU142" s="29">
        <f>IF(基础状态预期!N155="",0,求节点($C$158:$C$166,G$158:G$166,基础状态预期!N155))</f>
        <v>0.15321256371347064</v>
      </c>
      <c r="AV142" s="29">
        <f>IF(基础状态预期!O155="",0,求节点($C$158:$C$166,H$158:H$166,基础状态预期!O155))</f>
        <v>0</v>
      </c>
      <c r="AW142" s="29">
        <f>MAX(SUMPRODUCT(AR142:AV142,基础状态预期!$F155:$J155)/SUM(基础状态预期!$F155:$J155),AW141)</f>
        <v>0.15321256371347064</v>
      </c>
      <c r="BA142" s="29">
        <v>40</v>
      </c>
      <c r="BB142" s="29">
        <f t="shared" si="60"/>
        <v>101.89372020514703</v>
      </c>
      <c r="BC142" s="29">
        <f t="shared" si="61"/>
        <v>0.44975174890389752</v>
      </c>
      <c r="BD142" s="29">
        <f>(BB142-BB141)*(INDEX([2]大r将兵属性验证!$V$7:$V$166,$BA142,1)+INDEX([2]大r将兵属性验证!$AP$7:$AP$166,$BA142,1))+BD141</f>
        <v>174262417.609467</v>
      </c>
      <c r="BE142" s="29" t="e">
        <f>(BC142-BC141)*(INDEX([2]大r将兵属性验证!$AC$7:$AC$166,$BA142,1)*[2]战法技能效用!$AB$4+INDEX([2]大r将兵属性验证!$AX$7:$AX$166,$BA142,1)*[2]战法技能效用!$AC$4)+BE141</f>
        <v>#VALUE!</v>
      </c>
      <c r="BF142" s="75" t="e">
        <f t="shared" si="67"/>
        <v>#VALUE!</v>
      </c>
      <c r="BJ142" s="29">
        <f t="shared" si="65"/>
        <v>33.672145166817529</v>
      </c>
      <c r="BK142" s="75">
        <f>武将数量星级阶位验证!AT145</f>
        <v>150566.73948206165</v>
      </c>
      <c r="BL142" s="75">
        <f>(AD142-AD141)*INDEX('[1]功能-付费相关'!$AT$6:$AT$165,BJ142,1)+BL141</f>
        <v>400.61798367304334</v>
      </c>
      <c r="BN142" s="29">
        <v>40</v>
      </c>
      <c r="BO142" s="29">
        <f t="shared" si="63"/>
        <v>212541.93227489156</v>
      </c>
      <c r="BP142" s="29">
        <f t="shared" si="64"/>
        <v>992.66782740038718</v>
      </c>
      <c r="BQ142" s="29">
        <f t="shared" si="66"/>
        <v>213534.60010229194</v>
      </c>
    </row>
    <row r="143" spans="2:69" x14ac:dyDescent="0.15">
      <c r="M143" s="72">
        <v>8</v>
      </c>
      <c r="N143" s="29">
        <f>基础状态预期!D156</f>
        <v>39.138098927718012</v>
      </c>
      <c r="O143" s="29">
        <f>IF(基础状态预期!F156="",0,求节点($C$104:$C$112,D$104:D$112,基础状态预期!K156))</f>
        <v>0</v>
      </c>
      <c r="P143" s="29">
        <f>IF(基础状态预期!G156="",0,求节点($C$104:$C$112,E$104:E$112,基础状态预期!L156))</f>
        <v>0</v>
      </c>
      <c r="Q143" s="29">
        <f>IF(基础状态预期!H156="",0,求节点($C$104:$C$112,F$104:F$112,基础状态预期!M156))</f>
        <v>0</v>
      </c>
      <c r="R143" s="29">
        <f>IF(基础状态预期!I156="",0,求节点($C$104:$C$112,G$104:G$112,基础状态预期!N156))</f>
        <v>4.4931041362193742</v>
      </c>
      <c r="S143" s="29">
        <f>IF(基础状态预期!J156="",0,求节点($C$104:$C$112,H$104:H$112,基础状态预期!O156))</f>
        <v>0</v>
      </c>
      <c r="T143" s="29">
        <f>IF(基础状态预期!F156="",0,求节点($C$114:$C$122,D$114:D$122,基础状态预期!K156)*基础状态预期!F156+求节点($C$124:$C$132,D$124:D$132,基础状态预期!$O156)*基础状态预期!$J156)</f>
        <v>0</v>
      </c>
      <c r="U143" s="29">
        <f>IF(基础状态预期!G156="",0,求节点($C$114:$C$122,E$114:E$122,基础状态预期!L156)*基础状态预期!G156+求节点($C$124:$C$132,E$124:E$132,基础状态预期!$O156)*基础状态预期!$J156)</f>
        <v>0</v>
      </c>
      <c r="V143" s="29">
        <f>IF(基础状态预期!H156="",0,求节点($C$114:$C$122,F$114:F$122,基础状态预期!M156)*基础状态预期!H156+求节点($C$124:$C$132,F$124:F$132,基础状态预期!$O156)*基础状态预期!$J156)</f>
        <v>0</v>
      </c>
      <c r="W143" s="148">
        <f>IF(基础状态预期!I156="",0,求节点($C$114:$C$122,G$114:G$122,基础状态预期!N156)*基础状态预期!I156)+IF(基础状态预期!O156="",0,求节点($C$124:$C$132,G$124:G$132,基础状态预期!$O156)*基础状态预期!$J156)</f>
        <v>6</v>
      </c>
      <c r="X143" s="29">
        <f>IF(基础状态预期!J156="",0,求节点($C$114:$C$122,H$114:H$122,基础状态预期!O156)*基础状态预期!J156+求节点($C$124:$C$132,H$124:H$132,基础状态预期!$O156)*基础状态预期!$J156)</f>
        <v>0</v>
      </c>
      <c r="Y143" s="14">
        <f>IF(基础状态预期!K156="",0,求节点($C$92:$C$100,D$92:D$100,基础状态预期!K156))</f>
        <v>0</v>
      </c>
      <c r="Z143" s="14">
        <f>IF(基础状态预期!L156="",0,求节点($C$92:$C$100,E$92:E$100,基础状态预期!L156))</f>
        <v>0</v>
      </c>
      <c r="AA143" s="14">
        <f>IF(基础状态预期!M156="",0,求节点($C$92:$C$100,F$92:F$100,基础状态预期!M156))</f>
        <v>0</v>
      </c>
      <c r="AB143" s="14">
        <f>IF(基础状态预期!N156="",0,求节点($C$92:$C$100,G$92:G$100,基础状态预期!N156))</f>
        <v>89724.165448774962</v>
      </c>
      <c r="AC143" s="14">
        <f>IF(基础状态预期!O156="",0,求节点($C$92:$C$100,H$92:H$100,基础状态预期!O156))</f>
        <v>0</v>
      </c>
      <c r="AD143" s="29">
        <f>MAX(SUMPRODUCT(Y143:AC143,基础状态预期!F156:J156),AD142)</f>
        <v>538344.99269264983</v>
      </c>
      <c r="AF143" s="29" t="str">
        <f>IF(基础状态预期!K156="","",基础状态预期!K156*D$59+D$58)</f>
        <v/>
      </c>
      <c r="AG143" s="29" t="str">
        <f>IF(基础状态预期!L156="","",基础状态预期!L156*E$59+E$58)</f>
        <v/>
      </c>
      <c r="AH143" s="29" t="str">
        <f>IF(基础状态预期!M156="","",基础状态预期!M156*F$59+F$58)</f>
        <v/>
      </c>
      <c r="AI143" s="29">
        <f>IF(基础状态预期!N156="","",基础状态预期!N156*G$59+G$58)</f>
        <v>101.23276034054844</v>
      </c>
      <c r="AJ143" s="29" t="str">
        <f>IF(基础状态预期!O156="","",基础状态预期!O156*H$59+H$58)</f>
        <v/>
      </c>
      <c r="AK143" s="29">
        <f>MAX(SUMPRODUCT(AF143:AJ143,基础状态预期!$F156:$J156)/SUM(基础状态预期!$F156:$J156),AK142)</f>
        <v>101.23276034054844</v>
      </c>
      <c r="AL143" s="29">
        <f>IF(基础状态预期!K156="",0,求节点($C$68:$C$76,D$68:D$76,基础状态预期!K156))</f>
        <v>0</v>
      </c>
      <c r="AM143" s="29">
        <f>IF(基础状态预期!L156="",0,求节点($C$68:$C$76,E$68:E$76,基础状态预期!L156))</f>
        <v>0</v>
      </c>
      <c r="AN143" s="29">
        <f>IF(基础状态预期!M156="",0,求节点($C$68:$C$76,F$68:F$76,基础状态预期!M156)*求节点(武将升级!$H$52:$H$54,武将升级!$J$52:$J$54,基础状态预期!W156))</f>
        <v>0</v>
      </c>
      <c r="AO143" s="29">
        <f>IF(基础状态预期!N156="",0,求节点($C$68:$C$76,G$68:G$76,基础状态预期!N156)*求节点(武将升级!$H$52:$H$54,武将升级!$J$52:$J$54,基础状态预期!X156))</f>
        <v>0.44975174890389752</v>
      </c>
      <c r="AP143" s="29">
        <f>IF(基础状态预期!O156="",0,求节点($C$68:$C$76,H$68:H$76,基础状态预期!O156)*求节点(武将升级!$H$52:$H$54,武将升级!$J$52:$J$54,基础状态预期!Y156))</f>
        <v>0</v>
      </c>
      <c r="AQ143" s="29">
        <f>MAX(SUMPRODUCT(AL143:AP143,基础状态预期!$F156:$J156)/SUM(基础状态预期!$F156:$J156),AQ142)</f>
        <v>0.44975174890389752</v>
      </c>
      <c r="AR143" s="29">
        <f>IF(基础状态预期!K156="",0,求节点($C$158:$C$166,D$158:D$166,基础状态预期!K156))</f>
        <v>0</v>
      </c>
      <c r="AS143" s="29">
        <f>IF(基础状态预期!L156="",0,求节点($C$158:$C$166,E$158:E$166,基础状态预期!L156))</f>
        <v>0</v>
      </c>
      <c r="AT143" s="29">
        <f>IF(基础状态预期!M156="",0,求节点($C$158:$C$166,F$158:F$166,基础状态预期!M156))</f>
        <v>0</v>
      </c>
      <c r="AU143" s="29">
        <f>IF(基础状态预期!N156="",0,求节点($C$158:$C$166,G$158:G$166,基础状态预期!N156))</f>
        <v>0.2272586447676781</v>
      </c>
      <c r="AV143" s="29">
        <f>IF(基础状态预期!O156="",0,求节点($C$158:$C$166,H$158:H$166,基础状态预期!O156))</f>
        <v>0</v>
      </c>
      <c r="AW143" s="29">
        <f>MAX(SUMPRODUCT(AR143:AV143,基础状态预期!$F156:$J156)/SUM(基础状态预期!$F156:$J156),AW142)</f>
        <v>0.2272586447676781</v>
      </c>
      <c r="BA143" s="29">
        <v>50</v>
      </c>
      <c r="BB143" s="29">
        <f t="shared" si="60"/>
        <v>109.80026354131249</v>
      </c>
      <c r="BC143" s="29">
        <f t="shared" si="61"/>
        <v>0.56913110953714885</v>
      </c>
      <c r="BD143" s="29">
        <f>(BB143-BB142)*(INDEX([2]大r将兵属性验证!$V$7:$V$166,$BA143,1)+INDEX([2]大r将兵属性验证!$AP$7:$AP$166,$BA143,1))+BD142</f>
        <v>379120524.27365112</v>
      </c>
      <c r="BE143" s="29" t="e">
        <f>(BC143-BC142)*(INDEX([2]大r将兵属性验证!$AC$7:$AC$166,$BA143,1)*[2]战法技能效用!$AB$4+INDEX([2]大r将兵属性验证!$AX$7:$AX$166,$BA143,1)*[2]战法技能效用!$AC$4)+BE142</f>
        <v>#VALUE!</v>
      </c>
      <c r="BF143" s="75" t="e">
        <f t="shared" si="67"/>
        <v>#VALUE!</v>
      </c>
      <c r="BJ143" s="29">
        <f t="shared" si="65"/>
        <v>39.138098927718012</v>
      </c>
      <c r="BK143" s="75">
        <f>武将数量星级阶位验证!AT146</f>
        <v>202648.33089754995</v>
      </c>
      <c r="BL143" s="75">
        <f>(AD143-AD142)*INDEX('[1]功能-付费相关'!$AT$6:$AT$165,BJ143,1)+BL142</f>
        <v>895.94199355669025</v>
      </c>
      <c r="BN143" s="29">
        <v>50</v>
      </c>
      <c r="BO143" s="29">
        <f t="shared" si="63"/>
        <v>350650.09973940975</v>
      </c>
      <c r="BP143" s="29">
        <f t="shared" si="64"/>
        <v>2831.0196008998464</v>
      </c>
      <c r="BQ143" s="29">
        <f t="shared" si="66"/>
        <v>353481.11934030958</v>
      </c>
    </row>
    <row r="144" spans="2:69" x14ac:dyDescent="0.15">
      <c r="M144" s="72">
        <v>9</v>
      </c>
      <c r="N144" s="29">
        <f>基础状态预期!D157</f>
        <v>42.970748198558951</v>
      </c>
      <c r="O144" s="29">
        <f>IF(基础状态预期!F157="",0,求节点($C$104:$C$112,D$104:D$112,基础状态预期!K157))</f>
        <v>0</v>
      </c>
      <c r="P144" s="29">
        <f>IF(基础状态预期!G157="",0,求节点($C$104:$C$112,E$104:E$112,基础状态预期!L157))</f>
        <v>0</v>
      </c>
      <c r="Q144" s="29">
        <f>IF(基础状态预期!H157="",0,求节点($C$104:$C$112,F$104:F$112,基础状态预期!M157))</f>
        <v>0</v>
      </c>
      <c r="R144" s="29">
        <f>IF(基础状态预期!I157="",0,求节点($C$104:$C$112,G$104:G$112,基础状态预期!N157))</f>
        <v>5.668750587801993</v>
      </c>
      <c r="S144" s="29">
        <f>IF(基础状态预期!J157="",0,求节点($C$104:$C$112,H$104:H$112,基础状态预期!O157))</f>
        <v>0</v>
      </c>
      <c r="T144" s="29">
        <f>IF(基础状态预期!F157="",0,求节点($C$114:$C$122,D$114:D$122,基础状态预期!K157)*基础状态预期!F157+求节点($C$124:$C$132,D$124:D$132,基础状态预期!$O157)*基础状态预期!$J157)</f>
        <v>0</v>
      </c>
      <c r="U144" s="29">
        <f>IF(基础状态预期!G157="",0,求节点($C$114:$C$122,E$114:E$122,基础状态预期!L157)*基础状态预期!G157+求节点($C$124:$C$132,E$124:E$132,基础状态预期!$O157)*基础状态预期!$J157)</f>
        <v>0</v>
      </c>
      <c r="V144" s="29">
        <f>IF(基础状态预期!H157="",0,求节点($C$114:$C$122,F$114:F$122,基础状态预期!M157)*基础状态预期!H157+求节点($C$124:$C$132,F$124:F$132,基础状态预期!$O157)*基础状态预期!$J157)</f>
        <v>0</v>
      </c>
      <c r="W144" s="148">
        <f>IF(基础状态预期!I157="",0,求节点($C$114:$C$122,G$114:G$122,基础状态预期!N157)*基础状态预期!I157)+IF(基础状态预期!O157="",0,求节点($C$124:$C$132,G$124:G$132,基础状态预期!$O157)*基础状态预期!$J157)</f>
        <v>6</v>
      </c>
      <c r="X144" s="29">
        <f>IF(基础状态预期!J157="",0,求节点($C$114:$C$122,H$114:H$122,基础状态预期!O157)*基础状态预期!J157+求节点($C$124:$C$132,H$124:H$132,基础状态预期!$O157)*基础状态预期!$J157)</f>
        <v>0</v>
      </c>
      <c r="Y144" s="14">
        <f>IF(基础状态预期!K157="",0,求节点($C$92:$C$100,D$92:D$100,基础状态预期!K157))</f>
        <v>0</v>
      </c>
      <c r="Z144" s="14">
        <f>IF(基础状态预期!L157="",0,求节点($C$92:$C$100,E$92:E$100,基础状态预期!L157))</f>
        <v>0</v>
      </c>
      <c r="AA144" s="14">
        <f>IF(基础状态预期!M157="",0,求节点($C$92:$C$100,F$92:F$100,基础状态预期!M157))</f>
        <v>0</v>
      </c>
      <c r="AB144" s="14">
        <f>IF(基础状态预期!N157="",0,求节点($C$92:$C$100,G$92:G$100,基础状态预期!N157))</f>
        <v>136750.02351207973</v>
      </c>
      <c r="AC144" s="14">
        <f>IF(基础状态预期!O157="",0,求节点($C$92:$C$100,H$92:H$100,基础状态预期!O157))</f>
        <v>0</v>
      </c>
      <c r="AD144" s="29">
        <f>MAX(SUMPRODUCT(Y144:AC144,基础状态预期!F157:J157),AD143)</f>
        <v>820500.14107247838</v>
      </c>
      <c r="AF144" s="29" t="str">
        <f>IF(基础状态预期!K157="","",基础状态预期!K157*D$59+D$58)</f>
        <v/>
      </c>
      <c r="AG144" s="29" t="str">
        <f>IF(基础状态预期!L157="","",基础状态预期!L157*E$59+E$58)</f>
        <v/>
      </c>
      <c r="AH144" s="29" t="str">
        <f>IF(基础状态预期!M157="","",基础状态预期!M157*F$59+F$58)</f>
        <v/>
      </c>
      <c r="AI144" s="29">
        <f>IF(基础状态预期!N157="","",基础状态预期!N157*G$59+G$58)</f>
        <v>104.17187646950498</v>
      </c>
      <c r="AJ144" s="29" t="str">
        <f>IF(基础状态预期!O157="","",基础状态预期!O157*H$59+H$58)</f>
        <v/>
      </c>
      <c r="AK144" s="29">
        <f>MAX(SUMPRODUCT(AF144:AJ144,基础状态预期!$F157:$J157)/SUM(基础状态预期!$F157:$J157),AK143)</f>
        <v>104.17187646950498</v>
      </c>
      <c r="AL144" s="29">
        <f>IF(基础状态预期!K157="",0,求节点($C$68:$C$76,D$68:D$76,基础状态预期!K157))</f>
        <v>0</v>
      </c>
      <c r="AM144" s="29">
        <f>IF(基础状态预期!L157="",0,求节点($C$68:$C$76,E$68:E$76,基础状态预期!L157))</f>
        <v>0</v>
      </c>
      <c r="AN144" s="29">
        <f>IF(基础状态预期!M157="",0,求节点($C$68:$C$76,F$68:F$76,基础状态预期!M157)*求节点(武将升级!$H$52:$H$54,武将升级!$J$52:$J$54,基础状态预期!W157))</f>
        <v>0</v>
      </c>
      <c r="AO144" s="29">
        <f>IF(基础状态预期!N157="",0,求节点($C$68:$C$76,G$68:G$76,基础状态预期!N157)*求节点(武将升级!$H$52:$H$54,武将升级!$J$52:$J$54,基础状态预期!X157))</f>
        <v>0.49207502116087176</v>
      </c>
      <c r="AP144" s="29">
        <f>IF(基础状态预期!O157="",0,求节点($C$68:$C$76,H$68:H$76,基础状态预期!O157)*求节点(武将升级!$H$52:$H$54,武将升级!$J$52:$J$54,基础状态预期!Y157))</f>
        <v>0</v>
      </c>
      <c r="AQ144" s="29">
        <f>MAX(SUMPRODUCT(AL144:AP144,基础状态预期!$F157:$J157)/SUM(基础状态预期!$F157:$J157),AQ143)</f>
        <v>0.49207502116087176</v>
      </c>
      <c r="AR144" s="29">
        <f>IF(基础状态预期!K157="",0,求节点($C$158:$C$166,D$158:D$166,基础状态预期!K157))</f>
        <v>0</v>
      </c>
      <c r="AS144" s="29">
        <f>IF(基础状态预期!L157="",0,求节点($C$158:$C$166,E$158:E$166,基础状态预期!L157))</f>
        <v>0</v>
      </c>
      <c r="AT144" s="29">
        <f>IF(基础状态预期!M157="",0,求节点($C$158:$C$166,F$158:F$166,基础状态预期!M157))</f>
        <v>0</v>
      </c>
      <c r="AU144" s="29">
        <f>IF(基础状态预期!N157="",0,求节点($C$158:$C$166,G$158:G$166,基础状态预期!N157))</f>
        <v>0.26840627057306976</v>
      </c>
      <c r="AV144" s="29">
        <f>IF(基础状态预期!O157="",0,求节点($C$158:$C$166,H$158:H$166,基础状态预期!O157))</f>
        <v>0</v>
      </c>
      <c r="AW144" s="29">
        <f>MAX(SUMPRODUCT(AR144:AV144,基础状态预期!$F157:$J157)/SUM(基础状态预期!$F157:$J157),AW143)</f>
        <v>0.26840627057306976</v>
      </c>
      <c r="BA144" s="29">
        <v>60</v>
      </c>
      <c r="BB144" s="29">
        <f t="shared" si="60"/>
        <v>118.1333964487862</v>
      </c>
      <c r="BC144" s="29">
        <f t="shared" si="61"/>
        <v>0.69734112977663265</v>
      </c>
      <c r="BD144" s="29">
        <f>(BB144-BB143)*(INDEX([2]大r将兵属性验证!$V$7:$V$166,$BA144,1)+INDEX([2]大r将兵属性验证!$AP$7:$AP$166,$BA144,1))+BD143</f>
        <v>889032754.09529972</v>
      </c>
      <c r="BE144" s="29" t="e">
        <f>(BC144-BC143)*(INDEX([2]大r将兵属性验证!$AC$7:$AC$166,$BA144,1)*[2]战法技能效用!$AB$4+INDEX([2]大r将兵属性验证!$AX$7:$AX$166,$BA144,1)*[2]战法技能效用!$AC$4)+BE143</f>
        <v>#VALUE!</v>
      </c>
      <c r="BF144" s="75" t="e">
        <f t="shared" si="67"/>
        <v>#VALUE!</v>
      </c>
      <c r="BJ144" s="29">
        <f t="shared" si="65"/>
        <v>42.970748198558951</v>
      </c>
      <c r="BK144" s="75">
        <f>武将数量星级阶位验证!AT147</f>
        <v>246642.59581297101</v>
      </c>
      <c r="BL144" s="75">
        <f>(AD144-AD143)*INDEX('[1]功能-付费相关'!$AT$6:$AT$165,BJ144,1)+BL143</f>
        <v>1326.056549013746</v>
      </c>
      <c r="BN144" s="29">
        <v>60</v>
      </c>
      <c r="BO144" s="29">
        <f t="shared" si="63"/>
        <v>582423.04139926273</v>
      </c>
      <c r="BP144" s="29">
        <f t="shared" si="64"/>
        <v>5017.4627611696569</v>
      </c>
      <c r="BQ144" s="29">
        <f t="shared" si="66"/>
        <v>587440.50416043238</v>
      </c>
    </row>
    <row r="145" spans="2:69" x14ac:dyDescent="0.15">
      <c r="M145" s="72">
        <v>10</v>
      </c>
      <c r="N145" s="29">
        <f>基础状态预期!D158</f>
        <v>48.731413734867289</v>
      </c>
      <c r="O145" s="29">
        <f>IF(基础状态预期!F158="",0,求节点($C$104:$C$112,D$104:D$112,基础状态预期!K158))</f>
        <v>0</v>
      </c>
      <c r="P145" s="29">
        <f>IF(基础状态预期!G158="",0,求节点($C$104:$C$112,E$104:E$112,基础状态预期!L158))</f>
        <v>0</v>
      </c>
      <c r="Q145" s="29">
        <f>IF(基础状态预期!H158="",0,求节点($C$104:$C$112,F$104:F$112,基础状态预期!M158))</f>
        <v>0</v>
      </c>
      <c r="R145" s="29">
        <f>IF(基础状态预期!I158="",0,求节点($C$104:$C$112,G$104:G$112,基础状态预期!N158))</f>
        <v>7.6916044042569656</v>
      </c>
      <c r="S145" s="29">
        <f>IF(基础状态预期!J158="",0,求节点($C$104:$C$112,H$104:H$112,基础状态预期!O158))</f>
        <v>0</v>
      </c>
      <c r="T145" s="29">
        <f>IF(基础状态预期!F158="",0,求节点($C$114:$C$122,D$114:D$122,基础状态预期!K158)*基础状态预期!F158+求节点($C$124:$C$132,D$124:D$132,基础状态预期!$O158)*基础状态预期!$J158)</f>
        <v>0</v>
      </c>
      <c r="U145" s="29">
        <f>IF(基础状态预期!G158="",0,求节点($C$114:$C$122,E$114:E$122,基础状态预期!L158)*基础状态预期!G158+求节点($C$124:$C$132,E$124:E$132,基础状态预期!$O158)*基础状态预期!$J158)</f>
        <v>0</v>
      </c>
      <c r="V145" s="29">
        <f>IF(基础状态预期!H158="",0,求节点($C$114:$C$122,F$114:F$122,基础状态预期!M158)*基础状态预期!H158+求节点($C$124:$C$132,F$124:F$132,基础状态预期!$O158)*基础状态预期!$J158)</f>
        <v>0</v>
      </c>
      <c r="W145" s="148">
        <f>IF(基础状态预期!I158="",0,求节点($C$114:$C$122,G$114:G$122,基础状态预期!N158)*基础状态预期!I158)+IF(基础状态预期!O158="",0,求节点($C$124:$C$132,G$124:G$132,基础状态预期!$O158)*基础状态预期!$J158)</f>
        <v>16.149626425541793</v>
      </c>
      <c r="X145" s="29">
        <f>IF(基础状态预期!J158="",0,求节点($C$114:$C$122,H$114:H$122,基础状态预期!O158)*基础状态预期!J158+求节点($C$124:$C$132,H$124:H$132,基础状态预期!$O158)*基础状态预期!$J158)</f>
        <v>0</v>
      </c>
      <c r="Y145" s="14">
        <f>IF(基础状态预期!K158="",0,求节点($C$92:$C$100,D$92:D$100,基础状态预期!K158))</f>
        <v>0</v>
      </c>
      <c r="Z145" s="14">
        <f>IF(基础状态预期!L158="",0,求节点($C$92:$C$100,E$92:E$100,基础状态预期!L158))</f>
        <v>0</v>
      </c>
      <c r="AA145" s="14">
        <f>IF(基础状态预期!M158="",0,求节点($C$92:$C$100,F$92:F$100,基础状态预期!M158))</f>
        <v>0</v>
      </c>
      <c r="AB145" s="14">
        <f>IF(基础状态预期!N158="",0,求节点($C$92:$C$100,G$92:G$100,基础状态预期!N158))</f>
        <v>285328.35234055726</v>
      </c>
      <c r="AC145" s="14">
        <f>IF(基础状态预期!O158="",0,求节点($C$92:$C$100,H$92:H$100,基础状态预期!O158))</f>
        <v>0</v>
      </c>
      <c r="AD145" s="29">
        <f>MAX(SUMPRODUCT(Y145:AC145,基础状态预期!F158:J158),AD144)</f>
        <v>1711970.1140433436</v>
      </c>
      <c r="AF145" s="29" t="str">
        <f>IF(基础状态预期!K158="","",基础状态预期!K158*D$59+D$58)</f>
        <v/>
      </c>
      <c r="AG145" s="29" t="str">
        <f>IF(基础状态预期!L158="","",基础状态预期!L158*E$59+E$58)</f>
        <v/>
      </c>
      <c r="AH145" s="29" t="str">
        <f>IF(基础状态预期!M158="","",基础状态预期!M158*F$59+F$58)</f>
        <v/>
      </c>
      <c r="AI145" s="29">
        <f>IF(基础状态预期!N158="","",基础状态预期!N158*G$59+G$58)</f>
        <v>109.22901101064241</v>
      </c>
      <c r="AJ145" s="29" t="str">
        <f>IF(基础状态预期!O158="","",基础状态预期!O158*H$59+H$58)</f>
        <v/>
      </c>
      <c r="AK145" s="29">
        <f>MAX(SUMPRODUCT(AF145:AJ145,基础状态预期!$F158:$J158)/SUM(基础状态预期!$F158:$J158),AK144)</f>
        <v>109.22901101064241</v>
      </c>
      <c r="AL145" s="29">
        <f>IF(基础状态预期!K158="",0,求节点($C$68:$C$76,D$68:D$76,基础状态预期!K158))</f>
        <v>0</v>
      </c>
      <c r="AM145" s="29">
        <f>IF(基础状态预期!L158="",0,求节点($C$68:$C$76,E$68:E$76,基础状态预期!L158))</f>
        <v>0</v>
      </c>
      <c r="AN145" s="29">
        <f>IF(基础状态预期!M158="",0,求节点($C$68:$C$76,F$68:F$76,基础状态预期!M158)*求节点(武将升级!$H$52:$H$54,武将升级!$J$52:$J$54,基础状态预期!W158))</f>
        <v>0</v>
      </c>
      <c r="AO145" s="29">
        <f>IF(基础状态预期!N158="",0,求节点($C$68:$C$76,G$68:G$76,基础状态预期!N158)*求节点(武将升级!$H$52:$H$54,武将升级!$J$52:$J$54,基础状态预期!X158))</f>
        <v>0.56489775855325086</v>
      </c>
      <c r="AP145" s="29">
        <f>IF(基础状态预期!O158="",0,求节点($C$68:$C$76,H$68:H$76,基础状态预期!O158)*求节点(武将升级!$H$52:$H$54,武将升级!$J$52:$J$54,基础状态预期!Y158))</f>
        <v>0</v>
      </c>
      <c r="AQ145" s="29">
        <f>MAX(SUMPRODUCT(AL145:AP145,基础状态预期!$F158:$J158)/SUM(基础状态预期!$F158:$J158),AQ144)</f>
        <v>0.56489775855325086</v>
      </c>
      <c r="AR145" s="29">
        <f>IF(基础状态预期!K158="",0,求节点($C$158:$C$166,D$158:D$166,基础状态预期!K158))</f>
        <v>0</v>
      </c>
      <c r="AS145" s="29">
        <f>IF(基础状态预期!L158="",0,求节点($C$158:$C$166,E$158:E$166,基础状态预期!L158))</f>
        <v>0</v>
      </c>
      <c r="AT145" s="29">
        <f>IF(基础状态预期!M158="",0,求节点($C$158:$C$166,F$158:F$166,基础状态预期!M158))</f>
        <v>0</v>
      </c>
      <c r="AU145" s="29">
        <f>IF(基础状态预期!N158="",0,求节点($C$158:$C$166,G$158:G$166,基础状态预期!N158))</f>
        <v>0.3392061541489938</v>
      </c>
      <c r="AV145" s="29">
        <f>IF(基础状态预期!O158="",0,求节点($C$158:$C$166,H$158:H$166,基础状态预期!O158))</f>
        <v>0</v>
      </c>
      <c r="AW145" s="29">
        <f>MAX(SUMPRODUCT(AR145:AV145,基础状态预期!$F158:$J158)/SUM(基础状态预期!$F158:$J158),AW144)</f>
        <v>0.33920615414899374</v>
      </c>
      <c r="BA145" s="29">
        <v>70</v>
      </c>
      <c r="BB145" s="29">
        <f t="shared" si="60"/>
        <v>131.79968241973603</v>
      </c>
      <c r="BC145" s="29">
        <f t="shared" si="61"/>
        <v>0.90090890131676482</v>
      </c>
      <c r="BD145" s="29">
        <f>(BB145-BB144)*(INDEX([2]大r将兵属性验证!$V$7:$V$166,$BA145,1)+INDEX([2]大r将兵属性验证!$AP$7:$AP$166,$BA145,1))+BD144</f>
        <v>3546692568.092907</v>
      </c>
      <c r="BE145" s="29" t="e">
        <f>(BC145-BC144)*(INDEX([2]大r将兵属性验证!$AC$7:$AC$166,$BA145,1)*[2]战法技能效用!$AB$4+INDEX([2]大r将兵属性验证!$AX$7:$AX$166,$BA145,1)*[2]战法技能效用!$AC$4)+BE144</f>
        <v>#VALUE!</v>
      </c>
      <c r="BF145" s="75" t="e">
        <f t="shared" si="67"/>
        <v>#VALUE!</v>
      </c>
      <c r="BJ145" s="29">
        <f t="shared" si="65"/>
        <v>48.731413734867289</v>
      </c>
      <c r="BK145" s="75">
        <f>武将数量星级阶位验证!AT148</f>
        <v>328214.76056801237</v>
      </c>
      <c r="BL145" s="75">
        <f>(AD145-AD144)*INDEX('[1]功能-付费相关'!$AT$6:$AT$165,BJ145,1)+BL144</f>
        <v>2592.3491242564523</v>
      </c>
      <c r="BN145" s="29">
        <v>70</v>
      </c>
      <c r="BO145" s="29">
        <f t="shared" si="63"/>
        <v>1018034.7361073029</v>
      </c>
      <c r="BP145" s="29">
        <f t="shared" si="64"/>
        <v>8578.4720707454926</v>
      </c>
      <c r="BQ145" s="29">
        <f t="shared" si="66"/>
        <v>1026613.2081780485</v>
      </c>
    </row>
    <row r="146" spans="2:69" x14ac:dyDescent="0.15">
      <c r="D146" s="20">
        <v>0</v>
      </c>
      <c r="E146" s="20">
        <v>0.06</v>
      </c>
      <c r="F146" s="20">
        <f t="shared" ref="F146:H148" si="68">F68*1.2</f>
        <v>0.12</v>
      </c>
      <c r="G146" s="20">
        <f t="shared" si="68"/>
        <v>0.25919999999999999</v>
      </c>
      <c r="H146" s="20">
        <f t="shared" si="68"/>
        <v>0.6</v>
      </c>
      <c r="I146" s="20"/>
      <c r="M146" s="72">
        <v>11</v>
      </c>
      <c r="N146" s="29">
        <f>基础状态预期!D159</f>
        <v>52.769987980532711</v>
      </c>
      <c r="O146" s="29">
        <f>IF(基础状态预期!F159="",0,求节点($C$104:$C$112,D$104:D$112,基础状态预期!K159))</f>
        <v>0</v>
      </c>
      <c r="P146" s="29">
        <f>IF(基础状态预期!G159="",0,求节点($C$104:$C$112,E$104:E$112,基础状态预期!L159))</f>
        <v>0</v>
      </c>
      <c r="Q146" s="29">
        <f>IF(基础状态预期!H159="",0,求节点($C$104:$C$112,F$104:F$112,基础状态预期!M159))</f>
        <v>0</v>
      </c>
      <c r="R146" s="29">
        <f>IF(基础状态预期!I159="",0,求节点($C$104:$C$112,G$104:G$112,基础状态预期!N159))</f>
        <v>9.3277628081229444</v>
      </c>
      <c r="S146" s="29">
        <f>IF(基础状态预期!J159="",0,求节点($C$104:$C$112,H$104:H$112,基础状态预期!O159))</f>
        <v>1.8701585483451084</v>
      </c>
      <c r="T146" s="29">
        <f>IF(基础状态预期!F159="",0,求节点($C$114:$C$122,D$114:D$122,基础状态预期!K159)*基础状态预期!F159+求节点($C$124:$C$132,D$124:D$132,基础状态预期!$O159)*基础状态预期!$J159)</f>
        <v>0</v>
      </c>
      <c r="U146" s="29">
        <f>IF(基础状态预期!G159="",0,求节点($C$114:$C$122,E$114:E$122,基础状态预期!L159)*基础状态预期!G159+求节点($C$124:$C$132,E$124:E$132,基础状态预期!$O159)*基础状态预期!$J159)</f>
        <v>0</v>
      </c>
      <c r="V146" s="29">
        <f>IF(基础状态预期!H159="",0,求节点($C$114:$C$122,F$114:F$122,基础状态预期!M159)*基础状态预期!H159+求节点($C$124:$C$132,F$124:F$132,基础状态预期!$O159)*基础状态预期!$J159)</f>
        <v>0</v>
      </c>
      <c r="W146" s="148">
        <f>IF(基础状态预期!I159="",0,求节点($C$114:$C$122,G$114:G$122,基础状态预期!N159)*基础状态预期!I159)+IF(基础状态预期!O159="",0,求节点($C$124:$C$132,G$124:G$132,基础状态预期!$O159)*基础状态预期!$J159)</f>
        <v>15</v>
      </c>
      <c r="X146" s="29">
        <f>IF(基础状态预期!J159="",0,求节点($C$114:$C$122,H$114:H$122,基础状态预期!O159)*基础状态预期!J159+求节点($C$124:$C$132,H$124:H$132,基础状态预期!$O159)*基础状态预期!$J159)</f>
        <v>0</v>
      </c>
      <c r="Y146" s="14">
        <f>IF(基础状态预期!K159="",0,求节点($C$92:$C$100,D$92:D$100,基础状态预期!K159))</f>
        <v>0</v>
      </c>
      <c r="Z146" s="14">
        <f>IF(基础状态预期!L159="",0,求节点($C$92:$C$100,E$92:E$100,基础状态预期!L159))</f>
        <v>0</v>
      </c>
      <c r="AA146" s="14">
        <f>IF(基础状态预期!M159="",0,求节点($C$92:$C$100,F$92:F$100,基础状态预期!M159))</f>
        <v>0</v>
      </c>
      <c r="AB146" s="14">
        <f>IF(基础状态预期!N159="",0,求节点($C$92:$C$100,G$92:G$100,基础状态预期!N159))</f>
        <v>451628.03286644735</v>
      </c>
      <c r="AC146" s="14">
        <f>IF(基础状态预期!O159="",0,求节点($C$92:$C$100,H$92:H$100,基础状态预期!O159))</f>
        <v>13052.378225176626</v>
      </c>
      <c r="AD146" s="29">
        <f>MAX(SUMPRODUCT(Y146:AC146,基础状态预期!F159:J159),AD145)</f>
        <v>2271192.5425574132</v>
      </c>
      <c r="AF146" s="29" t="str">
        <f>IF(基础状态预期!K159="","",基础状态预期!K159*D$59+D$58)</f>
        <v/>
      </c>
      <c r="AG146" s="29" t="str">
        <f>IF(基础状态预期!L159="","",基础状态预期!L159*E$59+E$58)</f>
        <v/>
      </c>
      <c r="AH146" s="29" t="str">
        <f>IF(基础状态预期!M159="","",基础状态预期!M159*F$59+F$58)</f>
        <v/>
      </c>
      <c r="AI146" s="29">
        <f>IF(基础状态预期!N159="","",基础状态预期!N159*G$59+G$58)</f>
        <v>112.21293801353823</v>
      </c>
      <c r="AJ146" s="29">
        <f>IF(基础状态预期!O159="","",基础状态预期!O159*H$59+H$58)</f>
        <v>105.22095129007064</v>
      </c>
      <c r="AK146" s="29">
        <f>MAX(SUMPRODUCT(AF146:AJ146,基础状态预期!$F159:$J159)/SUM(基础状态预期!$F159:$J159),AK145)</f>
        <v>111.04760689296029</v>
      </c>
      <c r="AL146" s="29">
        <f>IF(基础状态预期!K159="",0,求节点($C$68:$C$76,D$68:D$76,基础状态预期!K159))</f>
        <v>0</v>
      </c>
      <c r="AM146" s="29">
        <f>IF(基础状态预期!L159="",0,求节点($C$68:$C$76,E$68:E$76,基础状态预期!L159))</f>
        <v>0</v>
      </c>
      <c r="AN146" s="29">
        <f>IF(基础状态预期!M159="",0,求节点($C$68:$C$76,F$68:F$76,基础状态预期!M159)*求节点(武将升级!$H$52:$H$54,武将升级!$J$52:$J$54,基础状态预期!W159))</f>
        <v>0</v>
      </c>
      <c r="AO146" s="29">
        <f>IF(基础状态预期!N159="",0,求节点($C$68:$C$76,G$68:G$76,基础状态预期!N159)*求节点(武将升级!$H$52:$H$54,武将升级!$J$52:$J$54,基础状态预期!X159))</f>
        <v>0.60786630739495073</v>
      </c>
      <c r="AP146" s="29">
        <f>IF(基础状态预期!O159="",0,求节点($C$68:$C$76,H$68:H$76,基础状态预期!O159)*求节点(武将升级!$H$52:$H$54,武将升级!$J$52:$J$54,基础状态预期!Y159))</f>
        <v>0.56961268386760866</v>
      </c>
      <c r="AQ146" s="29">
        <f>MAX(SUMPRODUCT(AL146:AP146,基础状态预期!$F159:$J159)/SUM(基础状态预期!$F159:$J159),AQ145)</f>
        <v>0.60149070347372702</v>
      </c>
      <c r="AR146" s="29">
        <f>IF(基础状态预期!K159="",0,求节点($C$158:$C$166,D$158:D$166,基础状态预期!K159))</f>
        <v>0</v>
      </c>
      <c r="AS146" s="29">
        <f>IF(基础状态预期!L159="",0,求节点($C$158:$C$166,E$158:E$166,基础状态预期!L159))</f>
        <v>0</v>
      </c>
      <c r="AT146" s="29">
        <f>IF(基础状态预期!M159="",0,求节点($C$158:$C$166,F$158:F$166,基础状态预期!M159))</f>
        <v>0</v>
      </c>
      <c r="AU146" s="29">
        <f>IF(基础状态预期!N159="",0,求节点($C$158:$C$166,G$158:G$166,基础状态预期!N159))</f>
        <v>0.38098113218953533</v>
      </c>
      <c r="AV146" s="29">
        <f>IF(基础状态预期!O159="",0,求节点($C$158:$C$166,H$158:H$166,基础状态预期!O159))</f>
        <v>8.7015854834510853E-2</v>
      </c>
      <c r="AW146" s="29">
        <f>MAX(SUMPRODUCT(AR146:AV146,基础状态预期!$F159:$J159)/SUM(基础状态预期!$F159:$J159),AW145)</f>
        <v>0.33920615414899374</v>
      </c>
      <c r="BA146" s="29">
        <v>80</v>
      </c>
      <c r="BB146" s="29">
        <f t="shared" si="60"/>
        <v>147.95877524943893</v>
      </c>
      <c r="BC146" s="29">
        <f t="shared" si="61"/>
        <v>1.1327927517192105</v>
      </c>
      <c r="BD146" s="29">
        <f>(BB146-BB145)*(INDEX([2]大r将兵属性验证!$V$7:$V$166,$BA146,1)+INDEX([2]大r将兵属性验证!$AP$7:$AP$166,$BA146,1))+BD145</f>
        <v>11879765352.794579</v>
      </c>
      <c r="BE146" s="29" t="e">
        <f>(BC146-BC145)*(INDEX([2]大r将兵属性验证!$AC$7:$AC$166,$BA146,1)*[2]战法技能效用!$AB$4+INDEX([2]大r将兵属性验证!$AX$7:$AX$166,$BA146,1)*[2]战法技能效用!$AC$4)+BE145</f>
        <v>#VALUE!</v>
      </c>
      <c r="BF146" s="75" t="e">
        <f t="shared" si="67"/>
        <v>#VALUE!</v>
      </c>
      <c r="BJ146" s="29">
        <f t="shared" si="65"/>
        <v>52.769987980532711</v>
      </c>
      <c r="BK146" s="75">
        <f>武将数量星级阶位验证!AT149</f>
        <v>399638.19109119818</v>
      </c>
      <c r="BL146" s="75">
        <f>(AD146-AD145)*INDEX('[1]功能-付费相关'!$AT$6:$AT$165,BJ146,1)+BL145</f>
        <v>3352.1622064766557</v>
      </c>
      <c r="BN146" s="29">
        <v>80</v>
      </c>
      <c r="BO146" s="29">
        <f t="shared" si="63"/>
        <v>1757752.5763641384</v>
      </c>
      <c r="BP146" s="29">
        <f t="shared" si="64"/>
        <v>25878.391002190619</v>
      </c>
      <c r="BQ146" s="29">
        <f t="shared" si="66"/>
        <v>1783630.9673663289</v>
      </c>
    </row>
    <row r="147" spans="2:69" x14ac:dyDescent="0.15">
      <c r="D147" s="20">
        <v>1.4999999999999999E-2</v>
      </c>
      <c r="E147" s="20">
        <v>0.09</v>
      </c>
      <c r="F147" s="20">
        <f t="shared" si="68"/>
        <v>0.18000000000000002</v>
      </c>
      <c r="G147" s="20">
        <f t="shared" si="68"/>
        <v>0.34560000000000002</v>
      </c>
      <c r="H147" s="20">
        <f t="shared" si="68"/>
        <v>0.69599999999999995</v>
      </c>
      <c r="I147" s="20"/>
      <c r="M147" s="72">
        <v>12</v>
      </c>
      <c r="N147" s="29">
        <f>基础状态预期!D160</f>
        <v>58.701446767877648</v>
      </c>
      <c r="O147" s="29">
        <f>IF(基础状态预期!F160="",0,求节点($C$104:$C$112,D$104:D$112,基础状态预期!K160))</f>
        <v>0</v>
      </c>
      <c r="P147" s="29">
        <f>IF(基础状态预期!G160="",0,求节点($C$104:$C$112,E$104:E$112,基础状态预期!L160))</f>
        <v>0</v>
      </c>
      <c r="Q147" s="29">
        <f>IF(基础状态预期!H160="",0,求节点($C$104:$C$112,F$104:F$112,基础状态预期!M160))</f>
        <v>0</v>
      </c>
      <c r="R147" s="29">
        <f>IF(基础状态预期!I160="",0,求节点($C$104:$C$112,G$104:G$112,基础状态预期!N160))</f>
        <v>11.647104144939732</v>
      </c>
      <c r="S147" s="29">
        <f>IF(基础状态预期!J160="",0,求节点($C$104:$C$112,H$104:H$112,基础状态预期!O160))</f>
        <v>3.7681293702554006</v>
      </c>
      <c r="T147" s="29">
        <f>IF(基础状态预期!F160="",0,求节点($C$114:$C$122,D$114:D$122,基础状态预期!K160)*基础状态预期!F160+求节点($C$124:$C$132,D$124:D$132,基础状态预期!$O160)*基础状态预期!$J160)</f>
        <v>0</v>
      </c>
      <c r="U147" s="29">
        <f>IF(基础状态预期!G160="",0,求节点($C$114:$C$122,E$114:E$122,基础状态预期!L160)*基础状态预期!G160+求节点($C$124:$C$132,E$124:E$132,基础状态预期!$O160)*基础状态预期!$J160)</f>
        <v>0</v>
      </c>
      <c r="V147" s="29">
        <f>IF(基础状态预期!H160="",0,求节点($C$114:$C$122,F$114:F$122,基础状态预期!M160)*基础状态预期!H160+求节点($C$124:$C$132,F$124:F$132,基础状态预期!$O160)*基础状态预期!$J160)</f>
        <v>0</v>
      </c>
      <c r="W147" s="148">
        <f>IF(基础状态预期!I160="",0,求节点($C$114:$C$122,G$114:G$122,基础状态预期!N160)*基础状态预期!I160)+IF(基础状态预期!O160="",0,求节点($C$124:$C$132,G$124:G$132,基础状态预期!$O160)*基础状态预期!$J160)</f>
        <v>19.197192801291337</v>
      </c>
      <c r="X147" s="29">
        <f>IF(基础状态预期!J160="",0,求节点($C$114:$C$122,H$114:H$122,基础状态预期!O160)*基础状态预期!J160+求节点($C$124:$C$132,H$124:H$132,基础状态预期!$O160)*基础状态预期!$J160)</f>
        <v>0</v>
      </c>
      <c r="Y147" s="14">
        <f>IF(基础状态预期!K160="",0,求节点($C$92:$C$100,D$92:D$100,基础状态预期!K160))</f>
        <v>0</v>
      </c>
      <c r="Z147" s="14">
        <f>IF(基础状态预期!L160="",0,求节点($C$92:$C$100,E$92:E$100,基础状态预期!L160))</f>
        <v>0</v>
      </c>
      <c r="AA147" s="14">
        <f>IF(基础状态预期!M160="",0,求节点($C$92:$C$100,F$92:F$100,基础状态预期!M160))</f>
        <v>0</v>
      </c>
      <c r="AB147" s="14">
        <f>IF(基础状态预期!N160="",0,求节点($C$92:$C$100,G$92:G$100,基础状态预期!N160))</f>
        <v>768048.88425380969</v>
      </c>
      <c r="AC147" s="14">
        <f>IF(基础状态预期!O160="",0,求节点($C$92:$C$100,H$92:H$100,基础状态预期!O160))</f>
        <v>91087.762215324037</v>
      </c>
      <c r="AD147" s="29">
        <f>MAX(SUMPRODUCT(Y147:AC147,基础状态预期!F160:J160),AD146)</f>
        <v>3254371.0614458867</v>
      </c>
      <c r="AF147" s="29" t="str">
        <f>IF(基础状态预期!K160="","",基础状态预期!K160*D$59+D$58)</f>
        <v/>
      </c>
      <c r="AG147" s="29" t="str">
        <f>IF(基础状态预期!L160="","",基础状态预期!L160*E$59+E$58)</f>
        <v/>
      </c>
      <c r="AH147" s="29" t="str">
        <f>IF(基础状态预期!M160="","",基础状态预期!M160*F$59+F$58)</f>
        <v/>
      </c>
      <c r="AI147" s="29">
        <f>IF(基础状态预期!N160="","",基础状态预期!N160*G$59+G$58)</f>
        <v>116.0785069082329</v>
      </c>
      <c r="AJ147" s="29">
        <f>IF(基础状态预期!O160="","",基础状态预期!O160*H$59+H$58)</f>
        <v>116.60877622153239</v>
      </c>
      <c r="AK147" s="29">
        <f>MAX(SUMPRODUCT(AF147:AJ147,基础状态预期!$F160:$J160)/SUM(基础状态预期!$F160:$J160),AK146)</f>
        <v>116.25526334599938</v>
      </c>
      <c r="AL147" s="29">
        <f>IF(基础状态预期!K160="",0,求节点($C$68:$C$76,D$68:D$76,基础状态预期!K160))</f>
        <v>0</v>
      </c>
      <c r="AM147" s="29">
        <f>IF(基础状态预期!L160="",0,求节点($C$68:$C$76,E$68:E$76,基础状态预期!L160))</f>
        <v>0</v>
      </c>
      <c r="AN147" s="29">
        <f>IF(基础状态预期!M160="",0,求节点($C$68:$C$76,F$68:F$76,基础状态预期!M160)*求节点(武将升级!$H$52:$H$54,武将升级!$J$52:$J$54,基础状态预期!W160))</f>
        <v>0</v>
      </c>
      <c r="AO147" s="29">
        <f>IF(基础状态预期!N160="",0,求节点($C$68:$C$76,G$68:G$76,基础状态预期!N160)*求节点(武将升级!$H$52:$H$54,武将升级!$J$52:$J$54,基础状态预期!X160))</f>
        <v>0.66353049947855369</v>
      </c>
      <c r="AP147" s="29">
        <f>IF(基础状态预期!O160="",0,求节点($C$68:$C$76,H$68:H$76,基础状态预期!O160)*求节点(武将升级!$H$52:$H$54,武将升级!$J$52:$J$54,基础状态预期!Y160))</f>
        <v>0.72145034962043197</v>
      </c>
      <c r="AQ147" s="29">
        <f>MAX(SUMPRODUCT(AL147:AP147,基础状态预期!$F160:$J160)/SUM(基础状态预期!$F160:$J160),AQ146)</f>
        <v>0.68283711619251308</v>
      </c>
      <c r="AR147" s="29">
        <f>IF(基础状态预期!K160="",0,求节点($C$158:$C$166,D$158:D$166,基础状态预期!K160))</f>
        <v>0</v>
      </c>
      <c r="AS147" s="29">
        <f>IF(基础状态预期!L160="",0,求节点($C$158:$C$166,E$158:E$166,基础状态预期!L160))</f>
        <v>0</v>
      </c>
      <c r="AT147" s="29">
        <f>IF(基础状态预期!M160="",0,求节点($C$158:$C$166,F$158:F$166,基础状态预期!M160))</f>
        <v>0</v>
      </c>
      <c r="AU147" s="29">
        <f>IF(基础状态预期!N160="",0,求节点($C$158:$C$166,G$158:G$166,基础状态预期!N160))</f>
        <v>0.43509909671526042</v>
      </c>
      <c r="AV147" s="29">
        <f>IF(基础状态预期!O160="",0,求节点($C$158:$C$166,H$158:H$166,基础状态预期!O160))</f>
        <v>0.27681293702554005</v>
      </c>
      <c r="AW147" s="29">
        <f>MAX(SUMPRODUCT(AR147:AV147,基础状态预期!$F160:$J160)/SUM(基础状态预期!$F160:$J160),AW146)</f>
        <v>0.38233704348535363</v>
      </c>
      <c r="BA147" s="29">
        <v>90</v>
      </c>
      <c r="BB147" s="29">
        <f t="shared" si="60"/>
        <v>148</v>
      </c>
      <c r="BC147" s="29">
        <f t="shared" si="61"/>
        <v>1.1399999999999999</v>
      </c>
      <c r="BD147" s="29">
        <f>(BB147-BB146)*(INDEX([2]大r将兵属性验证!$V$7:$V$166,$BA147,1)+INDEX([2]大r将兵属性验证!$AP$7:$AP$166,$BA147,1))+BD146</f>
        <v>11933208399.50482</v>
      </c>
      <c r="BE147" s="29" t="e">
        <f>(BC147-BC146)*(INDEX([2]大r将兵属性验证!$AC$7:$AC$166,$BA147,1)*[2]战法技能效用!$AB$4+INDEX([2]大r将兵属性验证!$AX$7:$AX$166,$BA147,1)*[2]战法技能效用!$AC$4)+BE146</f>
        <v>#VALUE!</v>
      </c>
      <c r="BF147" s="75" t="e">
        <f t="shared" si="67"/>
        <v>#VALUE!</v>
      </c>
      <c r="BJ147" s="29">
        <f t="shared" si="65"/>
        <v>58.701446767877648</v>
      </c>
      <c r="BK147" s="75">
        <f>武将数量星级阶位验证!AT150</f>
        <v>535624.59570317483</v>
      </c>
      <c r="BL147" s="75">
        <f>(AD147-AD146)*INDEX('[1]功能-付费相关'!$AT$6:$AT$165,BJ147,1)+BL146</f>
        <v>4606.2164397527695</v>
      </c>
      <c r="BN147" s="29">
        <v>90</v>
      </c>
      <c r="BO147" s="29">
        <f t="shared" si="63"/>
        <v>2963948.5794525016</v>
      </c>
      <c r="BP147" s="29">
        <f t="shared" si="64"/>
        <v>25960.159102477042</v>
      </c>
      <c r="BQ147" s="29">
        <f t="shared" si="66"/>
        <v>2989908.7385549787</v>
      </c>
    </row>
    <row r="148" spans="2:69" x14ac:dyDescent="0.15">
      <c r="D148" s="20">
        <v>0.03</v>
      </c>
      <c r="E148" s="20">
        <v>0.12</v>
      </c>
      <c r="F148" s="20">
        <f t="shared" si="68"/>
        <v>0.24</v>
      </c>
      <c r="G148" s="20">
        <f t="shared" si="68"/>
        <v>0.43200000000000005</v>
      </c>
      <c r="H148" s="20">
        <f t="shared" si="68"/>
        <v>0.79199999999999993</v>
      </c>
      <c r="I148" s="20"/>
      <c r="M148" s="72">
        <v>13</v>
      </c>
      <c r="N148" s="29">
        <f>基础状态预期!D161</f>
        <v>64.399012521055653</v>
      </c>
      <c r="O148" s="29">
        <f>IF(基础状态预期!F161="",0,求节点($C$104:$C$112,D$104:D$112,基础状态预期!K161))</f>
        <v>0</v>
      </c>
      <c r="P148" s="29">
        <f>IF(基础状态预期!G161="",0,求节点($C$104:$C$112,E$104:E$112,基础状态预期!L161))</f>
        <v>0</v>
      </c>
      <c r="Q148" s="29">
        <f>IF(基础状态预期!H161="",0,求节点($C$104:$C$112,F$104:F$112,基础状态预期!M161))</f>
        <v>0</v>
      </c>
      <c r="R148" s="29">
        <f>IF(基础状态预期!I161="",0,求节点($C$104:$C$112,G$104:G$112,基础状态预期!N161))</f>
        <v>13.135997951288616</v>
      </c>
      <c r="S148" s="29">
        <f>IF(基础状态预期!J161="",0,求节点($C$104:$C$112,H$104:H$112,基础状态预期!O161))</f>
        <v>8.2158104399572736</v>
      </c>
      <c r="T148" s="29">
        <f>IF(基础状态预期!F161="",0,求节点($C$114:$C$122,D$114:D$122,基础状态预期!K161)*基础状态预期!F161+求节点($C$124:$C$132,D$124:D$132,基础状态预期!$O161)*基础状态预期!$J161)</f>
        <v>0</v>
      </c>
      <c r="U148" s="29">
        <f>IF(基础状态预期!G161="",0,求节点($C$114:$C$122,E$114:E$122,基础状态预期!L161)*基础状态预期!G161+求节点($C$124:$C$132,E$124:E$132,基础状态预期!$O161)*基础状态预期!$J161)</f>
        <v>0</v>
      </c>
      <c r="V148" s="29">
        <f>IF(基础状态预期!H161="",0,求节点($C$114:$C$122,F$114:F$122,基础状态预期!M161)*基础状态预期!H161+求节点($C$124:$C$132,F$124:F$132,基础状态预期!$O161)*基础状态预期!$J161)</f>
        <v>0</v>
      </c>
      <c r="W148" s="148">
        <f>IF(基础状态预期!I161="",0,求节点($C$114:$C$122,G$114:G$122,基础状态预期!N161)*基础状态预期!I161)+IF(基础状态预期!O161="",0,求节点($C$124:$C$132,G$124:G$132,基础状态预期!$O161)*基础状态预期!$J161)</f>
        <v>33.407993853865847</v>
      </c>
      <c r="X148" s="29">
        <f>IF(基础状态预期!J161="",0,求节点($C$114:$C$122,H$114:H$122,基础状态预期!O161)*基础状态预期!J161+求节点($C$124:$C$132,H$124:H$132,基础状态预期!$O161)*基础状态预期!$J161)</f>
        <v>0</v>
      </c>
      <c r="Y148" s="14">
        <f>IF(基础状态预期!K161="",0,求节点($C$92:$C$100,D$92:D$100,基础状态预期!K161))</f>
        <v>0</v>
      </c>
      <c r="Z148" s="14">
        <f>IF(基础状态预期!L161="",0,求节点($C$92:$C$100,E$92:E$100,基础状态预期!L161))</f>
        <v>0</v>
      </c>
      <c r="AA148" s="14">
        <f>IF(基础状态预期!M161="",0,求节点($C$92:$C$100,F$92:F$100,基础状态预期!M161))</f>
        <v>0</v>
      </c>
      <c r="AB148" s="14">
        <f>IF(基础状态预期!N161="",0,求节点($C$92:$C$100,G$92:G$100,基础状态预期!N161))</f>
        <v>1085679.5629415712</v>
      </c>
      <c r="AC148" s="14">
        <f>IF(基础状态预期!O161="",0,求节点($C$92:$C$100,H$92:H$100,基础状态预期!O161))</f>
        <v>499529.67039316375</v>
      </c>
      <c r="AD148" s="29">
        <f>MAX(SUMPRODUCT(Y148:AC148,基础状态预期!F161:J161),AD147)</f>
        <v>4755627.7000042051</v>
      </c>
      <c r="AF148" s="29" t="str">
        <f>IF(基础状态预期!K161="","",基础状态预期!K161*D$59+D$58)</f>
        <v/>
      </c>
      <c r="AG148" s="29" t="str">
        <f>IF(基础状态预期!L161="","",基础状态预期!L161*E$59+E$58)</f>
        <v/>
      </c>
      <c r="AH148" s="29" t="str">
        <f>IF(基础状态预期!M161="","",基础状态预期!M161*F$59+F$58)</f>
        <v/>
      </c>
      <c r="AI148" s="29">
        <f>IF(基础状态预期!N161="","",基础状态预期!N161*G$59+G$58)</f>
        <v>118.55999658548103</v>
      </c>
      <c r="AJ148" s="29">
        <f>IF(基础状态预期!O161="","",基础状态预期!O161*H$59+H$58)</f>
        <v>130.43162087991453</v>
      </c>
      <c r="AK148" s="29">
        <f>MAX(SUMPRODUCT(AF148:AJ148,基础状态预期!$F161:$J161)/SUM(基础状态预期!$F161:$J161),AK147)</f>
        <v>124.49580873269777</v>
      </c>
      <c r="AL148" s="29">
        <f>IF(基础状态预期!K161="",0,求节点($C$68:$C$76,D$68:D$76,基础状态预期!K161))</f>
        <v>0</v>
      </c>
      <c r="AM148" s="29">
        <f>IF(基础状态预期!L161="",0,求节点($C$68:$C$76,E$68:E$76,基础状态预期!L161))</f>
        <v>0</v>
      </c>
      <c r="AN148" s="29">
        <f>IF(基础状态预期!M161="",0,求节点($C$68:$C$76,F$68:F$76,基础状态预期!M161)*求节点(武将升级!$H$52:$H$54,武将升级!$J$52:$J$54,基础状态预期!W161))</f>
        <v>0</v>
      </c>
      <c r="AO148" s="29">
        <f>IF(基础状态预期!N161="",0,求节点($C$68:$C$76,G$68:G$76,基础状态预期!N161)*求节点(武将升级!$H$52:$H$54,武将升级!$J$52:$J$54,基础状态预期!X161))</f>
        <v>0.69926395083092696</v>
      </c>
      <c r="AP148" s="29">
        <f>IF(基础状态预期!O161="",0,求节点($C$68:$C$76,H$68:H$76,基础状态预期!O161)*求节点(武将升级!$H$52:$H$54,武将升级!$J$52:$J$54,基础状态预期!Y161))</f>
        <v>0.90575494506552712</v>
      </c>
      <c r="AQ148" s="29">
        <f>MAX(SUMPRODUCT(AL148:AP148,基础状态预期!$F161:$J161)/SUM(基础状态预期!$F161:$J161),AQ147)</f>
        <v>0.80250944794822698</v>
      </c>
      <c r="AR148" s="29">
        <f>IF(基础状态预期!K161="",0,求节点($C$158:$C$166,D$158:D$166,基础状态预期!K161))</f>
        <v>0</v>
      </c>
      <c r="AS148" s="29">
        <f>IF(基础状态预期!L161="",0,求节点($C$158:$C$166,E$158:E$166,基础状态预期!L161))</f>
        <v>0</v>
      </c>
      <c r="AT148" s="29">
        <f>IF(基础状态预期!M161="",0,求节点($C$158:$C$166,F$158:F$166,基础状态预期!M161))</f>
        <v>0</v>
      </c>
      <c r="AU148" s="29">
        <f>IF(基础状态预期!N161="",0,求节点($C$158:$C$166,G$158:G$166,基础状态预期!N161))</f>
        <v>0.46983995219673436</v>
      </c>
      <c r="AV148" s="29">
        <f>IF(基础状态预期!O161="",0,求节点($C$158:$C$166,H$158:H$166,基础状态预期!O161))</f>
        <v>0.50719368133190912</v>
      </c>
      <c r="AW148" s="29">
        <f>MAX(SUMPRODUCT(AR148:AV148,基础状态预期!$F161:$J161)/SUM(基础状态预期!$F161:$J161),AW147)</f>
        <v>0.48851681676432174</v>
      </c>
      <c r="BA148" s="29">
        <v>100</v>
      </c>
      <c r="BB148" s="29">
        <f t="shared" si="60"/>
        <v>148</v>
      </c>
      <c r="BC148" s="29">
        <f t="shared" si="61"/>
        <v>1.1399999999999999</v>
      </c>
      <c r="BD148" s="29">
        <f>(BB148-BB147)*(INDEX([2]大r将兵属性验证!$V$7:$V$166,$BA148,1)+INDEX([2]大r将兵属性验证!$AP$7:$AP$166,$BA148,1))+BD147</f>
        <v>11933208399.50482</v>
      </c>
      <c r="BE148" s="29" t="e">
        <f>(BC148-BC147)*(INDEX([2]大r将兵属性验证!$AC$7:$AC$166,$BA148,1)*[2]战法技能效用!$AB$4+INDEX([2]大r将兵属性验证!$AX$7:$AX$166,$BA148,1)*[2]战法技能效用!$AC$4)+BE147</f>
        <v>#VALUE!</v>
      </c>
      <c r="BF148" s="75" t="e">
        <f t="shared" si="67"/>
        <v>#VALUE!</v>
      </c>
      <c r="BJ148" s="29">
        <f t="shared" si="65"/>
        <v>64.399012521055653</v>
      </c>
      <c r="BK148" s="75">
        <f>武将数量星级阶位验证!AT151</f>
        <v>740958.66665550706</v>
      </c>
      <c r="BL148" s="75">
        <f>(AD148-AD147)*INDEX('[1]功能-付费相关'!$AT$6:$AT$165,BJ148,1)+BL147</f>
        <v>6410.6114380199797</v>
      </c>
      <c r="BN148" s="29">
        <v>100</v>
      </c>
      <c r="BO148" s="29">
        <f t="shared" si="63"/>
        <v>5123126.6261648424</v>
      </c>
      <c r="BP148" s="29">
        <f t="shared" si="64"/>
        <v>25960.159102477042</v>
      </c>
      <c r="BQ148" s="29">
        <f t="shared" si="66"/>
        <v>5149086.7852673195</v>
      </c>
    </row>
    <row r="149" spans="2:69" x14ac:dyDescent="0.15">
      <c r="D149" s="20">
        <v>4.4999999999999998E-2</v>
      </c>
      <c r="E149" s="20">
        <v>0.15000000000000002</v>
      </c>
      <c r="F149" s="20">
        <f t="shared" ref="F149:H153" si="69">F72*1.2</f>
        <v>0.36</v>
      </c>
      <c r="G149" s="20">
        <f t="shared" si="69"/>
        <v>0.6048</v>
      </c>
      <c r="H149" s="20">
        <f t="shared" si="69"/>
        <v>0.98399999999999976</v>
      </c>
      <c r="I149" s="20"/>
      <c r="M149" s="72">
        <v>14</v>
      </c>
      <c r="N149" s="29">
        <f>基础状态预期!D162</f>
        <v>68.627579426319684</v>
      </c>
      <c r="O149" s="29">
        <f>IF(基础状态预期!F162="",0,求节点($C$104:$C$112,D$104:D$112,基础状态预期!K162))</f>
        <v>0</v>
      </c>
      <c r="P149" s="29">
        <f>IF(基础状态预期!G162="",0,求节点($C$104:$C$112,E$104:E$112,基础状态预期!L162))</f>
        <v>0</v>
      </c>
      <c r="Q149" s="29">
        <f>IF(基础状态预期!H162="",0,求节点($C$104:$C$112,F$104:F$112,基础状态预期!M162))</f>
        <v>0</v>
      </c>
      <c r="R149" s="29">
        <f>IF(基础状态预期!I162="",0,求节点($C$104:$C$112,G$104:G$112,基础状态预期!N162))</f>
        <v>14.569840902539639</v>
      </c>
      <c r="S149" s="29">
        <f>IF(基础状态预期!J162="",0,求节点($C$104:$C$112,H$104:H$112,基础状态预期!O162))</f>
        <v>10.267617052627397</v>
      </c>
      <c r="T149" s="29">
        <f>IF(基础状态预期!F162="",0,求节点($C$114:$C$122,D$114:D$122,基础状态预期!K162)*基础状态预期!F162+求节点($C$124:$C$132,D$124:D$132,基础状态预期!$O162)*基础状态预期!$J162)</f>
        <v>0</v>
      </c>
      <c r="U149" s="29">
        <f>IF(基础状态预期!G162="",0,求节点($C$114:$C$122,E$114:E$122,基础状态预期!L162)*基础状态预期!G162+求节点($C$124:$C$132,E$124:E$132,基础状态预期!$O162)*基础状态预期!$J162)</f>
        <v>0</v>
      </c>
      <c r="V149" s="29">
        <f>IF(基础状态预期!H162="",0,求节点($C$114:$C$122,F$114:F$122,基础状态预期!M162)*基础状态预期!H162+求节点($C$124:$C$132,F$124:F$132,基础状态预期!$O162)*基础状态预期!$J162)</f>
        <v>0</v>
      </c>
      <c r="W149" s="148">
        <f>IF(基础状态预期!I162="",0,求节点($C$114:$C$122,G$114:G$122,基础状态预期!N162)*基础状态预期!I162)+IF(基础状态预期!O162="",0,求节点($C$124:$C$132,G$124:G$132,基础状态预期!$O162)*基础状态预期!$J162)</f>
        <v>36</v>
      </c>
      <c r="X149" s="29">
        <f>IF(基础状态预期!J162="",0,求节点($C$114:$C$122,H$114:H$122,基础状态预期!O162)*基础状态预期!J162+求节点($C$124:$C$132,H$124:H$132,基础状态预期!$O162)*基础状态预期!$J162)</f>
        <v>0</v>
      </c>
      <c r="Y149" s="14">
        <f>IF(基础状态预期!K162="",0,求节点($C$92:$C$100,D$92:D$100,基础状态预期!K162))</f>
        <v>0</v>
      </c>
      <c r="Z149" s="14">
        <f>IF(基础状态预期!L162="",0,求节点($C$92:$C$100,E$92:E$100,基础状态预期!L162))</f>
        <v>0</v>
      </c>
      <c r="AA149" s="14">
        <f>IF(基础状态预期!M162="",0,求节点($C$92:$C$100,F$92:F$100,基础状态预期!M162))</f>
        <v>0</v>
      </c>
      <c r="AB149" s="14">
        <f>IF(基础状态预期!N162="",0,求节点($C$92:$C$100,G$92:G$100,基础状态预期!N162))</f>
        <v>1452349.0888126844</v>
      </c>
      <c r="AC149" s="14">
        <f>IF(基础状态预期!O162="",0,求节点($C$92:$C$100,H$92:H$100,基础状态预期!O162))</f>
        <v>827818.72842038341</v>
      </c>
      <c r="AD149" s="29">
        <f>MAX(SUMPRODUCT(Y149:AC149,基础状态预期!F162:J162),AD148)</f>
        <v>6215973.0913069025</v>
      </c>
      <c r="AF149" s="29" t="str">
        <f>IF(基础状态预期!K162="","",基础状态预期!K162*D$59+D$58)</f>
        <v/>
      </c>
      <c r="AG149" s="29" t="str">
        <f>IF(基础状态预期!L162="","",基础状态预期!L162*E$59+E$58)</f>
        <v/>
      </c>
      <c r="AH149" s="29" t="str">
        <f>IF(基础状态预期!M162="","",基础状态预期!M162*F$59+F$58)</f>
        <v/>
      </c>
      <c r="AI149" s="29">
        <f>IF(基础状态预期!N162="","",基础状态预期!N162*G$59+G$58)</f>
        <v>120.71230112817454</v>
      </c>
      <c r="AJ149" s="29">
        <f>IF(基础状态预期!O162="","",基础状态预期!O162*H$59+H$58)</f>
        <v>134.5352341052548</v>
      </c>
      <c r="AK149" s="29">
        <f>MAX(SUMPRODUCT(AF149:AJ149,基础状态预期!$F162:$J162)/SUM(基础状态预期!$F162:$J162),AK148)</f>
        <v>129.92758977956137</v>
      </c>
      <c r="AL149" s="29">
        <f>IF(基础状态预期!K162="",0,求节点($C$68:$C$76,D$68:D$76,基础状态预期!K162))</f>
        <v>0</v>
      </c>
      <c r="AM149" s="29">
        <f>IF(基础状态预期!L162="",0,求节点($C$68:$C$76,E$68:E$76,基础状态预期!L162))</f>
        <v>0</v>
      </c>
      <c r="AN149" s="29">
        <f>IF(基础状态预期!M162="",0,求节点($C$68:$C$76,F$68:F$76,基础状态预期!M162)*求节点(武将升级!$H$52:$H$54,武将升级!$J$52:$J$54,基础状态预期!W162))</f>
        <v>0</v>
      </c>
      <c r="AO149" s="29">
        <f>IF(基础状态预期!N162="",0,求节点($C$68:$C$76,G$68:G$76,基础状态预期!N162)*求节点(武将升级!$H$52:$H$54,武将升级!$J$52:$J$54,基础状态预期!X162))</f>
        <v>0.73025713624571376</v>
      </c>
      <c r="AP149" s="29">
        <f>IF(基础状态预期!O162="",0,求节点($C$68:$C$76,H$68:H$76,基础状态预期!O162)*求节点(武将升级!$H$52:$H$54,武将升级!$J$52:$J$54,基础状态预期!Y162))</f>
        <v>0.96046978807006367</v>
      </c>
      <c r="AQ149" s="29">
        <f>MAX(SUMPRODUCT(AL149:AP149,基础状态预期!$F162:$J162)/SUM(基础状态预期!$F162:$J162),AQ148)</f>
        <v>0.88373223746194707</v>
      </c>
      <c r="AR149" s="29">
        <f>IF(基础状态预期!K162="",0,求节点($C$158:$C$166,D$158:D$166,基础状态预期!K162))</f>
        <v>0</v>
      </c>
      <c r="AS149" s="29">
        <f>IF(基础状态预期!L162="",0,求节点($C$158:$C$166,E$158:E$166,基础状态预期!L162))</f>
        <v>0</v>
      </c>
      <c r="AT149" s="29">
        <f>IF(基础状态预期!M162="",0,求节点($C$158:$C$166,F$158:F$166,基础状态预期!M162))</f>
        <v>0</v>
      </c>
      <c r="AU149" s="29">
        <f>IF(基础状态预期!N162="",0,求节点($C$158:$C$166,G$158:G$166,基础状态预期!N162))</f>
        <v>0.49997221579444368</v>
      </c>
      <c r="AV149" s="29">
        <f>IF(基础状态预期!O162="",0,求节点($C$158:$C$166,H$158:H$166,基础状态预期!O162))</f>
        <v>0.57558723508757992</v>
      </c>
      <c r="AW149" s="29">
        <f>MAX(SUMPRODUCT(AR149:AV149,基础状态预期!$F162:$J162)/SUM(基础状态预期!$F162:$J162),AW148)</f>
        <v>0.55038222865653452</v>
      </c>
      <c r="BA149" s="29">
        <v>110</v>
      </c>
      <c r="BB149" s="29">
        <f t="shared" si="60"/>
        <v>148</v>
      </c>
      <c r="BC149" s="29">
        <f t="shared" si="61"/>
        <v>1.1399999999999999</v>
      </c>
      <c r="BD149" s="29">
        <f>(BB149-BB148)*(INDEX([2]大r将兵属性验证!$V$7:$V$166,$BA149,1)+INDEX([2]大r将兵属性验证!$AP$7:$AP$166,$BA149,1))+BD148</f>
        <v>11933208399.50482</v>
      </c>
      <c r="BE149" s="29" t="e">
        <f>(BC149-BC148)*(INDEX([2]大r将兵属性验证!$AC$7:$AC$166,$BA149,1)*[2]战法技能效用!$AB$4+INDEX([2]大r将兵属性验证!$AX$7:$AX$166,$BA149,1)*[2]战法技能效用!$AC$4)+BE148</f>
        <v>#VALUE!</v>
      </c>
      <c r="BF149" s="75" t="e">
        <f t="shared" si="67"/>
        <v>#VALUE!</v>
      </c>
      <c r="BJ149" s="29">
        <f t="shared" si="65"/>
        <v>68.627579426319684</v>
      </c>
      <c r="BK149" s="75">
        <f>武将数量星级阶位验证!AT152</f>
        <v>938035.10934316029</v>
      </c>
      <c r="BL149" s="75">
        <f>(AD149-AD148)*INDEX('[1]功能-付费相关'!$AT$6:$AT$165,BJ149,1)+BL148</f>
        <v>8100.8260112869903</v>
      </c>
      <c r="BN149" s="29">
        <v>110</v>
      </c>
      <c r="BO149" s="29">
        <f t="shared" ref="BO149:BO154" si="70">求节点($BJ$139:$BJ$177,BK$139:BK$177,$BN149)</f>
        <v>9560287.4159989394</v>
      </c>
      <c r="BP149" s="29">
        <f t="shared" ref="BP149:BP154" si="71">求节点($BJ$139:$BJ$177,BL$139:BL$177,$BN149)</f>
        <v>25960.159102477042</v>
      </c>
      <c r="BQ149" s="29">
        <f t="shared" ref="BQ149:BQ154" si="72">SUM(BO149:BP149)</f>
        <v>9586247.5751014166</v>
      </c>
    </row>
    <row r="150" spans="2:69" x14ac:dyDescent="0.15">
      <c r="D150" s="20">
        <v>0.06</v>
      </c>
      <c r="E150" s="20">
        <v>0.18</v>
      </c>
      <c r="F150" s="20">
        <f t="shared" si="69"/>
        <v>0.42</v>
      </c>
      <c r="G150" s="20">
        <f t="shared" si="69"/>
        <v>0.69120000000000004</v>
      </c>
      <c r="H150" s="20">
        <f t="shared" si="69"/>
        <v>1.0799999999999996</v>
      </c>
      <c r="I150" s="20"/>
      <c r="M150" s="72">
        <v>15</v>
      </c>
      <c r="N150" s="29">
        <f>基础状态预期!D163</f>
        <v>71.882008108111634</v>
      </c>
      <c r="O150" s="29">
        <f>IF(基础状态预期!F163="",0,求节点($C$104:$C$112,D$104:D$112,基础状态预期!K163))</f>
        <v>0</v>
      </c>
      <c r="P150" s="29">
        <f>IF(基础状态预期!G163="",0,求节点($C$104:$C$112,E$104:E$112,基础状态预期!L163))</f>
        <v>0</v>
      </c>
      <c r="Q150" s="29">
        <f>IF(基础状态预期!H163="",0,求节点($C$104:$C$112,F$104:F$112,基础状态预期!M163))</f>
        <v>0</v>
      </c>
      <c r="R150" s="29">
        <f>IF(基础状态预期!I163="",0,求节点($C$104:$C$112,G$104:G$112,基础状态预期!N163))</f>
        <v>15.954531357087923</v>
      </c>
      <c r="S150" s="29">
        <f>IF(基础状态预期!J163="",0,求节点($C$104:$C$112,H$104:H$112,基础状态预期!O163))</f>
        <v>11.375819778472632</v>
      </c>
      <c r="T150" s="29">
        <f>IF(基础状态预期!F163="",0,求节点($C$114:$C$122,D$114:D$122,基础状态预期!K163)*基础状态预期!F163+求节点($C$124:$C$132,D$124:D$132,基础状态预期!$O163)*基础状态预期!$J163)</f>
        <v>0</v>
      </c>
      <c r="U150" s="29">
        <f>IF(基础状态预期!G163="",0,求节点($C$114:$C$122,E$114:E$122,基础状态预期!L163)*基础状态预期!G163+求节点($C$124:$C$132,E$124:E$132,基础状态预期!$O163)*基础状态预期!$J163)</f>
        <v>0</v>
      </c>
      <c r="V150" s="29">
        <f>IF(基础状态预期!H163="",0,求节点($C$114:$C$122,F$114:F$122,基础状态预期!M163)*基础状态预期!H163+求节点($C$124:$C$132,F$124:F$132,基础状态预期!$O163)*基础状态预期!$J163)</f>
        <v>0</v>
      </c>
      <c r="W150" s="148">
        <f>IF(基础状态预期!I163="",0,求节点($C$114:$C$122,G$114:G$122,基础状态预期!N163)*基础状态预期!I163)+IF(基础状态预期!O163="",0,求节点($C$124:$C$132,G$124:G$132,基础状态预期!$O163)*基础状态预期!$J163)</f>
        <v>37.87909889236316</v>
      </c>
      <c r="X150" s="29">
        <f>IF(基础状态预期!J163="",0,求节点($C$114:$C$122,H$114:H$122,基础状态预期!O163)*基础状态预期!J163+求节点($C$124:$C$132,H$124:H$132,基础状态预期!$O163)*基础状态预期!$J163)</f>
        <v>0</v>
      </c>
      <c r="Y150" s="14">
        <f>IF(基础状态预期!K163="",0,求节点($C$92:$C$100,D$92:D$100,基础状态预期!K163))</f>
        <v>0</v>
      </c>
      <c r="Z150" s="14">
        <f>IF(基础状态预期!L163="",0,求节点($C$92:$C$100,E$92:E$100,基础状态预期!L163))</f>
        <v>0</v>
      </c>
      <c r="AA150" s="14">
        <f>IF(基础状态预期!M163="",0,求节点($C$92:$C$100,F$92:F$100,基础状态预期!M163))</f>
        <v>0</v>
      </c>
      <c r="AB150" s="14">
        <f>IF(基础状态预期!N163="",0,求节点($C$92:$C$100,G$92:G$100,基础状态预期!N163))</f>
        <v>1895450.0342681352</v>
      </c>
      <c r="AC150" s="14">
        <f>IF(基础状态预期!O163="",0,求节点($C$92:$C$100,H$92:H$100,基础状态预期!O163))</f>
        <v>1065262.3291112424</v>
      </c>
      <c r="AD150" s="29">
        <f>MAX(SUMPRODUCT(Y150:AC150,基础状态预期!F163:J163),AD149)</f>
        <v>7221761.6798243476</v>
      </c>
      <c r="AF150" s="29" t="str">
        <f>IF(基础状态预期!K163="","",基础状态预期!K163*D$59+D$58)</f>
        <v/>
      </c>
      <c r="AG150" s="29" t="str">
        <f>IF(基础状态预期!L163="","",基础状态预期!L163*E$59+E$58)</f>
        <v/>
      </c>
      <c r="AH150" s="29" t="str">
        <f>IF(基础状态预期!M163="","",基础状态预期!M163*F$59+F$58)</f>
        <v/>
      </c>
      <c r="AI150" s="29">
        <f>IF(基础状态预期!N163="","",基础状态预期!N163*G$59+G$58)</f>
        <v>122.4431641963599</v>
      </c>
      <c r="AJ150" s="29">
        <f>IF(基础状态预期!O163="","",基础状态预期!O163*H$59+H$58)</f>
        <v>136.75163955694526</v>
      </c>
      <c r="AK150" s="29">
        <f>MAX(SUMPRODUCT(AF150:AJ150,基础状态预期!$F163:$J163)/SUM(基础状态预期!$F163:$J163),AK149)</f>
        <v>134.36689366351439</v>
      </c>
      <c r="AL150" s="29">
        <f>IF(基础状态预期!K163="",0,求节点($C$68:$C$76,D$68:D$76,基础状态预期!K163))</f>
        <v>0</v>
      </c>
      <c r="AM150" s="29">
        <f>IF(基础状态预期!L163="",0,求节点($C$68:$C$76,E$68:E$76,基础状态预期!L163))</f>
        <v>0</v>
      </c>
      <c r="AN150" s="29">
        <f>IF(基础状态预期!M163="",0,求节点($C$68:$C$76,F$68:F$76,基础状态预期!M163)*求节点(武将升级!$H$52:$H$54,武将升级!$J$52:$J$54,基础状态预期!W163))</f>
        <v>0</v>
      </c>
      <c r="AO150" s="29">
        <f>IF(基础状态预期!N163="",0,求节点($C$68:$C$76,G$68:G$76,基础状态预期!N163)*求节点(武将升级!$H$52:$H$54,武将升级!$J$52:$J$54,基础状态预期!X163))</f>
        <v>0.75518156442758289</v>
      </c>
      <c r="AP150" s="29">
        <f>IF(基础状态预期!O163="",0,求节点($C$68:$C$76,H$68:H$76,基础状态预期!O163)*求节点(武将升级!$H$52:$H$54,武将升级!$J$52:$J$54,基础状态预期!Y163))</f>
        <v>0.99002186075927001</v>
      </c>
      <c r="AQ150" s="29">
        <f>MAX(SUMPRODUCT(AL150:AP150,基础状态预期!$F163:$J163)/SUM(基础状态预期!$F163:$J163),AQ149)</f>
        <v>0.95088181137065553</v>
      </c>
      <c r="AR150" s="29">
        <f>IF(基础状态预期!K163="",0,求节点($C$158:$C$166,D$158:D$166,基础状态预期!K163))</f>
        <v>0</v>
      </c>
      <c r="AS150" s="29">
        <f>IF(基础状态预期!L163="",0,求节点($C$158:$C$166,E$158:E$166,基础状态预期!L163))</f>
        <v>0</v>
      </c>
      <c r="AT150" s="29">
        <f>IF(基础状态预期!M163="",0,求节点($C$158:$C$166,F$158:F$166,基础状态预期!M163))</f>
        <v>0</v>
      </c>
      <c r="AU150" s="29">
        <f>IF(基础状态预期!N163="",0,求节点($C$158:$C$166,G$158:G$166,基础状态预期!N163))</f>
        <v>0.52420429874903873</v>
      </c>
      <c r="AV150" s="29">
        <f>IF(基础状态预期!O163="",0,求节点($C$158:$C$166,H$158:H$166,基础状态预期!O163))</f>
        <v>0.61252732594908776</v>
      </c>
      <c r="AW150" s="29">
        <f>MAX(SUMPRODUCT(AR150:AV150,基础状态预期!$F163:$J163)/SUM(基础状态预期!$F163:$J163),AW149)</f>
        <v>0.59780682141574626</v>
      </c>
      <c r="BA150" s="29">
        <v>120</v>
      </c>
      <c r="BB150" s="29">
        <f t="shared" si="60"/>
        <v>148</v>
      </c>
      <c r="BC150" s="29">
        <f t="shared" si="61"/>
        <v>1.1399999999999999</v>
      </c>
      <c r="BD150" s="29">
        <f>(BB150-BB149)*(INDEX([2]大r将兵属性验证!$V$7:$V$166,$BA150,1)+INDEX([2]大r将兵属性验证!$AP$7:$AP$166,$BA150,1))+BD149</f>
        <v>11933208399.50482</v>
      </c>
      <c r="BE150" s="29" t="e">
        <f>(BC150-BC149)*(INDEX([2]大r将兵属性验证!$AC$7:$AC$166,$BA150,1)*[2]战法技能效用!$AB$4+INDEX([2]大r将兵属性验证!$AX$7:$AX$166,$BA150,1)*[2]战法技能效用!$AC$4)+BE149</f>
        <v>#VALUE!</v>
      </c>
      <c r="BF150" s="75" t="e">
        <f t="shared" si="67"/>
        <v>#VALUE!</v>
      </c>
      <c r="BJ150" s="29">
        <f t="shared" si="65"/>
        <v>71.882008108111634</v>
      </c>
      <c r="BK150" s="75">
        <f>武将数量星级阶位验证!AT153</f>
        <v>1127738.6775254032</v>
      </c>
      <c r="BL150" s="75">
        <f>(AD150-AD149)*INDEX('[1]功能-付费相关'!$AT$6:$AT$165,BJ150,1)+BL149</f>
        <v>9233.4708181760052</v>
      </c>
      <c r="BN150" s="29">
        <v>120</v>
      </c>
      <c r="BO150" s="29">
        <f t="shared" si="70"/>
        <v>17934880.015114218</v>
      </c>
      <c r="BP150" s="29">
        <f t="shared" si="71"/>
        <v>25960.159102477042</v>
      </c>
      <c r="BQ150" s="29">
        <f t="shared" si="72"/>
        <v>17960840.174216695</v>
      </c>
    </row>
    <row r="151" spans="2:69" x14ac:dyDescent="0.15">
      <c r="D151" s="20">
        <v>7.5000000000000011E-2</v>
      </c>
      <c r="E151" s="20">
        <v>0.21000000000000002</v>
      </c>
      <c r="F151" s="20">
        <f t="shared" si="69"/>
        <v>0.47999999999999993</v>
      </c>
      <c r="G151" s="20">
        <f t="shared" si="69"/>
        <v>0.77760000000000018</v>
      </c>
      <c r="H151" s="20">
        <f t="shared" si="69"/>
        <v>1.1759999999999997</v>
      </c>
      <c r="I151" s="20"/>
      <c r="M151" s="72">
        <v>16</v>
      </c>
      <c r="N151" s="29">
        <f>基础状态预期!D164</f>
        <v>74.493385467679886</v>
      </c>
      <c r="O151" s="29">
        <f>IF(基础状态预期!F164="",0,求节点($C$104:$C$112,D$104:D$112,基础状态预期!K164))</f>
        <v>0</v>
      </c>
      <c r="P151" s="29">
        <f>IF(基础状态预期!G164="",0,求节点($C$104:$C$112,E$104:E$112,基础状态预期!L164))</f>
        <v>0</v>
      </c>
      <c r="Q151" s="29">
        <f>IF(基础状态预期!H164="",0,求节点($C$104:$C$112,F$104:F$112,基础状态预期!M164))</f>
        <v>0</v>
      </c>
      <c r="R151" s="29">
        <f>IF(基础状态预期!I164="",0,求节点($C$104:$C$112,G$104:G$112,基础状态预期!N164))</f>
        <v>17.261170327823166</v>
      </c>
      <c r="S151" s="29">
        <f>IF(基础状态预期!J164="",0,求节点($C$104:$C$112,H$104:H$112,基础状态预期!O164))</f>
        <v>13.038561095737032</v>
      </c>
      <c r="T151" s="29">
        <f>IF(基础状态预期!F164="",0,求节点($C$114:$C$122,D$114:D$122,基础状态预期!K164)*基础状态预期!F164+求节点($C$124:$C$132,D$124:D$132,基础状态预期!$O164)*基础状态预期!$J164)</f>
        <v>0</v>
      </c>
      <c r="U151" s="29">
        <f>IF(基础状态预期!G164="",0,求节点($C$114:$C$122,E$114:E$122,基础状态预期!L164)*基础状态预期!G164+求节点($C$124:$C$132,E$124:E$132,基础状态预期!$O164)*基础状态预期!$J164)</f>
        <v>0</v>
      </c>
      <c r="V151" s="29">
        <f>IF(基础状态预期!H164="",0,求节点($C$114:$C$122,F$114:F$122,基础状态预期!M164)*基础状态预期!H164+求节点($C$124:$C$132,F$124:F$132,基础状态预期!$O164)*基础状态预期!$J164)</f>
        <v>0</v>
      </c>
      <c r="W151" s="148">
        <f>IF(基础状态预期!I164="",0,求节点($C$114:$C$122,G$114:G$122,基础状态预期!N164)*基础状态预期!I164)+IF(基础状态预期!O164="",0,求节点($C$124:$C$132,G$124:G$132,基础状态预期!$O164)*基础状态预期!$J164)</f>
        <v>47.212086026553678</v>
      </c>
      <c r="X151" s="29">
        <f>IF(基础状态预期!J164="",0,求节点($C$114:$C$122,H$114:H$122,基础状态预期!O164)*基础状态预期!J164+求节点($C$124:$C$132,H$124:H$132,基础状态预期!$O164)*基础状态预期!$J164)</f>
        <v>0</v>
      </c>
      <c r="Y151" s="14">
        <f>IF(基础状态预期!K164="",0,求节点($C$92:$C$100,D$92:D$100,基础状态预期!K164))</f>
        <v>0</v>
      </c>
      <c r="Z151" s="14">
        <f>IF(基础状态预期!L164="",0,求节点($C$92:$C$100,E$92:E$100,基础状态预期!L164))</f>
        <v>0</v>
      </c>
      <c r="AA151" s="14">
        <f>IF(基础状态预期!M164="",0,求节点($C$92:$C$100,F$92:F$100,基础状态预期!M164))</f>
        <v>0</v>
      </c>
      <c r="AB151" s="14">
        <f>IF(基础状态预期!N164="",0,求节点($C$92:$C$100,G$92:G$100,基础状态预期!N164))</f>
        <v>2313574.5049034134</v>
      </c>
      <c r="AC151" s="14">
        <f>IF(基础状态预期!O164="",0,求节点($C$92:$C$100,H$92:H$100,基础状态预期!O164))</f>
        <v>1597339.5506358503</v>
      </c>
      <c r="AD151" s="29">
        <f>MAX(SUMPRODUCT(Y151:AC151,基础状态预期!F164:J164),AD150)</f>
        <v>9942154.7809488829</v>
      </c>
      <c r="AF151" s="29" t="str">
        <f>IF(基础状态预期!K164="","",基础状态预期!K164*D$59+D$58)</f>
        <v/>
      </c>
      <c r="AG151" s="29" t="str">
        <f>IF(基础状态预期!L164="","",基础状态预期!L164*E$59+E$58)</f>
        <v/>
      </c>
      <c r="AH151" s="29" t="str">
        <f>IF(基础状态预期!M164="","",基础状态预期!M164*F$59+F$58)</f>
        <v/>
      </c>
      <c r="AI151" s="29">
        <f>IF(基础状态预期!N164="","",基础状态预期!N164*G$59+G$58)</f>
        <v>124.07646290977895</v>
      </c>
      <c r="AJ151" s="29">
        <f>IF(基础状态预期!O164="","",基础状态预期!O164*H$59+H$58)</f>
        <v>140.07712219147407</v>
      </c>
      <c r="AK151" s="29">
        <f>MAX(SUMPRODUCT(AF151:AJ151,基础状态预期!$F164:$J164)/SUM(基础状态预期!$F164:$J164),AK150)</f>
        <v>138.74373391799949</v>
      </c>
      <c r="AL151" s="29">
        <f>IF(基础状态预期!K164="",0,求节点($C$68:$C$76,D$68:D$76,基础状态预期!K164))</f>
        <v>0</v>
      </c>
      <c r="AM151" s="29">
        <f>IF(基础状态预期!L164="",0,求节点($C$68:$C$76,E$68:E$76,基础状态预期!L164))</f>
        <v>0</v>
      </c>
      <c r="AN151" s="29">
        <f>IF(基础状态预期!M164="",0,求节点($C$68:$C$76,F$68:F$76,基础状态预期!M164)*求节点(武将升级!$H$52:$H$54,武将升级!$J$52:$J$54,基础状态预期!W164))</f>
        <v>0</v>
      </c>
      <c r="AO151" s="29">
        <f>IF(基础状态预期!N164="",0,求节点($C$68:$C$76,G$68:G$76,基础状态预期!N164)*求节点(武将升级!$H$52:$H$54,武将升级!$J$52:$J$54,基础状态预期!X164))</f>
        <v>0.77870106590081722</v>
      </c>
      <c r="AP151" s="29">
        <f>IF(基础状态预期!O164="",0,求节点($C$68:$C$76,H$68:H$76,基础状态预期!O164)*求节点(武将升级!$H$52:$H$54,武将升级!$J$52:$J$54,基础状态预期!Y164))</f>
        <v>1.034361629219654</v>
      </c>
      <c r="AQ151" s="29">
        <f>MAX(SUMPRODUCT(AL151:AP151,基础状态预期!$F164:$J164)/SUM(基础状态预期!$F164:$J164),AQ150)</f>
        <v>1.0130565822764177</v>
      </c>
      <c r="AR151" s="29">
        <f>IF(基础状态预期!K164="",0,求节点($C$158:$C$166,D$158:D$166,基础状态预期!K164))</f>
        <v>0</v>
      </c>
      <c r="AS151" s="29">
        <f>IF(基础状态预期!L164="",0,求节点($C$158:$C$166,E$158:E$166,基础状态预期!L164))</f>
        <v>0</v>
      </c>
      <c r="AT151" s="29">
        <f>IF(基础状态预期!M164="",0,求节点($C$158:$C$166,F$158:F$166,基础状态预期!M164))</f>
        <v>0</v>
      </c>
      <c r="AU151" s="29">
        <f>IF(基础状态预期!N164="",0,求节点($C$158:$C$166,G$158:G$166,基础状态预期!N164))</f>
        <v>0.54707048073690545</v>
      </c>
      <c r="AV151" s="29">
        <f>IF(基础状态预期!O164="",0,求节点($C$158:$C$166,H$158:H$166,基础状态预期!O164))</f>
        <v>0.66795203652456769</v>
      </c>
      <c r="AW151" s="29">
        <f>MAX(SUMPRODUCT(AR151:AV151,基础状态预期!$F164:$J164)/SUM(基础状态预期!$F164:$J164),AW150)</f>
        <v>0.65787857354226242</v>
      </c>
      <c r="BA151" s="29">
        <v>130</v>
      </c>
      <c r="BB151" s="29">
        <f t="shared" si="60"/>
        <v>148</v>
      </c>
      <c r="BC151" s="29">
        <f t="shared" si="61"/>
        <v>1.1399999999999999</v>
      </c>
      <c r="BD151" s="29">
        <f>(BB151-BB150)*(INDEX([2]大r将兵属性验证!$V$7:$V$166,$BA151,1)+INDEX([2]大r将兵属性验证!$AP$7:$AP$166,$BA151,1))+BD150</f>
        <v>11933208399.50482</v>
      </c>
      <c r="BE151" s="29" t="e">
        <f>(BC151-BC150)*(INDEX([2]大r将兵属性验证!$AC$7:$AC$166,$BA151,1)*[2]战法技能效用!$AB$4+INDEX([2]大r将兵属性验证!$AX$7:$AX$166,$BA151,1)*[2]战法技能效用!$AC$4)+BE150</f>
        <v>#VALUE!</v>
      </c>
      <c r="BF151" s="75" t="e">
        <f t="shared" si="67"/>
        <v>#VALUE!</v>
      </c>
      <c r="BJ151" s="29">
        <f t="shared" si="65"/>
        <v>74.493385467679886</v>
      </c>
      <c r="BK151" s="75">
        <f>武将数量星级阶位验证!AT154</f>
        <v>1305734.5231356893</v>
      </c>
      <c r="BL151" s="75">
        <f>(AD151-AD150)*INDEX('[1]功能-付费相关'!$AT$6:$AT$165,BJ151,1)+BL150</f>
        <v>12216.35799046168</v>
      </c>
      <c r="BN151" s="29">
        <v>130</v>
      </c>
      <c r="BO151" s="29">
        <f t="shared" si="70"/>
        <v>33778040.971252188</v>
      </c>
      <c r="BP151" s="29">
        <f t="shared" si="71"/>
        <v>25960.159102477042</v>
      </c>
      <c r="BQ151" s="29">
        <f t="shared" si="72"/>
        <v>33804001.130354665</v>
      </c>
    </row>
    <row r="152" spans="2:69" x14ac:dyDescent="0.15">
      <c r="D152" s="20">
        <v>0.09</v>
      </c>
      <c r="E152" s="20">
        <v>0.24</v>
      </c>
      <c r="F152" s="20">
        <f t="shared" si="69"/>
        <v>0.53999999999999992</v>
      </c>
      <c r="G152" s="20">
        <f t="shared" si="69"/>
        <v>0.86400000000000021</v>
      </c>
      <c r="H152" s="20">
        <f t="shared" si="69"/>
        <v>1.2719999999999998</v>
      </c>
      <c r="I152" s="20"/>
      <c r="M152" s="72">
        <v>17</v>
      </c>
      <c r="N152" s="29">
        <f>基础状态预期!D165</f>
        <v>77.332919927503724</v>
      </c>
      <c r="O152" s="29">
        <f>IF(基础状态预期!F165="",0,求节点($C$104:$C$112,D$104:D$112,基础状态预期!K165))</f>
        <v>0</v>
      </c>
      <c r="P152" s="29">
        <f>IF(基础状态预期!G165="",0,求节点($C$104:$C$112,E$104:E$112,基础状态预期!L165))</f>
        <v>0</v>
      </c>
      <c r="Q152" s="29">
        <f>IF(基础状态预期!H165="",0,求节点($C$104:$C$112,F$104:F$112,基础状态预期!M165))</f>
        <v>0</v>
      </c>
      <c r="R152" s="29">
        <f>IF(基础状态预期!I165="",0,求节点($C$104:$C$112,G$104:G$112,基础状态预期!N165))</f>
        <v>0</v>
      </c>
      <c r="S152" s="29">
        <f>IF(基础状态预期!J165="",0,求节点($C$104:$C$112,H$104:H$112,基础状态预期!O165))</f>
        <v>15.061444047099492</v>
      </c>
      <c r="T152" s="29">
        <f>IF(基础状态预期!F165="",0,求节点($C$114:$C$122,D$114:D$122,基础状态预期!K165)*基础状态预期!F165+求节点($C$124:$C$132,D$124:D$132,基础状态预期!$O165)*基础状态预期!$J165)</f>
        <v>0</v>
      </c>
      <c r="U152" s="29">
        <f>IF(基础状态预期!G165="",0,求节点($C$114:$C$122,E$114:E$122,基础状态预期!L165)*基础状态预期!G165+求节点($C$124:$C$132,E$124:E$132,基础状态预期!$O165)*基础状态预期!$J165)</f>
        <v>0</v>
      </c>
      <c r="V152" s="29">
        <f>IF(基础状态预期!H165="",0,求节点($C$114:$C$122,F$114:F$122,基础状态预期!M165)*基础状态预期!H165+求节点($C$124:$C$132,F$124:F$132,基础状态预期!$O165)*基础状态预期!$J165)</f>
        <v>0</v>
      </c>
      <c r="W152" s="148">
        <f>IF(基础状态预期!I165="",0,求节点($C$114:$C$122,G$114:G$122,基础状态预期!N165)*基础状态预期!I165)+IF(基础状态预期!O165="",0,求节点($C$124:$C$132,G$124:G$132,基础状态预期!$O165)*基础状态预期!$J165)</f>
        <v>54</v>
      </c>
      <c r="X152" s="29">
        <f>IF(基础状态预期!J165="",0,求节点($C$114:$C$122,H$114:H$122,基础状态预期!O165)*基础状态预期!J165+求节点($C$124:$C$132,H$124:H$132,基础状态预期!$O165)*基础状态预期!$J165)</f>
        <v>0</v>
      </c>
      <c r="Y152" s="14">
        <f>IF(基础状态预期!K165="",0,求节点($C$92:$C$100,D$92:D$100,基础状态预期!K165))</f>
        <v>0</v>
      </c>
      <c r="Z152" s="14">
        <f>IF(基础状态预期!L165="",0,求节点($C$92:$C$100,E$92:E$100,基础状态预期!L165))</f>
        <v>0</v>
      </c>
      <c r="AA152" s="14">
        <f>IF(基础状态预期!M165="",0,求节点($C$92:$C$100,F$92:F$100,基础状态预期!M165))</f>
        <v>0</v>
      </c>
      <c r="AB152" s="14">
        <f>IF(基础状态预期!N165="",0,求节点($C$92:$C$100,G$92:G$100,基础状态预期!N165))</f>
        <v>0</v>
      </c>
      <c r="AC152" s="14">
        <f>IF(基础状态预期!O165="",0,求节点($C$92:$C$100,H$92:H$100,基础状态预期!O165))</f>
        <v>2414493.1426077564</v>
      </c>
      <c r="AD152" s="29">
        <f>MAX(SUMPRODUCT(Y152:AC152,基础状态预期!F165:J165),AD151)</f>
        <v>14486958.855646539</v>
      </c>
      <c r="AF152" s="29" t="str">
        <f>IF(基础状态预期!K165="","",基础状态预期!K165*D$59+D$58)</f>
        <v/>
      </c>
      <c r="AG152" s="29" t="str">
        <f>IF(基础状态预期!L165="","",基础状态预期!L165*E$59+E$58)</f>
        <v/>
      </c>
      <c r="AH152" s="29" t="str">
        <f>IF(基础状态预期!M165="","",基础状态预期!M165*F$59+F$58)</f>
        <v/>
      </c>
      <c r="AI152" s="29" t="str">
        <f>IF(基础状态预期!N165="","",基础状态预期!N165*G$59+G$58)</f>
        <v/>
      </c>
      <c r="AJ152" s="29">
        <f>IF(基础状态预期!O165="","",基础状态预期!O165*H$59+H$58)</f>
        <v>143.59216607064923</v>
      </c>
      <c r="AK152" s="29">
        <f>MAX(SUMPRODUCT(AF152:AJ152,基础状态预期!$F165:$J165)/SUM(基础状态预期!$F165:$J165),AK151)</f>
        <v>143.59216607064923</v>
      </c>
      <c r="AL152" s="29">
        <f>IF(基础状态预期!K165="",0,求节点($C$68:$C$76,D$68:D$76,基础状态预期!K165))</f>
        <v>0</v>
      </c>
      <c r="AM152" s="29">
        <f>IF(基础状态预期!L165="",0,求节点($C$68:$C$76,E$68:E$76,基础状态预期!L165))</f>
        <v>0</v>
      </c>
      <c r="AN152" s="29">
        <f>IF(基础状态预期!M165="",0,求节点($C$68:$C$76,F$68:F$76,基础状态预期!M165)*求节点(武将升级!$H$52:$H$54,武将升级!$J$52:$J$54,基础状态预期!W165))</f>
        <v>0</v>
      </c>
      <c r="AO152" s="29">
        <f>IF(基础状态预期!N165="",0,求节点($C$68:$C$76,G$68:G$76,基础状态预期!N165)*求节点(武将升级!$H$52:$H$54,武将升级!$J$52:$J$54,基础状态预期!X165))</f>
        <v>0</v>
      </c>
      <c r="AP152" s="29">
        <f>IF(基础状态预期!O165="",0,求节点($C$68:$C$76,H$68:H$76,基础状态预期!O165)*求节点(武将升级!$H$52:$H$54,武将升级!$J$52:$J$54,基础状态预期!Y165))</f>
        <v>1.0812288809419897</v>
      </c>
      <c r="AQ152" s="29">
        <f>MAX(SUMPRODUCT(AL152:AP152,基础状态预期!$F165:$J165)/SUM(基础状态预期!$F165:$J165),AQ151)</f>
        <v>1.0812288809419897</v>
      </c>
      <c r="AR152" s="29">
        <f>IF(基础状态预期!K165="",0,求节点($C$158:$C$166,D$158:D$166,基础状态预期!K165))</f>
        <v>0</v>
      </c>
      <c r="AS152" s="29">
        <f>IF(基础状态预期!L165="",0,求节点($C$158:$C$166,E$158:E$166,基础状态预期!L165))</f>
        <v>0</v>
      </c>
      <c r="AT152" s="29">
        <f>IF(基础状态预期!M165="",0,求节点($C$158:$C$166,F$158:F$166,基础状态预期!M165))</f>
        <v>0</v>
      </c>
      <c r="AU152" s="29">
        <f>IF(基础状态预期!N165="",0,求节点($C$158:$C$166,G$158:G$166,基础状态预期!N165))</f>
        <v>0</v>
      </c>
      <c r="AV152" s="29">
        <f>IF(基础状态预期!O165="",0,求节点($C$158:$C$166,H$158:H$166,基础状态预期!O165))</f>
        <v>0.72653610117748724</v>
      </c>
      <c r="AW152" s="29">
        <f>MAX(SUMPRODUCT(AR152:AV152,基础状态预期!$F165:$J165)/SUM(基础状态预期!$F165:$J165),AW151)</f>
        <v>0.72653610117748724</v>
      </c>
      <c r="BA152" s="29">
        <v>140</v>
      </c>
      <c r="BB152" s="29">
        <f t="shared" si="60"/>
        <v>148</v>
      </c>
      <c r="BC152" s="29">
        <f t="shared" si="61"/>
        <v>1.1399999999999999</v>
      </c>
      <c r="BD152" s="29">
        <f>(BB152-BB151)*(INDEX([2]大r将兵属性验证!$V$7:$V$166,$BA152,1)+INDEX([2]大r将兵属性验证!$AP$7:$AP$166,$BA152,1))+BD151</f>
        <v>11933208399.50482</v>
      </c>
      <c r="BE152" s="29" t="e">
        <f>(BC152-BC151)*(INDEX([2]大r将兵属性验证!$AC$7:$AC$166,$BA152,1)*[2]战法技能效用!$AB$4+INDEX([2]大r将兵属性验证!$AX$7:$AX$166,$BA152,1)*[2]战法技能效用!$AC$4)+BE151</f>
        <v>#VALUE!</v>
      </c>
      <c r="BF152" s="75" t="e">
        <f t="shared" si="67"/>
        <v>#VALUE!</v>
      </c>
      <c r="BJ152" s="29">
        <f t="shared" si="65"/>
        <v>77.332919927503724</v>
      </c>
      <c r="BK152" s="75">
        <f>武将数量星级阶位验证!AT155</f>
        <v>1529613.4622082086</v>
      </c>
      <c r="BL152" s="75">
        <f>(AD152-AD151)*INDEX('[1]功能-付费相关'!$AT$6:$AT$165,BJ152,1)+BL151</f>
        <v>17071.917899326698</v>
      </c>
      <c r="BN152" s="29">
        <v>140</v>
      </c>
      <c r="BO152" s="29">
        <f t="shared" si="70"/>
        <v>63834896.835414127</v>
      </c>
      <c r="BP152" s="29">
        <f t="shared" si="71"/>
        <v>25960.159102477042</v>
      </c>
      <c r="BQ152" s="29">
        <f t="shared" si="72"/>
        <v>63860856.994516604</v>
      </c>
    </row>
    <row r="153" spans="2:69" x14ac:dyDescent="0.15">
      <c r="D153" s="20">
        <v>0.10500000000000001</v>
      </c>
      <c r="E153" s="20">
        <v>0.27</v>
      </c>
      <c r="F153" s="20">
        <f t="shared" si="69"/>
        <v>0.59999999999999987</v>
      </c>
      <c r="G153" s="20">
        <f t="shared" si="69"/>
        <v>0.95040000000000024</v>
      </c>
      <c r="H153" s="20">
        <f t="shared" si="69"/>
        <v>1.3679999999999999</v>
      </c>
      <c r="I153" s="20"/>
      <c r="M153" s="72">
        <v>18</v>
      </c>
      <c r="N153" s="29">
        <f>基础状态预期!D166</f>
        <v>79.813360188853366</v>
      </c>
      <c r="O153" s="29">
        <f>IF(基础状态预期!F166="",0,求节点($C$104:$C$112,D$104:D$112,基础状态预期!K166))</f>
        <v>0</v>
      </c>
      <c r="P153" s="29">
        <f>IF(基础状态预期!G166="",0,求节点($C$104:$C$112,E$104:E$112,基础状态预期!L166))</f>
        <v>0</v>
      </c>
      <c r="Q153" s="29">
        <f>IF(基础状态预期!H166="",0,求节点($C$104:$C$112,F$104:F$112,基础状态预期!M166))</f>
        <v>0</v>
      </c>
      <c r="R153" s="29">
        <f>IF(基础状态预期!I166="",0,求节点($C$104:$C$112,G$104:G$112,基础状态预期!N166))</f>
        <v>0</v>
      </c>
      <c r="S153" s="29">
        <f>IF(基础状态预期!J166="",0,求节点($C$104:$C$112,H$104:H$112,基础状态预期!O166))</f>
        <v>17.969844133077416</v>
      </c>
      <c r="T153" s="29">
        <f>IF(基础状态预期!F166="",0,求节点($C$114:$C$122,D$114:D$122,基础状态预期!K166)*基础状态预期!F166+求节点($C$124:$C$132,D$124:D$132,基础状态预期!$O166)*基础状态预期!$J166)</f>
        <v>0</v>
      </c>
      <c r="U153" s="29">
        <f>IF(基础状态预期!G166="",0,求节点($C$114:$C$122,E$114:E$122,基础状态预期!L166)*基础状态预期!G166+求节点($C$124:$C$132,E$124:E$132,基础状态预期!$O166)*基础状态预期!$J166)</f>
        <v>0</v>
      </c>
      <c r="V153" s="29">
        <f>IF(基础状态预期!H166="",0,求节点($C$114:$C$122,F$114:F$122,基础状态预期!M166)*基础状态预期!H166+求节点($C$124:$C$132,F$124:F$132,基础状态预期!$O166)*基础状态预期!$J166)</f>
        <v>0</v>
      </c>
      <c r="W153" s="148">
        <f>IF(基础状态预期!I166="",0,求节点($C$114:$C$122,G$114:G$122,基础状态预期!N166)*基础状态预期!I166)+IF(基础状态预期!O166="",0,求节点($C$124:$C$132,G$124:G$132,基础状态预期!$O166)*基础状态预期!$J166)</f>
        <v>54</v>
      </c>
      <c r="X153" s="29">
        <f>IF(基础状态预期!J166="",0,求节点($C$114:$C$122,H$114:H$122,基础状态预期!O166)*基础状态预期!J166+求节点($C$124:$C$132,H$124:H$132,基础状态预期!$O166)*基础状态预期!$J166)</f>
        <v>0</v>
      </c>
      <c r="Y153" s="14">
        <f>IF(基础状态预期!K166="",0,求节点($C$92:$C$100,D$92:D$100,基础状态预期!K166))</f>
        <v>0</v>
      </c>
      <c r="Z153" s="14">
        <f>IF(基础状态预期!L166="",0,求节点($C$92:$C$100,E$92:E$100,基础状态预期!L166))</f>
        <v>0</v>
      </c>
      <c r="AA153" s="14">
        <f>IF(基础状态预期!M166="",0,求节点($C$92:$C$100,F$92:F$100,基础状态预期!M166))</f>
        <v>0</v>
      </c>
      <c r="AB153" s="14">
        <f>IF(基础状态预期!N166="",0,求节点($C$92:$C$100,G$92:G$100,基础状态预期!N166))</f>
        <v>0</v>
      </c>
      <c r="AC153" s="14">
        <f>IF(基础状态预期!O166="",0,求节点($C$92:$C$100,H$92:H$100,基础状态预期!O166))</f>
        <v>3810525.1838771598</v>
      </c>
      <c r="AD153" s="29">
        <f>MAX(SUMPRODUCT(Y153:AC153,基础状态预期!F166:J166),AD152)</f>
        <v>22863151.103262961</v>
      </c>
      <c r="AF153" s="29" t="str">
        <f>IF(基础状态预期!K166="","",基础状态预期!K166*D$59+D$58)</f>
        <v/>
      </c>
      <c r="AG153" s="29" t="str">
        <f>IF(基础状态预期!L166="","",基础状态预期!L166*E$59+E$58)</f>
        <v/>
      </c>
      <c r="AH153" s="29" t="str">
        <f>IF(基础状态预期!M166="","",基础状态预期!M166*F$59+F$58)</f>
        <v/>
      </c>
      <c r="AI153" s="29" t="str">
        <f>IF(基础状态预期!N166="","",基础状态预期!N166*G$59+G$58)</f>
        <v/>
      </c>
      <c r="AJ153" s="29">
        <f>IF(基础状态预期!O166="","",基础状态预期!O166*H$59+H$58)</f>
        <v>147.95476619961613</v>
      </c>
      <c r="AK153" s="29">
        <f>MAX(SUMPRODUCT(AF153:AJ153,基础状态预期!$F166:$J166)/SUM(基础状态预期!$F166:$J166),AK152)</f>
        <v>147.95476619961613</v>
      </c>
      <c r="AL153" s="29">
        <f>IF(基础状态预期!K166="",0,求节点($C$68:$C$76,D$68:D$76,基础状态预期!K166))</f>
        <v>0</v>
      </c>
      <c r="AM153" s="29">
        <f>IF(基础状态预期!L166="",0,求节点($C$68:$C$76,E$68:E$76,基础状态预期!L166))</f>
        <v>0</v>
      </c>
      <c r="AN153" s="29">
        <f>IF(基础状态预期!M166="",0,求节点($C$68:$C$76,F$68:F$76,基础状态预期!M166)*求节点(武将升级!$H$52:$H$54,武将升级!$J$52:$J$54,基础状态预期!W166))</f>
        <v>0</v>
      </c>
      <c r="AO153" s="29">
        <f>IF(基础状态预期!N166="",0,求节点($C$68:$C$76,G$68:G$76,基础状态预期!N166)*求节点(武将升级!$H$52:$H$54,武将升级!$J$52:$J$54,基础状态预期!X166))</f>
        <v>0</v>
      </c>
      <c r="AP153" s="29">
        <f>IF(基础状态预期!O166="",0,求节点($C$68:$C$76,H$68:H$76,基础状态预期!O166)*求节点(武将升级!$H$52:$H$54,武将升级!$J$52:$J$54,基础状态预期!Y166))</f>
        <v>1.1393968826615481</v>
      </c>
      <c r="AQ153" s="29">
        <f>MAX(SUMPRODUCT(AL153:AP153,基础状态预期!$F166:$J166)/SUM(基础状态预期!$F166:$J166),AQ152)</f>
        <v>1.1393968826615481</v>
      </c>
      <c r="AR153" s="29">
        <f>IF(基础状态预期!K166="",0,求节点($C$158:$C$166,D$158:D$166,基础状态预期!K166))</f>
        <v>0</v>
      </c>
      <c r="AS153" s="29">
        <f>IF(基础状态预期!L166="",0,求节点($C$158:$C$166,E$158:E$166,基础状态预期!L166))</f>
        <v>0</v>
      </c>
      <c r="AT153" s="29">
        <f>IF(基础状态预期!M166="",0,求节点($C$158:$C$166,F$158:F$166,基础状态预期!M166))</f>
        <v>0</v>
      </c>
      <c r="AU153" s="29">
        <f>IF(基础状态预期!N166="",0,求节点($C$158:$C$166,G$158:G$166,基础状态预期!N166))</f>
        <v>0</v>
      </c>
      <c r="AV153" s="29">
        <f>IF(基础状态预期!O166="",0,求节点($C$158:$C$166,H$158:H$166,基础状态预期!O166))</f>
        <v>0.79924610332693546</v>
      </c>
      <c r="AW153" s="29">
        <f>MAX(SUMPRODUCT(AR153:AV153,基础状态预期!$F166:$J166)/SUM(基础状态预期!$F166:$J166),AW152)</f>
        <v>0.79924610332693546</v>
      </c>
      <c r="BA153" s="29">
        <v>150</v>
      </c>
      <c r="BB153" s="29">
        <f t="shared" si="60"/>
        <v>148</v>
      </c>
      <c r="BC153" s="29">
        <f t="shared" si="61"/>
        <v>1.1399999999999999</v>
      </c>
      <c r="BD153" s="29">
        <f>(BB153-BB152)*(INDEX([2]大r将兵属性验证!$V$7:$V$166,$BA153,1)+INDEX([2]大r将兵属性验证!$AP$7:$AP$166,$BA153,1))+BD152</f>
        <v>11933208399.50482</v>
      </c>
      <c r="BE153" s="29" t="e">
        <f>(BC153-BC152)*(INDEX([2]大r将兵属性验证!$AC$7:$AC$166,$BA153,1)*[2]战法技能效用!$AB$4+INDEX([2]大r将兵属性验证!$AX$7:$AX$166,$BA153,1)*[2]战法技能效用!$AC$4)+BE152</f>
        <v>#VALUE!</v>
      </c>
      <c r="BF153" s="75" t="e">
        <f t="shared" si="67"/>
        <v>#VALUE!</v>
      </c>
      <c r="BJ153" s="29">
        <f t="shared" si="65"/>
        <v>79.813360188853366</v>
      </c>
      <c r="BK153" s="75">
        <f>武将数量星级阶位验证!AT156</f>
        <v>1739018.268398619</v>
      </c>
      <c r="BL153" s="75">
        <f>(AD153-AD152)*INDEX('[1]功能-付费相关'!$AT$6:$AT$165,BJ153,1)+BL152</f>
        <v>25870.43916783134</v>
      </c>
      <c r="BN153" s="29">
        <v>150</v>
      </c>
      <c r="BO153" s="29">
        <f t="shared" si="70"/>
        <v>121266869.744451</v>
      </c>
      <c r="BP153" s="29">
        <f t="shared" si="71"/>
        <v>25960.159102477042</v>
      </c>
      <c r="BQ153" s="29">
        <f t="shared" si="72"/>
        <v>121292829.90355347</v>
      </c>
    </row>
    <row r="154" spans="2:69" x14ac:dyDescent="0.15">
      <c r="M154" s="72">
        <v>19</v>
      </c>
      <c r="N154" s="29">
        <f>基础状态预期!D167</f>
        <v>81.919202803497143</v>
      </c>
      <c r="O154" s="29">
        <f>IF(基础状态预期!F167="",0,求节点($C$104:$C$112,D$104:D$112,基础状态预期!K167))</f>
        <v>0</v>
      </c>
      <c r="P154" s="29">
        <f>IF(基础状态预期!G167="",0,求节点($C$104:$C$112,E$104:E$112,基础状态预期!L167))</f>
        <v>0</v>
      </c>
      <c r="Q154" s="29">
        <f>IF(基础状态预期!H167="",0,求节点($C$104:$C$112,F$104:F$112,基础状态预期!M167))</f>
        <v>0</v>
      </c>
      <c r="R154" s="29">
        <f>IF(基础状态预期!I167="",0,求节点($C$104:$C$112,G$104:G$112,基础状态预期!N167))</f>
        <v>0</v>
      </c>
      <c r="S154" s="29">
        <f>IF(基础状态预期!J167="",0,求节点($C$104:$C$112,H$104:H$112,基础状态预期!O167))</f>
        <v>18</v>
      </c>
      <c r="T154" s="29">
        <f>IF(基础状态预期!F167="",0,求节点($C$114:$C$122,D$114:D$122,基础状态预期!K167)*基础状态预期!F167+求节点($C$124:$C$132,D$124:D$132,基础状态预期!$O167)*基础状态预期!$J167)</f>
        <v>0</v>
      </c>
      <c r="U154" s="29">
        <f>IF(基础状态预期!G167="",0,求节点($C$114:$C$122,E$114:E$122,基础状态预期!L167)*基础状态预期!G167+求节点($C$124:$C$132,E$124:E$132,基础状态预期!$O167)*基础状态预期!$J167)</f>
        <v>0</v>
      </c>
      <c r="V154" s="29">
        <f>IF(基础状态预期!H167="",0,求节点($C$114:$C$122,F$114:F$122,基础状态预期!M167)*基础状态预期!H167+求节点($C$124:$C$132,F$124:F$132,基础状态预期!$O167)*基础状态预期!$J167)</f>
        <v>0</v>
      </c>
      <c r="W154" s="148">
        <f>IF(基础状态预期!I167="",0,求节点($C$114:$C$122,G$114:G$122,基础状态预期!N167)*基础状态预期!I167)+IF(基础状态预期!O167="",0,求节点($C$124:$C$132,G$124:G$132,基础状态预期!$O167)*基础状态预期!$J167)</f>
        <v>54</v>
      </c>
      <c r="X154" s="29">
        <f>IF(基础状态预期!J167="",0,求节点($C$114:$C$122,H$114:H$122,基础状态预期!O167)*基础状态预期!J167+求节点($C$124:$C$132,H$124:H$132,基础状态预期!$O167)*基础状态预期!$J167)</f>
        <v>0</v>
      </c>
      <c r="Y154" s="14">
        <f>IF(基础状态预期!K167="",0,求节点($C$92:$C$100,D$92:D$100,基础状态预期!K167))</f>
        <v>0</v>
      </c>
      <c r="Z154" s="14">
        <f>IF(基础状态预期!L167="",0,求节点($C$92:$C$100,E$92:E$100,基础状态预期!L167))</f>
        <v>0</v>
      </c>
      <c r="AA154" s="14">
        <f>IF(基础状态预期!M167="",0,求节点($C$92:$C$100,F$92:F$100,基础状态预期!M167))</f>
        <v>0</v>
      </c>
      <c r="AB154" s="14">
        <f>IF(基础状态预期!N167="",0,求节点($C$92:$C$100,G$92:G$100,基础状态预期!N167))</f>
        <v>0</v>
      </c>
      <c r="AC154" s="14">
        <f>IF(基础状态预期!O167="",0,求节点($C$92:$C$100,H$92:H$100,基础状态预期!O167))</f>
        <v>3825000</v>
      </c>
      <c r="AD154" s="29">
        <f>MAX(SUMPRODUCT(Y154:AC154,基础状态预期!F167:J167),AD153)</f>
        <v>22950000</v>
      </c>
      <c r="AF154" s="29" t="str">
        <f>IF(基础状态预期!K167="","",基础状态预期!K167*D$59+D$58)</f>
        <v/>
      </c>
      <c r="AG154" s="29" t="str">
        <f>IF(基础状态预期!L167="","",基础状态预期!L167*E$59+E$58)</f>
        <v/>
      </c>
      <c r="AH154" s="29" t="str">
        <f>IF(基础状态预期!M167="","",基础状态预期!M167*F$59+F$58)</f>
        <v/>
      </c>
      <c r="AI154" s="29" t="str">
        <f>IF(基础状态预期!N167="","",基础状态预期!N167*G$59+G$58)</f>
        <v/>
      </c>
      <c r="AJ154" s="29">
        <f>IF(基础状态预期!O167="","",基础状态预期!O167*H$59+H$58)</f>
        <v>148</v>
      </c>
      <c r="AK154" s="29">
        <f>MAX(SUMPRODUCT(AF154:AJ154,基础状态预期!$F167:$J167)/SUM(基础状态预期!$F167:$J167),AK153)</f>
        <v>148</v>
      </c>
      <c r="AL154" s="29">
        <f>IF(基础状态预期!K167="",0,求节点($C$68:$C$76,D$68:D$76,基础状态预期!K167))</f>
        <v>0</v>
      </c>
      <c r="AM154" s="29">
        <f>IF(基础状态预期!L167="",0,求节点($C$68:$C$76,E$68:E$76,基础状态预期!L167))</f>
        <v>0</v>
      </c>
      <c r="AN154" s="29">
        <f>IF(基础状态预期!M167="",0,求节点($C$68:$C$76,F$68:F$76,基础状态预期!M167)*求节点(武将升级!$H$52:$H$54,武将升级!$J$52:$J$54,基础状态预期!W167))</f>
        <v>0</v>
      </c>
      <c r="AO154" s="29">
        <f>IF(基础状态预期!N167="",0,求节点($C$68:$C$76,G$68:G$76,基础状态预期!N167)*求节点(武将升级!$H$52:$H$54,武将升级!$J$52:$J$54,基础状态预期!X167))</f>
        <v>0</v>
      </c>
      <c r="AP154" s="29">
        <f>IF(基础状态预期!O167="",0,求节点($C$68:$C$76,H$68:H$76,基础状态预期!O167)*求节点(武将升级!$H$52:$H$54,武将升级!$J$52:$J$54,基础状态预期!Y167))</f>
        <v>1.1399999999999999</v>
      </c>
      <c r="AQ154" s="29">
        <f>MAX(SUMPRODUCT(AL154:AP154,基础状态预期!$F167:$J167)/SUM(基础状态预期!$F167:$J167),AQ153)</f>
        <v>1.1399999999999999</v>
      </c>
      <c r="AR154" s="29">
        <f>IF(基础状态预期!K167="",0,求节点($C$158:$C$166,D$158:D$166,基础状态预期!K167))</f>
        <v>0</v>
      </c>
      <c r="AS154" s="29">
        <f>IF(基础状态预期!L167="",0,求节点($C$158:$C$166,E$158:E$166,基础状态预期!L167))</f>
        <v>0</v>
      </c>
      <c r="AT154" s="29">
        <f>IF(基础状态预期!M167="",0,求节点($C$158:$C$166,F$158:F$166,基础状态预期!M167))</f>
        <v>0</v>
      </c>
      <c r="AU154" s="29">
        <f>IF(基础状态预期!N167="",0,求节点($C$158:$C$166,G$158:G$166,基础状态预期!N167))</f>
        <v>0</v>
      </c>
      <c r="AV154" s="29">
        <f>IF(基础状态预期!O167="",0,求节点($C$158:$C$166,H$158:H$166,基础状态预期!O167))</f>
        <v>0.8</v>
      </c>
      <c r="AW154" s="29">
        <f>MAX(SUMPRODUCT(AR154:AV154,基础状态预期!$F167:$J167)/SUM(基础状态预期!$F167:$J167),AW153)</f>
        <v>0.80000000000000016</v>
      </c>
      <c r="BA154" s="29">
        <v>160</v>
      </c>
      <c r="BB154" s="29">
        <f t="shared" si="60"/>
        <v>148</v>
      </c>
      <c r="BC154" s="29">
        <f t="shared" si="61"/>
        <v>1.1399999999999999</v>
      </c>
      <c r="BD154" s="29">
        <f>(BB154-BB153)*(INDEX([2]大r将兵属性验证!$V$7:$V$166,$BA154,1)+INDEX([2]大r将兵属性验证!$AP$7:$AP$166,$BA154,1))+BD153</f>
        <v>11933208399.50482</v>
      </c>
      <c r="BE154" s="29" t="e">
        <f>(BC154-BC153)*(INDEX([2]大r将兵属性验证!$AC$7:$AC$166,$BA154,1)*[2]战法技能效用!$AB$4+INDEX([2]大r将兵属性验证!$AX$7:$AX$166,$BA154,1)*[2]战法技能效用!$AC$4)+BE153</f>
        <v>#VALUE!</v>
      </c>
      <c r="BF154" s="75" t="e">
        <f t="shared" si="67"/>
        <v>#VALUE!</v>
      </c>
      <c r="BJ154" s="29">
        <f t="shared" si="65"/>
        <v>81.919202803497143</v>
      </c>
      <c r="BK154" s="75">
        <f>武将数量星级阶位验证!AT157</f>
        <v>1950396.0223048085</v>
      </c>
      <c r="BL154" s="75">
        <f>(AD154-AD153)*INDEX('[1]功能-付费相关'!$AT$6:$AT$165,BJ154,1)+BL153</f>
        <v>25960.159102477042</v>
      </c>
      <c r="BN154" s="29">
        <v>160</v>
      </c>
      <c r="BO154" s="29">
        <f t="shared" si="70"/>
        <v>241869043.85115728</v>
      </c>
      <c r="BP154" s="29">
        <f t="shared" si="71"/>
        <v>25960.159102477042</v>
      </c>
      <c r="BQ154" s="29">
        <f t="shared" si="72"/>
        <v>241895004.01025975</v>
      </c>
    </row>
    <row r="155" spans="2:69" x14ac:dyDescent="0.15">
      <c r="D155" s="16"/>
      <c r="E155" s="16"/>
      <c r="F155" s="16"/>
      <c r="G155" s="16"/>
      <c r="H155" s="16"/>
      <c r="I155" s="16"/>
      <c r="M155" s="72">
        <v>20</v>
      </c>
      <c r="N155" s="29">
        <f>基础状态预期!D168</f>
        <v>83.738783536778797</v>
      </c>
      <c r="O155" s="29">
        <f>IF(基础状态预期!F168="",0,求节点($C$104:$C$112,D$104:D$112,基础状态预期!K168))</f>
        <v>0</v>
      </c>
      <c r="P155" s="29">
        <f>IF(基础状态预期!G168="",0,求节点($C$104:$C$112,E$104:E$112,基础状态预期!L168))</f>
        <v>0</v>
      </c>
      <c r="Q155" s="29">
        <f>IF(基础状态预期!H168="",0,求节点($C$104:$C$112,F$104:F$112,基础状态预期!M168))</f>
        <v>0</v>
      </c>
      <c r="R155" s="29">
        <f>IF(基础状态预期!I168="",0,求节点($C$104:$C$112,G$104:G$112,基础状态预期!N168))</f>
        <v>0</v>
      </c>
      <c r="S155" s="29">
        <f>IF(基础状态预期!J168="",0,求节点($C$104:$C$112,H$104:H$112,基础状态预期!O168))</f>
        <v>18</v>
      </c>
      <c r="T155" s="29">
        <f>IF(基础状态预期!F168="",0,求节点($C$114:$C$122,D$114:D$122,基础状态预期!K168)*基础状态预期!F168+求节点($C$124:$C$132,D$124:D$132,基础状态预期!$O168)*基础状态预期!$J168)</f>
        <v>0</v>
      </c>
      <c r="U155" s="29">
        <f>IF(基础状态预期!G168="",0,求节点($C$114:$C$122,E$114:E$122,基础状态预期!L168)*基础状态预期!G168+求节点($C$124:$C$132,E$124:E$132,基础状态预期!$O168)*基础状态预期!$J168)</f>
        <v>0</v>
      </c>
      <c r="V155" s="29">
        <f>IF(基础状态预期!H168="",0,求节点($C$114:$C$122,F$114:F$122,基础状态预期!M168)*基础状态预期!H168+求节点($C$124:$C$132,F$124:F$132,基础状态预期!$O168)*基础状态预期!$J168)</f>
        <v>0</v>
      </c>
      <c r="W155" s="148">
        <f>IF(基础状态预期!I168="",0,求节点($C$114:$C$122,G$114:G$122,基础状态预期!N168)*基础状态预期!I168)+IF(基础状态预期!O168="",0,求节点($C$124:$C$132,G$124:G$132,基础状态预期!$O168)*基础状态预期!$J168)</f>
        <v>54</v>
      </c>
      <c r="X155" s="29">
        <f>IF(基础状态预期!J168="",0,求节点($C$114:$C$122,H$114:H$122,基础状态预期!O168)*基础状态预期!J168+求节点($C$124:$C$132,H$124:H$132,基础状态预期!$O168)*基础状态预期!$J168)</f>
        <v>0</v>
      </c>
      <c r="Y155" s="14">
        <f>IF(基础状态预期!K168="",0,求节点($C$92:$C$100,D$92:D$100,基础状态预期!K168))</f>
        <v>0</v>
      </c>
      <c r="Z155" s="14">
        <f>IF(基础状态预期!L168="",0,求节点($C$92:$C$100,E$92:E$100,基础状态预期!L168))</f>
        <v>0</v>
      </c>
      <c r="AA155" s="14">
        <f>IF(基础状态预期!M168="",0,求节点($C$92:$C$100,F$92:F$100,基础状态预期!M168))</f>
        <v>0</v>
      </c>
      <c r="AB155" s="14">
        <f>IF(基础状态预期!N168="",0,求节点($C$92:$C$100,G$92:G$100,基础状态预期!N168))</f>
        <v>0</v>
      </c>
      <c r="AC155" s="14">
        <f>IF(基础状态预期!O168="",0,求节点($C$92:$C$100,H$92:H$100,基础状态预期!O168))</f>
        <v>3825000</v>
      </c>
      <c r="AD155" s="29">
        <f>MAX(SUMPRODUCT(Y155:AC155,基础状态预期!F168:J168),AD154)</f>
        <v>22950000</v>
      </c>
      <c r="AF155" s="29" t="str">
        <f>IF(基础状态预期!K168="","",基础状态预期!K168*D$59+D$58)</f>
        <v/>
      </c>
      <c r="AG155" s="29" t="str">
        <f>IF(基础状态预期!L168="","",基础状态预期!L168*E$59+E$58)</f>
        <v/>
      </c>
      <c r="AH155" s="29" t="str">
        <f>IF(基础状态预期!M168="","",基础状态预期!M168*F$59+F$58)</f>
        <v/>
      </c>
      <c r="AI155" s="29" t="str">
        <f>IF(基础状态预期!N168="","",基础状态预期!N168*G$59+G$58)</f>
        <v/>
      </c>
      <c r="AJ155" s="29">
        <f>IF(基础状态预期!O168="","",基础状态预期!O168*H$59+H$58)</f>
        <v>148</v>
      </c>
      <c r="AK155" s="29">
        <f>MAX(SUMPRODUCT(AF155:AJ155,基础状态预期!$F168:$J168)/SUM(基础状态预期!$F168:$J168),AK154)</f>
        <v>148</v>
      </c>
      <c r="AL155" s="29">
        <f>IF(基础状态预期!K168="",0,求节点($C$68:$C$76,D$68:D$76,基础状态预期!K168))</f>
        <v>0</v>
      </c>
      <c r="AM155" s="29">
        <f>IF(基础状态预期!L168="",0,求节点($C$68:$C$76,E$68:E$76,基础状态预期!L168))</f>
        <v>0</v>
      </c>
      <c r="AN155" s="29">
        <f>IF(基础状态预期!M168="",0,求节点($C$68:$C$76,F$68:F$76,基础状态预期!M168)*求节点(武将升级!$H$52:$H$54,武将升级!$J$52:$J$54,基础状态预期!W168))</f>
        <v>0</v>
      </c>
      <c r="AO155" s="29">
        <f>IF(基础状态预期!N168="",0,求节点($C$68:$C$76,G$68:G$76,基础状态预期!N168)*求节点(武将升级!$H$52:$H$54,武将升级!$J$52:$J$54,基础状态预期!X168))</f>
        <v>0</v>
      </c>
      <c r="AP155" s="29">
        <f>IF(基础状态预期!O168="",0,求节点($C$68:$C$76,H$68:H$76,基础状态预期!O168)*求节点(武将升级!$H$52:$H$54,武将升级!$J$52:$J$54,基础状态预期!Y168))</f>
        <v>1.1399999999999999</v>
      </c>
      <c r="AQ155" s="29">
        <f>MAX(SUMPRODUCT(AL155:AP155,基础状态预期!$F168:$J168)/SUM(基础状态预期!$F168:$J168),AQ154)</f>
        <v>1.1399999999999999</v>
      </c>
      <c r="AR155" s="29">
        <f>IF(基础状态预期!K168="",0,求节点($C$158:$C$166,D$158:D$166,基础状态预期!K168))</f>
        <v>0</v>
      </c>
      <c r="AS155" s="29">
        <f>IF(基础状态预期!L168="",0,求节点($C$158:$C$166,E$158:E$166,基础状态预期!L168))</f>
        <v>0</v>
      </c>
      <c r="AT155" s="29">
        <f>IF(基础状态预期!M168="",0,求节点($C$158:$C$166,F$158:F$166,基础状态预期!M168))</f>
        <v>0</v>
      </c>
      <c r="AU155" s="29">
        <f>IF(基础状态预期!N168="",0,求节点($C$158:$C$166,G$158:G$166,基础状态预期!N168))</f>
        <v>0</v>
      </c>
      <c r="AV155" s="29">
        <f>IF(基础状态预期!O168="",0,求节点($C$158:$C$166,H$158:H$166,基础状态预期!O168))</f>
        <v>0.8</v>
      </c>
      <c r="AW155" s="29">
        <f>MAX(SUMPRODUCT(AR155:AV155,基础状态预期!$F168:$J168)/SUM(基础状态预期!$F168:$J168),AW154)</f>
        <v>0.80000000000000016</v>
      </c>
      <c r="BJ155" s="29">
        <f t="shared" si="65"/>
        <v>83.738783536778797</v>
      </c>
      <c r="BK155" s="75">
        <f>武将数量星级阶位验证!AT158</f>
        <v>2151393.5284150629</v>
      </c>
      <c r="BL155" s="75">
        <f>(AD155-AD154)*INDEX('[1]功能-付费相关'!$AT$6:$AT$165,BJ155,1)+BL154</f>
        <v>25960.159102477042</v>
      </c>
    </row>
    <row r="156" spans="2:69" x14ac:dyDescent="0.15">
      <c r="D156" s="16"/>
      <c r="E156" s="16"/>
      <c r="F156" s="16"/>
      <c r="G156" s="16"/>
      <c r="H156" s="16"/>
      <c r="I156" s="16"/>
      <c r="M156" s="72">
        <v>21</v>
      </c>
      <c r="N156" s="29">
        <f>基础状态预期!D169</f>
        <v>86.045919706798657</v>
      </c>
      <c r="O156" s="29">
        <f>IF(基础状态预期!F169="",0,求节点($C$104:$C$112,D$104:D$112,基础状态预期!K169))</f>
        <v>0</v>
      </c>
      <c r="P156" s="29">
        <f>IF(基础状态预期!G169="",0,求节点($C$104:$C$112,E$104:E$112,基础状态预期!L169))</f>
        <v>0</v>
      </c>
      <c r="Q156" s="29">
        <f>IF(基础状态预期!H169="",0,求节点($C$104:$C$112,F$104:F$112,基础状态预期!M169))</f>
        <v>0</v>
      </c>
      <c r="R156" s="29">
        <f>IF(基础状态预期!I169="",0,求节点($C$104:$C$112,G$104:G$112,基础状态预期!N169))</f>
        <v>0</v>
      </c>
      <c r="S156" s="29">
        <f>IF(基础状态预期!J169="",0,求节点($C$104:$C$112,H$104:H$112,基础状态预期!O169))</f>
        <v>18</v>
      </c>
      <c r="T156" s="29">
        <f>IF(基础状态预期!F169="",0,求节点($C$114:$C$122,D$114:D$122,基础状态预期!K169)*基础状态预期!F169+求节点($C$124:$C$132,D$124:D$132,基础状态预期!$O169)*基础状态预期!$J169)</f>
        <v>0</v>
      </c>
      <c r="U156" s="29">
        <f>IF(基础状态预期!G169="",0,求节点($C$114:$C$122,E$114:E$122,基础状态预期!L169)*基础状态预期!G169+求节点($C$124:$C$132,E$124:E$132,基础状态预期!$O169)*基础状态预期!$J169)</f>
        <v>0</v>
      </c>
      <c r="V156" s="29">
        <f>IF(基础状态预期!H169="",0,求节点($C$114:$C$122,F$114:F$122,基础状态预期!M169)*基础状态预期!H169+求节点($C$124:$C$132,F$124:F$132,基础状态预期!$O169)*基础状态预期!$J169)</f>
        <v>0</v>
      </c>
      <c r="W156" s="148">
        <f>IF(基础状态预期!I169="",0,求节点($C$114:$C$122,G$114:G$122,基础状态预期!N169)*基础状态预期!I169)+IF(基础状态预期!O169="",0,求节点($C$124:$C$132,G$124:G$132,基础状态预期!$O169)*基础状态预期!$J169)</f>
        <v>54</v>
      </c>
      <c r="X156" s="29">
        <f>IF(基础状态预期!J169="",0,求节点($C$114:$C$122,H$114:H$122,基础状态预期!O169)*基础状态预期!J169+求节点($C$124:$C$132,H$124:H$132,基础状态预期!$O169)*基础状态预期!$J169)</f>
        <v>0</v>
      </c>
      <c r="Y156" s="14">
        <f>IF(基础状态预期!K169="",0,求节点($C$92:$C$100,D$92:D$100,基础状态预期!K169))</f>
        <v>0</v>
      </c>
      <c r="Z156" s="14">
        <f>IF(基础状态预期!L169="",0,求节点($C$92:$C$100,E$92:E$100,基础状态预期!L169))</f>
        <v>0</v>
      </c>
      <c r="AA156" s="14">
        <f>IF(基础状态预期!M169="",0,求节点($C$92:$C$100,F$92:F$100,基础状态预期!M169))</f>
        <v>0</v>
      </c>
      <c r="AB156" s="14">
        <f>IF(基础状态预期!N169="",0,求节点($C$92:$C$100,G$92:G$100,基础状态预期!N169))</f>
        <v>0</v>
      </c>
      <c r="AC156" s="14">
        <f>IF(基础状态预期!O169="",0,求节点($C$92:$C$100,H$92:H$100,基础状态预期!O169))</f>
        <v>3825000</v>
      </c>
      <c r="AD156" s="29">
        <f>MAX(SUMPRODUCT(Y156:AC156,基础状态预期!F169:J169),AD155)</f>
        <v>22950000</v>
      </c>
      <c r="AF156" s="29" t="str">
        <f>IF(基础状态预期!K169="","",基础状态预期!K169*D$59+D$58)</f>
        <v/>
      </c>
      <c r="AG156" s="29" t="str">
        <f>IF(基础状态预期!L169="","",基础状态预期!L169*E$59+E$58)</f>
        <v/>
      </c>
      <c r="AH156" s="29" t="str">
        <f>IF(基础状态预期!M169="","",基础状态预期!M169*F$59+F$58)</f>
        <v/>
      </c>
      <c r="AI156" s="29" t="str">
        <f>IF(基础状态预期!N169="","",基础状态预期!N169*G$59+G$58)</f>
        <v/>
      </c>
      <c r="AJ156" s="29">
        <f>IF(基础状态预期!O169="","",基础状态预期!O169*H$59+H$58)</f>
        <v>148</v>
      </c>
      <c r="AK156" s="29">
        <f>MAX(SUMPRODUCT(AF156:AJ156,基础状态预期!$F169:$J169)/SUM(基础状态预期!$F169:$J169),AK155)</f>
        <v>148</v>
      </c>
      <c r="AL156" s="29">
        <f>IF(基础状态预期!K169="",0,求节点($C$68:$C$76,D$68:D$76,基础状态预期!K169))</f>
        <v>0</v>
      </c>
      <c r="AM156" s="29">
        <f>IF(基础状态预期!L169="",0,求节点($C$68:$C$76,E$68:E$76,基础状态预期!L169))</f>
        <v>0</v>
      </c>
      <c r="AN156" s="29">
        <f>IF(基础状态预期!M169="",0,求节点($C$68:$C$76,F$68:F$76,基础状态预期!M169)*求节点(武将升级!$H$52:$H$54,武将升级!$J$52:$J$54,基础状态预期!W169))</f>
        <v>0</v>
      </c>
      <c r="AO156" s="29">
        <f>IF(基础状态预期!N169="",0,求节点($C$68:$C$76,G$68:G$76,基础状态预期!N169)*求节点(武将升级!$H$52:$H$54,武将升级!$J$52:$J$54,基础状态预期!X169))</f>
        <v>0</v>
      </c>
      <c r="AP156" s="29">
        <f>IF(基础状态预期!O169="",0,求节点($C$68:$C$76,H$68:H$76,基础状态预期!O169)*求节点(武将升级!$H$52:$H$54,武将升级!$J$52:$J$54,基础状态预期!Y169))</f>
        <v>1.1399999999999999</v>
      </c>
      <c r="AQ156" s="29">
        <f>MAX(SUMPRODUCT(AL156:AP156,基础状态预期!$F169:$J169)/SUM(基础状态预期!$F169:$J169),AQ155)</f>
        <v>1.1399999999999999</v>
      </c>
      <c r="AR156" s="29">
        <f>IF(基础状态预期!K169="",0,求节点($C$158:$C$166,D$158:D$166,基础状态预期!K169))</f>
        <v>0</v>
      </c>
      <c r="AS156" s="29">
        <f>IF(基础状态预期!L169="",0,求节点($C$158:$C$166,E$158:E$166,基础状态预期!L169))</f>
        <v>0</v>
      </c>
      <c r="AT156" s="29">
        <f>IF(基础状态预期!M169="",0,求节点($C$158:$C$166,F$158:F$166,基础状态预期!M169))</f>
        <v>0</v>
      </c>
      <c r="AU156" s="29">
        <f>IF(基础状态预期!N169="",0,求节点($C$158:$C$166,G$158:G$166,基础状态预期!N169))</f>
        <v>0</v>
      </c>
      <c r="AV156" s="29">
        <f>IF(基础状态预期!O169="",0,求节点($C$158:$C$166,H$158:H$166,基础状态预期!O169))</f>
        <v>0.8</v>
      </c>
      <c r="AW156" s="29">
        <f>MAX(SUMPRODUCT(AR156:AV156,基础状态预期!$F169:$J169)/SUM(基础状态预期!$F169:$J169),AW155)</f>
        <v>0.80000000000000016</v>
      </c>
      <c r="BJ156" s="29">
        <f t="shared" si="65"/>
        <v>86.045919706798657</v>
      </c>
      <c r="BK156" s="75">
        <f>武将数量星级阶位验证!AT159</f>
        <v>2445753.7901403052</v>
      </c>
      <c r="BL156" s="75">
        <f>(AD156-AD155)*INDEX('[1]功能-付费相关'!$AT$6:$AT$165,BJ156,1)+BL155</f>
        <v>25960.159102477042</v>
      </c>
    </row>
    <row r="157" spans="2:69" x14ac:dyDescent="0.15">
      <c r="B157" s="169" t="s">
        <v>733</v>
      </c>
      <c r="C157" s="14" t="s">
        <v>175</v>
      </c>
      <c r="D157" s="29" t="s">
        <v>3</v>
      </c>
      <c r="E157" s="29" t="s">
        <v>1</v>
      </c>
      <c r="F157" s="29" t="s">
        <v>2</v>
      </c>
      <c r="G157" s="29" t="s">
        <v>0</v>
      </c>
      <c r="H157" s="14" t="s">
        <v>545</v>
      </c>
      <c r="I157" s="14" t="s">
        <v>30</v>
      </c>
      <c r="M157" s="72">
        <v>22</v>
      </c>
      <c r="N157" s="29">
        <f>基础状态预期!D170</f>
        <v>90.288435080379244</v>
      </c>
      <c r="O157" s="29">
        <f>IF(基础状态预期!F170="",0,求节点($C$104:$C$112,D$104:D$112,基础状态预期!K170))</f>
        <v>0</v>
      </c>
      <c r="P157" s="29">
        <f>IF(基础状态预期!G170="",0,求节点($C$104:$C$112,E$104:E$112,基础状态预期!L170))</f>
        <v>0</v>
      </c>
      <c r="Q157" s="29">
        <f>IF(基础状态预期!H170="",0,求节点($C$104:$C$112,F$104:F$112,基础状态预期!M170))</f>
        <v>0</v>
      </c>
      <c r="R157" s="29">
        <f>IF(基础状态预期!I170="",0,求节点($C$104:$C$112,G$104:G$112,基础状态预期!N170))</f>
        <v>0</v>
      </c>
      <c r="S157" s="29">
        <f>IF(基础状态预期!J170="",0,求节点($C$104:$C$112,H$104:H$112,基础状态预期!O170))</f>
        <v>18</v>
      </c>
      <c r="T157" s="29">
        <f>IF(基础状态预期!F170="",0,求节点($C$114:$C$122,D$114:D$122,基础状态预期!K170)*基础状态预期!F170+求节点($C$124:$C$132,D$124:D$132,基础状态预期!$O170)*基础状态预期!$J170)</f>
        <v>0</v>
      </c>
      <c r="U157" s="29">
        <f>IF(基础状态预期!G170="",0,求节点($C$114:$C$122,E$114:E$122,基础状态预期!L170)*基础状态预期!G170+求节点($C$124:$C$132,E$124:E$132,基础状态预期!$O170)*基础状态预期!$J170)</f>
        <v>0</v>
      </c>
      <c r="V157" s="29">
        <f>IF(基础状态预期!H170="",0,求节点($C$114:$C$122,F$114:F$122,基础状态预期!M170)*基础状态预期!H170+求节点($C$124:$C$132,F$124:F$132,基础状态预期!$O170)*基础状态预期!$J170)</f>
        <v>0</v>
      </c>
      <c r="W157" s="148">
        <f>IF(基础状态预期!I170="",0,求节点($C$114:$C$122,G$114:G$122,基础状态预期!N170)*基础状态预期!I170)+IF(基础状态预期!O170="",0,求节点($C$124:$C$132,G$124:G$132,基础状态预期!$O170)*基础状态预期!$J170)</f>
        <v>54</v>
      </c>
      <c r="X157" s="29">
        <f>IF(基础状态预期!J170="",0,求节点($C$114:$C$122,H$114:H$122,基础状态预期!O170)*基础状态预期!J170+求节点($C$124:$C$132,H$124:H$132,基础状态预期!$O170)*基础状态预期!$J170)</f>
        <v>0</v>
      </c>
      <c r="Y157" s="14">
        <f>IF(基础状态预期!K170="",0,求节点($C$92:$C$100,D$92:D$100,基础状态预期!K170))</f>
        <v>0</v>
      </c>
      <c r="Z157" s="14">
        <f>IF(基础状态预期!L170="",0,求节点($C$92:$C$100,E$92:E$100,基础状态预期!L170))</f>
        <v>0</v>
      </c>
      <c r="AA157" s="14">
        <f>IF(基础状态预期!M170="",0,求节点($C$92:$C$100,F$92:F$100,基础状态预期!M170))</f>
        <v>0</v>
      </c>
      <c r="AB157" s="14">
        <f>IF(基础状态预期!N170="",0,求节点($C$92:$C$100,G$92:G$100,基础状态预期!N170))</f>
        <v>0</v>
      </c>
      <c r="AC157" s="14">
        <f>IF(基础状态预期!O170="",0,求节点($C$92:$C$100,H$92:H$100,基础状态预期!O170))</f>
        <v>3825000</v>
      </c>
      <c r="AD157" s="29">
        <f>MAX(SUMPRODUCT(Y157:AC157,基础状态预期!F170:J170),AD156)</f>
        <v>22950000</v>
      </c>
      <c r="AF157" s="29" t="str">
        <f>IF(基础状态预期!K170="","",基础状态预期!K170*D$59+D$58)</f>
        <v/>
      </c>
      <c r="AG157" s="29" t="str">
        <f>IF(基础状态预期!L170="","",基础状态预期!L170*E$59+E$58)</f>
        <v/>
      </c>
      <c r="AH157" s="29" t="str">
        <f>IF(基础状态预期!M170="","",基础状态预期!M170*F$59+F$58)</f>
        <v/>
      </c>
      <c r="AI157" s="29" t="str">
        <f>IF(基础状态预期!N170="","",基础状态预期!N170*G$59+G$58)</f>
        <v/>
      </c>
      <c r="AJ157" s="29">
        <f>IF(基础状态预期!O170="","",基础状态预期!O170*H$59+H$58)</f>
        <v>148</v>
      </c>
      <c r="AK157" s="29">
        <f>MAX(SUMPRODUCT(AF157:AJ157,基础状态预期!$F170:$J170)/SUM(基础状态预期!$F170:$J170),AK156)</f>
        <v>148</v>
      </c>
      <c r="AL157" s="29">
        <f>IF(基础状态预期!K170="",0,求节点($C$68:$C$76,D$68:D$76,基础状态预期!K170))</f>
        <v>0</v>
      </c>
      <c r="AM157" s="29">
        <f>IF(基础状态预期!L170="",0,求节点($C$68:$C$76,E$68:E$76,基础状态预期!L170))</f>
        <v>0</v>
      </c>
      <c r="AN157" s="29">
        <f>IF(基础状态预期!M170="",0,求节点($C$68:$C$76,F$68:F$76,基础状态预期!M170)*求节点(武将升级!$H$52:$H$54,武将升级!$J$52:$J$54,基础状态预期!W170))</f>
        <v>0</v>
      </c>
      <c r="AO157" s="29">
        <f>IF(基础状态预期!N170="",0,求节点($C$68:$C$76,G$68:G$76,基础状态预期!N170)*求节点(武将升级!$H$52:$H$54,武将升级!$J$52:$J$54,基础状态预期!X170))</f>
        <v>0</v>
      </c>
      <c r="AP157" s="29">
        <f>IF(基础状态预期!O170="",0,求节点($C$68:$C$76,H$68:H$76,基础状态预期!O170)*求节点(武将升级!$H$52:$H$54,武将升级!$J$52:$J$54,基础状态预期!Y170))</f>
        <v>1.1399999999999999</v>
      </c>
      <c r="AQ157" s="29">
        <f>MAX(SUMPRODUCT(AL157:AP157,基础状态预期!$F170:$J170)/SUM(基础状态预期!$F170:$J170),AQ156)</f>
        <v>1.1399999999999999</v>
      </c>
      <c r="AR157" s="29">
        <f>IF(基础状态预期!K170="",0,求节点($C$158:$C$166,D$158:D$166,基础状态预期!K170))</f>
        <v>0</v>
      </c>
      <c r="AS157" s="29">
        <f>IF(基础状态预期!L170="",0,求节点($C$158:$C$166,E$158:E$166,基础状态预期!L170))</f>
        <v>0</v>
      </c>
      <c r="AT157" s="29">
        <f>IF(基础状态预期!M170="",0,求节点($C$158:$C$166,F$158:F$166,基础状态预期!M170))</f>
        <v>0</v>
      </c>
      <c r="AU157" s="29">
        <f>IF(基础状态预期!N170="",0,求节点($C$158:$C$166,G$158:G$166,基础状态预期!N170))</f>
        <v>0</v>
      </c>
      <c r="AV157" s="29">
        <f>IF(基础状态预期!O170="",0,求节点($C$158:$C$166,H$158:H$166,基础状态预期!O170))</f>
        <v>0.8</v>
      </c>
      <c r="AW157" s="29">
        <f>MAX(SUMPRODUCT(AR157:AV157,基础状态预期!$F170:$J170)/SUM(基础状态预期!$F170:$J170),AW156)</f>
        <v>0.80000000000000016</v>
      </c>
      <c r="BJ157" s="29">
        <f t="shared" si="65"/>
        <v>90.288435080379244</v>
      </c>
      <c r="BK157" s="75">
        <f>武将数量星级阶位验证!AT160</f>
        <v>3001748.9134427751</v>
      </c>
      <c r="BL157" s="75">
        <f>(AD157-AD156)*INDEX('[1]功能-付费相关'!$AT$6:$AT$165,BJ157,1)+BL156</f>
        <v>25960.159102477042</v>
      </c>
    </row>
    <row r="158" spans="2:69" x14ac:dyDescent="0.15">
      <c r="B158" s="170"/>
      <c r="C158" s="14">
        <v>0</v>
      </c>
      <c r="D158" s="33">
        <v>0</v>
      </c>
      <c r="E158" s="33">
        <v>0</v>
      </c>
      <c r="F158" s="33">
        <v>0</v>
      </c>
      <c r="G158" s="33">
        <v>0</v>
      </c>
      <c r="H158" s="33">
        <v>0</v>
      </c>
      <c r="I158" s="33">
        <v>0</v>
      </c>
      <c r="M158" s="72">
        <v>23</v>
      </c>
      <c r="N158" s="29">
        <f>基础状态预期!D171</f>
        <v>93.400072017025948</v>
      </c>
      <c r="O158" s="29">
        <f>IF(基础状态预期!F171="",0,求节点($C$104:$C$112,D$104:D$112,基础状态预期!K171))</f>
        <v>0</v>
      </c>
      <c r="P158" s="29">
        <f>IF(基础状态预期!G171="",0,求节点($C$104:$C$112,E$104:E$112,基础状态预期!L171))</f>
        <v>0</v>
      </c>
      <c r="Q158" s="29">
        <f>IF(基础状态预期!H171="",0,求节点($C$104:$C$112,F$104:F$112,基础状态预期!M171))</f>
        <v>0</v>
      </c>
      <c r="R158" s="29">
        <f>IF(基础状态预期!I171="",0,求节点($C$104:$C$112,G$104:G$112,基础状态预期!N171))</f>
        <v>0</v>
      </c>
      <c r="S158" s="29">
        <f>IF(基础状态预期!J171="",0,求节点($C$104:$C$112,H$104:H$112,基础状态预期!O171))</f>
        <v>18</v>
      </c>
      <c r="T158" s="29">
        <f>IF(基础状态预期!F171="",0,求节点($C$114:$C$122,D$114:D$122,基础状态预期!K171)*基础状态预期!F171+求节点($C$124:$C$132,D$124:D$132,基础状态预期!$O171)*基础状态预期!$J171)</f>
        <v>0</v>
      </c>
      <c r="U158" s="29">
        <f>IF(基础状态预期!G171="",0,求节点($C$114:$C$122,E$114:E$122,基础状态预期!L171)*基础状态预期!G171+求节点($C$124:$C$132,E$124:E$132,基础状态预期!$O171)*基础状态预期!$J171)</f>
        <v>0</v>
      </c>
      <c r="V158" s="29">
        <f>IF(基础状态预期!H171="",0,求节点($C$114:$C$122,F$114:F$122,基础状态预期!M171)*基础状态预期!H171+求节点($C$124:$C$132,F$124:F$132,基础状态预期!$O171)*基础状态预期!$J171)</f>
        <v>0</v>
      </c>
      <c r="W158" s="148">
        <f>IF(基础状态预期!I171="",0,求节点($C$114:$C$122,G$114:G$122,基础状态预期!N171)*基础状态预期!I171)+IF(基础状态预期!O171="",0,求节点($C$124:$C$132,G$124:G$132,基础状态预期!$O171)*基础状态预期!$J171)</f>
        <v>54</v>
      </c>
      <c r="X158" s="29">
        <f>IF(基础状态预期!J171="",0,求节点($C$114:$C$122,H$114:H$122,基础状态预期!O171)*基础状态预期!J171+求节点($C$124:$C$132,H$124:H$132,基础状态预期!$O171)*基础状态预期!$J171)</f>
        <v>0</v>
      </c>
      <c r="Y158" s="14">
        <f>IF(基础状态预期!K171="",0,求节点($C$92:$C$100,D$92:D$100,基础状态预期!K171))</f>
        <v>0</v>
      </c>
      <c r="Z158" s="14">
        <f>IF(基础状态预期!L171="",0,求节点($C$92:$C$100,E$92:E$100,基础状态预期!L171))</f>
        <v>0</v>
      </c>
      <c r="AA158" s="14">
        <f>IF(基础状态预期!M171="",0,求节点($C$92:$C$100,F$92:F$100,基础状态预期!M171))</f>
        <v>0</v>
      </c>
      <c r="AB158" s="14">
        <f>IF(基础状态预期!N171="",0,求节点($C$92:$C$100,G$92:G$100,基础状态预期!N171))</f>
        <v>0</v>
      </c>
      <c r="AC158" s="14">
        <f>IF(基础状态预期!O171="",0,求节点($C$92:$C$100,H$92:H$100,基础状态预期!O171))</f>
        <v>3825000</v>
      </c>
      <c r="AD158" s="29">
        <f>MAX(SUMPRODUCT(Y158:AC158,基础状态预期!F171:J171),AD157)</f>
        <v>22950000</v>
      </c>
      <c r="AF158" s="29" t="str">
        <f>IF(基础状态预期!K171="","",基础状态预期!K171*D$59+D$58)</f>
        <v/>
      </c>
      <c r="AG158" s="29" t="str">
        <f>IF(基础状态预期!L171="","",基础状态预期!L171*E$59+E$58)</f>
        <v/>
      </c>
      <c r="AH158" s="29" t="str">
        <f>IF(基础状态预期!M171="","",基础状态预期!M171*F$59+F$58)</f>
        <v/>
      </c>
      <c r="AI158" s="29" t="str">
        <f>IF(基础状态预期!N171="","",基础状态预期!N171*G$59+G$58)</f>
        <v/>
      </c>
      <c r="AJ158" s="29">
        <f>IF(基础状态预期!O171="","",基础状态预期!O171*H$59+H$58)</f>
        <v>148</v>
      </c>
      <c r="AK158" s="29">
        <f>MAX(SUMPRODUCT(AF158:AJ158,基础状态预期!$F171:$J171)/SUM(基础状态预期!$F171:$J171),AK157)</f>
        <v>148</v>
      </c>
      <c r="AL158" s="29">
        <f>IF(基础状态预期!K171="",0,求节点($C$68:$C$76,D$68:D$76,基础状态预期!K171))</f>
        <v>0</v>
      </c>
      <c r="AM158" s="29">
        <f>IF(基础状态预期!L171="",0,求节点($C$68:$C$76,E$68:E$76,基础状态预期!L171))</f>
        <v>0</v>
      </c>
      <c r="AN158" s="29">
        <f>IF(基础状态预期!M171="",0,求节点($C$68:$C$76,F$68:F$76,基础状态预期!M171)*求节点(武将升级!$H$52:$H$54,武将升级!$J$52:$J$54,基础状态预期!W171))</f>
        <v>0</v>
      </c>
      <c r="AO158" s="29">
        <f>IF(基础状态预期!N171="",0,求节点($C$68:$C$76,G$68:G$76,基础状态预期!N171)*求节点(武将升级!$H$52:$H$54,武将升级!$J$52:$J$54,基础状态预期!X171))</f>
        <v>0</v>
      </c>
      <c r="AP158" s="29">
        <f>IF(基础状态预期!O171="",0,求节点($C$68:$C$76,H$68:H$76,基础状态预期!O171)*求节点(武将升级!$H$52:$H$54,武将升级!$J$52:$J$54,基础状态预期!Y171))</f>
        <v>1.1399999999999999</v>
      </c>
      <c r="AQ158" s="29">
        <f>MAX(SUMPRODUCT(AL158:AP158,基础状态预期!$F171:$J171)/SUM(基础状态预期!$F171:$J171),AQ157)</f>
        <v>1.1399999999999999</v>
      </c>
      <c r="AR158" s="29">
        <f>IF(基础状态预期!K171="",0,求节点($C$158:$C$166,D$158:D$166,基础状态预期!K171))</f>
        <v>0</v>
      </c>
      <c r="AS158" s="29">
        <f>IF(基础状态预期!L171="",0,求节点($C$158:$C$166,E$158:E$166,基础状态预期!L171))</f>
        <v>0</v>
      </c>
      <c r="AT158" s="29">
        <f>IF(基础状态预期!M171="",0,求节点($C$158:$C$166,F$158:F$166,基础状态预期!M171))</f>
        <v>0</v>
      </c>
      <c r="AU158" s="29">
        <f>IF(基础状态预期!N171="",0,求节点($C$158:$C$166,G$158:G$166,基础状态预期!N171))</f>
        <v>0</v>
      </c>
      <c r="AV158" s="29">
        <f>IF(基础状态预期!O171="",0,求节点($C$158:$C$166,H$158:H$166,基础状态预期!O171))</f>
        <v>0.8</v>
      </c>
      <c r="AW158" s="29">
        <f>MAX(SUMPRODUCT(AR158:AV158,基础状态预期!$F171:$J171)/SUM(基础状态预期!$F171:$J171),AW157)</f>
        <v>0.80000000000000016</v>
      </c>
      <c r="BJ158" s="29">
        <f t="shared" si="65"/>
        <v>93.400072017025948</v>
      </c>
      <c r="BK158" s="75">
        <f>武将数量星级阶位验证!AT161</f>
        <v>3547136.2239603358</v>
      </c>
      <c r="BL158" s="75">
        <f>(AD158-AD157)*INDEX('[1]功能-付费相关'!$AT$6:$AT$165,BJ158,1)+BL157</f>
        <v>25960.159102477042</v>
      </c>
    </row>
    <row r="159" spans="2:69" x14ac:dyDescent="0.15">
      <c r="B159" s="170"/>
      <c r="C159" s="14">
        <v>1</v>
      </c>
      <c r="D159" s="33">
        <v>0</v>
      </c>
      <c r="E159" s="33">
        <v>0.02</v>
      </c>
      <c r="F159" s="33">
        <v>0.04</v>
      </c>
      <c r="G159" s="33">
        <v>7.0000000000000007E-2</v>
      </c>
      <c r="H159" s="33">
        <v>0.1</v>
      </c>
      <c r="I159" s="33">
        <v>0.125</v>
      </c>
      <c r="M159" s="72">
        <v>24</v>
      </c>
      <c r="N159" s="29">
        <f>基础状态预期!D172</f>
        <v>97.006001686863456</v>
      </c>
      <c r="O159" s="29">
        <f>IF(基础状态预期!F172="",0,求节点($C$104:$C$112,D$104:D$112,基础状态预期!K172))</f>
        <v>0</v>
      </c>
      <c r="P159" s="29">
        <f>IF(基础状态预期!G172="",0,求节点($C$104:$C$112,E$104:E$112,基础状态预期!L172))</f>
        <v>0</v>
      </c>
      <c r="Q159" s="29">
        <f>IF(基础状态预期!H172="",0,求节点($C$104:$C$112,F$104:F$112,基础状态预期!M172))</f>
        <v>0</v>
      </c>
      <c r="R159" s="29">
        <f>IF(基础状态预期!I172="",0,求节点($C$104:$C$112,G$104:G$112,基础状态预期!N172))</f>
        <v>0</v>
      </c>
      <c r="S159" s="29">
        <f>IF(基础状态预期!J172="",0,求节点($C$104:$C$112,H$104:H$112,基础状态预期!O172))</f>
        <v>18</v>
      </c>
      <c r="T159" s="29">
        <f>IF(基础状态预期!F172="",0,求节点($C$114:$C$122,D$114:D$122,基础状态预期!K172)*基础状态预期!F172+求节点($C$124:$C$132,D$124:D$132,基础状态预期!$O172)*基础状态预期!$J172)</f>
        <v>0</v>
      </c>
      <c r="U159" s="29">
        <f>IF(基础状态预期!G172="",0,求节点($C$114:$C$122,E$114:E$122,基础状态预期!L172)*基础状态预期!G172+求节点($C$124:$C$132,E$124:E$132,基础状态预期!$O172)*基础状态预期!$J172)</f>
        <v>0</v>
      </c>
      <c r="V159" s="29">
        <f>IF(基础状态预期!H172="",0,求节点($C$114:$C$122,F$114:F$122,基础状态预期!M172)*基础状态预期!H172+求节点($C$124:$C$132,F$124:F$132,基础状态预期!$O172)*基础状态预期!$J172)</f>
        <v>0</v>
      </c>
      <c r="W159" s="148">
        <f>IF(基础状态预期!I172="",0,求节点($C$114:$C$122,G$114:G$122,基础状态预期!N172)*基础状态预期!I172)+IF(基础状态预期!O172="",0,求节点($C$124:$C$132,G$124:G$132,基础状态预期!$O172)*基础状态预期!$J172)</f>
        <v>54</v>
      </c>
      <c r="X159" s="29">
        <f>IF(基础状态预期!J172="",0,求节点($C$114:$C$122,H$114:H$122,基础状态预期!O172)*基础状态预期!J172+求节点($C$124:$C$132,H$124:H$132,基础状态预期!$O172)*基础状态预期!$J172)</f>
        <v>0</v>
      </c>
      <c r="Y159" s="14">
        <f>IF(基础状态预期!K172="",0,求节点($C$92:$C$100,D$92:D$100,基础状态预期!K172))</f>
        <v>0</v>
      </c>
      <c r="Z159" s="14">
        <f>IF(基础状态预期!L172="",0,求节点($C$92:$C$100,E$92:E$100,基础状态预期!L172))</f>
        <v>0</v>
      </c>
      <c r="AA159" s="14">
        <f>IF(基础状态预期!M172="",0,求节点($C$92:$C$100,F$92:F$100,基础状态预期!M172))</f>
        <v>0</v>
      </c>
      <c r="AB159" s="14">
        <f>IF(基础状态预期!N172="",0,求节点($C$92:$C$100,G$92:G$100,基础状态预期!N172))</f>
        <v>0</v>
      </c>
      <c r="AC159" s="14">
        <f>IF(基础状态预期!O172="",0,求节点($C$92:$C$100,H$92:H$100,基础状态预期!O172))</f>
        <v>3825000</v>
      </c>
      <c r="AD159" s="29">
        <f>MAX(SUMPRODUCT(Y159:AC159,基础状态预期!F172:J172),AD158)</f>
        <v>22950000</v>
      </c>
      <c r="AF159" s="29" t="str">
        <f>IF(基础状态预期!K172="","",基础状态预期!K172*D$59+D$58)</f>
        <v/>
      </c>
      <c r="AG159" s="29" t="str">
        <f>IF(基础状态预期!L172="","",基础状态预期!L172*E$59+E$58)</f>
        <v/>
      </c>
      <c r="AH159" s="29" t="str">
        <f>IF(基础状态预期!M172="","",基础状态预期!M172*F$59+F$58)</f>
        <v/>
      </c>
      <c r="AI159" s="29" t="str">
        <f>IF(基础状态预期!N172="","",基础状态预期!N172*G$59+G$58)</f>
        <v/>
      </c>
      <c r="AJ159" s="29">
        <f>IF(基础状态预期!O172="","",基础状态预期!O172*H$59+H$58)</f>
        <v>148</v>
      </c>
      <c r="AK159" s="29">
        <f>MAX(SUMPRODUCT(AF159:AJ159,基础状态预期!$F172:$J172)/SUM(基础状态预期!$F172:$J172),AK158)</f>
        <v>148</v>
      </c>
      <c r="AL159" s="29">
        <f>IF(基础状态预期!K172="",0,求节点($C$68:$C$76,D$68:D$76,基础状态预期!K172))</f>
        <v>0</v>
      </c>
      <c r="AM159" s="29">
        <f>IF(基础状态预期!L172="",0,求节点($C$68:$C$76,E$68:E$76,基础状态预期!L172))</f>
        <v>0</v>
      </c>
      <c r="AN159" s="29">
        <f>IF(基础状态预期!M172="",0,求节点($C$68:$C$76,F$68:F$76,基础状态预期!M172)*求节点(武将升级!$H$52:$H$54,武将升级!$J$52:$J$54,基础状态预期!W172))</f>
        <v>0</v>
      </c>
      <c r="AO159" s="29">
        <f>IF(基础状态预期!N172="",0,求节点($C$68:$C$76,G$68:G$76,基础状态预期!N172)*求节点(武将升级!$H$52:$H$54,武将升级!$J$52:$J$54,基础状态预期!X172))</f>
        <v>0</v>
      </c>
      <c r="AP159" s="29">
        <f>IF(基础状态预期!O172="",0,求节点($C$68:$C$76,H$68:H$76,基础状态预期!O172)*求节点(武将升级!$H$52:$H$54,武将升级!$J$52:$J$54,基础状态预期!Y172))</f>
        <v>1.1399999999999999</v>
      </c>
      <c r="AQ159" s="29">
        <f>MAX(SUMPRODUCT(AL159:AP159,基础状态预期!$F172:$J172)/SUM(基础状态预期!$F172:$J172),AQ158)</f>
        <v>1.1399999999999999</v>
      </c>
      <c r="AR159" s="29">
        <f>IF(基础状态预期!K172="",0,求节点($C$158:$C$166,D$158:D$166,基础状态预期!K172))</f>
        <v>0</v>
      </c>
      <c r="AS159" s="29">
        <f>IF(基础状态预期!L172="",0,求节点($C$158:$C$166,E$158:E$166,基础状态预期!L172))</f>
        <v>0</v>
      </c>
      <c r="AT159" s="29">
        <f>IF(基础状态预期!M172="",0,求节点($C$158:$C$166,F$158:F$166,基础状态预期!M172))</f>
        <v>0</v>
      </c>
      <c r="AU159" s="29">
        <f>IF(基础状态预期!N172="",0,求节点($C$158:$C$166,G$158:G$166,基础状态预期!N172))</f>
        <v>0</v>
      </c>
      <c r="AV159" s="29">
        <f>IF(基础状态预期!O172="",0,求节点($C$158:$C$166,H$158:H$166,基础状态预期!O172))</f>
        <v>0.8</v>
      </c>
      <c r="AW159" s="29">
        <f>MAX(SUMPRODUCT(AR159:AV159,基础状态预期!$F172:$J172)/SUM(基础状态预期!$F172:$J172),AW158)</f>
        <v>0.80000000000000016</v>
      </c>
      <c r="BJ159" s="29">
        <f t="shared" si="65"/>
        <v>97.006001686863456</v>
      </c>
      <c r="BK159" s="75">
        <f>武将数量星级阶位验证!AT162</f>
        <v>4315733.5980662247</v>
      </c>
      <c r="BL159" s="75">
        <f>(AD159-AD158)*INDEX('[1]功能-付费相关'!$AT$6:$AT$165,BJ159,1)+BL158</f>
        <v>25960.159102477042</v>
      </c>
    </row>
    <row r="160" spans="2:69" x14ac:dyDescent="0.15">
      <c r="B160" s="170"/>
      <c r="C160" s="14">
        <v>2</v>
      </c>
      <c r="D160" s="33">
        <v>0</v>
      </c>
      <c r="E160" s="33">
        <v>0.04</v>
      </c>
      <c r="F160" s="33">
        <v>0.08</v>
      </c>
      <c r="G160" s="33">
        <v>0.14000000000000001</v>
      </c>
      <c r="H160" s="33">
        <v>0.2</v>
      </c>
      <c r="I160" s="33">
        <v>0.25</v>
      </c>
      <c r="M160" s="72">
        <v>25</v>
      </c>
      <c r="N160" s="29">
        <f>基础状态预期!D173</f>
        <v>100.64473135315967</v>
      </c>
      <c r="O160" s="29">
        <f>IF(基础状态预期!F173="",0,求节点($C$104:$C$112,D$104:D$112,基础状态预期!K173))</f>
        <v>0</v>
      </c>
      <c r="P160" s="29">
        <f>IF(基础状态预期!G173="",0,求节点($C$104:$C$112,E$104:E$112,基础状态预期!L173))</f>
        <v>0</v>
      </c>
      <c r="Q160" s="29">
        <f>IF(基础状态预期!H173="",0,求节点($C$104:$C$112,F$104:F$112,基础状态预期!M173))</f>
        <v>0</v>
      </c>
      <c r="R160" s="29">
        <f>IF(基础状态预期!I173="",0,求节点($C$104:$C$112,G$104:G$112,基础状态预期!N173))</f>
        <v>0</v>
      </c>
      <c r="S160" s="29">
        <f>IF(基础状态预期!J173="",0,求节点($C$104:$C$112,H$104:H$112,基础状态预期!O173))</f>
        <v>18</v>
      </c>
      <c r="T160" s="29">
        <f>IF(基础状态预期!F173="",0,求节点($C$114:$C$122,D$114:D$122,基础状态预期!K173)*基础状态预期!F173+求节点($C$124:$C$132,D$124:D$132,基础状态预期!$O173)*基础状态预期!$J173)</f>
        <v>0</v>
      </c>
      <c r="U160" s="29">
        <f>IF(基础状态预期!G173="",0,求节点($C$114:$C$122,E$114:E$122,基础状态预期!L173)*基础状态预期!G173+求节点($C$124:$C$132,E$124:E$132,基础状态预期!$O173)*基础状态预期!$J173)</f>
        <v>0</v>
      </c>
      <c r="V160" s="29">
        <f>IF(基础状态预期!H173="",0,求节点($C$114:$C$122,F$114:F$122,基础状态预期!M173)*基础状态预期!H173+求节点($C$124:$C$132,F$124:F$132,基础状态预期!$O173)*基础状态预期!$J173)</f>
        <v>0</v>
      </c>
      <c r="W160" s="148">
        <f>IF(基础状态预期!I173="",0,求节点($C$114:$C$122,G$114:G$122,基础状态预期!N173)*基础状态预期!I173)+IF(基础状态预期!O173="",0,求节点($C$124:$C$132,G$124:G$132,基础状态预期!$O173)*基础状态预期!$J173)</f>
        <v>54</v>
      </c>
      <c r="X160" s="29">
        <f>IF(基础状态预期!J173="",0,求节点($C$114:$C$122,H$114:H$122,基础状态预期!O173)*基础状态预期!J173+求节点($C$124:$C$132,H$124:H$132,基础状态预期!$O173)*基础状态预期!$J173)</f>
        <v>0</v>
      </c>
      <c r="Y160" s="14">
        <f>IF(基础状态预期!K173="",0,求节点($C$92:$C$100,D$92:D$100,基础状态预期!K173))</f>
        <v>0</v>
      </c>
      <c r="Z160" s="14">
        <f>IF(基础状态预期!L173="",0,求节点($C$92:$C$100,E$92:E$100,基础状态预期!L173))</f>
        <v>0</v>
      </c>
      <c r="AA160" s="14">
        <f>IF(基础状态预期!M173="",0,求节点($C$92:$C$100,F$92:F$100,基础状态预期!M173))</f>
        <v>0</v>
      </c>
      <c r="AB160" s="14">
        <f>IF(基础状态预期!N173="",0,求节点($C$92:$C$100,G$92:G$100,基础状态预期!N173))</f>
        <v>0</v>
      </c>
      <c r="AC160" s="14">
        <f>IF(基础状态预期!O173="",0,求节点($C$92:$C$100,H$92:H$100,基础状态预期!O173))</f>
        <v>3825000</v>
      </c>
      <c r="AD160" s="29">
        <f>MAX(SUMPRODUCT(Y160:AC160,基础状态预期!F173:J173),AD159)</f>
        <v>22950000</v>
      </c>
      <c r="AF160" s="29" t="str">
        <f>IF(基础状态预期!K173="","",基础状态预期!K173*D$59+D$58)</f>
        <v/>
      </c>
      <c r="AG160" s="29" t="str">
        <f>IF(基础状态预期!L173="","",基础状态预期!L173*E$59+E$58)</f>
        <v/>
      </c>
      <c r="AH160" s="29" t="str">
        <f>IF(基础状态预期!M173="","",基础状态预期!M173*F$59+F$58)</f>
        <v/>
      </c>
      <c r="AI160" s="29" t="str">
        <f>IF(基础状态预期!N173="","",基础状态预期!N173*G$59+G$58)</f>
        <v/>
      </c>
      <c r="AJ160" s="29">
        <f>IF(基础状态预期!O173="","",基础状态预期!O173*H$59+H$58)</f>
        <v>148</v>
      </c>
      <c r="AK160" s="29">
        <f>MAX(SUMPRODUCT(AF160:AJ160,基础状态预期!$F173:$J173)/SUM(基础状态预期!$F173:$J173),AK159)</f>
        <v>148</v>
      </c>
      <c r="AL160" s="29">
        <f>IF(基础状态预期!K173="",0,求节点($C$68:$C$76,D$68:D$76,基础状态预期!K173))</f>
        <v>0</v>
      </c>
      <c r="AM160" s="29">
        <f>IF(基础状态预期!L173="",0,求节点($C$68:$C$76,E$68:E$76,基础状态预期!L173))</f>
        <v>0</v>
      </c>
      <c r="AN160" s="29">
        <f>IF(基础状态预期!M173="",0,求节点($C$68:$C$76,F$68:F$76,基础状态预期!M173)*求节点(武将升级!$H$52:$H$54,武将升级!$J$52:$J$54,基础状态预期!W173))</f>
        <v>0</v>
      </c>
      <c r="AO160" s="29">
        <f>IF(基础状态预期!N173="",0,求节点($C$68:$C$76,G$68:G$76,基础状态预期!N173)*求节点(武将升级!$H$52:$H$54,武将升级!$J$52:$J$54,基础状态预期!X173))</f>
        <v>0</v>
      </c>
      <c r="AP160" s="29">
        <f>IF(基础状态预期!O173="",0,求节点($C$68:$C$76,H$68:H$76,基础状态预期!O173)*求节点(武将升级!$H$52:$H$54,武将升级!$J$52:$J$54,基础状态预期!Y173))</f>
        <v>1.1399999999999999</v>
      </c>
      <c r="AQ160" s="29">
        <f>MAX(SUMPRODUCT(AL160:AP160,基础状态预期!$F173:$J173)/SUM(基础状态预期!$F173:$J173),AQ159)</f>
        <v>1.1399999999999999</v>
      </c>
      <c r="AR160" s="29">
        <f>IF(基础状态预期!K173="",0,求节点($C$158:$C$166,D$158:D$166,基础状态预期!K173))</f>
        <v>0</v>
      </c>
      <c r="AS160" s="29">
        <f>IF(基础状态预期!L173="",0,求节点($C$158:$C$166,E$158:E$166,基础状态预期!L173))</f>
        <v>0</v>
      </c>
      <c r="AT160" s="29">
        <f>IF(基础状态预期!M173="",0,求节点($C$158:$C$166,F$158:F$166,基础状态预期!M173))</f>
        <v>0</v>
      </c>
      <c r="AU160" s="29">
        <f>IF(基础状态预期!N173="",0,求节点($C$158:$C$166,G$158:G$166,基础状态预期!N173))</f>
        <v>0</v>
      </c>
      <c r="AV160" s="29">
        <f>IF(基础状态预期!O173="",0,求节点($C$158:$C$166,H$158:H$166,基础状态预期!O173))</f>
        <v>0.8</v>
      </c>
      <c r="AW160" s="29">
        <f>MAX(SUMPRODUCT(AR160:AV160,基础状态预期!$F173:$J173)/SUM(基础状态预期!$F173:$J173),AW159)</f>
        <v>0.80000000000000016</v>
      </c>
      <c r="BJ160" s="29">
        <f t="shared" si="65"/>
        <v>100.64473135315967</v>
      </c>
      <c r="BK160" s="75">
        <f>武将数量星级阶位验证!AT163</f>
        <v>5296991.6538282586</v>
      </c>
      <c r="BL160" s="75">
        <f>(AD160-AD159)*INDEX('[1]功能-付费相关'!$AT$6:$AT$165,BJ160,1)+BL159</f>
        <v>25960.159102477042</v>
      </c>
    </row>
    <row r="161" spans="2:64" x14ac:dyDescent="0.15">
      <c r="B161" s="170"/>
      <c r="C161" s="14">
        <v>3</v>
      </c>
      <c r="D161" s="33">
        <v>0</v>
      </c>
      <c r="E161" s="33">
        <v>0.06</v>
      </c>
      <c r="F161" s="33">
        <v>0.12</v>
      </c>
      <c r="G161" s="33">
        <v>0.21</v>
      </c>
      <c r="H161" s="33">
        <v>0.3</v>
      </c>
      <c r="I161" s="33">
        <v>0.375</v>
      </c>
      <c r="M161" s="72">
        <v>26</v>
      </c>
      <c r="N161" s="29">
        <f>基础状态预期!D174</f>
        <v>104.30731379164318</v>
      </c>
      <c r="O161" s="29">
        <f>IF(基础状态预期!F174="",0,求节点($C$104:$C$112,D$104:D$112,基础状态预期!K174))</f>
        <v>0</v>
      </c>
      <c r="P161" s="29">
        <f>IF(基础状态预期!G174="",0,求节点($C$104:$C$112,E$104:E$112,基础状态预期!L174))</f>
        <v>0</v>
      </c>
      <c r="Q161" s="29">
        <f>IF(基础状态预期!H174="",0,求节点($C$104:$C$112,F$104:F$112,基础状态预期!M174))</f>
        <v>0</v>
      </c>
      <c r="R161" s="29">
        <f>IF(基础状态预期!I174="",0,求节点($C$104:$C$112,G$104:G$112,基础状态预期!N174))</f>
        <v>0</v>
      </c>
      <c r="S161" s="29">
        <f>IF(基础状态预期!J174="",0,求节点($C$104:$C$112,H$104:H$112,基础状态预期!O174))</f>
        <v>18</v>
      </c>
      <c r="T161" s="29">
        <f>IF(基础状态预期!F174="",0,求节点($C$114:$C$122,D$114:D$122,基础状态预期!K174)*基础状态预期!F174+求节点($C$124:$C$132,D$124:D$132,基础状态预期!$O174)*基础状态预期!$J174)</f>
        <v>0</v>
      </c>
      <c r="U161" s="29">
        <f>IF(基础状态预期!G174="",0,求节点($C$114:$C$122,E$114:E$122,基础状态预期!L174)*基础状态预期!G174+求节点($C$124:$C$132,E$124:E$132,基础状态预期!$O174)*基础状态预期!$J174)</f>
        <v>0</v>
      </c>
      <c r="V161" s="29">
        <f>IF(基础状态预期!H174="",0,求节点($C$114:$C$122,F$114:F$122,基础状态预期!M174)*基础状态预期!H174+求节点($C$124:$C$132,F$124:F$132,基础状态预期!$O174)*基础状态预期!$J174)</f>
        <v>0</v>
      </c>
      <c r="W161" s="148">
        <f>IF(基础状态预期!I174="",0,求节点($C$114:$C$122,G$114:G$122,基础状态预期!N174)*基础状态预期!I174)+IF(基础状态预期!O174="",0,求节点($C$124:$C$132,G$124:G$132,基础状态预期!$O174)*基础状态预期!$J174)</f>
        <v>54</v>
      </c>
      <c r="X161" s="29">
        <f>IF(基础状态预期!J174="",0,求节点($C$114:$C$122,H$114:H$122,基础状态预期!O174)*基础状态预期!J174+求节点($C$124:$C$132,H$124:H$132,基础状态预期!$O174)*基础状态预期!$J174)</f>
        <v>0</v>
      </c>
      <c r="Y161" s="14">
        <f>IF(基础状态预期!K174="",0,求节点($C$92:$C$100,D$92:D$100,基础状态预期!K174))</f>
        <v>0</v>
      </c>
      <c r="Z161" s="14">
        <f>IF(基础状态预期!L174="",0,求节点($C$92:$C$100,E$92:E$100,基础状态预期!L174))</f>
        <v>0</v>
      </c>
      <c r="AA161" s="14">
        <f>IF(基础状态预期!M174="",0,求节点($C$92:$C$100,F$92:F$100,基础状态预期!M174))</f>
        <v>0</v>
      </c>
      <c r="AB161" s="14">
        <f>IF(基础状态预期!N174="",0,求节点($C$92:$C$100,G$92:G$100,基础状态预期!N174))</f>
        <v>0</v>
      </c>
      <c r="AC161" s="14">
        <f>IF(基础状态预期!O174="",0,求节点($C$92:$C$100,H$92:H$100,基础状态预期!O174))</f>
        <v>3825000</v>
      </c>
      <c r="AD161" s="29">
        <f>MAX(SUMPRODUCT(Y161:AC161,基础状态预期!F174:J174),AD160)</f>
        <v>22950000</v>
      </c>
      <c r="AF161" s="29" t="str">
        <f>IF(基础状态预期!K174="","",基础状态预期!K174*D$59+D$58)</f>
        <v/>
      </c>
      <c r="AG161" s="29" t="str">
        <f>IF(基础状态预期!L174="","",基础状态预期!L174*E$59+E$58)</f>
        <v/>
      </c>
      <c r="AH161" s="29" t="str">
        <f>IF(基础状态预期!M174="","",基础状态预期!M174*F$59+F$58)</f>
        <v/>
      </c>
      <c r="AI161" s="29" t="str">
        <f>IF(基础状态预期!N174="","",基础状态预期!N174*G$59+G$58)</f>
        <v/>
      </c>
      <c r="AJ161" s="29">
        <f>IF(基础状态预期!O174="","",基础状态预期!O174*H$59+H$58)</f>
        <v>148</v>
      </c>
      <c r="AK161" s="29">
        <f>MAX(SUMPRODUCT(AF161:AJ161,基础状态预期!$F174:$J174)/SUM(基础状态预期!$F174:$J174),AK160)</f>
        <v>148</v>
      </c>
      <c r="AL161" s="29">
        <f>IF(基础状态预期!K174="",0,求节点($C$68:$C$76,D$68:D$76,基础状态预期!K174))</f>
        <v>0</v>
      </c>
      <c r="AM161" s="29">
        <f>IF(基础状态预期!L174="",0,求节点($C$68:$C$76,E$68:E$76,基础状态预期!L174))</f>
        <v>0</v>
      </c>
      <c r="AN161" s="29">
        <f>IF(基础状态预期!M174="",0,求节点($C$68:$C$76,F$68:F$76,基础状态预期!M174)*求节点(武将升级!$H$52:$H$54,武将升级!$J$52:$J$54,基础状态预期!W174))</f>
        <v>0</v>
      </c>
      <c r="AO161" s="29">
        <f>IF(基础状态预期!N174="",0,求节点($C$68:$C$76,G$68:G$76,基础状态预期!N174)*求节点(武将升级!$H$52:$H$54,武将升级!$J$52:$J$54,基础状态预期!X174))</f>
        <v>0</v>
      </c>
      <c r="AP161" s="29">
        <f>IF(基础状态预期!O174="",0,求节点($C$68:$C$76,H$68:H$76,基础状态预期!O174)*求节点(武将升级!$H$52:$H$54,武将升级!$J$52:$J$54,基础状态预期!Y174))</f>
        <v>1.1399999999999999</v>
      </c>
      <c r="AQ161" s="29">
        <f>MAX(SUMPRODUCT(AL161:AP161,基础状态预期!$F174:$J174)/SUM(基础状态预期!$F174:$J174),AQ160)</f>
        <v>1.1399999999999999</v>
      </c>
      <c r="AR161" s="29">
        <f>IF(基础状态预期!K174="",0,求节点($C$158:$C$166,D$158:D$166,基础状态预期!K174))</f>
        <v>0</v>
      </c>
      <c r="AS161" s="29">
        <f>IF(基础状态预期!L174="",0,求节点($C$158:$C$166,E$158:E$166,基础状态预期!L174))</f>
        <v>0</v>
      </c>
      <c r="AT161" s="29">
        <f>IF(基础状态预期!M174="",0,求节点($C$158:$C$166,F$158:F$166,基础状态预期!M174))</f>
        <v>0</v>
      </c>
      <c r="AU161" s="29">
        <f>IF(基础状态预期!N174="",0,求节点($C$158:$C$166,G$158:G$166,基础状态预期!N174))</f>
        <v>0</v>
      </c>
      <c r="AV161" s="29">
        <f>IF(基础状态预期!O174="",0,求节点($C$158:$C$166,H$158:H$166,基础状态预期!O174))</f>
        <v>0.8</v>
      </c>
      <c r="AW161" s="29">
        <f>MAX(SUMPRODUCT(AR161:AV161,基础状态预期!$F174:$J174)/SUM(基础状态预期!$F174:$J174),AW160)</f>
        <v>0.80000000000000016</v>
      </c>
      <c r="BJ161" s="29">
        <f t="shared" si="65"/>
        <v>104.30731379164318</v>
      </c>
      <c r="BK161" s="75">
        <f>武将数量星级阶位验证!AT164</f>
        <v>6654403.4979498116</v>
      </c>
      <c r="BL161" s="75">
        <f>(AD161-AD160)*INDEX('[1]功能-付费相关'!$AT$6:$AT$165,BJ161,1)+BL160</f>
        <v>25960.159102477042</v>
      </c>
    </row>
    <row r="162" spans="2:64" x14ac:dyDescent="0.15">
      <c r="B162" s="170"/>
      <c r="C162" s="14">
        <v>4</v>
      </c>
      <c r="D162" s="33">
        <v>0</v>
      </c>
      <c r="E162" s="33">
        <v>0.08</v>
      </c>
      <c r="F162" s="33">
        <v>0.16</v>
      </c>
      <c r="G162" s="33">
        <v>0.28000000000000003</v>
      </c>
      <c r="H162" s="33">
        <v>0.4</v>
      </c>
      <c r="I162" s="33">
        <v>0.5</v>
      </c>
      <c r="M162" s="72">
        <v>27</v>
      </c>
      <c r="N162" s="29">
        <f>基础状态预期!D175</f>
        <v>107.78950972208385</v>
      </c>
      <c r="O162" s="29">
        <f>IF(基础状态预期!F175="",0,求节点($C$104:$C$112,D$104:D$112,基础状态预期!K175))</f>
        <v>0</v>
      </c>
      <c r="P162" s="29">
        <f>IF(基础状态预期!G175="",0,求节点($C$104:$C$112,E$104:E$112,基础状态预期!L175))</f>
        <v>0</v>
      </c>
      <c r="Q162" s="29">
        <f>IF(基础状态预期!H175="",0,求节点($C$104:$C$112,F$104:F$112,基础状态预期!M175))</f>
        <v>0</v>
      </c>
      <c r="R162" s="29">
        <f>IF(基础状态预期!I175="",0,求节点($C$104:$C$112,G$104:G$112,基础状态预期!N175))</f>
        <v>0</v>
      </c>
      <c r="S162" s="29">
        <f>IF(基础状态预期!J175="",0,求节点($C$104:$C$112,H$104:H$112,基础状态预期!O175))</f>
        <v>18</v>
      </c>
      <c r="T162" s="29">
        <f>IF(基础状态预期!F175="",0,求节点($C$114:$C$122,D$114:D$122,基础状态预期!K175)*基础状态预期!F175+求节点($C$124:$C$132,D$124:D$132,基础状态预期!$O175)*基础状态预期!$J175)</f>
        <v>0</v>
      </c>
      <c r="U162" s="29">
        <f>IF(基础状态预期!G175="",0,求节点($C$114:$C$122,E$114:E$122,基础状态预期!L175)*基础状态预期!G175+求节点($C$124:$C$132,E$124:E$132,基础状态预期!$O175)*基础状态预期!$J175)</f>
        <v>0</v>
      </c>
      <c r="V162" s="29">
        <f>IF(基础状态预期!H175="",0,求节点($C$114:$C$122,F$114:F$122,基础状态预期!M175)*基础状态预期!H175+求节点($C$124:$C$132,F$124:F$132,基础状态预期!$O175)*基础状态预期!$J175)</f>
        <v>0</v>
      </c>
      <c r="W162" s="148">
        <f>IF(基础状态预期!I175="",0,求节点($C$114:$C$122,G$114:G$122,基础状态预期!N175)*基础状态预期!I175)+IF(基础状态预期!O175="",0,求节点($C$124:$C$132,G$124:G$132,基础状态预期!$O175)*基础状态预期!$J175)</f>
        <v>54</v>
      </c>
      <c r="X162" s="29">
        <f>IF(基础状态预期!J175="",0,求节点($C$114:$C$122,H$114:H$122,基础状态预期!O175)*基础状态预期!J175+求节点($C$124:$C$132,H$124:H$132,基础状态预期!$O175)*基础状态预期!$J175)</f>
        <v>0</v>
      </c>
      <c r="Y162" s="14">
        <f>IF(基础状态预期!K175="",0,求节点($C$92:$C$100,D$92:D$100,基础状态预期!K175))</f>
        <v>0</v>
      </c>
      <c r="Z162" s="14">
        <f>IF(基础状态预期!L175="",0,求节点($C$92:$C$100,E$92:E$100,基础状态预期!L175))</f>
        <v>0</v>
      </c>
      <c r="AA162" s="14">
        <f>IF(基础状态预期!M175="",0,求节点($C$92:$C$100,F$92:F$100,基础状态预期!M175))</f>
        <v>0</v>
      </c>
      <c r="AB162" s="14">
        <f>IF(基础状态预期!N175="",0,求节点($C$92:$C$100,G$92:G$100,基础状态预期!N175))</f>
        <v>0</v>
      </c>
      <c r="AC162" s="14">
        <f>IF(基础状态预期!O175="",0,求节点($C$92:$C$100,H$92:H$100,基础状态预期!O175))</f>
        <v>3825000</v>
      </c>
      <c r="AD162" s="29">
        <f>MAX(SUMPRODUCT(Y162:AC162,基础状态预期!F175:J175),AD161)</f>
        <v>22950000</v>
      </c>
      <c r="AF162" s="29" t="str">
        <f>IF(基础状态预期!K175="","",基础状态预期!K175*D$59+D$58)</f>
        <v/>
      </c>
      <c r="AG162" s="29" t="str">
        <f>IF(基础状态预期!L175="","",基础状态预期!L175*E$59+E$58)</f>
        <v/>
      </c>
      <c r="AH162" s="29" t="str">
        <f>IF(基础状态预期!M175="","",基础状态预期!M175*F$59+F$58)</f>
        <v/>
      </c>
      <c r="AI162" s="29" t="str">
        <f>IF(基础状态预期!N175="","",基础状态预期!N175*G$59+G$58)</f>
        <v/>
      </c>
      <c r="AJ162" s="29">
        <f>IF(基础状态预期!O175="","",基础状态预期!O175*H$59+H$58)</f>
        <v>148</v>
      </c>
      <c r="AK162" s="29">
        <f>MAX(SUMPRODUCT(AF162:AJ162,基础状态预期!$F175:$J175)/SUM(基础状态预期!$F175:$J175),AK161)</f>
        <v>148</v>
      </c>
      <c r="AL162" s="29">
        <f>IF(基础状态预期!K175="",0,求节点($C$68:$C$76,D$68:D$76,基础状态预期!K175))</f>
        <v>0</v>
      </c>
      <c r="AM162" s="29">
        <f>IF(基础状态预期!L175="",0,求节点($C$68:$C$76,E$68:E$76,基础状态预期!L175))</f>
        <v>0</v>
      </c>
      <c r="AN162" s="29">
        <f>IF(基础状态预期!M175="",0,求节点($C$68:$C$76,F$68:F$76,基础状态预期!M175)*求节点(武将升级!$H$52:$H$54,武将升级!$J$52:$J$54,基础状态预期!W175))</f>
        <v>0</v>
      </c>
      <c r="AO162" s="29">
        <f>IF(基础状态预期!N175="",0,求节点($C$68:$C$76,G$68:G$76,基础状态预期!N175)*求节点(武将升级!$H$52:$H$54,武将升级!$J$52:$J$54,基础状态预期!X175))</f>
        <v>0</v>
      </c>
      <c r="AP162" s="29">
        <f>IF(基础状态预期!O175="",0,求节点($C$68:$C$76,H$68:H$76,基础状态预期!O175)*求节点(武将升级!$H$52:$H$54,武将升级!$J$52:$J$54,基础状态预期!Y175))</f>
        <v>1.1399999999999999</v>
      </c>
      <c r="AQ162" s="29">
        <f>MAX(SUMPRODUCT(AL162:AP162,基础状态预期!$F175:$J175)/SUM(基础状态预期!$F175:$J175),AQ161)</f>
        <v>1.1399999999999999</v>
      </c>
      <c r="AR162" s="29">
        <f>IF(基础状态预期!K175="",0,求节点($C$158:$C$166,D$158:D$166,基础状态预期!K175))</f>
        <v>0</v>
      </c>
      <c r="AS162" s="29">
        <f>IF(基础状态预期!L175="",0,求节点($C$158:$C$166,E$158:E$166,基础状态预期!L175))</f>
        <v>0</v>
      </c>
      <c r="AT162" s="29">
        <f>IF(基础状态预期!M175="",0,求节点($C$158:$C$166,F$158:F$166,基础状态预期!M175))</f>
        <v>0</v>
      </c>
      <c r="AU162" s="29">
        <f>IF(基础状态预期!N175="",0,求节点($C$158:$C$166,G$158:G$166,基础状态预期!N175))</f>
        <v>0</v>
      </c>
      <c r="AV162" s="29">
        <f>IF(基础状态预期!O175="",0,求节点($C$158:$C$166,H$158:H$166,基础状态预期!O175))</f>
        <v>0.8</v>
      </c>
      <c r="AW162" s="29">
        <f>MAX(SUMPRODUCT(AR162:AV162,基础状态预期!$F175:$J175)/SUM(基础状态预期!$F175:$J175),AW161)</f>
        <v>0.80000000000000016</v>
      </c>
      <c r="BJ162" s="29">
        <f t="shared" si="65"/>
        <v>107.78950972208385</v>
      </c>
      <c r="BK162" s="75">
        <f>武将数量星级阶位验证!AT165</f>
        <v>8247562.4215113968</v>
      </c>
      <c r="BL162" s="75">
        <f>(AD162-AD161)*INDEX('[1]功能-付费相关'!$AT$6:$AT$165,BJ162,1)+BL161</f>
        <v>25960.159102477042</v>
      </c>
    </row>
    <row r="163" spans="2:64" x14ac:dyDescent="0.15">
      <c r="B163" s="170"/>
      <c r="C163" s="14">
        <v>5</v>
      </c>
      <c r="D163" s="33">
        <v>0</v>
      </c>
      <c r="E163" s="33">
        <v>0.1</v>
      </c>
      <c r="F163" s="33">
        <v>0.2</v>
      </c>
      <c r="G163" s="33">
        <v>0.35</v>
      </c>
      <c r="H163" s="33">
        <v>0.5</v>
      </c>
      <c r="I163" s="33">
        <v>0.625</v>
      </c>
      <c r="M163" s="72">
        <v>28</v>
      </c>
      <c r="N163" s="29">
        <f>基础状态预期!D176</f>
        <v>111.29737083030383</v>
      </c>
      <c r="O163" s="29">
        <f>IF(基础状态预期!F176="",0,求节点($C$104:$C$112,D$104:D$112,基础状态预期!K176))</f>
        <v>0</v>
      </c>
      <c r="P163" s="29">
        <f>IF(基础状态预期!G176="",0,求节点($C$104:$C$112,E$104:E$112,基础状态预期!L176))</f>
        <v>0</v>
      </c>
      <c r="Q163" s="29">
        <f>IF(基础状态预期!H176="",0,求节点($C$104:$C$112,F$104:F$112,基础状态预期!M176))</f>
        <v>0</v>
      </c>
      <c r="R163" s="29">
        <f>IF(基础状态预期!I176="",0,求节点($C$104:$C$112,G$104:G$112,基础状态预期!N176))</f>
        <v>0</v>
      </c>
      <c r="S163" s="29">
        <f>IF(基础状态预期!J176="",0,求节点($C$104:$C$112,H$104:H$112,基础状态预期!O176))</f>
        <v>18</v>
      </c>
      <c r="T163" s="29">
        <f>IF(基础状态预期!F176="",0,求节点($C$114:$C$122,D$114:D$122,基础状态预期!K176)*基础状态预期!F176+求节点($C$124:$C$132,D$124:D$132,基础状态预期!$O176)*基础状态预期!$J176)</f>
        <v>0</v>
      </c>
      <c r="U163" s="29">
        <f>IF(基础状态预期!G176="",0,求节点($C$114:$C$122,E$114:E$122,基础状态预期!L176)*基础状态预期!G176+求节点($C$124:$C$132,E$124:E$132,基础状态预期!$O176)*基础状态预期!$J176)</f>
        <v>0</v>
      </c>
      <c r="V163" s="29">
        <f>IF(基础状态预期!H176="",0,求节点($C$114:$C$122,F$114:F$122,基础状态预期!M176)*基础状态预期!H176+求节点($C$124:$C$132,F$124:F$132,基础状态预期!$O176)*基础状态预期!$J176)</f>
        <v>0</v>
      </c>
      <c r="W163" s="148">
        <f>IF(基础状态预期!I176="",0,求节点($C$114:$C$122,G$114:G$122,基础状态预期!N176)*基础状态预期!I176)+IF(基础状态预期!O176="",0,求节点($C$124:$C$132,G$124:G$132,基础状态预期!$O176)*基础状态预期!$J176)</f>
        <v>54</v>
      </c>
      <c r="X163" s="29">
        <f>IF(基础状态预期!J176="",0,求节点($C$114:$C$122,H$114:H$122,基础状态预期!O176)*基础状态预期!J176+求节点($C$124:$C$132,H$124:H$132,基础状态预期!$O176)*基础状态预期!$J176)</f>
        <v>0</v>
      </c>
      <c r="Y163" s="14">
        <f>IF(基础状态预期!K176="",0,求节点($C$92:$C$100,D$92:D$100,基础状态预期!K176))</f>
        <v>0</v>
      </c>
      <c r="Z163" s="14">
        <f>IF(基础状态预期!L176="",0,求节点($C$92:$C$100,E$92:E$100,基础状态预期!L176))</f>
        <v>0</v>
      </c>
      <c r="AA163" s="14">
        <f>IF(基础状态预期!M176="",0,求节点($C$92:$C$100,F$92:F$100,基础状态预期!M176))</f>
        <v>0</v>
      </c>
      <c r="AB163" s="14">
        <f>IF(基础状态预期!N176="",0,求节点($C$92:$C$100,G$92:G$100,基础状态预期!N176))</f>
        <v>0</v>
      </c>
      <c r="AC163" s="14">
        <f>IF(基础状态预期!O176="",0,求节点($C$92:$C$100,H$92:H$100,基础状态预期!O176))</f>
        <v>3825000</v>
      </c>
      <c r="AD163" s="29">
        <f>MAX(SUMPRODUCT(Y163:AC163,基础状态预期!F176:J176),AD162)</f>
        <v>22950000</v>
      </c>
      <c r="AF163" s="29" t="str">
        <f>IF(基础状态预期!K176="","",基础状态预期!K176*D$59+D$58)</f>
        <v/>
      </c>
      <c r="AG163" s="29" t="str">
        <f>IF(基础状态预期!L176="","",基础状态预期!L176*E$59+E$58)</f>
        <v/>
      </c>
      <c r="AH163" s="29" t="str">
        <f>IF(基础状态预期!M176="","",基础状态预期!M176*F$59+F$58)</f>
        <v/>
      </c>
      <c r="AI163" s="29" t="str">
        <f>IF(基础状态预期!N176="","",基础状态预期!N176*G$59+G$58)</f>
        <v/>
      </c>
      <c r="AJ163" s="29">
        <f>IF(基础状态预期!O176="","",基础状态预期!O176*H$59+H$58)</f>
        <v>148</v>
      </c>
      <c r="AK163" s="29">
        <f>MAX(SUMPRODUCT(AF163:AJ163,基础状态预期!$F176:$J176)/SUM(基础状态预期!$F176:$J176),AK162)</f>
        <v>148</v>
      </c>
      <c r="AL163" s="29">
        <f>IF(基础状态预期!K176="",0,求节点($C$68:$C$76,D$68:D$76,基础状态预期!K176))</f>
        <v>0</v>
      </c>
      <c r="AM163" s="29">
        <f>IF(基础状态预期!L176="",0,求节点($C$68:$C$76,E$68:E$76,基础状态预期!L176))</f>
        <v>0</v>
      </c>
      <c r="AN163" s="29">
        <f>IF(基础状态预期!M176="",0,求节点($C$68:$C$76,F$68:F$76,基础状态预期!M176)*求节点(武将升级!$H$52:$H$54,武将升级!$J$52:$J$54,基础状态预期!W176))</f>
        <v>0</v>
      </c>
      <c r="AO163" s="29">
        <f>IF(基础状态预期!N176="",0,求节点($C$68:$C$76,G$68:G$76,基础状态预期!N176)*求节点(武将升级!$H$52:$H$54,武将升级!$J$52:$J$54,基础状态预期!X176))</f>
        <v>0</v>
      </c>
      <c r="AP163" s="29">
        <f>IF(基础状态预期!O176="",0,求节点($C$68:$C$76,H$68:H$76,基础状态预期!O176)*求节点(武将升级!$H$52:$H$54,武将升级!$J$52:$J$54,基础状态预期!Y176))</f>
        <v>1.1399999999999999</v>
      </c>
      <c r="AQ163" s="29">
        <f>MAX(SUMPRODUCT(AL163:AP163,基础状态预期!$F176:$J176)/SUM(基础状态预期!$F176:$J176),AQ162)</f>
        <v>1.1399999999999999</v>
      </c>
      <c r="AR163" s="29">
        <f>IF(基础状态预期!K176="",0,求节点($C$158:$C$166,D$158:D$166,基础状态预期!K176))</f>
        <v>0</v>
      </c>
      <c r="AS163" s="29">
        <f>IF(基础状态预期!L176="",0,求节点($C$158:$C$166,E$158:E$166,基础状态预期!L176))</f>
        <v>0</v>
      </c>
      <c r="AT163" s="29">
        <f>IF(基础状态预期!M176="",0,求节点($C$158:$C$166,F$158:F$166,基础状态预期!M176))</f>
        <v>0</v>
      </c>
      <c r="AU163" s="29">
        <f>IF(基础状态预期!N176="",0,求节点($C$158:$C$166,G$158:G$166,基础状态预期!N176))</f>
        <v>0</v>
      </c>
      <c r="AV163" s="29">
        <f>IF(基础状态预期!O176="",0,求节点($C$158:$C$166,H$158:H$166,基础状态预期!O176))</f>
        <v>0.8</v>
      </c>
      <c r="AW163" s="29">
        <f>MAX(SUMPRODUCT(AR163:AV163,基础状态预期!$F176:$J176)/SUM(基础状态预期!$F176:$J176),AW162)</f>
        <v>0.80000000000000016</v>
      </c>
      <c r="BJ163" s="29">
        <f t="shared" si="65"/>
        <v>111.29737083030383</v>
      </c>
      <c r="BK163" s="75">
        <f>武将数量星级阶位验证!AT166</f>
        <v>10330745.957741281</v>
      </c>
      <c r="BL163" s="75">
        <f>(AD163-AD162)*INDEX('[1]功能-付费相关'!$AT$6:$AT$165,BJ163,1)+BL162</f>
        <v>25960.159102477042</v>
      </c>
    </row>
    <row r="164" spans="2:64" x14ac:dyDescent="0.15">
      <c r="B164" s="170"/>
      <c r="C164" s="14">
        <v>6</v>
      </c>
      <c r="D164" s="33">
        <v>0</v>
      </c>
      <c r="E164" s="33">
        <v>0.12</v>
      </c>
      <c r="F164" s="33">
        <v>0.24</v>
      </c>
      <c r="G164" s="33">
        <v>0.42</v>
      </c>
      <c r="H164" s="33">
        <v>0.6</v>
      </c>
      <c r="I164" s="33">
        <v>0.75</v>
      </c>
      <c r="M164" s="72">
        <v>29</v>
      </c>
      <c r="N164" s="29">
        <f>基础状态预期!D177</f>
        <v>114.91888401282834</v>
      </c>
      <c r="O164" s="29">
        <f>IF(基础状态预期!F177="",0,求节点($C$104:$C$112,D$104:D$112,基础状态预期!K177))</f>
        <v>0</v>
      </c>
      <c r="P164" s="29">
        <f>IF(基础状态预期!G177="",0,求节点($C$104:$C$112,E$104:E$112,基础状态预期!L177))</f>
        <v>0</v>
      </c>
      <c r="Q164" s="29">
        <f>IF(基础状态预期!H177="",0,求节点($C$104:$C$112,F$104:F$112,基础状态预期!M177))</f>
        <v>0</v>
      </c>
      <c r="R164" s="29">
        <f>IF(基础状态预期!I177="",0,求节点($C$104:$C$112,G$104:G$112,基础状态预期!N177))</f>
        <v>0</v>
      </c>
      <c r="S164" s="29">
        <f>IF(基础状态预期!J177="",0,求节点($C$104:$C$112,H$104:H$112,基础状态预期!O177))</f>
        <v>18</v>
      </c>
      <c r="T164" s="29">
        <f>IF(基础状态预期!F177="",0,求节点($C$114:$C$122,D$114:D$122,基础状态预期!K177)*基础状态预期!F177+求节点($C$124:$C$132,D$124:D$132,基础状态预期!$O177)*基础状态预期!$J177)</f>
        <v>0</v>
      </c>
      <c r="U164" s="29">
        <f>IF(基础状态预期!G177="",0,求节点($C$114:$C$122,E$114:E$122,基础状态预期!L177)*基础状态预期!G177+求节点($C$124:$C$132,E$124:E$132,基础状态预期!$O177)*基础状态预期!$J177)</f>
        <v>0</v>
      </c>
      <c r="V164" s="29">
        <f>IF(基础状态预期!H177="",0,求节点($C$114:$C$122,F$114:F$122,基础状态预期!M177)*基础状态预期!H177+求节点($C$124:$C$132,F$124:F$132,基础状态预期!$O177)*基础状态预期!$J177)</f>
        <v>0</v>
      </c>
      <c r="W164" s="148">
        <f>IF(基础状态预期!I177="",0,求节点($C$114:$C$122,G$114:G$122,基础状态预期!N177)*基础状态预期!I177)+IF(基础状态预期!O177="",0,求节点($C$124:$C$132,G$124:G$132,基础状态预期!$O177)*基础状态预期!$J177)</f>
        <v>54</v>
      </c>
      <c r="X164" s="29">
        <f>IF(基础状态预期!J177="",0,求节点($C$114:$C$122,H$114:H$122,基础状态预期!O177)*基础状态预期!J177+求节点($C$124:$C$132,H$124:H$132,基础状态预期!$O177)*基础状态预期!$J177)</f>
        <v>0</v>
      </c>
      <c r="Y164" s="14">
        <f>IF(基础状态预期!K177="",0,求节点($C$92:$C$100,D$92:D$100,基础状态预期!K177))</f>
        <v>0</v>
      </c>
      <c r="Z164" s="14">
        <f>IF(基础状态预期!L177="",0,求节点($C$92:$C$100,E$92:E$100,基础状态预期!L177))</f>
        <v>0</v>
      </c>
      <c r="AA164" s="14">
        <f>IF(基础状态预期!M177="",0,求节点($C$92:$C$100,F$92:F$100,基础状态预期!M177))</f>
        <v>0</v>
      </c>
      <c r="AB164" s="14">
        <f>IF(基础状态预期!N177="",0,求节点($C$92:$C$100,G$92:G$100,基础状态预期!N177))</f>
        <v>0</v>
      </c>
      <c r="AC164" s="14">
        <f>IF(基础状态预期!O177="",0,求节点($C$92:$C$100,H$92:H$100,基础状态预期!O177))</f>
        <v>3825000</v>
      </c>
      <c r="AD164" s="29">
        <f>MAX(SUMPRODUCT(Y164:AC164,基础状态预期!F177:J177),AD163)</f>
        <v>22950000</v>
      </c>
      <c r="AF164" s="29" t="str">
        <f>IF(基础状态预期!K177="","",基础状态预期!K177*D$59+D$58)</f>
        <v/>
      </c>
      <c r="AG164" s="29" t="str">
        <f>IF(基础状态预期!L177="","",基础状态预期!L177*E$59+E$58)</f>
        <v/>
      </c>
      <c r="AH164" s="29" t="str">
        <f>IF(基础状态预期!M177="","",基础状态预期!M177*F$59+F$58)</f>
        <v/>
      </c>
      <c r="AI164" s="29" t="str">
        <f>IF(基础状态预期!N177="","",基础状态预期!N177*G$59+G$58)</f>
        <v/>
      </c>
      <c r="AJ164" s="29">
        <f>IF(基础状态预期!O177="","",基础状态预期!O177*H$59+H$58)</f>
        <v>148</v>
      </c>
      <c r="AK164" s="29">
        <f>MAX(SUMPRODUCT(AF164:AJ164,基础状态预期!$F177:$J177)/SUM(基础状态预期!$F177:$J177),AK163)</f>
        <v>148</v>
      </c>
      <c r="AL164" s="29">
        <f>IF(基础状态预期!K177="",0,求节点($C$68:$C$76,D$68:D$76,基础状态预期!K177))</f>
        <v>0</v>
      </c>
      <c r="AM164" s="29">
        <f>IF(基础状态预期!L177="",0,求节点($C$68:$C$76,E$68:E$76,基础状态预期!L177))</f>
        <v>0</v>
      </c>
      <c r="AN164" s="29">
        <f>IF(基础状态预期!M177="",0,求节点($C$68:$C$76,F$68:F$76,基础状态预期!M177)*求节点(武将升级!$H$52:$H$54,武将升级!$J$52:$J$54,基础状态预期!W177))</f>
        <v>0</v>
      </c>
      <c r="AO164" s="29">
        <f>IF(基础状态预期!N177="",0,求节点($C$68:$C$76,G$68:G$76,基础状态预期!N177)*求节点(武将升级!$H$52:$H$54,武将升级!$J$52:$J$54,基础状态预期!X177))</f>
        <v>0</v>
      </c>
      <c r="AP164" s="29">
        <f>IF(基础状态预期!O177="",0,求节点($C$68:$C$76,H$68:H$76,基础状态预期!O177)*求节点(武将升级!$H$52:$H$54,武将升级!$J$52:$J$54,基础状态预期!Y177))</f>
        <v>1.1399999999999999</v>
      </c>
      <c r="AQ164" s="29">
        <f>MAX(SUMPRODUCT(AL164:AP164,基础状态预期!$F177:$J177)/SUM(基础状态预期!$F177:$J177),AQ163)</f>
        <v>1.1399999999999999</v>
      </c>
      <c r="AR164" s="29">
        <f>IF(基础状态预期!K177="",0,求节点($C$158:$C$166,D$158:D$166,基础状态预期!K177))</f>
        <v>0</v>
      </c>
      <c r="AS164" s="29">
        <f>IF(基础状态预期!L177="",0,求节点($C$158:$C$166,E$158:E$166,基础状态预期!L177))</f>
        <v>0</v>
      </c>
      <c r="AT164" s="29">
        <f>IF(基础状态预期!M177="",0,求节点($C$158:$C$166,F$158:F$166,基础状态预期!M177))</f>
        <v>0</v>
      </c>
      <c r="AU164" s="29">
        <f>IF(基础状态预期!N177="",0,求节点($C$158:$C$166,G$158:G$166,基础状态预期!N177))</f>
        <v>0</v>
      </c>
      <c r="AV164" s="29">
        <f>IF(基础状态预期!O177="",0,求节点($C$158:$C$166,H$158:H$166,基础状态预期!O177))</f>
        <v>0.8</v>
      </c>
      <c r="AW164" s="29">
        <f>MAX(SUMPRODUCT(AR164:AV164,基础状态预期!$F177:$J177)/SUM(基础状态预期!$F177:$J177),AW163)</f>
        <v>0.80000000000000016</v>
      </c>
      <c r="BJ164" s="29">
        <f t="shared" si="65"/>
        <v>114.91888401282834</v>
      </c>
      <c r="BK164" s="75">
        <f>武将数量星级阶位验证!AT167</f>
        <v>12899171.361999236</v>
      </c>
      <c r="BL164" s="75">
        <f>(AD164-AD163)*INDEX('[1]功能-付费相关'!$AT$6:$AT$165,BJ164,1)+BL163</f>
        <v>25960.159102477042</v>
      </c>
    </row>
    <row r="165" spans="2:64" x14ac:dyDescent="0.15">
      <c r="B165" s="170"/>
      <c r="C165" s="14">
        <v>7</v>
      </c>
      <c r="D165" s="33">
        <v>0</v>
      </c>
      <c r="E165" s="33">
        <v>0.14000000000000001</v>
      </c>
      <c r="F165" s="33">
        <v>0.28000000000000003</v>
      </c>
      <c r="G165" s="33">
        <v>0.49</v>
      </c>
      <c r="H165" s="33">
        <v>0.7</v>
      </c>
      <c r="I165" s="33">
        <v>0.875</v>
      </c>
      <c r="M165" s="72">
        <v>30</v>
      </c>
      <c r="N165" s="29">
        <f>基础状态预期!D178</f>
        <v>118.4172728380062</v>
      </c>
      <c r="O165" s="29">
        <f>IF(基础状态预期!F178="",0,求节点($C$104:$C$112,D$104:D$112,基础状态预期!K178))</f>
        <v>0</v>
      </c>
      <c r="P165" s="29">
        <f>IF(基础状态预期!G178="",0,求节点($C$104:$C$112,E$104:E$112,基础状态预期!L178))</f>
        <v>0</v>
      </c>
      <c r="Q165" s="29">
        <f>IF(基础状态预期!H178="",0,求节点($C$104:$C$112,F$104:F$112,基础状态预期!M178))</f>
        <v>0</v>
      </c>
      <c r="R165" s="29">
        <f>IF(基础状态预期!I178="",0,求节点($C$104:$C$112,G$104:G$112,基础状态预期!N178))</f>
        <v>0</v>
      </c>
      <c r="S165" s="29">
        <f>IF(基础状态预期!J178="",0,求节点($C$104:$C$112,H$104:H$112,基础状态预期!O178))</f>
        <v>18</v>
      </c>
      <c r="T165" s="29">
        <f>IF(基础状态预期!F178="",0,求节点($C$114:$C$122,D$114:D$122,基础状态预期!K178)*基础状态预期!F178+求节点($C$124:$C$132,D$124:D$132,基础状态预期!$O178)*基础状态预期!$J178)</f>
        <v>0</v>
      </c>
      <c r="U165" s="29">
        <f>IF(基础状态预期!G178="",0,求节点($C$114:$C$122,E$114:E$122,基础状态预期!L178)*基础状态预期!G178+求节点($C$124:$C$132,E$124:E$132,基础状态预期!$O178)*基础状态预期!$J178)</f>
        <v>0</v>
      </c>
      <c r="V165" s="29">
        <f>IF(基础状态预期!H178="",0,求节点($C$114:$C$122,F$114:F$122,基础状态预期!M178)*基础状态预期!H178+求节点($C$124:$C$132,F$124:F$132,基础状态预期!$O178)*基础状态预期!$J178)</f>
        <v>0</v>
      </c>
      <c r="W165" s="148">
        <f>IF(基础状态预期!I178="",0,求节点($C$114:$C$122,G$114:G$122,基础状态预期!N178)*基础状态预期!I178)+IF(基础状态预期!O178="",0,求节点($C$124:$C$132,G$124:G$132,基础状态预期!$O178)*基础状态预期!$J178)</f>
        <v>54</v>
      </c>
      <c r="X165" s="29">
        <f>IF(基础状态预期!J178="",0,求节点($C$114:$C$122,H$114:H$122,基础状态预期!O178)*基础状态预期!J178+求节点($C$124:$C$132,H$124:H$132,基础状态预期!$O178)*基础状态预期!$J178)</f>
        <v>0</v>
      </c>
      <c r="Y165" s="14">
        <f>IF(基础状态预期!K178="",0,求节点($C$92:$C$100,D$92:D$100,基础状态预期!K178))</f>
        <v>0</v>
      </c>
      <c r="Z165" s="14">
        <f>IF(基础状态预期!L178="",0,求节点($C$92:$C$100,E$92:E$100,基础状态预期!L178))</f>
        <v>0</v>
      </c>
      <c r="AA165" s="14">
        <f>IF(基础状态预期!M178="",0,求节点($C$92:$C$100,F$92:F$100,基础状态预期!M178))</f>
        <v>0</v>
      </c>
      <c r="AB165" s="14">
        <f>IF(基础状态预期!N178="",0,求节点($C$92:$C$100,G$92:G$100,基础状态预期!N178))</f>
        <v>0</v>
      </c>
      <c r="AC165" s="14">
        <f>IF(基础状态预期!O178="",0,求节点($C$92:$C$100,H$92:H$100,基础状态预期!O178))</f>
        <v>3825000</v>
      </c>
      <c r="AD165" s="29">
        <f>MAX(SUMPRODUCT(Y165:AC165,基础状态预期!F178:J178),AD164)</f>
        <v>22950000</v>
      </c>
      <c r="AF165" s="29" t="str">
        <f>IF(基础状态预期!K178="","",基础状态预期!K178*D$59+D$58)</f>
        <v/>
      </c>
      <c r="AG165" s="29" t="str">
        <f>IF(基础状态预期!L178="","",基础状态预期!L178*E$59+E$58)</f>
        <v/>
      </c>
      <c r="AH165" s="29" t="str">
        <f>IF(基础状态预期!M178="","",基础状态预期!M178*F$59+F$58)</f>
        <v/>
      </c>
      <c r="AI165" s="29" t="str">
        <f>IF(基础状态预期!N178="","",基础状态预期!N178*G$59+G$58)</f>
        <v/>
      </c>
      <c r="AJ165" s="29">
        <f>IF(基础状态预期!O178="","",基础状态预期!O178*H$59+H$58)</f>
        <v>148</v>
      </c>
      <c r="AK165" s="29">
        <f>MAX(SUMPRODUCT(AF165:AJ165,基础状态预期!$F178:$J178)/SUM(基础状态预期!$F178:$J178),AK164)</f>
        <v>148</v>
      </c>
      <c r="AL165" s="29">
        <f>IF(基础状态预期!K178="",0,求节点($C$68:$C$76,D$68:D$76,基础状态预期!K178))</f>
        <v>0</v>
      </c>
      <c r="AM165" s="29">
        <f>IF(基础状态预期!L178="",0,求节点($C$68:$C$76,E$68:E$76,基础状态预期!L178))</f>
        <v>0</v>
      </c>
      <c r="AN165" s="29">
        <f>IF(基础状态预期!M178="",0,求节点($C$68:$C$76,F$68:F$76,基础状态预期!M178)*求节点(武将升级!$H$52:$H$54,武将升级!$J$52:$J$54,基础状态预期!W178))</f>
        <v>0</v>
      </c>
      <c r="AO165" s="29">
        <f>IF(基础状态预期!N178="",0,求节点($C$68:$C$76,G$68:G$76,基础状态预期!N178)*求节点(武将升级!$H$52:$H$54,武将升级!$J$52:$J$54,基础状态预期!X178))</f>
        <v>0</v>
      </c>
      <c r="AP165" s="29">
        <f>IF(基础状态预期!O178="",0,求节点($C$68:$C$76,H$68:H$76,基础状态预期!O178)*求节点(武将升级!$H$52:$H$54,武将升级!$J$52:$J$54,基础状态预期!Y178))</f>
        <v>1.1399999999999999</v>
      </c>
      <c r="AQ165" s="29">
        <f>MAX(SUMPRODUCT(AL165:AP165,基础状态预期!$F178:$J178)/SUM(基础状态预期!$F178:$J178),AQ164)</f>
        <v>1.1399999999999999</v>
      </c>
      <c r="AR165" s="29">
        <f>IF(基础状态预期!K178="",0,求节点($C$158:$C$166,D$158:D$166,基础状态预期!K178))</f>
        <v>0</v>
      </c>
      <c r="AS165" s="29">
        <f>IF(基础状态预期!L178="",0,求节点($C$158:$C$166,E$158:E$166,基础状态预期!L178))</f>
        <v>0</v>
      </c>
      <c r="AT165" s="29">
        <f>IF(基础状态预期!M178="",0,求节点($C$158:$C$166,F$158:F$166,基础状态预期!M178))</f>
        <v>0</v>
      </c>
      <c r="AU165" s="29">
        <f>IF(基础状态预期!N178="",0,求节点($C$158:$C$166,G$158:G$166,基础状态预期!N178))</f>
        <v>0</v>
      </c>
      <c r="AV165" s="29">
        <f>IF(基础状态预期!O178="",0,求节点($C$158:$C$166,H$158:H$166,基础状态预期!O178))</f>
        <v>0.8</v>
      </c>
      <c r="AW165" s="29">
        <f>MAX(SUMPRODUCT(AR165:AV165,基础状态预期!$F178:$J178)/SUM(基础状态预期!$F178:$J178),AW164)</f>
        <v>0.80000000000000016</v>
      </c>
      <c r="BJ165" s="29">
        <f t="shared" si="65"/>
        <v>118.4172728380062</v>
      </c>
      <c r="BK165" s="75">
        <f>武将数量星级阶位验证!AT168</f>
        <v>16178909.335905431</v>
      </c>
      <c r="BL165" s="75">
        <f>(AD165-AD164)*INDEX('[1]功能-付费相关'!$AT$6:$AT$165,BJ165,1)+BL164</f>
        <v>25960.159102477042</v>
      </c>
    </row>
    <row r="166" spans="2:64" x14ac:dyDescent="0.15">
      <c r="B166" s="171"/>
      <c r="C166" s="14">
        <v>8</v>
      </c>
      <c r="D166" s="33">
        <v>0</v>
      </c>
      <c r="E166" s="33">
        <v>0.16</v>
      </c>
      <c r="F166" s="33">
        <v>0.32</v>
      </c>
      <c r="G166" s="33">
        <v>0.56000000000000005</v>
      </c>
      <c r="H166" s="33">
        <v>0.8</v>
      </c>
      <c r="I166" s="33">
        <v>1</v>
      </c>
      <c r="M166" s="72">
        <v>31</v>
      </c>
      <c r="N166" s="29">
        <f>基础状态预期!D179</f>
        <v>121.99245722798884</v>
      </c>
      <c r="O166" s="29">
        <f>IF(基础状态预期!F179="",0,求节点($C$104:$C$112,D$104:D$112,基础状态预期!K179))</f>
        <v>0</v>
      </c>
      <c r="P166" s="29">
        <f>IF(基础状态预期!G179="",0,求节点($C$104:$C$112,E$104:E$112,基础状态预期!L179))</f>
        <v>0</v>
      </c>
      <c r="Q166" s="29">
        <f>IF(基础状态预期!H179="",0,求节点($C$104:$C$112,F$104:F$112,基础状态预期!M179))</f>
        <v>0</v>
      </c>
      <c r="R166" s="29">
        <f>IF(基础状态预期!I179="",0,求节点($C$104:$C$112,G$104:G$112,基础状态预期!N179))</f>
        <v>0</v>
      </c>
      <c r="S166" s="29">
        <f>IF(基础状态预期!J179="",0,求节点($C$104:$C$112,H$104:H$112,基础状态预期!O179))</f>
        <v>18</v>
      </c>
      <c r="T166" s="29">
        <f>IF(基础状态预期!F179="",0,求节点($C$114:$C$122,D$114:D$122,基础状态预期!K179)*基础状态预期!F179+求节点($C$124:$C$132,D$124:D$132,基础状态预期!$O179)*基础状态预期!$J179)</f>
        <v>0</v>
      </c>
      <c r="U166" s="29">
        <f>IF(基础状态预期!G179="",0,求节点($C$114:$C$122,E$114:E$122,基础状态预期!L179)*基础状态预期!G179+求节点($C$124:$C$132,E$124:E$132,基础状态预期!$O179)*基础状态预期!$J179)</f>
        <v>0</v>
      </c>
      <c r="V166" s="29">
        <f>IF(基础状态预期!H179="",0,求节点($C$114:$C$122,F$114:F$122,基础状态预期!M179)*基础状态预期!H179+求节点($C$124:$C$132,F$124:F$132,基础状态预期!$O179)*基础状态预期!$J179)</f>
        <v>0</v>
      </c>
      <c r="W166" s="148">
        <f>IF(基础状态预期!I179="",0,求节点($C$114:$C$122,G$114:G$122,基础状态预期!N179)*基础状态预期!I179)+IF(基础状态预期!O179="",0,求节点($C$124:$C$132,G$124:G$132,基础状态预期!$O179)*基础状态预期!$J179)</f>
        <v>54</v>
      </c>
      <c r="X166" s="29">
        <f>IF(基础状态预期!J179="",0,求节点($C$114:$C$122,H$114:H$122,基础状态预期!O179)*基础状态预期!J179+求节点($C$124:$C$132,H$124:H$132,基础状态预期!$O179)*基础状态预期!$J179)</f>
        <v>0</v>
      </c>
      <c r="Y166" s="14">
        <f>IF(基础状态预期!K179="",0,求节点($C$92:$C$100,D$92:D$100,基础状态预期!K179))</f>
        <v>0</v>
      </c>
      <c r="Z166" s="14">
        <f>IF(基础状态预期!L179="",0,求节点($C$92:$C$100,E$92:E$100,基础状态预期!L179))</f>
        <v>0</v>
      </c>
      <c r="AA166" s="14">
        <f>IF(基础状态预期!M179="",0,求节点($C$92:$C$100,F$92:F$100,基础状态预期!M179))</f>
        <v>0</v>
      </c>
      <c r="AB166" s="14">
        <f>IF(基础状态预期!N179="",0,求节点($C$92:$C$100,G$92:G$100,基础状态预期!N179))</f>
        <v>0</v>
      </c>
      <c r="AC166" s="14">
        <f>IF(基础状态预期!O179="",0,求节点($C$92:$C$100,H$92:H$100,基础状态预期!O179))</f>
        <v>3825000</v>
      </c>
      <c r="AD166" s="29">
        <f>MAX(SUMPRODUCT(Y166:AC166,基础状态预期!F179:J179),AD165)</f>
        <v>22950000</v>
      </c>
      <c r="AF166" s="29" t="str">
        <f>IF(基础状态预期!K179="","",基础状态预期!K179*D$59+D$58)</f>
        <v/>
      </c>
      <c r="AG166" s="29" t="str">
        <f>IF(基础状态预期!L179="","",基础状态预期!L179*E$59+E$58)</f>
        <v/>
      </c>
      <c r="AH166" s="29" t="str">
        <f>IF(基础状态预期!M179="","",基础状态预期!M179*F$59+F$58)</f>
        <v/>
      </c>
      <c r="AI166" s="29" t="str">
        <f>IF(基础状态预期!N179="","",基础状态预期!N179*G$59+G$58)</f>
        <v/>
      </c>
      <c r="AJ166" s="29">
        <f>IF(基础状态预期!O179="","",基础状态预期!O179*H$59+H$58)</f>
        <v>148</v>
      </c>
      <c r="AK166" s="29">
        <f>MAX(SUMPRODUCT(AF166:AJ166,基础状态预期!$F179:$J179)/SUM(基础状态预期!$F179:$J179),AK165)</f>
        <v>148</v>
      </c>
      <c r="AL166" s="29">
        <f>IF(基础状态预期!K179="",0,求节点($C$68:$C$76,D$68:D$76,基础状态预期!K179))</f>
        <v>0</v>
      </c>
      <c r="AM166" s="29">
        <f>IF(基础状态预期!L179="",0,求节点($C$68:$C$76,E$68:E$76,基础状态预期!L179))</f>
        <v>0</v>
      </c>
      <c r="AN166" s="29">
        <f>IF(基础状态预期!M179="",0,求节点($C$68:$C$76,F$68:F$76,基础状态预期!M179)*求节点(武将升级!$H$52:$H$54,武将升级!$J$52:$J$54,基础状态预期!W179))</f>
        <v>0</v>
      </c>
      <c r="AO166" s="29">
        <f>IF(基础状态预期!N179="",0,求节点($C$68:$C$76,G$68:G$76,基础状态预期!N179)*求节点(武将升级!$H$52:$H$54,武将升级!$J$52:$J$54,基础状态预期!X179))</f>
        <v>0</v>
      </c>
      <c r="AP166" s="29">
        <f>IF(基础状态预期!O179="",0,求节点($C$68:$C$76,H$68:H$76,基础状态预期!O179)*求节点(武将升级!$H$52:$H$54,武将升级!$J$52:$J$54,基础状态预期!Y179))</f>
        <v>1.1399999999999999</v>
      </c>
      <c r="AQ166" s="29">
        <f>MAX(SUMPRODUCT(AL166:AP166,基础状态预期!$F179:$J179)/SUM(基础状态预期!$F179:$J179),AQ165)</f>
        <v>1.1399999999999999</v>
      </c>
      <c r="AR166" s="29">
        <f>IF(基础状态预期!K179="",0,求节点($C$158:$C$166,D$158:D$166,基础状态预期!K179))</f>
        <v>0</v>
      </c>
      <c r="AS166" s="29">
        <f>IF(基础状态预期!L179="",0,求节点($C$158:$C$166,E$158:E$166,基础状态预期!L179))</f>
        <v>0</v>
      </c>
      <c r="AT166" s="29">
        <f>IF(基础状态预期!M179="",0,求节点($C$158:$C$166,F$158:F$166,基础状态预期!M179))</f>
        <v>0</v>
      </c>
      <c r="AU166" s="29">
        <f>IF(基础状态预期!N179="",0,求节点($C$158:$C$166,G$158:G$166,基础状态预期!N179))</f>
        <v>0</v>
      </c>
      <c r="AV166" s="29">
        <f>IF(基础状态预期!O179="",0,求节点($C$158:$C$166,H$158:H$166,基础状态预期!O179))</f>
        <v>0.8</v>
      </c>
      <c r="AW166" s="29">
        <f>MAX(SUMPRODUCT(AR166:AV166,基础状态预期!$F179:$J179)/SUM(基础状态预期!$F179:$J179),AW165)</f>
        <v>0.80000000000000016</v>
      </c>
      <c r="BJ166" s="29">
        <f t="shared" si="65"/>
        <v>121.99245722798884</v>
      </c>
      <c r="BK166" s="75">
        <f>武将数量星级阶位验证!AT169</f>
        <v>20145429.347899169</v>
      </c>
      <c r="BL166" s="75">
        <f>(AD166-AD165)*INDEX('[1]功能-付费相关'!$AT$6:$AT$165,BJ166,1)+BL165</f>
        <v>25960.159102477042</v>
      </c>
    </row>
    <row r="167" spans="2:64" x14ac:dyDescent="0.15">
      <c r="M167" s="72">
        <v>32</v>
      </c>
      <c r="N167" s="29">
        <f>基础状态预期!D180</f>
        <v>125.43876546297123</v>
      </c>
      <c r="O167" s="29">
        <f>IF(基础状态预期!F180="",0,求节点($C$104:$C$112,D$104:D$112,基础状态预期!K180))</f>
        <v>0</v>
      </c>
      <c r="P167" s="29">
        <f>IF(基础状态预期!G180="",0,求节点($C$104:$C$112,E$104:E$112,基础状态预期!L180))</f>
        <v>0</v>
      </c>
      <c r="Q167" s="29">
        <f>IF(基础状态预期!H180="",0,求节点($C$104:$C$112,F$104:F$112,基础状态预期!M180))</f>
        <v>0</v>
      </c>
      <c r="R167" s="29">
        <f>IF(基础状态预期!I180="",0,求节点($C$104:$C$112,G$104:G$112,基础状态预期!N180))</f>
        <v>0</v>
      </c>
      <c r="S167" s="29">
        <f>IF(基础状态预期!J180="",0,求节点($C$104:$C$112,H$104:H$112,基础状态预期!O180))</f>
        <v>18</v>
      </c>
      <c r="T167" s="29">
        <f>IF(基础状态预期!F180="",0,求节点($C$114:$C$122,D$114:D$122,基础状态预期!K180)*基础状态预期!F180+求节点($C$124:$C$132,D$124:D$132,基础状态预期!$O180)*基础状态预期!$J180)</f>
        <v>0</v>
      </c>
      <c r="U167" s="29">
        <f>IF(基础状态预期!G180="",0,求节点($C$114:$C$122,E$114:E$122,基础状态预期!L180)*基础状态预期!G180+求节点($C$124:$C$132,E$124:E$132,基础状态预期!$O180)*基础状态预期!$J180)</f>
        <v>0</v>
      </c>
      <c r="V167" s="29">
        <f>IF(基础状态预期!H180="",0,求节点($C$114:$C$122,F$114:F$122,基础状态预期!M180)*基础状态预期!H180+求节点($C$124:$C$132,F$124:F$132,基础状态预期!$O180)*基础状态预期!$J180)</f>
        <v>0</v>
      </c>
      <c r="W167" s="148">
        <f>IF(基础状态预期!I180="",0,求节点($C$114:$C$122,G$114:G$122,基础状态预期!N180)*基础状态预期!I180)+IF(基础状态预期!O180="",0,求节点($C$124:$C$132,G$124:G$132,基础状态预期!$O180)*基础状态预期!$J180)</f>
        <v>54</v>
      </c>
      <c r="X167" s="29">
        <f>IF(基础状态预期!J180="",0,求节点($C$114:$C$122,H$114:H$122,基础状态预期!O180)*基础状态预期!J180+求节点($C$124:$C$132,H$124:H$132,基础状态预期!$O180)*基础状态预期!$J180)</f>
        <v>0</v>
      </c>
      <c r="Y167" s="14">
        <f>IF(基础状态预期!K180="",0,求节点($C$92:$C$100,D$92:D$100,基础状态预期!K180))</f>
        <v>0</v>
      </c>
      <c r="Z167" s="14">
        <f>IF(基础状态预期!L180="",0,求节点($C$92:$C$100,E$92:E$100,基础状态预期!L180))</f>
        <v>0</v>
      </c>
      <c r="AA167" s="14">
        <f>IF(基础状态预期!M180="",0,求节点($C$92:$C$100,F$92:F$100,基础状态预期!M180))</f>
        <v>0</v>
      </c>
      <c r="AB167" s="14">
        <f>IF(基础状态预期!N180="",0,求节点($C$92:$C$100,G$92:G$100,基础状态预期!N180))</f>
        <v>0</v>
      </c>
      <c r="AC167" s="14">
        <f>IF(基础状态预期!O180="",0,求节点($C$92:$C$100,H$92:H$100,基础状态预期!O180))</f>
        <v>3825000</v>
      </c>
      <c r="AD167" s="29">
        <f>MAX(SUMPRODUCT(Y167:AC167,基础状态预期!F180:J180),AD166)</f>
        <v>22950000</v>
      </c>
      <c r="AF167" s="29" t="str">
        <f>IF(基础状态预期!K180="","",基础状态预期!K180*D$59+D$58)</f>
        <v/>
      </c>
      <c r="AG167" s="29" t="str">
        <f>IF(基础状态预期!L180="","",基础状态预期!L180*E$59+E$58)</f>
        <v/>
      </c>
      <c r="AH167" s="29" t="str">
        <f>IF(基础状态预期!M180="","",基础状态预期!M180*F$59+F$58)</f>
        <v/>
      </c>
      <c r="AI167" s="29" t="str">
        <f>IF(基础状态预期!N180="","",基础状态预期!N180*G$59+G$58)</f>
        <v/>
      </c>
      <c r="AJ167" s="29">
        <f>IF(基础状态预期!O180="","",基础状态预期!O180*H$59+H$58)</f>
        <v>148</v>
      </c>
      <c r="AK167" s="29">
        <f>MAX(SUMPRODUCT(AF167:AJ167,基础状态预期!$F180:$J180)/SUM(基础状态预期!$F180:$J180),AK166)</f>
        <v>148</v>
      </c>
      <c r="AL167" s="29">
        <f>IF(基础状态预期!K180="",0,求节点($C$68:$C$76,D$68:D$76,基础状态预期!K180))</f>
        <v>0</v>
      </c>
      <c r="AM167" s="29">
        <f>IF(基础状态预期!L180="",0,求节点($C$68:$C$76,E$68:E$76,基础状态预期!L180))</f>
        <v>0</v>
      </c>
      <c r="AN167" s="29">
        <f>IF(基础状态预期!M180="",0,求节点($C$68:$C$76,F$68:F$76,基础状态预期!M180)*求节点(武将升级!$H$52:$H$54,武将升级!$J$52:$J$54,基础状态预期!W180))</f>
        <v>0</v>
      </c>
      <c r="AO167" s="29">
        <f>IF(基础状态预期!N180="",0,求节点($C$68:$C$76,G$68:G$76,基础状态预期!N180)*求节点(武将升级!$H$52:$H$54,武将升级!$J$52:$J$54,基础状态预期!X180))</f>
        <v>0</v>
      </c>
      <c r="AP167" s="29">
        <f>IF(基础状态预期!O180="",0,求节点($C$68:$C$76,H$68:H$76,基础状态预期!O180)*求节点(武将升级!$H$52:$H$54,武将升级!$J$52:$J$54,基础状态预期!Y180))</f>
        <v>1.1399999999999999</v>
      </c>
      <c r="AQ167" s="29">
        <f>MAX(SUMPRODUCT(AL167:AP167,基础状态预期!$F180:$J180)/SUM(基础状态预期!$F180:$J180),AQ166)</f>
        <v>1.1399999999999999</v>
      </c>
      <c r="AR167" s="29">
        <f>IF(基础状态预期!K180="",0,求节点($C$158:$C$166,D$158:D$166,基础状态预期!K180))</f>
        <v>0</v>
      </c>
      <c r="AS167" s="29">
        <f>IF(基础状态预期!L180="",0,求节点($C$158:$C$166,E$158:E$166,基础状态预期!L180))</f>
        <v>0</v>
      </c>
      <c r="AT167" s="29">
        <f>IF(基础状态预期!M180="",0,求节点($C$158:$C$166,F$158:F$166,基础状态预期!M180))</f>
        <v>0</v>
      </c>
      <c r="AU167" s="29">
        <f>IF(基础状态预期!N180="",0,求节点($C$158:$C$166,G$158:G$166,基础状态预期!N180))</f>
        <v>0</v>
      </c>
      <c r="AV167" s="29">
        <f>IF(基础状态预期!O180="",0,求节点($C$158:$C$166,H$158:H$166,基础状态预期!O180))</f>
        <v>0.8</v>
      </c>
      <c r="AW167" s="29">
        <f>MAX(SUMPRODUCT(AR167:AV167,基础状态预期!$F180:$J180)/SUM(基础状态预期!$F180:$J180),AW166)</f>
        <v>0.80000000000000016</v>
      </c>
      <c r="BJ167" s="29">
        <f t="shared" si="65"/>
        <v>125.43876546297123</v>
      </c>
      <c r="BK167" s="75">
        <f>武将数量星级阶位验证!AT170</f>
        <v>25261287.31195274</v>
      </c>
      <c r="BL167" s="75">
        <f>(AD167-AD166)*INDEX('[1]功能-付费相关'!$AT$6:$AT$165,BJ167,1)+BL166</f>
        <v>25960.159102477042</v>
      </c>
    </row>
    <row r="168" spans="2:64" x14ac:dyDescent="0.15">
      <c r="M168" s="72">
        <v>33</v>
      </c>
      <c r="N168" s="29">
        <f>基础状态预期!D181</f>
        <v>129.12105302323599</v>
      </c>
      <c r="O168" s="29">
        <f>IF(基础状态预期!F181="",0,求节点($C$104:$C$112,D$104:D$112,基础状态预期!K181))</f>
        <v>0</v>
      </c>
      <c r="P168" s="29">
        <f>IF(基础状态预期!G181="",0,求节点($C$104:$C$112,E$104:E$112,基础状态预期!L181))</f>
        <v>0</v>
      </c>
      <c r="Q168" s="29">
        <f>IF(基础状态预期!H181="",0,求节点($C$104:$C$112,F$104:F$112,基础状态预期!M181))</f>
        <v>0</v>
      </c>
      <c r="R168" s="29">
        <f>IF(基础状态预期!I181="",0,求节点($C$104:$C$112,G$104:G$112,基础状态预期!N181))</f>
        <v>0</v>
      </c>
      <c r="S168" s="29">
        <f>IF(基础状态预期!J181="",0,求节点($C$104:$C$112,H$104:H$112,基础状态预期!O181))</f>
        <v>18</v>
      </c>
      <c r="T168" s="29">
        <f>IF(基础状态预期!F181="",0,求节点($C$114:$C$122,D$114:D$122,基础状态预期!K181)*基础状态预期!F181+求节点($C$124:$C$132,D$124:D$132,基础状态预期!$O181)*基础状态预期!$J181)</f>
        <v>0</v>
      </c>
      <c r="U168" s="29">
        <f>IF(基础状态预期!G181="",0,求节点($C$114:$C$122,E$114:E$122,基础状态预期!L181)*基础状态预期!G181+求节点($C$124:$C$132,E$124:E$132,基础状态预期!$O181)*基础状态预期!$J181)</f>
        <v>0</v>
      </c>
      <c r="V168" s="29">
        <f>IF(基础状态预期!H181="",0,求节点($C$114:$C$122,F$114:F$122,基础状态预期!M181)*基础状态预期!H181+求节点($C$124:$C$132,F$124:F$132,基础状态预期!$O181)*基础状态预期!$J181)</f>
        <v>0</v>
      </c>
      <c r="W168" s="148">
        <f>IF(基础状态预期!I181="",0,求节点($C$114:$C$122,G$114:G$122,基础状态预期!N181)*基础状态预期!I181)+IF(基础状态预期!O181="",0,求节点($C$124:$C$132,G$124:G$132,基础状态预期!$O181)*基础状态预期!$J181)</f>
        <v>54</v>
      </c>
      <c r="X168" s="29">
        <f>IF(基础状态预期!J181="",0,求节点($C$114:$C$122,H$114:H$122,基础状态预期!O181)*基础状态预期!J181+求节点($C$124:$C$132,H$124:H$132,基础状态预期!$O181)*基础状态预期!$J181)</f>
        <v>0</v>
      </c>
      <c r="Y168" s="14">
        <f>IF(基础状态预期!K181="",0,求节点($C$92:$C$100,D$92:D$100,基础状态预期!K181))</f>
        <v>0</v>
      </c>
      <c r="Z168" s="14">
        <f>IF(基础状态预期!L181="",0,求节点($C$92:$C$100,E$92:E$100,基础状态预期!L181))</f>
        <v>0</v>
      </c>
      <c r="AA168" s="14">
        <f>IF(基础状态预期!M181="",0,求节点($C$92:$C$100,F$92:F$100,基础状态预期!M181))</f>
        <v>0</v>
      </c>
      <c r="AB168" s="14">
        <f>IF(基础状态预期!N181="",0,求节点($C$92:$C$100,G$92:G$100,基础状态预期!N181))</f>
        <v>0</v>
      </c>
      <c r="AC168" s="14">
        <f>IF(基础状态预期!O181="",0,求节点($C$92:$C$100,H$92:H$100,基础状态预期!O181))</f>
        <v>3825000</v>
      </c>
      <c r="AD168" s="29">
        <f>MAX(SUMPRODUCT(Y168:AC168,基础状态预期!F181:J181),AD167)</f>
        <v>22950000</v>
      </c>
      <c r="AF168" s="29" t="str">
        <f>IF(基础状态预期!K181="","",基础状态预期!K181*D$59+D$58)</f>
        <v/>
      </c>
      <c r="AG168" s="29" t="str">
        <f>IF(基础状态预期!L181="","",基础状态预期!L181*E$59+E$58)</f>
        <v/>
      </c>
      <c r="AH168" s="29" t="str">
        <f>IF(基础状态预期!M181="","",基础状态预期!M181*F$59+F$58)</f>
        <v/>
      </c>
      <c r="AI168" s="29" t="str">
        <f>IF(基础状态预期!N181="","",基础状态预期!N181*G$59+G$58)</f>
        <v/>
      </c>
      <c r="AJ168" s="29">
        <f>IF(基础状态预期!O181="","",基础状态预期!O181*H$59+H$58)</f>
        <v>148</v>
      </c>
      <c r="AK168" s="29">
        <f>MAX(SUMPRODUCT(AF168:AJ168,基础状态预期!$F181:$J181)/SUM(基础状态预期!$F181:$J181),AK167)</f>
        <v>148</v>
      </c>
      <c r="AL168" s="29">
        <f>IF(基础状态预期!K181="",0,求节点($C$68:$C$76,D$68:D$76,基础状态预期!K181))</f>
        <v>0</v>
      </c>
      <c r="AM168" s="29">
        <f>IF(基础状态预期!L181="",0,求节点($C$68:$C$76,E$68:E$76,基础状态预期!L181))</f>
        <v>0</v>
      </c>
      <c r="AN168" s="29">
        <f>IF(基础状态预期!M181="",0,求节点($C$68:$C$76,F$68:F$76,基础状态预期!M181)*求节点(武将升级!$H$52:$H$54,武将升级!$J$52:$J$54,基础状态预期!W181))</f>
        <v>0</v>
      </c>
      <c r="AO168" s="29">
        <f>IF(基础状态预期!N181="",0,求节点($C$68:$C$76,G$68:G$76,基础状态预期!N181)*求节点(武将升级!$H$52:$H$54,武将升级!$J$52:$J$54,基础状态预期!X181))</f>
        <v>0</v>
      </c>
      <c r="AP168" s="29">
        <f>IF(基础状态预期!O181="",0,求节点($C$68:$C$76,H$68:H$76,基础状态预期!O181)*求节点(武将升级!$H$52:$H$54,武将升级!$J$52:$J$54,基础状态预期!Y181))</f>
        <v>1.1399999999999999</v>
      </c>
      <c r="AQ168" s="29">
        <f>MAX(SUMPRODUCT(AL168:AP168,基础状态预期!$F181:$J181)/SUM(基础状态预期!$F181:$J181),AQ167)</f>
        <v>1.1399999999999999</v>
      </c>
      <c r="AR168" s="29">
        <f>IF(基础状态预期!K181="",0,求节点($C$158:$C$166,D$158:D$166,基础状态预期!K181))</f>
        <v>0</v>
      </c>
      <c r="AS168" s="29">
        <f>IF(基础状态预期!L181="",0,求节点($C$158:$C$166,E$158:E$166,基础状态预期!L181))</f>
        <v>0</v>
      </c>
      <c r="AT168" s="29">
        <f>IF(基础状态预期!M181="",0,求节点($C$158:$C$166,F$158:F$166,基础状态预期!M181))</f>
        <v>0</v>
      </c>
      <c r="AU168" s="29">
        <f>IF(基础状态预期!N181="",0,求节点($C$158:$C$166,G$158:G$166,基础状态预期!N181))</f>
        <v>0</v>
      </c>
      <c r="AV168" s="29">
        <f>IF(基础状态预期!O181="",0,求节点($C$158:$C$166,H$158:H$166,基础状态预期!O181))</f>
        <v>0.8</v>
      </c>
      <c r="AW168" s="29">
        <f>MAX(SUMPRODUCT(AR168:AV168,基础状态预期!$F181:$J181)/SUM(基础状态预期!$F181:$J181),AW167)</f>
        <v>0.80000000000000016</v>
      </c>
      <c r="BJ168" s="29">
        <f t="shared" si="65"/>
        <v>129.12105302323599</v>
      </c>
      <c r="BK168" s="75">
        <f>武将数量星级阶位验证!AT171</f>
        <v>31753616.938789379</v>
      </c>
      <c r="BL168" s="75">
        <f>(AD168-AD167)*INDEX('[1]功能-付费相关'!$AT$6:$AT$165,BJ168,1)+BL167</f>
        <v>25960.159102477042</v>
      </c>
    </row>
    <row r="169" spans="2:64" x14ac:dyDescent="0.15">
      <c r="M169" s="72">
        <v>34</v>
      </c>
      <c r="N169" s="29">
        <f>基础状态预期!D182</f>
        <v>132.61179169042359</v>
      </c>
      <c r="O169" s="29">
        <f>IF(基础状态预期!F182="",0,求节点($C$104:$C$112,D$104:D$112,基础状态预期!K182))</f>
        <v>0</v>
      </c>
      <c r="P169" s="29">
        <f>IF(基础状态预期!G182="",0,求节点($C$104:$C$112,E$104:E$112,基础状态预期!L182))</f>
        <v>0</v>
      </c>
      <c r="Q169" s="29">
        <f>IF(基础状态预期!H182="",0,求节点($C$104:$C$112,F$104:F$112,基础状态预期!M182))</f>
        <v>0</v>
      </c>
      <c r="R169" s="29">
        <f>IF(基础状态预期!I182="",0,求节点($C$104:$C$112,G$104:G$112,基础状态预期!N182))</f>
        <v>0</v>
      </c>
      <c r="S169" s="29">
        <f>IF(基础状态预期!J182="",0,求节点($C$104:$C$112,H$104:H$112,基础状态预期!O182))</f>
        <v>18</v>
      </c>
      <c r="T169" s="29">
        <f>IF(基础状态预期!F182="",0,求节点($C$114:$C$122,D$114:D$122,基础状态预期!K182)*基础状态预期!F182+求节点($C$124:$C$132,D$124:D$132,基础状态预期!$O182)*基础状态预期!$J182)</f>
        <v>0</v>
      </c>
      <c r="U169" s="29">
        <f>IF(基础状态预期!G182="",0,求节点($C$114:$C$122,E$114:E$122,基础状态预期!L182)*基础状态预期!G182+求节点($C$124:$C$132,E$124:E$132,基础状态预期!$O182)*基础状态预期!$J182)</f>
        <v>0</v>
      </c>
      <c r="V169" s="29">
        <f>IF(基础状态预期!H182="",0,求节点($C$114:$C$122,F$114:F$122,基础状态预期!M182)*基础状态预期!H182+求节点($C$124:$C$132,F$124:F$132,基础状态预期!$O182)*基础状态预期!$J182)</f>
        <v>0</v>
      </c>
      <c r="W169" s="148">
        <f>IF(基础状态预期!I182="",0,求节点($C$114:$C$122,G$114:G$122,基础状态预期!N182)*基础状态预期!I182)+IF(基础状态预期!O182="",0,求节点($C$124:$C$132,G$124:G$132,基础状态预期!$O182)*基础状态预期!$J182)</f>
        <v>54</v>
      </c>
      <c r="X169" s="29">
        <f>IF(基础状态预期!J182="",0,求节点($C$114:$C$122,H$114:H$122,基础状态预期!O182)*基础状态预期!J182+求节点($C$124:$C$132,H$124:H$132,基础状态预期!$O182)*基础状态预期!$J182)</f>
        <v>0</v>
      </c>
      <c r="Y169" s="14">
        <f>IF(基础状态预期!K182="",0,求节点($C$92:$C$100,D$92:D$100,基础状态预期!K182))</f>
        <v>0</v>
      </c>
      <c r="Z169" s="14">
        <f>IF(基础状态预期!L182="",0,求节点($C$92:$C$100,E$92:E$100,基础状态预期!L182))</f>
        <v>0</v>
      </c>
      <c r="AA169" s="14">
        <f>IF(基础状态预期!M182="",0,求节点($C$92:$C$100,F$92:F$100,基础状态预期!M182))</f>
        <v>0</v>
      </c>
      <c r="AB169" s="14">
        <f>IF(基础状态预期!N182="",0,求节点($C$92:$C$100,G$92:G$100,基础状态预期!N182))</f>
        <v>0</v>
      </c>
      <c r="AC169" s="14">
        <f>IF(基础状态预期!O182="",0,求节点($C$92:$C$100,H$92:H$100,基础状态预期!O182))</f>
        <v>3825000</v>
      </c>
      <c r="AD169" s="29">
        <f>MAX(SUMPRODUCT(Y169:AC169,基础状态预期!F182:J182),AD168)</f>
        <v>22950000</v>
      </c>
      <c r="AF169" s="29" t="str">
        <f>IF(基础状态预期!K182="","",基础状态预期!K182*D$59+D$58)</f>
        <v/>
      </c>
      <c r="AG169" s="29" t="str">
        <f>IF(基础状态预期!L182="","",基础状态预期!L182*E$59+E$58)</f>
        <v/>
      </c>
      <c r="AH169" s="29" t="str">
        <f>IF(基础状态预期!M182="","",基础状态预期!M182*F$59+F$58)</f>
        <v/>
      </c>
      <c r="AI169" s="29" t="str">
        <f>IF(基础状态预期!N182="","",基础状态预期!N182*G$59+G$58)</f>
        <v/>
      </c>
      <c r="AJ169" s="29">
        <f>IF(基础状态预期!O182="","",基础状态预期!O182*H$59+H$58)</f>
        <v>148</v>
      </c>
      <c r="AK169" s="29">
        <f>MAX(SUMPRODUCT(AF169:AJ169,基础状态预期!$F182:$J182)/SUM(基础状态预期!$F182:$J182),AK168)</f>
        <v>148</v>
      </c>
      <c r="AL169" s="29">
        <f>IF(基础状态预期!K182="",0,求节点($C$68:$C$76,D$68:D$76,基础状态预期!K182))</f>
        <v>0</v>
      </c>
      <c r="AM169" s="29">
        <f>IF(基础状态预期!L182="",0,求节点($C$68:$C$76,E$68:E$76,基础状态预期!L182))</f>
        <v>0</v>
      </c>
      <c r="AN169" s="29">
        <f>IF(基础状态预期!M182="",0,求节点($C$68:$C$76,F$68:F$76,基础状态预期!M182)*求节点(武将升级!$H$52:$H$54,武将升级!$J$52:$J$54,基础状态预期!W182))</f>
        <v>0</v>
      </c>
      <c r="AO169" s="29">
        <f>IF(基础状态预期!N182="",0,求节点($C$68:$C$76,G$68:G$76,基础状态预期!N182)*求节点(武将升级!$H$52:$H$54,武将升级!$J$52:$J$54,基础状态预期!X182))</f>
        <v>0</v>
      </c>
      <c r="AP169" s="29">
        <f>IF(基础状态预期!O182="",0,求节点($C$68:$C$76,H$68:H$76,基础状态预期!O182)*求节点(武将升级!$H$52:$H$54,武将升级!$J$52:$J$54,基础状态预期!Y182))</f>
        <v>1.1399999999999999</v>
      </c>
      <c r="AQ169" s="29">
        <f>MAX(SUMPRODUCT(AL169:AP169,基础状态预期!$F182:$J182)/SUM(基础状态预期!$F182:$J182),AQ168)</f>
        <v>1.1399999999999999</v>
      </c>
      <c r="AR169" s="29">
        <f>IF(基础状态预期!K182="",0,求节点($C$158:$C$166,D$158:D$166,基础状态预期!K182))</f>
        <v>0</v>
      </c>
      <c r="AS169" s="29">
        <f>IF(基础状态预期!L182="",0,求节点($C$158:$C$166,E$158:E$166,基础状态预期!L182))</f>
        <v>0</v>
      </c>
      <c r="AT169" s="29">
        <f>IF(基础状态预期!M182="",0,求节点($C$158:$C$166,F$158:F$166,基础状态预期!M182))</f>
        <v>0</v>
      </c>
      <c r="AU169" s="29">
        <f>IF(基础状态预期!N182="",0,求节点($C$158:$C$166,G$158:G$166,基础状态预期!N182))</f>
        <v>0</v>
      </c>
      <c r="AV169" s="29">
        <f>IF(基础状态预期!O182="",0,求节点($C$158:$C$166,H$158:H$166,基础状态预期!O182))</f>
        <v>0.8</v>
      </c>
      <c r="AW169" s="29">
        <f>MAX(SUMPRODUCT(AR169:AV169,基础状态预期!$F182:$J182)/SUM(基础状态预期!$F182:$J182),AW168)</f>
        <v>0.80000000000000016</v>
      </c>
      <c r="BJ169" s="29">
        <f t="shared" si="65"/>
        <v>132.61179169042359</v>
      </c>
      <c r="BK169" s="75">
        <f>武将数量星级阶位验证!AT172</f>
        <v>39793618.708770007</v>
      </c>
      <c r="BL169" s="75">
        <f>(AD169-AD168)*INDEX('[1]功能-付费相关'!$AT$6:$AT$165,BJ169,1)+BL168</f>
        <v>25960.159102477042</v>
      </c>
    </row>
    <row r="170" spans="2:64" x14ac:dyDescent="0.15">
      <c r="M170" s="72">
        <v>35</v>
      </c>
      <c r="N170" s="29">
        <f>基础状态预期!D183</f>
        <v>136.12035534953262</v>
      </c>
      <c r="O170" s="29">
        <f>IF(基础状态预期!F183="",0,求节点($C$104:$C$112,D$104:D$112,基础状态预期!K183))</f>
        <v>0</v>
      </c>
      <c r="P170" s="29">
        <f>IF(基础状态预期!G183="",0,求节点($C$104:$C$112,E$104:E$112,基础状态预期!L183))</f>
        <v>0</v>
      </c>
      <c r="Q170" s="29">
        <f>IF(基础状态预期!H183="",0,求节点($C$104:$C$112,F$104:F$112,基础状态预期!M183))</f>
        <v>0</v>
      </c>
      <c r="R170" s="29">
        <f>IF(基础状态预期!I183="",0,求节点($C$104:$C$112,G$104:G$112,基础状态预期!N183))</f>
        <v>0</v>
      </c>
      <c r="S170" s="29">
        <f>IF(基础状态预期!J183="",0,求节点($C$104:$C$112,H$104:H$112,基础状态预期!O183))</f>
        <v>18</v>
      </c>
      <c r="T170" s="29">
        <f>IF(基础状态预期!F183="",0,求节点($C$114:$C$122,D$114:D$122,基础状态预期!K183)*基础状态预期!F183+求节点($C$124:$C$132,D$124:D$132,基础状态预期!$O183)*基础状态预期!$J183)</f>
        <v>0</v>
      </c>
      <c r="U170" s="29">
        <f>IF(基础状态预期!G183="",0,求节点($C$114:$C$122,E$114:E$122,基础状态预期!L183)*基础状态预期!G183+求节点($C$124:$C$132,E$124:E$132,基础状态预期!$O183)*基础状态预期!$J183)</f>
        <v>0</v>
      </c>
      <c r="V170" s="29">
        <f>IF(基础状态预期!H183="",0,求节点($C$114:$C$122,F$114:F$122,基础状态预期!M183)*基础状态预期!H183+求节点($C$124:$C$132,F$124:F$132,基础状态预期!$O183)*基础状态预期!$J183)</f>
        <v>0</v>
      </c>
      <c r="W170" s="148">
        <f>IF(基础状态预期!I183="",0,求节点($C$114:$C$122,G$114:G$122,基础状态预期!N183)*基础状态预期!I183)+IF(基础状态预期!O183="",0,求节点($C$124:$C$132,G$124:G$132,基础状态预期!$O183)*基础状态预期!$J183)</f>
        <v>54</v>
      </c>
      <c r="X170" s="29">
        <f>IF(基础状态预期!J183="",0,求节点($C$114:$C$122,H$114:H$122,基础状态预期!O183)*基础状态预期!J183+求节点($C$124:$C$132,H$124:H$132,基础状态预期!$O183)*基础状态预期!$J183)</f>
        <v>0</v>
      </c>
      <c r="Y170" s="14">
        <f>IF(基础状态预期!K183="",0,求节点($C$92:$C$100,D$92:D$100,基础状态预期!K183))</f>
        <v>0</v>
      </c>
      <c r="Z170" s="14">
        <f>IF(基础状态预期!L183="",0,求节点($C$92:$C$100,E$92:E$100,基础状态预期!L183))</f>
        <v>0</v>
      </c>
      <c r="AA170" s="14">
        <f>IF(基础状态预期!M183="",0,求节点($C$92:$C$100,F$92:F$100,基础状态预期!M183))</f>
        <v>0</v>
      </c>
      <c r="AB170" s="14">
        <f>IF(基础状态预期!N183="",0,求节点($C$92:$C$100,G$92:G$100,基础状态预期!N183))</f>
        <v>0</v>
      </c>
      <c r="AC170" s="14">
        <f>IF(基础状态预期!O183="",0,求节点($C$92:$C$100,H$92:H$100,基础状态预期!O183))</f>
        <v>3825000</v>
      </c>
      <c r="AD170" s="29">
        <f>MAX(SUMPRODUCT(Y170:AC170,基础状态预期!F183:J183),AD169)</f>
        <v>22950000</v>
      </c>
      <c r="AF170" s="29" t="str">
        <f>IF(基础状态预期!K183="","",基础状态预期!K183*D$59+D$58)</f>
        <v/>
      </c>
      <c r="AG170" s="29" t="str">
        <f>IF(基础状态预期!L183="","",基础状态预期!L183*E$59+E$58)</f>
        <v/>
      </c>
      <c r="AH170" s="29" t="str">
        <f>IF(基础状态预期!M183="","",基础状态预期!M183*F$59+F$58)</f>
        <v/>
      </c>
      <c r="AI170" s="29" t="str">
        <f>IF(基础状态预期!N183="","",基础状态预期!N183*G$59+G$58)</f>
        <v/>
      </c>
      <c r="AJ170" s="29">
        <f>IF(基础状态预期!O183="","",基础状态预期!O183*H$59+H$58)</f>
        <v>148</v>
      </c>
      <c r="AK170" s="29">
        <f>MAX(SUMPRODUCT(AF170:AJ170,基础状态预期!$F183:$J183)/SUM(基础状态预期!$F183:$J183),AK169)</f>
        <v>148</v>
      </c>
      <c r="AL170" s="29">
        <f>IF(基础状态预期!K183="",0,求节点($C$68:$C$76,D$68:D$76,基础状态预期!K183))</f>
        <v>0</v>
      </c>
      <c r="AM170" s="29">
        <f>IF(基础状态预期!L183="",0,求节点($C$68:$C$76,E$68:E$76,基础状态预期!L183))</f>
        <v>0</v>
      </c>
      <c r="AN170" s="29">
        <f>IF(基础状态预期!M183="",0,求节点($C$68:$C$76,F$68:F$76,基础状态预期!M183)*求节点(武将升级!$H$52:$H$54,武将升级!$J$52:$J$54,基础状态预期!W183))</f>
        <v>0</v>
      </c>
      <c r="AO170" s="29">
        <f>IF(基础状态预期!N183="",0,求节点($C$68:$C$76,G$68:G$76,基础状态预期!N183)*求节点(武将升级!$H$52:$H$54,武将升级!$J$52:$J$54,基础状态预期!X183))</f>
        <v>0</v>
      </c>
      <c r="AP170" s="29">
        <f>IF(基础状态预期!O183="",0,求节点($C$68:$C$76,H$68:H$76,基础状态预期!O183)*求节点(武将升级!$H$52:$H$54,武将升级!$J$52:$J$54,基础状态预期!Y183))</f>
        <v>1.1399999999999999</v>
      </c>
      <c r="AQ170" s="29">
        <f>MAX(SUMPRODUCT(AL170:AP170,基础状态预期!$F183:$J183)/SUM(基础状态预期!$F183:$J183),AQ169)</f>
        <v>1.1399999999999999</v>
      </c>
      <c r="AR170" s="29">
        <f>IF(基础状态预期!K183="",0,求节点($C$158:$C$166,D$158:D$166,基础状态预期!K183))</f>
        <v>0</v>
      </c>
      <c r="AS170" s="29">
        <f>IF(基础状态预期!L183="",0,求节点($C$158:$C$166,E$158:E$166,基础状态预期!L183))</f>
        <v>0</v>
      </c>
      <c r="AT170" s="29">
        <f>IF(基础状态预期!M183="",0,求节点($C$158:$C$166,F$158:F$166,基础状态预期!M183))</f>
        <v>0</v>
      </c>
      <c r="AU170" s="29">
        <f>IF(基础状态预期!N183="",0,求节点($C$158:$C$166,G$158:G$166,基础状态预期!N183))</f>
        <v>0</v>
      </c>
      <c r="AV170" s="29">
        <f>IF(基础状态预期!O183="",0,求节点($C$158:$C$166,H$158:H$166,基础状态预期!O183))</f>
        <v>0.8</v>
      </c>
      <c r="AW170" s="29">
        <f>MAX(SUMPRODUCT(AR170:AV170,基础状态预期!$F183:$J183)/SUM(基础状态预期!$F183:$J183),AW169)</f>
        <v>0.80000000000000016</v>
      </c>
      <c r="BJ170" s="29">
        <f t="shared" si="65"/>
        <v>136.12035534953262</v>
      </c>
      <c r="BK170" s="75">
        <f>武将数量星级阶位验证!AT173</f>
        <v>49780107.868987076</v>
      </c>
      <c r="BL170" s="75">
        <f>(AD170-AD169)*INDEX('[1]功能-付费相关'!$AT$6:$AT$165,BJ170,1)+BL169</f>
        <v>25960.159102477042</v>
      </c>
    </row>
    <row r="171" spans="2:64" x14ac:dyDescent="0.15">
      <c r="M171" s="72">
        <v>36</v>
      </c>
      <c r="N171" s="29">
        <f>基础状态预期!D184</f>
        <v>139.6793621861803</v>
      </c>
      <c r="O171" s="29">
        <f>IF(基础状态预期!F184="",0,求节点($C$104:$C$112,D$104:D$112,基础状态预期!K184))</f>
        <v>0</v>
      </c>
      <c r="P171" s="29">
        <f>IF(基础状态预期!G184="",0,求节点($C$104:$C$112,E$104:E$112,基础状态预期!L184))</f>
        <v>0</v>
      </c>
      <c r="Q171" s="29">
        <f>IF(基础状态预期!H184="",0,求节点($C$104:$C$112,F$104:F$112,基础状态预期!M184))</f>
        <v>0</v>
      </c>
      <c r="R171" s="29">
        <f>IF(基础状态预期!I184="",0,求节点($C$104:$C$112,G$104:G$112,基础状态预期!N184))</f>
        <v>0</v>
      </c>
      <c r="S171" s="29">
        <f>IF(基础状态预期!J184="",0,求节点($C$104:$C$112,H$104:H$112,基础状态预期!O184))</f>
        <v>18</v>
      </c>
      <c r="T171" s="29">
        <f>IF(基础状态预期!F184="",0,求节点($C$114:$C$122,D$114:D$122,基础状态预期!K184)*基础状态预期!F184+求节点($C$124:$C$132,D$124:D$132,基础状态预期!$O184)*基础状态预期!$J184)</f>
        <v>0</v>
      </c>
      <c r="U171" s="29">
        <f>IF(基础状态预期!G184="",0,求节点($C$114:$C$122,E$114:E$122,基础状态预期!L184)*基础状态预期!G184+求节点($C$124:$C$132,E$124:E$132,基础状态预期!$O184)*基础状态预期!$J184)</f>
        <v>0</v>
      </c>
      <c r="V171" s="29">
        <f>IF(基础状态预期!H184="",0,求节点($C$114:$C$122,F$114:F$122,基础状态预期!M184)*基础状态预期!H184+求节点($C$124:$C$132,F$124:F$132,基础状态预期!$O184)*基础状态预期!$J184)</f>
        <v>0</v>
      </c>
      <c r="W171" s="148">
        <f>IF(基础状态预期!I184="",0,求节点($C$114:$C$122,G$114:G$122,基础状态预期!N184)*基础状态预期!I184)+IF(基础状态预期!O184="",0,求节点($C$124:$C$132,G$124:G$132,基础状态预期!$O184)*基础状态预期!$J184)</f>
        <v>54</v>
      </c>
      <c r="X171" s="29">
        <f>IF(基础状态预期!J184="",0,求节点($C$114:$C$122,H$114:H$122,基础状态预期!O184)*基础状态预期!J184+求节点($C$124:$C$132,H$124:H$132,基础状态预期!$O184)*基础状态预期!$J184)</f>
        <v>0</v>
      </c>
      <c r="Y171" s="14">
        <f>IF(基础状态预期!K184="",0,求节点($C$92:$C$100,D$92:D$100,基础状态预期!K184))</f>
        <v>0</v>
      </c>
      <c r="Z171" s="14">
        <f>IF(基础状态预期!L184="",0,求节点($C$92:$C$100,E$92:E$100,基础状态预期!L184))</f>
        <v>0</v>
      </c>
      <c r="AA171" s="14">
        <f>IF(基础状态预期!M184="",0,求节点($C$92:$C$100,F$92:F$100,基础状态预期!M184))</f>
        <v>0</v>
      </c>
      <c r="AB171" s="14">
        <f>IF(基础状态预期!N184="",0,求节点($C$92:$C$100,G$92:G$100,基础状态预期!N184))</f>
        <v>0</v>
      </c>
      <c r="AC171" s="14">
        <f>IF(基础状态预期!O184="",0,求节点($C$92:$C$100,H$92:H$100,基础状态预期!O184))</f>
        <v>3825000</v>
      </c>
      <c r="AD171" s="29">
        <f>MAX(SUMPRODUCT(Y171:AC171,基础状态预期!F184:J184),AD170)</f>
        <v>22950000</v>
      </c>
      <c r="AF171" s="29" t="str">
        <f>IF(基础状态预期!K184="","",基础状态预期!K184*D$59+D$58)</f>
        <v/>
      </c>
      <c r="AG171" s="29" t="str">
        <f>IF(基础状态预期!L184="","",基础状态预期!L184*E$59+E$58)</f>
        <v/>
      </c>
      <c r="AH171" s="29" t="str">
        <f>IF(基础状态预期!M184="","",基础状态预期!M184*F$59+F$58)</f>
        <v/>
      </c>
      <c r="AI171" s="29" t="str">
        <f>IF(基础状态预期!N184="","",基础状态预期!N184*G$59+G$58)</f>
        <v/>
      </c>
      <c r="AJ171" s="29">
        <f>IF(基础状态预期!O184="","",基础状态预期!O184*H$59+H$58)</f>
        <v>148</v>
      </c>
      <c r="AK171" s="29">
        <f>MAX(SUMPRODUCT(AF171:AJ171,基础状态预期!$F184:$J184)/SUM(基础状态预期!$F184:$J184),AK170)</f>
        <v>148</v>
      </c>
      <c r="AL171" s="29">
        <f>IF(基础状态预期!K184="",0,求节点($C$68:$C$76,D$68:D$76,基础状态预期!K184))</f>
        <v>0</v>
      </c>
      <c r="AM171" s="29">
        <f>IF(基础状态预期!L184="",0,求节点($C$68:$C$76,E$68:E$76,基础状态预期!L184))</f>
        <v>0</v>
      </c>
      <c r="AN171" s="29">
        <f>IF(基础状态预期!M184="",0,求节点($C$68:$C$76,F$68:F$76,基础状态预期!M184)*求节点(武将升级!$H$52:$H$54,武将升级!$J$52:$J$54,基础状态预期!W184))</f>
        <v>0</v>
      </c>
      <c r="AO171" s="29">
        <f>IF(基础状态预期!N184="",0,求节点($C$68:$C$76,G$68:G$76,基础状态预期!N184)*求节点(武将升级!$H$52:$H$54,武将升级!$J$52:$J$54,基础状态预期!X184))</f>
        <v>0</v>
      </c>
      <c r="AP171" s="29">
        <f>IF(基础状态预期!O184="",0,求节点($C$68:$C$76,H$68:H$76,基础状态预期!O184)*求节点(武将升级!$H$52:$H$54,武将升级!$J$52:$J$54,基础状态预期!Y184))</f>
        <v>1.1399999999999999</v>
      </c>
      <c r="AQ171" s="29">
        <f>MAX(SUMPRODUCT(AL171:AP171,基础状态预期!$F184:$J184)/SUM(基础状态预期!$F184:$J184),AQ170)</f>
        <v>1.1399999999999999</v>
      </c>
      <c r="AR171" s="29">
        <f>IF(基础状态预期!K184="",0,求节点($C$158:$C$166,D$158:D$166,基础状态预期!K184))</f>
        <v>0</v>
      </c>
      <c r="AS171" s="29">
        <f>IF(基础状态预期!L184="",0,求节点($C$158:$C$166,E$158:E$166,基础状态预期!L184))</f>
        <v>0</v>
      </c>
      <c r="AT171" s="29">
        <f>IF(基础状态预期!M184="",0,求节点($C$158:$C$166,F$158:F$166,基础状态预期!M184))</f>
        <v>0</v>
      </c>
      <c r="AU171" s="29">
        <f>IF(基础状态预期!N184="",0,求节点($C$158:$C$166,G$158:G$166,基础状态预期!N184))</f>
        <v>0</v>
      </c>
      <c r="AV171" s="29">
        <f>IF(基础状态预期!O184="",0,求节点($C$158:$C$166,H$158:H$166,基础状态预期!O184))</f>
        <v>0.8</v>
      </c>
      <c r="AW171" s="29">
        <f>MAX(SUMPRODUCT(AR171:AV171,基础状态预期!$F184:$J184)/SUM(基础状态预期!$F184:$J184),AW170)</f>
        <v>0.80000000000000016</v>
      </c>
      <c r="BJ171" s="29">
        <f t="shared" si="65"/>
        <v>139.6793621861803</v>
      </c>
      <c r="BK171" s="75">
        <f>武将数量星级阶位验证!AT174</f>
        <v>62370331.705472849</v>
      </c>
      <c r="BL171" s="75">
        <f>(AD171-AD170)*INDEX('[1]功能-付费相关'!$AT$6:$AT$165,BJ171,1)+BL170</f>
        <v>25960.159102477042</v>
      </c>
    </row>
    <row r="172" spans="2:64" x14ac:dyDescent="0.15">
      <c r="M172" s="72">
        <v>37</v>
      </c>
      <c r="N172" s="29">
        <f>基础状态预期!D185</f>
        <v>143.14123736077869</v>
      </c>
      <c r="O172" s="29">
        <f>IF(基础状态预期!F185="",0,求节点($C$104:$C$112,D$104:D$112,基础状态预期!K185))</f>
        <v>0</v>
      </c>
      <c r="P172" s="29">
        <f>IF(基础状态预期!G185="",0,求节点($C$104:$C$112,E$104:E$112,基础状态预期!L185))</f>
        <v>0</v>
      </c>
      <c r="Q172" s="29">
        <f>IF(基础状态预期!H185="",0,求节点($C$104:$C$112,F$104:F$112,基础状态预期!M185))</f>
        <v>0</v>
      </c>
      <c r="R172" s="29">
        <f>IF(基础状态预期!I185="",0,求节点($C$104:$C$112,G$104:G$112,基础状态预期!N185))</f>
        <v>0</v>
      </c>
      <c r="S172" s="29">
        <f>IF(基础状态预期!J185="",0,求节点($C$104:$C$112,H$104:H$112,基础状态预期!O185))</f>
        <v>18</v>
      </c>
      <c r="T172" s="29">
        <f>IF(基础状态预期!F185="",0,求节点($C$114:$C$122,D$114:D$122,基础状态预期!K185)*基础状态预期!F185+求节点($C$124:$C$132,D$124:D$132,基础状态预期!$O185)*基础状态预期!$J185)</f>
        <v>0</v>
      </c>
      <c r="U172" s="29">
        <f>IF(基础状态预期!G185="",0,求节点($C$114:$C$122,E$114:E$122,基础状态预期!L185)*基础状态预期!G185+求节点($C$124:$C$132,E$124:E$132,基础状态预期!$O185)*基础状态预期!$J185)</f>
        <v>0</v>
      </c>
      <c r="V172" s="29">
        <f>IF(基础状态预期!H185="",0,求节点($C$114:$C$122,F$114:F$122,基础状态预期!M185)*基础状态预期!H185+求节点($C$124:$C$132,F$124:F$132,基础状态预期!$O185)*基础状态预期!$J185)</f>
        <v>0</v>
      </c>
      <c r="W172" s="148">
        <f>IF(基础状态预期!I185="",0,求节点($C$114:$C$122,G$114:G$122,基础状态预期!N185)*基础状态预期!I185)+IF(基础状态预期!O185="",0,求节点($C$124:$C$132,G$124:G$132,基础状态预期!$O185)*基础状态预期!$J185)</f>
        <v>54</v>
      </c>
      <c r="X172" s="29">
        <f>IF(基础状态预期!J185="",0,求节点($C$114:$C$122,H$114:H$122,基础状态预期!O185)*基础状态预期!J185+求节点($C$124:$C$132,H$124:H$132,基础状态预期!$O185)*基础状态预期!$J185)</f>
        <v>0</v>
      </c>
      <c r="Y172" s="14">
        <f>IF(基础状态预期!K185="",0,求节点($C$92:$C$100,D$92:D$100,基础状态预期!K185))</f>
        <v>0</v>
      </c>
      <c r="Z172" s="14">
        <f>IF(基础状态预期!L185="",0,求节点($C$92:$C$100,E$92:E$100,基础状态预期!L185))</f>
        <v>0</v>
      </c>
      <c r="AA172" s="14">
        <f>IF(基础状态预期!M185="",0,求节点($C$92:$C$100,F$92:F$100,基础状态预期!M185))</f>
        <v>0</v>
      </c>
      <c r="AB172" s="14">
        <f>IF(基础状态预期!N185="",0,求节点($C$92:$C$100,G$92:G$100,基础状态预期!N185))</f>
        <v>0</v>
      </c>
      <c r="AC172" s="14">
        <f>IF(基础状态预期!O185="",0,求节点($C$92:$C$100,H$92:H$100,基础状态预期!O185))</f>
        <v>3825000</v>
      </c>
      <c r="AD172" s="29">
        <f>MAX(SUMPRODUCT(Y172:AC172,基础状态预期!F185:J185),AD171)</f>
        <v>22950000</v>
      </c>
      <c r="AF172" s="29" t="str">
        <f>IF(基础状态预期!K185="","",基础状态预期!K185*D$59+D$58)</f>
        <v/>
      </c>
      <c r="AG172" s="29" t="str">
        <f>IF(基础状态预期!L185="","",基础状态预期!L185*E$59+E$58)</f>
        <v/>
      </c>
      <c r="AH172" s="29" t="str">
        <f>IF(基础状态预期!M185="","",基础状态预期!M185*F$59+F$58)</f>
        <v/>
      </c>
      <c r="AI172" s="29" t="str">
        <f>IF(基础状态预期!N185="","",基础状态预期!N185*G$59+G$58)</f>
        <v/>
      </c>
      <c r="AJ172" s="29">
        <f>IF(基础状态预期!O185="","",基础状态预期!O185*H$59+H$58)</f>
        <v>148</v>
      </c>
      <c r="AK172" s="29">
        <f>MAX(SUMPRODUCT(AF172:AJ172,基础状态预期!$F185:$J185)/SUM(基础状态预期!$F185:$J185),AK171)</f>
        <v>148</v>
      </c>
      <c r="AL172" s="29">
        <f>IF(基础状态预期!K185="",0,求节点($C$68:$C$76,D$68:D$76,基础状态预期!K185))</f>
        <v>0</v>
      </c>
      <c r="AM172" s="29">
        <f>IF(基础状态预期!L185="",0,求节点($C$68:$C$76,E$68:E$76,基础状态预期!L185))</f>
        <v>0</v>
      </c>
      <c r="AN172" s="29">
        <f>IF(基础状态预期!M185="",0,求节点($C$68:$C$76,F$68:F$76,基础状态预期!M185)*求节点(武将升级!$H$52:$H$54,武将升级!$J$52:$J$54,基础状态预期!W185))</f>
        <v>0</v>
      </c>
      <c r="AO172" s="29">
        <f>IF(基础状态预期!N185="",0,求节点($C$68:$C$76,G$68:G$76,基础状态预期!N185)*求节点(武将升级!$H$52:$H$54,武将升级!$J$52:$J$54,基础状态预期!X185))</f>
        <v>0</v>
      </c>
      <c r="AP172" s="29">
        <f>IF(基础状态预期!O185="",0,求节点($C$68:$C$76,H$68:H$76,基础状态预期!O185)*求节点(武将升级!$H$52:$H$54,武将升级!$J$52:$J$54,基础状态预期!Y185))</f>
        <v>1.1399999999999999</v>
      </c>
      <c r="AQ172" s="29">
        <f>MAX(SUMPRODUCT(AL172:AP172,基础状态预期!$F185:$J185)/SUM(基础状态预期!$F185:$J185),AQ171)</f>
        <v>1.1399999999999999</v>
      </c>
      <c r="AR172" s="29">
        <f>IF(基础状态预期!K185="",0,求节点($C$158:$C$166,D$158:D$166,基础状态预期!K185))</f>
        <v>0</v>
      </c>
      <c r="AS172" s="29">
        <f>IF(基础状态预期!L185="",0,求节点($C$158:$C$166,E$158:E$166,基础状态预期!L185))</f>
        <v>0</v>
      </c>
      <c r="AT172" s="29">
        <f>IF(基础状态预期!M185="",0,求节点($C$158:$C$166,F$158:F$166,基础状态预期!M185))</f>
        <v>0</v>
      </c>
      <c r="AU172" s="29">
        <f>IF(基础状态预期!N185="",0,求节点($C$158:$C$166,G$158:G$166,基础状态预期!N185))</f>
        <v>0</v>
      </c>
      <c r="AV172" s="29">
        <f>IF(基础状态预期!O185="",0,求节点($C$158:$C$166,H$158:H$166,基础状态预期!O185))</f>
        <v>0.8</v>
      </c>
      <c r="AW172" s="29">
        <f>MAX(SUMPRODUCT(AR172:AV172,基础状态预期!$F185:$J185)/SUM(基础状态预期!$F185:$J185),AW171)</f>
        <v>0.80000000000000016</v>
      </c>
      <c r="BJ172" s="29">
        <f t="shared" si="65"/>
        <v>143.14123736077869</v>
      </c>
      <c r="BK172" s="75">
        <f>武将数量星级阶位验证!AT175</f>
        <v>78183007.086852476</v>
      </c>
      <c r="BL172" s="75">
        <f>(AD172-AD171)*INDEX('[1]功能-付费相关'!$AT$6:$AT$165,BJ172,1)+BL171</f>
        <v>25960.159102477042</v>
      </c>
    </row>
    <row r="173" spans="2:64" x14ac:dyDescent="0.15">
      <c r="M173" s="72">
        <v>38</v>
      </c>
      <c r="N173" s="29">
        <f>基础状态预期!D186</f>
        <v>146.75578521325724</v>
      </c>
      <c r="O173" s="29">
        <f>IF(基础状态预期!F186="",0,求节点($C$104:$C$112,D$104:D$112,基础状态预期!K186))</f>
        <v>0</v>
      </c>
      <c r="P173" s="29">
        <f>IF(基础状态预期!G186="",0,求节点($C$104:$C$112,E$104:E$112,基础状态预期!L186))</f>
        <v>0</v>
      </c>
      <c r="Q173" s="29">
        <f>IF(基础状态预期!H186="",0,求节点($C$104:$C$112,F$104:F$112,基础状态预期!M186))</f>
        <v>0</v>
      </c>
      <c r="R173" s="29">
        <f>IF(基础状态预期!I186="",0,求节点($C$104:$C$112,G$104:G$112,基础状态预期!N186))</f>
        <v>0</v>
      </c>
      <c r="S173" s="29">
        <f>IF(基础状态预期!J186="",0,求节点($C$104:$C$112,H$104:H$112,基础状态预期!O186))</f>
        <v>18</v>
      </c>
      <c r="T173" s="29">
        <f>IF(基础状态预期!F186="",0,求节点($C$114:$C$122,D$114:D$122,基础状态预期!K186)*基础状态预期!F186+求节点($C$124:$C$132,D$124:D$132,基础状态预期!$O186)*基础状态预期!$J186)</f>
        <v>0</v>
      </c>
      <c r="U173" s="29">
        <f>IF(基础状态预期!G186="",0,求节点($C$114:$C$122,E$114:E$122,基础状态预期!L186)*基础状态预期!G186+求节点($C$124:$C$132,E$124:E$132,基础状态预期!$O186)*基础状态预期!$J186)</f>
        <v>0</v>
      </c>
      <c r="V173" s="29">
        <f>IF(基础状态预期!H186="",0,求节点($C$114:$C$122,F$114:F$122,基础状态预期!M186)*基础状态预期!H186+求节点($C$124:$C$132,F$124:F$132,基础状态预期!$O186)*基础状态预期!$J186)</f>
        <v>0</v>
      </c>
      <c r="W173" s="148">
        <f>IF(基础状态预期!I186="",0,求节点($C$114:$C$122,G$114:G$122,基础状态预期!N186)*基础状态预期!I186)+IF(基础状态预期!O186="",0,求节点($C$124:$C$132,G$124:G$132,基础状态预期!$O186)*基础状态预期!$J186)</f>
        <v>54</v>
      </c>
      <c r="X173" s="29">
        <f>IF(基础状态预期!J186="",0,求节点($C$114:$C$122,H$114:H$122,基础状态预期!O186)*基础状态预期!J186+求节点($C$124:$C$132,H$124:H$132,基础状态预期!$O186)*基础状态预期!$J186)</f>
        <v>0</v>
      </c>
      <c r="Y173" s="14">
        <f>IF(基础状态预期!K186="",0,求节点($C$92:$C$100,D$92:D$100,基础状态预期!K186))</f>
        <v>0</v>
      </c>
      <c r="Z173" s="14">
        <f>IF(基础状态预期!L186="",0,求节点($C$92:$C$100,E$92:E$100,基础状态预期!L186))</f>
        <v>0</v>
      </c>
      <c r="AA173" s="14">
        <f>IF(基础状态预期!M186="",0,求节点($C$92:$C$100,F$92:F$100,基础状态预期!M186))</f>
        <v>0</v>
      </c>
      <c r="AB173" s="14">
        <f>IF(基础状态预期!N186="",0,求节点($C$92:$C$100,G$92:G$100,基础状态预期!N186))</f>
        <v>0</v>
      </c>
      <c r="AC173" s="14">
        <f>IF(基础状态预期!O186="",0,求节点($C$92:$C$100,H$92:H$100,基础状态预期!O186))</f>
        <v>3825000</v>
      </c>
      <c r="AD173" s="29">
        <f>MAX(SUMPRODUCT(Y173:AC173,基础状态预期!F186:J186),AD172)</f>
        <v>22950000</v>
      </c>
      <c r="AF173" s="29" t="str">
        <f>IF(基础状态预期!K186="","",基础状态预期!K186*D$59+D$58)</f>
        <v/>
      </c>
      <c r="AG173" s="29" t="str">
        <f>IF(基础状态预期!L186="","",基础状态预期!L186*E$59+E$58)</f>
        <v/>
      </c>
      <c r="AH173" s="29" t="str">
        <f>IF(基础状态预期!M186="","",基础状态预期!M186*F$59+F$58)</f>
        <v/>
      </c>
      <c r="AI173" s="29" t="str">
        <f>IF(基础状态预期!N186="","",基础状态预期!N186*G$59+G$58)</f>
        <v/>
      </c>
      <c r="AJ173" s="29">
        <f>IF(基础状态预期!O186="","",基础状态预期!O186*H$59+H$58)</f>
        <v>148</v>
      </c>
      <c r="AK173" s="29">
        <f>MAX(SUMPRODUCT(AF173:AJ173,基础状态预期!$F186:$J186)/SUM(基础状态预期!$F186:$J186),AK172)</f>
        <v>148</v>
      </c>
      <c r="AL173" s="29">
        <f>IF(基础状态预期!K186="",0,求节点($C$68:$C$76,D$68:D$76,基础状态预期!K186))</f>
        <v>0</v>
      </c>
      <c r="AM173" s="29">
        <f>IF(基础状态预期!L186="",0,求节点($C$68:$C$76,E$68:E$76,基础状态预期!L186))</f>
        <v>0</v>
      </c>
      <c r="AN173" s="29">
        <f>IF(基础状态预期!M186="",0,求节点($C$68:$C$76,F$68:F$76,基础状态预期!M186)*求节点(武将升级!$H$52:$H$54,武将升级!$J$52:$J$54,基础状态预期!W186))</f>
        <v>0</v>
      </c>
      <c r="AO173" s="29">
        <f>IF(基础状态预期!N186="",0,求节点($C$68:$C$76,G$68:G$76,基础状态预期!N186)*求节点(武将升级!$H$52:$H$54,武将升级!$J$52:$J$54,基础状态预期!X186))</f>
        <v>0</v>
      </c>
      <c r="AP173" s="29">
        <f>IF(基础状态预期!O186="",0,求节点($C$68:$C$76,H$68:H$76,基础状态预期!O186)*求节点(武将升级!$H$52:$H$54,武将升级!$J$52:$J$54,基础状态预期!Y186))</f>
        <v>1.1399999999999999</v>
      </c>
      <c r="AQ173" s="29">
        <f>MAX(SUMPRODUCT(AL173:AP173,基础状态预期!$F186:$J186)/SUM(基础状态预期!$F186:$J186),AQ172)</f>
        <v>1.1399999999999999</v>
      </c>
      <c r="AR173" s="29">
        <f>IF(基础状态预期!K186="",0,求节点($C$158:$C$166,D$158:D$166,基础状态预期!K186))</f>
        <v>0</v>
      </c>
      <c r="AS173" s="29">
        <f>IF(基础状态预期!L186="",0,求节点($C$158:$C$166,E$158:E$166,基础状态预期!L186))</f>
        <v>0</v>
      </c>
      <c r="AT173" s="29">
        <f>IF(基础状态预期!M186="",0,求节点($C$158:$C$166,F$158:F$166,基础状态预期!M186))</f>
        <v>0</v>
      </c>
      <c r="AU173" s="29">
        <f>IF(基础状态预期!N186="",0,求节点($C$158:$C$166,G$158:G$166,基础状态预期!N186))</f>
        <v>0</v>
      </c>
      <c r="AV173" s="29">
        <f>IF(基础状态预期!O186="",0,求节点($C$158:$C$166,H$158:H$166,基础状态预期!O186))</f>
        <v>0.8</v>
      </c>
      <c r="AW173" s="29">
        <f>MAX(SUMPRODUCT(AR173:AV173,基础状态预期!$F186:$J186)/SUM(基础状态预期!$F186:$J186),AW172)</f>
        <v>0.80000000000000016</v>
      </c>
      <c r="BJ173" s="29">
        <f t="shared" si="65"/>
        <v>146.75578521325724</v>
      </c>
      <c r="BK173" s="75">
        <f>武将数量星级阶位验证!AT176</f>
        <v>97924391.943136483</v>
      </c>
      <c r="BL173" s="75">
        <f>(AD173-AD172)*INDEX('[1]功能-付费相关'!$AT$6:$AT$165,BJ173,1)+BL172</f>
        <v>25960.159102477042</v>
      </c>
    </row>
    <row r="174" spans="2:64" x14ac:dyDescent="0.15">
      <c r="M174" s="72">
        <v>39</v>
      </c>
      <c r="N174" s="29">
        <f>基础状态预期!D187</f>
        <v>150.21349802228445</v>
      </c>
      <c r="O174" s="29">
        <f>IF(基础状态预期!F187="",0,求节点($C$104:$C$112,D$104:D$112,基础状态预期!K187))</f>
        <v>0</v>
      </c>
      <c r="P174" s="29">
        <f>IF(基础状态预期!G187="",0,求节点($C$104:$C$112,E$104:E$112,基础状态预期!L187))</f>
        <v>0</v>
      </c>
      <c r="Q174" s="29">
        <f>IF(基础状态预期!H187="",0,求节点($C$104:$C$112,F$104:F$112,基础状态预期!M187))</f>
        <v>0</v>
      </c>
      <c r="R174" s="29">
        <f>IF(基础状态预期!I187="",0,求节点($C$104:$C$112,G$104:G$112,基础状态预期!N187))</f>
        <v>0</v>
      </c>
      <c r="S174" s="29">
        <f>IF(基础状态预期!J187="",0,求节点($C$104:$C$112,H$104:H$112,基础状态预期!O187))</f>
        <v>18</v>
      </c>
      <c r="T174" s="29">
        <f>IF(基础状态预期!F187="",0,求节点($C$114:$C$122,D$114:D$122,基础状态预期!K187)*基础状态预期!F187+求节点($C$124:$C$132,D$124:D$132,基础状态预期!$O187)*基础状态预期!$J187)</f>
        <v>0</v>
      </c>
      <c r="U174" s="29">
        <f>IF(基础状态预期!G187="",0,求节点($C$114:$C$122,E$114:E$122,基础状态预期!L187)*基础状态预期!G187+求节点($C$124:$C$132,E$124:E$132,基础状态预期!$O187)*基础状态预期!$J187)</f>
        <v>0</v>
      </c>
      <c r="V174" s="29">
        <f>IF(基础状态预期!H187="",0,求节点($C$114:$C$122,F$114:F$122,基础状态预期!M187)*基础状态预期!H187+求节点($C$124:$C$132,F$124:F$132,基础状态预期!$O187)*基础状态预期!$J187)</f>
        <v>0</v>
      </c>
      <c r="W174" s="148">
        <f>IF(基础状态预期!I187="",0,求节点($C$114:$C$122,G$114:G$122,基础状态预期!N187)*基础状态预期!I187)+IF(基础状态预期!O187="",0,求节点($C$124:$C$132,G$124:G$132,基础状态预期!$O187)*基础状态预期!$J187)</f>
        <v>54</v>
      </c>
      <c r="X174" s="29">
        <f>IF(基础状态预期!J187="",0,求节点($C$114:$C$122,H$114:H$122,基础状态预期!O187)*基础状态预期!J187+求节点($C$124:$C$132,H$124:H$132,基础状态预期!$O187)*基础状态预期!$J187)</f>
        <v>0</v>
      </c>
      <c r="Y174" s="14">
        <f>IF(基础状态预期!K187="",0,求节点($C$92:$C$100,D$92:D$100,基础状态预期!K187))</f>
        <v>0</v>
      </c>
      <c r="Z174" s="14">
        <f>IF(基础状态预期!L187="",0,求节点($C$92:$C$100,E$92:E$100,基础状态预期!L187))</f>
        <v>0</v>
      </c>
      <c r="AA174" s="14">
        <f>IF(基础状态预期!M187="",0,求节点($C$92:$C$100,F$92:F$100,基础状态预期!M187))</f>
        <v>0</v>
      </c>
      <c r="AB174" s="14">
        <f>IF(基础状态预期!N187="",0,求节点($C$92:$C$100,G$92:G$100,基础状态预期!N187))</f>
        <v>0</v>
      </c>
      <c r="AC174" s="14">
        <f>IF(基础状态预期!O187="",0,求节点($C$92:$C$100,H$92:H$100,基础状态预期!O187))</f>
        <v>3825000</v>
      </c>
      <c r="AD174" s="29">
        <f>MAX(SUMPRODUCT(Y174:AC174,基础状态预期!F187:J187),AD173)</f>
        <v>22950000</v>
      </c>
      <c r="AF174" s="29" t="str">
        <f>IF(基础状态预期!K187="","",基础状态预期!K187*D$59+D$58)</f>
        <v/>
      </c>
      <c r="AG174" s="29" t="str">
        <f>IF(基础状态预期!L187="","",基础状态预期!L187*E$59+E$58)</f>
        <v/>
      </c>
      <c r="AH174" s="29" t="str">
        <f>IF(基础状态预期!M187="","",基础状态预期!M187*F$59+F$58)</f>
        <v/>
      </c>
      <c r="AI174" s="29" t="str">
        <f>IF(基础状态预期!N187="","",基础状态预期!N187*G$59+G$58)</f>
        <v/>
      </c>
      <c r="AJ174" s="29">
        <f>IF(基础状态预期!O187="","",基础状态预期!O187*H$59+H$58)</f>
        <v>148</v>
      </c>
      <c r="AK174" s="29">
        <f>MAX(SUMPRODUCT(AF174:AJ174,基础状态预期!$F187:$J187)/SUM(基础状态预期!$F187:$J187),AK173)</f>
        <v>148</v>
      </c>
      <c r="AL174" s="29">
        <f>IF(基础状态预期!K187="",0,求节点($C$68:$C$76,D$68:D$76,基础状态预期!K187))</f>
        <v>0</v>
      </c>
      <c r="AM174" s="29">
        <f>IF(基础状态预期!L187="",0,求节点($C$68:$C$76,E$68:E$76,基础状态预期!L187))</f>
        <v>0</v>
      </c>
      <c r="AN174" s="29">
        <f>IF(基础状态预期!M187="",0,求节点($C$68:$C$76,F$68:F$76,基础状态预期!M187)*求节点(武将升级!$H$52:$H$54,武将升级!$J$52:$J$54,基础状态预期!W187))</f>
        <v>0</v>
      </c>
      <c r="AO174" s="29">
        <f>IF(基础状态预期!N187="",0,求节点($C$68:$C$76,G$68:G$76,基础状态预期!N187)*求节点(武将升级!$H$52:$H$54,武将升级!$J$52:$J$54,基础状态预期!X187))</f>
        <v>0</v>
      </c>
      <c r="AP174" s="29">
        <f>IF(基础状态预期!O187="",0,求节点($C$68:$C$76,H$68:H$76,基础状态预期!O187)*求节点(武将升级!$H$52:$H$54,武将升级!$J$52:$J$54,基础状态预期!Y187))</f>
        <v>1.1399999999999999</v>
      </c>
      <c r="AQ174" s="29">
        <f>MAX(SUMPRODUCT(AL174:AP174,基础状态预期!$F187:$J187)/SUM(基础状态预期!$F187:$J187),AQ173)</f>
        <v>1.1399999999999999</v>
      </c>
      <c r="AR174" s="29">
        <f>IF(基础状态预期!K187="",0,求节点($C$158:$C$166,D$158:D$166,基础状态预期!K187))</f>
        <v>0</v>
      </c>
      <c r="AS174" s="29">
        <f>IF(基础状态预期!L187="",0,求节点($C$158:$C$166,E$158:E$166,基础状态预期!L187))</f>
        <v>0</v>
      </c>
      <c r="AT174" s="29">
        <f>IF(基础状态预期!M187="",0,求节点($C$158:$C$166,F$158:F$166,基础状态预期!M187))</f>
        <v>0</v>
      </c>
      <c r="AU174" s="29">
        <f>IF(基础状态预期!N187="",0,求节点($C$158:$C$166,G$158:G$166,基础状态预期!N187))</f>
        <v>0</v>
      </c>
      <c r="AV174" s="29">
        <f>IF(基础状态预期!O187="",0,求节点($C$158:$C$166,H$158:H$166,基础状态预期!O187))</f>
        <v>0.8</v>
      </c>
      <c r="AW174" s="29">
        <f>MAX(SUMPRODUCT(AR174:AV174,基础状态预期!$F187:$J187)/SUM(基础状态预期!$F187:$J187),AW173)</f>
        <v>0.80000000000000016</v>
      </c>
      <c r="BJ174" s="29">
        <f t="shared" si="65"/>
        <v>150.21349802228445</v>
      </c>
      <c r="BK174" s="75">
        <f>武将数量星级阶位验证!AT177</f>
        <v>122803011.20652819</v>
      </c>
      <c r="BL174" s="75">
        <f>(AD174-AD173)*INDEX('[1]功能-付费相关'!$AT$6:$AT$165,BJ174,1)+BL173</f>
        <v>25960.159102477042</v>
      </c>
    </row>
    <row r="175" spans="2:64" x14ac:dyDescent="0.15">
      <c r="M175" s="72">
        <v>40</v>
      </c>
      <c r="N175" s="29">
        <f>基础状态预期!D188</f>
        <v>152.32856849044819</v>
      </c>
      <c r="O175" s="29">
        <f>IF(基础状态预期!F188="",0,求节点($C$104:$C$112,D$104:D$112,基础状态预期!K188))</f>
        <v>0</v>
      </c>
      <c r="P175" s="29">
        <f>IF(基础状态预期!G188="",0,求节点($C$104:$C$112,E$104:E$112,基础状态预期!L188))</f>
        <v>0</v>
      </c>
      <c r="Q175" s="29">
        <f>IF(基础状态预期!H188="",0,求节点($C$104:$C$112,F$104:F$112,基础状态预期!M188))</f>
        <v>0</v>
      </c>
      <c r="R175" s="29">
        <f>IF(基础状态预期!I188="",0,求节点($C$104:$C$112,G$104:G$112,基础状态预期!N188))</f>
        <v>0</v>
      </c>
      <c r="S175" s="29">
        <f>IF(基础状态预期!J188="",0,求节点($C$104:$C$112,H$104:H$112,基础状态预期!O188))</f>
        <v>18</v>
      </c>
      <c r="T175" s="29">
        <f>IF(基础状态预期!F188="",0,求节点($C$114:$C$122,D$114:D$122,基础状态预期!K188)*基础状态预期!F188+求节点($C$124:$C$132,D$124:D$132,基础状态预期!$O188)*基础状态预期!$J188)</f>
        <v>0</v>
      </c>
      <c r="U175" s="29">
        <f>IF(基础状态预期!G188="",0,求节点($C$114:$C$122,E$114:E$122,基础状态预期!L188)*基础状态预期!G188+求节点($C$124:$C$132,E$124:E$132,基础状态预期!$O188)*基础状态预期!$J188)</f>
        <v>0</v>
      </c>
      <c r="V175" s="29">
        <f>IF(基础状态预期!H188="",0,求节点($C$114:$C$122,F$114:F$122,基础状态预期!M188)*基础状态预期!H188+求节点($C$124:$C$132,F$124:F$132,基础状态预期!$O188)*基础状态预期!$J188)</f>
        <v>0</v>
      </c>
      <c r="W175" s="148">
        <f>IF(基础状态预期!I188="",0,求节点($C$114:$C$122,G$114:G$122,基础状态预期!N188)*基础状态预期!I188)+IF(基础状态预期!O188="",0,求节点($C$124:$C$132,G$124:G$132,基础状态预期!$O188)*基础状态预期!$J188)</f>
        <v>54</v>
      </c>
      <c r="X175" s="29">
        <f>IF(基础状态预期!J188="",0,求节点($C$114:$C$122,H$114:H$122,基础状态预期!O188)*基础状态预期!J188+求节点($C$124:$C$132,H$124:H$132,基础状态预期!$O188)*基础状态预期!$J188)</f>
        <v>0</v>
      </c>
      <c r="Y175" s="14">
        <f>IF(基础状态预期!K188="",0,求节点($C$92:$C$100,D$92:D$100,基础状态预期!K188))</f>
        <v>0</v>
      </c>
      <c r="Z175" s="14">
        <f>IF(基础状态预期!L188="",0,求节点($C$92:$C$100,E$92:E$100,基础状态预期!L188))</f>
        <v>0</v>
      </c>
      <c r="AA175" s="14">
        <f>IF(基础状态预期!M188="",0,求节点($C$92:$C$100,F$92:F$100,基础状态预期!M188))</f>
        <v>0</v>
      </c>
      <c r="AB175" s="14">
        <f>IF(基础状态预期!N188="",0,求节点($C$92:$C$100,G$92:G$100,基础状态预期!N188))</f>
        <v>0</v>
      </c>
      <c r="AC175" s="14">
        <f>IF(基础状态预期!O188="",0,求节点($C$92:$C$100,H$92:H$100,基础状态预期!O188))</f>
        <v>3825000</v>
      </c>
      <c r="AD175" s="29">
        <f>MAX(SUMPRODUCT(Y175:AC175,基础状态预期!F188:J188),AD174)</f>
        <v>22950000</v>
      </c>
      <c r="AF175" s="29" t="str">
        <f>IF(基础状态预期!K188="","",基础状态预期!K188*D$59+D$58)</f>
        <v/>
      </c>
      <c r="AG175" s="29" t="str">
        <f>IF(基础状态预期!L188="","",基础状态预期!L188*E$59+E$58)</f>
        <v/>
      </c>
      <c r="AH175" s="29" t="str">
        <f>IF(基础状态预期!M188="","",基础状态预期!M188*F$59+F$58)</f>
        <v/>
      </c>
      <c r="AI175" s="29" t="str">
        <f>IF(基础状态预期!N188="","",基础状态预期!N188*G$59+G$58)</f>
        <v/>
      </c>
      <c r="AJ175" s="29">
        <f>IF(基础状态预期!O188="","",基础状态预期!O188*H$59+H$58)</f>
        <v>148</v>
      </c>
      <c r="AK175" s="29">
        <f>MAX(SUMPRODUCT(AF175:AJ175,基础状态预期!$F188:$J188)/SUM(基础状态预期!$F188:$J188),AK174)</f>
        <v>148</v>
      </c>
      <c r="AL175" s="29">
        <f>IF(基础状态预期!K188="",0,求节点($C$68:$C$76,D$68:D$76,基础状态预期!K188))</f>
        <v>0</v>
      </c>
      <c r="AM175" s="29">
        <f>IF(基础状态预期!L188="",0,求节点($C$68:$C$76,E$68:E$76,基础状态预期!L188))</f>
        <v>0</v>
      </c>
      <c r="AN175" s="29">
        <f>IF(基础状态预期!M188="",0,求节点($C$68:$C$76,F$68:F$76,基础状态预期!M188)*求节点(武将升级!$H$52:$H$54,武将升级!$J$52:$J$54,基础状态预期!W188))</f>
        <v>0</v>
      </c>
      <c r="AO175" s="29">
        <f>IF(基础状态预期!N188="",0,求节点($C$68:$C$76,G$68:G$76,基础状态预期!N188)*求节点(武将升级!$H$52:$H$54,武将升级!$J$52:$J$54,基础状态预期!X188))</f>
        <v>0</v>
      </c>
      <c r="AP175" s="29">
        <f>IF(基础状态预期!O188="",0,求节点($C$68:$C$76,H$68:H$76,基础状态预期!O188)*求节点(武将升级!$H$52:$H$54,武将升级!$J$52:$J$54,基础状态预期!Y188))</f>
        <v>1.1399999999999999</v>
      </c>
      <c r="AQ175" s="29">
        <f>MAX(SUMPRODUCT(AL175:AP175,基础状态预期!$F188:$J188)/SUM(基础状态预期!$F188:$J188),AQ174)</f>
        <v>1.1399999999999999</v>
      </c>
      <c r="AR175" s="29">
        <f>IF(基础状态预期!K188="",0,求节点($C$158:$C$166,D$158:D$166,基础状态预期!K188))</f>
        <v>0</v>
      </c>
      <c r="AS175" s="29">
        <f>IF(基础状态预期!L188="",0,求节点($C$158:$C$166,E$158:E$166,基础状态预期!L188))</f>
        <v>0</v>
      </c>
      <c r="AT175" s="29">
        <f>IF(基础状态预期!M188="",0,求节点($C$158:$C$166,F$158:F$166,基础状态预期!M188))</f>
        <v>0</v>
      </c>
      <c r="AU175" s="29">
        <f>IF(基础状态预期!N188="",0,求节点($C$158:$C$166,G$158:G$166,基础状态预期!N188))</f>
        <v>0</v>
      </c>
      <c r="AV175" s="29">
        <f>IF(基础状态预期!O188="",0,求节点($C$158:$C$166,H$158:H$166,基础状态预期!O188))</f>
        <v>0.8</v>
      </c>
      <c r="AW175" s="29">
        <f>MAX(SUMPRODUCT(AR175:AV175,基础状态预期!$F188:$J188)/SUM(基础状态预期!$F188:$J188),AW174)</f>
        <v>0.80000000000000016</v>
      </c>
      <c r="BJ175" s="29">
        <f t="shared" si="65"/>
        <v>152.32856849044819</v>
      </c>
      <c r="BK175" s="75">
        <f>武将数量星级阶位验证!AT178</f>
        <v>154116154.98383045</v>
      </c>
      <c r="BL175" s="75">
        <f>(AD175-AD174)*INDEX('[1]功能-付费相关'!$AT$6:$AT$165,BJ175,1)+BL174</f>
        <v>25960.159102477042</v>
      </c>
    </row>
    <row r="176" spans="2:64" x14ac:dyDescent="0.15">
      <c r="M176" s="72">
        <v>41</v>
      </c>
      <c r="N176" s="29">
        <f>基础状态预期!D189</f>
        <v>153.15627769682186</v>
      </c>
      <c r="O176" s="29">
        <f>IF(基础状态预期!F189="",0,求节点($C$104:$C$112,D$104:D$112,基础状态预期!K189))</f>
        <v>0</v>
      </c>
      <c r="P176" s="29">
        <f>IF(基础状态预期!G189="",0,求节点($C$104:$C$112,E$104:E$112,基础状态预期!L189))</f>
        <v>0</v>
      </c>
      <c r="Q176" s="29">
        <f>IF(基础状态预期!H189="",0,求节点($C$104:$C$112,F$104:F$112,基础状态预期!M189))</f>
        <v>0</v>
      </c>
      <c r="R176" s="29">
        <f>IF(基础状态预期!I189="",0,求节点($C$104:$C$112,G$104:G$112,基础状态预期!N189))</f>
        <v>0</v>
      </c>
      <c r="S176" s="29">
        <f>IF(基础状态预期!J189="",0,求节点($C$104:$C$112,H$104:H$112,基础状态预期!O189))</f>
        <v>18</v>
      </c>
      <c r="T176" s="29">
        <f>IF(基础状态预期!F189="",0,求节点($C$114:$C$122,D$114:D$122,基础状态预期!K189)*基础状态预期!F189+求节点($C$124:$C$132,D$124:D$132,基础状态预期!$O189)*基础状态预期!$J189)</f>
        <v>0</v>
      </c>
      <c r="U176" s="29">
        <f>IF(基础状态预期!G189="",0,求节点($C$114:$C$122,E$114:E$122,基础状态预期!L189)*基础状态预期!G189+求节点($C$124:$C$132,E$124:E$132,基础状态预期!$O189)*基础状态预期!$J189)</f>
        <v>0</v>
      </c>
      <c r="V176" s="29">
        <f>IF(基础状态预期!H189="",0,求节点($C$114:$C$122,F$114:F$122,基础状态预期!M189)*基础状态预期!H189+求节点($C$124:$C$132,F$124:F$132,基础状态预期!$O189)*基础状态预期!$J189)</f>
        <v>0</v>
      </c>
      <c r="W176" s="148">
        <f>IF(基础状态预期!I189="",0,求节点($C$114:$C$122,G$114:G$122,基础状态预期!N189)*基础状态预期!I189)+IF(基础状态预期!O189="",0,求节点($C$124:$C$132,G$124:G$132,基础状态预期!$O189)*基础状态预期!$J189)</f>
        <v>54</v>
      </c>
      <c r="X176" s="29">
        <f>IF(基础状态预期!J189="",0,求节点($C$114:$C$122,H$114:H$122,基础状态预期!O189)*基础状态预期!J189+求节点($C$124:$C$132,H$124:H$132,基础状态预期!$O189)*基础状态预期!$J189)</f>
        <v>0</v>
      </c>
      <c r="Y176" s="14">
        <f>IF(基础状态预期!K189="",0,求节点($C$92:$C$100,D$92:D$100,基础状态预期!K189))</f>
        <v>0</v>
      </c>
      <c r="Z176" s="14">
        <f>IF(基础状态预期!L189="",0,求节点($C$92:$C$100,E$92:E$100,基础状态预期!L189))</f>
        <v>0</v>
      </c>
      <c r="AA176" s="14">
        <f>IF(基础状态预期!M189="",0,求节点($C$92:$C$100,F$92:F$100,基础状态预期!M189))</f>
        <v>0</v>
      </c>
      <c r="AB176" s="14">
        <f>IF(基础状态预期!N189="",0,求节点($C$92:$C$100,G$92:G$100,基础状态预期!N189))</f>
        <v>0</v>
      </c>
      <c r="AC176" s="14">
        <f>IF(基础状态预期!O189="",0,求节点($C$92:$C$100,H$92:H$100,基础状态预期!O189))</f>
        <v>3825000</v>
      </c>
      <c r="AD176" s="29">
        <f>MAX(SUMPRODUCT(Y176:AC176,基础状态预期!F189:J189),AD175)</f>
        <v>22950000</v>
      </c>
      <c r="AF176" s="29" t="str">
        <f>IF(基础状态预期!K189="","",基础状态预期!K189*D$59+D$58)</f>
        <v/>
      </c>
      <c r="AG176" s="29" t="str">
        <f>IF(基础状态预期!L189="","",基础状态预期!L189*E$59+E$58)</f>
        <v/>
      </c>
      <c r="AH176" s="29" t="str">
        <f>IF(基础状态预期!M189="","",基础状态预期!M189*F$59+F$58)</f>
        <v/>
      </c>
      <c r="AI176" s="29" t="str">
        <f>IF(基础状态预期!N189="","",基础状态预期!N189*G$59+G$58)</f>
        <v/>
      </c>
      <c r="AJ176" s="29">
        <f>IF(基础状态预期!O189="","",基础状态预期!O189*H$59+H$58)</f>
        <v>148</v>
      </c>
      <c r="AK176" s="29">
        <f>MAX(SUMPRODUCT(AF176:AJ176,基础状态预期!$F189:$J189)/SUM(基础状态预期!$F189:$J189),AK175)</f>
        <v>148</v>
      </c>
      <c r="AL176" s="29">
        <f>IF(基础状态预期!K189="",0,求节点($C$68:$C$76,D$68:D$76,基础状态预期!K189))</f>
        <v>0</v>
      </c>
      <c r="AM176" s="29">
        <f>IF(基础状态预期!L189="",0,求节点($C$68:$C$76,E$68:E$76,基础状态预期!L189))</f>
        <v>0</v>
      </c>
      <c r="AN176" s="29">
        <f>IF(基础状态预期!M189="",0,求节点($C$68:$C$76,F$68:F$76,基础状态预期!M189)*求节点(武将升级!$H$52:$H$54,武将升级!$J$52:$J$54,基础状态预期!W189))</f>
        <v>0</v>
      </c>
      <c r="AO176" s="29">
        <f>IF(基础状态预期!N189="",0,求节点($C$68:$C$76,G$68:G$76,基础状态预期!N189)*求节点(武将升级!$H$52:$H$54,武将升级!$J$52:$J$54,基础状态预期!X189))</f>
        <v>0</v>
      </c>
      <c r="AP176" s="29">
        <f>IF(基础状态预期!O189="",0,求节点($C$68:$C$76,H$68:H$76,基础状态预期!O189)*求节点(武将升级!$H$52:$H$54,武将升级!$J$52:$J$54,基础状态预期!Y189))</f>
        <v>1.1399999999999999</v>
      </c>
      <c r="AQ176" s="29">
        <f>MAX(SUMPRODUCT(AL176:AP176,基础状态预期!$F189:$J189)/SUM(基础状态预期!$F189:$J189),AQ175)</f>
        <v>1.1399999999999999</v>
      </c>
      <c r="AR176" s="29">
        <f>IF(基础状态预期!K189="",0,求节点($C$158:$C$166,D$158:D$166,基础状态预期!K189))</f>
        <v>0</v>
      </c>
      <c r="AS176" s="29">
        <f>IF(基础状态预期!L189="",0,求节点($C$158:$C$166,E$158:E$166,基础状态预期!L189))</f>
        <v>0</v>
      </c>
      <c r="AT176" s="29">
        <f>IF(基础状态预期!M189="",0,求节点($C$158:$C$166,F$158:F$166,基础状态预期!M189))</f>
        <v>0</v>
      </c>
      <c r="AU176" s="29">
        <f>IF(基础状态预期!N189="",0,求节点($C$158:$C$166,G$158:G$166,基础状态预期!N189))</f>
        <v>0</v>
      </c>
      <c r="AV176" s="29">
        <f>IF(基础状态预期!O189="",0,求节点($C$158:$C$166,H$158:H$166,基础状态预期!O189))</f>
        <v>0.8</v>
      </c>
      <c r="AW176" s="29">
        <f>MAX(SUMPRODUCT(AR176:AV176,基础状态预期!$F189:$J189)/SUM(基础状态预期!$F189:$J189),AW175)</f>
        <v>0.80000000000000016</v>
      </c>
      <c r="BJ176" s="29">
        <f t="shared" si="65"/>
        <v>153.15627769682186</v>
      </c>
      <c r="BK176" s="75">
        <f>武将数量星级阶位验证!AT179</f>
        <v>193362326.5614565</v>
      </c>
      <c r="BL176" s="75">
        <f>(AD176-AD175)*INDEX('[1]功能-付费相关'!$AT$6:$AT$165,BJ176,1)+BL175</f>
        <v>25960.159102477042</v>
      </c>
    </row>
    <row r="177" spans="13:69" x14ac:dyDescent="0.15">
      <c r="M177" s="72">
        <v>42</v>
      </c>
      <c r="N177" s="29">
        <f>基础状态预期!D190</f>
        <v>153.85863088955028</v>
      </c>
      <c r="O177" s="29">
        <f>IF(基础状态预期!F190="",0,求节点($C$104:$C$112,D$104:D$112,基础状态预期!K190))</f>
        <v>0</v>
      </c>
      <c r="P177" s="29">
        <f>IF(基础状态预期!G190="",0,求节点($C$104:$C$112,E$104:E$112,基础状态预期!L190))</f>
        <v>0</v>
      </c>
      <c r="Q177" s="29">
        <f>IF(基础状态预期!H190="",0,求节点($C$104:$C$112,F$104:F$112,基础状态预期!M190))</f>
        <v>0</v>
      </c>
      <c r="R177" s="29">
        <f>IF(基础状态预期!I190="",0,求节点($C$104:$C$112,G$104:G$112,基础状态预期!N190))</f>
        <v>0</v>
      </c>
      <c r="S177" s="29">
        <f>IF(基础状态预期!J190="",0,求节点($C$104:$C$112,H$104:H$112,基础状态预期!O190))</f>
        <v>18</v>
      </c>
      <c r="T177" s="29">
        <f>IF(基础状态预期!F190="",0,求节点($C$114:$C$122,D$114:D$122,基础状态预期!K190)*基础状态预期!F190+求节点($C$124:$C$132,D$124:D$132,基础状态预期!$O190)*基础状态预期!$J190)</f>
        <v>0</v>
      </c>
      <c r="U177" s="29">
        <f>IF(基础状态预期!G190="",0,求节点($C$114:$C$122,E$114:E$122,基础状态预期!L190)*基础状态预期!G190+求节点($C$124:$C$132,E$124:E$132,基础状态预期!$O190)*基础状态预期!$J190)</f>
        <v>0</v>
      </c>
      <c r="V177" s="29">
        <f>IF(基础状态预期!H190="",0,求节点($C$114:$C$122,F$114:F$122,基础状态预期!M190)*基础状态预期!H190+求节点($C$124:$C$132,F$124:F$132,基础状态预期!$O190)*基础状态预期!$J190)</f>
        <v>0</v>
      </c>
      <c r="W177" s="148">
        <f>IF(基础状态预期!I190="",0,求节点($C$114:$C$122,G$114:G$122,基础状态预期!N190)*基础状态预期!I190)+IF(基础状态预期!O190="",0,求节点($C$124:$C$132,G$124:G$132,基础状态预期!$O190)*基础状态预期!$J190)</f>
        <v>54</v>
      </c>
      <c r="X177" s="29">
        <f>IF(基础状态预期!J190="",0,求节点($C$114:$C$122,H$114:H$122,基础状态预期!O190)*基础状态预期!J190+求节点($C$124:$C$132,H$124:H$132,基础状态预期!$O190)*基础状态预期!$J190)</f>
        <v>0</v>
      </c>
      <c r="Y177" s="14">
        <f>IF(基础状态预期!K190="",0,求节点($C$92:$C$100,D$92:D$100,基础状态预期!K190))</f>
        <v>0</v>
      </c>
      <c r="Z177" s="14">
        <f>IF(基础状态预期!L190="",0,求节点($C$92:$C$100,E$92:E$100,基础状态预期!L190))</f>
        <v>0</v>
      </c>
      <c r="AA177" s="14">
        <f>IF(基础状态预期!M190="",0,求节点($C$92:$C$100,F$92:F$100,基础状态预期!M190))</f>
        <v>0</v>
      </c>
      <c r="AB177" s="14">
        <f>IF(基础状态预期!N190="",0,求节点($C$92:$C$100,G$92:G$100,基础状态预期!N190))</f>
        <v>0</v>
      </c>
      <c r="AC177" s="14">
        <f>IF(基础状态预期!O190="",0,求节点($C$92:$C$100,H$92:H$100,基础状态预期!O190))</f>
        <v>3825000</v>
      </c>
      <c r="AD177" s="29">
        <f>MAX(SUMPRODUCT(Y177:AC177,基础状态预期!F190:J190),AD176)</f>
        <v>22950000</v>
      </c>
      <c r="AF177" s="29" t="str">
        <f>IF(基础状态预期!K190="","",基础状态预期!K190*D$59+D$58)</f>
        <v/>
      </c>
      <c r="AG177" s="29" t="str">
        <f>IF(基础状态预期!L190="","",基础状态预期!L190*E$59+E$58)</f>
        <v/>
      </c>
      <c r="AH177" s="29" t="str">
        <f>IF(基础状态预期!M190="","",基础状态预期!M190*F$59+F$58)</f>
        <v/>
      </c>
      <c r="AI177" s="29" t="str">
        <f>IF(基础状态预期!N190="","",基础状态预期!N190*G$59+G$58)</f>
        <v/>
      </c>
      <c r="AJ177" s="29">
        <f>IF(基础状态预期!O190="","",基础状态预期!O190*H$59+H$58)</f>
        <v>148</v>
      </c>
      <c r="AK177" s="29">
        <f>MAX(SUMPRODUCT(AF177:AJ177,基础状态预期!$F190:$J190)/SUM(基础状态预期!$F190:$J190),AK176)</f>
        <v>148</v>
      </c>
      <c r="AL177" s="29">
        <f>IF(基础状态预期!K190="",0,求节点($C$68:$C$76,D$68:D$76,基础状态预期!K190))</f>
        <v>0</v>
      </c>
      <c r="AM177" s="29">
        <f>IF(基础状态预期!L190="",0,求节点($C$68:$C$76,E$68:E$76,基础状态预期!L190))</f>
        <v>0</v>
      </c>
      <c r="AN177" s="29">
        <f>IF(基础状态预期!M190="",0,求节点($C$68:$C$76,F$68:F$76,基础状态预期!M190)*求节点(武将升级!$H$52:$H$54,武将升级!$J$52:$J$54,基础状态预期!W190))</f>
        <v>0</v>
      </c>
      <c r="AO177" s="29">
        <f>IF(基础状态预期!N190="",0,求节点($C$68:$C$76,G$68:G$76,基础状态预期!N190)*求节点(武将升级!$H$52:$H$54,武将升级!$J$52:$J$54,基础状态预期!X190))</f>
        <v>0</v>
      </c>
      <c r="AP177" s="29">
        <f>IF(基础状态预期!O190="",0,求节点($C$68:$C$76,H$68:H$76,基础状态预期!O190)*求节点(武将升级!$H$52:$H$54,武将升级!$J$52:$J$54,基础状态预期!Y190))</f>
        <v>1.1399999999999999</v>
      </c>
      <c r="AQ177" s="29">
        <f>MAX(SUMPRODUCT(AL177:AP177,基础状态预期!$F190:$J190)/SUM(基础状态预期!$F190:$J190),AQ176)</f>
        <v>1.1399999999999999</v>
      </c>
      <c r="AR177" s="29">
        <f>IF(基础状态预期!K190="",0,求节点($C$158:$C$166,D$158:D$166,基础状态预期!K190))</f>
        <v>0</v>
      </c>
      <c r="AS177" s="29">
        <f>IF(基础状态预期!L190="",0,求节点($C$158:$C$166,E$158:E$166,基础状态预期!L190))</f>
        <v>0</v>
      </c>
      <c r="AT177" s="29">
        <f>IF(基础状态预期!M190="",0,求节点($C$158:$C$166,F$158:F$166,基础状态预期!M190))</f>
        <v>0</v>
      </c>
      <c r="AU177" s="29">
        <f>IF(基础状态预期!N190="",0,求节点($C$158:$C$166,G$158:G$166,基础状态预期!N190))</f>
        <v>0</v>
      </c>
      <c r="AV177" s="29">
        <f>IF(基础状态预期!O190="",0,求节点($C$158:$C$166,H$158:H$166,基础状态预期!O190))</f>
        <v>0.8</v>
      </c>
      <c r="AW177" s="29">
        <f>MAX(SUMPRODUCT(AR177:AV177,基础状态预期!$F190:$J190)/SUM(基础状态预期!$F190:$J190),AW176)</f>
        <v>0.80000000000000016</v>
      </c>
      <c r="BJ177" s="29">
        <f t="shared" si="65"/>
        <v>153.85863088955028</v>
      </c>
      <c r="BK177" s="75">
        <f>武将数量星级阶位验证!AT180</f>
        <v>241869043.85115728</v>
      </c>
      <c r="BL177" s="75">
        <f>(AD177-AD176)*INDEX('[1]功能-付费相关'!$AT$6:$AT$165,BJ177,1)+BL176</f>
        <v>25960.159102477042</v>
      </c>
    </row>
    <row r="178" spans="13:69" x14ac:dyDescent="0.15">
      <c r="M178" s="72">
        <v>43</v>
      </c>
    </row>
    <row r="179" spans="13:69" x14ac:dyDescent="0.15">
      <c r="M179" s="72">
        <v>44</v>
      </c>
    </row>
    <row r="180" spans="13:69" x14ac:dyDescent="0.15">
      <c r="M180" s="72">
        <v>45</v>
      </c>
    </row>
    <row r="181" spans="13:69" x14ac:dyDescent="0.15">
      <c r="M181" s="72">
        <v>1</v>
      </c>
    </row>
    <row r="182" spans="13:69" x14ac:dyDescent="0.15">
      <c r="M182" s="72">
        <v>2</v>
      </c>
      <c r="N182" s="14" t="s">
        <v>186</v>
      </c>
      <c r="O182" s="161" t="s">
        <v>191</v>
      </c>
      <c r="P182" s="162"/>
      <c r="Q182" s="162"/>
      <c r="R182" s="162"/>
      <c r="S182" s="163"/>
      <c r="T182" s="161" t="s">
        <v>544</v>
      </c>
      <c r="U182" s="162"/>
      <c r="V182" s="162"/>
      <c r="W182" s="162"/>
      <c r="X182" s="162"/>
      <c r="Y182" s="160" t="s">
        <v>411</v>
      </c>
      <c r="Z182" s="160"/>
      <c r="AA182" s="160"/>
      <c r="AB182" s="160"/>
      <c r="AC182" s="160"/>
      <c r="AD182" s="160"/>
      <c r="AF182" s="161" t="s">
        <v>152</v>
      </c>
      <c r="AG182" s="162"/>
      <c r="AH182" s="162"/>
      <c r="AI182" s="162"/>
      <c r="AJ182" s="162"/>
      <c r="AK182" s="163"/>
      <c r="AL182" s="161" t="s">
        <v>197</v>
      </c>
      <c r="AM182" s="162"/>
      <c r="AN182" s="162"/>
      <c r="AO182" s="162"/>
      <c r="AP182" s="162"/>
      <c r="AQ182" s="163"/>
      <c r="AR182" s="161" t="s">
        <v>732</v>
      </c>
      <c r="AS182" s="162"/>
      <c r="AT182" s="162"/>
      <c r="AU182" s="162"/>
      <c r="AV182" s="162"/>
      <c r="AW182" s="163"/>
      <c r="BA182" s="29" t="s">
        <v>107</v>
      </c>
      <c r="BB182" s="14" t="s">
        <v>292</v>
      </c>
      <c r="BC182" s="14"/>
      <c r="BD182" s="160" t="s">
        <v>342</v>
      </c>
      <c r="BE182" s="160"/>
      <c r="BF182" s="160"/>
      <c r="BJ182" s="14" t="s">
        <v>107</v>
      </c>
      <c r="BK182" s="164" t="s">
        <v>307</v>
      </c>
      <c r="BL182" s="164"/>
      <c r="BN182" s="29" t="s">
        <v>107</v>
      </c>
      <c r="BO182" s="164" t="s">
        <v>308</v>
      </c>
      <c r="BP182" s="164"/>
    </row>
    <row r="183" spans="13:69" x14ac:dyDescent="0.15">
      <c r="M183" s="72">
        <v>3</v>
      </c>
      <c r="N183" s="73" t="s">
        <v>478</v>
      </c>
      <c r="O183" s="19" t="s">
        <v>3</v>
      </c>
      <c r="P183" s="19" t="s">
        <v>1</v>
      </c>
      <c r="Q183" s="19" t="s">
        <v>2</v>
      </c>
      <c r="R183" s="19" t="s">
        <v>0</v>
      </c>
      <c r="S183" s="19" t="s">
        <v>545</v>
      </c>
      <c r="T183" s="19" t="s">
        <v>3</v>
      </c>
      <c r="U183" s="19" t="s">
        <v>1</v>
      </c>
      <c r="V183" s="19" t="s">
        <v>2</v>
      </c>
      <c r="W183" s="19" t="s">
        <v>0</v>
      </c>
      <c r="X183" s="19" t="s">
        <v>545</v>
      </c>
      <c r="Y183" s="29" t="s">
        <v>3</v>
      </c>
      <c r="Z183" s="29" t="s">
        <v>1</v>
      </c>
      <c r="AA183" s="29" t="s">
        <v>2</v>
      </c>
      <c r="AB183" s="29" t="s">
        <v>0</v>
      </c>
      <c r="AC183" s="29" t="s">
        <v>545</v>
      </c>
      <c r="AD183" s="29" t="s">
        <v>203</v>
      </c>
      <c r="AF183" s="29" t="s">
        <v>3</v>
      </c>
      <c r="AG183" s="29" t="s">
        <v>1</v>
      </c>
      <c r="AH183" s="29" t="s">
        <v>2</v>
      </c>
      <c r="AI183" s="29" t="s">
        <v>0</v>
      </c>
      <c r="AJ183" s="29" t="s">
        <v>545</v>
      </c>
      <c r="AK183" s="22" t="s">
        <v>206</v>
      </c>
      <c r="AL183" s="29" t="s">
        <v>3</v>
      </c>
      <c r="AM183" s="29" t="s">
        <v>1</v>
      </c>
      <c r="AN183" s="29" t="s">
        <v>2</v>
      </c>
      <c r="AO183" s="29" t="s">
        <v>0</v>
      </c>
      <c r="AP183" s="29" t="s">
        <v>545</v>
      </c>
      <c r="AQ183" s="29" t="s">
        <v>298</v>
      </c>
      <c r="AR183" s="29" t="s">
        <v>3</v>
      </c>
      <c r="AS183" s="29" t="s">
        <v>1</v>
      </c>
      <c r="AT183" s="29" t="s">
        <v>2</v>
      </c>
      <c r="AU183" s="29" t="s">
        <v>0</v>
      </c>
      <c r="AV183" s="29" t="s">
        <v>545</v>
      </c>
      <c r="AW183" s="29" t="s">
        <v>228</v>
      </c>
      <c r="BA183" s="73" t="s">
        <v>478</v>
      </c>
      <c r="BB183" s="29" t="s">
        <v>287</v>
      </c>
      <c r="BC183" s="29" t="s">
        <v>302</v>
      </c>
      <c r="BD183" s="29" t="s">
        <v>287</v>
      </c>
      <c r="BE183" s="29" t="s">
        <v>303</v>
      </c>
      <c r="BF183" s="75" t="s">
        <v>343</v>
      </c>
      <c r="BJ183" s="73" t="s">
        <v>478</v>
      </c>
      <c r="BK183" s="29" t="s">
        <v>304</v>
      </c>
      <c r="BL183" s="29" t="s">
        <v>335</v>
      </c>
      <c r="BN183" s="73" t="s">
        <v>478</v>
      </c>
      <c r="BO183" s="29" t="s">
        <v>304</v>
      </c>
      <c r="BP183" s="29" t="s">
        <v>305</v>
      </c>
      <c r="BQ183" s="29" t="s">
        <v>274</v>
      </c>
    </row>
    <row r="184" spans="13:69" x14ac:dyDescent="0.15">
      <c r="M184" s="72">
        <v>4</v>
      </c>
      <c r="N184" s="29">
        <f>基础状态预期!D197</f>
        <v>10.040470049930473</v>
      </c>
      <c r="O184" s="29">
        <f>IF(基础状态预期!F197="",0,求节点($C$104:$C$112,D$104:D$112,基础状态预期!K197))</f>
        <v>0</v>
      </c>
      <c r="P184" s="29">
        <f>IF(基础状态预期!G197="",0,求节点($C$104:$C$112,E$104:E$112,基础状态预期!L197))</f>
        <v>0</v>
      </c>
      <c r="Q184" s="29">
        <f>IF(基础状态预期!H197="",0,求节点($C$104:$C$112,F$104:F$112,基础状态预期!M197))</f>
        <v>0</v>
      </c>
      <c r="R184" s="29">
        <f>IF(基础状态预期!I197="",0,求节点($C$104:$C$112,G$104:G$112,基础状态预期!N197))</f>
        <v>1</v>
      </c>
      <c r="S184" s="29">
        <f>IF(基础状态预期!J197="",0,求节点($C$104:$C$112,H$104:H$112,基础状态预期!O197))</f>
        <v>0</v>
      </c>
      <c r="T184" s="29">
        <f>IF(基础状态预期!F197="",0,求节点($C$114:$C$122,D$114:D$122,基础状态预期!K197)*基础状态预期!F197+求节点($C$124:$C$132,D$124:D$132,基础状态预期!$O197)*基础状态预期!$J197)</f>
        <v>0</v>
      </c>
      <c r="U184" s="29">
        <f>IF(基础状态预期!G197="",0,求节点($C$114:$C$122,E$114:E$122,基础状态预期!L197)*基础状态预期!G197+求节点($C$124:$C$132,E$124:E$132,基础状态预期!$O197)*基础状态预期!$J197)</f>
        <v>0</v>
      </c>
      <c r="V184" s="29">
        <f>IF(基础状态预期!H197="",0,求节点($C$114:$C$122,F$114:F$122,基础状态预期!M197)*基础状态预期!H197+求节点($C$124:$C$132,F$124:F$132,基础状态预期!$O197)*基础状态预期!$J197)</f>
        <v>0</v>
      </c>
      <c r="W184" s="148">
        <f>IF(基础状态预期!I197="",0,求节点($C$114:$C$122,G$114:G$122,基础状态预期!N197)*基础状态预期!I197)+IF(基础状态预期!O197="",0,求节点($C$124:$C$132,G$124:G$132,基础状态预期!$O197)*基础状态预期!$J197)</f>
        <v>0</v>
      </c>
      <c r="X184" s="29">
        <f>IF(基础状态预期!J197="",0,求节点($C$114:$C$122,H$114:H$122,基础状态预期!O197)*基础状态预期!J197+求节点($C$124:$C$132,H$124:H$132,基础状态预期!$O197)*基础状态预期!$J197)</f>
        <v>0</v>
      </c>
      <c r="Y184" s="14">
        <f>IF(基础状态预期!K197="",0,求节点($C$92:$C$100,D$92:D$100,基础状态预期!K197))</f>
        <v>0</v>
      </c>
      <c r="Z184" s="14">
        <f>IF(基础状态预期!L197="",0,求节点($C$92:$C$100,E$92:E$100,基础状态预期!L197))</f>
        <v>0</v>
      </c>
      <c r="AA184" s="14">
        <f>IF(基础状态预期!M197="",0,求节点($C$92:$C$100,F$92:F$100,基础状态预期!M197))</f>
        <v>0</v>
      </c>
      <c r="AB184" s="14">
        <f>IF(基础状态预期!N197="",0,求节点($C$92:$C$100,G$92:G$100,基础状态预期!N197))</f>
        <v>0</v>
      </c>
      <c r="AC184" s="14">
        <f>IF(基础状态预期!O197="",0,求节点($C$92:$C$100,H$92:H$100,基础状态预期!O197))</f>
        <v>0</v>
      </c>
      <c r="AD184" s="29">
        <f>MAX(SUMPRODUCT(Y184:AC184,基础状态预期!F197:J197),AD183)</f>
        <v>0</v>
      </c>
      <c r="AF184" s="29" t="str">
        <f>IF(基础状态预期!K197="","",基础状态预期!K197*D$59+D$58)</f>
        <v/>
      </c>
      <c r="AG184" s="29" t="str">
        <f>IF(基础状态预期!L197="","",基础状态预期!L197*E$59+E$58)</f>
        <v/>
      </c>
      <c r="AH184" s="29" t="str">
        <f>IF(基础状态预期!M197="","",基础状态预期!M197*F$59+F$58)</f>
        <v/>
      </c>
      <c r="AI184" s="29">
        <f>IF(基础状态预期!N197="","",基础状态预期!N197*G$59+G$58)</f>
        <v>85</v>
      </c>
      <c r="AJ184" s="29" t="str">
        <f>IF(基础状态预期!O197="","",基础状态预期!O197*H$59+H$58)</f>
        <v/>
      </c>
      <c r="AK184" s="29">
        <f>MAX(SUMPRODUCT(AF184:AJ184,基础状态预期!$F197:$J197)/SUM(基础状态预期!$F197:$J197),AK183)</f>
        <v>85</v>
      </c>
      <c r="AL184" s="29">
        <f>IF(基础状态预期!K197="",0,求节点($C$68:$C$76,D$68:D$76,基础状态预期!K197))</f>
        <v>0</v>
      </c>
      <c r="AM184" s="29">
        <f>IF(基础状态预期!L197="",0,求节点($C$68:$C$76,E$68:E$76,基础状态预期!L197))</f>
        <v>0</v>
      </c>
      <c r="AN184" s="29">
        <f>IF(基础状态预期!M197="",0,求节点($C$68:$C$76,F$68:F$76,基础状态预期!M197)*求节点(武将升级!$H$52:$H$54,武将升级!$J$52:$J$54,基础状态预期!W197))</f>
        <v>0</v>
      </c>
      <c r="AO184" s="29">
        <f>IF(基础状态预期!N197="",0,求节点($C$68:$C$76,G$68:G$76,基础状态预期!N197)*求节点(武将升级!$H$52:$H$54,武将升级!$J$52:$J$54,基础状态预期!X197))</f>
        <v>0.18007284608987484</v>
      </c>
      <c r="AP184" s="29">
        <f>IF(基础状态预期!O197="",0,求节点($C$68:$C$76,H$68:H$76,基础状态预期!O197)*求节点(武将升级!$H$52:$H$54,武将升级!$J$52:$J$54,基础状态预期!Y197))</f>
        <v>0</v>
      </c>
      <c r="AQ184" s="29">
        <f>MAX(SUMPRODUCT(AL184:AP184,基础状态预期!$F197:$J197)/SUM(基础状态预期!$F197:$J197),AQ183)</f>
        <v>0.18007284608987484</v>
      </c>
      <c r="AR184" s="29">
        <f>IF(基础状态预期!K197="",0,求节点($C$158:$C$166,D$158:D$166,基础状态预期!K197))</f>
        <v>0</v>
      </c>
      <c r="AS184" s="29">
        <f>IF(基础状态预期!L197="",0,求节点($C$158:$C$166,E$158:E$166,基础状态预期!L197))</f>
        <v>0</v>
      </c>
      <c r="AT184" s="29">
        <f>IF(基础状态预期!M197="",0,求节点($C$158:$C$166,F$158:F$166,基础状态预期!M197))</f>
        <v>0</v>
      </c>
      <c r="AU184" s="29">
        <f>IF(基础状态预期!N197="",0,求节点($C$158:$C$166,G$158:G$166,基础状态预期!N197))</f>
        <v>0</v>
      </c>
      <c r="AV184" s="29">
        <f>IF(基础状态预期!O197="",0,求节点($C$158:$C$166,H$158:H$166,基础状态预期!O197))</f>
        <v>0</v>
      </c>
      <c r="AW184" s="29">
        <f>MAX(SUMPRODUCT(AR184:AV184,基础状态预期!$F197:$J197)/SUM(基础状态预期!$F197:$J197),AW183)</f>
        <v>0</v>
      </c>
      <c r="BA184" s="29">
        <v>10</v>
      </c>
      <c r="BB184" s="29">
        <f t="shared" ref="BB184:BB199" si="73">求节点($N$184:$N$222,$AK$184:$AK$222,$BA184)</f>
        <v>84.657391115457386</v>
      </c>
      <c r="BC184" s="29">
        <f t="shared" ref="BC184:BC199" si="74">求节点($N$4:$N$42,$AQ$184:$AQ$222,$BA184)</f>
        <v>0.18007284608987484</v>
      </c>
      <c r="BD184" s="41">
        <f>BB184*(INDEX([2]超r将兵属性验证!$V$7:$V$166,$BA184,1)+INDEX([2]超r将兵属性验证!$AP$7:$AP$166,$BA184,1))</f>
        <v>34886086.053011514</v>
      </c>
      <c r="BE184" s="41" t="e">
        <f>BC184*(INDEX([2]超r将兵属性验证!$AC$7:$AC$166,$BA184,1)*[2]战法技能效用!$AB$4+INDEX([2]超r将兵属性验证!$AX$7:$AX$166,$BA184,1)*[2]战法技能效用!$AC$4)</f>
        <v>#VALUE!</v>
      </c>
      <c r="BF184" s="75" t="e">
        <f t="shared" ref="BF184:BF185" si="75">SUM(BD184:BE184)</f>
        <v>#VALUE!</v>
      </c>
      <c r="BJ184" s="29">
        <f>$N184</f>
        <v>10.040470049930473</v>
      </c>
      <c r="BK184" s="75">
        <f>武将数量星级阶位验证!AT187</f>
        <v>37600.723362570505</v>
      </c>
      <c r="BL184" s="76">
        <f>AD184*INDEX('[1]功能-付费相关'!$AU$6:$AU$165,BJ184,1)</f>
        <v>0</v>
      </c>
      <c r="BN184" s="29">
        <v>10</v>
      </c>
      <c r="BO184" s="29">
        <f t="shared" ref="BO184:BO193" si="76">求节点($BJ$184:$BJ$222,BK$184:BK$222,$BN184)</f>
        <v>37449.166399167611</v>
      </c>
      <c r="BP184" s="29">
        <f t="shared" ref="BP184:BP193" si="77">求节点($BJ$184:$BJ$222,BL$184:BL$222,$BN184)</f>
        <v>0</v>
      </c>
      <c r="BQ184" s="29">
        <f>SUM(BO184:BP184)</f>
        <v>37449.166399167611</v>
      </c>
    </row>
    <row r="185" spans="13:69" x14ac:dyDescent="0.15">
      <c r="M185" s="72">
        <v>5</v>
      </c>
      <c r="N185" s="29">
        <f>基础状态预期!D198</f>
        <v>19.288856680060892</v>
      </c>
      <c r="O185" s="29">
        <f>IF(基础状态预期!F198="",0,求节点($C$104:$C$112,D$104:D$112,基础状态预期!K198))</f>
        <v>0</v>
      </c>
      <c r="P185" s="29">
        <f>IF(基础状态预期!G198="",0,求节点($C$104:$C$112,E$104:E$112,基础状态预期!L198))</f>
        <v>0</v>
      </c>
      <c r="Q185" s="29">
        <f>IF(基础状态预期!H198="",0,求节点($C$104:$C$112,F$104:F$112,基础状态预期!M198))</f>
        <v>0</v>
      </c>
      <c r="R185" s="29">
        <f>IF(基础状态预期!I198="",0,求节点($C$104:$C$112,G$104:G$112,基础状态预期!N198))</f>
        <v>1.5060634612251893</v>
      </c>
      <c r="S185" s="29">
        <f>IF(基础状态预期!J198="",0,求节点($C$104:$C$112,H$104:H$112,基础状态预期!O198))</f>
        <v>0</v>
      </c>
      <c r="T185" s="29">
        <f>IF(基础状态预期!F198="",0,求节点($C$114:$C$122,D$114:D$122,基础状态预期!K198)*基础状态预期!F198+求节点($C$124:$C$132,D$124:D$132,基础状态预期!$O198)*基础状态预期!$J198)</f>
        <v>0</v>
      </c>
      <c r="U185" s="29">
        <f>IF(基础状态预期!G198="",0,求节点($C$114:$C$122,E$114:E$122,基础状态预期!L198)*基础状态预期!G198+求节点($C$124:$C$132,E$124:E$132,基础状态预期!$O198)*基础状态预期!$J198)</f>
        <v>0</v>
      </c>
      <c r="V185" s="29">
        <f>IF(基础状态预期!H198="",0,求节点($C$114:$C$122,F$114:F$122,基础状态预期!M198)*基础状态预期!H198+求节点($C$124:$C$132,F$124:F$132,基础状态预期!$O198)*基础状态预期!$J198)</f>
        <v>0</v>
      </c>
      <c r="W185" s="148">
        <f>IF(基础状态预期!I198="",0,求节点($C$114:$C$122,G$114:G$122,基础状态预期!N198)*基础状态预期!I198)+IF(基础状态预期!O198="",0,求节点($C$124:$C$132,G$124:G$132,基础状态预期!$O198)*基础状态预期!$J198)</f>
        <v>0</v>
      </c>
      <c r="X185" s="29">
        <f>IF(基础状态预期!J198="",0,求节点($C$114:$C$122,H$114:H$122,基础状态预期!O198)*基础状态预期!J198+求节点($C$124:$C$132,H$124:H$132,基础状态预期!$O198)*基础状态预期!$J198)</f>
        <v>0</v>
      </c>
      <c r="Y185" s="14">
        <f>IF(基础状态预期!K198="",0,求节点($C$92:$C$100,D$92:D$100,基础状态预期!K198))</f>
        <v>0</v>
      </c>
      <c r="Z185" s="14">
        <f>IF(基础状态预期!L198="",0,求节点($C$92:$C$100,E$92:E$100,基础状态预期!L198))</f>
        <v>0</v>
      </c>
      <c r="AA185" s="14">
        <f>IF(基础状态预期!M198="",0,求节点($C$92:$C$100,F$92:F$100,基础状态预期!M198))</f>
        <v>0</v>
      </c>
      <c r="AB185" s="14">
        <f>IF(基础状态预期!N198="",0,求节点($C$92:$C$100,G$92:G$100,基础状态预期!N198))</f>
        <v>5060.6346122518935</v>
      </c>
      <c r="AC185" s="14">
        <f>IF(基础状态预期!O198="",0,求节点($C$92:$C$100,H$92:H$100,基础状态预期!O198))</f>
        <v>0</v>
      </c>
      <c r="AD185" s="29">
        <f>MAX(SUMPRODUCT(Y185:AC185,基础状态预期!F198:J198),AD184)</f>
        <v>30363.807673511361</v>
      </c>
      <c r="AF185" s="29" t="str">
        <f>IF(基础状态预期!K198="","",基础状态预期!K198*D$59+D$58)</f>
        <v/>
      </c>
      <c r="AG185" s="29" t="str">
        <f>IF(基础状态预期!L198="","",基础状态预期!L198*E$59+E$58)</f>
        <v/>
      </c>
      <c r="AH185" s="29" t="str">
        <f>IF(基础状态预期!M198="","",基础状态预期!M198*F$59+F$58)</f>
        <v/>
      </c>
      <c r="AI185" s="29">
        <f>IF(基础状态预期!N198="","",基础状态预期!N198*G$59+G$58)</f>
        <v>87.530317306125951</v>
      </c>
      <c r="AJ185" s="29" t="str">
        <f>IF(基础状态预期!O198="","",基础状态预期!O198*H$59+H$58)</f>
        <v/>
      </c>
      <c r="AK185" s="29">
        <f>MAX(SUMPRODUCT(AF185:AJ185,基础状态预期!$F198:$J198)/SUM(基础状态预期!$F198:$J198),AK184)</f>
        <v>87.530317306125951</v>
      </c>
      <c r="AL185" s="29">
        <f>IF(基础状态预期!K198="",0,求节点($C$68:$C$76,D$68:D$76,基础状态预期!K198))</f>
        <v>0</v>
      </c>
      <c r="AM185" s="29">
        <f>IF(基础状态预期!L198="",0,求节点($C$68:$C$76,E$68:E$76,基础状态预期!L198))</f>
        <v>0</v>
      </c>
      <c r="AN185" s="29">
        <f>IF(基础状态预期!M198="",0,求节点($C$68:$C$76,F$68:F$76,基础状态预期!M198)*求节点(武将升级!$H$52:$H$54,武将升级!$J$52:$J$54,基础状态预期!W198))</f>
        <v>0</v>
      </c>
      <c r="AO185" s="29">
        <f>IF(基础状态预期!N198="",0,求节点($C$68:$C$76,G$68:G$76,基础状态预期!N198)*求节点(武将升级!$H$52:$H$54,武将升级!$J$52:$J$54,基础状态预期!X198))</f>
        <v>0.22990420027502281</v>
      </c>
      <c r="AP185" s="29">
        <f>IF(基础状态预期!O198="",0,求节点($C$68:$C$76,H$68:H$76,基础状态预期!O198)*求节点(武将升级!$H$52:$H$54,武将升级!$J$52:$J$54,基础状态预期!Y198))</f>
        <v>0</v>
      </c>
      <c r="AQ185" s="29">
        <f>MAX(SUMPRODUCT(AL185:AP185,基础状态预期!$F198:$J198)/SUM(基础状态预期!$F198:$J198),AQ184)</f>
        <v>0.22990420027502281</v>
      </c>
      <c r="AR185" s="29">
        <f>IF(基础状态预期!K198="",0,求节点($C$158:$C$166,D$158:D$166,基础状态预期!K198))</f>
        <v>0</v>
      </c>
      <c r="AS185" s="29">
        <f>IF(基础状态预期!L198="",0,求节点($C$158:$C$166,E$158:E$166,基础状态预期!L198))</f>
        <v>0</v>
      </c>
      <c r="AT185" s="29">
        <f>IF(基础状态预期!M198="",0,求节点($C$158:$C$166,F$158:F$166,基础状态预期!M198))</f>
        <v>0</v>
      </c>
      <c r="AU185" s="29">
        <f>IF(基础状态预期!N198="",0,求节点($C$158:$C$166,G$158:G$166,基础状态预期!N198))</f>
        <v>3.5424442285763254E-2</v>
      </c>
      <c r="AV185" s="29">
        <f>IF(基础状态预期!O198="",0,求节点($C$158:$C$166,H$158:H$166,基础状态预期!O198))</f>
        <v>0</v>
      </c>
      <c r="AW185" s="29">
        <f>MAX(SUMPRODUCT(AR185:AV185,基础状态预期!$F198:$J198)/SUM(基础状态预期!$F198:$J198),AW184)</f>
        <v>3.5424442285763254E-2</v>
      </c>
      <c r="BA185" s="29">
        <v>20</v>
      </c>
      <c r="BB185" s="29">
        <f t="shared" si="73"/>
        <v>87.93448540925958</v>
      </c>
      <c r="BC185" s="29">
        <f t="shared" si="74"/>
        <v>0.22990420027502281</v>
      </c>
      <c r="BD185" s="29">
        <f>(BB185-BB184)*(INDEX([2]超r将兵属性验证!$V$7:$V$166,$BA185,1)+INDEX([2]超r将兵属性验证!$AP$7:$AP$166,$BA185,1))+BD184</f>
        <v>40044330.836590901</v>
      </c>
      <c r="BE185" s="29" t="e">
        <f>(BC185-BC184)*(INDEX([2]超r将兵属性验证!$AC$7:$AC$166,$BA185,1)*[2]战法技能效用!$AB$4+INDEX([2]超r将兵属性验证!$AX$7:$AX$166,$BA185,1)*[2]战法技能效用!$AC$4)+BE184</f>
        <v>#VALUE!</v>
      </c>
      <c r="BF185" s="75" t="e">
        <f t="shared" si="75"/>
        <v>#VALUE!</v>
      </c>
      <c r="BJ185" s="29">
        <f t="shared" ref="BJ185:BJ222" si="78">$N185</f>
        <v>19.288856680060892</v>
      </c>
      <c r="BK185" s="75">
        <f>武将数量星级阶位验证!AT188</f>
        <v>103237.07689801516</v>
      </c>
      <c r="BL185" s="75">
        <f>(AD185-AD184)*INDEX('[1]功能-付费相关'!$U$6:$AU$165,BJ185,1)+BL184</f>
        <v>18.8695672046791</v>
      </c>
      <c r="BN185" s="29">
        <v>20</v>
      </c>
      <c r="BO185" s="29">
        <f t="shared" si="76"/>
        <v>108142.39478608462</v>
      </c>
      <c r="BP185" s="29">
        <f t="shared" si="77"/>
        <v>21.201087396473806</v>
      </c>
      <c r="BQ185" s="29">
        <f t="shared" ref="BQ185:BQ193" si="79">SUM(BO185:BP185)</f>
        <v>108163.5958734811</v>
      </c>
    </row>
    <row r="186" spans="13:69" x14ac:dyDescent="0.15">
      <c r="M186" s="72">
        <v>6</v>
      </c>
      <c r="N186" s="29">
        <f>基础状态预期!D199</f>
        <v>27.144641112884834</v>
      </c>
      <c r="O186" s="29">
        <f>IF(基础状态预期!F199="",0,求节点($C$104:$C$112,D$104:D$112,基础状态预期!K199))</f>
        <v>0</v>
      </c>
      <c r="P186" s="29">
        <f>IF(基础状态预期!G199="",0,求节点($C$104:$C$112,E$104:E$112,基础状态预期!L199))</f>
        <v>0</v>
      </c>
      <c r="Q186" s="29">
        <f>IF(基础状态预期!H199="",0,求节点($C$104:$C$112,F$104:F$112,基础状态预期!M199))</f>
        <v>0</v>
      </c>
      <c r="R186" s="29">
        <f>IF(基础状态预期!I199="",0,求节点($C$104:$C$112,G$104:G$112,基础状态预期!N199))</f>
        <v>2.3990079363594083</v>
      </c>
      <c r="S186" s="29">
        <f>IF(基础状态预期!J199="",0,求节点($C$104:$C$112,H$104:H$112,基础状态预期!O199))</f>
        <v>0</v>
      </c>
      <c r="T186" s="29">
        <f>IF(基础状态预期!F199="",0,求节点($C$114:$C$122,D$114:D$122,基础状态预期!K199)*基础状态预期!F199+求节点($C$124:$C$132,D$124:D$132,基础状态预期!$O199)*基础状态预期!$J199)</f>
        <v>0</v>
      </c>
      <c r="U186" s="29">
        <f>IF(基础状态预期!G199="",0,求节点($C$114:$C$122,E$114:E$122,基础状态预期!L199)*基础状态预期!G199+求节点($C$124:$C$132,E$124:E$132,基础状态预期!$O199)*基础状态预期!$J199)</f>
        <v>0</v>
      </c>
      <c r="V186" s="29">
        <f>IF(基础状态预期!H199="",0,求节点($C$114:$C$122,F$114:F$122,基础状态预期!M199)*基础状态预期!H199+求节点($C$124:$C$132,F$124:F$132,基础状态预期!$O199)*基础状态预期!$J199)</f>
        <v>0</v>
      </c>
      <c r="W186" s="148">
        <f>IF(基础状态预期!I199="",0,求节点($C$114:$C$122,G$114:G$122,基础状态预期!N199)*基础状态预期!I199)+IF(基础状态预期!O199="",0,求节点($C$124:$C$132,G$124:G$132,基础状态预期!$O199)*基础状态预期!$J199)</f>
        <v>0</v>
      </c>
      <c r="X186" s="29">
        <f>IF(基础状态预期!J199="",0,求节点($C$114:$C$122,H$114:H$122,基础状态预期!O199)*基础状态预期!J199+求节点($C$124:$C$132,H$124:H$132,基础状态预期!$O199)*基础状态预期!$J199)</f>
        <v>0</v>
      </c>
      <c r="Y186" s="14">
        <f>IF(基础状态预期!K199="",0,求节点($C$92:$C$100,D$92:D$100,基础状态预期!K199))</f>
        <v>0</v>
      </c>
      <c r="Z186" s="14">
        <f>IF(基础状态预期!L199="",0,求节点($C$92:$C$100,E$92:E$100,基础状态预期!L199))</f>
        <v>0</v>
      </c>
      <c r="AA186" s="14">
        <f>IF(基础状态预期!M199="",0,求节点($C$92:$C$100,F$92:F$100,基础状态预期!M199))</f>
        <v>0</v>
      </c>
      <c r="AB186" s="14">
        <f>IF(基础状态预期!N199="",0,求节点($C$92:$C$100,G$92:G$100,基础状态预期!N199))</f>
        <v>17980.158727188165</v>
      </c>
      <c r="AC186" s="14">
        <f>IF(基础状态预期!O199="",0,求节点($C$92:$C$100,H$92:H$100,基础状态预期!O199))</f>
        <v>0</v>
      </c>
      <c r="AD186" s="29">
        <f>MAX(SUMPRODUCT(Y186:AC186,基础状态预期!F199:J199),AD185)</f>
        <v>107880.95236312899</v>
      </c>
      <c r="AF186" s="29" t="str">
        <f>IF(基础状态预期!K199="","",基础状态预期!K199*D$59+D$58)</f>
        <v/>
      </c>
      <c r="AG186" s="29" t="str">
        <f>IF(基础状态预期!L199="","",基础状态预期!L199*E$59+E$58)</f>
        <v/>
      </c>
      <c r="AH186" s="29" t="str">
        <f>IF(基础状态预期!M199="","",基础状态预期!M199*F$59+F$58)</f>
        <v/>
      </c>
      <c r="AI186" s="29">
        <f>IF(基础状态预期!N199="","",基础状态预期!N199*G$59+G$58)</f>
        <v>91.995039681797039</v>
      </c>
      <c r="AJ186" s="29" t="str">
        <f>IF(基础状态预期!O199="","",基础状态预期!O199*H$59+H$58)</f>
        <v/>
      </c>
      <c r="AK186" s="29">
        <f>MAX(SUMPRODUCT(AF186:AJ186,基础状态预期!$F199:$J199)/SUM(基础状态预期!$F199:$J199),AK185)</f>
        <v>91.995039681797039</v>
      </c>
      <c r="AL186" s="29">
        <f>IF(基础状态预期!K199="",0,求节点($C$68:$C$76,D$68:D$76,基础状态预期!K199))</f>
        <v>0</v>
      </c>
      <c r="AM186" s="29">
        <f>IF(基础状态预期!L199="",0,求节点($C$68:$C$76,E$68:E$76,基础状态预期!L199))</f>
        <v>0</v>
      </c>
      <c r="AN186" s="29">
        <f>IF(基础状态预期!M199="",0,求节点($C$68:$C$76,F$68:F$76,基础状态预期!M199)*求节点(武将升级!$H$52:$H$54,武将升级!$J$52:$J$54,基础状态预期!W199))</f>
        <v>0</v>
      </c>
      <c r="AO186" s="29">
        <f>IF(基础状态预期!N199="",0,求节点($C$68:$C$76,G$68:G$76,基础状态预期!N199)*求节点(武将升级!$H$52:$H$54,武将升级!$J$52:$J$54,基础状态预期!X199))</f>
        <v>0.30919212357453302</v>
      </c>
      <c r="AP186" s="29">
        <f>IF(基础状态预期!O199="",0,求节点($C$68:$C$76,H$68:H$76,基础状态预期!O199)*求节点(武将升级!$H$52:$H$54,武将升级!$J$52:$J$54,基础状态预期!Y199))</f>
        <v>0</v>
      </c>
      <c r="AQ186" s="29">
        <f>MAX(SUMPRODUCT(AL186:AP186,基础状态预期!$F199:$J199)/SUM(基础状态预期!$F199:$J199),AQ185)</f>
        <v>0.30919212357453302</v>
      </c>
      <c r="AR186" s="29">
        <f>IF(基础状态预期!K199="",0,求节点($C$158:$C$166,D$158:D$166,基础状态预期!K199))</f>
        <v>0</v>
      </c>
      <c r="AS186" s="29">
        <f>IF(基础状态预期!L199="",0,求节点($C$158:$C$166,E$158:E$166,基础状态预期!L199))</f>
        <v>0</v>
      </c>
      <c r="AT186" s="29">
        <f>IF(基础状态预期!M199="",0,求节点($C$158:$C$166,F$158:F$166,基础状态预期!M199))</f>
        <v>0</v>
      </c>
      <c r="AU186" s="29">
        <f>IF(基础状态预期!N199="",0,求节点($C$158:$C$166,G$158:G$166,基础状态预期!N199))</f>
        <v>9.7930555545158587E-2</v>
      </c>
      <c r="AV186" s="29">
        <f>IF(基础状态预期!O199="",0,求节点($C$158:$C$166,H$158:H$166,基础状态预期!O199))</f>
        <v>0</v>
      </c>
      <c r="AW186" s="29">
        <f>MAX(SUMPRODUCT(AR186:AV186,基础状态预期!$F199:$J199)/SUM(基础状态预期!$F199:$J199),AW185)</f>
        <v>9.7930555545158574E-2</v>
      </c>
      <c r="BA186" s="29">
        <v>30</v>
      </c>
      <c r="BB186" s="29">
        <f t="shared" si="73"/>
        <v>94.237786822540556</v>
      </c>
      <c r="BC186" s="29">
        <f t="shared" si="74"/>
        <v>0.33236909573254725</v>
      </c>
      <c r="BD186" s="29">
        <f>(BB186-BB185)*(INDEX([2]超r将兵属性验证!$V$7:$V$166,$BA186,1)+INDEX([2]超r将兵属性验证!$AP$7:$AP$166,$BA186,1))+BD185</f>
        <v>70532525.472046673</v>
      </c>
      <c r="BE186" s="29" t="e">
        <f>(BC186-BC185)*(INDEX([2]超r将兵属性验证!$AC$7:$AC$166,$BA186,1)*[2]战法技能效用!$AB$4+INDEX([2]超r将兵属性验证!$AX$7:$AX$166,$BA186,1)*[2]战法技能效用!$AC$4)+BE185</f>
        <v>#VALUE!</v>
      </c>
      <c r="BF186" s="75" t="e">
        <f t="shared" ref="BF186:BF199" si="80">SUM(BD186:BE186)</f>
        <v>#VALUE!</v>
      </c>
      <c r="BJ186" s="29">
        <f t="shared" si="78"/>
        <v>27.144641112884834</v>
      </c>
      <c r="BK186" s="75">
        <f>武将数量星级阶位验证!AT189</f>
        <v>157424.63490875266</v>
      </c>
      <c r="BL186" s="75">
        <f>(AD186-AD185)*INDEX('[1]功能-付费相关'!$U$6:$AU$165,BJ186,1)+BL185</f>
        <v>44.62516317805315</v>
      </c>
      <c r="BN186" s="29">
        <v>30</v>
      </c>
      <c r="BO186" s="29">
        <f t="shared" si="76"/>
        <v>182810.41349951216</v>
      </c>
      <c r="BP186" s="29">
        <f t="shared" si="77"/>
        <v>62.144419041549284</v>
      </c>
      <c r="BQ186" s="29">
        <f t="shared" si="79"/>
        <v>182872.55791855371</v>
      </c>
    </row>
    <row r="187" spans="13:69" x14ac:dyDescent="0.15">
      <c r="M187" s="72">
        <v>7</v>
      </c>
      <c r="N187" s="29">
        <f>基础状态预期!D200</f>
        <v>33.399598377161809</v>
      </c>
      <c r="O187" s="29">
        <f>IF(基础状态预期!F200="",0,求节点($C$104:$C$112,D$104:D$112,基础状态预期!K200))</f>
        <v>0</v>
      </c>
      <c r="P187" s="29">
        <f>IF(基础状态预期!G200="",0,求节点($C$104:$C$112,E$104:E$112,基础状态预期!L200))</f>
        <v>0</v>
      </c>
      <c r="Q187" s="29">
        <f>IF(基础状态预期!H200="",0,求节点($C$104:$C$112,F$104:F$112,基础状态预期!M200))</f>
        <v>0</v>
      </c>
      <c r="R187" s="29">
        <f>IF(基础状态预期!I200="",0,求节点($C$104:$C$112,G$104:G$112,基础状态预期!N200))</f>
        <v>3.3816015839203399</v>
      </c>
      <c r="S187" s="29">
        <f>IF(基础状态预期!J200="",0,求节点($C$104:$C$112,H$104:H$112,基础状态预期!O200))</f>
        <v>0</v>
      </c>
      <c r="T187" s="29">
        <f>IF(基础状态预期!F200="",0,求节点($C$114:$C$122,D$114:D$122,基础状态预期!K200)*基础状态预期!F200+求节点($C$124:$C$132,D$124:D$132,基础状态预期!$O200)*基础状态预期!$J200)</f>
        <v>0</v>
      </c>
      <c r="U187" s="29">
        <f>IF(基础状态预期!G200="",0,求节点($C$114:$C$122,E$114:E$122,基础状态预期!L200)*基础状态预期!G200+求节点($C$124:$C$132,E$124:E$132,基础状态预期!$O200)*基础状态预期!$J200)</f>
        <v>0</v>
      </c>
      <c r="V187" s="29">
        <f>IF(基础状态预期!H200="",0,求节点($C$114:$C$122,F$114:F$122,基础状态预期!M200)*基础状态预期!H200+求节点($C$124:$C$132,F$124:F$132,基础状态预期!$O200)*基础状态预期!$J200)</f>
        <v>0</v>
      </c>
      <c r="W187" s="148">
        <f>IF(基础状态预期!I200="",0,求节点($C$114:$C$122,G$114:G$122,基础状态预期!N200)*基础状态预期!I200)+IF(基础状态预期!O200="",0,求节点($C$124:$C$132,G$124:G$132,基础状态预期!$O200)*基础状态预期!$J200)</f>
        <v>2.2896095035220396</v>
      </c>
      <c r="X187" s="29">
        <f>IF(基础状态预期!J200="",0,求节点($C$114:$C$122,H$114:H$122,基础状态预期!O200)*基础状态预期!J200+求节点($C$124:$C$132,H$124:H$132,基础状态预期!$O200)*基础状态预期!$J200)</f>
        <v>0</v>
      </c>
      <c r="Y187" s="14">
        <f>IF(基础状态预期!K200="",0,求节点($C$92:$C$100,D$92:D$100,基础状态预期!K200))</f>
        <v>0</v>
      </c>
      <c r="Z187" s="14">
        <f>IF(基础状态预期!L200="",0,求节点($C$92:$C$100,E$92:E$100,基础状态预期!L200))</f>
        <v>0</v>
      </c>
      <c r="AA187" s="14">
        <f>IF(基础状态预期!M200="",0,求节点($C$92:$C$100,F$92:F$100,基础状态预期!M200))</f>
        <v>0</v>
      </c>
      <c r="AB187" s="14">
        <f>IF(基础状态预期!N200="",0,求节点($C$92:$C$100,G$92:G$100,基础状态预期!N200))</f>
        <v>45264.063356813596</v>
      </c>
      <c r="AC187" s="14">
        <f>IF(基础状态预期!O200="",0,求节点($C$92:$C$100,H$92:H$100,基础状态预期!O200))</f>
        <v>0</v>
      </c>
      <c r="AD187" s="29">
        <f>MAX(SUMPRODUCT(Y187:AC187,基础状态预期!F200:J200),AD186)</f>
        <v>271584.38014088158</v>
      </c>
      <c r="AF187" s="29" t="str">
        <f>IF(基础状态预期!K200="","",基础状态预期!K200*D$59+D$58)</f>
        <v/>
      </c>
      <c r="AG187" s="29" t="str">
        <f>IF(基础状态预期!L200="","",基础状态预期!L200*E$59+E$58)</f>
        <v/>
      </c>
      <c r="AH187" s="29" t="str">
        <f>IF(基础状态预期!M200="","",基础状态预期!M200*F$59+F$58)</f>
        <v/>
      </c>
      <c r="AI187" s="29">
        <f>IF(基础状态预期!N200="","",基础状态预期!N200*G$59+G$58)</f>
        <v>96.908007919601701</v>
      </c>
      <c r="AJ187" s="29" t="str">
        <f>IF(基础状态预期!O200="","",基础状态预期!O200*H$59+H$58)</f>
        <v/>
      </c>
      <c r="AK187" s="29">
        <f>MAX(SUMPRODUCT(AF187:AJ187,基础状态预期!$F200:$J200)/SUM(基础状态预期!$F200:$J200),AK186)</f>
        <v>96.908007919601701</v>
      </c>
      <c r="AL187" s="29">
        <f>IF(基础状态预期!K200="",0,求节点($C$68:$C$76,D$68:D$76,基础状态预期!K200))</f>
        <v>0</v>
      </c>
      <c r="AM187" s="29">
        <f>IF(基础状态预期!L200="",0,求节点($C$68:$C$76,E$68:E$76,基础状态预期!L200))</f>
        <v>0</v>
      </c>
      <c r="AN187" s="29">
        <f>IF(基础状态预期!M200="",0,求节点($C$68:$C$76,F$68:F$76,基础状态预期!M200)*求节点(武将升级!$H$52:$H$54,武将升级!$J$52:$J$54,基础状态预期!W200))</f>
        <v>0</v>
      </c>
      <c r="AO187" s="29">
        <f>IF(基础状态预期!N200="",0,求节点($C$68:$C$76,G$68:G$76,基础状态预期!N200)*求节点(武将升级!$H$52:$H$54,武将升级!$J$52:$J$54,基础状态预期!X200))</f>
        <v>0.38747531404226454</v>
      </c>
      <c r="AP187" s="29">
        <f>IF(基础状态预期!O200="",0,求节点($C$68:$C$76,H$68:H$76,基础状态预期!O200)*求节点(武将升级!$H$52:$H$54,武将升级!$J$52:$J$54,基础状态预期!Y200))</f>
        <v>0</v>
      </c>
      <c r="AQ187" s="29">
        <f>MAX(SUMPRODUCT(AL187:AP187,基础状态预期!$F200:$J200)/SUM(基础状态预期!$F200:$J200),AQ186)</f>
        <v>0.3874753140422646</v>
      </c>
      <c r="AR187" s="29">
        <f>IF(基础状态预期!K200="",0,求节点($C$158:$C$166,D$158:D$166,基础状态预期!K200))</f>
        <v>0</v>
      </c>
      <c r="AS187" s="29">
        <f>IF(基础状态预期!L200="",0,求节点($C$158:$C$166,E$158:E$166,基础状态预期!L200))</f>
        <v>0</v>
      </c>
      <c r="AT187" s="29">
        <f>IF(基础状态预期!M200="",0,求节点($C$158:$C$166,F$158:F$166,基础状态预期!M200))</f>
        <v>0</v>
      </c>
      <c r="AU187" s="29">
        <f>IF(基础状态预期!N200="",0,求节点($C$158:$C$166,G$158:G$166,基础状态预期!N200))</f>
        <v>0.16671211087442381</v>
      </c>
      <c r="AV187" s="29">
        <f>IF(基础状态预期!O200="",0,求节点($C$158:$C$166,H$158:H$166,基础状态预期!O200))</f>
        <v>0</v>
      </c>
      <c r="AW187" s="29">
        <f>MAX(SUMPRODUCT(AR187:AV187,基础状态预期!$F200:$J200)/SUM(基础状态预期!$F200:$J200),AW186)</f>
        <v>0.16671211087442381</v>
      </c>
      <c r="BA187" s="29">
        <v>40</v>
      </c>
      <c r="BB187" s="29">
        <f t="shared" si="73"/>
        <v>102.31461886940073</v>
      </c>
      <c r="BC187" s="29">
        <f t="shared" si="74"/>
        <v>0.45258724466977868</v>
      </c>
      <c r="BD187" s="29">
        <f>(BB187-BB186)*(INDEX([2]超r将兵属性验证!$V$7:$V$166,$BA187,1)+INDEX([2]超r将兵属性验证!$AP$7:$AP$166,$BA187,1))+BD186</f>
        <v>186893587.78311557</v>
      </c>
      <c r="BE187" s="29" t="e">
        <f>(BC187-BC186)*(INDEX([2]超r将兵属性验证!$AC$7:$AC$166,$BA187,1)*[2]战法技能效用!$AB$4+INDEX([2]超r将兵属性验证!$AX$7:$AX$166,$BA187,1)*[2]战法技能效用!$AC$4)+BE186</f>
        <v>#VALUE!</v>
      </c>
      <c r="BF187" s="75" t="e">
        <f t="shared" si="80"/>
        <v>#VALUE!</v>
      </c>
      <c r="BJ187" s="29">
        <f t="shared" si="78"/>
        <v>33.399598377161809</v>
      </c>
      <c r="BK187" s="75">
        <f>武将数量星级阶位验证!AT190</f>
        <v>213034.79338029388</v>
      </c>
      <c r="BL187" s="75">
        <f>(AD187-AD186)*INDEX('[1]功能-付费相关'!$U$6:$AU$165,BJ187,1)+BL186</f>
        <v>83.002894685848133</v>
      </c>
      <c r="BN187" s="29">
        <v>40</v>
      </c>
      <c r="BO187" s="29">
        <f t="shared" si="76"/>
        <v>299107.56756990205</v>
      </c>
      <c r="BP187" s="29">
        <f t="shared" si="77"/>
        <v>144.57355787454054</v>
      </c>
      <c r="BQ187" s="29">
        <f t="shared" si="79"/>
        <v>299252.14112777659</v>
      </c>
    </row>
    <row r="188" spans="13:69" x14ac:dyDescent="0.15">
      <c r="M188" s="72">
        <v>8</v>
      </c>
      <c r="N188" s="29">
        <f>基础状态预期!D201</f>
        <v>38.848984787984186</v>
      </c>
      <c r="O188" s="29">
        <f>IF(基础状态预期!F201="",0,求节点($C$104:$C$112,D$104:D$112,基础状态预期!K201))</f>
        <v>0</v>
      </c>
      <c r="P188" s="29">
        <f>IF(基础状态预期!G201="",0,求节点($C$104:$C$112,E$104:E$112,基础状态预期!L201))</f>
        <v>0</v>
      </c>
      <c r="Q188" s="29">
        <f>IF(基础状态预期!H201="",0,求节点($C$104:$C$112,F$104:F$112,基础状态预期!M201))</f>
        <v>0</v>
      </c>
      <c r="R188" s="29">
        <f>IF(基础状态预期!I201="",0,求节点($C$104:$C$112,G$104:G$112,基础状态预期!N201))</f>
        <v>4.5718679074938517</v>
      </c>
      <c r="S188" s="29">
        <f>IF(基础状态预期!J201="",0,求节点($C$104:$C$112,H$104:H$112,基础状态预期!O201))</f>
        <v>0</v>
      </c>
      <c r="T188" s="29">
        <f>IF(基础状态预期!F201="",0,求节点($C$114:$C$122,D$114:D$122,基础状态预期!K201)*基础状态预期!F201+求节点($C$124:$C$132,D$124:D$132,基础状态预期!$O201)*基础状态预期!$J201)</f>
        <v>0</v>
      </c>
      <c r="U188" s="29">
        <f>IF(基础状态预期!G201="",0,求节点($C$114:$C$122,E$114:E$122,基础状态预期!L201)*基础状态预期!G201+求节点($C$124:$C$132,E$124:E$132,基础状态预期!$O201)*基础状态预期!$J201)</f>
        <v>0</v>
      </c>
      <c r="V188" s="29">
        <f>IF(基础状态预期!H201="",0,求节点($C$114:$C$122,F$114:F$122,基础状态预期!M201)*基础状态预期!H201+求节点($C$124:$C$132,F$124:F$132,基础状态预期!$O201)*基础状态预期!$J201)</f>
        <v>0</v>
      </c>
      <c r="W188" s="148">
        <f>IF(基础状态预期!I201="",0,求节点($C$114:$C$122,G$114:G$122,基础状态预期!N201)*基础状态预期!I201)+IF(基础状态预期!O201="",0,求节点($C$124:$C$132,G$124:G$132,基础状态预期!$O201)*基础状态预期!$J201)</f>
        <v>6</v>
      </c>
      <c r="X188" s="29">
        <f>IF(基础状态预期!J201="",0,求节点($C$114:$C$122,H$114:H$122,基础状态预期!O201)*基础状态预期!J201+求节点($C$124:$C$132,H$124:H$132,基础状态预期!$O201)*基础状态预期!$J201)</f>
        <v>0</v>
      </c>
      <c r="Y188" s="14">
        <f>IF(基础状态预期!K201="",0,求节点($C$92:$C$100,D$92:D$100,基础状态预期!K201))</f>
        <v>0</v>
      </c>
      <c r="Z188" s="14">
        <f>IF(基础状态预期!L201="",0,求节点($C$92:$C$100,E$92:E$100,基础状态预期!L201))</f>
        <v>0</v>
      </c>
      <c r="AA188" s="14">
        <f>IF(基础状态预期!M201="",0,求节点($C$92:$C$100,F$92:F$100,基础状态预期!M201))</f>
        <v>0</v>
      </c>
      <c r="AB188" s="14">
        <f>IF(基础状态预期!N201="",0,求节点($C$92:$C$100,G$92:G$100,基础状态预期!N201))</f>
        <v>92874.716299754073</v>
      </c>
      <c r="AC188" s="14">
        <f>IF(基础状态预期!O201="",0,求节点($C$92:$C$100,H$92:H$100,基础状态预期!O201))</f>
        <v>0</v>
      </c>
      <c r="AD188" s="29">
        <f>MAX(SUMPRODUCT(Y188:AC188,基础状态预期!F201:J201),AD187)</f>
        <v>557248.29779852438</v>
      </c>
      <c r="AF188" s="29" t="str">
        <f>IF(基础状态预期!K201="","",基础状态预期!K201*D$59+D$58)</f>
        <v/>
      </c>
      <c r="AG188" s="29" t="str">
        <f>IF(基础状态预期!L201="","",基础状态预期!L201*E$59+E$58)</f>
        <v/>
      </c>
      <c r="AH188" s="29" t="str">
        <f>IF(基础状态预期!M201="","",基础状态预期!M201*F$59+F$58)</f>
        <v/>
      </c>
      <c r="AI188" s="29">
        <f>IF(基础状态预期!N201="","",基础状态预期!N201*G$59+G$58)</f>
        <v>101.42966976873463</v>
      </c>
      <c r="AJ188" s="29" t="str">
        <f>IF(基础状态预期!O201="","",基础状态预期!O201*H$59+H$58)</f>
        <v/>
      </c>
      <c r="AK188" s="29">
        <f>MAX(SUMPRODUCT(AF188:AJ188,基础状态预期!$F201:$J201)/SUM(基础状态预期!$F201:$J201),AK187)</f>
        <v>101.42966976873463</v>
      </c>
      <c r="AL188" s="29">
        <f>IF(基础状态预期!K201="",0,求节点($C$68:$C$76,D$68:D$76,基础状态预期!K201))</f>
        <v>0</v>
      </c>
      <c r="AM188" s="29">
        <f>IF(基础状态预期!L201="",0,求节点($C$68:$C$76,E$68:E$76,基础状态预期!L201))</f>
        <v>0</v>
      </c>
      <c r="AN188" s="29">
        <f>IF(基础状态预期!M201="",0,求节点($C$68:$C$76,F$68:F$76,基础状态预期!M201)*求节点(武将升级!$H$52:$H$54,武将升级!$J$52:$J$54,基础状态预期!W201))</f>
        <v>0</v>
      </c>
      <c r="AO188" s="29">
        <f>IF(基础状态预期!N201="",0,求节点($C$68:$C$76,G$68:G$76,基础状态预期!N201)*求节点(武将升级!$H$52:$H$54,武将升级!$J$52:$J$54,基础状态预期!X201))</f>
        <v>0.45258724466977868</v>
      </c>
      <c r="AP188" s="29">
        <f>IF(基础状态预期!O201="",0,求节点($C$68:$C$76,H$68:H$76,基础状态预期!O201)*求节点(武将升级!$H$52:$H$54,武将升级!$J$52:$J$54,基础状态预期!Y201))</f>
        <v>0</v>
      </c>
      <c r="AQ188" s="29">
        <f>MAX(SUMPRODUCT(AL188:AP188,基础状态预期!$F201:$J201)/SUM(基础状态预期!$F201:$J201),AQ187)</f>
        <v>0.45258724466977868</v>
      </c>
      <c r="AR188" s="29">
        <f>IF(基础状态预期!K201="",0,求节点($C$158:$C$166,D$158:D$166,基础状态预期!K201))</f>
        <v>0</v>
      </c>
      <c r="AS188" s="29">
        <f>IF(基础状态预期!L201="",0,求节点($C$158:$C$166,E$158:E$166,基础状态预期!L201))</f>
        <v>0</v>
      </c>
      <c r="AT188" s="29">
        <f>IF(基础状态预期!M201="",0,求节点($C$158:$C$166,F$158:F$166,基础状态预期!M201))</f>
        <v>0</v>
      </c>
      <c r="AU188" s="29">
        <f>IF(基础状态预期!N201="",0,求节点($C$158:$C$166,G$158:G$166,基础状态预期!N201))</f>
        <v>0.23001537676228481</v>
      </c>
      <c r="AV188" s="29">
        <f>IF(基础状态预期!O201="",0,求节点($C$158:$C$166,H$158:H$166,基础状态预期!O201))</f>
        <v>0</v>
      </c>
      <c r="AW188" s="29">
        <f>MAX(SUMPRODUCT(AR188:AV188,基础状态预期!$F201:$J201)/SUM(基础状态预期!$F201:$J201),AW187)</f>
        <v>0.23001537676228481</v>
      </c>
      <c r="BA188" s="29">
        <v>50</v>
      </c>
      <c r="BB188" s="29">
        <f t="shared" si="73"/>
        <v>110.46699663616586</v>
      </c>
      <c r="BC188" s="29">
        <f t="shared" si="74"/>
        <v>0.575335343742165</v>
      </c>
      <c r="BD188" s="29">
        <f>(BB188-BB187)*(INDEX([2]超r将兵属性验证!$V$7:$V$166,$BA188,1)+INDEX([2]超r将兵属性验证!$AP$7:$AP$166,$BA188,1))+BD187</f>
        <v>429972461.67881107</v>
      </c>
      <c r="BE188" s="29" t="e">
        <f>(BC188-BC187)*(INDEX([2]超r将兵属性验证!$AC$7:$AC$166,$BA188,1)*[2]战法技能效用!$AB$4+INDEX([2]超r将兵属性验证!$AX$7:$AX$166,$BA188,1)*[2]战法技能效用!$AC$4)+BE187</f>
        <v>#VALUE!</v>
      </c>
      <c r="BF188" s="75" t="e">
        <f t="shared" si="80"/>
        <v>#VALUE!</v>
      </c>
      <c r="BJ188" s="29">
        <f t="shared" si="78"/>
        <v>38.848984787984186</v>
      </c>
      <c r="BK188" s="75">
        <f>武将数量星级阶位验证!AT191</f>
        <v>279509.43259950809</v>
      </c>
      <c r="BL188" s="75">
        <f>(AD188-AD187)*INDEX('[1]功能-付费相关'!$U$6:$AU$165,BJ188,1)+BL187</f>
        <v>132.79374279036094</v>
      </c>
      <c r="BN188" s="29">
        <v>50</v>
      </c>
      <c r="BO188" s="29">
        <f t="shared" si="76"/>
        <v>499103.17801582732</v>
      </c>
      <c r="BP188" s="29">
        <f t="shared" si="77"/>
        <v>282.08471349295166</v>
      </c>
      <c r="BQ188" s="29">
        <f t="shared" si="79"/>
        <v>499385.26272932027</v>
      </c>
    </row>
    <row r="189" spans="13:69" x14ac:dyDescent="0.15">
      <c r="M189" s="72">
        <v>9</v>
      </c>
      <c r="N189" s="29">
        <f>基础状态预期!D202</f>
        <v>42.643360270022924</v>
      </c>
      <c r="O189" s="29">
        <f>IF(基础状态预期!F202="",0,求节点($C$104:$C$112,D$104:D$112,基础状态预期!K202))</f>
        <v>0</v>
      </c>
      <c r="P189" s="29">
        <f>IF(基础状态预期!G202="",0,求节点($C$104:$C$112,E$104:E$112,基础状态预期!L202))</f>
        <v>0</v>
      </c>
      <c r="Q189" s="29">
        <f>IF(基础状态预期!H202="",0,求节点($C$104:$C$112,F$104:F$112,基础状态预期!M202))</f>
        <v>0</v>
      </c>
      <c r="R189" s="29">
        <f>IF(基础状态预期!I202="",0,求节点($C$104:$C$112,G$104:G$112,基础状态预期!N202))</f>
        <v>5.7387783480740442</v>
      </c>
      <c r="S189" s="29">
        <f>IF(基础状态预期!J202="",0,求节点($C$104:$C$112,H$104:H$112,基础状态预期!O202))</f>
        <v>0</v>
      </c>
      <c r="T189" s="29">
        <f>IF(基础状态预期!F202="",0,求节点($C$114:$C$122,D$114:D$122,基础状态预期!K202)*基础状态预期!F202+求节点($C$124:$C$132,D$124:D$132,基础状态预期!$O202)*基础状态预期!$J202)</f>
        <v>0</v>
      </c>
      <c r="U189" s="29">
        <f>IF(基础状态预期!G202="",0,求节点($C$114:$C$122,E$114:E$122,基础状态预期!L202)*基础状态预期!G202+求节点($C$124:$C$132,E$124:E$132,基础状态预期!$O202)*基础状态预期!$J202)</f>
        <v>0</v>
      </c>
      <c r="V189" s="29">
        <f>IF(基础状态预期!H202="",0,求节点($C$114:$C$122,F$114:F$122,基础状态预期!M202)*基础状态预期!H202+求节点($C$124:$C$132,F$124:F$132,基础状态预期!$O202)*基础状态预期!$J202)</f>
        <v>0</v>
      </c>
      <c r="W189" s="148">
        <f>IF(基础状态预期!I202="",0,求节点($C$114:$C$122,G$114:G$122,基础状态预期!N202)*基础状态预期!I202)+IF(基础状态预期!O202="",0,求节点($C$124:$C$132,G$124:G$132,基础状态预期!$O202)*基础状态预期!$J202)</f>
        <v>6</v>
      </c>
      <c r="X189" s="29">
        <f>IF(基础状态预期!J202="",0,求节点($C$114:$C$122,H$114:H$122,基础状态预期!O202)*基础状态预期!J202+求节点($C$124:$C$132,H$124:H$132,基础状态预期!$O202)*基础状态预期!$J202)</f>
        <v>0</v>
      </c>
      <c r="Y189" s="14">
        <f>IF(基础状态预期!K202="",0,求节点($C$92:$C$100,D$92:D$100,基础状态预期!K202))</f>
        <v>0</v>
      </c>
      <c r="Z189" s="14">
        <f>IF(基础状态预期!L202="",0,求节点($C$92:$C$100,E$92:E$100,基础状态预期!L202))</f>
        <v>0</v>
      </c>
      <c r="AA189" s="14">
        <f>IF(基础状态预期!M202="",0,求节点($C$92:$C$100,F$92:F$100,基础状态预期!M202))</f>
        <v>0</v>
      </c>
      <c r="AB189" s="14">
        <f>IF(基础状态预期!N202="",0,求节点($C$92:$C$100,G$92:G$100,基础状态预期!N202))</f>
        <v>139551.13392296177</v>
      </c>
      <c r="AC189" s="14">
        <f>IF(基础状态预期!O202="",0,求节点($C$92:$C$100,H$92:H$100,基础状态预期!O202))</f>
        <v>0</v>
      </c>
      <c r="AD189" s="29">
        <f>MAX(SUMPRODUCT(Y189:AC189,基础状态预期!F202:J202),AD188)</f>
        <v>837306.80353777064</v>
      </c>
      <c r="AF189" s="29" t="str">
        <f>IF(基础状态预期!K202="","",基础状态预期!K202*D$59+D$58)</f>
        <v/>
      </c>
      <c r="AG189" s="29" t="str">
        <f>IF(基础状态预期!L202="","",基础状态预期!L202*E$59+E$58)</f>
        <v/>
      </c>
      <c r="AH189" s="29" t="str">
        <f>IF(基础状态预期!M202="","",基础状态预期!M202*F$59+F$58)</f>
        <v/>
      </c>
      <c r="AI189" s="29">
        <f>IF(基础状态预期!N202="","",基础状态预期!N202*G$59+G$58)</f>
        <v>104.34694587018511</v>
      </c>
      <c r="AJ189" s="29" t="str">
        <f>IF(基础状态预期!O202="","",基础状态预期!O202*H$59+H$58)</f>
        <v/>
      </c>
      <c r="AK189" s="29">
        <f>MAX(SUMPRODUCT(AF189:AJ189,基础状态预期!$F202:$J202)/SUM(基础状态预期!$F202:$J202),AK188)</f>
        <v>104.34694587018511</v>
      </c>
      <c r="AL189" s="29">
        <f>IF(基础状态预期!K202="",0,求节点($C$68:$C$76,D$68:D$76,基础状态预期!K202))</f>
        <v>0</v>
      </c>
      <c r="AM189" s="29">
        <f>IF(基础状态预期!L202="",0,求节点($C$68:$C$76,E$68:E$76,基础状态预期!L202))</f>
        <v>0</v>
      </c>
      <c r="AN189" s="29">
        <f>IF(基础状态预期!M202="",0,求节点($C$68:$C$76,F$68:F$76,基础状态预期!M202)*求节点(武将升级!$H$52:$H$54,武将升级!$J$52:$J$54,基础状态预期!W202))</f>
        <v>0</v>
      </c>
      <c r="AO189" s="29">
        <f>IF(基础状态预期!N202="",0,求节点($C$68:$C$76,G$68:G$76,基础状态预期!N202)*求节点(武将升级!$H$52:$H$54,武将升级!$J$52:$J$54,基础状态预期!X202))</f>
        <v>0.49459602053066559</v>
      </c>
      <c r="AP189" s="29">
        <f>IF(基础状态预期!O202="",0,求节点($C$68:$C$76,H$68:H$76,基础状态预期!O202)*求节点(武将升级!$H$52:$H$54,武将升级!$J$52:$J$54,基础状态预期!Y202))</f>
        <v>0</v>
      </c>
      <c r="AQ189" s="29">
        <f>MAX(SUMPRODUCT(AL189:AP189,基础状态预期!$F202:$J202)/SUM(基础状态预期!$F202:$J202),AQ188)</f>
        <v>0.49459602053066559</v>
      </c>
      <c r="AR189" s="29">
        <f>IF(基础状态预期!K202="",0,求节点($C$158:$C$166,D$158:D$166,基础状态预期!K202))</f>
        <v>0</v>
      </c>
      <c r="AS189" s="29">
        <f>IF(基础状态预期!L202="",0,求节点($C$158:$C$166,E$158:E$166,基础状态预期!L202))</f>
        <v>0</v>
      </c>
      <c r="AT189" s="29">
        <f>IF(基础状态预期!M202="",0,求节点($C$158:$C$166,F$158:F$166,基础状态预期!M202))</f>
        <v>0</v>
      </c>
      <c r="AU189" s="29">
        <f>IF(基础状态预期!N202="",0,求节点($C$158:$C$166,G$158:G$166,基础状态预期!N202))</f>
        <v>0.27085724218259155</v>
      </c>
      <c r="AV189" s="29">
        <f>IF(基础状态预期!O202="",0,求节点($C$158:$C$166,H$158:H$166,基础状态预期!O202))</f>
        <v>0</v>
      </c>
      <c r="AW189" s="29">
        <f>MAX(SUMPRODUCT(AR189:AV189,基础状态预期!$F202:$J202)/SUM(基础状态预期!$F202:$J202),AW188)</f>
        <v>0.27085724218259155</v>
      </c>
      <c r="BA189" s="29">
        <v>60</v>
      </c>
      <c r="BB189" s="29">
        <f t="shared" si="73"/>
        <v>120.13197826333702</v>
      </c>
      <c r="BC189" s="29">
        <f t="shared" si="74"/>
        <v>0.72424968122355993</v>
      </c>
      <c r="BD189" s="29">
        <f>(BB189-BB188)*(INDEX([2]超r将兵属性验证!$V$7:$V$166,$BA189,1)+INDEX([2]超r将兵属性验证!$AP$7:$AP$166,$BA189,1))+BD188</f>
        <v>1110726640.6620378</v>
      </c>
      <c r="BE189" s="29" t="e">
        <f>(BC189-BC188)*(INDEX([2]超r将兵属性验证!$AC$7:$AC$166,$BA189,1)*[2]战法技能效用!$AB$4+INDEX([2]超r将兵属性验证!$AX$7:$AX$166,$BA189,1)*[2]战法技能效用!$AC$4)+BE188</f>
        <v>#VALUE!</v>
      </c>
      <c r="BF189" s="75" t="e">
        <f t="shared" si="80"/>
        <v>#VALUE!</v>
      </c>
      <c r="BJ189" s="29">
        <f t="shared" si="78"/>
        <v>42.643360270022924</v>
      </c>
      <c r="BK189" s="75">
        <f>武将数量星级阶位验证!AT192</f>
        <v>344115.60117925686</v>
      </c>
      <c r="BL189" s="75">
        <f>(AD189-AD188)*INDEX('[1]功能-付费相关'!$U$6:$AU$165,BJ189,1)+BL188</f>
        <v>171.62645418440204</v>
      </c>
      <c r="BN189" s="29">
        <v>60</v>
      </c>
      <c r="BO189" s="29">
        <f t="shared" si="76"/>
        <v>814007.64739629242</v>
      </c>
      <c r="BP189" s="29">
        <f t="shared" si="77"/>
        <v>427.01145625485708</v>
      </c>
      <c r="BQ189" s="29">
        <f t="shared" si="79"/>
        <v>814434.65885254729</v>
      </c>
    </row>
    <row r="190" spans="13:69" x14ac:dyDescent="0.15">
      <c r="M190" s="72">
        <v>10</v>
      </c>
      <c r="N190" s="29">
        <f>基础状态预期!D203</f>
        <v>48.493134765265182</v>
      </c>
      <c r="O190" s="29">
        <f>IF(基础状态预期!F203="",0,求节点($C$104:$C$112,D$104:D$112,基础状态预期!K203))</f>
        <v>0</v>
      </c>
      <c r="P190" s="29">
        <f>IF(基础状态预期!G203="",0,求节点($C$104:$C$112,E$104:E$112,基础状态预期!L203))</f>
        <v>0</v>
      </c>
      <c r="Q190" s="29">
        <f>IF(基础状态预期!H203="",0,求节点($C$104:$C$112,F$104:F$112,基础状态预期!M203))</f>
        <v>0</v>
      </c>
      <c r="R190" s="29">
        <f>IF(基础状态预期!I203="",0,求节点($C$104:$C$112,G$104:G$112,基础状态预期!N203))</f>
        <v>7.8412665386513574</v>
      </c>
      <c r="S190" s="29">
        <f>IF(基础状态预期!J203="",0,求节点($C$104:$C$112,H$104:H$112,基础状态预期!O203))</f>
        <v>0</v>
      </c>
      <c r="T190" s="29">
        <f>IF(基础状态预期!F203="",0,求节点($C$114:$C$122,D$114:D$122,基础状态预期!K203)*基础状态预期!F203+求节点($C$124:$C$132,D$124:D$132,基础状态预期!$O203)*基础状态预期!$J203)</f>
        <v>0</v>
      </c>
      <c r="U190" s="29">
        <f>IF(基础状态预期!G203="",0,求节点($C$114:$C$122,E$114:E$122,基础状态预期!L203)*基础状态预期!G203+求节点($C$124:$C$132,E$124:E$132,基础状态预期!$O203)*基础状态预期!$J203)</f>
        <v>0</v>
      </c>
      <c r="V190" s="29">
        <f>IF(基础状态预期!H203="",0,求节点($C$114:$C$122,F$114:F$122,基础状态预期!M203)*基础状态预期!H203+求节点($C$124:$C$132,F$124:F$132,基础状态预期!$O203)*基础状态预期!$J203)</f>
        <v>0</v>
      </c>
      <c r="W190" s="148">
        <f>IF(基础状态预期!I203="",0,求节点($C$114:$C$122,G$114:G$122,基础状态预期!N203)*基础状态预期!I203)+IF(基础状态预期!O203="",0,求节点($C$124:$C$132,G$124:G$132,基础状态预期!$O203)*基础状态预期!$J203)</f>
        <v>17.047599231908144</v>
      </c>
      <c r="X190" s="29">
        <f>IF(基础状态预期!J203="",0,求节点($C$114:$C$122,H$114:H$122,基础状态预期!O203)*基础状态预期!J203+求节点($C$124:$C$132,H$124:H$132,基础状态预期!$O203)*基础状态预期!$J203)</f>
        <v>0</v>
      </c>
      <c r="Y190" s="14">
        <f>IF(基础状态预期!K203="",0,求节点($C$92:$C$100,D$92:D$100,基础状态预期!K203))</f>
        <v>0</v>
      </c>
      <c r="Z190" s="14">
        <f>IF(基础状态预期!L203="",0,求节点($C$92:$C$100,E$92:E$100,基础状态预期!L203))</f>
        <v>0</v>
      </c>
      <c r="AA190" s="14">
        <f>IF(基础状态预期!M203="",0,求节点($C$92:$C$100,F$92:F$100,基础状态预期!M203))</f>
        <v>0</v>
      </c>
      <c r="AB190" s="14">
        <f>IF(基础状态预期!N203="",0,求节点($C$92:$C$100,G$92:G$100,基础状态预期!N203))</f>
        <v>297301.32309210859</v>
      </c>
      <c r="AC190" s="14">
        <f>IF(基础状态预期!O203="",0,求节点($C$92:$C$100,H$92:H$100,基础状态预期!O203))</f>
        <v>0</v>
      </c>
      <c r="AD190" s="29">
        <f>MAX(SUMPRODUCT(Y190:AC190,基础状态预期!F203:J203),AD189)</f>
        <v>1783807.9385526516</v>
      </c>
      <c r="AF190" s="29" t="str">
        <f>IF(基础状态预期!K203="","",基础状态预期!K203*D$59+D$58)</f>
        <v/>
      </c>
      <c r="AG190" s="29" t="str">
        <f>IF(基础状态预期!L203="","",基础状态预期!L203*E$59+E$58)</f>
        <v/>
      </c>
      <c r="AH190" s="29" t="str">
        <f>IF(基础状态预期!M203="","",基础状态预期!M203*F$59+F$58)</f>
        <v/>
      </c>
      <c r="AI190" s="29">
        <f>IF(基础状态预期!N203="","",基础状态预期!N203*G$59+G$58)</f>
        <v>109.6031663466284</v>
      </c>
      <c r="AJ190" s="29" t="str">
        <f>IF(基础状态预期!O203="","",基础状态预期!O203*H$59+H$58)</f>
        <v/>
      </c>
      <c r="AK190" s="29">
        <f>MAX(SUMPRODUCT(AF190:AJ190,基础状态预期!$F203:$J203)/SUM(基础状态预期!$F203:$J203),AK189)</f>
        <v>109.60316634662838</v>
      </c>
      <c r="AL190" s="29">
        <f>IF(基础状态预期!K203="",0,求节点($C$68:$C$76,D$68:D$76,基础状态预期!K203))</f>
        <v>0</v>
      </c>
      <c r="AM190" s="29">
        <f>IF(基础状态预期!L203="",0,求节点($C$68:$C$76,E$68:E$76,基础状态预期!L203))</f>
        <v>0</v>
      </c>
      <c r="AN190" s="29">
        <f>IF(基础状态预期!M203="",0,求节点($C$68:$C$76,F$68:F$76,基础状态预期!M203)*求节点(武将升级!$H$52:$H$54,武将升级!$J$52:$J$54,基础状态预期!W203))</f>
        <v>0</v>
      </c>
      <c r="AO190" s="29">
        <f>IF(基础状态预期!N203="",0,求节点($C$68:$C$76,G$68:G$76,基础状态预期!N203)*求节点(武将升级!$H$52:$H$54,武将升级!$J$52:$J$54,基础状态预期!X203))</f>
        <v>0.57028559539144896</v>
      </c>
      <c r="AP190" s="29">
        <f>IF(基础状态预期!O203="",0,求节点($C$68:$C$76,H$68:H$76,基础状态预期!O203)*求节点(武将升级!$H$52:$H$54,武将升级!$J$52:$J$54,基础状态预期!Y203))</f>
        <v>0</v>
      </c>
      <c r="AQ190" s="29">
        <f>MAX(SUMPRODUCT(AL190:AP190,基础状态预期!$F203:$J203)/SUM(基础状态预期!$F203:$J203),AQ189)</f>
        <v>0.57028559539144896</v>
      </c>
      <c r="AR190" s="29">
        <f>IF(基础状态预期!K203="",0,求节点($C$158:$C$166,D$158:D$166,基础状态预期!K203))</f>
        <v>0</v>
      </c>
      <c r="AS190" s="29">
        <f>IF(基础状态预期!L203="",0,求节点($C$158:$C$166,E$158:E$166,基础状态预期!L203))</f>
        <v>0</v>
      </c>
      <c r="AT190" s="29">
        <f>IF(基础状态预期!M203="",0,求节点($C$158:$C$166,F$158:F$166,基础状态预期!M203))</f>
        <v>0</v>
      </c>
      <c r="AU190" s="29">
        <f>IF(基础状态预期!N203="",0,求节点($C$158:$C$166,G$158:G$166,基础状态预期!N203))</f>
        <v>0.34444432885279752</v>
      </c>
      <c r="AV190" s="29">
        <f>IF(基础状态预期!O203="",0,求节点($C$158:$C$166,H$158:H$166,基础状态预期!O203))</f>
        <v>0</v>
      </c>
      <c r="AW190" s="29">
        <f>MAX(SUMPRODUCT(AR190:AV190,基础状态预期!$F203:$J203)/SUM(基础状态预期!$F203:$J203),AW189)</f>
        <v>0.34444432885279747</v>
      </c>
      <c r="BA190" s="29">
        <v>70</v>
      </c>
      <c r="BB190" s="29">
        <f t="shared" si="73"/>
        <v>132.56218399575945</v>
      </c>
      <c r="BC190" s="29">
        <f t="shared" si="74"/>
        <v>0.9099806199892384</v>
      </c>
      <c r="BD190" s="29">
        <f>(BB190-BB189)*(INDEX([2]超r将兵属性验证!$V$7:$V$166,$BA190,1)+INDEX([2]超r将兵属性验证!$AP$7:$AP$166,$BA190,1))+BD189</f>
        <v>3763870215.4574914</v>
      </c>
      <c r="BE190" s="29" t="e">
        <f>(BC190-BC189)*(INDEX([2]超r将兵属性验证!$AC$7:$AC$166,$BA190,1)*[2]战法技能效用!$AB$4+INDEX([2]超r将兵属性验证!$AX$7:$AX$166,$BA190,1)*[2]战法技能效用!$AC$4)+BE189</f>
        <v>#VALUE!</v>
      </c>
      <c r="BF190" s="75" t="e">
        <f t="shared" si="80"/>
        <v>#VALUE!</v>
      </c>
      <c r="BJ190" s="29">
        <f t="shared" si="78"/>
        <v>48.493134765265182</v>
      </c>
      <c r="BK190" s="75">
        <f>武将数量星级阶位验证!AT193</f>
        <v>460240.4843046256</v>
      </c>
      <c r="BL190" s="75">
        <f>(AD190-AD189)*INDEX('[1]功能-付费相关'!$U$6:$AU$165,BJ190,1)+BL189</f>
        <v>261.67181337123822</v>
      </c>
      <c r="BN190" s="29">
        <v>70</v>
      </c>
      <c r="BO190" s="29">
        <f t="shared" si="76"/>
        <v>1351875.7720506371</v>
      </c>
      <c r="BP190" s="29">
        <f t="shared" si="77"/>
        <v>542.20135421187183</v>
      </c>
      <c r="BQ190" s="29">
        <f t="shared" si="79"/>
        <v>1352417.9734048489</v>
      </c>
    </row>
    <row r="191" spans="13:69" x14ac:dyDescent="0.15">
      <c r="M191" s="72">
        <v>11</v>
      </c>
      <c r="N191" s="29">
        <f>基础状态预期!D204</f>
        <v>52.559419343629337</v>
      </c>
      <c r="O191" s="29">
        <f>IF(基础状态预期!F204="",0,求节点($C$104:$C$112,D$104:D$112,基础状态预期!K204))</f>
        <v>0</v>
      </c>
      <c r="P191" s="29">
        <f>IF(基础状态预期!G204="",0,求节点($C$104:$C$112,E$104:E$112,基础状态预期!L204))</f>
        <v>0</v>
      </c>
      <c r="Q191" s="29">
        <f>IF(基础状态预期!H204="",0,求节点($C$104:$C$112,F$104:F$112,基础状态预期!M204))</f>
        <v>0</v>
      </c>
      <c r="R191" s="29">
        <f>IF(基础状态预期!I204="",0,求节点($C$104:$C$112,G$104:G$112,基础状态预期!N204))</f>
        <v>9.7484735224261208</v>
      </c>
      <c r="S191" s="29">
        <f>IF(基础状态预期!J204="",0,求节点($C$104:$C$112,H$104:H$112,基础状态预期!O204))</f>
        <v>2.1724486135119863</v>
      </c>
      <c r="T191" s="29">
        <f>IF(基础状态预期!F204="",0,求节点($C$114:$C$122,D$114:D$122,基础状态预期!K204)*基础状态预期!F204+求节点($C$124:$C$132,D$124:D$132,基础状态预期!$O204)*基础状态预期!$J204)</f>
        <v>0</v>
      </c>
      <c r="U191" s="29">
        <f>IF(基础状态预期!G204="",0,求节点($C$114:$C$122,E$114:E$122,基础状态预期!L204)*基础状态预期!G204+求节点($C$124:$C$132,E$124:E$132,基础状态预期!$O204)*基础状态预期!$J204)</f>
        <v>0</v>
      </c>
      <c r="V191" s="29">
        <f>IF(基础状态预期!H204="",0,求节点($C$114:$C$122,F$114:F$122,基础状态预期!M204)*基础状态预期!H204+求节点($C$124:$C$132,F$124:F$132,基础状态预期!$O204)*基础状态预期!$J204)</f>
        <v>0</v>
      </c>
      <c r="W191" s="148">
        <f>IF(基础状态预期!I204="",0,求节点($C$114:$C$122,G$114:G$122,基础状态预期!N204)*基础状态预期!I204)+IF(基础状态预期!O204="",0,求节点($C$124:$C$132,G$124:G$132,基础状态预期!$O204)*基础状态预期!$J204)</f>
        <v>15</v>
      </c>
      <c r="X191" s="29">
        <f>IF(基础状态预期!J204="",0,求节点($C$114:$C$122,H$114:H$122,基础状态预期!O204)*基础状态预期!J204+求节点($C$124:$C$132,H$124:H$132,基础状态预期!$O204)*基础状态预期!$J204)</f>
        <v>0</v>
      </c>
      <c r="Y191" s="14">
        <f>IF(基础状态预期!K204="",0,求节点($C$92:$C$100,D$92:D$100,基础状态预期!K204))</f>
        <v>0</v>
      </c>
      <c r="Z191" s="14">
        <f>IF(基础状态预期!L204="",0,求节点($C$92:$C$100,E$92:E$100,基础状态预期!L204))</f>
        <v>0</v>
      </c>
      <c r="AA191" s="14">
        <f>IF(基础状态预期!M204="",0,求节点($C$92:$C$100,F$92:F$100,基础状态预期!M204))</f>
        <v>0</v>
      </c>
      <c r="AB191" s="14">
        <f>IF(基础状态预期!N204="",0,求节点($C$92:$C$100,G$92:G$100,基础状态预期!N204))</f>
        <v>496503.84239211946</v>
      </c>
      <c r="AC191" s="14">
        <f>IF(基础状态预期!O204="",0,求节点($C$92:$C$100,H$92:H$100,基础状态预期!O204))</f>
        <v>20173.45840535959</v>
      </c>
      <c r="AD191" s="29">
        <f>MAX(SUMPRODUCT(Y191:AC191,基础状态预期!F204:J204),AD190)</f>
        <v>2502692.6703659571</v>
      </c>
      <c r="AF191" s="29" t="str">
        <f>IF(基础状态预期!K204="","",基础状态预期!K204*D$59+D$58)</f>
        <v/>
      </c>
      <c r="AG191" s="29" t="str">
        <f>IF(基础状态预期!L204="","",基础状态预期!L204*E$59+E$58)</f>
        <v/>
      </c>
      <c r="AH191" s="29" t="str">
        <f>IF(基础状态预期!M204="","",基础状态预期!M204*F$59+F$58)</f>
        <v/>
      </c>
      <c r="AI191" s="29">
        <f>IF(基础状态预期!N204="","",基础状态预期!N204*G$59+G$58)</f>
        <v>112.91412253737687</v>
      </c>
      <c r="AJ191" s="29">
        <f>IF(基础状态预期!O204="","",基础状态预期!O204*H$59+H$58)</f>
        <v>107.03469168107192</v>
      </c>
      <c r="AK191" s="29">
        <f>MAX(SUMPRODUCT(AF191:AJ191,基础状态预期!$F204:$J204)/SUM(基础状态预期!$F204:$J204),AK190)</f>
        <v>111.93421739465937</v>
      </c>
      <c r="AL191" s="29">
        <f>IF(基础状态预期!K204="",0,求节点($C$68:$C$76,D$68:D$76,基础状态预期!K204))</f>
        <v>0</v>
      </c>
      <c r="AM191" s="29">
        <f>IF(基础状态预期!L204="",0,求节点($C$68:$C$76,E$68:E$76,基础状态预期!L204))</f>
        <v>0</v>
      </c>
      <c r="AN191" s="29">
        <f>IF(基础状态预期!M204="",0,求节点($C$68:$C$76,F$68:F$76,基础状态预期!M204)*求节点(武将升级!$H$52:$H$54,武将升级!$J$52:$J$54,基础状态预期!W204))</f>
        <v>0</v>
      </c>
      <c r="AO191" s="29">
        <f>IF(基础状态预期!N204="",0,求节点($C$68:$C$76,G$68:G$76,基础状态预期!N204)*求节点(武将升级!$H$52:$H$54,武将升级!$J$52:$J$54,基础状态预期!X204))</f>
        <v>0.61796336453822698</v>
      </c>
      <c r="AP191" s="29">
        <f>IF(基础状态预期!O204="",0,求节点($C$68:$C$76,H$68:H$76,基础状态预期!O204)*求节点(武将升级!$H$52:$H$54,武将升级!$J$52:$J$54,基础状态预期!Y204))</f>
        <v>0.59379588908095882</v>
      </c>
      <c r="AQ191" s="29">
        <f>MAX(SUMPRODUCT(AL191:AP191,基础状态预期!$F204:$J204)/SUM(基础状态预期!$F204:$J204),AQ190)</f>
        <v>0.6139354519620156</v>
      </c>
      <c r="AR191" s="29">
        <f>IF(基础状态预期!K204="",0,求节点($C$158:$C$166,D$158:D$166,基础状态预期!K204))</f>
        <v>0</v>
      </c>
      <c r="AS191" s="29">
        <f>IF(基础状态预期!L204="",0,求节点($C$158:$C$166,E$158:E$166,基础状态预期!L204))</f>
        <v>0</v>
      </c>
      <c r="AT191" s="29">
        <f>IF(基础状态预期!M204="",0,求节点($C$158:$C$166,F$158:F$166,基础状态预期!M204))</f>
        <v>0</v>
      </c>
      <c r="AU191" s="29">
        <f>IF(基础状态预期!N204="",0,求节点($C$158:$C$166,G$158:G$166,基础状态预期!N204))</f>
        <v>0.39079771552327613</v>
      </c>
      <c r="AV191" s="29">
        <f>IF(基础状态预期!O204="",0,求节点($C$158:$C$166,H$158:H$166,基础状态预期!O204))</f>
        <v>0.11724486135119863</v>
      </c>
      <c r="AW191" s="29">
        <f>MAX(SUMPRODUCT(AR191:AV191,基础状态预期!$F204:$J204)/SUM(基础状态预期!$F204:$J204),AW190)</f>
        <v>0.34520557316126327</v>
      </c>
      <c r="BA191" s="29">
        <v>80</v>
      </c>
      <c r="BB191" s="29">
        <f t="shared" si="73"/>
        <v>148</v>
      </c>
      <c r="BC191" s="29">
        <f t="shared" si="74"/>
        <v>1.1344814088089339</v>
      </c>
      <c r="BD191" s="29">
        <f>(BB191-BB190)*(INDEX([2]超r将兵属性验证!$V$7:$V$166,$BA191,1)+INDEX([2]超r将兵属性验证!$AP$7:$AP$166,$BA191,1))+BD190</f>
        <v>13185192747.780821</v>
      </c>
      <c r="BE191" s="29" t="e">
        <f>(BC191-BC190)*(INDEX([2]超r将兵属性验证!$AC$7:$AC$166,$BA191,1)*[2]战法技能效用!$AB$4+INDEX([2]超r将兵属性验证!$AX$7:$AX$166,$BA191,1)*[2]战法技能效用!$AC$4)+BE190</f>
        <v>#VALUE!</v>
      </c>
      <c r="BF191" s="75" t="e">
        <f t="shared" si="80"/>
        <v>#VALUE!</v>
      </c>
      <c r="BJ191" s="29">
        <f t="shared" si="78"/>
        <v>52.559419343629337</v>
      </c>
      <c r="BK191" s="75">
        <f>武将数量星级阶位验证!AT194</f>
        <v>565111.68875534018</v>
      </c>
      <c r="BL191" s="75">
        <f>(AD191-AD190)*INDEX('[1]功能-付费相关'!$U$6:$AU$165,BJ191,1)+BL190</f>
        <v>316.7561427799119</v>
      </c>
      <c r="BN191" s="29">
        <v>80</v>
      </c>
      <c r="BO191" s="29">
        <f t="shared" si="76"/>
        <v>2356612.2698193323</v>
      </c>
      <c r="BP191" s="29">
        <f t="shared" si="77"/>
        <v>1055.8874701990292</v>
      </c>
      <c r="BQ191" s="29">
        <f t="shared" si="79"/>
        <v>2357668.1572895315</v>
      </c>
    </row>
    <row r="192" spans="13:69" x14ac:dyDescent="0.15">
      <c r="M192" s="72">
        <v>12</v>
      </c>
      <c r="N192" s="29">
        <f>基础状态预期!D205</f>
        <v>58.560986008166232</v>
      </c>
      <c r="O192" s="29">
        <f>IF(基础状态预期!F205="",0,求节点($C$104:$C$112,D$104:D$112,基础状态预期!K205))</f>
        <v>0</v>
      </c>
      <c r="P192" s="29">
        <f>IF(基础状态预期!G205="",0,求节点($C$104:$C$112,E$104:E$112,基础状态预期!L205))</f>
        <v>0</v>
      </c>
      <c r="Q192" s="29">
        <f>IF(基础状态预期!H205="",0,求节点($C$104:$C$112,F$104:F$112,基础状态预期!M205))</f>
        <v>0</v>
      </c>
      <c r="R192" s="29">
        <f>IF(基础状态预期!I205="",0,求节点($C$104:$C$112,G$104:G$112,基础状态预期!N205))</f>
        <v>12.86992729092248</v>
      </c>
      <c r="S192" s="29">
        <f>IF(基础状态预期!J205="",0,求节点($C$104:$C$112,H$104:H$112,基础状态预期!O205))</f>
        <v>4.2009189899426271</v>
      </c>
      <c r="T192" s="29">
        <f>IF(基础状态预期!F205="",0,求节点($C$114:$C$122,D$114:D$122,基础状态预期!K205)*基础状态预期!F205+求节点($C$124:$C$132,D$124:D$132,基础状态预期!$O205)*基础状态预期!$J205)</f>
        <v>0</v>
      </c>
      <c r="U192" s="29">
        <f>IF(基础状态预期!G205="",0,求节点($C$114:$C$122,E$114:E$122,基础状态预期!L205)*基础状态预期!G205+求节点($C$124:$C$132,E$124:E$132,基础状态预期!$O205)*基础状态预期!$J205)</f>
        <v>0</v>
      </c>
      <c r="V192" s="29">
        <f>IF(基础状态预期!H205="",0,求节点($C$114:$C$122,F$114:F$122,基础状态预期!M205)*基础状态预期!H205+求节点($C$124:$C$132,F$124:F$132,基础状态预期!$O205)*基础状态预期!$J205)</f>
        <v>0</v>
      </c>
      <c r="W192" s="148">
        <f>IF(基础状态预期!I205="",0,求节点($C$114:$C$122,G$114:G$122,基础状态预期!N205)*基础状态预期!I205)+IF(基础状态预期!O205="",0,求节点($C$124:$C$132,G$124:G$132,基础状态预期!$O205)*基础状态预期!$J205)</f>
        <v>25.479709163689922</v>
      </c>
      <c r="X192" s="29">
        <f>IF(基础状态预期!J205="",0,求节点($C$114:$C$122,H$114:H$122,基础状态预期!O205)*基础状态预期!J205+求节点($C$124:$C$132,H$124:H$132,基础状态预期!$O205)*基础状态预期!$J205)</f>
        <v>0</v>
      </c>
      <c r="Y192" s="14">
        <f>IF(基础状态预期!K205="",0,求节点($C$92:$C$100,D$92:D$100,基础状态预期!K205))</f>
        <v>0</v>
      </c>
      <c r="Z192" s="14">
        <f>IF(基础状态预期!L205="",0,求节点($C$92:$C$100,E$92:E$100,基础状态预期!L205))</f>
        <v>0</v>
      </c>
      <c r="AA192" s="14">
        <f>IF(基础状态预期!M205="",0,求节点($C$92:$C$100,F$92:F$100,基础状态预期!M205))</f>
        <v>0</v>
      </c>
      <c r="AB192" s="14">
        <f>IF(基础状态预期!N205="",0,求节点($C$92:$C$100,G$92:G$100,基础状态预期!N205))</f>
        <v>1028917.8220634626</v>
      </c>
      <c r="AC192" s="14">
        <f>IF(基础状态预期!O205="",0,求节点($C$92:$C$100,H$92:H$100,基础状态预期!O205))</f>
        <v>117055.13939655763</v>
      </c>
      <c r="AD192" s="29">
        <f>MAX(SUMPRODUCT(Y192:AC192,基础状态预期!F205:J205),AD191)</f>
        <v>4349781.5670469655</v>
      </c>
      <c r="AF192" s="29" t="str">
        <f>IF(基础状态预期!K205="","",基础状态预期!K205*D$59+D$58)</f>
        <v/>
      </c>
      <c r="AG192" s="29" t="str">
        <f>IF(基础状态预期!L205="","",基础状态预期!L205*E$59+E$58)</f>
        <v/>
      </c>
      <c r="AH192" s="29" t="str">
        <f>IF(基础状态预期!M205="","",基础状态预期!M205*F$59+F$58)</f>
        <v/>
      </c>
      <c r="AI192" s="29">
        <f>IF(基础状态预期!N205="","",基础状态预期!N205*G$59+G$58)</f>
        <v>118.1165454848708</v>
      </c>
      <c r="AJ192" s="29">
        <f>IF(基础状态预期!O205="","",基础状态预期!O205*H$59+H$58)</f>
        <v>118.60275696982788</v>
      </c>
      <c r="AK192" s="29">
        <f>MAX(SUMPRODUCT(AF192:AJ192,基础状态预期!$F205:$J205)/SUM(基础状态预期!$F205:$J205),AK191)</f>
        <v>118.2786159798565</v>
      </c>
      <c r="AL192" s="29">
        <f>IF(基础状态预期!K205="",0,求节点($C$68:$C$76,D$68:D$76,基础状态预期!K205))</f>
        <v>0</v>
      </c>
      <c r="AM192" s="29">
        <f>IF(基础状态预期!L205="",0,求节点($C$68:$C$76,E$68:E$76,基础状态预期!L205))</f>
        <v>0</v>
      </c>
      <c r="AN192" s="29">
        <f>IF(基础状态预期!M205="",0,求节点($C$68:$C$76,F$68:F$76,基础状态预期!M205)*求节点(武将升级!$H$52:$H$54,武将升级!$J$52:$J$54,基础状态预期!W205))</f>
        <v>0</v>
      </c>
      <c r="AO192" s="29">
        <f>IF(基础状态预期!N205="",0,求节点($C$68:$C$76,G$68:G$76,基础状态预期!N205)*求节点(武将升级!$H$52:$H$54,武将升级!$J$52:$J$54,基础状态预期!X205))</f>
        <v>0.69287825498213973</v>
      </c>
      <c r="AP192" s="29">
        <f>IF(基础状态预期!O205="",0,求节点($C$68:$C$76,H$68:H$76,基础状态预期!O205)*求节点(武将升级!$H$52:$H$54,武将升级!$J$52:$J$54,基础状态预期!Y205))</f>
        <v>0.74803675959770499</v>
      </c>
      <c r="AQ192" s="29">
        <f>MAX(SUMPRODUCT(AL192:AP192,基础状态预期!$F205:$J205)/SUM(基础状态预期!$F205:$J205),AQ191)</f>
        <v>0.71126442318732819</v>
      </c>
      <c r="AR192" s="29">
        <f>IF(基础状态预期!K205="",0,求节点($C$158:$C$166,D$158:D$166,基础状态预期!K205))</f>
        <v>0</v>
      </c>
      <c r="AS192" s="29">
        <f>IF(基础状态预期!L205="",0,求节点($C$158:$C$166,E$158:E$166,基础状态预期!L205))</f>
        <v>0</v>
      </c>
      <c r="AT192" s="29">
        <f>IF(基础状态预期!M205="",0,求节点($C$158:$C$166,F$158:F$166,基础状态预期!M205))</f>
        <v>0</v>
      </c>
      <c r="AU192" s="29">
        <f>IF(基础状态预期!N205="",0,求节点($C$158:$C$166,G$158:G$166,基础状态预期!N205))</f>
        <v>0.46363163678819119</v>
      </c>
      <c r="AV192" s="29">
        <f>IF(基础状态预期!O205="",0,求节点($C$158:$C$166,H$158:H$166,基础状态预期!O205))</f>
        <v>0.31004594949713132</v>
      </c>
      <c r="AW192" s="29">
        <f>MAX(SUMPRODUCT(AR192:AV192,基础状态预期!$F205:$J205)/SUM(基础状态预期!$F205:$J205),AW191)</f>
        <v>0.41243640769117124</v>
      </c>
      <c r="BA192" s="29">
        <v>90</v>
      </c>
      <c r="BB192" s="29">
        <f t="shared" si="73"/>
        <v>148</v>
      </c>
      <c r="BC192" s="29">
        <f t="shared" si="74"/>
        <v>1.1399999999999999</v>
      </c>
      <c r="BD192" s="29">
        <f>(BB192-BB191)*(INDEX([2]超r将兵属性验证!$V$7:$V$166,$BA192,1)+INDEX([2]超r将兵属性验证!$AP$7:$AP$166,$BA192,1))+BD191</f>
        <v>13185192747.780821</v>
      </c>
      <c r="BE192" s="29" t="e">
        <f>(BC192-BC191)*(INDEX([2]超r将兵属性验证!$AC$7:$AC$166,$BA192,1)*[2]战法技能效用!$AB$4+INDEX([2]超r将兵属性验证!$AX$7:$AX$166,$BA192,1)*[2]战法技能效用!$AC$4)+BE191</f>
        <v>#VALUE!</v>
      </c>
      <c r="BF192" s="75" t="e">
        <f t="shared" si="80"/>
        <v>#VALUE!</v>
      </c>
      <c r="BJ192" s="29">
        <f t="shared" si="78"/>
        <v>58.560986008166232</v>
      </c>
      <c r="BK192" s="75">
        <f>武将数量星级阶位验证!AT195</f>
        <v>751993.36974653823</v>
      </c>
      <c r="BL192" s="75">
        <f>(AD192-AD191)*INDEX('[1]功能-付费相关'!$U$6:$AU$165,BJ192,1)+BL191</f>
        <v>410.64950740201112</v>
      </c>
      <c r="BN192" s="29">
        <v>90</v>
      </c>
      <c r="BO192" s="29">
        <f t="shared" si="76"/>
        <v>3967581.3267957387</v>
      </c>
      <c r="BP192" s="29">
        <f t="shared" si="77"/>
        <v>1055.8874701990292</v>
      </c>
      <c r="BQ192" s="29">
        <f t="shared" si="79"/>
        <v>3968637.2142659379</v>
      </c>
    </row>
    <row r="193" spans="13:69" x14ac:dyDescent="0.15">
      <c r="M193" s="72">
        <v>13</v>
      </c>
      <c r="N193" s="29">
        <f>基础状态预期!D206</f>
        <v>64.247064283227857</v>
      </c>
      <c r="O193" s="29">
        <f>IF(基础状态预期!F206="",0,求节点($C$104:$C$112,D$104:D$112,基础状态预期!K206))</f>
        <v>0</v>
      </c>
      <c r="P193" s="29">
        <f>IF(基础状态预期!G206="",0,求节点($C$104:$C$112,E$104:E$112,基础状态预期!L206))</f>
        <v>0</v>
      </c>
      <c r="Q193" s="29">
        <f>IF(基础状态预期!H206="",0,求节点($C$104:$C$112,F$104:F$112,基础状态预期!M206))</f>
        <v>0</v>
      </c>
      <c r="R193" s="29">
        <f>IF(基础状态预期!I206="",0,求节点($C$104:$C$112,G$104:G$112,基础状态预期!N206))</f>
        <v>14.569536780424652</v>
      </c>
      <c r="S193" s="29">
        <f>IF(基础状态预期!J206="",0,求节点($C$104:$C$112,H$104:H$112,基础状态预期!O206))</f>
        <v>8.2459776249689938</v>
      </c>
      <c r="T193" s="29">
        <f>IF(基础状态预期!F206="",0,求节点($C$114:$C$122,D$114:D$122,基础状态预期!K206)*基础状态预期!F206+求节点($C$124:$C$132,D$124:D$132,基础状态预期!$O206)*基础状态预期!$J206)</f>
        <v>0</v>
      </c>
      <c r="U193" s="29">
        <f>IF(基础状态预期!G206="",0,求节点($C$114:$C$122,E$114:E$122,基础状态预期!L206)*基础状态预期!G206+求节点($C$124:$C$132,E$124:E$132,基础状态预期!$O206)*基础状态预期!$J206)</f>
        <v>0</v>
      </c>
      <c r="V193" s="29">
        <f>IF(基础状态预期!H206="",0,求节点($C$114:$C$122,F$114:F$122,基础状态预期!M206)*基础状态预期!H206+求节点($C$124:$C$132,F$124:F$132,基础状态预期!$O206)*基础状态预期!$J206)</f>
        <v>0</v>
      </c>
      <c r="W193" s="148">
        <f>IF(基础状态预期!I206="",0,求节点($C$114:$C$122,G$114:G$122,基础状态预期!N206)*基础状态预期!I206)+IF(基础状态预期!O206="",0,求节点($C$124:$C$132,G$124:G$132,基础状态预期!$O206)*基础状态预期!$J206)</f>
        <v>36</v>
      </c>
      <c r="X193" s="29">
        <f>IF(基础状态预期!J206="",0,求节点($C$114:$C$122,H$114:H$122,基础状态预期!O206)*基础状态预期!J206+求节点($C$124:$C$132,H$124:H$132,基础状态预期!$O206)*基础状态预期!$J206)</f>
        <v>0</v>
      </c>
      <c r="Y193" s="14">
        <f>IF(基础状态预期!K206="",0,求节点($C$92:$C$100,D$92:D$100,基础状态预期!K206))</f>
        <v>0</v>
      </c>
      <c r="Z193" s="14">
        <f>IF(基础状态预期!L206="",0,求节点($C$92:$C$100,E$92:E$100,基础状态预期!L206))</f>
        <v>0</v>
      </c>
      <c r="AA193" s="14">
        <f>IF(基础状态预期!M206="",0,求节点($C$92:$C$100,F$92:F$100,基础状态预期!M206))</f>
        <v>0</v>
      </c>
      <c r="AB193" s="14">
        <f>IF(基础状态预期!N206="",0,求节点($C$92:$C$100,G$92:G$100,基础状态预期!N206))</f>
        <v>1452251.7697358888</v>
      </c>
      <c r="AC193" s="14">
        <f>IF(基础状态预期!O206="",0,求节点($C$92:$C$100,H$92:H$100,基础状态预期!O206))</f>
        <v>504356.41999503889</v>
      </c>
      <c r="AD193" s="29">
        <f>MAX(SUMPRODUCT(Y193:AC193,基础状态预期!F206:J206),AD192)</f>
        <v>5869824.5691927839</v>
      </c>
      <c r="AF193" s="29" t="str">
        <f>IF(基础状态预期!K206="","",基础状态预期!K206*D$59+D$58)</f>
        <v/>
      </c>
      <c r="AG193" s="29" t="str">
        <f>IF(基础状态预期!L206="","",基础状态预期!L206*E$59+E$58)</f>
        <v/>
      </c>
      <c r="AH193" s="29" t="str">
        <f>IF(基础状态预期!M206="","",基础状态预期!M206*F$59+F$58)</f>
        <v/>
      </c>
      <c r="AI193" s="29">
        <f>IF(基础状态预期!N206="","",基础状态预期!N206*G$59+G$58)</f>
        <v>120.71192097553082</v>
      </c>
      <c r="AJ193" s="29">
        <f>IF(基础状态预期!O206="","",基础状态预期!O206*H$59+H$58)</f>
        <v>130.49195524993797</v>
      </c>
      <c r="AK193" s="29">
        <f>MAX(SUMPRODUCT(AF193:AJ193,基础状态预期!$F206:$J206)/SUM(基础状态预期!$F206:$J206),AK192)</f>
        <v>125.60193811273439</v>
      </c>
      <c r="AL193" s="29">
        <f>IF(基础状态预期!K206="",0,求节点($C$68:$C$76,D$68:D$76,基础状态预期!K206))</f>
        <v>0</v>
      </c>
      <c r="AM193" s="29">
        <f>IF(基础状态预期!L206="",0,求节点($C$68:$C$76,E$68:E$76,基础状态预期!L206))</f>
        <v>0</v>
      </c>
      <c r="AN193" s="29">
        <f>IF(基础状态预期!M206="",0,求节点($C$68:$C$76,F$68:F$76,基础状态预期!M206)*求节点(武将升级!$H$52:$H$54,武将升级!$J$52:$J$54,基础状态预期!W206))</f>
        <v>0</v>
      </c>
      <c r="AO193" s="29">
        <f>IF(基础状态预期!N206="",0,求节点($C$68:$C$76,G$68:G$76,基础状态预期!N206)*求节点(武将升级!$H$52:$H$54,武将升级!$J$52:$J$54,基础状态预期!X206))</f>
        <v>0.73025166204764391</v>
      </c>
      <c r="AP193" s="29">
        <f>IF(基础状态预期!O206="",0,求节点($C$68:$C$76,H$68:H$76,基础状态预期!O206)*求节点(武将升级!$H$52:$H$54,武将升级!$J$52:$J$54,基础状态预期!Y206))</f>
        <v>0.90655940333250629</v>
      </c>
      <c r="AQ193" s="29">
        <f>MAX(SUMPRODUCT(AL193:AP193,基础状态预期!$F206:$J206)/SUM(基础状态预期!$F206:$J206),AQ192)</f>
        <v>0.8184055326900751</v>
      </c>
      <c r="AR193" s="29">
        <f>IF(基础状态预期!K206="",0,求节点($C$158:$C$166,D$158:D$166,基础状态预期!K206))</f>
        <v>0</v>
      </c>
      <c r="AS193" s="29">
        <f>IF(基础状态预期!L206="",0,求节点($C$158:$C$166,E$158:E$166,基础状态预期!L206))</f>
        <v>0</v>
      </c>
      <c r="AT193" s="29">
        <f>IF(基础状态预期!M206="",0,求节点($C$158:$C$166,F$158:F$166,基础状态预期!M206))</f>
        <v>0</v>
      </c>
      <c r="AU193" s="29">
        <f>IF(基础状态预期!N206="",0,求节点($C$158:$C$166,G$158:G$166,基础状态预期!N206))</f>
        <v>0.49996689365743141</v>
      </c>
      <c r="AV193" s="29">
        <f>IF(基础状态预期!O206="",0,求节点($C$158:$C$166,H$158:H$166,基础状态预期!O206))</f>
        <v>0.50819925416563305</v>
      </c>
      <c r="AW193" s="29">
        <f>MAX(SUMPRODUCT(AR193:AV193,基础状态预期!$F206:$J206)/SUM(基础状态预期!$F206:$J206),AW192)</f>
        <v>0.50408307391153218</v>
      </c>
      <c r="BA193" s="29">
        <v>100</v>
      </c>
      <c r="BB193" s="29">
        <f t="shared" si="73"/>
        <v>148</v>
      </c>
      <c r="BC193" s="29">
        <f t="shared" si="74"/>
        <v>1.1399999999999999</v>
      </c>
      <c r="BD193" s="29">
        <f>(BB193-BB192)*(INDEX([2]超r将兵属性验证!$V$7:$V$166,$BA193,1)+INDEX([2]超r将兵属性验证!$AP$7:$AP$166,$BA193,1))+BD192</f>
        <v>13185192747.780821</v>
      </c>
      <c r="BE193" s="29" t="e">
        <f>(BC193-BC192)*(INDEX([2]超r将兵属性验证!$AC$7:$AC$166,$BA193,1)*[2]战法技能效用!$AB$4+INDEX([2]超r将兵属性验证!$AX$7:$AX$166,$BA193,1)*[2]战法技能效用!$AC$4)+BE192</f>
        <v>#VALUE!</v>
      </c>
      <c r="BF193" s="75" t="e">
        <f t="shared" si="80"/>
        <v>#VALUE!</v>
      </c>
      <c r="BJ193" s="29">
        <f t="shared" si="78"/>
        <v>64.247064283227857</v>
      </c>
      <c r="BK193" s="75">
        <f>武将数量星级阶位验证!AT196</f>
        <v>997034.79317186412</v>
      </c>
      <c r="BL193" s="75">
        <f>(AD193-AD192)*INDEX('[1]功能-付费相关'!$U$6:$AU$165,BJ193,1)+BL192</f>
        <v>475.30163895722956</v>
      </c>
      <c r="BN193" s="29">
        <v>100</v>
      </c>
      <c r="BO193" s="29">
        <f t="shared" si="76"/>
        <v>6884704.9995859917</v>
      </c>
      <c r="BP193" s="29">
        <f t="shared" si="77"/>
        <v>1055.8874701990292</v>
      </c>
      <c r="BQ193" s="29">
        <f t="shared" si="79"/>
        <v>6885760.8870561905</v>
      </c>
    </row>
    <row r="194" spans="13:69" x14ac:dyDescent="0.15">
      <c r="M194" s="72">
        <v>14</v>
      </c>
      <c r="N194" s="29">
        <f>基础状态预期!D207</f>
        <v>68.518369035696878</v>
      </c>
      <c r="O194" s="29">
        <f>IF(基础状态预期!F207="",0,求节点($C$104:$C$112,D$104:D$112,基础状态预期!K207))</f>
        <v>0</v>
      </c>
      <c r="P194" s="29">
        <f>IF(基础状态预期!G207="",0,求节点($C$104:$C$112,E$104:E$112,基础状态预期!L207))</f>
        <v>0</v>
      </c>
      <c r="Q194" s="29">
        <f>IF(基础状态预期!H207="",0,求节点($C$104:$C$112,F$104:F$112,基础状态预期!M207))</f>
        <v>0</v>
      </c>
      <c r="R194" s="29">
        <f>IF(基础状态预期!I207="",0,求节点($C$104:$C$112,G$104:G$112,基础状态预期!N207))</f>
        <v>16.254989865149977</v>
      </c>
      <c r="S194" s="29">
        <f>IF(基础状态预期!J207="",0,求节点($C$104:$C$112,H$104:H$112,基础状态预期!O207))</f>
        <v>10.233115930540041</v>
      </c>
      <c r="T194" s="29">
        <f>IF(基础状态预期!F207="",0,求节点($C$114:$C$122,D$114:D$122,基础状态预期!K207)*基础状态预期!F207+求节点($C$124:$C$132,D$124:D$132,基础状态预期!$O207)*基础状态预期!$J207)</f>
        <v>0</v>
      </c>
      <c r="U194" s="29">
        <f>IF(基础状态预期!G207="",0,求节点($C$114:$C$122,E$114:E$122,基础状态预期!L207)*基础状态预期!G207+求节点($C$124:$C$132,E$124:E$132,基础状态预期!$O207)*基础状态预期!$J207)</f>
        <v>0</v>
      </c>
      <c r="V194" s="29">
        <f>IF(基础状态预期!H207="",0,求节点($C$114:$C$122,F$114:F$122,基础状态预期!M207)*基础状态预期!H207+求节点($C$124:$C$132,F$124:F$132,基础状态预期!$O207)*基础状态预期!$J207)</f>
        <v>0</v>
      </c>
      <c r="W194" s="148">
        <f>IF(基础状态预期!I207="",0,求节点($C$114:$C$122,G$114:G$122,基础状态预期!N207)*基础状态预期!I207)+IF(基础状态预期!O207="",0,求节点($C$124:$C$132,G$124:G$132,基础状态预期!$O207)*基础状态预期!$J207)</f>
        <v>36</v>
      </c>
      <c r="X194" s="29">
        <f>IF(基础状态预期!J207="",0,求节点($C$114:$C$122,H$114:H$122,基础状态预期!O207)*基础状态预期!J207+求节点($C$124:$C$132,H$124:H$132,基础状态预期!$O207)*基础状态预期!$J207)</f>
        <v>0</v>
      </c>
      <c r="Y194" s="14">
        <f>IF(基础状态预期!K207="",0,求节点($C$92:$C$100,D$92:D$100,基础状态预期!K207))</f>
        <v>0</v>
      </c>
      <c r="Z194" s="14">
        <f>IF(基础状态预期!L207="",0,求节点($C$92:$C$100,E$92:E$100,基础状态预期!L207))</f>
        <v>0</v>
      </c>
      <c r="AA194" s="14">
        <f>IF(基础状态预期!M207="",0,求节点($C$92:$C$100,F$92:F$100,基础状态预期!M207))</f>
        <v>0</v>
      </c>
      <c r="AB194" s="14">
        <f>IF(基础状态预期!N207="",0,求节点($C$92:$C$100,G$92:G$100,基础状态预期!N207))</f>
        <v>1991596.7568479925</v>
      </c>
      <c r="AC194" s="14">
        <f>IF(基础状态预期!O207="",0,求节点($C$92:$C$100,H$92:H$100,基础状态预期!O207))</f>
        <v>822298.54888640647</v>
      </c>
      <c r="AD194" s="29">
        <f>MAX(SUMPRODUCT(Y194:AC194,基础状态预期!F207:J207),AD193)</f>
        <v>7272387.709241611</v>
      </c>
      <c r="AF194" s="29" t="str">
        <f>IF(基础状态预期!K207="","",基础状态预期!K207*D$59+D$58)</f>
        <v/>
      </c>
      <c r="AG194" s="29" t="str">
        <f>IF(基础状态预期!L207="","",基础状态预期!L207*E$59+E$58)</f>
        <v/>
      </c>
      <c r="AH194" s="29" t="str">
        <f>IF(基础状态预期!M207="","",基础状态预期!M207*F$59+F$58)</f>
        <v/>
      </c>
      <c r="AI194" s="29">
        <f>IF(基础状态预期!N207="","",基础状态预期!N207*G$59+G$58)</f>
        <v>122.81873733143746</v>
      </c>
      <c r="AJ194" s="29">
        <f>IF(基础状态预期!O207="","",基础状态预期!O207*H$59+H$58)</f>
        <v>134.46623186108008</v>
      </c>
      <c r="AK194" s="29">
        <f>MAX(SUMPRODUCT(AF194:AJ194,基础状态预期!$F207:$J207)/SUM(基础状态预期!$F207:$J207),AK193)</f>
        <v>130.58373368453252</v>
      </c>
      <c r="AL194" s="29">
        <f>IF(基础状态预期!K207="",0,求节点($C$68:$C$76,D$68:D$76,基础状态预期!K207))</f>
        <v>0</v>
      </c>
      <c r="AM194" s="29">
        <f>IF(基础状态预期!L207="",0,求节点($C$68:$C$76,E$68:E$76,基础状态预期!L207))</f>
        <v>0</v>
      </c>
      <c r="AN194" s="29">
        <f>IF(基础状态预期!M207="",0,求节点($C$68:$C$76,F$68:F$76,基础状态预期!M207)*求节点(武将升级!$H$52:$H$54,武将升级!$J$52:$J$54,基础状态预期!W207))</f>
        <v>0</v>
      </c>
      <c r="AO194" s="29">
        <f>IF(基础状态预期!N207="",0,求节点($C$68:$C$76,G$68:G$76,基础状态预期!N207)*求节点(武将升级!$H$52:$H$54,武将升级!$J$52:$J$54,基础状态预期!X207))</f>
        <v>0.76058981757269983</v>
      </c>
      <c r="AP194" s="29">
        <f>IF(基础状态预期!O207="",0,求节点($C$68:$C$76,H$68:H$76,基础状态预期!O207)*求节点(武将升级!$H$52:$H$54,武将升级!$J$52:$J$54,基础状态预期!Y207))</f>
        <v>0.95954975814773413</v>
      </c>
      <c r="AQ194" s="29">
        <f>MAX(SUMPRODUCT(AL194:AP194,基础状态预期!$F207:$J207)/SUM(基础状态预期!$F207:$J207),AQ193)</f>
        <v>0.89322977795605596</v>
      </c>
      <c r="AR194" s="29">
        <f>IF(基础状态预期!K207="",0,求节点($C$158:$C$166,D$158:D$166,基础状态预期!K207))</f>
        <v>0</v>
      </c>
      <c r="AS194" s="29">
        <f>IF(基础状态预期!L207="",0,求节点($C$158:$C$166,E$158:E$166,基础状态预期!L207))</f>
        <v>0</v>
      </c>
      <c r="AT194" s="29">
        <f>IF(基础状态预期!M207="",0,求节点($C$158:$C$166,F$158:F$166,基础状态预期!M207))</f>
        <v>0</v>
      </c>
      <c r="AU194" s="29">
        <f>IF(基础状态预期!N207="",0,求节点($C$158:$C$166,G$158:G$166,基础状态预期!N207))</f>
        <v>0.52946232264012461</v>
      </c>
      <c r="AV194" s="29">
        <f>IF(基础状态预期!O207="",0,求节点($C$158:$C$166,H$158:H$166,基础状态预期!O207))</f>
        <v>0.57443719768466805</v>
      </c>
      <c r="AW194" s="29">
        <f>MAX(SUMPRODUCT(AR194:AV194,基础状态预期!$F207:$J207)/SUM(基础状态预期!$F207:$J207),AW193)</f>
        <v>0.5594455726698202</v>
      </c>
      <c r="BA194" s="29">
        <v>110</v>
      </c>
      <c r="BB194" s="29">
        <f t="shared" si="73"/>
        <v>148</v>
      </c>
      <c r="BC194" s="29">
        <f t="shared" si="74"/>
        <v>1.1399999999999999</v>
      </c>
      <c r="BD194" s="29">
        <f>(BB194-BB193)*(INDEX([2]超r将兵属性验证!$V$7:$V$166,$BA194,1)+INDEX([2]超r将兵属性验证!$AP$7:$AP$166,$BA194,1))+BD193</f>
        <v>13185192747.780821</v>
      </c>
      <c r="BE194" s="29" t="e">
        <f>(BC194-BC193)*(INDEX([2]超r将兵属性验证!$AC$7:$AC$166,$BA194,1)*[2]战法技能效用!$AB$4+INDEX([2]超r将兵属性验证!$AX$7:$AX$166,$BA194,1)*[2]战法技能效用!$AC$4)+BE193</f>
        <v>#VALUE!</v>
      </c>
      <c r="BF194" s="75" t="e">
        <f t="shared" si="80"/>
        <v>#VALUE!</v>
      </c>
      <c r="BJ194" s="29">
        <f t="shared" si="78"/>
        <v>68.518369035696878</v>
      </c>
      <c r="BK194" s="75">
        <f>武将数量星级阶位验证!AT197</f>
        <v>1239952.7558806618</v>
      </c>
      <c r="BL194" s="75">
        <f>(AD194-AD193)*INDEX('[1]功能-付费相关'!$U$6:$AU$165,BJ194,1)+BL193</f>
        <v>530.07559335304302</v>
      </c>
      <c r="BN194" s="29">
        <v>110</v>
      </c>
      <c r="BO194" s="29">
        <f t="shared" ref="BO194:BO199" si="81">求节点($BJ$184:$BJ$222,BK$184:BK$222,$BN194)</f>
        <v>12877487.421237076</v>
      </c>
      <c r="BP194" s="29">
        <f t="shared" ref="BP194:BP199" si="82">求节点($BJ$184:$BJ$222,BL$184:BL$222,$BN194)</f>
        <v>1055.8874701990292</v>
      </c>
      <c r="BQ194" s="29">
        <f t="shared" ref="BQ194:BQ199" si="83">SUM(BO194:BP194)</f>
        <v>12878543.308707274</v>
      </c>
    </row>
    <row r="195" spans="13:69" x14ac:dyDescent="0.15">
      <c r="M195" s="72">
        <v>15</v>
      </c>
      <c r="N195" s="29">
        <f>基础状态预期!D208</f>
        <v>71.7664716439551</v>
      </c>
      <c r="O195" s="29">
        <f>IF(基础状态预期!F208="",0,求节点($C$104:$C$112,D$104:D$112,基础状态预期!K208))</f>
        <v>0</v>
      </c>
      <c r="P195" s="29">
        <f>IF(基础状态预期!G208="",0,求节点($C$104:$C$112,E$104:E$112,基础状态预期!L208))</f>
        <v>0</v>
      </c>
      <c r="Q195" s="29">
        <f>IF(基础状态预期!H208="",0,求节点($C$104:$C$112,F$104:F$112,基础状态预期!M208))</f>
        <v>0</v>
      </c>
      <c r="R195" s="29">
        <f>IF(基础状态预期!I208="",0,求节点($C$104:$C$112,G$104:G$112,基础状态预期!N208))</f>
        <v>17.956743299504939</v>
      </c>
      <c r="S195" s="29">
        <f>IF(基础状态预期!J208="",0,求节点($C$104:$C$112,H$104:H$112,基础状态预期!O208))</f>
        <v>11.457999613141965</v>
      </c>
      <c r="T195" s="29">
        <f>IF(基础状态预期!F208="",0,求节点($C$114:$C$122,D$114:D$122,基础状态预期!K208)*基础状态预期!F208+求节点($C$124:$C$132,D$124:D$132,基础状态预期!$O208)*基础状态预期!$J208)</f>
        <v>0</v>
      </c>
      <c r="U195" s="29">
        <f>IF(基础状态预期!G208="",0,求节点($C$114:$C$122,E$114:E$122,基础状态预期!L208)*基础状态预期!G208+求节点($C$124:$C$132,E$124:E$132,基础状态预期!$O208)*基础状态预期!$J208)</f>
        <v>0</v>
      </c>
      <c r="V195" s="29">
        <f>IF(基础状态预期!H208="",0,求节点($C$114:$C$122,F$114:F$122,基础状态预期!M208)*基础状态预期!H208+求节点($C$124:$C$132,F$124:F$132,基础状态预期!$O208)*基础状态预期!$J208)</f>
        <v>0</v>
      </c>
      <c r="W195" s="148">
        <f>IF(基础状态预期!I208="",0,求节点($C$114:$C$122,G$114:G$122,基础状态预期!N208)*基础状态预期!I208)+IF(基础状态预期!O208="",0,求节点($C$124:$C$132,G$124:G$132,基础状态预期!$O208)*基础状态预期!$J208)</f>
        <v>38.289998065709817</v>
      </c>
      <c r="X195" s="29">
        <f>IF(基础状态预期!J208="",0,求节点($C$114:$C$122,H$114:H$122,基础状态预期!O208)*基础状态预期!J208+求节点($C$124:$C$132,H$124:H$132,基础状态预期!$O208)*基础状态预期!$J208)</f>
        <v>0</v>
      </c>
      <c r="Y195" s="14">
        <f>IF(基础状态预期!K208="",0,求节点($C$92:$C$100,D$92:D$100,基础状态预期!K208))</f>
        <v>0</v>
      </c>
      <c r="Z195" s="14">
        <f>IF(基础状态预期!L208="",0,求节点($C$92:$C$100,E$92:E$100,基础状态预期!L208))</f>
        <v>0</v>
      </c>
      <c r="AA195" s="14">
        <f>IF(基础状态预期!M208="",0,求节点($C$92:$C$100,F$92:F$100,基础状态预期!M208))</f>
        <v>0</v>
      </c>
      <c r="AB195" s="14">
        <f>IF(基础状态预期!N208="",0,求节点($C$92:$C$100,G$92:G$100,基础状态预期!N208))</f>
        <v>2536157.8558415808</v>
      </c>
      <c r="AC195" s="14">
        <f>IF(基础状态预期!O208="",0,求节点($C$92:$C$100,H$92:H$100,基础状态预期!O208))</f>
        <v>1091559.8762054285</v>
      </c>
      <c r="AD195" s="29">
        <f>MAX(SUMPRODUCT(Y195:AC195,基础状态预期!F208:J208),AD194)</f>
        <v>7993957.2368687233</v>
      </c>
      <c r="AF195" s="29" t="str">
        <f>IF(基础状态预期!K208="","",基础状态预期!K208*D$59+D$58)</f>
        <v/>
      </c>
      <c r="AG195" s="29" t="str">
        <f>IF(基础状态预期!L208="","",基础状态预期!L208*E$59+E$58)</f>
        <v/>
      </c>
      <c r="AH195" s="29" t="str">
        <f>IF(基础状态预期!M208="","",基础状态预期!M208*F$59+F$58)</f>
        <v/>
      </c>
      <c r="AI195" s="29">
        <f>IF(基础状态预期!N208="","",基础状态预期!N208*G$59+G$58)</f>
        <v>124.94592912438117</v>
      </c>
      <c r="AJ195" s="29">
        <f>IF(基础状态预期!O208="","",基础状态预期!O208*H$59+H$58)</f>
        <v>136.91599922628393</v>
      </c>
      <c r="AK195" s="29">
        <f>MAX(SUMPRODUCT(AF195:AJ195,基础状态预期!$F208:$J208)/SUM(基础状态预期!$F208:$J208),AK194)</f>
        <v>134.92098754263347</v>
      </c>
      <c r="AL195" s="29">
        <f>IF(基础状态预期!K208="",0,求节点($C$68:$C$76,D$68:D$76,基础状态预期!K208))</f>
        <v>0</v>
      </c>
      <c r="AM195" s="29">
        <f>IF(基础状态预期!L208="",0,求节点($C$68:$C$76,E$68:E$76,基础状态预期!L208))</f>
        <v>0</v>
      </c>
      <c r="AN195" s="29">
        <f>IF(基础状态预期!M208="",0,求节点($C$68:$C$76,F$68:F$76,基础状态预期!M208)*求节点(武将升级!$H$52:$H$54,武将升级!$J$52:$J$54,基础状态预期!W208))</f>
        <v>0</v>
      </c>
      <c r="AO195" s="29">
        <f>IF(基础状态预期!N208="",0,求节点($C$68:$C$76,G$68:G$76,基础状态预期!N208)*求节点(武将升级!$H$52:$H$54,武将升级!$J$52:$J$54,基础状态预期!X208))</f>
        <v>0.79122137939108916</v>
      </c>
      <c r="AP195" s="29">
        <f>IF(基础状态预期!O208="",0,求节点($C$68:$C$76,H$68:H$76,基础状态预期!O208)*求节点(武将升级!$H$52:$H$54,武将升级!$J$52:$J$54,基础状态预期!Y208))</f>
        <v>0.99221332301711884</v>
      </c>
      <c r="AQ195" s="29">
        <f>MAX(SUMPRODUCT(AL195:AP195,基础状态预期!$F208:$J208)/SUM(基础状态预期!$F208:$J208),AQ194)</f>
        <v>0.95871466574611386</v>
      </c>
      <c r="AR195" s="29">
        <f>IF(基础状态预期!K208="",0,求节点($C$158:$C$166,D$158:D$166,基础状态预期!K208))</f>
        <v>0</v>
      </c>
      <c r="AS195" s="29">
        <f>IF(基础状态预期!L208="",0,求节点($C$158:$C$166,E$158:E$166,基础状态预期!L208))</f>
        <v>0</v>
      </c>
      <c r="AT195" s="29">
        <f>IF(基础状态预期!M208="",0,求节点($C$158:$C$166,F$158:F$166,基础状态预期!M208))</f>
        <v>0</v>
      </c>
      <c r="AU195" s="29">
        <f>IF(基础状态预期!N208="",0,求节点($C$158:$C$166,G$158:G$166,基础状态预期!N208))</f>
        <v>0.55924300774133651</v>
      </c>
      <c r="AV195" s="29">
        <f>IF(基础状态预期!O208="",0,求节点($C$158:$C$166,H$158:H$166,基础状态预期!O208))</f>
        <v>0.61526665377139877</v>
      </c>
      <c r="AW195" s="29">
        <f>MAX(SUMPRODUCT(AR195:AV195,基础状态预期!$F208:$J208)/SUM(基础状态预期!$F208:$J208),AW194)</f>
        <v>0.60592937943305503</v>
      </c>
      <c r="BA195" s="29">
        <v>120</v>
      </c>
      <c r="BB195" s="29">
        <f t="shared" si="73"/>
        <v>148</v>
      </c>
      <c r="BC195" s="29">
        <f t="shared" si="74"/>
        <v>1.1399999999999999</v>
      </c>
      <c r="BD195" s="29">
        <f>(BB195-BB194)*(INDEX([2]超r将兵属性验证!$V$7:$V$166,$BA195,1)+INDEX([2]超r将兵属性验证!$AP$7:$AP$166,$BA195,1))+BD194</f>
        <v>13185192747.780821</v>
      </c>
      <c r="BE195" s="29" t="e">
        <f>(BC195-BC194)*(INDEX([2]超r将兵属性验证!$AC$7:$AC$166,$BA195,1)*[2]战法技能效用!$AB$4+INDEX([2]超r将兵属性验证!$AX$7:$AX$166,$BA195,1)*[2]战法技能效用!$AC$4)+BE194</f>
        <v>#VALUE!</v>
      </c>
      <c r="BF195" s="75" t="e">
        <f t="shared" si="80"/>
        <v>#VALUE!</v>
      </c>
      <c r="BJ195" s="29">
        <f t="shared" si="78"/>
        <v>71.7664716439551</v>
      </c>
      <c r="BK195" s="75">
        <f>武将数量星级阶位验证!AT198</f>
        <v>1485315.7710339066</v>
      </c>
      <c r="BL195" s="75">
        <f>(AD195-AD194)*INDEX('[1]功能-付费相关'!$U$6:$AU$165,BJ195,1)+BL194</f>
        <v>556.65826908107249</v>
      </c>
      <c r="BN195" s="29">
        <v>120</v>
      </c>
      <c r="BO195" s="29">
        <f t="shared" si="81"/>
        <v>24201775.973709479</v>
      </c>
      <c r="BP195" s="29">
        <f t="shared" si="82"/>
        <v>1055.8874701990292</v>
      </c>
      <c r="BQ195" s="29">
        <f t="shared" si="83"/>
        <v>24202831.86117968</v>
      </c>
    </row>
    <row r="196" spans="13:69" x14ac:dyDescent="0.15">
      <c r="M196" s="72">
        <v>16</v>
      </c>
      <c r="N196" s="29">
        <f>基础状态预期!D209</f>
        <v>74.370993278111257</v>
      </c>
      <c r="O196" s="29">
        <f>IF(基础状态预期!F209="",0,求节点($C$104:$C$112,D$104:D$112,基础状态预期!K209))</f>
        <v>0</v>
      </c>
      <c r="P196" s="29">
        <f>IF(基础状态预期!G209="",0,求节点($C$104:$C$112,E$104:E$112,基础状态预期!L209))</f>
        <v>0</v>
      </c>
      <c r="Q196" s="29">
        <f>IF(基础状态预期!H209="",0,求节点($C$104:$C$112,F$104:F$112,基础状态预期!M209))</f>
        <v>0</v>
      </c>
      <c r="R196" s="29">
        <f>IF(基础状态预期!I209="",0,求节点($C$104:$C$112,G$104:G$112,基础状态预期!N209))</f>
        <v>18</v>
      </c>
      <c r="S196" s="29">
        <f>IF(基础状态预期!J209="",0,求节点($C$104:$C$112,H$104:H$112,基础状态预期!O209))</f>
        <v>13.228836482718036</v>
      </c>
      <c r="T196" s="29">
        <f>IF(基础状态预期!F209="",0,求节点($C$114:$C$122,D$114:D$122,基础状态预期!K209)*基础状态预期!F209+求节点($C$124:$C$132,D$124:D$132,基础状态预期!$O209)*基础状态预期!$J209)</f>
        <v>0</v>
      </c>
      <c r="U196" s="29">
        <f>IF(基础状态预期!G209="",0,求节点($C$114:$C$122,E$114:E$122,基础状态预期!L209)*基础状态预期!G209+求节点($C$124:$C$132,E$124:E$132,基础状态预期!$O209)*基础状态预期!$J209)</f>
        <v>0</v>
      </c>
      <c r="V196" s="29">
        <f>IF(基础状态预期!H209="",0,求节点($C$114:$C$122,F$114:F$122,基础状态预期!M209)*基础状态预期!H209+求节点($C$124:$C$132,F$124:F$132,基础状态预期!$O209)*基础状态预期!$J209)</f>
        <v>0</v>
      </c>
      <c r="W196" s="148">
        <f>IF(基础状态预期!I209="",0,求节点($C$114:$C$122,G$114:G$122,基础状态预期!N209)*基础状态预期!I209)+IF(基础状态预期!O209="",0,求节点($C$124:$C$132,G$124:G$132,基础状态预期!$O209)*基础状态预期!$J209)</f>
        <v>48.258600654949198</v>
      </c>
      <c r="X196" s="29">
        <f>IF(基础状态预期!J209="",0,求节点($C$114:$C$122,H$114:H$122,基础状态预期!O209)*基础状态预期!J209+求节点($C$124:$C$132,H$124:H$132,基础状态预期!$O209)*基础状态预期!$J209)</f>
        <v>0</v>
      </c>
      <c r="Y196" s="14">
        <f>IF(基础状态预期!K209="",0,求节点($C$92:$C$100,D$92:D$100,基础状态预期!K209))</f>
        <v>0</v>
      </c>
      <c r="Z196" s="14">
        <f>IF(基础状态预期!L209="",0,求节点($C$92:$C$100,E$92:E$100,基础状态预期!L209))</f>
        <v>0</v>
      </c>
      <c r="AA196" s="14">
        <f>IF(基础状态预期!M209="",0,求节点($C$92:$C$100,F$92:F$100,基础状态预期!M209))</f>
        <v>0</v>
      </c>
      <c r="AB196" s="14">
        <f>IF(基础状态预期!N209="",0,求节点($C$92:$C$100,G$92:G$100,基础状态预期!N209))</f>
        <v>2550000</v>
      </c>
      <c r="AC196" s="14">
        <f>IF(基础状态预期!O209="",0,求节点($C$92:$C$100,H$92:H$100,基础状态预期!O209))</f>
        <v>1658227.6744697713</v>
      </c>
      <c r="AD196" s="29">
        <f>MAX(SUMPRODUCT(Y196:AC196,基础状态预期!F209:J209),AD195)</f>
        <v>10395252.209583743</v>
      </c>
      <c r="AF196" s="29" t="str">
        <f>IF(基础状态预期!K209="","",基础状态预期!K209*D$59+D$58)</f>
        <v/>
      </c>
      <c r="AG196" s="29" t="str">
        <f>IF(基础状态预期!L209="","",基础状态预期!L209*E$59+E$58)</f>
        <v/>
      </c>
      <c r="AH196" s="29" t="str">
        <f>IF(基础状态预期!M209="","",基础状态预期!M209*F$59+F$58)</f>
        <v/>
      </c>
      <c r="AI196" s="29">
        <f>IF(基础状态预期!N209="","",基础状态预期!N209*G$59+G$58)</f>
        <v>125</v>
      </c>
      <c r="AJ196" s="29">
        <f>IF(基础状态预期!O209="","",基础状态预期!O209*H$59+H$58)</f>
        <v>140.45767296543607</v>
      </c>
      <c r="AK196" s="29">
        <f>MAX(SUMPRODUCT(AF196:AJ196,基础状态预期!$F209:$J209)/SUM(基础状态预期!$F209:$J209),AK195)</f>
        <v>139.16953355164972</v>
      </c>
      <c r="AL196" s="29">
        <f>IF(基础状态预期!K209="",0,求节点($C$68:$C$76,D$68:D$76,基础状态预期!K209))</f>
        <v>0</v>
      </c>
      <c r="AM196" s="29">
        <f>IF(基础状态预期!L209="",0,求节点($C$68:$C$76,E$68:E$76,基础状态预期!L209))</f>
        <v>0</v>
      </c>
      <c r="AN196" s="29">
        <f>IF(基础状态预期!M209="",0,求节点($C$68:$C$76,F$68:F$76,基础状态预期!M209)*求节点(武将升级!$H$52:$H$54,武将升级!$J$52:$J$54,基础状态预期!W209))</f>
        <v>0</v>
      </c>
      <c r="AO196" s="29">
        <f>IF(基础状态预期!N209="",0,求节点($C$68:$C$76,G$68:G$76,基础状态预期!N209)*求节点(武将升级!$H$52:$H$54,武将升级!$J$52:$J$54,基础状态预期!X209))</f>
        <v>0.79200000000000026</v>
      </c>
      <c r="AP196" s="29">
        <f>IF(基础状态预期!O209="",0,求节点($C$68:$C$76,H$68:H$76,基础状态预期!O209)*求节点(武将升级!$H$52:$H$54,武将升级!$J$52:$J$54,基础状态预期!Y209))</f>
        <v>1.0394356395391475</v>
      </c>
      <c r="AQ196" s="29">
        <f>MAX(SUMPRODUCT(AL196:AP196,基础状态预期!$F209:$J209)/SUM(基础状态预期!$F209:$J209),AQ195)</f>
        <v>1.0188160029108853</v>
      </c>
      <c r="AR196" s="29">
        <f>IF(基础状态预期!K209="",0,求节点($C$158:$C$166,D$158:D$166,基础状态预期!K209))</f>
        <v>0</v>
      </c>
      <c r="AS196" s="29">
        <f>IF(基础状态预期!L209="",0,求节点($C$158:$C$166,E$158:E$166,基础状态预期!L209))</f>
        <v>0</v>
      </c>
      <c r="AT196" s="29">
        <f>IF(基础状态预期!M209="",0,求节点($C$158:$C$166,F$158:F$166,基础状态预期!M209))</f>
        <v>0</v>
      </c>
      <c r="AU196" s="29">
        <f>IF(基础状态预期!N209="",0,求节点($C$158:$C$166,G$158:G$166,基础状态预期!N209))</f>
        <v>0.56000000000000005</v>
      </c>
      <c r="AV196" s="29">
        <f>IF(基础状态预期!O209="",0,求节点($C$158:$C$166,H$158:H$166,基础状态预期!O209))</f>
        <v>0.67429454942393452</v>
      </c>
      <c r="AW196" s="29">
        <f>MAX(SUMPRODUCT(AR196:AV196,基础状态预期!$F209:$J209)/SUM(基础状态预期!$F209:$J209),AW195)</f>
        <v>0.66477000363860661</v>
      </c>
      <c r="BA196" s="29">
        <v>130</v>
      </c>
      <c r="BB196" s="29">
        <f t="shared" si="73"/>
        <v>148</v>
      </c>
      <c r="BC196" s="29">
        <f t="shared" si="74"/>
        <v>1.1399999999999999</v>
      </c>
      <c r="BD196" s="29">
        <f>(BB196-BB195)*(INDEX([2]超r将兵属性验证!$V$7:$V$166,$BA196,1)+INDEX([2]超r将兵属性验证!$AP$7:$AP$166,$BA196,1))+BD195</f>
        <v>13185192747.780821</v>
      </c>
      <c r="BE196" s="29" t="e">
        <f>(BC196-BC195)*(INDEX([2]超r将兵属性验证!$AC$7:$AC$166,$BA196,1)*[2]战法技能效用!$AB$4+INDEX([2]超r将兵属性验证!$AX$7:$AX$166,$BA196,1)*[2]战法技能效用!$AC$4)+BE195</f>
        <v>#VALUE!</v>
      </c>
      <c r="BF196" s="75" t="e">
        <f t="shared" si="80"/>
        <v>#VALUE!</v>
      </c>
      <c r="BJ196" s="29">
        <f t="shared" si="78"/>
        <v>74.370993278111257</v>
      </c>
      <c r="BK196" s="75">
        <f>武将数量星级阶位验证!AT199</f>
        <v>1717344.8098724971</v>
      </c>
      <c r="BL196" s="75">
        <f>(AD196-AD195)*INDEX('[1]功能-付费相关'!$U$6:$AU$165,BJ196,1)+BL195</f>
        <v>641.14434490651661</v>
      </c>
      <c r="BN196" s="29">
        <v>130</v>
      </c>
      <c r="BO196" s="29">
        <f t="shared" si="81"/>
        <v>45626748.84049844</v>
      </c>
      <c r="BP196" s="29">
        <f t="shared" si="82"/>
        <v>1055.8874701990292</v>
      </c>
      <c r="BQ196" s="29">
        <f t="shared" si="83"/>
        <v>45627804.727968641</v>
      </c>
    </row>
    <row r="197" spans="13:69" x14ac:dyDescent="0.15">
      <c r="M197" s="72">
        <v>17</v>
      </c>
      <c r="N197" s="29">
        <f>基础状态预期!D210</f>
        <v>77.234275947206214</v>
      </c>
      <c r="O197" s="29">
        <f>IF(基础状态预期!F210="",0,求节点($C$104:$C$112,D$104:D$112,基础状态预期!K210))</f>
        <v>0</v>
      </c>
      <c r="P197" s="29">
        <f>IF(基础状态预期!G210="",0,求节点($C$104:$C$112,E$104:E$112,基础状态预期!L210))</f>
        <v>0</v>
      </c>
      <c r="Q197" s="29">
        <f>IF(基础状态预期!H210="",0,求节点($C$104:$C$112,F$104:F$112,基础状态预期!M210))</f>
        <v>0</v>
      </c>
      <c r="R197" s="29">
        <f>IF(基础状态预期!I210="",0,求节点($C$104:$C$112,G$104:G$112,基础状态预期!N210))</f>
        <v>0</v>
      </c>
      <c r="S197" s="29">
        <f>IF(基础状态预期!J210="",0,求节点($C$104:$C$112,H$104:H$112,基础状态预期!O210))</f>
        <v>15.569661892728604</v>
      </c>
      <c r="T197" s="29">
        <f>IF(基础状态预期!F210="",0,求节点($C$114:$C$122,D$114:D$122,基础状态预期!K210)*基础状态预期!F210+求节点($C$124:$C$132,D$124:D$132,基础状态预期!$O210)*基础状态预期!$J210)</f>
        <v>0</v>
      </c>
      <c r="U197" s="29">
        <f>IF(基础状态预期!G210="",0,求节点($C$114:$C$122,E$114:E$122,基础状态预期!L210)*基础状态预期!G210+求节点($C$124:$C$132,E$124:E$132,基础状态预期!$O210)*基础状态预期!$J210)</f>
        <v>0</v>
      </c>
      <c r="V197" s="29">
        <f>IF(基础状态预期!H210="",0,求节点($C$114:$C$122,F$114:F$122,基础状态预期!M210)*基础状态预期!H210+求节点($C$124:$C$132,F$124:F$132,基础状态预期!$O210)*基础状态预期!$J210)</f>
        <v>0</v>
      </c>
      <c r="W197" s="148">
        <f>IF(基础状态预期!I210="",0,求节点($C$114:$C$122,G$114:G$122,基础状态预期!N210)*基础状态预期!I210)+IF(基础状态预期!O210="",0,求节点($C$124:$C$132,G$124:G$132,基础状态预期!$O210)*基础状态预期!$J210)</f>
        <v>54</v>
      </c>
      <c r="X197" s="29">
        <f>IF(基础状态预期!J210="",0,求节点($C$114:$C$122,H$114:H$122,基础状态预期!O210)*基础状态预期!J210+求节点($C$124:$C$132,H$124:H$132,基础状态预期!$O210)*基础状态预期!$J210)</f>
        <v>0</v>
      </c>
      <c r="Y197" s="14">
        <f>IF(基础状态预期!K210="",0,求节点($C$92:$C$100,D$92:D$100,基础状态预期!K210))</f>
        <v>0</v>
      </c>
      <c r="Z197" s="14">
        <f>IF(基础状态预期!L210="",0,求节点($C$92:$C$100,E$92:E$100,基础状态预期!L210))</f>
        <v>0</v>
      </c>
      <c r="AA197" s="14">
        <f>IF(基础状态预期!M210="",0,求节点($C$92:$C$100,F$92:F$100,基础状态预期!M210))</f>
        <v>0</v>
      </c>
      <c r="AB197" s="14">
        <f>IF(基础状态预期!N210="",0,求节点($C$92:$C$100,G$92:G$100,基础状态预期!N210))</f>
        <v>0</v>
      </c>
      <c r="AC197" s="14">
        <f>IF(基础状态预期!O210="",0,求节点($C$92:$C$100,H$92:H$100,基础状态预期!O210))</f>
        <v>2658437.7085097297</v>
      </c>
      <c r="AD197" s="29">
        <f>MAX(SUMPRODUCT(Y197:AC197,基础状态预期!F210:J210),AD196)</f>
        <v>15950626.251058377</v>
      </c>
      <c r="AF197" s="29" t="str">
        <f>IF(基础状态预期!K210="","",基础状态预期!K210*D$59+D$58)</f>
        <v/>
      </c>
      <c r="AG197" s="29" t="str">
        <f>IF(基础状态预期!L210="","",基础状态预期!L210*E$59+E$58)</f>
        <v/>
      </c>
      <c r="AH197" s="29" t="str">
        <f>IF(基础状态预期!M210="","",基础状态预期!M210*F$59+F$58)</f>
        <v/>
      </c>
      <c r="AI197" s="29" t="str">
        <f>IF(基础状态预期!N210="","",基础状态预期!N210*G$59+G$58)</f>
        <v/>
      </c>
      <c r="AJ197" s="29">
        <f>IF(基础状态预期!O210="","",基础状态预期!O210*H$59+H$58)</f>
        <v>144.3544928390929</v>
      </c>
      <c r="AK197" s="29">
        <f>MAX(SUMPRODUCT(AF197:AJ197,基础状态预期!$F210:$J210)/SUM(基础状态预期!$F210:$J210),AK196)</f>
        <v>144.3544928390929</v>
      </c>
      <c r="AL197" s="29">
        <f>IF(基础状态预期!K210="",0,求节点($C$68:$C$76,D$68:D$76,基础状态预期!K210))</f>
        <v>0</v>
      </c>
      <c r="AM197" s="29">
        <f>IF(基础状态预期!L210="",0,求节点($C$68:$C$76,E$68:E$76,基础状态预期!L210))</f>
        <v>0</v>
      </c>
      <c r="AN197" s="29">
        <f>IF(基础状态预期!M210="",0,求节点($C$68:$C$76,F$68:F$76,基础状态预期!M210)*求节点(武将升级!$H$52:$H$54,武将升级!$J$52:$J$54,基础状态预期!W210))</f>
        <v>0</v>
      </c>
      <c r="AO197" s="29">
        <f>IF(基础状态预期!N210="",0,求节点($C$68:$C$76,G$68:G$76,基础状态预期!N210)*求节点(武将升级!$H$52:$H$54,武将升级!$J$52:$J$54,基础状态预期!X210))</f>
        <v>0</v>
      </c>
      <c r="AP197" s="29">
        <f>IF(基础状态预期!O210="",0,求节点($C$68:$C$76,H$68:H$76,基础状态预期!O210)*求节点(武将升级!$H$52:$H$54,武将升级!$J$52:$J$54,基础状态预期!Y210))</f>
        <v>1.0913932378545719</v>
      </c>
      <c r="AQ197" s="29">
        <f>MAX(SUMPRODUCT(AL197:AP197,基础状态预期!$F210:$J210)/SUM(基础状态预期!$F210:$J210),AQ196)</f>
        <v>1.0913932378545719</v>
      </c>
      <c r="AR197" s="29">
        <f>IF(基础状态预期!K210="",0,求节点($C$158:$C$166,D$158:D$166,基础状态预期!K210))</f>
        <v>0</v>
      </c>
      <c r="AS197" s="29">
        <f>IF(基础状态预期!L210="",0,求节点($C$158:$C$166,E$158:E$166,基础状态预期!L210))</f>
        <v>0</v>
      </c>
      <c r="AT197" s="29">
        <f>IF(基础状态预期!M210="",0,求节点($C$158:$C$166,F$158:F$166,基础状态预期!M210))</f>
        <v>0</v>
      </c>
      <c r="AU197" s="29">
        <f>IF(基础状态预期!N210="",0,求节点($C$158:$C$166,G$158:G$166,基础状态预期!N210))</f>
        <v>0</v>
      </c>
      <c r="AV197" s="29">
        <f>IF(基础状态预期!O210="",0,求节点($C$158:$C$166,H$158:H$166,基础状态预期!O210))</f>
        <v>0.73924154731821512</v>
      </c>
      <c r="AW197" s="29">
        <f>MAX(SUMPRODUCT(AR197:AV197,基础状态预期!$F210:$J210)/SUM(基础状态预期!$F210:$J210),AW196)</f>
        <v>0.73924154731821512</v>
      </c>
      <c r="BA197" s="29">
        <v>140</v>
      </c>
      <c r="BB197" s="29">
        <f t="shared" si="73"/>
        <v>148</v>
      </c>
      <c r="BC197" s="29">
        <f t="shared" si="74"/>
        <v>1.1399999999999999</v>
      </c>
      <c r="BD197" s="29">
        <f>(BB197-BB196)*(INDEX([2]超r将兵属性验证!$V$7:$V$166,$BA197,1)+INDEX([2]超r将兵属性验证!$AP$7:$AP$166,$BA197,1))+BD196</f>
        <v>13185192747.780821</v>
      </c>
      <c r="BE197" s="29" t="e">
        <f>(BC197-BC196)*(INDEX([2]超r将兵属性验证!$AC$7:$AC$166,$BA197,1)*[2]战法技能效用!$AB$4+INDEX([2]超r将兵属性验证!$AX$7:$AX$166,$BA197,1)*[2]战法技能效用!$AC$4)+BE196</f>
        <v>#VALUE!</v>
      </c>
      <c r="BF197" s="75" t="e">
        <f t="shared" si="80"/>
        <v>#VALUE!</v>
      </c>
      <c r="BJ197" s="29">
        <f t="shared" si="78"/>
        <v>77.234275947206214</v>
      </c>
      <c r="BK197" s="75">
        <f>武将数量星级阶位验证!AT200</f>
        <v>2027235.3703938336</v>
      </c>
      <c r="BL197" s="75">
        <f>(AD197-AD196)*INDEX('[1]功能-付费相关'!$U$6:$AU$165,BJ197,1)+BL196</f>
        <v>827.8170716119032</v>
      </c>
      <c r="BN197" s="29">
        <v>140</v>
      </c>
      <c r="BO197" s="29">
        <f t="shared" si="81"/>
        <v>86053487.807655871</v>
      </c>
      <c r="BP197" s="29">
        <f t="shared" si="82"/>
        <v>1055.8874701990292</v>
      </c>
      <c r="BQ197" s="29">
        <f t="shared" si="83"/>
        <v>86054543.695126072</v>
      </c>
    </row>
    <row r="198" spans="13:69" x14ac:dyDescent="0.15">
      <c r="M198" s="72">
        <v>18</v>
      </c>
      <c r="N198" s="29">
        <f>基础状态预期!D211</f>
        <v>79.725666247801229</v>
      </c>
      <c r="O198" s="29">
        <f>IF(基础状态预期!F211="",0,求节点($C$104:$C$112,D$104:D$112,基础状态预期!K211))</f>
        <v>0</v>
      </c>
      <c r="P198" s="29">
        <f>IF(基础状态预期!G211="",0,求节点($C$104:$C$112,E$104:E$112,基础状态预期!L211))</f>
        <v>0</v>
      </c>
      <c r="Q198" s="29">
        <f>IF(基础状态预期!H211="",0,求节点($C$104:$C$112,F$104:F$112,基础状态预期!M211))</f>
        <v>0</v>
      </c>
      <c r="R198" s="29">
        <f>IF(基础状态预期!I211="",0,求节点($C$104:$C$112,G$104:G$112,基础状态预期!N211))</f>
        <v>0</v>
      </c>
      <c r="S198" s="29">
        <f>IF(基础状态预期!J211="",0,求节点($C$104:$C$112,H$104:H$112,基础状态预期!O211))</f>
        <v>18</v>
      </c>
      <c r="T198" s="29">
        <f>IF(基础状态预期!F211="",0,求节点($C$114:$C$122,D$114:D$122,基础状态预期!K211)*基础状态预期!F211+求节点($C$124:$C$132,D$124:D$132,基础状态预期!$O211)*基础状态预期!$J211)</f>
        <v>0</v>
      </c>
      <c r="U198" s="29">
        <f>IF(基础状态预期!G211="",0,求节点($C$114:$C$122,E$114:E$122,基础状态预期!L211)*基础状态预期!G211+求节点($C$124:$C$132,E$124:E$132,基础状态预期!$O211)*基础状态预期!$J211)</f>
        <v>0</v>
      </c>
      <c r="V198" s="29">
        <f>IF(基础状态预期!H211="",0,求节点($C$114:$C$122,F$114:F$122,基础状态预期!M211)*基础状态预期!H211+求节点($C$124:$C$132,F$124:F$132,基础状态预期!$O211)*基础状态预期!$J211)</f>
        <v>0</v>
      </c>
      <c r="W198" s="148">
        <f>IF(基础状态预期!I211="",0,求节点($C$114:$C$122,G$114:G$122,基础状态预期!N211)*基础状态预期!I211)+IF(基础状态预期!O211="",0,求节点($C$124:$C$132,G$124:G$132,基础状态预期!$O211)*基础状态预期!$J211)</f>
        <v>54</v>
      </c>
      <c r="X198" s="29">
        <f>IF(基础状态预期!J211="",0,求节点($C$114:$C$122,H$114:H$122,基础状态预期!O211)*基础状态预期!J211+求节点($C$124:$C$132,H$124:H$132,基础状态预期!$O211)*基础状态预期!$J211)</f>
        <v>0</v>
      </c>
      <c r="Y198" s="14">
        <f>IF(基础状态预期!K211="",0,求节点($C$92:$C$100,D$92:D$100,基础状态预期!K211))</f>
        <v>0</v>
      </c>
      <c r="Z198" s="14">
        <f>IF(基础状态预期!L211="",0,求节点($C$92:$C$100,E$92:E$100,基础状态预期!L211))</f>
        <v>0</v>
      </c>
      <c r="AA198" s="14">
        <f>IF(基础状态预期!M211="",0,求节点($C$92:$C$100,F$92:F$100,基础状态预期!M211))</f>
        <v>0</v>
      </c>
      <c r="AB198" s="14">
        <f>IF(基础状态预期!N211="",0,求节点($C$92:$C$100,G$92:G$100,基础状态预期!N211))</f>
        <v>0</v>
      </c>
      <c r="AC198" s="14">
        <f>IF(基础状态预期!O211="",0,求节点($C$92:$C$100,H$92:H$100,基础状态预期!O211))</f>
        <v>3825000</v>
      </c>
      <c r="AD198" s="29">
        <f>MAX(SUMPRODUCT(Y198:AC198,基础状态预期!F211:J211),AD197)</f>
        <v>22950000</v>
      </c>
      <c r="AF198" s="29" t="str">
        <f>IF(基础状态预期!K211="","",基础状态预期!K211*D$59+D$58)</f>
        <v/>
      </c>
      <c r="AG198" s="29" t="str">
        <f>IF(基础状态预期!L211="","",基础状态预期!L211*E$59+E$58)</f>
        <v/>
      </c>
      <c r="AH198" s="29" t="str">
        <f>IF(基础状态预期!M211="","",基础状态预期!M211*F$59+F$58)</f>
        <v/>
      </c>
      <c r="AI198" s="29" t="str">
        <f>IF(基础状态预期!N211="","",基础状态预期!N211*G$59+G$58)</f>
        <v/>
      </c>
      <c r="AJ198" s="29">
        <f>IF(基础状态预期!O211="","",基础状态预期!O211*H$59+H$58)</f>
        <v>148</v>
      </c>
      <c r="AK198" s="29">
        <f>MAX(SUMPRODUCT(AF198:AJ198,基础状态预期!$F211:$J211)/SUM(基础状态预期!$F211:$J211),AK197)</f>
        <v>148</v>
      </c>
      <c r="AL198" s="29">
        <f>IF(基础状态预期!K211="",0,求节点($C$68:$C$76,D$68:D$76,基础状态预期!K211))</f>
        <v>0</v>
      </c>
      <c r="AM198" s="29">
        <f>IF(基础状态预期!L211="",0,求节点($C$68:$C$76,E$68:E$76,基础状态预期!L211))</f>
        <v>0</v>
      </c>
      <c r="AN198" s="29">
        <f>IF(基础状态预期!M211="",0,求节点($C$68:$C$76,F$68:F$76,基础状态预期!M211)*求节点(武将升级!$H$52:$H$54,武将升级!$J$52:$J$54,基础状态预期!W211))</f>
        <v>0</v>
      </c>
      <c r="AO198" s="29">
        <f>IF(基础状态预期!N211="",0,求节点($C$68:$C$76,G$68:G$76,基础状态预期!N211)*求节点(武将升级!$H$52:$H$54,武将升级!$J$52:$J$54,基础状态预期!X211))</f>
        <v>0</v>
      </c>
      <c r="AP198" s="29">
        <f>IF(基础状态预期!O211="",0,求节点($C$68:$C$76,H$68:H$76,基础状态预期!O211)*求节点(武将升级!$H$52:$H$54,武将升级!$J$52:$J$54,基础状态预期!Y211))</f>
        <v>1.1399999999999999</v>
      </c>
      <c r="AQ198" s="29">
        <f>MAX(SUMPRODUCT(AL198:AP198,基础状态预期!$F211:$J211)/SUM(基础状态预期!$F211:$J211),AQ197)</f>
        <v>1.1399999999999999</v>
      </c>
      <c r="AR198" s="29">
        <f>IF(基础状态预期!K211="",0,求节点($C$158:$C$166,D$158:D$166,基础状态预期!K211))</f>
        <v>0</v>
      </c>
      <c r="AS198" s="29">
        <f>IF(基础状态预期!L211="",0,求节点($C$158:$C$166,E$158:E$166,基础状态预期!L211))</f>
        <v>0</v>
      </c>
      <c r="AT198" s="29">
        <f>IF(基础状态预期!M211="",0,求节点($C$158:$C$166,F$158:F$166,基础状态预期!M211))</f>
        <v>0</v>
      </c>
      <c r="AU198" s="29">
        <f>IF(基础状态预期!N211="",0,求节点($C$158:$C$166,G$158:G$166,基础状态预期!N211))</f>
        <v>0</v>
      </c>
      <c r="AV198" s="29">
        <f>IF(基础状态预期!O211="",0,求节点($C$158:$C$166,H$158:H$166,基础状态预期!O211))</f>
        <v>0.8</v>
      </c>
      <c r="AW198" s="29">
        <f>MAX(SUMPRODUCT(AR198:AV198,基础状态预期!$F211:$J211)/SUM(基础状态预期!$F211:$J211),AW197)</f>
        <v>0.80000000000000016</v>
      </c>
      <c r="BA198" s="29">
        <v>150</v>
      </c>
      <c r="BB198" s="29">
        <f t="shared" si="73"/>
        <v>148</v>
      </c>
      <c r="BC198" s="29">
        <f t="shared" si="74"/>
        <v>1.1399999999999999</v>
      </c>
      <c r="BD198" s="29">
        <f>(BB198-BB197)*(INDEX([2]超r将兵属性验证!$V$7:$V$166,$BA198,1)+INDEX([2]超r将兵属性验证!$AP$7:$AP$166,$BA198,1))+BD197</f>
        <v>13185192747.780821</v>
      </c>
      <c r="BE198" s="29" t="e">
        <f>(BC198-BC197)*(INDEX([2]超r将兵属性验证!$AC$7:$AC$166,$BA198,1)*[2]战法技能效用!$AB$4+INDEX([2]超r将兵属性验证!$AX$7:$AX$166,$BA198,1)*[2]战法技能效用!$AC$4)+BE197</f>
        <v>#VALUE!</v>
      </c>
      <c r="BF198" s="75" t="e">
        <f t="shared" si="80"/>
        <v>#VALUE!</v>
      </c>
      <c r="BJ198" s="29">
        <f t="shared" si="78"/>
        <v>79.725666247801229</v>
      </c>
      <c r="BK198" s="75">
        <f>武将数量星级阶位验证!AT201</f>
        <v>2318928.9389329203</v>
      </c>
      <c r="BL198" s="75">
        <f>(AD198-AD197)*INDEX('[1]功能-付费相关'!$U$6:$AU$165,BJ198,1)+BL197</f>
        <v>1055.8874701990292</v>
      </c>
      <c r="BN198" s="29">
        <v>150</v>
      </c>
      <c r="BO198" s="29">
        <f t="shared" si="81"/>
        <v>165531944.32478538</v>
      </c>
      <c r="BP198" s="29">
        <f t="shared" si="82"/>
        <v>1055.8874701990292</v>
      </c>
      <c r="BQ198" s="29">
        <f t="shared" si="83"/>
        <v>165533000.21225557</v>
      </c>
    </row>
    <row r="199" spans="13:69" x14ac:dyDescent="0.15">
      <c r="M199" s="72">
        <v>19</v>
      </c>
      <c r="N199" s="29">
        <f>基础状态预期!D212</f>
        <v>81.863982387630472</v>
      </c>
      <c r="O199" s="29">
        <f>IF(基础状态预期!F212="",0,求节点($C$104:$C$112,D$104:D$112,基础状态预期!K212))</f>
        <v>0</v>
      </c>
      <c r="P199" s="29">
        <f>IF(基础状态预期!G212="",0,求节点($C$104:$C$112,E$104:E$112,基础状态预期!L212))</f>
        <v>0</v>
      </c>
      <c r="Q199" s="29">
        <f>IF(基础状态预期!H212="",0,求节点($C$104:$C$112,F$104:F$112,基础状态预期!M212))</f>
        <v>0</v>
      </c>
      <c r="R199" s="29">
        <f>IF(基础状态预期!I212="",0,求节点($C$104:$C$112,G$104:G$112,基础状态预期!N212))</f>
        <v>0</v>
      </c>
      <c r="S199" s="29">
        <f>IF(基础状态预期!J212="",0,求节点($C$104:$C$112,H$104:H$112,基础状态预期!O212))</f>
        <v>18</v>
      </c>
      <c r="T199" s="29">
        <f>IF(基础状态预期!F212="",0,求节点($C$114:$C$122,D$114:D$122,基础状态预期!K212)*基础状态预期!F212+求节点($C$124:$C$132,D$124:D$132,基础状态预期!$O212)*基础状态预期!$J212)</f>
        <v>0</v>
      </c>
      <c r="U199" s="29">
        <f>IF(基础状态预期!G212="",0,求节点($C$114:$C$122,E$114:E$122,基础状态预期!L212)*基础状态预期!G212+求节点($C$124:$C$132,E$124:E$132,基础状态预期!$O212)*基础状态预期!$J212)</f>
        <v>0</v>
      </c>
      <c r="V199" s="29">
        <f>IF(基础状态预期!H212="",0,求节点($C$114:$C$122,F$114:F$122,基础状态预期!M212)*基础状态预期!H212+求节点($C$124:$C$132,F$124:F$132,基础状态预期!$O212)*基础状态预期!$J212)</f>
        <v>0</v>
      </c>
      <c r="W199" s="148">
        <f>IF(基础状态预期!I212="",0,求节点($C$114:$C$122,G$114:G$122,基础状态预期!N212)*基础状态预期!I212)+IF(基础状态预期!O212="",0,求节点($C$124:$C$132,G$124:G$132,基础状态预期!$O212)*基础状态预期!$J212)</f>
        <v>54</v>
      </c>
      <c r="X199" s="29">
        <f>IF(基础状态预期!J212="",0,求节点($C$114:$C$122,H$114:H$122,基础状态预期!O212)*基础状态预期!J212+求节点($C$124:$C$132,H$124:H$132,基础状态预期!$O212)*基础状态预期!$J212)</f>
        <v>0</v>
      </c>
      <c r="Y199" s="14">
        <f>IF(基础状态预期!K212="",0,求节点($C$92:$C$100,D$92:D$100,基础状态预期!K212))</f>
        <v>0</v>
      </c>
      <c r="Z199" s="14">
        <f>IF(基础状态预期!L212="",0,求节点($C$92:$C$100,E$92:E$100,基础状态预期!L212))</f>
        <v>0</v>
      </c>
      <c r="AA199" s="14">
        <f>IF(基础状态预期!M212="",0,求节点($C$92:$C$100,F$92:F$100,基础状态预期!M212))</f>
        <v>0</v>
      </c>
      <c r="AB199" s="14">
        <f>IF(基础状态预期!N212="",0,求节点($C$92:$C$100,G$92:G$100,基础状态预期!N212))</f>
        <v>0</v>
      </c>
      <c r="AC199" s="14">
        <f>IF(基础状态预期!O212="",0,求节点($C$92:$C$100,H$92:H$100,基础状态预期!O212))</f>
        <v>3825000</v>
      </c>
      <c r="AD199" s="29">
        <f>MAX(SUMPRODUCT(Y199:AC199,基础状态预期!F212:J212),AD198)</f>
        <v>22950000</v>
      </c>
      <c r="AF199" s="29" t="str">
        <f>IF(基础状态预期!K212="","",基础状态预期!K212*D$59+D$58)</f>
        <v/>
      </c>
      <c r="AG199" s="29" t="str">
        <f>IF(基础状态预期!L212="","",基础状态预期!L212*E$59+E$58)</f>
        <v/>
      </c>
      <c r="AH199" s="29" t="str">
        <f>IF(基础状态预期!M212="","",基础状态预期!M212*F$59+F$58)</f>
        <v/>
      </c>
      <c r="AI199" s="29" t="str">
        <f>IF(基础状态预期!N212="","",基础状态预期!N212*G$59+G$58)</f>
        <v/>
      </c>
      <c r="AJ199" s="29">
        <f>IF(基础状态预期!O212="","",基础状态预期!O212*H$59+H$58)</f>
        <v>148</v>
      </c>
      <c r="AK199" s="29">
        <f>MAX(SUMPRODUCT(AF199:AJ199,基础状态预期!$F212:$J212)/SUM(基础状态预期!$F212:$J212),AK198)</f>
        <v>148</v>
      </c>
      <c r="AL199" s="29">
        <f>IF(基础状态预期!K212="",0,求节点($C$68:$C$76,D$68:D$76,基础状态预期!K212))</f>
        <v>0</v>
      </c>
      <c r="AM199" s="29">
        <f>IF(基础状态预期!L212="",0,求节点($C$68:$C$76,E$68:E$76,基础状态预期!L212))</f>
        <v>0</v>
      </c>
      <c r="AN199" s="29">
        <f>IF(基础状态预期!M212="",0,求节点($C$68:$C$76,F$68:F$76,基础状态预期!M212)*求节点(武将升级!$H$52:$H$54,武将升级!$J$52:$J$54,基础状态预期!W212))</f>
        <v>0</v>
      </c>
      <c r="AO199" s="29">
        <f>IF(基础状态预期!N212="",0,求节点($C$68:$C$76,G$68:G$76,基础状态预期!N212)*求节点(武将升级!$H$52:$H$54,武将升级!$J$52:$J$54,基础状态预期!X212))</f>
        <v>0</v>
      </c>
      <c r="AP199" s="29">
        <f>IF(基础状态预期!O212="",0,求节点($C$68:$C$76,H$68:H$76,基础状态预期!O212)*求节点(武将升级!$H$52:$H$54,武将升级!$J$52:$J$54,基础状态预期!Y212))</f>
        <v>1.1399999999999999</v>
      </c>
      <c r="AQ199" s="29">
        <f>MAX(SUMPRODUCT(AL199:AP199,基础状态预期!$F212:$J212)/SUM(基础状态预期!$F212:$J212),AQ198)</f>
        <v>1.1399999999999999</v>
      </c>
      <c r="AR199" s="29">
        <f>IF(基础状态预期!K212="",0,求节点($C$158:$C$166,D$158:D$166,基础状态预期!K212))</f>
        <v>0</v>
      </c>
      <c r="AS199" s="29">
        <f>IF(基础状态预期!L212="",0,求节点($C$158:$C$166,E$158:E$166,基础状态预期!L212))</f>
        <v>0</v>
      </c>
      <c r="AT199" s="29">
        <f>IF(基础状态预期!M212="",0,求节点($C$158:$C$166,F$158:F$166,基础状态预期!M212))</f>
        <v>0</v>
      </c>
      <c r="AU199" s="29">
        <f>IF(基础状态预期!N212="",0,求节点($C$158:$C$166,G$158:G$166,基础状态预期!N212))</f>
        <v>0</v>
      </c>
      <c r="AV199" s="29">
        <f>IF(基础状态预期!O212="",0,求节点($C$158:$C$166,H$158:H$166,基础状态预期!O212))</f>
        <v>0.8</v>
      </c>
      <c r="AW199" s="29">
        <f>MAX(SUMPRODUCT(AR199:AV199,基础状态预期!$F212:$J212)/SUM(基础状态预期!$F212:$J212),AW198)</f>
        <v>0.80000000000000016</v>
      </c>
      <c r="BA199" s="29">
        <v>160</v>
      </c>
      <c r="BB199" s="29">
        <f t="shared" si="73"/>
        <v>148</v>
      </c>
      <c r="BC199" s="29">
        <f t="shared" si="74"/>
        <v>1.1399999999999999</v>
      </c>
      <c r="BD199" s="29">
        <f>(BB199-BB198)*(INDEX([2]超r将兵属性验证!$V$7:$V$166,$BA199,1)+INDEX([2]超r将兵属性验证!$AP$7:$AP$166,$BA199,1))+BD198</f>
        <v>13185192747.780821</v>
      </c>
      <c r="BE199" s="29" t="e">
        <f>(BC199-BC198)*(INDEX([2]超r将兵属性验证!$AC$7:$AC$166,$BA199,1)*[2]战法技能效用!$AB$4+INDEX([2]超r将兵属性验证!$AX$7:$AX$166,$BA199,1)*[2]战法技能效用!$AC$4)+BE198</f>
        <v>#VALUE!</v>
      </c>
      <c r="BF199" s="75" t="e">
        <f t="shared" si="80"/>
        <v>#VALUE!</v>
      </c>
      <c r="BJ199" s="29">
        <f t="shared" si="78"/>
        <v>81.863982387630472</v>
      </c>
      <c r="BK199" s="75">
        <f>武将数量星级阶位验证!AT202</f>
        <v>2612654.6434483309</v>
      </c>
      <c r="BL199" s="75">
        <f>(AD199-AD198)*INDEX('[1]功能-付费相关'!$U$6:$AU$165,BJ199,1)+BL198</f>
        <v>1055.8874701990292</v>
      </c>
      <c r="BN199" s="29">
        <v>160</v>
      </c>
      <c r="BO199" s="29">
        <f t="shared" si="81"/>
        <v>336925745.78384387</v>
      </c>
      <c r="BP199" s="29">
        <f t="shared" si="82"/>
        <v>1055.8874701990292</v>
      </c>
      <c r="BQ199" s="29">
        <f t="shared" si="83"/>
        <v>336926801.67131406</v>
      </c>
    </row>
    <row r="200" spans="13:69" x14ac:dyDescent="0.15">
      <c r="M200" s="72">
        <v>20</v>
      </c>
      <c r="N200" s="29">
        <f>基础状态预期!D213</f>
        <v>83.667042947574714</v>
      </c>
      <c r="O200" s="29">
        <f>IF(基础状态预期!F213="",0,求节点($C$104:$C$112,D$104:D$112,基础状态预期!K213))</f>
        <v>0</v>
      </c>
      <c r="P200" s="29">
        <f>IF(基础状态预期!G213="",0,求节点($C$104:$C$112,E$104:E$112,基础状态预期!L213))</f>
        <v>0</v>
      </c>
      <c r="Q200" s="29">
        <f>IF(基础状态预期!H213="",0,求节点($C$104:$C$112,F$104:F$112,基础状态预期!M213))</f>
        <v>0</v>
      </c>
      <c r="R200" s="29">
        <f>IF(基础状态预期!I213="",0,求节点($C$104:$C$112,G$104:G$112,基础状态预期!N213))</f>
        <v>0</v>
      </c>
      <c r="S200" s="29">
        <f>IF(基础状态预期!J213="",0,求节点($C$104:$C$112,H$104:H$112,基础状态预期!O213))</f>
        <v>18</v>
      </c>
      <c r="T200" s="29">
        <f>IF(基础状态预期!F213="",0,求节点($C$114:$C$122,D$114:D$122,基础状态预期!K213)*基础状态预期!F213+求节点($C$124:$C$132,D$124:D$132,基础状态预期!$O213)*基础状态预期!$J213)</f>
        <v>0</v>
      </c>
      <c r="U200" s="29">
        <f>IF(基础状态预期!G213="",0,求节点($C$114:$C$122,E$114:E$122,基础状态预期!L213)*基础状态预期!G213+求节点($C$124:$C$132,E$124:E$132,基础状态预期!$O213)*基础状态预期!$J213)</f>
        <v>0</v>
      </c>
      <c r="V200" s="29">
        <f>IF(基础状态预期!H213="",0,求节点($C$114:$C$122,F$114:F$122,基础状态预期!M213)*基础状态预期!H213+求节点($C$124:$C$132,F$124:F$132,基础状态预期!$O213)*基础状态预期!$J213)</f>
        <v>0</v>
      </c>
      <c r="W200" s="148">
        <f>IF(基础状态预期!I213="",0,求节点($C$114:$C$122,G$114:G$122,基础状态预期!N213)*基础状态预期!I213)+IF(基础状态预期!O213="",0,求节点($C$124:$C$132,G$124:G$132,基础状态预期!$O213)*基础状态预期!$J213)</f>
        <v>54</v>
      </c>
      <c r="X200" s="29">
        <f>IF(基础状态预期!J213="",0,求节点($C$114:$C$122,H$114:H$122,基础状态预期!O213)*基础状态预期!J213+求节点($C$124:$C$132,H$124:H$132,基础状态预期!$O213)*基础状态预期!$J213)</f>
        <v>0</v>
      </c>
      <c r="Y200" s="14">
        <f>IF(基础状态预期!K213="",0,求节点($C$92:$C$100,D$92:D$100,基础状态预期!K213))</f>
        <v>0</v>
      </c>
      <c r="Z200" s="14">
        <f>IF(基础状态预期!L213="",0,求节点($C$92:$C$100,E$92:E$100,基础状态预期!L213))</f>
        <v>0</v>
      </c>
      <c r="AA200" s="14">
        <f>IF(基础状态预期!M213="",0,求节点($C$92:$C$100,F$92:F$100,基础状态预期!M213))</f>
        <v>0</v>
      </c>
      <c r="AB200" s="14">
        <f>IF(基础状态预期!N213="",0,求节点($C$92:$C$100,G$92:G$100,基础状态预期!N213))</f>
        <v>0</v>
      </c>
      <c r="AC200" s="14">
        <f>IF(基础状态预期!O213="",0,求节点($C$92:$C$100,H$92:H$100,基础状态预期!O213))</f>
        <v>3825000</v>
      </c>
      <c r="AD200" s="29">
        <f>MAX(SUMPRODUCT(Y200:AC200,基础状态预期!F213:J213),AD199)</f>
        <v>22950000</v>
      </c>
      <c r="AF200" s="29" t="str">
        <f>IF(基础状态预期!K213="","",基础状态预期!K213*D$59+D$58)</f>
        <v/>
      </c>
      <c r="AG200" s="29" t="str">
        <f>IF(基础状态预期!L213="","",基础状态预期!L213*E$59+E$58)</f>
        <v/>
      </c>
      <c r="AH200" s="29" t="str">
        <f>IF(基础状态预期!M213="","",基础状态预期!M213*F$59+F$58)</f>
        <v/>
      </c>
      <c r="AI200" s="29" t="str">
        <f>IF(基础状态预期!N213="","",基础状态预期!N213*G$59+G$58)</f>
        <v/>
      </c>
      <c r="AJ200" s="29">
        <f>IF(基础状态预期!O213="","",基础状态预期!O213*H$59+H$58)</f>
        <v>148</v>
      </c>
      <c r="AK200" s="29">
        <f>MAX(SUMPRODUCT(AF200:AJ200,基础状态预期!$F213:$J213)/SUM(基础状态预期!$F213:$J213),AK199)</f>
        <v>148</v>
      </c>
      <c r="AL200" s="29">
        <f>IF(基础状态预期!K213="",0,求节点($C$68:$C$76,D$68:D$76,基础状态预期!K213))</f>
        <v>0</v>
      </c>
      <c r="AM200" s="29">
        <f>IF(基础状态预期!L213="",0,求节点($C$68:$C$76,E$68:E$76,基础状态预期!L213))</f>
        <v>0</v>
      </c>
      <c r="AN200" s="29">
        <f>IF(基础状态预期!M213="",0,求节点($C$68:$C$76,F$68:F$76,基础状态预期!M213)*求节点(武将升级!$H$52:$H$54,武将升级!$J$52:$J$54,基础状态预期!W213))</f>
        <v>0</v>
      </c>
      <c r="AO200" s="29">
        <f>IF(基础状态预期!N213="",0,求节点($C$68:$C$76,G$68:G$76,基础状态预期!N213)*求节点(武将升级!$H$52:$H$54,武将升级!$J$52:$J$54,基础状态预期!X213))</f>
        <v>0</v>
      </c>
      <c r="AP200" s="29">
        <f>IF(基础状态预期!O213="",0,求节点($C$68:$C$76,H$68:H$76,基础状态预期!O213)*求节点(武将升级!$H$52:$H$54,武将升级!$J$52:$J$54,基础状态预期!Y213))</f>
        <v>1.1399999999999999</v>
      </c>
      <c r="AQ200" s="29">
        <f>MAX(SUMPRODUCT(AL200:AP200,基础状态预期!$F213:$J213)/SUM(基础状态预期!$F213:$J213),AQ199)</f>
        <v>1.1399999999999999</v>
      </c>
      <c r="AR200" s="29">
        <f>IF(基础状态预期!K213="",0,求节点($C$158:$C$166,D$158:D$166,基础状态预期!K213))</f>
        <v>0</v>
      </c>
      <c r="AS200" s="29">
        <f>IF(基础状态预期!L213="",0,求节点($C$158:$C$166,E$158:E$166,基础状态预期!L213))</f>
        <v>0</v>
      </c>
      <c r="AT200" s="29">
        <f>IF(基础状态预期!M213="",0,求节点($C$158:$C$166,F$158:F$166,基础状态预期!M213))</f>
        <v>0</v>
      </c>
      <c r="AU200" s="29">
        <f>IF(基础状态预期!N213="",0,求节点($C$158:$C$166,G$158:G$166,基础状态预期!N213))</f>
        <v>0</v>
      </c>
      <c r="AV200" s="29">
        <f>IF(基础状态预期!O213="",0,求节点($C$158:$C$166,H$158:H$166,基础状态预期!O213))</f>
        <v>0.8</v>
      </c>
      <c r="AW200" s="29">
        <f>MAX(SUMPRODUCT(AR200:AV200,基础状态预期!$F213:$J213)/SUM(基础状态预期!$F213:$J213),AW199)</f>
        <v>0.80000000000000016</v>
      </c>
      <c r="BJ200" s="29">
        <f t="shared" si="78"/>
        <v>83.667042947574714</v>
      </c>
      <c r="BK200" s="75">
        <f>武将数量星级阶位验证!AT203</f>
        <v>2888788.3533749725</v>
      </c>
      <c r="BL200" s="75">
        <f>(AD200-AD199)*INDEX('[1]功能-付费相关'!$U$6:$AU$165,BJ200,1)+BL199</f>
        <v>1055.8874701990292</v>
      </c>
    </row>
    <row r="201" spans="13:69" x14ac:dyDescent="0.15">
      <c r="M201" s="72">
        <v>21</v>
      </c>
      <c r="N201" s="29">
        <f>基础状态预期!D214</f>
        <v>86.154780808490059</v>
      </c>
      <c r="O201" s="29">
        <f>IF(基础状态预期!F214="",0,求节点($C$104:$C$112,D$104:D$112,基础状态预期!K214))</f>
        <v>0</v>
      </c>
      <c r="P201" s="29">
        <f>IF(基础状态预期!G214="",0,求节点($C$104:$C$112,E$104:E$112,基础状态预期!L214))</f>
        <v>0</v>
      </c>
      <c r="Q201" s="29">
        <f>IF(基础状态预期!H214="",0,求节点($C$104:$C$112,F$104:F$112,基础状态预期!M214))</f>
        <v>0</v>
      </c>
      <c r="R201" s="29">
        <f>IF(基础状态预期!I214="",0,求节点($C$104:$C$112,G$104:G$112,基础状态预期!N214))</f>
        <v>0</v>
      </c>
      <c r="S201" s="29">
        <f>IF(基础状态预期!J214="",0,求节点($C$104:$C$112,H$104:H$112,基础状态预期!O214))</f>
        <v>18</v>
      </c>
      <c r="T201" s="29">
        <f>IF(基础状态预期!F214="",0,求节点($C$114:$C$122,D$114:D$122,基础状态预期!K214)*基础状态预期!F214+求节点($C$124:$C$132,D$124:D$132,基础状态预期!$O214)*基础状态预期!$J214)</f>
        <v>0</v>
      </c>
      <c r="U201" s="29">
        <f>IF(基础状态预期!G214="",0,求节点($C$114:$C$122,E$114:E$122,基础状态预期!L214)*基础状态预期!G214+求节点($C$124:$C$132,E$124:E$132,基础状态预期!$O214)*基础状态预期!$J214)</f>
        <v>0</v>
      </c>
      <c r="V201" s="29">
        <f>IF(基础状态预期!H214="",0,求节点($C$114:$C$122,F$114:F$122,基础状态预期!M214)*基础状态预期!H214+求节点($C$124:$C$132,F$124:F$132,基础状态预期!$O214)*基础状态预期!$J214)</f>
        <v>0</v>
      </c>
      <c r="W201" s="148">
        <f>IF(基础状态预期!I214="",0,求节点($C$114:$C$122,G$114:G$122,基础状态预期!N214)*基础状态预期!I214)+IF(基础状态预期!O214="",0,求节点($C$124:$C$132,G$124:G$132,基础状态预期!$O214)*基础状态预期!$J214)</f>
        <v>54</v>
      </c>
      <c r="X201" s="29">
        <f>IF(基础状态预期!J214="",0,求节点($C$114:$C$122,H$114:H$122,基础状态预期!O214)*基础状态预期!J214+求节点($C$124:$C$132,H$124:H$132,基础状态预期!$O214)*基础状态预期!$J214)</f>
        <v>0</v>
      </c>
      <c r="Y201" s="14">
        <f>IF(基础状态预期!K214="",0,求节点($C$92:$C$100,D$92:D$100,基础状态预期!K214))</f>
        <v>0</v>
      </c>
      <c r="Z201" s="14">
        <f>IF(基础状态预期!L214="",0,求节点($C$92:$C$100,E$92:E$100,基础状态预期!L214))</f>
        <v>0</v>
      </c>
      <c r="AA201" s="14">
        <f>IF(基础状态预期!M214="",0,求节点($C$92:$C$100,F$92:F$100,基础状态预期!M214))</f>
        <v>0</v>
      </c>
      <c r="AB201" s="14">
        <f>IF(基础状态预期!N214="",0,求节点($C$92:$C$100,G$92:G$100,基础状态预期!N214))</f>
        <v>0</v>
      </c>
      <c r="AC201" s="14">
        <f>IF(基础状态预期!O214="",0,求节点($C$92:$C$100,H$92:H$100,基础状态预期!O214))</f>
        <v>3825000</v>
      </c>
      <c r="AD201" s="29">
        <f>MAX(SUMPRODUCT(Y201:AC201,基础状态预期!F214:J214),AD200)</f>
        <v>22950000</v>
      </c>
      <c r="AF201" s="29" t="str">
        <f>IF(基础状态预期!K214="","",基础状态预期!K214*D$59+D$58)</f>
        <v/>
      </c>
      <c r="AG201" s="29" t="str">
        <f>IF(基础状态预期!L214="","",基础状态预期!L214*E$59+E$58)</f>
        <v/>
      </c>
      <c r="AH201" s="29" t="str">
        <f>IF(基础状态预期!M214="","",基础状态预期!M214*F$59+F$58)</f>
        <v/>
      </c>
      <c r="AI201" s="29" t="str">
        <f>IF(基础状态预期!N214="","",基础状态预期!N214*G$59+G$58)</f>
        <v/>
      </c>
      <c r="AJ201" s="29">
        <f>IF(基础状态预期!O214="","",基础状态预期!O214*H$59+H$58)</f>
        <v>148</v>
      </c>
      <c r="AK201" s="29">
        <f>MAX(SUMPRODUCT(AF201:AJ201,基础状态预期!$F214:$J214)/SUM(基础状态预期!$F214:$J214),AK200)</f>
        <v>148</v>
      </c>
      <c r="AL201" s="29">
        <f>IF(基础状态预期!K214="",0,求节点($C$68:$C$76,D$68:D$76,基础状态预期!K214))</f>
        <v>0</v>
      </c>
      <c r="AM201" s="29">
        <f>IF(基础状态预期!L214="",0,求节点($C$68:$C$76,E$68:E$76,基础状态预期!L214))</f>
        <v>0</v>
      </c>
      <c r="AN201" s="29">
        <f>IF(基础状态预期!M214="",0,求节点($C$68:$C$76,F$68:F$76,基础状态预期!M214)*求节点(武将升级!$H$52:$H$54,武将升级!$J$52:$J$54,基础状态预期!W214))</f>
        <v>0</v>
      </c>
      <c r="AO201" s="29">
        <f>IF(基础状态预期!N214="",0,求节点($C$68:$C$76,G$68:G$76,基础状态预期!N214)*求节点(武将升级!$H$52:$H$54,武将升级!$J$52:$J$54,基础状态预期!X214))</f>
        <v>0</v>
      </c>
      <c r="AP201" s="29">
        <f>IF(基础状态预期!O214="",0,求节点($C$68:$C$76,H$68:H$76,基础状态预期!O214)*求节点(武将升级!$H$52:$H$54,武将升级!$J$52:$J$54,基础状态预期!Y214))</f>
        <v>1.1399999999999999</v>
      </c>
      <c r="AQ201" s="29">
        <f>MAX(SUMPRODUCT(AL201:AP201,基础状态预期!$F214:$J214)/SUM(基础状态预期!$F214:$J214),AQ200)</f>
        <v>1.1399999999999999</v>
      </c>
      <c r="AR201" s="29">
        <f>IF(基础状态预期!K214="",0,求节点($C$158:$C$166,D$158:D$166,基础状态预期!K214))</f>
        <v>0</v>
      </c>
      <c r="AS201" s="29">
        <f>IF(基础状态预期!L214="",0,求节点($C$158:$C$166,E$158:E$166,基础状态预期!L214))</f>
        <v>0</v>
      </c>
      <c r="AT201" s="29">
        <f>IF(基础状态预期!M214="",0,求节点($C$158:$C$166,F$158:F$166,基础状态预期!M214))</f>
        <v>0</v>
      </c>
      <c r="AU201" s="29">
        <f>IF(基础状态预期!N214="",0,求节点($C$158:$C$166,G$158:G$166,基础状态预期!N214))</f>
        <v>0</v>
      </c>
      <c r="AV201" s="29">
        <f>IF(基础状态预期!O214="",0,求节点($C$158:$C$166,H$158:H$166,基础状态预期!O214))</f>
        <v>0.8</v>
      </c>
      <c r="AW201" s="29">
        <f>MAX(SUMPRODUCT(AR201:AV201,基础状态预期!$F214:$J214)/SUM(基础状态预期!$F214:$J214),AW200)</f>
        <v>0.80000000000000016</v>
      </c>
      <c r="BJ201" s="29">
        <f t="shared" si="78"/>
        <v>86.154780808490059</v>
      </c>
      <c r="BK201" s="75">
        <f>武将数量星级阶位验证!AT204</f>
        <v>3289816.7382816249</v>
      </c>
      <c r="BL201" s="75">
        <f>(AD201-AD200)*INDEX('[1]功能-付费相关'!$U$6:$AU$165,BJ201,1)+BL200</f>
        <v>1055.8874701990292</v>
      </c>
    </row>
    <row r="202" spans="13:69" x14ac:dyDescent="0.15">
      <c r="M202" s="72">
        <v>22</v>
      </c>
      <c r="N202" s="29">
        <f>基础状态预期!D215</f>
        <v>90.480184629206022</v>
      </c>
      <c r="O202" s="29">
        <f>IF(基础状态预期!F215="",0,求节点($C$104:$C$112,D$104:D$112,基础状态预期!K215))</f>
        <v>0</v>
      </c>
      <c r="P202" s="29">
        <f>IF(基础状态预期!G215="",0,求节点($C$104:$C$112,E$104:E$112,基础状态预期!L215))</f>
        <v>0</v>
      </c>
      <c r="Q202" s="29">
        <f>IF(基础状态预期!H215="",0,求节点($C$104:$C$112,F$104:F$112,基础状态预期!M215))</f>
        <v>0</v>
      </c>
      <c r="R202" s="29">
        <f>IF(基础状态预期!I215="",0,求节点($C$104:$C$112,G$104:G$112,基础状态预期!N215))</f>
        <v>0</v>
      </c>
      <c r="S202" s="29">
        <f>IF(基础状态预期!J215="",0,求节点($C$104:$C$112,H$104:H$112,基础状态预期!O215))</f>
        <v>18</v>
      </c>
      <c r="T202" s="29">
        <f>IF(基础状态预期!F215="",0,求节点($C$114:$C$122,D$114:D$122,基础状态预期!K215)*基础状态预期!F215+求节点($C$124:$C$132,D$124:D$132,基础状态预期!$O215)*基础状态预期!$J215)</f>
        <v>0</v>
      </c>
      <c r="U202" s="29">
        <f>IF(基础状态预期!G215="",0,求节点($C$114:$C$122,E$114:E$122,基础状态预期!L215)*基础状态预期!G215+求节点($C$124:$C$132,E$124:E$132,基础状态预期!$O215)*基础状态预期!$J215)</f>
        <v>0</v>
      </c>
      <c r="V202" s="29">
        <f>IF(基础状态预期!H215="",0,求节点($C$114:$C$122,F$114:F$122,基础状态预期!M215)*基础状态预期!H215+求节点($C$124:$C$132,F$124:F$132,基础状态预期!$O215)*基础状态预期!$J215)</f>
        <v>0</v>
      </c>
      <c r="W202" s="148">
        <f>IF(基础状态预期!I215="",0,求节点($C$114:$C$122,G$114:G$122,基础状态预期!N215)*基础状态预期!I215)+IF(基础状态预期!O215="",0,求节点($C$124:$C$132,G$124:G$132,基础状态预期!$O215)*基础状态预期!$J215)</f>
        <v>54</v>
      </c>
      <c r="X202" s="29">
        <f>IF(基础状态预期!J215="",0,求节点($C$114:$C$122,H$114:H$122,基础状态预期!O215)*基础状态预期!J215+求节点($C$124:$C$132,H$124:H$132,基础状态预期!$O215)*基础状态预期!$J215)</f>
        <v>0</v>
      </c>
      <c r="Y202" s="14">
        <f>IF(基础状态预期!K215="",0,求节点($C$92:$C$100,D$92:D$100,基础状态预期!K215))</f>
        <v>0</v>
      </c>
      <c r="Z202" s="14">
        <f>IF(基础状态预期!L215="",0,求节点($C$92:$C$100,E$92:E$100,基础状态预期!L215))</f>
        <v>0</v>
      </c>
      <c r="AA202" s="14">
        <f>IF(基础状态预期!M215="",0,求节点($C$92:$C$100,F$92:F$100,基础状态预期!M215))</f>
        <v>0</v>
      </c>
      <c r="AB202" s="14">
        <f>IF(基础状态预期!N215="",0,求节点($C$92:$C$100,G$92:G$100,基础状态预期!N215))</f>
        <v>0</v>
      </c>
      <c r="AC202" s="14">
        <f>IF(基础状态预期!O215="",0,求节点($C$92:$C$100,H$92:H$100,基础状态预期!O215))</f>
        <v>3825000</v>
      </c>
      <c r="AD202" s="29">
        <f>MAX(SUMPRODUCT(Y202:AC202,基础状态预期!F215:J215),AD201)</f>
        <v>22950000</v>
      </c>
      <c r="AF202" s="29" t="str">
        <f>IF(基础状态预期!K215="","",基础状态预期!K215*D$59+D$58)</f>
        <v/>
      </c>
      <c r="AG202" s="29" t="str">
        <f>IF(基础状态预期!L215="","",基础状态预期!L215*E$59+E$58)</f>
        <v/>
      </c>
      <c r="AH202" s="29" t="str">
        <f>IF(基础状态预期!M215="","",基础状态预期!M215*F$59+F$58)</f>
        <v/>
      </c>
      <c r="AI202" s="29" t="str">
        <f>IF(基础状态预期!N215="","",基础状态预期!N215*G$59+G$58)</f>
        <v/>
      </c>
      <c r="AJ202" s="29">
        <f>IF(基础状态预期!O215="","",基础状态预期!O215*H$59+H$58)</f>
        <v>148</v>
      </c>
      <c r="AK202" s="29">
        <f>MAX(SUMPRODUCT(AF202:AJ202,基础状态预期!$F215:$J215)/SUM(基础状态预期!$F215:$J215),AK201)</f>
        <v>148</v>
      </c>
      <c r="AL202" s="29">
        <f>IF(基础状态预期!K215="",0,求节点($C$68:$C$76,D$68:D$76,基础状态预期!K215))</f>
        <v>0</v>
      </c>
      <c r="AM202" s="29">
        <f>IF(基础状态预期!L215="",0,求节点($C$68:$C$76,E$68:E$76,基础状态预期!L215))</f>
        <v>0</v>
      </c>
      <c r="AN202" s="29">
        <f>IF(基础状态预期!M215="",0,求节点($C$68:$C$76,F$68:F$76,基础状态预期!M215)*求节点(武将升级!$H$52:$H$54,武将升级!$J$52:$J$54,基础状态预期!W215))</f>
        <v>0</v>
      </c>
      <c r="AO202" s="29">
        <f>IF(基础状态预期!N215="",0,求节点($C$68:$C$76,G$68:G$76,基础状态预期!N215)*求节点(武将升级!$H$52:$H$54,武将升级!$J$52:$J$54,基础状态预期!X215))</f>
        <v>0</v>
      </c>
      <c r="AP202" s="29">
        <f>IF(基础状态预期!O215="",0,求节点($C$68:$C$76,H$68:H$76,基础状态预期!O215)*求节点(武将升级!$H$52:$H$54,武将升级!$J$52:$J$54,基础状态预期!Y215))</f>
        <v>1.1399999999999999</v>
      </c>
      <c r="AQ202" s="29">
        <f>MAX(SUMPRODUCT(AL202:AP202,基础状态预期!$F215:$J215)/SUM(基础状态预期!$F215:$J215),AQ201)</f>
        <v>1.1399999999999999</v>
      </c>
      <c r="AR202" s="29">
        <f>IF(基础状态预期!K215="",0,求节点($C$158:$C$166,D$158:D$166,基础状态预期!K215))</f>
        <v>0</v>
      </c>
      <c r="AS202" s="29">
        <f>IF(基础状态预期!L215="",0,求节点($C$158:$C$166,E$158:E$166,基础状态预期!L215))</f>
        <v>0</v>
      </c>
      <c r="AT202" s="29">
        <f>IF(基础状态预期!M215="",0,求节点($C$158:$C$166,F$158:F$166,基础状态预期!M215))</f>
        <v>0</v>
      </c>
      <c r="AU202" s="29">
        <f>IF(基础状态预期!N215="",0,求节点($C$158:$C$166,G$158:G$166,基础状态预期!N215))</f>
        <v>0</v>
      </c>
      <c r="AV202" s="29">
        <f>IF(基础状态预期!O215="",0,求节点($C$158:$C$166,H$158:H$166,基础状态预期!O215))</f>
        <v>0.8</v>
      </c>
      <c r="AW202" s="29">
        <f>MAX(SUMPRODUCT(AR202:AV202,基础状态预期!$F215:$J215)/SUM(基础状态预期!$F215:$J215),AW201)</f>
        <v>0.80000000000000016</v>
      </c>
      <c r="BJ202" s="29">
        <f t="shared" si="78"/>
        <v>90.480184629206022</v>
      </c>
      <c r="BK202" s="75">
        <f>武将数量星级阶位验证!AT205</f>
        <v>4052219.4505061386</v>
      </c>
      <c r="BL202" s="75">
        <f>(AD202-AD201)*INDEX('[1]功能-付费相关'!$U$6:$AU$165,BJ202,1)+BL201</f>
        <v>1055.8874701990292</v>
      </c>
    </row>
    <row r="203" spans="13:69" x14ac:dyDescent="0.15">
      <c r="M203" s="72">
        <v>23</v>
      </c>
      <c r="N203" s="29">
        <f>基础状态预期!D216</f>
        <v>93.6774218048877</v>
      </c>
      <c r="O203" s="29">
        <f>IF(基础状态预期!F216="",0,求节点($C$104:$C$112,D$104:D$112,基础状态预期!K216))</f>
        <v>0</v>
      </c>
      <c r="P203" s="29">
        <f>IF(基础状态预期!G216="",0,求节点($C$104:$C$112,E$104:E$112,基础状态预期!L216))</f>
        <v>0</v>
      </c>
      <c r="Q203" s="29">
        <f>IF(基础状态预期!H216="",0,求节点($C$104:$C$112,F$104:F$112,基础状态预期!M216))</f>
        <v>0</v>
      </c>
      <c r="R203" s="29">
        <f>IF(基础状态预期!I216="",0,求节点($C$104:$C$112,G$104:G$112,基础状态预期!N216))</f>
        <v>0</v>
      </c>
      <c r="S203" s="29">
        <f>IF(基础状态预期!J216="",0,求节点($C$104:$C$112,H$104:H$112,基础状态预期!O216))</f>
        <v>18</v>
      </c>
      <c r="T203" s="29">
        <f>IF(基础状态预期!F216="",0,求节点($C$114:$C$122,D$114:D$122,基础状态预期!K216)*基础状态预期!F216+求节点($C$124:$C$132,D$124:D$132,基础状态预期!$O216)*基础状态预期!$J216)</f>
        <v>0</v>
      </c>
      <c r="U203" s="29">
        <f>IF(基础状态预期!G216="",0,求节点($C$114:$C$122,E$114:E$122,基础状态预期!L216)*基础状态预期!G216+求节点($C$124:$C$132,E$124:E$132,基础状态预期!$O216)*基础状态预期!$J216)</f>
        <v>0</v>
      </c>
      <c r="V203" s="29">
        <f>IF(基础状态预期!H216="",0,求节点($C$114:$C$122,F$114:F$122,基础状态预期!M216)*基础状态预期!H216+求节点($C$124:$C$132,F$124:F$132,基础状态预期!$O216)*基础状态预期!$J216)</f>
        <v>0</v>
      </c>
      <c r="W203" s="148">
        <f>IF(基础状态预期!I216="",0,求节点($C$114:$C$122,G$114:G$122,基础状态预期!N216)*基础状态预期!I216)+IF(基础状态预期!O216="",0,求节点($C$124:$C$132,G$124:G$132,基础状态预期!$O216)*基础状态预期!$J216)</f>
        <v>54</v>
      </c>
      <c r="X203" s="29">
        <f>IF(基础状态预期!J216="",0,求节点($C$114:$C$122,H$114:H$122,基础状态预期!O216)*基础状态预期!J216+求节点($C$124:$C$132,H$124:H$132,基础状态预期!$O216)*基础状态预期!$J216)</f>
        <v>0</v>
      </c>
      <c r="Y203" s="14">
        <f>IF(基础状态预期!K216="",0,求节点($C$92:$C$100,D$92:D$100,基础状态预期!K216))</f>
        <v>0</v>
      </c>
      <c r="Z203" s="14">
        <f>IF(基础状态预期!L216="",0,求节点($C$92:$C$100,E$92:E$100,基础状态预期!L216))</f>
        <v>0</v>
      </c>
      <c r="AA203" s="14">
        <f>IF(基础状态预期!M216="",0,求节点($C$92:$C$100,F$92:F$100,基础状态预期!M216))</f>
        <v>0</v>
      </c>
      <c r="AB203" s="14">
        <f>IF(基础状态预期!N216="",0,求节点($C$92:$C$100,G$92:G$100,基础状态预期!N216))</f>
        <v>0</v>
      </c>
      <c r="AC203" s="14">
        <f>IF(基础状态预期!O216="",0,求节点($C$92:$C$100,H$92:H$100,基础状态预期!O216))</f>
        <v>3825000</v>
      </c>
      <c r="AD203" s="29">
        <f>MAX(SUMPRODUCT(Y203:AC203,基础状态预期!F216:J216),AD202)</f>
        <v>22950000</v>
      </c>
      <c r="AF203" s="29" t="str">
        <f>IF(基础状态预期!K216="","",基础状态预期!K216*D$59+D$58)</f>
        <v/>
      </c>
      <c r="AG203" s="29" t="str">
        <f>IF(基础状态预期!L216="","",基础状态预期!L216*E$59+E$58)</f>
        <v/>
      </c>
      <c r="AH203" s="29" t="str">
        <f>IF(基础状态预期!M216="","",基础状态预期!M216*F$59+F$58)</f>
        <v/>
      </c>
      <c r="AI203" s="29" t="str">
        <f>IF(基础状态预期!N216="","",基础状态预期!N216*G$59+G$58)</f>
        <v/>
      </c>
      <c r="AJ203" s="29">
        <f>IF(基础状态预期!O216="","",基础状态预期!O216*H$59+H$58)</f>
        <v>148</v>
      </c>
      <c r="AK203" s="29">
        <f>MAX(SUMPRODUCT(AF203:AJ203,基础状态预期!$F216:$J216)/SUM(基础状态预期!$F216:$J216),AK202)</f>
        <v>148</v>
      </c>
      <c r="AL203" s="29">
        <f>IF(基础状态预期!K216="",0,求节点($C$68:$C$76,D$68:D$76,基础状态预期!K216))</f>
        <v>0</v>
      </c>
      <c r="AM203" s="29">
        <f>IF(基础状态预期!L216="",0,求节点($C$68:$C$76,E$68:E$76,基础状态预期!L216))</f>
        <v>0</v>
      </c>
      <c r="AN203" s="29">
        <f>IF(基础状态预期!M216="",0,求节点($C$68:$C$76,F$68:F$76,基础状态预期!M216)*求节点(武将升级!$H$52:$H$54,武将升级!$J$52:$J$54,基础状态预期!W216))</f>
        <v>0</v>
      </c>
      <c r="AO203" s="29">
        <f>IF(基础状态预期!N216="",0,求节点($C$68:$C$76,G$68:G$76,基础状态预期!N216)*求节点(武将升级!$H$52:$H$54,武将升级!$J$52:$J$54,基础状态预期!X216))</f>
        <v>0</v>
      </c>
      <c r="AP203" s="29">
        <f>IF(基础状态预期!O216="",0,求节点($C$68:$C$76,H$68:H$76,基础状态预期!O216)*求节点(武将升级!$H$52:$H$54,武将升级!$J$52:$J$54,基础状态预期!Y216))</f>
        <v>1.1399999999999999</v>
      </c>
      <c r="AQ203" s="29">
        <f>MAX(SUMPRODUCT(AL203:AP203,基础状态预期!$F216:$J216)/SUM(基础状态预期!$F216:$J216),AQ202)</f>
        <v>1.1399999999999999</v>
      </c>
      <c r="AR203" s="29">
        <f>IF(基础状态预期!K216="",0,求节点($C$158:$C$166,D$158:D$166,基础状态预期!K216))</f>
        <v>0</v>
      </c>
      <c r="AS203" s="29">
        <f>IF(基础状态预期!L216="",0,求节点($C$158:$C$166,E$158:E$166,基础状态预期!L216))</f>
        <v>0</v>
      </c>
      <c r="AT203" s="29">
        <f>IF(基础状态预期!M216="",0,求节点($C$158:$C$166,F$158:F$166,基础状态预期!M216))</f>
        <v>0</v>
      </c>
      <c r="AU203" s="29">
        <f>IF(基础状态预期!N216="",0,求节点($C$158:$C$166,G$158:G$166,基础状态预期!N216))</f>
        <v>0</v>
      </c>
      <c r="AV203" s="29">
        <f>IF(基础状态预期!O216="",0,求节点($C$158:$C$166,H$158:H$166,基础状态预期!O216))</f>
        <v>0.8</v>
      </c>
      <c r="AW203" s="29">
        <f>MAX(SUMPRODUCT(AR203:AV203,基础状态预期!$F216:$J216)/SUM(基础状态预期!$F216:$J216),AW202)</f>
        <v>0.80000000000000016</v>
      </c>
      <c r="BJ203" s="29">
        <f t="shared" si="78"/>
        <v>93.6774218048877</v>
      </c>
      <c r="BK203" s="75">
        <f>武将数量星级阶位验证!AT206</f>
        <v>4799414.4862778932</v>
      </c>
      <c r="BL203" s="75">
        <f>(AD203-AD202)*INDEX('[1]功能-付费相关'!$U$6:$AU$165,BJ203,1)+BL202</f>
        <v>1055.8874701990292</v>
      </c>
    </row>
    <row r="204" spans="13:69" x14ac:dyDescent="0.15">
      <c r="M204" s="72">
        <v>24</v>
      </c>
      <c r="N204" s="29">
        <f>基础状态预期!D217</f>
        <v>97.125654465362558</v>
      </c>
      <c r="O204" s="29">
        <f>IF(基础状态预期!F217="",0,求节点($C$104:$C$112,D$104:D$112,基础状态预期!K217))</f>
        <v>0</v>
      </c>
      <c r="P204" s="29">
        <f>IF(基础状态预期!G217="",0,求节点($C$104:$C$112,E$104:E$112,基础状态预期!L217))</f>
        <v>0</v>
      </c>
      <c r="Q204" s="29">
        <f>IF(基础状态预期!H217="",0,求节点($C$104:$C$112,F$104:F$112,基础状态预期!M217))</f>
        <v>0</v>
      </c>
      <c r="R204" s="29">
        <f>IF(基础状态预期!I217="",0,求节点($C$104:$C$112,G$104:G$112,基础状态预期!N217))</f>
        <v>0</v>
      </c>
      <c r="S204" s="29">
        <f>IF(基础状态预期!J217="",0,求节点($C$104:$C$112,H$104:H$112,基础状态预期!O217))</f>
        <v>18</v>
      </c>
      <c r="T204" s="29">
        <f>IF(基础状态预期!F217="",0,求节点($C$114:$C$122,D$114:D$122,基础状态预期!K217)*基础状态预期!F217+求节点($C$124:$C$132,D$124:D$132,基础状态预期!$O217)*基础状态预期!$J217)</f>
        <v>0</v>
      </c>
      <c r="U204" s="29">
        <f>IF(基础状态预期!G217="",0,求节点($C$114:$C$122,E$114:E$122,基础状态预期!L217)*基础状态预期!G217+求节点($C$124:$C$132,E$124:E$132,基础状态预期!$O217)*基础状态预期!$J217)</f>
        <v>0</v>
      </c>
      <c r="V204" s="29">
        <f>IF(基础状态预期!H217="",0,求节点($C$114:$C$122,F$114:F$122,基础状态预期!M217)*基础状态预期!H217+求节点($C$124:$C$132,F$124:F$132,基础状态预期!$O217)*基础状态预期!$J217)</f>
        <v>0</v>
      </c>
      <c r="W204" s="148">
        <f>IF(基础状态预期!I217="",0,求节点($C$114:$C$122,G$114:G$122,基础状态预期!N217)*基础状态预期!I217)+IF(基础状态预期!O217="",0,求节点($C$124:$C$132,G$124:G$132,基础状态预期!$O217)*基础状态预期!$J217)</f>
        <v>54</v>
      </c>
      <c r="X204" s="29">
        <f>IF(基础状态预期!J217="",0,求节点($C$114:$C$122,H$114:H$122,基础状态预期!O217)*基础状态预期!J217+求节点($C$124:$C$132,H$124:H$132,基础状态预期!$O217)*基础状态预期!$J217)</f>
        <v>0</v>
      </c>
      <c r="Y204" s="14">
        <f>IF(基础状态预期!K217="",0,求节点($C$92:$C$100,D$92:D$100,基础状态预期!K217))</f>
        <v>0</v>
      </c>
      <c r="Z204" s="14">
        <f>IF(基础状态预期!L217="",0,求节点($C$92:$C$100,E$92:E$100,基础状态预期!L217))</f>
        <v>0</v>
      </c>
      <c r="AA204" s="14">
        <f>IF(基础状态预期!M217="",0,求节点($C$92:$C$100,F$92:F$100,基础状态预期!M217))</f>
        <v>0</v>
      </c>
      <c r="AB204" s="14">
        <f>IF(基础状态预期!N217="",0,求节点($C$92:$C$100,G$92:G$100,基础状态预期!N217))</f>
        <v>0</v>
      </c>
      <c r="AC204" s="14">
        <f>IF(基础状态预期!O217="",0,求节点($C$92:$C$100,H$92:H$100,基础状态预期!O217))</f>
        <v>3825000</v>
      </c>
      <c r="AD204" s="29">
        <f>MAX(SUMPRODUCT(Y204:AC204,基础状态预期!F217:J217),AD203)</f>
        <v>22950000</v>
      </c>
      <c r="AF204" s="29" t="str">
        <f>IF(基础状态预期!K217="","",基础状态预期!K217*D$59+D$58)</f>
        <v/>
      </c>
      <c r="AG204" s="29" t="str">
        <f>IF(基础状态预期!L217="","",基础状态预期!L217*E$59+E$58)</f>
        <v/>
      </c>
      <c r="AH204" s="29" t="str">
        <f>IF(基础状态预期!M217="","",基础状态预期!M217*F$59+F$58)</f>
        <v/>
      </c>
      <c r="AI204" s="29" t="str">
        <f>IF(基础状态预期!N217="","",基础状态预期!N217*G$59+G$58)</f>
        <v/>
      </c>
      <c r="AJ204" s="29">
        <f>IF(基础状态预期!O217="","",基础状态预期!O217*H$59+H$58)</f>
        <v>148</v>
      </c>
      <c r="AK204" s="29">
        <f>MAX(SUMPRODUCT(AF204:AJ204,基础状态预期!$F217:$J217)/SUM(基础状态预期!$F217:$J217),AK203)</f>
        <v>148</v>
      </c>
      <c r="AL204" s="29">
        <f>IF(基础状态预期!K217="",0,求节点($C$68:$C$76,D$68:D$76,基础状态预期!K217))</f>
        <v>0</v>
      </c>
      <c r="AM204" s="29">
        <f>IF(基础状态预期!L217="",0,求节点($C$68:$C$76,E$68:E$76,基础状态预期!L217))</f>
        <v>0</v>
      </c>
      <c r="AN204" s="29">
        <f>IF(基础状态预期!M217="",0,求节点($C$68:$C$76,F$68:F$76,基础状态预期!M217)*求节点(武将升级!$H$52:$H$54,武将升级!$J$52:$J$54,基础状态预期!W217))</f>
        <v>0</v>
      </c>
      <c r="AO204" s="29">
        <f>IF(基础状态预期!N217="",0,求节点($C$68:$C$76,G$68:G$76,基础状态预期!N217)*求节点(武将升级!$H$52:$H$54,武将升级!$J$52:$J$54,基础状态预期!X217))</f>
        <v>0</v>
      </c>
      <c r="AP204" s="29">
        <f>IF(基础状态预期!O217="",0,求节点($C$68:$C$76,H$68:H$76,基础状态预期!O217)*求节点(武将升级!$H$52:$H$54,武将升级!$J$52:$J$54,基础状态预期!Y217))</f>
        <v>1.1399999999999999</v>
      </c>
      <c r="AQ204" s="29">
        <f>MAX(SUMPRODUCT(AL204:AP204,基础状态预期!$F217:$J217)/SUM(基础状态预期!$F217:$J217),AQ203)</f>
        <v>1.1399999999999999</v>
      </c>
      <c r="AR204" s="29">
        <f>IF(基础状态预期!K217="",0,求节点($C$158:$C$166,D$158:D$166,基础状态预期!K217))</f>
        <v>0</v>
      </c>
      <c r="AS204" s="29">
        <f>IF(基础状态预期!L217="",0,求节点($C$158:$C$166,E$158:E$166,基础状态预期!L217))</f>
        <v>0</v>
      </c>
      <c r="AT204" s="29">
        <f>IF(基础状态预期!M217="",0,求节点($C$158:$C$166,F$158:F$166,基础状态预期!M217))</f>
        <v>0</v>
      </c>
      <c r="AU204" s="29">
        <f>IF(基础状态预期!N217="",0,求节点($C$158:$C$166,G$158:G$166,基础状态预期!N217))</f>
        <v>0</v>
      </c>
      <c r="AV204" s="29">
        <f>IF(基础状态预期!O217="",0,求节点($C$158:$C$166,H$158:H$166,基础状态预期!O217))</f>
        <v>0.8</v>
      </c>
      <c r="AW204" s="29">
        <f>MAX(SUMPRODUCT(AR204:AV204,基础状态预期!$F217:$J217)/SUM(基础状态预期!$F217:$J217),AW203)</f>
        <v>0.80000000000000016</v>
      </c>
      <c r="BJ204" s="29">
        <f t="shared" si="78"/>
        <v>97.125654465362558</v>
      </c>
      <c r="BK204" s="75">
        <f>武将数量星级阶位验证!AT207</f>
        <v>5852917.394640577</v>
      </c>
      <c r="BL204" s="75">
        <f>(AD204-AD203)*INDEX('[1]功能-付费相关'!$U$6:$AU$165,BJ204,1)+BL203</f>
        <v>1055.8874701990292</v>
      </c>
    </row>
    <row r="205" spans="13:69" x14ac:dyDescent="0.15">
      <c r="M205" s="72">
        <v>25</v>
      </c>
      <c r="N205" s="29">
        <f>基础状态预期!D218</f>
        <v>100.89689545435591</v>
      </c>
      <c r="O205" s="29">
        <f>IF(基础状态预期!F218="",0,求节点($C$104:$C$112,D$104:D$112,基础状态预期!K218))</f>
        <v>0</v>
      </c>
      <c r="P205" s="29">
        <f>IF(基础状态预期!G218="",0,求节点($C$104:$C$112,E$104:E$112,基础状态预期!L218))</f>
        <v>0</v>
      </c>
      <c r="Q205" s="29">
        <f>IF(基础状态预期!H218="",0,求节点($C$104:$C$112,F$104:F$112,基础状态预期!M218))</f>
        <v>0</v>
      </c>
      <c r="R205" s="29">
        <f>IF(基础状态预期!I218="",0,求节点($C$104:$C$112,G$104:G$112,基础状态预期!N218))</f>
        <v>0</v>
      </c>
      <c r="S205" s="29">
        <f>IF(基础状态预期!J218="",0,求节点($C$104:$C$112,H$104:H$112,基础状态预期!O218))</f>
        <v>18</v>
      </c>
      <c r="T205" s="29">
        <f>IF(基础状态预期!F218="",0,求节点($C$114:$C$122,D$114:D$122,基础状态预期!K218)*基础状态预期!F218+求节点($C$124:$C$132,D$124:D$132,基础状态预期!$O218)*基础状态预期!$J218)</f>
        <v>0</v>
      </c>
      <c r="U205" s="29">
        <f>IF(基础状态预期!G218="",0,求节点($C$114:$C$122,E$114:E$122,基础状态预期!L218)*基础状态预期!G218+求节点($C$124:$C$132,E$124:E$132,基础状态预期!$O218)*基础状态预期!$J218)</f>
        <v>0</v>
      </c>
      <c r="V205" s="29">
        <f>IF(基础状态预期!H218="",0,求节点($C$114:$C$122,F$114:F$122,基础状态预期!M218)*基础状态预期!H218+求节点($C$124:$C$132,F$124:F$132,基础状态预期!$O218)*基础状态预期!$J218)</f>
        <v>0</v>
      </c>
      <c r="W205" s="148">
        <f>IF(基础状态预期!I218="",0,求节点($C$114:$C$122,G$114:G$122,基础状态预期!N218)*基础状态预期!I218)+IF(基础状态预期!O218="",0,求节点($C$124:$C$132,G$124:G$132,基础状态预期!$O218)*基础状态预期!$J218)</f>
        <v>54</v>
      </c>
      <c r="X205" s="29">
        <f>IF(基础状态预期!J218="",0,求节点($C$114:$C$122,H$114:H$122,基础状态预期!O218)*基础状态预期!J218+求节点($C$124:$C$132,H$124:H$132,基础状态预期!$O218)*基础状态预期!$J218)</f>
        <v>0</v>
      </c>
      <c r="Y205" s="14">
        <f>IF(基础状态预期!K218="",0,求节点($C$92:$C$100,D$92:D$100,基础状态预期!K218))</f>
        <v>0</v>
      </c>
      <c r="Z205" s="14">
        <f>IF(基础状态预期!L218="",0,求节点($C$92:$C$100,E$92:E$100,基础状态预期!L218))</f>
        <v>0</v>
      </c>
      <c r="AA205" s="14">
        <f>IF(基础状态预期!M218="",0,求节点($C$92:$C$100,F$92:F$100,基础状态预期!M218))</f>
        <v>0</v>
      </c>
      <c r="AB205" s="14">
        <f>IF(基础状态预期!N218="",0,求节点($C$92:$C$100,G$92:G$100,基础状态预期!N218))</f>
        <v>0</v>
      </c>
      <c r="AC205" s="14">
        <f>IF(基础状态预期!O218="",0,求节点($C$92:$C$100,H$92:H$100,基础状态预期!O218))</f>
        <v>3825000</v>
      </c>
      <c r="AD205" s="29">
        <f>MAX(SUMPRODUCT(Y205:AC205,基础状态预期!F218:J218),AD204)</f>
        <v>22950000</v>
      </c>
      <c r="AF205" s="29" t="str">
        <f>IF(基础状态预期!K218="","",基础状态预期!K218*D$59+D$58)</f>
        <v/>
      </c>
      <c r="AG205" s="29" t="str">
        <f>IF(基础状态预期!L218="","",基础状态预期!L218*E$59+E$58)</f>
        <v/>
      </c>
      <c r="AH205" s="29" t="str">
        <f>IF(基础状态预期!M218="","",基础状态预期!M218*F$59+F$58)</f>
        <v/>
      </c>
      <c r="AI205" s="29" t="str">
        <f>IF(基础状态预期!N218="","",基础状态预期!N218*G$59+G$58)</f>
        <v/>
      </c>
      <c r="AJ205" s="29">
        <f>IF(基础状态预期!O218="","",基础状态预期!O218*H$59+H$58)</f>
        <v>148</v>
      </c>
      <c r="AK205" s="29">
        <f>MAX(SUMPRODUCT(AF205:AJ205,基础状态预期!$F218:$J218)/SUM(基础状态预期!$F218:$J218),AK204)</f>
        <v>148</v>
      </c>
      <c r="AL205" s="29">
        <f>IF(基础状态预期!K218="",0,求节点($C$68:$C$76,D$68:D$76,基础状态预期!K218))</f>
        <v>0</v>
      </c>
      <c r="AM205" s="29">
        <f>IF(基础状态预期!L218="",0,求节点($C$68:$C$76,E$68:E$76,基础状态预期!L218))</f>
        <v>0</v>
      </c>
      <c r="AN205" s="29">
        <f>IF(基础状态预期!M218="",0,求节点($C$68:$C$76,F$68:F$76,基础状态预期!M218)*求节点(武将升级!$H$52:$H$54,武将升级!$J$52:$J$54,基础状态预期!W218))</f>
        <v>0</v>
      </c>
      <c r="AO205" s="29">
        <f>IF(基础状态预期!N218="",0,求节点($C$68:$C$76,G$68:G$76,基础状态预期!N218)*求节点(武将升级!$H$52:$H$54,武将升级!$J$52:$J$54,基础状态预期!X218))</f>
        <v>0</v>
      </c>
      <c r="AP205" s="29">
        <f>IF(基础状态预期!O218="",0,求节点($C$68:$C$76,H$68:H$76,基础状态预期!O218)*求节点(武将升级!$H$52:$H$54,武将升级!$J$52:$J$54,基础状态预期!Y218))</f>
        <v>1.1399999999999999</v>
      </c>
      <c r="AQ205" s="29">
        <f>MAX(SUMPRODUCT(AL205:AP205,基础状态预期!$F218:$J218)/SUM(基础状态预期!$F218:$J218),AQ204)</f>
        <v>1.1399999999999999</v>
      </c>
      <c r="AR205" s="29">
        <f>IF(基础状态预期!K218="",0,求节点($C$158:$C$166,D$158:D$166,基础状态预期!K218))</f>
        <v>0</v>
      </c>
      <c r="AS205" s="29">
        <f>IF(基础状态预期!L218="",0,求节点($C$158:$C$166,E$158:E$166,基础状态预期!L218))</f>
        <v>0</v>
      </c>
      <c r="AT205" s="29">
        <f>IF(基础状态预期!M218="",0,求节点($C$158:$C$166,F$158:F$166,基础状态预期!M218))</f>
        <v>0</v>
      </c>
      <c r="AU205" s="29">
        <f>IF(基础状态预期!N218="",0,求节点($C$158:$C$166,G$158:G$166,基础状态预期!N218))</f>
        <v>0</v>
      </c>
      <c r="AV205" s="29">
        <f>IF(基础状态预期!O218="",0,求节点($C$158:$C$166,H$158:H$166,基础状态预期!O218))</f>
        <v>0.8</v>
      </c>
      <c r="AW205" s="29">
        <f>MAX(SUMPRODUCT(AR205:AV205,基础状态预期!$F218:$J218)/SUM(基础状态预期!$F218:$J218),AW204)</f>
        <v>0.80000000000000016</v>
      </c>
      <c r="BJ205" s="29">
        <f t="shared" si="78"/>
        <v>100.89689545435591</v>
      </c>
      <c r="BK205" s="75">
        <f>武将数量星级阶位验证!AT208</f>
        <v>7206658.5022476139</v>
      </c>
      <c r="BL205" s="75">
        <f>(AD205-AD204)*INDEX('[1]功能-付费相关'!$U$6:$AU$165,BJ205,1)+BL204</f>
        <v>1055.8874701990292</v>
      </c>
    </row>
    <row r="206" spans="13:69" x14ac:dyDescent="0.15">
      <c r="M206" s="72">
        <v>26</v>
      </c>
      <c r="N206" s="29">
        <f>基础状态预期!D219</f>
        <v>104.52148587104635</v>
      </c>
      <c r="O206" s="29">
        <f>IF(基础状态预期!F219="",0,求节点($C$104:$C$112,D$104:D$112,基础状态预期!K219))</f>
        <v>0</v>
      </c>
      <c r="P206" s="29">
        <f>IF(基础状态预期!G219="",0,求节点($C$104:$C$112,E$104:E$112,基础状态预期!L219))</f>
        <v>0</v>
      </c>
      <c r="Q206" s="29">
        <f>IF(基础状态预期!H219="",0,求节点($C$104:$C$112,F$104:F$112,基础状态预期!M219))</f>
        <v>0</v>
      </c>
      <c r="R206" s="29">
        <f>IF(基础状态预期!I219="",0,求节点($C$104:$C$112,G$104:G$112,基础状态预期!N219))</f>
        <v>0</v>
      </c>
      <c r="S206" s="29">
        <f>IF(基础状态预期!J219="",0,求节点($C$104:$C$112,H$104:H$112,基础状态预期!O219))</f>
        <v>18</v>
      </c>
      <c r="T206" s="29">
        <f>IF(基础状态预期!F219="",0,求节点($C$114:$C$122,D$114:D$122,基础状态预期!K219)*基础状态预期!F219+求节点($C$124:$C$132,D$124:D$132,基础状态预期!$O219)*基础状态预期!$J219)</f>
        <v>0</v>
      </c>
      <c r="U206" s="29">
        <f>IF(基础状态预期!G219="",0,求节点($C$114:$C$122,E$114:E$122,基础状态预期!L219)*基础状态预期!G219+求节点($C$124:$C$132,E$124:E$132,基础状态预期!$O219)*基础状态预期!$J219)</f>
        <v>0</v>
      </c>
      <c r="V206" s="29">
        <f>IF(基础状态预期!H219="",0,求节点($C$114:$C$122,F$114:F$122,基础状态预期!M219)*基础状态预期!H219+求节点($C$124:$C$132,F$124:F$132,基础状态预期!$O219)*基础状态预期!$J219)</f>
        <v>0</v>
      </c>
      <c r="W206" s="148">
        <f>IF(基础状态预期!I219="",0,求节点($C$114:$C$122,G$114:G$122,基础状态预期!N219)*基础状态预期!I219)+IF(基础状态预期!O219="",0,求节点($C$124:$C$132,G$124:G$132,基础状态预期!$O219)*基础状态预期!$J219)</f>
        <v>54</v>
      </c>
      <c r="X206" s="29">
        <f>IF(基础状态预期!J219="",0,求节点($C$114:$C$122,H$114:H$122,基础状态预期!O219)*基础状态预期!J219+求节点($C$124:$C$132,H$124:H$132,基础状态预期!$O219)*基础状态预期!$J219)</f>
        <v>0</v>
      </c>
      <c r="Y206" s="14">
        <f>IF(基础状态预期!K219="",0,求节点($C$92:$C$100,D$92:D$100,基础状态预期!K219))</f>
        <v>0</v>
      </c>
      <c r="Z206" s="14">
        <f>IF(基础状态预期!L219="",0,求节点($C$92:$C$100,E$92:E$100,基础状态预期!L219))</f>
        <v>0</v>
      </c>
      <c r="AA206" s="14">
        <f>IF(基础状态预期!M219="",0,求节点($C$92:$C$100,F$92:F$100,基础状态预期!M219))</f>
        <v>0</v>
      </c>
      <c r="AB206" s="14">
        <f>IF(基础状态预期!N219="",0,求节点($C$92:$C$100,G$92:G$100,基础状态预期!N219))</f>
        <v>0</v>
      </c>
      <c r="AC206" s="14">
        <f>IF(基础状态预期!O219="",0,求节点($C$92:$C$100,H$92:H$100,基础状态预期!O219))</f>
        <v>3825000</v>
      </c>
      <c r="AD206" s="29">
        <f>MAX(SUMPRODUCT(Y206:AC206,基础状态预期!F219:J219),AD205)</f>
        <v>22950000</v>
      </c>
      <c r="AF206" s="29" t="str">
        <f>IF(基础状态预期!K219="","",基础状态预期!K219*D$59+D$58)</f>
        <v/>
      </c>
      <c r="AG206" s="29" t="str">
        <f>IF(基础状态预期!L219="","",基础状态预期!L219*E$59+E$58)</f>
        <v/>
      </c>
      <c r="AH206" s="29" t="str">
        <f>IF(基础状态预期!M219="","",基础状态预期!M219*F$59+F$58)</f>
        <v/>
      </c>
      <c r="AI206" s="29" t="str">
        <f>IF(基础状态预期!N219="","",基础状态预期!N219*G$59+G$58)</f>
        <v/>
      </c>
      <c r="AJ206" s="29">
        <f>IF(基础状态预期!O219="","",基础状态预期!O219*H$59+H$58)</f>
        <v>148</v>
      </c>
      <c r="AK206" s="29">
        <f>MAX(SUMPRODUCT(AF206:AJ206,基础状态预期!$F219:$J219)/SUM(基础状态预期!$F219:$J219),AK205)</f>
        <v>148</v>
      </c>
      <c r="AL206" s="29">
        <f>IF(基础状态预期!K219="",0,求节点($C$68:$C$76,D$68:D$76,基础状态预期!K219))</f>
        <v>0</v>
      </c>
      <c r="AM206" s="29">
        <f>IF(基础状态预期!L219="",0,求节点($C$68:$C$76,E$68:E$76,基础状态预期!L219))</f>
        <v>0</v>
      </c>
      <c r="AN206" s="29">
        <f>IF(基础状态预期!M219="",0,求节点($C$68:$C$76,F$68:F$76,基础状态预期!M219)*求节点(武将升级!$H$52:$H$54,武将升级!$J$52:$J$54,基础状态预期!W219))</f>
        <v>0</v>
      </c>
      <c r="AO206" s="29">
        <f>IF(基础状态预期!N219="",0,求节点($C$68:$C$76,G$68:G$76,基础状态预期!N219)*求节点(武将升级!$H$52:$H$54,武将升级!$J$52:$J$54,基础状态预期!X219))</f>
        <v>0</v>
      </c>
      <c r="AP206" s="29">
        <f>IF(基础状态预期!O219="",0,求节点($C$68:$C$76,H$68:H$76,基础状态预期!O219)*求节点(武将升级!$H$52:$H$54,武将升级!$J$52:$J$54,基础状态预期!Y219))</f>
        <v>1.1399999999999999</v>
      </c>
      <c r="AQ206" s="29">
        <f>MAX(SUMPRODUCT(AL206:AP206,基础状态预期!$F219:$J219)/SUM(基础状态预期!$F219:$J219),AQ205)</f>
        <v>1.1399999999999999</v>
      </c>
      <c r="AR206" s="29">
        <f>IF(基础状态预期!K219="",0,求节点($C$158:$C$166,D$158:D$166,基础状态预期!K219))</f>
        <v>0</v>
      </c>
      <c r="AS206" s="29">
        <f>IF(基础状态预期!L219="",0,求节点($C$158:$C$166,E$158:E$166,基础状态预期!L219))</f>
        <v>0</v>
      </c>
      <c r="AT206" s="29">
        <f>IF(基础状态预期!M219="",0,求节点($C$158:$C$166,F$158:F$166,基础状态预期!M219))</f>
        <v>0</v>
      </c>
      <c r="AU206" s="29">
        <f>IF(基础状态预期!N219="",0,求节点($C$158:$C$166,G$158:G$166,基础状态预期!N219))</f>
        <v>0</v>
      </c>
      <c r="AV206" s="29">
        <f>IF(基础状态预期!O219="",0,求节点($C$158:$C$166,H$158:H$166,基础状态预期!O219))</f>
        <v>0.8</v>
      </c>
      <c r="AW206" s="29">
        <f>MAX(SUMPRODUCT(AR206:AV206,基础状态预期!$F219:$J219)/SUM(基础状态预期!$F219:$J219),AW205)</f>
        <v>0.80000000000000016</v>
      </c>
      <c r="BJ206" s="29">
        <f t="shared" si="78"/>
        <v>104.52148587104635</v>
      </c>
      <c r="BK206" s="75">
        <f>武将数量星级阶位验证!AT209</f>
        <v>9073361.8328259271</v>
      </c>
      <c r="BL206" s="75">
        <f>(AD206-AD205)*INDEX('[1]功能-付费相关'!$U$6:$AU$165,BJ206,1)+BL205</f>
        <v>1055.8874701990292</v>
      </c>
    </row>
    <row r="207" spans="13:69" x14ac:dyDescent="0.15">
      <c r="M207" s="72">
        <v>27</v>
      </c>
      <c r="N207" s="29">
        <f>基础状态预期!D220</f>
        <v>108.05586950728798</v>
      </c>
      <c r="O207" s="29">
        <f>IF(基础状态预期!F220="",0,求节点($C$104:$C$112,D$104:D$112,基础状态预期!K220))</f>
        <v>0</v>
      </c>
      <c r="P207" s="29">
        <f>IF(基础状态预期!G220="",0,求节点($C$104:$C$112,E$104:E$112,基础状态预期!L220))</f>
        <v>0</v>
      </c>
      <c r="Q207" s="29">
        <f>IF(基础状态预期!H220="",0,求节点($C$104:$C$112,F$104:F$112,基础状态预期!M220))</f>
        <v>0</v>
      </c>
      <c r="R207" s="29">
        <f>IF(基础状态预期!I220="",0,求节点($C$104:$C$112,G$104:G$112,基础状态预期!N220))</f>
        <v>0</v>
      </c>
      <c r="S207" s="29">
        <f>IF(基础状态预期!J220="",0,求节点($C$104:$C$112,H$104:H$112,基础状态预期!O220))</f>
        <v>18</v>
      </c>
      <c r="T207" s="29">
        <f>IF(基础状态预期!F220="",0,求节点($C$114:$C$122,D$114:D$122,基础状态预期!K220)*基础状态预期!F220+求节点($C$124:$C$132,D$124:D$132,基础状态预期!$O220)*基础状态预期!$J220)</f>
        <v>0</v>
      </c>
      <c r="U207" s="29">
        <f>IF(基础状态预期!G220="",0,求节点($C$114:$C$122,E$114:E$122,基础状态预期!L220)*基础状态预期!G220+求节点($C$124:$C$132,E$124:E$132,基础状态预期!$O220)*基础状态预期!$J220)</f>
        <v>0</v>
      </c>
      <c r="V207" s="29">
        <f>IF(基础状态预期!H220="",0,求节点($C$114:$C$122,F$114:F$122,基础状态预期!M220)*基础状态预期!H220+求节点($C$124:$C$132,F$124:F$132,基础状态预期!$O220)*基础状态预期!$J220)</f>
        <v>0</v>
      </c>
      <c r="W207" s="148">
        <f>IF(基础状态预期!I220="",0,求节点($C$114:$C$122,G$114:G$122,基础状态预期!N220)*基础状态预期!I220)+IF(基础状态预期!O220="",0,求节点($C$124:$C$132,G$124:G$132,基础状态预期!$O220)*基础状态预期!$J220)</f>
        <v>54</v>
      </c>
      <c r="X207" s="29">
        <f>IF(基础状态预期!J220="",0,求节点($C$114:$C$122,H$114:H$122,基础状态预期!O220)*基础状态预期!J220+求节点($C$124:$C$132,H$124:H$132,基础状态预期!$O220)*基础状态预期!$J220)</f>
        <v>0</v>
      </c>
      <c r="Y207" s="14">
        <f>IF(基础状态预期!K220="",0,求节点($C$92:$C$100,D$92:D$100,基础状态预期!K220))</f>
        <v>0</v>
      </c>
      <c r="Z207" s="14">
        <f>IF(基础状态预期!L220="",0,求节点($C$92:$C$100,E$92:E$100,基础状态预期!L220))</f>
        <v>0</v>
      </c>
      <c r="AA207" s="14">
        <f>IF(基础状态预期!M220="",0,求节点($C$92:$C$100,F$92:F$100,基础状态预期!M220))</f>
        <v>0</v>
      </c>
      <c r="AB207" s="14">
        <f>IF(基础状态预期!N220="",0,求节点($C$92:$C$100,G$92:G$100,基础状态预期!N220))</f>
        <v>0</v>
      </c>
      <c r="AC207" s="14">
        <f>IF(基础状态预期!O220="",0,求节点($C$92:$C$100,H$92:H$100,基础状态预期!O220))</f>
        <v>3825000</v>
      </c>
      <c r="AD207" s="29">
        <f>MAX(SUMPRODUCT(Y207:AC207,基础状态预期!F220:J220),AD206)</f>
        <v>22950000</v>
      </c>
      <c r="AF207" s="29" t="str">
        <f>IF(基础状态预期!K220="","",基础状态预期!K220*D$59+D$58)</f>
        <v/>
      </c>
      <c r="AG207" s="29" t="str">
        <f>IF(基础状态预期!L220="","",基础状态预期!L220*E$59+E$58)</f>
        <v/>
      </c>
      <c r="AH207" s="29" t="str">
        <f>IF(基础状态预期!M220="","",基础状态预期!M220*F$59+F$58)</f>
        <v/>
      </c>
      <c r="AI207" s="29" t="str">
        <f>IF(基础状态预期!N220="","",基础状态预期!N220*G$59+G$58)</f>
        <v/>
      </c>
      <c r="AJ207" s="29">
        <f>IF(基础状态预期!O220="","",基础状态预期!O220*H$59+H$58)</f>
        <v>148</v>
      </c>
      <c r="AK207" s="29">
        <f>MAX(SUMPRODUCT(AF207:AJ207,基础状态预期!$F220:$J220)/SUM(基础状态预期!$F220:$J220),AK206)</f>
        <v>148</v>
      </c>
      <c r="AL207" s="29">
        <f>IF(基础状态预期!K220="",0,求节点($C$68:$C$76,D$68:D$76,基础状态预期!K220))</f>
        <v>0</v>
      </c>
      <c r="AM207" s="29">
        <f>IF(基础状态预期!L220="",0,求节点($C$68:$C$76,E$68:E$76,基础状态预期!L220))</f>
        <v>0</v>
      </c>
      <c r="AN207" s="29">
        <f>IF(基础状态预期!M220="",0,求节点($C$68:$C$76,F$68:F$76,基础状态预期!M220)*求节点(武将升级!$H$52:$H$54,武将升级!$J$52:$J$54,基础状态预期!W220))</f>
        <v>0</v>
      </c>
      <c r="AO207" s="29">
        <f>IF(基础状态预期!N220="",0,求节点($C$68:$C$76,G$68:G$76,基础状态预期!N220)*求节点(武将升级!$H$52:$H$54,武将升级!$J$52:$J$54,基础状态预期!X220))</f>
        <v>0</v>
      </c>
      <c r="AP207" s="29">
        <f>IF(基础状态预期!O220="",0,求节点($C$68:$C$76,H$68:H$76,基础状态预期!O220)*求节点(武将升级!$H$52:$H$54,武将升级!$J$52:$J$54,基础状态预期!Y220))</f>
        <v>1.1399999999999999</v>
      </c>
      <c r="AQ207" s="29">
        <f>MAX(SUMPRODUCT(AL207:AP207,基础状态预期!$F220:$J220)/SUM(基础状态预期!$F220:$J220),AQ206)</f>
        <v>1.1399999999999999</v>
      </c>
      <c r="AR207" s="29">
        <f>IF(基础状态预期!K220="",0,求节点($C$158:$C$166,D$158:D$166,基础状态预期!K220))</f>
        <v>0</v>
      </c>
      <c r="AS207" s="29">
        <f>IF(基础状态预期!L220="",0,求节点($C$158:$C$166,E$158:E$166,基础状态预期!L220))</f>
        <v>0</v>
      </c>
      <c r="AT207" s="29">
        <f>IF(基础状态预期!M220="",0,求节点($C$158:$C$166,F$158:F$166,基础状态预期!M220))</f>
        <v>0</v>
      </c>
      <c r="AU207" s="29">
        <f>IF(基础状态预期!N220="",0,求节点($C$158:$C$166,G$158:G$166,基础状态预期!N220))</f>
        <v>0</v>
      </c>
      <c r="AV207" s="29">
        <f>IF(基础状态预期!O220="",0,求节点($C$158:$C$166,H$158:H$166,基础状态预期!O220))</f>
        <v>0.8</v>
      </c>
      <c r="AW207" s="29">
        <f>MAX(SUMPRODUCT(AR207:AV207,基础状态预期!$F220:$J220)/SUM(基础状态预期!$F220:$J220),AW206)</f>
        <v>0.80000000000000016</v>
      </c>
      <c r="BJ207" s="29">
        <f t="shared" si="78"/>
        <v>108.05586950728798</v>
      </c>
      <c r="BK207" s="75">
        <f>武将数量星级阶位验证!AT210</f>
        <v>11271952.645084441</v>
      </c>
      <c r="BL207" s="75">
        <f>(AD207-AD206)*INDEX('[1]功能-付费相关'!$U$6:$AU$165,BJ207,1)+BL206</f>
        <v>1055.8874701990292</v>
      </c>
    </row>
    <row r="208" spans="13:69" x14ac:dyDescent="0.15">
      <c r="M208" s="72">
        <v>28</v>
      </c>
      <c r="N208" s="29">
        <f>基础状态预期!D221</f>
        <v>111.54601176466306</v>
      </c>
      <c r="O208" s="29">
        <f>IF(基础状态预期!F221="",0,求节点($C$104:$C$112,D$104:D$112,基础状态预期!K221))</f>
        <v>0</v>
      </c>
      <c r="P208" s="29">
        <f>IF(基础状态预期!G221="",0,求节点($C$104:$C$112,E$104:E$112,基础状态预期!L221))</f>
        <v>0</v>
      </c>
      <c r="Q208" s="29">
        <f>IF(基础状态预期!H221="",0,求节点($C$104:$C$112,F$104:F$112,基础状态预期!M221))</f>
        <v>0</v>
      </c>
      <c r="R208" s="29">
        <f>IF(基础状态预期!I221="",0,求节点($C$104:$C$112,G$104:G$112,基础状态预期!N221))</f>
        <v>0</v>
      </c>
      <c r="S208" s="29">
        <f>IF(基础状态预期!J221="",0,求节点($C$104:$C$112,H$104:H$112,基础状态预期!O221))</f>
        <v>18</v>
      </c>
      <c r="T208" s="29">
        <f>IF(基础状态预期!F221="",0,求节点($C$114:$C$122,D$114:D$122,基础状态预期!K221)*基础状态预期!F221+求节点($C$124:$C$132,D$124:D$132,基础状态预期!$O221)*基础状态预期!$J221)</f>
        <v>0</v>
      </c>
      <c r="U208" s="29">
        <f>IF(基础状态预期!G221="",0,求节点($C$114:$C$122,E$114:E$122,基础状态预期!L221)*基础状态预期!G221+求节点($C$124:$C$132,E$124:E$132,基础状态预期!$O221)*基础状态预期!$J221)</f>
        <v>0</v>
      </c>
      <c r="V208" s="29">
        <f>IF(基础状态预期!H221="",0,求节点($C$114:$C$122,F$114:F$122,基础状态预期!M221)*基础状态预期!H221+求节点($C$124:$C$132,F$124:F$132,基础状态预期!$O221)*基础状态预期!$J221)</f>
        <v>0</v>
      </c>
      <c r="W208" s="148">
        <f>IF(基础状态预期!I221="",0,求节点($C$114:$C$122,G$114:G$122,基础状态预期!N221)*基础状态预期!I221)+IF(基础状态预期!O221="",0,求节点($C$124:$C$132,G$124:G$132,基础状态预期!$O221)*基础状态预期!$J221)</f>
        <v>54</v>
      </c>
      <c r="X208" s="29">
        <f>IF(基础状态预期!J221="",0,求节点($C$114:$C$122,H$114:H$122,基础状态预期!O221)*基础状态预期!J221+求节点($C$124:$C$132,H$124:H$132,基础状态预期!$O221)*基础状态预期!$J221)</f>
        <v>0</v>
      </c>
      <c r="Y208" s="14">
        <f>IF(基础状态预期!K221="",0,求节点($C$92:$C$100,D$92:D$100,基础状态预期!K221))</f>
        <v>0</v>
      </c>
      <c r="Z208" s="14">
        <f>IF(基础状态预期!L221="",0,求节点($C$92:$C$100,E$92:E$100,基础状态预期!L221))</f>
        <v>0</v>
      </c>
      <c r="AA208" s="14">
        <f>IF(基础状态预期!M221="",0,求节点($C$92:$C$100,F$92:F$100,基础状态预期!M221))</f>
        <v>0</v>
      </c>
      <c r="AB208" s="14">
        <f>IF(基础状态预期!N221="",0,求节点($C$92:$C$100,G$92:G$100,基础状态预期!N221))</f>
        <v>0</v>
      </c>
      <c r="AC208" s="14">
        <f>IF(基础状态预期!O221="",0,求节点($C$92:$C$100,H$92:H$100,基础状态预期!O221))</f>
        <v>3825000</v>
      </c>
      <c r="AD208" s="29">
        <f>MAX(SUMPRODUCT(Y208:AC208,基础状态预期!F221:J221),AD207)</f>
        <v>22950000</v>
      </c>
      <c r="AF208" s="29" t="str">
        <f>IF(基础状态预期!K221="","",基础状态预期!K221*D$59+D$58)</f>
        <v/>
      </c>
      <c r="AG208" s="29" t="str">
        <f>IF(基础状态预期!L221="","",基础状态预期!L221*E$59+E$58)</f>
        <v/>
      </c>
      <c r="AH208" s="29" t="str">
        <f>IF(基础状态预期!M221="","",基础状态预期!M221*F$59+F$58)</f>
        <v/>
      </c>
      <c r="AI208" s="29" t="str">
        <f>IF(基础状态预期!N221="","",基础状态预期!N221*G$59+G$58)</f>
        <v/>
      </c>
      <c r="AJ208" s="29">
        <f>IF(基础状态预期!O221="","",基础状态预期!O221*H$59+H$58)</f>
        <v>148</v>
      </c>
      <c r="AK208" s="29">
        <f>MAX(SUMPRODUCT(AF208:AJ208,基础状态预期!$F221:$J221)/SUM(基础状态预期!$F221:$J221),AK207)</f>
        <v>148</v>
      </c>
      <c r="AL208" s="29">
        <f>IF(基础状态预期!K221="",0,求节点($C$68:$C$76,D$68:D$76,基础状态预期!K221))</f>
        <v>0</v>
      </c>
      <c r="AM208" s="29">
        <f>IF(基础状态预期!L221="",0,求节点($C$68:$C$76,E$68:E$76,基础状态预期!L221))</f>
        <v>0</v>
      </c>
      <c r="AN208" s="29">
        <f>IF(基础状态预期!M221="",0,求节点($C$68:$C$76,F$68:F$76,基础状态预期!M221)*求节点(武将升级!$H$52:$H$54,武将升级!$J$52:$J$54,基础状态预期!W221))</f>
        <v>0</v>
      </c>
      <c r="AO208" s="29">
        <f>IF(基础状态预期!N221="",0,求节点($C$68:$C$76,G$68:G$76,基础状态预期!N221)*求节点(武将升级!$H$52:$H$54,武将升级!$J$52:$J$54,基础状态预期!X221))</f>
        <v>0</v>
      </c>
      <c r="AP208" s="29">
        <f>IF(基础状态预期!O221="",0,求节点($C$68:$C$76,H$68:H$76,基础状态预期!O221)*求节点(武将升级!$H$52:$H$54,武将升级!$J$52:$J$54,基础状态预期!Y221))</f>
        <v>1.1399999999999999</v>
      </c>
      <c r="AQ208" s="29">
        <f>MAX(SUMPRODUCT(AL208:AP208,基础状态预期!$F221:$J221)/SUM(基础状态预期!$F221:$J221),AQ207)</f>
        <v>1.1399999999999999</v>
      </c>
      <c r="AR208" s="29">
        <f>IF(基础状态预期!K221="",0,求节点($C$158:$C$166,D$158:D$166,基础状态预期!K221))</f>
        <v>0</v>
      </c>
      <c r="AS208" s="29">
        <f>IF(基础状态预期!L221="",0,求节点($C$158:$C$166,E$158:E$166,基础状态预期!L221))</f>
        <v>0</v>
      </c>
      <c r="AT208" s="29">
        <f>IF(基础状态预期!M221="",0,求节点($C$158:$C$166,F$158:F$166,基础状态预期!M221))</f>
        <v>0</v>
      </c>
      <c r="AU208" s="29">
        <f>IF(基础状态预期!N221="",0,求节点($C$158:$C$166,G$158:G$166,基础状态预期!N221))</f>
        <v>0</v>
      </c>
      <c r="AV208" s="29">
        <f>IF(基础状态预期!O221="",0,求节点($C$158:$C$166,H$158:H$166,基础状态预期!O221))</f>
        <v>0.8</v>
      </c>
      <c r="AW208" s="29">
        <f>MAX(SUMPRODUCT(AR208:AV208,基础状态预期!$F221:$J221)/SUM(基础状态预期!$F221:$J221),AW207)</f>
        <v>0.80000000000000016</v>
      </c>
      <c r="BJ208" s="29">
        <f t="shared" si="78"/>
        <v>111.54601176466306</v>
      </c>
      <c r="BK208" s="75">
        <f>武将数量星级阶位验证!AT211</f>
        <v>14154241.045447286</v>
      </c>
      <c r="BL208" s="75">
        <f>(AD208-AD207)*INDEX('[1]功能-付费相关'!$U$6:$AU$165,BJ208,1)+BL207</f>
        <v>1055.8874701990292</v>
      </c>
    </row>
    <row r="209" spans="13:64" x14ac:dyDescent="0.15">
      <c r="M209" s="72">
        <v>29</v>
      </c>
      <c r="N209" s="29">
        <f>基础状态预期!D222</f>
        <v>115.20444967370992</v>
      </c>
      <c r="O209" s="29">
        <f>IF(基础状态预期!F222="",0,求节点($C$104:$C$112,D$104:D$112,基础状态预期!K222))</f>
        <v>0</v>
      </c>
      <c r="P209" s="29">
        <f>IF(基础状态预期!G222="",0,求节点($C$104:$C$112,E$104:E$112,基础状态预期!L222))</f>
        <v>0</v>
      </c>
      <c r="Q209" s="29">
        <f>IF(基础状态预期!H222="",0,求节点($C$104:$C$112,F$104:F$112,基础状态预期!M222))</f>
        <v>0</v>
      </c>
      <c r="R209" s="29">
        <f>IF(基础状态预期!I222="",0,求节点($C$104:$C$112,G$104:G$112,基础状态预期!N222))</f>
        <v>0</v>
      </c>
      <c r="S209" s="29">
        <f>IF(基础状态预期!J222="",0,求节点($C$104:$C$112,H$104:H$112,基础状态预期!O222))</f>
        <v>18</v>
      </c>
      <c r="T209" s="29">
        <f>IF(基础状态预期!F222="",0,求节点($C$114:$C$122,D$114:D$122,基础状态预期!K222)*基础状态预期!F222+求节点($C$124:$C$132,D$124:D$132,基础状态预期!$O222)*基础状态预期!$J222)</f>
        <v>0</v>
      </c>
      <c r="U209" s="29">
        <f>IF(基础状态预期!G222="",0,求节点($C$114:$C$122,E$114:E$122,基础状态预期!L222)*基础状态预期!G222+求节点($C$124:$C$132,E$124:E$132,基础状态预期!$O222)*基础状态预期!$J222)</f>
        <v>0</v>
      </c>
      <c r="V209" s="29">
        <f>IF(基础状态预期!H222="",0,求节点($C$114:$C$122,F$114:F$122,基础状态预期!M222)*基础状态预期!H222+求节点($C$124:$C$132,F$124:F$132,基础状态预期!$O222)*基础状态预期!$J222)</f>
        <v>0</v>
      </c>
      <c r="W209" s="148">
        <f>IF(基础状态预期!I222="",0,求节点($C$114:$C$122,G$114:G$122,基础状态预期!N222)*基础状态预期!I222)+IF(基础状态预期!O222="",0,求节点($C$124:$C$132,G$124:G$132,基础状态预期!$O222)*基础状态预期!$J222)</f>
        <v>54</v>
      </c>
      <c r="X209" s="29">
        <f>IF(基础状态预期!J222="",0,求节点($C$114:$C$122,H$114:H$122,基础状态预期!O222)*基础状态预期!J222+求节点($C$124:$C$132,H$124:H$132,基础状态预期!$O222)*基础状态预期!$J222)</f>
        <v>0</v>
      </c>
      <c r="Y209" s="14">
        <f>IF(基础状态预期!K222="",0,求节点($C$92:$C$100,D$92:D$100,基础状态预期!K222))</f>
        <v>0</v>
      </c>
      <c r="Z209" s="14">
        <f>IF(基础状态预期!L222="",0,求节点($C$92:$C$100,E$92:E$100,基础状态预期!L222))</f>
        <v>0</v>
      </c>
      <c r="AA209" s="14">
        <f>IF(基础状态预期!M222="",0,求节点($C$92:$C$100,F$92:F$100,基础状态预期!M222))</f>
        <v>0</v>
      </c>
      <c r="AB209" s="14">
        <f>IF(基础状态预期!N222="",0,求节点($C$92:$C$100,G$92:G$100,基础状态预期!N222))</f>
        <v>0</v>
      </c>
      <c r="AC209" s="14">
        <f>IF(基础状态预期!O222="",0,求节点($C$92:$C$100,H$92:H$100,基础状态预期!O222))</f>
        <v>3825000</v>
      </c>
      <c r="AD209" s="29">
        <f>MAX(SUMPRODUCT(Y209:AC209,基础状态预期!F222:J222),AD208)</f>
        <v>22950000</v>
      </c>
      <c r="AF209" s="29" t="str">
        <f>IF(基础状态预期!K222="","",基础状态预期!K222*D$59+D$58)</f>
        <v/>
      </c>
      <c r="AG209" s="29" t="str">
        <f>IF(基础状态预期!L222="","",基础状态预期!L222*E$59+E$58)</f>
        <v/>
      </c>
      <c r="AH209" s="29" t="str">
        <f>IF(基础状态预期!M222="","",基础状态预期!M222*F$59+F$58)</f>
        <v/>
      </c>
      <c r="AI209" s="29" t="str">
        <f>IF(基础状态预期!N222="","",基础状态预期!N222*G$59+G$58)</f>
        <v/>
      </c>
      <c r="AJ209" s="29">
        <f>IF(基础状态预期!O222="","",基础状态预期!O222*H$59+H$58)</f>
        <v>148</v>
      </c>
      <c r="AK209" s="29">
        <f>MAX(SUMPRODUCT(AF209:AJ209,基础状态预期!$F222:$J222)/SUM(基础状态预期!$F222:$J222),AK208)</f>
        <v>148</v>
      </c>
      <c r="AL209" s="29">
        <f>IF(基础状态预期!K222="",0,求节点($C$68:$C$76,D$68:D$76,基础状态预期!K222))</f>
        <v>0</v>
      </c>
      <c r="AM209" s="29">
        <f>IF(基础状态预期!L222="",0,求节点($C$68:$C$76,E$68:E$76,基础状态预期!L222))</f>
        <v>0</v>
      </c>
      <c r="AN209" s="29">
        <f>IF(基础状态预期!M222="",0,求节点($C$68:$C$76,F$68:F$76,基础状态预期!M222)*求节点(武将升级!$H$52:$H$54,武将升级!$J$52:$J$54,基础状态预期!W222))</f>
        <v>0</v>
      </c>
      <c r="AO209" s="29">
        <f>IF(基础状态预期!N222="",0,求节点($C$68:$C$76,G$68:G$76,基础状态预期!N222)*求节点(武将升级!$H$52:$H$54,武将升级!$J$52:$J$54,基础状态预期!X222))</f>
        <v>0</v>
      </c>
      <c r="AP209" s="29">
        <f>IF(基础状态预期!O222="",0,求节点($C$68:$C$76,H$68:H$76,基础状态预期!O222)*求节点(武将升级!$H$52:$H$54,武将升级!$J$52:$J$54,基础状态预期!Y222))</f>
        <v>1.1399999999999999</v>
      </c>
      <c r="AQ209" s="29">
        <f>MAX(SUMPRODUCT(AL209:AP209,基础状态预期!$F222:$J222)/SUM(基础状态预期!$F222:$J222),AQ208)</f>
        <v>1.1399999999999999</v>
      </c>
      <c r="AR209" s="29">
        <f>IF(基础状态预期!K222="",0,求节点($C$158:$C$166,D$158:D$166,基础状态预期!K222))</f>
        <v>0</v>
      </c>
      <c r="AS209" s="29">
        <f>IF(基础状态预期!L222="",0,求节点($C$158:$C$166,E$158:E$166,基础状态预期!L222))</f>
        <v>0</v>
      </c>
      <c r="AT209" s="29">
        <f>IF(基础状态预期!M222="",0,求节点($C$158:$C$166,F$158:F$166,基础状态预期!M222))</f>
        <v>0</v>
      </c>
      <c r="AU209" s="29">
        <f>IF(基础状态预期!N222="",0,求节点($C$158:$C$166,G$158:G$166,基础状态预期!N222))</f>
        <v>0</v>
      </c>
      <c r="AV209" s="29">
        <f>IF(基础状态预期!O222="",0,求节点($C$158:$C$166,H$158:H$166,基础状态预期!O222))</f>
        <v>0.8</v>
      </c>
      <c r="AW209" s="29">
        <f>MAX(SUMPRODUCT(AR209:AV209,基础状态预期!$F222:$J222)/SUM(基础状态预期!$F222:$J222),AW208)</f>
        <v>0.80000000000000016</v>
      </c>
      <c r="BJ209" s="29">
        <f t="shared" si="78"/>
        <v>115.20444967370992</v>
      </c>
      <c r="BK209" s="75">
        <f>武将数量星级阶位验证!AT212</f>
        <v>17701666.281398423</v>
      </c>
      <c r="BL209" s="75">
        <f>(AD209-AD208)*INDEX('[1]功能-付费相关'!$U$6:$AU$165,BJ209,1)+BL208</f>
        <v>1055.8874701990292</v>
      </c>
    </row>
    <row r="210" spans="13:64" x14ac:dyDescent="0.15">
      <c r="M210" s="72">
        <v>30</v>
      </c>
      <c r="N210" s="29">
        <f>基础状态预期!D223</f>
        <v>118.75432507225094</v>
      </c>
      <c r="O210" s="29">
        <f>IF(基础状态预期!F223="",0,求节点($C$104:$C$112,D$104:D$112,基础状态预期!K223))</f>
        <v>0</v>
      </c>
      <c r="P210" s="29">
        <f>IF(基础状态预期!G223="",0,求节点($C$104:$C$112,E$104:E$112,基础状态预期!L223))</f>
        <v>0</v>
      </c>
      <c r="Q210" s="29">
        <f>IF(基础状态预期!H223="",0,求节点($C$104:$C$112,F$104:F$112,基础状态预期!M223))</f>
        <v>0</v>
      </c>
      <c r="R210" s="29">
        <f>IF(基础状态预期!I223="",0,求节点($C$104:$C$112,G$104:G$112,基础状态预期!N223))</f>
        <v>0</v>
      </c>
      <c r="S210" s="29">
        <f>IF(基础状态预期!J223="",0,求节点($C$104:$C$112,H$104:H$112,基础状态预期!O223))</f>
        <v>18</v>
      </c>
      <c r="T210" s="29">
        <f>IF(基础状态预期!F223="",0,求节点($C$114:$C$122,D$114:D$122,基础状态预期!K223)*基础状态预期!F223+求节点($C$124:$C$132,D$124:D$132,基础状态预期!$O223)*基础状态预期!$J223)</f>
        <v>0</v>
      </c>
      <c r="U210" s="29">
        <f>IF(基础状态预期!G223="",0,求节点($C$114:$C$122,E$114:E$122,基础状态预期!L223)*基础状态预期!G223+求节点($C$124:$C$132,E$124:E$132,基础状态预期!$O223)*基础状态预期!$J223)</f>
        <v>0</v>
      </c>
      <c r="V210" s="29">
        <f>IF(基础状态预期!H223="",0,求节点($C$114:$C$122,F$114:F$122,基础状态预期!M223)*基础状态预期!H223+求节点($C$124:$C$132,F$124:F$132,基础状态预期!$O223)*基础状态预期!$J223)</f>
        <v>0</v>
      </c>
      <c r="W210" s="148">
        <f>IF(基础状态预期!I223="",0,求节点($C$114:$C$122,G$114:G$122,基础状态预期!N223)*基础状态预期!I223)+IF(基础状态预期!O223="",0,求节点($C$124:$C$132,G$124:G$132,基础状态预期!$O223)*基础状态预期!$J223)</f>
        <v>54</v>
      </c>
      <c r="X210" s="29">
        <f>IF(基础状态预期!J223="",0,求节点($C$114:$C$122,H$114:H$122,基础状态预期!O223)*基础状态预期!J223+求节点($C$124:$C$132,H$124:H$132,基础状态预期!$O223)*基础状态预期!$J223)</f>
        <v>0</v>
      </c>
      <c r="Y210" s="14">
        <f>IF(基础状态预期!K223="",0,求节点($C$92:$C$100,D$92:D$100,基础状态预期!K223))</f>
        <v>0</v>
      </c>
      <c r="Z210" s="14">
        <f>IF(基础状态预期!L223="",0,求节点($C$92:$C$100,E$92:E$100,基础状态预期!L223))</f>
        <v>0</v>
      </c>
      <c r="AA210" s="14">
        <f>IF(基础状态预期!M223="",0,求节点($C$92:$C$100,F$92:F$100,基础状态预期!M223))</f>
        <v>0</v>
      </c>
      <c r="AB210" s="14">
        <f>IF(基础状态预期!N223="",0,求节点($C$92:$C$100,G$92:G$100,基础状态预期!N223))</f>
        <v>0</v>
      </c>
      <c r="AC210" s="14">
        <f>IF(基础状态预期!O223="",0,求节点($C$92:$C$100,H$92:H$100,基础状态预期!O223))</f>
        <v>3825000</v>
      </c>
      <c r="AD210" s="29">
        <f>MAX(SUMPRODUCT(Y210:AC210,基础状态预期!F223:J223),AD209)</f>
        <v>22950000</v>
      </c>
      <c r="AF210" s="29" t="str">
        <f>IF(基础状态预期!K223="","",基础状态预期!K223*D$59+D$58)</f>
        <v/>
      </c>
      <c r="AG210" s="29" t="str">
        <f>IF(基础状态预期!L223="","",基础状态预期!L223*E$59+E$58)</f>
        <v/>
      </c>
      <c r="AH210" s="29" t="str">
        <f>IF(基础状态预期!M223="","",基础状态预期!M223*F$59+F$58)</f>
        <v/>
      </c>
      <c r="AI210" s="29" t="str">
        <f>IF(基础状态预期!N223="","",基础状态预期!N223*G$59+G$58)</f>
        <v/>
      </c>
      <c r="AJ210" s="29">
        <f>IF(基础状态预期!O223="","",基础状态预期!O223*H$59+H$58)</f>
        <v>148</v>
      </c>
      <c r="AK210" s="29">
        <f>MAX(SUMPRODUCT(AF210:AJ210,基础状态预期!$F223:$J223)/SUM(基础状态预期!$F223:$J223),AK209)</f>
        <v>148</v>
      </c>
      <c r="AL210" s="29">
        <f>IF(基础状态预期!K223="",0,求节点($C$68:$C$76,D$68:D$76,基础状态预期!K223))</f>
        <v>0</v>
      </c>
      <c r="AM210" s="29">
        <f>IF(基础状态预期!L223="",0,求节点($C$68:$C$76,E$68:E$76,基础状态预期!L223))</f>
        <v>0</v>
      </c>
      <c r="AN210" s="29">
        <f>IF(基础状态预期!M223="",0,求节点($C$68:$C$76,F$68:F$76,基础状态预期!M223)*求节点(武将升级!$H$52:$H$54,武将升级!$J$52:$J$54,基础状态预期!W223))</f>
        <v>0</v>
      </c>
      <c r="AO210" s="29">
        <f>IF(基础状态预期!N223="",0,求节点($C$68:$C$76,G$68:G$76,基础状态预期!N223)*求节点(武将升级!$H$52:$H$54,武将升级!$J$52:$J$54,基础状态预期!X223))</f>
        <v>0</v>
      </c>
      <c r="AP210" s="29">
        <f>IF(基础状态预期!O223="",0,求节点($C$68:$C$76,H$68:H$76,基础状态预期!O223)*求节点(武将升级!$H$52:$H$54,武将升级!$J$52:$J$54,基础状态预期!Y223))</f>
        <v>1.1399999999999999</v>
      </c>
      <c r="AQ210" s="29">
        <f>MAX(SUMPRODUCT(AL210:AP210,基础状态预期!$F223:$J223)/SUM(基础状态预期!$F223:$J223),AQ209)</f>
        <v>1.1399999999999999</v>
      </c>
      <c r="AR210" s="29">
        <f>IF(基础状态预期!K223="",0,求节点($C$158:$C$166,D$158:D$166,基础状态预期!K223))</f>
        <v>0</v>
      </c>
      <c r="AS210" s="29">
        <f>IF(基础状态预期!L223="",0,求节点($C$158:$C$166,E$158:E$166,基础状态预期!L223))</f>
        <v>0</v>
      </c>
      <c r="AT210" s="29">
        <f>IF(基础状态预期!M223="",0,求节点($C$158:$C$166,F$158:F$166,基础状态预期!M223))</f>
        <v>0</v>
      </c>
      <c r="AU210" s="29">
        <f>IF(基础状态预期!N223="",0,求节点($C$158:$C$166,G$158:G$166,基础状态预期!N223))</f>
        <v>0</v>
      </c>
      <c r="AV210" s="29">
        <f>IF(基础状态预期!O223="",0,求节点($C$158:$C$166,H$158:H$166,基础状态预期!O223))</f>
        <v>0.8</v>
      </c>
      <c r="AW210" s="29">
        <f>MAX(SUMPRODUCT(AR210:AV210,基础状态预期!$F223:$J223)/SUM(基础状态预期!$F223:$J223),AW209)</f>
        <v>0.80000000000000016</v>
      </c>
      <c r="BJ210" s="29">
        <f t="shared" si="78"/>
        <v>118.75432507225094</v>
      </c>
      <c r="BK210" s="75">
        <f>武将数量星级阶位验证!AT213</f>
        <v>22248955.107757848</v>
      </c>
      <c r="BL210" s="75">
        <f>(AD210-AD209)*INDEX('[1]功能-付费相关'!$U$6:$AU$165,BJ210,1)+BL209</f>
        <v>1055.8874701990292</v>
      </c>
    </row>
    <row r="211" spans="13:64" x14ac:dyDescent="0.15">
      <c r="M211" s="72">
        <v>31</v>
      </c>
      <c r="N211" s="29">
        <f>基础状态预期!D224</f>
        <v>122.26514676047371</v>
      </c>
      <c r="O211" s="29">
        <f>IF(基础状态预期!F224="",0,求节点($C$104:$C$112,D$104:D$112,基础状态预期!K224))</f>
        <v>0</v>
      </c>
      <c r="P211" s="29">
        <f>IF(基础状态预期!G224="",0,求节点($C$104:$C$112,E$104:E$112,基础状态预期!L224))</f>
        <v>0</v>
      </c>
      <c r="Q211" s="29">
        <f>IF(基础状态预期!H224="",0,求节点($C$104:$C$112,F$104:F$112,基础状态预期!M224))</f>
        <v>0</v>
      </c>
      <c r="R211" s="29">
        <f>IF(基础状态预期!I224="",0,求节点($C$104:$C$112,G$104:G$112,基础状态预期!N224))</f>
        <v>0</v>
      </c>
      <c r="S211" s="29">
        <f>IF(基础状态预期!J224="",0,求节点($C$104:$C$112,H$104:H$112,基础状态预期!O224))</f>
        <v>18</v>
      </c>
      <c r="T211" s="29">
        <f>IF(基础状态预期!F224="",0,求节点($C$114:$C$122,D$114:D$122,基础状态预期!K224)*基础状态预期!F224+求节点($C$124:$C$132,D$124:D$132,基础状态预期!$O224)*基础状态预期!$J224)</f>
        <v>0</v>
      </c>
      <c r="U211" s="29">
        <f>IF(基础状态预期!G224="",0,求节点($C$114:$C$122,E$114:E$122,基础状态预期!L224)*基础状态预期!G224+求节点($C$124:$C$132,E$124:E$132,基础状态预期!$O224)*基础状态预期!$J224)</f>
        <v>0</v>
      </c>
      <c r="V211" s="29">
        <f>IF(基础状态预期!H224="",0,求节点($C$114:$C$122,F$114:F$122,基础状态预期!M224)*基础状态预期!H224+求节点($C$124:$C$132,F$124:F$132,基础状态预期!$O224)*基础状态预期!$J224)</f>
        <v>0</v>
      </c>
      <c r="W211" s="148">
        <f>IF(基础状态预期!I224="",0,求节点($C$114:$C$122,G$114:G$122,基础状态预期!N224)*基础状态预期!I224)+IF(基础状态预期!O224="",0,求节点($C$124:$C$132,G$124:G$132,基础状态预期!$O224)*基础状态预期!$J224)</f>
        <v>54</v>
      </c>
      <c r="X211" s="29">
        <f>IF(基础状态预期!J224="",0,求节点($C$114:$C$122,H$114:H$122,基础状态预期!O224)*基础状态预期!J224+求节点($C$124:$C$132,H$124:H$132,基础状态预期!$O224)*基础状态预期!$J224)</f>
        <v>0</v>
      </c>
      <c r="Y211" s="14">
        <f>IF(基础状态预期!K224="",0,求节点($C$92:$C$100,D$92:D$100,基础状态预期!K224))</f>
        <v>0</v>
      </c>
      <c r="Z211" s="14">
        <f>IF(基础状态预期!L224="",0,求节点($C$92:$C$100,E$92:E$100,基础状态预期!L224))</f>
        <v>0</v>
      </c>
      <c r="AA211" s="14">
        <f>IF(基础状态预期!M224="",0,求节点($C$92:$C$100,F$92:F$100,基础状态预期!M224))</f>
        <v>0</v>
      </c>
      <c r="AB211" s="14">
        <f>IF(基础状态预期!N224="",0,求节点($C$92:$C$100,G$92:G$100,基础状态预期!N224))</f>
        <v>0</v>
      </c>
      <c r="AC211" s="14">
        <f>IF(基础状态预期!O224="",0,求节点($C$92:$C$100,H$92:H$100,基础状态预期!O224))</f>
        <v>3825000</v>
      </c>
      <c r="AD211" s="29">
        <f>MAX(SUMPRODUCT(Y211:AC211,基础状态预期!F224:J224),AD210)</f>
        <v>22950000</v>
      </c>
      <c r="AF211" s="29" t="str">
        <f>IF(基础状态预期!K224="","",基础状态预期!K224*D$59+D$58)</f>
        <v/>
      </c>
      <c r="AG211" s="29" t="str">
        <f>IF(基础状态预期!L224="","",基础状态预期!L224*E$59+E$58)</f>
        <v/>
      </c>
      <c r="AH211" s="29" t="str">
        <f>IF(基础状态预期!M224="","",基础状态预期!M224*F$59+F$58)</f>
        <v/>
      </c>
      <c r="AI211" s="29" t="str">
        <f>IF(基础状态预期!N224="","",基础状态预期!N224*G$59+G$58)</f>
        <v/>
      </c>
      <c r="AJ211" s="29">
        <f>IF(基础状态预期!O224="","",基础状态预期!O224*H$59+H$58)</f>
        <v>148</v>
      </c>
      <c r="AK211" s="29">
        <f>MAX(SUMPRODUCT(AF211:AJ211,基础状态预期!$F224:$J224)/SUM(基础状态预期!$F224:$J224),AK210)</f>
        <v>148</v>
      </c>
      <c r="AL211" s="29">
        <f>IF(基础状态预期!K224="",0,求节点($C$68:$C$76,D$68:D$76,基础状态预期!K224))</f>
        <v>0</v>
      </c>
      <c r="AM211" s="29">
        <f>IF(基础状态预期!L224="",0,求节点($C$68:$C$76,E$68:E$76,基础状态预期!L224))</f>
        <v>0</v>
      </c>
      <c r="AN211" s="29">
        <f>IF(基础状态预期!M224="",0,求节点($C$68:$C$76,F$68:F$76,基础状态预期!M224)*求节点(武将升级!$H$52:$H$54,武将升级!$J$52:$J$54,基础状态预期!W224))</f>
        <v>0</v>
      </c>
      <c r="AO211" s="29">
        <f>IF(基础状态预期!N224="",0,求节点($C$68:$C$76,G$68:G$76,基础状态预期!N224)*求节点(武将升级!$H$52:$H$54,武将升级!$J$52:$J$54,基础状态预期!X224))</f>
        <v>0</v>
      </c>
      <c r="AP211" s="29">
        <f>IF(基础状态预期!O224="",0,求节点($C$68:$C$76,H$68:H$76,基础状态预期!O224)*求节点(武将升级!$H$52:$H$54,武将升级!$J$52:$J$54,基础状态预期!Y224))</f>
        <v>1.1399999999999999</v>
      </c>
      <c r="AQ211" s="29">
        <f>MAX(SUMPRODUCT(AL211:AP211,基础状态预期!$F224:$J224)/SUM(基础状态预期!$F224:$J224),AQ210)</f>
        <v>1.1399999999999999</v>
      </c>
      <c r="AR211" s="29">
        <f>IF(基础状态预期!K224="",0,求节点($C$158:$C$166,D$158:D$166,基础状态预期!K224))</f>
        <v>0</v>
      </c>
      <c r="AS211" s="29">
        <f>IF(基础状态预期!L224="",0,求节点($C$158:$C$166,E$158:E$166,基础状态预期!L224))</f>
        <v>0</v>
      </c>
      <c r="AT211" s="29">
        <f>IF(基础状态预期!M224="",0,求节点($C$158:$C$166,F$158:F$166,基础状态预期!M224))</f>
        <v>0</v>
      </c>
      <c r="AU211" s="29">
        <f>IF(基础状态预期!N224="",0,求节点($C$158:$C$166,G$158:G$166,基础状态预期!N224))</f>
        <v>0</v>
      </c>
      <c r="AV211" s="29">
        <f>IF(基础状态预期!O224="",0,求节点($C$158:$C$166,H$158:H$166,基础状态预期!O224))</f>
        <v>0.8</v>
      </c>
      <c r="AW211" s="29">
        <f>MAX(SUMPRODUCT(AR211:AV211,基础状态预期!$F224:$J224)/SUM(基础状态预期!$F224:$J224),AW210)</f>
        <v>0.80000000000000016</v>
      </c>
      <c r="BJ211" s="29">
        <f t="shared" si="78"/>
        <v>122.26514676047371</v>
      </c>
      <c r="BK211" s="75">
        <f>武将数量星级阶位验证!AT214</f>
        <v>27752803.42056429</v>
      </c>
      <c r="BL211" s="75">
        <f>(AD211-AD210)*INDEX('[1]功能-付费相关'!$U$6:$AU$165,BJ211,1)+BL210</f>
        <v>1055.8874701990292</v>
      </c>
    </row>
    <row r="212" spans="13:64" x14ac:dyDescent="0.15">
      <c r="M212" s="72">
        <v>32</v>
      </c>
      <c r="N212" s="29">
        <f>基础状态预期!D225</f>
        <v>125.84855083483956</v>
      </c>
      <c r="O212" s="29">
        <f>IF(基础状态预期!F225="",0,求节点($C$104:$C$112,D$104:D$112,基础状态预期!K225))</f>
        <v>0</v>
      </c>
      <c r="P212" s="29">
        <f>IF(基础状态预期!G225="",0,求节点($C$104:$C$112,E$104:E$112,基础状态预期!L225))</f>
        <v>0</v>
      </c>
      <c r="Q212" s="29">
        <f>IF(基础状态预期!H225="",0,求节点($C$104:$C$112,F$104:F$112,基础状态预期!M225))</f>
        <v>0</v>
      </c>
      <c r="R212" s="29">
        <f>IF(基础状态预期!I225="",0,求节点($C$104:$C$112,G$104:G$112,基础状态预期!N225))</f>
        <v>0</v>
      </c>
      <c r="S212" s="29">
        <f>IF(基础状态预期!J225="",0,求节点($C$104:$C$112,H$104:H$112,基础状态预期!O225))</f>
        <v>18</v>
      </c>
      <c r="T212" s="29">
        <f>IF(基础状态预期!F225="",0,求节点($C$114:$C$122,D$114:D$122,基础状态预期!K225)*基础状态预期!F225+求节点($C$124:$C$132,D$124:D$132,基础状态预期!$O225)*基础状态预期!$J225)</f>
        <v>0</v>
      </c>
      <c r="U212" s="29">
        <f>IF(基础状态预期!G225="",0,求节点($C$114:$C$122,E$114:E$122,基础状态预期!L225)*基础状态预期!G225+求节点($C$124:$C$132,E$124:E$132,基础状态预期!$O225)*基础状态预期!$J225)</f>
        <v>0</v>
      </c>
      <c r="V212" s="29">
        <f>IF(基础状态预期!H225="",0,求节点($C$114:$C$122,F$114:F$122,基础状态预期!M225)*基础状态预期!H225+求节点($C$124:$C$132,F$124:F$132,基础状态预期!$O225)*基础状态预期!$J225)</f>
        <v>0</v>
      </c>
      <c r="W212" s="148">
        <f>IF(基础状态预期!I225="",0,求节点($C$114:$C$122,G$114:G$122,基础状态预期!N225)*基础状态预期!I225)+IF(基础状态预期!O225="",0,求节点($C$124:$C$132,G$124:G$132,基础状态预期!$O225)*基础状态预期!$J225)</f>
        <v>54</v>
      </c>
      <c r="X212" s="29">
        <f>IF(基础状态预期!J225="",0,求节点($C$114:$C$122,H$114:H$122,基础状态预期!O225)*基础状态预期!J225+求节点($C$124:$C$132,H$124:H$132,基础状态预期!$O225)*基础状态预期!$J225)</f>
        <v>0</v>
      </c>
      <c r="Y212" s="14">
        <f>IF(基础状态预期!K225="",0,求节点($C$92:$C$100,D$92:D$100,基础状态预期!K225))</f>
        <v>0</v>
      </c>
      <c r="Z212" s="14">
        <f>IF(基础状态预期!L225="",0,求节点($C$92:$C$100,E$92:E$100,基础状态预期!L225))</f>
        <v>0</v>
      </c>
      <c r="AA212" s="14">
        <f>IF(基础状态预期!M225="",0,求节点($C$92:$C$100,F$92:F$100,基础状态预期!M225))</f>
        <v>0</v>
      </c>
      <c r="AB212" s="14">
        <f>IF(基础状态预期!N225="",0,求节点($C$92:$C$100,G$92:G$100,基础状态预期!N225))</f>
        <v>0</v>
      </c>
      <c r="AC212" s="14">
        <f>IF(基础状态预期!O225="",0,求节点($C$92:$C$100,H$92:H$100,基础状态预期!O225))</f>
        <v>3825000</v>
      </c>
      <c r="AD212" s="29">
        <f>MAX(SUMPRODUCT(Y212:AC212,基础状态预期!F225:J225),AD211)</f>
        <v>22950000</v>
      </c>
      <c r="AF212" s="29" t="str">
        <f>IF(基础状态预期!K225="","",基础状态预期!K225*D$59+D$58)</f>
        <v/>
      </c>
      <c r="AG212" s="29" t="str">
        <f>IF(基础状态预期!L225="","",基础状态预期!L225*E$59+E$58)</f>
        <v/>
      </c>
      <c r="AH212" s="29" t="str">
        <f>IF(基础状态预期!M225="","",基础状态预期!M225*F$59+F$58)</f>
        <v/>
      </c>
      <c r="AI212" s="29" t="str">
        <f>IF(基础状态预期!N225="","",基础状态预期!N225*G$59+G$58)</f>
        <v/>
      </c>
      <c r="AJ212" s="29">
        <f>IF(基础状态预期!O225="","",基础状态预期!O225*H$59+H$58)</f>
        <v>148</v>
      </c>
      <c r="AK212" s="29">
        <f>MAX(SUMPRODUCT(AF212:AJ212,基础状态预期!$F225:$J225)/SUM(基础状态预期!$F225:$J225),AK211)</f>
        <v>148</v>
      </c>
      <c r="AL212" s="29">
        <f>IF(基础状态预期!K225="",0,求节点($C$68:$C$76,D$68:D$76,基础状态预期!K225))</f>
        <v>0</v>
      </c>
      <c r="AM212" s="29">
        <f>IF(基础状态预期!L225="",0,求节点($C$68:$C$76,E$68:E$76,基础状态预期!L225))</f>
        <v>0</v>
      </c>
      <c r="AN212" s="29">
        <f>IF(基础状态预期!M225="",0,求节点($C$68:$C$76,F$68:F$76,基础状态预期!M225)*求节点(武将升级!$H$52:$H$54,武将升级!$J$52:$J$54,基础状态预期!W225))</f>
        <v>0</v>
      </c>
      <c r="AO212" s="29">
        <f>IF(基础状态预期!N225="",0,求节点($C$68:$C$76,G$68:G$76,基础状态预期!N225)*求节点(武将升级!$H$52:$H$54,武将升级!$J$52:$J$54,基础状态预期!X225))</f>
        <v>0</v>
      </c>
      <c r="AP212" s="29">
        <f>IF(基础状态预期!O225="",0,求节点($C$68:$C$76,H$68:H$76,基础状态预期!O225)*求节点(武将升级!$H$52:$H$54,武将升级!$J$52:$J$54,基础状态预期!Y225))</f>
        <v>1.1399999999999999</v>
      </c>
      <c r="AQ212" s="29">
        <f>MAX(SUMPRODUCT(AL212:AP212,基础状态预期!$F225:$J225)/SUM(基础状态预期!$F225:$J225),AQ211)</f>
        <v>1.1399999999999999</v>
      </c>
      <c r="AR212" s="29">
        <f>IF(基础状态预期!K225="",0,求节点($C$158:$C$166,D$158:D$166,基础状态预期!K225))</f>
        <v>0</v>
      </c>
      <c r="AS212" s="29">
        <f>IF(基础状态预期!L225="",0,求节点($C$158:$C$166,E$158:E$166,基础状态预期!L225))</f>
        <v>0</v>
      </c>
      <c r="AT212" s="29">
        <f>IF(基础状态预期!M225="",0,求节点($C$158:$C$166,F$158:F$166,基础状态预期!M225))</f>
        <v>0</v>
      </c>
      <c r="AU212" s="29">
        <f>IF(基础状态预期!N225="",0,求节点($C$158:$C$166,G$158:G$166,基础状态预期!N225))</f>
        <v>0</v>
      </c>
      <c r="AV212" s="29">
        <f>IF(基础状态预期!O225="",0,求节点($C$158:$C$166,H$158:H$166,基础状态预期!O225))</f>
        <v>0.8</v>
      </c>
      <c r="AW212" s="29">
        <f>MAX(SUMPRODUCT(AR212:AV212,基础状态预期!$F225:$J225)/SUM(基础状态预期!$F225:$J225),AW211)</f>
        <v>0.80000000000000016</v>
      </c>
      <c r="BJ212" s="29">
        <f t="shared" si="78"/>
        <v>125.84855083483956</v>
      </c>
      <c r="BK212" s="75">
        <f>武将数量星级阶位验证!AT215</f>
        <v>34842916.254154861</v>
      </c>
      <c r="BL212" s="75">
        <f>(AD212-AD211)*INDEX('[1]功能-付费相关'!$U$6:$AU$165,BJ212,1)+BL211</f>
        <v>1055.8874701990292</v>
      </c>
    </row>
    <row r="213" spans="13:64" x14ac:dyDescent="0.15">
      <c r="M213" s="72">
        <v>33</v>
      </c>
      <c r="N213" s="29">
        <f>基础状态预期!D226</f>
        <v>129.43528964176323</v>
      </c>
      <c r="O213" s="29">
        <f>IF(基础状态预期!F226="",0,求节点($C$104:$C$112,D$104:D$112,基础状态预期!K226))</f>
        <v>0</v>
      </c>
      <c r="P213" s="29">
        <f>IF(基础状态预期!G226="",0,求节点($C$104:$C$112,E$104:E$112,基础状态预期!L226))</f>
        <v>0</v>
      </c>
      <c r="Q213" s="29">
        <f>IF(基础状态预期!H226="",0,求节点($C$104:$C$112,F$104:F$112,基础状态预期!M226))</f>
        <v>0</v>
      </c>
      <c r="R213" s="29">
        <f>IF(基础状态预期!I226="",0,求节点($C$104:$C$112,G$104:G$112,基础状态预期!N226))</f>
        <v>0</v>
      </c>
      <c r="S213" s="29">
        <f>IF(基础状态预期!J226="",0,求节点($C$104:$C$112,H$104:H$112,基础状态预期!O226))</f>
        <v>18</v>
      </c>
      <c r="T213" s="29">
        <f>IF(基础状态预期!F226="",0,求节点($C$114:$C$122,D$114:D$122,基础状态预期!K226)*基础状态预期!F226+求节点($C$124:$C$132,D$124:D$132,基础状态预期!$O226)*基础状态预期!$J226)</f>
        <v>0</v>
      </c>
      <c r="U213" s="29">
        <f>IF(基础状态预期!G226="",0,求节点($C$114:$C$122,E$114:E$122,基础状态预期!L226)*基础状态预期!G226+求节点($C$124:$C$132,E$124:E$132,基础状态预期!$O226)*基础状态预期!$J226)</f>
        <v>0</v>
      </c>
      <c r="V213" s="29">
        <f>IF(基础状态预期!H226="",0,求节点($C$114:$C$122,F$114:F$122,基础状态预期!M226)*基础状态预期!H226+求节点($C$124:$C$132,F$124:F$132,基础状态预期!$O226)*基础状态预期!$J226)</f>
        <v>0</v>
      </c>
      <c r="W213" s="148">
        <f>IF(基础状态预期!I226="",0,求节点($C$114:$C$122,G$114:G$122,基础状态预期!N226)*基础状态预期!I226)+IF(基础状态预期!O226="",0,求节点($C$124:$C$132,G$124:G$132,基础状态预期!$O226)*基础状态预期!$J226)</f>
        <v>54</v>
      </c>
      <c r="X213" s="29">
        <f>IF(基础状态预期!J226="",0,求节点($C$114:$C$122,H$114:H$122,基础状态预期!O226)*基础状态预期!J226+求节点($C$124:$C$132,H$124:H$132,基础状态预期!$O226)*基础状态预期!$J226)</f>
        <v>0</v>
      </c>
      <c r="Y213" s="14">
        <f>IF(基础状态预期!K226="",0,求节点($C$92:$C$100,D$92:D$100,基础状态预期!K226))</f>
        <v>0</v>
      </c>
      <c r="Z213" s="14">
        <f>IF(基础状态预期!L226="",0,求节点($C$92:$C$100,E$92:E$100,基础状态预期!L226))</f>
        <v>0</v>
      </c>
      <c r="AA213" s="14">
        <f>IF(基础状态预期!M226="",0,求节点($C$92:$C$100,F$92:F$100,基础状态预期!M226))</f>
        <v>0</v>
      </c>
      <c r="AB213" s="14">
        <f>IF(基础状态预期!N226="",0,求节点($C$92:$C$100,G$92:G$100,基础状态预期!N226))</f>
        <v>0</v>
      </c>
      <c r="AC213" s="14">
        <f>IF(基础状态预期!O226="",0,求节点($C$92:$C$100,H$92:H$100,基础状态预期!O226))</f>
        <v>3825000</v>
      </c>
      <c r="AD213" s="29">
        <f>MAX(SUMPRODUCT(Y213:AC213,基础状态预期!F226:J226),AD212)</f>
        <v>22950000</v>
      </c>
      <c r="AF213" s="29" t="str">
        <f>IF(基础状态预期!K226="","",基础状态预期!K226*D$59+D$58)</f>
        <v/>
      </c>
      <c r="AG213" s="29" t="str">
        <f>IF(基础状态预期!L226="","",基础状态预期!L226*E$59+E$58)</f>
        <v/>
      </c>
      <c r="AH213" s="29" t="str">
        <f>IF(基础状态预期!M226="","",基础状态预期!M226*F$59+F$58)</f>
        <v/>
      </c>
      <c r="AI213" s="29" t="str">
        <f>IF(基础状态预期!N226="","",基础状态预期!N226*G$59+G$58)</f>
        <v/>
      </c>
      <c r="AJ213" s="29">
        <f>IF(基础状态预期!O226="","",基础状态预期!O226*H$59+H$58)</f>
        <v>148</v>
      </c>
      <c r="AK213" s="29">
        <f>MAX(SUMPRODUCT(AF213:AJ213,基础状态预期!$F226:$J226)/SUM(基础状态预期!$F226:$J226),AK212)</f>
        <v>148</v>
      </c>
      <c r="AL213" s="29">
        <f>IF(基础状态预期!K226="",0,求节点($C$68:$C$76,D$68:D$76,基础状态预期!K226))</f>
        <v>0</v>
      </c>
      <c r="AM213" s="29">
        <f>IF(基础状态预期!L226="",0,求节点($C$68:$C$76,E$68:E$76,基础状态预期!L226))</f>
        <v>0</v>
      </c>
      <c r="AN213" s="29">
        <f>IF(基础状态预期!M226="",0,求节点($C$68:$C$76,F$68:F$76,基础状态预期!M226)*求节点(武将升级!$H$52:$H$54,武将升级!$J$52:$J$54,基础状态预期!W226))</f>
        <v>0</v>
      </c>
      <c r="AO213" s="29">
        <f>IF(基础状态预期!N226="",0,求节点($C$68:$C$76,G$68:G$76,基础状态预期!N226)*求节点(武将升级!$H$52:$H$54,武将升级!$J$52:$J$54,基础状态预期!X226))</f>
        <v>0</v>
      </c>
      <c r="AP213" s="29">
        <f>IF(基础状态预期!O226="",0,求节点($C$68:$C$76,H$68:H$76,基础状态预期!O226)*求节点(武将升级!$H$52:$H$54,武将升级!$J$52:$J$54,基础状态预期!Y226))</f>
        <v>1.1399999999999999</v>
      </c>
      <c r="AQ213" s="29">
        <f>MAX(SUMPRODUCT(AL213:AP213,基础状态预期!$F226:$J226)/SUM(基础状态预期!$F226:$J226),AQ212)</f>
        <v>1.1399999999999999</v>
      </c>
      <c r="AR213" s="29">
        <f>IF(基础状态预期!K226="",0,求节点($C$158:$C$166,D$158:D$166,基础状态预期!K226))</f>
        <v>0</v>
      </c>
      <c r="AS213" s="29">
        <f>IF(基础状态预期!L226="",0,求节点($C$158:$C$166,E$158:E$166,基础状态预期!L226))</f>
        <v>0</v>
      </c>
      <c r="AT213" s="29">
        <f>IF(基础状态预期!M226="",0,求节点($C$158:$C$166,F$158:F$166,基础状态预期!M226))</f>
        <v>0</v>
      </c>
      <c r="AU213" s="29">
        <f>IF(基础状态预期!N226="",0,求节点($C$158:$C$166,G$158:G$166,基础状态预期!N226))</f>
        <v>0</v>
      </c>
      <c r="AV213" s="29">
        <f>IF(基础状态预期!O226="",0,求节点($C$158:$C$166,H$158:H$166,基础状态预期!O226))</f>
        <v>0.8</v>
      </c>
      <c r="AW213" s="29">
        <f>MAX(SUMPRODUCT(AR213:AV213,基础状态预期!$F226:$J226)/SUM(基础状态预期!$F226:$J226),AW212)</f>
        <v>0.80000000000000016</v>
      </c>
      <c r="BJ213" s="29">
        <f t="shared" si="78"/>
        <v>129.43528964176323</v>
      </c>
      <c r="BK213" s="75">
        <f>武将数量星级阶位验证!AT216</f>
        <v>43870966.811023682</v>
      </c>
      <c r="BL213" s="75">
        <f>(AD213-AD212)*INDEX('[1]功能-付费相关'!$U$6:$AU$165,BJ213,1)+BL212</f>
        <v>1055.8874701990292</v>
      </c>
    </row>
    <row r="214" spans="13:64" x14ac:dyDescent="0.15">
      <c r="M214" s="72">
        <v>34</v>
      </c>
      <c r="N214" s="29">
        <f>基础状态预期!D227</f>
        <v>133.03192104200832</v>
      </c>
      <c r="O214" s="29">
        <f>IF(基础状态预期!F227="",0,求节点($C$104:$C$112,D$104:D$112,基础状态预期!K227))</f>
        <v>0</v>
      </c>
      <c r="P214" s="29">
        <f>IF(基础状态预期!G227="",0,求节点($C$104:$C$112,E$104:E$112,基础状态预期!L227))</f>
        <v>0</v>
      </c>
      <c r="Q214" s="29">
        <f>IF(基础状态预期!H227="",0,求节点($C$104:$C$112,F$104:F$112,基础状态预期!M227))</f>
        <v>0</v>
      </c>
      <c r="R214" s="29">
        <f>IF(基础状态预期!I227="",0,求节点($C$104:$C$112,G$104:G$112,基础状态预期!N227))</f>
        <v>0</v>
      </c>
      <c r="S214" s="29">
        <f>IF(基础状态预期!J227="",0,求节点($C$104:$C$112,H$104:H$112,基础状态预期!O227))</f>
        <v>18</v>
      </c>
      <c r="T214" s="29">
        <f>IF(基础状态预期!F227="",0,求节点($C$114:$C$122,D$114:D$122,基础状态预期!K227)*基础状态预期!F227+求节点($C$124:$C$132,D$124:D$132,基础状态预期!$O227)*基础状态预期!$J227)</f>
        <v>0</v>
      </c>
      <c r="U214" s="29">
        <f>IF(基础状态预期!G227="",0,求节点($C$114:$C$122,E$114:E$122,基础状态预期!L227)*基础状态预期!G227+求节点($C$124:$C$132,E$124:E$132,基础状态预期!$O227)*基础状态预期!$J227)</f>
        <v>0</v>
      </c>
      <c r="V214" s="29">
        <f>IF(基础状态预期!H227="",0,求节点($C$114:$C$122,F$114:F$122,基础状态预期!M227)*基础状态预期!H227+求节点($C$124:$C$132,F$124:F$132,基础状态预期!$O227)*基础状态预期!$J227)</f>
        <v>0</v>
      </c>
      <c r="W214" s="148">
        <f>IF(基础状态预期!I227="",0,求节点($C$114:$C$122,G$114:G$122,基础状态预期!N227)*基础状态预期!I227)+IF(基础状态预期!O227="",0,求节点($C$124:$C$132,G$124:G$132,基础状态预期!$O227)*基础状态预期!$J227)</f>
        <v>54</v>
      </c>
      <c r="X214" s="29">
        <f>IF(基础状态预期!J227="",0,求节点($C$114:$C$122,H$114:H$122,基础状态预期!O227)*基础状态预期!J227+求节点($C$124:$C$132,H$124:H$132,基础状态预期!$O227)*基础状态预期!$J227)</f>
        <v>0</v>
      </c>
      <c r="Y214" s="14">
        <f>IF(基础状态预期!K227="",0,求节点($C$92:$C$100,D$92:D$100,基础状态预期!K227))</f>
        <v>0</v>
      </c>
      <c r="Z214" s="14">
        <f>IF(基础状态预期!L227="",0,求节点($C$92:$C$100,E$92:E$100,基础状态预期!L227))</f>
        <v>0</v>
      </c>
      <c r="AA214" s="14">
        <f>IF(基础状态预期!M227="",0,求节点($C$92:$C$100,F$92:F$100,基础状态预期!M227))</f>
        <v>0</v>
      </c>
      <c r="AB214" s="14">
        <f>IF(基础状态预期!N227="",0,求节点($C$92:$C$100,G$92:G$100,基础状态预期!N227))</f>
        <v>0</v>
      </c>
      <c r="AC214" s="14">
        <f>IF(基础状态预期!O227="",0,求节点($C$92:$C$100,H$92:H$100,基础状态预期!O227))</f>
        <v>3825000</v>
      </c>
      <c r="AD214" s="29">
        <f>MAX(SUMPRODUCT(Y214:AC214,基础状态预期!F227:J227),AD213)</f>
        <v>22950000</v>
      </c>
      <c r="AF214" s="29" t="str">
        <f>IF(基础状态预期!K227="","",基础状态预期!K227*D$59+D$58)</f>
        <v/>
      </c>
      <c r="AG214" s="29" t="str">
        <f>IF(基础状态预期!L227="","",基础状态预期!L227*E$59+E$58)</f>
        <v/>
      </c>
      <c r="AH214" s="29" t="str">
        <f>IF(基础状态预期!M227="","",基础状态预期!M227*F$59+F$58)</f>
        <v/>
      </c>
      <c r="AI214" s="29" t="str">
        <f>IF(基础状态预期!N227="","",基础状态预期!N227*G$59+G$58)</f>
        <v/>
      </c>
      <c r="AJ214" s="29">
        <f>IF(基础状态预期!O227="","",基础状态预期!O227*H$59+H$58)</f>
        <v>148</v>
      </c>
      <c r="AK214" s="29">
        <f>MAX(SUMPRODUCT(AF214:AJ214,基础状态预期!$F227:$J227)/SUM(基础状态预期!$F227:$J227),AK213)</f>
        <v>148</v>
      </c>
      <c r="AL214" s="29">
        <f>IF(基础状态预期!K227="",0,求节点($C$68:$C$76,D$68:D$76,基础状态预期!K227))</f>
        <v>0</v>
      </c>
      <c r="AM214" s="29">
        <f>IF(基础状态预期!L227="",0,求节点($C$68:$C$76,E$68:E$76,基础状态预期!L227))</f>
        <v>0</v>
      </c>
      <c r="AN214" s="29">
        <f>IF(基础状态预期!M227="",0,求节点($C$68:$C$76,F$68:F$76,基础状态预期!M227)*求节点(武将升级!$H$52:$H$54,武将升级!$J$52:$J$54,基础状态预期!W227))</f>
        <v>0</v>
      </c>
      <c r="AO214" s="29">
        <f>IF(基础状态预期!N227="",0,求节点($C$68:$C$76,G$68:G$76,基础状态预期!N227)*求节点(武将升级!$H$52:$H$54,武将升级!$J$52:$J$54,基础状态预期!X227))</f>
        <v>0</v>
      </c>
      <c r="AP214" s="29">
        <f>IF(基础状态预期!O227="",0,求节点($C$68:$C$76,H$68:H$76,基础状态预期!O227)*求节点(武将升级!$H$52:$H$54,武将升级!$J$52:$J$54,基础状态预期!Y227))</f>
        <v>1.1399999999999999</v>
      </c>
      <c r="AQ214" s="29">
        <f>MAX(SUMPRODUCT(AL214:AP214,基础状态预期!$F227:$J227)/SUM(基础状态预期!$F227:$J227),AQ213)</f>
        <v>1.1399999999999999</v>
      </c>
      <c r="AR214" s="29">
        <f>IF(基础状态预期!K227="",0,求节点($C$158:$C$166,D$158:D$166,基础状态预期!K227))</f>
        <v>0</v>
      </c>
      <c r="AS214" s="29">
        <f>IF(基础状态预期!L227="",0,求节点($C$158:$C$166,E$158:E$166,基础状态预期!L227))</f>
        <v>0</v>
      </c>
      <c r="AT214" s="29">
        <f>IF(基础状态预期!M227="",0,求节点($C$158:$C$166,F$158:F$166,基础状态预期!M227))</f>
        <v>0</v>
      </c>
      <c r="AU214" s="29">
        <f>IF(基础状态预期!N227="",0,求节点($C$158:$C$166,G$158:G$166,基础状态预期!N227))</f>
        <v>0</v>
      </c>
      <c r="AV214" s="29">
        <f>IF(基础状态预期!O227="",0,求节点($C$158:$C$166,H$158:H$166,基础状态预期!O227))</f>
        <v>0.8</v>
      </c>
      <c r="AW214" s="29">
        <f>MAX(SUMPRODUCT(AR214:AV214,基础状态预期!$F227:$J227)/SUM(基础状态预期!$F227:$J227),AW213)</f>
        <v>0.80000000000000016</v>
      </c>
      <c r="BJ214" s="29">
        <f t="shared" si="78"/>
        <v>133.03192104200832</v>
      </c>
      <c r="BK214" s="75">
        <f>武将数量星级阶位验证!AT217</f>
        <v>55053514.974142902</v>
      </c>
      <c r="BL214" s="75">
        <f>(AD214-AD213)*INDEX('[1]功能-付费相关'!$U$6:$AU$165,BJ214,1)+BL213</f>
        <v>1055.8874701990292</v>
      </c>
    </row>
    <row r="215" spans="13:64" x14ac:dyDescent="0.15">
      <c r="M215" s="72">
        <v>35</v>
      </c>
      <c r="N215" s="29">
        <f>基础状态预期!D228</f>
        <v>136.45508882162355</v>
      </c>
      <c r="O215" s="29">
        <f>IF(基础状态预期!F228="",0,求节点($C$104:$C$112,D$104:D$112,基础状态预期!K228))</f>
        <v>0</v>
      </c>
      <c r="P215" s="29">
        <f>IF(基础状态预期!G228="",0,求节点($C$104:$C$112,E$104:E$112,基础状态预期!L228))</f>
        <v>0</v>
      </c>
      <c r="Q215" s="29">
        <f>IF(基础状态预期!H228="",0,求节点($C$104:$C$112,F$104:F$112,基础状态预期!M228))</f>
        <v>0</v>
      </c>
      <c r="R215" s="29">
        <f>IF(基础状态预期!I228="",0,求节点($C$104:$C$112,G$104:G$112,基础状态预期!N228))</f>
        <v>0</v>
      </c>
      <c r="S215" s="29">
        <f>IF(基础状态预期!J228="",0,求节点($C$104:$C$112,H$104:H$112,基础状态预期!O228))</f>
        <v>18</v>
      </c>
      <c r="T215" s="29">
        <f>IF(基础状态预期!F228="",0,求节点($C$114:$C$122,D$114:D$122,基础状态预期!K228)*基础状态预期!F228+求节点($C$124:$C$132,D$124:D$132,基础状态预期!$O228)*基础状态预期!$J228)</f>
        <v>0</v>
      </c>
      <c r="U215" s="29">
        <f>IF(基础状态预期!G228="",0,求节点($C$114:$C$122,E$114:E$122,基础状态预期!L228)*基础状态预期!G228+求节点($C$124:$C$132,E$124:E$132,基础状态预期!$O228)*基础状态预期!$J228)</f>
        <v>0</v>
      </c>
      <c r="V215" s="29">
        <f>IF(基础状态预期!H228="",0,求节点($C$114:$C$122,F$114:F$122,基础状态预期!M228)*基础状态预期!H228+求节点($C$124:$C$132,F$124:F$132,基础状态预期!$O228)*基础状态预期!$J228)</f>
        <v>0</v>
      </c>
      <c r="W215" s="148">
        <f>IF(基础状态预期!I228="",0,求节点($C$114:$C$122,G$114:G$122,基础状态预期!N228)*基础状态预期!I228)+IF(基础状态预期!O228="",0,求节点($C$124:$C$132,G$124:G$132,基础状态预期!$O228)*基础状态预期!$J228)</f>
        <v>54</v>
      </c>
      <c r="X215" s="29">
        <f>IF(基础状态预期!J228="",0,求节点($C$114:$C$122,H$114:H$122,基础状态预期!O228)*基础状态预期!J228+求节点($C$124:$C$132,H$124:H$132,基础状态预期!$O228)*基础状态预期!$J228)</f>
        <v>0</v>
      </c>
      <c r="Y215" s="14">
        <f>IF(基础状态预期!K228="",0,求节点($C$92:$C$100,D$92:D$100,基础状态预期!K228))</f>
        <v>0</v>
      </c>
      <c r="Z215" s="14">
        <f>IF(基础状态预期!L228="",0,求节点($C$92:$C$100,E$92:E$100,基础状态预期!L228))</f>
        <v>0</v>
      </c>
      <c r="AA215" s="14">
        <f>IF(基础状态预期!M228="",0,求节点($C$92:$C$100,F$92:F$100,基础状态预期!M228))</f>
        <v>0</v>
      </c>
      <c r="AB215" s="14">
        <f>IF(基础状态预期!N228="",0,求节点($C$92:$C$100,G$92:G$100,基础状态预期!N228))</f>
        <v>0</v>
      </c>
      <c r="AC215" s="14">
        <f>IF(基础状态预期!O228="",0,求节点($C$92:$C$100,H$92:H$100,基础状态预期!O228))</f>
        <v>3825000</v>
      </c>
      <c r="AD215" s="29">
        <f>MAX(SUMPRODUCT(Y215:AC215,基础状态预期!F228:J228),AD214)</f>
        <v>22950000</v>
      </c>
      <c r="AF215" s="29" t="str">
        <f>IF(基础状态预期!K228="","",基础状态预期!K228*D$59+D$58)</f>
        <v/>
      </c>
      <c r="AG215" s="29" t="str">
        <f>IF(基础状态预期!L228="","",基础状态预期!L228*E$59+E$58)</f>
        <v/>
      </c>
      <c r="AH215" s="29" t="str">
        <f>IF(基础状态预期!M228="","",基础状态预期!M228*F$59+F$58)</f>
        <v/>
      </c>
      <c r="AI215" s="29" t="str">
        <f>IF(基础状态预期!N228="","",基础状态预期!N228*G$59+G$58)</f>
        <v/>
      </c>
      <c r="AJ215" s="29">
        <f>IF(基础状态预期!O228="","",基础状态预期!O228*H$59+H$58)</f>
        <v>148</v>
      </c>
      <c r="AK215" s="29">
        <f>MAX(SUMPRODUCT(AF215:AJ215,基础状态预期!$F228:$J228)/SUM(基础状态预期!$F228:$J228),AK214)</f>
        <v>148</v>
      </c>
      <c r="AL215" s="29">
        <f>IF(基础状态预期!K228="",0,求节点($C$68:$C$76,D$68:D$76,基础状态预期!K228))</f>
        <v>0</v>
      </c>
      <c r="AM215" s="29">
        <f>IF(基础状态预期!L228="",0,求节点($C$68:$C$76,E$68:E$76,基础状态预期!L228))</f>
        <v>0</v>
      </c>
      <c r="AN215" s="29">
        <f>IF(基础状态预期!M228="",0,求节点($C$68:$C$76,F$68:F$76,基础状态预期!M228)*求节点(武将升级!$H$52:$H$54,武将升级!$J$52:$J$54,基础状态预期!W228))</f>
        <v>0</v>
      </c>
      <c r="AO215" s="29">
        <f>IF(基础状态预期!N228="",0,求节点($C$68:$C$76,G$68:G$76,基础状态预期!N228)*求节点(武将升级!$H$52:$H$54,武将升级!$J$52:$J$54,基础状态预期!X228))</f>
        <v>0</v>
      </c>
      <c r="AP215" s="29">
        <f>IF(基础状态预期!O228="",0,求节点($C$68:$C$76,H$68:H$76,基础状态预期!O228)*求节点(武将升级!$H$52:$H$54,武将升级!$J$52:$J$54,基础状态预期!Y228))</f>
        <v>1.1399999999999999</v>
      </c>
      <c r="AQ215" s="29">
        <f>MAX(SUMPRODUCT(AL215:AP215,基础状态预期!$F228:$J228)/SUM(基础状态预期!$F228:$J228),AQ214)</f>
        <v>1.1399999999999999</v>
      </c>
      <c r="AR215" s="29">
        <f>IF(基础状态预期!K228="",0,求节点($C$158:$C$166,D$158:D$166,基础状态预期!K228))</f>
        <v>0</v>
      </c>
      <c r="AS215" s="29">
        <f>IF(基础状态预期!L228="",0,求节点($C$158:$C$166,E$158:E$166,基础状态预期!L228))</f>
        <v>0</v>
      </c>
      <c r="AT215" s="29">
        <f>IF(基础状态预期!M228="",0,求节点($C$158:$C$166,F$158:F$166,基础状态预期!M228))</f>
        <v>0</v>
      </c>
      <c r="AU215" s="29">
        <f>IF(基础状态预期!N228="",0,求节点($C$158:$C$166,G$158:G$166,基础状态预期!N228))</f>
        <v>0</v>
      </c>
      <c r="AV215" s="29">
        <f>IF(基础状态预期!O228="",0,求节点($C$158:$C$166,H$158:H$166,基础状态预期!O228))</f>
        <v>0.8</v>
      </c>
      <c r="AW215" s="29">
        <f>MAX(SUMPRODUCT(AR215:AV215,基础状态预期!$F228:$J228)/SUM(基础状态预期!$F228:$J228),AW214)</f>
        <v>0.80000000000000016</v>
      </c>
      <c r="BJ215" s="29">
        <f t="shared" si="78"/>
        <v>136.45508882162355</v>
      </c>
      <c r="BK215" s="75">
        <f>武将数量星级阶位验证!AT218</f>
        <v>68932453.114439771</v>
      </c>
      <c r="BL215" s="75">
        <f>(AD215-AD214)*INDEX('[1]功能-付费相关'!$U$6:$AU$165,BJ215,1)+BL214</f>
        <v>1055.8874701990292</v>
      </c>
    </row>
    <row r="216" spans="13:64" x14ac:dyDescent="0.15">
      <c r="M216" s="72">
        <v>36</v>
      </c>
      <c r="N216" s="29">
        <f>基础状态预期!D229</f>
        <v>140.08772492574531</v>
      </c>
      <c r="O216" s="29">
        <f>IF(基础状态预期!F229="",0,求节点($C$104:$C$112,D$104:D$112,基础状态预期!K229))</f>
        <v>0</v>
      </c>
      <c r="P216" s="29">
        <f>IF(基础状态预期!G229="",0,求节点($C$104:$C$112,E$104:E$112,基础状态预期!L229))</f>
        <v>0</v>
      </c>
      <c r="Q216" s="29">
        <f>IF(基础状态预期!H229="",0,求节点($C$104:$C$112,F$104:F$112,基础状态预期!M229))</f>
        <v>0</v>
      </c>
      <c r="R216" s="29">
        <f>IF(基础状态预期!I229="",0,求节点($C$104:$C$112,G$104:G$112,基础状态预期!N229))</f>
        <v>0</v>
      </c>
      <c r="S216" s="29">
        <f>IF(基础状态预期!J229="",0,求节点($C$104:$C$112,H$104:H$112,基础状态预期!O229))</f>
        <v>18</v>
      </c>
      <c r="T216" s="29">
        <f>IF(基础状态预期!F229="",0,求节点($C$114:$C$122,D$114:D$122,基础状态预期!K229)*基础状态预期!F229+求节点($C$124:$C$132,D$124:D$132,基础状态预期!$O229)*基础状态预期!$J229)</f>
        <v>0</v>
      </c>
      <c r="U216" s="29">
        <f>IF(基础状态预期!G229="",0,求节点($C$114:$C$122,E$114:E$122,基础状态预期!L229)*基础状态预期!G229+求节点($C$124:$C$132,E$124:E$132,基础状态预期!$O229)*基础状态预期!$J229)</f>
        <v>0</v>
      </c>
      <c r="V216" s="29">
        <f>IF(基础状态预期!H229="",0,求节点($C$114:$C$122,F$114:F$122,基础状态预期!M229)*基础状态预期!H229+求节点($C$124:$C$132,F$124:F$132,基础状态预期!$O229)*基础状态预期!$J229)</f>
        <v>0</v>
      </c>
      <c r="W216" s="148">
        <f>IF(基础状态预期!I229="",0,求节点($C$114:$C$122,G$114:G$122,基础状态预期!N229)*基础状态预期!I229)+IF(基础状态预期!O229="",0,求节点($C$124:$C$132,G$124:G$132,基础状态预期!$O229)*基础状态预期!$J229)</f>
        <v>54</v>
      </c>
      <c r="X216" s="29">
        <f>IF(基础状态预期!J229="",0,求节点($C$114:$C$122,H$114:H$122,基础状态预期!O229)*基础状态预期!J229+求节点($C$124:$C$132,H$124:H$132,基础状态预期!$O229)*基础状态预期!$J229)</f>
        <v>0</v>
      </c>
      <c r="Y216" s="14">
        <f>IF(基础状态预期!K229="",0,求节点($C$92:$C$100,D$92:D$100,基础状态预期!K229))</f>
        <v>0</v>
      </c>
      <c r="Z216" s="14">
        <f>IF(基础状态预期!L229="",0,求节点($C$92:$C$100,E$92:E$100,基础状态预期!L229))</f>
        <v>0</v>
      </c>
      <c r="AA216" s="14">
        <f>IF(基础状态预期!M229="",0,求节点($C$92:$C$100,F$92:F$100,基础状态预期!M229))</f>
        <v>0</v>
      </c>
      <c r="AB216" s="14">
        <f>IF(基础状态预期!N229="",0,求节点($C$92:$C$100,G$92:G$100,基础状态预期!N229))</f>
        <v>0</v>
      </c>
      <c r="AC216" s="14">
        <f>IF(基础状态预期!O229="",0,求节点($C$92:$C$100,H$92:H$100,基础状态预期!O229))</f>
        <v>3825000</v>
      </c>
      <c r="AD216" s="29">
        <f>MAX(SUMPRODUCT(Y216:AC216,基础状态预期!F229:J229),AD215)</f>
        <v>22950000</v>
      </c>
      <c r="AF216" s="29" t="str">
        <f>IF(基础状态预期!K229="","",基础状态预期!K229*D$59+D$58)</f>
        <v/>
      </c>
      <c r="AG216" s="29" t="str">
        <f>IF(基础状态预期!L229="","",基础状态预期!L229*E$59+E$58)</f>
        <v/>
      </c>
      <c r="AH216" s="29" t="str">
        <f>IF(基础状态预期!M229="","",基础状态预期!M229*F$59+F$58)</f>
        <v/>
      </c>
      <c r="AI216" s="29" t="str">
        <f>IF(基础状态预期!N229="","",基础状态预期!N229*G$59+G$58)</f>
        <v/>
      </c>
      <c r="AJ216" s="29">
        <f>IF(基础状态预期!O229="","",基础状态预期!O229*H$59+H$58)</f>
        <v>148</v>
      </c>
      <c r="AK216" s="29">
        <f>MAX(SUMPRODUCT(AF216:AJ216,基础状态预期!$F229:$J229)/SUM(基础状态预期!$F229:$J229),AK215)</f>
        <v>148</v>
      </c>
      <c r="AL216" s="29">
        <f>IF(基础状态预期!K229="",0,求节点($C$68:$C$76,D$68:D$76,基础状态预期!K229))</f>
        <v>0</v>
      </c>
      <c r="AM216" s="29">
        <f>IF(基础状态预期!L229="",0,求节点($C$68:$C$76,E$68:E$76,基础状态预期!L229))</f>
        <v>0</v>
      </c>
      <c r="AN216" s="29">
        <f>IF(基础状态预期!M229="",0,求节点($C$68:$C$76,F$68:F$76,基础状态预期!M229)*求节点(武将升级!$H$52:$H$54,武将升级!$J$52:$J$54,基础状态预期!W229))</f>
        <v>0</v>
      </c>
      <c r="AO216" s="29">
        <f>IF(基础状态预期!N229="",0,求节点($C$68:$C$76,G$68:G$76,基础状态预期!N229)*求节点(武将升级!$H$52:$H$54,武将升级!$J$52:$J$54,基础状态预期!X229))</f>
        <v>0</v>
      </c>
      <c r="AP216" s="29">
        <f>IF(基础状态预期!O229="",0,求节点($C$68:$C$76,H$68:H$76,基础状态预期!O229)*求节点(武将升级!$H$52:$H$54,武将升级!$J$52:$J$54,基础状态预期!Y229))</f>
        <v>1.1399999999999999</v>
      </c>
      <c r="AQ216" s="29">
        <f>MAX(SUMPRODUCT(AL216:AP216,基础状态预期!$F229:$J229)/SUM(基础状态预期!$F229:$J229),AQ215)</f>
        <v>1.1399999999999999</v>
      </c>
      <c r="AR216" s="29">
        <f>IF(基础状态预期!K229="",0,求节点($C$158:$C$166,D$158:D$166,基础状态预期!K229))</f>
        <v>0</v>
      </c>
      <c r="AS216" s="29">
        <f>IF(基础状态预期!L229="",0,求节点($C$158:$C$166,E$158:E$166,基础状态预期!L229))</f>
        <v>0</v>
      </c>
      <c r="AT216" s="29">
        <f>IF(基础状态预期!M229="",0,求节点($C$158:$C$166,F$158:F$166,基础状态预期!M229))</f>
        <v>0</v>
      </c>
      <c r="AU216" s="29">
        <f>IF(基础状态预期!N229="",0,求节点($C$158:$C$166,G$158:G$166,基础状态预期!N229))</f>
        <v>0</v>
      </c>
      <c r="AV216" s="29">
        <f>IF(基础状态预期!O229="",0,求节点($C$158:$C$166,H$158:H$166,基础状态预期!O229))</f>
        <v>0.8</v>
      </c>
      <c r="AW216" s="29">
        <f>MAX(SUMPRODUCT(AR216:AV216,基础状态预期!$F229:$J229)/SUM(基础状态预期!$F229:$J229),AW215)</f>
        <v>0.80000000000000016</v>
      </c>
      <c r="BJ216" s="29">
        <f t="shared" si="78"/>
        <v>140.08772492574531</v>
      </c>
      <c r="BK216" s="75">
        <f>武将数量星级阶位验证!AT219</f>
        <v>86477177.266028434</v>
      </c>
      <c r="BL216" s="75">
        <f>(AD216-AD215)*INDEX('[1]功能-付费相关'!$U$6:$AU$165,BJ216,1)+BL215</f>
        <v>1055.8874701990292</v>
      </c>
    </row>
    <row r="217" spans="13:64" x14ac:dyDescent="0.15">
      <c r="M217" s="72">
        <v>37</v>
      </c>
      <c r="N217" s="29">
        <f>基础状态预期!D230</f>
        <v>143.51956656528549</v>
      </c>
      <c r="O217" s="29">
        <f>IF(基础状态预期!F230="",0,求节点($C$104:$C$112,D$104:D$112,基础状态预期!K230))</f>
        <v>0</v>
      </c>
      <c r="P217" s="29">
        <f>IF(基础状态预期!G230="",0,求节点($C$104:$C$112,E$104:E$112,基础状态预期!L230))</f>
        <v>0</v>
      </c>
      <c r="Q217" s="29">
        <f>IF(基础状态预期!H230="",0,求节点($C$104:$C$112,F$104:F$112,基础状态预期!M230))</f>
        <v>0</v>
      </c>
      <c r="R217" s="29">
        <f>IF(基础状态预期!I230="",0,求节点($C$104:$C$112,G$104:G$112,基础状态预期!N230))</f>
        <v>0</v>
      </c>
      <c r="S217" s="29">
        <f>IF(基础状态预期!J230="",0,求节点($C$104:$C$112,H$104:H$112,基础状态预期!O230))</f>
        <v>18</v>
      </c>
      <c r="T217" s="29">
        <f>IF(基础状态预期!F230="",0,求节点($C$114:$C$122,D$114:D$122,基础状态预期!K230)*基础状态预期!F230+求节点($C$124:$C$132,D$124:D$132,基础状态预期!$O230)*基础状态预期!$J230)</f>
        <v>0</v>
      </c>
      <c r="U217" s="29">
        <f>IF(基础状态预期!G230="",0,求节点($C$114:$C$122,E$114:E$122,基础状态预期!L230)*基础状态预期!G230+求节点($C$124:$C$132,E$124:E$132,基础状态预期!$O230)*基础状态预期!$J230)</f>
        <v>0</v>
      </c>
      <c r="V217" s="29">
        <f>IF(基础状态预期!H230="",0,求节点($C$114:$C$122,F$114:F$122,基础状态预期!M230)*基础状态预期!H230+求节点($C$124:$C$132,F$124:F$132,基础状态预期!$O230)*基础状态预期!$J230)</f>
        <v>0</v>
      </c>
      <c r="W217" s="148">
        <f>IF(基础状态预期!I230="",0,求节点($C$114:$C$122,G$114:G$122,基础状态预期!N230)*基础状态预期!I230)+IF(基础状态预期!O230="",0,求节点($C$124:$C$132,G$124:G$132,基础状态预期!$O230)*基础状态预期!$J230)</f>
        <v>54</v>
      </c>
      <c r="X217" s="29">
        <f>IF(基础状态预期!J230="",0,求节点($C$114:$C$122,H$114:H$122,基础状态预期!O230)*基础状态预期!J230+求节点($C$124:$C$132,H$124:H$132,基础状态预期!$O230)*基础状态预期!$J230)</f>
        <v>0</v>
      </c>
      <c r="Y217" s="14">
        <f>IF(基础状态预期!K230="",0,求节点($C$92:$C$100,D$92:D$100,基础状态预期!K230))</f>
        <v>0</v>
      </c>
      <c r="Z217" s="14">
        <f>IF(基础状态预期!L230="",0,求节点($C$92:$C$100,E$92:E$100,基础状态预期!L230))</f>
        <v>0</v>
      </c>
      <c r="AA217" s="14">
        <f>IF(基础状态预期!M230="",0,求节点($C$92:$C$100,F$92:F$100,基础状态预期!M230))</f>
        <v>0</v>
      </c>
      <c r="AB217" s="14">
        <f>IF(基础状态预期!N230="",0,求节点($C$92:$C$100,G$92:G$100,基础状态预期!N230))</f>
        <v>0</v>
      </c>
      <c r="AC217" s="14">
        <f>IF(基础状态预期!O230="",0,求节点($C$92:$C$100,H$92:H$100,基础状态预期!O230))</f>
        <v>3825000</v>
      </c>
      <c r="AD217" s="29">
        <f>MAX(SUMPRODUCT(Y217:AC217,基础状态预期!F230:J230),AD216)</f>
        <v>22950000</v>
      </c>
      <c r="AF217" s="29" t="str">
        <f>IF(基础状态预期!K230="","",基础状态预期!K230*D$59+D$58)</f>
        <v/>
      </c>
      <c r="AG217" s="29" t="str">
        <f>IF(基础状态预期!L230="","",基础状态预期!L230*E$59+E$58)</f>
        <v/>
      </c>
      <c r="AH217" s="29" t="str">
        <f>IF(基础状态预期!M230="","",基础状态预期!M230*F$59+F$58)</f>
        <v/>
      </c>
      <c r="AI217" s="29" t="str">
        <f>IF(基础状态预期!N230="","",基础状态预期!N230*G$59+G$58)</f>
        <v/>
      </c>
      <c r="AJ217" s="29">
        <f>IF(基础状态预期!O230="","",基础状态预期!O230*H$59+H$58)</f>
        <v>148</v>
      </c>
      <c r="AK217" s="29">
        <f>MAX(SUMPRODUCT(AF217:AJ217,基础状态预期!$F230:$J230)/SUM(基础状态预期!$F230:$J230),AK216)</f>
        <v>148</v>
      </c>
      <c r="AL217" s="29">
        <f>IF(基础状态预期!K230="",0,求节点($C$68:$C$76,D$68:D$76,基础状态预期!K230))</f>
        <v>0</v>
      </c>
      <c r="AM217" s="29">
        <f>IF(基础状态预期!L230="",0,求节点($C$68:$C$76,E$68:E$76,基础状态预期!L230))</f>
        <v>0</v>
      </c>
      <c r="AN217" s="29">
        <f>IF(基础状态预期!M230="",0,求节点($C$68:$C$76,F$68:F$76,基础状态预期!M230)*求节点(武将升级!$H$52:$H$54,武将升级!$J$52:$J$54,基础状态预期!W230))</f>
        <v>0</v>
      </c>
      <c r="AO217" s="29">
        <f>IF(基础状态预期!N230="",0,求节点($C$68:$C$76,G$68:G$76,基础状态预期!N230)*求节点(武将升级!$H$52:$H$54,武将升级!$J$52:$J$54,基础状态预期!X230))</f>
        <v>0</v>
      </c>
      <c r="AP217" s="29">
        <f>IF(基础状态预期!O230="",0,求节点($C$68:$C$76,H$68:H$76,基础状态预期!O230)*求节点(武将升级!$H$52:$H$54,武将升级!$J$52:$J$54,基础状态预期!Y230))</f>
        <v>1.1399999999999999</v>
      </c>
      <c r="AQ217" s="29">
        <f>MAX(SUMPRODUCT(AL217:AP217,基础状态预期!$F230:$J230)/SUM(基础状态预期!$F230:$J230),AQ216)</f>
        <v>1.1399999999999999</v>
      </c>
      <c r="AR217" s="29">
        <f>IF(基础状态预期!K230="",0,求节点($C$158:$C$166,D$158:D$166,基础状态预期!K230))</f>
        <v>0</v>
      </c>
      <c r="AS217" s="29">
        <f>IF(基础状态预期!L230="",0,求节点($C$158:$C$166,E$158:E$166,基础状态预期!L230))</f>
        <v>0</v>
      </c>
      <c r="AT217" s="29">
        <f>IF(基础状态预期!M230="",0,求节点($C$158:$C$166,F$158:F$166,基础状态预期!M230))</f>
        <v>0</v>
      </c>
      <c r="AU217" s="29">
        <f>IF(基础状态预期!N230="",0,求节点($C$158:$C$166,G$158:G$166,基础状态预期!N230))</f>
        <v>0</v>
      </c>
      <c r="AV217" s="29">
        <f>IF(基础状态预期!O230="",0,求节点($C$158:$C$166,H$158:H$166,基础状态预期!O230))</f>
        <v>0.8</v>
      </c>
      <c r="AW217" s="29">
        <f>MAX(SUMPRODUCT(AR217:AV217,基础状态预期!$F230:$J230)/SUM(基础状态预期!$F230:$J230),AW216)</f>
        <v>0.80000000000000016</v>
      </c>
      <c r="BJ217" s="29">
        <f t="shared" si="78"/>
        <v>143.51956656528549</v>
      </c>
      <c r="BK217" s="75">
        <f>武将数量星级阶位验证!AT220</f>
        <v>108510868.98273237</v>
      </c>
      <c r="BL217" s="75">
        <f>(AD217-AD216)*INDEX('[1]功能-付费相关'!$U$6:$AU$165,BJ217,1)+BL216</f>
        <v>1055.8874701990292</v>
      </c>
    </row>
    <row r="218" spans="13:64" x14ac:dyDescent="0.15">
      <c r="M218" s="72">
        <v>38</v>
      </c>
      <c r="N218" s="29">
        <f>基础状态预期!D231</f>
        <v>147.17868266109423</v>
      </c>
      <c r="O218" s="29">
        <f>IF(基础状态预期!F231="",0,求节点($C$104:$C$112,D$104:D$112,基础状态预期!K231))</f>
        <v>0</v>
      </c>
      <c r="P218" s="29">
        <f>IF(基础状态预期!G231="",0,求节点($C$104:$C$112,E$104:E$112,基础状态预期!L231))</f>
        <v>0</v>
      </c>
      <c r="Q218" s="29">
        <f>IF(基础状态预期!H231="",0,求节点($C$104:$C$112,F$104:F$112,基础状态预期!M231))</f>
        <v>0</v>
      </c>
      <c r="R218" s="29">
        <f>IF(基础状态预期!I231="",0,求节点($C$104:$C$112,G$104:G$112,基础状态预期!N231))</f>
        <v>0</v>
      </c>
      <c r="S218" s="29">
        <f>IF(基础状态预期!J231="",0,求节点($C$104:$C$112,H$104:H$112,基础状态预期!O231))</f>
        <v>18</v>
      </c>
      <c r="T218" s="29">
        <f>IF(基础状态预期!F231="",0,求节点($C$114:$C$122,D$114:D$122,基础状态预期!K231)*基础状态预期!F231+求节点($C$124:$C$132,D$124:D$132,基础状态预期!$O231)*基础状态预期!$J231)</f>
        <v>0</v>
      </c>
      <c r="U218" s="29">
        <f>IF(基础状态预期!G231="",0,求节点($C$114:$C$122,E$114:E$122,基础状态预期!L231)*基础状态预期!G231+求节点($C$124:$C$132,E$124:E$132,基础状态预期!$O231)*基础状态预期!$J231)</f>
        <v>0</v>
      </c>
      <c r="V218" s="29">
        <f>IF(基础状态预期!H231="",0,求节点($C$114:$C$122,F$114:F$122,基础状态预期!M231)*基础状态预期!H231+求节点($C$124:$C$132,F$124:F$132,基础状态预期!$O231)*基础状态预期!$J231)</f>
        <v>0</v>
      </c>
      <c r="W218" s="148">
        <f>IF(基础状态预期!I231="",0,求节点($C$114:$C$122,G$114:G$122,基础状态预期!N231)*基础状态预期!I231)+IF(基础状态预期!O231="",0,求节点($C$124:$C$132,G$124:G$132,基础状态预期!$O231)*基础状态预期!$J231)</f>
        <v>54</v>
      </c>
      <c r="X218" s="29">
        <f>IF(基础状态预期!J231="",0,求节点($C$114:$C$122,H$114:H$122,基础状态预期!O231)*基础状态预期!J231+求节点($C$124:$C$132,H$124:H$132,基础状态预期!$O231)*基础状态预期!$J231)</f>
        <v>0</v>
      </c>
      <c r="Y218" s="14">
        <f>IF(基础状态预期!K231="",0,求节点($C$92:$C$100,D$92:D$100,基础状态预期!K231))</f>
        <v>0</v>
      </c>
      <c r="Z218" s="14">
        <f>IF(基础状态预期!L231="",0,求节点($C$92:$C$100,E$92:E$100,基础状态预期!L231))</f>
        <v>0</v>
      </c>
      <c r="AA218" s="14">
        <f>IF(基础状态预期!M231="",0,求节点($C$92:$C$100,F$92:F$100,基础状态预期!M231))</f>
        <v>0</v>
      </c>
      <c r="AB218" s="14">
        <f>IF(基础状态预期!N231="",0,求节点($C$92:$C$100,G$92:G$100,基础状态预期!N231))</f>
        <v>0</v>
      </c>
      <c r="AC218" s="14">
        <f>IF(基础状态预期!O231="",0,求节点($C$92:$C$100,H$92:H$100,基础状态预期!O231))</f>
        <v>3825000</v>
      </c>
      <c r="AD218" s="29">
        <f>MAX(SUMPRODUCT(Y218:AC218,基础状态预期!F231:J231),AD217)</f>
        <v>22950000</v>
      </c>
      <c r="AF218" s="29" t="str">
        <f>IF(基础状态预期!K231="","",基础状态预期!K231*D$59+D$58)</f>
        <v/>
      </c>
      <c r="AG218" s="29" t="str">
        <f>IF(基础状态预期!L231="","",基础状态预期!L231*E$59+E$58)</f>
        <v/>
      </c>
      <c r="AH218" s="29" t="str">
        <f>IF(基础状态预期!M231="","",基础状态预期!M231*F$59+F$58)</f>
        <v/>
      </c>
      <c r="AI218" s="29" t="str">
        <f>IF(基础状态预期!N231="","",基础状态预期!N231*G$59+G$58)</f>
        <v/>
      </c>
      <c r="AJ218" s="29">
        <f>IF(基础状态预期!O231="","",基础状态预期!O231*H$59+H$58)</f>
        <v>148</v>
      </c>
      <c r="AK218" s="29">
        <f>MAX(SUMPRODUCT(AF218:AJ218,基础状态预期!$F231:$J231)/SUM(基础状态预期!$F231:$J231),AK217)</f>
        <v>148</v>
      </c>
      <c r="AL218" s="29">
        <f>IF(基础状态预期!K231="",0,求节点($C$68:$C$76,D$68:D$76,基础状态预期!K231))</f>
        <v>0</v>
      </c>
      <c r="AM218" s="29">
        <f>IF(基础状态预期!L231="",0,求节点($C$68:$C$76,E$68:E$76,基础状态预期!L231))</f>
        <v>0</v>
      </c>
      <c r="AN218" s="29">
        <f>IF(基础状态预期!M231="",0,求节点($C$68:$C$76,F$68:F$76,基础状态预期!M231)*求节点(武将升级!$H$52:$H$54,武将升级!$J$52:$J$54,基础状态预期!W231))</f>
        <v>0</v>
      </c>
      <c r="AO218" s="29">
        <f>IF(基础状态预期!N231="",0,求节点($C$68:$C$76,G$68:G$76,基础状态预期!N231)*求节点(武将升级!$H$52:$H$54,武将升级!$J$52:$J$54,基础状态预期!X231))</f>
        <v>0</v>
      </c>
      <c r="AP218" s="29">
        <f>IF(基础状态预期!O231="",0,求节点($C$68:$C$76,H$68:H$76,基础状态预期!O231)*求节点(武将升级!$H$52:$H$54,武将升级!$J$52:$J$54,基础状态预期!Y231))</f>
        <v>1.1399999999999999</v>
      </c>
      <c r="AQ218" s="29">
        <f>MAX(SUMPRODUCT(AL218:AP218,基础状态预期!$F231:$J231)/SUM(基础状态预期!$F231:$J231),AQ217)</f>
        <v>1.1399999999999999</v>
      </c>
      <c r="AR218" s="29">
        <f>IF(基础状态预期!K231="",0,求节点($C$158:$C$166,D$158:D$166,基础状态预期!K231))</f>
        <v>0</v>
      </c>
      <c r="AS218" s="29">
        <f>IF(基础状态预期!L231="",0,求节点($C$158:$C$166,E$158:E$166,基础状态预期!L231))</f>
        <v>0</v>
      </c>
      <c r="AT218" s="29">
        <f>IF(基础状态预期!M231="",0,求节点($C$158:$C$166,F$158:F$166,基础状态预期!M231))</f>
        <v>0</v>
      </c>
      <c r="AU218" s="29">
        <f>IF(基础状态预期!N231="",0,求节点($C$158:$C$166,G$158:G$166,基础状态预期!N231))</f>
        <v>0</v>
      </c>
      <c r="AV218" s="29">
        <f>IF(基础状态预期!O231="",0,求节点($C$158:$C$166,H$158:H$166,基础状态预期!O231))</f>
        <v>0.8</v>
      </c>
      <c r="AW218" s="29">
        <f>MAX(SUMPRODUCT(AR218:AV218,基础状态预期!$F231:$J231)/SUM(基础状态预期!$F231:$J231),AW217)</f>
        <v>0.80000000000000016</v>
      </c>
      <c r="BJ218" s="29">
        <f t="shared" si="78"/>
        <v>147.17868266109423</v>
      </c>
      <c r="BK218" s="75">
        <f>武将数量星级阶位验证!AT221</f>
        <v>136009480.315332</v>
      </c>
      <c r="BL218" s="75">
        <f>(AD218-AD217)*INDEX('[1]功能-付费相关'!$U$6:$AU$165,BJ218,1)+BL217</f>
        <v>1055.8874701990292</v>
      </c>
    </row>
    <row r="219" spans="13:64" x14ac:dyDescent="0.15">
      <c r="M219" s="72">
        <v>39</v>
      </c>
      <c r="N219" s="29">
        <f>基础状态预期!D232</f>
        <v>150.49637054967232</v>
      </c>
      <c r="O219" s="29">
        <f>IF(基础状态预期!F232="",0,求节点($C$104:$C$112,D$104:D$112,基础状态预期!K232))</f>
        <v>0</v>
      </c>
      <c r="P219" s="29">
        <f>IF(基础状态预期!G232="",0,求节点($C$104:$C$112,E$104:E$112,基础状态预期!L232))</f>
        <v>0</v>
      </c>
      <c r="Q219" s="29">
        <f>IF(基础状态预期!H232="",0,求节点($C$104:$C$112,F$104:F$112,基础状态预期!M232))</f>
        <v>0</v>
      </c>
      <c r="R219" s="29">
        <f>IF(基础状态预期!I232="",0,求节点($C$104:$C$112,G$104:G$112,基础状态预期!N232))</f>
        <v>0</v>
      </c>
      <c r="S219" s="29">
        <f>IF(基础状态预期!J232="",0,求节点($C$104:$C$112,H$104:H$112,基础状态预期!O232))</f>
        <v>18</v>
      </c>
      <c r="T219" s="29">
        <f>IF(基础状态预期!F232="",0,求节点($C$114:$C$122,D$114:D$122,基础状态预期!K232)*基础状态预期!F232+求节点($C$124:$C$132,D$124:D$132,基础状态预期!$O232)*基础状态预期!$J232)</f>
        <v>0</v>
      </c>
      <c r="U219" s="29">
        <f>IF(基础状态预期!G232="",0,求节点($C$114:$C$122,E$114:E$122,基础状态预期!L232)*基础状态预期!G232+求节点($C$124:$C$132,E$124:E$132,基础状态预期!$O232)*基础状态预期!$J232)</f>
        <v>0</v>
      </c>
      <c r="V219" s="29">
        <f>IF(基础状态预期!H232="",0,求节点($C$114:$C$122,F$114:F$122,基础状态预期!M232)*基础状态预期!H232+求节点($C$124:$C$132,F$124:F$132,基础状态预期!$O232)*基础状态预期!$J232)</f>
        <v>0</v>
      </c>
      <c r="W219" s="148">
        <f>IF(基础状态预期!I232="",0,求节点($C$114:$C$122,G$114:G$122,基础状态预期!N232)*基础状态预期!I232)+IF(基础状态预期!O232="",0,求节点($C$124:$C$132,G$124:G$132,基础状态预期!$O232)*基础状态预期!$J232)</f>
        <v>54</v>
      </c>
      <c r="X219" s="29">
        <f>IF(基础状态预期!J232="",0,求节点($C$114:$C$122,H$114:H$122,基础状态预期!O232)*基础状态预期!J232+求节点($C$124:$C$132,H$124:H$132,基础状态预期!$O232)*基础状态预期!$J232)</f>
        <v>0</v>
      </c>
      <c r="Y219" s="14">
        <f>IF(基础状态预期!K232="",0,求节点($C$92:$C$100,D$92:D$100,基础状态预期!K232))</f>
        <v>0</v>
      </c>
      <c r="Z219" s="14">
        <f>IF(基础状态预期!L232="",0,求节点($C$92:$C$100,E$92:E$100,基础状态预期!L232))</f>
        <v>0</v>
      </c>
      <c r="AA219" s="14">
        <f>IF(基础状态预期!M232="",0,求节点($C$92:$C$100,F$92:F$100,基础状态预期!M232))</f>
        <v>0</v>
      </c>
      <c r="AB219" s="14">
        <f>IF(基础状态预期!N232="",0,求节点($C$92:$C$100,G$92:G$100,基础状态预期!N232))</f>
        <v>0</v>
      </c>
      <c r="AC219" s="14">
        <f>IF(基础状态预期!O232="",0,求节点($C$92:$C$100,H$92:H$100,基础状态预期!O232))</f>
        <v>3825000</v>
      </c>
      <c r="AD219" s="29">
        <f>MAX(SUMPRODUCT(Y219:AC219,基础状态预期!F232:J232),AD218)</f>
        <v>22950000</v>
      </c>
      <c r="AF219" s="29" t="str">
        <f>IF(基础状态预期!K232="","",基础状态预期!K232*D$59+D$58)</f>
        <v/>
      </c>
      <c r="AG219" s="29" t="str">
        <f>IF(基础状态预期!L232="","",基础状态预期!L232*E$59+E$58)</f>
        <v/>
      </c>
      <c r="AH219" s="29" t="str">
        <f>IF(基础状态预期!M232="","",基础状态预期!M232*F$59+F$58)</f>
        <v/>
      </c>
      <c r="AI219" s="29" t="str">
        <f>IF(基础状态预期!N232="","",基础状态预期!N232*G$59+G$58)</f>
        <v/>
      </c>
      <c r="AJ219" s="29">
        <f>IF(基础状态预期!O232="","",基础状态预期!O232*H$59+H$58)</f>
        <v>148</v>
      </c>
      <c r="AK219" s="29">
        <f>MAX(SUMPRODUCT(AF219:AJ219,基础状态预期!$F232:$J232)/SUM(基础状态预期!$F232:$J232),AK218)</f>
        <v>148</v>
      </c>
      <c r="AL219" s="29">
        <f>IF(基础状态预期!K232="",0,求节点($C$68:$C$76,D$68:D$76,基础状态预期!K232))</f>
        <v>0</v>
      </c>
      <c r="AM219" s="29">
        <f>IF(基础状态预期!L232="",0,求节点($C$68:$C$76,E$68:E$76,基础状态预期!L232))</f>
        <v>0</v>
      </c>
      <c r="AN219" s="29">
        <f>IF(基础状态预期!M232="",0,求节点($C$68:$C$76,F$68:F$76,基础状态预期!M232)*求节点(武将升级!$H$52:$H$54,武将升级!$J$52:$J$54,基础状态预期!W232))</f>
        <v>0</v>
      </c>
      <c r="AO219" s="29">
        <f>IF(基础状态预期!N232="",0,求节点($C$68:$C$76,G$68:G$76,基础状态预期!N232)*求节点(武将升级!$H$52:$H$54,武将升级!$J$52:$J$54,基础状态预期!X232))</f>
        <v>0</v>
      </c>
      <c r="AP219" s="29">
        <f>IF(基础状态预期!O232="",0,求节点($C$68:$C$76,H$68:H$76,基础状态预期!O232)*求节点(武将升级!$H$52:$H$54,武将升级!$J$52:$J$54,基础状态预期!Y232))</f>
        <v>1.1399999999999999</v>
      </c>
      <c r="AQ219" s="29">
        <f>MAX(SUMPRODUCT(AL219:AP219,基础状态预期!$F232:$J232)/SUM(基础状态预期!$F232:$J232),AQ218)</f>
        <v>1.1399999999999999</v>
      </c>
      <c r="AR219" s="29">
        <f>IF(基础状态预期!K232="",0,求节点($C$158:$C$166,D$158:D$166,基础状态预期!K232))</f>
        <v>0</v>
      </c>
      <c r="AS219" s="29">
        <f>IF(基础状态预期!L232="",0,求节点($C$158:$C$166,E$158:E$166,基础状态预期!L232))</f>
        <v>0</v>
      </c>
      <c r="AT219" s="29">
        <f>IF(基础状态预期!M232="",0,求节点($C$158:$C$166,F$158:F$166,基础状态预期!M232))</f>
        <v>0</v>
      </c>
      <c r="AU219" s="29">
        <f>IF(基础状态预期!N232="",0,求节点($C$158:$C$166,G$158:G$166,基础状态预期!N232))</f>
        <v>0</v>
      </c>
      <c r="AV219" s="29">
        <f>IF(基础状态预期!O232="",0,求节点($C$158:$C$166,H$158:H$166,基础状态预期!O232))</f>
        <v>0.8</v>
      </c>
      <c r="AW219" s="29">
        <f>MAX(SUMPRODUCT(AR219:AV219,基础状态预期!$F232:$J232)/SUM(基础状态预期!$F232:$J232),AW218)</f>
        <v>0.80000000000000016</v>
      </c>
      <c r="BJ219" s="29">
        <f t="shared" si="78"/>
        <v>150.49637054967232</v>
      </c>
      <c r="BK219" s="75">
        <f>武将数量星级阶位验证!AT222</f>
        <v>170726000.83376965</v>
      </c>
      <c r="BL219" s="75">
        <f>(AD219-AD218)*INDEX('[1]功能-付费相关'!$U$6:$AU$165,BJ219,1)+BL218</f>
        <v>1055.8874701990292</v>
      </c>
    </row>
    <row r="220" spans="13:64" x14ac:dyDescent="0.15">
      <c r="M220" s="72">
        <v>40</v>
      </c>
      <c r="N220" s="29">
        <f>基础状态预期!D233</f>
        <v>151.40240982411487</v>
      </c>
      <c r="O220" s="29">
        <f>IF(基础状态预期!F233="",0,求节点($C$104:$C$112,D$104:D$112,基础状态预期!K233))</f>
        <v>0</v>
      </c>
      <c r="P220" s="29">
        <f>IF(基础状态预期!G233="",0,求节点($C$104:$C$112,E$104:E$112,基础状态预期!L233))</f>
        <v>0</v>
      </c>
      <c r="Q220" s="29">
        <f>IF(基础状态预期!H233="",0,求节点($C$104:$C$112,F$104:F$112,基础状态预期!M233))</f>
        <v>0</v>
      </c>
      <c r="R220" s="29">
        <f>IF(基础状态预期!I233="",0,求节点($C$104:$C$112,G$104:G$112,基础状态预期!N233))</f>
        <v>0</v>
      </c>
      <c r="S220" s="29">
        <f>IF(基础状态预期!J233="",0,求节点($C$104:$C$112,H$104:H$112,基础状态预期!O233))</f>
        <v>18</v>
      </c>
      <c r="T220" s="29">
        <f>IF(基础状态预期!F233="",0,求节点($C$114:$C$122,D$114:D$122,基础状态预期!K233)*基础状态预期!F233+求节点($C$124:$C$132,D$124:D$132,基础状态预期!$O233)*基础状态预期!$J233)</f>
        <v>0</v>
      </c>
      <c r="U220" s="29">
        <f>IF(基础状态预期!G233="",0,求节点($C$114:$C$122,E$114:E$122,基础状态预期!L233)*基础状态预期!G233+求节点($C$124:$C$132,E$124:E$132,基础状态预期!$O233)*基础状态预期!$J233)</f>
        <v>0</v>
      </c>
      <c r="V220" s="29">
        <f>IF(基础状态预期!H233="",0,求节点($C$114:$C$122,F$114:F$122,基础状态预期!M233)*基础状态预期!H233+求节点($C$124:$C$132,F$124:F$132,基础状态预期!$O233)*基础状态预期!$J233)</f>
        <v>0</v>
      </c>
      <c r="W220" s="148">
        <f>IF(基础状态预期!I233="",0,求节点($C$114:$C$122,G$114:G$122,基础状态预期!N233)*基础状态预期!I233)+IF(基础状态预期!O233="",0,求节点($C$124:$C$132,G$124:G$132,基础状态预期!$O233)*基础状态预期!$J233)</f>
        <v>54</v>
      </c>
      <c r="X220" s="29">
        <f>IF(基础状态预期!J233="",0,求节点($C$114:$C$122,H$114:H$122,基础状态预期!O233)*基础状态预期!J233+求节点($C$124:$C$132,H$124:H$132,基础状态预期!$O233)*基础状态预期!$J233)</f>
        <v>0</v>
      </c>
      <c r="Y220" s="14">
        <f>IF(基础状态预期!K233="",0,求节点($C$92:$C$100,D$92:D$100,基础状态预期!K233))</f>
        <v>0</v>
      </c>
      <c r="Z220" s="14">
        <f>IF(基础状态预期!L233="",0,求节点($C$92:$C$100,E$92:E$100,基础状态预期!L233))</f>
        <v>0</v>
      </c>
      <c r="AA220" s="14">
        <f>IF(基础状态预期!M233="",0,求节点($C$92:$C$100,F$92:F$100,基础状态预期!M233))</f>
        <v>0</v>
      </c>
      <c r="AB220" s="14">
        <f>IF(基础状态预期!N233="",0,求节点($C$92:$C$100,G$92:G$100,基础状态预期!N233))</f>
        <v>0</v>
      </c>
      <c r="AC220" s="14">
        <f>IF(基础状态预期!O233="",0,求节点($C$92:$C$100,H$92:H$100,基础状态预期!O233))</f>
        <v>3825000</v>
      </c>
      <c r="AD220" s="29">
        <f>MAX(SUMPRODUCT(Y220:AC220,基础状态预期!F233:J233),AD219)</f>
        <v>22950000</v>
      </c>
      <c r="AF220" s="29" t="str">
        <f>IF(基础状态预期!K233="","",基础状态预期!K233*D$59+D$58)</f>
        <v/>
      </c>
      <c r="AG220" s="29" t="str">
        <f>IF(基础状态预期!L233="","",基础状态预期!L233*E$59+E$58)</f>
        <v/>
      </c>
      <c r="AH220" s="29" t="str">
        <f>IF(基础状态预期!M233="","",基础状态预期!M233*F$59+F$58)</f>
        <v/>
      </c>
      <c r="AI220" s="29" t="str">
        <f>IF(基础状态预期!N233="","",基础状态预期!N233*G$59+G$58)</f>
        <v/>
      </c>
      <c r="AJ220" s="29">
        <f>IF(基础状态预期!O233="","",基础状态预期!O233*H$59+H$58)</f>
        <v>148</v>
      </c>
      <c r="AK220" s="29">
        <f>MAX(SUMPRODUCT(AF220:AJ220,基础状态预期!$F233:$J233)/SUM(基础状态预期!$F233:$J233),AK219)</f>
        <v>148</v>
      </c>
      <c r="AL220" s="29">
        <f>IF(基础状态预期!K233="",0,求节点($C$68:$C$76,D$68:D$76,基础状态预期!K233))</f>
        <v>0</v>
      </c>
      <c r="AM220" s="29">
        <f>IF(基础状态预期!L233="",0,求节点($C$68:$C$76,E$68:E$76,基础状态预期!L233))</f>
        <v>0</v>
      </c>
      <c r="AN220" s="29">
        <f>IF(基础状态预期!M233="",0,求节点($C$68:$C$76,F$68:F$76,基础状态预期!M233)*求节点(武将升级!$H$52:$H$54,武将升级!$J$52:$J$54,基础状态预期!W233))</f>
        <v>0</v>
      </c>
      <c r="AO220" s="29">
        <f>IF(基础状态预期!N233="",0,求节点($C$68:$C$76,G$68:G$76,基础状态预期!N233)*求节点(武将升级!$H$52:$H$54,武将升级!$J$52:$J$54,基础状态预期!X233))</f>
        <v>0</v>
      </c>
      <c r="AP220" s="29">
        <f>IF(基础状态预期!O233="",0,求节点($C$68:$C$76,H$68:H$76,基础状态预期!O233)*求节点(武将升级!$H$52:$H$54,武将升级!$J$52:$J$54,基础状态预期!Y233))</f>
        <v>1.1399999999999999</v>
      </c>
      <c r="AQ220" s="29">
        <f>MAX(SUMPRODUCT(AL220:AP220,基础状态预期!$F233:$J233)/SUM(基础状态预期!$F233:$J233),AQ219)</f>
        <v>1.1399999999999999</v>
      </c>
      <c r="AR220" s="29">
        <f>IF(基础状态预期!K233="",0,求节点($C$158:$C$166,D$158:D$166,基础状态预期!K233))</f>
        <v>0</v>
      </c>
      <c r="AS220" s="29">
        <f>IF(基础状态预期!L233="",0,求节点($C$158:$C$166,E$158:E$166,基础状态预期!L233))</f>
        <v>0</v>
      </c>
      <c r="AT220" s="29">
        <f>IF(基础状态预期!M233="",0,求节点($C$158:$C$166,F$158:F$166,基础状态预期!M233))</f>
        <v>0</v>
      </c>
      <c r="AU220" s="29">
        <f>IF(基础状态预期!N233="",0,求节点($C$158:$C$166,G$158:G$166,基础状态预期!N233))</f>
        <v>0</v>
      </c>
      <c r="AV220" s="29">
        <f>IF(基础状态预期!O233="",0,求节点($C$158:$C$166,H$158:H$166,基础状态预期!O233))</f>
        <v>0.8</v>
      </c>
      <c r="AW220" s="29">
        <f>MAX(SUMPRODUCT(AR220:AV220,基础状态预期!$F233:$J233)/SUM(基础状态预期!$F233:$J233),AW219)</f>
        <v>0.80000000000000016</v>
      </c>
      <c r="BJ220" s="29">
        <f t="shared" si="78"/>
        <v>151.40240982411487</v>
      </c>
      <c r="BK220" s="75">
        <f>武将数量星级阶位验证!AT223</f>
        <v>214399068.23096326</v>
      </c>
      <c r="BL220" s="75">
        <f>(AD220-AD219)*INDEX('[1]功能-付费相关'!$U$6:$AU$165,BJ220,1)+BL219</f>
        <v>1055.8874701990292</v>
      </c>
    </row>
    <row r="221" spans="13:64" x14ac:dyDescent="0.15">
      <c r="M221" s="72">
        <v>41</v>
      </c>
      <c r="N221" s="29">
        <f>基础状态预期!D234</f>
        <v>152.00526961196863</v>
      </c>
      <c r="O221" s="29">
        <f>IF(基础状态预期!F234="",0,求节点($C$104:$C$112,D$104:D$112,基础状态预期!K234))</f>
        <v>0</v>
      </c>
      <c r="P221" s="29">
        <f>IF(基础状态预期!G234="",0,求节点($C$104:$C$112,E$104:E$112,基础状态预期!L234))</f>
        <v>0</v>
      </c>
      <c r="Q221" s="29">
        <f>IF(基础状态预期!H234="",0,求节点($C$104:$C$112,F$104:F$112,基础状态预期!M234))</f>
        <v>0</v>
      </c>
      <c r="R221" s="29">
        <f>IF(基础状态预期!I234="",0,求节点($C$104:$C$112,G$104:G$112,基础状态预期!N234))</f>
        <v>0</v>
      </c>
      <c r="S221" s="29">
        <f>IF(基础状态预期!J234="",0,求节点($C$104:$C$112,H$104:H$112,基础状态预期!O234))</f>
        <v>18</v>
      </c>
      <c r="T221" s="29">
        <f>IF(基础状态预期!F234="",0,求节点($C$114:$C$122,D$114:D$122,基础状态预期!K234)*基础状态预期!F234+求节点($C$124:$C$132,D$124:D$132,基础状态预期!$O234)*基础状态预期!$J234)</f>
        <v>0</v>
      </c>
      <c r="U221" s="29">
        <f>IF(基础状态预期!G234="",0,求节点($C$114:$C$122,E$114:E$122,基础状态预期!L234)*基础状态预期!G234+求节点($C$124:$C$132,E$124:E$132,基础状态预期!$O234)*基础状态预期!$J234)</f>
        <v>0</v>
      </c>
      <c r="V221" s="29">
        <f>IF(基础状态预期!H234="",0,求节点($C$114:$C$122,F$114:F$122,基础状态预期!M234)*基础状态预期!H234+求节点($C$124:$C$132,F$124:F$132,基础状态预期!$O234)*基础状态预期!$J234)</f>
        <v>0</v>
      </c>
      <c r="W221" s="148">
        <f>IF(基础状态预期!I234="",0,求节点($C$114:$C$122,G$114:G$122,基础状态预期!N234)*基础状态预期!I234)+IF(基础状态预期!O234="",0,求节点($C$124:$C$132,G$124:G$132,基础状态预期!$O234)*基础状态预期!$J234)</f>
        <v>54</v>
      </c>
      <c r="X221" s="29">
        <f>IF(基础状态预期!J234="",0,求节点($C$114:$C$122,H$114:H$122,基础状态预期!O234)*基础状态预期!J234+求节点($C$124:$C$132,H$124:H$132,基础状态预期!$O234)*基础状态预期!$J234)</f>
        <v>0</v>
      </c>
      <c r="Y221" s="14">
        <f>IF(基础状态预期!K234="",0,求节点($C$92:$C$100,D$92:D$100,基础状态预期!K234))</f>
        <v>0</v>
      </c>
      <c r="Z221" s="14">
        <f>IF(基础状态预期!L234="",0,求节点($C$92:$C$100,E$92:E$100,基础状态预期!L234))</f>
        <v>0</v>
      </c>
      <c r="AA221" s="14">
        <f>IF(基础状态预期!M234="",0,求节点($C$92:$C$100,F$92:F$100,基础状态预期!M234))</f>
        <v>0</v>
      </c>
      <c r="AB221" s="14">
        <f>IF(基础状态预期!N234="",0,求节点($C$92:$C$100,G$92:G$100,基础状态预期!N234))</f>
        <v>0</v>
      </c>
      <c r="AC221" s="14">
        <f>IF(基础状态预期!O234="",0,求节点($C$92:$C$100,H$92:H$100,基础状态预期!O234))</f>
        <v>3825000</v>
      </c>
      <c r="AD221" s="29">
        <f>MAX(SUMPRODUCT(Y221:AC221,基础状态预期!F234:J234),AD220)</f>
        <v>22950000</v>
      </c>
      <c r="AF221" s="29" t="str">
        <f>IF(基础状态预期!K234="","",基础状态预期!K234*D$59+D$58)</f>
        <v/>
      </c>
      <c r="AG221" s="29" t="str">
        <f>IF(基础状态预期!L234="","",基础状态预期!L234*E$59+E$58)</f>
        <v/>
      </c>
      <c r="AH221" s="29" t="str">
        <f>IF(基础状态预期!M234="","",基础状态预期!M234*F$59+F$58)</f>
        <v/>
      </c>
      <c r="AI221" s="29" t="str">
        <f>IF(基础状态预期!N234="","",基础状态预期!N234*G$59+G$58)</f>
        <v/>
      </c>
      <c r="AJ221" s="29">
        <f>IF(基础状态预期!O234="","",基础状态预期!O234*H$59+H$58)</f>
        <v>148</v>
      </c>
      <c r="AK221" s="29">
        <f>MAX(SUMPRODUCT(AF221:AJ221,基础状态预期!$F234:$J234)/SUM(基础状态预期!$F234:$J234),AK220)</f>
        <v>148</v>
      </c>
      <c r="AL221" s="29">
        <f>IF(基础状态预期!K234="",0,求节点($C$68:$C$76,D$68:D$76,基础状态预期!K234))</f>
        <v>0</v>
      </c>
      <c r="AM221" s="29">
        <f>IF(基础状态预期!L234="",0,求节点($C$68:$C$76,E$68:E$76,基础状态预期!L234))</f>
        <v>0</v>
      </c>
      <c r="AN221" s="29">
        <f>IF(基础状态预期!M234="",0,求节点($C$68:$C$76,F$68:F$76,基础状态预期!M234)*求节点(武将升级!$H$52:$H$54,武将升级!$J$52:$J$54,基础状态预期!W234))</f>
        <v>0</v>
      </c>
      <c r="AO221" s="29">
        <f>IF(基础状态预期!N234="",0,求节点($C$68:$C$76,G$68:G$76,基础状态预期!N234)*求节点(武将升级!$H$52:$H$54,武将升级!$J$52:$J$54,基础状态预期!X234))</f>
        <v>0</v>
      </c>
      <c r="AP221" s="29">
        <f>IF(基础状态预期!O234="",0,求节点($C$68:$C$76,H$68:H$76,基础状态预期!O234)*求节点(武将升级!$H$52:$H$54,武将升级!$J$52:$J$54,基础状态预期!Y234))</f>
        <v>1.1399999999999999</v>
      </c>
      <c r="AQ221" s="29">
        <f>MAX(SUMPRODUCT(AL221:AP221,基础状态预期!$F234:$J234)/SUM(基础状态预期!$F234:$J234),AQ220)</f>
        <v>1.1399999999999999</v>
      </c>
      <c r="AR221" s="29">
        <f>IF(基础状态预期!K234="",0,求节点($C$158:$C$166,D$158:D$166,基础状态预期!K234))</f>
        <v>0</v>
      </c>
      <c r="AS221" s="29">
        <f>IF(基础状态预期!L234="",0,求节点($C$158:$C$166,E$158:E$166,基础状态预期!L234))</f>
        <v>0</v>
      </c>
      <c r="AT221" s="29">
        <f>IF(基础状态预期!M234="",0,求节点($C$158:$C$166,F$158:F$166,基础状态预期!M234))</f>
        <v>0</v>
      </c>
      <c r="AU221" s="29">
        <f>IF(基础状态预期!N234="",0,求节点($C$158:$C$166,G$158:G$166,基础状态预期!N234))</f>
        <v>0</v>
      </c>
      <c r="AV221" s="29">
        <f>IF(基础状态预期!O234="",0,求节点($C$158:$C$166,H$158:H$166,基础状态预期!O234))</f>
        <v>0.8</v>
      </c>
      <c r="AW221" s="29">
        <f>MAX(SUMPRODUCT(AR221:AV221,基础状态预期!$F234:$J234)/SUM(基础状态预期!$F234:$J234),AW220)</f>
        <v>0.80000000000000016</v>
      </c>
      <c r="BJ221" s="29">
        <f t="shared" si="78"/>
        <v>152.00526961196863</v>
      </c>
      <c r="BK221" s="75">
        <f>武将数量星级阶位验证!AT224</f>
        <v>269176997.91336739</v>
      </c>
      <c r="BL221" s="75">
        <f>(AD221-AD220)*INDEX('[1]功能-付费相关'!$U$6:$AU$165,BJ221,1)+BL220</f>
        <v>1055.8874701990292</v>
      </c>
    </row>
    <row r="222" spans="13:64" x14ac:dyDescent="0.15">
      <c r="M222" s="72">
        <v>42</v>
      </c>
      <c r="N222" s="29">
        <f>基础状态预期!D235</f>
        <v>152.38629594951036</v>
      </c>
      <c r="O222" s="29">
        <f>IF(基础状态预期!F235="",0,求节点($C$104:$C$112,D$104:D$112,基础状态预期!K235))</f>
        <v>0</v>
      </c>
      <c r="P222" s="29">
        <f>IF(基础状态预期!G235="",0,求节点($C$104:$C$112,E$104:E$112,基础状态预期!L235))</f>
        <v>0</v>
      </c>
      <c r="Q222" s="29">
        <f>IF(基础状态预期!H235="",0,求节点($C$104:$C$112,F$104:F$112,基础状态预期!M235))</f>
        <v>0</v>
      </c>
      <c r="R222" s="29">
        <f>IF(基础状态预期!I235="",0,求节点($C$104:$C$112,G$104:G$112,基础状态预期!N235))</f>
        <v>0</v>
      </c>
      <c r="S222" s="29">
        <f>IF(基础状态预期!J235="",0,求节点($C$104:$C$112,H$104:H$112,基础状态预期!O235))</f>
        <v>18</v>
      </c>
      <c r="T222" s="29">
        <f>IF(基础状态预期!F235="",0,求节点($C$114:$C$122,D$114:D$122,基础状态预期!K235)*基础状态预期!F235+求节点($C$124:$C$132,D$124:D$132,基础状态预期!$O235)*基础状态预期!$J235)</f>
        <v>0</v>
      </c>
      <c r="U222" s="29">
        <f>IF(基础状态预期!G235="",0,求节点($C$114:$C$122,E$114:E$122,基础状态预期!L235)*基础状态预期!G235+求节点($C$124:$C$132,E$124:E$132,基础状态预期!$O235)*基础状态预期!$J235)</f>
        <v>0</v>
      </c>
      <c r="V222" s="29">
        <f>IF(基础状态预期!H235="",0,求节点($C$114:$C$122,F$114:F$122,基础状态预期!M235)*基础状态预期!H235+求节点($C$124:$C$132,F$124:F$132,基础状态预期!$O235)*基础状态预期!$J235)</f>
        <v>0</v>
      </c>
      <c r="W222" s="148">
        <f>IF(基础状态预期!I235="",0,求节点($C$114:$C$122,G$114:G$122,基础状态预期!N235)*基础状态预期!I235)+IF(基础状态预期!O235="",0,求节点($C$124:$C$132,G$124:G$132,基础状态预期!$O235)*基础状态预期!$J235)</f>
        <v>54</v>
      </c>
      <c r="X222" s="29">
        <f>IF(基础状态预期!J235="",0,求节点($C$114:$C$122,H$114:H$122,基础状态预期!O235)*基础状态预期!J235+求节点($C$124:$C$132,H$124:H$132,基础状态预期!$O235)*基础状态预期!$J235)</f>
        <v>0</v>
      </c>
      <c r="Y222" s="14">
        <f>IF(基础状态预期!K235="",0,求节点($C$92:$C$100,D$92:D$100,基础状态预期!K235))</f>
        <v>0</v>
      </c>
      <c r="Z222" s="14">
        <f>IF(基础状态预期!L235="",0,求节点($C$92:$C$100,E$92:E$100,基础状态预期!L235))</f>
        <v>0</v>
      </c>
      <c r="AA222" s="14">
        <f>IF(基础状态预期!M235="",0,求节点($C$92:$C$100,F$92:F$100,基础状态预期!M235))</f>
        <v>0</v>
      </c>
      <c r="AB222" s="14">
        <f>IF(基础状态预期!N235="",0,求节点($C$92:$C$100,G$92:G$100,基础状态预期!N235))</f>
        <v>0</v>
      </c>
      <c r="AC222" s="14">
        <f>IF(基础状态预期!O235="",0,求节点($C$92:$C$100,H$92:H$100,基础状态预期!O235))</f>
        <v>3825000</v>
      </c>
      <c r="AD222" s="29">
        <f>MAX(SUMPRODUCT(Y222:AC222,基础状态预期!F235:J235),AD221)</f>
        <v>22950000</v>
      </c>
      <c r="AF222" s="29" t="str">
        <f>IF(基础状态预期!K235="","",基础状态预期!K235*D$59+D$58)</f>
        <v/>
      </c>
      <c r="AG222" s="29" t="str">
        <f>IF(基础状态预期!L235="","",基础状态预期!L235*E$59+E$58)</f>
        <v/>
      </c>
      <c r="AH222" s="29" t="str">
        <f>IF(基础状态预期!M235="","",基础状态预期!M235*F$59+F$58)</f>
        <v/>
      </c>
      <c r="AI222" s="29" t="str">
        <f>IF(基础状态预期!N235="","",基础状态预期!N235*G$59+G$58)</f>
        <v/>
      </c>
      <c r="AJ222" s="29">
        <f>IF(基础状态预期!O235="","",基础状态预期!O235*H$59+H$58)</f>
        <v>148</v>
      </c>
      <c r="AK222" s="29">
        <f>MAX(SUMPRODUCT(AF222:AJ222,基础状态预期!$F235:$J235)/SUM(基础状态预期!$F235:$J235),AK221)</f>
        <v>148</v>
      </c>
      <c r="AL222" s="29">
        <f>IF(基础状态预期!K235="",0,求节点($C$68:$C$76,D$68:D$76,基础状态预期!K235))</f>
        <v>0</v>
      </c>
      <c r="AM222" s="29">
        <f>IF(基础状态预期!L235="",0,求节点($C$68:$C$76,E$68:E$76,基础状态预期!L235))</f>
        <v>0</v>
      </c>
      <c r="AN222" s="29">
        <f>IF(基础状态预期!M235="",0,求节点($C$68:$C$76,F$68:F$76,基础状态预期!M235)*求节点(武将升级!$H$52:$H$54,武将升级!$J$52:$J$54,基础状态预期!W235))</f>
        <v>0</v>
      </c>
      <c r="AO222" s="29">
        <f>IF(基础状态预期!N235="",0,求节点($C$68:$C$76,G$68:G$76,基础状态预期!N235)*求节点(武将升级!$H$52:$H$54,武将升级!$J$52:$J$54,基础状态预期!X235))</f>
        <v>0</v>
      </c>
      <c r="AP222" s="29">
        <f>IF(基础状态预期!O235="",0,求节点($C$68:$C$76,H$68:H$76,基础状态预期!O235)*求节点(武将升级!$H$52:$H$54,武将升级!$J$52:$J$54,基础状态预期!Y235))</f>
        <v>1.1399999999999999</v>
      </c>
      <c r="AQ222" s="29">
        <f>MAX(SUMPRODUCT(AL222:AP222,基础状态预期!$F235:$J235)/SUM(基础状态预期!$F235:$J235),AQ221)</f>
        <v>1.1399999999999999</v>
      </c>
      <c r="AR222" s="29">
        <f>IF(基础状态预期!K235="",0,求节点($C$158:$C$166,D$158:D$166,基础状态预期!K235))</f>
        <v>0</v>
      </c>
      <c r="AS222" s="29">
        <f>IF(基础状态预期!L235="",0,求节点($C$158:$C$166,E$158:E$166,基础状态预期!L235))</f>
        <v>0</v>
      </c>
      <c r="AT222" s="29">
        <f>IF(基础状态预期!M235="",0,求节点($C$158:$C$166,F$158:F$166,基础状态预期!M235))</f>
        <v>0</v>
      </c>
      <c r="AU222" s="29">
        <f>IF(基础状态预期!N235="",0,求节点($C$158:$C$166,G$158:G$166,基础状态预期!N235))</f>
        <v>0</v>
      </c>
      <c r="AV222" s="29">
        <f>IF(基础状态预期!O235="",0,求节点($C$158:$C$166,H$158:H$166,基础状态预期!O235))</f>
        <v>0.8</v>
      </c>
      <c r="AW222" s="29">
        <f>MAX(SUMPRODUCT(AR222:AV222,基础状态预期!$F235:$J235)/SUM(基础状态预期!$F235:$J235),AW221)</f>
        <v>0.80000000000000016</v>
      </c>
      <c r="BJ222" s="29">
        <f t="shared" si="78"/>
        <v>152.38629594951036</v>
      </c>
      <c r="BK222" s="75">
        <f>武将数量星级阶位验证!AT225</f>
        <v>336925745.78384387</v>
      </c>
      <c r="BL222" s="75">
        <f>(AD222-AD221)*INDEX('[1]功能-付费相关'!$U$6:$AU$165,BJ222,1)+BL221</f>
        <v>1055.8874701990292</v>
      </c>
    </row>
    <row r="223" spans="13:64" x14ac:dyDescent="0.15">
      <c r="M223" s="72">
        <v>43</v>
      </c>
    </row>
    <row r="224" spans="13:64" x14ac:dyDescent="0.15">
      <c r="M224" s="72">
        <v>44</v>
      </c>
    </row>
    <row r="225" spans="13:13" x14ac:dyDescent="0.15">
      <c r="M225" s="72">
        <v>45</v>
      </c>
    </row>
  </sheetData>
  <mergeCells count="65">
    <mergeCell ref="AR2:AW2"/>
    <mergeCell ref="AR47:AW47"/>
    <mergeCell ref="AR92:AW92"/>
    <mergeCell ref="AR137:AW137"/>
    <mergeCell ref="AR182:AW182"/>
    <mergeCell ref="T2:X2"/>
    <mergeCell ref="T47:X47"/>
    <mergeCell ref="T92:X92"/>
    <mergeCell ref="T137:X137"/>
    <mergeCell ref="B4:B13"/>
    <mergeCell ref="B14:C14"/>
    <mergeCell ref="B35:B44"/>
    <mergeCell ref="B133:B142"/>
    <mergeCell ref="T182:X182"/>
    <mergeCell ref="B103:B112"/>
    <mergeCell ref="B91:B100"/>
    <mergeCell ref="B15:B24"/>
    <mergeCell ref="B25:B34"/>
    <mergeCell ref="B113:B122"/>
    <mergeCell ref="O47:S47"/>
    <mergeCell ref="B57:C57"/>
    <mergeCell ref="B45:B54"/>
    <mergeCell ref="B123:B132"/>
    <mergeCell ref="B157:B166"/>
    <mergeCell ref="Y47:AD47"/>
    <mergeCell ref="B62:C62"/>
    <mergeCell ref="B63:C63"/>
    <mergeCell ref="AF92:AK92"/>
    <mergeCell ref="AF137:AK137"/>
    <mergeCell ref="B67:B76"/>
    <mergeCell ref="B79:B88"/>
    <mergeCell ref="B59:C59"/>
    <mergeCell ref="B58:C58"/>
    <mergeCell ref="Y92:AD92"/>
    <mergeCell ref="B64:C64"/>
    <mergeCell ref="Y182:AD182"/>
    <mergeCell ref="O137:S137"/>
    <mergeCell ref="O182:S182"/>
    <mergeCell ref="Y137:AD137"/>
    <mergeCell ref="BB2:BC2"/>
    <mergeCell ref="O2:S2"/>
    <mergeCell ref="O92:S92"/>
    <mergeCell ref="Y2:AD2"/>
    <mergeCell ref="AF182:AK182"/>
    <mergeCell ref="AL2:AQ2"/>
    <mergeCell ref="AL47:AQ47"/>
    <mergeCell ref="AL92:AQ92"/>
    <mergeCell ref="AL137:AQ137"/>
    <mergeCell ref="AL182:AQ182"/>
    <mergeCell ref="AF2:AK2"/>
    <mergeCell ref="AF47:AK47"/>
    <mergeCell ref="BO182:BP182"/>
    <mergeCell ref="BO92:BP92"/>
    <mergeCell ref="BO137:BP137"/>
    <mergeCell ref="BO2:BQ2"/>
    <mergeCell ref="BK2:BL2"/>
    <mergeCell ref="BK47:BL47"/>
    <mergeCell ref="BK92:BL92"/>
    <mergeCell ref="BK137:BL137"/>
    <mergeCell ref="BK182:BL182"/>
    <mergeCell ref="BD2:BF2"/>
    <mergeCell ref="BD47:BF47"/>
    <mergeCell ref="BD92:BF92"/>
    <mergeCell ref="BD137:BF137"/>
    <mergeCell ref="BD182:BF182"/>
  </mergeCells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D303"/>
  <sheetViews>
    <sheetView topLeftCell="AR1" workbookViewId="0">
      <selection activeCell="BG4" sqref="BG4"/>
    </sheetView>
  </sheetViews>
  <sheetFormatPr defaultColWidth="6.625" defaultRowHeight="11.25" x14ac:dyDescent="0.15"/>
  <cols>
    <col min="1" max="1" width="9.75" style="5" bestFit="1" customWidth="1"/>
    <col min="2" max="13" width="6.625" style="5"/>
    <col min="14" max="14" width="6.625" style="18"/>
    <col min="15" max="16" width="6.625" style="5"/>
    <col min="17" max="50" width="6.625" style="5" customWidth="1"/>
    <col min="51" max="51" width="6.625" style="18" customWidth="1"/>
    <col min="52" max="59" width="6.625" style="5" customWidth="1"/>
    <col min="60" max="60" width="10.5" style="5" bestFit="1" customWidth="1"/>
    <col min="61" max="63" width="6.625" style="16" customWidth="1"/>
    <col min="64" max="64" width="6.625" style="5" customWidth="1"/>
    <col min="65" max="65" width="6.625" style="18" customWidth="1"/>
    <col min="66" max="74" width="6.625" style="5" customWidth="1"/>
    <col min="75" max="75" width="6.625" style="5"/>
    <col min="76" max="76" width="6.625" style="18"/>
    <col min="77" max="79" width="6.625" style="5"/>
    <col min="80" max="80" width="9.75" style="5" bestFit="1" customWidth="1"/>
    <col min="81" max="16384" width="6.625" style="5"/>
  </cols>
  <sheetData>
    <row r="1" spans="1:82" x14ac:dyDescent="0.15">
      <c r="P1" s="5">
        <v>1</v>
      </c>
    </row>
    <row r="2" spans="1:82" x14ac:dyDescent="0.15">
      <c r="P2" s="5">
        <v>2</v>
      </c>
      <c r="Q2" s="8" t="s">
        <v>183</v>
      </c>
      <c r="R2" s="173" t="s">
        <v>202</v>
      </c>
      <c r="S2" s="173"/>
      <c r="T2" s="173"/>
      <c r="U2" s="173"/>
      <c r="V2" s="173"/>
      <c r="W2" s="173"/>
      <c r="Y2" s="173" t="s">
        <v>253</v>
      </c>
      <c r="Z2" s="173"/>
      <c r="AA2" s="173"/>
      <c r="AB2" s="173"/>
      <c r="AC2" s="173"/>
      <c r="AD2" s="173"/>
      <c r="AE2" s="173" t="s">
        <v>255</v>
      </c>
      <c r="AF2" s="173"/>
      <c r="AG2" s="173"/>
      <c r="AH2" s="173"/>
      <c r="AI2" s="173"/>
      <c r="AJ2" s="173"/>
      <c r="AK2" s="173" t="s">
        <v>234</v>
      </c>
      <c r="AL2" s="173"/>
      <c r="AM2" s="173"/>
      <c r="AN2" s="173"/>
      <c r="AO2" s="173"/>
      <c r="AP2" s="173"/>
      <c r="AQ2" s="173" t="s">
        <v>238</v>
      </c>
      <c r="AR2" s="173"/>
      <c r="AS2" s="173"/>
      <c r="AT2" s="173"/>
      <c r="AU2" s="173"/>
      <c r="AV2" s="173"/>
      <c r="BA2" s="35" t="s">
        <v>291</v>
      </c>
      <c r="BB2" s="174"/>
      <c r="BC2" s="174"/>
      <c r="BD2" s="175"/>
      <c r="BE2" s="159"/>
      <c r="BF2" s="159"/>
      <c r="BG2" s="159"/>
      <c r="BH2" s="159"/>
      <c r="BI2" s="164"/>
      <c r="BJ2" s="164"/>
      <c r="BK2" s="164"/>
      <c r="BO2" s="8" t="s">
        <v>291</v>
      </c>
      <c r="BP2" s="164" t="s">
        <v>306</v>
      </c>
      <c r="BQ2" s="164"/>
      <c r="BS2" s="35" t="s">
        <v>291</v>
      </c>
      <c r="BT2" s="164" t="s">
        <v>308</v>
      </c>
      <c r="BU2" s="164"/>
      <c r="CA2" s="165" t="s">
        <v>476</v>
      </c>
      <c r="CB2" s="172"/>
      <c r="CC2" s="166"/>
    </row>
    <row r="3" spans="1:82" x14ac:dyDescent="0.15">
      <c r="B3" s="165" t="s">
        <v>476</v>
      </c>
      <c r="C3" s="172"/>
      <c r="D3" s="166"/>
      <c r="P3" s="5">
        <v>3</v>
      </c>
      <c r="Q3" s="10" t="s">
        <v>478</v>
      </c>
      <c r="R3" s="22" t="s">
        <v>3</v>
      </c>
      <c r="S3" s="22" t="s">
        <v>1</v>
      </c>
      <c r="T3" s="22" t="s">
        <v>2</v>
      </c>
      <c r="U3" s="22" t="s">
        <v>0</v>
      </c>
      <c r="V3" s="22" t="s">
        <v>545</v>
      </c>
      <c r="W3" s="22" t="s">
        <v>204</v>
      </c>
      <c r="Y3" s="22" t="s">
        <v>3</v>
      </c>
      <c r="Z3" s="22" t="s">
        <v>1</v>
      </c>
      <c r="AA3" s="22" t="s">
        <v>2</v>
      </c>
      <c r="AB3" s="22" t="s">
        <v>0</v>
      </c>
      <c r="AC3" s="22" t="s">
        <v>545</v>
      </c>
      <c r="AD3" s="22" t="s">
        <v>206</v>
      </c>
      <c r="AE3" s="22" t="s">
        <v>3</v>
      </c>
      <c r="AF3" s="22" t="s">
        <v>1</v>
      </c>
      <c r="AG3" s="22" t="s">
        <v>2</v>
      </c>
      <c r="AH3" s="22" t="s">
        <v>0</v>
      </c>
      <c r="AI3" s="22" t="s">
        <v>545</v>
      </c>
      <c r="AJ3" s="22" t="s">
        <v>206</v>
      </c>
      <c r="AK3" s="22" t="s">
        <v>3</v>
      </c>
      <c r="AL3" s="22" t="s">
        <v>1</v>
      </c>
      <c r="AM3" s="22" t="s">
        <v>2</v>
      </c>
      <c r="AN3" s="22" t="s">
        <v>0</v>
      </c>
      <c r="AO3" s="22" t="s">
        <v>545</v>
      </c>
      <c r="AP3" s="22" t="s">
        <v>206</v>
      </c>
      <c r="AQ3" s="22" t="s">
        <v>3</v>
      </c>
      <c r="AR3" s="22" t="s">
        <v>1</v>
      </c>
      <c r="AS3" s="22" t="s">
        <v>2</v>
      </c>
      <c r="AT3" s="22" t="s">
        <v>0</v>
      </c>
      <c r="AU3" s="22" t="s">
        <v>545</v>
      </c>
      <c r="AV3" s="22" t="s">
        <v>206</v>
      </c>
      <c r="BA3" s="32" t="s">
        <v>478</v>
      </c>
      <c r="BB3" s="29" t="s">
        <v>288</v>
      </c>
      <c r="BC3" s="29" t="s">
        <v>289</v>
      </c>
      <c r="BD3" s="29" t="s">
        <v>295</v>
      </c>
      <c r="BE3" s="29" t="s">
        <v>288</v>
      </c>
      <c r="BF3" s="29" t="s">
        <v>289</v>
      </c>
      <c r="BG3" s="29" t="s">
        <v>295</v>
      </c>
      <c r="BH3" s="10" t="s">
        <v>293</v>
      </c>
      <c r="BI3" s="29" t="s">
        <v>257</v>
      </c>
      <c r="BJ3" s="29" t="s">
        <v>289</v>
      </c>
      <c r="BK3" s="29" t="s">
        <v>295</v>
      </c>
      <c r="BO3" s="32" t="s">
        <v>478</v>
      </c>
      <c r="BP3" s="29" t="s">
        <v>336</v>
      </c>
      <c r="BQ3" s="29" t="s">
        <v>337</v>
      </c>
      <c r="BS3" s="32" t="s">
        <v>478</v>
      </c>
      <c r="BT3" s="29" t="s">
        <v>310</v>
      </c>
      <c r="BU3" s="29"/>
      <c r="CA3" s="15" t="s">
        <v>164</v>
      </c>
      <c r="CB3" s="15" t="s">
        <v>167</v>
      </c>
      <c r="CC3" s="21" t="s">
        <v>166</v>
      </c>
      <c r="CD3" s="4" t="s">
        <v>477</v>
      </c>
    </row>
    <row r="4" spans="1:82" x14ac:dyDescent="0.15">
      <c r="B4" s="15" t="s">
        <v>164</v>
      </c>
      <c r="C4" s="15" t="s">
        <v>167</v>
      </c>
      <c r="D4" s="21" t="s">
        <v>166</v>
      </c>
      <c r="P4" s="5">
        <v>4</v>
      </c>
      <c r="Q4" s="14">
        <f>基础状态预期!D17</f>
        <v>10</v>
      </c>
      <c r="R4" s="14">
        <f>IF(基础状态预期!U17="",0,求节点($B$5:$B$154,$D$5:$D$154,基础状态预期!U17)*基础状态预期!F17)</f>
        <v>0</v>
      </c>
      <c r="S4" s="14">
        <f>IF(基础状态预期!V17="",0,求节点($B$5:$B$154,$D$5:$D$154,基础状态预期!V17)*基础状态预期!G17)</f>
        <v>0</v>
      </c>
      <c r="T4" s="14">
        <f>IF(基础状态预期!W17="",0,求节点($B$5:$B$154,$D$5:$D$154,基础状态预期!W17)*基础状态预期!H17)</f>
        <v>33200</v>
      </c>
      <c r="U4" s="14">
        <f>IF(基础状态预期!X17="",0,求节点($B$5:$B$154,$D$5:$D$154,基础状态预期!X17)*基础状态预期!I17)</f>
        <v>66400</v>
      </c>
      <c r="V4" s="14">
        <f>IF(基础状态预期!Y17="",0,求节点($B$5:$B$154,$D$5:$D$154,基础状态预期!Y17)*基础状态预期!J17)</f>
        <v>0</v>
      </c>
      <c r="W4" s="14">
        <f>SUM(R4:V4)</f>
        <v>99600</v>
      </c>
      <c r="Y4" s="14" t="str">
        <f>IF(基础状态预期!U17="","",H$8+(基础状态预期!U17-1)*H$11)</f>
        <v/>
      </c>
      <c r="Z4" s="14" t="str">
        <f>IF(基础状态预期!V17="","",I$8+(基础状态预期!V17-1)*I$11)</f>
        <v/>
      </c>
      <c r="AA4" s="14">
        <f>IF(基础状态预期!W17="","",J$8+(基础状态预期!W17-1)*J$11)</f>
        <v>1370</v>
      </c>
      <c r="AB4" s="14">
        <f>IF(基础状态预期!X17="","",K$8+(基础状态预期!X17-1)*K$11)</f>
        <v>1370</v>
      </c>
      <c r="AC4" s="14" t="str">
        <f>IF(基础状态预期!Y17="","",L$8+(基础状态预期!Y17-1)*L$11)</f>
        <v/>
      </c>
      <c r="AD4" s="14">
        <f>SUMPRODUCT(Y4:AC4,基础状态预期!$F17:$J17)/SUM(基础状态预期!$F17:$J17)</f>
        <v>1370</v>
      </c>
      <c r="AE4" s="14" t="str">
        <f>IF(基础状态预期!U17="","",H$9+(基础状态预期!U17-1)*H$12)</f>
        <v/>
      </c>
      <c r="AF4" s="14" t="str">
        <f>IF(基础状态预期!V17="","",I$9+(基础状态预期!V17-1)*I$12)</f>
        <v/>
      </c>
      <c r="AG4" s="14">
        <f>IF(基础状态预期!W17="","",J$9+(基础状态预期!W17-1)*J$12)</f>
        <v>1370</v>
      </c>
      <c r="AH4" s="14">
        <f>IF(基础状态预期!X17="","",K$9+(基础状态预期!X17-1)*K$12)</f>
        <v>1370</v>
      </c>
      <c r="AI4" s="14" t="str">
        <f>IF(基础状态预期!Y17="","",L$9+(基础状态预期!Y17-1)*L$12)</f>
        <v/>
      </c>
      <c r="AJ4" s="14">
        <f>SUMPRODUCT(AE4:AI4,基础状态预期!$F17:$J17)/SUM(基础状态预期!$F17:$J17)</f>
        <v>1370</v>
      </c>
      <c r="AK4" s="14" t="str">
        <f>IF(基础状态预期!U17="","",H$27+(基础状态预期!U17-1)*H$28)</f>
        <v/>
      </c>
      <c r="AL4" s="14" t="str">
        <f>IF(基础状态预期!V17="","",I$27+(基础状态预期!V17-1)*I$28)</f>
        <v/>
      </c>
      <c r="AM4" s="14">
        <f>IF(基础状态预期!W17="","",J$27+(基础状态预期!W17-1)*J$28)</f>
        <v>1190</v>
      </c>
      <c r="AN4" s="14">
        <f>IF(基础状态预期!X17="","",K$27+(基础状态预期!X17-1)*K$28)</f>
        <v>1190</v>
      </c>
      <c r="AO4" s="14" t="str">
        <f>IF(基础状态预期!Y17="","",L$27+(基础状态预期!Y17-1)*L$28)</f>
        <v/>
      </c>
      <c r="AP4" s="14">
        <f>SUMPRODUCT(AK4:AO4,基础状态预期!$F17:$J17)/SUM(基础状态预期!$F17:$J17)</f>
        <v>1190</v>
      </c>
      <c r="AQ4" s="14" t="str">
        <f>IF(基础状态预期!U17="","",H$31+(基础状态预期!U17-1)*H$32)</f>
        <v/>
      </c>
      <c r="AR4" s="14" t="str">
        <f>IF(基础状态预期!V17="","",I$31+(基础状态预期!V17-1)*I$32)</f>
        <v/>
      </c>
      <c r="AS4" s="14">
        <f>IF(基础状态预期!W17="","",J$31+(基础状态预期!W17-1)*J$32)</f>
        <v>33</v>
      </c>
      <c r="AT4" s="14">
        <f>IF(基础状态预期!X17="","",K$31+(基础状态预期!X17-1)*K$32)</f>
        <v>36</v>
      </c>
      <c r="AU4" s="14" t="str">
        <f>IF(基础状态预期!Y17="","",L$31+(基础状态预期!Y17-1)*L$32)</f>
        <v/>
      </c>
      <c r="AV4" s="14">
        <f>SUMPRODUCT(AQ4:AU4,基础状态预期!$F17:$J17)/SUM(基础状态预期!$F17:$J17)</f>
        <v>35</v>
      </c>
      <c r="BA4" s="29">
        <v>10</v>
      </c>
      <c r="BB4" s="29">
        <f t="shared" ref="BB4:BB19" si="0">求节点($Q$4:$Q$42,$AD$4:$AD$42,$BA4)</f>
        <v>1370</v>
      </c>
      <c r="BC4" s="29">
        <f t="shared" ref="BC4:BC19" si="1">求节点($Q$4:$Q$42,$AJ$4:$AJ$42,$BA4)</f>
        <v>1370</v>
      </c>
      <c r="BD4" s="29">
        <f t="shared" ref="BD4:BD19" si="2">求节点($Q$4:$Q$42,$AP$4:$AP$42,$BA4)</f>
        <v>1190</v>
      </c>
      <c r="BE4" s="41">
        <f>BB4*INDEX([2]非r将兵属性验证!W$7:W$166,$BA4,1)</f>
        <v>10907154.814397175</v>
      </c>
      <c r="BF4" s="41">
        <f>BC4*INDEX([2]非r将兵属性验证!X$7:X$166,$BA4,1)</f>
        <v>10907154.814397175</v>
      </c>
      <c r="BG4" s="41">
        <f>BD4*INDEX([2]非r将兵属性验证!$AM$7:$AM$166,$BA4,1)</f>
        <v>2587411.8114180323</v>
      </c>
      <c r="BH4" s="10">
        <f t="shared" ref="BH4:BH5" si="3">SUM(BE4:BG4)</f>
        <v>24401721.440212384</v>
      </c>
      <c r="BI4" s="31">
        <f t="shared" ref="BI4:BI5" si="4">BE4/$BH4</f>
        <v>0.4469830065522723</v>
      </c>
      <c r="BJ4" s="31">
        <f t="shared" ref="BJ4:BJ5" si="5">BF4/$BH4</f>
        <v>0.4469830065522723</v>
      </c>
      <c r="BK4" s="31">
        <f t="shared" ref="BK4:BK5" si="6">BG4/$BH4</f>
        <v>0.10603398689545537</v>
      </c>
      <c r="BO4" s="29">
        <f>$Q4</f>
        <v>10</v>
      </c>
      <c r="BP4" s="10">
        <f>$W4</f>
        <v>99600</v>
      </c>
      <c r="BQ4" s="42" t="e">
        <f>$BP4*求节点('[1]功能-付费相关'!$AY$6:$AY$165,'[1]功能-付费相关'!$AZ$6:$AZ$165,$BO4)</f>
        <v>#VALUE!</v>
      </c>
      <c r="BS4" s="29">
        <v>10</v>
      </c>
      <c r="BT4" s="29" t="e">
        <f t="shared" ref="BT4:BT13" si="7">求节点($BO$4:$BO$42,BQ$4:BQ$42,$BS4)</f>
        <v>#VALUE!</v>
      </c>
      <c r="BU4" s="29"/>
      <c r="BY4" s="5" t="e">
        <f>求节点('[1]资源-武将经验'!S$6:S$105,'[1]资源-武将经验'!R$6:R$105,Q4)/6</f>
        <v>#VALUE!</v>
      </c>
      <c r="CA4" s="4">
        <v>1</v>
      </c>
      <c r="CB4" s="90">
        <v>80</v>
      </c>
      <c r="CC4" s="4">
        <f>SUM(CB$4:CB4)</f>
        <v>80</v>
      </c>
      <c r="CD4" s="4">
        <f>CC4/求节点($B$5:$B$154,$D$5:$D$154,CA4)</f>
        <v>0.8</v>
      </c>
    </row>
    <row r="5" spans="1:82" x14ac:dyDescent="0.15">
      <c r="B5" s="14">
        <v>2</v>
      </c>
      <c r="C5" s="14">
        <v>200</v>
      </c>
      <c r="D5" s="14">
        <f>SUM(C5:$C$5)</f>
        <v>200</v>
      </c>
      <c r="E5" s="89">
        <f>'[1]资源-武将经验'!$Z6</f>
        <v>0.33522582164473247</v>
      </c>
      <c r="G5" s="4"/>
      <c r="H5" s="4"/>
      <c r="I5" s="4"/>
      <c r="J5" s="4"/>
      <c r="K5" s="4"/>
      <c r="L5" s="4"/>
      <c r="P5" s="5">
        <v>5</v>
      </c>
      <c r="Q5" s="14">
        <f>基础状态预期!D18</f>
        <v>20</v>
      </c>
      <c r="R5" s="14">
        <f>IF(基础状态预期!U18="",0,求节点($B$5:$B$154,$D$5:$D$154,基础状态预期!U18)*基础状态预期!F18)</f>
        <v>0</v>
      </c>
      <c r="S5" s="14">
        <f>IF(基础状态预期!V18="",0,求节点($B$5:$B$154,$D$5:$D$154,基础状态预期!V18)*基础状态预期!G18)</f>
        <v>0</v>
      </c>
      <c r="T5" s="14">
        <f>IF(基础状态预期!W18="",0,求节点($B$5:$B$154,$D$5:$D$154,基础状态预期!W18)*基础状态预期!H18)</f>
        <v>0</v>
      </c>
      <c r="U5" s="14">
        <f>IF(基础状态预期!X18="",0,求节点($B$5:$B$154,$D$5:$D$154,基础状态预期!X18)*基础状态预期!I18)</f>
        <v>825600</v>
      </c>
      <c r="V5" s="14">
        <f>IF(基础状态预期!Y18="",0,求节点($B$5:$B$154,$D$5:$D$154,基础状态预期!Y18)*基础状态预期!J18)</f>
        <v>0</v>
      </c>
      <c r="W5" s="14">
        <f t="shared" ref="W5:W19" si="8">SUM(R5:V5)</f>
        <v>825600</v>
      </c>
      <c r="Y5" s="14" t="str">
        <f>IF(基础状态预期!U18="","",H$8+(基础状态预期!U18-1)*H$11)</f>
        <v/>
      </c>
      <c r="Z5" s="14" t="str">
        <f>IF(基础状态预期!V18="","",I$8+(基础状态预期!V18-1)*I$11)</f>
        <v/>
      </c>
      <c r="AA5" s="14" t="str">
        <f>IF(基础状态预期!W18="","",J$8+(基础状态预期!W18-1)*J$11)</f>
        <v/>
      </c>
      <c r="AB5" s="14">
        <f>IF(基础状态预期!X18="","",K$8+(基础状态预期!X18-1)*K$11)</f>
        <v>1970</v>
      </c>
      <c r="AC5" s="14" t="str">
        <f>IF(基础状态预期!Y18="","",L$8+(基础状态预期!Y18-1)*L$11)</f>
        <v/>
      </c>
      <c r="AD5" s="14">
        <f>SUMPRODUCT(Y5:AC5,基础状态预期!$F18:$J18)/SUM(基础状态预期!$F18:$J18)</f>
        <v>1970</v>
      </c>
      <c r="AE5" s="14" t="str">
        <f>IF(基础状态预期!U18="","",H$9+(基础状态预期!U18-1)*H$12)</f>
        <v/>
      </c>
      <c r="AF5" s="14" t="str">
        <f>IF(基础状态预期!V18="","",I$9+(基础状态预期!V18-1)*I$12)</f>
        <v/>
      </c>
      <c r="AG5" s="14" t="str">
        <f>IF(基础状态预期!W18="","",J$9+(基础状态预期!W18-1)*J$12)</f>
        <v/>
      </c>
      <c r="AH5" s="14">
        <f>IF(基础状态预期!X18="","",K$9+(基础状态预期!X18-1)*K$12)</f>
        <v>1970</v>
      </c>
      <c r="AI5" s="14" t="str">
        <f>IF(基础状态预期!Y18="","",L$9+(基础状态预期!Y18-1)*L$12)</f>
        <v/>
      </c>
      <c r="AJ5" s="14">
        <f>SUMPRODUCT(AE5:AI5,基础状态预期!$F18:$J18)/SUM(基础状态预期!$F18:$J18)</f>
        <v>1970</v>
      </c>
      <c r="AK5" s="14" t="str">
        <f>IF(基础状态预期!U18="","",H$27+(基础状态预期!U18-1)*H$28)</f>
        <v/>
      </c>
      <c r="AL5" s="14" t="str">
        <f>IF(基础状态预期!V18="","",I$27+(基础状态预期!V18-1)*I$28)</f>
        <v/>
      </c>
      <c r="AM5" s="14" t="str">
        <f>IF(基础状态预期!W18="","",J$27+(基础状态预期!W18-1)*J$28)</f>
        <v/>
      </c>
      <c r="AN5" s="14">
        <f>IF(基础状态预期!X18="","",K$27+(基础状态预期!X18-1)*K$28)</f>
        <v>1390</v>
      </c>
      <c r="AO5" s="14" t="str">
        <f>IF(基础状态预期!Y18="","",L$27+(基础状态预期!Y18-1)*L$28)</f>
        <v/>
      </c>
      <c r="AP5" s="14">
        <f>SUMPRODUCT(AK5:AO5,基础状态预期!$F18:$J18)/SUM(基础状态预期!$F18:$J18)</f>
        <v>1390</v>
      </c>
      <c r="AQ5" s="14" t="str">
        <f>IF(基础状态预期!U18="","",H$31+(基础状态预期!U18-1)*H$32)</f>
        <v/>
      </c>
      <c r="AR5" s="14" t="str">
        <f>IF(基础状态预期!V18="","",I$31+(基础状态预期!V18-1)*I$32)</f>
        <v/>
      </c>
      <c r="AS5" s="14" t="str">
        <f>IF(基础状态预期!W18="","",J$31+(基础状态预期!W18-1)*J$32)</f>
        <v/>
      </c>
      <c r="AT5" s="14">
        <f>IF(基础状态预期!X18="","",K$31+(基础状态预期!X18-1)*K$32)</f>
        <v>56</v>
      </c>
      <c r="AU5" s="14" t="str">
        <f>IF(基础状态预期!Y18="","",L$31+(基础状态预期!Y18-1)*L$32)</f>
        <v/>
      </c>
      <c r="AV5" s="14">
        <f>SUMPRODUCT(AQ5:AU5,基础状态预期!$F18:$J18)/SUM(基础状态预期!$F18:$J18)</f>
        <v>56</v>
      </c>
      <c r="BA5" s="29">
        <v>20</v>
      </c>
      <c r="BB5" s="29">
        <f t="shared" si="0"/>
        <v>1970</v>
      </c>
      <c r="BC5" s="29">
        <f t="shared" si="1"/>
        <v>1970</v>
      </c>
      <c r="BD5" s="29">
        <f t="shared" si="2"/>
        <v>1390</v>
      </c>
      <c r="BE5" s="29">
        <f>(BB5-BB4)*INDEX([2]非r将兵属性验证!W$7:W$166,$BA5,1)+BE4</f>
        <v>25012009.884458311</v>
      </c>
      <c r="BF5" s="29">
        <f>(BC5-BC4)*INDEX([2]非r将兵属性验证!X$7:X$166,$BA5,1)+BF4</f>
        <v>25012009.884458311</v>
      </c>
      <c r="BG5" s="29">
        <f>(BD5-BD4)*INDEX([2]非r将兵属性验证!$AM$7:$AM$166,$BA5,1)+BG4</f>
        <v>3183179.770359355</v>
      </c>
      <c r="BH5" s="10">
        <f t="shared" si="3"/>
        <v>53207199.539275974</v>
      </c>
      <c r="BI5" s="31">
        <f t="shared" si="4"/>
        <v>0.47008694501944587</v>
      </c>
      <c r="BJ5" s="31">
        <f t="shared" si="5"/>
        <v>0.47008694501944587</v>
      </c>
      <c r="BK5" s="31">
        <f t="shared" si="6"/>
        <v>5.9826109961108292E-2</v>
      </c>
      <c r="BO5" s="29">
        <f t="shared" ref="BO5:BO42" si="9">$Q5</f>
        <v>20</v>
      </c>
      <c r="BP5" s="10">
        <f>$W5-$W4</f>
        <v>726000</v>
      </c>
      <c r="BQ5" s="10" t="e">
        <f>$BP5*求节点('[1]功能-付费相关'!$AY$6:$AY$165,'[1]功能-付费相关'!$AZ$6:$AZ$165,$BO5)+$BQ4</f>
        <v>#VALUE!</v>
      </c>
      <c r="BS5" s="29">
        <v>20</v>
      </c>
      <c r="BT5" s="29" t="e">
        <f t="shared" si="7"/>
        <v>#VALUE!</v>
      </c>
      <c r="BU5" s="29"/>
      <c r="BY5" s="5" t="e">
        <f>求节点('[1]资源-武将经验'!S$6:S$105,'[1]资源-武将经验'!R$6:R$105,Q5)/6</f>
        <v>#VALUE!</v>
      </c>
      <c r="BZ5" s="4">
        <f>INDEX($A$6:$A$154,CA5/2,1)/4</f>
        <v>20</v>
      </c>
      <c r="CA5" s="4">
        <v>2</v>
      </c>
      <c r="CB5" s="90">
        <f>BZ5+CB4</f>
        <v>100</v>
      </c>
      <c r="CC5" s="4">
        <f>SUM(CB$4:CB5)</f>
        <v>180</v>
      </c>
      <c r="CD5" s="4">
        <f t="shared" ref="CD5:CD68" si="10">CC5/求节点($B$5:$B$154,$D$5:$D$154,CA5)</f>
        <v>0.9</v>
      </c>
    </row>
    <row r="6" spans="1:82" ht="11.25" customHeight="1" x14ac:dyDescent="0.15">
      <c r="A6" s="4">
        <v>80</v>
      </c>
      <c r="B6" s="14">
        <v>4</v>
      </c>
      <c r="C6" s="14">
        <f>A6+C5</f>
        <v>280</v>
      </c>
      <c r="D6" s="14">
        <f>SUM(C$5:$C6)</f>
        <v>480</v>
      </c>
      <c r="E6" s="89">
        <f>'[1]资源-武将经验'!$Z7</f>
        <v>0.40245318274658992</v>
      </c>
      <c r="G6" s="4" t="s">
        <v>278</v>
      </c>
      <c r="H6" s="4">
        <v>90</v>
      </c>
      <c r="I6" s="4">
        <v>100</v>
      </c>
      <c r="J6" s="4">
        <v>110</v>
      </c>
      <c r="K6" s="4">
        <v>120</v>
      </c>
      <c r="L6" s="4">
        <v>130</v>
      </c>
      <c r="P6" s="5">
        <v>6</v>
      </c>
      <c r="Q6" s="14">
        <f>基础状态预期!D19</f>
        <v>28.071211008105138</v>
      </c>
      <c r="R6" s="14">
        <f>IF(基础状态预期!U19="",0,求节点($B$5:$B$154,$D$5:$D$154,基础状态预期!U19)*基础状态预期!F19)</f>
        <v>0</v>
      </c>
      <c r="S6" s="14">
        <f>IF(基础状态预期!V19="",0,求节点($B$5:$B$154,$D$5:$D$154,基础状态预期!V19)*基础状态预期!G19)</f>
        <v>0</v>
      </c>
      <c r="T6" s="14">
        <f>IF(基础状态预期!W19="",0,求节点($B$5:$B$154,$D$5:$D$154,基础状态预期!W19)*基础状态预期!H19)</f>
        <v>0</v>
      </c>
      <c r="U6" s="14">
        <f>IF(基础状态预期!X19="",0,求节点($B$5:$B$154,$D$5:$D$154,基础状态预期!X19)*基础状态预期!I19)</f>
        <v>3486878.1018022257</v>
      </c>
      <c r="V6" s="14">
        <f>IF(基础状态预期!Y19="",0,求节点($B$5:$B$154,$D$5:$D$154,基础状态预期!Y19)*基础状态预期!J19)</f>
        <v>0</v>
      </c>
      <c r="W6" s="14">
        <f t="shared" si="8"/>
        <v>3486878.1018022257</v>
      </c>
      <c r="Y6" s="14" t="str">
        <f>IF(基础状态预期!U19="","",H$8+(基础状态预期!U19-1)*H$11)</f>
        <v/>
      </c>
      <c r="Z6" s="14" t="str">
        <f>IF(基础状态预期!V19="","",I$8+(基础状态预期!V19-1)*I$11)</f>
        <v/>
      </c>
      <c r="AA6" s="14" t="str">
        <f>IF(基础状态预期!W19="","",J$8+(基础状态预期!W19-1)*J$11)</f>
        <v/>
      </c>
      <c r="AB6" s="14">
        <f>IF(基础状态预期!X19="","",K$8+(基础状态预期!X19-1)*K$11)</f>
        <v>2454.2726604863083</v>
      </c>
      <c r="AC6" s="14" t="str">
        <f>IF(基础状态预期!Y19="","",L$8+(基础状态预期!Y19-1)*L$11)</f>
        <v/>
      </c>
      <c r="AD6" s="14">
        <f>SUMPRODUCT(Y6:AC6,基础状态预期!$F19:$J19)/SUM(基础状态预期!$F19:$J19)</f>
        <v>2454.2726604863083</v>
      </c>
      <c r="AE6" s="14" t="str">
        <f>IF(基础状态预期!U19="","",H$9+(基础状态预期!U19-1)*H$12)</f>
        <v/>
      </c>
      <c r="AF6" s="14" t="str">
        <f>IF(基础状态预期!V19="","",I$9+(基础状态预期!V19-1)*I$12)</f>
        <v/>
      </c>
      <c r="AG6" s="14" t="str">
        <f>IF(基础状态预期!W19="","",J$9+(基础状态预期!W19-1)*J$12)</f>
        <v/>
      </c>
      <c r="AH6" s="14">
        <f>IF(基础状态预期!X19="","",K$9+(基础状态预期!X19-1)*K$12)</f>
        <v>2454.2726604863083</v>
      </c>
      <c r="AI6" s="14" t="str">
        <f>IF(基础状态预期!Y19="","",L$9+(基础状态预期!Y19-1)*L$12)</f>
        <v/>
      </c>
      <c r="AJ6" s="14">
        <f>SUMPRODUCT(AE6:AI6,基础状态预期!$F19:$J19)/SUM(基础状态预期!$F19:$J19)</f>
        <v>2454.2726604863083</v>
      </c>
      <c r="AK6" s="14" t="str">
        <f>IF(基础状态预期!U19="","",H$27+(基础状态预期!U19-1)*H$28)</f>
        <v/>
      </c>
      <c r="AL6" s="14" t="str">
        <f>IF(基础状态预期!V19="","",I$27+(基础状态预期!V19-1)*I$28)</f>
        <v/>
      </c>
      <c r="AM6" s="14" t="str">
        <f>IF(基础状态预期!W19="","",J$27+(基础状态预期!W19-1)*J$28)</f>
        <v/>
      </c>
      <c r="AN6" s="14">
        <f>IF(基础状态预期!X19="","",K$27+(基础状态预期!X19-1)*K$28)</f>
        <v>1551.4242201621028</v>
      </c>
      <c r="AO6" s="14" t="str">
        <f>IF(基础状态预期!Y19="","",L$27+(基础状态预期!Y19-1)*L$28)</f>
        <v/>
      </c>
      <c r="AP6" s="14">
        <f>SUMPRODUCT(AK6:AO6,基础状态预期!$F19:$J19)/SUM(基础状态预期!$F19:$J19)</f>
        <v>1551.4242201621028</v>
      </c>
      <c r="AQ6" s="14" t="str">
        <f>IF(基础状态预期!U19="","",H$31+(基础状态预期!U19-1)*H$32)</f>
        <v/>
      </c>
      <c r="AR6" s="14" t="str">
        <f>IF(基础状态预期!V19="","",I$31+(基础状态预期!V19-1)*I$32)</f>
        <v/>
      </c>
      <c r="AS6" s="14" t="str">
        <f>IF(基础状态预期!W19="","",J$31+(基础状态预期!W19-1)*J$32)</f>
        <v/>
      </c>
      <c r="AT6" s="14">
        <f>IF(基础状态预期!X19="","",K$31+(基础状态预期!X19-1)*K$32)</f>
        <v>72.142422016210276</v>
      </c>
      <c r="AU6" s="14" t="str">
        <f>IF(基础状态预期!Y19="","",L$31+(基础状态预期!Y19-1)*L$32)</f>
        <v/>
      </c>
      <c r="AV6" s="14">
        <f>SUMPRODUCT(AQ6:AU6,基础状态预期!$F19:$J19)/SUM(基础状态预期!$F19:$J19)</f>
        <v>72.142422016210276</v>
      </c>
      <c r="BA6" s="29">
        <v>30</v>
      </c>
      <c r="BB6" s="29">
        <f t="shared" si="0"/>
        <v>2570</v>
      </c>
      <c r="BC6" s="29">
        <f t="shared" si="1"/>
        <v>2570</v>
      </c>
      <c r="BD6" s="29">
        <f t="shared" si="2"/>
        <v>1590</v>
      </c>
      <c r="BE6" s="29">
        <f>(BB6-BB5)*INDEX([2]非r将兵属性验证!W$7:W$166,$BA6,1)+BE5</f>
        <v>52938635.252098307</v>
      </c>
      <c r="BF6" s="29">
        <f>(BC6-BC5)*INDEX([2]非r将兵属性验证!X$7:X$166,$BA6,1)+BF5</f>
        <v>52938635.252098307</v>
      </c>
      <c r="BG6" s="29">
        <f>(BD6-BD5)*INDEX([2]非r将兵属性验证!$AM$7:$AM$166,$BA6,1)+BG5</f>
        <v>3913728.41713602</v>
      </c>
      <c r="BH6" s="10">
        <f t="shared" ref="BH6:BH19" si="11">SUM(BE6:BG6)</f>
        <v>109790998.92133263</v>
      </c>
      <c r="BI6" s="31">
        <f t="shared" ref="BI6:BI19" si="12">BE6/$BH6</f>
        <v>0.48217646047678153</v>
      </c>
      <c r="BJ6" s="31">
        <f t="shared" ref="BJ6:BJ19" si="13">BF6/$BH6</f>
        <v>0.48217646047678153</v>
      </c>
      <c r="BK6" s="31">
        <f t="shared" ref="BK6:BK19" si="14">BG6/$BH6</f>
        <v>3.5647079046436971E-2</v>
      </c>
      <c r="BO6" s="29">
        <f t="shared" si="9"/>
        <v>28.071211008105138</v>
      </c>
      <c r="BP6" s="10">
        <f t="shared" ref="BP6:BP42" si="15">$W6-$W5</f>
        <v>2661278.1018022257</v>
      </c>
      <c r="BQ6" s="10" t="e">
        <f>$BP6*求节点('[1]功能-付费相关'!$AY$6:$AY$165,'[1]功能-付费相关'!$AZ$6:$AZ$165,$BO6)+$BQ5</f>
        <v>#VALUE!</v>
      </c>
      <c r="BS6" s="29">
        <v>30</v>
      </c>
      <c r="BT6" s="29" t="e">
        <f t="shared" si="7"/>
        <v>#VALUE!</v>
      </c>
      <c r="BU6" s="29"/>
      <c r="BY6" s="5" t="e">
        <f>求节点('[1]资源-武将经验'!S$6:S$105,'[1]资源-武将经验'!R$6:R$105,Q6)/6</f>
        <v>#VALUE!</v>
      </c>
      <c r="BZ6" s="4">
        <f t="shared" ref="BZ6:BZ69" si="16">INDEX($A$6:$A$154,CA6/2,1)/4</f>
        <v>20</v>
      </c>
      <c r="CA6" s="4">
        <v>3</v>
      </c>
      <c r="CB6" s="90">
        <f t="shared" ref="CB6:CB69" si="17">BZ6+CB5</f>
        <v>120</v>
      </c>
      <c r="CC6" s="4">
        <f>SUM(CB$4:CB6)</f>
        <v>300</v>
      </c>
      <c r="CD6" s="4">
        <f t="shared" si="10"/>
        <v>0.88235294117647056</v>
      </c>
    </row>
    <row r="7" spans="1:82" x14ac:dyDescent="0.15">
      <c r="A7" s="4">
        <v>160</v>
      </c>
      <c r="B7" s="14">
        <v>6</v>
      </c>
      <c r="C7" s="14">
        <f t="shared" ref="C7:C70" si="18">A7+C6</f>
        <v>440</v>
      </c>
      <c r="D7" s="14">
        <f>SUM(C$5:$C7)</f>
        <v>920</v>
      </c>
      <c r="E7" s="89">
        <f>'[1]资源-武将经验'!$Z8</f>
        <v>0.45706012972204696</v>
      </c>
      <c r="F7" s="165" t="s">
        <v>243</v>
      </c>
      <c r="G7" s="166"/>
      <c r="H7" s="14" t="s">
        <v>83</v>
      </c>
      <c r="I7" s="14" t="s">
        <v>80</v>
      </c>
      <c r="J7" s="14" t="s">
        <v>81</v>
      </c>
      <c r="K7" s="14" t="s">
        <v>82</v>
      </c>
      <c r="L7" s="14" t="s">
        <v>545</v>
      </c>
      <c r="P7" s="5">
        <v>7</v>
      </c>
      <c r="Q7" s="14">
        <f>基础状态预期!D20</f>
        <v>34.585942742481357</v>
      </c>
      <c r="R7" s="14">
        <f>IF(基础状态预期!U20="",0,求节点($B$5:$B$154,$D$5:$D$154,基础状态预期!U20)*基础状态预期!F20)</f>
        <v>0</v>
      </c>
      <c r="S7" s="14">
        <f>IF(基础状态预期!V20="",0,求节点($B$5:$B$154,$D$5:$D$154,基础状态预期!V20)*基础状态预期!G20)</f>
        <v>0</v>
      </c>
      <c r="T7" s="14">
        <f>IF(基础状态预期!W20="",0,求节点($B$5:$B$154,$D$5:$D$154,基础状态预期!W20)*基础状态预期!H20)</f>
        <v>0</v>
      </c>
      <c r="U7" s="14">
        <f>IF(基础状态预期!X20="",0,求节点($B$5:$B$154,$D$5:$D$154,基础状态预期!X20)*基础状态预期!I20)</f>
        <v>15125855.402506452</v>
      </c>
      <c r="V7" s="14">
        <f>IF(基础状态预期!Y20="",0,求节点($B$5:$B$154,$D$5:$D$154,基础状态预期!Y20)*基础状态预期!J20)</f>
        <v>0</v>
      </c>
      <c r="W7" s="14">
        <f t="shared" si="8"/>
        <v>15125855.402506452</v>
      </c>
      <c r="Y7" s="14" t="str">
        <f>IF(基础状态预期!U20="","",H$8+(基础状态预期!U20-1)*H$11)</f>
        <v/>
      </c>
      <c r="Z7" s="14" t="str">
        <f>IF(基础状态预期!V20="","",I$8+(基础状态预期!V20-1)*I$11)</f>
        <v/>
      </c>
      <c r="AA7" s="14" t="str">
        <f>IF(基础状态预期!W20="","",J$8+(基础状态预期!W20-1)*J$11)</f>
        <v/>
      </c>
      <c r="AB7" s="14">
        <f>IF(基础状态预期!X20="","",K$8+(基础状态预期!X20-1)*K$11)</f>
        <v>2845.1565645488818</v>
      </c>
      <c r="AC7" s="14" t="str">
        <f>IF(基础状态预期!Y20="","",L$8+(基础状态预期!Y20-1)*L$11)</f>
        <v/>
      </c>
      <c r="AD7" s="14">
        <f>SUMPRODUCT(Y7:AC7,基础状态预期!$F20:$J20)/SUM(基础状态预期!$F20:$J20)</f>
        <v>2845.1565645488822</v>
      </c>
      <c r="AE7" s="14" t="str">
        <f>IF(基础状态预期!U20="","",H$9+(基础状态预期!U20-1)*H$12)</f>
        <v/>
      </c>
      <c r="AF7" s="14" t="str">
        <f>IF(基础状态预期!V20="","",I$9+(基础状态预期!V20-1)*I$12)</f>
        <v/>
      </c>
      <c r="AG7" s="14" t="str">
        <f>IF(基础状态预期!W20="","",J$9+(基础状态预期!W20-1)*J$12)</f>
        <v/>
      </c>
      <c r="AH7" s="14">
        <f>IF(基础状态预期!X20="","",K$9+(基础状态预期!X20-1)*K$12)</f>
        <v>2845.1565645488818</v>
      </c>
      <c r="AI7" s="14" t="str">
        <f>IF(基础状态预期!Y20="","",L$9+(基础状态预期!Y20-1)*L$12)</f>
        <v/>
      </c>
      <c r="AJ7" s="14">
        <f>SUMPRODUCT(AE7:AI7,基础状态预期!$F20:$J20)/SUM(基础状态预期!$F20:$J20)</f>
        <v>2845.1565645488822</v>
      </c>
      <c r="AK7" s="14" t="str">
        <f>IF(基础状态预期!U20="","",H$27+(基础状态预期!U20-1)*H$28)</f>
        <v/>
      </c>
      <c r="AL7" s="14" t="str">
        <f>IF(基础状态预期!V20="","",I$27+(基础状态预期!V20-1)*I$28)</f>
        <v/>
      </c>
      <c r="AM7" s="14" t="str">
        <f>IF(基础状态预期!W20="","",J$27+(基础状态预期!W20-1)*J$28)</f>
        <v/>
      </c>
      <c r="AN7" s="14">
        <f>IF(基础状态预期!X20="","",K$27+(基础状态预期!X20-1)*K$28)</f>
        <v>1681.7188548496272</v>
      </c>
      <c r="AO7" s="14" t="str">
        <f>IF(基础状态预期!Y20="","",L$27+(基础状态预期!Y20-1)*L$28)</f>
        <v/>
      </c>
      <c r="AP7" s="14">
        <f>SUMPRODUCT(AK7:AO7,基础状态预期!$F20:$J20)/SUM(基础状态预期!$F20:$J20)</f>
        <v>1681.7188548496272</v>
      </c>
      <c r="AQ7" s="14" t="str">
        <f>IF(基础状态预期!U20="","",H$31+(基础状态预期!U20-1)*H$32)</f>
        <v/>
      </c>
      <c r="AR7" s="14" t="str">
        <f>IF(基础状态预期!V20="","",I$31+(基础状态预期!V20-1)*I$32)</f>
        <v/>
      </c>
      <c r="AS7" s="14" t="str">
        <f>IF(基础状态预期!W20="","",J$31+(基础状态预期!W20-1)*J$32)</f>
        <v/>
      </c>
      <c r="AT7" s="14">
        <f>IF(基础状态预期!X20="","",K$31+(基础状态预期!X20-1)*K$32)</f>
        <v>85.171885484962715</v>
      </c>
      <c r="AU7" s="14" t="str">
        <f>IF(基础状态预期!Y20="","",L$31+(基础状态预期!Y20-1)*L$32)</f>
        <v/>
      </c>
      <c r="AV7" s="14">
        <f>SUMPRODUCT(AQ7:AU7,基础状态预期!$F20:$J20)/SUM(基础状态预期!$F20:$J20)</f>
        <v>85.171885484962715</v>
      </c>
      <c r="BA7" s="29">
        <v>40</v>
      </c>
      <c r="BB7" s="29">
        <f t="shared" si="0"/>
        <v>3170</v>
      </c>
      <c r="BC7" s="29">
        <f t="shared" si="1"/>
        <v>3170</v>
      </c>
      <c r="BD7" s="29">
        <f t="shared" si="2"/>
        <v>1790</v>
      </c>
      <c r="BE7" s="29">
        <f>(BB7-BB6)*INDEX([2]非r将兵属性验证!W$7:W$166,$BA7,1)+BE6</f>
        <v>125437029.85827382</v>
      </c>
      <c r="BF7" s="29">
        <f>(BC7-BC6)*INDEX([2]非r将兵属性验证!X$7:X$166,$BA7,1)+BF6</f>
        <v>125437029.85827382</v>
      </c>
      <c r="BG7" s="29">
        <f>(BD7-BD6)*INDEX([2]非r将兵属性验证!$AM$7:$AM$166,$BA7,1)+BG6</f>
        <v>4774284.3451914731</v>
      </c>
      <c r="BH7" s="10">
        <f t="shared" si="11"/>
        <v>255648344.06173912</v>
      </c>
      <c r="BI7" s="31">
        <f t="shared" si="12"/>
        <v>0.49066239923690158</v>
      </c>
      <c r="BJ7" s="31">
        <f t="shared" si="13"/>
        <v>0.49066239923690158</v>
      </c>
      <c r="BK7" s="31">
        <f t="shared" si="14"/>
        <v>1.8675201526196793E-2</v>
      </c>
      <c r="BO7" s="29">
        <f t="shared" si="9"/>
        <v>34.585942742481357</v>
      </c>
      <c r="BP7" s="10">
        <f t="shared" si="15"/>
        <v>11638977.300704226</v>
      </c>
      <c r="BQ7" s="10" t="e">
        <f>$BP7*求节点('[1]功能-付费相关'!$AY$6:$AY$165,'[1]功能-付费相关'!$AZ$6:$AZ$165,$BO7)+$BQ6</f>
        <v>#VALUE!</v>
      </c>
      <c r="BS7" s="29">
        <v>40</v>
      </c>
      <c r="BT7" s="29" t="e">
        <f t="shared" si="7"/>
        <v>#VALUE!</v>
      </c>
      <c r="BU7" s="29"/>
      <c r="BY7" s="5" t="e">
        <f>求节点('[1]资源-武将经验'!S$6:S$105,'[1]资源-武将经验'!R$6:R$105,Q7)/6</f>
        <v>#VALUE!</v>
      </c>
      <c r="BZ7" s="4">
        <f t="shared" si="16"/>
        <v>40</v>
      </c>
      <c r="CA7" s="4">
        <v>4</v>
      </c>
      <c r="CB7" s="90">
        <f t="shared" si="17"/>
        <v>160</v>
      </c>
      <c r="CC7" s="4">
        <f>SUM(CB$4:CB7)</f>
        <v>460</v>
      </c>
      <c r="CD7" s="4">
        <f t="shared" si="10"/>
        <v>0.95833333333333337</v>
      </c>
    </row>
    <row r="8" spans="1:82" x14ac:dyDescent="0.15">
      <c r="A8" s="4">
        <v>240</v>
      </c>
      <c r="B8" s="14">
        <v>8</v>
      </c>
      <c r="C8" s="14">
        <f t="shared" si="18"/>
        <v>680</v>
      </c>
      <c r="D8" s="14">
        <f>SUM(C$5:$C8)</f>
        <v>1600</v>
      </c>
      <c r="E8" s="89">
        <f>'[1]资源-武将经验'!$Z9</f>
        <v>0.56397405795757161</v>
      </c>
      <c r="F8" s="176" t="s">
        <v>153</v>
      </c>
      <c r="G8" s="14" t="s">
        <v>250</v>
      </c>
      <c r="H8" s="14">
        <v>800</v>
      </c>
      <c r="I8" s="14">
        <f>H8</f>
        <v>800</v>
      </c>
      <c r="J8" s="14">
        <f t="shared" ref="J8:L8" si="19">I8</f>
        <v>800</v>
      </c>
      <c r="K8" s="14">
        <f t="shared" si="19"/>
        <v>800</v>
      </c>
      <c r="L8" s="14">
        <f t="shared" si="19"/>
        <v>800</v>
      </c>
      <c r="P8" s="5">
        <v>8</v>
      </c>
      <c r="Q8" s="14">
        <f>基础状态预期!D21</f>
        <v>40</v>
      </c>
      <c r="R8" s="14">
        <f>IF(基础状态预期!U21="",0,求节点($B$5:$B$154,$D$5:$D$154,基础状态预期!U21)*基础状态预期!F21)</f>
        <v>0</v>
      </c>
      <c r="S8" s="14">
        <f>IF(基础状态预期!V21="",0,求节点($B$5:$B$154,$D$5:$D$154,基础状态预期!V21)*基础状态预期!G21)</f>
        <v>0</v>
      </c>
      <c r="T8" s="14">
        <f>IF(基础状态预期!W21="",0,求节点($B$5:$B$154,$D$5:$D$154,基础状态预期!W21)*基础状态预期!H21)</f>
        <v>0</v>
      </c>
      <c r="U8" s="14">
        <f>IF(基础状态预期!X21="",0,求节点($B$5:$B$154,$D$5:$D$154,基础状态预期!X21)*基础状态预期!I21)</f>
        <v>35676600</v>
      </c>
      <c r="V8" s="14">
        <f>IF(基础状态预期!Y21="",0,求节点($B$5:$B$154,$D$5:$D$154,基础状态预期!Y21)*基础状态预期!J21)</f>
        <v>0</v>
      </c>
      <c r="W8" s="14">
        <f t="shared" si="8"/>
        <v>35676600</v>
      </c>
      <c r="Y8" s="14" t="str">
        <f>IF(基础状态预期!U21="","",H$8+(基础状态预期!U21-1)*H$11)</f>
        <v/>
      </c>
      <c r="Z8" s="14" t="str">
        <f>IF(基础状态预期!V21="","",I$8+(基础状态预期!V21-1)*I$11)</f>
        <v/>
      </c>
      <c r="AA8" s="14" t="str">
        <f>IF(基础状态预期!W21="","",J$8+(基础状态预期!W21-1)*J$11)</f>
        <v/>
      </c>
      <c r="AB8" s="14">
        <f>IF(基础状态预期!X21="","",K$8+(基础状态预期!X21-1)*K$11)</f>
        <v>3170</v>
      </c>
      <c r="AC8" s="14" t="str">
        <f>IF(基础状态预期!Y21="","",L$8+(基础状态预期!Y21-1)*L$11)</f>
        <v/>
      </c>
      <c r="AD8" s="14">
        <f>SUMPRODUCT(Y8:AC8,基础状态预期!$F21:$J21)/SUM(基础状态预期!$F21:$J21)</f>
        <v>3170</v>
      </c>
      <c r="AE8" s="14" t="str">
        <f>IF(基础状态预期!U21="","",H$9+(基础状态预期!U21-1)*H$12)</f>
        <v/>
      </c>
      <c r="AF8" s="14" t="str">
        <f>IF(基础状态预期!V21="","",I$9+(基础状态预期!V21-1)*I$12)</f>
        <v/>
      </c>
      <c r="AG8" s="14" t="str">
        <f>IF(基础状态预期!W21="","",J$9+(基础状态预期!W21-1)*J$12)</f>
        <v/>
      </c>
      <c r="AH8" s="14">
        <f>IF(基础状态预期!X21="","",K$9+(基础状态预期!X21-1)*K$12)</f>
        <v>3170</v>
      </c>
      <c r="AI8" s="14" t="str">
        <f>IF(基础状态预期!Y21="","",L$9+(基础状态预期!Y21-1)*L$12)</f>
        <v/>
      </c>
      <c r="AJ8" s="14">
        <f>SUMPRODUCT(AE8:AI8,基础状态预期!$F21:$J21)/SUM(基础状态预期!$F21:$J21)</f>
        <v>3170</v>
      </c>
      <c r="AK8" s="14" t="str">
        <f>IF(基础状态预期!U21="","",H$27+(基础状态预期!U21-1)*H$28)</f>
        <v/>
      </c>
      <c r="AL8" s="14" t="str">
        <f>IF(基础状态预期!V21="","",I$27+(基础状态预期!V21-1)*I$28)</f>
        <v/>
      </c>
      <c r="AM8" s="14" t="str">
        <f>IF(基础状态预期!W21="","",J$27+(基础状态预期!W21-1)*J$28)</f>
        <v/>
      </c>
      <c r="AN8" s="14">
        <f>IF(基础状态预期!X21="","",K$27+(基础状态预期!X21-1)*K$28)</f>
        <v>1790</v>
      </c>
      <c r="AO8" s="14" t="str">
        <f>IF(基础状态预期!Y21="","",L$27+(基础状态预期!Y21-1)*L$28)</f>
        <v/>
      </c>
      <c r="AP8" s="14">
        <f>SUMPRODUCT(AK8:AO8,基础状态预期!$F21:$J21)/SUM(基础状态预期!$F21:$J21)</f>
        <v>1790</v>
      </c>
      <c r="AQ8" s="14" t="str">
        <f>IF(基础状态预期!U21="","",H$31+(基础状态预期!U21-1)*H$32)</f>
        <v/>
      </c>
      <c r="AR8" s="14" t="str">
        <f>IF(基础状态预期!V21="","",I$31+(基础状态预期!V21-1)*I$32)</f>
        <v/>
      </c>
      <c r="AS8" s="14" t="str">
        <f>IF(基础状态预期!W21="","",J$31+(基础状态预期!W21-1)*J$32)</f>
        <v/>
      </c>
      <c r="AT8" s="14">
        <f>IF(基础状态预期!X21="","",K$31+(基础状态预期!X21-1)*K$32)</f>
        <v>96</v>
      </c>
      <c r="AU8" s="14" t="str">
        <f>IF(基础状态预期!Y21="","",L$31+(基础状态预期!Y21-1)*L$32)</f>
        <v/>
      </c>
      <c r="AV8" s="14">
        <f>SUMPRODUCT(AQ8:AU8,基础状态预期!$F21:$J21)/SUM(基础状态预期!$F21:$J21)</f>
        <v>96</v>
      </c>
      <c r="BA8" s="29">
        <v>50</v>
      </c>
      <c r="BB8" s="29">
        <f t="shared" si="0"/>
        <v>3770</v>
      </c>
      <c r="BC8" s="29">
        <f t="shared" si="1"/>
        <v>3770</v>
      </c>
      <c r="BD8" s="29">
        <f t="shared" si="2"/>
        <v>1990.0000000000002</v>
      </c>
      <c r="BE8" s="29">
        <f>(BB8-BB7)*INDEX([2]非r将兵属性验证!W$7:W$166,$BA8,1)+BE7</f>
        <v>246421949.71258521</v>
      </c>
      <c r="BF8" s="29">
        <f>(BC8-BC7)*INDEX([2]非r将兵属性验证!X$7:X$166,$BA8,1)+BF7</f>
        <v>246421949.71258521</v>
      </c>
      <c r="BG8" s="29">
        <f>(BD8-BD7)*INDEX([2]非r将兵属性验证!$AM$7:$AM$166,$BA8,1)+BG7</f>
        <v>5762868.0894681122</v>
      </c>
      <c r="BH8" s="10">
        <f t="shared" si="11"/>
        <v>498606767.51463854</v>
      </c>
      <c r="BI8" s="31">
        <f t="shared" si="12"/>
        <v>0.49422102901030224</v>
      </c>
      <c r="BJ8" s="31">
        <f t="shared" si="13"/>
        <v>0.49422102901030224</v>
      </c>
      <c r="BK8" s="31">
        <f t="shared" si="14"/>
        <v>1.1557941979395457E-2</v>
      </c>
      <c r="BO8" s="29">
        <f t="shared" si="9"/>
        <v>40</v>
      </c>
      <c r="BP8" s="10">
        <f>$W8-$W7</f>
        <v>20550744.597493548</v>
      </c>
      <c r="BQ8" s="10" t="e">
        <f>$BP8*求节点('[1]功能-付费相关'!$AY$6:$AY$165,'[1]功能-付费相关'!$AZ$6:$AZ$165,$BO8)+$BQ7</f>
        <v>#VALUE!</v>
      </c>
      <c r="BS8" s="29">
        <v>50</v>
      </c>
      <c r="BT8" s="29" t="e">
        <f t="shared" si="7"/>
        <v>#VALUE!</v>
      </c>
      <c r="BU8" s="29"/>
      <c r="BY8" s="5" t="e">
        <f>求节点('[1]资源-武将经验'!S$6:S$105,'[1]资源-武将经验'!R$6:R$105,Q8)/6</f>
        <v>#VALUE!</v>
      </c>
      <c r="BZ8" s="4">
        <f t="shared" si="16"/>
        <v>40</v>
      </c>
      <c r="CA8" s="4">
        <v>5</v>
      </c>
      <c r="CB8" s="90">
        <f t="shared" si="17"/>
        <v>200</v>
      </c>
      <c r="CC8" s="4">
        <f>SUM(CB$4:CB8)</f>
        <v>660</v>
      </c>
      <c r="CD8" s="4">
        <f t="shared" si="10"/>
        <v>0.94285714285714284</v>
      </c>
    </row>
    <row r="9" spans="1:82" x14ac:dyDescent="0.15">
      <c r="A9" s="4">
        <v>320</v>
      </c>
      <c r="B9" s="14">
        <v>10</v>
      </c>
      <c r="C9" s="14">
        <f t="shared" si="18"/>
        <v>1000</v>
      </c>
      <c r="D9" s="14">
        <f>SUM(C$5:$C9)</f>
        <v>2600</v>
      </c>
      <c r="E9" s="89">
        <f>'[1]资源-武将经验'!$Z10</f>
        <v>0.6653213272715458</v>
      </c>
      <c r="F9" s="177"/>
      <c r="G9" s="14" t="s">
        <v>251</v>
      </c>
      <c r="H9" s="14">
        <f>H8</f>
        <v>800</v>
      </c>
      <c r="I9" s="14">
        <f t="shared" ref="I9:L9" si="20">I8</f>
        <v>800</v>
      </c>
      <c r="J9" s="14">
        <f t="shared" si="20"/>
        <v>800</v>
      </c>
      <c r="K9" s="14">
        <f t="shared" si="20"/>
        <v>800</v>
      </c>
      <c r="L9" s="14">
        <f t="shared" si="20"/>
        <v>800</v>
      </c>
      <c r="P9" s="5">
        <v>9</v>
      </c>
      <c r="Q9" s="14">
        <f>基础状态预期!D22</f>
        <v>43.920692243099523</v>
      </c>
      <c r="R9" s="14">
        <f>IF(基础状态预期!U22="",0,求节点($B$5:$B$154,$D$5:$D$154,基础状态预期!U22)*基础状态预期!F22)</f>
        <v>0</v>
      </c>
      <c r="S9" s="14">
        <f>IF(基础状态预期!V22="",0,求节点($B$5:$B$154,$D$5:$D$154,基础状态预期!V22)*基础状态预期!G22)</f>
        <v>0</v>
      </c>
      <c r="T9" s="14">
        <f>IF(基础状态预期!W22="",0,求节点($B$5:$B$154,$D$5:$D$154,基础状态预期!W22)*基础状态预期!H22)</f>
        <v>0</v>
      </c>
      <c r="U9" s="14">
        <f>IF(基础状态预期!X22="",0,求节点($B$5:$B$154,$D$5:$D$154,基础状态预期!X22)*基础状态预期!I22)</f>
        <v>58762470.202168889</v>
      </c>
      <c r="V9" s="14">
        <f>IF(基础状态预期!Y22="",0,求节点($B$5:$B$154,$D$5:$D$154,基础状态预期!Y22)*基础状态预期!J22)</f>
        <v>0</v>
      </c>
      <c r="W9" s="14">
        <f t="shared" si="8"/>
        <v>58762470.202168889</v>
      </c>
      <c r="Y9" s="14" t="str">
        <f>IF(基础状态预期!U22="","",H$8+(基础状态预期!U22-1)*H$11)</f>
        <v/>
      </c>
      <c r="Z9" s="14" t="str">
        <f>IF(基础状态预期!V22="","",I$8+(基础状态预期!V22-1)*I$11)</f>
        <v/>
      </c>
      <c r="AA9" s="14" t="str">
        <f>IF(基础状态预期!W22="","",J$8+(基础状态预期!W22-1)*J$11)</f>
        <v/>
      </c>
      <c r="AB9" s="14">
        <f>IF(基础状态预期!X22="","",K$8+(基础状态预期!X22-1)*K$11)</f>
        <v>3405.2415345859713</v>
      </c>
      <c r="AC9" s="14" t="str">
        <f>IF(基础状态预期!Y22="","",L$8+(基础状态预期!Y22-1)*L$11)</f>
        <v/>
      </c>
      <c r="AD9" s="14">
        <f>SUMPRODUCT(Y9:AC9,基础状态预期!$F22:$J22)/SUM(基础状态预期!$F22:$J22)</f>
        <v>3405.2415345859713</v>
      </c>
      <c r="AE9" s="14" t="str">
        <f>IF(基础状态预期!U22="","",H$9+(基础状态预期!U22-1)*H$12)</f>
        <v/>
      </c>
      <c r="AF9" s="14" t="str">
        <f>IF(基础状态预期!V22="","",I$9+(基础状态预期!V22-1)*I$12)</f>
        <v/>
      </c>
      <c r="AG9" s="14" t="str">
        <f>IF(基础状态预期!W22="","",J$9+(基础状态预期!W22-1)*J$12)</f>
        <v/>
      </c>
      <c r="AH9" s="14">
        <f>IF(基础状态预期!X22="","",K$9+(基础状态预期!X22-1)*K$12)</f>
        <v>3405.2415345859713</v>
      </c>
      <c r="AI9" s="14" t="str">
        <f>IF(基础状态预期!Y22="","",L$9+(基础状态预期!Y22-1)*L$12)</f>
        <v/>
      </c>
      <c r="AJ9" s="14">
        <f>SUMPRODUCT(AE9:AI9,基础状态预期!$F22:$J22)/SUM(基础状态预期!$F22:$J22)</f>
        <v>3405.2415345859713</v>
      </c>
      <c r="AK9" s="14" t="str">
        <f>IF(基础状态预期!U22="","",H$27+(基础状态预期!U22-1)*H$28)</f>
        <v/>
      </c>
      <c r="AL9" s="14" t="str">
        <f>IF(基础状态预期!V22="","",I$27+(基础状态预期!V22-1)*I$28)</f>
        <v/>
      </c>
      <c r="AM9" s="14" t="str">
        <f>IF(基础状态预期!W22="","",J$27+(基础状态预期!W22-1)*J$28)</f>
        <v/>
      </c>
      <c r="AN9" s="14">
        <f>IF(基础状态预期!X22="","",K$27+(基础状态预期!X22-1)*K$28)</f>
        <v>1868.4138448619906</v>
      </c>
      <c r="AO9" s="14" t="str">
        <f>IF(基础状态预期!Y22="","",L$27+(基础状态预期!Y22-1)*L$28)</f>
        <v/>
      </c>
      <c r="AP9" s="14">
        <f>SUMPRODUCT(AK9:AO9,基础状态预期!$F22:$J22)/SUM(基础状态预期!$F22:$J22)</f>
        <v>1868.4138448619906</v>
      </c>
      <c r="AQ9" s="14" t="str">
        <f>IF(基础状态预期!U22="","",H$31+(基础状态预期!U22-1)*H$32)</f>
        <v/>
      </c>
      <c r="AR9" s="14" t="str">
        <f>IF(基础状态预期!V22="","",I$31+(基础状态预期!V22-1)*I$32)</f>
        <v/>
      </c>
      <c r="AS9" s="14" t="str">
        <f>IF(基础状态预期!W22="","",J$31+(基础状态预期!W22-1)*J$32)</f>
        <v/>
      </c>
      <c r="AT9" s="14">
        <f>IF(基础状态预期!X22="","",K$31+(基础状态预期!X22-1)*K$32)</f>
        <v>103.84138448619905</v>
      </c>
      <c r="AU9" s="14" t="str">
        <f>IF(基础状态预期!Y22="","",L$31+(基础状态预期!Y22-1)*L$32)</f>
        <v/>
      </c>
      <c r="AV9" s="14">
        <f>SUMPRODUCT(AQ9:AU9,基础状态预期!$F22:$J22)/SUM(基础状态预期!$F22:$J22)</f>
        <v>103.84138448619905</v>
      </c>
      <c r="BA9" s="29">
        <v>60</v>
      </c>
      <c r="BB9" s="29">
        <f t="shared" si="0"/>
        <v>4369.9999999999991</v>
      </c>
      <c r="BC9" s="29">
        <f t="shared" si="1"/>
        <v>4369.9999999999991</v>
      </c>
      <c r="BD9" s="29">
        <f t="shared" si="2"/>
        <v>2190</v>
      </c>
      <c r="BE9" s="29">
        <f>(BB9-BB8)*INDEX([2]非r将兵属性验证!W$7:W$166,$BA9,1)+BE8</f>
        <v>490893448.69606161</v>
      </c>
      <c r="BF9" s="29">
        <f>(BC9-BC8)*INDEX([2]非r将兵属性验证!X$7:X$166,$BA9,1)+BF8</f>
        <v>490893448.69606161</v>
      </c>
      <c r="BG9" s="29">
        <f>(BD9-BD8)*INDEX([2]非r将兵属性验证!$AM$7:$AM$166,$BA9,1)+BG8</f>
        <v>6879803.0211049542</v>
      </c>
      <c r="BH9" s="10">
        <f t="shared" si="11"/>
        <v>988666700.41322815</v>
      </c>
      <c r="BI9" s="31">
        <f t="shared" si="12"/>
        <v>0.49652066615663831</v>
      </c>
      <c r="BJ9" s="31">
        <f t="shared" si="13"/>
        <v>0.49652066615663831</v>
      </c>
      <c r="BK9" s="31">
        <f t="shared" si="14"/>
        <v>6.9586676867233787E-3</v>
      </c>
      <c r="BO9" s="29">
        <f t="shared" si="9"/>
        <v>43.920692243099523</v>
      </c>
      <c r="BP9" s="10">
        <f t="shared" si="15"/>
        <v>23085870.202168889</v>
      </c>
      <c r="BQ9" s="10" t="e">
        <f>$BP9*求节点('[1]功能-付费相关'!$AY$6:$AY$165,'[1]功能-付费相关'!$AZ$6:$AZ$165,$BO9)+$BQ8</f>
        <v>#VALUE!</v>
      </c>
      <c r="BS9" s="29">
        <v>60</v>
      </c>
      <c r="BT9" s="29" t="e">
        <f t="shared" si="7"/>
        <v>#VALUE!</v>
      </c>
      <c r="BU9" s="29"/>
      <c r="BY9" s="5" t="e">
        <f>求节点('[1]资源-武将经验'!S$6:S$105,'[1]资源-武将经验'!R$6:R$105,Q9)/6</f>
        <v>#VALUE!</v>
      </c>
      <c r="BZ9" s="4">
        <f t="shared" si="16"/>
        <v>60</v>
      </c>
      <c r="CA9" s="4">
        <v>6</v>
      </c>
      <c r="CB9" s="90">
        <f t="shared" si="17"/>
        <v>260</v>
      </c>
      <c r="CC9" s="4">
        <f>SUM(CB$4:CB9)</f>
        <v>920</v>
      </c>
      <c r="CD9" s="4">
        <f t="shared" si="10"/>
        <v>1</v>
      </c>
    </row>
    <row r="10" spans="1:82" x14ac:dyDescent="0.15">
      <c r="A10" s="4">
        <v>440</v>
      </c>
      <c r="B10" s="14">
        <v>12</v>
      </c>
      <c r="C10" s="14">
        <f t="shared" si="18"/>
        <v>1440</v>
      </c>
      <c r="D10" s="14">
        <f>SUM(C$5:$C10)</f>
        <v>4040</v>
      </c>
      <c r="E10" s="89">
        <f>'[1]资源-武将经验'!$Z11</f>
        <v>0.74860411861226617</v>
      </c>
      <c r="F10" s="178"/>
      <c r="G10" s="14"/>
      <c r="P10" s="5">
        <v>10</v>
      </c>
      <c r="Q10" s="14">
        <f>基础状态预期!D23</f>
        <v>49.533352307096472</v>
      </c>
      <c r="R10" s="14">
        <f>IF(基础状态预期!U23="",0,求节点($B$5:$B$154,$D$5:$D$154,基础状态预期!U23)*基础状态预期!F23)</f>
        <v>0</v>
      </c>
      <c r="S10" s="14">
        <f>IF(基础状态预期!V23="",0,求节点($B$5:$B$154,$D$5:$D$154,基础状态预期!V23)*基础状态预期!G23)</f>
        <v>0</v>
      </c>
      <c r="T10" s="14">
        <f>IF(基础状态预期!W23="",0,求节点($B$5:$B$154,$D$5:$D$154,基础状态预期!W23)*基础状态预期!H23)</f>
        <v>0</v>
      </c>
      <c r="U10" s="14">
        <f>IF(基础状态预期!X23="",0,求节点($B$5:$B$154,$D$5:$D$154,基础状态预期!X23)*基础状态预期!I23)</f>
        <v>117550039.97305411</v>
      </c>
      <c r="V10" s="14">
        <f>IF(基础状态预期!Y23="",0,求节点($B$5:$B$154,$D$5:$D$154,基础状态预期!Y23)*基础状态预期!J23)</f>
        <v>0</v>
      </c>
      <c r="W10" s="14">
        <f t="shared" si="8"/>
        <v>117550039.97305411</v>
      </c>
      <c r="Y10" s="14" t="str">
        <f>IF(基础状态预期!U23="","",H$8+(基础状态预期!U23-1)*H$11)</f>
        <v/>
      </c>
      <c r="Z10" s="14" t="str">
        <f>IF(基础状态预期!V23="","",I$8+(基础状态预期!V23-1)*I$11)</f>
        <v/>
      </c>
      <c r="AA10" s="14" t="str">
        <f>IF(基础状态预期!W23="","",J$8+(基础状态预期!W23-1)*J$11)</f>
        <v/>
      </c>
      <c r="AB10" s="14">
        <f>IF(基础状态预期!X23="","",K$8+(基础状态预期!X23-1)*K$11)</f>
        <v>3742.0011384257882</v>
      </c>
      <c r="AC10" s="14" t="str">
        <f>IF(基础状态预期!Y23="","",L$8+(基础状态预期!Y23-1)*L$11)</f>
        <v/>
      </c>
      <c r="AD10" s="14">
        <f>SUMPRODUCT(Y10:AC10,基础状态预期!$F23:$J23)/SUM(基础状态预期!$F23:$J23)</f>
        <v>3742.0011384257882</v>
      </c>
      <c r="AE10" s="14" t="str">
        <f>IF(基础状态预期!U23="","",H$9+(基础状态预期!U23-1)*H$12)</f>
        <v/>
      </c>
      <c r="AF10" s="14" t="str">
        <f>IF(基础状态预期!V23="","",I$9+(基础状态预期!V23-1)*I$12)</f>
        <v/>
      </c>
      <c r="AG10" s="14" t="str">
        <f>IF(基础状态预期!W23="","",J$9+(基础状态预期!W23-1)*J$12)</f>
        <v/>
      </c>
      <c r="AH10" s="14">
        <f>IF(基础状态预期!X23="","",K$9+(基础状态预期!X23-1)*K$12)</f>
        <v>3742.0011384257882</v>
      </c>
      <c r="AI10" s="14" t="str">
        <f>IF(基础状态预期!Y23="","",L$9+(基础状态预期!Y23-1)*L$12)</f>
        <v/>
      </c>
      <c r="AJ10" s="14">
        <f>SUMPRODUCT(AE10:AI10,基础状态预期!$F23:$J23)/SUM(基础状态预期!$F23:$J23)</f>
        <v>3742.0011384257882</v>
      </c>
      <c r="AK10" s="14" t="str">
        <f>IF(基础状态预期!U23="","",H$27+(基础状态预期!U23-1)*H$28)</f>
        <v/>
      </c>
      <c r="AL10" s="14" t="str">
        <f>IF(基础状态预期!V23="","",I$27+(基础状态预期!V23-1)*I$28)</f>
        <v/>
      </c>
      <c r="AM10" s="14" t="str">
        <f>IF(基础状态预期!W23="","",J$27+(基础状态预期!W23-1)*J$28)</f>
        <v/>
      </c>
      <c r="AN10" s="14">
        <f>IF(基础状态预期!X23="","",K$27+(基础状态预期!X23-1)*K$28)</f>
        <v>1980.6670461419294</v>
      </c>
      <c r="AO10" s="14" t="str">
        <f>IF(基础状态预期!Y23="","",L$27+(基础状态预期!Y23-1)*L$28)</f>
        <v/>
      </c>
      <c r="AP10" s="14">
        <f>SUMPRODUCT(AK10:AO10,基础状态预期!$F23:$J23)/SUM(基础状态预期!$F23:$J23)</f>
        <v>1980.6670461419296</v>
      </c>
      <c r="AQ10" s="14" t="str">
        <f>IF(基础状态预期!U23="","",H$31+(基础状态预期!U23-1)*H$32)</f>
        <v/>
      </c>
      <c r="AR10" s="14" t="str">
        <f>IF(基础状态预期!V23="","",I$31+(基础状态预期!V23-1)*I$32)</f>
        <v/>
      </c>
      <c r="AS10" s="14" t="str">
        <f>IF(基础状态预期!W23="","",J$31+(基础状态预期!W23-1)*J$32)</f>
        <v/>
      </c>
      <c r="AT10" s="14">
        <f>IF(基础状态预期!X23="","",K$31+(基础状态预期!X23-1)*K$32)</f>
        <v>115.06670461419294</v>
      </c>
      <c r="AU10" s="14" t="str">
        <f>IF(基础状态预期!Y23="","",L$31+(基础状态预期!Y23-1)*L$32)</f>
        <v/>
      </c>
      <c r="AV10" s="14">
        <f>SUMPRODUCT(AQ10:AU10,基础状态预期!$F23:$J23)/SUM(基础状态预期!$F23:$J23)</f>
        <v>115.06670461419294</v>
      </c>
      <c r="BA10" s="29">
        <v>70</v>
      </c>
      <c r="BB10" s="29">
        <f t="shared" si="0"/>
        <v>4970</v>
      </c>
      <c r="BC10" s="29">
        <f t="shared" si="1"/>
        <v>4970</v>
      </c>
      <c r="BD10" s="29">
        <f t="shared" si="2"/>
        <v>2389.9999999999995</v>
      </c>
      <c r="BE10" s="29">
        <f>(BB10-BB9)*INDEX([2]非r将兵属性验证!W$7:W$166,$BA10,1)+BE9</f>
        <v>1008365539.4019206</v>
      </c>
      <c r="BF10" s="29">
        <f>(BC10-BC9)*INDEX([2]非r将兵属性验证!X$7:X$166,$BA10,1)+BF9</f>
        <v>1008365539.4019206</v>
      </c>
      <c r="BG10" s="29">
        <f>(BD10-BD9)*INDEX([2]非r将兵属性验证!$AM$7:$AM$166,$BA10,1)+BG9</f>
        <v>8130373.5239319243</v>
      </c>
      <c r="BH10" s="10">
        <f t="shared" si="11"/>
        <v>2024861452.3277731</v>
      </c>
      <c r="BI10" s="31">
        <f t="shared" si="12"/>
        <v>0.49799236300474153</v>
      </c>
      <c r="BJ10" s="31">
        <f t="shared" si="13"/>
        <v>0.49799236300474153</v>
      </c>
      <c r="BK10" s="31">
        <f t="shared" si="14"/>
        <v>4.0152739905168705E-3</v>
      </c>
      <c r="BO10" s="29">
        <f t="shared" si="9"/>
        <v>49.533352307096472</v>
      </c>
      <c r="BP10" s="10">
        <f t="shared" si="15"/>
        <v>58787569.770885222</v>
      </c>
      <c r="BQ10" s="10" t="e">
        <f>$BP10*求节点('[1]功能-付费相关'!$AY$6:$AY$165,'[1]功能-付费相关'!$AZ$6:$AZ$165,$BO10)+$BQ9</f>
        <v>#VALUE!</v>
      </c>
      <c r="BS10" s="29">
        <v>70</v>
      </c>
      <c r="BT10" s="29" t="e">
        <f t="shared" si="7"/>
        <v>#VALUE!</v>
      </c>
      <c r="BU10" s="29"/>
      <c r="BY10" s="5" t="e">
        <f>求节点('[1]资源-武将经验'!S$6:S$105,'[1]资源-武将经验'!R$6:R$105,Q10)/6</f>
        <v>#VALUE!</v>
      </c>
      <c r="BZ10" s="4">
        <f t="shared" si="16"/>
        <v>60</v>
      </c>
      <c r="CA10" s="4">
        <v>7</v>
      </c>
      <c r="CB10" s="90">
        <f t="shared" si="17"/>
        <v>320</v>
      </c>
      <c r="CC10" s="4">
        <f>SUM(CB$4:CB10)</f>
        <v>1240</v>
      </c>
      <c r="CD10" s="4">
        <f t="shared" si="10"/>
        <v>0.98412698412698407</v>
      </c>
    </row>
    <row r="11" spans="1:82" x14ac:dyDescent="0.15">
      <c r="A11" s="4">
        <v>560</v>
      </c>
      <c r="B11" s="14">
        <v>14</v>
      </c>
      <c r="C11" s="14">
        <f t="shared" si="18"/>
        <v>2000</v>
      </c>
      <c r="D11" s="14">
        <f>SUM(C$5:$C11)</f>
        <v>6040</v>
      </c>
      <c r="E11" s="89">
        <f>'[1]资源-武将经验'!$Z12</f>
        <v>0.84034347859536407</v>
      </c>
      <c r="F11" s="176" t="s">
        <v>205</v>
      </c>
      <c r="G11" s="14" t="s">
        <v>250</v>
      </c>
      <c r="H11" s="14">
        <v>30</v>
      </c>
      <c r="I11" s="14">
        <f>H11</f>
        <v>30</v>
      </c>
      <c r="J11" s="14">
        <f t="shared" ref="J11:L11" si="21">I11</f>
        <v>30</v>
      </c>
      <c r="K11" s="14">
        <f t="shared" si="21"/>
        <v>30</v>
      </c>
      <c r="L11" s="14">
        <f t="shared" si="21"/>
        <v>30</v>
      </c>
      <c r="P11" s="5">
        <v>11</v>
      </c>
      <c r="Q11" s="14">
        <f>基础状态预期!D24</f>
        <v>53.567039423670657</v>
      </c>
      <c r="R11" s="14">
        <f>IF(基础状态预期!U24="",0,求节点($B$5:$B$154,$D$5:$D$154,基础状态预期!U24)*基础状态预期!F24)</f>
        <v>0</v>
      </c>
      <c r="S11" s="14">
        <f>IF(基础状态预期!V24="",0,求节点($B$5:$B$154,$D$5:$D$154,基础状态预期!V24)*基础状态预期!G24)</f>
        <v>0</v>
      </c>
      <c r="T11" s="14">
        <f>IF(基础状态预期!W24="",0,求节点($B$5:$B$154,$D$5:$D$154,基础状态预期!W24)*基础状态预期!H24)</f>
        <v>0</v>
      </c>
      <c r="U11" s="14">
        <f>IF(基础状态预期!X24="",0,求节点($B$5:$B$154,$D$5:$D$154,基础状态预期!X24)*基础状态预期!I24)</f>
        <v>165657053.07700831</v>
      </c>
      <c r="V11" s="14">
        <f>IF(基础状态预期!Y24="",0,求节点($B$5:$B$154,$D$5:$D$154,基础状态预期!Y24)*基础状态预期!J24)</f>
        <v>33131410.615401663</v>
      </c>
      <c r="W11" s="14">
        <f t="shared" si="8"/>
        <v>198788463.69240996</v>
      </c>
      <c r="Y11" s="14" t="str">
        <f>IF(基础状态预期!U24="","",H$8+(基础状态预期!U24-1)*H$11)</f>
        <v/>
      </c>
      <c r="Z11" s="14" t="str">
        <f>IF(基础状态预期!V24="","",I$8+(基础状态预期!V24-1)*I$11)</f>
        <v/>
      </c>
      <c r="AA11" s="14" t="str">
        <f>IF(基础状态预期!W24="","",J$8+(基础状态预期!W24-1)*J$11)</f>
        <v/>
      </c>
      <c r="AB11" s="14">
        <f>IF(基础状态预期!X24="","",K$8+(基础状态预期!X24-1)*K$11)</f>
        <v>3984.0223654202396</v>
      </c>
      <c r="AC11" s="14">
        <f>IF(基础状态预期!Y24="","",L$8+(基础状态预期!Y24-1)*L$11)</f>
        <v>3984.0223654202396</v>
      </c>
      <c r="AD11" s="14">
        <f>SUMPRODUCT(Y11:AC11,基础状态预期!$F24:$J24)/SUM(基础状态预期!$F24:$J24)</f>
        <v>3984.0223654202396</v>
      </c>
      <c r="AE11" s="14" t="str">
        <f>IF(基础状态预期!U24="","",H$9+(基础状态预期!U24-1)*H$12)</f>
        <v/>
      </c>
      <c r="AF11" s="14" t="str">
        <f>IF(基础状态预期!V24="","",I$9+(基础状态预期!V24-1)*I$12)</f>
        <v/>
      </c>
      <c r="AG11" s="14" t="str">
        <f>IF(基础状态预期!W24="","",J$9+(基础状态预期!W24-1)*J$12)</f>
        <v/>
      </c>
      <c r="AH11" s="14">
        <f>IF(基础状态预期!X24="","",K$9+(基础状态预期!X24-1)*K$12)</f>
        <v>3984.0223654202396</v>
      </c>
      <c r="AI11" s="14">
        <f>IF(基础状态预期!Y24="","",L$9+(基础状态预期!Y24-1)*L$12)</f>
        <v>3984.0223654202396</v>
      </c>
      <c r="AJ11" s="14">
        <f>SUMPRODUCT(AE11:AI11,基础状态预期!$F24:$J24)/SUM(基础状态预期!$F24:$J24)</f>
        <v>3984.0223654202396</v>
      </c>
      <c r="AK11" s="14" t="str">
        <f>IF(基础状态预期!U24="","",H$27+(基础状态预期!U24-1)*H$28)</f>
        <v/>
      </c>
      <c r="AL11" s="14" t="str">
        <f>IF(基础状态预期!V24="","",I$27+(基础状态预期!V24-1)*I$28)</f>
        <v/>
      </c>
      <c r="AM11" s="14" t="str">
        <f>IF(基础状态预期!W24="","",J$27+(基础状态预期!W24-1)*J$28)</f>
        <v/>
      </c>
      <c r="AN11" s="14">
        <f>IF(基础状态预期!X24="","",K$27+(基础状态预期!X24-1)*K$28)</f>
        <v>2061.3407884734133</v>
      </c>
      <c r="AO11" s="14">
        <f>IF(基础状态预期!Y24="","",L$27+(基础状态预期!Y24-1)*L$28)</f>
        <v>2061.3407884734133</v>
      </c>
      <c r="AP11" s="14">
        <f>SUMPRODUCT(AK11:AO11,基础状态预期!$F24:$J24)/SUM(基础状态预期!$F24:$J24)</f>
        <v>2061.3407884734133</v>
      </c>
      <c r="AQ11" s="14" t="str">
        <f>IF(基础状态预期!U24="","",H$31+(基础状态预期!U24-1)*H$32)</f>
        <v/>
      </c>
      <c r="AR11" s="14" t="str">
        <f>IF(基础状态预期!V24="","",I$31+(基础状态预期!V24-1)*I$32)</f>
        <v/>
      </c>
      <c r="AS11" s="14" t="str">
        <f>IF(基础状态预期!W24="","",J$31+(基础状态预期!W24-1)*J$32)</f>
        <v/>
      </c>
      <c r="AT11" s="14">
        <f>IF(基础状态预期!X24="","",K$31+(基础状态预期!X24-1)*K$32)</f>
        <v>123.13407884734131</v>
      </c>
      <c r="AU11" s="14">
        <f>IF(基础状态预期!Y24="","",L$31+(基础状态预期!Y24-1)*L$32)</f>
        <v>126.13407884734131</v>
      </c>
      <c r="AV11" s="14">
        <f>SUMPRODUCT(AQ11:AU11,基础状态预期!$F24:$J24)/SUM(基础状态预期!$F24:$J24)</f>
        <v>123.63407884734131</v>
      </c>
      <c r="BA11" s="29">
        <v>80</v>
      </c>
      <c r="BB11" s="29">
        <f t="shared" si="0"/>
        <v>5570</v>
      </c>
      <c r="BC11" s="29">
        <f t="shared" si="1"/>
        <v>5570</v>
      </c>
      <c r="BD11" s="29">
        <f t="shared" si="2"/>
        <v>2590</v>
      </c>
      <c r="BE11" s="29">
        <f>(BB11-BB10)*INDEX([2]非r将兵属性验证!W$7:W$166,$BA11,1)+BE10</f>
        <v>2027844606.7669587</v>
      </c>
      <c r="BF11" s="29">
        <f>(BC11-BC10)*INDEX([2]非r将兵属性验证!X$7:X$166,$BA11,1)+BF10</f>
        <v>2027844606.7669587</v>
      </c>
      <c r="BG11" s="29">
        <f>(BD11-BD10)*INDEX([2]非r将兵属性验证!$AM$7:$AM$166,$BA11,1)+BG10</f>
        <v>9514902.8364075944</v>
      </c>
      <c r="BH11" s="10">
        <f t="shared" si="11"/>
        <v>4065204116.3703251</v>
      </c>
      <c r="BI11" s="31">
        <f t="shared" si="12"/>
        <v>0.49882971401139592</v>
      </c>
      <c r="BJ11" s="31">
        <f t="shared" si="13"/>
        <v>0.49882971401139592</v>
      </c>
      <c r="BK11" s="31">
        <f t="shared" si="14"/>
        <v>2.3405719772081482E-3</v>
      </c>
      <c r="BO11" s="29">
        <f t="shared" si="9"/>
        <v>53.567039423670657</v>
      </c>
      <c r="BP11" s="10">
        <f t="shared" si="15"/>
        <v>81238423.719355851</v>
      </c>
      <c r="BQ11" s="10" t="e">
        <f>$BP11*求节点('[1]功能-付费相关'!$AY$6:$AY$165,'[1]功能-付费相关'!$AZ$6:$AZ$165,$BO11)+$BQ10</f>
        <v>#VALUE!</v>
      </c>
      <c r="BS11" s="29">
        <v>80</v>
      </c>
      <c r="BT11" s="29" t="e">
        <f t="shared" si="7"/>
        <v>#VALUE!</v>
      </c>
      <c r="BU11" s="29"/>
      <c r="BY11" s="5" t="e">
        <f>求节点('[1]资源-武将经验'!S$6:S$105,'[1]资源-武将经验'!R$6:R$105,Q11)/6</f>
        <v>#VALUE!</v>
      </c>
      <c r="BZ11" s="4">
        <f t="shared" si="16"/>
        <v>80</v>
      </c>
      <c r="CA11" s="4">
        <v>8</v>
      </c>
      <c r="CB11" s="90">
        <f t="shared" si="17"/>
        <v>400</v>
      </c>
      <c r="CC11" s="4">
        <f>SUM(CB$4:CB11)</f>
        <v>1640</v>
      </c>
      <c r="CD11" s="4">
        <f t="shared" si="10"/>
        <v>1.0249999999999999</v>
      </c>
    </row>
    <row r="12" spans="1:82" x14ac:dyDescent="0.15">
      <c r="A12" s="4">
        <v>680</v>
      </c>
      <c r="B12" s="14">
        <v>16</v>
      </c>
      <c r="C12" s="14">
        <f t="shared" si="18"/>
        <v>2680</v>
      </c>
      <c r="D12" s="14">
        <f>SUM(C$5:$C12)</f>
        <v>8720</v>
      </c>
      <c r="E12" s="89">
        <f>'[1]资源-武将经验'!$Z13</f>
        <v>0.9309758996431704</v>
      </c>
      <c r="F12" s="177"/>
      <c r="G12" s="14" t="s">
        <v>251</v>
      </c>
      <c r="H12" s="14">
        <f>H11</f>
        <v>30</v>
      </c>
      <c r="I12" s="14">
        <f t="shared" ref="I12:L12" si="22">I11</f>
        <v>30</v>
      </c>
      <c r="J12" s="14">
        <f t="shared" si="22"/>
        <v>30</v>
      </c>
      <c r="K12" s="14">
        <f t="shared" si="22"/>
        <v>30</v>
      </c>
      <c r="L12" s="14">
        <f t="shared" si="22"/>
        <v>30</v>
      </c>
      <c r="P12" s="5">
        <v>12</v>
      </c>
      <c r="Q12" s="14">
        <f>基础状态预期!D25</f>
        <v>59.300028460644697</v>
      </c>
      <c r="R12" s="14">
        <f>IF(基础状态预期!U25="",0,求节点($B$5:$B$154,$D$5:$D$154,基础状态预期!U25)*基础状态预期!F25)</f>
        <v>0</v>
      </c>
      <c r="S12" s="14">
        <f>IF(基础状态预期!V25="",0,求节点($B$5:$B$154,$D$5:$D$154,基础状态预期!V25)*基础状态预期!G25)</f>
        <v>0</v>
      </c>
      <c r="T12" s="14">
        <f>IF(基础状态预期!W25="",0,求节点($B$5:$B$154,$D$5:$D$154,基础状态预期!W25)*基础状态预期!H25)</f>
        <v>0</v>
      </c>
      <c r="U12" s="14">
        <f>IF(基础状态预期!X25="",0,求节点($B$5:$B$154,$D$5:$D$154,基础状态预期!X25)*基础状态预期!I25)</f>
        <v>296399989.86842936</v>
      </c>
      <c r="V12" s="14">
        <f>IF(基础状态预期!Y25="",0,求节点($B$5:$B$154,$D$5:$D$154,基础状态预期!Y25)*基础状态预期!J25)</f>
        <v>148199994.93421468</v>
      </c>
      <c r="W12" s="14">
        <f t="shared" si="8"/>
        <v>444599984.80264401</v>
      </c>
      <c r="Y12" s="14" t="str">
        <f>IF(基础状态预期!U25="","",H$8+(基础状态预期!U25-1)*H$11)</f>
        <v/>
      </c>
      <c r="Z12" s="14" t="str">
        <f>IF(基础状态预期!V25="","",I$8+(基础状态预期!V25-1)*I$11)</f>
        <v/>
      </c>
      <c r="AA12" s="14" t="str">
        <f>IF(基础状态预期!W25="","",J$8+(基础状态预期!W25-1)*J$11)</f>
        <v/>
      </c>
      <c r="AB12" s="14">
        <f>IF(基础状态预期!X25="","",K$8+(基础状态预期!X25-1)*K$11)</f>
        <v>4328.0017076386812</v>
      </c>
      <c r="AC12" s="14">
        <f>IF(基础状态预期!Y25="","",L$8+(基础状态预期!Y25-1)*L$11)</f>
        <v>4328.0017076386812</v>
      </c>
      <c r="AD12" s="14">
        <f>SUMPRODUCT(Y12:AC12,基础状态预期!$F25:$J25)/SUM(基础状态预期!$F25:$J25)</f>
        <v>4328.0017076386812</v>
      </c>
      <c r="AE12" s="14" t="str">
        <f>IF(基础状态预期!U25="","",H$9+(基础状态预期!U25-1)*H$12)</f>
        <v/>
      </c>
      <c r="AF12" s="14" t="str">
        <f>IF(基础状态预期!V25="","",I$9+(基础状态预期!V25-1)*I$12)</f>
        <v/>
      </c>
      <c r="AG12" s="14" t="str">
        <f>IF(基础状态预期!W25="","",J$9+(基础状态预期!W25-1)*J$12)</f>
        <v/>
      </c>
      <c r="AH12" s="14">
        <f>IF(基础状态预期!X25="","",K$9+(基础状态预期!X25-1)*K$12)</f>
        <v>4328.0017076386812</v>
      </c>
      <c r="AI12" s="14">
        <f>IF(基础状态预期!Y25="","",L$9+(基础状态预期!Y25-1)*L$12)</f>
        <v>4328.0017076386812</v>
      </c>
      <c r="AJ12" s="14">
        <f>SUMPRODUCT(AE12:AI12,基础状态预期!$F25:$J25)/SUM(基础状态预期!$F25:$J25)</f>
        <v>4328.0017076386812</v>
      </c>
      <c r="AK12" s="14" t="str">
        <f>IF(基础状态预期!U25="","",H$27+(基础状态预期!U25-1)*H$28)</f>
        <v/>
      </c>
      <c r="AL12" s="14" t="str">
        <f>IF(基础状态预期!V25="","",I$27+(基础状态预期!V25-1)*I$28)</f>
        <v/>
      </c>
      <c r="AM12" s="14" t="str">
        <f>IF(基础状态预期!W25="","",J$27+(基础状态预期!W25-1)*J$28)</f>
        <v/>
      </c>
      <c r="AN12" s="14">
        <f>IF(基础状态预期!X25="","",K$27+(基础状态预期!X25-1)*K$28)</f>
        <v>2176.0005692128939</v>
      </c>
      <c r="AO12" s="14">
        <f>IF(基础状态预期!Y25="","",L$27+(基础状态预期!Y25-1)*L$28)</f>
        <v>2176.0005692128939</v>
      </c>
      <c r="AP12" s="14">
        <f>SUMPRODUCT(AK12:AO12,基础状态预期!$F25:$J25)/SUM(基础状态预期!$F25:$J25)</f>
        <v>2176.0005692128939</v>
      </c>
      <c r="AQ12" s="14" t="str">
        <f>IF(基础状态预期!U25="","",H$31+(基础状态预期!U25-1)*H$32)</f>
        <v/>
      </c>
      <c r="AR12" s="14" t="str">
        <f>IF(基础状态预期!V25="","",I$31+(基础状态预期!V25-1)*I$32)</f>
        <v/>
      </c>
      <c r="AS12" s="14" t="str">
        <f>IF(基础状态预期!W25="","",J$31+(基础状态预期!W25-1)*J$32)</f>
        <v/>
      </c>
      <c r="AT12" s="14">
        <f>IF(基础状态预期!X25="","",K$31+(基础状态预期!X25-1)*K$32)</f>
        <v>134.60005692128939</v>
      </c>
      <c r="AU12" s="14">
        <f>IF(基础状态预期!Y25="","",L$31+(基础状态预期!Y25-1)*L$32)</f>
        <v>137.60005692128939</v>
      </c>
      <c r="AV12" s="14">
        <f>SUMPRODUCT(AQ12:AU12,基础状态预期!$F25:$J25)/SUM(基础状态预期!$F25:$J25)</f>
        <v>135.60005692128939</v>
      </c>
      <c r="BA12" s="29">
        <v>90</v>
      </c>
      <c r="BB12" s="29">
        <f t="shared" si="0"/>
        <v>6170</v>
      </c>
      <c r="BC12" s="29">
        <f t="shared" si="1"/>
        <v>6170</v>
      </c>
      <c r="BD12" s="29">
        <f t="shared" si="2"/>
        <v>2790</v>
      </c>
      <c r="BE12" s="29">
        <f>(BB12-BB11)*INDEX([2]非r将兵属性验证!W$7:W$166,$BA12,1)+BE11</f>
        <v>3949774025.0834389</v>
      </c>
      <c r="BF12" s="29">
        <f>(BC12-BC11)*INDEX([2]非r将兵属性验证!X$7:X$166,$BA12,1)+BF11</f>
        <v>3949774025.0834389</v>
      </c>
      <c r="BG12" s="29">
        <f>(BD12-BD11)*INDEX([2]非r将兵属性验证!$AM$7:$AM$166,$BA12,1)+BG11</f>
        <v>11033757.419211503</v>
      </c>
      <c r="BH12" s="10">
        <f t="shared" si="11"/>
        <v>7910581807.5860891</v>
      </c>
      <c r="BI12" s="31">
        <f t="shared" si="12"/>
        <v>0.49930259507533126</v>
      </c>
      <c r="BJ12" s="31">
        <f t="shared" si="13"/>
        <v>0.49930259507533126</v>
      </c>
      <c r="BK12" s="31">
        <f t="shared" si="14"/>
        <v>1.3948098493375483E-3</v>
      </c>
      <c r="BO12" s="29">
        <f t="shared" si="9"/>
        <v>59.300028460644697</v>
      </c>
      <c r="BP12" s="10">
        <f t="shared" si="15"/>
        <v>245811521.11023405</v>
      </c>
      <c r="BQ12" s="10" t="e">
        <f>$BP12*求节点('[1]功能-付费相关'!$AY$6:$AY$165,'[1]功能-付费相关'!$AZ$6:$AZ$165,$BO12)+$BQ11</f>
        <v>#VALUE!</v>
      </c>
      <c r="BS12" s="29">
        <v>90</v>
      </c>
      <c r="BT12" s="29" t="e">
        <f t="shared" si="7"/>
        <v>#VALUE!</v>
      </c>
      <c r="BU12" s="29"/>
      <c r="BY12" s="5" t="e">
        <f>求节点('[1]资源-武将经验'!S$6:S$105,'[1]资源-武将经验'!R$6:R$105,Q12)/6</f>
        <v>#VALUE!</v>
      </c>
      <c r="BZ12" s="4">
        <f t="shared" si="16"/>
        <v>80</v>
      </c>
      <c r="CA12" s="4">
        <v>9</v>
      </c>
      <c r="CB12" s="90">
        <f t="shared" si="17"/>
        <v>480</v>
      </c>
      <c r="CC12" s="4">
        <f>SUM(CB$4:CB12)</f>
        <v>2120</v>
      </c>
      <c r="CD12" s="4">
        <f t="shared" si="10"/>
        <v>1.0095238095238095</v>
      </c>
    </row>
    <row r="13" spans="1:82" x14ac:dyDescent="0.15">
      <c r="A13" s="4">
        <v>800</v>
      </c>
      <c r="B13" s="14">
        <v>18</v>
      </c>
      <c r="C13" s="14">
        <f t="shared" si="18"/>
        <v>3480</v>
      </c>
      <c r="D13" s="14">
        <f>SUM(C$5:$C13)</f>
        <v>12200</v>
      </c>
      <c r="E13" s="89">
        <f>'[1]资源-武将经验'!$Z14</f>
        <v>1.0582034734016854</v>
      </c>
      <c r="F13" s="178"/>
      <c r="G13" s="14"/>
      <c r="H13" s="14"/>
      <c r="I13" s="14"/>
      <c r="J13" s="14"/>
      <c r="K13" s="14"/>
      <c r="L13" s="14"/>
      <c r="P13" s="5">
        <v>13</v>
      </c>
      <c r="Q13" s="14">
        <f>基础状态预期!D26</f>
        <v>65.075479910097457</v>
      </c>
      <c r="R13" s="14">
        <f>IF(基础状态预期!U26="",0,求节点($B$5:$B$154,$D$5:$D$154,基础状态预期!U26)*基础状态预期!F26)</f>
        <v>0</v>
      </c>
      <c r="S13" s="14">
        <f>IF(基础状态预期!V26="",0,求节点($B$5:$B$154,$D$5:$D$154,基础状态预期!V26)*基础状态预期!G26)</f>
        <v>0</v>
      </c>
      <c r="T13" s="14">
        <f>IF(基础状态预期!W26="",0,求节点($B$5:$B$154,$D$5:$D$154,基础状态预期!W26)*基础状态预期!H26)</f>
        <v>0</v>
      </c>
      <c r="U13" s="14">
        <f>IF(基础状态预期!X26="",0,求节点($B$5:$B$154,$D$5:$D$154,基础状态预期!X26)*基础状态预期!I26)</f>
        <v>529534319.31315756</v>
      </c>
      <c r="V13" s="14">
        <f>IF(基础状态预期!Y26="",0,求节点($B$5:$B$154,$D$5:$D$154,基础状态预期!Y26)*基础状态预期!J26)</f>
        <v>529534319.31315756</v>
      </c>
      <c r="W13" s="14">
        <f t="shared" si="8"/>
        <v>1059068638.6263151</v>
      </c>
      <c r="Y13" s="14" t="str">
        <f>IF(基础状态预期!U26="","",H$8+(基础状态预期!U26-1)*H$11)</f>
        <v/>
      </c>
      <c r="Z13" s="14" t="str">
        <f>IF(基础状态预期!V26="","",I$8+(基础状态预期!V26-1)*I$11)</f>
        <v/>
      </c>
      <c r="AA13" s="14" t="str">
        <f>IF(基础状态预期!W26="","",J$8+(基础状态预期!W26-1)*J$11)</f>
        <v/>
      </c>
      <c r="AB13" s="14">
        <f>IF(基础状态预期!X26="","",K$8+(基础状态预期!X26-1)*K$11)</f>
        <v>4674.528794605847</v>
      </c>
      <c r="AC13" s="14">
        <f>IF(基础状态预期!Y26="","",L$8+(基础状态预期!Y26-1)*L$11)</f>
        <v>4674.528794605847</v>
      </c>
      <c r="AD13" s="14">
        <f>SUMPRODUCT(Y13:AC13,基础状态预期!$F26:$J26)/SUM(基础状态预期!$F26:$J26)</f>
        <v>4674.528794605847</v>
      </c>
      <c r="AE13" s="14" t="str">
        <f>IF(基础状态预期!U26="","",H$9+(基础状态预期!U26-1)*H$12)</f>
        <v/>
      </c>
      <c r="AF13" s="14" t="str">
        <f>IF(基础状态预期!V26="","",I$9+(基础状态预期!V26-1)*I$12)</f>
        <v/>
      </c>
      <c r="AG13" s="14" t="str">
        <f>IF(基础状态预期!W26="","",J$9+(基础状态预期!W26-1)*J$12)</f>
        <v/>
      </c>
      <c r="AH13" s="14">
        <f>IF(基础状态预期!X26="","",K$9+(基础状态预期!X26-1)*K$12)</f>
        <v>4674.528794605847</v>
      </c>
      <c r="AI13" s="14">
        <f>IF(基础状态预期!Y26="","",L$9+(基础状态预期!Y26-1)*L$12)</f>
        <v>4674.528794605847</v>
      </c>
      <c r="AJ13" s="14">
        <f>SUMPRODUCT(AE13:AI13,基础状态预期!$F26:$J26)/SUM(基础状态预期!$F26:$J26)</f>
        <v>4674.528794605847</v>
      </c>
      <c r="AK13" s="14" t="str">
        <f>IF(基础状态预期!U26="","",H$27+(基础状态预期!U26-1)*H$28)</f>
        <v/>
      </c>
      <c r="AL13" s="14" t="str">
        <f>IF(基础状态预期!V26="","",I$27+(基础状态预期!V26-1)*I$28)</f>
        <v/>
      </c>
      <c r="AM13" s="14" t="str">
        <f>IF(基础状态预期!W26="","",J$27+(基础状态预期!W26-1)*J$28)</f>
        <v/>
      </c>
      <c r="AN13" s="14">
        <f>IF(基础状态预期!X26="","",K$27+(基础状态预期!X26-1)*K$28)</f>
        <v>2291.5095982019493</v>
      </c>
      <c r="AO13" s="14">
        <f>IF(基础状态预期!Y26="","",L$27+(基础状态预期!Y26-1)*L$28)</f>
        <v>2291.5095982019493</v>
      </c>
      <c r="AP13" s="14">
        <f>SUMPRODUCT(AK13:AO13,基础状态预期!$F26:$J26)/SUM(基础状态预期!$F26:$J26)</f>
        <v>2291.5095982019493</v>
      </c>
      <c r="AQ13" s="14" t="str">
        <f>IF(基础状态预期!U26="","",H$31+(基础状态预期!U26-1)*H$32)</f>
        <v/>
      </c>
      <c r="AR13" s="14" t="str">
        <f>IF(基础状态预期!V26="","",I$31+(基础状态预期!V26-1)*I$32)</f>
        <v/>
      </c>
      <c r="AS13" s="14" t="str">
        <f>IF(基础状态预期!W26="","",J$31+(基础状态预期!W26-1)*J$32)</f>
        <v/>
      </c>
      <c r="AT13" s="14">
        <f>IF(基础状态预期!X26="","",K$31+(基础状态预期!X26-1)*K$32)</f>
        <v>146.15095982019491</v>
      </c>
      <c r="AU13" s="14">
        <f>IF(基础状态预期!Y26="","",L$31+(基础状态预期!Y26-1)*L$32)</f>
        <v>149.15095982019491</v>
      </c>
      <c r="AV13" s="14">
        <f>SUMPRODUCT(AQ13:AU13,基础状态预期!$F26:$J26)/SUM(基础状态预期!$F26:$J26)</f>
        <v>147.65095982019491</v>
      </c>
      <c r="BA13" s="29">
        <v>100</v>
      </c>
      <c r="BB13" s="29">
        <f t="shared" si="0"/>
        <v>6770</v>
      </c>
      <c r="BC13" s="29">
        <f t="shared" si="1"/>
        <v>6770</v>
      </c>
      <c r="BD13" s="29">
        <f t="shared" si="2"/>
        <v>2990</v>
      </c>
      <c r="BE13" s="29">
        <f>(BB13-BB12)*INDEX([2]非r将兵属性验证!W$7:W$166,$BA13,1)+BE12</f>
        <v>7376066230.070425</v>
      </c>
      <c r="BF13" s="29">
        <f>(BC13-BC12)*INDEX([2]非r将兵属性验证!X$7:X$166,$BA13,1)+BF12</f>
        <v>7376066230.070425</v>
      </c>
      <c r="BG13" s="29">
        <f>(BD13-BD12)*INDEX([2]非r将兵属性验证!$AM$7:$AM$166,$BA13,1)+BG12</f>
        <v>12686625.951655896</v>
      </c>
      <c r="BH13" s="10">
        <f t="shared" si="11"/>
        <v>14764819086.092506</v>
      </c>
      <c r="BI13" s="31">
        <f t="shared" si="12"/>
        <v>0.49957037651874764</v>
      </c>
      <c r="BJ13" s="31">
        <f t="shared" si="13"/>
        <v>0.49957037651874764</v>
      </c>
      <c r="BK13" s="31">
        <f t="shared" si="14"/>
        <v>8.5924696250466541E-4</v>
      </c>
      <c r="BO13" s="29">
        <f t="shared" si="9"/>
        <v>65.075479910097457</v>
      </c>
      <c r="BP13" s="10">
        <f t="shared" si="15"/>
        <v>614468653.8236711</v>
      </c>
      <c r="BQ13" s="10" t="e">
        <f>$BP13*求节点('[1]功能-付费相关'!$AY$6:$AY$165,'[1]功能-付费相关'!$AZ$6:$AZ$165,$BO13)+$BQ12</f>
        <v>#VALUE!</v>
      </c>
      <c r="BS13" s="29">
        <v>100</v>
      </c>
      <c r="BT13" s="29" t="e">
        <f t="shared" si="7"/>
        <v>#VALUE!</v>
      </c>
      <c r="BU13" s="29"/>
      <c r="BY13" s="5" t="e">
        <f>求节点('[1]资源-武将经验'!S$6:S$105,'[1]资源-武将经验'!R$6:R$105,Q13)/6</f>
        <v>#VALUE!</v>
      </c>
      <c r="BZ13" s="4">
        <f t="shared" si="16"/>
        <v>110</v>
      </c>
      <c r="CA13" s="4">
        <v>10</v>
      </c>
      <c r="CB13" s="90">
        <f t="shared" si="17"/>
        <v>590</v>
      </c>
      <c r="CC13" s="4">
        <f>SUM(CB$4:CB13)</f>
        <v>2710</v>
      </c>
      <c r="CD13" s="4">
        <f t="shared" si="10"/>
        <v>1.0423076923076924</v>
      </c>
    </row>
    <row r="14" spans="1:82" x14ac:dyDescent="0.15">
      <c r="A14" s="4">
        <v>920</v>
      </c>
      <c r="B14" s="14">
        <v>20</v>
      </c>
      <c r="C14" s="14">
        <f t="shared" si="18"/>
        <v>4400</v>
      </c>
      <c r="D14" s="14">
        <f>SUM(C$5:$C14)</f>
        <v>16600</v>
      </c>
      <c r="E14" s="89">
        <f>'[1]资源-武将经验'!$Z15</f>
        <v>1.2085933841283347</v>
      </c>
      <c r="P14" s="5">
        <v>14</v>
      </c>
      <c r="Q14" s="14">
        <f>基础状态预期!D27</f>
        <v>69.18336653741882</v>
      </c>
      <c r="R14" s="14">
        <f>IF(基础状态预期!U27="",0,求节点($B$5:$B$154,$D$5:$D$154,基础状态预期!U27)*基础状态预期!F27)</f>
        <v>0</v>
      </c>
      <c r="S14" s="14">
        <f>IF(基础状态预期!V27="",0,求节点($B$5:$B$154,$D$5:$D$154,基础状态预期!V27)*基础状态预期!G27)</f>
        <v>0</v>
      </c>
      <c r="T14" s="14">
        <f>IF(基础状态预期!W27="",0,求节点($B$5:$B$154,$D$5:$D$154,基础状态预期!W27)*基础状态预期!H27)</f>
        <v>0</v>
      </c>
      <c r="U14" s="14">
        <f>IF(基础状态预期!X27="",0,求节点($B$5:$B$154,$D$5:$D$154,基础状态预期!X27)*基础状态预期!I27)</f>
        <v>671910591.31360626</v>
      </c>
      <c r="V14" s="14">
        <f>IF(基础状态预期!Y27="",0,求节点($B$5:$B$154,$D$5:$D$154,基础状态预期!Y27)*基础状态预期!J27)</f>
        <v>1343821182.6272125</v>
      </c>
      <c r="W14" s="14">
        <f t="shared" si="8"/>
        <v>2015731773.9408188</v>
      </c>
      <c r="Y14" s="14" t="str">
        <f>IF(基础状态预期!U27="","",H$8+(基础状态预期!U27-1)*H$11)</f>
        <v/>
      </c>
      <c r="Z14" s="14" t="str">
        <f>IF(基础状态预期!V27="","",I$8+(基础状态预期!V27-1)*I$11)</f>
        <v/>
      </c>
      <c r="AA14" s="14" t="str">
        <f>IF(基础状态预期!W27="","",J$8+(基础状态预期!W27-1)*J$11)</f>
        <v/>
      </c>
      <c r="AB14" s="14">
        <f>IF(基础状态预期!X27="","",K$8+(基础状态预期!X27-1)*K$11)</f>
        <v>4921.0019922451293</v>
      </c>
      <c r="AC14" s="14">
        <f>IF(基础状态预期!Y27="","",L$8+(基础状态预期!Y27-1)*L$11)</f>
        <v>4921.0019922451293</v>
      </c>
      <c r="AD14" s="14">
        <f>SUMPRODUCT(Y14:AC14,基础状态预期!$F27:$J27)/SUM(基础状态预期!$F27:$J27)</f>
        <v>4921.0019922451293</v>
      </c>
      <c r="AE14" s="14" t="str">
        <f>IF(基础状态预期!U27="","",H$9+(基础状态预期!U27-1)*H$12)</f>
        <v/>
      </c>
      <c r="AF14" s="14" t="str">
        <f>IF(基础状态预期!V27="","",I$9+(基础状态预期!V27-1)*I$12)</f>
        <v/>
      </c>
      <c r="AG14" s="14" t="str">
        <f>IF(基础状态预期!W27="","",J$9+(基础状态预期!W27-1)*J$12)</f>
        <v/>
      </c>
      <c r="AH14" s="14">
        <f>IF(基础状态预期!X27="","",K$9+(基础状态预期!X27-1)*K$12)</f>
        <v>4921.0019922451293</v>
      </c>
      <c r="AI14" s="14">
        <f>IF(基础状态预期!Y27="","",L$9+(基础状态预期!Y27-1)*L$12)</f>
        <v>4921.0019922451293</v>
      </c>
      <c r="AJ14" s="14">
        <f>SUMPRODUCT(AE14:AI14,基础状态预期!$F27:$J27)/SUM(基础状态预期!$F27:$J27)</f>
        <v>4921.0019922451293</v>
      </c>
      <c r="AK14" s="14" t="str">
        <f>IF(基础状态预期!U27="","",H$27+(基础状态预期!U27-1)*H$28)</f>
        <v/>
      </c>
      <c r="AL14" s="14" t="str">
        <f>IF(基础状态预期!V27="","",I$27+(基础状态预期!V27-1)*I$28)</f>
        <v/>
      </c>
      <c r="AM14" s="14" t="str">
        <f>IF(基础状态预期!W27="","",J$27+(基础状态预期!W27-1)*J$28)</f>
        <v/>
      </c>
      <c r="AN14" s="14">
        <f>IF(基础状态预期!X27="","",K$27+(基础状态预期!X27-1)*K$28)</f>
        <v>2373.6673307483761</v>
      </c>
      <c r="AO14" s="14">
        <f>IF(基础状态预期!Y27="","",L$27+(基础状态预期!Y27-1)*L$28)</f>
        <v>2373.6673307483761</v>
      </c>
      <c r="AP14" s="14">
        <f>SUMPRODUCT(AK14:AO14,基础状态预期!$F27:$J27)/SUM(基础状态预期!$F27:$J27)</f>
        <v>2373.6673307483761</v>
      </c>
      <c r="AQ14" s="14" t="str">
        <f>IF(基础状态预期!U27="","",H$31+(基础状态预期!U27-1)*H$32)</f>
        <v/>
      </c>
      <c r="AR14" s="14" t="str">
        <f>IF(基础状态预期!V27="","",I$31+(基础状态预期!V27-1)*I$32)</f>
        <v/>
      </c>
      <c r="AS14" s="14" t="str">
        <f>IF(基础状态预期!W27="","",J$31+(基础状态预期!W27-1)*J$32)</f>
        <v/>
      </c>
      <c r="AT14" s="14">
        <f>IF(基础状态预期!X27="","",K$31+(基础状态预期!X27-1)*K$32)</f>
        <v>154.36673307483764</v>
      </c>
      <c r="AU14" s="14">
        <f>IF(基础状态预期!Y27="","",L$31+(基础状态预期!Y27-1)*L$32)</f>
        <v>157.36673307483764</v>
      </c>
      <c r="AV14" s="14">
        <f>SUMPRODUCT(AQ14:AU14,基础状态预期!$F27:$J27)/SUM(基础状态预期!$F27:$J27)</f>
        <v>156.36673307483764</v>
      </c>
      <c r="BA14" s="29">
        <v>110</v>
      </c>
      <c r="BB14" s="29">
        <f t="shared" si="0"/>
        <v>7370</v>
      </c>
      <c r="BC14" s="29">
        <f t="shared" si="1"/>
        <v>7370</v>
      </c>
      <c r="BD14" s="29">
        <f t="shared" si="2"/>
        <v>3190</v>
      </c>
      <c r="BE14" s="29">
        <f>(BB14-BB13)*INDEX([2]非r将兵属性验证!W$7:W$166,$BA14,1)+BE13</f>
        <v>12937414268.140957</v>
      </c>
      <c r="BF14" s="29">
        <f>(BC14-BC13)*INDEX([2]非r将兵属性验证!X$7:X$166,$BA14,1)+BF13</f>
        <v>12937414268.140957</v>
      </c>
      <c r="BG14" s="29">
        <f>(BD14-BD13)*INDEX([2]非r将兵属性验证!$AM$7:$AM$166,$BA14,1)+BG13</f>
        <v>14473809.880159689</v>
      </c>
      <c r="BH14" s="10">
        <f t="shared" si="11"/>
        <v>25889302346.162075</v>
      </c>
      <c r="BI14" s="31">
        <f t="shared" si="12"/>
        <v>0.4997204673635729</v>
      </c>
      <c r="BJ14" s="31">
        <f t="shared" si="13"/>
        <v>0.4997204673635729</v>
      </c>
      <c r="BK14" s="31">
        <f t="shared" si="14"/>
        <v>5.5906527285411146E-4</v>
      </c>
      <c r="BO14" s="29">
        <f t="shared" si="9"/>
        <v>69.18336653741882</v>
      </c>
      <c r="BP14" s="10">
        <f t="shared" si="15"/>
        <v>956663135.31450367</v>
      </c>
      <c r="BQ14" s="10" t="e">
        <f>$BP14*求节点('[1]功能-付费相关'!$AY$6:$AY$165,'[1]功能-付费相关'!$AZ$6:$AZ$165,$BO14)+$BQ13</f>
        <v>#VALUE!</v>
      </c>
      <c r="BS14" s="29">
        <v>110</v>
      </c>
      <c r="BT14" s="29" t="e">
        <f t="shared" ref="BT14:BT19" si="23">求节点($BO$4:$BO$42,BQ$4:BQ$42,$BS14)</f>
        <v>#VALUE!</v>
      </c>
      <c r="BU14" s="29"/>
      <c r="BY14" s="5" t="e">
        <f>求节点('[1]资源-武将经验'!S$6:S$105,'[1]资源-武将经验'!R$6:R$105,Q14)/6</f>
        <v>#VALUE!</v>
      </c>
      <c r="BZ14" s="4">
        <f t="shared" si="16"/>
        <v>110</v>
      </c>
      <c r="CA14" s="4">
        <v>11</v>
      </c>
      <c r="CB14" s="90">
        <f t="shared" si="17"/>
        <v>700</v>
      </c>
      <c r="CC14" s="4">
        <f>SUM(CB$4:CB14)</f>
        <v>3410</v>
      </c>
      <c r="CD14" s="4">
        <f t="shared" si="10"/>
        <v>1.0271084337349397</v>
      </c>
    </row>
    <row r="15" spans="1:82" x14ac:dyDescent="0.15">
      <c r="A15" s="4">
        <v>1040</v>
      </c>
      <c r="B15" s="14">
        <v>22</v>
      </c>
      <c r="C15" s="14">
        <f t="shared" si="18"/>
        <v>5440</v>
      </c>
      <c r="D15" s="14">
        <f>SUM(C$5:$C15)</f>
        <v>22040</v>
      </c>
      <c r="E15" s="89">
        <f>'[1]资源-武将经验'!$Z16</f>
        <v>0.8702016154298301</v>
      </c>
      <c r="P15" s="5">
        <v>15</v>
      </c>
      <c r="Q15" s="14">
        <f>基础状态预期!D28</f>
        <v>72.375871759353331</v>
      </c>
      <c r="R15" s="14">
        <f>IF(基础状态预期!U28="",0,求节点($B$5:$B$154,$D$5:$D$154,基础状态预期!U28)*基础状态预期!F28)</f>
        <v>0</v>
      </c>
      <c r="S15" s="14">
        <f>IF(基础状态预期!V28="",0,求节点($B$5:$B$154,$D$5:$D$154,基础状态预期!V28)*基础状态预期!G28)</f>
        <v>0</v>
      </c>
      <c r="T15" s="14">
        <f>IF(基础状态预期!W28="",0,求节点($B$5:$B$154,$D$5:$D$154,基础状态预期!W28)*基础状态预期!H28)</f>
        <v>0</v>
      </c>
      <c r="U15" s="14">
        <f>IF(基础状态预期!X28="",0,求节点($B$5:$B$154,$D$5:$D$154,基础状态预期!X28)*基础状态预期!I28)</f>
        <v>559024238.19931293</v>
      </c>
      <c r="V15" s="14">
        <f>IF(基础状态预期!Y28="",0,求节点($B$5:$B$154,$D$5:$D$154,基础状态预期!Y28)*基础状态预期!J28)</f>
        <v>2795121190.9965649</v>
      </c>
      <c r="W15" s="14">
        <f t="shared" si="8"/>
        <v>3354145429.195878</v>
      </c>
      <c r="Y15" s="14" t="str">
        <f>IF(基础状态预期!U28="","",H$8+(基础状态预期!U28-1)*H$11)</f>
        <v/>
      </c>
      <c r="Z15" s="14" t="str">
        <f>IF(基础状态预期!V28="","",I$8+(基础状态预期!V28-1)*I$11)</f>
        <v/>
      </c>
      <c r="AA15" s="14" t="str">
        <f>IF(基础状态预期!W28="","",J$8+(基础状态预期!W28-1)*J$11)</f>
        <v/>
      </c>
      <c r="AB15" s="14">
        <f>IF(基础状态预期!X28="","",K$8+(基础状态预期!X28-1)*K$11)</f>
        <v>5112.5523055612002</v>
      </c>
      <c r="AC15" s="14">
        <f>IF(基础状态预期!Y28="","",L$8+(基础状态预期!Y28-1)*L$11)</f>
        <v>5112.5523055612002</v>
      </c>
      <c r="AD15" s="14">
        <f>SUMPRODUCT(Y15:AC15,基础状态预期!$F28:$J28)/SUM(基础状态预期!$F28:$J28)</f>
        <v>5112.5523055612002</v>
      </c>
      <c r="AE15" s="14" t="str">
        <f>IF(基础状态预期!U28="","",H$9+(基础状态预期!U28-1)*H$12)</f>
        <v/>
      </c>
      <c r="AF15" s="14" t="str">
        <f>IF(基础状态预期!V28="","",I$9+(基础状态预期!V28-1)*I$12)</f>
        <v/>
      </c>
      <c r="AG15" s="14" t="str">
        <f>IF(基础状态预期!W28="","",J$9+(基础状态预期!W28-1)*J$12)</f>
        <v/>
      </c>
      <c r="AH15" s="14">
        <f>IF(基础状态预期!X28="","",K$9+(基础状态预期!X28-1)*K$12)</f>
        <v>5112.5523055612002</v>
      </c>
      <c r="AI15" s="14">
        <f>IF(基础状态预期!Y28="","",L$9+(基础状态预期!Y28-1)*L$12)</f>
        <v>5112.5523055612002</v>
      </c>
      <c r="AJ15" s="14">
        <f>SUMPRODUCT(AE15:AI15,基础状态预期!$F28:$J28)/SUM(基础状态预期!$F28:$J28)</f>
        <v>5112.5523055612002</v>
      </c>
      <c r="AK15" s="14" t="str">
        <f>IF(基础状态预期!U28="","",H$27+(基础状态预期!U28-1)*H$28)</f>
        <v/>
      </c>
      <c r="AL15" s="14" t="str">
        <f>IF(基础状态预期!V28="","",I$27+(基础状态预期!V28-1)*I$28)</f>
        <v/>
      </c>
      <c r="AM15" s="14" t="str">
        <f>IF(基础状态预期!W28="","",J$27+(基础状态预期!W28-1)*J$28)</f>
        <v/>
      </c>
      <c r="AN15" s="14">
        <f>IF(基础状态预期!X28="","",K$27+(基础状态预期!X28-1)*K$28)</f>
        <v>2437.5174351870664</v>
      </c>
      <c r="AO15" s="14">
        <f>IF(基础状态预期!Y28="","",L$27+(基础状态预期!Y28-1)*L$28)</f>
        <v>2437.5174351870664</v>
      </c>
      <c r="AP15" s="14">
        <f>SUMPRODUCT(AK15:AO15,基础状态预期!$F28:$J28)/SUM(基础状态预期!$F28:$J28)</f>
        <v>2437.5174351870664</v>
      </c>
      <c r="AQ15" s="14" t="str">
        <f>IF(基础状态预期!U28="","",H$31+(基础状态预期!U28-1)*H$32)</f>
        <v/>
      </c>
      <c r="AR15" s="14" t="str">
        <f>IF(基础状态预期!V28="","",I$31+(基础状态预期!V28-1)*I$32)</f>
        <v/>
      </c>
      <c r="AS15" s="14" t="str">
        <f>IF(基础状态预期!W28="","",J$31+(基础状态预期!W28-1)*J$32)</f>
        <v/>
      </c>
      <c r="AT15" s="14">
        <f>IF(基础状态预期!X28="","",K$31+(基础状态预期!X28-1)*K$32)</f>
        <v>160.75174351870666</v>
      </c>
      <c r="AU15" s="14">
        <f>IF(基础状态预期!Y28="","",L$31+(基础状态预期!Y28-1)*L$32)</f>
        <v>163.75174351870666</v>
      </c>
      <c r="AV15" s="14">
        <f>SUMPRODUCT(AQ15:AU15,基础状态预期!$F28:$J28)/SUM(基础状态预期!$F28:$J28)</f>
        <v>163.25174351870666</v>
      </c>
      <c r="BA15" s="29">
        <v>120</v>
      </c>
      <c r="BB15" s="29">
        <f t="shared" si="0"/>
        <v>7969.9999999999991</v>
      </c>
      <c r="BC15" s="29">
        <f t="shared" si="1"/>
        <v>7969.9999999999991</v>
      </c>
      <c r="BD15" s="29">
        <f t="shared" si="2"/>
        <v>3389.9999999999995</v>
      </c>
      <c r="BE15" s="29">
        <f>(BB15-BB14)*INDEX([2]非r将兵属性验证!W$7:W$166,$BA15,1)+BE14</f>
        <v>20602634457.019367</v>
      </c>
      <c r="BF15" s="29">
        <f>(BC15-BC14)*INDEX([2]非r将兵属性验证!X$7:X$166,$BA15,1)+BF14</f>
        <v>20602634457.019367</v>
      </c>
      <c r="BG15" s="29">
        <f>(BD15-BD14)*INDEX([2]非r将兵属性验证!$AM$7:$AM$166,$BA15,1)+BG14</f>
        <v>16395713.564772237</v>
      </c>
      <c r="BH15" s="10">
        <f t="shared" si="11"/>
        <v>41221664627.603508</v>
      </c>
      <c r="BI15" s="31">
        <f t="shared" si="12"/>
        <v>0.4998011274688578</v>
      </c>
      <c r="BJ15" s="31">
        <f t="shared" si="13"/>
        <v>0.4998011274688578</v>
      </c>
      <c r="BK15" s="31">
        <f t="shared" si="14"/>
        <v>3.9774506228438622E-4</v>
      </c>
      <c r="BO15" s="29">
        <f t="shared" si="9"/>
        <v>72.375871759353331</v>
      </c>
      <c r="BP15" s="10">
        <f t="shared" si="15"/>
        <v>1338413655.2550592</v>
      </c>
      <c r="BQ15" s="10" t="e">
        <f>$BP15*求节点('[1]功能-付费相关'!$AY$6:$AY$165,'[1]功能-付费相关'!$AZ$6:$AZ$165,$BO15)+$BQ14</f>
        <v>#VALUE!</v>
      </c>
      <c r="BS15" s="29">
        <v>120</v>
      </c>
      <c r="BT15" s="29" t="e">
        <f t="shared" si="23"/>
        <v>#VALUE!</v>
      </c>
      <c r="BU15" s="29"/>
      <c r="BY15" s="5" t="e">
        <f>求节点('[1]资源-武将经验'!S$6:S$105,'[1]资源-武将经验'!R$6:R$105,Q15)/6</f>
        <v>#VALUE!</v>
      </c>
      <c r="BZ15" s="4">
        <f t="shared" si="16"/>
        <v>140</v>
      </c>
      <c r="CA15" s="4">
        <v>12</v>
      </c>
      <c r="CB15" s="90">
        <f t="shared" si="17"/>
        <v>840</v>
      </c>
      <c r="CC15" s="4">
        <f>SUM(CB$4:CB15)</f>
        <v>4250</v>
      </c>
      <c r="CD15" s="4">
        <f t="shared" si="10"/>
        <v>1.051980198019802</v>
      </c>
    </row>
    <row r="16" spans="1:82" x14ac:dyDescent="0.15">
      <c r="A16" s="4">
        <v>1160</v>
      </c>
      <c r="B16" s="14">
        <v>24</v>
      </c>
      <c r="C16" s="14">
        <f t="shared" si="18"/>
        <v>6600</v>
      </c>
      <c r="D16" s="14">
        <f>SUM(C$5:$C16)</f>
        <v>28640</v>
      </c>
      <c r="E16" s="89">
        <f>'[1]资源-武将经验'!$Z17</f>
        <v>0.74807103612891923</v>
      </c>
      <c r="P16" s="5">
        <v>16</v>
      </c>
      <c r="Q16" s="14">
        <f>基础状态预期!D29</f>
        <v>74.998404927577795</v>
      </c>
      <c r="R16" s="14">
        <f>IF(基础状态预期!U29="",0,求节点($B$5:$B$154,$D$5:$D$154,基础状态预期!U29)*基础状态预期!F29)</f>
        <v>0</v>
      </c>
      <c r="S16" s="14">
        <f>IF(基础状态预期!V29="",0,求节点($B$5:$B$154,$D$5:$D$154,基础状态预期!V29)*基础状态预期!G29)</f>
        <v>0</v>
      </c>
      <c r="T16" s="14">
        <f>IF(基础状态预期!W29="",0,求节点($B$5:$B$154,$D$5:$D$154,基础状态预期!W29)*基础状态预期!H29)</f>
        <v>0</v>
      </c>
      <c r="U16" s="14">
        <f>IF(基础状态预期!X29="",0,求节点($B$5:$B$154,$D$5:$D$154,基础状态预期!X29)*基础状态预期!I29)</f>
        <v>424641564.23797274</v>
      </c>
      <c r="V16" s="14">
        <f>IF(基础状态预期!Y29="",0,求节点($B$5:$B$154,$D$5:$D$154,基础状态预期!Y29)*基础状态预期!J29)</f>
        <v>4671057206.6177006</v>
      </c>
      <c r="W16" s="14">
        <f t="shared" si="8"/>
        <v>5095698770.8556728</v>
      </c>
      <c r="Y16" s="14" t="str">
        <f>IF(基础状态预期!U29="","",H$8+(基础状态预期!U29-1)*H$11)</f>
        <v/>
      </c>
      <c r="Z16" s="14" t="str">
        <f>IF(基础状态预期!V29="","",I$8+(基础状态预期!V29-1)*I$11)</f>
        <v/>
      </c>
      <c r="AA16" s="14" t="str">
        <f>IF(基础状态预期!W29="","",J$8+(基础状态预期!W29-1)*J$11)</f>
        <v/>
      </c>
      <c r="AB16" s="14">
        <f>IF(基础状态预期!X29="","",K$8+(基础状态预期!X29-1)*K$11)</f>
        <v>5269.9042956546673</v>
      </c>
      <c r="AC16" s="14">
        <f>IF(基础状态预期!Y29="","",L$8+(基础状态预期!Y29-1)*L$11)</f>
        <v>5269.9042956546673</v>
      </c>
      <c r="AD16" s="14">
        <f>SUMPRODUCT(Y16:AC16,基础状态预期!$F29:$J29)/SUM(基础状态预期!$F29:$J29)</f>
        <v>5269.9042956546673</v>
      </c>
      <c r="AE16" s="14" t="str">
        <f>IF(基础状态预期!U29="","",H$9+(基础状态预期!U29-1)*H$12)</f>
        <v/>
      </c>
      <c r="AF16" s="14" t="str">
        <f>IF(基础状态预期!V29="","",I$9+(基础状态预期!V29-1)*I$12)</f>
        <v/>
      </c>
      <c r="AG16" s="14" t="str">
        <f>IF(基础状态预期!W29="","",J$9+(基础状态预期!W29-1)*J$12)</f>
        <v/>
      </c>
      <c r="AH16" s="14">
        <f>IF(基础状态预期!X29="","",K$9+(基础状态预期!X29-1)*K$12)</f>
        <v>5269.9042956546673</v>
      </c>
      <c r="AI16" s="14">
        <f>IF(基础状态预期!Y29="","",L$9+(基础状态预期!Y29-1)*L$12)</f>
        <v>5269.9042956546673</v>
      </c>
      <c r="AJ16" s="14">
        <f>SUMPRODUCT(AE16:AI16,基础状态预期!$F29:$J29)/SUM(基础状态预期!$F29:$J29)</f>
        <v>5269.9042956546673</v>
      </c>
      <c r="AK16" s="14" t="str">
        <f>IF(基础状态预期!U29="","",H$27+(基础状态预期!U29-1)*H$28)</f>
        <v/>
      </c>
      <c r="AL16" s="14" t="str">
        <f>IF(基础状态预期!V29="","",I$27+(基础状态预期!V29-1)*I$28)</f>
        <v/>
      </c>
      <c r="AM16" s="14" t="str">
        <f>IF(基础状态预期!W29="","",J$27+(基础状态预期!W29-1)*J$28)</f>
        <v/>
      </c>
      <c r="AN16" s="14">
        <f>IF(基础状态预期!X29="","",K$27+(基础状态预期!X29-1)*K$28)</f>
        <v>2489.9680985515561</v>
      </c>
      <c r="AO16" s="14">
        <f>IF(基础状态预期!Y29="","",L$27+(基础状态预期!Y29-1)*L$28)</f>
        <v>2489.9680985515561</v>
      </c>
      <c r="AP16" s="14">
        <f>SUMPRODUCT(AK16:AO16,基础状态预期!$F29:$J29)/SUM(基础状态预期!$F29:$J29)</f>
        <v>2489.9680985515561</v>
      </c>
      <c r="AQ16" s="14" t="str">
        <f>IF(基础状态预期!U29="","",H$31+(基础状态预期!U29-1)*H$32)</f>
        <v/>
      </c>
      <c r="AR16" s="14" t="str">
        <f>IF(基础状态预期!V29="","",I$31+(基础状态预期!V29-1)*I$32)</f>
        <v/>
      </c>
      <c r="AS16" s="14" t="str">
        <f>IF(基础状态预期!W29="","",J$31+(基础状态预期!W29-1)*J$32)</f>
        <v/>
      </c>
      <c r="AT16" s="14">
        <f>IF(基础状态预期!X29="","",K$31+(基础状态预期!X29-1)*K$32)</f>
        <v>165.99680985515559</v>
      </c>
      <c r="AU16" s="14">
        <f>IF(基础状态预期!Y29="","",L$31+(基础状态预期!Y29-1)*L$32)</f>
        <v>168.99680985515559</v>
      </c>
      <c r="AV16" s="14">
        <f>SUMPRODUCT(AQ16:AU16,基础状态预期!$F29:$J29)/SUM(基础状态预期!$F29:$J29)</f>
        <v>168.74680985515559</v>
      </c>
      <c r="BA16" s="29">
        <v>130</v>
      </c>
      <c r="BB16" s="29">
        <f t="shared" si="0"/>
        <v>8570</v>
      </c>
      <c r="BC16" s="29">
        <f t="shared" si="1"/>
        <v>8570</v>
      </c>
      <c r="BD16" s="29">
        <f t="shared" si="2"/>
        <v>3590</v>
      </c>
      <c r="BE16" s="29">
        <f>(BB16-BB15)*INDEX([2]非r将兵属性验证!W$7:W$166,$BA16,1)+BE15</f>
        <v>30305262826.008781</v>
      </c>
      <c r="BF16" s="29">
        <f>(BC16-BC15)*INDEX([2]非r将兵属性验证!X$7:X$166,$BA16,1)+BF15</f>
        <v>30305262826.008781</v>
      </c>
      <c r="BG16" s="29">
        <f>(BD16-BD15)*INDEX([2]非r将兵属性验证!$AM$7:$AM$166,$BA16,1)+BG15</f>
        <v>18452547.433774102</v>
      </c>
      <c r="BH16" s="10">
        <f t="shared" si="11"/>
        <v>60628978199.45134</v>
      </c>
      <c r="BI16" s="31">
        <f t="shared" si="12"/>
        <v>0.49984782402753786</v>
      </c>
      <c r="BJ16" s="31">
        <f t="shared" si="13"/>
        <v>0.49984782402753786</v>
      </c>
      <c r="BK16" s="31">
        <f t="shared" si="14"/>
        <v>3.0435194492426873E-4</v>
      </c>
      <c r="BO16" s="29">
        <f t="shared" si="9"/>
        <v>74.998404927577795</v>
      </c>
      <c r="BP16" s="10">
        <f t="shared" si="15"/>
        <v>1741553341.6597948</v>
      </c>
      <c r="BQ16" s="10" t="e">
        <f>$BP16*求节点('[1]功能-付费相关'!$AY$6:$AY$165,'[1]功能-付费相关'!$AZ$6:$AZ$165,$BO16)+$BQ15</f>
        <v>#VALUE!</v>
      </c>
      <c r="BS16" s="29">
        <v>130</v>
      </c>
      <c r="BT16" s="29" t="e">
        <f t="shared" si="23"/>
        <v>#VALUE!</v>
      </c>
      <c r="BU16" s="29"/>
      <c r="BY16" s="5" t="e">
        <f>求节点('[1]资源-武将经验'!S$6:S$105,'[1]资源-武将经验'!R$6:R$105,Q16)/6</f>
        <v>#VALUE!</v>
      </c>
      <c r="BZ16" s="4">
        <f t="shared" si="16"/>
        <v>140</v>
      </c>
      <c r="CA16" s="4">
        <v>13</v>
      </c>
      <c r="CB16" s="90">
        <f t="shared" si="17"/>
        <v>980</v>
      </c>
      <c r="CC16" s="4">
        <f>SUM(CB$4:CB16)</f>
        <v>5230</v>
      </c>
      <c r="CD16" s="4">
        <f t="shared" si="10"/>
        <v>1.0376984126984128</v>
      </c>
    </row>
    <row r="17" spans="1:82" x14ac:dyDescent="0.15">
      <c r="A17" s="4">
        <v>1280</v>
      </c>
      <c r="B17" s="14">
        <v>26</v>
      </c>
      <c r="C17" s="14">
        <f t="shared" si="18"/>
        <v>7880</v>
      </c>
      <c r="D17" s="14">
        <f>SUM(C$5:$C17)</f>
        <v>36520</v>
      </c>
      <c r="E17" s="89">
        <f>'[1]资源-武将经验'!$Z18</f>
        <v>0.70101624921797046</v>
      </c>
      <c r="P17" s="5">
        <v>17</v>
      </c>
      <c r="Q17" s="14">
        <f>基础状态预期!D30</f>
        <v>77.875308029777003</v>
      </c>
      <c r="R17" s="14">
        <f>IF(基础状态预期!U30="",0,求节点($B$5:$B$154,$D$5:$D$154,基础状态预期!U30)*基础状态预期!F30)</f>
        <v>0</v>
      </c>
      <c r="S17" s="14">
        <f>IF(基础状态预期!V30="",0,求节点($B$5:$B$154,$D$5:$D$154,基础状态预期!V30)*基础状态预期!G30)</f>
        <v>0</v>
      </c>
      <c r="T17" s="14">
        <f>IF(基础状态预期!W30="",0,求节点($B$5:$B$154,$D$5:$D$154,基础状态预期!W30)*基础状态预期!H30)</f>
        <v>0</v>
      </c>
      <c r="U17" s="14">
        <f>IF(基础状态预期!X30="",0,求节点($B$5:$B$154,$D$5:$D$154,基础状态预期!X30)*基础状态预期!I30)</f>
        <v>0</v>
      </c>
      <c r="V17" s="14">
        <f>IF(基础状态预期!Y30="",0,求节点($B$5:$B$154,$D$5:$D$154,基础状态预期!Y30)*基础状态预期!J30)</f>
        <v>8123217021.6939754</v>
      </c>
      <c r="W17" s="14">
        <f t="shared" si="8"/>
        <v>8123217021.6939754</v>
      </c>
      <c r="Y17" s="14" t="str">
        <f>IF(基础状态预期!U30="","",H$8+(基础状态预期!U30-1)*H$11)</f>
        <v/>
      </c>
      <c r="Z17" s="14" t="str">
        <f>IF(基础状态预期!V30="","",I$8+(基础状态预期!V30-1)*I$11)</f>
        <v/>
      </c>
      <c r="AA17" s="14" t="str">
        <f>IF(基础状态预期!W30="","",J$8+(基础状态预期!W30-1)*J$11)</f>
        <v/>
      </c>
      <c r="AB17" s="14" t="str">
        <f>IF(基础状态预期!X30="","",K$8+(基础状态预期!X30-1)*K$11)</f>
        <v/>
      </c>
      <c r="AC17" s="14">
        <f>IF(基础状态预期!Y30="","",L$8+(基础状态预期!Y30-1)*L$11)</f>
        <v>5442.5184817866202</v>
      </c>
      <c r="AD17" s="14">
        <f>SUMPRODUCT(Y17:AC17,基础状态预期!$F30:$J30)/SUM(基础状态预期!$F30:$J30)</f>
        <v>5442.5184817866202</v>
      </c>
      <c r="AE17" s="14" t="str">
        <f>IF(基础状态预期!U30="","",H$9+(基础状态预期!U30-1)*H$12)</f>
        <v/>
      </c>
      <c r="AF17" s="14" t="str">
        <f>IF(基础状态预期!V30="","",I$9+(基础状态预期!V30-1)*I$12)</f>
        <v/>
      </c>
      <c r="AG17" s="14" t="str">
        <f>IF(基础状态预期!W30="","",J$9+(基础状态预期!W30-1)*J$12)</f>
        <v/>
      </c>
      <c r="AH17" s="14" t="str">
        <f>IF(基础状态预期!X30="","",K$9+(基础状态预期!X30-1)*K$12)</f>
        <v/>
      </c>
      <c r="AI17" s="14">
        <f>IF(基础状态预期!Y30="","",L$9+(基础状态预期!Y30-1)*L$12)</f>
        <v>5442.5184817866202</v>
      </c>
      <c r="AJ17" s="14">
        <f>SUMPRODUCT(AE17:AI17,基础状态预期!$F30:$J30)/SUM(基础状态预期!$F30:$J30)</f>
        <v>5442.5184817866202</v>
      </c>
      <c r="AK17" s="14" t="str">
        <f>IF(基础状态预期!U30="","",H$27+(基础状态预期!U30-1)*H$28)</f>
        <v/>
      </c>
      <c r="AL17" s="14" t="str">
        <f>IF(基础状态预期!V30="","",I$27+(基础状态预期!V30-1)*I$28)</f>
        <v/>
      </c>
      <c r="AM17" s="14" t="str">
        <f>IF(基础状态预期!W30="","",J$27+(基础状态预期!W30-1)*J$28)</f>
        <v/>
      </c>
      <c r="AN17" s="14" t="str">
        <f>IF(基础状态预期!X30="","",K$27+(基础状态预期!X30-1)*K$28)</f>
        <v/>
      </c>
      <c r="AO17" s="14">
        <f>IF(基础状态预期!Y30="","",L$27+(基础状态预期!Y30-1)*L$28)</f>
        <v>2547.5061605955398</v>
      </c>
      <c r="AP17" s="14">
        <f>SUMPRODUCT(AK17:AO17,基础状态预期!$F30:$J30)/SUM(基础状态预期!$F30:$J30)</f>
        <v>2547.5061605955398</v>
      </c>
      <c r="AQ17" s="14" t="str">
        <f>IF(基础状态预期!U30="","",H$31+(基础状态预期!U30-1)*H$32)</f>
        <v/>
      </c>
      <c r="AR17" s="14" t="str">
        <f>IF(基础状态预期!V30="","",I$31+(基础状态预期!V30-1)*I$32)</f>
        <v/>
      </c>
      <c r="AS17" s="14" t="str">
        <f>IF(基础状态预期!W30="","",J$31+(基础状态预期!W30-1)*J$32)</f>
        <v/>
      </c>
      <c r="AT17" s="14" t="str">
        <f>IF(基础状态预期!X30="","",K$31+(基础状态预期!X30-1)*K$32)</f>
        <v/>
      </c>
      <c r="AU17" s="14">
        <f>IF(基础状态预期!Y30="","",L$31+(基础状态预期!Y30-1)*L$32)</f>
        <v>174.75061605955401</v>
      </c>
      <c r="AV17" s="14">
        <f>SUMPRODUCT(AQ17:AU17,基础状态预期!$F30:$J30)/SUM(基础状态预期!$F30:$J30)</f>
        <v>174.75061605955401</v>
      </c>
      <c r="BA17" s="29">
        <v>140</v>
      </c>
      <c r="BB17" s="29">
        <f t="shared" si="0"/>
        <v>9170</v>
      </c>
      <c r="BC17" s="29">
        <f t="shared" si="1"/>
        <v>9170</v>
      </c>
      <c r="BD17" s="29">
        <f t="shared" si="2"/>
        <v>3790</v>
      </c>
      <c r="BE17" s="29">
        <f>(BB17-BB16)*INDEX([2]非r将兵属性验证!W$7:W$166,$BA17,1)+BE16</f>
        <v>42040784430.185379</v>
      </c>
      <c r="BF17" s="29">
        <f>(BC17-BC16)*INDEX([2]非r将兵属性验证!X$7:X$166,$BA17,1)+BF16</f>
        <v>42040784430.185379</v>
      </c>
      <c r="BG17" s="29">
        <f>(BD17-BD16)*INDEX([2]非r将兵属性验证!$AM$7:$AM$166,$BA17,1)+BG16</f>
        <v>20644086.951740973</v>
      </c>
      <c r="BH17" s="10">
        <f t="shared" si="11"/>
        <v>84102212947.322495</v>
      </c>
      <c r="BI17" s="31">
        <f t="shared" si="12"/>
        <v>0.49987726787305425</v>
      </c>
      <c r="BJ17" s="31">
        <f t="shared" si="13"/>
        <v>0.49987726787305425</v>
      </c>
      <c r="BK17" s="31">
        <f t="shared" si="14"/>
        <v>2.454642538915286E-4</v>
      </c>
      <c r="BO17" s="29">
        <f t="shared" si="9"/>
        <v>77.875308029777003</v>
      </c>
      <c r="BP17" s="10">
        <f t="shared" si="15"/>
        <v>3027518250.8383026</v>
      </c>
      <c r="BQ17" s="10" t="e">
        <f>$BP17*求节点('[1]功能-付费相关'!$AY$6:$AY$165,'[1]功能-付费相关'!$AZ$6:$AZ$165,$BO17)+$BQ16</f>
        <v>#VALUE!</v>
      </c>
      <c r="BS17" s="29">
        <v>140</v>
      </c>
      <c r="BT17" s="29" t="e">
        <f t="shared" si="23"/>
        <v>#VALUE!</v>
      </c>
      <c r="BU17" s="29"/>
      <c r="BY17" s="5" t="e">
        <f>求节点('[1]资源-武将经验'!S$6:S$105,'[1]资源-武将经验'!R$6:R$105,Q17)/6</f>
        <v>#VALUE!</v>
      </c>
      <c r="BZ17" s="4">
        <f t="shared" si="16"/>
        <v>170</v>
      </c>
      <c r="CA17" s="4">
        <v>14</v>
      </c>
      <c r="CB17" s="90">
        <f t="shared" si="17"/>
        <v>1150</v>
      </c>
      <c r="CC17" s="4">
        <f>SUM(CB$4:CB17)</f>
        <v>6380</v>
      </c>
      <c r="CD17" s="4">
        <f t="shared" si="10"/>
        <v>1.0562913907284768</v>
      </c>
    </row>
    <row r="18" spans="1:82" x14ac:dyDescent="0.15">
      <c r="A18" s="4">
        <v>1400</v>
      </c>
      <c r="B18" s="14">
        <v>28</v>
      </c>
      <c r="C18" s="14">
        <f t="shared" si="18"/>
        <v>9280</v>
      </c>
      <c r="D18" s="14">
        <f>SUM(C$5:$C18)</f>
        <v>45800</v>
      </c>
      <c r="E18" s="89">
        <f>'[1]资源-武将经验'!$Z19</f>
        <v>0.68506299583078845</v>
      </c>
      <c r="P18" s="5">
        <v>18</v>
      </c>
      <c r="Q18" s="14">
        <f>基础状态预期!D31</f>
        <v>80.272123558064706</v>
      </c>
      <c r="R18" s="14">
        <f>IF(基础状态预期!U31="",0,求节点($B$5:$B$154,$D$5:$D$154,基础状态预期!U31)*基础状态预期!F31)</f>
        <v>0</v>
      </c>
      <c r="S18" s="14">
        <f>IF(基础状态预期!V31="",0,求节点($B$5:$B$154,$D$5:$D$154,基础状态预期!V31)*基础状态预期!G31)</f>
        <v>0</v>
      </c>
      <c r="T18" s="14">
        <f>IF(基础状态预期!W31="",0,求节点($B$5:$B$154,$D$5:$D$154,基础状态预期!W31)*基础状态预期!H31)</f>
        <v>0</v>
      </c>
      <c r="U18" s="14">
        <f>IF(基础状态预期!X31="",0,求节点($B$5:$B$154,$D$5:$D$154,基础状态预期!X31)*基础状态预期!I31)</f>
        <v>0</v>
      </c>
      <c r="V18" s="14">
        <f>IF(基础状态预期!Y31="",0,求节点($B$5:$B$154,$D$5:$D$154,基础状态预期!Y31)*基础状态预期!J31)</f>
        <v>12001253316.009705</v>
      </c>
      <c r="W18" s="14">
        <f t="shared" si="8"/>
        <v>12001253316.009705</v>
      </c>
      <c r="Y18" s="14" t="str">
        <f>IF(基础状态预期!U31="","",H$8+(基础状态预期!U31-1)*H$11)</f>
        <v/>
      </c>
      <c r="Z18" s="14" t="str">
        <f>IF(基础状态预期!V31="","",I$8+(基础状态预期!V31-1)*I$11)</f>
        <v/>
      </c>
      <c r="AA18" s="14" t="str">
        <f>IF(基础状态预期!W31="","",J$8+(基础状态预期!W31-1)*J$11)</f>
        <v/>
      </c>
      <c r="AB18" s="14" t="str">
        <f>IF(基础状态预期!X31="","",K$8+(基础状态预期!X31-1)*K$11)</f>
        <v/>
      </c>
      <c r="AC18" s="14">
        <f>IF(基础状态预期!Y31="","",L$8+(基础状态预期!Y31-1)*L$11)</f>
        <v>5586.3274134838821</v>
      </c>
      <c r="AD18" s="14">
        <f>SUMPRODUCT(Y18:AC18,基础状态预期!$F31:$J31)/SUM(基础状态预期!$F31:$J31)</f>
        <v>5586.3274134838821</v>
      </c>
      <c r="AE18" s="14" t="str">
        <f>IF(基础状态预期!U31="","",H$9+(基础状态预期!U31-1)*H$12)</f>
        <v/>
      </c>
      <c r="AF18" s="14" t="str">
        <f>IF(基础状态预期!V31="","",I$9+(基础状态预期!V31-1)*I$12)</f>
        <v/>
      </c>
      <c r="AG18" s="14" t="str">
        <f>IF(基础状态预期!W31="","",J$9+(基础状态预期!W31-1)*J$12)</f>
        <v/>
      </c>
      <c r="AH18" s="14" t="str">
        <f>IF(基础状态预期!X31="","",K$9+(基础状态预期!X31-1)*K$12)</f>
        <v/>
      </c>
      <c r="AI18" s="14">
        <f>IF(基础状态预期!Y31="","",L$9+(基础状态预期!Y31-1)*L$12)</f>
        <v>5586.3274134838821</v>
      </c>
      <c r="AJ18" s="14">
        <f>SUMPRODUCT(AE18:AI18,基础状态预期!$F31:$J31)/SUM(基础状态预期!$F31:$J31)</f>
        <v>5586.3274134838821</v>
      </c>
      <c r="AK18" s="14" t="str">
        <f>IF(基础状态预期!U31="","",H$27+(基础状态预期!U31-1)*H$28)</f>
        <v/>
      </c>
      <c r="AL18" s="14" t="str">
        <f>IF(基础状态预期!V31="","",I$27+(基础状态预期!V31-1)*I$28)</f>
        <v/>
      </c>
      <c r="AM18" s="14" t="str">
        <f>IF(基础状态预期!W31="","",J$27+(基础状态预期!W31-1)*J$28)</f>
        <v/>
      </c>
      <c r="AN18" s="14" t="str">
        <f>IF(基础状态预期!X31="","",K$27+(基础状态预期!X31-1)*K$28)</f>
        <v/>
      </c>
      <c r="AO18" s="14">
        <f>IF(基础状态预期!Y31="","",L$27+(基础状态预期!Y31-1)*L$28)</f>
        <v>2595.4424711612942</v>
      </c>
      <c r="AP18" s="14">
        <f>SUMPRODUCT(AK18:AO18,基础状态预期!$F31:$J31)/SUM(基础状态预期!$F31:$J31)</f>
        <v>2595.4424711612942</v>
      </c>
      <c r="AQ18" s="14" t="str">
        <f>IF(基础状态预期!U31="","",H$31+(基础状态预期!U31-1)*H$32)</f>
        <v/>
      </c>
      <c r="AR18" s="14" t="str">
        <f>IF(基础状态预期!V31="","",I$31+(基础状态预期!V31-1)*I$32)</f>
        <v/>
      </c>
      <c r="AS18" s="14" t="str">
        <f>IF(基础状态预期!W31="","",J$31+(基础状态预期!W31-1)*J$32)</f>
        <v/>
      </c>
      <c r="AT18" s="14" t="str">
        <f>IF(基础状态预期!X31="","",K$31+(基础状态预期!X31-1)*K$32)</f>
        <v/>
      </c>
      <c r="AU18" s="14">
        <f>IF(基础状态预期!Y31="","",L$31+(基础状态预期!Y31-1)*L$32)</f>
        <v>179.54424711612941</v>
      </c>
      <c r="AV18" s="14">
        <f>SUMPRODUCT(AQ18:AU18,基础状态预期!$F31:$J31)/SUM(基础状态预期!$F31:$J31)</f>
        <v>179.54424711612941</v>
      </c>
      <c r="BA18" s="29">
        <v>150</v>
      </c>
      <c r="BB18" s="29">
        <f t="shared" si="0"/>
        <v>9745.2700051097472</v>
      </c>
      <c r="BC18" s="29">
        <f t="shared" si="1"/>
        <v>9745.2700051097472</v>
      </c>
      <c r="BD18" s="29">
        <f t="shared" si="2"/>
        <v>3981.7566683699156</v>
      </c>
      <c r="BE18" s="29">
        <f>(BB18-BB17)*INDEX([2]非r将兵属性验证!W$7:W$166,$BA18,1)+BE17</f>
        <v>55490590337.969986</v>
      </c>
      <c r="BF18" s="29">
        <f>(BC18-BC17)*INDEX([2]非r将兵属性验证!X$7:X$166,$BA18,1)+BF17</f>
        <v>55490590337.969986</v>
      </c>
      <c r="BG18" s="29">
        <f>(BD18-BD17)*INDEX([2]非r将兵属性验证!$AM$7:$AM$166,$BA18,1)+BG17</f>
        <v>22873208.859484304</v>
      </c>
      <c r="BH18" s="10">
        <f t="shared" si="11"/>
        <v>111004053884.79945</v>
      </c>
      <c r="BI18" s="31">
        <f t="shared" si="12"/>
        <v>0.49989697129042143</v>
      </c>
      <c r="BJ18" s="31">
        <f t="shared" si="13"/>
        <v>0.49989697129042143</v>
      </c>
      <c r="BK18" s="31">
        <f t="shared" si="14"/>
        <v>2.0605741915716188E-4</v>
      </c>
      <c r="BO18" s="29">
        <f t="shared" si="9"/>
        <v>80.272123558064706</v>
      </c>
      <c r="BP18" s="10">
        <f t="shared" si="15"/>
        <v>3878036294.3157291</v>
      </c>
      <c r="BQ18" s="10" t="e">
        <f>$BP18*求节点('[1]功能-付费相关'!$AY$6:$AY$165,'[1]功能-付费相关'!$AZ$6:$AZ$165,$BO18)+$BQ17</f>
        <v>#VALUE!</v>
      </c>
      <c r="BS18" s="29">
        <v>150</v>
      </c>
      <c r="BT18" s="29" t="e">
        <f t="shared" si="23"/>
        <v>#VALUE!</v>
      </c>
      <c r="BU18" s="29"/>
      <c r="BY18" s="5" t="e">
        <f>求节点('[1]资源-武将经验'!S$6:S$105,'[1]资源-武将经验'!R$6:R$105,Q18)/6</f>
        <v>#VALUE!</v>
      </c>
      <c r="BZ18" s="4">
        <f t="shared" si="16"/>
        <v>170</v>
      </c>
      <c r="CA18" s="4">
        <v>15</v>
      </c>
      <c r="CB18" s="90">
        <f t="shared" si="17"/>
        <v>1320</v>
      </c>
      <c r="CC18" s="4">
        <f>SUM(CB$4:CB18)</f>
        <v>7700</v>
      </c>
      <c r="CD18" s="4">
        <f t="shared" si="10"/>
        <v>1.0433604336043361</v>
      </c>
    </row>
    <row r="19" spans="1:82" x14ac:dyDescent="0.15">
      <c r="A19" s="4">
        <v>1520</v>
      </c>
      <c r="B19" s="14">
        <v>30</v>
      </c>
      <c r="C19" s="14">
        <f t="shared" si="18"/>
        <v>10800</v>
      </c>
      <c r="D19" s="14">
        <f>SUM(C$5:$C19)</f>
        <v>56600</v>
      </c>
      <c r="E19" s="89">
        <f>'[1]资源-武将经验'!$Z20</f>
        <v>0.70421135709890104</v>
      </c>
      <c r="P19" s="5">
        <v>19</v>
      </c>
      <c r="Q19" s="14">
        <f>基础状态预期!D32</f>
        <v>82.328492296001457</v>
      </c>
      <c r="R19" s="14">
        <f>IF(基础状态预期!U32="",0,求节点($B$5:$B$154,$D$5:$D$154,基础状态预期!U32)*基础状态预期!F32)</f>
        <v>0</v>
      </c>
      <c r="S19" s="14">
        <f>IF(基础状态预期!V32="",0,求节点($B$5:$B$154,$D$5:$D$154,基础状态预期!V32)*基础状态预期!G32)</f>
        <v>0</v>
      </c>
      <c r="T19" s="14">
        <f>IF(基础状态预期!W32="",0,求节点($B$5:$B$154,$D$5:$D$154,基础状态预期!W32)*基础状态预期!H32)</f>
        <v>0</v>
      </c>
      <c r="U19" s="14">
        <f>IF(基础状态预期!X32="",0,求节点($B$5:$B$154,$D$5:$D$154,基础状态预期!X32)*基础状态预期!I32)</f>
        <v>0</v>
      </c>
      <c r="V19" s="14">
        <f>IF(基础状态预期!Y32="",0,求节点($B$5:$B$154,$D$5:$D$154,基础状态预期!Y32)*基础状态预期!J32)</f>
        <v>16774657857.160393</v>
      </c>
      <c r="W19" s="14">
        <f t="shared" si="8"/>
        <v>16774657857.160393</v>
      </c>
      <c r="Y19" s="14" t="str">
        <f>IF(基础状态预期!U32="","",H$8+(基础状态预期!U32-1)*H$11)</f>
        <v/>
      </c>
      <c r="Z19" s="14" t="str">
        <f>IF(基础状态预期!V32="","",I$8+(基础状态预期!V32-1)*I$11)</f>
        <v/>
      </c>
      <c r="AA19" s="14" t="str">
        <f>IF(基础状态预期!W32="","",J$8+(基础状态预期!W32-1)*J$11)</f>
        <v/>
      </c>
      <c r="AB19" s="14" t="str">
        <f>IF(基础状态预期!X32="","",K$8+(基础状态预期!X32-1)*K$11)</f>
        <v/>
      </c>
      <c r="AC19" s="14">
        <f>IF(基础状态预期!Y32="","",L$8+(基础状态预期!Y32-1)*L$11)</f>
        <v>5709.7095377600872</v>
      </c>
      <c r="AD19" s="14">
        <f>SUMPRODUCT(Y19:AC19,基础状态预期!$F32:$J32)/SUM(基础状态预期!$F32:$J32)</f>
        <v>5709.7095377600881</v>
      </c>
      <c r="AE19" s="14" t="str">
        <f>IF(基础状态预期!U32="","",H$9+(基础状态预期!U32-1)*H$12)</f>
        <v/>
      </c>
      <c r="AF19" s="14" t="str">
        <f>IF(基础状态预期!V32="","",I$9+(基础状态预期!V32-1)*I$12)</f>
        <v/>
      </c>
      <c r="AG19" s="14" t="str">
        <f>IF(基础状态预期!W32="","",J$9+(基础状态预期!W32-1)*J$12)</f>
        <v/>
      </c>
      <c r="AH19" s="14" t="str">
        <f>IF(基础状态预期!X32="","",K$9+(基础状态预期!X32-1)*K$12)</f>
        <v/>
      </c>
      <c r="AI19" s="14">
        <f>IF(基础状态预期!Y32="","",L$9+(基础状态预期!Y32-1)*L$12)</f>
        <v>5709.7095377600872</v>
      </c>
      <c r="AJ19" s="14">
        <f>SUMPRODUCT(AE19:AI19,基础状态预期!$F32:$J32)/SUM(基础状态预期!$F32:$J32)</f>
        <v>5709.7095377600881</v>
      </c>
      <c r="AK19" s="14" t="str">
        <f>IF(基础状态预期!U32="","",H$27+(基础状态预期!U32-1)*H$28)</f>
        <v/>
      </c>
      <c r="AL19" s="14" t="str">
        <f>IF(基础状态预期!V32="","",I$27+(基础状态预期!V32-1)*I$28)</f>
        <v/>
      </c>
      <c r="AM19" s="14" t="str">
        <f>IF(基础状态预期!W32="","",J$27+(基础状态预期!W32-1)*J$28)</f>
        <v/>
      </c>
      <c r="AN19" s="14" t="str">
        <f>IF(基础状态预期!X32="","",K$27+(基础状态预期!X32-1)*K$28)</f>
        <v/>
      </c>
      <c r="AO19" s="14">
        <f>IF(基础状态预期!Y32="","",L$27+(基础状态预期!Y32-1)*L$28)</f>
        <v>2636.5698459200294</v>
      </c>
      <c r="AP19" s="14">
        <f>SUMPRODUCT(AK19:AO19,基础状态预期!$F32:$J32)/SUM(基础状态预期!$F32:$J32)</f>
        <v>2636.5698459200294</v>
      </c>
      <c r="AQ19" s="14" t="str">
        <f>IF(基础状态预期!U32="","",H$31+(基础状态预期!U32-1)*H$32)</f>
        <v/>
      </c>
      <c r="AR19" s="14" t="str">
        <f>IF(基础状态预期!V32="","",I$31+(基础状态预期!V32-1)*I$32)</f>
        <v/>
      </c>
      <c r="AS19" s="14" t="str">
        <f>IF(基础状态预期!W32="","",J$31+(基础状态预期!W32-1)*J$32)</f>
        <v/>
      </c>
      <c r="AT19" s="14" t="str">
        <f>IF(基础状态预期!X32="","",K$31+(基础状态预期!X32-1)*K$32)</f>
        <v/>
      </c>
      <c r="AU19" s="14">
        <f>IF(基础状态预期!Y32="","",L$31+(基础状态预期!Y32-1)*L$32)</f>
        <v>183.65698459200291</v>
      </c>
      <c r="AV19" s="14">
        <f>SUMPRODUCT(AQ19:AU19,基础状态预期!$F32:$J32)/SUM(基础状态预期!$F32:$J32)</f>
        <v>183.65698459200291</v>
      </c>
      <c r="BA19" s="29">
        <v>160</v>
      </c>
      <c r="BB19" s="29">
        <f t="shared" si="0"/>
        <v>9770</v>
      </c>
      <c r="BC19" s="29">
        <f t="shared" si="1"/>
        <v>9770</v>
      </c>
      <c r="BD19" s="29">
        <f t="shared" si="2"/>
        <v>3990</v>
      </c>
      <c r="BE19" s="29">
        <f>(BB19-BB18)*INDEX([2]非r将兵属性验证!W$7:W$166,$BA19,1)+BE18</f>
        <v>56157806923.767883</v>
      </c>
      <c r="BF19" s="29">
        <f>(BC19-BC18)*INDEX([2]非r将兵属性验证!X$7:X$166,$BA19,1)+BF18</f>
        <v>56157806923.767883</v>
      </c>
      <c r="BG19" s="29">
        <f>(BD19-BD18)*INDEX([2]非r将兵属性验证!$AM$7:$AM$166,$BA19,1)+BG18</f>
        <v>22971222.072566006</v>
      </c>
      <c r="BH19" s="10">
        <f t="shared" si="11"/>
        <v>112338585069.60834</v>
      </c>
      <c r="BI19" s="31">
        <f t="shared" si="12"/>
        <v>0.49989775898433142</v>
      </c>
      <c r="BJ19" s="31">
        <f t="shared" si="13"/>
        <v>0.49989775898433142</v>
      </c>
      <c r="BK19" s="31">
        <f t="shared" si="14"/>
        <v>2.0448203133707223E-4</v>
      </c>
      <c r="BO19" s="29">
        <f t="shared" si="9"/>
        <v>82.328492296001457</v>
      </c>
      <c r="BP19" s="10">
        <f t="shared" si="15"/>
        <v>4773404541.1506882</v>
      </c>
      <c r="BQ19" s="10" t="e">
        <f>$BP19*求节点('[1]功能-付费相关'!$AY$6:$AY$165,'[1]功能-付费相关'!$AZ$6:$AZ$165,$BO19)+$BQ18</f>
        <v>#VALUE!</v>
      </c>
      <c r="BS19" s="29">
        <v>160</v>
      </c>
      <c r="BT19" s="29" t="e">
        <f t="shared" si="23"/>
        <v>#VALUE!</v>
      </c>
      <c r="BU19" s="29"/>
      <c r="BY19" s="5" t="e">
        <f>求节点('[1]资源-武将经验'!S$6:S$105,'[1]资源-武将经验'!R$6:R$105,Q19)/6</f>
        <v>#VALUE!</v>
      </c>
      <c r="BZ19" s="4">
        <f t="shared" si="16"/>
        <v>200</v>
      </c>
      <c r="CA19" s="4">
        <v>16</v>
      </c>
      <c r="CB19" s="90">
        <f t="shared" si="17"/>
        <v>1520</v>
      </c>
      <c r="CC19" s="4">
        <f>SUM(CB$4:CB19)</f>
        <v>9220</v>
      </c>
      <c r="CD19" s="4">
        <f t="shared" si="10"/>
        <v>1.0573394495412844</v>
      </c>
    </row>
    <row r="20" spans="1:82" x14ac:dyDescent="0.15">
      <c r="A20" s="4">
        <v>1640</v>
      </c>
      <c r="B20" s="14">
        <v>32</v>
      </c>
      <c r="C20" s="14">
        <f t="shared" si="18"/>
        <v>12440</v>
      </c>
      <c r="D20" s="14">
        <f>SUM(C$5:$C20)</f>
        <v>69040</v>
      </c>
      <c r="E20" s="89">
        <f>'[1]资源-武将经验'!$Z21</f>
        <v>0.74237355710029806</v>
      </c>
      <c r="P20" s="5">
        <v>20</v>
      </c>
      <c r="Q20" s="14">
        <f>基础状态预期!D33</f>
        <v>84.132234338875293</v>
      </c>
      <c r="R20" s="14">
        <f>IF(基础状态预期!U33="",0,求节点($B$5:$B$154,$D$5:$D$154,基础状态预期!U33)*基础状态预期!F33)</f>
        <v>0</v>
      </c>
      <c r="S20" s="14">
        <f>IF(基础状态预期!V33="",0,求节点($B$5:$B$154,$D$5:$D$154,基础状态预期!V33)*基础状态预期!G33)</f>
        <v>0</v>
      </c>
      <c r="T20" s="14">
        <f>IF(基础状态预期!W33="",0,求节点($B$5:$B$154,$D$5:$D$154,基础状态预期!W33)*基础状态预期!H33)</f>
        <v>0</v>
      </c>
      <c r="U20" s="14">
        <f>IF(基础状态预期!X33="",0,求节点($B$5:$B$154,$D$5:$D$154,基础状态预期!X33)*基础状态预期!I33)</f>
        <v>0</v>
      </c>
      <c r="V20" s="14">
        <f>IF(基础状态预期!Y33="",0,求节点($B$5:$B$154,$D$5:$D$154,基础状态预期!Y33)*基础状态预期!J33)</f>
        <v>22475235446.010574</v>
      </c>
      <c r="W20" s="14">
        <f t="shared" ref="W20:W42" si="24">SUM(R20:V20)</f>
        <v>22475235446.010574</v>
      </c>
      <c r="Y20" s="14" t="str">
        <f>IF(基础状态预期!U33="","",H$8+(基础状态预期!U33-1)*H$11)</f>
        <v/>
      </c>
      <c r="Z20" s="14" t="str">
        <f>IF(基础状态预期!V33="","",I$8+(基础状态预期!V33-1)*I$11)</f>
        <v/>
      </c>
      <c r="AA20" s="14" t="str">
        <f>IF(基础状态预期!W33="","",J$8+(基础状态预期!W33-1)*J$11)</f>
        <v/>
      </c>
      <c r="AB20" s="14" t="str">
        <f>IF(基础状态预期!X33="","",K$8+(基础状态预期!X33-1)*K$11)</f>
        <v/>
      </c>
      <c r="AC20" s="14">
        <f>IF(基础状态预期!Y33="","",L$8+(基础状态预期!Y33-1)*L$11)</f>
        <v>5817.9340603325172</v>
      </c>
      <c r="AD20" s="14">
        <f>SUMPRODUCT(Y20:AC20,基础状态预期!$F33:$J33)/SUM(基础状态预期!$F33:$J33)</f>
        <v>5817.9340603325172</v>
      </c>
      <c r="AE20" s="14" t="str">
        <f>IF(基础状态预期!U33="","",H$9+(基础状态预期!U33-1)*H$12)</f>
        <v/>
      </c>
      <c r="AF20" s="14" t="str">
        <f>IF(基础状态预期!V33="","",I$9+(基础状态预期!V33-1)*I$12)</f>
        <v/>
      </c>
      <c r="AG20" s="14" t="str">
        <f>IF(基础状态预期!W33="","",J$9+(基础状态预期!W33-1)*J$12)</f>
        <v/>
      </c>
      <c r="AH20" s="14" t="str">
        <f>IF(基础状态预期!X33="","",K$9+(基础状态预期!X33-1)*K$12)</f>
        <v/>
      </c>
      <c r="AI20" s="14">
        <f>IF(基础状态预期!Y33="","",L$9+(基础状态预期!Y33-1)*L$12)</f>
        <v>5817.9340603325172</v>
      </c>
      <c r="AJ20" s="14">
        <f>SUMPRODUCT(AE20:AI20,基础状态预期!$F33:$J33)/SUM(基础状态预期!$F33:$J33)</f>
        <v>5817.9340603325172</v>
      </c>
      <c r="AK20" s="14" t="str">
        <f>IF(基础状态预期!U33="","",H$27+(基础状态预期!U33-1)*H$28)</f>
        <v/>
      </c>
      <c r="AL20" s="14" t="str">
        <f>IF(基础状态预期!V33="","",I$27+(基础状态预期!V33-1)*I$28)</f>
        <v/>
      </c>
      <c r="AM20" s="14" t="str">
        <f>IF(基础状态预期!W33="","",J$27+(基础状态预期!W33-1)*J$28)</f>
        <v/>
      </c>
      <c r="AN20" s="14" t="str">
        <f>IF(基础状态预期!X33="","",K$27+(基础状态预期!X33-1)*K$28)</f>
        <v/>
      </c>
      <c r="AO20" s="14">
        <f>IF(基础状态预期!Y33="","",L$27+(基础状态预期!Y33-1)*L$28)</f>
        <v>2672.6446867775057</v>
      </c>
      <c r="AP20" s="14">
        <f>SUMPRODUCT(AK20:AO20,基础状态预期!$F33:$J33)/SUM(基础状态预期!$F33:$J33)</f>
        <v>2672.6446867775057</v>
      </c>
      <c r="AQ20" s="14" t="str">
        <f>IF(基础状态预期!U33="","",H$31+(基础状态预期!U33-1)*H$32)</f>
        <v/>
      </c>
      <c r="AR20" s="14" t="str">
        <f>IF(基础状态预期!V33="","",I$31+(基础状态预期!V33-1)*I$32)</f>
        <v/>
      </c>
      <c r="AS20" s="14" t="str">
        <f>IF(基础状态预期!W33="","",J$31+(基础状态预期!W33-1)*J$32)</f>
        <v/>
      </c>
      <c r="AT20" s="14" t="str">
        <f>IF(基础状态预期!X33="","",K$31+(基础状态预期!X33-1)*K$32)</f>
        <v/>
      </c>
      <c r="AU20" s="14">
        <f>IF(基础状态预期!Y33="","",L$31+(基础状态预期!Y33-1)*L$32)</f>
        <v>187.26446867775059</v>
      </c>
      <c r="AV20" s="14">
        <f>SUMPRODUCT(AQ20:AU20,基础状态预期!$F33:$J33)/SUM(基础状态预期!$F33:$J33)</f>
        <v>187.26446867775061</v>
      </c>
      <c r="BO20" s="29">
        <f t="shared" si="9"/>
        <v>84.132234338875293</v>
      </c>
      <c r="BP20" s="10">
        <f t="shared" si="15"/>
        <v>5700577588.8501816</v>
      </c>
      <c r="BQ20" s="10" t="e">
        <f>$BP20*求节点('[1]功能-付费相关'!$AY$6:$AY$165,'[1]功能-付费相关'!$AZ$6:$AZ$165,$BO20)+$BQ19</f>
        <v>#VALUE!</v>
      </c>
      <c r="BY20" s="5" t="e">
        <f>求节点('[1]资源-武将经验'!S$6:S$105,'[1]资源-武将经验'!R$6:R$105,Q42)/6</f>
        <v>#VALUE!</v>
      </c>
      <c r="BZ20" s="4">
        <f t="shared" si="16"/>
        <v>200</v>
      </c>
      <c r="CA20" s="4">
        <v>17</v>
      </c>
      <c r="CB20" s="90">
        <f t="shared" si="17"/>
        <v>1720</v>
      </c>
      <c r="CC20" s="4">
        <f>SUM(CB$4:CB20)</f>
        <v>10940</v>
      </c>
      <c r="CD20" s="4">
        <f t="shared" si="10"/>
        <v>1.0458891013384322</v>
      </c>
    </row>
    <row r="21" spans="1:82" x14ac:dyDescent="0.15">
      <c r="A21" s="4">
        <v>1760</v>
      </c>
      <c r="B21" s="14">
        <v>34</v>
      </c>
      <c r="C21" s="14">
        <f t="shared" si="18"/>
        <v>14200</v>
      </c>
      <c r="D21" s="14">
        <f>SUM(C$5:$C21)</f>
        <v>83240</v>
      </c>
      <c r="E21" s="89">
        <f>'[1]资源-武将经验'!$Z22</f>
        <v>0.79191694429575077</v>
      </c>
      <c r="P21" s="5">
        <v>21</v>
      </c>
      <c r="Q21" s="14">
        <f>基础状态预期!D34</f>
        <v>86.465948248806328</v>
      </c>
      <c r="R21" s="14">
        <f>IF(基础状态预期!U34="",0,求节点($B$5:$B$154,$D$5:$D$154,基础状态预期!U34)*基础状态预期!F34)</f>
        <v>0</v>
      </c>
      <c r="S21" s="14">
        <f>IF(基础状态预期!V34="",0,求节点($B$5:$B$154,$D$5:$D$154,基础状态预期!V34)*基础状态预期!G34)</f>
        <v>0</v>
      </c>
      <c r="T21" s="14">
        <f>IF(基础状态预期!W34="",0,求节点($B$5:$B$154,$D$5:$D$154,基础状态预期!W34)*基础状态预期!H34)</f>
        <v>0</v>
      </c>
      <c r="U21" s="14">
        <f>IF(基础状态预期!X34="",0,求节点($B$5:$B$154,$D$5:$D$154,基础状态预期!X34)*基础状态预期!I34)</f>
        <v>0</v>
      </c>
      <c r="V21" s="14">
        <f>IF(基础状态预期!Y34="",0,求节点($B$5:$B$154,$D$5:$D$154,基础状态预期!Y34)*基础状态预期!J34)</f>
        <v>32937196113.343918</v>
      </c>
      <c r="W21" s="14">
        <f t="shared" si="24"/>
        <v>32937196113.343918</v>
      </c>
      <c r="Y21" s="14" t="str">
        <f>IF(基础状态预期!U34="","",H$8+(基础状态预期!U34-1)*H$11)</f>
        <v/>
      </c>
      <c r="Z21" s="14" t="str">
        <f>IF(基础状态预期!V34="","",I$8+(基础状态预期!V34-1)*I$11)</f>
        <v/>
      </c>
      <c r="AA21" s="14" t="str">
        <f>IF(基础状态预期!W34="","",J$8+(基础状态预期!W34-1)*J$11)</f>
        <v/>
      </c>
      <c r="AB21" s="14" t="str">
        <f>IF(基础状态预期!X34="","",K$8+(基础状态预期!X34-1)*K$11)</f>
        <v/>
      </c>
      <c r="AC21" s="14">
        <f>IF(基础状态预期!Y34="","",L$8+(基础状态预期!Y34-1)*L$11)</f>
        <v>5957.9568949283794</v>
      </c>
      <c r="AD21" s="14">
        <f>SUMPRODUCT(Y21:AC21,基础状态预期!$F34:$J34)/SUM(基础状态预期!$F34:$J34)</f>
        <v>5957.9568949283794</v>
      </c>
      <c r="AE21" s="14" t="str">
        <f>IF(基础状态预期!U34="","",H$9+(基础状态预期!U34-1)*H$12)</f>
        <v/>
      </c>
      <c r="AF21" s="14" t="str">
        <f>IF(基础状态预期!V34="","",I$9+(基础状态预期!V34-1)*I$12)</f>
        <v/>
      </c>
      <c r="AG21" s="14" t="str">
        <f>IF(基础状态预期!W34="","",J$9+(基础状态预期!W34-1)*J$12)</f>
        <v/>
      </c>
      <c r="AH21" s="14" t="str">
        <f>IF(基础状态预期!X34="","",K$9+(基础状态预期!X34-1)*K$12)</f>
        <v/>
      </c>
      <c r="AI21" s="14">
        <f>IF(基础状态预期!Y34="","",L$9+(基础状态预期!Y34-1)*L$12)</f>
        <v>5957.9568949283794</v>
      </c>
      <c r="AJ21" s="14">
        <f>SUMPRODUCT(AE21:AI21,基础状态预期!$F34:$J34)/SUM(基础状态预期!$F34:$J34)</f>
        <v>5957.9568949283794</v>
      </c>
      <c r="AK21" s="14" t="str">
        <f>IF(基础状态预期!U34="","",H$27+(基础状态预期!U34-1)*H$28)</f>
        <v/>
      </c>
      <c r="AL21" s="14" t="str">
        <f>IF(基础状态预期!V34="","",I$27+(基础状态预期!V34-1)*I$28)</f>
        <v/>
      </c>
      <c r="AM21" s="14" t="str">
        <f>IF(基础状态预期!W34="","",J$27+(基础状态预期!W34-1)*J$28)</f>
        <v/>
      </c>
      <c r="AN21" s="14" t="str">
        <f>IF(基础状态预期!X34="","",K$27+(基础状态预期!X34-1)*K$28)</f>
        <v/>
      </c>
      <c r="AO21" s="14">
        <f>IF(基础状态预期!Y34="","",L$27+(基础状态预期!Y34-1)*L$28)</f>
        <v>2719.3189649761266</v>
      </c>
      <c r="AP21" s="14">
        <f>SUMPRODUCT(AK21:AO21,基础状态预期!$F34:$J34)/SUM(基础状态预期!$F34:$J34)</f>
        <v>2719.3189649761266</v>
      </c>
      <c r="AQ21" s="14" t="str">
        <f>IF(基础状态预期!U34="","",H$31+(基础状态预期!U34-1)*H$32)</f>
        <v/>
      </c>
      <c r="AR21" s="14" t="str">
        <f>IF(基础状态预期!V34="","",I$31+(基础状态预期!V34-1)*I$32)</f>
        <v/>
      </c>
      <c r="AS21" s="14" t="str">
        <f>IF(基础状态预期!W34="","",J$31+(基础状态预期!W34-1)*J$32)</f>
        <v/>
      </c>
      <c r="AT21" s="14" t="str">
        <f>IF(基础状态预期!X34="","",K$31+(基础状态预期!X34-1)*K$32)</f>
        <v/>
      </c>
      <c r="AU21" s="14">
        <f>IF(基础状态预期!Y34="","",L$31+(基础状态预期!Y34-1)*L$32)</f>
        <v>191.93189649761266</v>
      </c>
      <c r="AV21" s="14">
        <f>SUMPRODUCT(AQ21:AU21,基础状态预期!$F34:$J34)/SUM(基础状态预期!$F34:$J34)</f>
        <v>191.93189649761266</v>
      </c>
      <c r="BO21" s="29">
        <f t="shared" si="9"/>
        <v>86.465948248806328</v>
      </c>
      <c r="BP21" s="10">
        <f t="shared" si="15"/>
        <v>10461960667.333344</v>
      </c>
      <c r="BQ21" s="10" t="e">
        <f>$BP21*求节点('[1]功能-付费相关'!$AY$6:$AY$165,'[1]功能-付费相关'!$AZ$6:$AZ$165,$BO21)+$BQ20</f>
        <v>#VALUE!</v>
      </c>
      <c r="BZ21" s="4">
        <f t="shared" si="16"/>
        <v>230</v>
      </c>
      <c r="CA21" s="4">
        <v>18</v>
      </c>
      <c r="CB21" s="90">
        <f t="shared" si="17"/>
        <v>1950</v>
      </c>
      <c r="CC21" s="4">
        <f>SUM(CB$4:CB21)</f>
        <v>12890</v>
      </c>
      <c r="CD21" s="4">
        <f t="shared" si="10"/>
        <v>1.0565573770491803</v>
      </c>
    </row>
    <row r="22" spans="1:82" x14ac:dyDescent="0.15">
      <c r="A22" s="4">
        <v>1880</v>
      </c>
      <c r="B22" s="14">
        <v>36</v>
      </c>
      <c r="C22" s="14">
        <f t="shared" si="18"/>
        <v>16080</v>
      </c>
      <c r="D22" s="14">
        <f>SUM(C$5:$C22)</f>
        <v>99320</v>
      </c>
      <c r="E22" s="89">
        <f>'[1]资源-武将经验'!$Z23</f>
        <v>0.85398141855694087</v>
      </c>
      <c r="P22" s="5">
        <v>22</v>
      </c>
      <c r="Q22" s="14">
        <f>基础状态预期!D35</f>
        <v>90.244911202258237</v>
      </c>
      <c r="R22" s="14">
        <f>IF(基础状态预期!U35="",0,求节点($B$5:$B$154,$D$5:$D$154,基础状态预期!U35)*基础状态预期!F35)</f>
        <v>0</v>
      </c>
      <c r="S22" s="14">
        <f>IF(基础状态预期!V35="",0,求节点($B$5:$B$154,$D$5:$D$154,基础状态预期!V35)*基础状态预期!G35)</f>
        <v>0</v>
      </c>
      <c r="T22" s="14">
        <f>IF(基础状态预期!W35="",0,求节点($B$5:$B$154,$D$5:$D$154,基础状态预期!W35)*基础状态预期!H35)</f>
        <v>0</v>
      </c>
      <c r="U22" s="14">
        <f>IF(基础状态预期!X35="",0,求节点($B$5:$B$154,$D$5:$D$154,基础状态预期!X35)*基础状态预期!I35)</f>
        <v>0</v>
      </c>
      <c r="V22" s="14">
        <f>IF(基础状态预期!Y35="",0,求节点($B$5:$B$154,$D$5:$D$154,基础状态预期!Y35)*基础状态预期!J35)</f>
        <v>60774522816.232155</v>
      </c>
      <c r="W22" s="14">
        <f t="shared" si="24"/>
        <v>60774522816.232155</v>
      </c>
      <c r="Y22" s="14" t="str">
        <f>IF(基础状态预期!U35="","",H$8+(基础状态预期!U35-1)*H$11)</f>
        <v/>
      </c>
      <c r="Z22" s="14" t="str">
        <f>IF(基础状态预期!V35="","",I$8+(基础状态预期!V35-1)*I$11)</f>
        <v/>
      </c>
      <c r="AA22" s="14" t="str">
        <f>IF(基础状态预期!W35="","",J$8+(基础状态预期!W35-1)*J$11)</f>
        <v/>
      </c>
      <c r="AB22" s="14" t="str">
        <f>IF(基础状态预期!X35="","",K$8+(基础状态预期!X35-1)*K$11)</f>
        <v/>
      </c>
      <c r="AC22" s="14">
        <f>IF(基础状态预期!Y35="","",L$8+(基础状态预期!Y35-1)*L$11)</f>
        <v>6184.6946721354943</v>
      </c>
      <c r="AD22" s="14">
        <f>SUMPRODUCT(Y22:AC22,基础状态预期!$F35:$J35)/SUM(基础状态预期!$F35:$J35)</f>
        <v>6184.6946721354943</v>
      </c>
      <c r="AE22" s="14" t="str">
        <f>IF(基础状态预期!U35="","",H$9+(基础状态预期!U35-1)*H$12)</f>
        <v/>
      </c>
      <c r="AF22" s="14" t="str">
        <f>IF(基础状态预期!V35="","",I$9+(基础状态预期!V35-1)*I$12)</f>
        <v/>
      </c>
      <c r="AG22" s="14" t="str">
        <f>IF(基础状态预期!W35="","",J$9+(基础状态预期!W35-1)*J$12)</f>
        <v/>
      </c>
      <c r="AH22" s="14" t="str">
        <f>IF(基础状态预期!X35="","",K$9+(基础状态预期!X35-1)*K$12)</f>
        <v/>
      </c>
      <c r="AI22" s="14">
        <f>IF(基础状态预期!Y35="","",L$9+(基础状态预期!Y35-1)*L$12)</f>
        <v>6184.6946721354943</v>
      </c>
      <c r="AJ22" s="14">
        <f>SUMPRODUCT(AE22:AI22,基础状态预期!$F35:$J35)/SUM(基础状态预期!$F35:$J35)</f>
        <v>6184.6946721354943</v>
      </c>
      <c r="AK22" s="14" t="str">
        <f>IF(基础状态预期!U35="","",H$27+(基础状态预期!U35-1)*H$28)</f>
        <v/>
      </c>
      <c r="AL22" s="14" t="str">
        <f>IF(基础状态预期!V35="","",I$27+(基础状态预期!V35-1)*I$28)</f>
        <v/>
      </c>
      <c r="AM22" s="14" t="str">
        <f>IF(基础状态预期!W35="","",J$27+(基础状态预期!W35-1)*J$28)</f>
        <v/>
      </c>
      <c r="AN22" s="14" t="str">
        <f>IF(基础状态预期!X35="","",K$27+(基础状态预期!X35-1)*K$28)</f>
        <v/>
      </c>
      <c r="AO22" s="14">
        <f>IF(基础状态预期!Y35="","",L$27+(基础状态预期!Y35-1)*L$28)</f>
        <v>2794.8982240451646</v>
      </c>
      <c r="AP22" s="14">
        <f>SUMPRODUCT(AK22:AO22,基础状态预期!$F35:$J35)/SUM(基础状态预期!$F35:$J35)</f>
        <v>2794.8982240451646</v>
      </c>
      <c r="AQ22" s="14" t="str">
        <f>IF(基础状态预期!U35="","",H$31+(基础状态预期!U35-1)*H$32)</f>
        <v/>
      </c>
      <c r="AR22" s="14" t="str">
        <f>IF(基础状态预期!V35="","",I$31+(基础状态预期!V35-1)*I$32)</f>
        <v/>
      </c>
      <c r="AS22" s="14" t="str">
        <f>IF(基础状态预期!W35="","",J$31+(基础状态预期!W35-1)*J$32)</f>
        <v/>
      </c>
      <c r="AT22" s="14" t="str">
        <f>IF(基础状态预期!X35="","",K$31+(基础状态预期!X35-1)*K$32)</f>
        <v/>
      </c>
      <c r="AU22" s="14">
        <f>IF(基础状态预期!Y35="","",L$31+(基础状态预期!Y35-1)*L$32)</f>
        <v>199.48982240451647</v>
      </c>
      <c r="AV22" s="14">
        <f>SUMPRODUCT(AQ22:AU22,基础状态预期!$F35:$J35)/SUM(基础状态预期!$F35:$J35)</f>
        <v>199.4898224045165</v>
      </c>
      <c r="BO22" s="29">
        <f t="shared" si="9"/>
        <v>90.244911202258237</v>
      </c>
      <c r="BP22" s="10">
        <f t="shared" si="15"/>
        <v>27837326702.888237</v>
      </c>
      <c r="BQ22" s="10" t="e">
        <f>$BP22*求节点('[1]功能-付费相关'!$AY$6:$AY$165,'[1]功能-付费相关'!$AZ$6:$AZ$165,$BO22)+$BQ21</f>
        <v>#VALUE!</v>
      </c>
      <c r="BZ22" s="4">
        <f t="shared" si="16"/>
        <v>230</v>
      </c>
      <c r="CA22" s="4">
        <v>19</v>
      </c>
      <c r="CB22" s="90">
        <f t="shared" si="17"/>
        <v>2180</v>
      </c>
      <c r="CC22" s="4">
        <f>SUM(CB$4:CB22)</f>
        <v>15070</v>
      </c>
      <c r="CD22" s="4">
        <f t="shared" si="10"/>
        <v>1.0465277777777777</v>
      </c>
    </row>
    <row r="23" spans="1:82" x14ac:dyDescent="0.15">
      <c r="A23" s="4">
        <v>2000</v>
      </c>
      <c r="B23" s="14">
        <v>38</v>
      </c>
      <c r="C23" s="14">
        <f t="shared" si="18"/>
        <v>18080</v>
      </c>
      <c r="D23" s="14">
        <f>SUM(C$5:$C23)</f>
        <v>117400</v>
      </c>
      <c r="E23" s="89">
        <f>'[1]资源-武将经验'!$Z24</f>
        <v>0.93013889408664208</v>
      </c>
      <c r="P23" s="5">
        <v>23</v>
      </c>
      <c r="Q23" s="14">
        <f>基础状态预期!D36</f>
        <v>93.235489905456092</v>
      </c>
      <c r="R23" s="14">
        <f>IF(基础状态预期!U36="",0,求节点($B$5:$B$154,$D$5:$D$154,基础状态预期!U36)*基础状态预期!F36)</f>
        <v>0</v>
      </c>
      <c r="S23" s="14">
        <f>IF(基础状态预期!V36="",0,求节点($B$5:$B$154,$D$5:$D$154,基础状态预期!V36)*基础状态预期!G36)</f>
        <v>0</v>
      </c>
      <c r="T23" s="14">
        <f>IF(基础状态预期!W36="",0,求节点($B$5:$B$154,$D$5:$D$154,基础状态预期!W36)*基础状态预期!H36)</f>
        <v>0</v>
      </c>
      <c r="U23" s="14">
        <f>IF(基础状态预期!X36="",0,求节点($B$5:$B$154,$D$5:$D$154,基础状态预期!X36)*基础状态预期!I36)</f>
        <v>0</v>
      </c>
      <c r="V23" s="14">
        <f>IF(基础状态预期!Y36="",0,求节点($B$5:$B$154,$D$5:$D$154,基础状态预期!Y36)*基础状态预期!J36)</f>
        <v>98396359604.614838</v>
      </c>
      <c r="W23" s="14">
        <f t="shared" si="24"/>
        <v>98396359604.614838</v>
      </c>
      <c r="Y23" s="14" t="str">
        <f>IF(基础状态预期!U36="","",H$8+(基础状态预期!U36-1)*H$11)</f>
        <v/>
      </c>
      <c r="Z23" s="14" t="str">
        <f>IF(基础状态预期!V36="","",I$8+(基础状态预期!V36-1)*I$11)</f>
        <v/>
      </c>
      <c r="AA23" s="14" t="str">
        <f>IF(基础状态预期!W36="","",J$8+(基础状态预期!W36-1)*J$11)</f>
        <v/>
      </c>
      <c r="AB23" s="14" t="str">
        <f>IF(基础状态预期!X36="","",K$8+(基础状态预期!X36-1)*K$11)</f>
        <v/>
      </c>
      <c r="AC23" s="14">
        <f>IF(基础状态预期!Y36="","",L$8+(基础状态预期!Y36-1)*L$11)</f>
        <v>6364.1293943273658</v>
      </c>
      <c r="AD23" s="14">
        <f>SUMPRODUCT(Y23:AC23,基础状态预期!$F36:$J36)/SUM(基础状态预期!$F36:$J36)</f>
        <v>6364.1293943273658</v>
      </c>
      <c r="AE23" s="14" t="str">
        <f>IF(基础状态预期!U36="","",H$9+(基础状态预期!U36-1)*H$12)</f>
        <v/>
      </c>
      <c r="AF23" s="14" t="str">
        <f>IF(基础状态预期!V36="","",I$9+(基础状态预期!V36-1)*I$12)</f>
        <v/>
      </c>
      <c r="AG23" s="14" t="str">
        <f>IF(基础状态预期!W36="","",J$9+(基础状态预期!W36-1)*J$12)</f>
        <v/>
      </c>
      <c r="AH23" s="14" t="str">
        <f>IF(基础状态预期!X36="","",K$9+(基础状态预期!X36-1)*K$12)</f>
        <v/>
      </c>
      <c r="AI23" s="14">
        <f>IF(基础状态预期!Y36="","",L$9+(基础状态预期!Y36-1)*L$12)</f>
        <v>6364.1293943273658</v>
      </c>
      <c r="AJ23" s="14">
        <f>SUMPRODUCT(AE23:AI23,基础状态预期!$F36:$J36)/SUM(基础状态预期!$F36:$J36)</f>
        <v>6364.1293943273658</v>
      </c>
      <c r="AK23" s="14" t="str">
        <f>IF(基础状态预期!U36="","",H$27+(基础状态预期!U36-1)*H$28)</f>
        <v/>
      </c>
      <c r="AL23" s="14" t="str">
        <f>IF(基础状态预期!V36="","",I$27+(基础状态预期!V36-1)*I$28)</f>
        <v/>
      </c>
      <c r="AM23" s="14" t="str">
        <f>IF(基础状态预期!W36="","",J$27+(基础状态预期!W36-1)*J$28)</f>
        <v/>
      </c>
      <c r="AN23" s="14" t="str">
        <f>IF(基础状态预期!X36="","",K$27+(基础状态预期!X36-1)*K$28)</f>
        <v/>
      </c>
      <c r="AO23" s="14">
        <f>IF(基础状态预期!Y36="","",L$27+(基础状态预期!Y36-1)*L$28)</f>
        <v>2854.7097981091219</v>
      </c>
      <c r="AP23" s="14">
        <f>SUMPRODUCT(AK23:AO23,基础状态预期!$F36:$J36)/SUM(基础状态预期!$F36:$J36)</f>
        <v>2854.7097981091224</v>
      </c>
      <c r="AQ23" s="14" t="str">
        <f>IF(基础状态预期!U36="","",H$31+(基础状态预期!U36-1)*H$32)</f>
        <v/>
      </c>
      <c r="AR23" s="14" t="str">
        <f>IF(基础状态预期!V36="","",I$31+(基础状态预期!V36-1)*I$32)</f>
        <v/>
      </c>
      <c r="AS23" s="14" t="str">
        <f>IF(基础状态预期!W36="","",J$31+(基础状态预期!W36-1)*J$32)</f>
        <v/>
      </c>
      <c r="AT23" s="14" t="str">
        <f>IF(基础状态预期!X36="","",K$31+(基础状态预期!X36-1)*K$32)</f>
        <v/>
      </c>
      <c r="AU23" s="14">
        <f>IF(基础状态预期!Y36="","",L$31+(基础状态预期!Y36-1)*L$32)</f>
        <v>205.47097981091218</v>
      </c>
      <c r="AV23" s="14">
        <f>SUMPRODUCT(AQ23:AU23,基础状态预期!$F36:$J36)/SUM(基础状态预期!$F36:$J36)</f>
        <v>205.47097981091216</v>
      </c>
      <c r="BO23" s="29">
        <f t="shared" si="9"/>
        <v>93.235489905456092</v>
      </c>
      <c r="BP23" s="10">
        <f t="shared" si="15"/>
        <v>37621836788.382683</v>
      </c>
      <c r="BQ23" s="10" t="e">
        <f>$BP23*求节点('[1]功能-付费相关'!$AY$6:$AY$165,'[1]功能-付费相关'!$AZ$6:$AZ$165,$BO23)+$BQ22</f>
        <v>#VALUE!</v>
      </c>
      <c r="BZ23" s="4">
        <f t="shared" si="16"/>
        <v>260</v>
      </c>
      <c r="CA23" s="4">
        <v>20</v>
      </c>
      <c r="CB23" s="90">
        <f t="shared" si="17"/>
        <v>2440</v>
      </c>
      <c r="CC23" s="4">
        <f>SUM(CB$4:CB23)</f>
        <v>17510</v>
      </c>
      <c r="CD23" s="4">
        <f t="shared" si="10"/>
        <v>1.0548192771084337</v>
      </c>
    </row>
    <row r="24" spans="1:82" x14ac:dyDescent="0.15">
      <c r="A24" s="4">
        <v>2120</v>
      </c>
      <c r="B24" s="14">
        <v>40</v>
      </c>
      <c r="C24" s="14">
        <f t="shared" si="18"/>
        <v>20200</v>
      </c>
      <c r="D24" s="14">
        <f>SUM(C$5:$C24)</f>
        <v>137600</v>
      </c>
      <c r="E24" s="89">
        <f>'[1]资源-武将经验'!$Z25</f>
        <v>1.0167538872235589</v>
      </c>
      <c r="P24" s="5">
        <v>24</v>
      </c>
      <c r="Q24" s="14">
        <f>基础状态预期!D37</f>
        <v>96.807063977001675</v>
      </c>
      <c r="R24" s="14">
        <f>IF(基础状态预期!U37="",0,求节点($B$5:$B$154,$D$5:$D$154,基础状态预期!U37)*基础状态预期!F37)</f>
        <v>0</v>
      </c>
      <c r="S24" s="14">
        <f>IF(基础状态预期!V37="",0,求节点($B$5:$B$154,$D$5:$D$154,基础状态预期!V37)*基础状态预期!G37)</f>
        <v>0</v>
      </c>
      <c r="T24" s="14">
        <f>IF(基础状态预期!W37="",0,求节点($B$5:$B$154,$D$5:$D$154,基础状态预期!W37)*基础状态预期!H37)</f>
        <v>0</v>
      </c>
      <c r="U24" s="14">
        <f>IF(基础状态预期!X37="",0,求节点($B$5:$B$154,$D$5:$D$154,基础状态预期!X37)*基础状态预期!I37)</f>
        <v>0</v>
      </c>
      <c r="V24" s="14">
        <f>IF(基础状态预期!Y37="",0,求节点($B$5:$B$154,$D$5:$D$154,基础状态预期!Y37)*基础状态预期!J37)</f>
        <v>173995392069.77505</v>
      </c>
      <c r="W24" s="14">
        <f t="shared" si="24"/>
        <v>173995392069.77505</v>
      </c>
      <c r="Y24" s="14" t="str">
        <f>IF(基础状态预期!U37="","",H$8+(基础状态预期!U37-1)*H$11)</f>
        <v/>
      </c>
      <c r="Z24" s="14" t="str">
        <f>IF(基础状态预期!V37="","",I$8+(基础状态预期!V37-1)*I$11)</f>
        <v/>
      </c>
      <c r="AA24" s="14" t="str">
        <f>IF(基础状态预期!W37="","",J$8+(基础状态预期!W37-1)*J$11)</f>
        <v/>
      </c>
      <c r="AB24" s="14" t="str">
        <f>IF(基础状态预期!X37="","",K$8+(基础状态预期!X37-1)*K$11)</f>
        <v/>
      </c>
      <c r="AC24" s="14">
        <f>IF(基础状态预期!Y37="","",L$8+(基础状态预期!Y37-1)*L$11)</f>
        <v>6578.4238386201005</v>
      </c>
      <c r="AD24" s="14">
        <f>SUMPRODUCT(Y24:AC24,基础状态预期!$F37:$J37)/SUM(基础状态预期!$F37:$J37)</f>
        <v>6578.4238386201005</v>
      </c>
      <c r="AE24" s="14" t="str">
        <f>IF(基础状态预期!U37="","",H$9+(基础状态预期!U37-1)*H$12)</f>
        <v/>
      </c>
      <c r="AF24" s="14" t="str">
        <f>IF(基础状态预期!V37="","",I$9+(基础状态预期!V37-1)*I$12)</f>
        <v/>
      </c>
      <c r="AG24" s="14" t="str">
        <f>IF(基础状态预期!W37="","",J$9+(基础状态预期!W37-1)*J$12)</f>
        <v/>
      </c>
      <c r="AH24" s="14" t="str">
        <f>IF(基础状态预期!X37="","",K$9+(基础状态预期!X37-1)*K$12)</f>
        <v/>
      </c>
      <c r="AI24" s="14">
        <f>IF(基础状态预期!Y37="","",L$9+(基础状态预期!Y37-1)*L$12)</f>
        <v>6578.4238386201005</v>
      </c>
      <c r="AJ24" s="14">
        <f>SUMPRODUCT(AE24:AI24,基础状态预期!$F37:$J37)/SUM(基础状态预期!$F37:$J37)</f>
        <v>6578.4238386201005</v>
      </c>
      <c r="AK24" s="14" t="str">
        <f>IF(基础状态预期!U37="","",H$27+(基础状态预期!U37-1)*H$28)</f>
        <v/>
      </c>
      <c r="AL24" s="14" t="str">
        <f>IF(基础状态预期!V37="","",I$27+(基础状态预期!V37-1)*I$28)</f>
        <v/>
      </c>
      <c r="AM24" s="14" t="str">
        <f>IF(基础状态预期!W37="","",J$27+(基础状态预期!W37-1)*J$28)</f>
        <v/>
      </c>
      <c r="AN24" s="14" t="str">
        <f>IF(基础状态预期!X37="","",K$27+(基础状态预期!X37-1)*K$28)</f>
        <v/>
      </c>
      <c r="AO24" s="14">
        <f>IF(基础状态预期!Y37="","",L$27+(基础状态预期!Y37-1)*L$28)</f>
        <v>2926.1412795400338</v>
      </c>
      <c r="AP24" s="14">
        <f>SUMPRODUCT(AK24:AO24,基础状态预期!$F37:$J37)/SUM(基础状态预期!$F37:$J37)</f>
        <v>2926.1412795400338</v>
      </c>
      <c r="AQ24" s="14" t="str">
        <f>IF(基础状态预期!U37="","",H$31+(基础状态预期!U37-1)*H$32)</f>
        <v/>
      </c>
      <c r="AR24" s="14" t="str">
        <f>IF(基础状态预期!V37="","",I$31+(基础状态预期!V37-1)*I$32)</f>
        <v/>
      </c>
      <c r="AS24" s="14" t="str">
        <f>IF(基础状态预期!W37="","",J$31+(基础状态预期!W37-1)*J$32)</f>
        <v/>
      </c>
      <c r="AT24" s="14" t="str">
        <f>IF(基础状态预期!X37="","",K$31+(基础状态预期!X37-1)*K$32)</f>
        <v/>
      </c>
      <c r="AU24" s="14">
        <f>IF(基础状态预期!Y37="","",L$31+(基础状态预期!Y37-1)*L$32)</f>
        <v>212.61412795400335</v>
      </c>
      <c r="AV24" s="14">
        <f>SUMPRODUCT(AQ24:AU24,基础状态预期!$F37:$J37)/SUM(基础状态预期!$F37:$J37)</f>
        <v>212.61412795400335</v>
      </c>
      <c r="BO24" s="29">
        <f t="shared" si="9"/>
        <v>96.807063977001675</v>
      </c>
      <c r="BP24" s="10">
        <f t="shared" si="15"/>
        <v>75599032465.160217</v>
      </c>
      <c r="BQ24" s="10" t="e">
        <f>$BP24*求节点('[1]功能-付费相关'!$AY$6:$AY$165,'[1]功能-付费相关'!$AZ$6:$AZ$165,$BO24)+$BQ23</f>
        <v>#VALUE!</v>
      </c>
      <c r="BZ24" s="4">
        <f t="shared" si="16"/>
        <v>260</v>
      </c>
      <c r="CA24" s="4">
        <v>21</v>
      </c>
      <c r="CB24" s="90">
        <f t="shared" si="17"/>
        <v>2700</v>
      </c>
      <c r="CC24" s="4">
        <f>SUM(CB$4:CB24)</f>
        <v>20210</v>
      </c>
      <c r="CD24" s="4">
        <f t="shared" si="10"/>
        <v>1.0460662525879918</v>
      </c>
    </row>
    <row r="25" spans="1:82" x14ac:dyDescent="0.15">
      <c r="A25" s="99">
        <f>INT(A24*1.38/100)*100</f>
        <v>2900</v>
      </c>
      <c r="B25" s="14">
        <v>42</v>
      </c>
      <c r="C25" s="14">
        <f t="shared" si="18"/>
        <v>23100</v>
      </c>
      <c r="D25" s="14">
        <f>SUM(C$5:$C25)</f>
        <v>160700</v>
      </c>
      <c r="E25" s="89">
        <f>'[1]资源-武将经验'!$Z26</f>
        <v>0.87887371911677448</v>
      </c>
      <c r="P25" s="5">
        <v>25</v>
      </c>
      <c r="Q25" s="14">
        <f>基础状态预期!D38</f>
        <v>100.50342858241972</v>
      </c>
      <c r="R25" s="14">
        <f>IF(基础状态预期!U38="",0,求节点($B$5:$B$154,$D$5:$D$154,基础状态预期!U38)*基础状态预期!F38)</f>
        <v>0</v>
      </c>
      <c r="S25" s="14">
        <f>IF(基础状态预期!V38="",0,求节点($B$5:$B$154,$D$5:$D$154,基础状态预期!V38)*基础状态预期!G38)</f>
        <v>0</v>
      </c>
      <c r="T25" s="14">
        <f>IF(基础状态预期!W38="",0,求节点($B$5:$B$154,$D$5:$D$154,基础状态预期!W38)*基础状态预期!H38)</f>
        <v>0</v>
      </c>
      <c r="U25" s="14">
        <f>IF(基础状态预期!X38="",0,求节点($B$5:$B$154,$D$5:$D$154,基础状态预期!X38)*基础状态预期!I38)</f>
        <v>0</v>
      </c>
      <c r="V25" s="14">
        <f>IF(基础状态预期!Y38="",0,求节点($B$5:$B$154,$D$5:$D$154,基础状态预期!Y38)*基础状态预期!J38)</f>
        <v>310330736701.58435</v>
      </c>
      <c r="W25" s="14">
        <f t="shared" si="24"/>
        <v>310330736701.58435</v>
      </c>
      <c r="Y25" s="14" t="str">
        <f>IF(基础状态预期!U38="","",H$8+(基础状态预期!U38-1)*H$11)</f>
        <v/>
      </c>
      <c r="Z25" s="14" t="str">
        <f>IF(基础状态预期!V38="","",I$8+(基础状态预期!V38-1)*I$11)</f>
        <v/>
      </c>
      <c r="AA25" s="14" t="str">
        <f>IF(基础状态预期!W38="","",J$8+(基础状态预期!W38-1)*J$11)</f>
        <v/>
      </c>
      <c r="AB25" s="14" t="str">
        <f>IF(基础状态预期!X38="","",K$8+(基础状态预期!X38-1)*K$11)</f>
        <v/>
      </c>
      <c r="AC25" s="14">
        <f>IF(基础状态预期!Y38="","",L$8+(基础状态预期!Y38-1)*L$11)</f>
        <v>6800.205714945183</v>
      </c>
      <c r="AD25" s="14">
        <f>SUMPRODUCT(Y25:AC25,基础状态预期!$F38:$J38)/SUM(基础状态预期!$F38:$J38)</f>
        <v>6800.205714945183</v>
      </c>
      <c r="AE25" s="14" t="str">
        <f>IF(基础状态预期!U38="","",H$9+(基础状态预期!U38-1)*H$12)</f>
        <v/>
      </c>
      <c r="AF25" s="14" t="str">
        <f>IF(基础状态预期!V38="","",I$9+(基础状态预期!V38-1)*I$12)</f>
        <v/>
      </c>
      <c r="AG25" s="14" t="str">
        <f>IF(基础状态预期!W38="","",J$9+(基础状态预期!W38-1)*J$12)</f>
        <v/>
      </c>
      <c r="AH25" s="14" t="str">
        <f>IF(基础状态预期!X38="","",K$9+(基础状态预期!X38-1)*K$12)</f>
        <v/>
      </c>
      <c r="AI25" s="14">
        <f>IF(基础状态预期!Y38="","",L$9+(基础状态预期!Y38-1)*L$12)</f>
        <v>6800.205714945183</v>
      </c>
      <c r="AJ25" s="14">
        <f>SUMPRODUCT(AE25:AI25,基础状态预期!$F38:$J38)/SUM(基础状态预期!$F38:$J38)</f>
        <v>6800.205714945183</v>
      </c>
      <c r="AK25" s="14" t="str">
        <f>IF(基础状态预期!U38="","",H$27+(基础状态预期!U38-1)*H$28)</f>
        <v/>
      </c>
      <c r="AL25" s="14" t="str">
        <f>IF(基础状态预期!V38="","",I$27+(基础状态预期!V38-1)*I$28)</f>
        <v/>
      </c>
      <c r="AM25" s="14" t="str">
        <f>IF(基础状态预期!W38="","",J$27+(基础状态预期!W38-1)*J$28)</f>
        <v/>
      </c>
      <c r="AN25" s="14" t="str">
        <f>IF(基础状态预期!X38="","",K$27+(基础状态预期!X38-1)*K$28)</f>
        <v/>
      </c>
      <c r="AO25" s="14">
        <f>IF(基础状态预期!Y38="","",L$27+(基础状态预期!Y38-1)*L$28)</f>
        <v>3000.068571648394</v>
      </c>
      <c r="AP25" s="14">
        <f>SUMPRODUCT(AK25:AO25,基础状态预期!$F38:$J38)/SUM(基础状态预期!$F38:$J38)</f>
        <v>3000.0685716483945</v>
      </c>
      <c r="AQ25" s="14" t="str">
        <f>IF(基础状态预期!U38="","",H$31+(基础状态预期!U38-1)*H$32)</f>
        <v/>
      </c>
      <c r="AR25" s="14" t="str">
        <f>IF(基础状态预期!V38="","",I$31+(基础状态预期!V38-1)*I$32)</f>
        <v/>
      </c>
      <c r="AS25" s="14" t="str">
        <f>IF(基础状态预期!W38="","",J$31+(基础状态预期!W38-1)*J$32)</f>
        <v/>
      </c>
      <c r="AT25" s="14" t="str">
        <f>IF(基础状态预期!X38="","",K$31+(基础状态预期!X38-1)*K$32)</f>
        <v/>
      </c>
      <c r="AU25" s="14">
        <f>IF(基础状态预期!Y38="","",L$31+(基础状态预期!Y38-1)*L$32)</f>
        <v>220.00685716483943</v>
      </c>
      <c r="AV25" s="14">
        <f>SUMPRODUCT(AQ25:AU25,基础状态预期!$F38:$J38)/SUM(基础状态预期!$F38:$J38)</f>
        <v>220.00685716483943</v>
      </c>
      <c r="BO25" s="29">
        <f t="shared" si="9"/>
        <v>100.50342858241972</v>
      </c>
      <c r="BP25" s="10">
        <f t="shared" si="15"/>
        <v>136335344631.8093</v>
      </c>
      <c r="BQ25" s="10" t="e">
        <f>$BP25*求节点('[1]功能-付费相关'!$AY$6:$AY$165,'[1]功能-付费相关'!$AZ$6:$AZ$165,$BO25)+$BQ24</f>
        <v>#VALUE!</v>
      </c>
      <c r="BZ25" s="4">
        <f t="shared" si="16"/>
        <v>290</v>
      </c>
      <c r="CA25" s="4">
        <v>22</v>
      </c>
      <c r="CB25" s="90">
        <f t="shared" si="17"/>
        <v>2990</v>
      </c>
      <c r="CC25" s="4">
        <f>SUM(CB$4:CB25)</f>
        <v>23200</v>
      </c>
      <c r="CD25" s="4">
        <f t="shared" si="10"/>
        <v>1.0526315789473684</v>
      </c>
    </row>
    <row r="26" spans="1:82" x14ac:dyDescent="0.15">
      <c r="A26" s="99">
        <f t="shared" ref="A26:A34" si="25">INT(A25*1.38/100)*100</f>
        <v>4000</v>
      </c>
      <c r="B26" s="14">
        <v>44</v>
      </c>
      <c r="C26" s="14">
        <f t="shared" si="18"/>
        <v>27100</v>
      </c>
      <c r="D26" s="14">
        <f>SUM(C$5:$C26)</f>
        <v>187800</v>
      </c>
      <c r="E26" s="89">
        <f>'[1]资源-武将经验'!$Z27</f>
        <v>0.83032136777619392</v>
      </c>
      <c r="F26" s="165" t="s">
        <v>231</v>
      </c>
      <c r="G26" s="166"/>
      <c r="H26" s="14" t="s">
        <v>83</v>
      </c>
      <c r="I26" s="14" t="s">
        <v>80</v>
      </c>
      <c r="J26" s="14" t="s">
        <v>81</v>
      </c>
      <c r="K26" s="14" t="s">
        <v>82</v>
      </c>
      <c r="L26" s="14" t="s">
        <v>545</v>
      </c>
      <c r="P26" s="5">
        <v>26</v>
      </c>
      <c r="Q26" s="14">
        <f>基础状态预期!D39</f>
        <v>104.10129967499306</v>
      </c>
      <c r="R26" s="14">
        <f>IF(基础状态预期!U39="",0,求节点($B$5:$B$154,$D$5:$D$154,基础状态预期!U39)*基础状态预期!F39)</f>
        <v>0</v>
      </c>
      <c r="S26" s="14">
        <f>IF(基础状态预期!V39="",0,求节点($B$5:$B$154,$D$5:$D$154,基础状态预期!V39)*基础状态预期!G39)</f>
        <v>0</v>
      </c>
      <c r="T26" s="14">
        <f>IF(基础状态预期!W39="",0,求节点($B$5:$B$154,$D$5:$D$154,基础状态预期!W39)*基础状态预期!H39)</f>
        <v>0</v>
      </c>
      <c r="U26" s="14">
        <f>IF(基础状态预期!X39="",0,求节点($B$5:$B$154,$D$5:$D$154,基础状态预期!X39)*基础状态预期!I39)</f>
        <v>0</v>
      </c>
      <c r="V26" s="14">
        <f>IF(基础状态预期!Y39="",0,求节点($B$5:$B$154,$D$5:$D$154,基础状态预期!Y39)*基础状态预期!J39)</f>
        <v>535554100726.77173</v>
      </c>
      <c r="W26" s="14">
        <f t="shared" si="24"/>
        <v>535554100726.77173</v>
      </c>
      <c r="Y26" s="14" t="str">
        <f>IF(基础状态预期!U39="","",H$8+(基础状态预期!U39-1)*H$11)</f>
        <v/>
      </c>
      <c r="Z26" s="14" t="str">
        <f>IF(基础状态预期!V39="","",I$8+(基础状态预期!V39-1)*I$11)</f>
        <v/>
      </c>
      <c r="AA26" s="14" t="str">
        <f>IF(基础状态预期!W39="","",J$8+(基础状态预期!W39-1)*J$11)</f>
        <v/>
      </c>
      <c r="AB26" s="14" t="str">
        <f>IF(基础状态预期!X39="","",K$8+(基础状态预期!X39-1)*K$11)</f>
        <v/>
      </c>
      <c r="AC26" s="14">
        <f>IF(基础状态预期!Y39="","",L$8+(基础状态预期!Y39-1)*L$11)</f>
        <v>7016.0779804995836</v>
      </c>
      <c r="AD26" s="14">
        <f>SUMPRODUCT(Y26:AC26,基础状态预期!$F39:$J39)/SUM(基础状态预期!$F39:$J39)</f>
        <v>7016.0779804995836</v>
      </c>
      <c r="AE26" s="14" t="str">
        <f>IF(基础状态预期!U39="","",H$9+(基础状态预期!U39-1)*H$12)</f>
        <v/>
      </c>
      <c r="AF26" s="14" t="str">
        <f>IF(基础状态预期!V39="","",I$9+(基础状态预期!V39-1)*I$12)</f>
        <v/>
      </c>
      <c r="AG26" s="14" t="str">
        <f>IF(基础状态预期!W39="","",J$9+(基础状态预期!W39-1)*J$12)</f>
        <v/>
      </c>
      <c r="AH26" s="14" t="str">
        <f>IF(基础状态预期!X39="","",K$9+(基础状态预期!X39-1)*K$12)</f>
        <v/>
      </c>
      <c r="AI26" s="14">
        <f>IF(基础状态预期!Y39="","",L$9+(基础状态预期!Y39-1)*L$12)</f>
        <v>7016.0779804995836</v>
      </c>
      <c r="AJ26" s="14">
        <f>SUMPRODUCT(AE26:AI26,基础状态预期!$F39:$J39)/SUM(基础状态预期!$F39:$J39)</f>
        <v>7016.0779804995836</v>
      </c>
      <c r="AK26" s="14" t="str">
        <f>IF(基础状态预期!U39="","",H$27+(基础状态预期!U39-1)*H$28)</f>
        <v/>
      </c>
      <c r="AL26" s="14" t="str">
        <f>IF(基础状态预期!V39="","",I$27+(基础状态预期!V39-1)*I$28)</f>
        <v/>
      </c>
      <c r="AM26" s="14" t="str">
        <f>IF(基础状态预期!W39="","",J$27+(基础状态预期!W39-1)*J$28)</f>
        <v/>
      </c>
      <c r="AN26" s="14" t="str">
        <f>IF(基础状态预期!X39="","",K$27+(基础状态预期!X39-1)*K$28)</f>
        <v/>
      </c>
      <c r="AO26" s="14">
        <f>IF(基础状态预期!Y39="","",L$27+(基础状态预期!Y39-1)*L$28)</f>
        <v>3072.0259934998612</v>
      </c>
      <c r="AP26" s="14">
        <f>SUMPRODUCT(AK26:AO26,基础状态预期!$F39:$J39)/SUM(基础状态预期!$F39:$J39)</f>
        <v>3072.0259934998612</v>
      </c>
      <c r="AQ26" s="14" t="str">
        <f>IF(基础状态预期!U39="","",H$31+(基础状态预期!U39-1)*H$32)</f>
        <v/>
      </c>
      <c r="AR26" s="14" t="str">
        <f>IF(基础状态预期!V39="","",I$31+(基础状态预期!V39-1)*I$32)</f>
        <v/>
      </c>
      <c r="AS26" s="14" t="str">
        <f>IF(基础状态预期!W39="","",J$31+(基础状态预期!W39-1)*J$32)</f>
        <v/>
      </c>
      <c r="AT26" s="14" t="str">
        <f>IF(基础状态预期!X39="","",K$31+(基础状态预期!X39-1)*K$32)</f>
        <v/>
      </c>
      <c r="AU26" s="14">
        <f>IF(基础状态预期!Y39="","",L$31+(基础状态预期!Y39-1)*L$32)</f>
        <v>227.20259934998612</v>
      </c>
      <c r="AV26" s="14">
        <f>SUMPRODUCT(AQ26:AU26,基础状态预期!$F39:$J39)/SUM(基础状态预期!$F39:$J39)</f>
        <v>227.20259934998612</v>
      </c>
      <c r="BO26" s="29">
        <f t="shared" si="9"/>
        <v>104.10129967499306</v>
      </c>
      <c r="BP26" s="10">
        <f t="shared" si="15"/>
        <v>225223364025.18738</v>
      </c>
      <c r="BQ26" s="10" t="e">
        <f>$BP26*求节点('[1]功能-付费相关'!$AY$6:$AY$165,'[1]功能-付费相关'!$AZ$6:$AZ$165,$BO26)+$BQ25</f>
        <v>#VALUE!</v>
      </c>
      <c r="BZ26" s="4">
        <f t="shared" si="16"/>
        <v>290</v>
      </c>
      <c r="CA26" s="4">
        <v>23</v>
      </c>
      <c r="CB26" s="90">
        <f t="shared" si="17"/>
        <v>3280</v>
      </c>
      <c r="CC26" s="4">
        <f>SUM(CB$4:CB26)</f>
        <v>26480</v>
      </c>
      <c r="CD26" s="4">
        <f t="shared" si="10"/>
        <v>1.0449881610102605</v>
      </c>
    </row>
    <row r="27" spans="1:82" x14ac:dyDescent="0.15">
      <c r="A27" s="99">
        <f t="shared" si="25"/>
        <v>5500</v>
      </c>
      <c r="B27" s="14">
        <v>46</v>
      </c>
      <c r="C27" s="14">
        <f t="shared" si="18"/>
        <v>32600</v>
      </c>
      <c r="D27" s="14">
        <f>SUM(C$5:$C27)</f>
        <v>220400</v>
      </c>
      <c r="E27" s="89">
        <f>'[1]资源-武将经验'!$Z28</f>
        <v>0.82347036277619601</v>
      </c>
      <c r="F27" s="165" t="s">
        <v>232</v>
      </c>
      <c r="G27" s="166"/>
      <c r="H27" s="14">
        <v>1000</v>
      </c>
      <c r="I27" s="14">
        <f>H27</f>
        <v>1000</v>
      </c>
      <c r="J27" s="14">
        <f t="shared" ref="J27:L27" si="26">I27</f>
        <v>1000</v>
      </c>
      <c r="K27" s="14">
        <f t="shared" si="26"/>
        <v>1000</v>
      </c>
      <c r="L27" s="14">
        <f t="shared" si="26"/>
        <v>1000</v>
      </c>
      <c r="P27" s="5">
        <v>27</v>
      </c>
      <c r="Q27" s="14">
        <f>基础状态预期!D40</f>
        <v>107.48165553683219</v>
      </c>
      <c r="R27" s="14">
        <f>IF(基础状态预期!U40="",0,求节点($B$5:$B$154,$D$5:$D$154,基础状态预期!U40)*基础状态预期!F40)</f>
        <v>0</v>
      </c>
      <c r="S27" s="14">
        <f>IF(基础状态预期!V40="",0,求节点($B$5:$B$154,$D$5:$D$154,基础状态预期!V40)*基础状态预期!G40)</f>
        <v>0</v>
      </c>
      <c r="T27" s="14">
        <f>IF(基础状态预期!W40="",0,求节点($B$5:$B$154,$D$5:$D$154,基础状态预期!W40)*基础状态预期!H40)</f>
        <v>0</v>
      </c>
      <c r="U27" s="14">
        <f>IF(基础状态预期!X40="",0,求节点($B$5:$B$154,$D$5:$D$154,基础状态预期!X40)*基础状态预期!I40)</f>
        <v>0</v>
      </c>
      <c r="V27" s="14">
        <f>IF(基础状态预期!Y40="",0,求节点($B$5:$B$154,$D$5:$D$154,基础状态预期!Y40)*基础状态预期!J40)</f>
        <v>887018256401.05713</v>
      </c>
      <c r="W27" s="14">
        <f t="shared" si="24"/>
        <v>887018256401.05713</v>
      </c>
      <c r="Y27" s="14" t="str">
        <f>IF(基础状态预期!U40="","",H$8+(基础状态预期!U40-1)*H$11)</f>
        <v/>
      </c>
      <c r="Z27" s="14" t="str">
        <f>IF(基础状态预期!V40="","",I$8+(基础状态预期!V40-1)*I$11)</f>
        <v/>
      </c>
      <c r="AA27" s="14" t="str">
        <f>IF(基础状态预期!W40="","",J$8+(基础状态预期!W40-1)*J$11)</f>
        <v/>
      </c>
      <c r="AB27" s="14" t="str">
        <f>IF(基础状态预期!X40="","",K$8+(基础状态预期!X40-1)*K$11)</f>
        <v/>
      </c>
      <c r="AC27" s="14">
        <f>IF(基础状态预期!Y40="","",L$8+(基础状态预期!Y40-1)*L$11)</f>
        <v>7218.8993322099313</v>
      </c>
      <c r="AD27" s="14">
        <f>SUMPRODUCT(Y27:AC27,基础状态预期!$F40:$J40)/SUM(基础状态预期!$F40:$J40)</f>
        <v>7218.8993322099313</v>
      </c>
      <c r="AE27" s="14" t="str">
        <f>IF(基础状态预期!U40="","",H$9+(基础状态预期!U40-1)*H$12)</f>
        <v/>
      </c>
      <c r="AF27" s="14" t="str">
        <f>IF(基础状态预期!V40="","",I$9+(基础状态预期!V40-1)*I$12)</f>
        <v/>
      </c>
      <c r="AG27" s="14" t="str">
        <f>IF(基础状态预期!W40="","",J$9+(基础状态预期!W40-1)*J$12)</f>
        <v/>
      </c>
      <c r="AH27" s="14" t="str">
        <f>IF(基础状态预期!X40="","",K$9+(基础状态预期!X40-1)*K$12)</f>
        <v/>
      </c>
      <c r="AI27" s="14">
        <f>IF(基础状态预期!Y40="","",L$9+(基础状态预期!Y40-1)*L$12)</f>
        <v>7218.8993322099313</v>
      </c>
      <c r="AJ27" s="14">
        <f>SUMPRODUCT(AE27:AI27,基础状态预期!$F40:$J40)/SUM(基础状态预期!$F40:$J40)</f>
        <v>7218.8993322099313</v>
      </c>
      <c r="AK27" s="14" t="str">
        <f>IF(基础状态预期!U40="","",H$27+(基础状态预期!U40-1)*H$28)</f>
        <v/>
      </c>
      <c r="AL27" s="14" t="str">
        <f>IF(基础状态预期!V40="","",I$27+(基础状态预期!V40-1)*I$28)</f>
        <v/>
      </c>
      <c r="AM27" s="14" t="str">
        <f>IF(基础状态预期!W40="","",J$27+(基础状态预期!W40-1)*J$28)</f>
        <v/>
      </c>
      <c r="AN27" s="14" t="str">
        <f>IF(基础状态预期!X40="","",K$27+(基础状态预期!X40-1)*K$28)</f>
        <v/>
      </c>
      <c r="AO27" s="14">
        <f>IF(基础状态预期!Y40="","",L$27+(基础状态预期!Y40-1)*L$28)</f>
        <v>3139.6331107366441</v>
      </c>
      <c r="AP27" s="14">
        <f>SUMPRODUCT(AK27:AO27,基础状态预期!$F40:$J40)/SUM(基础状态预期!$F40:$J40)</f>
        <v>3139.6331107366441</v>
      </c>
      <c r="AQ27" s="14" t="str">
        <f>IF(基础状态预期!U40="","",H$31+(基础状态预期!U40-1)*H$32)</f>
        <v/>
      </c>
      <c r="AR27" s="14" t="str">
        <f>IF(基础状态预期!V40="","",I$31+(基础状态预期!V40-1)*I$32)</f>
        <v/>
      </c>
      <c r="AS27" s="14" t="str">
        <f>IF(基础状态预期!W40="","",J$31+(基础状态预期!W40-1)*J$32)</f>
        <v/>
      </c>
      <c r="AT27" s="14" t="str">
        <f>IF(基础状态预期!X40="","",K$31+(基础状态预期!X40-1)*K$32)</f>
        <v/>
      </c>
      <c r="AU27" s="14">
        <f>IF(基础状态预期!Y40="","",L$31+(基础状态预期!Y40-1)*L$32)</f>
        <v>233.96331107366439</v>
      </c>
      <c r="AV27" s="14">
        <f>SUMPRODUCT(AQ27:AU27,基础状态预期!$F40:$J40)/SUM(基础状态预期!$F40:$J40)</f>
        <v>233.96331107366439</v>
      </c>
      <c r="BO27" s="29">
        <f t="shared" si="9"/>
        <v>107.48165553683219</v>
      </c>
      <c r="BP27" s="10">
        <f t="shared" si="15"/>
        <v>351464155674.2854</v>
      </c>
      <c r="BQ27" s="10" t="e">
        <f>$BP27*求节点('[1]功能-付费相关'!$AY$6:$AY$165,'[1]功能-付费相关'!$AZ$6:$AZ$165,$BO27)+$BQ26</f>
        <v>#VALUE!</v>
      </c>
      <c r="BZ27" s="4">
        <f t="shared" si="16"/>
        <v>320</v>
      </c>
      <c r="CA27" s="4">
        <v>24</v>
      </c>
      <c r="CB27" s="90">
        <f t="shared" si="17"/>
        <v>3600</v>
      </c>
      <c r="CC27" s="4">
        <f>SUM(CB$4:CB27)</f>
        <v>30080</v>
      </c>
      <c r="CD27" s="4">
        <f t="shared" si="10"/>
        <v>1.0502793296089385</v>
      </c>
    </row>
    <row r="28" spans="1:82" ht="11.25" customHeight="1" x14ac:dyDescent="0.15">
      <c r="A28" s="99">
        <f t="shared" si="25"/>
        <v>7500</v>
      </c>
      <c r="B28" s="14">
        <v>48</v>
      </c>
      <c r="C28" s="14">
        <f t="shared" si="18"/>
        <v>40100</v>
      </c>
      <c r="D28" s="14">
        <f>SUM(C$5:$C28)</f>
        <v>260500</v>
      </c>
      <c r="E28" s="89">
        <f>'[1]资源-武将经验'!$Z29</f>
        <v>0.8484630427857629</v>
      </c>
      <c r="F28" s="165" t="s">
        <v>233</v>
      </c>
      <c r="G28" s="166"/>
      <c r="H28" s="14">
        <v>10</v>
      </c>
      <c r="I28" s="14">
        <f>H28</f>
        <v>10</v>
      </c>
      <c r="J28" s="14">
        <f t="shared" ref="J28:L28" si="27">I28</f>
        <v>10</v>
      </c>
      <c r="K28" s="14">
        <f t="shared" si="27"/>
        <v>10</v>
      </c>
      <c r="L28" s="14">
        <f t="shared" si="27"/>
        <v>10</v>
      </c>
      <c r="P28" s="5">
        <v>28</v>
      </c>
      <c r="Q28" s="14">
        <f>基础状态预期!D41</f>
        <v>111.03813549320469</v>
      </c>
      <c r="R28" s="14">
        <f>IF(基础状态预期!U41="",0,求节点($B$5:$B$154,$D$5:$D$154,基础状态预期!U41)*基础状态预期!F41)</f>
        <v>0</v>
      </c>
      <c r="S28" s="14">
        <f>IF(基础状态预期!V41="",0,求节点($B$5:$B$154,$D$5:$D$154,基础状态预期!V41)*基础状态预期!G41)</f>
        <v>0</v>
      </c>
      <c r="T28" s="14">
        <f>IF(基础状态预期!W41="",0,求节点($B$5:$B$154,$D$5:$D$154,基础状态预期!W41)*基础状态预期!H41)</f>
        <v>0</v>
      </c>
      <c r="U28" s="14">
        <f>IF(基础状态预期!X41="",0,求节点($B$5:$B$154,$D$5:$D$154,基础状态预期!X41)*基础状态预期!I41)</f>
        <v>0</v>
      </c>
      <c r="V28" s="14">
        <f>IF(基础状态预期!Y41="",0,求节点($B$5:$B$154,$D$5:$D$154,基础状态预期!Y41)*基础状态预期!J41)</f>
        <v>1489837587618.8059</v>
      </c>
      <c r="W28" s="14">
        <f t="shared" si="24"/>
        <v>1489837587618.8059</v>
      </c>
      <c r="Y28" s="14" t="str">
        <f>IF(基础状态预期!U41="","",H$8+(基础状态预期!U41-1)*H$11)</f>
        <v/>
      </c>
      <c r="Z28" s="14" t="str">
        <f>IF(基础状态预期!V41="","",I$8+(基础状态预期!V41-1)*I$11)</f>
        <v/>
      </c>
      <c r="AA28" s="14" t="str">
        <f>IF(基础状态预期!W41="","",J$8+(基础状态预期!W41-1)*J$11)</f>
        <v/>
      </c>
      <c r="AB28" s="14" t="str">
        <f>IF(基础状态预期!X41="","",K$8+(基础状态预期!X41-1)*K$11)</f>
        <v/>
      </c>
      <c r="AC28" s="14">
        <f>IF(基础状态预期!Y41="","",L$8+(基础状态预期!Y41-1)*L$11)</f>
        <v>7432.2881295922816</v>
      </c>
      <c r="AD28" s="14">
        <f>SUMPRODUCT(Y28:AC28,基础状态预期!$F41:$J41)/SUM(基础状态预期!$F41:$J41)</f>
        <v>7432.2881295922816</v>
      </c>
      <c r="AE28" s="14" t="str">
        <f>IF(基础状态预期!U41="","",H$9+(基础状态预期!U41-1)*H$12)</f>
        <v/>
      </c>
      <c r="AF28" s="14" t="str">
        <f>IF(基础状态预期!V41="","",I$9+(基础状态预期!V41-1)*I$12)</f>
        <v/>
      </c>
      <c r="AG28" s="14" t="str">
        <f>IF(基础状态预期!W41="","",J$9+(基础状态预期!W41-1)*J$12)</f>
        <v/>
      </c>
      <c r="AH28" s="14" t="str">
        <f>IF(基础状态预期!X41="","",K$9+(基础状态预期!X41-1)*K$12)</f>
        <v/>
      </c>
      <c r="AI28" s="14">
        <f>IF(基础状态预期!Y41="","",L$9+(基础状态预期!Y41-1)*L$12)</f>
        <v>7432.2881295922816</v>
      </c>
      <c r="AJ28" s="14">
        <f>SUMPRODUCT(AE28:AI28,基础状态预期!$F41:$J41)/SUM(基础状态预期!$F41:$J41)</f>
        <v>7432.2881295922816</v>
      </c>
      <c r="AK28" s="14" t="str">
        <f>IF(基础状态预期!U41="","",H$27+(基础状态预期!U41-1)*H$28)</f>
        <v/>
      </c>
      <c r="AL28" s="14" t="str">
        <f>IF(基础状态预期!V41="","",I$27+(基础状态预期!V41-1)*I$28)</f>
        <v/>
      </c>
      <c r="AM28" s="14" t="str">
        <f>IF(基础状态预期!W41="","",J$27+(基础状态预期!W41-1)*J$28)</f>
        <v/>
      </c>
      <c r="AN28" s="14" t="str">
        <f>IF(基础状态预期!X41="","",K$27+(基础状态预期!X41-1)*K$28)</f>
        <v/>
      </c>
      <c r="AO28" s="14">
        <f>IF(基础状态预期!Y41="","",L$27+(基础状态预期!Y41-1)*L$28)</f>
        <v>3210.7627098640937</v>
      </c>
      <c r="AP28" s="14">
        <f>SUMPRODUCT(AK28:AO28,基础状态预期!$F41:$J41)/SUM(基础状态预期!$F41:$J41)</f>
        <v>3210.7627098640937</v>
      </c>
      <c r="AQ28" s="14" t="str">
        <f>IF(基础状态预期!U41="","",H$31+(基础状态预期!U41-1)*H$32)</f>
        <v/>
      </c>
      <c r="AR28" s="14" t="str">
        <f>IF(基础状态预期!V41="","",I$31+(基础状态预期!V41-1)*I$32)</f>
        <v/>
      </c>
      <c r="AS28" s="14" t="str">
        <f>IF(基础状态预期!W41="","",J$31+(基础状态预期!W41-1)*J$32)</f>
        <v/>
      </c>
      <c r="AT28" s="14" t="str">
        <f>IF(基础状态预期!X41="","",K$31+(基础状态预期!X41-1)*K$32)</f>
        <v/>
      </c>
      <c r="AU28" s="14">
        <f>IF(基础状态预期!Y41="","",L$31+(基础状态预期!Y41-1)*L$32)</f>
        <v>241.07627098640938</v>
      </c>
      <c r="AV28" s="14">
        <f>SUMPRODUCT(AQ28:AU28,基础状态预期!$F41:$J41)/SUM(基础状态预期!$F41:$J41)</f>
        <v>241.07627098640941</v>
      </c>
      <c r="BO28" s="29">
        <f t="shared" si="9"/>
        <v>111.03813549320469</v>
      </c>
      <c r="BP28" s="10">
        <f t="shared" si="15"/>
        <v>602819331217.74878</v>
      </c>
      <c r="BQ28" s="10" t="e">
        <f>$BP28*求节点('[1]功能-付费相关'!$AY$6:$AY$165,'[1]功能-付费相关'!$AZ$6:$AZ$165,$BO28)+$BQ27</f>
        <v>#VALUE!</v>
      </c>
      <c r="BZ28" s="4">
        <f t="shared" si="16"/>
        <v>320</v>
      </c>
      <c r="CA28" s="4">
        <v>25</v>
      </c>
      <c r="CB28" s="90">
        <f t="shared" si="17"/>
        <v>3920</v>
      </c>
      <c r="CC28" s="4">
        <f>SUM(CB$4:CB28)</f>
        <v>34000</v>
      </c>
      <c r="CD28" s="4">
        <f t="shared" si="10"/>
        <v>1.043585021485574</v>
      </c>
    </row>
    <row r="29" spans="1:82" x14ac:dyDescent="0.15">
      <c r="A29" s="99">
        <f t="shared" si="25"/>
        <v>10300</v>
      </c>
      <c r="B29" s="14">
        <v>50</v>
      </c>
      <c r="C29" s="14">
        <f t="shared" si="18"/>
        <v>50400</v>
      </c>
      <c r="D29" s="14">
        <f>SUM(C$5:$C29)</f>
        <v>310900</v>
      </c>
      <c r="E29" s="89">
        <f>'[1]资源-武将经验'!$Z30</f>
        <v>0.89562574622262281</v>
      </c>
      <c r="P29" s="5">
        <v>29</v>
      </c>
      <c r="Q29" s="14">
        <f>基础状态预期!D42</f>
        <v>114.50860608277577</v>
      </c>
      <c r="R29" s="14">
        <f>IF(基础状态预期!U42="",0,求节点($B$5:$B$154,$D$5:$D$154,基础状态预期!U42)*基础状态预期!F42)</f>
        <v>0</v>
      </c>
      <c r="S29" s="14">
        <f>IF(基础状态预期!V42="",0,求节点($B$5:$B$154,$D$5:$D$154,基础状态预期!V42)*基础状态预期!G42)</f>
        <v>0</v>
      </c>
      <c r="T29" s="14">
        <f>IF(基础状态预期!W42="",0,求节点($B$5:$B$154,$D$5:$D$154,基础状态预期!W42)*基础状态预期!H42)</f>
        <v>0</v>
      </c>
      <c r="U29" s="14">
        <f>IF(基础状态预期!X42="",0,求节点($B$5:$B$154,$D$5:$D$154,基础状态预期!X42)*基础状态预期!I42)</f>
        <v>0</v>
      </c>
      <c r="V29" s="14">
        <f>IF(基础状态预期!Y42="",0,求节点($B$5:$B$154,$D$5:$D$154,基础状态预期!Y42)*基础状态预期!J42)</f>
        <v>2504210378948.9736</v>
      </c>
      <c r="W29" s="14">
        <f t="shared" si="24"/>
        <v>2504210378948.9736</v>
      </c>
      <c r="Y29" s="14" t="str">
        <f>IF(基础状态预期!U42="","",H$8+(基础状态预期!U42-1)*H$11)</f>
        <v/>
      </c>
      <c r="Z29" s="14" t="str">
        <f>IF(基础状态预期!V42="","",I$8+(基础状态预期!V42-1)*I$11)</f>
        <v/>
      </c>
      <c r="AA29" s="14" t="str">
        <f>IF(基础状态预期!W42="","",J$8+(基础状态预期!W42-1)*J$11)</f>
        <v/>
      </c>
      <c r="AB29" s="14" t="str">
        <f>IF(基础状态预期!X42="","",K$8+(基础状态预期!X42-1)*K$11)</f>
        <v/>
      </c>
      <c r="AC29" s="14">
        <f>IF(基础状态预期!Y42="","",L$8+(基础状态预期!Y42-1)*L$11)</f>
        <v>7640.5163649665465</v>
      </c>
      <c r="AD29" s="14">
        <f>SUMPRODUCT(Y29:AC29,基础状态预期!$F42:$J42)/SUM(基础状态预期!$F42:$J42)</f>
        <v>7640.5163649665456</v>
      </c>
      <c r="AE29" s="14" t="str">
        <f>IF(基础状态预期!U42="","",H$9+(基础状态预期!U42-1)*H$12)</f>
        <v/>
      </c>
      <c r="AF29" s="14" t="str">
        <f>IF(基础状态预期!V42="","",I$9+(基础状态预期!V42-1)*I$12)</f>
        <v/>
      </c>
      <c r="AG29" s="14" t="str">
        <f>IF(基础状态预期!W42="","",J$9+(基础状态预期!W42-1)*J$12)</f>
        <v/>
      </c>
      <c r="AH29" s="14" t="str">
        <f>IF(基础状态预期!X42="","",K$9+(基础状态预期!X42-1)*K$12)</f>
        <v/>
      </c>
      <c r="AI29" s="14">
        <f>IF(基础状态预期!Y42="","",L$9+(基础状态预期!Y42-1)*L$12)</f>
        <v>7640.5163649665465</v>
      </c>
      <c r="AJ29" s="14">
        <f>SUMPRODUCT(AE29:AI29,基础状态预期!$F42:$J42)/SUM(基础状态预期!$F42:$J42)</f>
        <v>7640.5163649665456</v>
      </c>
      <c r="AK29" s="14" t="str">
        <f>IF(基础状态预期!U42="","",H$27+(基础状态预期!U42-1)*H$28)</f>
        <v/>
      </c>
      <c r="AL29" s="14" t="str">
        <f>IF(基础状态预期!V42="","",I$27+(基础状态预期!V42-1)*I$28)</f>
        <v/>
      </c>
      <c r="AM29" s="14" t="str">
        <f>IF(基础状态预期!W42="","",J$27+(基础状态预期!W42-1)*J$28)</f>
        <v/>
      </c>
      <c r="AN29" s="14" t="str">
        <f>IF(基础状态预期!X42="","",K$27+(基础状态预期!X42-1)*K$28)</f>
        <v/>
      </c>
      <c r="AO29" s="14">
        <f>IF(基础状态预期!Y42="","",L$27+(基础状态预期!Y42-1)*L$28)</f>
        <v>3280.1721216555152</v>
      </c>
      <c r="AP29" s="14">
        <f>SUMPRODUCT(AK29:AO29,基础状态预期!$F42:$J42)/SUM(基础状态预期!$F42:$J42)</f>
        <v>3280.1721216555147</v>
      </c>
      <c r="AQ29" s="14" t="str">
        <f>IF(基础状态预期!U42="","",H$31+(基础状态预期!U42-1)*H$32)</f>
        <v/>
      </c>
      <c r="AR29" s="14" t="str">
        <f>IF(基础状态预期!V42="","",I$31+(基础状态预期!V42-1)*I$32)</f>
        <v/>
      </c>
      <c r="AS29" s="14" t="str">
        <f>IF(基础状态预期!W42="","",J$31+(基础状态预期!W42-1)*J$32)</f>
        <v/>
      </c>
      <c r="AT29" s="14" t="str">
        <f>IF(基础状态预期!X42="","",K$31+(基础状态预期!X42-1)*K$32)</f>
        <v/>
      </c>
      <c r="AU29" s="14">
        <f>IF(基础状态预期!Y42="","",L$31+(基础状态预期!Y42-1)*L$32)</f>
        <v>248.01721216555154</v>
      </c>
      <c r="AV29" s="14">
        <f>SUMPRODUCT(AQ29:AU29,基础状态预期!$F42:$J42)/SUM(基础状态预期!$F42:$J42)</f>
        <v>248.01721216555154</v>
      </c>
      <c r="BO29" s="29">
        <f t="shared" si="9"/>
        <v>114.50860608277577</v>
      </c>
      <c r="BP29" s="10">
        <f t="shared" si="15"/>
        <v>1014372791330.1677</v>
      </c>
      <c r="BQ29" s="10" t="e">
        <f>$BP29*求节点('[1]功能-付费相关'!$AY$6:$AY$165,'[1]功能-付费相关'!$AZ$6:$AZ$165,$BO29)+$BQ28</f>
        <v>#VALUE!</v>
      </c>
      <c r="BZ29" s="4">
        <f t="shared" si="16"/>
        <v>350</v>
      </c>
      <c r="CA29" s="4">
        <v>26</v>
      </c>
      <c r="CB29" s="90">
        <f t="shared" si="17"/>
        <v>4270</v>
      </c>
      <c r="CC29" s="4">
        <f>SUM(CB$4:CB29)</f>
        <v>38270</v>
      </c>
      <c r="CD29" s="4">
        <f t="shared" si="10"/>
        <v>1.0479189485213583</v>
      </c>
    </row>
    <row r="30" spans="1:82" x14ac:dyDescent="0.15">
      <c r="A30" s="99">
        <f t="shared" si="25"/>
        <v>14200</v>
      </c>
      <c r="B30" s="14">
        <v>52</v>
      </c>
      <c r="C30" s="14">
        <f t="shared" si="18"/>
        <v>64600</v>
      </c>
      <c r="D30" s="14">
        <f>SUM(C$5:$C30)</f>
        <v>375500</v>
      </c>
      <c r="E30" s="89">
        <f>'[1]资源-武将经验'!$Z31</f>
        <v>0.95883243806582463</v>
      </c>
      <c r="F30" s="165" t="s">
        <v>237</v>
      </c>
      <c r="G30" s="166"/>
      <c r="H30" s="14" t="s">
        <v>83</v>
      </c>
      <c r="I30" s="14" t="s">
        <v>80</v>
      </c>
      <c r="J30" s="14" t="s">
        <v>81</v>
      </c>
      <c r="K30" s="14" t="s">
        <v>82</v>
      </c>
      <c r="L30" s="14" t="s">
        <v>545</v>
      </c>
      <c r="P30" s="5">
        <v>30</v>
      </c>
      <c r="Q30" s="14">
        <f>基础状态预期!D43</f>
        <v>118.05948896247369</v>
      </c>
      <c r="R30" s="14">
        <f>IF(基础状态预期!U43="",0,求节点($B$5:$B$154,$D$5:$D$154,基础状态预期!U43)*基础状态预期!F43)</f>
        <v>0</v>
      </c>
      <c r="S30" s="14">
        <f>IF(基础状态预期!V43="",0,求节点($B$5:$B$154,$D$5:$D$154,基础状态预期!V43)*基础状态预期!G43)</f>
        <v>0</v>
      </c>
      <c r="T30" s="14">
        <f>IF(基础状态预期!W43="",0,求节点($B$5:$B$154,$D$5:$D$154,基础状态预期!W43)*基础状态预期!H43)</f>
        <v>0</v>
      </c>
      <c r="U30" s="14">
        <f>IF(基础状态预期!X43="",0,求节点($B$5:$B$154,$D$5:$D$154,基础状态预期!X43)*基础状态预期!I43)</f>
        <v>0</v>
      </c>
      <c r="V30" s="14">
        <f>IF(基础状态预期!Y43="",0,求节点($B$5:$B$154,$D$5:$D$154,基础状态预期!Y43)*基础状态预期!J43)</f>
        <v>4341392552737.5635</v>
      </c>
      <c r="W30" s="14">
        <f t="shared" si="24"/>
        <v>4341392552737.5635</v>
      </c>
      <c r="Y30" s="14" t="str">
        <f>IF(基础状态预期!U43="","",H$8+(基础状态预期!U43-1)*H$11)</f>
        <v/>
      </c>
      <c r="Z30" s="14" t="str">
        <f>IF(基础状态预期!V43="","",I$8+(基础状态预期!V43-1)*I$11)</f>
        <v/>
      </c>
      <c r="AA30" s="14" t="str">
        <f>IF(基础状态预期!W43="","",J$8+(基础状态预期!W43-1)*J$11)</f>
        <v/>
      </c>
      <c r="AB30" s="14" t="str">
        <f>IF(基础状态预期!X43="","",K$8+(基础状态预期!X43-1)*K$11)</f>
        <v/>
      </c>
      <c r="AC30" s="14">
        <f>IF(基础状态预期!Y43="","",L$8+(基础状态预期!Y43-1)*L$11)</f>
        <v>7853.5693377484213</v>
      </c>
      <c r="AD30" s="14">
        <f>SUMPRODUCT(Y30:AC30,基础状态预期!$F43:$J43)/SUM(基础状态预期!$F43:$J43)</f>
        <v>7853.5693377484213</v>
      </c>
      <c r="AE30" s="14" t="str">
        <f>IF(基础状态预期!U43="","",H$9+(基础状态预期!U43-1)*H$12)</f>
        <v/>
      </c>
      <c r="AF30" s="14" t="str">
        <f>IF(基础状态预期!V43="","",I$9+(基础状态预期!V43-1)*I$12)</f>
        <v/>
      </c>
      <c r="AG30" s="14" t="str">
        <f>IF(基础状态预期!W43="","",J$9+(基础状态预期!W43-1)*J$12)</f>
        <v/>
      </c>
      <c r="AH30" s="14" t="str">
        <f>IF(基础状态预期!X43="","",K$9+(基础状态预期!X43-1)*K$12)</f>
        <v/>
      </c>
      <c r="AI30" s="14">
        <f>IF(基础状态预期!Y43="","",L$9+(基础状态预期!Y43-1)*L$12)</f>
        <v>7853.5693377484213</v>
      </c>
      <c r="AJ30" s="14">
        <f>SUMPRODUCT(AE30:AI30,基础状态预期!$F43:$J43)/SUM(基础状态预期!$F43:$J43)</f>
        <v>7853.5693377484213</v>
      </c>
      <c r="AK30" s="14" t="str">
        <f>IF(基础状态预期!U43="","",H$27+(基础状态预期!U43-1)*H$28)</f>
        <v/>
      </c>
      <c r="AL30" s="14" t="str">
        <f>IF(基础状态预期!V43="","",I$27+(基础状态预期!V43-1)*I$28)</f>
        <v/>
      </c>
      <c r="AM30" s="14" t="str">
        <f>IF(基础状态预期!W43="","",J$27+(基础状态预期!W43-1)*J$28)</f>
        <v/>
      </c>
      <c r="AN30" s="14" t="str">
        <f>IF(基础状态预期!X43="","",K$27+(基础状态预期!X43-1)*K$28)</f>
        <v/>
      </c>
      <c r="AO30" s="14">
        <f>IF(基础状态预期!Y43="","",L$27+(基础状态预期!Y43-1)*L$28)</f>
        <v>3351.1897792494738</v>
      </c>
      <c r="AP30" s="14">
        <f>SUMPRODUCT(AK30:AO30,基础状态预期!$F43:$J43)/SUM(基础状态预期!$F43:$J43)</f>
        <v>3351.1897792494733</v>
      </c>
      <c r="AQ30" s="14" t="str">
        <f>IF(基础状态预期!U43="","",H$31+(基础状态预期!U43-1)*H$32)</f>
        <v/>
      </c>
      <c r="AR30" s="14" t="str">
        <f>IF(基础状态预期!V43="","",I$31+(基础状态预期!V43-1)*I$32)</f>
        <v/>
      </c>
      <c r="AS30" s="14" t="str">
        <f>IF(基础状态预期!W43="","",J$31+(基础状态预期!W43-1)*J$32)</f>
        <v/>
      </c>
      <c r="AT30" s="14" t="str">
        <f>IF(基础状态预期!X43="","",K$31+(基础状态预期!X43-1)*K$32)</f>
        <v/>
      </c>
      <c r="AU30" s="14">
        <f>IF(基础状态预期!Y43="","",L$31+(基础状态预期!Y43-1)*L$32)</f>
        <v>255.11897792494739</v>
      </c>
      <c r="AV30" s="14">
        <f>SUMPRODUCT(AQ30:AU30,基础状态预期!$F43:$J43)/SUM(基础状态预期!$F43:$J43)</f>
        <v>255.11897792494742</v>
      </c>
      <c r="BO30" s="29">
        <f t="shared" si="9"/>
        <v>118.05948896247369</v>
      </c>
      <c r="BP30" s="10">
        <f t="shared" si="15"/>
        <v>1837182173788.5898</v>
      </c>
      <c r="BQ30" s="10" t="e">
        <f>$BP30*求节点('[1]功能-付费相关'!$AY$6:$AY$165,'[1]功能-付费相关'!$AZ$6:$AZ$165,$BO30)+$BQ29</f>
        <v>#VALUE!</v>
      </c>
      <c r="BZ30" s="4">
        <f t="shared" si="16"/>
        <v>350</v>
      </c>
      <c r="CA30" s="4">
        <v>27</v>
      </c>
      <c r="CB30" s="90">
        <f t="shared" si="17"/>
        <v>4620</v>
      </c>
      <c r="CC30" s="4">
        <f>SUM(CB$4:CB30)</f>
        <v>42890</v>
      </c>
      <c r="CD30" s="4">
        <f t="shared" si="10"/>
        <v>1.0420310981535472</v>
      </c>
    </row>
    <row r="31" spans="1:82" x14ac:dyDescent="0.15">
      <c r="A31" s="99">
        <f t="shared" si="25"/>
        <v>19500</v>
      </c>
      <c r="B31" s="14">
        <v>54</v>
      </c>
      <c r="C31" s="14">
        <f t="shared" si="18"/>
        <v>84100</v>
      </c>
      <c r="D31" s="14">
        <f>SUM(C$5:$C31)</f>
        <v>459600</v>
      </c>
      <c r="E31" s="89">
        <f>'[1]资源-武将经验'!$Z32</f>
        <v>1.0324869590465715</v>
      </c>
      <c r="F31" s="165" t="s">
        <v>232</v>
      </c>
      <c r="G31" s="166"/>
      <c r="H31" s="14">
        <v>10</v>
      </c>
      <c r="I31" s="14">
        <v>12</v>
      </c>
      <c r="J31" s="14">
        <v>14</v>
      </c>
      <c r="K31" s="14">
        <v>17</v>
      </c>
      <c r="L31" s="14">
        <v>20</v>
      </c>
      <c r="P31" s="5">
        <v>31</v>
      </c>
      <c r="Q31" s="14">
        <f>基础状态预期!D44</f>
        <v>121.47928719052189</v>
      </c>
      <c r="R31" s="14">
        <f>IF(基础状态预期!U44="",0,求节点($B$5:$B$154,$D$5:$D$154,基础状态预期!U44)*基础状态预期!F44)</f>
        <v>0</v>
      </c>
      <c r="S31" s="14">
        <f>IF(基础状态预期!V44="",0,求节点($B$5:$B$154,$D$5:$D$154,基础状态预期!V44)*基础状态预期!G44)</f>
        <v>0</v>
      </c>
      <c r="T31" s="14">
        <f>IF(基础状态预期!W44="",0,求节点($B$5:$B$154,$D$5:$D$154,基础状态预期!W44)*基础状态预期!H44)</f>
        <v>0</v>
      </c>
      <c r="U31" s="14">
        <f>IF(基础状态预期!X44="",0,求节点($B$5:$B$154,$D$5:$D$154,基础状态预期!X44)*基础状态预期!I44)</f>
        <v>0</v>
      </c>
      <c r="V31" s="14">
        <f>IF(基础状态预期!Y44="",0,求节点($B$5:$B$154,$D$5:$D$154,基础状态预期!Y44)*基础状态预期!J44)</f>
        <v>7600880797986.8906</v>
      </c>
      <c r="W31" s="14">
        <f t="shared" si="24"/>
        <v>7600880797986.8906</v>
      </c>
      <c r="Y31" s="14" t="str">
        <f>IF(基础状态预期!U44="","",H$8+(基础状态预期!U44-1)*H$11)</f>
        <v/>
      </c>
      <c r="Z31" s="14" t="str">
        <f>IF(基础状态预期!V44="","",I$8+(基础状态预期!V44-1)*I$11)</f>
        <v/>
      </c>
      <c r="AA31" s="14" t="str">
        <f>IF(基础状态预期!W44="","",J$8+(基础状态预期!W44-1)*J$11)</f>
        <v/>
      </c>
      <c r="AB31" s="14" t="str">
        <f>IF(基础状态预期!X44="","",K$8+(基础状态预期!X44-1)*K$11)</f>
        <v/>
      </c>
      <c r="AC31" s="14">
        <f>IF(基础状态预期!Y44="","",L$8+(基础状态预期!Y44-1)*L$11)</f>
        <v>8058.7572314313129</v>
      </c>
      <c r="AD31" s="14">
        <f>SUMPRODUCT(Y31:AC31,基础状态预期!$F44:$J44)/SUM(基础状态预期!$F44:$J44)</f>
        <v>8058.757231431312</v>
      </c>
      <c r="AE31" s="14" t="str">
        <f>IF(基础状态预期!U44="","",H$9+(基础状态预期!U44-1)*H$12)</f>
        <v/>
      </c>
      <c r="AF31" s="14" t="str">
        <f>IF(基础状态预期!V44="","",I$9+(基础状态预期!V44-1)*I$12)</f>
        <v/>
      </c>
      <c r="AG31" s="14" t="str">
        <f>IF(基础状态预期!W44="","",J$9+(基础状态预期!W44-1)*J$12)</f>
        <v/>
      </c>
      <c r="AH31" s="14" t="str">
        <f>IF(基础状态预期!X44="","",K$9+(基础状态预期!X44-1)*K$12)</f>
        <v/>
      </c>
      <c r="AI31" s="14">
        <f>IF(基础状态预期!Y44="","",L$9+(基础状态预期!Y44-1)*L$12)</f>
        <v>8058.7572314313129</v>
      </c>
      <c r="AJ31" s="14">
        <f>SUMPRODUCT(AE31:AI31,基础状态预期!$F44:$J44)/SUM(基础状态预期!$F44:$J44)</f>
        <v>8058.757231431312</v>
      </c>
      <c r="AK31" s="14" t="str">
        <f>IF(基础状态预期!U44="","",H$27+(基础状态预期!U44-1)*H$28)</f>
        <v/>
      </c>
      <c r="AL31" s="14" t="str">
        <f>IF(基础状态预期!V44="","",I$27+(基础状态预期!V44-1)*I$28)</f>
        <v/>
      </c>
      <c r="AM31" s="14" t="str">
        <f>IF(基础状态预期!W44="","",J$27+(基础状态预期!W44-1)*J$28)</f>
        <v/>
      </c>
      <c r="AN31" s="14" t="str">
        <f>IF(基础状态预期!X44="","",K$27+(基础状态预期!X44-1)*K$28)</f>
        <v/>
      </c>
      <c r="AO31" s="14">
        <f>IF(基础状态预期!Y44="","",L$27+(基础状态预期!Y44-1)*L$28)</f>
        <v>3419.5857438104376</v>
      </c>
      <c r="AP31" s="14">
        <f>SUMPRODUCT(AK31:AO31,基础状态预期!$F44:$J44)/SUM(基础状态预期!$F44:$J44)</f>
        <v>3419.5857438104376</v>
      </c>
      <c r="AQ31" s="14" t="str">
        <f>IF(基础状态预期!U44="","",H$31+(基础状态预期!U44-1)*H$32)</f>
        <v/>
      </c>
      <c r="AR31" s="14" t="str">
        <f>IF(基础状态预期!V44="","",I$31+(基础状态预期!V44-1)*I$32)</f>
        <v/>
      </c>
      <c r="AS31" s="14" t="str">
        <f>IF(基础状态预期!W44="","",J$31+(基础状态预期!W44-1)*J$32)</f>
        <v/>
      </c>
      <c r="AT31" s="14" t="str">
        <f>IF(基础状态预期!X44="","",K$31+(基础状态预期!X44-1)*K$32)</f>
        <v/>
      </c>
      <c r="AU31" s="14">
        <f>IF(基础状态预期!Y44="","",L$31+(基础状态预期!Y44-1)*L$32)</f>
        <v>261.95857438104377</v>
      </c>
      <c r="AV31" s="14">
        <f>SUMPRODUCT(AQ31:AU31,基础状态预期!$F44:$J44)/SUM(基础状态预期!$F44:$J44)</f>
        <v>261.95857438104377</v>
      </c>
      <c r="BO31" s="29">
        <f t="shared" si="9"/>
        <v>121.47928719052189</v>
      </c>
      <c r="BP31" s="10">
        <f t="shared" si="15"/>
        <v>3259488245249.3271</v>
      </c>
      <c r="BQ31" s="10" t="e">
        <f>$BP31*求节点('[1]功能-付费相关'!$AY$6:$AY$165,'[1]功能-付费相关'!$AZ$6:$AZ$165,$BO31)+$BQ30</f>
        <v>#VALUE!</v>
      </c>
      <c r="BZ31" s="4">
        <f t="shared" si="16"/>
        <v>380</v>
      </c>
      <c r="CA31" s="4">
        <v>28</v>
      </c>
      <c r="CB31" s="90">
        <f t="shared" si="17"/>
        <v>5000</v>
      </c>
      <c r="CC31" s="4">
        <f>SUM(CB$4:CB31)</f>
        <v>47890</v>
      </c>
      <c r="CD31" s="4">
        <f t="shared" si="10"/>
        <v>1.0456331877729257</v>
      </c>
    </row>
    <row r="32" spans="1:82" x14ac:dyDescent="0.15">
      <c r="A32" s="99">
        <f t="shared" si="25"/>
        <v>26900</v>
      </c>
      <c r="B32" s="14">
        <v>56</v>
      </c>
      <c r="C32" s="14">
        <f t="shared" si="18"/>
        <v>111000</v>
      </c>
      <c r="D32" s="14">
        <f>SUM(C$5:$C32)</f>
        <v>570600</v>
      </c>
      <c r="E32" s="89">
        <f>'[1]资源-武将经验'!$Z33</f>
        <v>1.1194556210468152</v>
      </c>
      <c r="F32" s="165" t="s">
        <v>233</v>
      </c>
      <c r="G32" s="166"/>
      <c r="H32" s="14">
        <v>1</v>
      </c>
      <c r="I32" s="14">
        <v>1</v>
      </c>
      <c r="J32" s="14">
        <v>1</v>
      </c>
      <c r="K32" s="14">
        <v>1</v>
      </c>
      <c r="L32" s="14">
        <v>1</v>
      </c>
      <c r="P32" s="5">
        <v>32</v>
      </c>
      <c r="Q32" s="14">
        <f>基础状态预期!D45</f>
        <v>125.02015904129435</v>
      </c>
      <c r="R32" s="14">
        <f>IF(基础状态预期!U45="",0,求节点($B$5:$B$154,$D$5:$D$154,基础状态预期!U45)*基础状态预期!F45)</f>
        <v>0</v>
      </c>
      <c r="S32" s="14">
        <f>IF(基础状态预期!V45="",0,求节点($B$5:$B$154,$D$5:$D$154,基础状态预期!V45)*基础状态预期!G45)</f>
        <v>0</v>
      </c>
      <c r="T32" s="14">
        <f>IF(基础状态预期!W45="",0,求节点($B$5:$B$154,$D$5:$D$154,基础状态预期!W45)*基础状态预期!H45)</f>
        <v>0</v>
      </c>
      <c r="U32" s="14">
        <f>IF(基础状态预期!X45="",0,求节点($B$5:$B$154,$D$5:$D$154,基础状态预期!X45)*基础状态预期!I45)</f>
        <v>0</v>
      </c>
      <c r="V32" s="14">
        <f>IF(基础状态预期!Y45="",0,求节点($B$5:$B$154,$D$5:$D$154,基础状态预期!Y45)*基础状态预期!J45)</f>
        <v>13789659202629.895</v>
      </c>
      <c r="W32" s="14">
        <f t="shared" si="24"/>
        <v>13789659202629.895</v>
      </c>
      <c r="Y32" s="14" t="str">
        <f>IF(基础状态预期!U45="","",H$8+(基础状态预期!U45-1)*H$11)</f>
        <v/>
      </c>
      <c r="Z32" s="14" t="str">
        <f>IF(基础状态预期!V45="","",I$8+(基础状态预期!V45-1)*I$11)</f>
        <v/>
      </c>
      <c r="AA32" s="14" t="str">
        <f>IF(基础状态预期!W45="","",J$8+(基础状态预期!W45-1)*J$11)</f>
        <v/>
      </c>
      <c r="AB32" s="14" t="str">
        <f>IF(基础状态预期!X45="","",K$8+(基础状态预期!X45-1)*K$11)</f>
        <v/>
      </c>
      <c r="AC32" s="14">
        <f>IF(基础状态预期!Y45="","",L$8+(基础状态预期!Y45-1)*L$11)</f>
        <v>8271.2095424776599</v>
      </c>
      <c r="AD32" s="14">
        <f>SUMPRODUCT(Y32:AC32,基础状态预期!$F45:$J45)/SUM(基础状态预期!$F45:$J45)</f>
        <v>8271.2095424776599</v>
      </c>
      <c r="AE32" s="14" t="str">
        <f>IF(基础状态预期!U45="","",H$9+(基础状态预期!U45-1)*H$12)</f>
        <v/>
      </c>
      <c r="AF32" s="14" t="str">
        <f>IF(基础状态预期!V45="","",I$9+(基础状态预期!V45-1)*I$12)</f>
        <v/>
      </c>
      <c r="AG32" s="14" t="str">
        <f>IF(基础状态预期!W45="","",J$9+(基础状态预期!W45-1)*J$12)</f>
        <v/>
      </c>
      <c r="AH32" s="14" t="str">
        <f>IF(基础状态预期!X45="","",K$9+(基础状态预期!X45-1)*K$12)</f>
        <v/>
      </c>
      <c r="AI32" s="14">
        <f>IF(基础状态预期!Y45="","",L$9+(基础状态预期!Y45-1)*L$12)</f>
        <v>8271.2095424776599</v>
      </c>
      <c r="AJ32" s="14">
        <f>SUMPRODUCT(AE32:AI32,基础状态预期!$F45:$J45)/SUM(基础状态预期!$F45:$J45)</f>
        <v>8271.2095424776599</v>
      </c>
      <c r="AK32" s="14" t="str">
        <f>IF(基础状态预期!U45="","",H$27+(基础状态预期!U45-1)*H$28)</f>
        <v/>
      </c>
      <c r="AL32" s="14" t="str">
        <f>IF(基础状态预期!V45="","",I$27+(基础状态预期!V45-1)*I$28)</f>
        <v/>
      </c>
      <c r="AM32" s="14" t="str">
        <f>IF(基础状态预期!W45="","",J$27+(基础状态预期!W45-1)*J$28)</f>
        <v/>
      </c>
      <c r="AN32" s="14" t="str">
        <f>IF(基础状态预期!X45="","",K$27+(基础状态预期!X45-1)*K$28)</f>
        <v/>
      </c>
      <c r="AO32" s="14">
        <f>IF(基础状态预期!Y45="","",L$27+(基础状态预期!Y45-1)*L$28)</f>
        <v>3490.4031808258869</v>
      </c>
      <c r="AP32" s="14">
        <f>SUMPRODUCT(AK32:AO32,基础状态预期!$F45:$J45)/SUM(基础状态预期!$F45:$J45)</f>
        <v>3490.4031808258865</v>
      </c>
      <c r="AQ32" s="14" t="str">
        <f>IF(基础状态预期!U45="","",H$31+(基础状态预期!U45-1)*H$32)</f>
        <v/>
      </c>
      <c r="AR32" s="14" t="str">
        <f>IF(基础状态预期!V45="","",I$31+(基础状态预期!V45-1)*I$32)</f>
        <v/>
      </c>
      <c r="AS32" s="14" t="str">
        <f>IF(基础状态预期!W45="","",J$31+(基础状态预期!W45-1)*J$32)</f>
        <v/>
      </c>
      <c r="AT32" s="14" t="str">
        <f>IF(基础状态预期!X45="","",K$31+(基础状态预期!X45-1)*K$32)</f>
        <v/>
      </c>
      <c r="AU32" s="14">
        <f>IF(基础状态预期!Y45="","",L$31+(基础状态预期!Y45-1)*L$32)</f>
        <v>269.04031808258867</v>
      </c>
      <c r="AV32" s="14">
        <f>SUMPRODUCT(AQ32:AU32,基础状态预期!$F45:$J45)/SUM(基础状态预期!$F45:$J45)</f>
        <v>269.04031808258867</v>
      </c>
      <c r="BO32" s="29">
        <f t="shared" si="9"/>
        <v>125.02015904129435</v>
      </c>
      <c r="BP32" s="10">
        <f t="shared" si="15"/>
        <v>6188778404643.0039</v>
      </c>
      <c r="BQ32" s="10" t="e">
        <f>$BP32*求节点('[1]功能-付费相关'!$AY$6:$AY$165,'[1]功能-付费相关'!$AZ$6:$AZ$165,$BO32)+$BQ31</f>
        <v>#VALUE!</v>
      </c>
      <c r="BZ32" s="4">
        <f t="shared" si="16"/>
        <v>380</v>
      </c>
      <c r="CA32" s="4">
        <v>29</v>
      </c>
      <c r="CB32" s="90">
        <f t="shared" si="17"/>
        <v>5380</v>
      </c>
      <c r="CC32" s="4">
        <f>SUM(CB$4:CB32)</f>
        <v>53270</v>
      </c>
      <c r="CD32" s="4">
        <f t="shared" si="10"/>
        <v>1.0404296875000001</v>
      </c>
    </row>
    <row r="33" spans="1:82" x14ac:dyDescent="0.15">
      <c r="A33" s="99">
        <f t="shared" si="25"/>
        <v>37100</v>
      </c>
      <c r="B33" s="14">
        <v>58</v>
      </c>
      <c r="C33" s="14">
        <f t="shared" si="18"/>
        <v>148100</v>
      </c>
      <c r="D33" s="14">
        <f>SUM(C$5:$C33)</f>
        <v>718700</v>
      </c>
      <c r="E33" s="89">
        <f>'[1]资源-武将经验'!$Z34</f>
        <v>0.89771709837878344</v>
      </c>
      <c r="P33" s="5">
        <v>33</v>
      </c>
      <c r="Q33" s="14">
        <f>基础状态预期!D46</f>
        <v>128.56549059889721</v>
      </c>
      <c r="R33" s="14">
        <f>IF(基础状态预期!U46="",0,求节点($B$5:$B$154,$D$5:$D$154,基础状态预期!U46)*基础状态预期!F46)</f>
        <v>0</v>
      </c>
      <c r="S33" s="14">
        <f>IF(基础状态预期!V46="",0,求节点($B$5:$B$154,$D$5:$D$154,基础状态预期!V46)*基础状态预期!G46)</f>
        <v>0</v>
      </c>
      <c r="T33" s="14">
        <f>IF(基础状态预期!W46="",0,求节点($B$5:$B$154,$D$5:$D$154,基础状态预期!W46)*基础状态预期!H46)</f>
        <v>0</v>
      </c>
      <c r="U33" s="14">
        <f>IF(基础状态预期!X46="",0,求节点($B$5:$B$154,$D$5:$D$154,基础状态预期!X46)*基础状态预期!I46)</f>
        <v>0</v>
      </c>
      <c r="V33" s="14">
        <f>IF(基础状态预期!Y46="",0,求节点($B$5:$B$154,$D$5:$D$154,基础状态预期!Y46)*基础状态预期!J46)</f>
        <v>25636074285154.719</v>
      </c>
      <c r="W33" s="14">
        <f t="shared" si="24"/>
        <v>25636074285154.719</v>
      </c>
      <c r="Y33" s="14" t="str">
        <f>IF(基础状态预期!U46="","",H$8+(基础状态预期!U46-1)*H$11)</f>
        <v/>
      </c>
      <c r="Z33" s="14" t="str">
        <f>IF(基础状态预期!V46="","",I$8+(基础状态预期!V46-1)*I$11)</f>
        <v/>
      </c>
      <c r="AA33" s="14" t="str">
        <f>IF(基础状态预期!W46="","",J$8+(基础状态预期!W46-1)*J$11)</f>
        <v/>
      </c>
      <c r="AB33" s="14" t="str">
        <f>IF(基础状态预期!X46="","",K$8+(基础状态预期!X46-1)*K$11)</f>
        <v/>
      </c>
      <c r="AC33" s="14">
        <f>IF(基础状态预期!Y46="","",L$8+(基础状态预期!Y46-1)*L$11)</f>
        <v>8483.9294359338328</v>
      </c>
      <c r="AD33" s="14">
        <f>SUMPRODUCT(Y33:AC33,基础状态预期!$F46:$J46)/SUM(基础状态预期!$F46:$J46)</f>
        <v>8483.9294359338328</v>
      </c>
      <c r="AE33" s="14" t="str">
        <f>IF(基础状态预期!U46="","",H$9+(基础状态预期!U46-1)*H$12)</f>
        <v/>
      </c>
      <c r="AF33" s="14" t="str">
        <f>IF(基础状态预期!V46="","",I$9+(基础状态预期!V46-1)*I$12)</f>
        <v/>
      </c>
      <c r="AG33" s="14" t="str">
        <f>IF(基础状态预期!W46="","",J$9+(基础状态预期!W46-1)*J$12)</f>
        <v/>
      </c>
      <c r="AH33" s="14" t="str">
        <f>IF(基础状态预期!X46="","",K$9+(基础状态预期!X46-1)*K$12)</f>
        <v/>
      </c>
      <c r="AI33" s="14">
        <f>IF(基础状态预期!Y46="","",L$9+(基础状态预期!Y46-1)*L$12)</f>
        <v>8483.9294359338328</v>
      </c>
      <c r="AJ33" s="14">
        <f>SUMPRODUCT(AE33:AI33,基础状态预期!$F46:$J46)/SUM(基础状态预期!$F46:$J46)</f>
        <v>8483.9294359338328</v>
      </c>
      <c r="AK33" s="14" t="str">
        <f>IF(基础状态预期!U46="","",H$27+(基础状态预期!U46-1)*H$28)</f>
        <v/>
      </c>
      <c r="AL33" s="14" t="str">
        <f>IF(基础状态预期!V46="","",I$27+(基础状态预期!V46-1)*I$28)</f>
        <v/>
      </c>
      <c r="AM33" s="14" t="str">
        <f>IF(基础状态预期!W46="","",J$27+(基础状态预期!W46-1)*J$28)</f>
        <v/>
      </c>
      <c r="AN33" s="14" t="str">
        <f>IF(基础状态预期!X46="","",K$27+(基础状态预期!X46-1)*K$28)</f>
        <v/>
      </c>
      <c r="AO33" s="14">
        <f>IF(基础状态预期!Y46="","",L$27+(基础状态预期!Y46-1)*L$28)</f>
        <v>3561.3098119779443</v>
      </c>
      <c r="AP33" s="14">
        <f>SUMPRODUCT(AK33:AO33,基础状态预期!$F46:$J46)/SUM(基础状态预期!$F46:$J46)</f>
        <v>3561.3098119779443</v>
      </c>
      <c r="AQ33" s="14" t="str">
        <f>IF(基础状态预期!U46="","",H$31+(基础状态预期!U46-1)*H$32)</f>
        <v/>
      </c>
      <c r="AR33" s="14" t="str">
        <f>IF(基础状态预期!V46="","",I$31+(基础状态预期!V46-1)*I$32)</f>
        <v/>
      </c>
      <c r="AS33" s="14" t="str">
        <f>IF(基础状态预期!W46="","",J$31+(基础状态预期!W46-1)*J$32)</f>
        <v/>
      </c>
      <c r="AT33" s="14" t="str">
        <f>IF(基础状态预期!X46="","",K$31+(基础状态预期!X46-1)*K$32)</f>
        <v/>
      </c>
      <c r="AU33" s="14">
        <f>IF(基础状态预期!Y46="","",L$31+(基础状态预期!Y46-1)*L$32)</f>
        <v>276.13098119779443</v>
      </c>
      <c r="AV33" s="14">
        <f>SUMPRODUCT(AQ33:AU33,基础状态预期!$F46:$J46)/SUM(基础状态预期!$F46:$J46)</f>
        <v>276.13098119779443</v>
      </c>
      <c r="BO33" s="29">
        <f t="shared" si="9"/>
        <v>128.56549059889721</v>
      </c>
      <c r="BP33" s="10">
        <f t="shared" si="15"/>
        <v>11846415082524.824</v>
      </c>
      <c r="BQ33" s="10" t="e">
        <f>$BP33*求节点('[1]功能-付费相关'!$AY$6:$AY$165,'[1]功能-付费相关'!$AZ$6:$AZ$165,$BO33)+$BQ32</f>
        <v>#VALUE!</v>
      </c>
      <c r="BZ33" s="4">
        <f t="shared" si="16"/>
        <v>410</v>
      </c>
      <c r="CA33" s="4">
        <v>30</v>
      </c>
      <c r="CB33" s="90">
        <f t="shared" si="17"/>
        <v>5790</v>
      </c>
      <c r="CC33" s="4">
        <f>SUM(CB$4:CB33)</f>
        <v>59060</v>
      </c>
      <c r="CD33" s="4">
        <f t="shared" si="10"/>
        <v>1.0434628975265017</v>
      </c>
    </row>
    <row r="34" spans="1:82" x14ac:dyDescent="0.15">
      <c r="A34" s="99">
        <f t="shared" si="25"/>
        <v>51100</v>
      </c>
      <c r="B34" s="14">
        <v>60</v>
      </c>
      <c r="C34" s="14">
        <f t="shared" si="18"/>
        <v>199200</v>
      </c>
      <c r="D34" s="14">
        <f>SUM(C$5:$C34)</f>
        <v>917900</v>
      </c>
      <c r="E34" s="89">
        <f>'[1]资源-武将经验'!$Z35</f>
        <v>0.79400896119993791</v>
      </c>
      <c r="P34" s="5">
        <v>34</v>
      </c>
      <c r="Q34" s="14">
        <f>基础状态预期!D47</f>
        <v>132.07530828871487</v>
      </c>
      <c r="R34" s="14">
        <f>IF(基础状态预期!U47="",0,求节点($B$5:$B$154,$D$5:$D$154,基础状态预期!U47)*基础状态预期!F47)</f>
        <v>0</v>
      </c>
      <c r="S34" s="14">
        <f>IF(基础状态预期!V47="",0,求节点($B$5:$B$154,$D$5:$D$154,基础状态预期!V47)*基础状态预期!G47)</f>
        <v>0</v>
      </c>
      <c r="T34" s="14">
        <f>IF(基础状态预期!W47="",0,求节点($B$5:$B$154,$D$5:$D$154,基础状态预期!W47)*基础状态预期!H47)</f>
        <v>0</v>
      </c>
      <c r="U34" s="14">
        <f>IF(基础状态预期!X47="",0,求节点($B$5:$B$154,$D$5:$D$154,基础状态预期!X47)*基础状态预期!I47)</f>
        <v>0</v>
      </c>
      <c r="V34" s="14">
        <f>IF(基础状态预期!Y47="",0,求节点($B$5:$B$154,$D$5:$D$154,基础状态预期!Y47)*基础状态预期!J47)</f>
        <v>47605822540616.031</v>
      </c>
      <c r="W34" s="14">
        <f t="shared" si="24"/>
        <v>47605822540616.031</v>
      </c>
      <c r="Y34" s="14" t="str">
        <f>IF(基础状态预期!U47="","",H$8+(基础状态预期!U47-1)*H$11)</f>
        <v/>
      </c>
      <c r="Z34" s="14" t="str">
        <f>IF(基础状态预期!V47="","",I$8+(基础状态预期!V47-1)*I$11)</f>
        <v/>
      </c>
      <c r="AA34" s="14" t="str">
        <f>IF(基础状态预期!W47="","",J$8+(基础状态预期!W47-1)*J$11)</f>
        <v/>
      </c>
      <c r="AB34" s="14" t="str">
        <f>IF(基础状态预期!X47="","",K$8+(基础状态预期!X47-1)*K$11)</f>
        <v/>
      </c>
      <c r="AC34" s="14">
        <f>IF(基础状态预期!Y47="","",L$8+(基础状态预期!Y47-1)*L$11)</f>
        <v>8694.5184973228916</v>
      </c>
      <c r="AD34" s="14">
        <f>SUMPRODUCT(Y34:AC34,基础状态预期!$F47:$J47)/SUM(基础状态预期!$F47:$J47)</f>
        <v>8694.5184973228916</v>
      </c>
      <c r="AE34" s="14" t="str">
        <f>IF(基础状态预期!U47="","",H$9+(基础状态预期!U47-1)*H$12)</f>
        <v/>
      </c>
      <c r="AF34" s="14" t="str">
        <f>IF(基础状态预期!V47="","",I$9+(基础状态预期!V47-1)*I$12)</f>
        <v/>
      </c>
      <c r="AG34" s="14" t="str">
        <f>IF(基础状态预期!W47="","",J$9+(基础状态预期!W47-1)*J$12)</f>
        <v/>
      </c>
      <c r="AH34" s="14" t="str">
        <f>IF(基础状态预期!X47="","",K$9+(基础状态预期!X47-1)*K$12)</f>
        <v/>
      </c>
      <c r="AI34" s="14">
        <f>IF(基础状态预期!Y47="","",L$9+(基础状态预期!Y47-1)*L$12)</f>
        <v>8694.5184973228916</v>
      </c>
      <c r="AJ34" s="14">
        <f>SUMPRODUCT(AE34:AI34,基础状态预期!$F47:$J47)/SUM(基础状态预期!$F47:$J47)</f>
        <v>8694.5184973228916</v>
      </c>
      <c r="AK34" s="14" t="str">
        <f>IF(基础状态预期!U47="","",H$27+(基础状态预期!U47-1)*H$28)</f>
        <v/>
      </c>
      <c r="AL34" s="14" t="str">
        <f>IF(基础状态预期!V47="","",I$27+(基础状态预期!V47-1)*I$28)</f>
        <v/>
      </c>
      <c r="AM34" s="14" t="str">
        <f>IF(基础状态预期!W47="","",J$27+(基础状态预期!W47-1)*J$28)</f>
        <v/>
      </c>
      <c r="AN34" s="14" t="str">
        <f>IF(基础状态预期!X47="","",K$27+(基础状态预期!X47-1)*K$28)</f>
        <v/>
      </c>
      <c r="AO34" s="14">
        <f>IF(基础状态预期!Y47="","",L$27+(基础状态预期!Y47-1)*L$28)</f>
        <v>3631.5061657742972</v>
      </c>
      <c r="AP34" s="14">
        <f>SUMPRODUCT(AK34:AO34,基础状态预期!$F47:$J47)/SUM(基础状态预期!$F47:$J47)</f>
        <v>3631.5061657742972</v>
      </c>
      <c r="AQ34" s="14" t="str">
        <f>IF(基础状态预期!U47="","",H$31+(基础状态预期!U47-1)*H$32)</f>
        <v/>
      </c>
      <c r="AR34" s="14" t="str">
        <f>IF(基础状态预期!V47="","",I$31+(基础状态预期!V47-1)*I$32)</f>
        <v/>
      </c>
      <c r="AS34" s="14" t="str">
        <f>IF(基础状态预期!W47="","",J$31+(基础状态预期!W47-1)*J$32)</f>
        <v/>
      </c>
      <c r="AT34" s="14" t="str">
        <f>IF(基础状态预期!X47="","",K$31+(基础状态预期!X47-1)*K$32)</f>
        <v/>
      </c>
      <c r="AU34" s="14">
        <f>IF(基础状态预期!Y47="","",L$31+(基础状态预期!Y47-1)*L$32)</f>
        <v>283.15061657742973</v>
      </c>
      <c r="AV34" s="14">
        <f>SUMPRODUCT(AQ34:AU34,基础状态预期!$F47:$J47)/SUM(基础状态预期!$F47:$J47)</f>
        <v>283.15061657742973</v>
      </c>
      <c r="BO34" s="29">
        <f t="shared" si="9"/>
        <v>132.07530828871487</v>
      </c>
      <c r="BP34" s="10">
        <f t="shared" si="15"/>
        <v>21969748255461.313</v>
      </c>
      <c r="BQ34" s="10" t="e">
        <f>$BP34*求节点('[1]功能-付费相关'!$AY$6:$AY$165,'[1]功能-付费相关'!$AZ$6:$AZ$165,$BO34)+$BQ33</f>
        <v>#VALUE!</v>
      </c>
      <c r="BZ34" s="4">
        <f t="shared" si="16"/>
        <v>410</v>
      </c>
      <c r="CA34" s="4">
        <v>31</v>
      </c>
      <c r="CB34" s="90">
        <f t="shared" si="17"/>
        <v>6200</v>
      </c>
      <c r="CC34" s="4">
        <f>SUM(CB$4:CB34)</f>
        <v>65260</v>
      </c>
      <c r="CD34" s="4">
        <f t="shared" si="10"/>
        <v>1.0388411333970073</v>
      </c>
    </row>
    <row r="35" spans="1:82" ht="10.5" customHeight="1" x14ac:dyDescent="0.15">
      <c r="A35" s="101">
        <f>INT(A34*1.02/100)*100</f>
        <v>52100</v>
      </c>
      <c r="B35" s="14">
        <v>62</v>
      </c>
      <c r="C35" s="14">
        <f t="shared" si="18"/>
        <v>251300</v>
      </c>
      <c r="D35" s="14">
        <f>SUM(C$5:$C35)</f>
        <v>1169200</v>
      </c>
      <c r="E35" s="89">
        <f>'[1]资源-武将经验'!$Z36</f>
        <v>0.75230922938672184</v>
      </c>
      <c r="P35" s="5">
        <v>35</v>
      </c>
      <c r="Q35" s="14">
        <f>基础状态预期!D48</f>
        <v>135.54811255008914</v>
      </c>
      <c r="R35" s="14">
        <f>IF(基础状态预期!U48="",0,求节点($B$5:$B$154,$D$5:$D$154,基础状态预期!U48)*基础状态预期!F48)</f>
        <v>0</v>
      </c>
      <c r="S35" s="14">
        <f>IF(基础状态预期!V48="",0,求节点($B$5:$B$154,$D$5:$D$154,基础状态预期!V48)*基础状态预期!G48)</f>
        <v>0</v>
      </c>
      <c r="T35" s="14">
        <f>IF(基础状态预期!W48="",0,求节点($B$5:$B$154,$D$5:$D$154,基础状态预期!W48)*基础状态预期!H48)</f>
        <v>0</v>
      </c>
      <c r="U35" s="14">
        <f>IF(基础状态预期!X48="",0,求节点($B$5:$B$154,$D$5:$D$154,基础状态预期!X48)*基础状态预期!I48)</f>
        <v>0</v>
      </c>
      <c r="V35" s="14">
        <f>IF(基础状态预期!Y48="",0,求节点($B$5:$B$154,$D$5:$D$154,基础状态预期!Y48)*基础状态预期!J48)</f>
        <v>88883835257497.094</v>
      </c>
      <c r="W35" s="14">
        <f t="shared" si="24"/>
        <v>88883835257497.094</v>
      </c>
      <c r="Y35" s="14" t="str">
        <f>IF(基础状态预期!U48="","",H$8+(基础状态预期!U48-1)*H$11)</f>
        <v/>
      </c>
      <c r="Z35" s="14" t="str">
        <f>IF(基础状态预期!V48="","",I$8+(基础状态预期!V48-1)*I$11)</f>
        <v/>
      </c>
      <c r="AA35" s="14" t="str">
        <f>IF(基础状态预期!W48="","",J$8+(基础状态预期!W48-1)*J$11)</f>
        <v/>
      </c>
      <c r="AB35" s="14" t="str">
        <f>IF(基础状态预期!X48="","",K$8+(基础状态预期!X48-1)*K$11)</f>
        <v/>
      </c>
      <c r="AC35" s="14">
        <f>IF(基础状态预期!Y48="","",L$8+(基础状态预期!Y48-1)*L$11)</f>
        <v>8902.8867530053485</v>
      </c>
      <c r="AD35" s="14">
        <f>SUMPRODUCT(Y35:AC35,基础状态预期!$F48:$J48)/SUM(基础状态预期!$F48:$J48)</f>
        <v>8902.8867530053485</v>
      </c>
      <c r="AE35" s="14" t="str">
        <f>IF(基础状态预期!U48="","",H$9+(基础状态预期!U48-1)*H$12)</f>
        <v/>
      </c>
      <c r="AF35" s="14" t="str">
        <f>IF(基础状态预期!V48="","",I$9+(基础状态预期!V48-1)*I$12)</f>
        <v/>
      </c>
      <c r="AG35" s="14" t="str">
        <f>IF(基础状态预期!W48="","",J$9+(基础状态预期!W48-1)*J$12)</f>
        <v/>
      </c>
      <c r="AH35" s="14" t="str">
        <f>IF(基础状态预期!X48="","",K$9+(基础状态预期!X48-1)*K$12)</f>
        <v/>
      </c>
      <c r="AI35" s="14">
        <f>IF(基础状态预期!Y48="","",L$9+(基础状态预期!Y48-1)*L$12)</f>
        <v>8902.8867530053485</v>
      </c>
      <c r="AJ35" s="14">
        <f>SUMPRODUCT(AE35:AI35,基础状态预期!$F48:$J48)/SUM(基础状态预期!$F48:$J48)</f>
        <v>8902.8867530053485</v>
      </c>
      <c r="AK35" s="14" t="str">
        <f>IF(基础状态预期!U48="","",H$27+(基础状态预期!U48-1)*H$28)</f>
        <v/>
      </c>
      <c r="AL35" s="14" t="str">
        <f>IF(基础状态预期!V48="","",I$27+(基础状态预期!V48-1)*I$28)</f>
        <v/>
      </c>
      <c r="AM35" s="14" t="str">
        <f>IF(基础状态预期!W48="","",J$27+(基础状态预期!W48-1)*J$28)</f>
        <v/>
      </c>
      <c r="AN35" s="14" t="str">
        <f>IF(基础状态预期!X48="","",K$27+(基础状态预期!X48-1)*K$28)</f>
        <v/>
      </c>
      <c r="AO35" s="14">
        <f>IF(基础状态预期!Y48="","",L$27+(基础状态预期!Y48-1)*L$28)</f>
        <v>3700.962251001783</v>
      </c>
      <c r="AP35" s="14">
        <f>SUMPRODUCT(AK35:AO35,基础状态预期!$F48:$J48)/SUM(基础状态预期!$F48:$J48)</f>
        <v>3700.962251001783</v>
      </c>
      <c r="AQ35" s="14" t="str">
        <f>IF(基础状态预期!U48="","",H$31+(基础状态预期!U48-1)*H$32)</f>
        <v/>
      </c>
      <c r="AR35" s="14" t="str">
        <f>IF(基础状态预期!V48="","",I$31+(基础状态预期!V48-1)*I$32)</f>
        <v/>
      </c>
      <c r="AS35" s="14" t="str">
        <f>IF(基础状态预期!W48="","",J$31+(基础状态预期!W48-1)*J$32)</f>
        <v/>
      </c>
      <c r="AT35" s="14" t="str">
        <f>IF(基础状态预期!X48="","",K$31+(基础状态预期!X48-1)*K$32)</f>
        <v/>
      </c>
      <c r="AU35" s="14">
        <f>IF(基础状态预期!Y48="","",L$31+(基础状态预期!Y48-1)*L$32)</f>
        <v>290.09622510017829</v>
      </c>
      <c r="AV35" s="14">
        <f>SUMPRODUCT(AQ35:AU35,基础状态预期!$F48:$J48)/SUM(基础状态预期!$F48:$J48)</f>
        <v>290.09622510017829</v>
      </c>
      <c r="BO35" s="29">
        <f t="shared" si="9"/>
        <v>135.54811255008914</v>
      </c>
      <c r="BP35" s="10">
        <f t="shared" si="15"/>
        <v>41278012716881.063</v>
      </c>
      <c r="BQ35" s="10" t="e">
        <f>$BP35*求节点('[1]功能-付费相关'!$AY$6:$AY$165,'[1]功能-付费相关'!$AZ$6:$AZ$165,$BO35)+$BQ34</f>
        <v>#VALUE!</v>
      </c>
      <c r="BZ35" s="4">
        <f t="shared" si="16"/>
        <v>440</v>
      </c>
      <c r="CA35" s="4">
        <v>32</v>
      </c>
      <c r="CB35" s="90">
        <f t="shared" si="17"/>
        <v>6640</v>
      </c>
      <c r="CC35" s="4">
        <f>SUM(CB$4:CB35)</f>
        <v>71900</v>
      </c>
      <c r="CD35" s="4">
        <f t="shared" si="10"/>
        <v>1.041425260718424</v>
      </c>
    </row>
    <row r="36" spans="1:82" x14ac:dyDescent="0.15">
      <c r="A36" s="101">
        <f t="shared" ref="A36:A44" si="28">INT(A35*1.02/100)*100</f>
        <v>53100</v>
      </c>
      <c r="B36" s="14">
        <v>64</v>
      </c>
      <c r="C36" s="14">
        <f t="shared" si="18"/>
        <v>304400</v>
      </c>
      <c r="D36" s="14">
        <f>SUM(C$5:$C36)</f>
        <v>1473600</v>
      </c>
      <c r="E36" s="89">
        <f>'[1]资源-武将经验'!$Z37</f>
        <v>0.74218838172795998</v>
      </c>
      <c r="P36" s="5">
        <v>36</v>
      </c>
      <c r="Q36" s="14">
        <f>基础状态预期!D49</f>
        <v>139.0493876099641</v>
      </c>
      <c r="R36" s="14">
        <f>IF(基础状态预期!U49="",0,求节点($B$5:$B$154,$D$5:$D$154,基础状态预期!U49)*基础状态预期!F49)</f>
        <v>0</v>
      </c>
      <c r="S36" s="14">
        <f>IF(基础状态预期!V49="",0,求节点($B$5:$B$154,$D$5:$D$154,基础状态预期!V49)*基础状态预期!G49)</f>
        <v>0</v>
      </c>
      <c r="T36" s="14">
        <f>IF(基础状态预期!W49="",0,求节点($B$5:$B$154,$D$5:$D$154,基础状态预期!W49)*基础状态预期!H49)</f>
        <v>0</v>
      </c>
      <c r="U36" s="14">
        <f>IF(基础状态预期!X49="",0,求节点($B$5:$B$154,$D$5:$D$154,基础状态预期!X49)*基础状态预期!I49)</f>
        <v>0</v>
      </c>
      <c r="V36" s="14">
        <f>IF(基础状态预期!Y49="",0,求节点($B$5:$B$154,$D$5:$D$154,基础状态预期!Y49)*基础状态预期!J49)</f>
        <v>163806971860186.47</v>
      </c>
      <c r="W36" s="14">
        <f t="shared" si="24"/>
        <v>163806971860186.47</v>
      </c>
      <c r="Y36" s="14" t="str">
        <f>IF(基础状态预期!U49="","",H$8+(基础状态预期!U49-1)*H$11)</f>
        <v/>
      </c>
      <c r="Z36" s="14" t="str">
        <f>IF(基础状态预期!V49="","",I$8+(基础状态预期!V49-1)*I$11)</f>
        <v/>
      </c>
      <c r="AA36" s="14" t="str">
        <f>IF(基础状态预期!W49="","",J$8+(基础状态预期!W49-1)*J$11)</f>
        <v/>
      </c>
      <c r="AB36" s="14" t="str">
        <f>IF(基础状态预期!X49="","",K$8+(基础状态预期!X49-1)*K$11)</f>
        <v/>
      </c>
      <c r="AC36" s="14">
        <f>IF(基础状态预期!Y49="","",L$8+(基础状态预期!Y49-1)*L$11)</f>
        <v>9112.9632565978463</v>
      </c>
      <c r="AD36" s="14">
        <f>SUMPRODUCT(Y36:AC36,基础状态预期!$F49:$J49)/SUM(基础状态预期!$F49:$J49)</f>
        <v>9112.9632565978463</v>
      </c>
      <c r="AE36" s="14" t="str">
        <f>IF(基础状态预期!U49="","",H$9+(基础状态预期!U49-1)*H$12)</f>
        <v/>
      </c>
      <c r="AF36" s="14" t="str">
        <f>IF(基础状态预期!V49="","",I$9+(基础状态预期!V49-1)*I$12)</f>
        <v/>
      </c>
      <c r="AG36" s="14" t="str">
        <f>IF(基础状态预期!W49="","",J$9+(基础状态预期!W49-1)*J$12)</f>
        <v/>
      </c>
      <c r="AH36" s="14" t="str">
        <f>IF(基础状态预期!X49="","",K$9+(基础状态预期!X49-1)*K$12)</f>
        <v/>
      </c>
      <c r="AI36" s="14">
        <f>IF(基础状态预期!Y49="","",L$9+(基础状态预期!Y49-1)*L$12)</f>
        <v>9112.9632565978463</v>
      </c>
      <c r="AJ36" s="14">
        <f>SUMPRODUCT(AE36:AI36,基础状态预期!$F49:$J49)/SUM(基础状态预期!$F49:$J49)</f>
        <v>9112.9632565978463</v>
      </c>
      <c r="AK36" s="14" t="str">
        <f>IF(基础状态预期!U49="","",H$27+(基础状态预期!U49-1)*H$28)</f>
        <v/>
      </c>
      <c r="AL36" s="14" t="str">
        <f>IF(基础状态预期!V49="","",I$27+(基础状态预期!V49-1)*I$28)</f>
        <v/>
      </c>
      <c r="AM36" s="14" t="str">
        <f>IF(基础状态预期!W49="","",J$27+(基础状态预期!W49-1)*J$28)</f>
        <v/>
      </c>
      <c r="AN36" s="14" t="str">
        <f>IF(基础状态预期!X49="","",K$27+(基础状态预期!X49-1)*K$28)</f>
        <v/>
      </c>
      <c r="AO36" s="14">
        <f>IF(基础状态预期!Y49="","",L$27+(基础状态预期!Y49-1)*L$28)</f>
        <v>3770.9877521992821</v>
      </c>
      <c r="AP36" s="14">
        <f>SUMPRODUCT(AK36:AO36,基础状态预期!$F49:$J49)/SUM(基础状态预期!$F49:$J49)</f>
        <v>3770.9877521992821</v>
      </c>
      <c r="AQ36" s="14" t="str">
        <f>IF(基础状态预期!U49="","",H$31+(基础状态预期!U49-1)*H$32)</f>
        <v/>
      </c>
      <c r="AR36" s="14" t="str">
        <f>IF(基础状态预期!V49="","",I$31+(基础状态预期!V49-1)*I$32)</f>
        <v/>
      </c>
      <c r="AS36" s="14" t="str">
        <f>IF(基础状态预期!W49="","",J$31+(基础状态预期!W49-1)*J$32)</f>
        <v/>
      </c>
      <c r="AT36" s="14" t="str">
        <f>IF(基础状态预期!X49="","",K$31+(基础状态预期!X49-1)*K$32)</f>
        <v/>
      </c>
      <c r="AU36" s="14">
        <f>IF(基础状态预期!Y49="","",L$31+(基础状态预期!Y49-1)*L$32)</f>
        <v>297.0987752199282</v>
      </c>
      <c r="AV36" s="14">
        <f>SUMPRODUCT(AQ36:AU36,基础状态预期!$F49:$J49)/SUM(基础状态预期!$F49:$J49)</f>
        <v>297.0987752199282</v>
      </c>
      <c r="BO36" s="29">
        <f t="shared" si="9"/>
        <v>139.0493876099641</v>
      </c>
      <c r="BP36" s="10">
        <f t="shared" si="15"/>
        <v>74923136602689.375</v>
      </c>
      <c r="BQ36" s="10" t="e">
        <f>$BP36*求节点('[1]功能-付费相关'!$AY$6:$AY$165,'[1]功能-付费相关'!$AZ$6:$AZ$165,$BO36)+$BQ35</f>
        <v>#VALUE!</v>
      </c>
      <c r="BZ36" s="4">
        <f t="shared" si="16"/>
        <v>440</v>
      </c>
      <c r="CA36" s="4">
        <v>33</v>
      </c>
      <c r="CB36" s="90">
        <f t="shared" si="17"/>
        <v>7080</v>
      </c>
      <c r="CC36" s="4">
        <f>SUM(CB$4:CB36)</f>
        <v>78980</v>
      </c>
      <c r="CD36" s="4">
        <f t="shared" si="10"/>
        <v>1.0372997110585762</v>
      </c>
    </row>
    <row r="37" spans="1:82" x14ac:dyDescent="0.15">
      <c r="A37" s="101">
        <f t="shared" si="28"/>
        <v>54100</v>
      </c>
      <c r="B37" s="14">
        <v>66</v>
      </c>
      <c r="C37" s="14">
        <f t="shared" si="18"/>
        <v>358500</v>
      </c>
      <c r="D37" s="14">
        <f>SUM(C$5:$C37)</f>
        <v>1832100</v>
      </c>
      <c r="E37" s="89">
        <f>'[1]资源-武将经验'!$Z38</f>
        <v>0.75194473474816048</v>
      </c>
      <c r="P37" s="5">
        <v>37</v>
      </c>
      <c r="Q37" s="14">
        <f>基础状态预期!D50</f>
        <v>142.53355653582128</v>
      </c>
      <c r="R37" s="14">
        <f>IF(基础状态预期!U50="",0,求节点($B$5:$B$154,$D$5:$D$154,基础状态预期!U50)*基础状态预期!F50)</f>
        <v>0</v>
      </c>
      <c r="S37" s="14">
        <f>IF(基础状态预期!V50="",0,求节点($B$5:$B$154,$D$5:$D$154,基础状态预期!V50)*基础状态预期!G50)</f>
        <v>0</v>
      </c>
      <c r="T37" s="14">
        <f>IF(基础状态预期!W50="",0,求节点($B$5:$B$154,$D$5:$D$154,基础状态预期!W50)*基础状态预期!H50)</f>
        <v>0</v>
      </c>
      <c r="U37" s="14">
        <f>IF(基础状态预期!X50="",0,求节点($B$5:$B$154,$D$5:$D$154,基础状态预期!X50)*基础状态预期!I50)</f>
        <v>0</v>
      </c>
      <c r="V37" s="14">
        <f>IF(基础状态预期!Y50="",0,求节点($B$5:$B$154,$D$5:$D$154,基础状态预期!Y50)*基础状态预期!J50)</f>
        <v>294355419722839.44</v>
      </c>
      <c r="W37" s="14">
        <f t="shared" si="24"/>
        <v>294355419722839.44</v>
      </c>
      <c r="Y37" s="14" t="str">
        <f>IF(基础状态预期!U50="","",H$8+(基础状态预期!U50-1)*H$11)</f>
        <v/>
      </c>
      <c r="Z37" s="14" t="str">
        <f>IF(基础状态预期!V50="","",I$8+(基础状态预期!V50-1)*I$11)</f>
        <v/>
      </c>
      <c r="AA37" s="14" t="str">
        <f>IF(基础状态预期!W50="","",J$8+(基础状态预期!W50-1)*J$11)</f>
        <v/>
      </c>
      <c r="AB37" s="14" t="str">
        <f>IF(基础状态预期!X50="","",K$8+(基础状态预期!X50-1)*K$11)</f>
        <v/>
      </c>
      <c r="AC37" s="14">
        <f>IF(基础状态预期!Y50="","",L$8+(基础状态预期!Y50-1)*L$11)</f>
        <v>9322.0133921492761</v>
      </c>
      <c r="AD37" s="14">
        <f>SUMPRODUCT(Y37:AC37,基础状态预期!$F50:$J50)/SUM(基础状态预期!$F50:$J50)</f>
        <v>9322.0133921492761</v>
      </c>
      <c r="AE37" s="14" t="str">
        <f>IF(基础状态预期!U50="","",H$9+(基础状态预期!U50-1)*H$12)</f>
        <v/>
      </c>
      <c r="AF37" s="14" t="str">
        <f>IF(基础状态预期!V50="","",I$9+(基础状态预期!V50-1)*I$12)</f>
        <v/>
      </c>
      <c r="AG37" s="14" t="str">
        <f>IF(基础状态预期!W50="","",J$9+(基础状态预期!W50-1)*J$12)</f>
        <v/>
      </c>
      <c r="AH37" s="14" t="str">
        <f>IF(基础状态预期!X50="","",K$9+(基础状态预期!X50-1)*K$12)</f>
        <v/>
      </c>
      <c r="AI37" s="14">
        <f>IF(基础状态预期!Y50="","",L$9+(基础状态预期!Y50-1)*L$12)</f>
        <v>9322.0133921492761</v>
      </c>
      <c r="AJ37" s="14">
        <f>SUMPRODUCT(AE37:AI37,基础状态预期!$F50:$J50)/SUM(基础状态预期!$F50:$J50)</f>
        <v>9322.0133921492761</v>
      </c>
      <c r="AK37" s="14" t="str">
        <f>IF(基础状态预期!U50="","",H$27+(基础状态预期!U50-1)*H$28)</f>
        <v/>
      </c>
      <c r="AL37" s="14" t="str">
        <f>IF(基础状态预期!V50="","",I$27+(基础状态预期!V50-1)*I$28)</f>
        <v/>
      </c>
      <c r="AM37" s="14" t="str">
        <f>IF(基础状态预期!W50="","",J$27+(基础状态预期!W50-1)*J$28)</f>
        <v/>
      </c>
      <c r="AN37" s="14" t="str">
        <f>IF(基础状态预期!X50="","",K$27+(基础状态预期!X50-1)*K$28)</f>
        <v/>
      </c>
      <c r="AO37" s="14">
        <f>IF(基础状态预期!Y50="","",L$27+(基础状态预期!Y50-1)*L$28)</f>
        <v>3840.6711307164255</v>
      </c>
      <c r="AP37" s="14">
        <f>SUMPRODUCT(AK37:AO37,基础状态预期!$F50:$J50)/SUM(基础状态预期!$F50:$J50)</f>
        <v>3840.6711307164255</v>
      </c>
      <c r="AQ37" s="14" t="str">
        <f>IF(基础状态预期!U50="","",H$31+(基础状态预期!U50-1)*H$32)</f>
        <v/>
      </c>
      <c r="AR37" s="14" t="str">
        <f>IF(基础状态预期!V50="","",I$31+(基础状态预期!V50-1)*I$32)</f>
        <v/>
      </c>
      <c r="AS37" s="14" t="str">
        <f>IF(基础状态预期!W50="","",J$31+(基础状态预期!W50-1)*J$32)</f>
        <v/>
      </c>
      <c r="AT37" s="14" t="str">
        <f>IF(基础状态预期!X50="","",K$31+(基础状态预期!X50-1)*K$32)</f>
        <v/>
      </c>
      <c r="AU37" s="14">
        <f>IF(基础状态预期!Y50="","",L$31+(基础状态预期!Y50-1)*L$32)</f>
        <v>304.06711307164255</v>
      </c>
      <c r="AV37" s="14">
        <f>SUMPRODUCT(AQ37:AU37,基础状态预期!$F50:$J50)/SUM(基础状态预期!$F50:$J50)</f>
        <v>304.06711307164255</v>
      </c>
      <c r="BO37" s="29">
        <f t="shared" si="9"/>
        <v>142.53355653582128</v>
      </c>
      <c r="BP37" s="10">
        <f t="shared" si="15"/>
        <v>130548447862652.97</v>
      </c>
      <c r="BQ37" s="10" t="e">
        <f>$BP37*求节点('[1]功能-付费相关'!$AY$6:$AY$165,'[1]功能-付费相关'!$AZ$6:$AZ$165,$BO37)+$BQ36</f>
        <v>#VALUE!</v>
      </c>
      <c r="BZ37" s="4">
        <f t="shared" si="16"/>
        <v>470</v>
      </c>
      <c r="CA37" s="4">
        <v>34</v>
      </c>
      <c r="CB37" s="90">
        <f t="shared" si="17"/>
        <v>7550</v>
      </c>
      <c r="CC37" s="4">
        <f>SUM(CB$4:CB37)</f>
        <v>86530</v>
      </c>
      <c r="CD37" s="4">
        <f t="shared" si="10"/>
        <v>1.0395242671792408</v>
      </c>
    </row>
    <row r="38" spans="1:82" x14ac:dyDescent="0.15">
      <c r="A38" s="101">
        <f t="shared" si="28"/>
        <v>55100</v>
      </c>
      <c r="B38" s="14">
        <v>68</v>
      </c>
      <c r="C38" s="14">
        <f t="shared" si="18"/>
        <v>413600</v>
      </c>
      <c r="D38" s="14">
        <f>SUM(C$5:$C38)</f>
        <v>2245700</v>
      </c>
      <c r="E38" s="89">
        <f>'[1]资源-武将经验'!$Z39</f>
        <v>0.77896036651927036</v>
      </c>
      <c r="P38" s="5">
        <v>38</v>
      </c>
      <c r="Q38" s="14">
        <f>基础状态预期!D51</f>
        <v>146.02664953963369</v>
      </c>
      <c r="R38" s="14">
        <f>IF(基础状态预期!U51="",0,求节点($B$5:$B$154,$D$5:$D$154,基础状态预期!U51)*基础状态预期!F51)</f>
        <v>0</v>
      </c>
      <c r="S38" s="14">
        <f>IF(基础状态预期!V51="",0,求节点($B$5:$B$154,$D$5:$D$154,基础状态预期!V51)*基础状态预期!G51)</f>
        <v>0</v>
      </c>
      <c r="T38" s="14">
        <f>IF(基础状态预期!W51="",0,求节点($B$5:$B$154,$D$5:$D$154,基础状态预期!W51)*基础状态预期!H51)</f>
        <v>0</v>
      </c>
      <c r="U38" s="14">
        <f>IF(基础状态预期!X51="",0,求节点($B$5:$B$154,$D$5:$D$154,基础状态预期!X51)*基础状态预期!I51)</f>
        <v>0</v>
      </c>
      <c r="V38" s="14">
        <f>IF(基础状态预期!Y51="",0,求节点($B$5:$B$154,$D$5:$D$154,基础状态预期!Y51)*基础状态预期!J51)</f>
        <v>513413452117658.81</v>
      </c>
      <c r="W38" s="14">
        <f t="shared" si="24"/>
        <v>513413452117658.81</v>
      </c>
      <c r="Y38" s="14" t="str">
        <f>IF(基础状态预期!U51="","",H$8+(基础状态预期!U51-1)*H$11)</f>
        <v/>
      </c>
      <c r="Z38" s="14" t="str">
        <f>IF(基础状态预期!V51="","",I$8+(基础状态预期!V51-1)*I$11)</f>
        <v/>
      </c>
      <c r="AA38" s="14" t="str">
        <f>IF(基础状态预期!W51="","",J$8+(基础状态预期!W51-1)*J$11)</f>
        <v/>
      </c>
      <c r="AB38" s="14" t="str">
        <f>IF(基础状态预期!X51="","",K$8+(基础状态预期!X51-1)*K$11)</f>
        <v/>
      </c>
      <c r="AC38" s="14">
        <f>IF(基础状态预期!Y51="","",L$8+(基础状态预期!Y51-1)*L$11)</f>
        <v>9531.5989723780222</v>
      </c>
      <c r="AD38" s="14">
        <f>SUMPRODUCT(Y38:AC38,基础状态预期!$F51:$J51)/SUM(基础状态预期!$F51:$J51)</f>
        <v>9531.5989723780222</v>
      </c>
      <c r="AE38" s="14" t="str">
        <f>IF(基础状态预期!U51="","",H$9+(基础状态预期!U51-1)*H$12)</f>
        <v/>
      </c>
      <c r="AF38" s="14" t="str">
        <f>IF(基础状态预期!V51="","",I$9+(基础状态预期!V51-1)*I$12)</f>
        <v/>
      </c>
      <c r="AG38" s="14" t="str">
        <f>IF(基础状态预期!W51="","",J$9+(基础状态预期!W51-1)*J$12)</f>
        <v/>
      </c>
      <c r="AH38" s="14" t="str">
        <f>IF(基础状态预期!X51="","",K$9+(基础状态预期!X51-1)*K$12)</f>
        <v/>
      </c>
      <c r="AI38" s="14">
        <f>IF(基础状态预期!Y51="","",L$9+(基础状态预期!Y51-1)*L$12)</f>
        <v>9531.5989723780222</v>
      </c>
      <c r="AJ38" s="14">
        <f>SUMPRODUCT(AE38:AI38,基础状态预期!$F51:$J51)/SUM(基础状态预期!$F51:$J51)</f>
        <v>9531.5989723780222</v>
      </c>
      <c r="AK38" s="14" t="str">
        <f>IF(基础状态预期!U51="","",H$27+(基础状态预期!U51-1)*H$28)</f>
        <v/>
      </c>
      <c r="AL38" s="14" t="str">
        <f>IF(基础状态预期!V51="","",I$27+(基础状态预期!V51-1)*I$28)</f>
        <v/>
      </c>
      <c r="AM38" s="14" t="str">
        <f>IF(基础状态预期!W51="","",J$27+(基础状态预期!W51-1)*J$28)</f>
        <v/>
      </c>
      <c r="AN38" s="14" t="str">
        <f>IF(基础状态预期!X51="","",K$27+(基础状态预期!X51-1)*K$28)</f>
        <v/>
      </c>
      <c r="AO38" s="14">
        <f>IF(基础状态预期!Y51="","",L$27+(基础状态预期!Y51-1)*L$28)</f>
        <v>3910.5329907926739</v>
      </c>
      <c r="AP38" s="14">
        <f>SUMPRODUCT(AK38:AO38,基础状态预期!$F51:$J51)/SUM(基础状态预期!$F51:$J51)</f>
        <v>3910.5329907926739</v>
      </c>
      <c r="AQ38" s="14" t="str">
        <f>IF(基础状态预期!U51="","",H$31+(基础状态预期!U51-1)*H$32)</f>
        <v/>
      </c>
      <c r="AR38" s="14" t="str">
        <f>IF(基础状态预期!V51="","",I$31+(基础状态预期!V51-1)*I$32)</f>
        <v/>
      </c>
      <c r="AS38" s="14" t="str">
        <f>IF(基础状态预期!W51="","",J$31+(基础状态预期!W51-1)*J$32)</f>
        <v/>
      </c>
      <c r="AT38" s="14" t="str">
        <f>IF(基础状态预期!X51="","",K$31+(基础状态预期!X51-1)*K$32)</f>
        <v/>
      </c>
      <c r="AU38" s="14">
        <f>IF(基础状态预期!Y51="","",L$31+(基础状态预期!Y51-1)*L$32)</f>
        <v>311.05329907926739</v>
      </c>
      <c r="AV38" s="14">
        <f>SUMPRODUCT(AQ38:AU38,基础状态预期!$F51:$J51)/SUM(基础状态预期!$F51:$J51)</f>
        <v>311.05329907926739</v>
      </c>
      <c r="BO38" s="29">
        <f t="shared" si="9"/>
        <v>146.02664953963369</v>
      </c>
      <c r="BP38" s="10">
        <f t="shared" si="15"/>
        <v>219058032394819.38</v>
      </c>
      <c r="BQ38" s="10" t="e">
        <f>$BP38*求节点('[1]功能-付费相关'!$AY$6:$AY$165,'[1]功能-付费相关'!$AZ$6:$AZ$165,$BO38)+$BQ37</f>
        <v>#VALUE!</v>
      </c>
      <c r="BZ38" s="4">
        <f t="shared" si="16"/>
        <v>470</v>
      </c>
      <c r="CA38" s="4">
        <v>35</v>
      </c>
      <c r="CB38" s="90">
        <f t="shared" si="17"/>
        <v>8020</v>
      </c>
      <c r="CC38" s="4">
        <f>SUM(CB$4:CB38)</f>
        <v>94550</v>
      </c>
      <c r="CD38" s="4">
        <f t="shared" si="10"/>
        <v>1.0358238387379493</v>
      </c>
    </row>
    <row r="39" spans="1:82" x14ac:dyDescent="0.15">
      <c r="A39" s="101">
        <f t="shared" si="28"/>
        <v>56200</v>
      </c>
      <c r="B39" s="14">
        <v>70</v>
      </c>
      <c r="C39" s="14">
        <f t="shared" si="18"/>
        <v>469800</v>
      </c>
      <c r="D39" s="14">
        <f>SUM(C$5:$C39)</f>
        <v>2715500</v>
      </c>
      <c r="E39" s="89">
        <f>'[1]资源-武将经验'!$Z40</f>
        <v>0.77750766133317717</v>
      </c>
      <c r="P39" s="5">
        <v>39</v>
      </c>
      <c r="Q39" s="14">
        <f>基础状态预期!D52</f>
        <v>149.52287096243165</v>
      </c>
      <c r="R39" s="14">
        <f>IF(基础状态预期!U52="",0,求节点($B$5:$B$154,$D$5:$D$154,基础状态预期!U52)*基础状态预期!F52)</f>
        <v>0</v>
      </c>
      <c r="S39" s="14">
        <f>IF(基础状态预期!V52="",0,求节点($B$5:$B$154,$D$5:$D$154,基础状态预期!V52)*基础状态预期!G52)</f>
        <v>0</v>
      </c>
      <c r="T39" s="14">
        <f>IF(基础状态预期!W52="",0,求节点($B$5:$B$154,$D$5:$D$154,基础状态预期!W52)*基础状态预期!H52)</f>
        <v>0</v>
      </c>
      <c r="U39" s="14">
        <f>IF(基础状态预期!X52="",0,求节点($B$5:$B$154,$D$5:$D$154,基础状态预期!X52)*基础状态预期!I52)</f>
        <v>0</v>
      </c>
      <c r="V39" s="14">
        <f>IF(基础状态预期!Y52="",0,求节点($B$5:$B$154,$D$5:$D$154,基础状态预期!Y52)*基础状态预期!J52)</f>
        <v>882139597630673</v>
      </c>
      <c r="W39" s="14">
        <f t="shared" si="24"/>
        <v>882139597630673</v>
      </c>
      <c r="Y39" s="14" t="str">
        <f>IF(基础状态预期!U52="","",H$8+(基础状态预期!U52-1)*H$11)</f>
        <v/>
      </c>
      <c r="Z39" s="14" t="str">
        <f>IF(基础状态预期!V52="","",I$8+(基础状态预期!V52-1)*I$11)</f>
        <v/>
      </c>
      <c r="AA39" s="14" t="str">
        <f>IF(基础状态预期!W52="","",J$8+(基础状态预期!W52-1)*J$11)</f>
        <v/>
      </c>
      <c r="AB39" s="14" t="str">
        <f>IF(基础状态预期!X52="","",K$8+(基础状态预期!X52-1)*K$11)</f>
        <v/>
      </c>
      <c r="AC39" s="14">
        <f>IF(基础状态预期!Y52="","",L$8+(基础状态预期!Y52-1)*L$11)</f>
        <v>9741.3722577458993</v>
      </c>
      <c r="AD39" s="14">
        <f>SUMPRODUCT(Y39:AC39,基础状态预期!$F52:$J52)/SUM(基础状态预期!$F52:$J52)</f>
        <v>9741.3722577458993</v>
      </c>
      <c r="AE39" s="14" t="str">
        <f>IF(基础状态预期!U52="","",H$9+(基础状态预期!U52-1)*H$12)</f>
        <v/>
      </c>
      <c r="AF39" s="14" t="str">
        <f>IF(基础状态预期!V52="","",I$9+(基础状态预期!V52-1)*I$12)</f>
        <v/>
      </c>
      <c r="AG39" s="14" t="str">
        <f>IF(基础状态预期!W52="","",J$9+(基础状态预期!W52-1)*J$12)</f>
        <v/>
      </c>
      <c r="AH39" s="14" t="str">
        <f>IF(基础状态预期!X52="","",K$9+(基础状态预期!X52-1)*K$12)</f>
        <v/>
      </c>
      <c r="AI39" s="14">
        <f>IF(基础状态预期!Y52="","",L$9+(基础状态预期!Y52-1)*L$12)</f>
        <v>9741.3722577458993</v>
      </c>
      <c r="AJ39" s="14">
        <f>SUMPRODUCT(AE39:AI39,基础状态预期!$F52:$J52)/SUM(基础状态预期!$F52:$J52)</f>
        <v>9741.3722577458993</v>
      </c>
      <c r="AK39" s="14" t="str">
        <f>IF(基础状态预期!U52="","",H$27+(基础状态预期!U52-1)*H$28)</f>
        <v/>
      </c>
      <c r="AL39" s="14" t="str">
        <f>IF(基础状态预期!V52="","",I$27+(基础状态预期!V52-1)*I$28)</f>
        <v/>
      </c>
      <c r="AM39" s="14" t="str">
        <f>IF(基础状态预期!W52="","",J$27+(基础状态预期!W52-1)*J$28)</f>
        <v/>
      </c>
      <c r="AN39" s="14" t="str">
        <f>IF(基础状态预期!X52="","",K$27+(基础状态预期!X52-1)*K$28)</f>
        <v/>
      </c>
      <c r="AO39" s="14">
        <f>IF(基础状态预期!Y52="","",L$27+(基础状态预期!Y52-1)*L$28)</f>
        <v>3980.457419248633</v>
      </c>
      <c r="AP39" s="14">
        <f>SUMPRODUCT(AK39:AO39,基础状态预期!$F52:$J52)/SUM(基础状态预期!$F52:$J52)</f>
        <v>3980.457419248633</v>
      </c>
      <c r="AQ39" s="14" t="str">
        <f>IF(基础状态预期!U52="","",H$31+(基础状态预期!U52-1)*H$32)</f>
        <v/>
      </c>
      <c r="AR39" s="14" t="str">
        <f>IF(基础状态预期!V52="","",I$31+(基础状态预期!V52-1)*I$32)</f>
        <v/>
      </c>
      <c r="AS39" s="14" t="str">
        <f>IF(基础状态预期!W52="","",J$31+(基础状态预期!W52-1)*J$32)</f>
        <v/>
      </c>
      <c r="AT39" s="14" t="str">
        <f>IF(基础状态预期!X52="","",K$31+(基础状态预期!X52-1)*K$32)</f>
        <v/>
      </c>
      <c r="AU39" s="14">
        <f>IF(基础状态预期!Y52="","",L$31+(基础状态预期!Y52-1)*L$32)</f>
        <v>318.04574192486331</v>
      </c>
      <c r="AV39" s="14">
        <f>SUMPRODUCT(AQ39:AU39,基础状态预期!$F52:$J52)/SUM(基础状态预期!$F52:$J52)</f>
        <v>318.04574192486331</v>
      </c>
      <c r="BO39" s="29">
        <f t="shared" si="9"/>
        <v>149.52287096243165</v>
      </c>
      <c r="BP39" s="10">
        <f t="shared" si="15"/>
        <v>368726145513014.19</v>
      </c>
      <c r="BQ39" s="10" t="e">
        <f>$BP39*求节点('[1]功能-付费相关'!$AY$6:$AY$165,'[1]功能-付费相关'!$AZ$6:$AZ$165,$BO39)+$BQ38</f>
        <v>#VALUE!</v>
      </c>
      <c r="BZ39" s="4">
        <f t="shared" si="16"/>
        <v>500</v>
      </c>
      <c r="CA39" s="4">
        <v>36</v>
      </c>
      <c r="CB39" s="90">
        <f t="shared" si="17"/>
        <v>8520</v>
      </c>
      <c r="CC39" s="4">
        <f>SUM(CB$4:CB39)</f>
        <v>103070</v>
      </c>
      <c r="CD39" s="4">
        <f t="shared" si="10"/>
        <v>1.037756745871929</v>
      </c>
    </row>
    <row r="40" spans="1:82" x14ac:dyDescent="0.15">
      <c r="A40" s="101">
        <f t="shared" si="28"/>
        <v>57300</v>
      </c>
      <c r="B40" s="14">
        <v>72</v>
      </c>
      <c r="C40" s="14">
        <f t="shared" si="18"/>
        <v>527100</v>
      </c>
      <c r="D40" s="14">
        <f>SUM(C$5:$C40)</f>
        <v>3242600</v>
      </c>
      <c r="E40" s="89">
        <f>'[1]资源-武将经验'!$Z41</f>
        <v>0.74823998987980189</v>
      </c>
      <c r="P40" s="5">
        <v>40</v>
      </c>
      <c r="Q40" s="14">
        <f>基础状态预期!D53</f>
        <v>153.02723536432757</v>
      </c>
      <c r="R40" s="14">
        <f>IF(基础状态预期!U53="",0,求节点($B$5:$B$154,$D$5:$D$154,基础状态预期!U53)*基础状态预期!F53)</f>
        <v>0</v>
      </c>
      <c r="S40" s="14">
        <f>IF(基础状态预期!V53="",0,求节点($B$5:$B$154,$D$5:$D$154,基础状态预期!V53)*基础状态预期!G53)</f>
        <v>0</v>
      </c>
      <c r="T40" s="14">
        <f>IF(基础状态预期!W53="",0,求节点($B$5:$B$154,$D$5:$D$154,基础状态预期!W53)*基础状态预期!H53)</f>
        <v>0</v>
      </c>
      <c r="U40" s="14">
        <f>IF(基础状态预期!X53="",0,求节点($B$5:$B$154,$D$5:$D$154,基础状态预期!X53)*基础状态预期!I53)</f>
        <v>0</v>
      </c>
      <c r="V40" s="14">
        <f>IF(基础状态预期!Y53="",0,求节点($B$5:$B$154,$D$5:$D$154,基础状态预期!Y53)*基础状态预期!J53)</f>
        <v>945667232849400</v>
      </c>
      <c r="W40" s="14">
        <f t="shared" si="24"/>
        <v>945667232849400</v>
      </c>
      <c r="Y40" s="14" t="str">
        <f>IF(基础状态预期!U53="","",H$8+(基础状态预期!U53-1)*H$11)</f>
        <v/>
      </c>
      <c r="Z40" s="14" t="str">
        <f>IF(基础状态预期!V53="","",I$8+(基础状态预期!V53-1)*I$11)</f>
        <v/>
      </c>
      <c r="AA40" s="14" t="str">
        <f>IF(基础状态预期!W53="","",J$8+(基础状态预期!W53-1)*J$11)</f>
        <v/>
      </c>
      <c r="AB40" s="14" t="str">
        <f>IF(基础状态预期!X53="","",K$8+(基础状态预期!X53-1)*K$11)</f>
        <v/>
      </c>
      <c r="AC40" s="14">
        <f>IF(基础状态预期!Y53="","",L$8+(基础状态预期!Y53-1)*L$11)</f>
        <v>9770</v>
      </c>
      <c r="AD40" s="14">
        <f>SUMPRODUCT(Y40:AC40,基础状态预期!$F53:$J53)/SUM(基础状态预期!$F53:$J53)</f>
        <v>9770</v>
      </c>
      <c r="AE40" s="14" t="str">
        <f>IF(基础状态预期!U53="","",H$9+(基础状态预期!U53-1)*H$12)</f>
        <v/>
      </c>
      <c r="AF40" s="14" t="str">
        <f>IF(基础状态预期!V53="","",I$9+(基础状态预期!V53-1)*I$12)</f>
        <v/>
      </c>
      <c r="AG40" s="14" t="str">
        <f>IF(基础状态预期!W53="","",J$9+(基础状态预期!W53-1)*J$12)</f>
        <v/>
      </c>
      <c r="AH40" s="14" t="str">
        <f>IF(基础状态预期!X53="","",K$9+(基础状态预期!X53-1)*K$12)</f>
        <v/>
      </c>
      <c r="AI40" s="14">
        <f>IF(基础状态预期!Y53="","",L$9+(基础状态预期!Y53-1)*L$12)</f>
        <v>9770</v>
      </c>
      <c r="AJ40" s="14">
        <f>SUMPRODUCT(AE40:AI40,基础状态预期!$F53:$J53)/SUM(基础状态预期!$F53:$J53)</f>
        <v>9770</v>
      </c>
      <c r="AK40" s="14" t="str">
        <f>IF(基础状态预期!U53="","",H$27+(基础状态预期!U53-1)*H$28)</f>
        <v/>
      </c>
      <c r="AL40" s="14" t="str">
        <f>IF(基础状态预期!V53="","",I$27+(基础状态预期!V53-1)*I$28)</f>
        <v/>
      </c>
      <c r="AM40" s="14" t="str">
        <f>IF(基础状态预期!W53="","",J$27+(基础状态预期!W53-1)*J$28)</f>
        <v/>
      </c>
      <c r="AN40" s="14" t="str">
        <f>IF(基础状态预期!X53="","",K$27+(基础状态预期!X53-1)*K$28)</f>
        <v/>
      </c>
      <c r="AO40" s="14">
        <f>IF(基础状态预期!Y53="","",L$27+(基础状态预期!Y53-1)*L$28)</f>
        <v>3990</v>
      </c>
      <c r="AP40" s="14">
        <f>SUMPRODUCT(AK40:AO40,基础状态预期!$F53:$J53)/SUM(基础状态预期!$F53:$J53)</f>
        <v>3990</v>
      </c>
      <c r="AQ40" s="14" t="str">
        <f>IF(基础状态预期!U53="","",H$31+(基础状态预期!U53-1)*H$32)</f>
        <v/>
      </c>
      <c r="AR40" s="14" t="str">
        <f>IF(基础状态预期!V53="","",I$31+(基础状态预期!V53-1)*I$32)</f>
        <v/>
      </c>
      <c r="AS40" s="14" t="str">
        <f>IF(基础状态预期!W53="","",J$31+(基础状态预期!W53-1)*J$32)</f>
        <v/>
      </c>
      <c r="AT40" s="14" t="str">
        <f>IF(基础状态预期!X53="","",K$31+(基础状态预期!X53-1)*K$32)</f>
        <v/>
      </c>
      <c r="AU40" s="14">
        <f>IF(基础状态预期!Y53="","",L$31+(基础状态预期!Y53-1)*L$32)</f>
        <v>319</v>
      </c>
      <c r="AV40" s="14">
        <f>SUMPRODUCT(AQ40:AU40,基础状态预期!$F53:$J53)/SUM(基础状态预期!$F53:$J53)</f>
        <v>319</v>
      </c>
      <c r="BO40" s="29">
        <f t="shared" si="9"/>
        <v>153.02723536432757</v>
      </c>
      <c r="BP40" s="10">
        <f t="shared" si="15"/>
        <v>63527635218727</v>
      </c>
      <c r="BQ40" s="10" t="e">
        <f>$BP40*求节点('[1]功能-付费相关'!$AY$6:$AY$165,'[1]功能-付费相关'!$AZ$6:$AZ$165,$BO40)+$BQ39</f>
        <v>#VALUE!</v>
      </c>
      <c r="BZ40" s="4">
        <f t="shared" si="16"/>
        <v>500</v>
      </c>
      <c r="CA40" s="4">
        <v>37</v>
      </c>
      <c r="CB40" s="90">
        <f t="shared" si="17"/>
        <v>9020</v>
      </c>
      <c r="CC40" s="4">
        <f>SUM(CB$4:CB40)</f>
        <v>112090</v>
      </c>
      <c r="CD40" s="4">
        <f t="shared" si="10"/>
        <v>1.034422296050203</v>
      </c>
    </row>
    <row r="41" spans="1:82" x14ac:dyDescent="0.15">
      <c r="A41" s="101">
        <f t="shared" si="28"/>
        <v>58400</v>
      </c>
      <c r="B41" s="14">
        <v>74</v>
      </c>
      <c r="C41" s="14">
        <f t="shared" si="18"/>
        <v>585500</v>
      </c>
      <c r="D41" s="14">
        <f>SUM(C$5:$C41)</f>
        <v>3828100</v>
      </c>
      <c r="E41" s="89">
        <f>'[1]资源-武将经验'!$Z42</f>
        <v>0.74475895341738674</v>
      </c>
      <c r="P41" s="5">
        <v>41</v>
      </c>
      <c r="Q41" s="14">
        <f>基础状态预期!D54</f>
        <v>156.52008914974525</v>
      </c>
      <c r="R41" s="14">
        <f>IF(基础状态预期!U54="",0,求节点($B$5:$B$154,$D$5:$D$154,基础状态预期!U54)*基础状态预期!F54)</f>
        <v>0</v>
      </c>
      <c r="S41" s="14">
        <f>IF(基础状态预期!V54="",0,求节点($B$5:$B$154,$D$5:$D$154,基础状态预期!V54)*基础状态预期!G54)</f>
        <v>0</v>
      </c>
      <c r="T41" s="14">
        <f>IF(基础状态预期!W54="",0,求节点($B$5:$B$154,$D$5:$D$154,基础状态预期!W54)*基础状态预期!H54)</f>
        <v>0</v>
      </c>
      <c r="U41" s="14">
        <f>IF(基础状态预期!X54="",0,求节点($B$5:$B$154,$D$5:$D$154,基础状态预期!X54)*基础状态预期!I54)</f>
        <v>0</v>
      </c>
      <c r="V41" s="14">
        <f>IF(基础状态预期!Y54="",0,求节点($B$5:$B$154,$D$5:$D$154,基础状态预期!Y54)*基础状态预期!J54)</f>
        <v>945667232849400</v>
      </c>
      <c r="W41" s="14">
        <f t="shared" si="24"/>
        <v>945667232849400</v>
      </c>
      <c r="Y41" s="14" t="str">
        <f>IF(基础状态预期!U54="","",H$8+(基础状态预期!U54-1)*H$11)</f>
        <v/>
      </c>
      <c r="Z41" s="14" t="str">
        <f>IF(基础状态预期!V54="","",I$8+(基础状态预期!V54-1)*I$11)</f>
        <v/>
      </c>
      <c r="AA41" s="14" t="str">
        <f>IF(基础状态预期!W54="","",J$8+(基础状态预期!W54-1)*J$11)</f>
        <v/>
      </c>
      <c r="AB41" s="14" t="str">
        <f>IF(基础状态预期!X54="","",K$8+(基础状态预期!X54-1)*K$11)</f>
        <v/>
      </c>
      <c r="AC41" s="14">
        <f>IF(基础状态预期!Y54="","",L$8+(基础状态预期!Y54-1)*L$11)</f>
        <v>9770</v>
      </c>
      <c r="AD41" s="14">
        <f>SUMPRODUCT(Y41:AC41,基础状态预期!$F54:$J54)/SUM(基础状态预期!$F54:$J54)</f>
        <v>9770</v>
      </c>
      <c r="AE41" s="14" t="str">
        <f>IF(基础状态预期!U54="","",H$9+(基础状态预期!U54-1)*H$12)</f>
        <v/>
      </c>
      <c r="AF41" s="14" t="str">
        <f>IF(基础状态预期!V54="","",I$9+(基础状态预期!V54-1)*I$12)</f>
        <v/>
      </c>
      <c r="AG41" s="14" t="str">
        <f>IF(基础状态预期!W54="","",J$9+(基础状态预期!W54-1)*J$12)</f>
        <v/>
      </c>
      <c r="AH41" s="14" t="str">
        <f>IF(基础状态预期!X54="","",K$9+(基础状态预期!X54-1)*K$12)</f>
        <v/>
      </c>
      <c r="AI41" s="14">
        <f>IF(基础状态预期!Y54="","",L$9+(基础状态预期!Y54-1)*L$12)</f>
        <v>9770</v>
      </c>
      <c r="AJ41" s="14">
        <f>SUMPRODUCT(AE41:AI41,基础状态预期!$F54:$J54)/SUM(基础状态预期!$F54:$J54)</f>
        <v>9770</v>
      </c>
      <c r="AK41" s="14" t="str">
        <f>IF(基础状态预期!U54="","",H$27+(基础状态预期!U54-1)*H$28)</f>
        <v/>
      </c>
      <c r="AL41" s="14" t="str">
        <f>IF(基础状态预期!V54="","",I$27+(基础状态预期!V54-1)*I$28)</f>
        <v/>
      </c>
      <c r="AM41" s="14" t="str">
        <f>IF(基础状态预期!W54="","",J$27+(基础状态预期!W54-1)*J$28)</f>
        <v/>
      </c>
      <c r="AN41" s="14" t="str">
        <f>IF(基础状态预期!X54="","",K$27+(基础状态预期!X54-1)*K$28)</f>
        <v/>
      </c>
      <c r="AO41" s="14">
        <f>IF(基础状态预期!Y54="","",L$27+(基础状态预期!Y54-1)*L$28)</f>
        <v>3990</v>
      </c>
      <c r="AP41" s="14">
        <f>SUMPRODUCT(AK41:AO41,基础状态预期!$F54:$J54)/SUM(基础状态预期!$F54:$J54)</f>
        <v>3990</v>
      </c>
      <c r="AQ41" s="14" t="str">
        <f>IF(基础状态预期!U54="","",H$31+(基础状态预期!U54-1)*H$32)</f>
        <v/>
      </c>
      <c r="AR41" s="14" t="str">
        <f>IF(基础状态预期!V54="","",I$31+(基础状态预期!V54-1)*I$32)</f>
        <v/>
      </c>
      <c r="AS41" s="14" t="str">
        <f>IF(基础状态预期!W54="","",J$31+(基础状态预期!W54-1)*J$32)</f>
        <v/>
      </c>
      <c r="AT41" s="14" t="str">
        <f>IF(基础状态预期!X54="","",K$31+(基础状态预期!X54-1)*K$32)</f>
        <v/>
      </c>
      <c r="AU41" s="14">
        <f>IF(基础状态预期!Y54="","",L$31+(基础状态预期!Y54-1)*L$32)</f>
        <v>319</v>
      </c>
      <c r="AV41" s="14">
        <f>SUMPRODUCT(AQ41:AU41,基础状态预期!$F54:$J54)/SUM(基础状态预期!$F54:$J54)</f>
        <v>319</v>
      </c>
      <c r="BO41" s="29">
        <f t="shared" si="9"/>
        <v>156.52008914974525</v>
      </c>
      <c r="BP41" s="10">
        <f t="shared" si="15"/>
        <v>0</v>
      </c>
      <c r="BQ41" s="10" t="e">
        <f>$BP41*求节点('[1]功能-付费相关'!$AY$6:$AY$165,'[1]功能-付费相关'!$AZ$6:$AZ$165,$BO41)+$BQ40</f>
        <v>#VALUE!</v>
      </c>
      <c r="BZ41" s="4">
        <f t="shared" si="16"/>
        <v>530</v>
      </c>
      <c r="CA41" s="4">
        <v>38</v>
      </c>
      <c r="CB41" s="90">
        <f t="shared" si="17"/>
        <v>9550</v>
      </c>
      <c r="CC41" s="4">
        <f>SUM(CB$4:CB41)</f>
        <v>121640</v>
      </c>
      <c r="CD41" s="4">
        <f t="shared" si="10"/>
        <v>1.0361158432708688</v>
      </c>
    </row>
    <row r="42" spans="1:82" x14ac:dyDescent="0.15">
      <c r="A42" s="101">
        <f t="shared" si="28"/>
        <v>59500</v>
      </c>
      <c r="B42" s="14">
        <v>76</v>
      </c>
      <c r="C42" s="14">
        <f t="shared" si="18"/>
        <v>645000</v>
      </c>
      <c r="D42" s="14">
        <f>SUM(C$5:$C42)</f>
        <v>4473100</v>
      </c>
      <c r="E42" s="89">
        <f>'[1]资源-武将经验'!$Z43</f>
        <v>0.7598419857721791</v>
      </c>
      <c r="F42" s="179" t="s">
        <v>460</v>
      </c>
      <c r="G42" s="180"/>
      <c r="H42" s="69" t="s">
        <v>83</v>
      </c>
      <c r="I42" s="69" t="s">
        <v>80</v>
      </c>
      <c r="J42" s="69" t="s">
        <v>81</v>
      </c>
      <c r="K42" s="69" t="s">
        <v>82</v>
      </c>
      <c r="L42" s="69" t="s">
        <v>545</v>
      </c>
      <c r="P42" s="5">
        <v>42</v>
      </c>
      <c r="Q42" s="14">
        <f>基础状态预期!D55</f>
        <v>159.99202506384199</v>
      </c>
      <c r="R42" s="14">
        <f>IF(基础状态预期!U55="",0,求节点($B$5:$B$154,$D$5:$D$154,基础状态预期!U55)*基础状态预期!F55)</f>
        <v>0</v>
      </c>
      <c r="S42" s="14">
        <f>IF(基础状态预期!V55="",0,求节点($B$5:$B$154,$D$5:$D$154,基础状态预期!V55)*基础状态预期!G55)</f>
        <v>0</v>
      </c>
      <c r="T42" s="14">
        <f>IF(基础状态预期!W55="",0,求节点($B$5:$B$154,$D$5:$D$154,基础状态预期!W55)*基础状态预期!H55)</f>
        <v>0</v>
      </c>
      <c r="U42" s="14">
        <f>IF(基础状态预期!X55="",0,求节点($B$5:$B$154,$D$5:$D$154,基础状态预期!X55)*基础状态预期!I55)</f>
        <v>0</v>
      </c>
      <c r="V42" s="14">
        <f>IF(基础状态预期!Y55="",0,求节点($B$5:$B$154,$D$5:$D$154,基础状态预期!Y55)*基础状态预期!J55)</f>
        <v>945667232849400</v>
      </c>
      <c r="W42" s="14">
        <f t="shared" si="24"/>
        <v>945667232849400</v>
      </c>
      <c r="Y42" s="14" t="str">
        <f>IF(基础状态预期!U55="","",H$8+(基础状态预期!U55-1)*H$11)</f>
        <v/>
      </c>
      <c r="Z42" s="14" t="str">
        <f>IF(基础状态预期!V55="","",I$8+(基础状态预期!V55-1)*I$11)</f>
        <v/>
      </c>
      <c r="AA42" s="14" t="str">
        <f>IF(基础状态预期!W55="","",J$8+(基础状态预期!W55-1)*J$11)</f>
        <v/>
      </c>
      <c r="AB42" s="14" t="str">
        <f>IF(基础状态预期!X55="","",K$8+(基础状态预期!X55-1)*K$11)</f>
        <v/>
      </c>
      <c r="AC42" s="14">
        <f>IF(基础状态预期!Y55="","",L$8+(基础状态预期!Y55-1)*L$11)</f>
        <v>9770</v>
      </c>
      <c r="AD42" s="14">
        <f>SUMPRODUCT(Y42:AC42,基础状态预期!$F55:$J55)/SUM(基础状态预期!$F55:$J55)</f>
        <v>9770</v>
      </c>
      <c r="AE42" s="14" t="str">
        <f>IF(基础状态预期!U55="","",H$9+(基础状态预期!U55-1)*H$12)</f>
        <v/>
      </c>
      <c r="AF42" s="14" t="str">
        <f>IF(基础状态预期!V55="","",I$9+(基础状态预期!V55-1)*I$12)</f>
        <v/>
      </c>
      <c r="AG42" s="14" t="str">
        <f>IF(基础状态预期!W55="","",J$9+(基础状态预期!W55-1)*J$12)</f>
        <v/>
      </c>
      <c r="AH42" s="14" t="str">
        <f>IF(基础状态预期!X55="","",K$9+(基础状态预期!X55-1)*K$12)</f>
        <v/>
      </c>
      <c r="AI42" s="14">
        <f>IF(基础状态预期!Y55="","",L$9+(基础状态预期!Y55-1)*L$12)</f>
        <v>9770</v>
      </c>
      <c r="AJ42" s="14">
        <f>SUMPRODUCT(AE42:AI42,基础状态预期!$F55:$J55)/SUM(基础状态预期!$F55:$J55)</f>
        <v>9770</v>
      </c>
      <c r="AK42" s="14" t="str">
        <f>IF(基础状态预期!U55="","",H$27+(基础状态预期!U55-1)*H$28)</f>
        <v/>
      </c>
      <c r="AL42" s="14" t="str">
        <f>IF(基础状态预期!V55="","",I$27+(基础状态预期!V55-1)*I$28)</f>
        <v/>
      </c>
      <c r="AM42" s="14" t="str">
        <f>IF(基础状态预期!W55="","",J$27+(基础状态预期!W55-1)*J$28)</f>
        <v/>
      </c>
      <c r="AN42" s="14" t="str">
        <f>IF(基础状态预期!X55="","",K$27+(基础状态预期!X55-1)*K$28)</f>
        <v/>
      </c>
      <c r="AO42" s="14">
        <f>IF(基础状态预期!Y55="","",L$27+(基础状态预期!Y55-1)*L$28)</f>
        <v>3990</v>
      </c>
      <c r="AP42" s="14">
        <f>SUMPRODUCT(AK42:AO42,基础状态预期!$F55:$J55)/SUM(基础状态预期!$F55:$J55)</f>
        <v>3990</v>
      </c>
      <c r="AQ42" s="14" t="str">
        <f>IF(基础状态预期!U55="","",H$31+(基础状态预期!U55-1)*H$32)</f>
        <v/>
      </c>
      <c r="AR42" s="14" t="str">
        <f>IF(基础状态预期!V55="","",I$31+(基础状态预期!V55-1)*I$32)</f>
        <v/>
      </c>
      <c r="AS42" s="14" t="str">
        <f>IF(基础状态预期!W55="","",J$31+(基础状态预期!W55-1)*J$32)</f>
        <v/>
      </c>
      <c r="AT42" s="14" t="str">
        <f>IF(基础状态预期!X55="","",K$31+(基础状态预期!X55-1)*K$32)</f>
        <v/>
      </c>
      <c r="AU42" s="14">
        <f>IF(基础状态预期!Y55="","",L$31+(基础状态预期!Y55-1)*L$32)</f>
        <v>319</v>
      </c>
      <c r="AV42" s="14">
        <f>SUMPRODUCT(AQ42:AU42,基础状态预期!$F55:$J55)/SUM(基础状态预期!$F55:$J55)</f>
        <v>319</v>
      </c>
      <c r="BO42" s="29">
        <f t="shared" si="9"/>
        <v>159.99202506384199</v>
      </c>
      <c r="BP42" s="10">
        <f t="shared" si="15"/>
        <v>0</v>
      </c>
      <c r="BQ42" s="10" t="e">
        <f>$BP42*求节点('[1]功能-付费相关'!$AY$6:$AY$165,'[1]功能-付费相关'!$AZ$6:$AZ$165,$BO42)+$BQ41</f>
        <v>#VALUE!</v>
      </c>
      <c r="BZ42" s="4">
        <f t="shared" si="16"/>
        <v>530</v>
      </c>
      <c r="CA42" s="4">
        <v>39</v>
      </c>
      <c r="CB42" s="90">
        <f t="shared" si="17"/>
        <v>10080</v>
      </c>
      <c r="CC42" s="4">
        <f>SUM(CB$4:CB42)</f>
        <v>131720</v>
      </c>
      <c r="CD42" s="4">
        <f t="shared" si="10"/>
        <v>1.0330980392156863</v>
      </c>
    </row>
    <row r="43" spans="1:82" x14ac:dyDescent="0.15">
      <c r="A43" s="101">
        <f t="shared" si="28"/>
        <v>60600</v>
      </c>
      <c r="B43" s="14">
        <v>78</v>
      </c>
      <c r="C43" s="14">
        <f t="shared" si="18"/>
        <v>705600</v>
      </c>
      <c r="D43" s="14">
        <f>SUM(C$5:$C43)</f>
        <v>5178700</v>
      </c>
      <c r="E43" s="89">
        <f>'[1]资源-武将经验'!$Z44</f>
        <v>0.789073850743919</v>
      </c>
      <c r="F43" s="181" t="s">
        <v>153</v>
      </c>
      <c r="G43" s="69" t="s">
        <v>250</v>
      </c>
      <c r="H43" s="69">
        <v>12000</v>
      </c>
      <c r="I43" s="69">
        <f>H43</f>
        <v>12000</v>
      </c>
      <c r="J43" s="69">
        <f t="shared" ref="J43" si="29">I43</f>
        <v>12000</v>
      </c>
      <c r="K43" s="69">
        <f t="shared" ref="K43" si="30">J43</f>
        <v>12000</v>
      </c>
      <c r="L43" s="69">
        <f t="shared" ref="L43" si="31">K43</f>
        <v>12000</v>
      </c>
      <c r="P43" s="5">
        <v>43</v>
      </c>
      <c r="Q43" s="16"/>
      <c r="R43" s="16"/>
      <c r="S43" s="16"/>
      <c r="T43" s="16"/>
      <c r="U43" s="16"/>
      <c r="V43" s="16"/>
      <c r="Y43" s="16"/>
      <c r="Z43" s="16"/>
      <c r="AA43" s="16"/>
      <c r="AB43" s="16"/>
      <c r="AC43" s="16"/>
      <c r="AE43" s="16"/>
      <c r="AF43" s="16"/>
      <c r="AG43" s="16"/>
      <c r="AH43" s="16"/>
      <c r="AI43" s="16"/>
      <c r="BO43" s="17"/>
      <c r="BS43" s="17"/>
      <c r="BT43" s="17"/>
      <c r="BZ43" s="4">
        <f t="shared" si="16"/>
        <v>725</v>
      </c>
      <c r="CA43" s="4">
        <v>40</v>
      </c>
      <c r="CB43" s="90">
        <f t="shared" si="17"/>
        <v>10805</v>
      </c>
      <c r="CC43" s="4">
        <f>SUM(CB$4:CB43)</f>
        <v>142525</v>
      </c>
      <c r="CD43" s="4">
        <f t="shared" si="10"/>
        <v>1.0357921511627908</v>
      </c>
    </row>
    <row r="44" spans="1:82" x14ac:dyDescent="0.15">
      <c r="A44" s="101">
        <f t="shared" si="28"/>
        <v>61800</v>
      </c>
      <c r="B44" s="14">
        <v>80</v>
      </c>
      <c r="C44" s="14">
        <f>A44+C43</f>
        <v>767400</v>
      </c>
      <c r="D44" s="14">
        <f>SUM(C$5:$C44)</f>
        <v>5946100</v>
      </c>
      <c r="E44" s="89">
        <f>'[1]资源-武将经验'!$Z45</f>
        <v>0.83097714175273663</v>
      </c>
      <c r="F44" s="182"/>
      <c r="G44" s="69" t="s">
        <v>251</v>
      </c>
      <c r="H44" s="69">
        <f>H43</f>
        <v>12000</v>
      </c>
      <c r="I44" s="69">
        <f t="shared" ref="I44:L44" si="32">I43</f>
        <v>12000</v>
      </c>
      <c r="J44" s="69">
        <f t="shared" si="32"/>
        <v>12000</v>
      </c>
      <c r="K44" s="69">
        <f t="shared" si="32"/>
        <v>12000</v>
      </c>
      <c r="L44" s="69">
        <f t="shared" si="32"/>
        <v>12000</v>
      </c>
      <c r="P44" s="5">
        <v>44</v>
      </c>
      <c r="Q44" s="16"/>
      <c r="R44" s="16"/>
      <c r="S44" s="16"/>
      <c r="T44" s="16"/>
      <c r="U44" s="16"/>
      <c r="V44" s="16"/>
      <c r="Y44" s="16"/>
      <c r="Z44" s="16"/>
      <c r="AA44" s="16"/>
      <c r="AB44" s="16"/>
      <c r="AC44" s="16"/>
      <c r="AE44" s="16"/>
      <c r="AF44" s="16"/>
      <c r="AG44" s="16"/>
      <c r="AH44" s="16"/>
      <c r="AI44" s="16"/>
      <c r="BA44" s="17"/>
      <c r="BO44" s="17"/>
      <c r="BS44" s="17"/>
      <c r="BT44" s="17"/>
      <c r="BZ44" s="4">
        <f t="shared" si="16"/>
        <v>725</v>
      </c>
      <c r="CA44" s="4">
        <v>41</v>
      </c>
      <c r="CB44" s="90">
        <f t="shared" si="17"/>
        <v>11530</v>
      </c>
      <c r="CC44" s="4">
        <f>SUM(CB$4:CB44)</f>
        <v>154055</v>
      </c>
      <c r="CD44" s="4">
        <f t="shared" si="10"/>
        <v>1.0328863560174322</v>
      </c>
    </row>
    <row r="45" spans="1:82" x14ac:dyDescent="0.15">
      <c r="A45" s="99">
        <f>INT(A44*1.178/100)*100</f>
        <v>72800</v>
      </c>
      <c r="B45" s="14">
        <v>82</v>
      </c>
      <c r="C45" s="14">
        <f t="shared" si="18"/>
        <v>840200</v>
      </c>
      <c r="D45" s="14">
        <f>SUM(C$5:$C45)</f>
        <v>6786300</v>
      </c>
      <c r="E45" s="89">
        <f>'[1]资源-武将经验'!$Z46</f>
        <v>0.83934881032503317</v>
      </c>
      <c r="F45" s="183"/>
      <c r="G45" s="69"/>
      <c r="H45" s="70"/>
      <c r="I45" s="70"/>
      <c r="J45" s="70"/>
      <c r="K45" s="70"/>
      <c r="L45" s="70"/>
      <c r="P45" s="5">
        <v>45</v>
      </c>
      <c r="BZ45" s="4">
        <f t="shared" si="16"/>
        <v>1000</v>
      </c>
      <c r="CA45" s="4">
        <v>42</v>
      </c>
      <c r="CB45" s="90">
        <f t="shared" si="17"/>
        <v>12530</v>
      </c>
      <c r="CC45" s="4">
        <f>SUM(CB$4:CB45)</f>
        <v>166585</v>
      </c>
      <c r="CD45" s="4">
        <f t="shared" si="10"/>
        <v>1.0366210329807093</v>
      </c>
    </row>
    <row r="46" spans="1:82" x14ac:dyDescent="0.15">
      <c r="A46" s="99">
        <f t="shared" ref="A46:A89" si="33">INT(A45*1.178/100)*100</f>
        <v>85700</v>
      </c>
      <c r="B46" s="14">
        <v>84</v>
      </c>
      <c r="C46" s="14">
        <f t="shared" si="18"/>
        <v>925900</v>
      </c>
      <c r="D46" s="14">
        <f>SUM(C$5:$C46)</f>
        <v>7712200</v>
      </c>
      <c r="E46" s="89">
        <f>'[1]资源-武将经验'!$Z47</f>
        <v>0.86387805038476251</v>
      </c>
      <c r="F46" s="181" t="s">
        <v>205</v>
      </c>
      <c r="G46" s="69" t="s">
        <v>250</v>
      </c>
      <c r="H46" s="69">
        <v>1700</v>
      </c>
      <c r="I46" s="69">
        <f>H46</f>
        <v>1700</v>
      </c>
      <c r="J46" s="69">
        <f t="shared" ref="J46" si="34">I46</f>
        <v>1700</v>
      </c>
      <c r="K46" s="69">
        <f t="shared" ref="K46" si="35">J46</f>
        <v>1700</v>
      </c>
      <c r="L46" s="69">
        <f t="shared" ref="L46" si="36">K46</f>
        <v>1700</v>
      </c>
      <c r="P46" s="5">
        <v>1</v>
      </c>
      <c r="BZ46" s="4">
        <f t="shared" si="16"/>
        <v>1000</v>
      </c>
      <c r="CA46" s="4">
        <v>43</v>
      </c>
      <c r="CB46" s="90">
        <f t="shared" si="17"/>
        <v>13530</v>
      </c>
      <c r="CC46" s="4">
        <f>SUM(CB$4:CB46)</f>
        <v>180115</v>
      </c>
      <c r="CD46" s="4">
        <f t="shared" si="10"/>
        <v>1.0336585365853659</v>
      </c>
    </row>
    <row r="47" spans="1:82" x14ac:dyDescent="0.15">
      <c r="A47" s="99">
        <f t="shared" si="33"/>
        <v>100900</v>
      </c>
      <c r="B47" s="14">
        <v>86</v>
      </c>
      <c r="C47" s="14">
        <f t="shared" si="18"/>
        <v>1026800</v>
      </c>
      <c r="D47" s="14">
        <f>SUM(C$5:$C47)</f>
        <v>8739000</v>
      </c>
      <c r="E47" s="89">
        <f>'[1]资源-武将经验'!$Z48</f>
        <v>0.90835557874637096</v>
      </c>
      <c r="F47" s="182"/>
      <c r="G47" s="69" t="s">
        <v>251</v>
      </c>
      <c r="H47" s="69">
        <f>H46</f>
        <v>1700</v>
      </c>
      <c r="I47" s="69">
        <f t="shared" ref="I47:L47" si="37">I46</f>
        <v>1700</v>
      </c>
      <c r="J47" s="69">
        <f t="shared" si="37"/>
        <v>1700</v>
      </c>
      <c r="K47" s="69">
        <f t="shared" si="37"/>
        <v>1700</v>
      </c>
      <c r="L47" s="69">
        <f t="shared" si="37"/>
        <v>1700</v>
      </c>
      <c r="P47" s="5">
        <v>2</v>
      </c>
      <c r="Q47" s="8" t="s">
        <v>182</v>
      </c>
      <c r="R47" s="173" t="s">
        <v>202</v>
      </c>
      <c r="S47" s="173"/>
      <c r="T47" s="173"/>
      <c r="U47" s="173"/>
      <c r="V47" s="173"/>
      <c r="W47" s="173"/>
      <c r="Y47" s="173" t="s">
        <v>252</v>
      </c>
      <c r="Z47" s="173"/>
      <c r="AA47" s="173"/>
      <c r="AB47" s="173"/>
      <c r="AC47" s="173"/>
      <c r="AD47" s="173"/>
      <c r="AE47" s="173" t="s">
        <v>254</v>
      </c>
      <c r="AF47" s="173"/>
      <c r="AG47" s="173"/>
      <c r="AH47" s="173"/>
      <c r="AI47" s="173"/>
      <c r="AJ47" s="173"/>
      <c r="AK47" s="173" t="s">
        <v>234</v>
      </c>
      <c r="AL47" s="173"/>
      <c r="AM47" s="173"/>
      <c r="AN47" s="173"/>
      <c r="AO47" s="173"/>
      <c r="AP47" s="173"/>
      <c r="AQ47" s="173" t="s">
        <v>238</v>
      </c>
      <c r="AR47" s="173"/>
      <c r="AS47" s="173"/>
      <c r="AT47" s="173"/>
      <c r="AU47" s="173"/>
      <c r="AV47" s="173"/>
      <c r="BA47" s="35" t="s">
        <v>97</v>
      </c>
      <c r="BB47" s="174"/>
      <c r="BC47" s="174"/>
      <c r="BD47" s="175"/>
      <c r="BE47" s="159"/>
      <c r="BF47" s="159"/>
      <c r="BG47" s="159"/>
      <c r="BH47" s="159"/>
      <c r="BO47" s="8" t="s">
        <v>76</v>
      </c>
      <c r="BP47" s="164" t="s">
        <v>306</v>
      </c>
      <c r="BQ47" s="164"/>
      <c r="BS47" s="35" t="s">
        <v>97</v>
      </c>
      <c r="BT47" s="164" t="s">
        <v>308</v>
      </c>
      <c r="BU47" s="164"/>
      <c r="BZ47" s="4">
        <f t="shared" si="16"/>
        <v>1375</v>
      </c>
      <c r="CA47" s="4">
        <v>44</v>
      </c>
      <c r="CB47" s="90">
        <f t="shared" si="17"/>
        <v>14905</v>
      </c>
      <c r="CC47" s="4">
        <f>SUM(CB$4:CB47)</f>
        <v>195020</v>
      </c>
      <c r="CD47" s="4">
        <f t="shared" si="10"/>
        <v>1.0384451544195954</v>
      </c>
    </row>
    <row r="48" spans="1:82" x14ac:dyDescent="0.15">
      <c r="A48" s="99">
        <f t="shared" si="33"/>
        <v>118800</v>
      </c>
      <c r="B48" s="14">
        <v>88</v>
      </c>
      <c r="C48" s="14">
        <f t="shared" si="18"/>
        <v>1145600</v>
      </c>
      <c r="D48" s="14">
        <f>SUM(C$5:$C48)</f>
        <v>9884600</v>
      </c>
      <c r="E48" s="89">
        <f>'[1]资源-武将经验'!$Z49</f>
        <v>0.96199211457074851</v>
      </c>
      <c r="F48" s="183"/>
      <c r="G48" s="69"/>
      <c r="H48" s="69"/>
      <c r="I48" s="69"/>
      <c r="J48" s="69"/>
      <c r="K48" s="69"/>
      <c r="L48" s="69"/>
      <c r="P48" s="5">
        <v>3</v>
      </c>
      <c r="Q48" s="10" t="s">
        <v>478</v>
      </c>
      <c r="R48" s="22" t="s">
        <v>3</v>
      </c>
      <c r="S48" s="22" t="s">
        <v>1</v>
      </c>
      <c r="T48" s="22" t="s">
        <v>2</v>
      </c>
      <c r="U48" s="22" t="s">
        <v>0</v>
      </c>
      <c r="V48" s="22" t="s">
        <v>545</v>
      </c>
      <c r="W48" s="22" t="s">
        <v>204</v>
      </c>
      <c r="Y48" s="22" t="s">
        <v>3</v>
      </c>
      <c r="Z48" s="22" t="s">
        <v>1</v>
      </c>
      <c r="AA48" s="22" t="s">
        <v>2</v>
      </c>
      <c r="AB48" s="22" t="s">
        <v>0</v>
      </c>
      <c r="AC48" s="22" t="s">
        <v>545</v>
      </c>
      <c r="AD48" s="22" t="s">
        <v>206</v>
      </c>
      <c r="AE48" s="22" t="s">
        <v>3</v>
      </c>
      <c r="AF48" s="22" t="s">
        <v>1</v>
      </c>
      <c r="AG48" s="22" t="s">
        <v>2</v>
      </c>
      <c r="AH48" s="22" t="s">
        <v>0</v>
      </c>
      <c r="AI48" s="22" t="s">
        <v>545</v>
      </c>
      <c r="AJ48" s="22" t="s">
        <v>206</v>
      </c>
      <c r="AK48" s="22" t="s">
        <v>3</v>
      </c>
      <c r="AL48" s="22" t="s">
        <v>1</v>
      </c>
      <c r="AM48" s="22" t="s">
        <v>2</v>
      </c>
      <c r="AN48" s="22" t="s">
        <v>0</v>
      </c>
      <c r="AO48" s="22" t="s">
        <v>545</v>
      </c>
      <c r="AP48" s="22" t="s">
        <v>206</v>
      </c>
      <c r="AQ48" s="22" t="s">
        <v>3</v>
      </c>
      <c r="AR48" s="22" t="s">
        <v>1</v>
      </c>
      <c r="AS48" s="22" t="s">
        <v>2</v>
      </c>
      <c r="AT48" s="22" t="s">
        <v>0</v>
      </c>
      <c r="AU48" s="22" t="s">
        <v>545</v>
      </c>
      <c r="AV48" s="22" t="s">
        <v>206</v>
      </c>
      <c r="BA48" s="32" t="s">
        <v>478</v>
      </c>
      <c r="BB48" s="29" t="s">
        <v>288</v>
      </c>
      <c r="BC48" s="29" t="s">
        <v>289</v>
      </c>
      <c r="BD48" s="29" t="s">
        <v>295</v>
      </c>
      <c r="BE48" s="29" t="s">
        <v>288</v>
      </c>
      <c r="BF48" s="29" t="s">
        <v>289</v>
      </c>
      <c r="BG48" s="29" t="s">
        <v>295</v>
      </c>
      <c r="BH48" s="10" t="s">
        <v>293</v>
      </c>
      <c r="BO48" s="32" t="s">
        <v>478</v>
      </c>
      <c r="BP48" s="29" t="s">
        <v>310</v>
      </c>
      <c r="BQ48" s="29" t="s">
        <v>337</v>
      </c>
      <c r="BS48" s="32" t="s">
        <v>478</v>
      </c>
      <c r="BT48" s="29" t="s">
        <v>310</v>
      </c>
      <c r="BU48" s="29"/>
      <c r="BZ48" s="4">
        <f t="shared" si="16"/>
        <v>1375</v>
      </c>
      <c r="CA48" s="4">
        <v>45</v>
      </c>
      <c r="CB48" s="90">
        <f t="shared" si="17"/>
        <v>16280</v>
      </c>
      <c r="CC48" s="4">
        <f>SUM(CB$4:CB48)</f>
        <v>211300</v>
      </c>
      <c r="CD48" s="4">
        <f t="shared" si="10"/>
        <v>1.0352768250857423</v>
      </c>
    </row>
    <row r="49" spans="1:82" x14ac:dyDescent="0.15">
      <c r="A49" s="99">
        <f t="shared" si="33"/>
        <v>139900</v>
      </c>
      <c r="B49" s="14">
        <v>90</v>
      </c>
      <c r="C49" s="14">
        <f t="shared" si="18"/>
        <v>1285500</v>
      </c>
      <c r="D49" s="14">
        <f>SUM(C$5:$C49)</f>
        <v>11170100</v>
      </c>
      <c r="E49" s="89">
        <f>'[1]资源-武将经验'!$Z50</f>
        <v>0.9681217545152786</v>
      </c>
      <c r="P49" s="5">
        <v>4</v>
      </c>
      <c r="Q49" s="14">
        <f>基础状态预期!D62</f>
        <v>9.9592453074578113</v>
      </c>
      <c r="R49" s="14">
        <f>IF(基础状态预期!U62="",0,求节点($B$5:$B$154,$D$5:$D$154,基础状态预期!U62)*基础状态预期!F62)</f>
        <v>0</v>
      </c>
      <c r="S49" s="14">
        <f>IF(基础状态预期!V62="",0,求节点($B$5:$B$154,$D$5:$D$154,基础状态预期!V62)*基础状态预期!G62)</f>
        <v>0</v>
      </c>
      <c r="T49" s="14">
        <f>IF(基础状态预期!W62="",0,求节点($B$5:$B$154,$D$5:$D$154,基础状态预期!W62)*基础状态预期!H62)</f>
        <v>32841.358705628736</v>
      </c>
      <c r="U49" s="14">
        <f>IF(基础状态预期!X62="",0,求节点($B$5:$B$154,$D$5:$D$154,基础状态预期!X62)*基础状态预期!I62)</f>
        <v>65682.717411257472</v>
      </c>
      <c r="V49" s="14">
        <f>IF(基础状态预期!Y62="",0,求节点($B$5:$B$154,$D$5:$D$154,基础状态预期!Y62)*基础状态预期!J62)</f>
        <v>0</v>
      </c>
      <c r="W49" s="14">
        <f>SUM(R49:V49)</f>
        <v>98524.076116886208</v>
      </c>
      <c r="Y49" s="14" t="str">
        <f>IF(基础状态预期!U62="","",H$8+(基础状态预期!U62-1)*H$11)</f>
        <v/>
      </c>
      <c r="Z49" s="14" t="str">
        <f>IF(基础状态预期!V62="","",I$8+(基础状态预期!V62-1)*I$11)</f>
        <v/>
      </c>
      <c r="AA49" s="14">
        <f>IF(基础状态预期!W62="","",J$8+(基础状态预期!W62-1)*J$11)</f>
        <v>1367.5547184474685</v>
      </c>
      <c r="AB49" s="14">
        <f>IF(基础状态预期!X62="","",K$8+(基础状态预期!X62-1)*K$11)</f>
        <v>1367.5547184474685</v>
      </c>
      <c r="AC49" s="14" t="str">
        <f>IF(基础状态预期!Y62="","",L$8+(基础状态预期!Y62-1)*L$11)</f>
        <v/>
      </c>
      <c r="AD49" s="14">
        <f>SUMPRODUCT(Y49:AC49,基础状态预期!$F62:$J62)/SUM(基础状态预期!$F62:$J62)</f>
        <v>1367.5547184474683</v>
      </c>
      <c r="AE49" s="14" t="str">
        <f>IF(基础状态预期!U62="","",H$9+(基础状态预期!U62-1)*H$12)</f>
        <v/>
      </c>
      <c r="AF49" s="14" t="str">
        <f>IF(基础状态预期!V62="","",I$9+(基础状态预期!V62-1)*I$12)</f>
        <v/>
      </c>
      <c r="AG49" s="14">
        <f>IF(基础状态预期!W62="","",J$9+(基础状态预期!W62-1)*J$12)</f>
        <v>1367.5547184474685</v>
      </c>
      <c r="AH49" s="14">
        <f>IF(基础状态预期!X62="","",K$9+(基础状态预期!X62-1)*K$12)</f>
        <v>1367.5547184474685</v>
      </c>
      <c r="AI49" s="14" t="str">
        <f>IF(基础状态预期!Y62="","",L$9+(基础状态预期!Y62-1)*L$12)</f>
        <v/>
      </c>
      <c r="AJ49" s="14">
        <f>SUMPRODUCT(AE49:AI49,基础状态预期!$F62:$J62)/SUM(基础状态预期!$F62:$J62)</f>
        <v>1367.5547184474683</v>
      </c>
      <c r="AK49" s="14" t="str">
        <f>IF(基础状态预期!U62="","",H$27+(基础状态预期!U62-1)*H$28)</f>
        <v/>
      </c>
      <c r="AL49" s="14" t="str">
        <f>IF(基础状态预期!V62="","",I$27+(基础状态预期!V62-1)*I$28)</f>
        <v/>
      </c>
      <c r="AM49" s="14">
        <f>IF(基础状态预期!W62="","",J$27+(基础状态预期!W62-1)*J$28)</f>
        <v>1189.1849061491562</v>
      </c>
      <c r="AN49" s="14">
        <f>IF(基础状态预期!X62="","",K$27+(基础状态预期!X62-1)*K$28)</f>
        <v>1189.1849061491562</v>
      </c>
      <c r="AO49" s="14" t="str">
        <f>IF(基础状态预期!Y62="","",L$27+(基础状态预期!Y62-1)*L$28)</f>
        <v/>
      </c>
      <c r="AP49" s="14">
        <f>SUMPRODUCT(AK49:AO49,基础状态预期!$F62:$J62)/SUM(基础状态预期!$F62:$J62)</f>
        <v>1189.1849061491562</v>
      </c>
      <c r="AQ49" s="14" t="str">
        <f>IF(基础状态预期!U62="","",H$31+(基础状态预期!U62-1)*H$32)</f>
        <v/>
      </c>
      <c r="AR49" s="14" t="str">
        <f>IF(基础状态预期!V62="","",I$31+(基础状态预期!V62-1)*I$32)</f>
        <v/>
      </c>
      <c r="AS49" s="14">
        <f>IF(基础状态预期!W62="","",J$31+(基础状态预期!W62-1)*J$32)</f>
        <v>32.918490614915626</v>
      </c>
      <c r="AT49" s="14">
        <f>IF(基础状态预期!X62="","",K$31+(基础状态预期!X62-1)*K$32)</f>
        <v>35.918490614915626</v>
      </c>
      <c r="AU49" s="14" t="str">
        <f>IF(基础状态预期!Y62="","",L$31+(基础状态预期!Y62-1)*L$32)</f>
        <v/>
      </c>
      <c r="AV49" s="14">
        <f>SUMPRODUCT(AQ49:AU49,基础状态预期!$F62:$J62)/SUM(基础状态预期!$F62:$J62)</f>
        <v>34.918490614915626</v>
      </c>
      <c r="BA49" s="29">
        <v>10</v>
      </c>
      <c r="BB49" s="29">
        <f t="shared" ref="BB49:BB64" si="38">求节点($Q$49:$Q$87,$AD$49:$AD$87,$BA49)</f>
        <v>1369.9999999999995</v>
      </c>
      <c r="BC49" s="29">
        <f t="shared" ref="BC49:BC64" si="39">求节点($Q$49:$Q$87,$AJ$49:$AJ$87,$BA49)</f>
        <v>1369.9999999999995</v>
      </c>
      <c r="BD49" s="29">
        <f t="shared" ref="BD49:BD64" si="40">求节点($Q$49:$Q$87,$AP$49:$AP$87,$BA49)</f>
        <v>1190</v>
      </c>
      <c r="BE49" s="41">
        <f>BB49*INDEX([2]小r将兵属性验证!W$7:W$166,$BA49,1)</f>
        <v>11382619.14977663</v>
      </c>
      <c r="BF49" s="41">
        <f>BC49*INDEX([2]小r将兵属性验证!X$7:X$166,$BA49,1)</f>
        <v>11382619.14977663</v>
      </c>
      <c r="BG49" s="41">
        <f>BD49*INDEX([2]小r将兵属性验证!$AM$7:$AM$166,$BA49,1)</f>
        <v>2621723.3311704318</v>
      </c>
      <c r="BH49" s="10">
        <f t="shared" ref="BH49:BH50" si="41">SUM(BE49:BG49)</f>
        <v>25386961.630723692</v>
      </c>
      <c r="BO49" s="29">
        <f>$Q49</f>
        <v>9.9592453074578113</v>
      </c>
      <c r="BP49" s="10">
        <f>$W49</f>
        <v>98524.076116886208</v>
      </c>
      <c r="BQ49" s="42" t="e">
        <f>$BP49*求节点('[1]功能-付费相关'!$AY$6:$AY$105,'[1]功能-付费相关'!$BA$6:$BA$105,$BO49)</f>
        <v>#VALUE!</v>
      </c>
      <c r="BS49" s="29">
        <v>10</v>
      </c>
      <c r="BT49" s="29" t="e">
        <f t="shared" ref="BT49:BT58" si="42">求节点($BO$49:$BO$87,BQ$49:BQ$87,$BS49)</f>
        <v>#VALUE!</v>
      </c>
      <c r="BU49" s="29"/>
      <c r="BZ49" s="4">
        <f t="shared" si="16"/>
        <v>1875</v>
      </c>
      <c r="CA49" s="4">
        <v>46</v>
      </c>
      <c r="CB49" s="90">
        <f t="shared" si="17"/>
        <v>18155</v>
      </c>
      <c r="CC49" s="4">
        <f>SUM(CB$4:CB49)</f>
        <v>229455</v>
      </c>
      <c r="CD49" s="4">
        <f t="shared" si="10"/>
        <v>1.041084392014519</v>
      </c>
    </row>
    <row r="50" spans="1:82" x14ac:dyDescent="0.15">
      <c r="A50" s="99">
        <f t="shared" si="33"/>
        <v>164800</v>
      </c>
      <c r="B50" s="14">
        <v>92</v>
      </c>
      <c r="C50" s="14">
        <f t="shared" si="18"/>
        <v>1450300</v>
      </c>
      <c r="D50" s="14">
        <f>SUM(C$5:$C50)</f>
        <v>12620400</v>
      </c>
      <c r="E50" s="89">
        <f>'[1]资源-武将经验'!$Z51</f>
        <v>0.99644583124329378</v>
      </c>
      <c r="P50" s="5">
        <v>5</v>
      </c>
      <c r="Q50" s="14">
        <f>基础状态预期!D63</f>
        <v>19.766822802328868</v>
      </c>
      <c r="R50" s="14">
        <f>IF(基础状态预期!U63="",0,求节点($B$5:$B$154,$D$5:$D$154,基础状态预期!U63)*基础状态预期!F63)</f>
        <v>0</v>
      </c>
      <c r="S50" s="14">
        <f>IF(基础状态预期!V63="",0,求节点($B$5:$B$154,$D$5:$D$154,基础状态预期!V63)*基础状态预期!G63)</f>
        <v>0</v>
      </c>
      <c r="T50" s="14">
        <f>IF(基础状态预期!W63="",0,求节点($B$5:$B$154,$D$5:$D$154,基础状态预期!W63)*基础状态预期!H63)</f>
        <v>0</v>
      </c>
      <c r="U50" s="14">
        <f>IF(基础状态预期!X63="",0,求节点($B$5:$B$154,$D$5:$D$154,基础状态预期!X63)*基础状态预期!I63)</f>
        <v>797338.92364225886</v>
      </c>
      <c r="V50" s="14">
        <f>IF(基础状态预期!Y63="",0,求节点($B$5:$B$154,$D$5:$D$154,基础状态预期!Y63)*基础状态预期!J63)</f>
        <v>0</v>
      </c>
      <c r="W50" s="14">
        <f t="shared" ref="W50:W64" si="43">SUM(R50:V50)</f>
        <v>797338.92364225886</v>
      </c>
      <c r="Y50" s="14" t="str">
        <f>IF(基础状态预期!U63="","",H$8+(基础状态预期!U63-1)*H$11)</f>
        <v/>
      </c>
      <c r="Z50" s="14" t="str">
        <f>IF(基础状态预期!V63="","",I$8+(基础状态预期!V63-1)*I$11)</f>
        <v/>
      </c>
      <c r="AA50" s="14" t="str">
        <f>IF(基础状态预期!W63="","",J$8+(基础状态预期!W63-1)*J$11)</f>
        <v/>
      </c>
      <c r="AB50" s="14">
        <f>IF(基础状态预期!X63="","",K$8+(基础状态预期!X63-1)*K$11)</f>
        <v>1956.009368139732</v>
      </c>
      <c r="AC50" s="14" t="str">
        <f>IF(基础状态预期!Y63="","",L$8+(基础状态预期!Y63-1)*L$11)</f>
        <v/>
      </c>
      <c r="AD50" s="14">
        <f>SUMPRODUCT(Y50:AC50,基础状态预期!$F63:$J63)/SUM(基础状态预期!$F63:$J63)</f>
        <v>1956.009368139732</v>
      </c>
      <c r="AE50" s="14" t="str">
        <f>IF(基础状态预期!U63="","",H$9+(基础状态预期!U63-1)*H$12)</f>
        <v/>
      </c>
      <c r="AF50" s="14" t="str">
        <f>IF(基础状态预期!V63="","",I$9+(基础状态预期!V63-1)*I$12)</f>
        <v/>
      </c>
      <c r="AG50" s="14" t="str">
        <f>IF(基础状态预期!W63="","",J$9+(基础状态预期!W63-1)*J$12)</f>
        <v/>
      </c>
      <c r="AH50" s="14">
        <f>IF(基础状态预期!X63="","",K$9+(基础状态预期!X63-1)*K$12)</f>
        <v>1956.009368139732</v>
      </c>
      <c r="AI50" s="14" t="str">
        <f>IF(基础状态预期!Y63="","",L$9+(基础状态预期!Y63-1)*L$12)</f>
        <v/>
      </c>
      <c r="AJ50" s="14">
        <f>SUMPRODUCT(AE50:AI50,基础状态预期!$F63:$J63)/SUM(基础状态预期!$F63:$J63)</f>
        <v>1956.009368139732</v>
      </c>
      <c r="AK50" s="14" t="str">
        <f>IF(基础状态预期!U63="","",H$27+(基础状态预期!U63-1)*H$28)</f>
        <v/>
      </c>
      <c r="AL50" s="14" t="str">
        <f>IF(基础状态预期!V63="","",I$27+(基础状态预期!V63-1)*I$28)</f>
        <v/>
      </c>
      <c r="AM50" s="14" t="str">
        <f>IF(基础状态预期!W63="","",J$27+(基础状态预期!W63-1)*J$28)</f>
        <v/>
      </c>
      <c r="AN50" s="14">
        <f>IF(基础状态预期!X63="","",K$27+(基础状态预期!X63-1)*K$28)</f>
        <v>1385.3364560465775</v>
      </c>
      <c r="AO50" s="14" t="str">
        <f>IF(基础状态预期!Y63="","",L$27+(基础状态预期!Y63-1)*L$28)</f>
        <v/>
      </c>
      <c r="AP50" s="14">
        <f>SUMPRODUCT(AK50:AO50,基础状态预期!$F63:$J63)/SUM(基础状态预期!$F63:$J63)</f>
        <v>1385.3364560465773</v>
      </c>
      <c r="AQ50" s="14" t="str">
        <f>IF(基础状态预期!U63="","",H$31+(基础状态预期!U63-1)*H$32)</f>
        <v/>
      </c>
      <c r="AR50" s="14" t="str">
        <f>IF(基础状态预期!V63="","",I$31+(基础状态预期!V63-1)*I$32)</f>
        <v/>
      </c>
      <c r="AS50" s="14" t="str">
        <f>IF(基础状态预期!W63="","",J$31+(基础状态预期!W63-1)*J$32)</f>
        <v/>
      </c>
      <c r="AT50" s="14">
        <f>IF(基础状态预期!X63="","",K$31+(基础状态预期!X63-1)*K$32)</f>
        <v>55.533645604657735</v>
      </c>
      <c r="AU50" s="14" t="str">
        <f>IF(基础状态预期!Y63="","",L$31+(基础状态预期!Y63-1)*L$32)</f>
        <v/>
      </c>
      <c r="AV50" s="14">
        <f>SUMPRODUCT(AQ50:AU50,基础状态预期!$F63:$J63)/SUM(基础状态预期!$F63:$J63)</f>
        <v>55.533645604657728</v>
      </c>
      <c r="BA50" s="29">
        <v>20</v>
      </c>
      <c r="BB50" s="29">
        <f t="shared" si="38"/>
        <v>1970</v>
      </c>
      <c r="BC50" s="29">
        <f t="shared" si="39"/>
        <v>1970</v>
      </c>
      <c r="BD50" s="29">
        <f t="shared" si="40"/>
        <v>1390</v>
      </c>
      <c r="BE50" s="29">
        <f>(BB50-BB49)*INDEX([2]小r将兵属性验证!W$7:W$166,$BA50,1)+BE49</f>
        <v>26062511.809045799</v>
      </c>
      <c r="BF50" s="29">
        <f>(BC50-BC49)*INDEX([2]小r将兵属性验证!X$7:X$166,$BA50,1)+BF49</f>
        <v>26062511.809045799</v>
      </c>
      <c r="BG50" s="29">
        <f>(BD50-BD49)*INDEX([2]小r将兵属性验证!$AM$7:$AM$166,$BA50,1)+BG49</f>
        <v>3226134.6838783184</v>
      </c>
      <c r="BH50" s="10">
        <f t="shared" si="41"/>
        <v>55351158.301969916</v>
      </c>
      <c r="BO50" s="29">
        <f t="shared" ref="BO50:BO87" si="44">$Q50</f>
        <v>19.766822802328868</v>
      </c>
      <c r="BP50" s="10">
        <f t="shared" ref="BP50:BP87" si="45">$W50</f>
        <v>797338.92364225886</v>
      </c>
      <c r="BQ50" s="10" t="e">
        <f>$BP50*求节点('[1]功能-付费相关'!$AY$6:$AY$105,'[1]功能-付费相关'!$BA$6:$BA$105,$BO50)+$BQ49</f>
        <v>#VALUE!</v>
      </c>
      <c r="BS50" s="29">
        <v>20</v>
      </c>
      <c r="BT50" s="29" t="e">
        <f t="shared" si="42"/>
        <v>#VALUE!</v>
      </c>
      <c r="BU50" s="29"/>
      <c r="BZ50" s="4">
        <f t="shared" si="16"/>
        <v>1875</v>
      </c>
      <c r="CA50" s="4">
        <v>47</v>
      </c>
      <c r="CB50" s="90">
        <f t="shared" si="17"/>
        <v>20030</v>
      </c>
      <c r="CC50" s="4">
        <f>SUM(CB$4:CB50)</f>
        <v>249485</v>
      </c>
      <c r="CD50" s="4">
        <f t="shared" si="10"/>
        <v>1.0375753794967768</v>
      </c>
    </row>
    <row r="51" spans="1:82" x14ac:dyDescent="0.15">
      <c r="A51" s="99">
        <f t="shared" si="33"/>
        <v>194100</v>
      </c>
      <c r="B51" s="14">
        <v>94</v>
      </c>
      <c r="C51" s="14">
        <f t="shared" si="18"/>
        <v>1644400</v>
      </c>
      <c r="D51" s="14">
        <f>SUM(C$5:$C51)</f>
        <v>14264800</v>
      </c>
      <c r="E51" s="89">
        <f>'[1]资源-武将经验'!$Z52</f>
        <v>1.0419742557392195</v>
      </c>
      <c r="G51" s="4" t="s">
        <v>500</v>
      </c>
      <c r="H51" s="94" t="s">
        <v>496</v>
      </c>
      <c r="I51" s="5" t="s">
        <v>497</v>
      </c>
      <c r="J51" s="5" t="s">
        <v>498</v>
      </c>
      <c r="P51" s="5">
        <v>6</v>
      </c>
      <c r="Q51" s="14">
        <f>基础状态预期!D64</f>
        <v>27.773265580596355</v>
      </c>
      <c r="R51" s="14">
        <f>IF(基础状态预期!U64="",0,求节点($B$5:$B$154,$D$5:$D$154,基础状态预期!U64)*基础状态预期!F64)</f>
        <v>0</v>
      </c>
      <c r="S51" s="14">
        <f>IF(基础状态预期!V64="",0,求节点($B$5:$B$154,$D$5:$D$154,基础状态预期!V64)*基础状态预期!G64)</f>
        <v>0</v>
      </c>
      <c r="T51" s="14">
        <f>IF(基础状态预期!W64="",0,求节点($B$5:$B$154,$D$5:$D$154,基础状态预期!W64)*基础状态预期!H64)</f>
        <v>0</v>
      </c>
      <c r="U51" s="14">
        <f>IF(基础状态预期!X64="",0,求节点($B$5:$B$154,$D$5:$D$154,基础状态预期!X64)*基础状态预期!I64)</f>
        <v>3272594.8766771723</v>
      </c>
      <c r="V51" s="14">
        <f>IF(基础状态预期!Y64="",0,求节点($B$5:$B$154,$D$5:$D$154,基础状态预期!Y64)*基础状态预期!J64)</f>
        <v>0</v>
      </c>
      <c r="W51" s="14">
        <f t="shared" si="43"/>
        <v>3272594.8766771723</v>
      </c>
      <c r="Y51" s="14" t="str">
        <f>IF(基础状态预期!U64="","",H$8+(基础状态预期!U64-1)*H$11)</f>
        <v/>
      </c>
      <c r="Z51" s="14" t="str">
        <f>IF(基础状态预期!V64="","",I$8+(基础状态预期!V64-1)*I$11)</f>
        <v/>
      </c>
      <c r="AA51" s="14" t="str">
        <f>IF(基础状态预期!W64="","",J$8+(基础状态预期!W64-1)*J$11)</f>
        <v/>
      </c>
      <c r="AB51" s="14">
        <f>IF(基础状态预期!X64="","",K$8+(基础状态预期!X64-1)*K$11)</f>
        <v>2436.3959348357812</v>
      </c>
      <c r="AC51" s="14" t="str">
        <f>IF(基础状态预期!Y64="","",L$8+(基础状态预期!Y64-1)*L$11)</f>
        <v/>
      </c>
      <c r="AD51" s="14">
        <f>SUMPRODUCT(Y51:AC51,基础状态预期!$F64:$J64)/SUM(基础状态预期!$F64:$J64)</f>
        <v>2436.3959348357812</v>
      </c>
      <c r="AE51" s="14" t="str">
        <f>IF(基础状态预期!U64="","",H$9+(基础状态预期!U64-1)*H$12)</f>
        <v/>
      </c>
      <c r="AF51" s="14" t="str">
        <f>IF(基础状态预期!V64="","",I$9+(基础状态预期!V64-1)*I$12)</f>
        <v/>
      </c>
      <c r="AG51" s="14" t="str">
        <f>IF(基础状态预期!W64="","",J$9+(基础状态预期!W64-1)*J$12)</f>
        <v/>
      </c>
      <c r="AH51" s="14">
        <f>IF(基础状态预期!X64="","",K$9+(基础状态预期!X64-1)*K$12)</f>
        <v>2436.3959348357812</v>
      </c>
      <c r="AI51" s="14" t="str">
        <f>IF(基础状态预期!Y64="","",L$9+(基础状态预期!Y64-1)*L$12)</f>
        <v/>
      </c>
      <c r="AJ51" s="14">
        <f>SUMPRODUCT(AE51:AI51,基础状态预期!$F64:$J64)/SUM(基础状态预期!$F64:$J64)</f>
        <v>2436.3959348357812</v>
      </c>
      <c r="AK51" s="14" t="str">
        <f>IF(基础状态预期!U64="","",H$27+(基础状态预期!U64-1)*H$28)</f>
        <v/>
      </c>
      <c r="AL51" s="14" t="str">
        <f>IF(基础状态预期!V64="","",I$27+(基础状态预期!V64-1)*I$28)</f>
        <v/>
      </c>
      <c r="AM51" s="14" t="str">
        <f>IF(基础状态预期!W64="","",J$27+(基础状态预期!W64-1)*J$28)</f>
        <v/>
      </c>
      <c r="AN51" s="14">
        <f>IF(基础状态预期!X64="","",K$27+(基础状态预期!X64-1)*K$28)</f>
        <v>1545.4653116119271</v>
      </c>
      <c r="AO51" s="14" t="str">
        <f>IF(基础状态预期!Y64="","",L$27+(基础状态预期!Y64-1)*L$28)</f>
        <v/>
      </c>
      <c r="AP51" s="14">
        <f>SUMPRODUCT(AK51:AO51,基础状态预期!$F64:$J64)/SUM(基础状态预期!$F64:$J64)</f>
        <v>1545.4653116119271</v>
      </c>
      <c r="AQ51" s="14" t="str">
        <f>IF(基础状态预期!U64="","",H$31+(基础状态预期!U64-1)*H$32)</f>
        <v/>
      </c>
      <c r="AR51" s="14" t="str">
        <f>IF(基础状态预期!V64="","",I$31+(基础状态预期!V64-1)*I$32)</f>
        <v/>
      </c>
      <c r="AS51" s="14" t="str">
        <f>IF(基础状态预期!W64="","",J$31+(基础状态预期!W64-1)*J$32)</f>
        <v/>
      </c>
      <c r="AT51" s="14">
        <f>IF(基础状态预期!X64="","",K$31+(基础状态预期!X64-1)*K$32)</f>
        <v>71.546531161192718</v>
      </c>
      <c r="AU51" s="14" t="str">
        <f>IF(基础状态预期!Y64="","",L$31+(基础状态预期!Y64-1)*L$32)</f>
        <v/>
      </c>
      <c r="AV51" s="14">
        <f>SUMPRODUCT(AQ51:AU51,基础状态预期!$F64:$J64)/SUM(基础状态预期!$F64:$J64)</f>
        <v>71.546531161192718</v>
      </c>
      <c r="BA51" s="29">
        <v>30</v>
      </c>
      <c r="BB51" s="29">
        <f t="shared" si="38"/>
        <v>2570</v>
      </c>
      <c r="BC51" s="29">
        <f t="shared" si="39"/>
        <v>2570</v>
      </c>
      <c r="BD51" s="29">
        <f t="shared" si="40"/>
        <v>1590</v>
      </c>
      <c r="BE51" s="29">
        <f>(BB51-BB50)*INDEX([2]小r将兵属性验证!W$7:W$166,$BA51,1)+BE50</f>
        <v>56783816.856016159</v>
      </c>
      <c r="BF51" s="29">
        <f>(BC51-BC50)*INDEX([2]小r将兵属性验证!X$7:X$166,$BA51,1)+BF50</f>
        <v>56783816.856016159</v>
      </c>
      <c r="BG51" s="29">
        <f>(BD51-BD50)*INDEX([2]小r将兵属性验证!$AM$7:$AM$166,$BA51,1)+BG50</f>
        <v>3966814.0784942526</v>
      </c>
      <c r="BH51" s="10">
        <f t="shared" ref="BH51:BH64" si="46">SUM(BE51:BG51)</f>
        <v>117534447.79052657</v>
      </c>
      <c r="BO51" s="29">
        <f t="shared" si="44"/>
        <v>27.773265580596355</v>
      </c>
      <c r="BP51" s="10">
        <f t="shared" si="45"/>
        <v>3272594.8766771723</v>
      </c>
      <c r="BQ51" s="10" t="e">
        <f>$BP51*求节点('[1]功能-付费相关'!$AY$6:$AY$105,'[1]功能-付费相关'!$BA$6:$BA$105,$BO51)+$BQ50</f>
        <v>#VALUE!</v>
      </c>
      <c r="BS51" s="29">
        <v>30</v>
      </c>
      <c r="BT51" s="29" t="e">
        <f t="shared" si="42"/>
        <v>#VALUE!</v>
      </c>
      <c r="BU51" s="29"/>
      <c r="BZ51" s="4">
        <f t="shared" si="16"/>
        <v>2575</v>
      </c>
      <c r="CA51" s="4">
        <v>48</v>
      </c>
      <c r="CB51" s="90">
        <f t="shared" si="17"/>
        <v>22605</v>
      </c>
      <c r="CC51" s="4">
        <f>SUM(CB$4:CB51)</f>
        <v>272090</v>
      </c>
      <c r="CD51" s="4">
        <f t="shared" si="10"/>
        <v>1.0444913627639156</v>
      </c>
    </row>
    <row r="52" spans="1:82" x14ac:dyDescent="0.15">
      <c r="A52" s="99">
        <f t="shared" si="33"/>
        <v>228600</v>
      </c>
      <c r="B52" s="14">
        <v>96</v>
      </c>
      <c r="C52" s="14">
        <f t="shared" si="18"/>
        <v>1873000</v>
      </c>
      <c r="D52" s="14">
        <f>SUM(C$5:$C52)</f>
        <v>16137800</v>
      </c>
      <c r="E52" s="89">
        <f>'[1]资源-武将经验'!$Z53</f>
        <v>1.1025914503323198</v>
      </c>
      <c r="G52" s="4" t="s">
        <v>499</v>
      </c>
      <c r="H52" s="4">
        <v>0</v>
      </c>
      <c r="I52" s="4">
        <f>0.6/1.2</f>
        <v>0.5</v>
      </c>
      <c r="J52" s="4">
        <f>SUM($I$52:I52)</f>
        <v>0.5</v>
      </c>
      <c r="P52" s="5">
        <v>7</v>
      </c>
      <c r="Q52" s="14">
        <f>基础状态预期!D65</f>
        <v>34.250806171891597</v>
      </c>
      <c r="R52" s="14">
        <f>IF(基础状态预期!U65="",0,求节点($B$5:$B$154,$D$5:$D$154,基础状态预期!U65)*基础状态预期!F65)</f>
        <v>0</v>
      </c>
      <c r="S52" s="14">
        <f>IF(基础状态预期!V65="",0,求节点($B$5:$B$154,$D$5:$D$154,基础状态预期!V65)*基础状态预期!G65)</f>
        <v>0</v>
      </c>
      <c r="T52" s="14">
        <f>IF(基础状态预期!W65="",0,求节点($B$5:$B$154,$D$5:$D$154,基础状态预期!W65)*基础状态预期!H65)</f>
        <v>0</v>
      </c>
      <c r="U52" s="14">
        <f>IF(基础状态预期!X65="",0,求节点($B$5:$B$154,$D$5:$D$154,基础状态预期!X65)*基础状态预期!I65)</f>
        <v>14181172.437328033</v>
      </c>
      <c r="V52" s="14">
        <f>IF(基础状态预期!Y65="",0,求节点($B$5:$B$154,$D$5:$D$154,基础状态预期!Y65)*基础状态预期!J65)</f>
        <v>0</v>
      </c>
      <c r="W52" s="14">
        <f t="shared" si="43"/>
        <v>14181172.437328033</v>
      </c>
      <c r="Y52" s="14" t="str">
        <f>IF(基础状态预期!U65="","",H$8+(基础状态预期!U65-1)*H$11)</f>
        <v/>
      </c>
      <c r="Z52" s="14" t="str">
        <f>IF(基础状态预期!V65="","",I$8+(基础状态预期!V65-1)*I$11)</f>
        <v/>
      </c>
      <c r="AA52" s="14" t="str">
        <f>IF(基础状态预期!W65="","",J$8+(基础状态预期!W65-1)*J$11)</f>
        <v/>
      </c>
      <c r="AB52" s="14">
        <f>IF(基础状态预期!X65="","",K$8+(基础状态预期!X65-1)*K$11)</f>
        <v>2825.048370313496</v>
      </c>
      <c r="AC52" s="14" t="str">
        <f>IF(基础状态预期!Y65="","",L$8+(基础状态预期!Y65-1)*L$11)</f>
        <v/>
      </c>
      <c r="AD52" s="14">
        <f>SUMPRODUCT(Y52:AC52,基础状态预期!$F65:$J65)/SUM(基础状态预期!$F65:$J65)</f>
        <v>2825.048370313496</v>
      </c>
      <c r="AE52" s="14" t="str">
        <f>IF(基础状态预期!U65="","",H$9+(基础状态预期!U65-1)*H$12)</f>
        <v/>
      </c>
      <c r="AF52" s="14" t="str">
        <f>IF(基础状态预期!V65="","",I$9+(基础状态预期!V65-1)*I$12)</f>
        <v/>
      </c>
      <c r="AG52" s="14" t="str">
        <f>IF(基础状态预期!W65="","",J$9+(基础状态预期!W65-1)*J$12)</f>
        <v/>
      </c>
      <c r="AH52" s="14">
        <f>IF(基础状态预期!X65="","",K$9+(基础状态预期!X65-1)*K$12)</f>
        <v>2825.048370313496</v>
      </c>
      <c r="AI52" s="14" t="str">
        <f>IF(基础状态预期!Y65="","",L$9+(基础状态预期!Y65-1)*L$12)</f>
        <v/>
      </c>
      <c r="AJ52" s="14">
        <f>SUMPRODUCT(AE52:AI52,基础状态预期!$F65:$J65)/SUM(基础状态预期!$F65:$J65)</f>
        <v>2825.048370313496</v>
      </c>
      <c r="AK52" s="14" t="str">
        <f>IF(基础状态预期!U65="","",H$27+(基础状态预期!U65-1)*H$28)</f>
        <v/>
      </c>
      <c r="AL52" s="14" t="str">
        <f>IF(基础状态预期!V65="","",I$27+(基础状态预期!V65-1)*I$28)</f>
        <v/>
      </c>
      <c r="AM52" s="14" t="str">
        <f>IF(基础状态预期!W65="","",J$27+(基础状态预期!W65-1)*J$28)</f>
        <v/>
      </c>
      <c r="AN52" s="14">
        <f>IF(基础状态预期!X65="","",K$27+(基础状态预期!X65-1)*K$28)</f>
        <v>1675.016123437832</v>
      </c>
      <c r="AO52" s="14" t="str">
        <f>IF(基础状态预期!Y65="","",L$27+(基础状态预期!Y65-1)*L$28)</f>
        <v/>
      </c>
      <c r="AP52" s="14">
        <f>SUMPRODUCT(AK52:AO52,基础状态预期!$F65:$J65)/SUM(基础状态预期!$F65:$J65)</f>
        <v>1675.016123437832</v>
      </c>
      <c r="AQ52" s="14" t="str">
        <f>IF(基础状态预期!U65="","",H$31+(基础状态预期!U65-1)*H$32)</f>
        <v/>
      </c>
      <c r="AR52" s="14" t="str">
        <f>IF(基础状态预期!V65="","",I$31+(基础状态预期!V65-1)*I$32)</f>
        <v/>
      </c>
      <c r="AS52" s="14" t="str">
        <f>IF(基础状态预期!W65="","",J$31+(基础状态预期!W65-1)*J$32)</f>
        <v/>
      </c>
      <c r="AT52" s="14">
        <f>IF(基础状态预期!X65="","",K$31+(基础状态预期!X65-1)*K$32)</f>
        <v>84.501612343783194</v>
      </c>
      <c r="AU52" s="14" t="str">
        <f>IF(基础状态预期!Y65="","",L$31+(基础状态预期!Y65-1)*L$32)</f>
        <v/>
      </c>
      <c r="AV52" s="14">
        <f>SUMPRODUCT(AQ52:AU52,基础状态预期!$F65:$J65)/SUM(基础状态预期!$F65:$J65)</f>
        <v>84.501612343783194</v>
      </c>
      <c r="BA52" s="29">
        <v>40</v>
      </c>
      <c r="BB52" s="29">
        <f t="shared" si="38"/>
        <v>3170</v>
      </c>
      <c r="BC52" s="29">
        <f t="shared" si="39"/>
        <v>3170</v>
      </c>
      <c r="BD52" s="29">
        <f t="shared" si="40"/>
        <v>1790.0000000000002</v>
      </c>
      <c r="BE52" s="29">
        <f>(BB52-BB51)*INDEX([2]小r将兵属性验证!W$7:W$166,$BA52,1)+BE51</f>
        <v>135065621.8133885</v>
      </c>
      <c r="BF52" s="29">
        <f>(BC52-BC51)*INDEX([2]小r将兵属性验证!X$7:X$166,$BA52,1)+BF51</f>
        <v>135065621.8133885</v>
      </c>
      <c r="BG52" s="29">
        <f>(BD52-BD51)*INDEX([2]小r将兵属性验证!$AM$7:$AM$166,$BA52,1)+BG51</f>
        <v>4837348.2827278897</v>
      </c>
      <c r="BH52" s="10">
        <f t="shared" si="46"/>
        <v>274968591.90950489</v>
      </c>
      <c r="BO52" s="29">
        <f t="shared" si="44"/>
        <v>34.250806171891597</v>
      </c>
      <c r="BP52" s="10">
        <f t="shared" si="45"/>
        <v>14181172.437328033</v>
      </c>
      <c r="BQ52" s="10" t="e">
        <f>$BP52*求节点('[1]功能-付费相关'!$AY$6:$AY$105,'[1]功能-付费相关'!$BA$6:$BA$105,$BO52)+$BQ51</f>
        <v>#VALUE!</v>
      </c>
      <c r="BS52" s="29">
        <v>40</v>
      </c>
      <c r="BT52" s="29" t="e">
        <f t="shared" si="42"/>
        <v>#VALUE!</v>
      </c>
      <c r="BU52" s="29"/>
      <c r="BZ52" s="4">
        <f t="shared" si="16"/>
        <v>2575</v>
      </c>
      <c r="CA52" s="4">
        <v>49</v>
      </c>
      <c r="CB52" s="90">
        <f t="shared" si="17"/>
        <v>25180</v>
      </c>
      <c r="CC52" s="4">
        <f>SUM(CB$4:CB52)</f>
        <v>297270</v>
      </c>
      <c r="CD52" s="4">
        <f t="shared" si="10"/>
        <v>1.0404970248512426</v>
      </c>
    </row>
    <row r="53" spans="1:82" x14ac:dyDescent="0.15">
      <c r="A53" s="99">
        <f t="shared" si="33"/>
        <v>269200</v>
      </c>
      <c r="B53" s="14">
        <v>98</v>
      </c>
      <c r="C53" s="14">
        <f t="shared" si="18"/>
        <v>2142200</v>
      </c>
      <c r="D53" s="14">
        <f>SUM(C$5:$C53)</f>
        <v>18280000</v>
      </c>
      <c r="E53" s="89">
        <f>'[1]资源-武将经验'!$Z54</f>
        <v>1.1827899605875904</v>
      </c>
      <c r="G53" s="16" t="s">
        <v>494</v>
      </c>
      <c r="H53" s="16">
        <v>20</v>
      </c>
      <c r="I53" s="4">
        <f>0.4/1.2</f>
        <v>0.33333333333333337</v>
      </c>
      <c r="J53" s="4">
        <f>SUM($I$52:I53)</f>
        <v>0.83333333333333337</v>
      </c>
      <c r="P53" s="5">
        <v>8</v>
      </c>
      <c r="Q53" s="14">
        <f>基础状态预期!D66</f>
        <v>39.661158518499626</v>
      </c>
      <c r="R53" s="14">
        <f>IF(基础状态预期!U66="",0,求节点($B$5:$B$154,$D$5:$D$154,基础状态预期!U66)*基础状态预期!F66)</f>
        <v>0</v>
      </c>
      <c r="S53" s="14">
        <f>IF(基础状态预期!V66="",0,求节点($B$5:$B$154,$D$5:$D$154,基础状态预期!V66)*基础状态预期!G66)</f>
        <v>0</v>
      </c>
      <c r="T53" s="14">
        <f>IF(基础状态预期!W66="",0,求节点($B$5:$B$154,$D$5:$D$154,基础状态预期!W66)*基础状态预期!H66)</f>
        <v>0</v>
      </c>
      <c r="U53" s="14">
        <f>IF(基础状态预期!X66="",0,求节点($B$5:$B$154,$D$5:$D$154,基础状态预期!X66)*基础状态预期!I66)</f>
        <v>34116438.282579675</v>
      </c>
      <c r="V53" s="14">
        <f>IF(基础状态预期!Y66="",0,求节点($B$5:$B$154,$D$5:$D$154,基础状态预期!Y66)*基础状态预期!J66)</f>
        <v>0</v>
      </c>
      <c r="W53" s="14">
        <f t="shared" si="43"/>
        <v>34116438.282579675</v>
      </c>
      <c r="Y53" s="14" t="str">
        <f>IF(基础状态预期!U66="","",H$8+(基础状态预期!U66-1)*H$11)</f>
        <v/>
      </c>
      <c r="Z53" s="14" t="str">
        <f>IF(基础状态预期!V66="","",I$8+(基础状态预期!V66-1)*I$11)</f>
        <v/>
      </c>
      <c r="AA53" s="14" t="str">
        <f>IF(基础状态预期!W66="","",J$8+(基础状态预期!W66-1)*J$11)</f>
        <v/>
      </c>
      <c r="AB53" s="14">
        <f>IF(基础状态预期!X66="","",K$8+(基础状态预期!X66-1)*K$11)</f>
        <v>3149.6695111099775</v>
      </c>
      <c r="AC53" s="14" t="str">
        <f>IF(基础状态预期!Y66="","",L$8+(基础状态预期!Y66-1)*L$11)</f>
        <v/>
      </c>
      <c r="AD53" s="14">
        <f>SUMPRODUCT(Y53:AC53,基础状态预期!$F66:$J66)/SUM(基础状态预期!$F66:$J66)</f>
        <v>3149.6695111099775</v>
      </c>
      <c r="AE53" s="14" t="str">
        <f>IF(基础状态预期!U66="","",H$9+(基础状态预期!U66-1)*H$12)</f>
        <v/>
      </c>
      <c r="AF53" s="14" t="str">
        <f>IF(基础状态预期!V66="","",I$9+(基础状态预期!V66-1)*I$12)</f>
        <v/>
      </c>
      <c r="AG53" s="14" t="str">
        <f>IF(基础状态预期!W66="","",J$9+(基础状态预期!W66-1)*J$12)</f>
        <v/>
      </c>
      <c r="AH53" s="14">
        <f>IF(基础状态预期!X66="","",K$9+(基础状态预期!X66-1)*K$12)</f>
        <v>3149.6695111099775</v>
      </c>
      <c r="AI53" s="14" t="str">
        <f>IF(基础状态预期!Y66="","",L$9+(基础状态预期!Y66-1)*L$12)</f>
        <v/>
      </c>
      <c r="AJ53" s="14">
        <f>SUMPRODUCT(AE53:AI53,基础状态预期!$F66:$J66)/SUM(基础状态预期!$F66:$J66)</f>
        <v>3149.6695111099775</v>
      </c>
      <c r="AK53" s="14" t="str">
        <f>IF(基础状态预期!U66="","",H$27+(基础状态预期!U66-1)*H$28)</f>
        <v/>
      </c>
      <c r="AL53" s="14" t="str">
        <f>IF(基础状态预期!V66="","",I$27+(基础状态预期!V66-1)*I$28)</f>
        <v/>
      </c>
      <c r="AM53" s="14" t="str">
        <f>IF(基础状态预期!W66="","",J$27+(基础状态预期!W66-1)*J$28)</f>
        <v/>
      </c>
      <c r="AN53" s="14">
        <f>IF(基础状态预期!X66="","",K$27+(基础状态预期!X66-1)*K$28)</f>
        <v>1783.2231703699927</v>
      </c>
      <c r="AO53" s="14" t="str">
        <f>IF(基础状态预期!Y66="","",L$27+(基础状态预期!Y66-1)*L$28)</f>
        <v/>
      </c>
      <c r="AP53" s="14">
        <f>SUMPRODUCT(AK53:AO53,基础状态预期!$F66:$J66)/SUM(基础状态预期!$F66:$J66)</f>
        <v>1783.2231703699927</v>
      </c>
      <c r="AQ53" s="14" t="str">
        <f>IF(基础状态预期!U66="","",H$31+(基础状态预期!U66-1)*H$32)</f>
        <v/>
      </c>
      <c r="AR53" s="14" t="str">
        <f>IF(基础状态预期!V66="","",I$31+(基础状态预期!V66-1)*I$32)</f>
        <v/>
      </c>
      <c r="AS53" s="14" t="str">
        <f>IF(基础状态预期!W66="","",J$31+(基础状态预期!W66-1)*J$32)</f>
        <v/>
      </c>
      <c r="AT53" s="14">
        <f>IF(基础状态预期!X66="","",K$31+(基础状态预期!X66-1)*K$32)</f>
        <v>95.322317036999252</v>
      </c>
      <c r="AU53" s="14" t="str">
        <f>IF(基础状态预期!Y66="","",L$31+(基础状态预期!Y66-1)*L$32)</f>
        <v/>
      </c>
      <c r="AV53" s="14">
        <f>SUMPRODUCT(AQ53:AU53,基础状态预期!$F66:$J66)/SUM(基础状态预期!$F66:$J66)</f>
        <v>95.322317036999252</v>
      </c>
      <c r="BA53" s="29">
        <v>50</v>
      </c>
      <c r="BB53" s="29">
        <f t="shared" si="38"/>
        <v>3770</v>
      </c>
      <c r="BC53" s="29">
        <f t="shared" si="39"/>
        <v>3770</v>
      </c>
      <c r="BD53" s="29">
        <f t="shared" si="40"/>
        <v>1990</v>
      </c>
      <c r="BE53" s="29">
        <f>(BB53-BB52)*INDEX([2]小r将兵属性验证!W$7:W$166,$BA53,1)+BE52</f>
        <v>265522939.83665228</v>
      </c>
      <c r="BF53" s="29">
        <f>(BC53-BC52)*INDEX([2]小r将兵属性验证!X$7:X$166,$BA53,1)+BF52</f>
        <v>265522939.83665228</v>
      </c>
      <c r="BG53" s="29">
        <f>(BD53-BD52)*INDEX([2]小r将兵属性验证!$AM$7:$AM$166,$BA53,1)+BG52</f>
        <v>5836836.2125299135</v>
      </c>
      <c r="BH53" s="10">
        <f t="shared" si="46"/>
        <v>536882715.88583446</v>
      </c>
      <c r="BO53" s="29">
        <f t="shared" si="44"/>
        <v>39.661158518499626</v>
      </c>
      <c r="BP53" s="10">
        <f t="shared" si="45"/>
        <v>34116438.282579675</v>
      </c>
      <c r="BQ53" s="10" t="e">
        <f>$BP53*求节点('[1]功能-付费相关'!$AY$6:$AY$105,'[1]功能-付费相关'!$BA$6:$BA$105,$BO53)+$BQ52</f>
        <v>#VALUE!</v>
      </c>
      <c r="BS53" s="29">
        <v>50</v>
      </c>
      <c r="BT53" s="29" t="e">
        <f t="shared" si="42"/>
        <v>#VALUE!</v>
      </c>
      <c r="BU53" s="29"/>
      <c r="BZ53" s="4">
        <f t="shared" si="16"/>
        <v>3550</v>
      </c>
      <c r="CA53" s="4">
        <v>50</v>
      </c>
      <c r="CB53" s="90">
        <f t="shared" si="17"/>
        <v>28730</v>
      </c>
      <c r="CC53" s="4">
        <f>SUM(CB$4:CB53)</f>
        <v>326000</v>
      </c>
      <c r="CD53" s="4">
        <f t="shared" si="10"/>
        <v>1.0485686715985847</v>
      </c>
    </row>
    <row r="54" spans="1:82" x14ac:dyDescent="0.15">
      <c r="A54" s="99">
        <f t="shared" si="33"/>
        <v>317100</v>
      </c>
      <c r="B54" s="14">
        <v>100</v>
      </c>
      <c r="C54" s="14">
        <f t="shared" si="18"/>
        <v>2459300</v>
      </c>
      <c r="D54" s="14">
        <f>SUM(C$5:$C54)</f>
        <v>20739300</v>
      </c>
      <c r="E54" s="89">
        <f>'[1]资源-武将经验'!$Z55</f>
        <v>1.2347890152328624</v>
      </c>
      <c r="G54" s="16" t="s">
        <v>495</v>
      </c>
      <c r="H54" s="16">
        <v>60</v>
      </c>
      <c r="I54" s="4">
        <f>0.2/1.2</f>
        <v>0.16666666666666669</v>
      </c>
      <c r="J54" s="4">
        <f>SUM($I$52:I54)</f>
        <v>1</v>
      </c>
      <c r="P54" s="5">
        <v>9</v>
      </c>
      <c r="Q54" s="14">
        <f>基础状态预期!D67</f>
        <v>43.535389560453282</v>
      </c>
      <c r="R54" s="14">
        <f>IF(基础状态预期!U67="",0,求节点($B$5:$B$154,$D$5:$D$154,基础状态预期!U67)*基础状态预期!F67)</f>
        <v>0</v>
      </c>
      <c r="S54" s="14">
        <f>IF(基础状态预期!V67="",0,求节点($B$5:$B$154,$D$5:$D$154,基础状态预期!V67)*基础状态预期!G67)</f>
        <v>0</v>
      </c>
      <c r="T54" s="14">
        <f>IF(基础状态预期!W67="",0,求节点($B$5:$B$154,$D$5:$D$154,基础状态预期!W67)*基础状态预期!H67)</f>
        <v>0</v>
      </c>
      <c r="U54" s="14">
        <f>IF(基础状态预期!X67="",0,求节点($B$5:$B$154,$D$5:$D$154,基础状态预期!X67)*基础状态预期!I67)</f>
        <v>56114053.682731681</v>
      </c>
      <c r="V54" s="14">
        <f>IF(基础状态预期!Y67="",0,求节点($B$5:$B$154,$D$5:$D$154,基础状态预期!Y67)*基础状态预期!J67)</f>
        <v>0</v>
      </c>
      <c r="W54" s="14">
        <f t="shared" si="43"/>
        <v>56114053.682731681</v>
      </c>
      <c r="Y54" s="14" t="str">
        <f>IF(基础状态预期!U67="","",H$8+(基础状态预期!U67-1)*H$11)</f>
        <v/>
      </c>
      <c r="Z54" s="14" t="str">
        <f>IF(基础状态预期!V67="","",I$8+(基础状态预期!V67-1)*I$11)</f>
        <v/>
      </c>
      <c r="AA54" s="14" t="str">
        <f>IF(基础状态预期!W67="","",J$8+(基础状态预期!W67-1)*J$11)</f>
        <v/>
      </c>
      <c r="AB54" s="14">
        <f>IF(基础状态预期!X67="","",K$8+(基础状态预期!X67-1)*K$11)</f>
        <v>3382.123373627197</v>
      </c>
      <c r="AC54" s="14" t="str">
        <f>IF(基础状态预期!Y67="","",L$8+(基础状态预期!Y67-1)*L$11)</f>
        <v/>
      </c>
      <c r="AD54" s="14">
        <f>SUMPRODUCT(Y54:AC54,基础状态预期!$F67:$J67)/SUM(基础状态预期!$F67:$J67)</f>
        <v>3382.123373627197</v>
      </c>
      <c r="AE54" s="14" t="str">
        <f>IF(基础状态预期!U67="","",H$9+(基础状态预期!U67-1)*H$12)</f>
        <v/>
      </c>
      <c r="AF54" s="14" t="str">
        <f>IF(基础状态预期!V67="","",I$9+(基础状态预期!V67-1)*I$12)</f>
        <v/>
      </c>
      <c r="AG54" s="14" t="str">
        <f>IF(基础状态预期!W67="","",J$9+(基础状态预期!W67-1)*J$12)</f>
        <v/>
      </c>
      <c r="AH54" s="14">
        <f>IF(基础状态预期!X67="","",K$9+(基础状态预期!X67-1)*K$12)</f>
        <v>3382.123373627197</v>
      </c>
      <c r="AI54" s="14" t="str">
        <f>IF(基础状态预期!Y67="","",L$9+(基础状态预期!Y67-1)*L$12)</f>
        <v/>
      </c>
      <c r="AJ54" s="14">
        <f>SUMPRODUCT(AE54:AI54,基础状态预期!$F67:$J67)/SUM(基础状态预期!$F67:$J67)</f>
        <v>3382.123373627197</v>
      </c>
      <c r="AK54" s="14" t="str">
        <f>IF(基础状态预期!U67="","",H$27+(基础状态预期!U67-1)*H$28)</f>
        <v/>
      </c>
      <c r="AL54" s="14" t="str">
        <f>IF(基础状态预期!V67="","",I$27+(基础状态预期!V67-1)*I$28)</f>
        <v/>
      </c>
      <c r="AM54" s="14" t="str">
        <f>IF(基础状态预期!W67="","",J$27+(基础状态预期!W67-1)*J$28)</f>
        <v/>
      </c>
      <c r="AN54" s="14">
        <f>IF(基础状态预期!X67="","",K$27+(基础状态预期!X67-1)*K$28)</f>
        <v>1860.7077912090656</v>
      </c>
      <c r="AO54" s="14" t="str">
        <f>IF(基础状态预期!Y67="","",L$27+(基础状态预期!Y67-1)*L$28)</f>
        <v/>
      </c>
      <c r="AP54" s="14">
        <f>SUMPRODUCT(AK54:AO54,基础状态预期!$F67:$J67)/SUM(基础状态预期!$F67:$J67)</f>
        <v>1860.7077912090656</v>
      </c>
      <c r="AQ54" s="14" t="str">
        <f>IF(基础状态预期!U67="","",H$31+(基础状态预期!U67-1)*H$32)</f>
        <v/>
      </c>
      <c r="AR54" s="14" t="str">
        <f>IF(基础状态预期!V67="","",I$31+(基础状态预期!V67-1)*I$32)</f>
        <v/>
      </c>
      <c r="AS54" s="14" t="str">
        <f>IF(基础状态预期!W67="","",J$31+(基础状态预期!W67-1)*J$32)</f>
        <v/>
      </c>
      <c r="AT54" s="14">
        <f>IF(基础状态预期!X67="","",K$31+(基础状态预期!X67-1)*K$32)</f>
        <v>103.07077912090656</v>
      </c>
      <c r="AU54" s="14" t="str">
        <f>IF(基础状态预期!Y67="","",L$31+(基础状态预期!Y67-1)*L$32)</f>
        <v/>
      </c>
      <c r="AV54" s="14">
        <f>SUMPRODUCT(AQ54:AU54,基础状态预期!$F67:$J67)/SUM(基础状态预期!$F67:$J67)</f>
        <v>103.07077912090658</v>
      </c>
      <c r="BA54" s="29">
        <v>60</v>
      </c>
      <c r="BB54" s="29">
        <f t="shared" si="38"/>
        <v>4370</v>
      </c>
      <c r="BC54" s="29">
        <f t="shared" si="39"/>
        <v>4370</v>
      </c>
      <c r="BD54" s="29">
        <f t="shared" si="40"/>
        <v>2190</v>
      </c>
      <c r="BE54" s="29">
        <f>(BB54-BB53)*INDEX([2]小r将兵属性验证!W$7:W$166,$BA54,1)+BE53</f>
        <v>531302168.3304038</v>
      </c>
      <c r="BF54" s="29">
        <f>(BC54-BC53)*INDEX([2]小r将兵属性验证!X$7:X$166,$BA54,1)+BF53</f>
        <v>531302168.3304038</v>
      </c>
      <c r="BG54" s="29">
        <f>(BD54-BD53)*INDEX([2]小r将兵属性验证!$AM$7:$AM$166,$BA54,1)+BG53</f>
        <v>6964081.726237298</v>
      </c>
      <c r="BH54" s="10">
        <f t="shared" si="46"/>
        <v>1069568418.3870449</v>
      </c>
      <c r="BO54" s="29">
        <f t="shared" si="44"/>
        <v>43.535389560453282</v>
      </c>
      <c r="BP54" s="10">
        <f t="shared" si="45"/>
        <v>56114053.682731681</v>
      </c>
      <c r="BQ54" s="10" t="e">
        <f>$BP54*求节点('[1]功能-付费相关'!$AY$6:$AY$105,'[1]功能-付费相关'!$BA$6:$BA$105,$BO54)+$BQ53</f>
        <v>#VALUE!</v>
      </c>
      <c r="BS54" s="29">
        <v>60</v>
      </c>
      <c r="BT54" s="29" t="e">
        <f t="shared" si="42"/>
        <v>#VALUE!</v>
      </c>
      <c r="BU54" s="29"/>
      <c r="BZ54" s="4">
        <f t="shared" si="16"/>
        <v>3550</v>
      </c>
      <c r="CA54" s="4">
        <v>51</v>
      </c>
      <c r="CB54" s="90">
        <f t="shared" si="17"/>
        <v>32280</v>
      </c>
      <c r="CC54" s="4">
        <f>SUM(CB$4:CB54)</f>
        <v>358280</v>
      </c>
      <c r="CD54" s="4">
        <f t="shared" si="10"/>
        <v>1.0439393939393939</v>
      </c>
    </row>
    <row r="55" spans="1:82" x14ac:dyDescent="0.15">
      <c r="A55" s="99">
        <f t="shared" si="33"/>
        <v>373500</v>
      </c>
      <c r="B55" s="14">
        <v>102</v>
      </c>
      <c r="C55" s="14">
        <f t="shared" si="18"/>
        <v>2832800</v>
      </c>
      <c r="D55" s="14">
        <f>SUM(C$5:$C55)</f>
        <v>23572100</v>
      </c>
      <c r="E55" s="89">
        <f>'[1]资源-武将经验'!$Z56</f>
        <v>1.2611965477045857</v>
      </c>
      <c r="G55" s="4"/>
      <c r="P55" s="5">
        <v>10</v>
      </c>
      <c r="Q55" s="14">
        <f>基础状态预期!D68</f>
        <v>49.178590903134719</v>
      </c>
      <c r="R55" s="14">
        <f>IF(基础状态预期!U68="",0,求节点($B$5:$B$154,$D$5:$D$154,基础状态预期!U68)*基础状态预期!F68)</f>
        <v>0</v>
      </c>
      <c r="S55" s="14">
        <f>IF(基础状态预期!V68="",0,求节点($B$5:$B$154,$D$5:$D$154,基础状态预期!V68)*基础状态预期!G68)</f>
        <v>0</v>
      </c>
      <c r="T55" s="14">
        <f>IF(基础状态预期!W68="",0,求节点($B$5:$B$154,$D$5:$D$154,基础状态预期!W68)*基础状态预期!H68)</f>
        <v>0</v>
      </c>
      <c r="U55" s="14">
        <f>IF(基础状态预期!X68="",0,求节点($B$5:$B$154,$D$5:$D$154,基础状态预期!X68)*基础状态预期!I68)</f>
        <v>112315251.64847529</v>
      </c>
      <c r="V55" s="14">
        <f>IF(基础状态预期!Y68="",0,求节点($B$5:$B$154,$D$5:$D$154,基础状态预期!Y68)*基础状态预期!J68)</f>
        <v>0</v>
      </c>
      <c r="W55" s="14">
        <f t="shared" si="43"/>
        <v>112315251.64847529</v>
      </c>
      <c r="Y55" s="14" t="str">
        <f>IF(基础状态预期!U68="","",H$8+(基础状态预期!U68-1)*H$11)</f>
        <v/>
      </c>
      <c r="Z55" s="14" t="str">
        <f>IF(基础状态预期!V68="","",I$8+(基础状态预期!V68-1)*I$11)</f>
        <v/>
      </c>
      <c r="AA55" s="14" t="str">
        <f>IF(基础状态预期!W68="","",J$8+(基础状态预期!W68-1)*J$11)</f>
        <v/>
      </c>
      <c r="AB55" s="14">
        <f>IF(基础状态预期!X68="","",K$8+(基础状态预期!X68-1)*K$11)</f>
        <v>3720.7154541880832</v>
      </c>
      <c r="AC55" s="14" t="str">
        <f>IF(基础状态预期!Y68="","",L$8+(基础状态预期!Y68-1)*L$11)</f>
        <v/>
      </c>
      <c r="AD55" s="14">
        <f>SUMPRODUCT(Y55:AC55,基础状态预期!$F68:$J68)/SUM(基础状态预期!$F68:$J68)</f>
        <v>3720.7154541880832</v>
      </c>
      <c r="AE55" s="14" t="str">
        <f>IF(基础状态预期!U68="","",H$9+(基础状态预期!U68-1)*H$12)</f>
        <v/>
      </c>
      <c r="AF55" s="14" t="str">
        <f>IF(基础状态预期!V68="","",I$9+(基础状态预期!V68-1)*I$12)</f>
        <v/>
      </c>
      <c r="AG55" s="14" t="str">
        <f>IF(基础状态预期!W68="","",J$9+(基础状态预期!W68-1)*J$12)</f>
        <v/>
      </c>
      <c r="AH55" s="14">
        <f>IF(基础状态预期!X68="","",K$9+(基础状态预期!X68-1)*K$12)</f>
        <v>3720.7154541880832</v>
      </c>
      <c r="AI55" s="14" t="str">
        <f>IF(基础状态预期!Y68="","",L$9+(基础状态预期!Y68-1)*L$12)</f>
        <v/>
      </c>
      <c r="AJ55" s="14">
        <f>SUMPRODUCT(AE55:AI55,基础状态预期!$F68:$J68)/SUM(基础状态预期!$F68:$J68)</f>
        <v>3720.7154541880832</v>
      </c>
      <c r="AK55" s="14" t="str">
        <f>IF(基础状态预期!U68="","",H$27+(基础状态预期!U68-1)*H$28)</f>
        <v/>
      </c>
      <c r="AL55" s="14" t="str">
        <f>IF(基础状态预期!V68="","",I$27+(基础状态预期!V68-1)*I$28)</f>
        <v/>
      </c>
      <c r="AM55" s="14" t="str">
        <f>IF(基础状态预期!W68="","",J$27+(基础状态预期!W68-1)*J$28)</f>
        <v/>
      </c>
      <c r="AN55" s="14">
        <f>IF(基础状态预期!X68="","",K$27+(基础状态预期!X68-1)*K$28)</f>
        <v>1973.5718180626943</v>
      </c>
      <c r="AO55" s="14" t="str">
        <f>IF(基础状态预期!Y68="","",L$27+(基础状态预期!Y68-1)*L$28)</f>
        <v/>
      </c>
      <c r="AP55" s="14">
        <f>SUMPRODUCT(AK55:AO55,基础状态预期!$F68:$J68)/SUM(基础状态预期!$F68:$J68)</f>
        <v>1973.5718180626943</v>
      </c>
      <c r="AQ55" s="14" t="str">
        <f>IF(基础状态预期!U68="","",H$31+(基础状态预期!U68-1)*H$32)</f>
        <v/>
      </c>
      <c r="AR55" s="14" t="str">
        <f>IF(基础状态预期!V68="","",I$31+(基础状态预期!V68-1)*I$32)</f>
        <v/>
      </c>
      <c r="AS55" s="14" t="str">
        <f>IF(基础状态预期!W68="","",J$31+(基础状态预期!W68-1)*J$32)</f>
        <v/>
      </c>
      <c r="AT55" s="14">
        <f>IF(基础状态预期!X68="","",K$31+(基础状态预期!X68-1)*K$32)</f>
        <v>114.35718180626944</v>
      </c>
      <c r="AU55" s="14" t="str">
        <f>IF(基础状态预期!Y68="","",L$31+(基础状态预期!Y68-1)*L$32)</f>
        <v/>
      </c>
      <c r="AV55" s="14">
        <f>SUMPRODUCT(AQ55:AU55,基础状态预期!$F68:$J68)/SUM(基础状态预期!$F68:$J68)</f>
        <v>114.35718180626945</v>
      </c>
      <c r="BA55" s="29">
        <v>70</v>
      </c>
      <c r="BB55" s="29">
        <f t="shared" si="38"/>
        <v>4970</v>
      </c>
      <c r="BC55" s="29">
        <f t="shared" si="39"/>
        <v>4970</v>
      </c>
      <c r="BD55" s="29">
        <f t="shared" si="40"/>
        <v>2390</v>
      </c>
      <c r="BE55" s="29">
        <f>(BB55-BB54)*INDEX([2]小r将兵属性验证!W$7:W$166,$BA55,1)+BE54</f>
        <v>1143130463.1211121</v>
      </c>
      <c r="BF55" s="29">
        <f>(BC55-BC54)*INDEX([2]小r将兵属性验证!X$7:X$166,$BA55,1)+BF54</f>
        <v>1143130463.1211121</v>
      </c>
      <c r="BG55" s="29">
        <f>(BD55-BD54)*INDEX([2]小r将兵属性验证!$AM$7:$AM$166,$BA55,1)+BG54</f>
        <v>8225425.8374919854</v>
      </c>
      <c r="BH55" s="10">
        <f t="shared" si="46"/>
        <v>2294486352.0797162</v>
      </c>
      <c r="BO55" s="29">
        <f t="shared" si="44"/>
        <v>49.178590903134719</v>
      </c>
      <c r="BP55" s="10">
        <f t="shared" si="45"/>
        <v>112315251.64847529</v>
      </c>
      <c r="BQ55" s="10" t="e">
        <f>$BP55*求节点('[1]功能-付费相关'!$AY$6:$AY$105,'[1]功能-付费相关'!$BA$6:$BA$105,$BO55)+$BQ54</f>
        <v>#VALUE!</v>
      </c>
      <c r="BS55" s="29">
        <v>70</v>
      </c>
      <c r="BT55" s="29" t="e">
        <f t="shared" si="42"/>
        <v>#VALUE!</v>
      </c>
      <c r="BU55" s="29"/>
      <c r="BZ55" s="4">
        <f t="shared" si="16"/>
        <v>4875</v>
      </c>
      <c r="CA55" s="4">
        <v>52</v>
      </c>
      <c r="CB55" s="90">
        <f t="shared" si="17"/>
        <v>37155</v>
      </c>
      <c r="CC55" s="4">
        <f>SUM(CB$4:CB55)</f>
        <v>395435</v>
      </c>
      <c r="CD55" s="4">
        <f t="shared" si="10"/>
        <v>1.0530892143808255</v>
      </c>
    </row>
    <row r="56" spans="1:82" x14ac:dyDescent="0.15">
      <c r="A56" s="99">
        <f t="shared" si="33"/>
        <v>439900</v>
      </c>
      <c r="B56" s="14">
        <v>104</v>
      </c>
      <c r="C56" s="14">
        <f t="shared" si="18"/>
        <v>3272700</v>
      </c>
      <c r="D56" s="14">
        <f>SUM(C$5:$C56)</f>
        <v>26844800</v>
      </c>
      <c r="E56" s="89">
        <f>'[1]资源-武将经验'!$Z57</f>
        <v>1.3112770951422896</v>
      </c>
      <c r="G56" s="4"/>
      <c r="P56" s="5">
        <v>11</v>
      </c>
      <c r="Q56" s="14">
        <f>基础状态预期!D69</f>
        <v>53.226994578658328</v>
      </c>
      <c r="R56" s="14">
        <f>IF(基础状态预期!U69="",0,求节点($B$5:$B$154,$D$5:$D$154,基础状态预期!U69)*基础状态预期!F69)</f>
        <v>0</v>
      </c>
      <c r="S56" s="14">
        <f>IF(基础状态预期!V69="",0,求节点($B$5:$B$154,$D$5:$D$154,基础状态预期!V69)*基础状态预期!G69)</f>
        <v>0</v>
      </c>
      <c r="T56" s="14">
        <f>IF(基础状态预期!W69="",0,求节点($B$5:$B$154,$D$5:$D$154,基础状态预期!W69)*基础状态预期!H69)</f>
        <v>0</v>
      </c>
      <c r="U56" s="14">
        <f>IF(基础状态预期!X69="",0,求节点($B$5:$B$154,$D$5:$D$154,基础状态预期!X69)*基础状态预期!I69)</f>
        <v>158173856.19524449</v>
      </c>
      <c r="V56" s="14">
        <f>IF(基础状态预期!Y69="",0,求节点($B$5:$B$154,$D$5:$D$154,基础状态预期!Y69)*基础状态预期!J69)</f>
        <v>31634771.239048898</v>
      </c>
      <c r="W56" s="14">
        <f t="shared" si="43"/>
        <v>189808627.43429339</v>
      </c>
      <c r="Y56" s="14" t="str">
        <f>IF(基础状态预期!U69="","",H$8+(基础状态预期!U69-1)*H$11)</f>
        <v/>
      </c>
      <c r="Z56" s="14" t="str">
        <f>IF(基础状态预期!V69="","",I$8+(基础状态预期!V69-1)*I$11)</f>
        <v/>
      </c>
      <c r="AA56" s="14" t="str">
        <f>IF(基础状态预期!W69="","",J$8+(基础状态预期!W69-1)*J$11)</f>
        <v/>
      </c>
      <c r="AB56" s="14">
        <f>IF(基础状态预期!X69="","",K$8+(基础状态预期!X69-1)*K$11)</f>
        <v>3963.6196747194995</v>
      </c>
      <c r="AC56" s="14">
        <f>IF(基础状态预期!Y69="","",L$8+(基础状态预期!Y69-1)*L$11)</f>
        <v>3963.6196747194995</v>
      </c>
      <c r="AD56" s="14">
        <f>SUMPRODUCT(Y56:AC56,基础状态预期!$F69:$J69)/SUM(基础状态预期!$F69:$J69)</f>
        <v>3963.6196747194995</v>
      </c>
      <c r="AE56" s="14" t="str">
        <f>IF(基础状态预期!U69="","",H$9+(基础状态预期!U69-1)*H$12)</f>
        <v/>
      </c>
      <c r="AF56" s="14" t="str">
        <f>IF(基础状态预期!V69="","",I$9+(基础状态预期!V69-1)*I$12)</f>
        <v/>
      </c>
      <c r="AG56" s="14" t="str">
        <f>IF(基础状态预期!W69="","",J$9+(基础状态预期!W69-1)*J$12)</f>
        <v/>
      </c>
      <c r="AH56" s="14">
        <f>IF(基础状态预期!X69="","",K$9+(基础状态预期!X69-1)*K$12)</f>
        <v>3963.6196747194995</v>
      </c>
      <c r="AI56" s="14">
        <f>IF(基础状态预期!Y69="","",L$9+(基础状态预期!Y69-1)*L$12)</f>
        <v>3963.6196747194995</v>
      </c>
      <c r="AJ56" s="14">
        <f>SUMPRODUCT(AE56:AI56,基础状态预期!$F69:$J69)/SUM(基础状态预期!$F69:$J69)</f>
        <v>3963.6196747194995</v>
      </c>
      <c r="AK56" s="14" t="str">
        <f>IF(基础状态预期!U69="","",H$27+(基础状态预期!U69-1)*H$28)</f>
        <v/>
      </c>
      <c r="AL56" s="14" t="str">
        <f>IF(基础状态预期!V69="","",I$27+(基础状态预期!V69-1)*I$28)</f>
        <v/>
      </c>
      <c r="AM56" s="14" t="str">
        <f>IF(基础状态预期!W69="","",J$27+(基础状态预期!W69-1)*J$28)</f>
        <v/>
      </c>
      <c r="AN56" s="14">
        <f>IF(基础状态预期!X69="","",K$27+(基础状态预期!X69-1)*K$28)</f>
        <v>2054.5398915731666</v>
      </c>
      <c r="AO56" s="14">
        <f>IF(基础状态预期!Y69="","",L$27+(基础状态预期!Y69-1)*L$28)</f>
        <v>2054.5398915731666</v>
      </c>
      <c r="AP56" s="14">
        <f>SUMPRODUCT(AK56:AO56,基础状态预期!$F69:$J69)/SUM(基础状态预期!$F69:$J69)</f>
        <v>2054.5398915731671</v>
      </c>
      <c r="AQ56" s="14" t="str">
        <f>IF(基础状态预期!U69="","",H$31+(基础状态预期!U69-1)*H$32)</f>
        <v/>
      </c>
      <c r="AR56" s="14" t="str">
        <f>IF(基础状态预期!V69="","",I$31+(基础状态预期!V69-1)*I$32)</f>
        <v/>
      </c>
      <c r="AS56" s="14" t="str">
        <f>IF(基础状态预期!W69="","",J$31+(基础状态预期!W69-1)*J$32)</f>
        <v/>
      </c>
      <c r="AT56" s="14">
        <f>IF(基础状态预期!X69="","",K$31+(基础状态预期!X69-1)*K$32)</f>
        <v>122.45398915731666</v>
      </c>
      <c r="AU56" s="14">
        <f>IF(基础状态预期!Y69="","",L$31+(基础状态预期!Y69-1)*L$32)</f>
        <v>125.45398915731666</v>
      </c>
      <c r="AV56" s="14">
        <f>SUMPRODUCT(AQ56:AU56,基础状态预期!$F69:$J69)/SUM(基础状态预期!$F69:$J69)</f>
        <v>122.95398915731666</v>
      </c>
      <c r="BA56" s="29">
        <v>80</v>
      </c>
      <c r="BB56" s="29">
        <f t="shared" si="38"/>
        <v>5569.9999999999991</v>
      </c>
      <c r="BC56" s="29">
        <f t="shared" si="39"/>
        <v>5569.9999999999991</v>
      </c>
      <c r="BD56" s="29">
        <f t="shared" si="40"/>
        <v>2590</v>
      </c>
      <c r="BE56" s="29">
        <f>(BB56-BB55)*INDEX([2]小r将兵属性验证!W$7:W$166,$BA56,1)+BE55</f>
        <v>2350512946.4267826</v>
      </c>
      <c r="BF56" s="29">
        <f>(BC56-BC55)*INDEX([2]小r将兵属性验证!X$7:X$166,$BA56,1)+BF55</f>
        <v>2350512946.4267826</v>
      </c>
      <c r="BG56" s="29">
        <f>(BD56-BD55)*INDEX([2]小r将兵属性验证!$AM$7:$AM$166,$BA56,1)+BG55</f>
        <v>9620998.6574702058</v>
      </c>
      <c r="BH56" s="10">
        <f t="shared" si="46"/>
        <v>4710646891.511035</v>
      </c>
      <c r="BO56" s="29">
        <f t="shared" si="44"/>
        <v>53.226994578658328</v>
      </c>
      <c r="BP56" s="10">
        <f t="shared" si="45"/>
        <v>189808627.43429339</v>
      </c>
      <c r="BQ56" s="10" t="e">
        <f>$BP56*求节点('[1]功能-付费相关'!$AY$6:$AY$105,'[1]功能-付费相关'!$BA$6:$BA$105,$BO56)+$BQ55</f>
        <v>#VALUE!</v>
      </c>
      <c r="BS56" s="29">
        <v>80</v>
      </c>
      <c r="BT56" s="29" t="e">
        <f t="shared" si="42"/>
        <v>#VALUE!</v>
      </c>
      <c r="BU56" s="29"/>
      <c r="BZ56" s="4">
        <f t="shared" si="16"/>
        <v>4875</v>
      </c>
      <c r="CA56" s="4">
        <v>53</v>
      </c>
      <c r="CB56" s="90">
        <f t="shared" si="17"/>
        <v>42030</v>
      </c>
      <c r="CC56" s="4">
        <f>SUM(CB$4:CB56)</f>
        <v>437465</v>
      </c>
      <c r="CD56" s="4">
        <f t="shared" si="10"/>
        <v>1.0476948868398994</v>
      </c>
    </row>
    <row r="57" spans="1:82" x14ac:dyDescent="0.15">
      <c r="A57" s="99">
        <f t="shared" si="33"/>
        <v>518200</v>
      </c>
      <c r="B57" s="14">
        <v>106</v>
      </c>
      <c r="C57" s="14">
        <f t="shared" si="18"/>
        <v>3790900</v>
      </c>
      <c r="D57" s="14">
        <f>SUM(C$5:$C57)</f>
        <v>30635700</v>
      </c>
      <c r="E57" s="89">
        <f>'[1]资源-武将经验'!$Z58</f>
        <v>1.3818155731828283</v>
      </c>
      <c r="G57" s="4"/>
      <c r="P57" s="5">
        <v>12</v>
      </c>
      <c r="Q57" s="14">
        <f>基础状态预期!D70</f>
        <v>59.016342740868758</v>
      </c>
      <c r="R57" s="14">
        <f>IF(基础状态预期!U70="",0,求节点($B$5:$B$154,$D$5:$D$154,基础状态预期!U70)*基础状态预期!F70)</f>
        <v>0</v>
      </c>
      <c r="S57" s="14">
        <f>IF(基础状态预期!V70="",0,求节点($B$5:$B$154,$D$5:$D$154,基础状态预期!V70)*基础状态预期!G70)</f>
        <v>0</v>
      </c>
      <c r="T57" s="14">
        <f>IF(基础状态预期!W70="",0,求节点($B$5:$B$154,$D$5:$D$154,基础状态预期!W70)*基础状态预期!H70)</f>
        <v>0</v>
      </c>
      <c r="U57" s="14">
        <f>IF(基础状态预期!X70="",0,求节点($B$5:$B$154,$D$5:$D$154,基础状态预期!X70)*基础状态预期!I70)</f>
        <v>283742386.94917858</v>
      </c>
      <c r="V57" s="14">
        <f>IF(基础状态预期!Y70="",0,求节点($B$5:$B$154,$D$5:$D$154,基础状态预期!Y70)*基础状态预期!J70)</f>
        <v>141871193.47458929</v>
      </c>
      <c r="W57" s="14">
        <f t="shared" si="43"/>
        <v>425613580.42376786</v>
      </c>
      <c r="Y57" s="14" t="str">
        <f>IF(基础状态预期!U70="","",H$8+(基础状态预期!U70-1)*H$11)</f>
        <v/>
      </c>
      <c r="Z57" s="14" t="str">
        <f>IF(基础状态预期!V70="","",I$8+(基础状态预期!V70-1)*I$11)</f>
        <v/>
      </c>
      <c r="AA57" s="14" t="str">
        <f>IF(基础状态预期!W70="","",J$8+(基础状态预期!W70-1)*J$11)</f>
        <v/>
      </c>
      <c r="AB57" s="14">
        <f>IF(基础状态预期!X70="","",K$8+(基础状态预期!X70-1)*K$11)</f>
        <v>4310.9805644521257</v>
      </c>
      <c r="AC57" s="14">
        <f>IF(基础状态预期!Y70="","",L$8+(基础状态预期!Y70-1)*L$11)</f>
        <v>4310.9805644521257</v>
      </c>
      <c r="AD57" s="14">
        <f>SUMPRODUCT(Y57:AC57,基础状态预期!$F70:$J70)/SUM(基础状态预期!$F70:$J70)</f>
        <v>4310.9805644521257</v>
      </c>
      <c r="AE57" s="14" t="str">
        <f>IF(基础状态预期!U70="","",H$9+(基础状态预期!U70-1)*H$12)</f>
        <v/>
      </c>
      <c r="AF57" s="14" t="str">
        <f>IF(基础状态预期!V70="","",I$9+(基础状态预期!V70-1)*I$12)</f>
        <v/>
      </c>
      <c r="AG57" s="14" t="str">
        <f>IF(基础状态预期!W70="","",J$9+(基础状态预期!W70-1)*J$12)</f>
        <v/>
      </c>
      <c r="AH57" s="14">
        <f>IF(基础状态预期!X70="","",K$9+(基础状态预期!X70-1)*K$12)</f>
        <v>4310.9805644521257</v>
      </c>
      <c r="AI57" s="14">
        <f>IF(基础状态预期!Y70="","",L$9+(基础状态预期!Y70-1)*L$12)</f>
        <v>4310.9805644521257</v>
      </c>
      <c r="AJ57" s="14">
        <f>SUMPRODUCT(AE57:AI57,基础状态预期!$F70:$J70)/SUM(基础状态预期!$F70:$J70)</f>
        <v>4310.9805644521257</v>
      </c>
      <c r="AK57" s="14" t="str">
        <f>IF(基础状态预期!U70="","",H$27+(基础状态预期!U70-1)*H$28)</f>
        <v/>
      </c>
      <c r="AL57" s="14" t="str">
        <f>IF(基础状态预期!V70="","",I$27+(基础状态预期!V70-1)*I$28)</f>
        <v/>
      </c>
      <c r="AM57" s="14" t="str">
        <f>IF(基础状态预期!W70="","",J$27+(基础状态预期!W70-1)*J$28)</f>
        <v/>
      </c>
      <c r="AN57" s="14">
        <f>IF(基础状态预期!X70="","",K$27+(基础状态预期!X70-1)*K$28)</f>
        <v>2170.3268548173751</v>
      </c>
      <c r="AO57" s="14">
        <f>IF(基础状态预期!Y70="","",L$27+(基础状态预期!Y70-1)*L$28)</f>
        <v>2170.3268548173751</v>
      </c>
      <c r="AP57" s="14">
        <f>SUMPRODUCT(AK57:AO57,基础状态预期!$F70:$J70)/SUM(基础状态预期!$F70:$J70)</f>
        <v>2170.3268548173751</v>
      </c>
      <c r="AQ57" s="14" t="str">
        <f>IF(基础状态预期!U70="","",H$31+(基础状态预期!U70-1)*H$32)</f>
        <v/>
      </c>
      <c r="AR57" s="14" t="str">
        <f>IF(基础状态预期!V70="","",I$31+(基础状态预期!V70-1)*I$32)</f>
        <v/>
      </c>
      <c r="AS57" s="14" t="str">
        <f>IF(基础状态预期!W70="","",J$31+(基础状态预期!W70-1)*J$32)</f>
        <v/>
      </c>
      <c r="AT57" s="14">
        <f>IF(基础状态预期!X70="","",K$31+(基础状态预期!X70-1)*K$32)</f>
        <v>134.03268548173753</v>
      </c>
      <c r="AU57" s="14">
        <f>IF(基础状态预期!Y70="","",L$31+(基础状态预期!Y70-1)*L$32)</f>
        <v>137.03268548173753</v>
      </c>
      <c r="AV57" s="14">
        <f>SUMPRODUCT(AQ57:AU57,基础状态预期!$F70:$J70)/SUM(基础状态预期!$F70:$J70)</f>
        <v>135.03268548173753</v>
      </c>
      <c r="BA57" s="29">
        <v>90</v>
      </c>
      <c r="BB57" s="29">
        <f t="shared" si="38"/>
        <v>6170</v>
      </c>
      <c r="BC57" s="29">
        <f t="shared" si="39"/>
        <v>6170</v>
      </c>
      <c r="BD57" s="29">
        <f t="shared" si="40"/>
        <v>2790.0000000000005</v>
      </c>
      <c r="BE57" s="29">
        <f>(BB57-BB56)*INDEX([2]小r将兵属性验证!W$7:W$166,$BA57,1)+BE56</f>
        <v>4787804119.9631681</v>
      </c>
      <c r="BF57" s="29">
        <f>(BC57-BC56)*INDEX([2]小r将兵属性验证!X$7:X$166,$BA57,1)+BF56</f>
        <v>4787804119.9631681</v>
      </c>
      <c r="BG57" s="29">
        <f>(BD57-BD56)*INDEX([2]小r将兵属性验证!$AM$7:$AM$166,$BA57,1)+BG56</f>
        <v>11148942.943899004</v>
      </c>
      <c r="BH57" s="10">
        <f t="shared" si="46"/>
        <v>9586757182.8702354</v>
      </c>
      <c r="BO57" s="29">
        <f t="shared" si="44"/>
        <v>59.016342740868758</v>
      </c>
      <c r="BP57" s="10">
        <f t="shared" si="45"/>
        <v>425613580.42376786</v>
      </c>
      <c r="BQ57" s="10" t="e">
        <f>$BP57*求节点('[1]功能-付费相关'!$AY$6:$AY$105,'[1]功能-付费相关'!$BA$6:$BA$105,$BO57)+$BQ56</f>
        <v>#VALUE!</v>
      </c>
      <c r="BS57" s="29">
        <v>90</v>
      </c>
      <c r="BT57" s="29" t="e">
        <f t="shared" si="42"/>
        <v>#VALUE!</v>
      </c>
      <c r="BU57" s="29"/>
      <c r="BZ57" s="4">
        <f t="shared" si="16"/>
        <v>6725</v>
      </c>
      <c r="CA57" s="4">
        <v>54</v>
      </c>
      <c r="CB57" s="90">
        <f t="shared" si="17"/>
        <v>48755</v>
      </c>
      <c r="CC57" s="4">
        <f>SUM(CB$4:CB57)</f>
        <v>486220</v>
      </c>
      <c r="CD57" s="4">
        <f t="shared" si="10"/>
        <v>1.0579199303742384</v>
      </c>
    </row>
    <row r="58" spans="1:82" x14ac:dyDescent="0.15">
      <c r="A58" s="99">
        <f t="shared" si="33"/>
        <v>610400</v>
      </c>
      <c r="B58" s="14">
        <v>108</v>
      </c>
      <c r="C58" s="14">
        <f t="shared" si="18"/>
        <v>4401300</v>
      </c>
      <c r="D58" s="14">
        <f>SUM(C$5:$C58)</f>
        <v>35037000</v>
      </c>
      <c r="E58" s="89">
        <f>'[1]资源-武将经验'!$Z59</f>
        <v>1.4040761355383082</v>
      </c>
      <c r="G58" s="4"/>
      <c r="P58" s="5">
        <v>13</v>
      </c>
      <c r="Q58" s="14">
        <f>基础状态预期!D71</f>
        <v>64.781009552500748</v>
      </c>
      <c r="R58" s="14">
        <f>IF(基础状态预期!U71="",0,求节点($B$5:$B$154,$D$5:$D$154,基础状态预期!U71)*基础状态预期!F71)</f>
        <v>0</v>
      </c>
      <c r="S58" s="14">
        <f>IF(基础状态预期!V71="",0,求节点($B$5:$B$154,$D$5:$D$154,基础状态预期!V71)*基础状态预期!G71)</f>
        <v>0</v>
      </c>
      <c r="T58" s="14">
        <f>IF(基础状态预期!W71="",0,求节点($B$5:$B$154,$D$5:$D$154,基础状态预期!W71)*基础状态预期!H71)</f>
        <v>0</v>
      </c>
      <c r="U58" s="14">
        <f>IF(基础状态预期!X71="",0,求节点($B$5:$B$154,$D$5:$D$154,基础状态预期!X71)*基础状态预期!I71)</f>
        <v>506602974.88101327</v>
      </c>
      <c r="V58" s="14">
        <f>IF(基础状态预期!Y71="",0,求节点($B$5:$B$154,$D$5:$D$154,基础状态预期!Y71)*基础状态预期!J71)</f>
        <v>506602974.88101327</v>
      </c>
      <c r="W58" s="14">
        <f t="shared" si="43"/>
        <v>1013205949.7620265</v>
      </c>
      <c r="Y58" s="14" t="str">
        <f>IF(基础状态预期!U71="","",H$8+(基础状态预期!U71-1)*H$11)</f>
        <v/>
      </c>
      <c r="Z58" s="14" t="str">
        <f>IF(基础状态预期!V71="","",I$8+(基础状态预期!V71-1)*I$11)</f>
        <v/>
      </c>
      <c r="AA58" s="14" t="str">
        <f>IF(基础状态预期!W71="","",J$8+(基础状态预期!W71-1)*J$11)</f>
        <v/>
      </c>
      <c r="AB58" s="14">
        <f>IF(基础状态预期!X71="","",K$8+(基础状态预期!X71-1)*K$11)</f>
        <v>4656.8605731500447</v>
      </c>
      <c r="AC58" s="14">
        <f>IF(基础状态预期!Y71="","",L$8+(基础状态预期!Y71-1)*L$11)</f>
        <v>4656.8605731500447</v>
      </c>
      <c r="AD58" s="14">
        <f>SUMPRODUCT(Y58:AC58,基础状态预期!$F71:$J71)/SUM(基础状态预期!$F71:$J71)</f>
        <v>4656.8605731500447</v>
      </c>
      <c r="AE58" s="14" t="str">
        <f>IF(基础状态预期!U71="","",H$9+(基础状态预期!U71-1)*H$12)</f>
        <v/>
      </c>
      <c r="AF58" s="14" t="str">
        <f>IF(基础状态预期!V71="","",I$9+(基础状态预期!V71-1)*I$12)</f>
        <v/>
      </c>
      <c r="AG58" s="14" t="str">
        <f>IF(基础状态预期!W71="","",J$9+(基础状态预期!W71-1)*J$12)</f>
        <v/>
      </c>
      <c r="AH58" s="14">
        <f>IF(基础状态预期!X71="","",K$9+(基础状态预期!X71-1)*K$12)</f>
        <v>4656.8605731500447</v>
      </c>
      <c r="AI58" s="14">
        <f>IF(基础状态预期!Y71="","",L$9+(基础状态预期!Y71-1)*L$12)</f>
        <v>4656.8605731500447</v>
      </c>
      <c r="AJ58" s="14">
        <f>SUMPRODUCT(AE58:AI58,基础状态预期!$F71:$J71)/SUM(基础状态预期!$F71:$J71)</f>
        <v>4656.8605731500447</v>
      </c>
      <c r="AK58" s="14" t="str">
        <f>IF(基础状态预期!U71="","",H$27+(基础状态预期!U71-1)*H$28)</f>
        <v/>
      </c>
      <c r="AL58" s="14" t="str">
        <f>IF(基础状态预期!V71="","",I$27+(基础状态预期!V71-1)*I$28)</f>
        <v/>
      </c>
      <c r="AM58" s="14" t="str">
        <f>IF(基础状态预期!W71="","",J$27+(基础状态预期!W71-1)*J$28)</f>
        <v/>
      </c>
      <c r="AN58" s="14">
        <f>IF(基础状态预期!X71="","",K$27+(基础状态预期!X71-1)*K$28)</f>
        <v>2285.6201910500149</v>
      </c>
      <c r="AO58" s="14">
        <f>IF(基础状态预期!Y71="","",L$27+(基础状态预期!Y71-1)*L$28)</f>
        <v>2285.6201910500149</v>
      </c>
      <c r="AP58" s="14">
        <f>SUMPRODUCT(AK58:AO58,基础状态预期!$F71:$J71)/SUM(基础状态预期!$F71:$J71)</f>
        <v>2285.6201910500149</v>
      </c>
      <c r="AQ58" s="14" t="str">
        <f>IF(基础状态预期!U71="","",H$31+(基础状态预期!U71-1)*H$32)</f>
        <v/>
      </c>
      <c r="AR58" s="14" t="str">
        <f>IF(基础状态预期!V71="","",I$31+(基础状态预期!V71-1)*I$32)</f>
        <v/>
      </c>
      <c r="AS58" s="14" t="str">
        <f>IF(基础状态预期!W71="","",J$31+(基础状态预期!W71-1)*J$32)</f>
        <v/>
      </c>
      <c r="AT58" s="14">
        <f>IF(基础状态预期!X71="","",K$31+(基础状态预期!X71-1)*K$32)</f>
        <v>145.5620191050015</v>
      </c>
      <c r="AU58" s="14">
        <f>IF(基础状态预期!Y71="","",L$31+(基础状态预期!Y71-1)*L$32)</f>
        <v>148.5620191050015</v>
      </c>
      <c r="AV58" s="14">
        <f>SUMPRODUCT(AQ58:AU58,基础状态预期!$F71:$J71)/SUM(基础状态预期!$F71:$J71)</f>
        <v>147.0620191050015</v>
      </c>
      <c r="BA58" s="29">
        <v>100</v>
      </c>
      <c r="BB58" s="29">
        <f t="shared" si="38"/>
        <v>6770</v>
      </c>
      <c r="BC58" s="29">
        <f t="shared" si="39"/>
        <v>6770</v>
      </c>
      <c r="BD58" s="29">
        <f t="shared" si="40"/>
        <v>2990</v>
      </c>
      <c r="BE58" s="29">
        <f>(BB58-BB57)*INDEX([2]小r将兵属性验证!W$7:W$166,$BA58,1)+BE57</f>
        <v>9143121162.7180939</v>
      </c>
      <c r="BF58" s="29">
        <f>(BC58-BC57)*INDEX([2]小r将兵属性验证!X$7:X$166,$BA58,1)+BF57</f>
        <v>9143121162.7180939</v>
      </c>
      <c r="BG58" s="29">
        <f>(BD58-BD57)*INDEX([2]小r将兵属性验证!$AM$7:$AM$166,$BA58,1)+BG57</f>
        <v>12810991.510036169</v>
      </c>
      <c r="BH58" s="10">
        <f t="shared" si="46"/>
        <v>18299053316.946224</v>
      </c>
      <c r="BO58" s="29">
        <f t="shared" si="44"/>
        <v>64.781009552500748</v>
      </c>
      <c r="BP58" s="10">
        <f t="shared" si="45"/>
        <v>1013205949.7620265</v>
      </c>
      <c r="BQ58" s="10" t="e">
        <f>$BP58*求节点('[1]功能-付费相关'!$AY$6:$AY$105,'[1]功能-付费相关'!$BA$6:$BA$105,$BO58)+$BQ57</f>
        <v>#VALUE!</v>
      </c>
      <c r="BS58" s="29">
        <v>100</v>
      </c>
      <c r="BT58" s="29" t="e">
        <f t="shared" si="42"/>
        <v>#VALUE!</v>
      </c>
      <c r="BU58" s="29"/>
      <c r="BZ58" s="4">
        <f t="shared" si="16"/>
        <v>6725</v>
      </c>
      <c r="CA58" s="4">
        <v>55</v>
      </c>
      <c r="CB58" s="90">
        <f t="shared" si="17"/>
        <v>55480</v>
      </c>
      <c r="CC58" s="4">
        <f>SUM(CB$4:CB58)</f>
        <v>541700</v>
      </c>
      <c r="CD58" s="4">
        <f t="shared" si="10"/>
        <v>1.0516404581634633</v>
      </c>
    </row>
    <row r="59" spans="1:82" x14ac:dyDescent="0.15">
      <c r="A59" s="99">
        <f t="shared" si="33"/>
        <v>719000</v>
      </c>
      <c r="B59" s="14">
        <v>110</v>
      </c>
      <c r="C59" s="14">
        <f t="shared" si="18"/>
        <v>5120300</v>
      </c>
      <c r="D59" s="14">
        <f>SUM(C$5:$C59)</f>
        <v>40157300</v>
      </c>
      <c r="E59" s="89">
        <f>'[1]资源-武将经验'!$Z60</f>
        <v>1.3825737762812955</v>
      </c>
      <c r="G59" s="4"/>
      <c r="P59" s="5">
        <v>14</v>
      </c>
      <c r="Q59" s="14">
        <f>基础状态预期!D72</f>
        <v>68.923431594456531</v>
      </c>
      <c r="R59" s="14">
        <f>IF(基础状态预期!U72="",0,求节点($B$5:$B$154,$D$5:$D$154,基础状态预期!U72)*基础状态预期!F72)</f>
        <v>0</v>
      </c>
      <c r="S59" s="14">
        <f>IF(基础状态预期!V72="",0,求节点($B$5:$B$154,$D$5:$D$154,基础状态预期!V72)*基础状态预期!G72)</f>
        <v>0</v>
      </c>
      <c r="T59" s="14">
        <f>IF(基础状态预期!W72="",0,求节点($B$5:$B$154,$D$5:$D$154,基础状态预期!W72)*基础状态预期!H72)</f>
        <v>0</v>
      </c>
      <c r="U59" s="14">
        <f>IF(基础状态预期!X72="",0,求节点($B$5:$B$154,$D$5:$D$154,基础状态预期!X72)*基础状态预期!I72)</f>
        <v>644141645.5701226</v>
      </c>
      <c r="V59" s="14">
        <f>IF(基础状态预期!Y72="",0,求节点($B$5:$B$154,$D$5:$D$154,基础状态预期!Y72)*基础状态预期!J72)</f>
        <v>1288283291.1402452</v>
      </c>
      <c r="W59" s="14">
        <f t="shared" si="43"/>
        <v>1932424936.7103677</v>
      </c>
      <c r="Y59" s="14" t="str">
        <f>IF(基础状态预期!U72="","",H$8+(基础状态预期!U72-1)*H$11)</f>
        <v/>
      </c>
      <c r="Z59" s="14" t="str">
        <f>IF(基础状态预期!V72="","",I$8+(基础状态预期!V72-1)*I$11)</f>
        <v/>
      </c>
      <c r="AA59" s="14" t="str">
        <f>IF(基础状态预期!W72="","",J$8+(基础状态预期!W72-1)*J$11)</f>
        <v/>
      </c>
      <c r="AB59" s="14">
        <f>IF(基础状态预期!X72="","",K$8+(基础状态预期!X72-1)*K$11)</f>
        <v>4905.4058956673916</v>
      </c>
      <c r="AC59" s="14">
        <f>IF(基础状态预期!Y72="","",L$8+(基础状态预期!Y72-1)*L$11)</f>
        <v>4905.4058956673916</v>
      </c>
      <c r="AD59" s="14">
        <f>SUMPRODUCT(Y59:AC59,基础状态预期!$F72:$J72)/SUM(基础状态预期!$F72:$J72)</f>
        <v>4905.4058956673916</v>
      </c>
      <c r="AE59" s="14" t="str">
        <f>IF(基础状态预期!U72="","",H$9+(基础状态预期!U72-1)*H$12)</f>
        <v/>
      </c>
      <c r="AF59" s="14" t="str">
        <f>IF(基础状态预期!V72="","",I$9+(基础状态预期!V72-1)*I$12)</f>
        <v/>
      </c>
      <c r="AG59" s="14" t="str">
        <f>IF(基础状态预期!W72="","",J$9+(基础状态预期!W72-1)*J$12)</f>
        <v/>
      </c>
      <c r="AH59" s="14">
        <f>IF(基础状态预期!X72="","",K$9+(基础状态预期!X72-1)*K$12)</f>
        <v>4905.4058956673916</v>
      </c>
      <c r="AI59" s="14">
        <f>IF(基础状态预期!Y72="","",L$9+(基础状态预期!Y72-1)*L$12)</f>
        <v>4905.4058956673916</v>
      </c>
      <c r="AJ59" s="14">
        <f>SUMPRODUCT(AE59:AI59,基础状态预期!$F72:$J72)/SUM(基础状态预期!$F72:$J72)</f>
        <v>4905.4058956673916</v>
      </c>
      <c r="AK59" s="14" t="str">
        <f>IF(基础状态预期!U72="","",H$27+(基础状态预期!U72-1)*H$28)</f>
        <v/>
      </c>
      <c r="AL59" s="14" t="str">
        <f>IF(基础状态预期!V72="","",I$27+(基础状态预期!V72-1)*I$28)</f>
        <v/>
      </c>
      <c r="AM59" s="14" t="str">
        <f>IF(基础状态预期!W72="","",J$27+(基础状态预期!W72-1)*J$28)</f>
        <v/>
      </c>
      <c r="AN59" s="14">
        <f>IF(基础状态预期!X72="","",K$27+(基础状态预期!X72-1)*K$28)</f>
        <v>2368.4686318891308</v>
      </c>
      <c r="AO59" s="14">
        <f>IF(基础状态预期!Y72="","",L$27+(基础状态预期!Y72-1)*L$28)</f>
        <v>2368.4686318891308</v>
      </c>
      <c r="AP59" s="14">
        <f>SUMPRODUCT(AK59:AO59,基础状态预期!$F72:$J72)/SUM(基础状态预期!$F72:$J72)</f>
        <v>2368.4686318891308</v>
      </c>
      <c r="AQ59" s="14" t="str">
        <f>IF(基础状态预期!U72="","",H$31+(基础状态预期!U72-1)*H$32)</f>
        <v/>
      </c>
      <c r="AR59" s="14" t="str">
        <f>IF(基础状态预期!V72="","",I$31+(基础状态预期!V72-1)*I$32)</f>
        <v/>
      </c>
      <c r="AS59" s="14" t="str">
        <f>IF(基础状态预期!W72="","",J$31+(基础状态预期!W72-1)*J$32)</f>
        <v/>
      </c>
      <c r="AT59" s="14">
        <f>IF(基础状态预期!X72="","",K$31+(基础状态预期!X72-1)*K$32)</f>
        <v>153.84686318891306</v>
      </c>
      <c r="AU59" s="14">
        <f>IF(基础状态预期!Y72="","",L$31+(基础状态预期!Y72-1)*L$32)</f>
        <v>156.84686318891306</v>
      </c>
      <c r="AV59" s="14">
        <f>SUMPRODUCT(AQ59:AU59,基础状态预期!$F72:$J72)/SUM(基础状态预期!$F72:$J72)</f>
        <v>155.84686318891306</v>
      </c>
      <c r="BA59" s="29">
        <v>110</v>
      </c>
      <c r="BB59" s="29">
        <f t="shared" si="38"/>
        <v>7370</v>
      </c>
      <c r="BC59" s="29">
        <f t="shared" si="39"/>
        <v>7370</v>
      </c>
      <c r="BD59" s="29">
        <f t="shared" si="40"/>
        <v>3190.0000000000005</v>
      </c>
      <c r="BE59" s="29">
        <f>(BB59-BB58)*INDEX([2]小r将兵属性验证!W$7:W$166,$BA59,1)+BE58</f>
        <v>15686695983.837891</v>
      </c>
      <c r="BF59" s="29">
        <f>(BC59-BC58)*INDEX([2]小r将兵属性验证!X$7:X$166,$BA59,1)+BF58</f>
        <v>15686695983.837891</v>
      </c>
      <c r="BG59" s="29">
        <f>(BD59-BD58)*INDEX([2]小r将兵属性验证!$AM$7:$AM$166,$BA59,1)+BG58</f>
        <v>14606775.274353171</v>
      </c>
      <c r="BH59" s="10">
        <f t="shared" si="46"/>
        <v>31387998742.950134</v>
      </c>
      <c r="BO59" s="29">
        <f t="shared" si="44"/>
        <v>68.923431594456531</v>
      </c>
      <c r="BP59" s="10">
        <f t="shared" si="45"/>
        <v>1932424936.7103677</v>
      </c>
      <c r="BQ59" s="10" t="e">
        <f>$BP59*求节点('[1]功能-付费相关'!$AY$6:$AY$105,'[1]功能-付费相关'!$BA$6:$BA$105,$BO59)+$BQ58</f>
        <v>#VALUE!</v>
      </c>
      <c r="BS59" s="29">
        <v>110</v>
      </c>
      <c r="BT59" s="29" t="e">
        <f t="shared" ref="BT59:BT64" si="47">求节点($BO$49:$BO$87,BQ$49:BQ$87,$BS59)</f>
        <v>#VALUE!</v>
      </c>
      <c r="BU59" s="29"/>
      <c r="BZ59" s="4">
        <f t="shared" si="16"/>
        <v>9275</v>
      </c>
      <c r="CA59" s="4">
        <v>56</v>
      </c>
      <c r="CB59" s="90">
        <f t="shared" si="17"/>
        <v>64755</v>
      </c>
      <c r="CC59" s="4">
        <f>SUM(CB$4:CB59)</f>
        <v>606455</v>
      </c>
      <c r="CD59" s="4">
        <f t="shared" si="10"/>
        <v>1.0628373641780582</v>
      </c>
    </row>
    <row r="60" spans="1:82" x14ac:dyDescent="0.15">
      <c r="A60" s="99">
        <f t="shared" si="33"/>
        <v>846900</v>
      </c>
      <c r="B60" s="14">
        <v>112</v>
      </c>
      <c r="C60" s="14">
        <f t="shared" si="18"/>
        <v>5967200</v>
      </c>
      <c r="D60" s="14">
        <f>SUM(C$5:$C60)</f>
        <v>46124500</v>
      </c>
      <c r="E60" s="89">
        <f>'[1]资源-武将经验'!$Z61</f>
        <v>1.398249118734487</v>
      </c>
      <c r="G60" s="4"/>
      <c r="P60" s="5">
        <v>15</v>
      </c>
      <c r="Q60" s="14">
        <f>基础状态预期!D73</f>
        <v>72.103942950990486</v>
      </c>
      <c r="R60" s="14">
        <f>IF(基础状态预期!U73="",0,求节点($B$5:$B$154,$D$5:$D$154,基础状态预期!U73)*基础状态预期!F73)</f>
        <v>0</v>
      </c>
      <c r="S60" s="14">
        <f>IF(基础状态预期!V73="",0,求节点($B$5:$B$154,$D$5:$D$154,基础状态预期!V73)*基础状态预期!G73)</f>
        <v>0</v>
      </c>
      <c r="T60" s="14">
        <f>IF(基础状态预期!W73="",0,求节点($B$5:$B$154,$D$5:$D$154,基础状态预期!W73)*基础状态预期!H73)</f>
        <v>0</v>
      </c>
      <c r="U60" s="14">
        <f>IF(基础状态预期!X73="",0,求节点($B$5:$B$154,$D$5:$D$154,基础状态预期!X73)*基础状态预期!I73)</f>
        <v>534244997.46605706</v>
      </c>
      <c r="V60" s="14">
        <f>IF(基础状态预期!Y73="",0,求节点($B$5:$B$154,$D$5:$D$154,基础状态预期!Y73)*基础状态预期!J73)</f>
        <v>2671224987.3302851</v>
      </c>
      <c r="W60" s="14">
        <f t="shared" si="43"/>
        <v>3205469984.7963419</v>
      </c>
      <c r="Y60" s="14" t="str">
        <f>IF(基础状态预期!U73="","",H$8+(基础状态预期!U73-1)*H$11)</f>
        <v/>
      </c>
      <c r="Z60" s="14" t="str">
        <f>IF(基础状态预期!V73="","",I$8+(基础状态预期!V73-1)*I$11)</f>
        <v/>
      </c>
      <c r="AA60" s="14" t="str">
        <f>IF(基础状态预期!W73="","",J$8+(基础状态预期!W73-1)*J$11)</f>
        <v/>
      </c>
      <c r="AB60" s="14">
        <f>IF(基础状态预期!X73="","",K$8+(基础状态预期!X73-1)*K$11)</f>
        <v>5096.2365770594288</v>
      </c>
      <c r="AC60" s="14">
        <f>IF(基础状态预期!Y73="","",L$8+(基础状态预期!Y73-1)*L$11)</f>
        <v>5096.2365770594288</v>
      </c>
      <c r="AD60" s="14">
        <f>SUMPRODUCT(Y60:AC60,基础状态预期!$F73:$J73)/SUM(基础状态预期!$F73:$J73)</f>
        <v>5096.2365770594288</v>
      </c>
      <c r="AE60" s="14" t="str">
        <f>IF(基础状态预期!U73="","",H$9+(基础状态预期!U73-1)*H$12)</f>
        <v/>
      </c>
      <c r="AF60" s="14" t="str">
        <f>IF(基础状态预期!V73="","",I$9+(基础状态预期!V73-1)*I$12)</f>
        <v/>
      </c>
      <c r="AG60" s="14" t="str">
        <f>IF(基础状态预期!W73="","",J$9+(基础状态预期!W73-1)*J$12)</f>
        <v/>
      </c>
      <c r="AH60" s="14">
        <f>IF(基础状态预期!X73="","",K$9+(基础状态预期!X73-1)*K$12)</f>
        <v>5096.2365770594288</v>
      </c>
      <c r="AI60" s="14">
        <f>IF(基础状态预期!Y73="","",L$9+(基础状态预期!Y73-1)*L$12)</f>
        <v>5096.2365770594288</v>
      </c>
      <c r="AJ60" s="14">
        <f>SUMPRODUCT(AE60:AI60,基础状态预期!$F73:$J73)/SUM(基础状态预期!$F73:$J73)</f>
        <v>5096.2365770594288</v>
      </c>
      <c r="AK60" s="14" t="str">
        <f>IF(基础状态预期!U73="","",H$27+(基础状态预期!U73-1)*H$28)</f>
        <v/>
      </c>
      <c r="AL60" s="14" t="str">
        <f>IF(基础状态预期!V73="","",I$27+(基础状态预期!V73-1)*I$28)</f>
        <v/>
      </c>
      <c r="AM60" s="14" t="str">
        <f>IF(基础状态预期!W73="","",J$27+(基础状态预期!W73-1)*J$28)</f>
        <v/>
      </c>
      <c r="AN60" s="14">
        <f>IF(基础状态预期!X73="","",K$27+(基础状态预期!X73-1)*K$28)</f>
        <v>2432.0788590198099</v>
      </c>
      <c r="AO60" s="14">
        <f>IF(基础状态预期!Y73="","",L$27+(基础状态预期!Y73-1)*L$28)</f>
        <v>2432.0788590198099</v>
      </c>
      <c r="AP60" s="14">
        <f>SUMPRODUCT(AK60:AO60,基础状态预期!$F73:$J73)/SUM(基础状态预期!$F73:$J73)</f>
        <v>2432.0788590198099</v>
      </c>
      <c r="AQ60" s="14" t="str">
        <f>IF(基础状态预期!U73="","",H$31+(基础状态预期!U73-1)*H$32)</f>
        <v/>
      </c>
      <c r="AR60" s="14" t="str">
        <f>IF(基础状态预期!V73="","",I$31+(基础状态预期!V73-1)*I$32)</f>
        <v/>
      </c>
      <c r="AS60" s="14" t="str">
        <f>IF(基础状态预期!W73="","",J$31+(基础状态预期!W73-1)*J$32)</f>
        <v/>
      </c>
      <c r="AT60" s="14">
        <f>IF(基础状态预期!X73="","",K$31+(基础状态预期!X73-1)*K$32)</f>
        <v>160.20788590198097</v>
      </c>
      <c r="AU60" s="14">
        <f>IF(基础状态预期!Y73="","",L$31+(基础状态预期!Y73-1)*L$32)</f>
        <v>163.20788590198097</v>
      </c>
      <c r="AV60" s="14">
        <f>SUMPRODUCT(AQ60:AU60,基础状态预期!$F73:$J73)/SUM(基础状态预期!$F73:$J73)</f>
        <v>162.70788590198097</v>
      </c>
      <c r="BA60" s="29">
        <v>120</v>
      </c>
      <c r="BB60" s="29">
        <f t="shared" si="38"/>
        <v>7970</v>
      </c>
      <c r="BC60" s="29">
        <f t="shared" si="39"/>
        <v>7970</v>
      </c>
      <c r="BD60" s="29">
        <f t="shared" si="40"/>
        <v>3390</v>
      </c>
      <c r="BE60" s="29">
        <f>(BB60-BB59)*INDEX([2]小r将兵属性验证!W$7:W$166,$BA60,1)+BE59</f>
        <v>24062212000.538322</v>
      </c>
      <c r="BF60" s="29">
        <f>(BC60-BC59)*INDEX([2]小r将兵属性验证!X$7:X$166,$BA60,1)+BF59</f>
        <v>24062212000.538322</v>
      </c>
      <c r="BG60" s="29">
        <f>(BD60-BD59)*INDEX([2]小r将兵属性验证!$AM$7:$AM$166,$BA60,1)+BG59</f>
        <v>16537061.982882591</v>
      </c>
      <c r="BH60" s="10">
        <f t="shared" si="46"/>
        <v>48140961063.059525</v>
      </c>
      <c r="BO60" s="29">
        <f t="shared" si="44"/>
        <v>72.103942950990486</v>
      </c>
      <c r="BP60" s="10">
        <f t="shared" si="45"/>
        <v>3205469984.7963419</v>
      </c>
      <c r="BQ60" s="10" t="e">
        <f>$BP60*求节点('[1]功能-付费相关'!$AY$6:$AY$105,'[1]功能-付费相关'!$BA$6:$BA$105,$BO60)+$BQ59</f>
        <v>#VALUE!</v>
      </c>
      <c r="BS60" s="29">
        <v>120</v>
      </c>
      <c r="BT60" s="29" t="e">
        <f t="shared" si="47"/>
        <v>#VALUE!</v>
      </c>
      <c r="BU60" s="29"/>
      <c r="BZ60" s="4">
        <f t="shared" si="16"/>
        <v>9275</v>
      </c>
      <c r="CA60" s="4">
        <v>57</v>
      </c>
      <c r="CB60" s="90">
        <f t="shared" si="17"/>
        <v>74030</v>
      </c>
      <c r="CC60" s="4">
        <f>SUM(CB$4:CB60)</f>
        <v>680485</v>
      </c>
      <c r="CD60" s="4">
        <f t="shared" si="10"/>
        <v>1.0555883037307066</v>
      </c>
    </row>
    <row r="61" spans="1:82" x14ac:dyDescent="0.15">
      <c r="A61" s="99">
        <f t="shared" si="33"/>
        <v>997600</v>
      </c>
      <c r="B61" s="14">
        <v>114</v>
      </c>
      <c r="C61" s="14">
        <f t="shared" si="18"/>
        <v>6964800</v>
      </c>
      <c r="D61" s="14">
        <f>SUM(C$5:$C61)</f>
        <v>53089300</v>
      </c>
      <c r="E61" s="89">
        <f>'[1]资源-武将经验'!$Z62</f>
        <v>1.4416970247203533</v>
      </c>
      <c r="G61" s="4"/>
      <c r="P61" s="5">
        <v>16</v>
      </c>
      <c r="Q61" s="14">
        <f>基础状态预期!D74</f>
        <v>74.74003809013405</v>
      </c>
      <c r="R61" s="14">
        <f>IF(基础状态预期!U74="",0,求节点($B$5:$B$154,$D$5:$D$154,基础状态预期!U74)*基础状态预期!F74)</f>
        <v>0</v>
      </c>
      <c r="S61" s="14">
        <f>IF(基础状态预期!V74="",0,求节点($B$5:$B$154,$D$5:$D$154,基础状态预期!V74)*基础状态预期!G74)</f>
        <v>0</v>
      </c>
      <c r="T61" s="14">
        <f>IF(基础状态预期!W74="",0,求节点($B$5:$B$154,$D$5:$D$154,基础状态预期!W74)*基础状态预期!H74)</f>
        <v>0</v>
      </c>
      <c r="U61" s="14">
        <f>IF(基础状态预期!X74="",0,求节点($B$5:$B$154,$D$5:$D$154,基础状态预期!X74)*基础状态预期!I74)</f>
        <v>408324574.5576573</v>
      </c>
      <c r="V61" s="14">
        <f>IF(基础状态预期!Y74="",0,求节点($B$5:$B$154,$D$5:$D$154,基础状态预期!Y74)*基础状态预期!J74)</f>
        <v>4491570320.1342306</v>
      </c>
      <c r="W61" s="14">
        <f t="shared" si="43"/>
        <v>4899894894.6918879</v>
      </c>
      <c r="Y61" s="14" t="str">
        <f>IF(基础状态预期!U74="","",H$8+(基础状态预期!U74-1)*H$11)</f>
        <v/>
      </c>
      <c r="Z61" s="14" t="str">
        <f>IF(基础状态预期!V74="","",I$8+(基础状态预期!V74-1)*I$11)</f>
        <v/>
      </c>
      <c r="AA61" s="14" t="str">
        <f>IF(基础状态预期!W74="","",J$8+(基础状态预期!W74-1)*J$11)</f>
        <v/>
      </c>
      <c r="AB61" s="14">
        <f>IF(基础状态预期!X74="","",K$8+(基础状态预期!X74-1)*K$11)</f>
        <v>5254.4022854080431</v>
      </c>
      <c r="AC61" s="14">
        <f>IF(基础状态预期!Y74="","",L$8+(基础状态预期!Y74-1)*L$11)</f>
        <v>5254.4022854080431</v>
      </c>
      <c r="AD61" s="14">
        <f>SUMPRODUCT(Y61:AC61,基础状态预期!$F74:$J74)/SUM(基础状态预期!$F74:$J74)</f>
        <v>5254.4022854080431</v>
      </c>
      <c r="AE61" s="14" t="str">
        <f>IF(基础状态预期!U74="","",H$9+(基础状态预期!U74-1)*H$12)</f>
        <v/>
      </c>
      <c r="AF61" s="14" t="str">
        <f>IF(基础状态预期!V74="","",I$9+(基础状态预期!V74-1)*I$12)</f>
        <v/>
      </c>
      <c r="AG61" s="14" t="str">
        <f>IF(基础状态预期!W74="","",J$9+(基础状态预期!W74-1)*J$12)</f>
        <v/>
      </c>
      <c r="AH61" s="14">
        <f>IF(基础状态预期!X74="","",K$9+(基础状态预期!X74-1)*K$12)</f>
        <v>5254.4022854080431</v>
      </c>
      <c r="AI61" s="14">
        <f>IF(基础状态预期!Y74="","",L$9+(基础状态预期!Y74-1)*L$12)</f>
        <v>5254.4022854080431</v>
      </c>
      <c r="AJ61" s="14">
        <f>SUMPRODUCT(AE61:AI61,基础状态预期!$F74:$J74)/SUM(基础状态预期!$F74:$J74)</f>
        <v>5254.4022854080431</v>
      </c>
      <c r="AK61" s="14" t="str">
        <f>IF(基础状态预期!U74="","",H$27+(基础状态预期!U74-1)*H$28)</f>
        <v/>
      </c>
      <c r="AL61" s="14" t="str">
        <f>IF(基础状态预期!V74="","",I$27+(基础状态预期!V74-1)*I$28)</f>
        <v/>
      </c>
      <c r="AM61" s="14" t="str">
        <f>IF(基础状态预期!W74="","",J$27+(基础状态预期!W74-1)*J$28)</f>
        <v/>
      </c>
      <c r="AN61" s="14">
        <f>IF(基础状态预期!X74="","",K$27+(基础状态预期!X74-1)*K$28)</f>
        <v>2484.8007618026809</v>
      </c>
      <c r="AO61" s="14">
        <f>IF(基础状态预期!Y74="","",L$27+(基础状态预期!Y74-1)*L$28)</f>
        <v>2484.8007618026809</v>
      </c>
      <c r="AP61" s="14">
        <f>SUMPRODUCT(AK61:AO61,基础状态预期!$F74:$J74)/SUM(基础状态预期!$F74:$J74)</f>
        <v>2484.8007618026809</v>
      </c>
      <c r="AQ61" s="14" t="str">
        <f>IF(基础状态预期!U74="","",H$31+(基础状态预期!U74-1)*H$32)</f>
        <v/>
      </c>
      <c r="AR61" s="14" t="str">
        <f>IF(基础状态预期!V74="","",I$31+(基础状态预期!V74-1)*I$32)</f>
        <v/>
      </c>
      <c r="AS61" s="14" t="str">
        <f>IF(基础状态预期!W74="","",J$31+(基础状态预期!W74-1)*J$32)</f>
        <v/>
      </c>
      <c r="AT61" s="14">
        <f>IF(基础状态预期!X74="","",K$31+(基础状态预期!X74-1)*K$32)</f>
        <v>165.4800761802681</v>
      </c>
      <c r="AU61" s="14">
        <f>IF(基础状态预期!Y74="","",L$31+(基础状态预期!Y74-1)*L$32)</f>
        <v>168.4800761802681</v>
      </c>
      <c r="AV61" s="14">
        <f>SUMPRODUCT(AQ61:AU61,基础状态预期!$F74:$J74)/SUM(基础状态预期!$F74:$J74)</f>
        <v>168.2300761802681</v>
      </c>
      <c r="BA61" s="29">
        <v>130</v>
      </c>
      <c r="BB61" s="29">
        <f t="shared" si="38"/>
        <v>8570.0000000000018</v>
      </c>
      <c r="BC61" s="29">
        <f t="shared" si="39"/>
        <v>8570.0000000000018</v>
      </c>
      <c r="BD61" s="29">
        <f t="shared" si="40"/>
        <v>3590</v>
      </c>
      <c r="BE61" s="29">
        <f>(BB61-BB60)*INDEX([2]小r将兵属性验证!W$7:W$166,$BA61,1)+BE60</f>
        <v>34581492743.750801</v>
      </c>
      <c r="BF61" s="29">
        <f>(BC61-BC60)*INDEX([2]小r将兵属性验证!X$7:X$166,$BA61,1)+BF60</f>
        <v>34581492743.750801</v>
      </c>
      <c r="BG61" s="29">
        <f>(BD61-BD60)*INDEX([2]小r将兵属性验证!$AM$7:$AM$166,$BA61,1)+BG60</f>
        <v>18601541.175546464</v>
      </c>
      <c r="BH61" s="10">
        <f t="shared" si="46"/>
        <v>69181587028.677155</v>
      </c>
      <c r="BO61" s="29">
        <f t="shared" si="44"/>
        <v>74.74003809013405</v>
      </c>
      <c r="BP61" s="10">
        <f t="shared" si="45"/>
        <v>4899894894.6918879</v>
      </c>
      <c r="BQ61" s="10" t="e">
        <f>$BP61*求节点('[1]功能-付费相关'!$AY$6:$AY$105,'[1]功能-付费相关'!$BA$6:$BA$105,$BO61)+$BQ60</f>
        <v>#VALUE!</v>
      </c>
      <c r="BS61" s="29">
        <v>130</v>
      </c>
      <c r="BT61" s="29" t="e">
        <f t="shared" si="47"/>
        <v>#VALUE!</v>
      </c>
      <c r="BU61" s="29"/>
      <c r="BZ61" s="4">
        <f t="shared" si="16"/>
        <v>12775</v>
      </c>
      <c r="CA61" s="4">
        <v>58</v>
      </c>
      <c r="CB61" s="90">
        <f t="shared" si="17"/>
        <v>86805</v>
      </c>
      <c r="CC61" s="4">
        <f>SUM(CB$4:CB61)</f>
        <v>767290</v>
      </c>
      <c r="CD61" s="4">
        <f t="shared" si="10"/>
        <v>1.0676081814387088</v>
      </c>
    </row>
    <row r="62" spans="1:82" x14ac:dyDescent="0.15">
      <c r="A62" s="99">
        <f t="shared" si="33"/>
        <v>1175100</v>
      </c>
      <c r="B62" s="14">
        <v>116</v>
      </c>
      <c r="C62" s="14">
        <f t="shared" si="18"/>
        <v>8139900</v>
      </c>
      <c r="D62" s="14">
        <f>SUM(C$5:$C62)</f>
        <v>61229200</v>
      </c>
      <c r="E62" s="89">
        <f>'[1]资源-武将经验'!$Z63</f>
        <v>1.5076648758431801</v>
      </c>
      <c r="G62" s="4"/>
      <c r="P62" s="5">
        <v>17</v>
      </c>
      <c r="Q62" s="14">
        <f>基础状态预期!D75</f>
        <v>77.609642525433856</v>
      </c>
      <c r="R62" s="14">
        <f>IF(基础状态预期!U75="",0,求节点($B$5:$B$154,$D$5:$D$154,基础状态预期!U75)*基础状态预期!F75)</f>
        <v>0</v>
      </c>
      <c r="S62" s="14">
        <f>IF(基础状态预期!V75="",0,求节点($B$5:$B$154,$D$5:$D$154,基础状态预期!V75)*基础状态预期!G75)</f>
        <v>0</v>
      </c>
      <c r="T62" s="14">
        <f>IF(基础状态预期!W75="",0,求节点($B$5:$B$154,$D$5:$D$154,基础状态预期!W75)*基础状态预期!H75)</f>
        <v>0</v>
      </c>
      <c r="U62" s="14">
        <f>IF(基础状态预期!X75="",0,求节点($B$5:$B$154,$D$5:$D$154,基础状态预期!X75)*基础状态预期!I75)</f>
        <v>0</v>
      </c>
      <c r="V62" s="14">
        <f>IF(基础状态预期!Y75="",0,求节点($B$5:$B$154,$D$5:$D$154,基础状态预期!Y75)*基础状态预期!J75)</f>
        <v>7794469030.8121452</v>
      </c>
      <c r="W62" s="14">
        <f t="shared" si="43"/>
        <v>7794469030.8121452</v>
      </c>
      <c r="Y62" s="14" t="str">
        <f>IF(基础状态预期!U75="","",H$8+(基础状态预期!U75-1)*H$11)</f>
        <v/>
      </c>
      <c r="Z62" s="14" t="str">
        <f>IF(基础状态预期!V75="","",I$8+(基础状态预期!V75-1)*I$11)</f>
        <v/>
      </c>
      <c r="AA62" s="14" t="str">
        <f>IF(基础状态预期!W75="","",J$8+(基础状态预期!W75-1)*J$11)</f>
        <v/>
      </c>
      <c r="AB62" s="14" t="str">
        <f>IF(基础状态预期!X75="","",K$8+(基础状态预期!X75-1)*K$11)</f>
        <v/>
      </c>
      <c r="AC62" s="14">
        <f>IF(基础状态预期!Y75="","",L$8+(基础状态预期!Y75-1)*L$11)</f>
        <v>5426.5785515260313</v>
      </c>
      <c r="AD62" s="14">
        <f>SUMPRODUCT(Y62:AC62,基础状态预期!$F75:$J75)/SUM(基础状态预期!$F75:$J75)</f>
        <v>5426.5785515260313</v>
      </c>
      <c r="AE62" s="14" t="str">
        <f>IF(基础状态预期!U75="","",H$9+(基础状态预期!U75-1)*H$12)</f>
        <v/>
      </c>
      <c r="AF62" s="14" t="str">
        <f>IF(基础状态预期!V75="","",I$9+(基础状态预期!V75-1)*I$12)</f>
        <v/>
      </c>
      <c r="AG62" s="14" t="str">
        <f>IF(基础状态预期!W75="","",J$9+(基础状态预期!W75-1)*J$12)</f>
        <v/>
      </c>
      <c r="AH62" s="14" t="str">
        <f>IF(基础状态预期!X75="","",K$9+(基础状态预期!X75-1)*K$12)</f>
        <v/>
      </c>
      <c r="AI62" s="14">
        <f>IF(基础状态预期!Y75="","",L$9+(基础状态预期!Y75-1)*L$12)</f>
        <v>5426.5785515260313</v>
      </c>
      <c r="AJ62" s="14">
        <f>SUMPRODUCT(AE62:AI62,基础状态预期!$F75:$J75)/SUM(基础状态预期!$F75:$J75)</f>
        <v>5426.5785515260313</v>
      </c>
      <c r="AK62" s="14" t="str">
        <f>IF(基础状态预期!U75="","",H$27+(基础状态预期!U75-1)*H$28)</f>
        <v/>
      </c>
      <c r="AL62" s="14" t="str">
        <f>IF(基础状态预期!V75="","",I$27+(基础状态预期!V75-1)*I$28)</f>
        <v/>
      </c>
      <c r="AM62" s="14" t="str">
        <f>IF(基础状态预期!W75="","",J$27+(基础状态预期!W75-1)*J$28)</f>
        <v/>
      </c>
      <c r="AN62" s="14" t="str">
        <f>IF(基础状态预期!X75="","",K$27+(基础状态预期!X75-1)*K$28)</f>
        <v/>
      </c>
      <c r="AO62" s="14">
        <f>IF(基础状态预期!Y75="","",L$27+(基础状态预期!Y75-1)*L$28)</f>
        <v>2542.1928505086771</v>
      </c>
      <c r="AP62" s="14">
        <f>SUMPRODUCT(AK62:AO62,基础状态预期!$F75:$J75)/SUM(基础状态预期!$F75:$J75)</f>
        <v>2542.1928505086771</v>
      </c>
      <c r="AQ62" s="14" t="str">
        <f>IF(基础状态预期!U75="","",H$31+(基础状态预期!U75-1)*H$32)</f>
        <v/>
      </c>
      <c r="AR62" s="14" t="str">
        <f>IF(基础状态预期!V75="","",I$31+(基础状态预期!V75-1)*I$32)</f>
        <v/>
      </c>
      <c r="AS62" s="14" t="str">
        <f>IF(基础状态预期!W75="","",J$31+(基础状态预期!W75-1)*J$32)</f>
        <v/>
      </c>
      <c r="AT62" s="14" t="str">
        <f>IF(基础状态预期!X75="","",K$31+(基础状态预期!X75-1)*K$32)</f>
        <v/>
      </c>
      <c r="AU62" s="14">
        <f>IF(基础状态预期!Y75="","",L$31+(基础状态预期!Y75-1)*L$32)</f>
        <v>174.21928505086771</v>
      </c>
      <c r="AV62" s="14">
        <f>SUMPRODUCT(AQ62:AU62,基础状态预期!$F75:$J75)/SUM(基础状态预期!$F75:$J75)</f>
        <v>174.21928505086771</v>
      </c>
      <c r="BA62" s="29">
        <v>140</v>
      </c>
      <c r="BB62" s="29">
        <f t="shared" si="38"/>
        <v>9170</v>
      </c>
      <c r="BC62" s="29">
        <f t="shared" si="39"/>
        <v>9170</v>
      </c>
      <c r="BD62" s="29">
        <f t="shared" si="40"/>
        <v>3790</v>
      </c>
      <c r="BE62" s="29">
        <f>(BB62-BB61)*INDEX([2]小r将兵属性验证!W$7:W$166,$BA62,1)+BE61</f>
        <v>47213871325.85009</v>
      </c>
      <c r="BF62" s="29">
        <f>(BC62-BC61)*INDEX([2]小r将兵属性验证!X$7:X$166,$BA62,1)+BF61</f>
        <v>47213871325.85009</v>
      </c>
      <c r="BG62" s="29">
        <f>(BD62-BD61)*INDEX([2]小r将兵属性验证!$AM$7:$AM$166,$BA62,1)+BG61</f>
        <v>20801155.838236965</v>
      </c>
      <c r="BH62" s="10">
        <f t="shared" si="46"/>
        <v>94448543807.538422</v>
      </c>
      <c r="BO62" s="29">
        <f t="shared" si="44"/>
        <v>77.609642525433856</v>
      </c>
      <c r="BP62" s="10">
        <f t="shared" si="45"/>
        <v>7794469030.8121452</v>
      </c>
      <c r="BQ62" s="10" t="e">
        <f>$BP62*求节点('[1]功能-付费相关'!$AY$6:$AY$105,'[1]功能-付费相关'!$BA$6:$BA$105,$BO62)+$BQ61</f>
        <v>#VALUE!</v>
      </c>
      <c r="BS62" s="29">
        <v>140</v>
      </c>
      <c r="BT62" s="29" t="e">
        <f t="shared" si="47"/>
        <v>#VALUE!</v>
      </c>
      <c r="BU62" s="29"/>
      <c r="BZ62" s="4">
        <f t="shared" si="16"/>
        <v>12775</v>
      </c>
      <c r="CA62" s="4">
        <v>59</v>
      </c>
      <c r="CB62" s="90">
        <f t="shared" si="17"/>
        <v>99580</v>
      </c>
      <c r="CC62" s="4">
        <f>SUM(CB$4:CB62)</f>
        <v>866870</v>
      </c>
      <c r="CD62" s="4">
        <f t="shared" si="10"/>
        <v>1.0593547598680191</v>
      </c>
    </row>
    <row r="63" spans="1:82" x14ac:dyDescent="0.15">
      <c r="A63" s="99">
        <f t="shared" si="33"/>
        <v>1384200</v>
      </c>
      <c r="B63" s="14">
        <v>118</v>
      </c>
      <c r="C63" s="14">
        <f t="shared" si="18"/>
        <v>9524100</v>
      </c>
      <c r="D63" s="14">
        <f>SUM(C$5:$C63)</f>
        <v>70753300</v>
      </c>
      <c r="E63" s="89">
        <f>'[1]资源-武将经验'!$Z64</f>
        <v>1.5941220639238476</v>
      </c>
      <c r="G63" s="4"/>
      <c r="P63" s="5">
        <v>18</v>
      </c>
      <c r="Q63" s="14">
        <f>基础状态预期!D76</f>
        <v>79.994335665275713</v>
      </c>
      <c r="R63" s="14">
        <f>IF(基础状态预期!U76="",0,求节点($B$5:$B$154,$D$5:$D$154,基础状态预期!U76)*基础状态预期!F76)</f>
        <v>0</v>
      </c>
      <c r="S63" s="14">
        <f>IF(基础状态预期!V76="",0,求节点($B$5:$B$154,$D$5:$D$154,基础状态预期!V76)*基础状态预期!G76)</f>
        <v>0</v>
      </c>
      <c r="T63" s="14">
        <f>IF(基础状态预期!W76="",0,求节点($B$5:$B$154,$D$5:$D$154,基础状态预期!W76)*基础状态预期!H76)</f>
        <v>0</v>
      </c>
      <c r="U63" s="14">
        <f>IF(基础状态预期!X76="",0,求节点($B$5:$B$154,$D$5:$D$154,基础状态预期!X76)*基础状态预期!I76)</f>
        <v>0</v>
      </c>
      <c r="V63" s="14">
        <f>IF(基础状态预期!Y76="",0,求节点($B$5:$B$154,$D$5:$D$154,基础状态预期!Y76)*基础状态预期!J76)</f>
        <v>11441449125.585463</v>
      </c>
      <c r="W63" s="14">
        <f t="shared" si="43"/>
        <v>11441449125.585463</v>
      </c>
      <c r="Y63" s="14" t="str">
        <f>IF(基础状态预期!U76="","",H$8+(基础状态预期!U76-1)*H$11)</f>
        <v/>
      </c>
      <c r="Z63" s="14" t="str">
        <f>IF(基础状态预期!V76="","",I$8+(基础状态预期!V76-1)*I$11)</f>
        <v/>
      </c>
      <c r="AA63" s="14" t="str">
        <f>IF(基础状态预期!W76="","",J$8+(基础状态预期!W76-1)*J$11)</f>
        <v/>
      </c>
      <c r="AB63" s="14" t="str">
        <f>IF(基础状态预期!X76="","",K$8+(基础状态预期!X76-1)*K$11)</f>
        <v/>
      </c>
      <c r="AC63" s="14">
        <f>IF(基础状态预期!Y76="","",L$8+(基础状态预期!Y76-1)*L$11)</f>
        <v>5569.6601399165429</v>
      </c>
      <c r="AD63" s="14">
        <f>SUMPRODUCT(Y63:AC63,基础状态预期!$F76:$J76)/SUM(基础状态预期!$F76:$J76)</f>
        <v>5569.660139916542</v>
      </c>
      <c r="AE63" s="14" t="str">
        <f>IF(基础状态预期!U76="","",H$9+(基础状态预期!U76-1)*H$12)</f>
        <v/>
      </c>
      <c r="AF63" s="14" t="str">
        <f>IF(基础状态预期!V76="","",I$9+(基础状态预期!V76-1)*I$12)</f>
        <v/>
      </c>
      <c r="AG63" s="14" t="str">
        <f>IF(基础状态预期!W76="","",J$9+(基础状态预期!W76-1)*J$12)</f>
        <v/>
      </c>
      <c r="AH63" s="14" t="str">
        <f>IF(基础状态预期!X76="","",K$9+(基础状态预期!X76-1)*K$12)</f>
        <v/>
      </c>
      <c r="AI63" s="14">
        <f>IF(基础状态预期!Y76="","",L$9+(基础状态预期!Y76-1)*L$12)</f>
        <v>5569.6601399165429</v>
      </c>
      <c r="AJ63" s="14">
        <f>SUMPRODUCT(AE63:AI63,基础状态预期!$F76:$J76)/SUM(基础状态预期!$F76:$J76)</f>
        <v>5569.660139916542</v>
      </c>
      <c r="AK63" s="14" t="str">
        <f>IF(基础状态预期!U76="","",H$27+(基础状态预期!U76-1)*H$28)</f>
        <v/>
      </c>
      <c r="AL63" s="14" t="str">
        <f>IF(基础状态预期!V76="","",I$27+(基础状态预期!V76-1)*I$28)</f>
        <v/>
      </c>
      <c r="AM63" s="14" t="str">
        <f>IF(基础状态预期!W76="","",J$27+(基础状态预期!W76-1)*J$28)</f>
        <v/>
      </c>
      <c r="AN63" s="14" t="str">
        <f>IF(基础状态预期!X76="","",K$27+(基础状态预期!X76-1)*K$28)</f>
        <v/>
      </c>
      <c r="AO63" s="14">
        <f>IF(基础状态预期!Y76="","",L$27+(基础状态预期!Y76-1)*L$28)</f>
        <v>2589.8867133055141</v>
      </c>
      <c r="AP63" s="14">
        <f>SUMPRODUCT(AK63:AO63,基础状态预期!$F76:$J76)/SUM(基础状态预期!$F76:$J76)</f>
        <v>2589.8867133055141</v>
      </c>
      <c r="AQ63" s="14" t="str">
        <f>IF(基础状态预期!U76="","",H$31+(基础状态预期!U76-1)*H$32)</f>
        <v/>
      </c>
      <c r="AR63" s="14" t="str">
        <f>IF(基础状态预期!V76="","",I$31+(基础状态预期!V76-1)*I$32)</f>
        <v/>
      </c>
      <c r="AS63" s="14" t="str">
        <f>IF(基础状态预期!W76="","",J$31+(基础状态预期!W76-1)*J$32)</f>
        <v/>
      </c>
      <c r="AT63" s="14" t="str">
        <f>IF(基础状态预期!X76="","",K$31+(基础状态预期!X76-1)*K$32)</f>
        <v/>
      </c>
      <c r="AU63" s="14">
        <f>IF(基础状态预期!Y76="","",L$31+(基础状态预期!Y76-1)*L$32)</f>
        <v>178.98867133055143</v>
      </c>
      <c r="AV63" s="14">
        <f>SUMPRODUCT(AQ63:AU63,基础状态预期!$F76:$J76)/SUM(基础状态预期!$F76:$J76)</f>
        <v>178.98867133055145</v>
      </c>
      <c r="BA63" s="29">
        <v>150</v>
      </c>
      <c r="BB63" s="29">
        <f t="shared" si="38"/>
        <v>9749.6145094252588</v>
      </c>
      <c r="BC63" s="29">
        <f t="shared" si="39"/>
        <v>9749.6145094252588</v>
      </c>
      <c r="BD63" s="29">
        <f t="shared" si="40"/>
        <v>3983.2048364750858</v>
      </c>
      <c r="BE63" s="29">
        <f>(BB63-BB62)*INDEX([2]小r将兵属性验证!W$7:W$166,$BA63,1)+BE62</f>
        <v>62090946638.909065</v>
      </c>
      <c r="BF63" s="29">
        <f>(BC63-BC62)*INDEX([2]小r将兵属性验证!X$7:X$166,$BA63,1)+BF62</f>
        <v>62090946638.909065</v>
      </c>
      <c r="BG63" s="29">
        <f>(BD63-BD62)*INDEX([2]小r将兵属性验证!$AM$7:$AM$166,$BA63,1)+BG62</f>
        <v>23054708.439906079</v>
      </c>
      <c r="BH63" s="10">
        <f t="shared" si="46"/>
        <v>124204947986.25804</v>
      </c>
      <c r="BO63" s="29">
        <f t="shared" si="44"/>
        <v>79.994335665275713</v>
      </c>
      <c r="BP63" s="10">
        <f t="shared" si="45"/>
        <v>11441449125.585463</v>
      </c>
      <c r="BQ63" s="10" t="e">
        <f>$BP63*求节点('[1]功能-付费相关'!$AY$6:$AY$105,'[1]功能-付费相关'!$BA$6:$BA$105,$BO63)+$BQ62</f>
        <v>#VALUE!</v>
      </c>
      <c r="BS63" s="29">
        <v>150</v>
      </c>
      <c r="BT63" s="29" t="e">
        <f t="shared" si="47"/>
        <v>#VALUE!</v>
      </c>
      <c r="BU63" s="29"/>
      <c r="BZ63" s="4">
        <f t="shared" si="16"/>
        <v>13025</v>
      </c>
      <c r="CA63" s="4">
        <v>60</v>
      </c>
      <c r="CB63" s="90">
        <f t="shared" si="17"/>
        <v>112605</v>
      </c>
      <c r="CC63" s="4">
        <f>SUM(CB$4:CB63)</f>
        <v>979475</v>
      </c>
      <c r="CD63" s="4">
        <f t="shared" si="10"/>
        <v>1.0670824708573918</v>
      </c>
    </row>
    <row r="64" spans="1:82" x14ac:dyDescent="0.15">
      <c r="A64" s="99">
        <f t="shared" si="33"/>
        <v>1630500</v>
      </c>
      <c r="B64" s="14">
        <v>120</v>
      </c>
      <c r="C64" s="14">
        <f t="shared" si="18"/>
        <v>11154600</v>
      </c>
      <c r="D64" s="14">
        <f>SUM(C$5:$C64)</f>
        <v>81907900</v>
      </c>
      <c r="E64" s="89">
        <f>'[1]资源-武将经验'!$Z65</f>
        <v>1.5542435343434973</v>
      </c>
      <c r="G64" s="4"/>
      <c r="P64" s="5">
        <v>19</v>
      </c>
      <c r="Q64" s="14">
        <f>基础状态预期!D77</f>
        <v>82.100546804797787</v>
      </c>
      <c r="R64" s="14">
        <f>IF(基础状态预期!U77="",0,求节点($B$5:$B$154,$D$5:$D$154,基础状态预期!U77)*基础状态预期!F77)</f>
        <v>0</v>
      </c>
      <c r="S64" s="14">
        <f>IF(基础状态预期!V77="",0,求节点($B$5:$B$154,$D$5:$D$154,基础状态预期!V77)*基础状态预期!G77)</f>
        <v>0</v>
      </c>
      <c r="T64" s="14">
        <f>IF(基础状态预期!W77="",0,求节点($B$5:$B$154,$D$5:$D$154,基础状态预期!W77)*基础状态预期!H77)</f>
        <v>0</v>
      </c>
      <c r="U64" s="14">
        <f>IF(基础状态预期!X77="",0,求节点($B$5:$B$154,$D$5:$D$154,基础状态预期!X77)*基础状态预期!I77)</f>
        <v>0</v>
      </c>
      <c r="V64" s="14">
        <f>IF(基础状态预期!Y77="",0,求节点($B$5:$B$154,$D$5:$D$154,基础状态预期!Y77)*基础状态预期!J77)</f>
        <v>16135438704.572018</v>
      </c>
      <c r="W64" s="14">
        <f t="shared" si="43"/>
        <v>16135438704.572018</v>
      </c>
      <c r="Y64" s="14" t="str">
        <f>IF(基础状态预期!U77="","",H$8+(基础状态预期!U77-1)*H$11)</f>
        <v/>
      </c>
      <c r="Z64" s="14" t="str">
        <f>IF(基础状态预期!V77="","",I$8+(基础状态预期!V77-1)*I$11)</f>
        <v/>
      </c>
      <c r="AA64" s="14" t="str">
        <f>IF(基础状态预期!W77="","",J$8+(基础状态预期!W77-1)*J$11)</f>
        <v/>
      </c>
      <c r="AB64" s="14" t="str">
        <f>IF(基础状态预期!X77="","",K$8+(基础状态预期!X77-1)*K$11)</f>
        <v/>
      </c>
      <c r="AC64" s="14">
        <f>IF(基础状态预期!Y77="","",L$8+(基础状态预期!Y77-1)*L$11)</f>
        <v>5696.0328082878668</v>
      </c>
      <c r="AD64" s="14">
        <f>SUMPRODUCT(Y64:AC64,基础状态预期!$F77:$J77)/SUM(基础状态预期!$F77:$J77)</f>
        <v>5696.0328082878668</v>
      </c>
      <c r="AE64" s="14" t="str">
        <f>IF(基础状态预期!U77="","",H$9+(基础状态预期!U77-1)*H$12)</f>
        <v/>
      </c>
      <c r="AF64" s="14" t="str">
        <f>IF(基础状态预期!V77="","",I$9+(基础状态预期!V77-1)*I$12)</f>
        <v/>
      </c>
      <c r="AG64" s="14" t="str">
        <f>IF(基础状态预期!W77="","",J$9+(基础状态预期!W77-1)*J$12)</f>
        <v/>
      </c>
      <c r="AH64" s="14" t="str">
        <f>IF(基础状态预期!X77="","",K$9+(基础状态预期!X77-1)*K$12)</f>
        <v/>
      </c>
      <c r="AI64" s="14">
        <f>IF(基础状态预期!Y77="","",L$9+(基础状态预期!Y77-1)*L$12)</f>
        <v>5696.0328082878668</v>
      </c>
      <c r="AJ64" s="14">
        <f>SUMPRODUCT(AE64:AI64,基础状态预期!$F77:$J77)/SUM(基础状态预期!$F77:$J77)</f>
        <v>5696.0328082878668</v>
      </c>
      <c r="AK64" s="14" t="str">
        <f>IF(基础状态预期!U77="","",H$27+(基础状态预期!U77-1)*H$28)</f>
        <v/>
      </c>
      <c r="AL64" s="14" t="str">
        <f>IF(基础状态预期!V77="","",I$27+(基础状态预期!V77-1)*I$28)</f>
        <v/>
      </c>
      <c r="AM64" s="14" t="str">
        <f>IF(基础状态预期!W77="","",J$27+(基础状态预期!W77-1)*J$28)</f>
        <v/>
      </c>
      <c r="AN64" s="14" t="str">
        <f>IF(基础状态预期!X77="","",K$27+(基础状态预期!X77-1)*K$28)</f>
        <v/>
      </c>
      <c r="AO64" s="14">
        <f>IF(基础状态预期!Y77="","",L$27+(基础状态预期!Y77-1)*L$28)</f>
        <v>2632.0109360959559</v>
      </c>
      <c r="AP64" s="14">
        <f>SUMPRODUCT(AK64:AO64,基础状态预期!$F77:$J77)/SUM(基础状态预期!$F77:$J77)</f>
        <v>2632.0109360959559</v>
      </c>
      <c r="AQ64" s="14" t="str">
        <f>IF(基础状态预期!U77="","",H$31+(基础状态预期!U77-1)*H$32)</f>
        <v/>
      </c>
      <c r="AR64" s="14" t="str">
        <f>IF(基础状态预期!V77="","",I$31+(基础状态预期!V77-1)*I$32)</f>
        <v/>
      </c>
      <c r="AS64" s="14" t="str">
        <f>IF(基础状态预期!W77="","",J$31+(基础状态预期!W77-1)*J$32)</f>
        <v/>
      </c>
      <c r="AT64" s="14" t="str">
        <f>IF(基础状态预期!X77="","",K$31+(基础状态预期!X77-1)*K$32)</f>
        <v/>
      </c>
      <c r="AU64" s="14">
        <f>IF(基础状态预期!Y77="","",L$31+(基础状态预期!Y77-1)*L$32)</f>
        <v>183.20109360959557</v>
      </c>
      <c r="AV64" s="14">
        <f>SUMPRODUCT(AQ64:AU64,基础状态预期!$F77:$J77)/SUM(基础状态预期!$F77:$J77)</f>
        <v>183.20109360959557</v>
      </c>
      <c r="BA64" s="29">
        <v>160</v>
      </c>
      <c r="BB64" s="29">
        <f t="shared" si="38"/>
        <v>9770</v>
      </c>
      <c r="BC64" s="29">
        <f t="shared" si="39"/>
        <v>9770</v>
      </c>
      <c r="BD64" s="29">
        <f t="shared" si="40"/>
        <v>3990</v>
      </c>
      <c r="BE64" s="29">
        <f>(BB64-BB63)*INDEX([2]小r将兵属性验证!W$7:W$166,$BA64,1)+BE63</f>
        <v>62686627657.729874</v>
      </c>
      <c r="BF64" s="29">
        <f>(BC64-BC63)*INDEX([2]小r将兵属性验证!X$7:X$166,$BA64,1)+BF63</f>
        <v>62686627657.729874</v>
      </c>
      <c r="BG64" s="29">
        <f>(BD64-BD63)*INDEX([2]小r将兵属性验证!$AM$7:$AM$166,$BA64,1)+BG63</f>
        <v>23135502.934217308</v>
      </c>
      <c r="BH64" s="10">
        <f t="shared" si="46"/>
        <v>125396390818.39397</v>
      </c>
      <c r="BO64" s="29">
        <f t="shared" si="44"/>
        <v>82.100546804797787</v>
      </c>
      <c r="BP64" s="10">
        <f t="shared" si="45"/>
        <v>16135438704.572018</v>
      </c>
      <c r="BQ64" s="10" t="e">
        <f>$BP64*求节点('[1]功能-付费相关'!$AY$6:$AY$105,'[1]功能-付费相关'!$BA$6:$BA$105,$BO64)+$BQ63</f>
        <v>#VALUE!</v>
      </c>
      <c r="BS64" s="29">
        <v>160</v>
      </c>
      <c r="BT64" s="29" t="e">
        <f t="shared" si="47"/>
        <v>#VALUE!</v>
      </c>
      <c r="BU64" s="29"/>
      <c r="BZ64" s="4">
        <f t="shared" si="16"/>
        <v>13025</v>
      </c>
      <c r="CA64" s="4">
        <v>61</v>
      </c>
      <c r="CB64" s="90">
        <f t="shared" si="17"/>
        <v>125630</v>
      </c>
      <c r="CC64" s="4">
        <f>SUM(CB$4:CB64)</f>
        <v>1105105</v>
      </c>
      <c r="CD64" s="4">
        <f t="shared" si="10"/>
        <v>1.0589861530353122</v>
      </c>
    </row>
    <row r="65" spans="1:82" x14ac:dyDescent="0.15">
      <c r="A65" s="99">
        <f t="shared" si="33"/>
        <v>1920700</v>
      </c>
      <c r="B65" s="14">
        <v>122</v>
      </c>
      <c r="C65" s="14">
        <f t="shared" si="18"/>
        <v>13075300</v>
      </c>
      <c r="D65" s="14">
        <f>SUM(C$5:$C65)</f>
        <v>94983200</v>
      </c>
      <c r="E65" s="89">
        <f>'[1]资源-武将经验'!$Z66</f>
        <v>1.5168666346005522</v>
      </c>
      <c r="G65" s="4"/>
      <c r="P65" s="5">
        <v>20</v>
      </c>
      <c r="Q65" s="14">
        <f>基础状态预期!D78</f>
        <v>83.885420957389968</v>
      </c>
      <c r="R65" s="14">
        <f>IF(基础状态预期!U78="",0,求节点($B$5:$B$154,$D$5:$D$154,基础状态预期!U78)*基础状态预期!F78)</f>
        <v>0</v>
      </c>
      <c r="S65" s="14">
        <f>IF(基础状态预期!V78="",0,求节点($B$5:$B$154,$D$5:$D$154,基础状态预期!V78)*基础状态预期!G78)</f>
        <v>0</v>
      </c>
      <c r="T65" s="14">
        <f>IF(基础状态预期!W78="",0,求节点($B$5:$B$154,$D$5:$D$154,基础状态预期!W78)*基础状态预期!H78)</f>
        <v>0</v>
      </c>
      <c r="U65" s="14">
        <f>IF(基础状态预期!X78="",0,求节点($B$5:$B$154,$D$5:$D$154,基础状态预期!X78)*基础状态预期!I78)</f>
        <v>0</v>
      </c>
      <c r="V65" s="14">
        <f>IF(基础状态预期!Y78="",0,求节点($B$5:$B$154,$D$5:$D$154,基础状态预期!Y78)*基础状态预期!J78)</f>
        <v>21582310997.372341</v>
      </c>
      <c r="W65" s="14">
        <f t="shared" ref="W65:W87" si="48">SUM(R65:V65)</f>
        <v>21582310997.372341</v>
      </c>
      <c r="Y65" s="14" t="str">
        <f>IF(基础状态预期!U78="","",H$8+(基础状态预期!U78-1)*H$11)</f>
        <v/>
      </c>
      <c r="Z65" s="14" t="str">
        <f>IF(基础状态预期!V78="","",I$8+(基础状态预期!V78-1)*I$11)</f>
        <v/>
      </c>
      <c r="AA65" s="14" t="str">
        <f>IF(基础状态预期!W78="","",J$8+(基础状态预期!W78-1)*J$11)</f>
        <v/>
      </c>
      <c r="AB65" s="14" t="str">
        <f>IF(基础状态预期!X78="","",K$8+(基础状态预期!X78-1)*K$11)</f>
        <v/>
      </c>
      <c r="AC65" s="14">
        <f>IF(基础状态预期!Y78="","",L$8+(基础状态预期!Y78-1)*L$11)</f>
        <v>5803.1252574433984</v>
      </c>
      <c r="AD65" s="14">
        <f>SUMPRODUCT(Y65:AC65,基础状态预期!$F78:$J78)/SUM(基础状态预期!$F78:$J78)</f>
        <v>5803.1252574433993</v>
      </c>
      <c r="AE65" s="14" t="str">
        <f>IF(基础状态预期!U78="","",H$9+(基础状态预期!U78-1)*H$12)</f>
        <v/>
      </c>
      <c r="AF65" s="14" t="str">
        <f>IF(基础状态预期!V78="","",I$9+(基础状态预期!V78-1)*I$12)</f>
        <v/>
      </c>
      <c r="AG65" s="14" t="str">
        <f>IF(基础状态预期!W78="","",J$9+(基础状态预期!W78-1)*J$12)</f>
        <v/>
      </c>
      <c r="AH65" s="14" t="str">
        <f>IF(基础状态预期!X78="","",K$9+(基础状态预期!X78-1)*K$12)</f>
        <v/>
      </c>
      <c r="AI65" s="14">
        <f>IF(基础状态预期!Y78="","",L$9+(基础状态预期!Y78-1)*L$12)</f>
        <v>5803.1252574433984</v>
      </c>
      <c r="AJ65" s="14">
        <f>SUMPRODUCT(AE65:AI65,基础状态预期!$F78:$J78)/SUM(基础状态预期!$F78:$J78)</f>
        <v>5803.1252574433993</v>
      </c>
      <c r="AK65" s="14" t="str">
        <f>IF(基础状态预期!U78="","",H$27+(基础状态预期!U78-1)*H$28)</f>
        <v/>
      </c>
      <c r="AL65" s="14" t="str">
        <f>IF(基础状态预期!V78="","",I$27+(基础状态预期!V78-1)*I$28)</f>
        <v/>
      </c>
      <c r="AM65" s="14" t="str">
        <f>IF(基础状态预期!W78="","",J$27+(基础状态预期!W78-1)*J$28)</f>
        <v/>
      </c>
      <c r="AN65" s="14" t="str">
        <f>IF(基础状态预期!X78="","",K$27+(基础状态预期!X78-1)*K$28)</f>
        <v/>
      </c>
      <c r="AO65" s="14">
        <f>IF(基础状态预期!Y78="","",L$27+(基础状态预期!Y78-1)*L$28)</f>
        <v>2667.7084191477993</v>
      </c>
      <c r="AP65" s="14">
        <f>SUMPRODUCT(AK65:AO65,基础状态预期!$F78:$J78)/SUM(基础状态预期!$F78:$J78)</f>
        <v>2667.7084191477993</v>
      </c>
      <c r="AQ65" s="14" t="str">
        <f>IF(基础状态预期!U78="","",H$31+(基础状态预期!U78-1)*H$32)</f>
        <v/>
      </c>
      <c r="AR65" s="14" t="str">
        <f>IF(基础状态预期!V78="","",I$31+(基础状态预期!V78-1)*I$32)</f>
        <v/>
      </c>
      <c r="AS65" s="14" t="str">
        <f>IF(基础状态预期!W78="","",J$31+(基础状态预期!W78-1)*J$32)</f>
        <v/>
      </c>
      <c r="AT65" s="14" t="str">
        <f>IF(基础状态预期!X78="","",K$31+(基础状态预期!X78-1)*K$32)</f>
        <v/>
      </c>
      <c r="AU65" s="14">
        <f>IF(基础状态预期!Y78="","",L$31+(基础状态预期!Y78-1)*L$32)</f>
        <v>186.77084191477994</v>
      </c>
      <c r="AV65" s="14">
        <f>SUMPRODUCT(AQ65:AU65,基础状态预期!$F78:$J78)/SUM(基础状态预期!$F78:$J78)</f>
        <v>186.77084191477994</v>
      </c>
      <c r="BO65" s="29">
        <f t="shared" si="44"/>
        <v>83.885420957389968</v>
      </c>
      <c r="BP65" s="10">
        <f t="shared" si="45"/>
        <v>21582310997.372341</v>
      </c>
      <c r="BQ65" s="10" t="e">
        <f>$BP65*求节点('[1]功能-付费相关'!$AY$6:$AY$105,'[1]功能-付费相关'!$BA$6:$BA$105,$BO65)+$BQ64</f>
        <v>#VALUE!</v>
      </c>
      <c r="BZ65" s="4">
        <f t="shared" si="16"/>
        <v>13275</v>
      </c>
      <c r="CA65" s="4">
        <v>62</v>
      </c>
      <c r="CB65" s="90">
        <f t="shared" si="17"/>
        <v>138905</v>
      </c>
      <c r="CC65" s="4">
        <f>SUM(CB$4:CB65)</f>
        <v>1244010</v>
      </c>
      <c r="CD65" s="4">
        <f t="shared" si="10"/>
        <v>1.0639839206294903</v>
      </c>
    </row>
    <row r="66" spans="1:82" x14ac:dyDescent="0.15">
      <c r="A66" s="99">
        <f t="shared" si="33"/>
        <v>2262500</v>
      </c>
      <c r="B66" s="14">
        <v>124</v>
      </c>
      <c r="C66" s="14">
        <f t="shared" si="18"/>
        <v>15337800</v>
      </c>
      <c r="D66" s="14">
        <f>SUM(C$5:$C66)</f>
        <v>110321000</v>
      </c>
      <c r="E66" s="89">
        <f>'[1]资源-武将经验'!$Z67</f>
        <v>1.5267286490740382</v>
      </c>
      <c r="G66" s="4"/>
      <c r="P66" s="5">
        <v>21</v>
      </c>
      <c r="Q66" s="14">
        <f>基础状态预期!D79</f>
        <v>86.247032860782397</v>
      </c>
      <c r="R66" s="14">
        <f>IF(基础状态预期!U79="",0,求节点($B$5:$B$154,$D$5:$D$154,基础状态预期!U79)*基础状态预期!F79)</f>
        <v>0</v>
      </c>
      <c r="S66" s="14">
        <f>IF(基础状态预期!V79="",0,求节点($B$5:$B$154,$D$5:$D$154,基础状态预期!V79)*基础状态预期!G79)</f>
        <v>0</v>
      </c>
      <c r="T66" s="14">
        <f>IF(基础状态预期!W79="",0,求节点($B$5:$B$154,$D$5:$D$154,基础状态预期!W79)*基础状态预期!H79)</f>
        <v>0</v>
      </c>
      <c r="U66" s="14">
        <f>IF(基础状态预期!X79="",0,求节点($B$5:$B$154,$D$5:$D$154,基础状态预期!X79)*基础状态预期!I79)</f>
        <v>0</v>
      </c>
      <c r="V66" s="14">
        <f>IF(基础状态预期!Y79="",0,求节点($B$5:$B$154,$D$5:$D$154,基础状态预期!Y79)*基础状态预期!J79)</f>
        <v>31758932023.55817</v>
      </c>
      <c r="W66" s="14">
        <f t="shared" si="48"/>
        <v>31758932023.55817</v>
      </c>
      <c r="Y66" s="14" t="str">
        <f>IF(基础状态预期!U79="","",H$8+(基础状态预期!U79-1)*H$11)</f>
        <v/>
      </c>
      <c r="Z66" s="14" t="str">
        <f>IF(基础状态预期!V79="","",I$8+(基础状态预期!V79-1)*I$11)</f>
        <v/>
      </c>
      <c r="AA66" s="14" t="str">
        <f>IF(基础状态预期!W79="","",J$8+(基础状态预期!W79-1)*J$11)</f>
        <v/>
      </c>
      <c r="AB66" s="14" t="str">
        <f>IF(基础状态预期!X79="","",K$8+(基础状态预期!X79-1)*K$11)</f>
        <v/>
      </c>
      <c r="AC66" s="14">
        <f>IF(基础状态预期!Y79="","",L$8+(基础状态预期!Y79-1)*L$11)</f>
        <v>5944.8219716469439</v>
      </c>
      <c r="AD66" s="14">
        <f>SUMPRODUCT(Y66:AC66,基础状态预期!$F79:$J79)/SUM(基础状态预期!$F79:$J79)</f>
        <v>5944.8219716469439</v>
      </c>
      <c r="AE66" s="14" t="str">
        <f>IF(基础状态预期!U79="","",H$9+(基础状态预期!U79-1)*H$12)</f>
        <v/>
      </c>
      <c r="AF66" s="14" t="str">
        <f>IF(基础状态预期!V79="","",I$9+(基础状态预期!V79-1)*I$12)</f>
        <v/>
      </c>
      <c r="AG66" s="14" t="str">
        <f>IF(基础状态预期!W79="","",J$9+(基础状态预期!W79-1)*J$12)</f>
        <v/>
      </c>
      <c r="AH66" s="14" t="str">
        <f>IF(基础状态预期!X79="","",K$9+(基础状态预期!X79-1)*K$12)</f>
        <v/>
      </c>
      <c r="AI66" s="14">
        <f>IF(基础状态预期!Y79="","",L$9+(基础状态预期!Y79-1)*L$12)</f>
        <v>5944.8219716469439</v>
      </c>
      <c r="AJ66" s="14">
        <f>SUMPRODUCT(AE66:AI66,基础状态预期!$F79:$J79)/SUM(基础状态预期!$F79:$J79)</f>
        <v>5944.8219716469439</v>
      </c>
      <c r="AK66" s="14" t="str">
        <f>IF(基础状态预期!U79="","",H$27+(基础状态预期!U79-1)*H$28)</f>
        <v/>
      </c>
      <c r="AL66" s="14" t="str">
        <f>IF(基础状态预期!V79="","",I$27+(基础状态预期!V79-1)*I$28)</f>
        <v/>
      </c>
      <c r="AM66" s="14" t="str">
        <f>IF(基础状态预期!W79="","",J$27+(基础状态预期!W79-1)*J$28)</f>
        <v/>
      </c>
      <c r="AN66" s="14" t="str">
        <f>IF(基础状态预期!X79="","",K$27+(基础状态预期!X79-1)*K$28)</f>
        <v/>
      </c>
      <c r="AO66" s="14">
        <f>IF(基础状态预期!Y79="","",L$27+(基础状态预期!Y79-1)*L$28)</f>
        <v>2714.9406572156477</v>
      </c>
      <c r="AP66" s="14">
        <f>SUMPRODUCT(AK66:AO66,基础状态预期!$F79:$J79)/SUM(基础状态预期!$F79:$J79)</f>
        <v>2714.9406572156477</v>
      </c>
      <c r="AQ66" s="14" t="str">
        <f>IF(基础状态预期!U79="","",H$31+(基础状态预期!U79-1)*H$32)</f>
        <v/>
      </c>
      <c r="AR66" s="14" t="str">
        <f>IF(基础状态预期!V79="","",I$31+(基础状态预期!V79-1)*I$32)</f>
        <v/>
      </c>
      <c r="AS66" s="14" t="str">
        <f>IF(基础状态预期!W79="","",J$31+(基础状态预期!W79-1)*J$32)</f>
        <v/>
      </c>
      <c r="AT66" s="14" t="str">
        <f>IF(基础状态预期!X79="","",K$31+(基础状态预期!X79-1)*K$32)</f>
        <v/>
      </c>
      <c r="AU66" s="14">
        <f>IF(基础状态预期!Y79="","",L$31+(基础状态预期!Y79-1)*L$32)</f>
        <v>191.49406572156479</v>
      </c>
      <c r="AV66" s="14">
        <f>SUMPRODUCT(AQ66:AU66,基础状态预期!$F79:$J79)/SUM(基础状态预期!$F79:$J79)</f>
        <v>191.49406572156479</v>
      </c>
      <c r="BO66" s="29">
        <f t="shared" si="44"/>
        <v>86.247032860782397</v>
      </c>
      <c r="BP66" s="10">
        <f t="shared" si="45"/>
        <v>31758932023.55817</v>
      </c>
      <c r="BQ66" s="10" t="e">
        <f>$BP66*求节点('[1]功能-付费相关'!$AY$6:$AY$105,'[1]功能-付费相关'!$BA$6:$BA$105,$BO66)+$BQ65</f>
        <v>#VALUE!</v>
      </c>
      <c r="BZ66" s="4">
        <f t="shared" si="16"/>
        <v>13275</v>
      </c>
      <c r="CA66" s="4">
        <v>63</v>
      </c>
      <c r="CB66" s="90">
        <f t="shared" si="17"/>
        <v>152180</v>
      </c>
      <c r="CC66" s="4">
        <f>SUM(CB$4:CB66)</f>
        <v>1396190</v>
      </c>
      <c r="CD66" s="4">
        <f t="shared" si="10"/>
        <v>1.0565990616013319</v>
      </c>
    </row>
    <row r="67" spans="1:82" x14ac:dyDescent="0.15">
      <c r="A67" s="99">
        <f t="shared" si="33"/>
        <v>2665200</v>
      </c>
      <c r="B67" s="14">
        <v>126</v>
      </c>
      <c r="C67" s="14">
        <f t="shared" si="18"/>
        <v>18003000</v>
      </c>
      <c r="D67" s="14">
        <f>SUM(C$5:$C67)</f>
        <v>128324000</v>
      </c>
      <c r="E67" s="89">
        <f>'[1]资源-武将经验'!$Z68</f>
        <v>1.5708697122224646</v>
      </c>
      <c r="G67" s="4"/>
      <c r="P67" s="5">
        <v>22</v>
      </c>
      <c r="Q67" s="14">
        <f>基础状态预期!D80</f>
        <v>90.122782504866933</v>
      </c>
      <c r="R67" s="14">
        <f>IF(基础状态预期!U80="",0,求节点($B$5:$B$154,$D$5:$D$154,基础状态预期!U80)*基础状态预期!F80)</f>
        <v>0</v>
      </c>
      <c r="S67" s="14">
        <f>IF(基础状态预期!V80="",0,求节点($B$5:$B$154,$D$5:$D$154,基础状态预期!V80)*基础状态预期!G80)</f>
        <v>0</v>
      </c>
      <c r="T67" s="14">
        <f>IF(基础状态预期!W80="",0,求节点($B$5:$B$154,$D$5:$D$154,基础状态预期!W80)*基础状态预期!H80)</f>
        <v>0</v>
      </c>
      <c r="U67" s="14">
        <f>IF(基础状态预期!X80="",0,求节点($B$5:$B$154,$D$5:$D$154,基础状态预期!X80)*基础状态预期!I80)</f>
        <v>0</v>
      </c>
      <c r="V67" s="14">
        <f>IF(基础状态预期!Y80="",0,求节点($B$5:$B$154,$D$5:$D$154,基础状态预期!Y80)*基础状态预期!J80)</f>
        <v>59526418627.540024</v>
      </c>
      <c r="W67" s="14">
        <f t="shared" si="48"/>
        <v>59526418627.540024</v>
      </c>
      <c r="Y67" s="14" t="str">
        <f>IF(基础状态预期!U80="","",H$8+(基础状态预期!U80-1)*H$11)</f>
        <v/>
      </c>
      <c r="Z67" s="14" t="str">
        <f>IF(基础状态预期!V80="","",I$8+(基础状态预期!V80-1)*I$11)</f>
        <v/>
      </c>
      <c r="AA67" s="14" t="str">
        <f>IF(基础状态预期!W80="","",J$8+(基础状态预期!W80-1)*J$11)</f>
        <v/>
      </c>
      <c r="AB67" s="14" t="str">
        <f>IF(基础状态预期!X80="","",K$8+(基础状态预期!X80-1)*K$11)</f>
        <v/>
      </c>
      <c r="AC67" s="14">
        <f>IF(基础状态预期!Y80="","",L$8+(基础状态预期!Y80-1)*L$11)</f>
        <v>6177.3669502920156</v>
      </c>
      <c r="AD67" s="14">
        <f>SUMPRODUCT(Y67:AC67,基础状态预期!$F80:$J80)/SUM(基础状态预期!$F80:$J80)</f>
        <v>6177.3669502920156</v>
      </c>
      <c r="AE67" s="14" t="str">
        <f>IF(基础状态预期!U80="","",H$9+(基础状态预期!U80-1)*H$12)</f>
        <v/>
      </c>
      <c r="AF67" s="14" t="str">
        <f>IF(基础状态预期!V80="","",I$9+(基础状态预期!V80-1)*I$12)</f>
        <v/>
      </c>
      <c r="AG67" s="14" t="str">
        <f>IF(基础状态预期!W80="","",J$9+(基础状态预期!W80-1)*J$12)</f>
        <v/>
      </c>
      <c r="AH67" s="14" t="str">
        <f>IF(基础状态预期!X80="","",K$9+(基础状态预期!X80-1)*K$12)</f>
        <v/>
      </c>
      <c r="AI67" s="14">
        <f>IF(基础状态预期!Y80="","",L$9+(基础状态预期!Y80-1)*L$12)</f>
        <v>6177.3669502920156</v>
      </c>
      <c r="AJ67" s="14">
        <f>SUMPRODUCT(AE67:AI67,基础状态预期!$F80:$J80)/SUM(基础状态预期!$F80:$J80)</f>
        <v>6177.3669502920156</v>
      </c>
      <c r="AK67" s="14" t="str">
        <f>IF(基础状态预期!U80="","",H$27+(基础状态预期!U80-1)*H$28)</f>
        <v/>
      </c>
      <c r="AL67" s="14" t="str">
        <f>IF(基础状态预期!V80="","",I$27+(基础状态预期!V80-1)*I$28)</f>
        <v/>
      </c>
      <c r="AM67" s="14" t="str">
        <f>IF(基础状态预期!W80="","",J$27+(基础状态预期!W80-1)*J$28)</f>
        <v/>
      </c>
      <c r="AN67" s="14" t="str">
        <f>IF(基础状态预期!X80="","",K$27+(基础状态预期!X80-1)*K$28)</f>
        <v/>
      </c>
      <c r="AO67" s="14">
        <f>IF(基础状态预期!Y80="","",L$27+(基础状态预期!Y80-1)*L$28)</f>
        <v>2792.4556500973385</v>
      </c>
      <c r="AP67" s="14">
        <f>SUMPRODUCT(AK67:AO67,基础状态预期!$F80:$J80)/SUM(基础状态预期!$F80:$J80)</f>
        <v>2792.455650097339</v>
      </c>
      <c r="AQ67" s="14" t="str">
        <f>IF(基础状态预期!U80="","",H$31+(基础状态预期!U80-1)*H$32)</f>
        <v/>
      </c>
      <c r="AR67" s="14" t="str">
        <f>IF(基础状态预期!V80="","",I$31+(基础状态预期!V80-1)*I$32)</f>
        <v/>
      </c>
      <c r="AS67" s="14" t="str">
        <f>IF(基础状态预期!W80="","",J$31+(基础状态预期!W80-1)*J$32)</f>
        <v/>
      </c>
      <c r="AT67" s="14" t="str">
        <f>IF(基础状态预期!X80="","",K$31+(基础状态预期!X80-1)*K$32)</f>
        <v/>
      </c>
      <c r="AU67" s="14">
        <f>IF(基础状态预期!Y80="","",L$31+(基础状态预期!Y80-1)*L$32)</f>
        <v>199.24556500973387</v>
      </c>
      <c r="AV67" s="14">
        <f>SUMPRODUCT(AQ67:AU67,基础状态预期!$F80:$J80)/SUM(基础状态预期!$F80:$J80)</f>
        <v>199.24556500973389</v>
      </c>
      <c r="BO67" s="29">
        <f t="shared" si="44"/>
        <v>90.122782504866933</v>
      </c>
      <c r="BP67" s="10">
        <f t="shared" si="45"/>
        <v>59526418627.540024</v>
      </c>
      <c r="BQ67" s="10" t="e">
        <f>$BP67*求节点('[1]功能-付费相关'!$AY$6:$AY$105,'[1]功能-付费相关'!$BA$6:$BA$105,$BO67)+$BQ66</f>
        <v>#VALUE!</v>
      </c>
      <c r="BZ67" s="4">
        <f t="shared" si="16"/>
        <v>13525</v>
      </c>
      <c r="CA67" s="4">
        <v>64</v>
      </c>
      <c r="CB67" s="90">
        <f t="shared" si="17"/>
        <v>165705</v>
      </c>
      <c r="CC67" s="4">
        <f>SUM(CB$4:CB67)</f>
        <v>1561895</v>
      </c>
      <c r="CD67" s="4">
        <f t="shared" si="10"/>
        <v>1.059917888165038</v>
      </c>
    </row>
    <row r="68" spans="1:82" x14ac:dyDescent="0.15">
      <c r="A68" s="99">
        <f t="shared" si="33"/>
        <v>3139600</v>
      </c>
      <c r="B68" s="14">
        <v>128</v>
      </c>
      <c r="C68" s="14">
        <f t="shared" si="18"/>
        <v>21142600</v>
      </c>
      <c r="D68" s="14">
        <f>SUM(C$5:$C68)</f>
        <v>149466600</v>
      </c>
      <c r="E68" s="89">
        <f>'[1]资源-武将经验'!$Z69</f>
        <v>1.6424056115187189</v>
      </c>
      <c r="G68" s="4"/>
      <c r="P68" s="5">
        <v>23</v>
      </c>
      <c r="Q68" s="14">
        <f>基础状态预期!D81</f>
        <v>93.149045658279036</v>
      </c>
      <c r="R68" s="14">
        <f>IF(基础状态预期!U81="",0,求节点($B$5:$B$154,$D$5:$D$154,基础状态预期!U81)*基础状态预期!F81)</f>
        <v>0</v>
      </c>
      <c r="S68" s="14">
        <f>IF(基础状态预期!V81="",0,求节点($B$5:$B$154,$D$5:$D$154,基础状态预期!V81)*基础状态预期!G81)</f>
        <v>0</v>
      </c>
      <c r="T68" s="14">
        <f>IF(基础状态预期!W81="",0,求节点($B$5:$B$154,$D$5:$D$154,基础状态预期!W81)*基础状态预期!H81)</f>
        <v>0</v>
      </c>
      <c r="U68" s="14">
        <f>IF(基础状态预期!X81="",0,求节点($B$5:$B$154,$D$5:$D$154,基础状态预期!X81)*基础状态预期!I81)</f>
        <v>0</v>
      </c>
      <c r="V68" s="14">
        <f>IF(基础状态预期!Y81="",0,求节点($B$5:$B$154,$D$5:$D$154,基础状态预期!Y81)*基础状态预期!J81)</f>
        <v>96973494211.62027</v>
      </c>
      <c r="W68" s="14">
        <f t="shared" si="48"/>
        <v>96973494211.62027</v>
      </c>
      <c r="Y68" s="14" t="str">
        <f>IF(基础状态预期!U81="","",H$8+(基础状态预期!U81-1)*H$11)</f>
        <v/>
      </c>
      <c r="Z68" s="14" t="str">
        <f>IF(基础状态预期!V81="","",I$8+(基础状态预期!V81-1)*I$11)</f>
        <v/>
      </c>
      <c r="AA68" s="14" t="str">
        <f>IF(基础状态预期!W81="","",J$8+(基础状态预期!W81-1)*J$11)</f>
        <v/>
      </c>
      <c r="AB68" s="14" t="str">
        <f>IF(基础状态预期!X81="","",K$8+(基础状态预期!X81-1)*K$11)</f>
        <v/>
      </c>
      <c r="AC68" s="14">
        <f>IF(基础状态预期!Y81="","",L$8+(基础状态预期!Y81-1)*L$11)</f>
        <v>6358.9427394967424</v>
      </c>
      <c r="AD68" s="14">
        <f>SUMPRODUCT(Y68:AC68,基础状态预期!$F81:$J81)/SUM(基础状态预期!$F81:$J81)</f>
        <v>6358.9427394967424</v>
      </c>
      <c r="AE68" s="14" t="str">
        <f>IF(基础状态预期!U81="","",H$9+(基础状态预期!U81-1)*H$12)</f>
        <v/>
      </c>
      <c r="AF68" s="14" t="str">
        <f>IF(基础状态预期!V81="","",I$9+(基础状态预期!V81-1)*I$12)</f>
        <v/>
      </c>
      <c r="AG68" s="14" t="str">
        <f>IF(基础状态预期!W81="","",J$9+(基础状态预期!W81-1)*J$12)</f>
        <v/>
      </c>
      <c r="AH68" s="14" t="str">
        <f>IF(基础状态预期!X81="","",K$9+(基础状态预期!X81-1)*K$12)</f>
        <v/>
      </c>
      <c r="AI68" s="14">
        <f>IF(基础状态预期!Y81="","",L$9+(基础状态预期!Y81-1)*L$12)</f>
        <v>6358.9427394967424</v>
      </c>
      <c r="AJ68" s="14">
        <f>SUMPRODUCT(AE68:AI68,基础状态预期!$F81:$J81)/SUM(基础状态预期!$F81:$J81)</f>
        <v>6358.9427394967424</v>
      </c>
      <c r="AK68" s="14" t="str">
        <f>IF(基础状态预期!U81="","",H$27+(基础状态预期!U81-1)*H$28)</f>
        <v/>
      </c>
      <c r="AL68" s="14" t="str">
        <f>IF(基础状态预期!V81="","",I$27+(基础状态预期!V81-1)*I$28)</f>
        <v/>
      </c>
      <c r="AM68" s="14" t="str">
        <f>IF(基础状态预期!W81="","",J$27+(基础状态预期!W81-1)*J$28)</f>
        <v/>
      </c>
      <c r="AN68" s="14" t="str">
        <f>IF(基础状态预期!X81="","",K$27+(基础状态预期!X81-1)*K$28)</f>
        <v/>
      </c>
      <c r="AO68" s="14">
        <f>IF(基础状态预期!Y81="","",L$27+(基础状态预期!Y81-1)*L$28)</f>
        <v>2852.9809131655807</v>
      </c>
      <c r="AP68" s="14">
        <f>SUMPRODUCT(AK68:AO68,基础状态预期!$F81:$J81)/SUM(基础状态预期!$F81:$J81)</f>
        <v>2852.9809131655807</v>
      </c>
      <c r="AQ68" s="14" t="str">
        <f>IF(基础状态预期!U81="","",H$31+(基础状态预期!U81-1)*H$32)</f>
        <v/>
      </c>
      <c r="AR68" s="14" t="str">
        <f>IF(基础状态预期!V81="","",I$31+(基础状态预期!V81-1)*I$32)</f>
        <v/>
      </c>
      <c r="AS68" s="14" t="str">
        <f>IF(基础状态预期!W81="","",J$31+(基础状态预期!W81-1)*J$32)</f>
        <v/>
      </c>
      <c r="AT68" s="14" t="str">
        <f>IF(基础状态预期!X81="","",K$31+(基础状态预期!X81-1)*K$32)</f>
        <v/>
      </c>
      <c r="AU68" s="14">
        <f>IF(基础状态预期!Y81="","",L$31+(基础状态预期!Y81-1)*L$32)</f>
        <v>205.29809131655807</v>
      </c>
      <c r="AV68" s="14">
        <f>SUMPRODUCT(AQ68:AU68,基础状态预期!$F81:$J81)/SUM(基础状态预期!$F81:$J81)</f>
        <v>205.29809131655807</v>
      </c>
      <c r="BO68" s="29">
        <f t="shared" si="44"/>
        <v>93.149045658279036</v>
      </c>
      <c r="BP68" s="10">
        <f t="shared" si="45"/>
        <v>96973494211.62027</v>
      </c>
      <c r="BQ68" s="10" t="e">
        <f>$BP68*求节点('[1]功能-付费相关'!$AY$6:$AY$105,'[1]功能-付费相关'!$BA$6:$BA$105,$BO68)+$BQ67</f>
        <v>#VALUE!</v>
      </c>
      <c r="BZ68" s="4">
        <f t="shared" si="16"/>
        <v>13525</v>
      </c>
      <c r="CA68" s="4">
        <v>65</v>
      </c>
      <c r="CB68" s="90">
        <f t="shared" si="17"/>
        <v>179230</v>
      </c>
      <c r="CC68" s="4">
        <f>SUM(CB$4:CB68)</f>
        <v>1741125</v>
      </c>
      <c r="CD68" s="4">
        <f t="shared" si="10"/>
        <v>1.0534077502495689</v>
      </c>
    </row>
    <row r="69" spans="1:82" x14ac:dyDescent="0.15">
      <c r="A69" s="99">
        <f t="shared" si="33"/>
        <v>3698400</v>
      </c>
      <c r="B69" s="14">
        <v>130</v>
      </c>
      <c r="C69" s="14">
        <f t="shared" si="18"/>
        <v>24841000</v>
      </c>
      <c r="D69" s="14">
        <f>SUM(C$5:$C69)</f>
        <v>174307600</v>
      </c>
      <c r="E69" s="89">
        <f>'[1]资源-武将经验'!$Z70</f>
        <v>1.738309239298315</v>
      </c>
      <c r="P69" s="5">
        <v>24</v>
      </c>
      <c r="Q69" s="14">
        <f>基础状态预期!D82</f>
        <v>96.770480813454071</v>
      </c>
      <c r="R69" s="14">
        <f>IF(基础状态预期!U82="",0,求节点($B$5:$B$154,$D$5:$D$154,基础状态预期!U82)*基础状态预期!F82)</f>
        <v>0</v>
      </c>
      <c r="S69" s="14">
        <f>IF(基础状态预期!V82="",0,求节点($B$5:$B$154,$D$5:$D$154,基础状态预期!V82)*基础状态预期!G82)</f>
        <v>0</v>
      </c>
      <c r="T69" s="14">
        <f>IF(基础状态预期!W82="",0,求节点($B$5:$B$154,$D$5:$D$154,基础状态预期!W82)*基础状态预期!H82)</f>
        <v>0</v>
      </c>
      <c r="U69" s="14">
        <f>IF(基础状态预期!X82="",0,求节点($B$5:$B$154,$D$5:$D$154,基础状态预期!X82)*基础状态预期!I82)</f>
        <v>0</v>
      </c>
      <c r="V69" s="14">
        <f>IF(基础状态预期!Y82="",0,求节点($B$5:$B$154,$D$5:$D$154,基础状态预期!Y82)*基础状态预期!J82)</f>
        <v>173034462186.03647</v>
      </c>
      <c r="W69" s="14">
        <f t="shared" si="48"/>
        <v>173034462186.03647</v>
      </c>
      <c r="Y69" s="14" t="str">
        <f>IF(基础状态预期!U82="","",H$8+(基础状态预期!U82-1)*H$11)</f>
        <v/>
      </c>
      <c r="Z69" s="14" t="str">
        <f>IF(基础状态预期!V82="","",I$8+(基础状态预期!V82-1)*I$11)</f>
        <v/>
      </c>
      <c r="AA69" s="14" t="str">
        <f>IF(基础状态预期!W82="","",J$8+(基础状态预期!W82-1)*J$11)</f>
        <v/>
      </c>
      <c r="AB69" s="14" t="str">
        <f>IF(基础状态预期!X82="","",K$8+(基础状态预期!X82-1)*K$11)</f>
        <v/>
      </c>
      <c r="AC69" s="14">
        <f>IF(基础状态预期!Y82="","",L$8+(基础状态预期!Y82-1)*L$11)</f>
        <v>6576.2288488072445</v>
      </c>
      <c r="AD69" s="14">
        <f>SUMPRODUCT(Y69:AC69,基础状态预期!$F82:$J82)/SUM(基础状态预期!$F82:$J82)</f>
        <v>6576.2288488072445</v>
      </c>
      <c r="AE69" s="14" t="str">
        <f>IF(基础状态预期!U82="","",H$9+(基础状态预期!U82-1)*H$12)</f>
        <v/>
      </c>
      <c r="AF69" s="14" t="str">
        <f>IF(基础状态预期!V82="","",I$9+(基础状态预期!V82-1)*I$12)</f>
        <v/>
      </c>
      <c r="AG69" s="14" t="str">
        <f>IF(基础状态预期!W82="","",J$9+(基础状态预期!W82-1)*J$12)</f>
        <v/>
      </c>
      <c r="AH69" s="14" t="str">
        <f>IF(基础状态预期!X82="","",K$9+(基础状态预期!X82-1)*K$12)</f>
        <v/>
      </c>
      <c r="AI69" s="14">
        <f>IF(基础状态预期!Y82="","",L$9+(基础状态预期!Y82-1)*L$12)</f>
        <v>6576.2288488072445</v>
      </c>
      <c r="AJ69" s="14">
        <f>SUMPRODUCT(AE69:AI69,基础状态预期!$F82:$J82)/SUM(基础状态预期!$F82:$J82)</f>
        <v>6576.2288488072445</v>
      </c>
      <c r="AK69" s="14" t="str">
        <f>IF(基础状态预期!U82="","",H$27+(基础状态预期!U82-1)*H$28)</f>
        <v/>
      </c>
      <c r="AL69" s="14" t="str">
        <f>IF(基础状态预期!V82="","",I$27+(基础状态预期!V82-1)*I$28)</f>
        <v/>
      </c>
      <c r="AM69" s="14" t="str">
        <f>IF(基础状态预期!W82="","",J$27+(基础状态预期!W82-1)*J$28)</f>
        <v/>
      </c>
      <c r="AN69" s="14" t="str">
        <f>IF(基础状态预期!X82="","",K$27+(基础状态预期!X82-1)*K$28)</f>
        <v/>
      </c>
      <c r="AO69" s="14">
        <f>IF(基础状态预期!Y82="","",L$27+(基础状态预期!Y82-1)*L$28)</f>
        <v>2925.4096162690812</v>
      </c>
      <c r="AP69" s="14">
        <f>SUMPRODUCT(AK69:AO69,基础状态预期!$F82:$J82)/SUM(基础状态预期!$F82:$J82)</f>
        <v>2925.4096162690817</v>
      </c>
      <c r="AQ69" s="14" t="str">
        <f>IF(基础状态预期!U82="","",H$31+(基础状态预期!U82-1)*H$32)</f>
        <v/>
      </c>
      <c r="AR69" s="14" t="str">
        <f>IF(基础状态预期!V82="","",I$31+(基础状态预期!V82-1)*I$32)</f>
        <v/>
      </c>
      <c r="AS69" s="14" t="str">
        <f>IF(基础状态预期!W82="","",J$31+(基础状态预期!W82-1)*J$32)</f>
        <v/>
      </c>
      <c r="AT69" s="14" t="str">
        <f>IF(基础状态预期!X82="","",K$31+(基础状态预期!X82-1)*K$32)</f>
        <v/>
      </c>
      <c r="AU69" s="14">
        <f>IF(基础状态预期!Y82="","",L$31+(基础状态预期!Y82-1)*L$32)</f>
        <v>212.54096162690814</v>
      </c>
      <c r="AV69" s="14">
        <f>SUMPRODUCT(AQ69:AU69,基础状态预期!$F82:$J82)/SUM(基础状态预期!$F82:$J82)</f>
        <v>212.54096162690814</v>
      </c>
      <c r="BO69" s="29">
        <f t="shared" si="44"/>
        <v>96.770480813454071</v>
      </c>
      <c r="BP69" s="10">
        <f t="shared" si="45"/>
        <v>173034462186.03647</v>
      </c>
      <c r="BQ69" s="10" t="e">
        <f>$BP69*求节点('[1]功能-付费相关'!$AY$6:$AY$105,'[1]功能-付费相关'!$BA$6:$BA$105,$BO69)+$BQ68</f>
        <v>#VALUE!</v>
      </c>
      <c r="BZ69" s="4">
        <f t="shared" si="16"/>
        <v>13775</v>
      </c>
      <c r="CA69" s="4">
        <v>66</v>
      </c>
      <c r="CB69" s="90">
        <f t="shared" si="17"/>
        <v>193005</v>
      </c>
      <c r="CC69" s="4">
        <f>SUM(CB$4:CB69)</f>
        <v>1934130</v>
      </c>
      <c r="CD69" s="4">
        <f t="shared" ref="CD69:CD132" si="49">CC69/求节点($B$5:$B$154,$D$5:$D$154,CA69)</f>
        <v>1.0556901915834289</v>
      </c>
    </row>
    <row r="70" spans="1:82" x14ac:dyDescent="0.15">
      <c r="A70" s="99">
        <f t="shared" si="33"/>
        <v>4356700</v>
      </c>
      <c r="B70" s="14">
        <v>132</v>
      </c>
      <c r="C70" s="14">
        <f t="shared" si="18"/>
        <v>29197700</v>
      </c>
      <c r="D70" s="14">
        <f>SUM(C$5:$C70)</f>
        <v>203505300</v>
      </c>
      <c r="E70" s="89">
        <f>'[1]资源-武将经验'!$Z71</f>
        <v>1.6865646891796608</v>
      </c>
      <c r="P70" s="5">
        <v>25</v>
      </c>
      <c r="Q70" s="14">
        <f>基础状态预期!D83</f>
        <v>100.40175326279811</v>
      </c>
      <c r="R70" s="14">
        <f>IF(基础状态预期!U83="",0,求节点($B$5:$B$154,$D$5:$D$154,基础状态预期!U83)*基础状态预期!F83)</f>
        <v>0</v>
      </c>
      <c r="S70" s="14">
        <f>IF(基础状态预期!V83="",0,求节点($B$5:$B$154,$D$5:$D$154,基础状态预期!V83)*基础状态预期!G83)</f>
        <v>0</v>
      </c>
      <c r="T70" s="14">
        <f>IF(基础状态预期!W83="",0,求节点($B$5:$B$154,$D$5:$D$154,基础状态预期!W83)*基础状态预期!H83)</f>
        <v>0</v>
      </c>
      <c r="U70" s="14">
        <f>IF(基础状态预期!X83="",0,求节点($B$5:$B$154,$D$5:$D$154,基础状态预期!X83)*基础状态预期!I83)</f>
        <v>0</v>
      </c>
      <c r="V70" s="14">
        <f>IF(基础状态预期!Y83="",0,求节点($B$5:$B$154,$D$5:$D$154,基础状态预期!Y83)*基础状态预期!J83)</f>
        <v>305479307976.61816</v>
      </c>
      <c r="W70" s="14">
        <f t="shared" si="48"/>
        <v>305479307976.61816</v>
      </c>
      <c r="Y70" s="14" t="str">
        <f>IF(基础状态预期!U83="","",H$8+(基础状态预期!U83-1)*H$11)</f>
        <v/>
      </c>
      <c r="Z70" s="14" t="str">
        <f>IF(基础状态预期!V83="","",I$8+(基础状态预期!V83-1)*I$11)</f>
        <v/>
      </c>
      <c r="AA70" s="14" t="str">
        <f>IF(基础状态预期!W83="","",J$8+(基础状态预期!W83-1)*J$11)</f>
        <v/>
      </c>
      <c r="AB70" s="14" t="str">
        <f>IF(基础状态预期!X83="","",K$8+(基础状态预期!X83-1)*K$11)</f>
        <v/>
      </c>
      <c r="AC70" s="14">
        <f>IF(基础状态预期!Y83="","",L$8+(基础状态预期!Y83-1)*L$11)</f>
        <v>6794.1051957678865</v>
      </c>
      <c r="AD70" s="14">
        <f>SUMPRODUCT(Y70:AC70,基础状态预期!$F83:$J83)/SUM(基础状态预期!$F83:$J83)</f>
        <v>6794.1051957678865</v>
      </c>
      <c r="AE70" s="14" t="str">
        <f>IF(基础状态预期!U83="","",H$9+(基础状态预期!U83-1)*H$12)</f>
        <v/>
      </c>
      <c r="AF70" s="14" t="str">
        <f>IF(基础状态预期!V83="","",I$9+(基础状态预期!V83-1)*I$12)</f>
        <v/>
      </c>
      <c r="AG70" s="14" t="str">
        <f>IF(基础状态预期!W83="","",J$9+(基础状态预期!W83-1)*J$12)</f>
        <v/>
      </c>
      <c r="AH70" s="14" t="str">
        <f>IF(基础状态预期!X83="","",K$9+(基础状态预期!X83-1)*K$12)</f>
        <v/>
      </c>
      <c r="AI70" s="14">
        <f>IF(基础状态预期!Y83="","",L$9+(基础状态预期!Y83-1)*L$12)</f>
        <v>6794.1051957678865</v>
      </c>
      <c r="AJ70" s="14">
        <f>SUMPRODUCT(AE70:AI70,基础状态预期!$F83:$J83)/SUM(基础状态预期!$F83:$J83)</f>
        <v>6794.1051957678865</v>
      </c>
      <c r="AK70" s="14" t="str">
        <f>IF(基础状态预期!U83="","",H$27+(基础状态预期!U83-1)*H$28)</f>
        <v/>
      </c>
      <c r="AL70" s="14" t="str">
        <f>IF(基础状态预期!V83="","",I$27+(基础状态预期!V83-1)*I$28)</f>
        <v/>
      </c>
      <c r="AM70" s="14" t="str">
        <f>IF(基础状态预期!W83="","",J$27+(基础状态预期!W83-1)*J$28)</f>
        <v/>
      </c>
      <c r="AN70" s="14" t="str">
        <f>IF(基础状态预期!X83="","",K$27+(基础状态预期!X83-1)*K$28)</f>
        <v/>
      </c>
      <c r="AO70" s="14">
        <f>IF(基础状态预期!Y83="","",L$27+(基础状态预期!Y83-1)*L$28)</f>
        <v>2998.0350652559623</v>
      </c>
      <c r="AP70" s="14">
        <f>SUMPRODUCT(AK70:AO70,基础状态预期!$F83:$J83)/SUM(基础状态预期!$F83:$J83)</f>
        <v>2998.0350652559623</v>
      </c>
      <c r="AQ70" s="14" t="str">
        <f>IF(基础状态预期!U83="","",H$31+(基础状态预期!U83-1)*H$32)</f>
        <v/>
      </c>
      <c r="AR70" s="14" t="str">
        <f>IF(基础状态预期!V83="","",I$31+(基础状态预期!V83-1)*I$32)</f>
        <v/>
      </c>
      <c r="AS70" s="14" t="str">
        <f>IF(基础状态预期!W83="","",J$31+(基础状态预期!W83-1)*J$32)</f>
        <v/>
      </c>
      <c r="AT70" s="14" t="str">
        <f>IF(基础状态预期!X83="","",K$31+(基础状态预期!X83-1)*K$32)</f>
        <v/>
      </c>
      <c r="AU70" s="14">
        <f>IF(基础状态预期!Y83="","",L$31+(基础状态预期!Y83-1)*L$32)</f>
        <v>219.80350652559622</v>
      </c>
      <c r="AV70" s="14">
        <f>SUMPRODUCT(AQ70:AU70,基础状态预期!$F83:$J83)/SUM(基础状态预期!$F83:$J83)</f>
        <v>219.80350652559619</v>
      </c>
      <c r="BO70" s="29">
        <f t="shared" si="44"/>
        <v>100.40175326279811</v>
      </c>
      <c r="BP70" s="10">
        <f t="shared" si="45"/>
        <v>305479307976.61816</v>
      </c>
      <c r="BQ70" s="10" t="e">
        <f>$BP70*求节点('[1]功能-付费相关'!$AY$6:$AY$105,'[1]功能-付费相关'!$BA$6:$BA$105,$BO70)+$BQ69</f>
        <v>#VALUE!</v>
      </c>
      <c r="BZ70" s="4">
        <f t="shared" ref="BZ70:BZ133" si="50">INDEX($A$6:$A$154,CA70/2,1)/4</f>
        <v>13775</v>
      </c>
      <c r="CA70" s="4">
        <v>67</v>
      </c>
      <c r="CB70" s="90">
        <f t="shared" ref="CB70:CB133" si="51">BZ70+CB69</f>
        <v>206780</v>
      </c>
      <c r="CC70" s="4">
        <f>SUM(CB$4:CB70)</f>
        <v>2140910</v>
      </c>
      <c r="CD70" s="4">
        <f t="shared" si="49"/>
        <v>1.0500318799352593</v>
      </c>
    </row>
    <row r="71" spans="1:82" x14ac:dyDescent="0.15">
      <c r="A71" s="99">
        <f t="shared" si="33"/>
        <v>5132100</v>
      </c>
      <c r="B71" s="14">
        <v>134</v>
      </c>
      <c r="C71" s="14">
        <f t="shared" ref="C71:C134" si="52">A71+C70</f>
        <v>34329800</v>
      </c>
      <c r="D71" s="14">
        <f>SUM(C$5:$C71)</f>
        <v>237835100</v>
      </c>
      <c r="E71" s="89">
        <f>'[1]资源-武将经验'!$Z72</f>
        <v>1.6803326677366546</v>
      </c>
      <c r="P71" s="5">
        <v>26</v>
      </c>
      <c r="Q71" s="14">
        <f>基础状态预期!D84</f>
        <v>104.06236366727887</v>
      </c>
      <c r="R71" s="14">
        <f>IF(基础状态预期!U84="",0,求节点($B$5:$B$154,$D$5:$D$154,基础状态预期!U84)*基础状态预期!F84)</f>
        <v>0</v>
      </c>
      <c r="S71" s="14">
        <f>IF(基础状态预期!V84="",0,求节点($B$5:$B$154,$D$5:$D$154,基础状态预期!V84)*基础状态预期!G84)</f>
        <v>0</v>
      </c>
      <c r="T71" s="14">
        <f>IF(基础状态预期!W84="",0,求节点($B$5:$B$154,$D$5:$D$154,基础状态预期!W84)*基础状态预期!H84)</f>
        <v>0</v>
      </c>
      <c r="U71" s="14">
        <f>IF(基础状态预期!X84="",0,求节点($B$5:$B$154,$D$5:$D$154,基础状态预期!X84)*基础状态预期!I84)</f>
        <v>0</v>
      </c>
      <c r="V71" s="14">
        <f>IF(基础状态预期!Y84="",0,求节点($B$5:$B$154,$D$5:$D$154,基础状态预期!Y84)*基础状态预期!J84)</f>
        <v>532235684636.78998</v>
      </c>
      <c r="W71" s="14">
        <f t="shared" si="48"/>
        <v>532235684636.78998</v>
      </c>
      <c r="Y71" s="14" t="str">
        <f>IF(基础状态预期!U84="","",H$8+(基础状态预期!U84-1)*H$11)</f>
        <v/>
      </c>
      <c r="Z71" s="14" t="str">
        <f>IF(基础状态预期!V84="","",I$8+(基础状态预期!V84-1)*I$11)</f>
        <v/>
      </c>
      <c r="AA71" s="14" t="str">
        <f>IF(基础状态预期!W84="","",J$8+(基础状态预期!W84-1)*J$11)</f>
        <v/>
      </c>
      <c r="AB71" s="14" t="str">
        <f>IF(基础状态预期!X84="","",K$8+(基础状态预期!X84-1)*K$11)</f>
        <v/>
      </c>
      <c r="AC71" s="14">
        <f>IF(基础状态预期!Y84="","",L$8+(基础状态预期!Y84-1)*L$11)</f>
        <v>7013.741820036732</v>
      </c>
      <c r="AD71" s="14">
        <f>SUMPRODUCT(Y71:AC71,基础状态预期!$F84:$J84)/SUM(基础状态预期!$F84:$J84)</f>
        <v>7013.741820036732</v>
      </c>
      <c r="AE71" s="14" t="str">
        <f>IF(基础状态预期!U84="","",H$9+(基础状态预期!U84-1)*H$12)</f>
        <v/>
      </c>
      <c r="AF71" s="14" t="str">
        <f>IF(基础状态预期!V84="","",I$9+(基础状态预期!V84-1)*I$12)</f>
        <v/>
      </c>
      <c r="AG71" s="14" t="str">
        <f>IF(基础状态预期!W84="","",J$9+(基础状态预期!W84-1)*J$12)</f>
        <v/>
      </c>
      <c r="AH71" s="14" t="str">
        <f>IF(基础状态预期!X84="","",K$9+(基础状态预期!X84-1)*K$12)</f>
        <v/>
      </c>
      <c r="AI71" s="14">
        <f>IF(基础状态预期!Y84="","",L$9+(基础状态预期!Y84-1)*L$12)</f>
        <v>7013.741820036732</v>
      </c>
      <c r="AJ71" s="14">
        <f>SUMPRODUCT(AE71:AI71,基础状态预期!$F84:$J84)/SUM(基础状态预期!$F84:$J84)</f>
        <v>7013.741820036732</v>
      </c>
      <c r="AK71" s="14" t="str">
        <f>IF(基础状态预期!U84="","",H$27+(基础状态预期!U84-1)*H$28)</f>
        <v/>
      </c>
      <c r="AL71" s="14" t="str">
        <f>IF(基础状态预期!V84="","",I$27+(基础状态预期!V84-1)*I$28)</f>
        <v/>
      </c>
      <c r="AM71" s="14" t="str">
        <f>IF(基础状态预期!W84="","",J$27+(基础状态预期!W84-1)*J$28)</f>
        <v/>
      </c>
      <c r="AN71" s="14" t="str">
        <f>IF(基础状态预期!X84="","",K$27+(基础状态预期!X84-1)*K$28)</f>
        <v/>
      </c>
      <c r="AO71" s="14">
        <f>IF(基础状态预期!Y84="","",L$27+(基础状态预期!Y84-1)*L$28)</f>
        <v>3071.2472733455775</v>
      </c>
      <c r="AP71" s="14">
        <f>SUMPRODUCT(AK71:AO71,基础状态预期!$F84:$J84)/SUM(基础状态预期!$F84:$J84)</f>
        <v>3071.2472733455775</v>
      </c>
      <c r="AQ71" s="14" t="str">
        <f>IF(基础状态预期!U84="","",H$31+(基础状态预期!U84-1)*H$32)</f>
        <v/>
      </c>
      <c r="AR71" s="14" t="str">
        <f>IF(基础状态预期!V84="","",I$31+(基础状态预期!V84-1)*I$32)</f>
        <v/>
      </c>
      <c r="AS71" s="14" t="str">
        <f>IF(基础状态预期!W84="","",J$31+(基础状态预期!W84-1)*J$32)</f>
        <v/>
      </c>
      <c r="AT71" s="14" t="str">
        <f>IF(基础状态预期!X84="","",K$31+(基础状态预期!X84-1)*K$32)</f>
        <v/>
      </c>
      <c r="AU71" s="14">
        <f>IF(基础状态预期!Y84="","",L$31+(基础状态预期!Y84-1)*L$32)</f>
        <v>227.12472733455775</v>
      </c>
      <c r="AV71" s="14">
        <f>SUMPRODUCT(AQ71:AU71,基础状态预期!$F84:$J84)/SUM(基础状态预期!$F84:$J84)</f>
        <v>227.12472733455775</v>
      </c>
      <c r="BO71" s="29">
        <f t="shared" si="44"/>
        <v>104.06236366727887</v>
      </c>
      <c r="BP71" s="10">
        <f t="shared" si="45"/>
        <v>532235684636.78998</v>
      </c>
      <c r="BQ71" s="10" t="e">
        <f>$BP71*求节点('[1]功能-付费相关'!$AY$6:$AY$105,'[1]功能-付费相关'!$BA$6:$BA$105,$BO71)+$BQ70</f>
        <v>#VALUE!</v>
      </c>
      <c r="BZ71" s="4">
        <f t="shared" si="50"/>
        <v>14050</v>
      </c>
      <c r="CA71" s="4">
        <v>68</v>
      </c>
      <c r="CB71" s="90">
        <f t="shared" si="51"/>
        <v>220830</v>
      </c>
      <c r="CC71" s="4">
        <f>SUM(CB$4:CB71)</f>
        <v>2361740</v>
      </c>
      <c r="CD71" s="4">
        <f t="shared" si="49"/>
        <v>1.0516720844280181</v>
      </c>
    </row>
    <row r="72" spans="1:82" x14ac:dyDescent="0.15">
      <c r="A72" s="99">
        <f t="shared" si="33"/>
        <v>6045600</v>
      </c>
      <c r="B72" s="14">
        <v>136</v>
      </c>
      <c r="C72" s="14">
        <f t="shared" si="52"/>
        <v>40375400</v>
      </c>
      <c r="D72" s="14">
        <f>SUM(C$5:$C72)</f>
        <v>278210500</v>
      </c>
      <c r="E72" s="89">
        <f>'[1]资源-武将经验'!$Z73</f>
        <v>1.7158046445034763</v>
      </c>
      <c r="P72" s="5">
        <v>27</v>
      </c>
      <c r="Q72" s="14">
        <f>基础状态预期!D85</f>
        <v>107.42257994053838</v>
      </c>
      <c r="R72" s="14">
        <f>IF(基础状态预期!U85="",0,求节点($B$5:$B$154,$D$5:$D$154,基础状态预期!U85)*基础状态预期!F85)</f>
        <v>0</v>
      </c>
      <c r="S72" s="14">
        <f>IF(基础状态预期!V85="",0,求节点($B$5:$B$154,$D$5:$D$154,基础状态预期!V85)*基础状态预期!G85)</f>
        <v>0</v>
      </c>
      <c r="T72" s="14">
        <f>IF(基础状态预期!W85="",0,求节点($B$5:$B$154,$D$5:$D$154,基础状态预期!W85)*基础状态预期!H85)</f>
        <v>0</v>
      </c>
      <c r="U72" s="14">
        <f>IF(基础状态预期!X85="",0,求节点($B$5:$B$154,$D$5:$D$154,基础状态预期!X85)*基础状态预期!I85)</f>
        <v>0</v>
      </c>
      <c r="V72" s="14">
        <f>IF(基础状态预期!Y85="",0,求节点($B$5:$B$154,$D$5:$D$154,基础状态预期!Y85)*基础状态预期!J85)</f>
        <v>879287991154.84668</v>
      </c>
      <c r="W72" s="14">
        <f t="shared" si="48"/>
        <v>879287991154.84668</v>
      </c>
      <c r="Y72" s="14" t="str">
        <f>IF(基础状态预期!U85="","",H$8+(基础状态预期!U85-1)*H$11)</f>
        <v/>
      </c>
      <c r="Z72" s="14" t="str">
        <f>IF(基础状态预期!V85="","",I$8+(基础状态预期!V85-1)*I$11)</f>
        <v/>
      </c>
      <c r="AA72" s="14" t="str">
        <f>IF(基础状态预期!W85="","",J$8+(基础状态预期!W85-1)*J$11)</f>
        <v/>
      </c>
      <c r="AB72" s="14" t="str">
        <f>IF(基础状态预期!X85="","",K$8+(基础状态预期!X85-1)*K$11)</f>
        <v/>
      </c>
      <c r="AC72" s="14">
        <f>IF(基础状态预期!Y85="","",L$8+(基础状态预期!Y85-1)*L$11)</f>
        <v>7215.3547964323034</v>
      </c>
      <c r="AD72" s="14">
        <f>SUMPRODUCT(Y72:AC72,基础状态预期!$F85:$J85)/SUM(基础状态预期!$F85:$J85)</f>
        <v>7215.3547964323034</v>
      </c>
      <c r="AE72" s="14" t="str">
        <f>IF(基础状态预期!U85="","",H$9+(基础状态预期!U85-1)*H$12)</f>
        <v/>
      </c>
      <c r="AF72" s="14" t="str">
        <f>IF(基础状态预期!V85="","",I$9+(基础状态预期!V85-1)*I$12)</f>
        <v/>
      </c>
      <c r="AG72" s="14" t="str">
        <f>IF(基础状态预期!W85="","",J$9+(基础状态预期!W85-1)*J$12)</f>
        <v/>
      </c>
      <c r="AH72" s="14" t="str">
        <f>IF(基础状态预期!X85="","",K$9+(基础状态预期!X85-1)*K$12)</f>
        <v/>
      </c>
      <c r="AI72" s="14">
        <f>IF(基础状态预期!Y85="","",L$9+(基础状态预期!Y85-1)*L$12)</f>
        <v>7215.3547964323034</v>
      </c>
      <c r="AJ72" s="14">
        <f>SUMPRODUCT(AE72:AI72,基础状态预期!$F85:$J85)/SUM(基础状态预期!$F85:$J85)</f>
        <v>7215.3547964323034</v>
      </c>
      <c r="AK72" s="14" t="str">
        <f>IF(基础状态预期!U85="","",H$27+(基础状态预期!U85-1)*H$28)</f>
        <v/>
      </c>
      <c r="AL72" s="14" t="str">
        <f>IF(基础状态预期!V85="","",I$27+(基础状态预期!V85-1)*I$28)</f>
        <v/>
      </c>
      <c r="AM72" s="14" t="str">
        <f>IF(基础状态预期!W85="","",J$27+(基础状态预期!W85-1)*J$28)</f>
        <v/>
      </c>
      <c r="AN72" s="14" t="str">
        <f>IF(基础状态预期!X85="","",K$27+(基础状态预期!X85-1)*K$28)</f>
        <v/>
      </c>
      <c r="AO72" s="14">
        <f>IF(基础状态预期!Y85="","",L$27+(基础状态预期!Y85-1)*L$28)</f>
        <v>3138.4515988107678</v>
      </c>
      <c r="AP72" s="14">
        <f>SUMPRODUCT(AK72:AO72,基础状态预期!$F85:$J85)/SUM(基础状态预期!$F85:$J85)</f>
        <v>3138.4515988107682</v>
      </c>
      <c r="AQ72" s="14" t="str">
        <f>IF(基础状态预期!U85="","",H$31+(基础状态预期!U85-1)*H$32)</f>
        <v/>
      </c>
      <c r="AR72" s="14" t="str">
        <f>IF(基础状态预期!V85="","",I$31+(基础状态预期!V85-1)*I$32)</f>
        <v/>
      </c>
      <c r="AS72" s="14" t="str">
        <f>IF(基础状态预期!W85="","",J$31+(基础状态预期!W85-1)*J$32)</f>
        <v/>
      </c>
      <c r="AT72" s="14" t="str">
        <f>IF(基础状态预期!X85="","",K$31+(基础状态预期!X85-1)*K$32)</f>
        <v/>
      </c>
      <c r="AU72" s="14">
        <f>IF(基础状态预期!Y85="","",L$31+(基础状态预期!Y85-1)*L$32)</f>
        <v>233.84515988107677</v>
      </c>
      <c r="AV72" s="14">
        <f>SUMPRODUCT(AQ72:AU72,基础状态预期!$F85:$J85)/SUM(基础状态预期!$F85:$J85)</f>
        <v>233.84515988107674</v>
      </c>
      <c r="BO72" s="29">
        <f t="shared" si="44"/>
        <v>107.42257994053838</v>
      </c>
      <c r="BP72" s="10">
        <f t="shared" si="45"/>
        <v>879287991154.84668</v>
      </c>
      <c r="BQ72" s="10" t="e">
        <f>$BP72*求节点('[1]功能-付费相关'!$AY$6:$AY$105,'[1]功能-付费相关'!$BA$6:$BA$105,$BO72)+$BQ71</f>
        <v>#VALUE!</v>
      </c>
      <c r="BZ72" s="4">
        <f t="shared" si="50"/>
        <v>14050</v>
      </c>
      <c r="CA72" s="4">
        <v>69</v>
      </c>
      <c r="CB72" s="90">
        <f t="shared" si="51"/>
        <v>234880</v>
      </c>
      <c r="CC72" s="4">
        <f>SUM(CB$4:CB72)</f>
        <v>2596620</v>
      </c>
      <c r="CD72" s="4">
        <f t="shared" si="49"/>
        <v>1.046770942513908</v>
      </c>
    </row>
    <row r="73" spans="1:82" x14ac:dyDescent="0.15">
      <c r="A73" s="99">
        <f t="shared" si="33"/>
        <v>7121700</v>
      </c>
      <c r="B73" s="14">
        <v>138</v>
      </c>
      <c r="C73" s="14">
        <f t="shared" si="52"/>
        <v>47497100</v>
      </c>
      <c r="D73" s="14">
        <f>SUM(C$5:$C73)</f>
        <v>325707600</v>
      </c>
      <c r="E73" s="89">
        <f>'[1]资源-武将经验'!$Z74</f>
        <v>1.7837193989269415</v>
      </c>
      <c r="P73" s="5">
        <v>28</v>
      </c>
      <c r="Q73" s="14">
        <f>基础状态预期!D86</f>
        <v>111.00691759243479</v>
      </c>
      <c r="R73" s="14">
        <f>IF(基础状态预期!U86="",0,求节点($B$5:$B$154,$D$5:$D$154,基础状态预期!U86)*基础状态预期!F86)</f>
        <v>0</v>
      </c>
      <c r="S73" s="14">
        <f>IF(基础状态预期!V86="",0,求节点($B$5:$B$154,$D$5:$D$154,基础状态预期!V86)*基础状态预期!G86)</f>
        <v>0</v>
      </c>
      <c r="T73" s="14">
        <f>IF(基础状态预期!W86="",0,求节点($B$5:$B$154,$D$5:$D$154,基础状态预期!W86)*基础状态预期!H86)</f>
        <v>0</v>
      </c>
      <c r="U73" s="14">
        <f>IF(基础状态预期!X86="",0,求节点($B$5:$B$154,$D$5:$D$154,基础状态预期!X86)*基础状态预期!I86)</f>
        <v>0</v>
      </c>
      <c r="V73" s="14">
        <f>IF(基础状态预期!Y86="",0,求节点($B$5:$B$154,$D$5:$D$154,基础状态预期!Y86)*基础状态预期!J86)</f>
        <v>1482517392099.697</v>
      </c>
      <c r="W73" s="14">
        <f t="shared" si="48"/>
        <v>1482517392099.697</v>
      </c>
      <c r="Y73" s="14" t="str">
        <f>IF(基础状态预期!U86="","",H$8+(基础状态预期!U86-1)*H$11)</f>
        <v/>
      </c>
      <c r="Z73" s="14" t="str">
        <f>IF(基础状态预期!V86="","",I$8+(基础状态预期!V86-1)*I$11)</f>
        <v/>
      </c>
      <c r="AA73" s="14" t="str">
        <f>IF(基础状态预期!W86="","",J$8+(基础状态预期!W86-1)*J$11)</f>
        <v/>
      </c>
      <c r="AB73" s="14" t="str">
        <f>IF(基础状态预期!X86="","",K$8+(基础状态预期!X86-1)*K$11)</f>
        <v/>
      </c>
      <c r="AC73" s="14">
        <f>IF(基础状态预期!Y86="","",L$8+(基础状态预期!Y86-1)*L$11)</f>
        <v>7430.4150555460874</v>
      </c>
      <c r="AD73" s="14">
        <f>SUMPRODUCT(Y73:AC73,基础状态预期!$F86:$J86)/SUM(基础状态预期!$F86:$J86)</f>
        <v>7430.4150555460874</v>
      </c>
      <c r="AE73" s="14" t="str">
        <f>IF(基础状态预期!U86="","",H$9+(基础状态预期!U86-1)*H$12)</f>
        <v/>
      </c>
      <c r="AF73" s="14" t="str">
        <f>IF(基础状态预期!V86="","",I$9+(基础状态预期!V86-1)*I$12)</f>
        <v/>
      </c>
      <c r="AG73" s="14" t="str">
        <f>IF(基础状态预期!W86="","",J$9+(基础状态预期!W86-1)*J$12)</f>
        <v/>
      </c>
      <c r="AH73" s="14" t="str">
        <f>IF(基础状态预期!X86="","",K$9+(基础状态预期!X86-1)*K$12)</f>
        <v/>
      </c>
      <c r="AI73" s="14">
        <f>IF(基础状态预期!Y86="","",L$9+(基础状态预期!Y86-1)*L$12)</f>
        <v>7430.4150555460874</v>
      </c>
      <c r="AJ73" s="14">
        <f>SUMPRODUCT(AE73:AI73,基础状态预期!$F86:$J86)/SUM(基础状态预期!$F86:$J86)</f>
        <v>7430.4150555460874</v>
      </c>
      <c r="AK73" s="14" t="str">
        <f>IF(基础状态预期!U86="","",H$27+(基础状态预期!U86-1)*H$28)</f>
        <v/>
      </c>
      <c r="AL73" s="14" t="str">
        <f>IF(基础状态预期!V86="","",I$27+(基础状态预期!V86-1)*I$28)</f>
        <v/>
      </c>
      <c r="AM73" s="14" t="str">
        <f>IF(基础状态预期!W86="","",J$27+(基础状态预期!W86-1)*J$28)</f>
        <v/>
      </c>
      <c r="AN73" s="14" t="str">
        <f>IF(基础状态预期!X86="","",K$27+(基础状态预期!X86-1)*K$28)</f>
        <v/>
      </c>
      <c r="AO73" s="14">
        <f>IF(基础状态预期!Y86="","",L$27+(基础状态预期!Y86-1)*L$28)</f>
        <v>3210.1383518486959</v>
      </c>
      <c r="AP73" s="14">
        <f>SUMPRODUCT(AK73:AO73,基础状态预期!$F86:$J86)/SUM(基础状态预期!$F86:$J86)</f>
        <v>3210.1383518486959</v>
      </c>
      <c r="AQ73" s="14" t="str">
        <f>IF(基础状态预期!U86="","",H$31+(基础状态预期!U86-1)*H$32)</f>
        <v/>
      </c>
      <c r="AR73" s="14" t="str">
        <f>IF(基础状态预期!V86="","",I$31+(基础状态预期!V86-1)*I$32)</f>
        <v/>
      </c>
      <c r="AS73" s="14" t="str">
        <f>IF(基础状态预期!W86="","",J$31+(基础状态预期!W86-1)*J$32)</f>
        <v/>
      </c>
      <c r="AT73" s="14" t="str">
        <f>IF(基础状态预期!X86="","",K$31+(基础状态预期!X86-1)*K$32)</f>
        <v/>
      </c>
      <c r="AU73" s="14">
        <f>IF(基础状态预期!Y86="","",L$31+(基础状态预期!Y86-1)*L$32)</f>
        <v>241.01383518486958</v>
      </c>
      <c r="AV73" s="14">
        <f>SUMPRODUCT(AQ73:AU73,基础状态预期!$F86:$J86)/SUM(基础状态预期!$F86:$J86)</f>
        <v>241.01383518486958</v>
      </c>
      <c r="BO73" s="29">
        <f t="shared" si="44"/>
        <v>111.00691759243479</v>
      </c>
      <c r="BP73" s="10">
        <f t="shared" si="45"/>
        <v>1482517392099.697</v>
      </c>
      <c r="BQ73" s="10" t="e">
        <f>$BP73*求节点('[1]功能-付费相关'!$AY$6:$AY$105,'[1]功能-付费相关'!$BA$6:$BA$105,$BO73)+$BQ72</f>
        <v>#VALUE!</v>
      </c>
      <c r="BZ73" s="4">
        <f t="shared" si="50"/>
        <v>14325</v>
      </c>
      <c r="CA73" s="4">
        <v>70</v>
      </c>
      <c r="CB73" s="90">
        <f t="shared" si="51"/>
        <v>249205</v>
      </c>
      <c r="CC73" s="4">
        <f>SUM(CB$4:CB73)</f>
        <v>2845825</v>
      </c>
      <c r="CD73" s="4">
        <f t="shared" si="49"/>
        <v>1.0479930031301785</v>
      </c>
    </row>
    <row r="74" spans="1:82" x14ac:dyDescent="0.15">
      <c r="A74" s="99">
        <f t="shared" si="33"/>
        <v>8389300</v>
      </c>
      <c r="B74" s="14">
        <v>140</v>
      </c>
      <c r="C74" s="14">
        <f t="shared" si="52"/>
        <v>55886400</v>
      </c>
      <c r="D74" s="14">
        <f>SUM(C$5:$C74)</f>
        <v>381594000</v>
      </c>
      <c r="E74" s="89">
        <f>'[1]资源-武将经验'!$Z75</f>
        <v>1.7578722395007453</v>
      </c>
      <c r="P74" s="5">
        <v>29</v>
      </c>
      <c r="Q74" s="14">
        <f>基础状态预期!D87</f>
        <v>114.47614359759058</v>
      </c>
      <c r="R74" s="14">
        <f>IF(基础状态预期!U87="",0,求节点($B$5:$B$154,$D$5:$D$154,基础状态预期!U87)*基础状态预期!F87)</f>
        <v>0</v>
      </c>
      <c r="S74" s="14">
        <f>IF(基础状态预期!V87="",0,求节点($B$5:$B$154,$D$5:$D$154,基础状态预期!V87)*基础状态预期!G87)</f>
        <v>0</v>
      </c>
      <c r="T74" s="14">
        <f>IF(基础状态预期!W87="",0,求节点($B$5:$B$154,$D$5:$D$154,基础状态预期!W87)*基础状态预期!H87)</f>
        <v>0</v>
      </c>
      <c r="U74" s="14">
        <f>IF(基础状态预期!X87="",0,求节点($B$5:$B$154,$D$5:$D$154,基础状态预期!X87)*基础状态预期!I87)</f>
        <v>0</v>
      </c>
      <c r="V74" s="14">
        <f>IF(基础状态预期!Y87="",0,求节点($B$5:$B$154,$D$5:$D$154,基础状态预期!Y87)*基础状态预期!J87)</f>
        <v>2491905980626.98</v>
      </c>
      <c r="W74" s="14">
        <f t="shared" si="48"/>
        <v>2491905980626.98</v>
      </c>
      <c r="Y74" s="14" t="str">
        <f>IF(基础状态预期!U87="","",H$8+(基础状态预期!U87-1)*H$11)</f>
        <v/>
      </c>
      <c r="Z74" s="14" t="str">
        <f>IF(基础状态预期!V87="","",I$8+(基础状态预期!V87-1)*I$11)</f>
        <v/>
      </c>
      <c r="AA74" s="14" t="str">
        <f>IF(基础状态预期!W87="","",J$8+(基础状态预期!W87-1)*J$11)</f>
        <v/>
      </c>
      <c r="AB74" s="14" t="str">
        <f>IF(基础状态预期!X87="","",K$8+(基础状态预期!X87-1)*K$11)</f>
        <v/>
      </c>
      <c r="AC74" s="14">
        <f>IF(基础状态预期!Y87="","",L$8+(基础状态预期!Y87-1)*L$11)</f>
        <v>7638.5686158554345</v>
      </c>
      <c r="AD74" s="14">
        <f>SUMPRODUCT(Y74:AC74,基础状态预期!$F87:$J87)/SUM(基础状态预期!$F87:$J87)</f>
        <v>7638.5686158554345</v>
      </c>
      <c r="AE74" s="14" t="str">
        <f>IF(基础状态预期!U87="","",H$9+(基础状态预期!U87-1)*H$12)</f>
        <v/>
      </c>
      <c r="AF74" s="14" t="str">
        <f>IF(基础状态预期!V87="","",I$9+(基础状态预期!V87-1)*I$12)</f>
        <v/>
      </c>
      <c r="AG74" s="14" t="str">
        <f>IF(基础状态预期!W87="","",J$9+(基础状态预期!W87-1)*J$12)</f>
        <v/>
      </c>
      <c r="AH74" s="14" t="str">
        <f>IF(基础状态预期!X87="","",K$9+(基础状态预期!X87-1)*K$12)</f>
        <v/>
      </c>
      <c r="AI74" s="14">
        <f>IF(基础状态预期!Y87="","",L$9+(基础状态预期!Y87-1)*L$12)</f>
        <v>7638.5686158554345</v>
      </c>
      <c r="AJ74" s="14">
        <f>SUMPRODUCT(AE74:AI74,基础状态预期!$F87:$J87)/SUM(基础状态预期!$F87:$J87)</f>
        <v>7638.5686158554345</v>
      </c>
      <c r="AK74" s="14" t="str">
        <f>IF(基础状态预期!U87="","",H$27+(基础状态预期!U87-1)*H$28)</f>
        <v/>
      </c>
      <c r="AL74" s="14" t="str">
        <f>IF(基础状态预期!V87="","",I$27+(基础状态预期!V87-1)*I$28)</f>
        <v/>
      </c>
      <c r="AM74" s="14" t="str">
        <f>IF(基础状态预期!W87="","",J$27+(基础状态预期!W87-1)*J$28)</f>
        <v/>
      </c>
      <c r="AN74" s="14" t="str">
        <f>IF(基础状态预期!X87="","",K$27+(基础状态预期!X87-1)*K$28)</f>
        <v/>
      </c>
      <c r="AO74" s="14">
        <f>IF(基础状态预期!Y87="","",L$27+(基础状态预期!Y87-1)*L$28)</f>
        <v>3279.5228719518118</v>
      </c>
      <c r="AP74" s="14">
        <f>SUMPRODUCT(AK74:AO74,基础状态预期!$F87:$J87)/SUM(基础状态预期!$F87:$J87)</f>
        <v>3279.5228719518113</v>
      </c>
      <c r="AQ74" s="14" t="str">
        <f>IF(基础状态预期!U87="","",H$31+(基础状态预期!U87-1)*H$32)</f>
        <v/>
      </c>
      <c r="AR74" s="14" t="str">
        <f>IF(基础状态预期!V87="","",I$31+(基础状态预期!V87-1)*I$32)</f>
        <v/>
      </c>
      <c r="AS74" s="14" t="str">
        <f>IF(基础状态预期!W87="","",J$31+(基础状态预期!W87-1)*J$32)</f>
        <v/>
      </c>
      <c r="AT74" s="14" t="str">
        <f>IF(基础状态预期!X87="","",K$31+(基础状态预期!X87-1)*K$32)</f>
        <v/>
      </c>
      <c r="AU74" s="14">
        <f>IF(基础状态预期!Y87="","",L$31+(基础状态预期!Y87-1)*L$32)</f>
        <v>247.95228719518116</v>
      </c>
      <c r="AV74" s="14">
        <f>SUMPRODUCT(AQ74:AU74,基础状态预期!$F87:$J87)/SUM(基础状态预期!$F87:$J87)</f>
        <v>247.95228719518116</v>
      </c>
      <c r="BO74" s="29">
        <f t="shared" si="44"/>
        <v>114.47614359759058</v>
      </c>
      <c r="BP74" s="10">
        <f t="shared" si="45"/>
        <v>2491905980626.98</v>
      </c>
      <c r="BQ74" s="10" t="e">
        <f>$BP74*求节点('[1]功能-付费相关'!$AY$6:$AY$105,'[1]功能-付费相关'!$BA$6:$BA$105,$BO74)+$BQ73</f>
        <v>#VALUE!</v>
      </c>
      <c r="BZ74" s="4">
        <f t="shared" si="50"/>
        <v>14325</v>
      </c>
      <c r="CA74" s="4">
        <v>71</v>
      </c>
      <c r="CB74" s="90">
        <f t="shared" si="51"/>
        <v>263530</v>
      </c>
      <c r="CC74" s="4">
        <f>SUM(CB$4:CB74)</f>
        <v>3109355</v>
      </c>
      <c r="CD74" s="4">
        <f t="shared" si="49"/>
        <v>1.043740454171632</v>
      </c>
    </row>
    <row r="75" spans="1:82" x14ac:dyDescent="0.15">
      <c r="A75" s="99">
        <f t="shared" si="33"/>
        <v>9882500</v>
      </c>
      <c r="B75" s="14">
        <v>142</v>
      </c>
      <c r="C75" s="14">
        <f t="shared" si="52"/>
        <v>65768900</v>
      </c>
      <c r="D75" s="14">
        <f>SUM(C$5:$C75)</f>
        <v>447362900</v>
      </c>
      <c r="E75" s="89">
        <f>'[1]资源-武将经验'!$Z76</f>
        <v>1.7569962275946636</v>
      </c>
      <c r="P75" s="5">
        <v>30</v>
      </c>
      <c r="Q75" s="14">
        <f>基础状态预期!D88</f>
        <v>118.05724034557241</v>
      </c>
      <c r="R75" s="14">
        <f>IF(基础状态预期!U88="",0,求节点($B$5:$B$154,$D$5:$D$154,基础状态预期!U88)*基础状态预期!F88)</f>
        <v>0</v>
      </c>
      <c r="S75" s="14">
        <f>IF(基础状态预期!V88="",0,求节点($B$5:$B$154,$D$5:$D$154,基础状态预期!V88)*基础状态预期!G88)</f>
        <v>0</v>
      </c>
      <c r="T75" s="14">
        <f>IF(基础状态预期!W88="",0,求节点($B$5:$B$154,$D$5:$D$154,基础状态预期!W88)*基础状态预期!H88)</f>
        <v>0</v>
      </c>
      <c r="U75" s="14">
        <f>IF(基础状态预期!X88="",0,求节点($B$5:$B$154,$D$5:$D$154,基础状态预期!X88)*基础状态预期!I88)</f>
        <v>0</v>
      </c>
      <c r="V75" s="14">
        <f>IF(基础状态预期!Y88="",0,求节点($B$5:$B$154,$D$5:$D$154,基础状态预期!Y88)*基础状态预期!J88)</f>
        <v>4339711963749.3618</v>
      </c>
      <c r="W75" s="14">
        <f t="shared" si="48"/>
        <v>4339711963749.3618</v>
      </c>
      <c r="Y75" s="14" t="str">
        <f>IF(基础状态预期!U88="","",H$8+(基础状态预期!U88-1)*H$11)</f>
        <v/>
      </c>
      <c r="Z75" s="14" t="str">
        <f>IF(基础状态预期!V88="","",I$8+(基础状态预期!V88-1)*I$11)</f>
        <v/>
      </c>
      <c r="AA75" s="14" t="str">
        <f>IF(基础状态预期!W88="","",J$8+(基础状态预期!W88-1)*J$11)</f>
        <v/>
      </c>
      <c r="AB75" s="14" t="str">
        <f>IF(基础状态预期!X88="","",K$8+(基础状态预期!X88-1)*K$11)</f>
        <v/>
      </c>
      <c r="AC75" s="14">
        <f>IF(基础状态预期!Y88="","",L$8+(基础状态预期!Y88-1)*L$11)</f>
        <v>7853.4344207343447</v>
      </c>
      <c r="AD75" s="14">
        <f>SUMPRODUCT(Y75:AC75,基础状态预期!$F88:$J88)/SUM(基础状态预期!$F88:$J88)</f>
        <v>7853.4344207343447</v>
      </c>
      <c r="AE75" s="14" t="str">
        <f>IF(基础状态预期!U88="","",H$9+(基础状态预期!U88-1)*H$12)</f>
        <v/>
      </c>
      <c r="AF75" s="14" t="str">
        <f>IF(基础状态预期!V88="","",I$9+(基础状态预期!V88-1)*I$12)</f>
        <v/>
      </c>
      <c r="AG75" s="14" t="str">
        <f>IF(基础状态预期!W88="","",J$9+(基础状态预期!W88-1)*J$12)</f>
        <v/>
      </c>
      <c r="AH75" s="14" t="str">
        <f>IF(基础状态预期!X88="","",K$9+(基础状态预期!X88-1)*K$12)</f>
        <v/>
      </c>
      <c r="AI75" s="14">
        <f>IF(基础状态预期!Y88="","",L$9+(基础状态预期!Y88-1)*L$12)</f>
        <v>7853.4344207343447</v>
      </c>
      <c r="AJ75" s="14">
        <f>SUMPRODUCT(AE75:AI75,基础状态预期!$F88:$J88)/SUM(基础状态预期!$F88:$J88)</f>
        <v>7853.4344207343447</v>
      </c>
      <c r="AK75" s="14" t="str">
        <f>IF(基础状态预期!U88="","",H$27+(基础状态预期!U88-1)*H$28)</f>
        <v/>
      </c>
      <c r="AL75" s="14" t="str">
        <f>IF(基础状态预期!V88="","",I$27+(基础状态预期!V88-1)*I$28)</f>
        <v/>
      </c>
      <c r="AM75" s="14" t="str">
        <f>IF(基础状态预期!W88="","",J$27+(基础状态预期!W88-1)*J$28)</f>
        <v/>
      </c>
      <c r="AN75" s="14" t="str">
        <f>IF(基础状态预期!X88="","",K$27+(基础状态预期!X88-1)*K$28)</f>
        <v/>
      </c>
      <c r="AO75" s="14">
        <f>IF(基础状态预期!Y88="","",L$27+(基础状态预期!Y88-1)*L$28)</f>
        <v>3351.1448069114481</v>
      </c>
      <c r="AP75" s="14">
        <f>SUMPRODUCT(AK75:AO75,基础状态预期!$F88:$J88)/SUM(基础状态预期!$F88:$J88)</f>
        <v>3351.1448069114481</v>
      </c>
      <c r="AQ75" s="14" t="str">
        <f>IF(基础状态预期!U88="","",H$31+(基础状态预期!U88-1)*H$32)</f>
        <v/>
      </c>
      <c r="AR75" s="14" t="str">
        <f>IF(基础状态预期!V88="","",I$31+(基础状态预期!V88-1)*I$32)</f>
        <v/>
      </c>
      <c r="AS75" s="14" t="str">
        <f>IF(基础状态预期!W88="","",J$31+(基础状态预期!W88-1)*J$32)</f>
        <v/>
      </c>
      <c r="AT75" s="14" t="str">
        <f>IF(基础状态预期!X88="","",K$31+(基础状态预期!X88-1)*K$32)</f>
        <v/>
      </c>
      <c r="AU75" s="14">
        <f>IF(基础状态预期!Y88="","",L$31+(基础状态预期!Y88-1)*L$32)</f>
        <v>255.11448069114482</v>
      </c>
      <c r="AV75" s="14">
        <f>SUMPRODUCT(AQ75:AU75,基础状态预期!$F88:$J88)/SUM(基础状态预期!$F88:$J88)</f>
        <v>255.11448069114485</v>
      </c>
      <c r="BO75" s="29">
        <f t="shared" si="44"/>
        <v>118.05724034557241</v>
      </c>
      <c r="BP75" s="10">
        <f t="shared" si="45"/>
        <v>4339711963749.3618</v>
      </c>
      <c r="BQ75" s="10" t="e">
        <f>$BP75*求节点('[1]功能-付费相关'!$AY$6:$AY$105,'[1]功能-付费相关'!$BA$6:$BA$105,$BO75)+$BQ74</f>
        <v>#VALUE!</v>
      </c>
      <c r="BZ75" s="4">
        <f t="shared" si="50"/>
        <v>14600</v>
      </c>
      <c r="CA75" s="4">
        <v>72</v>
      </c>
      <c r="CB75" s="90">
        <f t="shared" si="51"/>
        <v>278130</v>
      </c>
      <c r="CC75" s="4">
        <f>SUM(CB$4:CB75)</f>
        <v>3387485</v>
      </c>
      <c r="CD75" s="4">
        <f t="shared" si="49"/>
        <v>1.0446817368778141</v>
      </c>
    </row>
    <row r="76" spans="1:82" x14ac:dyDescent="0.15">
      <c r="A76" s="99">
        <f t="shared" si="33"/>
        <v>11641500</v>
      </c>
      <c r="B76" s="14">
        <v>144</v>
      </c>
      <c r="C76" s="14">
        <f t="shared" si="52"/>
        <v>77410400</v>
      </c>
      <c r="D76" s="14">
        <f>SUM(C$5:$C76)</f>
        <v>524773300</v>
      </c>
      <c r="E76" s="89">
        <f>'[1]资源-武将经验'!$Z77</f>
        <v>1.7947802090997587</v>
      </c>
      <c r="P76" s="5">
        <v>31</v>
      </c>
      <c r="Q76" s="14">
        <f>基础状态预期!D89</f>
        <v>121.49411884885473</v>
      </c>
      <c r="R76" s="14">
        <f>IF(基础状态预期!U89="",0,求节点($B$5:$B$154,$D$5:$D$154,基础状态预期!U89)*基础状态预期!F89)</f>
        <v>0</v>
      </c>
      <c r="S76" s="14">
        <f>IF(基础状态预期!V89="",0,求节点($B$5:$B$154,$D$5:$D$154,基础状态预期!V89)*基础状态预期!G89)</f>
        <v>0</v>
      </c>
      <c r="T76" s="14">
        <f>IF(基础状态预期!W89="",0,求节点($B$5:$B$154,$D$5:$D$154,基础状态预期!W89)*基础状态预期!H89)</f>
        <v>0</v>
      </c>
      <c r="U76" s="14">
        <f>IF(基础状态预期!X89="",0,求节点($B$5:$B$154,$D$5:$D$154,基础状态预期!X89)*基础状态预期!I89)</f>
        <v>0</v>
      </c>
      <c r="V76" s="14">
        <f>IF(基础状态预期!Y89="",0,求节点($B$5:$B$154,$D$5:$D$154,基础状态预期!Y89)*基础状态预期!J89)</f>
        <v>7619647694036.4297</v>
      </c>
      <c r="W76" s="14">
        <f t="shared" si="48"/>
        <v>7619647694036.4297</v>
      </c>
      <c r="Y76" s="14" t="str">
        <f>IF(基础状态预期!U89="","",H$8+(基础状态预期!U89-1)*H$11)</f>
        <v/>
      </c>
      <c r="Z76" s="14" t="str">
        <f>IF(基础状态预期!V89="","",I$8+(基础状态预期!V89-1)*I$11)</f>
        <v/>
      </c>
      <c r="AA76" s="14" t="str">
        <f>IF(基础状态预期!W89="","",J$8+(基础状态预期!W89-1)*J$11)</f>
        <v/>
      </c>
      <c r="AB76" s="14" t="str">
        <f>IF(基础状态预期!X89="","",K$8+(基础状态预期!X89-1)*K$11)</f>
        <v/>
      </c>
      <c r="AC76" s="14">
        <f>IF(基础状态预期!Y89="","",L$8+(基础状态预期!Y89-1)*L$11)</f>
        <v>8059.6471309312838</v>
      </c>
      <c r="AD76" s="14">
        <f>SUMPRODUCT(Y76:AC76,基础状态预期!$F89:$J89)/SUM(基础状态预期!$F89:$J89)</f>
        <v>8059.6471309312838</v>
      </c>
      <c r="AE76" s="14" t="str">
        <f>IF(基础状态预期!U89="","",H$9+(基础状态预期!U89-1)*H$12)</f>
        <v/>
      </c>
      <c r="AF76" s="14" t="str">
        <f>IF(基础状态预期!V89="","",I$9+(基础状态预期!V89-1)*I$12)</f>
        <v/>
      </c>
      <c r="AG76" s="14" t="str">
        <f>IF(基础状态预期!W89="","",J$9+(基础状态预期!W89-1)*J$12)</f>
        <v/>
      </c>
      <c r="AH76" s="14" t="str">
        <f>IF(基础状态预期!X89="","",K$9+(基础状态预期!X89-1)*K$12)</f>
        <v/>
      </c>
      <c r="AI76" s="14">
        <f>IF(基础状态预期!Y89="","",L$9+(基础状态预期!Y89-1)*L$12)</f>
        <v>8059.6471309312838</v>
      </c>
      <c r="AJ76" s="14">
        <f>SUMPRODUCT(AE76:AI76,基础状态预期!$F89:$J89)/SUM(基础状态预期!$F89:$J89)</f>
        <v>8059.6471309312838</v>
      </c>
      <c r="AK76" s="14" t="str">
        <f>IF(基础状态预期!U89="","",H$27+(基础状态预期!U89-1)*H$28)</f>
        <v/>
      </c>
      <c r="AL76" s="14" t="str">
        <f>IF(基础状态预期!V89="","",I$27+(基础状态预期!V89-1)*I$28)</f>
        <v/>
      </c>
      <c r="AM76" s="14" t="str">
        <f>IF(基础状态预期!W89="","",J$27+(基础状态预期!W89-1)*J$28)</f>
        <v/>
      </c>
      <c r="AN76" s="14" t="str">
        <f>IF(基础状态预期!X89="","",K$27+(基础状态预期!X89-1)*K$28)</f>
        <v/>
      </c>
      <c r="AO76" s="14">
        <f>IF(基础状态预期!Y89="","",L$27+(基础状态预期!Y89-1)*L$28)</f>
        <v>3419.8823769770943</v>
      </c>
      <c r="AP76" s="14">
        <f>SUMPRODUCT(AK76:AO76,基础状态预期!$F89:$J89)/SUM(基础状态预期!$F89:$J89)</f>
        <v>3419.8823769770947</v>
      </c>
      <c r="AQ76" s="14" t="str">
        <f>IF(基础状态预期!U89="","",H$31+(基础状态预期!U89-1)*H$32)</f>
        <v/>
      </c>
      <c r="AR76" s="14" t="str">
        <f>IF(基础状态预期!V89="","",I$31+(基础状态预期!V89-1)*I$32)</f>
        <v/>
      </c>
      <c r="AS76" s="14" t="str">
        <f>IF(基础状态预期!W89="","",J$31+(基础状态预期!W89-1)*J$32)</f>
        <v/>
      </c>
      <c r="AT76" s="14" t="str">
        <f>IF(基础状态预期!X89="","",K$31+(基础状态预期!X89-1)*K$32)</f>
        <v/>
      </c>
      <c r="AU76" s="14">
        <f>IF(基础状态预期!Y89="","",L$31+(基础状态预期!Y89-1)*L$32)</f>
        <v>261.98823769770945</v>
      </c>
      <c r="AV76" s="14">
        <f>SUMPRODUCT(AQ76:AU76,基础状态预期!$F89:$J89)/SUM(基础状态预期!$F89:$J89)</f>
        <v>261.98823769770945</v>
      </c>
      <c r="BO76" s="29">
        <f t="shared" si="44"/>
        <v>121.49411884885473</v>
      </c>
      <c r="BP76" s="10">
        <f t="shared" si="45"/>
        <v>7619647694036.4297</v>
      </c>
      <c r="BQ76" s="10" t="e">
        <f>$BP76*求节点('[1]功能-付费相关'!$AY$6:$AY$105,'[1]功能-付费相关'!$BA$6:$BA$105,$BO76)+$BQ75</f>
        <v>#VALUE!</v>
      </c>
      <c r="BZ76" s="4">
        <f t="shared" si="50"/>
        <v>14600</v>
      </c>
      <c r="CA76" s="4">
        <v>73</v>
      </c>
      <c r="CB76" s="90">
        <f t="shared" si="51"/>
        <v>292730</v>
      </c>
      <c r="CC76" s="4">
        <f>SUM(CB$4:CB76)</f>
        <v>3680215</v>
      </c>
      <c r="CD76" s="4">
        <f t="shared" si="49"/>
        <v>1.0409761409761409</v>
      </c>
    </row>
    <row r="77" spans="1:82" x14ac:dyDescent="0.15">
      <c r="A77" s="99">
        <f t="shared" si="33"/>
        <v>13713600</v>
      </c>
      <c r="B77" s="14">
        <v>146</v>
      </c>
      <c r="C77" s="14">
        <f t="shared" si="52"/>
        <v>91124000</v>
      </c>
      <c r="D77" s="14">
        <f>SUM(C$5:$C77)</f>
        <v>615897300</v>
      </c>
      <c r="E77" s="89">
        <f>'[1]资源-武将经验'!$Z78</f>
        <v>1.7883883012815101</v>
      </c>
      <c r="P77" s="5">
        <v>32</v>
      </c>
      <c r="Q77" s="14">
        <f>基础状态预期!D90</f>
        <v>125.03100311549058</v>
      </c>
      <c r="R77" s="14">
        <f>IF(基础状态预期!U90="",0,求节点($B$5:$B$154,$D$5:$D$154,基础状态预期!U90)*基础状态预期!F90)</f>
        <v>0</v>
      </c>
      <c r="S77" s="14">
        <f>IF(基础状态预期!V90="",0,求节点($B$5:$B$154,$D$5:$D$154,基础状态预期!V90)*基础状态预期!G90)</f>
        <v>0</v>
      </c>
      <c r="T77" s="14">
        <f>IF(基础状态预期!W90="",0,求节点($B$5:$B$154,$D$5:$D$154,基础状态预期!W90)*基础状态预期!H90)</f>
        <v>0</v>
      </c>
      <c r="U77" s="14">
        <f>IF(基础状态预期!X90="",0,求节点($B$5:$B$154,$D$5:$D$154,基础状态预期!X90)*基础状态预期!I90)</f>
        <v>0</v>
      </c>
      <c r="V77" s="14">
        <f>IF(基础状态预期!Y90="",0,求节点($B$5:$B$154,$D$5:$D$154,基础状态预期!Y90)*基础状态预期!J90)</f>
        <v>13817693346316.816</v>
      </c>
      <c r="W77" s="14">
        <f t="shared" si="48"/>
        <v>13817693346316.816</v>
      </c>
      <c r="Y77" s="14" t="str">
        <f>IF(基础状态预期!U90="","",H$8+(基础状态预期!U90-1)*H$11)</f>
        <v/>
      </c>
      <c r="Z77" s="14" t="str">
        <f>IF(基础状态预期!V90="","",I$8+(基础状态预期!V90-1)*I$11)</f>
        <v/>
      </c>
      <c r="AA77" s="14" t="str">
        <f>IF(基础状态预期!W90="","",J$8+(基础状态预期!W90-1)*J$11)</f>
        <v/>
      </c>
      <c r="AB77" s="14" t="str">
        <f>IF(基础状态预期!X90="","",K$8+(基础状态预期!X90-1)*K$11)</f>
        <v/>
      </c>
      <c r="AC77" s="14">
        <f>IF(基础状态预期!Y90="","",L$8+(基础状态预期!Y90-1)*L$11)</f>
        <v>8271.8601869294343</v>
      </c>
      <c r="AD77" s="14">
        <f>SUMPRODUCT(Y77:AC77,基础状态预期!$F90:$J90)/SUM(基础状态预期!$F90:$J90)</f>
        <v>8271.8601869294343</v>
      </c>
      <c r="AE77" s="14" t="str">
        <f>IF(基础状态预期!U90="","",H$9+(基础状态预期!U90-1)*H$12)</f>
        <v/>
      </c>
      <c r="AF77" s="14" t="str">
        <f>IF(基础状态预期!V90="","",I$9+(基础状态预期!V90-1)*I$12)</f>
        <v/>
      </c>
      <c r="AG77" s="14" t="str">
        <f>IF(基础状态预期!W90="","",J$9+(基础状态预期!W90-1)*J$12)</f>
        <v/>
      </c>
      <c r="AH77" s="14" t="str">
        <f>IF(基础状态预期!X90="","",K$9+(基础状态预期!X90-1)*K$12)</f>
        <v/>
      </c>
      <c r="AI77" s="14">
        <f>IF(基础状态预期!Y90="","",L$9+(基础状态预期!Y90-1)*L$12)</f>
        <v>8271.8601869294343</v>
      </c>
      <c r="AJ77" s="14">
        <f>SUMPRODUCT(AE77:AI77,基础状态预期!$F90:$J90)/SUM(基础状态预期!$F90:$J90)</f>
        <v>8271.8601869294343</v>
      </c>
      <c r="AK77" s="14" t="str">
        <f>IF(基础状态预期!U90="","",H$27+(基础状态预期!U90-1)*H$28)</f>
        <v/>
      </c>
      <c r="AL77" s="14" t="str">
        <f>IF(基础状态预期!V90="","",I$27+(基础状态预期!V90-1)*I$28)</f>
        <v/>
      </c>
      <c r="AM77" s="14" t="str">
        <f>IF(基础状态预期!W90="","",J$27+(基础状态预期!W90-1)*J$28)</f>
        <v/>
      </c>
      <c r="AN77" s="14" t="str">
        <f>IF(基础状态预期!X90="","",K$27+(基础状态预期!X90-1)*K$28)</f>
        <v/>
      </c>
      <c r="AO77" s="14">
        <f>IF(基础状态预期!Y90="","",L$27+(基础状态预期!Y90-1)*L$28)</f>
        <v>3490.6200623098116</v>
      </c>
      <c r="AP77" s="14">
        <f>SUMPRODUCT(AK77:AO77,基础状态预期!$F90:$J90)/SUM(基础状态预期!$F90:$J90)</f>
        <v>3490.6200623098116</v>
      </c>
      <c r="AQ77" s="14" t="str">
        <f>IF(基础状态预期!U90="","",H$31+(基础状态预期!U90-1)*H$32)</f>
        <v/>
      </c>
      <c r="AR77" s="14" t="str">
        <f>IF(基础状态预期!V90="","",I$31+(基础状态预期!V90-1)*I$32)</f>
        <v/>
      </c>
      <c r="AS77" s="14" t="str">
        <f>IF(基础状态预期!W90="","",J$31+(基础状态预期!W90-1)*J$32)</f>
        <v/>
      </c>
      <c r="AT77" s="14" t="str">
        <f>IF(基础状态预期!X90="","",K$31+(基础状态预期!X90-1)*K$32)</f>
        <v/>
      </c>
      <c r="AU77" s="14">
        <f>IF(基础状态预期!Y90="","",L$31+(基础状态预期!Y90-1)*L$32)</f>
        <v>269.06200623098118</v>
      </c>
      <c r="AV77" s="14">
        <f>SUMPRODUCT(AQ77:AU77,基础状态预期!$F90:$J90)/SUM(基础状态预期!$F90:$J90)</f>
        <v>269.06200623098118</v>
      </c>
      <c r="BO77" s="29">
        <f t="shared" si="44"/>
        <v>125.03100311549058</v>
      </c>
      <c r="BP77" s="10">
        <f t="shared" si="45"/>
        <v>13817693346316.816</v>
      </c>
      <c r="BQ77" s="10" t="e">
        <f>$BP77*求节点('[1]功能-付费相关'!$AY$6:$AY$105,'[1]功能-付费相关'!$BA$6:$BA$105,$BO77)+$BQ76</f>
        <v>#VALUE!</v>
      </c>
      <c r="BZ77" s="4">
        <f t="shared" si="50"/>
        <v>14875</v>
      </c>
      <c r="CA77" s="4">
        <v>74</v>
      </c>
      <c r="CB77" s="90">
        <f t="shared" si="51"/>
        <v>307605</v>
      </c>
      <c r="CC77" s="4">
        <f>SUM(CB$4:CB77)</f>
        <v>3987820</v>
      </c>
      <c r="CD77" s="4">
        <f t="shared" si="49"/>
        <v>1.0417230479872521</v>
      </c>
    </row>
    <row r="78" spans="1:82" x14ac:dyDescent="0.15">
      <c r="A78" s="99">
        <f t="shared" si="33"/>
        <v>16154600</v>
      </c>
      <c r="B78" s="14">
        <v>148</v>
      </c>
      <c r="C78" s="14">
        <f t="shared" si="52"/>
        <v>107278600</v>
      </c>
      <c r="D78" s="14">
        <f>SUM(C$5:$C78)</f>
        <v>723175900</v>
      </c>
      <c r="E78" s="89">
        <f>'[1]资源-武将经验'!$Z79</f>
        <v>1.7841942039035354</v>
      </c>
      <c r="P78" s="5">
        <v>33</v>
      </c>
      <c r="Q78" s="14">
        <f>基础状态预期!D91</f>
        <v>128.62542789463421</v>
      </c>
      <c r="R78" s="14">
        <f>IF(基础状态预期!U91="",0,求节点($B$5:$B$154,$D$5:$D$154,基础状态预期!U91)*基础状态预期!F91)</f>
        <v>0</v>
      </c>
      <c r="S78" s="14">
        <f>IF(基础状态预期!V91="",0,求节点($B$5:$B$154,$D$5:$D$154,基础状态预期!V91)*基础状态预期!G91)</f>
        <v>0</v>
      </c>
      <c r="T78" s="14">
        <f>IF(基础状态预期!W91="",0,求节点($B$5:$B$154,$D$5:$D$154,基础状态预期!W91)*基础状态预期!H91)</f>
        <v>0</v>
      </c>
      <c r="U78" s="14">
        <f>IF(基础状态预期!X91="",0,求节点($B$5:$B$154,$D$5:$D$154,基础状态预期!X91)*基础状态预期!I91)</f>
        <v>0</v>
      </c>
      <c r="V78" s="14">
        <f>IF(基础状态预期!Y91="",0,求节点($B$5:$B$154,$D$5:$D$154,基础状态预期!Y91)*基础状态预期!J91)</f>
        <v>25902260197478.492</v>
      </c>
      <c r="W78" s="14">
        <f t="shared" si="48"/>
        <v>25902260197478.492</v>
      </c>
      <c r="Y78" s="14" t="str">
        <f>IF(基础状态预期!U91="","",H$8+(基础状态预期!U91-1)*H$11)</f>
        <v/>
      </c>
      <c r="Z78" s="14" t="str">
        <f>IF(基础状态预期!V91="","",I$8+(基础状态预期!V91-1)*I$11)</f>
        <v/>
      </c>
      <c r="AA78" s="14" t="str">
        <f>IF(基础状态预期!W91="","",J$8+(基础状态预期!W91-1)*J$11)</f>
        <v/>
      </c>
      <c r="AB78" s="14" t="str">
        <f>IF(基础状态预期!X91="","",K$8+(基础状态预期!X91-1)*K$11)</f>
        <v/>
      </c>
      <c r="AC78" s="14">
        <f>IF(基础状态预期!Y91="","",L$8+(基础状态预期!Y91-1)*L$11)</f>
        <v>8487.5256736780539</v>
      </c>
      <c r="AD78" s="14">
        <f>SUMPRODUCT(Y78:AC78,基础状态预期!$F91:$J91)/SUM(基础状态预期!$F91:$J91)</f>
        <v>8487.5256736780539</v>
      </c>
      <c r="AE78" s="14" t="str">
        <f>IF(基础状态预期!U91="","",H$9+(基础状态预期!U91-1)*H$12)</f>
        <v/>
      </c>
      <c r="AF78" s="14" t="str">
        <f>IF(基础状态预期!V91="","",I$9+(基础状态预期!V91-1)*I$12)</f>
        <v/>
      </c>
      <c r="AG78" s="14" t="str">
        <f>IF(基础状态预期!W91="","",J$9+(基础状态预期!W91-1)*J$12)</f>
        <v/>
      </c>
      <c r="AH78" s="14" t="str">
        <f>IF(基础状态预期!X91="","",K$9+(基础状态预期!X91-1)*K$12)</f>
        <v/>
      </c>
      <c r="AI78" s="14">
        <f>IF(基础状态预期!Y91="","",L$9+(基础状态预期!Y91-1)*L$12)</f>
        <v>8487.5256736780539</v>
      </c>
      <c r="AJ78" s="14">
        <f>SUMPRODUCT(AE78:AI78,基础状态预期!$F91:$J91)/SUM(基础状态预期!$F91:$J91)</f>
        <v>8487.5256736780539</v>
      </c>
      <c r="AK78" s="14" t="str">
        <f>IF(基础状态预期!U91="","",H$27+(基础状态预期!U91-1)*H$28)</f>
        <v/>
      </c>
      <c r="AL78" s="14" t="str">
        <f>IF(基础状态预期!V91="","",I$27+(基础状态预期!V91-1)*I$28)</f>
        <v/>
      </c>
      <c r="AM78" s="14" t="str">
        <f>IF(基础状态预期!W91="","",J$27+(基础状态预期!W91-1)*J$28)</f>
        <v/>
      </c>
      <c r="AN78" s="14" t="str">
        <f>IF(基础状态预期!X91="","",K$27+(基础状态预期!X91-1)*K$28)</f>
        <v/>
      </c>
      <c r="AO78" s="14">
        <f>IF(基础状态预期!Y91="","",L$27+(基础状态预期!Y91-1)*L$28)</f>
        <v>3562.5085578926842</v>
      </c>
      <c r="AP78" s="14">
        <f>SUMPRODUCT(AK78:AO78,基础状态预期!$F91:$J91)/SUM(基础状态预期!$F91:$J91)</f>
        <v>3562.5085578926842</v>
      </c>
      <c r="AQ78" s="14" t="str">
        <f>IF(基础状态预期!U91="","",H$31+(基础状态预期!U91-1)*H$32)</f>
        <v/>
      </c>
      <c r="AR78" s="14" t="str">
        <f>IF(基础状态预期!V91="","",I$31+(基础状态预期!V91-1)*I$32)</f>
        <v/>
      </c>
      <c r="AS78" s="14" t="str">
        <f>IF(基础状态预期!W91="","",J$31+(基础状态预期!W91-1)*J$32)</f>
        <v/>
      </c>
      <c r="AT78" s="14" t="str">
        <f>IF(基础状态预期!X91="","",K$31+(基础状态预期!X91-1)*K$32)</f>
        <v/>
      </c>
      <c r="AU78" s="14">
        <f>IF(基础状态预期!Y91="","",L$31+(基础状态预期!Y91-1)*L$32)</f>
        <v>276.25085578926843</v>
      </c>
      <c r="AV78" s="14">
        <f>SUMPRODUCT(AQ78:AU78,基础状态预期!$F91:$J91)/SUM(基础状态预期!$F91:$J91)</f>
        <v>276.25085578926843</v>
      </c>
      <c r="BO78" s="29">
        <f t="shared" si="44"/>
        <v>128.62542789463421</v>
      </c>
      <c r="BP78" s="10">
        <f t="shared" si="45"/>
        <v>25902260197478.492</v>
      </c>
      <c r="BQ78" s="10" t="e">
        <f>$BP78*求节点('[1]功能-付费相关'!$AY$6:$AY$105,'[1]功能-付费相关'!$BA$6:$BA$105,$BO78)+$BQ77</f>
        <v>#VALUE!</v>
      </c>
      <c r="BZ78" s="4">
        <f t="shared" si="50"/>
        <v>14875</v>
      </c>
      <c r="CA78" s="4">
        <v>75</v>
      </c>
      <c r="CB78" s="90">
        <f t="shared" si="51"/>
        <v>322480</v>
      </c>
      <c r="CC78" s="4">
        <f>SUM(CB$4:CB78)</f>
        <v>4310300</v>
      </c>
      <c r="CD78" s="4">
        <f t="shared" si="49"/>
        <v>1.0384763648629114</v>
      </c>
    </row>
    <row r="79" spans="1:82" x14ac:dyDescent="0.15">
      <c r="A79" s="99">
        <f t="shared" si="33"/>
        <v>19030100</v>
      </c>
      <c r="B79" s="14">
        <v>150</v>
      </c>
      <c r="C79" s="14">
        <f t="shared" si="52"/>
        <v>126308700</v>
      </c>
      <c r="D79" s="14">
        <f>SUM(C$5:$C79)</f>
        <v>849484600</v>
      </c>
      <c r="E79" s="89">
        <f>'[1]资源-武将经验'!$Z80</f>
        <v>1.8185153498615525</v>
      </c>
      <c r="P79" s="5">
        <v>34</v>
      </c>
      <c r="Q79" s="14">
        <f>基础状态预期!D92</f>
        <v>132.09902390525281</v>
      </c>
      <c r="R79" s="14">
        <f>IF(基础状态预期!U92="",0,求节点($B$5:$B$154,$D$5:$D$154,基础状态预期!U92)*基础状态预期!F92)</f>
        <v>0</v>
      </c>
      <c r="S79" s="14">
        <f>IF(基础状态预期!V92="",0,求节点($B$5:$B$154,$D$5:$D$154,基础状态预期!V92)*基础状态预期!G92)</f>
        <v>0</v>
      </c>
      <c r="T79" s="14">
        <f>IF(基础状态预期!W92="",0,求节点($B$5:$B$154,$D$5:$D$154,基础状态预期!W92)*基础状态预期!H92)</f>
        <v>0</v>
      </c>
      <c r="U79" s="14">
        <f>IF(基础状态预期!X92="",0,求节点($B$5:$B$154,$D$5:$D$154,基础状态预期!X92)*基础状态预期!I92)</f>
        <v>0</v>
      </c>
      <c r="V79" s="14">
        <f>IF(基础状态预期!Y92="",0,求节点($B$5:$B$154,$D$5:$D$154,基础状态预期!Y92)*基础状态预期!J92)</f>
        <v>47823304973644.414</v>
      </c>
      <c r="W79" s="14">
        <f t="shared" si="48"/>
        <v>47823304973644.414</v>
      </c>
      <c r="Y79" s="14" t="str">
        <f>IF(基础状态预期!U92="","",H$8+(基础状态预期!U92-1)*H$11)</f>
        <v/>
      </c>
      <c r="Z79" s="14" t="str">
        <f>IF(基础状态预期!V92="","",I$8+(基础状态预期!V92-1)*I$11)</f>
        <v/>
      </c>
      <c r="AA79" s="14" t="str">
        <f>IF(基础状态预期!W92="","",J$8+(基础状态预期!W92-1)*J$11)</f>
        <v/>
      </c>
      <c r="AB79" s="14" t="str">
        <f>IF(基础状态预期!X92="","",K$8+(基础状态预期!X92-1)*K$11)</f>
        <v/>
      </c>
      <c r="AC79" s="14">
        <f>IF(基础状态预期!Y92="","",L$8+(基础状态预期!Y92-1)*L$11)</f>
        <v>8695.9414343151693</v>
      </c>
      <c r="AD79" s="14">
        <f>SUMPRODUCT(Y79:AC79,基础状态预期!$F92:$J92)/SUM(基础状态预期!$F92:$J92)</f>
        <v>8695.9414343151693</v>
      </c>
      <c r="AE79" s="14" t="str">
        <f>IF(基础状态预期!U92="","",H$9+(基础状态预期!U92-1)*H$12)</f>
        <v/>
      </c>
      <c r="AF79" s="14" t="str">
        <f>IF(基础状态预期!V92="","",I$9+(基础状态预期!V92-1)*I$12)</f>
        <v/>
      </c>
      <c r="AG79" s="14" t="str">
        <f>IF(基础状态预期!W92="","",J$9+(基础状态预期!W92-1)*J$12)</f>
        <v/>
      </c>
      <c r="AH79" s="14" t="str">
        <f>IF(基础状态预期!X92="","",K$9+(基础状态预期!X92-1)*K$12)</f>
        <v/>
      </c>
      <c r="AI79" s="14">
        <f>IF(基础状态预期!Y92="","",L$9+(基础状态预期!Y92-1)*L$12)</f>
        <v>8695.9414343151693</v>
      </c>
      <c r="AJ79" s="14">
        <f>SUMPRODUCT(AE79:AI79,基础状态预期!$F92:$J92)/SUM(基础状态预期!$F92:$J92)</f>
        <v>8695.9414343151693</v>
      </c>
      <c r="AK79" s="14" t="str">
        <f>IF(基础状态预期!U92="","",H$27+(基础状态预期!U92-1)*H$28)</f>
        <v/>
      </c>
      <c r="AL79" s="14" t="str">
        <f>IF(基础状态预期!V92="","",I$27+(基础状态预期!V92-1)*I$28)</f>
        <v/>
      </c>
      <c r="AM79" s="14" t="str">
        <f>IF(基础状态预期!W92="","",J$27+(基础状态预期!W92-1)*J$28)</f>
        <v/>
      </c>
      <c r="AN79" s="14" t="str">
        <f>IF(基础状态预期!X92="","",K$27+(基础状态预期!X92-1)*K$28)</f>
        <v/>
      </c>
      <c r="AO79" s="14">
        <f>IF(基础状态预期!Y92="","",L$27+(基础状态预期!Y92-1)*L$28)</f>
        <v>3631.9804781050561</v>
      </c>
      <c r="AP79" s="14">
        <f>SUMPRODUCT(AK79:AO79,基础状态预期!$F92:$J92)/SUM(基础状态预期!$F92:$J92)</f>
        <v>3631.9804781050566</v>
      </c>
      <c r="AQ79" s="14" t="str">
        <f>IF(基础状态预期!U92="","",H$31+(基础状态预期!U92-1)*H$32)</f>
        <v/>
      </c>
      <c r="AR79" s="14" t="str">
        <f>IF(基础状态预期!V92="","",I$31+(基础状态预期!V92-1)*I$32)</f>
        <v/>
      </c>
      <c r="AS79" s="14" t="str">
        <f>IF(基础状态预期!W92="","",J$31+(基础状态预期!W92-1)*J$32)</f>
        <v/>
      </c>
      <c r="AT79" s="14" t="str">
        <f>IF(基础状态预期!X92="","",K$31+(基础状态预期!X92-1)*K$32)</f>
        <v/>
      </c>
      <c r="AU79" s="14">
        <f>IF(基础状态预期!Y92="","",L$31+(基础状态预期!Y92-1)*L$32)</f>
        <v>283.19804781050561</v>
      </c>
      <c r="AV79" s="14">
        <f>SUMPRODUCT(AQ79:AU79,基础状态预期!$F92:$J92)/SUM(基础状态预期!$F92:$J92)</f>
        <v>283.19804781050561</v>
      </c>
      <c r="BO79" s="29">
        <f t="shared" si="44"/>
        <v>132.09902390525281</v>
      </c>
      <c r="BP79" s="10">
        <f t="shared" si="45"/>
        <v>47823304973644.414</v>
      </c>
      <c r="BQ79" s="10" t="e">
        <f>$BP79*求节点('[1]功能-付费相关'!$AY$6:$AY$105,'[1]功能-付费相关'!$BA$6:$BA$105,$BO79)+$BQ78</f>
        <v>#VALUE!</v>
      </c>
      <c r="BZ79" s="4">
        <f t="shared" si="50"/>
        <v>15150</v>
      </c>
      <c r="CA79" s="4">
        <v>76</v>
      </c>
      <c r="CB79" s="90">
        <f t="shared" si="51"/>
        <v>337630</v>
      </c>
      <c r="CC79" s="4">
        <f>SUM(CB$4:CB79)</f>
        <v>4647930</v>
      </c>
      <c r="CD79" s="4">
        <f t="shared" si="49"/>
        <v>1.0390847510674923</v>
      </c>
    </row>
    <row r="80" spans="1:82" x14ac:dyDescent="0.15">
      <c r="A80" s="99">
        <f t="shared" si="33"/>
        <v>22417400</v>
      </c>
      <c r="B80" s="14">
        <v>152</v>
      </c>
      <c r="C80" s="14">
        <f t="shared" si="52"/>
        <v>148726100</v>
      </c>
      <c r="D80" s="14">
        <f>SUM(C$5:$C80)</f>
        <v>998210700</v>
      </c>
      <c r="E80" s="89">
        <f>'[1]资源-武将经验'!$Z81</f>
        <v>1.7646029407683996</v>
      </c>
      <c r="P80" s="5">
        <v>35</v>
      </c>
      <c r="Q80" s="14">
        <f>基础状态预期!D93</f>
        <v>135.61521761503846</v>
      </c>
      <c r="R80" s="14">
        <f>IF(基础状态预期!U93="",0,求节点($B$5:$B$154,$D$5:$D$154,基础状态预期!U93)*基础状态预期!F93)</f>
        <v>0</v>
      </c>
      <c r="S80" s="14">
        <f>IF(基础状态预期!V93="",0,求节点($B$5:$B$154,$D$5:$D$154,基础状态预期!V93)*基础状态预期!G93)</f>
        <v>0</v>
      </c>
      <c r="T80" s="14">
        <f>IF(基础状态预期!W93="",0,求节点($B$5:$B$154,$D$5:$D$154,基础状态预期!W93)*基础状态预期!H93)</f>
        <v>0</v>
      </c>
      <c r="U80" s="14">
        <f>IF(基础状态预期!X93="",0,求节点($B$5:$B$154,$D$5:$D$154,基础状态预期!X93)*基础状态预期!I93)</f>
        <v>0</v>
      </c>
      <c r="V80" s="14">
        <f>IF(基础状态预期!Y93="",0,求节点($B$5:$B$154,$D$5:$D$154,基础状态预期!Y93)*基础状态预期!J93)</f>
        <v>89938104949469.734</v>
      </c>
      <c r="W80" s="14">
        <f t="shared" si="48"/>
        <v>89938104949469.734</v>
      </c>
      <c r="Y80" s="14" t="str">
        <f>IF(基础状态预期!U93="","",H$8+(基础状态预期!U93-1)*H$11)</f>
        <v/>
      </c>
      <c r="Z80" s="14" t="str">
        <f>IF(基础状态预期!V93="","",I$8+(基础状态预期!V93-1)*I$11)</f>
        <v/>
      </c>
      <c r="AA80" s="14" t="str">
        <f>IF(基础状态预期!W93="","",J$8+(基础状态预期!W93-1)*J$11)</f>
        <v/>
      </c>
      <c r="AB80" s="14" t="str">
        <f>IF(基础状态预期!X93="","",K$8+(基础状态预期!X93-1)*K$11)</f>
        <v/>
      </c>
      <c r="AC80" s="14">
        <f>IF(基础状态预期!Y93="","",L$8+(基础状态预期!Y93-1)*L$11)</f>
        <v>8906.9130569023073</v>
      </c>
      <c r="AD80" s="14">
        <f>SUMPRODUCT(Y80:AC80,基础状态预期!$F93:$J93)/SUM(基础状态预期!$F93:$J93)</f>
        <v>8906.9130569023073</v>
      </c>
      <c r="AE80" s="14" t="str">
        <f>IF(基础状态预期!U93="","",H$9+(基础状态预期!U93-1)*H$12)</f>
        <v/>
      </c>
      <c r="AF80" s="14" t="str">
        <f>IF(基础状态预期!V93="","",I$9+(基础状态预期!V93-1)*I$12)</f>
        <v/>
      </c>
      <c r="AG80" s="14" t="str">
        <f>IF(基础状态预期!W93="","",J$9+(基础状态预期!W93-1)*J$12)</f>
        <v/>
      </c>
      <c r="AH80" s="14" t="str">
        <f>IF(基础状态预期!X93="","",K$9+(基础状态预期!X93-1)*K$12)</f>
        <v/>
      </c>
      <c r="AI80" s="14">
        <f>IF(基础状态预期!Y93="","",L$9+(基础状态预期!Y93-1)*L$12)</f>
        <v>8906.9130569023073</v>
      </c>
      <c r="AJ80" s="14">
        <f>SUMPRODUCT(AE80:AI80,基础状态预期!$F93:$J93)/SUM(基础状态预期!$F93:$J93)</f>
        <v>8906.9130569023073</v>
      </c>
      <c r="AK80" s="14" t="str">
        <f>IF(基础状态预期!U93="","",H$27+(基础状态预期!U93-1)*H$28)</f>
        <v/>
      </c>
      <c r="AL80" s="14" t="str">
        <f>IF(基础状态预期!V93="","",I$27+(基础状态预期!V93-1)*I$28)</f>
        <v/>
      </c>
      <c r="AM80" s="14" t="str">
        <f>IF(基础状态预期!W93="","",J$27+(基础状态预期!W93-1)*J$28)</f>
        <v/>
      </c>
      <c r="AN80" s="14" t="str">
        <f>IF(基础状态预期!X93="","",K$27+(基础状态预期!X93-1)*K$28)</f>
        <v/>
      </c>
      <c r="AO80" s="14">
        <f>IF(基础状态预期!Y93="","",L$27+(基础状态预期!Y93-1)*L$28)</f>
        <v>3702.3043523007691</v>
      </c>
      <c r="AP80" s="14">
        <f>SUMPRODUCT(AK80:AO80,基础状态预期!$F93:$J93)/SUM(基础状态预期!$F93:$J93)</f>
        <v>3702.3043523007691</v>
      </c>
      <c r="AQ80" s="14" t="str">
        <f>IF(基础状态预期!U93="","",H$31+(基础状态预期!U93-1)*H$32)</f>
        <v/>
      </c>
      <c r="AR80" s="14" t="str">
        <f>IF(基础状态预期!V93="","",I$31+(基础状态预期!V93-1)*I$32)</f>
        <v/>
      </c>
      <c r="AS80" s="14" t="str">
        <f>IF(基础状态预期!W93="","",J$31+(基础状态预期!W93-1)*J$32)</f>
        <v/>
      </c>
      <c r="AT80" s="14" t="str">
        <f>IF(基础状态预期!X93="","",K$31+(基础状态预期!X93-1)*K$32)</f>
        <v/>
      </c>
      <c r="AU80" s="14">
        <f>IF(基础状态预期!Y93="","",L$31+(基础状态预期!Y93-1)*L$32)</f>
        <v>290.23043523007692</v>
      </c>
      <c r="AV80" s="14">
        <f>SUMPRODUCT(AQ80:AU80,基础状态预期!$F93:$J93)/SUM(基础状态预期!$F93:$J93)</f>
        <v>290.23043523007692</v>
      </c>
      <c r="BO80" s="29">
        <f t="shared" si="44"/>
        <v>135.61521761503846</v>
      </c>
      <c r="BP80" s="10">
        <f t="shared" si="45"/>
        <v>89938104949469.734</v>
      </c>
      <c r="BQ80" s="10" t="e">
        <f>$BP80*求节点('[1]功能-付费相关'!$AY$6:$AY$105,'[1]功能-付费相关'!$BA$6:$BA$105,$BO80)+$BQ79</f>
        <v>#VALUE!</v>
      </c>
      <c r="BZ80" s="4">
        <f t="shared" si="50"/>
        <v>15150</v>
      </c>
      <c r="CA80" s="4">
        <v>77</v>
      </c>
      <c r="CB80" s="90">
        <f t="shared" si="51"/>
        <v>352780</v>
      </c>
      <c r="CC80" s="4">
        <f>SUM(CB$4:CB80)</f>
        <v>5000710</v>
      </c>
      <c r="CD80" s="4">
        <f t="shared" si="49"/>
        <v>1.0362232951366583</v>
      </c>
    </row>
    <row r="81" spans="1:82" x14ac:dyDescent="0.15">
      <c r="A81" s="99">
        <f t="shared" si="33"/>
        <v>26407600</v>
      </c>
      <c r="B81" s="14">
        <v>154</v>
      </c>
      <c r="C81" s="14">
        <f t="shared" si="52"/>
        <v>175133700</v>
      </c>
      <c r="D81" s="14">
        <f>SUM(C$5:$C81)</f>
        <v>1173344400</v>
      </c>
      <c r="E81" s="89">
        <f>'[1]资源-武将经验'!$Z82</f>
        <v>1.7620459656222043</v>
      </c>
      <c r="P81" s="5">
        <v>36</v>
      </c>
      <c r="Q81" s="14">
        <f>基础状态预期!D94</f>
        <v>139.08794136138388</v>
      </c>
      <c r="R81" s="14">
        <f>IF(基础状态预期!U94="",0,求节点($B$5:$B$154,$D$5:$D$154,基础状态预期!U94)*基础状态预期!F94)</f>
        <v>0</v>
      </c>
      <c r="S81" s="14">
        <f>IF(基础状态预期!V94="",0,求节点($B$5:$B$154,$D$5:$D$154,基础状态预期!V94)*基础状态预期!G94)</f>
        <v>0</v>
      </c>
      <c r="T81" s="14">
        <f>IF(基础状态预期!W94="",0,求节点($B$5:$B$154,$D$5:$D$154,基础状态预期!W94)*基础状态预期!H94)</f>
        <v>0</v>
      </c>
      <c r="U81" s="14">
        <f>IF(基础状态预期!X94="",0,求节点($B$5:$B$154,$D$5:$D$154,基础状态预期!X94)*基础状态预期!I94)</f>
        <v>0</v>
      </c>
      <c r="V81" s="14">
        <f>IF(基础状态预期!Y94="",0,求节点($B$5:$B$154,$D$5:$D$154,基础状态预期!Y94)*基础状态预期!J94)</f>
        <v>164970831458552.13</v>
      </c>
      <c r="W81" s="14">
        <f t="shared" si="48"/>
        <v>164970831458552.13</v>
      </c>
      <c r="Y81" s="14" t="str">
        <f>IF(基础状态预期!U94="","",H$8+(基础状态预期!U94-1)*H$11)</f>
        <v/>
      </c>
      <c r="Z81" s="14" t="str">
        <f>IF(基础状态预期!V94="","",I$8+(基础状态预期!V94-1)*I$11)</f>
        <v/>
      </c>
      <c r="AA81" s="14" t="str">
        <f>IF(基础状态预期!W94="","",J$8+(基础状态预期!W94-1)*J$11)</f>
        <v/>
      </c>
      <c r="AB81" s="14" t="str">
        <f>IF(基础状态预期!X94="","",K$8+(基础状态预期!X94-1)*K$11)</f>
        <v/>
      </c>
      <c r="AC81" s="14">
        <f>IF(基础状态预期!Y94="","",L$8+(基础状态预期!Y94-1)*L$11)</f>
        <v>9115.2764816830331</v>
      </c>
      <c r="AD81" s="14">
        <f>SUMPRODUCT(Y81:AC81,基础状态预期!$F94:$J94)/SUM(基础状态预期!$F94:$J94)</f>
        <v>9115.2764816830331</v>
      </c>
      <c r="AE81" s="14" t="str">
        <f>IF(基础状态预期!U94="","",H$9+(基础状态预期!U94-1)*H$12)</f>
        <v/>
      </c>
      <c r="AF81" s="14" t="str">
        <f>IF(基础状态预期!V94="","",I$9+(基础状态预期!V94-1)*I$12)</f>
        <v/>
      </c>
      <c r="AG81" s="14" t="str">
        <f>IF(基础状态预期!W94="","",J$9+(基础状态预期!W94-1)*J$12)</f>
        <v/>
      </c>
      <c r="AH81" s="14" t="str">
        <f>IF(基础状态预期!X94="","",K$9+(基础状态预期!X94-1)*K$12)</f>
        <v/>
      </c>
      <c r="AI81" s="14">
        <f>IF(基础状态预期!Y94="","",L$9+(基础状态预期!Y94-1)*L$12)</f>
        <v>9115.2764816830331</v>
      </c>
      <c r="AJ81" s="14">
        <f>SUMPRODUCT(AE81:AI81,基础状态预期!$F94:$J94)/SUM(基础状态预期!$F94:$J94)</f>
        <v>9115.2764816830331</v>
      </c>
      <c r="AK81" s="14" t="str">
        <f>IF(基础状态预期!U94="","",H$27+(基础状态预期!U94-1)*H$28)</f>
        <v/>
      </c>
      <c r="AL81" s="14" t="str">
        <f>IF(基础状态预期!V94="","",I$27+(基础状态预期!V94-1)*I$28)</f>
        <v/>
      </c>
      <c r="AM81" s="14" t="str">
        <f>IF(基础状态预期!W94="","",J$27+(基础状态预期!W94-1)*J$28)</f>
        <v/>
      </c>
      <c r="AN81" s="14" t="str">
        <f>IF(基础状态预期!X94="","",K$27+(基础状态预期!X94-1)*K$28)</f>
        <v/>
      </c>
      <c r="AO81" s="14">
        <f>IF(基础状态预期!Y94="","",L$27+(基础状态预期!Y94-1)*L$28)</f>
        <v>3771.7588272276776</v>
      </c>
      <c r="AP81" s="14">
        <f>SUMPRODUCT(AK81:AO81,基础状态预期!$F94:$J94)/SUM(基础状态预期!$F94:$J94)</f>
        <v>3771.7588272276776</v>
      </c>
      <c r="AQ81" s="14" t="str">
        <f>IF(基础状态预期!U94="","",H$31+(基础状态预期!U94-1)*H$32)</f>
        <v/>
      </c>
      <c r="AR81" s="14" t="str">
        <f>IF(基础状态预期!V94="","",I$31+(基础状态预期!V94-1)*I$32)</f>
        <v/>
      </c>
      <c r="AS81" s="14" t="str">
        <f>IF(基础状态预期!W94="","",J$31+(基础状态预期!W94-1)*J$32)</f>
        <v/>
      </c>
      <c r="AT81" s="14" t="str">
        <f>IF(基础状态预期!X94="","",K$31+(基础状态预期!X94-1)*K$32)</f>
        <v/>
      </c>
      <c r="AU81" s="14">
        <f>IF(基础状态预期!Y94="","",L$31+(基础状态预期!Y94-1)*L$32)</f>
        <v>297.17588272276777</v>
      </c>
      <c r="AV81" s="14">
        <f>SUMPRODUCT(AQ81:AU81,基础状态预期!$F94:$J94)/SUM(基础状态预期!$F94:$J94)</f>
        <v>297.17588272276777</v>
      </c>
      <c r="BO81" s="29">
        <f t="shared" si="44"/>
        <v>139.08794136138388</v>
      </c>
      <c r="BP81" s="10">
        <f t="shared" si="45"/>
        <v>164970831458552.13</v>
      </c>
      <c r="BQ81" s="10" t="e">
        <f>$BP81*求节点('[1]功能-付费相关'!$AY$6:$AY$105,'[1]功能-付费相关'!$BA$6:$BA$105,$BO81)+$BQ80</f>
        <v>#VALUE!</v>
      </c>
      <c r="BZ81" s="4">
        <f t="shared" si="50"/>
        <v>15450</v>
      </c>
      <c r="CA81" s="4">
        <v>78</v>
      </c>
      <c r="CB81" s="90">
        <f t="shared" si="51"/>
        <v>368230</v>
      </c>
      <c r="CC81" s="4">
        <f>SUM(CB$4:CB81)</f>
        <v>5368940</v>
      </c>
      <c r="CD81" s="4">
        <f t="shared" si="49"/>
        <v>1.036735087956437</v>
      </c>
    </row>
    <row r="82" spans="1:82" x14ac:dyDescent="0.15">
      <c r="A82" s="99">
        <f t="shared" si="33"/>
        <v>31108100</v>
      </c>
      <c r="B82" s="14">
        <v>156</v>
      </c>
      <c r="C82" s="14">
        <f t="shared" si="52"/>
        <v>206241800</v>
      </c>
      <c r="D82" s="14">
        <f>SUM(C$5:$C82)</f>
        <v>1379586200</v>
      </c>
      <c r="E82" s="89">
        <f>'[1]资源-武将经验'!$Z83</f>
        <v>1.7809013137894549</v>
      </c>
      <c r="P82" s="5">
        <v>37</v>
      </c>
      <c r="Q82" s="14">
        <f>基础状态预期!D95</f>
        <v>142.60670974426387</v>
      </c>
      <c r="R82" s="14">
        <f>IF(基础状态预期!U95="",0,求节点($B$5:$B$154,$D$5:$D$154,基础状态预期!U95)*基础状态预期!F95)</f>
        <v>0</v>
      </c>
      <c r="S82" s="14">
        <f>IF(基础状态预期!V95="",0,求节点($B$5:$B$154,$D$5:$D$154,基础状态预期!V95)*基础状态预期!G95)</f>
        <v>0</v>
      </c>
      <c r="T82" s="14">
        <f>IF(基础状态预期!W95="",0,求节点($B$5:$B$154,$D$5:$D$154,基础状态预期!W95)*基础状态预期!H95)</f>
        <v>0</v>
      </c>
      <c r="U82" s="14">
        <f>IF(基础状态预期!X95="",0,求节点($B$5:$B$154,$D$5:$D$154,基础状态预期!X95)*基础状态预期!I95)</f>
        <v>0</v>
      </c>
      <c r="V82" s="14">
        <f>IF(基础状态预期!Y95="",0,求节点($B$5:$B$154,$D$5:$D$154,基础状态预期!Y95)*基础状态预期!J95)</f>
        <v>297851893567180.25</v>
      </c>
      <c r="W82" s="14">
        <f t="shared" si="48"/>
        <v>297851893567180.25</v>
      </c>
      <c r="Y82" s="14" t="str">
        <f>IF(基础状态预期!U95="","",H$8+(基础状态预期!U95-1)*H$11)</f>
        <v/>
      </c>
      <c r="Z82" s="14" t="str">
        <f>IF(基础状态预期!V95="","",I$8+(基础状态预期!V95-1)*I$11)</f>
        <v/>
      </c>
      <c r="AA82" s="14" t="str">
        <f>IF(基础状态预期!W95="","",J$8+(基础状态预期!W95-1)*J$11)</f>
        <v/>
      </c>
      <c r="AB82" s="14" t="str">
        <f>IF(基础状态预期!X95="","",K$8+(基础状态预期!X95-1)*K$11)</f>
        <v/>
      </c>
      <c r="AC82" s="14">
        <f>IF(基础状态预期!Y95="","",L$8+(基础状态预期!Y95-1)*L$11)</f>
        <v>9326.4025846558325</v>
      </c>
      <c r="AD82" s="14">
        <f>SUMPRODUCT(Y82:AC82,基础状态预期!$F95:$J95)/SUM(基础状态预期!$F95:$J95)</f>
        <v>9326.4025846558325</v>
      </c>
      <c r="AE82" s="14" t="str">
        <f>IF(基础状态预期!U95="","",H$9+(基础状态预期!U95-1)*H$12)</f>
        <v/>
      </c>
      <c r="AF82" s="14" t="str">
        <f>IF(基础状态预期!V95="","",I$9+(基础状态预期!V95-1)*I$12)</f>
        <v/>
      </c>
      <c r="AG82" s="14" t="str">
        <f>IF(基础状态预期!W95="","",J$9+(基础状态预期!W95-1)*J$12)</f>
        <v/>
      </c>
      <c r="AH82" s="14" t="str">
        <f>IF(基础状态预期!X95="","",K$9+(基础状态预期!X95-1)*K$12)</f>
        <v/>
      </c>
      <c r="AI82" s="14">
        <f>IF(基础状态预期!Y95="","",L$9+(基础状态预期!Y95-1)*L$12)</f>
        <v>9326.4025846558325</v>
      </c>
      <c r="AJ82" s="14">
        <f>SUMPRODUCT(AE82:AI82,基础状态预期!$F95:$J95)/SUM(基础状态预期!$F95:$J95)</f>
        <v>9326.4025846558325</v>
      </c>
      <c r="AK82" s="14" t="str">
        <f>IF(基础状态预期!U95="","",H$27+(基础状态预期!U95-1)*H$28)</f>
        <v/>
      </c>
      <c r="AL82" s="14" t="str">
        <f>IF(基础状态预期!V95="","",I$27+(基础状态预期!V95-1)*I$28)</f>
        <v/>
      </c>
      <c r="AM82" s="14" t="str">
        <f>IF(基础状态预期!W95="","",J$27+(基础状态预期!W95-1)*J$28)</f>
        <v/>
      </c>
      <c r="AN82" s="14" t="str">
        <f>IF(基础状态预期!X95="","",K$27+(基础状态预期!X95-1)*K$28)</f>
        <v/>
      </c>
      <c r="AO82" s="14">
        <f>IF(基础状态预期!Y95="","",L$27+(基础状态预期!Y95-1)*L$28)</f>
        <v>3842.1341948852773</v>
      </c>
      <c r="AP82" s="14">
        <f>SUMPRODUCT(AK82:AO82,基础状态预期!$F95:$J95)/SUM(基础状态预期!$F95:$J95)</f>
        <v>3842.1341948852773</v>
      </c>
      <c r="AQ82" s="14" t="str">
        <f>IF(基础状态预期!U95="","",H$31+(基础状态预期!U95-1)*H$32)</f>
        <v/>
      </c>
      <c r="AR82" s="14" t="str">
        <f>IF(基础状态预期!V95="","",I$31+(基础状态预期!V95-1)*I$32)</f>
        <v/>
      </c>
      <c r="AS82" s="14" t="str">
        <f>IF(基础状态预期!W95="","",J$31+(基础状态预期!W95-1)*J$32)</f>
        <v/>
      </c>
      <c r="AT82" s="14" t="str">
        <f>IF(基础状态预期!X95="","",K$31+(基础状态预期!X95-1)*K$32)</f>
        <v/>
      </c>
      <c r="AU82" s="14">
        <f>IF(基础状态预期!Y95="","",L$31+(基础状态预期!Y95-1)*L$32)</f>
        <v>304.21341948852773</v>
      </c>
      <c r="AV82" s="14">
        <f>SUMPRODUCT(AQ82:AU82,基础状态预期!$F95:$J95)/SUM(基础状态预期!$F95:$J95)</f>
        <v>304.21341948852773</v>
      </c>
      <c r="BO82" s="29">
        <f t="shared" si="44"/>
        <v>142.60670974426387</v>
      </c>
      <c r="BP82" s="10">
        <f t="shared" si="45"/>
        <v>297851893567180.25</v>
      </c>
      <c r="BQ82" s="10" t="e">
        <f>$BP82*求节点('[1]功能-付费相关'!$AY$6:$AY$105,'[1]功能-付费相关'!$BA$6:$BA$105,$BO82)+$BQ81</f>
        <v>#VALUE!</v>
      </c>
      <c r="BZ82" s="4">
        <f t="shared" si="50"/>
        <v>15450</v>
      </c>
      <c r="CA82" s="4">
        <v>79</v>
      </c>
      <c r="CB82" s="90">
        <f t="shared" si="51"/>
        <v>383680</v>
      </c>
      <c r="CC82" s="4">
        <f>SUM(CB$4:CB82)</f>
        <v>5752620</v>
      </c>
      <c r="CD82" s="4">
        <f t="shared" si="49"/>
        <v>1.0341974687185387</v>
      </c>
    </row>
    <row r="83" spans="1:82" x14ac:dyDescent="0.15">
      <c r="A83" s="99">
        <f t="shared" si="33"/>
        <v>36645300</v>
      </c>
      <c r="B83" s="14">
        <v>158</v>
      </c>
      <c r="C83" s="14">
        <f t="shared" si="52"/>
        <v>242887100</v>
      </c>
      <c r="D83" s="14">
        <f>SUM(C$5:$C83)</f>
        <v>1622473300</v>
      </c>
      <c r="E83" s="89">
        <f>'[1]资源-武将经验'!$Z84</f>
        <v>1.7438606768587115</v>
      </c>
      <c r="P83" s="5">
        <v>38</v>
      </c>
      <c r="Q83" s="14">
        <f>基础状态预期!D96</f>
        <v>146.07830147206653</v>
      </c>
      <c r="R83" s="14">
        <f>IF(基础状态预期!U96="",0,求节点($B$5:$B$154,$D$5:$D$154,基础状态预期!U96)*基础状态预期!F96)</f>
        <v>0</v>
      </c>
      <c r="S83" s="14">
        <f>IF(基础状态预期!V96="",0,求节点($B$5:$B$154,$D$5:$D$154,基础状态预期!V96)*基础状态预期!G96)</f>
        <v>0</v>
      </c>
      <c r="T83" s="14">
        <f>IF(基础状态预期!W96="",0,求节点($B$5:$B$154,$D$5:$D$154,基础状态预期!W96)*基础状态预期!H96)</f>
        <v>0</v>
      </c>
      <c r="U83" s="14">
        <f>IF(基础状态预期!X96="",0,求节点($B$5:$B$154,$D$5:$D$154,基础状态预期!X96)*基础状态预期!I96)</f>
        <v>0</v>
      </c>
      <c r="V83" s="14">
        <f>IF(基础状态预期!Y96="",0,求节点($B$5:$B$154,$D$5:$D$154,基础状态预期!Y96)*基础状态预期!J96)</f>
        <v>517871341222232.13</v>
      </c>
      <c r="W83" s="14">
        <f t="shared" si="48"/>
        <v>517871341222232.13</v>
      </c>
      <c r="Y83" s="14" t="str">
        <f>IF(基础状态预期!U96="","",H$8+(基础状态预期!U96-1)*H$11)</f>
        <v/>
      </c>
      <c r="Z83" s="14" t="str">
        <f>IF(基础状态预期!V96="","",I$8+(基础状态预期!V96-1)*I$11)</f>
        <v/>
      </c>
      <c r="AA83" s="14" t="str">
        <f>IF(基础状态预期!W96="","",J$8+(基础状态预期!W96-1)*J$11)</f>
        <v/>
      </c>
      <c r="AB83" s="14" t="str">
        <f>IF(基础状态预期!X96="","",K$8+(基础状态预期!X96-1)*K$11)</f>
        <v/>
      </c>
      <c r="AC83" s="14">
        <f>IF(基础状态预期!Y96="","",L$8+(基础状态预期!Y96-1)*L$11)</f>
        <v>9534.6980883239921</v>
      </c>
      <c r="AD83" s="14">
        <f>SUMPRODUCT(Y83:AC83,基础状态预期!$F96:$J96)/SUM(基础状态预期!$F96:$J96)</f>
        <v>9534.6980883239921</v>
      </c>
      <c r="AE83" s="14" t="str">
        <f>IF(基础状态预期!U96="","",H$9+(基础状态预期!U96-1)*H$12)</f>
        <v/>
      </c>
      <c r="AF83" s="14" t="str">
        <f>IF(基础状态预期!V96="","",I$9+(基础状态预期!V96-1)*I$12)</f>
        <v/>
      </c>
      <c r="AG83" s="14" t="str">
        <f>IF(基础状态预期!W96="","",J$9+(基础状态预期!W96-1)*J$12)</f>
        <v/>
      </c>
      <c r="AH83" s="14" t="str">
        <f>IF(基础状态预期!X96="","",K$9+(基础状态预期!X96-1)*K$12)</f>
        <v/>
      </c>
      <c r="AI83" s="14">
        <f>IF(基础状态预期!Y96="","",L$9+(基础状态预期!Y96-1)*L$12)</f>
        <v>9534.6980883239921</v>
      </c>
      <c r="AJ83" s="14">
        <f>SUMPRODUCT(AE83:AI83,基础状态预期!$F96:$J96)/SUM(基础状态预期!$F96:$J96)</f>
        <v>9534.6980883239921</v>
      </c>
      <c r="AK83" s="14" t="str">
        <f>IF(基础状态预期!U96="","",H$27+(基础状态预期!U96-1)*H$28)</f>
        <v/>
      </c>
      <c r="AL83" s="14" t="str">
        <f>IF(基础状态预期!V96="","",I$27+(基础状态预期!V96-1)*I$28)</f>
        <v/>
      </c>
      <c r="AM83" s="14" t="str">
        <f>IF(基础状态预期!W96="","",J$27+(基础状态预期!W96-1)*J$28)</f>
        <v/>
      </c>
      <c r="AN83" s="14" t="str">
        <f>IF(基础状态预期!X96="","",K$27+(基础状态预期!X96-1)*K$28)</f>
        <v/>
      </c>
      <c r="AO83" s="14">
        <f>IF(基础状态预期!Y96="","",L$27+(基础状态预期!Y96-1)*L$28)</f>
        <v>3911.5660294413306</v>
      </c>
      <c r="AP83" s="14">
        <f>SUMPRODUCT(AK83:AO83,基础状态预期!$F96:$J96)/SUM(基础状态预期!$F96:$J96)</f>
        <v>3911.5660294413306</v>
      </c>
      <c r="AQ83" s="14" t="str">
        <f>IF(基础状态预期!U96="","",H$31+(基础状态预期!U96-1)*H$32)</f>
        <v/>
      </c>
      <c r="AR83" s="14" t="str">
        <f>IF(基础状态预期!V96="","",I$31+(基础状态预期!V96-1)*I$32)</f>
        <v/>
      </c>
      <c r="AS83" s="14" t="str">
        <f>IF(基础状态预期!W96="","",J$31+(基础状态预期!W96-1)*J$32)</f>
        <v/>
      </c>
      <c r="AT83" s="14" t="str">
        <f>IF(基础状态预期!X96="","",K$31+(基础状态预期!X96-1)*K$32)</f>
        <v/>
      </c>
      <c r="AU83" s="14">
        <f>IF(基础状态预期!Y96="","",L$31+(基础状态预期!Y96-1)*L$32)</f>
        <v>311.15660294413306</v>
      </c>
      <c r="AV83" s="14">
        <f>SUMPRODUCT(AQ83:AU83,基础状态预期!$F96:$J96)/SUM(基础状态预期!$F96:$J96)</f>
        <v>311.15660294413306</v>
      </c>
      <c r="BO83" s="29">
        <f t="shared" si="44"/>
        <v>146.07830147206653</v>
      </c>
      <c r="BP83" s="10">
        <f t="shared" si="45"/>
        <v>517871341222232.13</v>
      </c>
      <c r="BQ83" s="10" t="e">
        <f>$BP83*求节点('[1]功能-付费相关'!$AY$6:$AY$105,'[1]功能-付费相关'!$BA$6:$BA$105,$BO83)+$BQ82</f>
        <v>#VALUE!</v>
      </c>
      <c r="BZ83" s="4">
        <f t="shared" si="50"/>
        <v>18200</v>
      </c>
      <c r="CA83" s="4">
        <v>80</v>
      </c>
      <c r="CB83" s="90">
        <f t="shared" si="51"/>
        <v>401880</v>
      </c>
      <c r="CC83" s="4">
        <f>SUM(CB$4:CB83)</f>
        <v>6154500</v>
      </c>
      <c r="CD83" s="4">
        <f t="shared" si="49"/>
        <v>1.0350481828425355</v>
      </c>
    </row>
    <row r="84" spans="1:82" x14ac:dyDescent="0.15">
      <c r="A84" s="99">
        <f t="shared" si="33"/>
        <v>43168100</v>
      </c>
      <c r="B84" s="14">
        <v>160</v>
      </c>
      <c r="C84" s="14">
        <f t="shared" si="52"/>
        <v>286055200</v>
      </c>
      <c r="D84" s="14">
        <f>SUM(C$5:$C84)</f>
        <v>1908528500</v>
      </c>
      <c r="E84" s="89">
        <f>'[1]资源-武将经验'!$Z85</f>
        <v>1.7547950445691591</v>
      </c>
      <c r="P84" s="5">
        <v>39</v>
      </c>
      <c r="Q84" s="14">
        <f>基础状态预期!D97</f>
        <v>149.61701338734093</v>
      </c>
      <c r="R84" s="14">
        <f>IF(基础状态预期!U97="",0,求节点($B$5:$B$154,$D$5:$D$154,基础状态预期!U97)*基础状态预期!F97)</f>
        <v>0</v>
      </c>
      <c r="S84" s="14">
        <f>IF(基础状态预期!V97="",0,求节点($B$5:$B$154,$D$5:$D$154,基础状态预期!V97)*基础状态预期!G97)</f>
        <v>0</v>
      </c>
      <c r="T84" s="14">
        <f>IF(基础状态预期!W97="",0,求节点($B$5:$B$154,$D$5:$D$154,基础状态预期!W97)*基础状态预期!H97)</f>
        <v>0</v>
      </c>
      <c r="U84" s="14">
        <f>IF(基础状态预期!X97="",0,求节点($B$5:$B$154,$D$5:$D$154,基础状态预期!X97)*基础状态预期!I97)</f>
        <v>0</v>
      </c>
      <c r="V84" s="14">
        <f>IF(基础状态预期!Y97="",0,求节点($B$5:$B$154,$D$5:$D$154,基础状态预期!Y97)*基础状态预期!J97)</f>
        <v>894674247918827.75</v>
      </c>
      <c r="W84" s="14">
        <f t="shared" si="48"/>
        <v>894674247918827.75</v>
      </c>
      <c r="Y84" s="14" t="str">
        <f>IF(基础状态预期!U97="","",H$8+(基础状态预期!U97-1)*H$11)</f>
        <v/>
      </c>
      <c r="Z84" s="14" t="str">
        <f>IF(基础状态预期!V97="","",I$8+(基础状态预期!V97-1)*I$11)</f>
        <v/>
      </c>
      <c r="AA84" s="14" t="str">
        <f>IF(基础状态预期!W97="","",J$8+(基础状态预期!W97-1)*J$11)</f>
        <v/>
      </c>
      <c r="AB84" s="14" t="str">
        <f>IF(基础状态预期!X97="","",K$8+(基础状态预期!X97-1)*K$11)</f>
        <v/>
      </c>
      <c r="AC84" s="14">
        <f>IF(基础状态预期!Y97="","",L$8+(基础状态预期!Y97-1)*L$11)</f>
        <v>9747.0208032404553</v>
      </c>
      <c r="AD84" s="14">
        <f>SUMPRODUCT(Y84:AC84,基础状态预期!$F97:$J97)/SUM(基础状态预期!$F97:$J97)</f>
        <v>9747.0208032404553</v>
      </c>
      <c r="AE84" s="14" t="str">
        <f>IF(基础状态预期!U97="","",H$9+(基础状态预期!U97-1)*H$12)</f>
        <v/>
      </c>
      <c r="AF84" s="14" t="str">
        <f>IF(基础状态预期!V97="","",I$9+(基础状态预期!V97-1)*I$12)</f>
        <v/>
      </c>
      <c r="AG84" s="14" t="str">
        <f>IF(基础状态预期!W97="","",J$9+(基础状态预期!W97-1)*J$12)</f>
        <v/>
      </c>
      <c r="AH84" s="14" t="str">
        <f>IF(基础状态预期!X97="","",K$9+(基础状态预期!X97-1)*K$12)</f>
        <v/>
      </c>
      <c r="AI84" s="14">
        <f>IF(基础状态预期!Y97="","",L$9+(基础状态预期!Y97-1)*L$12)</f>
        <v>9747.0208032404553</v>
      </c>
      <c r="AJ84" s="14">
        <f>SUMPRODUCT(AE84:AI84,基础状态预期!$F97:$J97)/SUM(基础状态预期!$F97:$J97)</f>
        <v>9747.0208032404553</v>
      </c>
      <c r="AK84" s="14" t="str">
        <f>IF(基础状态预期!U97="","",H$27+(基础状态预期!U97-1)*H$28)</f>
        <v/>
      </c>
      <c r="AL84" s="14" t="str">
        <f>IF(基础状态预期!V97="","",I$27+(基础状态预期!V97-1)*I$28)</f>
        <v/>
      </c>
      <c r="AM84" s="14" t="str">
        <f>IF(基础状态预期!W97="","",J$27+(基础状态预期!W97-1)*J$28)</f>
        <v/>
      </c>
      <c r="AN84" s="14" t="str">
        <f>IF(基础状态预期!X97="","",K$27+(基础状态预期!X97-1)*K$28)</f>
        <v/>
      </c>
      <c r="AO84" s="14">
        <f>IF(基础状态预期!Y97="","",L$27+(基础状态预期!Y97-1)*L$28)</f>
        <v>3982.3402677468184</v>
      </c>
      <c r="AP84" s="14">
        <f>SUMPRODUCT(AK84:AO84,基础状态预期!$F97:$J97)/SUM(基础状态预期!$F97:$J97)</f>
        <v>3982.3402677468184</v>
      </c>
      <c r="AQ84" s="14" t="str">
        <f>IF(基础状态预期!U97="","",H$31+(基础状态预期!U97-1)*H$32)</f>
        <v/>
      </c>
      <c r="AR84" s="14" t="str">
        <f>IF(基础状态预期!V97="","",I$31+(基础状态预期!V97-1)*I$32)</f>
        <v/>
      </c>
      <c r="AS84" s="14" t="str">
        <f>IF(基础状态预期!W97="","",J$31+(基础状态预期!W97-1)*J$32)</f>
        <v/>
      </c>
      <c r="AT84" s="14" t="str">
        <f>IF(基础状态预期!X97="","",K$31+(基础状态预期!X97-1)*K$32)</f>
        <v/>
      </c>
      <c r="AU84" s="14">
        <f>IF(基础状态预期!Y97="","",L$31+(基础状态预期!Y97-1)*L$32)</f>
        <v>318.23402677468187</v>
      </c>
      <c r="AV84" s="14">
        <f>SUMPRODUCT(AQ84:AU84,基础状态预期!$F97:$J97)/SUM(基础状态预期!$F97:$J97)</f>
        <v>318.23402677468187</v>
      </c>
      <c r="BO84" s="29">
        <f t="shared" si="44"/>
        <v>149.61701338734093</v>
      </c>
      <c r="BP84" s="10">
        <f t="shared" si="45"/>
        <v>894674247918827.75</v>
      </c>
      <c r="BQ84" s="10" t="e">
        <f>$BP84*求节点('[1]功能-付费相关'!$AY$6:$AY$105,'[1]功能-付费相关'!$BA$6:$BA$105,$BO84)+$BQ83</f>
        <v>#VALUE!</v>
      </c>
      <c r="BZ84" s="4">
        <f t="shared" si="50"/>
        <v>18200</v>
      </c>
      <c r="CA84" s="4">
        <v>81</v>
      </c>
      <c r="CB84" s="90">
        <f t="shared" si="51"/>
        <v>420080</v>
      </c>
      <c r="CC84" s="4">
        <f>SUM(CB$4:CB84)</f>
        <v>6574580</v>
      </c>
      <c r="CD84" s="4">
        <f t="shared" si="49"/>
        <v>1.0327322421538752</v>
      </c>
    </row>
    <row r="85" spans="1:82" x14ac:dyDescent="0.15">
      <c r="A85" s="99">
        <f t="shared" si="33"/>
        <v>50852000</v>
      </c>
      <c r="B85" s="14">
        <v>162</v>
      </c>
      <c r="C85" s="14">
        <f t="shared" si="52"/>
        <v>336907200</v>
      </c>
      <c r="D85" s="14">
        <f>SUM(C$5:$C85)</f>
        <v>2245435700</v>
      </c>
      <c r="E85" s="89">
        <f>'[1]资源-武将经验'!$Z86</f>
        <v>1.7338077631952635</v>
      </c>
      <c r="P85" s="5">
        <v>40</v>
      </c>
      <c r="Q85" s="14">
        <f>基础状态预期!D98</f>
        <v>153.01012120353457</v>
      </c>
      <c r="R85" s="14">
        <f>IF(基础状态预期!U98="",0,求节点($B$5:$B$154,$D$5:$D$154,基础状态预期!U98)*基础状态预期!F98)</f>
        <v>0</v>
      </c>
      <c r="S85" s="14">
        <f>IF(基础状态预期!V98="",0,求节点($B$5:$B$154,$D$5:$D$154,基础状态预期!V98)*基础状态预期!G98)</f>
        <v>0</v>
      </c>
      <c r="T85" s="14">
        <f>IF(基础状态预期!W98="",0,求节点($B$5:$B$154,$D$5:$D$154,基础状态预期!W98)*基础状态预期!H98)</f>
        <v>0</v>
      </c>
      <c r="U85" s="14">
        <f>IF(基础状态预期!X98="",0,求节点($B$5:$B$154,$D$5:$D$154,基础状态预期!X98)*基础状态预期!I98)</f>
        <v>0</v>
      </c>
      <c r="V85" s="14">
        <f>IF(基础状态预期!Y98="",0,求节点($B$5:$B$154,$D$5:$D$154,基础状态预期!Y98)*基础状态预期!J98)</f>
        <v>945667232849400</v>
      </c>
      <c r="W85" s="14">
        <f t="shared" si="48"/>
        <v>945667232849400</v>
      </c>
      <c r="Y85" s="14" t="str">
        <f>IF(基础状态预期!U98="","",H$8+(基础状态预期!U98-1)*H$11)</f>
        <v/>
      </c>
      <c r="Z85" s="14" t="str">
        <f>IF(基础状态预期!V98="","",I$8+(基础状态预期!V98-1)*I$11)</f>
        <v/>
      </c>
      <c r="AA85" s="14" t="str">
        <f>IF(基础状态预期!W98="","",J$8+(基础状态预期!W98-1)*J$11)</f>
        <v/>
      </c>
      <c r="AB85" s="14" t="str">
        <f>IF(基础状态预期!X98="","",K$8+(基础状态预期!X98-1)*K$11)</f>
        <v/>
      </c>
      <c r="AC85" s="14">
        <f>IF(基础状态预期!Y98="","",L$8+(基础状态预期!Y98-1)*L$11)</f>
        <v>9770</v>
      </c>
      <c r="AD85" s="14">
        <f>SUMPRODUCT(Y85:AC85,基础状态预期!$F98:$J98)/SUM(基础状态预期!$F98:$J98)</f>
        <v>9770</v>
      </c>
      <c r="AE85" s="14" t="str">
        <f>IF(基础状态预期!U98="","",H$9+(基础状态预期!U98-1)*H$12)</f>
        <v/>
      </c>
      <c r="AF85" s="14" t="str">
        <f>IF(基础状态预期!V98="","",I$9+(基础状态预期!V98-1)*I$12)</f>
        <v/>
      </c>
      <c r="AG85" s="14" t="str">
        <f>IF(基础状态预期!W98="","",J$9+(基础状态预期!W98-1)*J$12)</f>
        <v/>
      </c>
      <c r="AH85" s="14" t="str">
        <f>IF(基础状态预期!X98="","",K$9+(基础状态预期!X98-1)*K$12)</f>
        <v/>
      </c>
      <c r="AI85" s="14">
        <f>IF(基础状态预期!Y98="","",L$9+(基础状态预期!Y98-1)*L$12)</f>
        <v>9770</v>
      </c>
      <c r="AJ85" s="14">
        <f>SUMPRODUCT(AE85:AI85,基础状态预期!$F98:$J98)/SUM(基础状态预期!$F98:$J98)</f>
        <v>9770</v>
      </c>
      <c r="AK85" s="14" t="str">
        <f>IF(基础状态预期!U98="","",H$27+(基础状态预期!U98-1)*H$28)</f>
        <v/>
      </c>
      <c r="AL85" s="14" t="str">
        <f>IF(基础状态预期!V98="","",I$27+(基础状态预期!V98-1)*I$28)</f>
        <v/>
      </c>
      <c r="AM85" s="14" t="str">
        <f>IF(基础状态预期!W98="","",J$27+(基础状态预期!W98-1)*J$28)</f>
        <v/>
      </c>
      <c r="AN85" s="14" t="str">
        <f>IF(基础状态预期!X98="","",K$27+(基础状态预期!X98-1)*K$28)</f>
        <v/>
      </c>
      <c r="AO85" s="14">
        <f>IF(基础状态预期!Y98="","",L$27+(基础状态预期!Y98-1)*L$28)</f>
        <v>3990</v>
      </c>
      <c r="AP85" s="14">
        <f>SUMPRODUCT(AK85:AO85,基础状态预期!$F98:$J98)/SUM(基础状态预期!$F98:$J98)</f>
        <v>3990</v>
      </c>
      <c r="AQ85" s="14" t="str">
        <f>IF(基础状态预期!U98="","",H$31+(基础状态预期!U98-1)*H$32)</f>
        <v/>
      </c>
      <c r="AR85" s="14" t="str">
        <f>IF(基础状态预期!V98="","",I$31+(基础状态预期!V98-1)*I$32)</f>
        <v/>
      </c>
      <c r="AS85" s="14" t="str">
        <f>IF(基础状态预期!W98="","",J$31+(基础状态预期!W98-1)*J$32)</f>
        <v/>
      </c>
      <c r="AT85" s="14" t="str">
        <f>IF(基础状态预期!X98="","",K$31+(基础状态预期!X98-1)*K$32)</f>
        <v/>
      </c>
      <c r="AU85" s="14">
        <f>IF(基础状态预期!Y98="","",L$31+(基础状态预期!Y98-1)*L$32)</f>
        <v>319</v>
      </c>
      <c r="AV85" s="14">
        <f>SUMPRODUCT(AQ85:AU85,基础状态预期!$F98:$J98)/SUM(基础状态预期!$F98:$J98)</f>
        <v>319</v>
      </c>
      <c r="BO85" s="29">
        <f t="shared" si="44"/>
        <v>153.01012120353457</v>
      </c>
      <c r="BP85" s="10">
        <f t="shared" si="45"/>
        <v>945667232849400</v>
      </c>
      <c r="BQ85" s="10" t="e">
        <f>$BP85*求节点('[1]功能-付费相关'!$AY$6:$AY$105,'[1]功能-付费相关'!$BA$6:$BA$105,$BO85)+$BQ84</f>
        <v>#VALUE!</v>
      </c>
      <c r="BZ85" s="4">
        <f t="shared" si="50"/>
        <v>21425</v>
      </c>
      <c r="CA85" s="4">
        <v>82</v>
      </c>
      <c r="CB85" s="90">
        <f t="shared" si="51"/>
        <v>441505</v>
      </c>
      <c r="CC85" s="4">
        <f>SUM(CB$4:CB85)</f>
        <v>7016085</v>
      </c>
      <c r="CD85" s="4">
        <f t="shared" si="49"/>
        <v>1.033860129967729</v>
      </c>
    </row>
    <row r="86" spans="1:82" x14ac:dyDescent="0.15">
      <c r="A86" s="99">
        <f t="shared" si="33"/>
        <v>59903600</v>
      </c>
      <c r="B86" s="14">
        <v>164</v>
      </c>
      <c r="C86" s="14">
        <f t="shared" si="52"/>
        <v>396810800</v>
      </c>
      <c r="D86" s="14">
        <f>SUM(C$5:$C86)</f>
        <v>2642246500</v>
      </c>
      <c r="E86" s="89">
        <f>'[1]资源-武将经验'!$Z87</f>
        <v>1.7341758394773021</v>
      </c>
      <c r="P86" s="5">
        <v>41</v>
      </c>
      <c r="Q86" s="14">
        <f>基础状态预期!D99</f>
        <v>154.95970315183646</v>
      </c>
      <c r="R86" s="14">
        <f>IF(基础状态预期!U99="",0,求节点($B$5:$B$154,$D$5:$D$154,基础状态预期!U99)*基础状态预期!F99)</f>
        <v>0</v>
      </c>
      <c r="S86" s="14">
        <f>IF(基础状态预期!V99="",0,求节点($B$5:$B$154,$D$5:$D$154,基础状态预期!V99)*基础状态预期!G99)</f>
        <v>0</v>
      </c>
      <c r="T86" s="14">
        <f>IF(基础状态预期!W99="",0,求节点($B$5:$B$154,$D$5:$D$154,基础状态预期!W99)*基础状态预期!H99)</f>
        <v>0</v>
      </c>
      <c r="U86" s="14">
        <f>IF(基础状态预期!X99="",0,求节点($B$5:$B$154,$D$5:$D$154,基础状态预期!X99)*基础状态预期!I99)</f>
        <v>0</v>
      </c>
      <c r="V86" s="14">
        <f>IF(基础状态预期!Y99="",0,求节点($B$5:$B$154,$D$5:$D$154,基础状态预期!Y99)*基础状态预期!J99)</f>
        <v>945667232849400</v>
      </c>
      <c r="W86" s="14">
        <f t="shared" si="48"/>
        <v>945667232849400</v>
      </c>
      <c r="Y86" s="14" t="str">
        <f>IF(基础状态预期!U99="","",H$8+(基础状态预期!U99-1)*H$11)</f>
        <v/>
      </c>
      <c r="Z86" s="14" t="str">
        <f>IF(基础状态预期!V99="","",I$8+(基础状态预期!V99-1)*I$11)</f>
        <v/>
      </c>
      <c r="AA86" s="14" t="str">
        <f>IF(基础状态预期!W99="","",J$8+(基础状态预期!W99-1)*J$11)</f>
        <v/>
      </c>
      <c r="AB86" s="14" t="str">
        <f>IF(基础状态预期!X99="","",K$8+(基础状态预期!X99-1)*K$11)</f>
        <v/>
      </c>
      <c r="AC86" s="14">
        <f>IF(基础状态预期!Y99="","",L$8+(基础状态预期!Y99-1)*L$11)</f>
        <v>9770</v>
      </c>
      <c r="AD86" s="14">
        <f>SUMPRODUCT(Y86:AC86,基础状态预期!$F99:$J99)/SUM(基础状态预期!$F99:$J99)</f>
        <v>9770</v>
      </c>
      <c r="AE86" s="14" t="str">
        <f>IF(基础状态预期!U99="","",H$9+(基础状态预期!U99-1)*H$12)</f>
        <v/>
      </c>
      <c r="AF86" s="14" t="str">
        <f>IF(基础状态预期!V99="","",I$9+(基础状态预期!V99-1)*I$12)</f>
        <v/>
      </c>
      <c r="AG86" s="14" t="str">
        <f>IF(基础状态预期!W99="","",J$9+(基础状态预期!W99-1)*J$12)</f>
        <v/>
      </c>
      <c r="AH86" s="14" t="str">
        <f>IF(基础状态预期!X99="","",K$9+(基础状态预期!X99-1)*K$12)</f>
        <v/>
      </c>
      <c r="AI86" s="14">
        <f>IF(基础状态预期!Y99="","",L$9+(基础状态预期!Y99-1)*L$12)</f>
        <v>9770</v>
      </c>
      <c r="AJ86" s="14">
        <f>SUMPRODUCT(AE86:AI86,基础状态预期!$F99:$J99)/SUM(基础状态预期!$F99:$J99)</f>
        <v>9770</v>
      </c>
      <c r="AK86" s="14" t="str">
        <f>IF(基础状态预期!U99="","",H$27+(基础状态预期!U99-1)*H$28)</f>
        <v/>
      </c>
      <c r="AL86" s="14" t="str">
        <f>IF(基础状态预期!V99="","",I$27+(基础状态预期!V99-1)*I$28)</f>
        <v/>
      </c>
      <c r="AM86" s="14" t="str">
        <f>IF(基础状态预期!W99="","",J$27+(基础状态预期!W99-1)*J$28)</f>
        <v/>
      </c>
      <c r="AN86" s="14" t="str">
        <f>IF(基础状态预期!X99="","",K$27+(基础状态预期!X99-1)*K$28)</f>
        <v/>
      </c>
      <c r="AO86" s="14">
        <f>IF(基础状态预期!Y99="","",L$27+(基础状态预期!Y99-1)*L$28)</f>
        <v>3990</v>
      </c>
      <c r="AP86" s="14">
        <f>SUMPRODUCT(AK86:AO86,基础状态预期!$F99:$J99)/SUM(基础状态预期!$F99:$J99)</f>
        <v>3990</v>
      </c>
      <c r="AQ86" s="14" t="str">
        <f>IF(基础状态预期!U99="","",H$31+(基础状态预期!U99-1)*H$32)</f>
        <v/>
      </c>
      <c r="AR86" s="14" t="str">
        <f>IF(基础状态预期!V99="","",I$31+(基础状态预期!V99-1)*I$32)</f>
        <v/>
      </c>
      <c r="AS86" s="14" t="str">
        <f>IF(基础状态预期!W99="","",J$31+(基础状态预期!W99-1)*J$32)</f>
        <v/>
      </c>
      <c r="AT86" s="14" t="str">
        <f>IF(基础状态预期!X99="","",K$31+(基础状态预期!X99-1)*K$32)</f>
        <v/>
      </c>
      <c r="AU86" s="14">
        <f>IF(基础状态预期!Y99="","",L$31+(基础状态预期!Y99-1)*L$32)</f>
        <v>319</v>
      </c>
      <c r="AV86" s="14">
        <f>SUMPRODUCT(AQ86:AU86,基础状态预期!$F99:$J99)/SUM(基础状态预期!$F99:$J99)</f>
        <v>319</v>
      </c>
      <c r="BO86" s="29">
        <f t="shared" si="44"/>
        <v>154.95970315183646</v>
      </c>
      <c r="BP86" s="10">
        <f t="shared" si="45"/>
        <v>945667232849400</v>
      </c>
      <c r="BQ86" s="10" t="e">
        <f>$BP86*求节点('[1]功能-付费相关'!$AY$6:$AY$105,'[1]功能-付费相关'!$BA$6:$BA$105,$BO86)+$BQ85</f>
        <v>#VALUE!</v>
      </c>
      <c r="BZ86" s="4">
        <f t="shared" si="50"/>
        <v>21425</v>
      </c>
      <c r="CA86" s="4">
        <v>83</v>
      </c>
      <c r="CB86" s="90">
        <f t="shared" si="51"/>
        <v>462930</v>
      </c>
      <c r="CC86" s="4">
        <f>SUM(CB$4:CB86)</f>
        <v>7479015</v>
      </c>
      <c r="CD86" s="4">
        <f t="shared" si="49"/>
        <v>1.0316950029313376</v>
      </c>
    </row>
    <row r="87" spans="1:82" x14ac:dyDescent="0.15">
      <c r="A87" s="99">
        <f t="shared" si="33"/>
        <v>70566400</v>
      </c>
      <c r="B87" s="14">
        <v>166</v>
      </c>
      <c r="C87" s="14">
        <f t="shared" si="52"/>
        <v>467377200</v>
      </c>
      <c r="D87" s="14">
        <f>SUM(C$5:$C87)</f>
        <v>3109623700</v>
      </c>
      <c r="E87" s="89">
        <f>'[1]资源-武将经验'!$Z88</f>
        <v>1.717745556656308</v>
      </c>
      <c r="P87" s="5">
        <v>42</v>
      </c>
      <c r="Q87" s="14">
        <f>基础状态预期!D100</f>
        <v>157.63974470288184</v>
      </c>
      <c r="R87" s="14">
        <f>IF(基础状态预期!U100="",0,求节点($B$5:$B$154,$D$5:$D$154,基础状态预期!U100)*基础状态预期!F100)</f>
        <v>0</v>
      </c>
      <c r="S87" s="14">
        <f>IF(基础状态预期!V100="",0,求节点($B$5:$B$154,$D$5:$D$154,基础状态预期!V100)*基础状态预期!G100)</f>
        <v>0</v>
      </c>
      <c r="T87" s="14">
        <f>IF(基础状态预期!W100="",0,求节点($B$5:$B$154,$D$5:$D$154,基础状态预期!W100)*基础状态预期!H100)</f>
        <v>0</v>
      </c>
      <c r="U87" s="14">
        <f>IF(基础状态预期!X100="",0,求节点($B$5:$B$154,$D$5:$D$154,基础状态预期!X100)*基础状态预期!I100)</f>
        <v>0</v>
      </c>
      <c r="V87" s="14">
        <f>IF(基础状态预期!Y100="",0,求节点($B$5:$B$154,$D$5:$D$154,基础状态预期!Y100)*基础状态预期!J100)</f>
        <v>945667232849400</v>
      </c>
      <c r="W87" s="14">
        <f t="shared" si="48"/>
        <v>945667232849400</v>
      </c>
      <c r="Y87" s="14" t="str">
        <f>IF(基础状态预期!U100="","",H$8+(基础状态预期!U100-1)*H$11)</f>
        <v/>
      </c>
      <c r="Z87" s="14" t="str">
        <f>IF(基础状态预期!V100="","",I$8+(基础状态预期!V100-1)*I$11)</f>
        <v/>
      </c>
      <c r="AA87" s="14" t="str">
        <f>IF(基础状态预期!W100="","",J$8+(基础状态预期!W100-1)*J$11)</f>
        <v/>
      </c>
      <c r="AB87" s="14" t="str">
        <f>IF(基础状态预期!X100="","",K$8+(基础状态预期!X100-1)*K$11)</f>
        <v/>
      </c>
      <c r="AC87" s="14">
        <f>IF(基础状态预期!Y100="","",L$8+(基础状态预期!Y100-1)*L$11)</f>
        <v>9770</v>
      </c>
      <c r="AD87" s="14">
        <f>SUMPRODUCT(Y87:AC87,基础状态预期!$F100:$J100)/SUM(基础状态预期!$F100:$J100)</f>
        <v>9770</v>
      </c>
      <c r="AE87" s="14" t="str">
        <f>IF(基础状态预期!U100="","",H$9+(基础状态预期!U100-1)*H$12)</f>
        <v/>
      </c>
      <c r="AF87" s="14" t="str">
        <f>IF(基础状态预期!V100="","",I$9+(基础状态预期!V100-1)*I$12)</f>
        <v/>
      </c>
      <c r="AG87" s="14" t="str">
        <f>IF(基础状态预期!W100="","",J$9+(基础状态预期!W100-1)*J$12)</f>
        <v/>
      </c>
      <c r="AH87" s="14" t="str">
        <f>IF(基础状态预期!X100="","",K$9+(基础状态预期!X100-1)*K$12)</f>
        <v/>
      </c>
      <c r="AI87" s="14">
        <f>IF(基础状态预期!Y100="","",L$9+(基础状态预期!Y100-1)*L$12)</f>
        <v>9770</v>
      </c>
      <c r="AJ87" s="14">
        <f>SUMPRODUCT(AE87:AI87,基础状态预期!$F100:$J100)/SUM(基础状态预期!$F100:$J100)</f>
        <v>9770</v>
      </c>
      <c r="AK87" s="14" t="str">
        <f>IF(基础状态预期!U100="","",H$27+(基础状态预期!U100-1)*H$28)</f>
        <v/>
      </c>
      <c r="AL87" s="14" t="str">
        <f>IF(基础状态预期!V100="","",I$27+(基础状态预期!V100-1)*I$28)</f>
        <v/>
      </c>
      <c r="AM87" s="14" t="str">
        <f>IF(基础状态预期!W100="","",J$27+(基础状态预期!W100-1)*J$28)</f>
        <v/>
      </c>
      <c r="AN87" s="14" t="str">
        <f>IF(基础状态预期!X100="","",K$27+(基础状态预期!X100-1)*K$28)</f>
        <v/>
      </c>
      <c r="AO87" s="14">
        <f>IF(基础状态预期!Y100="","",L$27+(基础状态预期!Y100-1)*L$28)</f>
        <v>3990</v>
      </c>
      <c r="AP87" s="14">
        <f>SUMPRODUCT(AK87:AO87,基础状态预期!$F100:$J100)/SUM(基础状态预期!$F100:$J100)</f>
        <v>3990</v>
      </c>
      <c r="AQ87" s="14" t="str">
        <f>IF(基础状态预期!U100="","",H$31+(基础状态预期!U100-1)*H$32)</f>
        <v/>
      </c>
      <c r="AR87" s="14" t="str">
        <f>IF(基础状态预期!V100="","",I$31+(基础状态预期!V100-1)*I$32)</f>
        <v/>
      </c>
      <c r="AS87" s="14" t="str">
        <f>IF(基础状态预期!W100="","",J$31+(基础状态预期!W100-1)*J$32)</f>
        <v/>
      </c>
      <c r="AT87" s="14" t="str">
        <f>IF(基础状态预期!X100="","",K$31+(基础状态预期!X100-1)*K$32)</f>
        <v/>
      </c>
      <c r="AU87" s="14">
        <f>IF(基础状态预期!Y100="","",L$31+(基础状态预期!Y100-1)*L$32)</f>
        <v>319</v>
      </c>
      <c r="AV87" s="14">
        <f>SUMPRODUCT(AQ87:AU87,基础状态预期!$F100:$J100)/SUM(基础状态预期!$F100:$J100)</f>
        <v>319</v>
      </c>
      <c r="BO87" s="29">
        <f t="shared" si="44"/>
        <v>157.63974470288184</v>
      </c>
      <c r="BP87" s="10">
        <f t="shared" si="45"/>
        <v>945667232849400</v>
      </c>
      <c r="BQ87" s="10" t="e">
        <f>$BP87*求节点('[1]功能-付费相关'!$AY$6:$AY$105,'[1]功能-付费相关'!$BA$6:$BA$105,$BO87)+$BQ86</f>
        <v>#VALUE!</v>
      </c>
      <c r="BZ87" s="4">
        <f t="shared" si="50"/>
        <v>25225</v>
      </c>
      <c r="CA87" s="4">
        <v>84</v>
      </c>
      <c r="CB87" s="90">
        <f t="shared" si="51"/>
        <v>488155</v>
      </c>
      <c r="CC87" s="4">
        <f>SUM(CB$4:CB87)</f>
        <v>7967170</v>
      </c>
      <c r="CD87" s="4">
        <f t="shared" si="49"/>
        <v>1.0330606052747595</v>
      </c>
    </row>
    <row r="88" spans="1:82" x14ac:dyDescent="0.15">
      <c r="A88" s="99">
        <f t="shared" si="33"/>
        <v>83127200</v>
      </c>
      <c r="B88" s="14">
        <v>168</v>
      </c>
      <c r="C88" s="14">
        <f t="shared" si="52"/>
        <v>550504400</v>
      </c>
      <c r="D88" s="14">
        <f>SUM(C$5:$C88)</f>
        <v>3660128100</v>
      </c>
      <c r="E88" s="89">
        <f>'[1]资源-武将经验'!$Z89</f>
        <v>1.7195259455831846</v>
      </c>
      <c r="P88" s="5">
        <v>43</v>
      </c>
      <c r="BZ88" s="4">
        <f t="shared" si="50"/>
        <v>25225</v>
      </c>
      <c r="CA88" s="4">
        <v>85</v>
      </c>
      <c r="CB88" s="90">
        <f t="shared" si="51"/>
        <v>513380</v>
      </c>
      <c r="CC88" s="4">
        <f>SUM(CB$4:CB88)</f>
        <v>8480550</v>
      </c>
      <c r="CD88" s="4">
        <f t="shared" si="49"/>
        <v>1.0309946994748103</v>
      </c>
    </row>
    <row r="89" spans="1:82" x14ac:dyDescent="0.15">
      <c r="A89" s="99">
        <f t="shared" si="33"/>
        <v>97923800</v>
      </c>
      <c r="B89" s="14">
        <v>170</v>
      </c>
      <c r="C89" s="14">
        <f t="shared" si="52"/>
        <v>648428200</v>
      </c>
      <c r="D89" s="14">
        <f>SUM(C$5:$C89)</f>
        <v>4308556300</v>
      </c>
      <c r="E89" s="89">
        <f>'[1]资源-武将经验'!$Z90</f>
        <v>1.6761648801997182</v>
      </c>
      <c r="P89" s="5">
        <v>44</v>
      </c>
      <c r="BZ89" s="4">
        <f t="shared" si="50"/>
        <v>29700</v>
      </c>
      <c r="CA89" s="4">
        <v>86</v>
      </c>
      <c r="CB89" s="90">
        <f t="shared" si="51"/>
        <v>543080</v>
      </c>
      <c r="CC89" s="4">
        <f>SUM(CB$4:CB89)</f>
        <v>9023630</v>
      </c>
      <c r="CD89" s="4">
        <f t="shared" si="49"/>
        <v>1.0325700881107678</v>
      </c>
    </row>
    <row r="90" spans="1:82" x14ac:dyDescent="0.15">
      <c r="A90" s="122">
        <f t="shared" ref="A90:A99" si="53">INT(A89*1.17/100)*100</f>
        <v>114570800</v>
      </c>
      <c r="B90" s="14">
        <v>172</v>
      </c>
      <c r="C90" s="14">
        <f t="shared" si="52"/>
        <v>762999000</v>
      </c>
      <c r="D90" s="14">
        <f>SUM(C$5:$C90)</f>
        <v>5071555300</v>
      </c>
      <c r="E90" s="89">
        <f>'[1]资源-武将经验'!$Z91</f>
        <v>1.6656495416891897</v>
      </c>
      <c r="P90" s="5">
        <v>45</v>
      </c>
      <c r="BZ90" s="4">
        <f t="shared" si="50"/>
        <v>29700</v>
      </c>
      <c r="CA90" s="4">
        <v>87</v>
      </c>
      <c r="CB90" s="90">
        <f t="shared" si="51"/>
        <v>572780</v>
      </c>
      <c r="CC90" s="4">
        <f>SUM(CB$4:CB90)</f>
        <v>9596410</v>
      </c>
      <c r="CD90" s="4">
        <f t="shared" si="49"/>
        <v>1.0305644451126528</v>
      </c>
    </row>
    <row r="91" spans="1:82" x14ac:dyDescent="0.15">
      <c r="A91" s="122">
        <f t="shared" si="53"/>
        <v>134047800</v>
      </c>
      <c r="B91" s="14">
        <v>174</v>
      </c>
      <c r="C91" s="14">
        <f t="shared" si="52"/>
        <v>897046800</v>
      </c>
      <c r="D91" s="14">
        <f>SUM(C$5:$C91)</f>
        <v>5968602100</v>
      </c>
      <c r="E91" s="89">
        <f>'[1]资源-武将经验'!$Z92</f>
        <v>1.6176912437368907</v>
      </c>
      <c r="P91" s="5">
        <v>1</v>
      </c>
      <c r="BZ91" s="4">
        <f t="shared" si="50"/>
        <v>34975</v>
      </c>
      <c r="CA91" s="4">
        <v>88</v>
      </c>
      <c r="CB91" s="90">
        <f t="shared" si="51"/>
        <v>607755</v>
      </c>
      <c r="CC91" s="4">
        <f>SUM(CB$4:CB91)</f>
        <v>10204165</v>
      </c>
      <c r="CD91" s="4">
        <f t="shared" si="49"/>
        <v>1.0323295833923476</v>
      </c>
    </row>
    <row r="92" spans="1:82" x14ac:dyDescent="0.15">
      <c r="A92" s="122">
        <f t="shared" si="53"/>
        <v>156835900</v>
      </c>
      <c r="B92" s="14">
        <v>176</v>
      </c>
      <c r="C92" s="14">
        <f t="shared" si="52"/>
        <v>1053882700</v>
      </c>
      <c r="D92" s="14">
        <f>SUM(C$5:$C92)</f>
        <v>7022484800</v>
      </c>
      <c r="E92" s="89">
        <f>'[1]资源-武将经验'!$Z93</f>
        <v>1.5633246206653708</v>
      </c>
      <c r="P92" s="5">
        <v>2</v>
      </c>
      <c r="Q92" s="8" t="s">
        <v>184</v>
      </c>
      <c r="R92" s="173" t="s">
        <v>202</v>
      </c>
      <c r="S92" s="173"/>
      <c r="T92" s="173"/>
      <c r="U92" s="173"/>
      <c r="V92" s="173"/>
      <c r="W92" s="173"/>
      <c r="Y92" s="173" t="s">
        <v>253</v>
      </c>
      <c r="Z92" s="173"/>
      <c r="AA92" s="173"/>
      <c r="AB92" s="173"/>
      <c r="AC92" s="173"/>
      <c r="AD92" s="173"/>
      <c r="AE92" s="173" t="s">
        <v>255</v>
      </c>
      <c r="AF92" s="173"/>
      <c r="AG92" s="173"/>
      <c r="AH92" s="173"/>
      <c r="AI92" s="173"/>
      <c r="AJ92" s="173"/>
      <c r="AK92" s="173" t="s">
        <v>234</v>
      </c>
      <c r="AL92" s="173"/>
      <c r="AM92" s="173"/>
      <c r="AN92" s="173"/>
      <c r="AO92" s="173"/>
      <c r="AP92" s="173"/>
      <c r="AQ92" s="173" t="s">
        <v>238</v>
      </c>
      <c r="AR92" s="173"/>
      <c r="AS92" s="173"/>
      <c r="AT92" s="173"/>
      <c r="AU92" s="173"/>
      <c r="AV92" s="173"/>
      <c r="BA92" s="35" t="s">
        <v>98</v>
      </c>
      <c r="BB92" s="174"/>
      <c r="BC92" s="174"/>
      <c r="BD92" s="175"/>
      <c r="BE92" s="159"/>
      <c r="BF92" s="159"/>
      <c r="BG92" s="159"/>
      <c r="BH92" s="159"/>
      <c r="BO92" s="8" t="s">
        <v>77</v>
      </c>
      <c r="BP92" s="164" t="s">
        <v>306</v>
      </c>
      <c r="BQ92" s="164"/>
      <c r="BS92" s="35" t="s">
        <v>77</v>
      </c>
      <c r="BT92" s="164" t="s">
        <v>308</v>
      </c>
      <c r="BU92" s="164"/>
      <c r="BZ92" s="4">
        <f t="shared" si="50"/>
        <v>34975</v>
      </c>
      <c r="CA92" s="4">
        <v>89</v>
      </c>
      <c r="CB92" s="90">
        <f t="shared" si="51"/>
        <v>642730</v>
      </c>
      <c r="CC92" s="4">
        <f>SUM(CB$4:CB92)</f>
        <v>10846895</v>
      </c>
      <c r="CD92" s="4">
        <f t="shared" si="49"/>
        <v>1.0303537927398634</v>
      </c>
    </row>
    <row r="93" spans="1:82" x14ac:dyDescent="0.15">
      <c r="A93" s="122">
        <f t="shared" si="53"/>
        <v>183498000</v>
      </c>
      <c r="B93" s="14">
        <v>178</v>
      </c>
      <c r="C93" s="14">
        <f t="shared" si="52"/>
        <v>1237380700</v>
      </c>
      <c r="D93" s="14">
        <f>SUM(C$5:$C93)</f>
        <v>8259865500</v>
      </c>
      <c r="E93" s="89">
        <f>'[1]资源-武将经验'!$Z94</f>
        <v>1.5526032387908879</v>
      </c>
      <c r="P93" s="5">
        <v>3</v>
      </c>
      <c r="Q93" s="10" t="s">
        <v>478</v>
      </c>
      <c r="R93" s="22" t="s">
        <v>3</v>
      </c>
      <c r="S93" s="22" t="s">
        <v>1</v>
      </c>
      <c r="T93" s="22" t="s">
        <v>2</v>
      </c>
      <c r="U93" s="22" t="s">
        <v>0</v>
      </c>
      <c r="V93" s="22" t="s">
        <v>545</v>
      </c>
      <c r="W93" s="22" t="s">
        <v>204</v>
      </c>
      <c r="Y93" s="22" t="s">
        <v>3</v>
      </c>
      <c r="Z93" s="22" t="s">
        <v>1</v>
      </c>
      <c r="AA93" s="22" t="s">
        <v>2</v>
      </c>
      <c r="AB93" s="22" t="s">
        <v>0</v>
      </c>
      <c r="AC93" s="22" t="s">
        <v>545</v>
      </c>
      <c r="AD93" s="22" t="s">
        <v>206</v>
      </c>
      <c r="AE93" s="22" t="s">
        <v>3</v>
      </c>
      <c r="AF93" s="22" t="s">
        <v>1</v>
      </c>
      <c r="AG93" s="22" t="s">
        <v>2</v>
      </c>
      <c r="AH93" s="22" t="s">
        <v>0</v>
      </c>
      <c r="AI93" s="22" t="s">
        <v>545</v>
      </c>
      <c r="AJ93" s="22" t="s">
        <v>206</v>
      </c>
      <c r="AK93" s="22" t="s">
        <v>3</v>
      </c>
      <c r="AL93" s="22" t="s">
        <v>1</v>
      </c>
      <c r="AM93" s="22" t="s">
        <v>2</v>
      </c>
      <c r="AN93" s="22" t="s">
        <v>0</v>
      </c>
      <c r="AO93" s="22" t="s">
        <v>545</v>
      </c>
      <c r="AP93" s="22" t="s">
        <v>206</v>
      </c>
      <c r="AQ93" s="22" t="s">
        <v>3</v>
      </c>
      <c r="AR93" s="22" t="s">
        <v>1</v>
      </c>
      <c r="AS93" s="22" t="s">
        <v>2</v>
      </c>
      <c r="AT93" s="22" t="s">
        <v>0</v>
      </c>
      <c r="AU93" s="22" t="s">
        <v>545</v>
      </c>
      <c r="AV93" s="22" t="s">
        <v>206</v>
      </c>
      <c r="BA93" s="32" t="s">
        <v>478</v>
      </c>
      <c r="BB93" s="29" t="s">
        <v>288</v>
      </c>
      <c r="BC93" s="29" t="s">
        <v>289</v>
      </c>
      <c r="BD93" s="29" t="s">
        <v>295</v>
      </c>
      <c r="BE93" s="29" t="s">
        <v>288</v>
      </c>
      <c r="BF93" s="29" t="s">
        <v>289</v>
      </c>
      <c r="BG93" s="29" t="s">
        <v>295</v>
      </c>
      <c r="BH93" s="10" t="s">
        <v>293</v>
      </c>
      <c r="BO93" s="32" t="s">
        <v>478</v>
      </c>
      <c r="BP93" s="29" t="s">
        <v>310</v>
      </c>
      <c r="BQ93" s="29" t="s">
        <v>337</v>
      </c>
      <c r="BS93" s="32" t="s">
        <v>478</v>
      </c>
      <c r="BT93" s="29" t="s">
        <v>310</v>
      </c>
      <c r="BU93" s="29"/>
      <c r="BZ93" s="4">
        <f t="shared" si="50"/>
        <v>41200</v>
      </c>
      <c r="CA93" s="4">
        <v>90</v>
      </c>
      <c r="CB93" s="90">
        <f t="shared" si="51"/>
        <v>683930</v>
      </c>
      <c r="CC93" s="4">
        <f>SUM(CB$4:CB93)</f>
        <v>11530825</v>
      </c>
      <c r="CD93" s="4">
        <f t="shared" si="49"/>
        <v>1.0322938022040984</v>
      </c>
    </row>
    <row r="94" spans="1:82" x14ac:dyDescent="0.15">
      <c r="A94" s="122">
        <f t="shared" si="53"/>
        <v>214692600</v>
      </c>
      <c r="B94" s="14">
        <v>180</v>
      </c>
      <c r="C94" s="14">
        <f t="shared" si="52"/>
        <v>1452073300</v>
      </c>
      <c r="D94" s="14">
        <f>SUM(C$5:$C94)</f>
        <v>9711938800</v>
      </c>
      <c r="E94" s="89">
        <f>'[1]资源-武将经验'!$Z95</f>
        <v>1.5732114490655813</v>
      </c>
      <c r="P94" s="5">
        <v>4</v>
      </c>
      <c r="Q94" s="14">
        <f>基础状态预期!D107</f>
        <v>10.099965341977441</v>
      </c>
      <c r="R94" s="14">
        <f>IF(基础状态预期!U107="",0,求节点($B$5:$B$154,$D$5:$D$154,基础状态预期!U107)*基础状态预期!F107)</f>
        <v>0</v>
      </c>
      <c r="S94" s="14">
        <f>IF(基础状态预期!V107="",0,求节点($B$5:$B$154,$D$5:$D$154,基础状态预期!V107)*基础状态预期!G107)</f>
        <v>0</v>
      </c>
      <c r="T94" s="14">
        <f>IF(基础状态预期!W107="",0,求节点($B$5:$B$154,$D$5:$D$154,基础状态预期!W107)*基础状态预期!H107)</f>
        <v>34287.622920714559</v>
      </c>
      <c r="U94" s="14">
        <f>IF(基础状态预期!X107="",0,求节点($B$5:$B$154,$D$5:$D$154,基础状态预期!X107)*基础状态预期!I107)</f>
        <v>68575.245841429118</v>
      </c>
      <c r="V94" s="14">
        <f>IF(基础状态预期!Y107="",0,求节点($B$5:$B$154,$D$5:$D$154,基础状态预期!Y107)*基础状态预期!J107)</f>
        <v>0</v>
      </c>
      <c r="W94" s="14">
        <f>SUM(R94:V94)</f>
        <v>102862.86876214368</v>
      </c>
      <c r="Y94" s="14" t="str">
        <f>IF(基础状态预期!U107="","",H$8+(基础状态预期!U107-1)*H$11)</f>
        <v/>
      </c>
      <c r="Z94" s="14" t="str">
        <f>IF(基础状态预期!V107="","",I$8+(基础状态预期!V107-1)*I$11)</f>
        <v/>
      </c>
      <c r="AA94" s="14">
        <f>IF(基础状态预期!W107="","",J$8+(基础状态预期!W107-1)*J$11)</f>
        <v>1375.9979205186464</v>
      </c>
      <c r="AB94" s="14">
        <f>IF(基础状态预期!X107="","",K$8+(基础状态预期!X107-1)*K$11)</f>
        <v>1375.9979205186464</v>
      </c>
      <c r="AC94" s="14" t="str">
        <f>IF(基础状态预期!Y107="","",L$8+(基础状态预期!Y107-1)*L$11)</f>
        <v/>
      </c>
      <c r="AD94" s="14">
        <f>SUMPRODUCT(Y94:AC94,基础状态预期!$F107:$J107)/SUM(基础状态预期!$F107:$J107)</f>
        <v>1375.9979205186464</v>
      </c>
      <c r="AE94" s="14" t="str">
        <f>IF(基础状态预期!U107="","",H$9+(基础状态预期!U107-1)*H$12)</f>
        <v/>
      </c>
      <c r="AF94" s="14" t="str">
        <f>IF(基础状态预期!V107="","",I$9+(基础状态预期!V107-1)*I$12)</f>
        <v/>
      </c>
      <c r="AG94" s="14">
        <f>IF(基础状态预期!W107="","",J$9+(基础状态预期!W107-1)*J$12)</f>
        <v>1375.9979205186464</v>
      </c>
      <c r="AH94" s="14">
        <f>IF(基础状态预期!X107="","",K$9+(基础状态预期!X107-1)*K$12)</f>
        <v>1375.9979205186464</v>
      </c>
      <c r="AI94" s="14" t="str">
        <f>IF(基础状态预期!Y107="","",L$9+(基础状态预期!Y107-1)*L$12)</f>
        <v/>
      </c>
      <c r="AJ94" s="14">
        <f>SUMPRODUCT(AE94:AI94,基础状态预期!$F107:$J107)/SUM(基础状态预期!$F107:$J107)</f>
        <v>1375.9979205186464</v>
      </c>
      <c r="AK94" s="14" t="str">
        <f>IF(基础状态预期!U107="","",H$27+(基础状态预期!U107-1)*H$28)</f>
        <v/>
      </c>
      <c r="AL94" s="14" t="str">
        <f>IF(基础状态预期!V107="","",I$27+(基础状态预期!V107-1)*I$28)</f>
        <v/>
      </c>
      <c r="AM94" s="14">
        <f>IF(基础状态预期!W107="","",J$27+(基础状态预期!W107-1)*J$28)</f>
        <v>1191.9993068395488</v>
      </c>
      <c r="AN94" s="14">
        <f>IF(基础状态预期!X107="","",K$27+(基础状态预期!X107-1)*K$28)</f>
        <v>1191.9993068395488</v>
      </c>
      <c r="AO94" s="14" t="str">
        <f>IF(基础状态预期!Y107="","",L$27+(基础状态预期!Y107-1)*L$28)</f>
        <v/>
      </c>
      <c r="AP94" s="14">
        <f>SUMPRODUCT(AK94:AO94,基础状态预期!$F107:$J107)/SUM(基础状态预期!$F107:$J107)</f>
        <v>1191.9993068395488</v>
      </c>
      <c r="AQ94" s="14" t="str">
        <f>IF(基础状态预期!U107="","",H$31+(基础状态预期!U107-1)*H$32)</f>
        <v/>
      </c>
      <c r="AR94" s="14" t="str">
        <f>IF(基础状态预期!V107="","",I$31+(基础状态预期!V107-1)*I$32)</f>
        <v/>
      </c>
      <c r="AS94" s="14">
        <f>IF(基础状态预期!W107="","",J$31+(基础状态预期!W107-1)*J$32)</f>
        <v>33.199930683954882</v>
      </c>
      <c r="AT94" s="14">
        <f>IF(基础状态预期!X107="","",K$31+(基础状态预期!X107-1)*K$32)</f>
        <v>36.199930683954882</v>
      </c>
      <c r="AU94" s="14" t="str">
        <f>IF(基础状态预期!Y107="","",L$31+(基础状态预期!Y107-1)*L$32)</f>
        <v/>
      </c>
      <c r="AV94" s="14">
        <f>SUMPRODUCT(AQ94:AU94,基础状态预期!$F107:$J107)/SUM(基础状态预期!$F107:$J107)</f>
        <v>35.199930683954882</v>
      </c>
      <c r="BA94" s="29">
        <v>10</v>
      </c>
      <c r="BB94" s="29">
        <f t="shared" ref="BB94:BB109" si="54">求节点($Q$94:$Q$132,$AD$94:$AD$132,$BA94)</f>
        <v>1362.3788537171793</v>
      </c>
      <c r="BC94" s="29">
        <f t="shared" ref="BC94:BC109" si="55">求节点($Q$94:$Q$132,$AJ$94:$AJ$132,$BA94)</f>
        <v>1362.3788537171793</v>
      </c>
      <c r="BD94" s="29">
        <f t="shared" ref="BD94:BD109" si="56">求节点($Q$94:$Q$132,$AP$94:$AP$132,$BA94)</f>
        <v>1180.2013833506589</v>
      </c>
      <c r="BE94" s="41">
        <f>BB94*INDEX([2]中r将兵属性验证!W$7:W$166,$BA94,1)</f>
        <v>12197570.975988328</v>
      </c>
      <c r="BF94" s="41">
        <f>BC94*INDEX([2]中r将兵属性验证!X$7:X$166,$BA94,1)</f>
        <v>12197570.975988328</v>
      </c>
      <c r="BG94" s="41">
        <f>BD94*INDEX([2]中r将兵属性验证!$AM$7:$AM$166,$BA94,1)</f>
        <v>2640098.4422110342</v>
      </c>
      <c r="BH94" s="10">
        <f t="shared" ref="BH94:BH95" si="57">SUM(BE94:BG94)</f>
        <v>27035240.394187693</v>
      </c>
      <c r="BO94" s="29">
        <f>$Q94</f>
        <v>10.099965341977441</v>
      </c>
      <c r="BP94" s="10">
        <f>$W94</f>
        <v>102862.86876214368</v>
      </c>
      <c r="BQ94" s="42" t="e">
        <f>$BP94*求节点('[1]功能-付费相关'!$AY$6:$AY$105,'[1]功能-付费相关'!$BB$6:$BB$105,$BO94)</f>
        <v>#VALUE!</v>
      </c>
      <c r="BS94" s="29">
        <v>10</v>
      </c>
      <c r="BT94" s="29" t="e">
        <f t="shared" ref="BT94:BT103" si="58">求节点($BO$94:$BO$132,BQ$94:BQ$132,$BS94)</f>
        <v>#VALUE!</v>
      </c>
      <c r="BU94" s="29"/>
      <c r="BZ94" s="4">
        <f t="shared" si="50"/>
        <v>41200</v>
      </c>
      <c r="CA94" s="4">
        <v>91</v>
      </c>
      <c r="CB94" s="90">
        <f t="shared" si="51"/>
        <v>725130</v>
      </c>
      <c r="CC94" s="4">
        <f>SUM(CB$4:CB94)</f>
        <v>12255955</v>
      </c>
      <c r="CD94" s="4">
        <f t="shared" si="49"/>
        <v>1.0303234484352999</v>
      </c>
    </row>
    <row r="95" spans="1:82" x14ac:dyDescent="0.15">
      <c r="A95" s="122">
        <f t="shared" si="53"/>
        <v>251190300</v>
      </c>
      <c r="B95" s="14">
        <v>182</v>
      </c>
      <c r="C95" s="14">
        <f t="shared" si="52"/>
        <v>1703263600</v>
      </c>
      <c r="D95" s="14">
        <f>SUM(C$5:$C95)</f>
        <v>11415202400</v>
      </c>
      <c r="E95" s="89">
        <f>'[1]资源-武将经验'!$Z96</f>
        <v>1.528225666850445</v>
      </c>
      <c r="P95" s="5">
        <v>5</v>
      </c>
      <c r="Q95" s="14">
        <f>基础状态预期!D108</f>
        <v>19.800198258084681</v>
      </c>
      <c r="R95" s="14">
        <f>IF(基础状态预期!U108="",0,求节点($B$5:$B$154,$D$5:$D$154,基础状态预期!U108)*基础状态预期!F108)</f>
        <v>0</v>
      </c>
      <c r="S95" s="14">
        <f>IF(基础状态预期!V108="",0,求节点($B$5:$B$154,$D$5:$D$154,基础状态预期!V108)*基础状态预期!G108)</f>
        <v>0</v>
      </c>
      <c r="T95" s="14">
        <f>IF(基础状态预期!W108="",0,求节点($B$5:$B$154,$D$5:$D$154,基础状态预期!W108)*基础状态预期!H108)</f>
        <v>0</v>
      </c>
      <c r="U95" s="14">
        <f>IF(基础状态预期!X108="",0,求节点($B$5:$B$154,$D$5:$D$154,基础状态预期!X108)*基础状态预期!I108)</f>
        <v>801384.02887986321</v>
      </c>
      <c r="V95" s="14">
        <f>IF(基础状态预期!Y108="",0,求节点($B$5:$B$154,$D$5:$D$154,基础状态预期!Y108)*基础状态预期!J108)</f>
        <v>0</v>
      </c>
      <c r="W95" s="14">
        <f t="shared" ref="W95:W109" si="59">SUM(R95:V95)</f>
        <v>801384.02887986321</v>
      </c>
      <c r="Y95" s="14" t="str">
        <f>IF(基础状态预期!U108="","",H$8+(基础状态预期!U108-1)*H$11)</f>
        <v/>
      </c>
      <c r="Z95" s="14" t="str">
        <f>IF(基础状态预期!V108="","",I$8+(基础状态预期!V108-1)*I$11)</f>
        <v/>
      </c>
      <c r="AA95" s="14" t="str">
        <f>IF(基础状态预期!W108="","",J$8+(基础状态预期!W108-1)*J$11)</f>
        <v/>
      </c>
      <c r="AB95" s="14">
        <f>IF(基础状态预期!X108="","",K$8+(基础状态预期!X108-1)*K$11)</f>
        <v>1958.0118954850809</v>
      </c>
      <c r="AC95" s="14" t="str">
        <f>IF(基础状态预期!Y108="","",L$8+(基础状态预期!Y108-1)*L$11)</f>
        <v/>
      </c>
      <c r="AD95" s="14">
        <f>SUMPRODUCT(Y95:AC95,基础状态预期!$F108:$J108)/SUM(基础状态预期!$F108:$J108)</f>
        <v>1958.0118954850811</v>
      </c>
      <c r="AE95" s="14" t="str">
        <f>IF(基础状态预期!U108="","",H$9+(基础状态预期!U108-1)*H$12)</f>
        <v/>
      </c>
      <c r="AF95" s="14" t="str">
        <f>IF(基础状态预期!V108="","",I$9+(基础状态预期!V108-1)*I$12)</f>
        <v/>
      </c>
      <c r="AG95" s="14" t="str">
        <f>IF(基础状态预期!W108="","",J$9+(基础状态预期!W108-1)*J$12)</f>
        <v/>
      </c>
      <c r="AH95" s="14">
        <f>IF(基础状态预期!X108="","",K$9+(基础状态预期!X108-1)*K$12)</f>
        <v>1958.0118954850809</v>
      </c>
      <c r="AI95" s="14" t="str">
        <f>IF(基础状态预期!Y108="","",L$9+(基础状态预期!Y108-1)*L$12)</f>
        <v/>
      </c>
      <c r="AJ95" s="14">
        <f>SUMPRODUCT(AE95:AI95,基础状态预期!$F108:$J108)/SUM(基础状态预期!$F108:$J108)</f>
        <v>1958.0118954850811</v>
      </c>
      <c r="AK95" s="14" t="str">
        <f>IF(基础状态预期!U108="","",H$27+(基础状态预期!U108-1)*H$28)</f>
        <v/>
      </c>
      <c r="AL95" s="14" t="str">
        <f>IF(基础状态预期!V108="","",I$27+(基础状态预期!V108-1)*I$28)</f>
        <v/>
      </c>
      <c r="AM95" s="14" t="str">
        <f>IF(基础状态预期!W108="","",J$27+(基础状态预期!W108-1)*J$28)</f>
        <v/>
      </c>
      <c r="AN95" s="14">
        <f>IF(基础状态预期!X108="","",K$27+(基础状态预期!X108-1)*K$28)</f>
        <v>1386.0039651616935</v>
      </c>
      <c r="AO95" s="14" t="str">
        <f>IF(基础状态预期!Y108="","",L$27+(基础状态预期!Y108-1)*L$28)</f>
        <v/>
      </c>
      <c r="AP95" s="14">
        <f>SUMPRODUCT(AK95:AO95,基础状态预期!$F108:$J108)/SUM(基础状态预期!$F108:$J108)</f>
        <v>1386.0039651616935</v>
      </c>
      <c r="AQ95" s="14" t="str">
        <f>IF(基础状态预期!U108="","",H$31+(基础状态预期!U108-1)*H$32)</f>
        <v/>
      </c>
      <c r="AR95" s="14" t="str">
        <f>IF(基础状态预期!V108="","",I$31+(基础状态预期!V108-1)*I$32)</f>
        <v/>
      </c>
      <c r="AS95" s="14" t="str">
        <f>IF(基础状态预期!W108="","",J$31+(基础状态预期!W108-1)*J$32)</f>
        <v/>
      </c>
      <c r="AT95" s="14">
        <f>IF(基础状态预期!X108="","",K$31+(基础状态预期!X108-1)*K$32)</f>
        <v>55.600396516169361</v>
      </c>
      <c r="AU95" s="14" t="str">
        <f>IF(基础状态预期!Y108="","",L$31+(基础状态预期!Y108-1)*L$32)</f>
        <v/>
      </c>
      <c r="AV95" s="14">
        <f>SUMPRODUCT(AQ95:AU95,基础状态预期!$F108:$J108)/SUM(基础状态预期!$F108:$J108)</f>
        <v>55.600396516169361</v>
      </c>
      <c r="BA95" s="29">
        <v>20</v>
      </c>
      <c r="BB95" s="29">
        <f t="shared" si="54"/>
        <v>1970.0000000000002</v>
      </c>
      <c r="BC95" s="29">
        <f t="shared" si="55"/>
        <v>1970.0000000000002</v>
      </c>
      <c r="BD95" s="29">
        <f t="shared" si="56"/>
        <v>1389.9999999999998</v>
      </c>
      <c r="BE95" s="29">
        <f>(BB95-BB94)*INDEX([2]中r将兵属性验证!W$7:W$166,$BA95,1)+BE94</f>
        <v>28015023.996162087</v>
      </c>
      <c r="BF95" s="29">
        <f>(BC95-BC94)*INDEX([2]中r将兵属性验证!X$7:X$166,$BA95,1)+BF94</f>
        <v>28015023.996162087</v>
      </c>
      <c r="BG95" s="29">
        <f>(BD95-BD94)*INDEX([2]中r将兵属性验证!$AM$7:$AM$166,$BA95,1)+BG94</f>
        <v>3284632.1925780643</v>
      </c>
      <c r="BH95" s="10">
        <f t="shared" si="57"/>
        <v>59314680.184902236</v>
      </c>
      <c r="BO95" s="29">
        <f t="shared" ref="BO95:BO132" si="60">$Q95</f>
        <v>19.800198258084681</v>
      </c>
      <c r="BP95" s="10">
        <f t="shared" ref="BP95:BP132" si="61">$W95</f>
        <v>801384.02887986321</v>
      </c>
      <c r="BQ95" s="10" t="e">
        <f>$BP95*求节点('[1]功能-付费相关'!$AY$6:$AY$105,'[1]功能-付费相关'!$BB$6:$BB$105,$BO95)+$BQ94</f>
        <v>#VALUE!</v>
      </c>
      <c r="BS95" s="29">
        <v>20</v>
      </c>
      <c r="BT95" s="29" t="e">
        <f t="shared" si="58"/>
        <v>#VALUE!</v>
      </c>
      <c r="BU95" s="29"/>
      <c r="BZ95" s="4">
        <f t="shared" si="50"/>
        <v>48525</v>
      </c>
      <c r="CA95" s="4">
        <v>92</v>
      </c>
      <c r="CB95" s="90">
        <f t="shared" si="51"/>
        <v>773655</v>
      </c>
      <c r="CC95" s="4">
        <f>SUM(CB$4:CB95)</f>
        <v>13029610</v>
      </c>
      <c r="CD95" s="4">
        <f t="shared" si="49"/>
        <v>1.0324244873379607</v>
      </c>
    </row>
    <row r="96" spans="1:82" x14ac:dyDescent="0.15">
      <c r="A96" s="122">
        <f t="shared" si="53"/>
        <v>293892600</v>
      </c>
      <c r="B96" s="14">
        <v>184</v>
      </c>
      <c r="C96" s="14">
        <f t="shared" si="52"/>
        <v>1997156200</v>
      </c>
      <c r="D96" s="14">
        <f>SUM(C$5:$C96)</f>
        <v>13412358600</v>
      </c>
      <c r="E96" s="89">
        <f>'[1]资源-武将经验'!$Z97</f>
        <v>1.5003644051684613</v>
      </c>
      <c r="P96" s="5">
        <v>6</v>
      </c>
      <c r="Q96" s="14">
        <f>基础状态预期!D109</f>
        <v>27.769105021676069</v>
      </c>
      <c r="R96" s="14">
        <f>IF(基础状态预期!U109="",0,求节点($B$5:$B$154,$D$5:$D$154,基础状态预期!U109)*基础状态预期!F109)</f>
        <v>0</v>
      </c>
      <c r="S96" s="14">
        <f>IF(基础状态预期!V109="",0,求节点($B$5:$B$154,$D$5:$D$154,基础状态预期!V109)*基础状态预期!G109)</f>
        <v>0</v>
      </c>
      <c r="T96" s="14">
        <f>IF(基础状态预期!W109="",0,求节点($B$5:$B$154,$D$5:$D$154,基础状态预期!W109)*基础状态预期!H109)</f>
        <v>0</v>
      </c>
      <c r="U96" s="14">
        <f>IF(基础状态预期!X109="",0,求节点($B$5:$B$154,$D$5:$D$154,基础状态预期!X109)*基础状态预期!I109)</f>
        <v>3269823.9444362614</v>
      </c>
      <c r="V96" s="14">
        <f>IF(基础状态预期!Y109="",0,求节点($B$5:$B$154,$D$5:$D$154,基础状态预期!Y109)*基础状态预期!J109)</f>
        <v>0</v>
      </c>
      <c r="W96" s="14">
        <f t="shared" si="59"/>
        <v>3269823.9444362614</v>
      </c>
      <c r="Y96" s="14" t="str">
        <f>IF(基础状态预期!U109="","",H$8+(基础状态预期!U109-1)*H$11)</f>
        <v/>
      </c>
      <c r="Z96" s="14" t="str">
        <f>IF(基础状态预期!V109="","",I$8+(基础状态预期!V109-1)*I$11)</f>
        <v/>
      </c>
      <c r="AA96" s="14" t="str">
        <f>IF(基础状态预期!W109="","",J$8+(基础状态预期!W109-1)*J$11)</f>
        <v/>
      </c>
      <c r="AB96" s="14">
        <f>IF(基础状态预期!X109="","",K$8+(基础状态预期!X109-1)*K$11)</f>
        <v>2436.1463013005641</v>
      </c>
      <c r="AC96" s="14" t="str">
        <f>IF(基础状态预期!Y109="","",L$8+(基础状态预期!Y109-1)*L$11)</f>
        <v/>
      </c>
      <c r="AD96" s="14">
        <f>SUMPRODUCT(Y96:AC96,基础状态预期!$F109:$J109)/SUM(基础状态预期!$F109:$J109)</f>
        <v>2436.1463013005641</v>
      </c>
      <c r="AE96" s="14" t="str">
        <f>IF(基础状态预期!U109="","",H$9+(基础状态预期!U109-1)*H$12)</f>
        <v/>
      </c>
      <c r="AF96" s="14" t="str">
        <f>IF(基础状态预期!V109="","",I$9+(基础状态预期!V109-1)*I$12)</f>
        <v/>
      </c>
      <c r="AG96" s="14" t="str">
        <f>IF(基础状态预期!W109="","",J$9+(基础状态预期!W109-1)*J$12)</f>
        <v/>
      </c>
      <c r="AH96" s="14">
        <f>IF(基础状态预期!X109="","",K$9+(基础状态预期!X109-1)*K$12)</f>
        <v>2436.1463013005641</v>
      </c>
      <c r="AI96" s="14" t="str">
        <f>IF(基础状态预期!Y109="","",L$9+(基础状态预期!Y109-1)*L$12)</f>
        <v/>
      </c>
      <c r="AJ96" s="14">
        <f>SUMPRODUCT(AE96:AI96,基础状态预期!$F109:$J109)/SUM(基础状态预期!$F109:$J109)</f>
        <v>2436.1463013005641</v>
      </c>
      <c r="AK96" s="14" t="str">
        <f>IF(基础状态预期!U109="","",H$27+(基础状态预期!U109-1)*H$28)</f>
        <v/>
      </c>
      <c r="AL96" s="14" t="str">
        <f>IF(基础状态预期!V109="","",I$27+(基础状态预期!V109-1)*I$28)</f>
        <v/>
      </c>
      <c r="AM96" s="14" t="str">
        <f>IF(基础状态预期!W109="","",J$27+(基础状态预期!W109-1)*J$28)</f>
        <v/>
      </c>
      <c r="AN96" s="14">
        <f>IF(基础状态预期!X109="","",K$27+(基础状态预期!X109-1)*K$28)</f>
        <v>1545.3821004335214</v>
      </c>
      <c r="AO96" s="14" t="str">
        <f>IF(基础状态预期!Y109="","",L$27+(基础状态预期!Y109-1)*L$28)</f>
        <v/>
      </c>
      <c r="AP96" s="14">
        <f>SUMPRODUCT(AK96:AO96,基础状态预期!$F109:$J109)/SUM(基础状态预期!$F109:$J109)</f>
        <v>1545.3821004335214</v>
      </c>
      <c r="AQ96" s="14" t="str">
        <f>IF(基础状态预期!U109="","",H$31+(基础状态预期!U109-1)*H$32)</f>
        <v/>
      </c>
      <c r="AR96" s="14" t="str">
        <f>IF(基础状态预期!V109="","",I$31+(基础状态预期!V109-1)*I$32)</f>
        <v/>
      </c>
      <c r="AS96" s="14" t="str">
        <f>IF(基础状态预期!W109="","",J$31+(基础状态预期!W109-1)*J$32)</f>
        <v/>
      </c>
      <c r="AT96" s="14">
        <f>IF(基础状态预期!X109="","",K$31+(基础状态预期!X109-1)*K$32)</f>
        <v>71.538210043352137</v>
      </c>
      <c r="AU96" s="14" t="str">
        <f>IF(基础状态预期!Y109="","",L$31+(基础状态预期!Y109-1)*L$32)</f>
        <v/>
      </c>
      <c r="AV96" s="14">
        <f>SUMPRODUCT(AQ96:AU96,基础状态预期!$F109:$J109)/SUM(基础状态预期!$F109:$J109)</f>
        <v>71.538210043352137</v>
      </c>
      <c r="BA96" s="29">
        <v>30</v>
      </c>
      <c r="BB96" s="29">
        <f t="shared" si="54"/>
        <v>2570</v>
      </c>
      <c r="BC96" s="29">
        <f t="shared" si="55"/>
        <v>2570</v>
      </c>
      <c r="BD96" s="29">
        <f t="shared" si="56"/>
        <v>1590</v>
      </c>
      <c r="BE96" s="29">
        <f>(BB96-BB95)*INDEX([2]中r将兵属性验证!W$7:W$166,$BA96,1)+BE95</f>
        <v>62933149.91224964</v>
      </c>
      <c r="BF96" s="29">
        <f>(BC96-BC95)*INDEX([2]中r将兵属性验证!X$7:X$166,$BA96,1)+BF95</f>
        <v>62933149.91224964</v>
      </c>
      <c r="BG96" s="29">
        <f>(BD96-BD95)*INDEX([2]中r将兵属性验证!$AM$7:$AM$166,$BA96,1)+BG95</f>
        <v>4036433.698131348</v>
      </c>
      <c r="BH96" s="10">
        <f t="shared" ref="BH96:BH109" si="62">SUM(BE96:BG96)</f>
        <v>129902733.52263063</v>
      </c>
      <c r="BO96" s="29">
        <f t="shared" si="60"/>
        <v>27.769105021676069</v>
      </c>
      <c r="BP96" s="10">
        <f t="shared" si="61"/>
        <v>3269823.9444362614</v>
      </c>
      <c r="BQ96" s="10" t="e">
        <f>$BP96*求节点('[1]功能-付费相关'!$AY$6:$AY$105,'[1]功能-付费相关'!$BB$6:$BB$105,$BO96)+$BQ95</f>
        <v>#VALUE!</v>
      </c>
      <c r="BS96" s="29">
        <v>30</v>
      </c>
      <c r="BT96" s="29" t="e">
        <f t="shared" si="58"/>
        <v>#VALUE!</v>
      </c>
      <c r="BU96" s="29"/>
      <c r="BZ96" s="4">
        <f t="shared" si="50"/>
        <v>48525</v>
      </c>
      <c r="CA96" s="4">
        <v>93</v>
      </c>
      <c r="CB96" s="90">
        <f t="shared" si="51"/>
        <v>822180</v>
      </c>
      <c r="CC96" s="4">
        <f>SUM(CB$4:CB96)</f>
        <v>13851790</v>
      </c>
      <c r="CD96" s="4">
        <f t="shared" si="49"/>
        <v>1.0304397958728222</v>
      </c>
    </row>
    <row r="97" spans="1:82" x14ac:dyDescent="0.15">
      <c r="A97" s="122">
        <f t="shared" si="53"/>
        <v>343854300</v>
      </c>
      <c r="B97" s="14">
        <v>186</v>
      </c>
      <c r="C97" s="14">
        <f t="shared" si="52"/>
        <v>2341010500</v>
      </c>
      <c r="D97" s="14">
        <f>SUM(C$5:$C97)</f>
        <v>15753369100</v>
      </c>
      <c r="E97" s="89">
        <f>'[1]资源-武将经验'!$Z98</f>
        <v>1.507924420566827</v>
      </c>
      <c r="P97" s="5">
        <v>7</v>
      </c>
      <c r="Q97" s="14">
        <f>基础状态预期!D110</f>
        <v>34.192155176139416</v>
      </c>
      <c r="R97" s="14">
        <f>IF(基础状态预期!U110="",0,求节点($B$5:$B$154,$D$5:$D$154,基础状态预期!U110)*基础状态预期!F110)</f>
        <v>0</v>
      </c>
      <c r="S97" s="14">
        <f>IF(基础状态预期!V110="",0,求节点($B$5:$B$154,$D$5:$D$154,基础状态预期!V110)*基础状态预期!G110)</f>
        <v>0</v>
      </c>
      <c r="T97" s="14">
        <f>IF(基础状态预期!W110="",0,求节点($B$5:$B$154,$D$5:$D$154,基础状态预期!W110)*基础状态预期!H110)</f>
        <v>0</v>
      </c>
      <c r="U97" s="14">
        <f>IF(基础状态预期!X110="",0,求节点($B$5:$B$154,$D$5:$D$154,基础状态预期!X110)*基础状态预期!I110)</f>
        <v>14015847.010501783</v>
      </c>
      <c r="V97" s="14">
        <f>IF(基础状态预期!Y110="",0,求节点($B$5:$B$154,$D$5:$D$154,基础状态预期!Y110)*基础状态预期!J110)</f>
        <v>0</v>
      </c>
      <c r="W97" s="14">
        <f t="shared" si="59"/>
        <v>14015847.010501783</v>
      </c>
      <c r="Y97" s="14" t="str">
        <f>IF(基础状态预期!U110="","",H$8+(基础状态预期!U110-1)*H$11)</f>
        <v/>
      </c>
      <c r="Z97" s="14" t="str">
        <f>IF(基础状态预期!V110="","",I$8+(基础状态预期!V110-1)*I$11)</f>
        <v/>
      </c>
      <c r="AA97" s="14" t="str">
        <f>IF(基础状态预期!W110="","",J$8+(基础状态预期!W110-1)*J$11)</f>
        <v/>
      </c>
      <c r="AB97" s="14">
        <f>IF(基础状态预期!X110="","",K$8+(基础状态预期!X110-1)*K$11)</f>
        <v>2821.529310568365</v>
      </c>
      <c r="AC97" s="14" t="str">
        <f>IF(基础状态预期!Y110="","",L$8+(基础状态预期!Y110-1)*L$11)</f>
        <v/>
      </c>
      <c r="AD97" s="14">
        <f>SUMPRODUCT(Y97:AC97,基础状态预期!$F110:$J110)/SUM(基础状态预期!$F110:$J110)</f>
        <v>2821.529310568365</v>
      </c>
      <c r="AE97" s="14" t="str">
        <f>IF(基础状态预期!U110="","",H$9+(基础状态预期!U110-1)*H$12)</f>
        <v/>
      </c>
      <c r="AF97" s="14" t="str">
        <f>IF(基础状态预期!V110="","",I$9+(基础状态预期!V110-1)*I$12)</f>
        <v/>
      </c>
      <c r="AG97" s="14" t="str">
        <f>IF(基础状态预期!W110="","",J$9+(基础状态预期!W110-1)*J$12)</f>
        <v/>
      </c>
      <c r="AH97" s="14">
        <f>IF(基础状态预期!X110="","",K$9+(基础状态预期!X110-1)*K$12)</f>
        <v>2821.529310568365</v>
      </c>
      <c r="AI97" s="14" t="str">
        <f>IF(基础状态预期!Y110="","",L$9+(基础状态预期!Y110-1)*L$12)</f>
        <v/>
      </c>
      <c r="AJ97" s="14">
        <f>SUMPRODUCT(AE97:AI97,基础状态预期!$F110:$J110)/SUM(基础状态预期!$F110:$J110)</f>
        <v>2821.529310568365</v>
      </c>
      <c r="AK97" s="14" t="str">
        <f>IF(基础状态预期!U110="","",H$27+(基础状态预期!U110-1)*H$28)</f>
        <v/>
      </c>
      <c r="AL97" s="14" t="str">
        <f>IF(基础状态预期!V110="","",I$27+(基础状态预期!V110-1)*I$28)</f>
        <v/>
      </c>
      <c r="AM97" s="14" t="str">
        <f>IF(基础状态预期!W110="","",J$27+(基础状态预期!W110-1)*J$28)</f>
        <v/>
      </c>
      <c r="AN97" s="14">
        <f>IF(基础状态预期!X110="","",K$27+(基础状态预期!X110-1)*K$28)</f>
        <v>1673.8431035227882</v>
      </c>
      <c r="AO97" s="14" t="str">
        <f>IF(基础状态预期!Y110="","",L$27+(基础状态预期!Y110-1)*L$28)</f>
        <v/>
      </c>
      <c r="AP97" s="14">
        <f>SUMPRODUCT(AK97:AO97,基础状态预期!$F110:$J110)/SUM(基础状态预期!$F110:$J110)</f>
        <v>1673.8431035227884</v>
      </c>
      <c r="AQ97" s="14" t="str">
        <f>IF(基础状态预期!U110="","",H$31+(基础状态预期!U110-1)*H$32)</f>
        <v/>
      </c>
      <c r="AR97" s="14" t="str">
        <f>IF(基础状态预期!V110="","",I$31+(基础状态预期!V110-1)*I$32)</f>
        <v/>
      </c>
      <c r="AS97" s="14" t="str">
        <f>IF(基础状态预期!W110="","",J$31+(基础状态预期!W110-1)*J$32)</f>
        <v/>
      </c>
      <c r="AT97" s="14">
        <f>IF(基础状态预期!X110="","",K$31+(基础状态预期!X110-1)*K$32)</f>
        <v>84.384310352278831</v>
      </c>
      <c r="AU97" s="14" t="str">
        <f>IF(基础状态预期!Y110="","",L$31+(基础状态预期!Y110-1)*L$32)</f>
        <v/>
      </c>
      <c r="AV97" s="14">
        <f>SUMPRODUCT(AQ97:AU97,基础状态预期!$F110:$J110)/SUM(基础状态预期!$F110:$J110)</f>
        <v>84.384310352278831</v>
      </c>
      <c r="BA97" s="29">
        <v>40</v>
      </c>
      <c r="BB97" s="29">
        <f t="shared" si="54"/>
        <v>3170</v>
      </c>
      <c r="BC97" s="29">
        <f t="shared" si="55"/>
        <v>3170</v>
      </c>
      <c r="BD97" s="29">
        <f t="shared" si="56"/>
        <v>1789.9999999999998</v>
      </c>
      <c r="BE97" s="29">
        <f>(BB97-BB96)*INDEX([2]中r将兵属性验证!W$7:W$166,$BA97,1)+BE96</f>
        <v>150715884.67932719</v>
      </c>
      <c r="BF97" s="29">
        <f>(BC97-BC96)*INDEX([2]中r将兵属性验证!X$7:X$166,$BA97,1)+BF96</f>
        <v>150715884.67932719</v>
      </c>
      <c r="BG97" s="29">
        <f>(BD97-BD96)*INDEX([2]中r将兵属性验证!$AM$7:$AM$166,$BA97,1)+BG96</f>
        <v>4918648.33927585</v>
      </c>
      <c r="BH97" s="10">
        <f t="shared" si="62"/>
        <v>306350417.69793022</v>
      </c>
      <c r="BO97" s="29">
        <f t="shared" si="60"/>
        <v>34.192155176139416</v>
      </c>
      <c r="BP97" s="10">
        <f t="shared" si="61"/>
        <v>14015847.010501783</v>
      </c>
      <c r="BQ97" s="10" t="e">
        <f>$BP97*求节点('[1]功能-付费相关'!$AY$6:$AY$105,'[1]功能-付费相关'!$BB$6:$BB$105,$BO97)+$BQ96</f>
        <v>#VALUE!</v>
      </c>
      <c r="BS97" s="29">
        <v>40</v>
      </c>
      <c r="BT97" s="29" t="e">
        <f t="shared" si="58"/>
        <v>#VALUE!</v>
      </c>
      <c r="BU97" s="29"/>
      <c r="BZ97" s="4">
        <f t="shared" si="50"/>
        <v>57150</v>
      </c>
      <c r="CA97" s="4">
        <v>94</v>
      </c>
      <c r="CB97" s="90">
        <f t="shared" si="51"/>
        <v>879330</v>
      </c>
      <c r="CC97" s="4">
        <f>SUM(CB$4:CB97)</f>
        <v>14731120</v>
      </c>
      <c r="CD97" s="4">
        <f t="shared" si="49"/>
        <v>1.0326902585385003</v>
      </c>
    </row>
    <row r="98" spans="1:82" x14ac:dyDescent="0.15">
      <c r="A98" s="122">
        <f t="shared" si="53"/>
        <v>402309500</v>
      </c>
      <c r="B98" s="14">
        <v>188</v>
      </c>
      <c r="C98" s="14">
        <f t="shared" si="52"/>
        <v>2743320000</v>
      </c>
      <c r="D98" s="14">
        <f>SUM(C$5:$C98)</f>
        <v>18496689100</v>
      </c>
      <c r="E98" s="89">
        <f>'[1]资源-武将经验'!$Z99</f>
        <v>1.4543082263190812</v>
      </c>
      <c r="P98" s="5">
        <v>8</v>
      </c>
      <c r="Q98" s="14">
        <f>基础状态预期!D111</f>
        <v>39.631851677253941</v>
      </c>
      <c r="R98" s="14">
        <f>IF(基础状态预期!U111="",0,求节点($B$5:$B$154,$D$5:$D$154,基础状态预期!U111)*基础状态预期!F111)</f>
        <v>0</v>
      </c>
      <c r="S98" s="14">
        <f>IF(基础状态预期!V111="",0,求节点($B$5:$B$154,$D$5:$D$154,基础状态预期!V111)*基础状态预期!G111)</f>
        <v>0</v>
      </c>
      <c r="T98" s="14">
        <f>IF(基础状态预期!W111="",0,求节点($B$5:$B$154,$D$5:$D$154,基础状态预期!W111)*基础状态预期!H111)</f>
        <v>0</v>
      </c>
      <c r="U98" s="14">
        <f>IF(基础状态预期!X111="",0,求节点($B$5:$B$154,$D$5:$D$154,基础状态预期!X111)*基础状态预期!I111)</f>
        <v>33981497.862748042</v>
      </c>
      <c r="V98" s="14">
        <f>IF(基础状态预期!Y111="",0,求节点($B$5:$B$154,$D$5:$D$154,基础状态预期!Y111)*基础状态预期!J111)</f>
        <v>0</v>
      </c>
      <c r="W98" s="14">
        <f t="shared" si="59"/>
        <v>33981497.862748042</v>
      </c>
      <c r="Y98" s="14" t="str">
        <f>IF(基础状态预期!U111="","",H$8+(基础状态预期!U111-1)*H$11)</f>
        <v/>
      </c>
      <c r="Z98" s="14" t="str">
        <f>IF(基础状态预期!V111="","",I$8+(基础状态预期!V111-1)*I$11)</f>
        <v/>
      </c>
      <c r="AA98" s="14" t="str">
        <f>IF(基础状态预期!W111="","",J$8+(基础状态预期!W111-1)*J$11)</f>
        <v/>
      </c>
      <c r="AB98" s="14">
        <f>IF(基础状态预期!X111="","",K$8+(基础状态预期!X111-1)*K$11)</f>
        <v>3147.9111006352364</v>
      </c>
      <c r="AC98" s="14" t="str">
        <f>IF(基础状态预期!Y111="","",L$8+(基础状态预期!Y111-1)*L$11)</f>
        <v/>
      </c>
      <c r="AD98" s="14">
        <f>SUMPRODUCT(Y98:AC98,基础状态预期!$F111:$J111)/SUM(基础状态预期!$F111:$J111)</f>
        <v>3147.9111006352364</v>
      </c>
      <c r="AE98" s="14" t="str">
        <f>IF(基础状态预期!U111="","",H$9+(基础状态预期!U111-1)*H$12)</f>
        <v/>
      </c>
      <c r="AF98" s="14" t="str">
        <f>IF(基础状态预期!V111="","",I$9+(基础状态预期!V111-1)*I$12)</f>
        <v/>
      </c>
      <c r="AG98" s="14" t="str">
        <f>IF(基础状态预期!W111="","",J$9+(基础状态预期!W111-1)*J$12)</f>
        <v/>
      </c>
      <c r="AH98" s="14">
        <f>IF(基础状态预期!X111="","",K$9+(基础状态预期!X111-1)*K$12)</f>
        <v>3147.9111006352364</v>
      </c>
      <c r="AI98" s="14" t="str">
        <f>IF(基础状态预期!Y111="","",L$9+(基础状态预期!Y111-1)*L$12)</f>
        <v/>
      </c>
      <c r="AJ98" s="14">
        <f>SUMPRODUCT(AE98:AI98,基础状态预期!$F111:$J111)/SUM(基础状态预期!$F111:$J111)</f>
        <v>3147.9111006352364</v>
      </c>
      <c r="AK98" s="14" t="str">
        <f>IF(基础状态预期!U111="","",H$27+(基础状态预期!U111-1)*H$28)</f>
        <v/>
      </c>
      <c r="AL98" s="14" t="str">
        <f>IF(基础状态预期!V111="","",I$27+(基础状态预期!V111-1)*I$28)</f>
        <v/>
      </c>
      <c r="AM98" s="14" t="str">
        <f>IF(基础状态预期!W111="","",J$27+(基础状态预期!W111-1)*J$28)</f>
        <v/>
      </c>
      <c r="AN98" s="14">
        <f>IF(基础状态预期!X111="","",K$27+(基础状态预期!X111-1)*K$28)</f>
        <v>1782.6370335450788</v>
      </c>
      <c r="AO98" s="14" t="str">
        <f>IF(基础状态预期!Y111="","",L$27+(基础状态预期!Y111-1)*L$28)</f>
        <v/>
      </c>
      <c r="AP98" s="14">
        <f>SUMPRODUCT(AK98:AO98,基础状态预期!$F111:$J111)/SUM(基础状态预期!$F111:$J111)</f>
        <v>1782.6370335450786</v>
      </c>
      <c r="AQ98" s="14" t="str">
        <f>IF(基础状态预期!U111="","",H$31+(基础状态预期!U111-1)*H$32)</f>
        <v/>
      </c>
      <c r="AR98" s="14" t="str">
        <f>IF(基础状态预期!V111="","",I$31+(基础状态预期!V111-1)*I$32)</f>
        <v/>
      </c>
      <c r="AS98" s="14" t="str">
        <f>IF(基础状态预期!W111="","",J$31+(基础状态预期!W111-1)*J$32)</f>
        <v/>
      </c>
      <c r="AT98" s="14">
        <f>IF(基础状态预期!X111="","",K$31+(基础状态预期!X111-1)*K$32)</f>
        <v>95.263703354507882</v>
      </c>
      <c r="AU98" s="14" t="str">
        <f>IF(基础状态预期!Y111="","",L$31+(基础状态预期!Y111-1)*L$32)</f>
        <v/>
      </c>
      <c r="AV98" s="14">
        <f>SUMPRODUCT(AQ98:AU98,基础状态预期!$F111:$J111)/SUM(基础状态预期!$F111:$J111)</f>
        <v>95.263703354507882</v>
      </c>
      <c r="BA98" s="29">
        <v>50</v>
      </c>
      <c r="BB98" s="29">
        <f t="shared" si="54"/>
        <v>3770</v>
      </c>
      <c r="BC98" s="29">
        <f t="shared" si="55"/>
        <v>3770</v>
      </c>
      <c r="BD98" s="29">
        <f t="shared" si="56"/>
        <v>1990</v>
      </c>
      <c r="BE98" s="29">
        <f>(BB98-BB97)*INDEX([2]中r将兵属性验证!W$7:W$166,$BA98,1)+BE97</f>
        <v>304850489.52765864</v>
      </c>
      <c r="BF98" s="29">
        <f>(BC98-BC97)*INDEX([2]中r将兵属性验证!X$7:X$166,$BA98,1)+BF97</f>
        <v>304850489.52765864</v>
      </c>
      <c r="BG98" s="29">
        <f>(BD98-BD97)*INDEX([2]中r将兵属性验证!$AM$7:$AM$166,$BA98,1)+BG97</f>
        <v>5929102.9872038253</v>
      </c>
      <c r="BH98" s="10">
        <f t="shared" si="62"/>
        <v>615630082.04252112</v>
      </c>
      <c r="BO98" s="29">
        <f t="shared" si="60"/>
        <v>39.631851677253941</v>
      </c>
      <c r="BP98" s="10">
        <f t="shared" si="61"/>
        <v>33981497.862748042</v>
      </c>
      <c r="BQ98" s="10" t="e">
        <f>$BP98*求节点('[1]功能-付费相关'!$AY$6:$AY$105,'[1]功能-付费相关'!$BB$6:$BB$105,$BO98)+$BQ97</f>
        <v>#VALUE!</v>
      </c>
      <c r="BS98" s="29">
        <v>50</v>
      </c>
      <c r="BT98" s="29" t="e">
        <f t="shared" si="58"/>
        <v>#VALUE!</v>
      </c>
      <c r="BU98" s="29"/>
      <c r="BZ98" s="4">
        <f t="shared" si="50"/>
        <v>57150</v>
      </c>
      <c r="CA98" s="4">
        <v>95</v>
      </c>
      <c r="CB98" s="90">
        <f t="shared" si="51"/>
        <v>936480</v>
      </c>
      <c r="CC98" s="4">
        <f>SUM(CB$4:CB98)</f>
        <v>15667600</v>
      </c>
      <c r="CD98" s="4">
        <f t="shared" si="49"/>
        <v>1.0306750080585214</v>
      </c>
    </row>
    <row r="99" spans="1:82" x14ac:dyDescent="0.15">
      <c r="A99" s="122">
        <f t="shared" si="53"/>
        <v>470702100</v>
      </c>
      <c r="B99" s="14">
        <v>190</v>
      </c>
      <c r="C99" s="14">
        <f t="shared" si="52"/>
        <v>3214022100</v>
      </c>
      <c r="D99" s="14">
        <f>SUM(C$5:$C99)</f>
        <v>21710711200</v>
      </c>
      <c r="E99" s="89">
        <f>'[1]资源-武将经验'!$Z100</f>
        <v>1.4218935372784431</v>
      </c>
      <c r="P99" s="5">
        <v>9</v>
      </c>
      <c r="Q99" s="14">
        <f>基础状态预期!D112</f>
        <v>43.484929789964411</v>
      </c>
      <c r="R99" s="14">
        <f>IF(基础状态预期!U112="",0,求节点($B$5:$B$154,$D$5:$D$154,基础状态预期!U112)*基础状态预期!F112)</f>
        <v>0</v>
      </c>
      <c r="S99" s="14">
        <f>IF(基础状态预期!V112="",0,求节点($B$5:$B$154,$D$5:$D$154,基础状态预期!V112)*基础状态预期!G112)</f>
        <v>0</v>
      </c>
      <c r="T99" s="14">
        <f>IF(基础状态预期!W112="",0,求节点($B$5:$B$154,$D$5:$D$154,基础状态预期!W112)*基础状态预期!H112)</f>
        <v>0</v>
      </c>
      <c r="U99" s="14">
        <f>IF(基础状态预期!X112="",0,求节点($B$5:$B$154,$D$5:$D$154,基础状态预期!X112)*基础状态预期!I112)</f>
        <v>55767213.404299378</v>
      </c>
      <c r="V99" s="14">
        <f>IF(基础状态预期!Y112="",0,求节点($B$5:$B$154,$D$5:$D$154,基础状态预期!Y112)*基础状态预期!J112)</f>
        <v>0</v>
      </c>
      <c r="W99" s="14">
        <f t="shared" si="59"/>
        <v>55767213.404299378</v>
      </c>
      <c r="Y99" s="14" t="str">
        <f>IF(基础状态预期!U112="","",H$8+(基础状态预期!U112-1)*H$11)</f>
        <v/>
      </c>
      <c r="Z99" s="14" t="str">
        <f>IF(基础状态预期!V112="","",I$8+(基础状态预期!V112-1)*I$11)</f>
        <v/>
      </c>
      <c r="AA99" s="14" t="str">
        <f>IF(基础状态预期!W112="","",J$8+(基础状态预期!W112-1)*J$11)</f>
        <v/>
      </c>
      <c r="AB99" s="14">
        <f>IF(基础状态预期!X112="","",K$8+(基础状态预期!X112-1)*K$11)</f>
        <v>3379.0957873978646</v>
      </c>
      <c r="AC99" s="14" t="str">
        <f>IF(基础状态预期!Y112="","",L$8+(基础状态预期!Y112-1)*L$11)</f>
        <v/>
      </c>
      <c r="AD99" s="14">
        <f>SUMPRODUCT(Y99:AC99,基础状态预期!$F112:$J112)/SUM(基础状态预期!$F112:$J112)</f>
        <v>3379.0957873978646</v>
      </c>
      <c r="AE99" s="14" t="str">
        <f>IF(基础状态预期!U112="","",H$9+(基础状态预期!U112-1)*H$12)</f>
        <v/>
      </c>
      <c r="AF99" s="14" t="str">
        <f>IF(基础状态预期!V112="","",I$9+(基础状态预期!V112-1)*I$12)</f>
        <v/>
      </c>
      <c r="AG99" s="14" t="str">
        <f>IF(基础状态预期!W112="","",J$9+(基础状态预期!W112-1)*J$12)</f>
        <v/>
      </c>
      <c r="AH99" s="14">
        <f>IF(基础状态预期!X112="","",K$9+(基础状态预期!X112-1)*K$12)</f>
        <v>3379.0957873978646</v>
      </c>
      <c r="AI99" s="14" t="str">
        <f>IF(基础状态预期!Y112="","",L$9+(基础状态预期!Y112-1)*L$12)</f>
        <v/>
      </c>
      <c r="AJ99" s="14">
        <f>SUMPRODUCT(AE99:AI99,基础状态预期!$F112:$J112)/SUM(基础状态预期!$F112:$J112)</f>
        <v>3379.0957873978646</v>
      </c>
      <c r="AK99" s="14" t="str">
        <f>IF(基础状态预期!U112="","",H$27+(基础状态预期!U112-1)*H$28)</f>
        <v/>
      </c>
      <c r="AL99" s="14" t="str">
        <f>IF(基础状态预期!V112="","",I$27+(基础状态预期!V112-1)*I$28)</f>
        <v/>
      </c>
      <c r="AM99" s="14" t="str">
        <f>IF(基础状态预期!W112="","",J$27+(基础状态预期!W112-1)*J$28)</f>
        <v/>
      </c>
      <c r="AN99" s="14">
        <f>IF(基础状态预期!X112="","",K$27+(基础状态预期!X112-1)*K$28)</f>
        <v>1859.6985957992883</v>
      </c>
      <c r="AO99" s="14" t="str">
        <f>IF(基础状态预期!Y112="","",L$27+(基础状态预期!Y112-1)*L$28)</f>
        <v/>
      </c>
      <c r="AP99" s="14">
        <f>SUMPRODUCT(AK99:AO99,基础状态预期!$F112:$J112)/SUM(基础状态预期!$F112:$J112)</f>
        <v>1859.6985957992883</v>
      </c>
      <c r="AQ99" s="14" t="str">
        <f>IF(基础状态预期!U112="","",H$31+(基础状态预期!U112-1)*H$32)</f>
        <v/>
      </c>
      <c r="AR99" s="14" t="str">
        <f>IF(基础状态预期!V112="","",I$31+(基础状态预期!V112-1)*I$32)</f>
        <v/>
      </c>
      <c r="AS99" s="14" t="str">
        <f>IF(基础状态预期!W112="","",J$31+(基础状态预期!W112-1)*J$32)</f>
        <v/>
      </c>
      <c r="AT99" s="14">
        <f>IF(基础状态预期!X112="","",K$31+(基础状态预期!X112-1)*K$32)</f>
        <v>102.96985957992882</v>
      </c>
      <c r="AU99" s="14" t="str">
        <f>IF(基础状态预期!Y112="","",L$31+(基础状态预期!Y112-1)*L$32)</f>
        <v/>
      </c>
      <c r="AV99" s="14">
        <f>SUMPRODUCT(AQ99:AU99,基础状态预期!$F112:$J112)/SUM(基础状态预期!$F112:$J112)</f>
        <v>102.96985957992882</v>
      </c>
      <c r="BA99" s="29">
        <v>60</v>
      </c>
      <c r="BB99" s="29">
        <f t="shared" si="54"/>
        <v>4370.0000000000009</v>
      </c>
      <c r="BC99" s="29">
        <f t="shared" si="55"/>
        <v>4370.0000000000009</v>
      </c>
      <c r="BD99" s="29">
        <f t="shared" si="56"/>
        <v>2190</v>
      </c>
      <c r="BE99" s="29">
        <f>(BB99-BB98)*INDEX([2]中r将兵属性验证!W$7:W$166,$BA99,1)+BE98</f>
        <v>615723521.69448662</v>
      </c>
      <c r="BF99" s="29">
        <f>(BC99-BC98)*INDEX([2]中r将兵属性验证!X$7:X$166,$BA99,1)+BF98</f>
        <v>615723521.69448662</v>
      </c>
      <c r="BG99" s="29">
        <f>(BD99-BD98)*INDEX([2]中r将兵属性验证!$AM$7:$AM$166,$BA99,1)+BG98</f>
        <v>7068419.6502714623</v>
      </c>
      <c r="BH99" s="10">
        <f t="shared" si="62"/>
        <v>1238515463.0392447</v>
      </c>
      <c r="BO99" s="29">
        <f t="shared" si="60"/>
        <v>43.484929789964411</v>
      </c>
      <c r="BP99" s="10">
        <f t="shared" si="61"/>
        <v>55767213.404299378</v>
      </c>
      <c r="BQ99" s="10" t="e">
        <f>$BP99*求节点('[1]功能-付费相关'!$AY$6:$AY$105,'[1]功能-付费相关'!$BB$6:$BB$105,$BO99)+$BQ98</f>
        <v>#VALUE!</v>
      </c>
      <c r="BS99" s="29">
        <v>60</v>
      </c>
      <c r="BT99" s="29" t="e">
        <f t="shared" si="58"/>
        <v>#VALUE!</v>
      </c>
      <c r="BU99" s="29"/>
      <c r="BZ99" s="4">
        <f t="shared" si="50"/>
        <v>67300</v>
      </c>
      <c r="CA99" s="4">
        <v>96</v>
      </c>
      <c r="CB99" s="90">
        <f t="shared" si="51"/>
        <v>1003780</v>
      </c>
      <c r="CC99" s="4">
        <f>SUM(CB$4:CB99)</f>
        <v>16671380</v>
      </c>
      <c r="CD99" s="4">
        <f t="shared" si="49"/>
        <v>1.0330639864169837</v>
      </c>
    </row>
    <row r="100" spans="1:82" x14ac:dyDescent="0.15">
      <c r="A100" s="122">
        <f>INT(A99*1.15/100)*100</f>
        <v>541307400</v>
      </c>
      <c r="B100" s="14">
        <v>192</v>
      </c>
      <c r="C100" s="14">
        <f t="shared" si="52"/>
        <v>3755329500</v>
      </c>
      <c r="D100" s="14">
        <f>SUM(C$5:$C100)</f>
        <v>25466040700</v>
      </c>
      <c r="E100" s="89">
        <f>'[1]资源-武将经验'!$Z101</f>
        <v>1.4254831645087096</v>
      </c>
      <c r="P100" s="5">
        <v>10</v>
      </c>
      <c r="Q100" s="14">
        <f>基础状态预期!D113</f>
        <v>49.18886033229559</v>
      </c>
      <c r="R100" s="14">
        <f>IF(基础状态预期!U113="",0,求节点($B$5:$B$154,$D$5:$D$154,基础状态预期!U113)*基础状态预期!F113)</f>
        <v>0</v>
      </c>
      <c r="S100" s="14">
        <f>IF(基础状态预期!V113="",0,求节点($B$5:$B$154,$D$5:$D$154,基础状态预期!V113)*基础状态预期!G113)</f>
        <v>0</v>
      </c>
      <c r="T100" s="14">
        <f>IF(基础状态预期!W113="",0,求节点($B$5:$B$154,$D$5:$D$154,基础状态预期!W113)*基础状态预期!H113)</f>
        <v>0</v>
      </c>
      <c r="U100" s="14">
        <f>IF(基础状态预期!X113="",0,求节点($B$5:$B$154,$D$5:$D$154,基础状态预期!X113)*基础状态预期!I113)</f>
        <v>112466785.29128727</v>
      </c>
      <c r="V100" s="14">
        <f>IF(基础状态预期!Y113="",0,求节点($B$5:$B$154,$D$5:$D$154,基础状态预期!Y113)*基础状态预期!J113)</f>
        <v>0</v>
      </c>
      <c r="W100" s="14">
        <f t="shared" si="59"/>
        <v>112466785.29128727</v>
      </c>
      <c r="Y100" s="14" t="str">
        <f>IF(基础状态预期!U113="","",H$8+(基础状态预期!U113-1)*H$11)</f>
        <v/>
      </c>
      <c r="Z100" s="14" t="str">
        <f>IF(基础状态预期!V113="","",I$8+(基础状态预期!V113-1)*I$11)</f>
        <v/>
      </c>
      <c r="AA100" s="14" t="str">
        <f>IF(基础状态预期!W113="","",J$8+(基础状态预期!W113-1)*J$11)</f>
        <v/>
      </c>
      <c r="AB100" s="14">
        <f>IF(基础状态预期!X113="","",K$8+(基础状态预期!X113-1)*K$11)</f>
        <v>3721.3316199377355</v>
      </c>
      <c r="AC100" s="14" t="str">
        <f>IF(基础状态预期!Y113="","",L$8+(基础状态预期!Y113-1)*L$11)</f>
        <v/>
      </c>
      <c r="AD100" s="14">
        <f>SUMPRODUCT(Y100:AC100,基础状态预期!$F113:$J113)/SUM(基础状态预期!$F113:$J113)</f>
        <v>3721.3316199377355</v>
      </c>
      <c r="AE100" s="14" t="str">
        <f>IF(基础状态预期!U113="","",H$9+(基础状态预期!U113-1)*H$12)</f>
        <v/>
      </c>
      <c r="AF100" s="14" t="str">
        <f>IF(基础状态预期!V113="","",I$9+(基础状态预期!V113-1)*I$12)</f>
        <v/>
      </c>
      <c r="AG100" s="14" t="str">
        <f>IF(基础状态预期!W113="","",J$9+(基础状态预期!W113-1)*J$12)</f>
        <v/>
      </c>
      <c r="AH100" s="14">
        <f>IF(基础状态预期!X113="","",K$9+(基础状态预期!X113-1)*K$12)</f>
        <v>3721.3316199377355</v>
      </c>
      <c r="AI100" s="14" t="str">
        <f>IF(基础状态预期!Y113="","",L$9+(基础状态预期!Y113-1)*L$12)</f>
        <v/>
      </c>
      <c r="AJ100" s="14">
        <f>SUMPRODUCT(AE100:AI100,基础状态预期!$F113:$J113)/SUM(基础状态预期!$F113:$J113)</f>
        <v>3721.3316199377355</v>
      </c>
      <c r="AK100" s="14" t="str">
        <f>IF(基础状态预期!U113="","",H$27+(基础状态预期!U113-1)*H$28)</f>
        <v/>
      </c>
      <c r="AL100" s="14" t="str">
        <f>IF(基础状态预期!V113="","",I$27+(基础状态预期!V113-1)*I$28)</f>
        <v/>
      </c>
      <c r="AM100" s="14" t="str">
        <f>IF(基础状态预期!W113="","",J$27+(基础状态预期!W113-1)*J$28)</f>
        <v/>
      </c>
      <c r="AN100" s="14">
        <f>IF(基础状态预期!X113="","",K$27+(基础状态预期!X113-1)*K$28)</f>
        <v>1973.7772066459117</v>
      </c>
      <c r="AO100" s="14" t="str">
        <f>IF(基础状态预期!Y113="","",L$27+(基础状态预期!Y113-1)*L$28)</f>
        <v/>
      </c>
      <c r="AP100" s="14">
        <f>SUMPRODUCT(AK100:AO100,基础状态预期!$F113:$J113)/SUM(基础状态预期!$F113:$J113)</f>
        <v>1973.7772066459117</v>
      </c>
      <c r="AQ100" s="14" t="str">
        <f>IF(基础状态预期!U113="","",H$31+(基础状态预期!U113-1)*H$32)</f>
        <v/>
      </c>
      <c r="AR100" s="14" t="str">
        <f>IF(基础状态预期!V113="","",I$31+(基础状态预期!V113-1)*I$32)</f>
        <v/>
      </c>
      <c r="AS100" s="14" t="str">
        <f>IF(基础状态预期!W113="","",J$31+(基础状态预期!W113-1)*J$32)</f>
        <v/>
      </c>
      <c r="AT100" s="14">
        <f>IF(基础状态预期!X113="","",K$31+(基础状态预期!X113-1)*K$32)</f>
        <v>114.37772066459118</v>
      </c>
      <c r="AU100" s="14" t="str">
        <f>IF(基础状态预期!Y113="","",L$31+(基础状态预期!Y113-1)*L$32)</f>
        <v/>
      </c>
      <c r="AV100" s="14">
        <f>SUMPRODUCT(AQ100:AU100,基础状态预期!$F113:$J113)/SUM(基础状态预期!$F113:$J113)</f>
        <v>114.37772066459119</v>
      </c>
      <c r="BA100" s="29">
        <v>70</v>
      </c>
      <c r="BB100" s="29">
        <f t="shared" si="54"/>
        <v>4970</v>
      </c>
      <c r="BC100" s="29">
        <f t="shared" si="55"/>
        <v>4970</v>
      </c>
      <c r="BD100" s="29">
        <f t="shared" si="56"/>
        <v>2390</v>
      </c>
      <c r="BE100" s="29">
        <f>(BB100-BB99)*INDEX([2]中r将兵属性验证!W$7:W$166,$BA100,1)+BE99</f>
        <v>1349973307.4485221</v>
      </c>
      <c r="BF100" s="29">
        <f>(BC100-BC99)*INDEX([2]中r将兵属性验证!X$7:X$166,$BA100,1)+BF99</f>
        <v>1349973307.4485221</v>
      </c>
      <c r="BG100" s="29">
        <f>(BD100-BD99)*INDEX([2]中r将兵属性验证!$AM$7:$AM$166,$BA100,1)+BG99</f>
        <v>8341619.838116453</v>
      </c>
      <c r="BH100" s="10">
        <f t="shared" si="62"/>
        <v>2708288234.7351608</v>
      </c>
      <c r="BO100" s="29">
        <f t="shared" si="60"/>
        <v>49.18886033229559</v>
      </c>
      <c r="BP100" s="10">
        <f t="shared" si="61"/>
        <v>112466785.29128727</v>
      </c>
      <c r="BQ100" s="10" t="e">
        <f>$BP100*求节点('[1]功能-付费相关'!$AY$6:$AY$105,'[1]功能-付费相关'!$BB$6:$BB$105,$BO100)+$BQ99</f>
        <v>#VALUE!</v>
      </c>
      <c r="BS100" s="29">
        <v>70</v>
      </c>
      <c r="BT100" s="29" t="e">
        <f t="shared" si="58"/>
        <v>#VALUE!</v>
      </c>
      <c r="BU100" s="29"/>
      <c r="BZ100" s="4">
        <f t="shared" si="50"/>
        <v>67300</v>
      </c>
      <c r="CA100" s="4">
        <v>97</v>
      </c>
      <c r="CB100" s="90">
        <f t="shared" si="51"/>
        <v>1071080</v>
      </c>
      <c r="CC100" s="4">
        <f>SUM(CB$4:CB100)</f>
        <v>17742460</v>
      </c>
      <c r="CD100" s="4">
        <f t="shared" si="49"/>
        <v>1.0310048870061421</v>
      </c>
    </row>
    <row r="101" spans="1:82" x14ac:dyDescent="0.15">
      <c r="A101" s="122">
        <f t="shared" ref="A101:A114" si="63">INT(A100*1.15/100)*100</f>
        <v>622503500</v>
      </c>
      <c r="B101" s="14">
        <v>194</v>
      </c>
      <c r="C101" s="14">
        <f t="shared" si="52"/>
        <v>4377833000</v>
      </c>
      <c r="D101" s="14">
        <f>SUM(C$5:$C101)</f>
        <v>29843873700</v>
      </c>
      <c r="E101" s="89">
        <f>'[1]资源-武将经验'!$Z102</f>
        <v>1.4319432165392167</v>
      </c>
      <c r="P101" s="5">
        <v>11</v>
      </c>
      <c r="Q101" s="14">
        <f>基础状态预期!D114</f>
        <v>53.212684955585161</v>
      </c>
      <c r="R101" s="14">
        <f>IF(基础状态预期!U114="",0,求节点($B$5:$B$154,$D$5:$D$154,基础状态预期!U114)*基础状态预期!F114)</f>
        <v>0</v>
      </c>
      <c r="S101" s="14">
        <f>IF(基础状态预期!V114="",0,求节点($B$5:$B$154,$D$5:$D$154,基础状态预期!V114)*基础状态预期!G114)</f>
        <v>0</v>
      </c>
      <c r="T101" s="14">
        <f>IF(基础状态预期!W114="",0,求节点($B$5:$B$154,$D$5:$D$154,基础状态预期!W114)*基础状态预期!H114)</f>
        <v>0</v>
      </c>
      <c r="U101" s="14">
        <f>IF(基础状态预期!X114="",0,求节点($B$5:$B$154,$D$5:$D$154,基础状态预期!X114)*基础状态预期!I114)</f>
        <v>157858951.47508484</v>
      </c>
      <c r="V101" s="14">
        <f>IF(基础状态预期!Y114="",0,求节点($B$5:$B$154,$D$5:$D$154,基础状态预期!Y114)*基础状态预期!J114)</f>
        <v>31571790.295016967</v>
      </c>
      <c r="W101" s="14">
        <f t="shared" si="59"/>
        <v>189430741.77010182</v>
      </c>
      <c r="Y101" s="14" t="str">
        <f>IF(基础状态预期!U114="","",H$8+(基础状态预期!U114-1)*H$11)</f>
        <v/>
      </c>
      <c r="Z101" s="14" t="str">
        <f>IF(基础状态预期!V114="","",I$8+(基础状态预期!V114-1)*I$11)</f>
        <v/>
      </c>
      <c r="AA101" s="14" t="str">
        <f>IF(基础状态预期!W114="","",J$8+(基础状态预期!W114-1)*J$11)</f>
        <v/>
      </c>
      <c r="AB101" s="14">
        <f>IF(基础状态预期!X114="","",K$8+(基础状态预期!X114-1)*K$11)</f>
        <v>3962.7610973351098</v>
      </c>
      <c r="AC101" s="14">
        <f>IF(基础状态预期!Y114="","",L$8+(基础状态预期!Y114-1)*L$11)</f>
        <v>3962.7610973351098</v>
      </c>
      <c r="AD101" s="14">
        <f>SUMPRODUCT(Y101:AC101,基础状态预期!$F114:$J114)/SUM(基础状态预期!$F114:$J114)</f>
        <v>3962.7610973351098</v>
      </c>
      <c r="AE101" s="14" t="str">
        <f>IF(基础状态预期!U114="","",H$9+(基础状态预期!U114-1)*H$12)</f>
        <v/>
      </c>
      <c r="AF101" s="14" t="str">
        <f>IF(基础状态预期!V114="","",I$9+(基础状态预期!V114-1)*I$12)</f>
        <v/>
      </c>
      <c r="AG101" s="14" t="str">
        <f>IF(基础状态预期!W114="","",J$9+(基础状态预期!W114-1)*J$12)</f>
        <v/>
      </c>
      <c r="AH101" s="14">
        <f>IF(基础状态预期!X114="","",K$9+(基础状态预期!X114-1)*K$12)</f>
        <v>3962.7610973351098</v>
      </c>
      <c r="AI101" s="14">
        <f>IF(基础状态预期!Y114="","",L$9+(基础状态预期!Y114-1)*L$12)</f>
        <v>3962.7610973351098</v>
      </c>
      <c r="AJ101" s="14">
        <f>SUMPRODUCT(AE101:AI101,基础状态预期!$F114:$J114)/SUM(基础状态预期!$F114:$J114)</f>
        <v>3962.7610973351098</v>
      </c>
      <c r="AK101" s="14" t="str">
        <f>IF(基础状态预期!U114="","",H$27+(基础状态预期!U114-1)*H$28)</f>
        <v/>
      </c>
      <c r="AL101" s="14" t="str">
        <f>IF(基础状态预期!V114="","",I$27+(基础状态预期!V114-1)*I$28)</f>
        <v/>
      </c>
      <c r="AM101" s="14" t="str">
        <f>IF(基础状态预期!W114="","",J$27+(基础状态预期!W114-1)*J$28)</f>
        <v/>
      </c>
      <c r="AN101" s="14">
        <f>IF(基础状态预期!X114="","",K$27+(基础状态预期!X114-1)*K$28)</f>
        <v>2054.2536991117031</v>
      </c>
      <c r="AO101" s="14">
        <f>IF(基础状态预期!Y114="","",L$27+(基础状态预期!Y114-1)*L$28)</f>
        <v>2054.2536991117031</v>
      </c>
      <c r="AP101" s="14">
        <f>SUMPRODUCT(AK101:AO101,基础状态预期!$F114:$J114)/SUM(基础状态预期!$F114:$J114)</f>
        <v>2054.2536991117031</v>
      </c>
      <c r="AQ101" s="14" t="str">
        <f>IF(基础状态预期!U114="","",H$31+(基础状态预期!U114-1)*H$32)</f>
        <v/>
      </c>
      <c r="AR101" s="14" t="str">
        <f>IF(基础状态预期!V114="","",I$31+(基础状态预期!V114-1)*I$32)</f>
        <v/>
      </c>
      <c r="AS101" s="14" t="str">
        <f>IF(基础状态预期!W114="","",J$31+(基础状态预期!W114-1)*J$32)</f>
        <v/>
      </c>
      <c r="AT101" s="14">
        <f>IF(基础状态预期!X114="","",K$31+(基础状态预期!X114-1)*K$32)</f>
        <v>122.42536991117032</v>
      </c>
      <c r="AU101" s="14">
        <f>IF(基础状态预期!Y114="","",L$31+(基础状态预期!Y114-1)*L$32)</f>
        <v>125.42536991117032</v>
      </c>
      <c r="AV101" s="14">
        <f>SUMPRODUCT(AQ101:AU101,基础状态预期!$F114:$J114)/SUM(基础状态预期!$F114:$J114)</f>
        <v>122.92536991117031</v>
      </c>
      <c r="BA101" s="29">
        <v>80</v>
      </c>
      <c r="BB101" s="29">
        <f t="shared" si="54"/>
        <v>5569.9999999999991</v>
      </c>
      <c r="BC101" s="29">
        <f t="shared" si="55"/>
        <v>5569.9999999999991</v>
      </c>
      <c r="BD101" s="29">
        <f t="shared" si="56"/>
        <v>2590</v>
      </c>
      <c r="BE101" s="29">
        <f>(BB101-BB100)*INDEX([2]中r将兵属性验证!W$7:W$166,$BA101,1)+BE100</f>
        <v>2830435887.120389</v>
      </c>
      <c r="BF101" s="29">
        <f>(BC101-BC100)*INDEX([2]中r将兵属性验证!X$7:X$166,$BA101,1)+BF100</f>
        <v>2830435887.120389</v>
      </c>
      <c r="BG101" s="29">
        <f>(BD101-BD100)*INDEX([2]中r将兵属性验证!$AM$7:$AM$166,$BA101,1)+BG100</f>
        <v>9748327.8859497178</v>
      </c>
      <c r="BH101" s="10">
        <f t="shared" si="62"/>
        <v>5670620102.1267281</v>
      </c>
      <c r="BO101" s="29">
        <f t="shared" si="60"/>
        <v>53.212684955585161</v>
      </c>
      <c r="BP101" s="10">
        <f t="shared" si="61"/>
        <v>189430741.77010182</v>
      </c>
      <c r="BQ101" s="10" t="e">
        <f>$BP101*求节点('[1]功能-付费相关'!$AY$6:$AY$105,'[1]功能-付费相关'!$BB$6:$BB$105,$BO101)+$BQ100</f>
        <v>#VALUE!</v>
      </c>
      <c r="BS101" s="29">
        <v>80</v>
      </c>
      <c r="BT101" s="29" t="e">
        <f t="shared" si="58"/>
        <v>#VALUE!</v>
      </c>
      <c r="BU101" s="29"/>
      <c r="BZ101" s="4">
        <f t="shared" si="50"/>
        <v>79275</v>
      </c>
      <c r="CA101" s="4">
        <v>98</v>
      </c>
      <c r="CB101" s="90">
        <f t="shared" si="51"/>
        <v>1150355</v>
      </c>
      <c r="CC101" s="4">
        <f>SUM(CB$4:CB101)</f>
        <v>18892815</v>
      </c>
      <c r="CD101" s="4">
        <f t="shared" si="49"/>
        <v>1.0335237964989059</v>
      </c>
    </row>
    <row r="102" spans="1:82" x14ac:dyDescent="0.15">
      <c r="A102" s="122">
        <f t="shared" si="63"/>
        <v>715879000</v>
      </c>
      <c r="B102" s="14">
        <v>196</v>
      </c>
      <c r="C102" s="14">
        <f t="shared" si="52"/>
        <v>5093712000</v>
      </c>
      <c r="D102" s="14">
        <f>SUM(C$5:$C102)</f>
        <v>34937585700</v>
      </c>
      <c r="E102" s="89">
        <f>'[1]资源-武将经验'!$Z103</f>
        <v>1.3801561288973687</v>
      </c>
      <c r="P102" s="5">
        <v>12</v>
      </c>
      <c r="Q102" s="14">
        <f>基础状态预期!D115</f>
        <v>59.09095196730258</v>
      </c>
      <c r="R102" s="14">
        <f>IF(基础状态预期!U115="",0,求节点($B$5:$B$154,$D$5:$D$154,基础状态预期!U115)*基础状态预期!F115)</f>
        <v>0</v>
      </c>
      <c r="S102" s="14">
        <f>IF(基础状态预期!V115="",0,求节点($B$5:$B$154,$D$5:$D$154,基础状态预期!V115)*基础状态预期!G115)</f>
        <v>0</v>
      </c>
      <c r="T102" s="14">
        <f>IF(基础状态预期!W115="",0,求节点($B$5:$B$154,$D$5:$D$154,基础状态预期!W115)*基础状态预期!H115)</f>
        <v>0</v>
      </c>
      <c r="U102" s="14">
        <f>IF(基础状态预期!X115="",0,求节点($B$5:$B$154,$D$5:$D$154,基础状态预期!X115)*基础状态预期!I115)</f>
        <v>287071331.25789344</v>
      </c>
      <c r="V102" s="14">
        <f>IF(基础状态预期!Y115="",0,求节点($B$5:$B$154,$D$5:$D$154,基础状态预期!Y115)*基础状态预期!J115)</f>
        <v>143535665.62894672</v>
      </c>
      <c r="W102" s="14">
        <f t="shared" si="59"/>
        <v>430606996.88684016</v>
      </c>
      <c r="Y102" s="14" t="str">
        <f>IF(基础状态预期!U115="","",H$8+(基础状态预期!U115-1)*H$11)</f>
        <v/>
      </c>
      <c r="Z102" s="14" t="str">
        <f>IF(基础状态预期!V115="","",I$8+(基础状态预期!V115-1)*I$11)</f>
        <v/>
      </c>
      <c r="AA102" s="14" t="str">
        <f>IF(基础状态预期!W115="","",J$8+(基础状态预期!W115-1)*J$11)</f>
        <v/>
      </c>
      <c r="AB102" s="14">
        <f>IF(基础状态预期!X115="","",K$8+(基础状态预期!X115-1)*K$11)</f>
        <v>4315.4571180381554</v>
      </c>
      <c r="AC102" s="14">
        <f>IF(基础状态预期!Y115="","",L$8+(基础状态预期!Y115-1)*L$11)</f>
        <v>4315.4571180381554</v>
      </c>
      <c r="AD102" s="14">
        <f>SUMPRODUCT(Y102:AC102,基础状态预期!$F115:$J115)/SUM(基础状态预期!$F115:$J115)</f>
        <v>4315.4571180381554</v>
      </c>
      <c r="AE102" s="14" t="str">
        <f>IF(基础状态预期!U115="","",H$9+(基础状态预期!U115-1)*H$12)</f>
        <v/>
      </c>
      <c r="AF102" s="14" t="str">
        <f>IF(基础状态预期!V115="","",I$9+(基础状态预期!V115-1)*I$12)</f>
        <v/>
      </c>
      <c r="AG102" s="14" t="str">
        <f>IF(基础状态预期!W115="","",J$9+(基础状态预期!W115-1)*J$12)</f>
        <v/>
      </c>
      <c r="AH102" s="14">
        <f>IF(基础状态预期!X115="","",K$9+(基础状态预期!X115-1)*K$12)</f>
        <v>4315.4571180381554</v>
      </c>
      <c r="AI102" s="14">
        <f>IF(基础状态预期!Y115="","",L$9+(基础状态预期!Y115-1)*L$12)</f>
        <v>4315.4571180381554</v>
      </c>
      <c r="AJ102" s="14">
        <f>SUMPRODUCT(AE102:AI102,基础状态预期!$F115:$J115)/SUM(基础状态预期!$F115:$J115)</f>
        <v>4315.4571180381554</v>
      </c>
      <c r="AK102" s="14" t="str">
        <f>IF(基础状态预期!U115="","",H$27+(基础状态预期!U115-1)*H$28)</f>
        <v/>
      </c>
      <c r="AL102" s="14" t="str">
        <f>IF(基础状态预期!V115="","",I$27+(基础状态预期!V115-1)*I$28)</f>
        <v/>
      </c>
      <c r="AM102" s="14" t="str">
        <f>IF(基础状态预期!W115="","",J$27+(基础状态预期!W115-1)*J$28)</f>
        <v/>
      </c>
      <c r="AN102" s="14">
        <f>IF(基础状态预期!X115="","",K$27+(基础状态预期!X115-1)*K$28)</f>
        <v>2171.8190393460518</v>
      </c>
      <c r="AO102" s="14">
        <f>IF(基础状态预期!Y115="","",L$27+(基础状态预期!Y115-1)*L$28)</f>
        <v>2171.8190393460518</v>
      </c>
      <c r="AP102" s="14">
        <f>SUMPRODUCT(AK102:AO102,基础状态预期!$F115:$J115)/SUM(基础状态预期!$F115:$J115)</f>
        <v>2171.8190393460518</v>
      </c>
      <c r="AQ102" s="14" t="str">
        <f>IF(基础状态预期!U115="","",H$31+(基础状态预期!U115-1)*H$32)</f>
        <v/>
      </c>
      <c r="AR102" s="14" t="str">
        <f>IF(基础状态预期!V115="","",I$31+(基础状态预期!V115-1)*I$32)</f>
        <v/>
      </c>
      <c r="AS102" s="14" t="str">
        <f>IF(基础状态预期!W115="","",J$31+(基础状态预期!W115-1)*J$32)</f>
        <v/>
      </c>
      <c r="AT102" s="14">
        <f>IF(基础状态预期!X115="","",K$31+(基础状态预期!X115-1)*K$32)</f>
        <v>134.18190393460515</v>
      </c>
      <c r="AU102" s="14">
        <f>IF(基础状态预期!Y115="","",L$31+(基础状态预期!Y115-1)*L$32)</f>
        <v>137.18190393460515</v>
      </c>
      <c r="AV102" s="14">
        <f>SUMPRODUCT(AQ102:AU102,基础状态预期!$F115:$J115)/SUM(基础状态预期!$F115:$J115)</f>
        <v>135.18190393460515</v>
      </c>
      <c r="BA102" s="29">
        <v>90</v>
      </c>
      <c r="BB102" s="29">
        <f t="shared" si="54"/>
        <v>6170</v>
      </c>
      <c r="BC102" s="29">
        <f t="shared" si="55"/>
        <v>6170</v>
      </c>
      <c r="BD102" s="29">
        <f t="shared" si="56"/>
        <v>2790</v>
      </c>
      <c r="BE102" s="29">
        <f>(BB102-BB101)*INDEX([2]中r将兵属性验证!W$7:W$166,$BA102,1)+BE101</f>
        <v>5942683419.0488129</v>
      </c>
      <c r="BF102" s="29">
        <f>(BC102-BC101)*INDEX([2]中r将兵属性验证!X$7:X$166,$BA102,1)+BF101</f>
        <v>5942683419.0488129</v>
      </c>
      <c r="BG102" s="29">
        <f>(BD102-BD101)*INDEX([2]中r将兵属性验证!$AM$7:$AM$166,$BA102,1)+BG101</f>
        <v>11286751.733011058</v>
      </c>
      <c r="BH102" s="10">
        <f t="shared" si="62"/>
        <v>11896653589.830637</v>
      </c>
      <c r="BO102" s="29">
        <f t="shared" si="60"/>
        <v>59.09095196730258</v>
      </c>
      <c r="BP102" s="10">
        <f t="shared" si="61"/>
        <v>430606996.88684016</v>
      </c>
      <c r="BQ102" s="10" t="e">
        <f>$BP102*求节点('[1]功能-付费相关'!$AY$6:$AY$105,'[1]功能-付费相关'!$BB$6:$BB$105,$BO102)+$BQ101</f>
        <v>#VALUE!</v>
      </c>
      <c r="BS102" s="29">
        <v>90</v>
      </c>
      <c r="BT102" s="29" t="e">
        <f t="shared" si="58"/>
        <v>#VALUE!</v>
      </c>
      <c r="BU102" s="29"/>
      <c r="BZ102" s="4">
        <f t="shared" si="50"/>
        <v>79275</v>
      </c>
      <c r="CA102" s="4">
        <v>99</v>
      </c>
      <c r="CB102" s="90">
        <f t="shared" si="51"/>
        <v>1229630</v>
      </c>
      <c r="CC102" s="4">
        <f>SUM(CB$4:CB102)</f>
        <v>20122445</v>
      </c>
      <c r="CD102" s="4">
        <f t="shared" si="49"/>
        <v>1.0314098407711056</v>
      </c>
    </row>
    <row r="103" spans="1:82" x14ac:dyDescent="0.15">
      <c r="A103" s="122">
        <f t="shared" si="63"/>
        <v>823260800</v>
      </c>
      <c r="B103" s="14">
        <v>198</v>
      </c>
      <c r="C103" s="14">
        <f t="shared" si="52"/>
        <v>5916972800</v>
      </c>
      <c r="D103" s="14">
        <f>SUM(C$5:$C103)</f>
        <v>40854558500</v>
      </c>
      <c r="E103" s="89">
        <f>'[1]资源-武将经验'!$Z104</f>
        <v>1.3702925236530803</v>
      </c>
      <c r="P103" s="5">
        <v>13</v>
      </c>
      <c r="Q103" s="14">
        <f>基础状态预期!D116</f>
        <v>64.819145630244321</v>
      </c>
      <c r="R103" s="14">
        <f>IF(基础状态预期!U116="",0,求节点($B$5:$B$154,$D$5:$D$154,基础状态预期!U116)*基础状态预期!F116)</f>
        <v>0</v>
      </c>
      <c r="S103" s="14">
        <f>IF(基础状态预期!V116="",0,求节点($B$5:$B$154,$D$5:$D$154,基础状态预期!V116)*基础状态预期!G116)</f>
        <v>0</v>
      </c>
      <c r="T103" s="14">
        <f>IF(基础状态预期!W116="",0,求节点($B$5:$B$154,$D$5:$D$154,基础状态预期!W116)*基础状态预期!H116)</f>
        <v>0</v>
      </c>
      <c r="U103" s="14">
        <f>IF(基础状态预期!X116="",0,求节点($B$5:$B$154,$D$5:$D$154,基础状态预期!X116)*基础状态预期!I116)</f>
        <v>509444989.80269754</v>
      </c>
      <c r="V103" s="14">
        <f>IF(基础状态预期!Y116="",0,求节点($B$5:$B$154,$D$5:$D$154,基础状态预期!Y116)*基础状态预期!J116)</f>
        <v>509444989.80269754</v>
      </c>
      <c r="W103" s="14">
        <f t="shared" si="59"/>
        <v>1018889979.6053951</v>
      </c>
      <c r="Y103" s="14" t="str">
        <f>IF(基础状态预期!U116="","",H$8+(基础状态预期!U116-1)*H$11)</f>
        <v/>
      </c>
      <c r="Z103" s="14" t="str">
        <f>IF(基础状态预期!V116="","",I$8+(基础状态预期!V116-1)*I$11)</f>
        <v/>
      </c>
      <c r="AA103" s="14" t="str">
        <f>IF(基础状态预期!W116="","",J$8+(基础状态预期!W116-1)*J$11)</f>
        <v/>
      </c>
      <c r="AB103" s="14">
        <f>IF(基础状态预期!X116="","",K$8+(基础状态预期!X116-1)*K$11)</f>
        <v>4659.1487378146594</v>
      </c>
      <c r="AC103" s="14">
        <f>IF(基础状态预期!Y116="","",L$8+(基础状态预期!Y116-1)*L$11)</f>
        <v>4659.1487378146594</v>
      </c>
      <c r="AD103" s="14">
        <f>SUMPRODUCT(Y103:AC103,基础状态预期!$F116:$J116)/SUM(基础状态预期!$F116:$J116)</f>
        <v>4659.1487378146594</v>
      </c>
      <c r="AE103" s="14" t="str">
        <f>IF(基础状态预期!U116="","",H$9+(基础状态预期!U116-1)*H$12)</f>
        <v/>
      </c>
      <c r="AF103" s="14" t="str">
        <f>IF(基础状态预期!V116="","",I$9+(基础状态预期!V116-1)*I$12)</f>
        <v/>
      </c>
      <c r="AG103" s="14" t="str">
        <f>IF(基础状态预期!W116="","",J$9+(基础状态预期!W116-1)*J$12)</f>
        <v/>
      </c>
      <c r="AH103" s="14">
        <f>IF(基础状态预期!X116="","",K$9+(基础状态预期!X116-1)*K$12)</f>
        <v>4659.1487378146594</v>
      </c>
      <c r="AI103" s="14">
        <f>IF(基础状态预期!Y116="","",L$9+(基础状态预期!Y116-1)*L$12)</f>
        <v>4659.1487378146594</v>
      </c>
      <c r="AJ103" s="14">
        <f>SUMPRODUCT(AE103:AI103,基础状态预期!$F116:$J116)/SUM(基础状态预期!$F116:$J116)</f>
        <v>4659.1487378146594</v>
      </c>
      <c r="AK103" s="14" t="str">
        <f>IF(基础状态预期!U116="","",H$27+(基础状态预期!U116-1)*H$28)</f>
        <v/>
      </c>
      <c r="AL103" s="14" t="str">
        <f>IF(基础状态预期!V116="","",I$27+(基础状态预期!V116-1)*I$28)</f>
        <v/>
      </c>
      <c r="AM103" s="14" t="str">
        <f>IF(基础状态预期!W116="","",J$27+(基础状态预期!W116-1)*J$28)</f>
        <v/>
      </c>
      <c r="AN103" s="14">
        <f>IF(基础状态预期!X116="","",K$27+(基础状态预期!X116-1)*K$28)</f>
        <v>2286.3829126048863</v>
      </c>
      <c r="AO103" s="14">
        <f>IF(基础状态预期!Y116="","",L$27+(基础状态预期!Y116-1)*L$28)</f>
        <v>2286.3829126048863</v>
      </c>
      <c r="AP103" s="14">
        <f>SUMPRODUCT(AK103:AO103,基础状态预期!$F116:$J116)/SUM(基础状态预期!$F116:$J116)</f>
        <v>2286.3829126048863</v>
      </c>
      <c r="AQ103" s="14" t="str">
        <f>IF(基础状态预期!U116="","",H$31+(基础状态预期!U116-1)*H$32)</f>
        <v/>
      </c>
      <c r="AR103" s="14" t="str">
        <f>IF(基础状态预期!V116="","",I$31+(基础状态预期!V116-1)*I$32)</f>
        <v/>
      </c>
      <c r="AS103" s="14" t="str">
        <f>IF(基础状态预期!W116="","",J$31+(基础状态预期!W116-1)*J$32)</f>
        <v/>
      </c>
      <c r="AT103" s="14">
        <f>IF(基础状态预期!X116="","",K$31+(基础状态预期!X116-1)*K$32)</f>
        <v>145.63829126048864</v>
      </c>
      <c r="AU103" s="14">
        <f>IF(基础状态预期!Y116="","",L$31+(基础状态预期!Y116-1)*L$32)</f>
        <v>148.63829126048864</v>
      </c>
      <c r="AV103" s="14">
        <f>SUMPRODUCT(AQ103:AU103,基础状态预期!$F116:$J116)/SUM(基础状态预期!$F116:$J116)</f>
        <v>147.13829126048864</v>
      </c>
      <c r="BA103" s="29">
        <v>100</v>
      </c>
      <c r="BB103" s="29">
        <f t="shared" si="54"/>
        <v>6770</v>
      </c>
      <c r="BC103" s="29">
        <f t="shared" si="55"/>
        <v>6770</v>
      </c>
      <c r="BD103" s="29">
        <f t="shared" si="56"/>
        <v>2990</v>
      </c>
      <c r="BE103" s="29">
        <f>(BB103-BB102)*INDEX([2]中r将兵属性验证!W$7:W$166,$BA103,1)+BE102</f>
        <v>11618340692.816986</v>
      </c>
      <c r="BF103" s="29">
        <f>(BC103-BC102)*INDEX([2]中r将兵属性验证!X$7:X$166,$BA103,1)+BF102</f>
        <v>11618340692.816986</v>
      </c>
      <c r="BG103" s="29">
        <f>(BD103-BD102)*INDEX([2]中r将兵属性验证!$AM$7:$AM$166,$BA103,1)+BG102</f>
        <v>12958752.574993107</v>
      </c>
      <c r="BH103" s="10">
        <f t="shared" si="62"/>
        <v>23249640138.208965</v>
      </c>
      <c r="BO103" s="29">
        <f t="shared" si="60"/>
        <v>64.819145630244321</v>
      </c>
      <c r="BP103" s="10">
        <f t="shared" si="61"/>
        <v>1018889979.6053951</v>
      </c>
      <c r="BQ103" s="10" t="e">
        <f>$BP103*求节点('[1]功能-付费相关'!$AY$6:$AY$105,'[1]功能-付费相关'!$BB$6:$BB$105,$BO103)+$BQ102</f>
        <v>#VALUE!</v>
      </c>
      <c r="BS103" s="29">
        <v>100</v>
      </c>
      <c r="BT103" s="29" t="e">
        <f t="shared" si="58"/>
        <v>#VALUE!</v>
      </c>
      <c r="BU103" s="29"/>
      <c r="BZ103" s="4">
        <f t="shared" si="50"/>
        <v>93375</v>
      </c>
      <c r="CA103" s="4">
        <v>100</v>
      </c>
      <c r="CB103" s="90">
        <f t="shared" si="51"/>
        <v>1323005</v>
      </c>
      <c r="CC103" s="4">
        <f>SUM(CB$4:CB103)</f>
        <v>21445450</v>
      </c>
      <c r="CD103" s="4">
        <f t="shared" si="49"/>
        <v>1.0340488830384824</v>
      </c>
    </row>
    <row r="104" spans="1:82" x14ac:dyDescent="0.15">
      <c r="A104" s="122">
        <f t="shared" si="63"/>
        <v>946749900</v>
      </c>
      <c r="B104" s="14">
        <v>200</v>
      </c>
      <c r="C104" s="14">
        <f t="shared" si="52"/>
        <v>6863722700</v>
      </c>
      <c r="D104" s="14">
        <f>SUM(C$5:$C104)</f>
        <v>47718281200</v>
      </c>
      <c r="E104" s="89">
        <f>'[1]资源-武将经验'!$Z105</f>
        <v>1.3905008386659512</v>
      </c>
      <c r="P104" s="5">
        <v>14</v>
      </c>
      <c r="Q104" s="14">
        <f>基础状态预期!D117</f>
        <v>69.01697485309198</v>
      </c>
      <c r="R104" s="14">
        <f>IF(基础状态预期!U117="",0,求节点($B$5:$B$154,$D$5:$D$154,基础状态预期!U117)*基础状态预期!F117)</f>
        <v>0</v>
      </c>
      <c r="S104" s="14">
        <f>IF(基础状态预期!V117="",0,求节点($B$5:$B$154,$D$5:$D$154,基础状态预期!V117)*基础状态预期!G117)</f>
        <v>0</v>
      </c>
      <c r="T104" s="14">
        <f>IF(基础状态预期!W117="",0,求节点($B$5:$B$154,$D$5:$D$154,基础状态预期!W117)*基础状态预期!H117)</f>
        <v>0</v>
      </c>
      <c r="U104" s="14">
        <f>IF(基础状态预期!X117="",0,求节点($B$5:$B$154,$D$5:$D$154,基础状态预期!X117)*基础状态预期!I117)</f>
        <v>653312526.85967934</v>
      </c>
      <c r="V104" s="14">
        <f>IF(基础状态预期!Y117="",0,求节点($B$5:$B$154,$D$5:$D$154,基础状态预期!Y117)*基础状态预期!J117)</f>
        <v>1306625053.7193587</v>
      </c>
      <c r="W104" s="14">
        <f t="shared" si="59"/>
        <v>1959937580.5790381</v>
      </c>
      <c r="Y104" s="14" t="str">
        <f>IF(基础状态预期!U117="","",H$8+(基础状态预期!U117-1)*H$11)</f>
        <v/>
      </c>
      <c r="Z104" s="14" t="str">
        <f>IF(基础状态预期!V117="","",I$8+(基础状态预期!V117-1)*I$11)</f>
        <v/>
      </c>
      <c r="AA104" s="14" t="str">
        <f>IF(基础状态预期!W117="","",J$8+(基础状态预期!W117-1)*J$11)</f>
        <v/>
      </c>
      <c r="AB104" s="14">
        <f>IF(基础状态预期!X117="","",K$8+(基础状态预期!X117-1)*K$11)</f>
        <v>4911.0184911855185</v>
      </c>
      <c r="AC104" s="14">
        <f>IF(基础状态预期!Y117="","",L$8+(基础状态预期!Y117-1)*L$11)</f>
        <v>4911.0184911855185</v>
      </c>
      <c r="AD104" s="14">
        <f>SUMPRODUCT(Y104:AC104,基础状态预期!$F117:$J117)/SUM(基础状态预期!$F117:$J117)</f>
        <v>4911.0184911855185</v>
      </c>
      <c r="AE104" s="14" t="str">
        <f>IF(基础状态预期!U117="","",H$9+(基础状态预期!U117-1)*H$12)</f>
        <v/>
      </c>
      <c r="AF104" s="14" t="str">
        <f>IF(基础状态预期!V117="","",I$9+(基础状态预期!V117-1)*I$12)</f>
        <v/>
      </c>
      <c r="AG104" s="14" t="str">
        <f>IF(基础状态预期!W117="","",J$9+(基础状态预期!W117-1)*J$12)</f>
        <v/>
      </c>
      <c r="AH104" s="14">
        <f>IF(基础状态预期!X117="","",K$9+(基础状态预期!X117-1)*K$12)</f>
        <v>4911.0184911855185</v>
      </c>
      <c r="AI104" s="14">
        <f>IF(基础状态预期!Y117="","",L$9+(基础状态预期!Y117-1)*L$12)</f>
        <v>4911.0184911855185</v>
      </c>
      <c r="AJ104" s="14">
        <f>SUMPRODUCT(AE104:AI104,基础状态预期!$F117:$J117)/SUM(基础状态预期!$F117:$J117)</f>
        <v>4911.0184911855185</v>
      </c>
      <c r="AK104" s="14" t="str">
        <f>IF(基础状态预期!U117="","",H$27+(基础状态预期!U117-1)*H$28)</f>
        <v/>
      </c>
      <c r="AL104" s="14" t="str">
        <f>IF(基础状态预期!V117="","",I$27+(基础状态预期!V117-1)*I$28)</f>
        <v/>
      </c>
      <c r="AM104" s="14" t="str">
        <f>IF(基础状态预期!W117="","",J$27+(基础状态预期!W117-1)*J$28)</f>
        <v/>
      </c>
      <c r="AN104" s="14">
        <f>IF(基础状态预期!X117="","",K$27+(基础状态预期!X117-1)*K$28)</f>
        <v>2370.3394970618397</v>
      </c>
      <c r="AO104" s="14">
        <f>IF(基础状态预期!Y117="","",L$27+(基础状态预期!Y117-1)*L$28)</f>
        <v>2370.3394970618397</v>
      </c>
      <c r="AP104" s="14">
        <f>SUMPRODUCT(AK104:AO104,基础状态预期!$F117:$J117)/SUM(基础状态预期!$F117:$J117)</f>
        <v>2370.3394970618397</v>
      </c>
      <c r="AQ104" s="14" t="str">
        <f>IF(基础状态预期!U117="","",H$31+(基础状态预期!U117-1)*H$32)</f>
        <v/>
      </c>
      <c r="AR104" s="14" t="str">
        <f>IF(基础状态预期!V117="","",I$31+(基础状态预期!V117-1)*I$32)</f>
        <v/>
      </c>
      <c r="AS104" s="14" t="str">
        <f>IF(基础状态预期!W117="","",J$31+(基础状态预期!W117-1)*J$32)</f>
        <v/>
      </c>
      <c r="AT104" s="14">
        <f>IF(基础状态预期!X117="","",K$31+(基础状态预期!X117-1)*K$32)</f>
        <v>154.03394970618396</v>
      </c>
      <c r="AU104" s="14">
        <f>IF(基础状态预期!Y117="","",L$31+(基础状态预期!Y117-1)*L$32)</f>
        <v>157.03394970618396</v>
      </c>
      <c r="AV104" s="14">
        <f>SUMPRODUCT(AQ104:AU104,基础状态预期!$F117:$J117)/SUM(基础状态预期!$F117:$J117)</f>
        <v>156.03394970618396</v>
      </c>
      <c r="BA104" s="29">
        <v>110</v>
      </c>
      <c r="BB104" s="29">
        <f t="shared" si="54"/>
        <v>7370</v>
      </c>
      <c r="BC104" s="29">
        <f t="shared" si="55"/>
        <v>7370</v>
      </c>
      <c r="BD104" s="29">
        <f t="shared" si="56"/>
        <v>3190.0000000000005</v>
      </c>
      <c r="BE104" s="29">
        <f>(BB104-BB103)*INDEX([2]中r将兵属性验证!W$7:W$166,$BA104,1)+BE103</f>
        <v>18661659671.49482</v>
      </c>
      <c r="BF104" s="29">
        <f>(BC104-BC103)*INDEX([2]中r将兵属性验证!X$7:X$166,$BA104,1)+BF103</f>
        <v>18661659671.49482</v>
      </c>
      <c r="BG104" s="29">
        <f>(BD104-BD103)*INDEX([2]中r将兵属性验证!$AM$7:$AM$166,$BA104,1)+BG103</f>
        <v>14763547.431607507</v>
      </c>
      <c r="BH104" s="10">
        <f t="shared" si="62"/>
        <v>37338082890.421249</v>
      </c>
      <c r="BO104" s="29">
        <f t="shared" si="60"/>
        <v>69.01697485309198</v>
      </c>
      <c r="BP104" s="10">
        <f t="shared" si="61"/>
        <v>1959937580.5790381</v>
      </c>
      <c r="BQ104" s="10" t="e">
        <f>$BP104*求节点('[1]功能-付费相关'!$AY$6:$AY$105,'[1]功能-付费相关'!$BB$6:$BB$105,$BO104)+$BQ103</f>
        <v>#VALUE!</v>
      </c>
      <c r="BS104" s="29">
        <v>110</v>
      </c>
      <c r="BT104" s="29" t="e">
        <f t="shared" ref="BT104:BT109" si="64">求节点($BO$94:$BO$132,BQ$94:BQ$132,$BS104)</f>
        <v>#VALUE!</v>
      </c>
      <c r="BU104" s="29"/>
      <c r="BZ104" s="4">
        <f t="shared" si="50"/>
        <v>93375</v>
      </c>
      <c r="CA104" s="4">
        <v>101</v>
      </c>
      <c r="CB104" s="90">
        <f t="shared" si="51"/>
        <v>1416380</v>
      </c>
      <c r="CC104" s="4">
        <f>SUM(CB$4:CB104)</f>
        <v>22861830</v>
      </c>
      <c r="CD104" s="4">
        <f t="shared" si="49"/>
        <v>1.0318712566066519</v>
      </c>
    </row>
    <row r="105" spans="1:82" x14ac:dyDescent="0.15">
      <c r="A105" s="122">
        <f t="shared" si="63"/>
        <v>1088762300</v>
      </c>
      <c r="B105" s="14">
        <v>202</v>
      </c>
      <c r="C105" s="14">
        <f t="shared" si="52"/>
        <v>7952485000</v>
      </c>
      <c r="D105" s="14">
        <f>SUM(C$5:$C105)</f>
        <v>55670766200</v>
      </c>
      <c r="E105" s="89">
        <f>'[1]资源-武将经验'!$Z106</f>
        <v>1.381213977215799</v>
      </c>
      <c r="P105" s="5">
        <v>15</v>
      </c>
      <c r="Q105" s="14">
        <f>基础状态预期!D118</f>
        <v>72.23150684883845</v>
      </c>
      <c r="R105" s="14">
        <f>IF(基础状态预期!U118="",0,求节点($B$5:$B$154,$D$5:$D$154,基础状态预期!U118)*基础状态预期!F118)</f>
        <v>0</v>
      </c>
      <c r="S105" s="14">
        <f>IF(基础状态预期!V118="",0,求节点($B$5:$B$154,$D$5:$D$154,基础状态预期!V118)*基础状态预期!G118)</f>
        <v>0</v>
      </c>
      <c r="T105" s="14">
        <f>IF(基础状态预期!W118="",0,求节点($B$5:$B$154,$D$5:$D$154,基础状态预期!W118)*基础状态预期!H118)</f>
        <v>0</v>
      </c>
      <c r="U105" s="14">
        <f>IF(基础状态预期!X118="",0,求节点($B$5:$B$154,$D$5:$D$154,基础状态预期!X118)*基础状态预期!I118)</f>
        <v>545869130.09355485</v>
      </c>
      <c r="V105" s="14">
        <f>IF(基础状态预期!Y118="",0,求节点($B$5:$B$154,$D$5:$D$154,基础状态预期!Y118)*基础状态预期!J118)</f>
        <v>2729345650.4677744</v>
      </c>
      <c r="W105" s="14">
        <f t="shared" si="59"/>
        <v>3275214780.5613294</v>
      </c>
      <c r="Y105" s="14" t="str">
        <f>IF(基础状态预期!U118="","",H$8+(基础状态预期!U118-1)*H$11)</f>
        <v/>
      </c>
      <c r="Z105" s="14" t="str">
        <f>IF(基础状态预期!V118="","",I$8+(基础状态预期!V118-1)*I$11)</f>
        <v/>
      </c>
      <c r="AA105" s="14" t="str">
        <f>IF(基础状态预期!W118="","",J$8+(基础状态预期!W118-1)*J$11)</f>
        <v/>
      </c>
      <c r="AB105" s="14">
        <f>IF(基础状态预期!X118="","",K$8+(基础状态预期!X118-1)*K$11)</f>
        <v>5103.8904109303066</v>
      </c>
      <c r="AC105" s="14">
        <f>IF(基础状态预期!Y118="","",L$8+(基础状态预期!Y118-1)*L$11)</f>
        <v>5103.8904109303066</v>
      </c>
      <c r="AD105" s="14">
        <f>SUMPRODUCT(Y105:AC105,基础状态预期!$F118:$J118)/SUM(基础状态预期!$F118:$J118)</f>
        <v>5103.8904109303066</v>
      </c>
      <c r="AE105" s="14" t="str">
        <f>IF(基础状态预期!U118="","",H$9+(基础状态预期!U118-1)*H$12)</f>
        <v/>
      </c>
      <c r="AF105" s="14" t="str">
        <f>IF(基础状态预期!V118="","",I$9+(基础状态预期!V118-1)*I$12)</f>
        <v/>
      </c>
      <c r="AG105" s="14" t="str">
        <f>IF(基础状态预期!W118="","",J$9+(基础状态预期!W118-1)*J$12)</f>
        <v/>
      </c>
      <c r="AH105" s="14">
        <f>IF(基础状态预期!X118="","",K$9+(基础状态预期!X118-1)*K$12)</f>
        <v>5103.8904109303066</v>
      </c>
      <c r="AI105" s="14">
        <f>IF(基础状态预期!Y118="","",L$9+(基础状态预期!Y118-1)*L$12)</f>
        <v>5103.8904109303066</v>
      </c>
      <c r="AJ105" s="14">
        <f>SUMPRODUCT(AE105:AI105,基础状态预期!$F118:$J118)/SUM(基础状态预期!$F118:$J118)</f>
        <v>5103.8904109303066</v>
      </c>
      <c r="AK105" s="14" t="str">
        <f>IF(基础状态预期!U118="","",H$27+(基础状态预期!U118-1)*H$28)</f>
        <v/>
      </c>
      <c r="AL105" s="14" t="str">
        <f>IF(基础状态预期!V118="","",I$27+(基础状态预期!V118-1)*I$28)</f>
        <v/>
      </c>
      <c r="AM105" s="14" t="str">
        <f>IF(基础状态预期!W118="","",J$27+(基础状态预期!W118-1)*J$28)</f>
        <v/>
      </c>
      <c r="AN105" s="14">
        <f>IF(基础状态预期!X118="","",K$27+(基础状态预期!X118-1)*K$28)</f>
        <v>2434.6301369767689</v>
      </c>
      <c r="AO105" s="14">
        <f>IF(基础状态预期!Y118="","",L$27+(基础状态预期!Y118-1)*L$28)</f>
        <v>2434.6301369767689</v>
      </c>
      <c r="AP105" s="14">
        <f>SUMPRODUCT(AK105:AO105,基础状态预期!$F118:$J118)/SUM(基础状态预期!$F118:$J118)</f>
        <v>2434.6301369767684</v>
      </c>
      <c r="AQ105" s="14" t="str">
        <f>IF(基础状态预期!U118="","",H$31+(基础状态预期!U118-1)*H$32)</f>
        <v/>
      </c>
      <c r="AR105" s="14" t="str">
        <f>IF(基础状态预期!V118="","",I$31+(基础状态预期!V118-1)*I$32)</f>
        <v/>
      </c>
      <c r="AS105" s="14" t="str">
        <f>IF(基础状态预期!W118="","",J$31+(基础状态预期!W118-1)*J$32)</f>
        <v/>
      </c>
      <c r="AT105" s="14">
        <f>IF(基础状态预期!X118="","",K$31+(基础状态预期!X118-1)*K$32)</f>
        <v>160.4630136976769</v>
      </c>
      <c r="AU105" s="14">
        <f>IF(基础状态预期!Y118="","",L$31+(基础状态预期!Y118-1)*L$32)</f>
        <v>163.4630136976769</v>
      </c>
      <c r="AV105" s="14">
        <f>SUMPRODUCT(AQ105:AU105,基础状态预期!$F118:$J118)/SUM(基础状态预期!$F118:$J118)</f>
        <v>162.96301369767687</v>
      </c>
      <c r="BA105" s="29">
        <v>120</v>
      </c>
      <c r="BB105" s="29">
        <f t="shared" si="54"/>
        <v>7970</v>
      </c>
      <c r="BC105" s="29">
        <f t="shared" si="55"/>
        <v>7970</v>
      </c>
      <c r="BD105" s="29">
        <f t="shared" si="56"/>
        <v>3390</v>
      </c>
      <c r="BE105" s="29">
        <f>(BB105-BB104)*INDEX([2]中r将兵属性验证!W$7:W$166,$BA105,1)+BE104</f>
        <v>27566384386.353989</v>
      </c>
      <c r="BF105" s="29">
        <f>(BC105-BC104)*INDEX([2]中r将兵属性验证!X$7:X$166,$BA105,1)+BF104</f>
        <v>27566384386.353989</v>
      </c>
      <c r="BG105" s="29">
        <f>(BD105-BD104)*INDEX([2]中r将兵属性验证!$AM$7:$AM$166,$BA105,1)+BG104</f>
        <v>16703039.409710826</v>
      </c>
      <c r="BH105" s="10">
        <f t="shared" si="62"/>
        <v>55149471812.117691</v>
      </c>
      <c r="BO105" s="29">
        <f t="shared" si="60"/>
        <v>72.23150684883845</v>
      </c>
      <c r="BP105" s="10">
        <f t="shared" si="61"/>
        <v>3275214780.5613294</v>
      </c>
      <c r="BQ105" s="10" t="e">
        <f>$BP105*求节点('[1]功能-付费相关'!$AY$6:$AY$105,'[1]功能-付费相关'!$BB$6:$BB$105,$BO105)+$BQ104</f>
        <v>#VALUE!</v>
      </c>
      <c r="BS105" s="29">
        <v>120</v>
      </c>
      <c r="BT105" s="29" t="e">
        <f t="shared" si="64"/>
        <v>#VALUE!</v>
      </c>
      <c r="BU105" s="29"/>
      <c r="BZ105" s="4">
        <f t="shared" si="50"/>
        <v>109975</v>
      </c>
      <c r="CA105" s="4">
        <v>102</v>
      </c>
      <c r="CB105" s="90">
        <f t="shared" si="51"/>
        <v>1526355</v>
      </c>
      <c r="CC105" s="4">
        <f>SUM(CB$4:CB105)</f>
        <v>24388185</v>
      </c>
      <c r="CD105" s="4">
        <f t="shared" si="49"/>
        <v>1.0346208017104968</v>
      </c>
    </row>
    <row r="106" spans="1:82" x14ac:dyDescent="0.15">
      <c r="A106" s="122">
        <f t="shared" si="63"/>
        <v>1252076600</v>
      </c>
      <c r="B106" s="14">
        <v>204</v>
      </c>
      <c r="C106" s="14">
        <f t="shared" si="52"/>
        <v>9204561600</v>
      </c>
      <c r="D106" s="14">
        <f>SUM(C$5:$C106)</f>
        <v>64875327800</v>
      </c>
      <c r="E106" s="89">
        <f>'[1]资源-武将经验'!$Z107</f>
        <v>1.3576426652902944</v>
      </c>
      <c r="P106" s="5">
        <v>16</v>
      </c>
      <c r="Q106" s="14">
        <f>基础状态预期!D119</f>
        <v>74.840792411391348</v>
      </c>
      <c r="R106" s="14">
        <f>IF(基础状态预期!U119="",0,求节点($B$5:$B$154,$D$5:$D$154,基础状态预期!U119)*基础状态预期!F119)</f>
        <v>0</v>
      </c>
      <c r="S106" s="14">
        <f>IF(基础状态预期!V119="",0,求节点($B$5:$B$154,$D$5:$D$154,基础状态预期!V119)*基础状态预期!G119)</f>
        <v>0</v>
      </c>
      <c r="T106" s="14">
        <f>IF(基础状态预期!W119="",0,求节点($B$5:$B$154,$D$5:$D$154,基础状态预期!W119)*基础状态预期!H119)</f>
        <v>0</v>
      </c>
      <c r="U106" s="14">
        <f>IF(基础状态预期!X119="",0,求节点($B$5:$B$154,$D$5:$D$154,基础状态预期!X119)*基础状态预期!I119)</f>
        <v>414687648.22635317</v>
      </c>
      <c r="V106" s="14">
        <f>IF(基础状态预期!Y119="",0,求节点($B$5:$B$154,$D$5:$D$154,基础状态预期!Y119)*基础状态预期!J119)</f>
        <v>4561564130.4898853</v>
      </c>
      <c r="W106" s="14">
        <f t="shared" si="59"/>
        <v>4976251778.716238</v>
      </c>
      <c r="Y106" s="14" t="str">
        <f>IF(基础状态预期!U119="","",H$8+(基础状态预期!U119-1)*H$11)</f>
        <v/>
      </c>
      <c r="Z106" s="14" t="str">
        <f>IF(基础状态预期!V119="","",I$8+(基础状态预期!V119-1)*I$11)</f>
        <v/>
      </c>
      <c r="AA106" s="14" t="str">
        <f>IF(基础状态预期!W119="","",J$8+(基础状态预期!W119-1)*J$11)</f>
        <v/>
      </c>
      <c r="AB106" s="14">
        <f>IF(基础状态预期!X119="","",K$8+(基础状态预期!X119-1)*K$11)</f>
        <v>5260.4475446834813</v>
      </c>
      <c r="AC106" s="14">
        <f>IF(基础状态预期!Y119="","",L$8+(基础状态预期!Y119-1)*L$11)</f>
        <v>5260.4475446834813</v>
      </c>
      <c r="AD106" s="14">
        <f>SUMPRODUCT(Y106:AC106,基础状态预期!$F119:$J119)/SUM(基础状态预期!$F119:$J119)</f>
        <v>5260.4475446834813</v>
      </c>
      <c r="AE106" s="14" t="str">
        <f>IF(基础状态预期!U119="","",H$9+(基础状态预期!U119-1)*H$12)</f>
        <v/>
      </c>
      <c r="AF106" s="14" t="str">
        <f>IF(基础状态预期!V119="","",I$9+(基础状态预期!V119-1)*I$12)</f>
        <v/>
      </c>
      <c r="AG106" s="14" t="str">
        <f>IF(基础状态预期!W119="","",J$9+(基础状态预期!W119-1)*J$12)</f>
        <v/>
      </c>
      <c r="AH106" s="14">
        <f>IF(基础状态预期!X119="","",K$9+(基础状态预期!X119-1)*K$12)</f>
        <v>5260.4475446834813</v>
      </c>
      <c r="AI106" s="14">
        <f>IF(基础状态预期!Y119="","",L$9+(基础状态预期!Y119-1)*L$12)</f>
        <v>5260.4475446834813</v>
      </c>
      <c r="AJ106" s="14">
        <f>SUMPRODUCT(AE106:AI106,基础状态预期!$F119:$J119)/SUM(基础状态预期!$F119:$J119)</f>
        <v>5260.4475446834813</v>
      </c>
      <c r="AK106" s="14" t="str">
        <f>IF(基础状态预期!U119="","",H$27+(基础状态预期!U119-1)*H$28)</f>
        <v/>
      </c>
      <c r="AL106" s="14" t="str">
        <f>IF(基础状态预期!V119="","",I$27+(基础状态预期!V119-1)*I$28)</f>
        <v/>
      </c>
      <c r="AM106" s="14" t="str">
        <f>IF(基础状态预期!W119="","",J$27+(基础状态预期!W119-1)*J$28)</f>
        <v/>
      </c>
      <c r="AN106" s="14">
        <f>IF(基础状态预期!X119="","",K$27+(基础状态预期!X119-1)*K$28)</f>
        <v>2486.8158482278268</v>
      </c>
      <c r="AO106" s="14">
        <f>IF(基础状态预期!Y119="","",L$27+(基础状态预期!Y119-1)*L$28)</f>
        <v>2486.8158482278268</v>
      </c>
      <c r="AP106" s="14">
        <f>SUMPRODUCT(AK106:AO106,基础状态预期!$F119:$J119)/SUM(基础状态预期!$F119:$J119)</f>
        <v>2486.8158482278268</v>
      </c>
      <c r="AQ106" s="14" t="str">
        <f>IF(基础状态预期!U119="","",H$31+(基础状态预期!U119-1)*H$32)</f>
        <v/>
      </c>
      <c r="AR106" s="14" t="str">
        <f>IF(基础状态预期!V119="","",I$31+(基础状态预期!V119-1)*I$32)</f>
        <v/>
      </c>
      <c r="AS106" s="14" t="str">
        <f>IF(基础状态预期!W119="","",J$31+(基础状态预期!W119-1)*J$32)</f>
        <v/>
      </c>
      <c r="AT106" s="14">
        <f>IF(基础状态预期!X119="","",K$31+(基础状态预期!X119-1)*K$32)</f>
        <v>165.6815848227827</v>
      </c>
      <c r="AU106" s="14">
        <f>IF(基础状态预期!Y119="","",L$31+(基础状态预期!Y119-1)*L$32)</f>
        <v>168.6815848227827</v>
      </c>
      <c r="AV106" s="14">
        <f>SUMPRODUCT(AQ106:AU106,基础状态预期!$F119:$J119)/SUM(基础状态预期!$F119:$J119)</f>
        <v>168.4315848227827</v>
      </c>
      <c r="BA106" s="29">
        <v>130</v>
      </c>
      <c r="BB106" s="29">
        <f t="shared" si="54"/>
        <v>8570</v>
      </c>
      <c r="BC106" s="29">
        <f t="shared" si="55"/>
        <v>8570</v>
      </c>
      <c r="BD106" s="29">
        <f t="shared" si="56"/>
        <v>3590</v>
      </c>
      <c r="BE106" s="29">
        <f>(BB106-BB105)*INDEX([2]中r将兵属性验证!W$7:W$166,$BA106,1)+BE105</f>
        <v>38675460106.397919</v>
      </c>
      <c r="BF106" s="29">
        <f>(BC106-BC105)*INDEX([2]中r将兵属性验证!X$7:X$166,$BA106,1)+BF105</f>
        <v>38675460106.397919</v>
      </c>
      <c r="BG106" s="29">
        <f>(BD106-BD105)*INDEX([2]中r将兵属性验证!$AM$7:$AM$166,$BA106,1)+BG105</f>
        <v>18776130.143187884</v>
      </c>
      <c r="BH106" s="10">
        <f t="shared" si="62"/>
        <v>77369696342.939026</v>
      </c>
      <c r="BO106" s="29">
        <f t="shared" si="60"/>
        <v>74.840792411391348</v>
      </c>
      <c r="BP106" s="10">
        <f t="shared" si="61"/>
        <v>4976251778.716238</v>
      </c>
      <c r="BQ106" s="10" t="e">
        <f>$BP106*求节点('[1]功能-付费相关'!$AY$6:$AY$105,'[1]功能-付费相关'!$BB$6:$BB$105,$BO106)+$BQ105</f>
        <v>#VALUE!</v>
      </c>
      <c r="BS106" s="29">
        <v>130</v>
      </c>
      <c r="BT106" s="29" t="e">
        <f t="shared" si="64"/>
        <v>#VALUE!</v>
      </c>
      <c r="BU106" s="29"/>
      <c r="BZ106" s="4">
        <f t="shared" si="50"/>
        <v>109975</v>
      </c>
      <c r="CA106" s="4">
        <v>103</v>
      </c>
      <c r="CB106" s="90">
        <f t="shared" si="51"/>
        <v>1636330</v>
      </c>
      <c r="CC106" s="4">
        <f>SUM(CB$4:CB106)</f>
        <v>26024515</v>
      </c>
      <c r="CD106" s="4">
        <f t="shared" si="49"/>
        <v>1.0323726766223231</v>
      </c>
    </row>
    <row r="107" spans="1:82" x14ac:dyDescent="0.15">
      <c r="A107" s="122">
        <f t="shared" si="63"/>
        <v>1439888000</v>
      </c>
      <c r="B107" s="14">
        <v>206</v>
      </c>
      <c r="C107" s="14">
        <f t="shared" si="52"/>
        <v>10644449600</v>
      </c>
      <c r="D107" s="14">
        <f>SUM(C$5:$C107)</f>
        <v>75519777400</v>
      </c>
      <c r="E107" s="89">
        <f>'[1]资源-武将经验'!$Z108</f>
        <v>1.368229918879343</v>
      </c>
      <c r="P107" s="5">
        <v>17</v>
      </c>
      <c r="Q107" s="14">
        <f>基础状态预期!D120</f>
        <v>77.697893604818219</v>
      </c>
      <c r="R107" s="14">
        <f>IF(基础状态预期!U120="",0,求节点($B$5:$B$154,$D$5:$D$154,基础状态预期!U120)*基础状态预期!F120)</f>
        <v>0</v>
      </c>
      <c r="S107" s="14">
        <f>IF(基础状态预期!V120="",0,求节点($B$5:$B$154,$D$5:$D$154,基础状态预期!V120)*基础状态预期!G120)</f>
        <v>0</v>
      </c>
      <c r="T107" s="14">
        <f>IF(基础状态预期!W120="",0,求节点($B$5:$B$154,$D$5:$D$154,基础状态预期!W120)*基础状态预期!H120)</f>
        <v>0</v>
      </c>
      <c r="U107" s="14">
        <f>IF(基础状态预期!X120="",0,求节点($B$5:$B$154,$D$5:$D$154,基础状态预期!X120)*基础状态预期!I120)</f>
        <v>0</v>
      </c>
      <c r="V107" s="14">
        <f>IF(基础状态预期!Y120="",0,求节点($B$5:$B$154,$D$5:$D$154,基础状态预期!Y120)*基础状态预期!J120)</f>
        <v>7903675399.5971889</v>
      </c>
      <c r="W107" s="14">
        <f t="shared" si="59"/>
        <v>7903675399.5971889</v>
      </c>
      <c r="Y107" s="14" t="str">
        <f>IF(基础状态预期!U120="","",H$8+(基础状态预期!U120-1)*H$11)</f>
        <v/>
      </c>
      <c r="Z107" s="14" t="str">
        <f>IF(基础状态预期!V120="","",I$8+(基础状态预期!V120-1)*I$11)</f>
        <v/>
      </c>
      <c r="AA107" s="14" t="str">
        <f>IF(基础状态预期!W120="","",J$8+(基础状态预期!W120-1)*J$11)</f>
        <v/>
      </c>
      <c r="AB107" s="14" t="str">
        <f>IF(基础状态预期!X120="","",K$8+(基础状态预期!X120-1)*K$11)</f>
        <v/>
      </c>
      <c r="AC107" s="14">
        <f>IF(基础状态预期!Y120="","",L$8+(基础状态预期!Y120-1)*L$11)</f>
        <v>5431.8736162890928</v>
      </c>
      <c r="AD107" s="14">
        <f>SUMPRODUCT(Y107:AC107,基础状态预期!$F120:$J120)/SUM(基础状态预期!$F120:$J120)</f>
        <v>5431.8736162890928</v>
      </c>
      <c r="AE107" s="14" t="str">
        <f>IF(基础状态预期!U120="","",H$9+(基础状态预期!U120-1)*H$12)</f>
        <v/>
      </c>
      <c r="AF107" s="14" t="str">
        <f>IF(基础状态预期!V120="","",I$9+(基础状态预期!V120-1)*I$12)</f>
        <v/>
      </c>
      <c r="AG107" s="14" t="str">
        <f>IF(基础状态预期!W120="","",J$9+(基础状态预期!W120-1)*J$12)</f>
        <v/>
      </c>
      <c r="AH107" s="14" t="str">
        <f>IF(基础状态预期!X120="","",K$9+(基础状态预期!X120-1)*K$12)</f>
        <v/>
      </c>
      <c r="AI107" s="14">
        <f>IF(基础状态预期!Y120="","",L$9+(基础状态预期!Y120-1)*L$12)</f>
        <v>5431.8736162890928</v>
      </c>
      <c r="AJ107" s="14">
        <f>SUMPRODUCT(AE107:AI107,基础状态预期!$F120:$J120)/SUM(基础状态预期!$F120:$J120)</f>
        <v>5431.8736162890928</v>
      </c>
      <c r="AK107" s="14" t="str">
        <f>IF(基础状态预期!U120="","",H$27+(基础状态预期!U120-1)*H$28)</f>
        <v/>
      </c>
      <c r="AL107" s="14" t="str">
        <f>IF(基础状态预期!V120="","",I$27+(基础状态预期!V120-1)*I$28)</f>
        <v/>
      </c>
      <c r="AM107" s="14" t="str">
        <f>IF(基础状态预期!W120="","",J$27+(基础状态预期!W120-1)*J$28)</f>
        <v/>
      </c>
      <c r="AN107" s="14" t="str">
        <f>IF(基础状态预期!X120="","",K$27+(基础状态预期!X120-1)*K$28)</f>
        <v/>
      </c>
      <c r="AO107" s="14">
        <f>IF(基础状态预期!Y120="","",L$27+(基础状态预期!Y120-1)*L$28)</f>
        <v>2543.9578720963646</v>
      </c>
      <c r="AP107" s="14">
        <f>SUMPRODUCT(AK107:AO107,基础状态预期!$F120:$J120)/SUM(基础状态预期!$F120:$J120)</f>
        <v>2543.9578720963646</v>
      </c>
      <c r="AQ107" s="14" t="str">
        <f>IF(基础状态预期!U120="","",H$31+(基础状态预期!U120-1)*H$32)</f>
        <v/>
      </c>
      <c r="AR107" s="14" t="str">
        <f>IF(基础状态预期!V120="","",I$31+(基础状态预期!V120-1)*I$32)</f>
        <v/>
      </c>
      <c r="AS107" s="14" t="str">
        <f>IF(基础状态预期!W120="","",J$31+(基础状态预期!W120-1)*J$32)</f>
        <v/>
      </c>
      <c r="AT107" s="14" t="str">
        <f>IF(基础状态预期!X120="","",K$31+(基础状态预期!X120-1)*K$32)</f>
        <v/>
      </c>
      <c r="AU107" s="14">
        <f>IF(基础状态预期!Y120="","",L$31+(基础状态预期!Y120-1)*L$32)</f>
        <v>174.39578720963644</v>
      </c>
      <c r="AV107" s="14">
        <f>SUMPRODUCT(AQ107:AU107,基础状态预期!$F120:$J120)/SUM(基础状态预期!$F120:$J120)</f>
        <v>174.39578720963644</v>
      </c>
      <c r="BA107" s="29">
        <v>140</v>
      </c>
      <c r="BB107" s="29">
        <f t="shared" si="54"/>
        <v>9170</v>
      </c>
      <c r="BC107" s="29">
        <f t="shared" si="55"/>
        <v>9170</v>
      </c>
      <c r="BD107" s="29">
        <f t="shared" si="56"/>
        <v>3789.9999999999995</v>
      </c>
      <c r="BE107" s="29">
        <f>(BB107-BB106)*INDEX([2]中r将兵属性验证!W$7:W$166,$BA107,1)+BE106</f>
        <v>52199778365.691757</v>
      </c>
      <c r="BF107" s="29">
        <f>(BC107-BC106)*INDEX([2]中r将兵属性验证!X$7:X$166,$BA107,1)+BF106</f>
        <v>52199778365.691757</v>
      </c>
      <c r="BG107" s="29">
        <f>(BD107-BD106)*INDEX([2]中r将兵属性验证!$AM$7:$AM$166,$BA107,1)+BG106</f>
        <v>20983503.20713602</v>
      </c>
      <c r="BH107" s="10">
        <f t="shared" si="62"/>
        <v>104420540234.59065</v>
      </c>
      <c r="BO107" s="29">
        <f t="shared" si="60"/>
        <v>77.697893604818219</v>
      </c>
      <c r="BP107" s="10">
        <f t="shared" si="61"/>
        <v>7903675399.5971889</v>
      </c>
      <c r="BQ107" s="10" t="e">
        <f>$BP107*求节点('[1]功能-付费相关'!$AY$6:$AY$105,'[1]功能-付费相关'!$BB$6:$BB$105,$BO107)+$BQ106</f>
        <v>#VALUE!</v>
      </c>
      <c r="BS107" s="29">
        <v>140</v>
      </c>
      <c r="BT107" s="29" t="e">
        <f t="shared" si="64"/>
        <v>#VALUE!</v>
      </c>
      <c r="BU107" s="29"/>
      <c r="BZ107" s="4">
        <f t="shared" si="50"/>
        <v>129550</v>
      </c>
      <c r="CA107" s="4">
        <v>104</v>
      </c>
      <c r="CB107" s="90">
        <f t="shared" si="51"/>
        <v>1765880</v>
      </c>
      <c r="CC107" s="4">
        <f>SUM(CB$4:CB107)</f>
        <v>27790395</v>
      </c>
      <c r="CD107" s="4">
        <f t="shared" si="49"/>
        <v>1.0352245127547979</v>
      </c>
    </row>
    <row r="108" spans="1:82" x14ac:dyDescent="0.15">
      <c r="A108" s="122">
        <f t="shared" si="63"/>
        <v>1655871200</v>
      </c>
      <c r="B108" s="14">
        <v>208</v>
      </c>
      <c r="C108" s="14">
        <f t="shared" si="52"/>
        <v>12300320800</v>
      </c>
      <c r="D108" s="14">
        <f>SUM(C$5:$C108)</f>
        <v>87820098200</v>
      </c>
      <c r="E108" s="89">
        <f>'[1]资源-武将经验'!$Z109</f>
        <v>1.4051228842135459</v>
      </c>
      <c r="P108" s="5">
        <v>18</v>
      </c>
      <c r="Q108" s="14">
        <f>基础状态预期!D121</f>
        <v>80.134867890916794</v>
      </c>
      <c r="R108" s="14">
        <f>IF(基础状态预期!U121="",0,求节点($B$5:$B$154,$D$5:$D$154,基础状态预期!U121)*基础状态预期!F121)</f>
        <v>0</v>
      </c>
      <c r="S108" s="14">
        <f>IF(基础状态预期!V121="",0,求节点($B$5:$B$154,$D$5:$D$154,基础状态预期!V121)*基础状态预期!G121)</f>
        <v>0</v>
      </c>
      <c r="T108" s="14">
        <f>IF(基础状态预期!W121="",0,求节点($B$5:$B$154,$D$5:$D$154,基础状态预期!W121)*基础状态预期!H121)</f>
        <v>0</v>
      </c>
      <c r="U108" s="14">
        <f>IF(基础状态预期!X121="",0,求节点($B$5:$B$154,$D$5:$D$154,基础状态预期!X121)*基础状态预期!I121)</f>
        <v>0</v>
      </c>
      <c r="V108" s="14">
        <f>IF(基础状态预期!Y121="",0,求节点($B$5:$B$154,$D$5:$D$154,基础状态预期!Y121)*基础状态预期!J121)</f>
        <v>11723798780.992096</v>
      </c>
      <c r="W108" s="14">
        <f t="shared" si="59"/>
        <v>11723798780.992096</v>
      </c>
      <c r="Y108" s="14" t="str">
        <f>IF(基础状态预期!U121="","",H$8+(基础状态预期!U121-1)*H$11)</f>
        <v/>
      </c>
      <c r="Z108" s="14" t="str">
        <f>IF(基础状态预期!V121="","",I$8+(基础状态预期!V121-1)*I$11)</f>
        <v/>
      </c>
      <c r="AA108" s="14" t="str">
        <f>IF(基础状态预期!W121="","",J$8+(基础状态预期!W121-1)*J$11)</f>
        <v/>
      </c>
      <c r="AB108" s="14" t="str">
        <f>IF(基础状态预期!X121="","",K$8+(基础状态预期!X121-1)*K$11)</f>
        <v/>
      </c>
      <c r="AC108" s="14">
        <f>IF(基础状态预期!Y121="","",L$8+(基础状态预期!Y121-1)*L$11)</f>
        <v>5578.0920734550073</v>
      </c>
      <c r="AD108" s="14">
        <f>SUMPRODUCT(Y108:AC108,基础状态预期!$F121:$J121)/SUM(基础状态预期!$F121:$J121)</f>
        <v>5578.0920734550064</v>
      </c>
      <c r="AE108" s="14" t="str">
        <f>IF(基础状态预期!U121="","",H$9+(基础状态预期!U121-1)*H$12)</f>
        <v/>
      </c>
      <c r="AF108" s="14" t="str">
        <f>IF(基础状态预期!V121="","",I$9+(基础状态预期!V121-1)*I$12)</f>
        <v/>
      </c>
      <c r="AG108" s="14" t="str">
        <f>IF(基础状态预期!W121="","",J$9+(基础状态预期!W121-1)*J$12)</f>
        <v/>
      </c>
      <c r="AH108" s="14" t="str">
        <f>IF(基础状态预期!X121="","",K$9+(基础状态预期!X121-1)*K$12)</f>
        <v/>
      </c>
      <c r="AI108" s="14">
        <f>IF(基础状态预期!Y121="","",L$9+(基础状态预期!Y121-1)*L$12)</f>
        <v>5578.0920734550073</v>
      </c>
      <c r="AJ108" s="14">
        <f>SUMPRODUCT(AE108:AI108,基础状态预期!$F121:$J121)/SUM(基础状态预期!$F121:$J121)</f>
        <v>5578.0920734550064</v>
      </c>
      <c r="AK108" s="14" t="str">
        <f>IF(基础状态预期!U121="","",H$27+(基础状态预期!U121-1)*H$28)</f>
        <v/>
      </c>
      <c r="AL108" s="14" t="str">
        <f>IF(基础状态预期!V121="","",I$27+(基础状态预期!V121-1)*I$28)</f>
        <v/>
      </c>
      <c r="AM108" s="14" t="str">
        <f>IF(基础状态预期!W121="","",J$27+(基础状态预期!W121-1)*J$28)</f>
        <v/>
      </c>
      <c r="AN108" s="14" t="str">
        <f>IF(基础状态预期!X121="","",K$27+(基础状态预期!X121-1)*K$28)</f>
        <v/>
      </c>
      <c r="AO108" s="14">
        <f>IF(基础状态预期!Y121="","",L$27+(基础状态预期!Y121-1)*L$28)</f>
        <v>2592.6973578183361</v>
      </c>
      <c r="AP108" s="14">
        <f>SUMPRODUCT(AK108:AO108,基础状态预期!$F121:$J121)/SUM(基础状态预期!$F121:$J121)</f>
        <v>2592.6973578183361</v>
      </c>
      <c r="AQ108" s="14" t="str">
        <f>IF(基础状态预期!U121="","",H$31+(基础状态预期!U121-1)*H$32)</f>
        <v/>
      </c>
      <c r="AR108" s="14" t="str">
        <f>IF(基础状态预期!V121="","",I$31+(基础状态预期!V121-1)*I$32)</f>
        <v/>
      </c>
      <c r="AS108" s="14" t="str">
        <f>IF(基础状态预期!W121="","",J$31+(基础状态预期!W121-1)*J$32)</f>
        <v/>
      </c>
      <c r="AT108" s="14" t="str">
        <f>IF(基础状态预期!X121="","",K$31+(基础状态预期!X121-1)*K$32)</f>
        <v/>
      </c>
      <c r="AU108" s="14">
        <f>IF(基础状态预期!Y121="","",L$31+(基础状态预期!Y121-1)*L$32)</f>
        <v>179.26973578183359</v>
      </c>
      <c r="AV108" s="14">
        <f>SUMPRODUCT(AQ108:AU108,基础状态预期!$F121:$J121)/SUM(基础状态预期!$F121:$J121)</f>
        <v>179.26973578183359</v>
      </c>
      <c r="BA108" s="29">
        <v>150</v>
      </c>
      <c r="BB108" s="29">
        <f t="shared" si="54"/>
        <v>9762.4896753790763</v>
      </c>
      <c r="BC108" s="29">
        <f t="shared" si="55"/>
        <v>9762.4896753790763</v>
      </c>
      <c r="BD108" s="29">
        <f t="shared" si="56"/>
        <v>3987.4965584596916</v>
      </c>
      <c r="BE108" s="29">
        <f>(BB108-BB107)*INDEX([2]中r将兵属性验证!W$7:W$166,$BA108,1)+BE107</f>
        <v>68586572970.422279</v>
      </c>
      <c r="BF108" s="29">
        <f>(BC108-BC107)*INDEX([2]中r将兵属性验证!X$7:X$166,$BA108,1)+BF107</f>
        <v>68586572970.422279</v>
      </c>
      <c r="BG108" s="29">
        <f>(BD108-BD107)*INDEX([2]中r将兵属性验证!$AM$7:$AM$166,$BA108,1)+BG107</f>
        <v>23295822.851583794</v>
      </c>
      <c r="BH108" s="10">
        <f t="shared" si="62"/>
        <v>137196441763.69614</v>
      </c>
      <c r="BO108" s="29">
        <f t="shared" si="60"/>
        <v>80.134867890916794</v>
      </c>
      <c r="BP108" s="10">
        <f t="shared" si="61"/>
        <v>11723798780.992096</v>
      </c>
      <c r="BQ108" s="10" t="e">
        <f>$BP108*求节点('[1]功能-付费相关'!$AY$6:$AY$105,'[1]功能-付费相关'!$BB$6:$BB$105,$BO108)+$BQ107</f>
        <v>#VALUE!</v>
      </c>
      <c r="BS108" s="29">
        <v>150</v>
      </c>
      <c r="BT108" s="29" t="e">
        <f t="shared" si="64"/>
        <v>#VALUE!</v>
      </c>
      <c r="BU108" s="29"/>
      <c r="BZ108" s="4">
        <f t="shared" si="50"/>
        <v>129550</v>
      </c>
      <c r="CA108" s="4">
        <v>105</v>
      </c>
      <c r="CB108" s="90">
        <f t="shared" si="51"/>
        <v>1895430</v>
      </c>
      <c r="CC108" s="4">
        <f>SUM(CB$4:CB108)</f>
        <v>29685825</v>
      </c>
      <c r="CD108" s="4">
        <f t="shared" si="49"/>
        <v>1.0329007228538374</v>
      </c>
    </row>
    <row r="109" spans="1:82" x14ac:dyDescent="0.15">
      <c r="A109" s="122">
        <f t="shared" si="63"/>
        <v>1904251800</v>
      </c>
      <c r="B109" s="14">
        <v>210</v>
      </c>
      <c r="C109" s="14">
        <f t="shared" si="52"/>
        <v>14204572600</v>
      </c>
      <c r="D109" s="14">
        <f>SUM(C$5:$C109)</f>
        <v>102024670800</v>
      </c>
      <c r="E109" s="89">
        <f>'[1]资源-武将经验'!$Z110</f>
        <v>1.3778949822368689</v>
      </c>
      <c r="P109" s="5">
        <v>19</v>
      </c>
      <c r="Q109" s="14">
        <f>基础状态预期!D122</f>
        <v>82.238672852681816</v>
      </c>
      <c r="R109" s="14">
        <f>IF(基础状态预期!U122="",0,求节点($B$5:$B$154,$D$5:$D$154,基础状态预期!U122)*基础状态预期!F122)</f>
        <v>0</v>
      </c>
      <c r="S109" s="14">
        <f>IF(基础状态预期!V122="",0,求节点($B$5:$B$154,$D$5:$D$154,基础状态预期!V122)*基础状态预期!G122)</f>
        <v>0</v>
      </c>
      <c r="T109" s="14">
        <f>IF(基础状态预期!W122="",0,求节点($B$5:$B$154,$D$5:$D$154,基础状态预期!W122)*基础状态预期!H122)</f>
        <v>0</v>
      </c>
      <c r="U109" s="14">
        <f>IF(基础状态预期!X122="",0,求节点($B$5:$B$154,$D$5:$D$154,基础状态预期!X122)*基础状态预期!I122)</f>
        <v>0</v>
      </c>
      <c r="V109" s="14">
        <f>IF(基础状态预期!Y122="",0,求节点($B$5:$B$154,$D$5:$D$154,基础状态预期!Y122)*基础状态预期!J122)</f>
        <v>16522780497.614639</v>
      </c>
      <c r="W109" s="14">
        <f t="shared" si="59"/>
        <v>16522780497.614639</v>
      </c>
      <c r="Y109" s="14" t="str">
        <f>IF(基础状态预期!U122="","",H$8+(基础状态预期!U122-1)*H$11)</f>
        <v/>
      </c>
      <c r="Z109" s="14" t="str">
        <f>IF(基础状态预期!V122="","",I$8+(基础状态预期!V122-1)*I$11)</f>
        <v/>
      </c>
      <c r="AA109" s="14" t="str">
        <f>IF(基础状态预期!W122="","",J$8+(基础状态预期!W122-1)*J$11)</f>
        <v/>
      </c>
      <c r="AB109" s="14" t="str">
        <f>IF(基础状态预期!X122="","",K$8+(基础状态预期!X122-1)*K$11)</f>
        <v/>
      </c>
      <c r="AC109" s="14">
        <f>IF(基础状态预期!Y122="","",L$8+(基础状态预期!Y122-1)*L$11)</f>
        <v>5704.3203711609094</v>
      </c>
      <c r="AD109" s="14">
        <f>SUMPRODUCT(Y109:AC109,基础状态预期!$F122:$J122)/SUM(基础状态预期!$F122:$J122)</f>
        <v>5704.3203711609094</v>
      </c>
      <c r="AE109" s="14" t="str">
        <f>IF(基础状态预期!U122="","",H$9+(基础状态预期!U122-1)*H$12)</f>
        <v/>
      </c>
      <c r="AF109" s="14" t="str">
        <f>IF(基础状态预期!V122="","",I$9+(基础状态预期!V122-1)*I$12)</f>
        <v/>
      </c>
      <c r="AG109" s="14" t="str">
        <f>IF(基础状态预期!W122="","",J$9+(基础状态预期!W122-1)*J$12)</f>
        <v/>
      </c>
      <c r="AH109" s="14" t="str">
        <f>IF(基础状态预期!X122="","",K$9+(基础状态预期!X122-1)*K$12)</f>
        <v/>
      </c>
      <c r="AI109" s="14">
        <f>IF(基础状态预期!Y122="","",L$9+(基础状态预期!Y122-1)*L$12)</f>
        <v>5704.3203711609094</v>
      </c>
      <c r="AJ109" s="14">
        <f>SUMPRODUCT(AE109:AI109,基础状态预期!$F122:$J122)/SUM(基础状态预期!$F122:$J122)</f>
        <v>5704.3203711609094</v>
      </c>
      <c r="AK109" s="14" t="str">
        <f>IF(基础状态预期!U122="","",H$27+(基础状态预期!U122-1)*H$28)</f>
        <v/>
      </c>
      <c r="AL109" s="14" t="str">
        <f>IF(基础状态预期!V122="","",I$27+(基础状态预期!V122-1)*I$28)</f>
        <v/>
      </c>
      <c r="AM109" s="14" t="str">
        <f>IF(基础状态预期!W122="","",J$27+(基础状态预期!W122-1)*J$28)</f>
        <v/>
      </c>
      <c r="AN109" s="14" t="str">
        <f>IF(基础状态预期!X122="","",K$27+(基础状态预期!X122-1)*K$28)</f>
        <v/>
      </c>
      <c r="AO109" s="14">
        <f>IF(基础状态预期!Y122="","",L$27+(基础状态预期!Y122-1)*L$28)</f>
        <v>2634.7734570536363</v>
      </c>
      <c r="AP109" s="14">
        <f>SUMPRODUCT(AK109:AO109,基础状态预期!$F122:$J122)/SUM(基础状态预期!$F122:$J122)</f>
        <v>2634.7734570536363</v>
      </c>
      <c r="AQ109" s="14" t="str">
        <f>IF(基础状态预期!U122="","",H$31+(基础状态预期!U122-1)*H$32)</f>
        <v/>
      </c>
      <c r="AR109" s="14" t="str">
        <f>IF(基础状态预期!V122="","",I$31+(基础状态预期!V122-1)*I$32)</f>
        <v/>
      </c>
      <c r="AS109" s="14" t="str">
        <f>IF(基础状态预期!W122="","",J$31+(基础状态预期!W122-1)*J$32)</f>
        <v/>
      </c>
      <c r="AT109" s="14" t="str">
        <f>IF(基础状态预期!X122="","",K$31+(基础状态预期!X122-1)*K$32)</f>
        <v/>
      </c>
      <c r="AU109" s="14">
        <f>IF(基础状态预期!Y122="","",L$31+(基础状态预期!Y122-1)*L$32)</f>
        <v>183.47734570536363</v>
      </c>
      <c r="AV109" s="14">
        <f>SUMPRODUCT(AQ109:AU109,基础状态预期!$F122:$J122)/SUM(基础状态预期!$F122:$J122)</f>
        <v>183.47734570536363</v>
      </c>
      <c r="BA109" s="29">
        <v>160</v>
      </c>
      <c r="BB109" s="29">
        <f t="shared" si="54"/>
        <v>9770</v>
      </c>
      <c r="BC109" s="29">
        <f t="shared" si="55"/>
        <v>9770</v>
      </c>
      <c r="BD109" s="29">
        <f t="shared" si="56"/>
        <v>3990</v>
      </c>
      <c r="BE109" s="29">
        <f>(BB109-BB108)*INDEX([2]中r将兵属性验证!W$7:W$166,$BA109,1)+BE108</f>
        <v>68818310929.598358</v>
      </c>
      <c r="BF109" s="29">
        <f>(BC109-BC108)*INDEX([2]中r将兵属性验证!X$7:X$166,$BA109,1)+BF108</f>
        <v>68818310929.598358</v>
      </c>
      <c r="BG109" s="29">
        <f>(BD109-BD108)*INDEX([2]中r将兵属性验证!$AM$7:$AM$166,$BA109,1)+BG108</f>
        <v>23325588.771498062</v>
      </c>
      <c r="BH109" s="10">
        <f t="shared" si="62"/>
        <v>137659947447.9682</v>
      </c>
      <c r="BO109" s="29">
        <f t="shared" si="60"/>
        <v>82.238672852681816</v>
      </c>
      <c r="BP109" s="10">
        <f t="shared" si="61"/>
        <v>16522780497.614639</v>
      </c>
      <c r="BQ109" s="10" t="e">
        <f>$BP109*求节点('[1]功能-付费相关'!$AY$6:$AY$105,'[1]功能-付费相关'!$BB$6:$BB$105,$BO109)+$BQ108</f>
        <v>#VALUE!</v>
      </c>
      <c r="BS109" s="29">
        <v>160</v>
      </c>
      <c r="BT109" s="29" t="e">
        <f t="shared" si="64"/>
        <v>#VALUE!</v>
      </c>
      <c r="BU109" s="29"/>
      <c r="BZ109" s="4">
        <f t="shared" si="50"/>
        <v>152600</v>
      </c>
      <c r="CA109" s="4">
        <v>106</v>
      </c>
      <c r="CB109" s="90">
        <f t="shared" si="51"/>
        <v>2048030</v>
      </c>
      <c r="CC109" s="4">
        <f>SUM(CB$4:CB109)</f>
        <v>31733855</v>
      </c>
      <c r="CD109" s="4">
        <f t="shared" si="49"/>
        <v>1.0358455984358119</v>
      </c>
    </row>
    <row r="110" spans="1:82" x14ac:dyDescent="0.15">
      <c r="A110" s="122">
        <f t="shared" si="63"/>
        <v>2189889500</v>
      </c>
      <c r="B110" s="14">
        <v>212</v>
      </c>
      <c r="C110" s="14">
        <f t="shared" si="52"/>
        <v>16394462100</v>
      </c>
      <c r="D110" s="14">
        <f>SUM(C$5:$C110)</f>
        <v>118419132900</v>
      </c>
      <c r="E110" s="89">
        <f>'[1]资源-武将经验'!$Z111</f>
        <v>1.3790524824144088</v>
      </c>
      <c r="P110" s="5">
        <v>20</v>
      </c>
      <c r="Q110" s="14">
        <f>基础状态预期!D123</f>
        <v>84.043767921022209</v>
      </c>
      <c r="R110" s="14">
        <f>IF(基础状态预期!U123="",0,求节点($B$5:$B$154,$D$5:$D$154,基础状态预期!U123)*基础状态预期!F123)</f>
        <v>0</v>
      </c>
      <c r="S110" s="14">
        <f>IF(基础状态预期!V123="",0,求节点($B$5:$B$154,$D$5:$D$154,基础状态预期!V123)*基础状态预期!G123)</f>
        <v>0</v>
      </c>
      <c r="T110" s="14">
        <f>IF(基础状态预期!W123="",0,求节点($B$5:$B$154,$D$5:$D$154,基础状态预期!W123)*基础状态预期!H123)</f>
        <v>0</v>
      </c>
      <c r="U110" s="14">
        <f>IF(基础状态预期!X123="",0,求节点($B$5:$B$154,$D$5:$D$154,基础状态预期!X123)*基础状态预期!I123)</f>
        <v>0</v>
      </c>
      <c r="V110" s="14">
        <f>IF(基础状态预期!Y123="",0,求节点($B$5:$B$154,$D$5:$D$154,基础状态预期!Y123)*基础状态预期!J123)</f>
        <v>22131050725.477036</v>
      </c>
      <c r="W110" s="14">
        <f t="shared" ref="W110:W132" si="65">SUM(R110:V110)</f>
        <v>22131050725.477036</v>
      </c>
      <c r="Y110" s="14" t="str">
        <f>IF(基础状态预期!U123="","",H$8+(基础状态预期!U123-1)*H$11)</f>
        <v/>
      </c>
      <c r="Z110" s="14" t="str">
        <f>IF(基础状态预期!V123="","",I$8+(基础状态预期!V123-1)*I$11)</f>
        <v/>
      </c>
      <c r="AA110" s="14" t="str">
        <f>IF(基础状态预期!W123="","",J$8+(基础状态预期!W123-1)*J$11)</f>
        <v/>
      </c>
      <c r="AB110" s="14" t="str">
        <f>IF(基础状态预期!X123="","",K$8+(基础状态预期!X123-1)*K$11)</f>
        <v/>
      </c>
      <c r="AC110" s="14">
        <f>IF(基础状态预期!Y123="","",L$8+(基础状态预期!Y123-1)*L$11)</f>
        <v>5812.6260752613325</v>
      </c>
      <c r="AD110" s="14">
        <f>SUMPRODUCT(Y110:AC110,基础状态预期!$F123:$J123)/SUM(基础状态预期!$F123:$J123)</f>
        <v>5812.6260752613334</v>
      </c>
      <c r="AE110" s="14" t="str">
        <f>IF(基础状态预期!U123="","",H$9+(基础状态预期!U123-1)*H$12)</f>
        <v/>
      </c>
      <c r="AF110" s="14" t="str">
        <f>IF(基础状态预期!V123="","",I$9+(基础状态预期!V123-1)*I$12)</f>
        <v/>
      </c>
      <c r="AG110" s="14" t="str">
        <f>IF(基础状态预期!W123="","",J$9+(基础状态预期!W123-1)*J$12)</f>
        <v/>
      </c>
      <c r="AH110" s="14" t="str">
        <f>IF(基础状态预期!X123="","",K$9+(基础状态预期!X123-1)*K$12)</f>
        <v/>
      </c>
      <c r="AI110" s="14">
        <f>IF(基础状态预期!Y123="","",L$9+(基础状态预期!Y123-1)*L$12)</f>
        <v>5812.6260752613325</v>
      </c>
      <c r="AJ110" s="14">
        <f>SUMPRODUCT(AE110:AI110,基础状态预期!$F123:$J123)/SUM(基础状态预期!$F123:$J123)</f>
        <v>5812.6260752613334</v>
      </c>
      <c r="AK110" s="14" t="str">
        <f>IF(基础状态预期!U123="","",H$27+(基础状态预期!U123-1)*H$28)</f>
        <v/>
      </c>
      <c r="AL110" s="14" t="str">
        <f>IF(基础状态预期!V123="","",I$27+(基础状态预期!V123-1)*I$28)</f>
        <v/>
      </c>
      <c r="AM110" s="14" t="str">
        <f>IF(基础状态预期!W123="","",J$27+(基础状态预期!W123-1)*J$28)</f>
        <v/>
      </c>
      <c r="AN110" s="14" t="str">
        <f>IF(基础状态预期!X123="","",K$27+(基础状态预期!X123-1)*K$28)</f>
        <v/>
      </c>
      <c r="AO110" s="14">
        <f>IF(基础状态预期!Y123="","",L$27+(基础状态预期!Y123-1)*L$28)</f>
        <v>2670.8753584204442</v>
      </c>
      <c r="AP110" s="14">
        <f>SUMPRODUCT(AK110:AO110,基础状态预期!$F123:$J123)/SUM(基础状态预期!$F123:$J123)</f>
        <v>2670.8753584204442</v>
      </c>
      <c r="AQ110" s="14" t="str">
        <f>IF(基础状态预期!U123="","",H$31+(基础状态预期!U123-1)*H$32)</f>
        <v/>
      </c>
      <c r="AR110" s="14" t="str">
        <f>IF(基础状态预期!V123="","",I$31+(基础状态预期!V123-1)*I$32)</f>
        <v/>
      </c>
      <c r="AS110" s="14" t="str">
        <f>IF(基础状态预期!W123="","",J$31+(基础状态预期!W123-1)*J$32)</f>
        <v/>
      </c>
      <c r="AT110" s="14" t="str">
        <f>IF(基础状态预期!X123="","",K$31+(基础状态预期!X123-1)*K$32)</f>
        <v/>
      </c>
      <c r="AU110" s="14">
        <f>IF(基础状态预期!Y123="","",L$31+(基础状态预期!Y123-1)*L$32)</f>
        <v>187.08753584204442</v>
      </c>
      <c r="AV110" s="14">
        <f>SUMPRODUCT(AQ110:AU110,基础状态预期!$F123:$J123)/SUM(基础状态预期!$F123:$J123)</f>
        <v>187.08753584204442</v>
      </c>
      <c r="BO110" s="29">
        <f t="shared" si="60"/>
        <v>84.043767921022209</v>
      </c>
      <c r="BP110" s="10">
        <f t="shared" si="61"/>
        <v>22131050725.477036</v>
      </c>
      <c r="BQ110" s="10" t="e">
        <f>$BP110*求节点('[1]功能-付费相关'!$AY$6:$AY$105,'[1]功能-付费相关'!$BB$6:$BB$105,$BO110)+$BQ109</f>
        <v>#VALUE!</v>
      </c>
      <c r="BZ110" s="4">
        <f t="shared" si="50"/>
        <v>152600</v>
      </c>
      <c r="CA110" s="4">
        <v>107</v>
      </c>
      <c r="CB110" s="90">
        <f t="shared" si="51"/>
        <v>2200630</v>
      </c>
      <c r="CC110" s="4">
        <f>SUM(CB$4:CB110)</f>
        <v>33934485</v>
      </c>
      <c r="CD110" s="4">
        <f t="shared" si="49"/>
        <v>1.0334426633898104</v>
      </c>
    </row>
    <row r="111" spans="1:82" x14ac:dyDescent="0.15">
      <c r="A111" s="122">
        <f t="shared" si="63"/>
        <v>2518372900</v>
      </c>
      <c r="B111" s="14">
        <v>214</v>
      </c>
      <c r="C111" s="14">
        <f t="shared" si="52"/>
        <v>18912835000</v>
      </c>
      <c r="D111" s="14">
        <f>SUM(C$5:$C111)</f>
        <v>137331967900</v>
      </c>
      <c r="E111" s="89">
        <f>'[1]资源-武将经验'!$Z112</f>
        <v>1.4094515096699543</v>
      </c>
      <c r="P111" s="5">
        <v>21</v>
      </c>
      <c r="Q111" s="14">
        <f>基础状态预期!D124</f>
        <v>86.385105215793828</v>
      </c>
      <c r="R111" s="14">
        <f>IF(基础状态预期!U124="",0,求节点($B$5:$B$154,$D$5:$D$154,基础状态预期!U124)*基础状态预期!F124)</f>
        <v>0</v>
      </c>
      <c r="S111" s="14">
        <f>IF(基础状态预期!V124="",0,求节点($B$5:$B$154,$D$5:$D$154,基础状态预期!V124)*基础状态预期!G124)</f>
        <v>0</v>
      </c>
      <c r="T111" s="14">
        <f>IF(基础状态预期!W124="",0,求节点($B$5:$B$154,$D$5:$D$154,基础状态预期!W124)*基础状态预期!H124)</f>
        <v>0</v>
      </c>
      <c r="U111" s="14">
        <f>IF(基础状态预期!X124="",0,求节点($B$5:$B$154,$D$5:$D$154,基础状态预期!X124)*基础状态预期!I124)</f>
        <v>0</v>
      </c>
      <c r="V111" s="14">
        <f>IF(基础状态预期!Y124="",0,求节点($B$5:$B$154,$D$5:$D$154,基础状态预期!Y124)*基础状态预期!J124)</f>
        <v>32502076208.94698</v>
      </c>
      <c r="W111" s="14">
        <f t="shared" si="65"/>
        <v>32502076208.94698</v>
      </c>
      <c r="Y111" s="14" t="str">
        <f>IF(基础状态预期!U124="","",H$8+(基础状态预期!U124-1)*H$11)</f>
        <v/>
      </c>
      <c r="Z111" s="14" t="str">
        <f>IF(基础状态预期!V124="","",I$8+(基础状态预期!V124-1)*I$11)</f>
        <v/>
      </c>
      <c r="AA111" s="14" t="str">
        <f>IF(基础状态预期!W124="","",J$8+(基础状态预期!W124-1)*J$11)</f>
        <v/>
      </c>
      <c r="AB111" s="14" t="str">
        <f>IF(基础状态预期!X124="","",K$8+(基础状态预期!X124-1)*K$11)</f>
        <v/>
      </c>
      <c r="AC111" s="14">
        <f>IF(基础状态预期!Y124="","",L$8+(基础状态预期!Y124-1)*L$11)</f>
        <v>5953.1063129476297</v>
      </c>
      <c r="AD111" s="14">
        <f>SUMPRODUCT(Y111:AC111,基础状态预期!$F124:$J124)/SUM(基础状态预期!$F124:$J124)</f>
        <v>5953.1063129476288</v>
      </c>
      <c r="AE111" s="14" t="str">
        <f>IF(基础状态预期!U124="","",H$9+(基础状态预期!U124-1)*H$12)</f>
        <v/>
      </c>
      <c r="AF111" s="14" t="str">
        <f>IF(基础状态预期!V124="","",I$9+(基础状态预期!V124-1)*I$12)</f>
        <v/>
      </c>
      <c r="AG111" s="14" t="str">
        <f>IF(基础状态预期!W124="","",J$9+(基础状态预期!W124-1)*J$12)</f>
        <v/>
      </c>
      <c r="AH111" s="14" t="str">
        <f>IF(基础状态预期!X124="","",K$9+(基础状态预期!X124-1)*K$12)</f>
        <v/>
      </c>
      <c r="AI111" s="14">
        <f>IF(基础状态预期!Y124="","",L$9+(基础状态预期!Y124-1)*L$12)</f>
        <v>5953.1063129476297</v>
      </c>
      <c r="AJ111" s="14">
        <f>SUMPRODUCT(AE111:AI111,基础状态预期!$F124:$J124)/SUM(基础状态预期!$F124:$J124)</f>
        <v>5953.1063129476288</v>
      </c>
      <c r="AK111" s="14" t="str">
        <f>IF(基础状态预期!U124="","",H$27+(基础状态预期!U124-1)*H$28)</f>
        <v/>
      </c>
      <c r="AL111" s="14" t="str">
        <f>IF(基础状态预期!V124="","",I$27+(基础状态预期!V124-1)*I$28)</f>
        <v/>
      </c>
      <c r="AM111" s="14" t="str">
        <f>IF(基础状态预期!W124="","",J$27+(基础状态预期!W124-1)*J$28)</f>
        <v/>
      </c>
      <c r="AN111" s="14" t="str">
        <f>IF(基础状态预期!X124="","",K$27+(基础状态预期!X124-1)*K$28)</f>
        <v/>
      </c>
      <c r="AO111" s="14">
        <f>IF(基础状态预期!Y124="","",L$27+(基础状态预期!Y124-1)*L$28)</f>
        <v>2717.7021043158766</v>
      </c>
      <c r="AP111" s="14">
        <f>SUMPRODUCT(AK111:AO111,基础状态预期!$F124:$J124)/SUM(基础状态预期!$F124:$J124)</f>
        <v>2717.7021043158766</v>
      </c>
      <c r="AQ111" s="14" t="str">
        <f>IF(基础状态预期!U124="","",H$31+(基础状态预期!U124-1)*H$32)</f>
        <v/>
      </c>
      <c r="AR111" s="14" t="str">
        <f>IF(基础状态预期!V124="","",I$31+(基础状态预期!V124-1)*I$32)</f>
        <v/>
      </c>
      <c r="AS111" s="14" t="str">
        <f>IF(基础状态预期!W124="","",J$31+(基础状态预期!W124-1)*J$32)</f>
        <v/>
      </c>
      <c r="AT111" s="14" t="str">
        <f>IF(基础状态预期!X124="","",K$31+(基础状态预期!X124-1)*K$32)</f>
        <v/>
      </c>
      <c r="AU111" s="14">
        <f>IF(基础状态预期!Y124="","",L$31+(基础状态预期!Y124-1)*L$32)</f>
        <v>191.77021043158766</v>
      </c>
      <c r="AV111" s="14">
        <f>SUMPRODUCT(AQ111:AU111,基础状态预期!$F124:$J124)/SUM(基础状态预期!$F124:$J124)</f>
        <v>191.77021043158766</v>
      </c>
      <c r="BO111" s="29">
        <f t="shared" si="60"/>
        <v>86.385105215793828</v>
      </c>
      <c r="BP111" s="10">
        <f t="shared" si="61"/>
        <v>32502076208.94698</v>
      </c>
      <c r="BQ111" s="10" t="e">
        <f>$BP111*求节点('[1]功能-付费相关'!$AY$6:$AY$105,'[1]功能-付费相关'!$BB$6:$BB$105,$BO111)+$BQ110</f>
        <v>#VALUE!</v>
      </c>
      <c r="BZ111" s="4">
        <f t="shared" si="50"/>
        <v>179750</v>
      </c>
      <c r="CA111" s="4">
        <v>108</v>
      </c>
      <c r="CB111" s="90">
        <f t="shared" si="51"/>
        <v>2380380</v>
      </c>
      <c r="CC111" s="4">
        <f>SUM(CB$4:CB111)</f>
        <v>36314865</v>
      </c>
      <c r="CD111" s="4">
        <f t="shared" si="49"/>
        <v>1.0364718725918316</v>
      </c>
    </row>
    <row r="112" spans="1:82" x14ac:dyDescent="0.15">
      <c r="A112" s="122">
        <f t="shared" si="63"/>
        <v>2896128800</v>
      </c>
      <c r="B112" s="14">
        <v>216</v>
      </c>
      <c r="C112" s="14">
        <f t="shared" si="52"/>
        <v>21808963800</v>
      </c>
      <c r="D112" s="14">
        <f>SUM(C$5:$C112)</f>
        <v>159140931700</v>
      </c>
      <c r="E112" s="89">
        <f>'[1]资源-武将经验'!$Z113</f>
        <v>1.4129972876302583</v>
      </c>
      <c r="P112" s="5">
        <v>22</v>
      </c>
      <c r="Q112" s="14">
        <f>基础状态预期!D125</f>
        <v>90.406191748048585</v>
      </c>
      <c r="R112" s="14">
        <f>IF(基础状态预期!U125="",0,求节点($B$5:$B$154,$D$5:$D$154,基础状态预期!U125)*基础状态预期!F125)</f>
        <v>0</v>
      </c>
      <c r="S112" s="14">
        <f>IF(基础状态预期!V125="",0,求节点($B$5:$B$154,$D$5:$D$154,基础状态预期!V125)*基础状态预期!G125)</f>
        <v>0</v>
      </c>
      <c r="T112" s="14">
        <f>IF(基础状态预期!W125="",0,求节点($B$5:$B$154,$D$5:$D$154,基础状态预期!W125)*基础状态预期!H125)</f>
        <v>0</v>
      </c>
      <c r="U112" s="14">
        <f>IF(基础状态预期!X125="",0,求节点($B$5:$B$154,$D$5:$D$154,基础状态预期!X125)*基础状态预期!I125)</f>
        <v>0</v>
      </c>
      <c r="V112" s="14">
        <f>IF(基础状态预期!Y125="",0,求节点($B$5:$B$154,$D$5:$D$154,基础状态预期!Y125)*基础状态预期!J125)</f>
        <v>62422742514.429153</v>
      </c>
      <c r="W112" s="14">
        <f t="shared" si="65"/>
        <v>62422742514.429153</v>
      </c>
      <c r="Y112" s="14" t="str">
        <f>IF(基础状态预期!U125="","",H$8+(基础状态预期!U125-1)*H$11)</f>
        <v/>
      </c>
      <c r="Z112" s="14" t="str">
        <f>IF(基础状态预期!V125="","",I$8+(基础状态预期!V125-1)*I$11)</f>
        <v/>
      </c>
      <c r="AA112" s="14" t="str">
        <f>IF(基础状态预期!W125="","",J$8+(基础状态预期!W125-1)*J$11)</f>
        <v/>
      </c>
      <c r="AB112" s="14" t="str">
        <f>IF(基础状态预期!X125="","",K$8+(基础状态预期!X125-1)*K$11)</f>
        <v/>
      </c>
      <c r="AC112" s="14">
        <f>IF(基础状态预期!Y125="","",L$8+(基础状态预期!Y125-1)*L$11)</f>
        <v>6194.3715048829154</v>
      </c>
      <c r="AD112" s="14">
        <f>SUMPRODUCT(Y112:AC112,基础状态预期!$F125:$J125)/SUM(基础状态预期!$F125:$J125)</f>
        <v>6194.3715048829154</v>
      </c>
      <c r="AE112" s="14" t="str">
        <f>IF(基础状态预期!U125="","",H$9+(基础状态预期!U125-1)*H$12)</f>
        <v/>
      </c>
      <c r="AF112" s="14" t="str">
        <f>IF(基础状态预期!V125="","",I$9+(基础状态预期!V125-1)*I$12)</f>
        <v/>
      </c>
      <c r="AG112" s="14" t="str">
        <f>IF(基础状态预期!W125="","",J$9+(基础状态预期!W125-1)*J$12)</f>
        <v/>
      </c>
      <c r="AH112" s="14" t="str">
        <f>IF(基础状态预期!X125="","",K$9+(基础状态预期!X125-1)*K$12)</f>
        <v/>
      </c>
      <c r="AI112" s="14">
        <f>IF(基础状态预期!Y125="","",L$9+(基础状态预期!Y125-1)*L$12)</f>
        <v>6194.3715048829154</v>
      </c>
      <c r="AJ112" s="14">
        <f>SUMPRODUCT(AE112:AI112,基础状态预期!$F125:$J125)/SUM(基础状态预期!$F125:$J125)</f>
        <v>6194.3715048829154</v>
      </c>
      <c r="AK112" s="14" t="str">
        <f>IF(基础状态预期!U125="","",H$27+(基础状态预期!U125-1)*H$28)</f>
        <v/>
      </c>
      <c r="AL112" s="14" t="str">
        <f>IF(基础状态预期!V125="","",I$27+(基础状态预期!V125-1)*I$28)</f>
        <v/>
      </c>
      <c r="AM112" s="14" t="str">
        <f>IF(基础状态预期!W125="","",J$27+(基础状态预期!W125-1)*J$28)</f>
        <v/>
      </c>
      <c r="AN112" s="14" t="str">
        <f>IF(基础状态预期!X125="","",K$27+(基础状态预期!X125-1)*K$28)</f>
        <v/>
      </c>
      <c r="AO112" s="14">
        <f>IF(基础状态预期!Y125="","",L$27+(基础状态预期!Y125-1)*L$28)</f>
        <v>2798.1238349609716</v>
      </c>
      <c r="AP112" s="14">
        <f>SUMPRODUCT(AK112:AO112,基础状态预期!$F125:$J125)/SUM(基础状态预期!$F125:$J125)</f>
        <v>2798.1238349609716</v>
      </c>
      <c r="AQ112" s="14" t="str">
        <f>IF(基础状态预期!U125="","",H$31+(基础状态预期!U125-1)*H$32)</f>
        <v/>
      </c>
      <c r="AR112" s="14" t="str">
        <f>IF(基础状态预期!V125="","",I$31+(基础状态预期!V125-1)*I$32)</f>
        <v/>
      </c>
      <c r="AS112" s="14" t="str">
        <f>IF(基础状态预期!W125="","",J$31+(基础状态预期!W125-1)*J$32)</f>
        <v/>
      </c>
      <c r="AT112" s="14" t="str">
        <f>IF(基础状态预期!X125="","",K$31+(基础状态预期!X125-1)*K$32)</f>
        <v/>
      </c>
      <c r="AU112" s="14">
        <f>IF(基础状态预期!Y125="","",L$31+(基础状态预期!Y125-1)*L$32)</f>
        <v>199.81238349609717</v>
      </c>
      <c r="AV112" s="14">
        <f>SUMPRODUCT(AQ112:AU112,基础状态预期!$F125:$J125)/SUM(基础状态预期!$F125:$J125)</f>
        <v>199.81238349609717</v>
      </c>
      <c r="BO112" s="29">
        <f t="shared" si="60"/>
        <v>90.406191748048585</v>
      </c>
      <c r="BP112" s="10">
        <f t="shared" si="61"/>
        <v>62422742514.429153</v>
      </c>
      <c r="BQ112" s="10" t="e">
        <f>$BP112*求节点('[1]功能-付费相关'!$AY$6:$AY$105,'[1]功能-付费相关'!$BB$6:$BB$105,$BO112)+$BQ111</f>
        <v>#VALUE!</v>
      </c>
      <c r="BZ112" s="4">
        <f t="shared" si="50"/>
        <v>179750</v>
      </c>
      <c r="CA112" s="4">
        <v>109</v>
      </c>
      <c r="CB112" s="90">
        <f t="shared" si="51"/>
        <v>2560130</v>
      </c>
      <c r="CC112" s="4">
        <f>SUM(CB$4:CB112)</f>
        <v>38874995</v>
      </c>
      <c r="CD112" s="4">
        <f t="shared" si="49"/>
        <v>1.0339878155658075</v>
      </c>
    </row>
    <row r="113" spans="1:82" x14ac:dyDescent="0.15">
      <c r="A113" s="122">
        <f t="shared" si="63"/>
        <v>3330548100</v>
      </c>
      <c r="B113" s="14">
        <v>218</v>
      </c>
      <c r="C113" s="14">
        <f t="shared" si="52"/>
        <v>25139511900</v>
      </c>
      <c r="D113" s="14">
        <f>SUM(C$5:$C113)</f>
        <v>184280443600</v>
      </c>
      <c r="E113" s="89">
        <f>'[1]资源-武将经验'!$Z114</f>
        <v>1.4064618856663424</v>
      </c>
      <c r="P113" s="5">
        <v>23</v>
      </c>
      <c r="Q113" s="14">
        <f>基础状态预期!D126</f>
        <v>93.471491811086082</v>
      </c>
      <c r="R113" s="14">
        <f>IF(基础状态预期!U126="",0,求节点($B$5:$B$154,$D$5:$D$154,基础状态预期!U126)*基础状态预期!F126)</f>
        <v>0</v>
      </c>
      <c r="S113" s="14">
        <f>IF(基础状态预期!V126="",0,求节点($B$5:$B$154,$D$5:$D$154,基础状态预期!V126)*基础状态预期!G126)</f>
        <v>0</v>
      </c>
      <c r="T113" s="14">
        <f>IF(基础状态预期!W126="",0,求节点($B$5:$B$154,$D$5:$D$154,基础状态预期!W126)*基础状态预期!H126)</f>
        <v>0</v>
      </c>
      <c r="U113" s="14">
        <f>IF(基础状态预期!X126="",0,求节点($B$5:$B$154,$D$5:$D$154,基础状态预期!X126)*基础状态预期!I126)</f>
        <v>0</v>
      </c>
      <c r="V113" s="14">
        <f>IF(基础状态预期!Y126="",0,求节点($B$5:$B$154,$D$5:$D$154,基础状态预期!Y126)*基础状态预期!J126)</f>
        <v>102280932091.13202</v>
      </c>
      <c r="W113" s="14">
        <f t="shared" si="65"/>
        <v>102280932091.13202</v>
      </c>
      <c r="Y113" s="14" t="str">
        <f>IF(基础状态预期!U126="","",H$8+(基础状态预期!U126-1)*H$11)</f>
        <v/>
      </c>
      <c r="Z113" s="14" t="str">
        <f>IF(基础状态预期!V126="","",I$8+(基础状态预期!V126-1)*I$11)</f>
        <v/>
      </c>
      <c r="AA113" s="14" t="str">
        <f>IF(基础状态预期!W126="","",J$8+(基础状态预期!W126-1)*J$11)</f>
        <v/>
      </c>
      <c r="AB113" s="14" t="str">
        <f>IF(基础状态预期!X126="","",K$8+(基础状态预期!X126-1)*K$11)</f>
        <v/>
      </c>
      <c r="AC113" s="14">
        <f>IF(基础状态预期!Y126="","",L$8+(基础状态预期!Y126-1)*L$11)</f>
        <v>6378.2895086651652</v>
      </c>
      <c r="AD113" s="14">
        <f>SUMPRODUCT(Y113:AC113,基础状态预期!$F126:$J126)/SUM(基础状态预期!$F126:$J126)</f>
        <v>6378.2895086651652</v>
      </c>
      <c r="AE113" s="14" t="str">
        <f>IF(基础状态预期!U126="","",H$9+(基础状态预期!U126-1)*H$12)</f>
        <v/>
      </c>
      <c r="AF113" s="14" t="str">
        <f>IF(基础状态预期!V126="","",I$9+(基础状态预期!V126-1)*I$12)</f>
        <v/>
      </c>
      <c r="AG113" s="14" t="str">
        <f>IF(基础状态预期!W126="","",J$9+(基础状态预期!W126-1)*J$12)</f>
        <v/>
      </c>
      <c r="AH113" s="14" t="str">
        <f>IF(基础状态预期!X126="","",K$9+(基础状态预期!X126-1)*K$12)</f>
        <v/>
      </c>
      <c r="AI113" s="14">
        <f>IF(基础状态预期!Y126="","",L$9+(基础状态预期!Y126-1)*L$12)</f>
        <v>6378.2895086651652</v>
      </c>
      <c r="AJ113" s="14">
        <f>SUMPRODUCT(AE113:AI113,基础状态预期!$F126:$J126)/SUM(基础状态预期!$F126:$J126)</f>
        <v>6378.2895086651652</v>
      </c>
      <c r="AK113" s="14" t="str">
        <f>IF(基础状态预期!U126="","",H$27+(基础状态预期!U126-1)*H$28)</f>
        <v/>
      </c>
      <c r="AL113" s="14" t="str">
        <f>IF(基础状态预期!V126="","",I$27+(基础状态预期!V126-1)*I$28)</f>
        <v/>
      </c>
      <c r="AM113" s="14" t="str">
        <f>IF(基础状态预期!W126="","",J$27+(基础状态预期!W126-1)*J$28)</f>
        <v/>
      </c>
      <c r="AN113" s="14" t="str">
        <f>IF(基础状态预期!X126="","",K$27+(基础状态预期!X126-1)*K$28)</f>
        <v/>
      </c>
      <c r="AO113" s="14">
        <f>IF(基础状态预期!Y126="","",L$27+(基础状态预期!Y126-1)*L$28)</f>
        <v>2859.4298362217214</v>
      </c>
      <c r="AP113" s="14">
        <f>SUMPRODUCT(AK113:AO113,基础状态预期!$F126:$J126)/SUM(基础状态预期!$F126:$J126)</f>
        <v>2859.4298362217214</v>
      </c>
      <c r="AQ113" s="14" t="str">
        <f>IF(基础状态预期!U126="","",H$31+(基础状态预期!U126-1)*H$32)</f>
        <v/>
      </c>
      <c r="AR113" s="14" t="str">
        <f>IF(基础状态预期!V126="","",I$31+(基础状态预期!V126-1)*I$32)</f>
        <v/>
      </c>
      <c r="AS113" s="14" t="str">
        <f>IF(基础状态预期!W126="","",J$31+(基础状态预期!W126-1)*J$32)</f>
        <v/>
      </c>
      <c r="AT113" s="14" t="str">
        <f>IF(基础状态预期!X126="","",K$31+(基础状态预期!X126-1)*K$32)</f>
        <v/>
      </c>
      <c r="AU113" s="14">
        <f>IF(基础状态预期!Y126="","",L$31+(基础状态预期!Y126-1)*L$32)</f>
        <v>205.94298362217216</v>
      </c>
      <c r="AV113" s="14">
        <f>SUMPRODUCT(AQ113:AU113,基础状态预期!$F126:$J126)/SUM(基础状态预期!$F126:$J126)</f>
        <v>205.94298362217216</v>
      </c>
      <c r="BO113" s="29">
        <f t="shared" si="60"/>
        <v>93.471491811086082</v>
      </c>
      <c r="BP113" s="10">
        <f t="shared" si="61"/>
        <v>102280932091.13202</v>
      </c>
      <c r="BQ113" s="10" t="e">
        <f>$BP113*求节点('[1]功能-付费相关'!$AY$6:$AY$105,'[1]功能-付费相关'!$BB$6:$BB$105,$BO113)+$BQ112</f>
        <v>#VALUE!</v>
      </c>
      <c r="BZ113" s="4">
        <f t="shared" si="50"/>
        <v>211725</v>
      </c>
      <c r="CA113" s="4">
        <v>110</v>
      </c>
      <c r="CB113" s="90">
        <f t="shared" si="51"/>
        <v>2771855</v>
      </c>
      <c r="CC113" s="4">
        <f>SUM(CB$4:CB113)</f>
        <v>41646850</v>
      </c>
      <c r="CD113" s="4">
        <f t="shared" si="49"/>
        <v>1.0370928822405889</v>
      </c>
    </row>
    <row r="114" spans="1:82" x14ac:dyDescent="0.15">
      <c r="A114" s="122">
        <f t="shared" si="63"/>
        <v>3830130300</v>
      </c>
      <c r="B114" s="14">
        <v>220</v>
      </c>
      <c r="C114" s="14">
        <f t="shared" si="52"/>
        <v>28969642200</v>
      </c>
      <c r="D114" s="14">
        <f>SUM(C$5:$C114)</f>
        <v>213250085800</v>
      </c>
      <c r="E114" s="89">
        <f>'[1]资源-武将经验'!$Z115</f>
        <v>1.4321757511621633</v>
      </c>
      <c r="P114" s="5">
        <v>24</v>
      </c>
      <c r="Q114" s="14">
        <f>基础状态预期!D127</f>
        <v>97.107381566993553</v>
      </c>
      <c r="R114" s="14">
        <f>IF(基础状态预期!U127="",0,求节点($B$5:$B$154,$D$5:$D$154,基础状态预期!U127)*基础状态预期!F127)</f>
        <v>0</v>
      </c>
      <c r="S114" s="14">
        <f>IF(基础状态预期!V127="",0,求节点($B$5:$B$154,$D$5:$D$154,基础状态预期!V127)*基础状态预期!G127)</f>
        <v>0</v>
      </c>
      <c r="T114" s="14">
        <f>IF(基础状态预期!W127="",0,求节点($B$5:$B$154,$D$5:$D$154,基础状态预期!W127)*基础状态预期!H127)</f>
        <v>0</v>
      </c>
      <c r="U114" s="14">
        <f>IF(基础状态预期!X127="",0,求节点($B$5:$B$154,$D$5:$D$154,基础状态预期!X127)*基础状态预期!I127)</f>
        <v>0</v>
      </c>
      <c r="V114" s="14">
        <f>IF(基础状态预期!Y127="",0,求节点($B$5:$B$154,$D$5:$D$154,基础状态预期!Y127)*基础状态预期!J127)</f>
        <v>182345066858.24316</v>
      </c>
      <c r="W114" s="14">
        <f t="shared" si="65"/>
        <v>182345066858.24316</v>
      </c>
      <c r="Y114" s="14" t="str">
        <f>IF(基础状态预期!U127="","",H$8+(基础状态预期!U127-1)*H$11)</f>
        <v/>
      </c>
      <c r="Z114" s="14" t="str">
        <f>IF(基础状态预期!V127="","",I$8+(基础状态预期!V127-1)*I$11)</f>
        <v/>
      </c>
      <c r="AA114" s="14" t="str">
        <f>IF(基础状态预期!W127="","",J$8+(基础状态预期!W127-1)*J$11)</f>
        <v/>
      </c>
      <c r="AB114" s="14" t="str">
        <f>IF(基础状态预期!X127="","",K$8+(基础状态预期!X127-1)*K$11)</f>
        <v/>
      </c>
      <c r="AC114" s="14">
        <f>IF(基础状态预期!Y127="","",L$8+(基础状态预期!Y127-1)*L$11)</f>
        <v>6596.442894019613</v>
      </c>
      <c r="AD114" s="14">
        <f>SUMPRODUCT(Y114:AC114,基础状态预期!$F127:$J127)/SUM(基础状态预期!$F127:$J127)</f>
        <v>6596.442894019613</v>
      </c>
      <c r="AE114" s="14" t="str">
        <f>IF(基础状态预期!U127="","",H$9+(基础状态预期!U127-1)*H$12)</f>
        <v/>
      </c>
      <c r="AF114" s="14" t="str">
        <f>IF(基础状态预期!V127="","",I$9+(基础状态预期!V127-1)*I$12)</f>
        <v/>
      </c>
      <c r="AG114" s="14" t="str">
        <f>IF(基础状态预期!W127="","",J$9+(基础状态预期!W127-1)*J$12)</f>
        <v/>
      </c>
      <c r="AH114" s="14" t="str">
        <f>IF(基础状态预期!X127="","",K$9+(基础状态预期!X127-1)*K$12)</f>
        <v/>
      </c>
      <c r="AI114" s="14">
        <f>IF(基础状态预期!Y127="","",L$9+(基础状态预期!Y127-1)*L$12)</f>
        <v>6596.442894019613</v>
      </c>
      <c r="AJ114" s="14">
        <f>SUMPRODUCT(AE114:AI114,基础状态预期!$F127:$J127)/SUM(基础状态预期!$F127:$J127)</f>
        <v>6596.442894019613</v>
      </c>
      <c r="AK114" s="14" t="str">
        <f>IF(基础状态预期!U127="","",H$27+(基础状态预期!U127-1)*H$28)</f>
        <v/>
      </c>
      <c r="AL114" s="14" t="str">
        <f>IF(基础状态预期!V127="","",I$27+(基础状态预期!V127-1)*I$28)</f>
        <v/>
      </c>
      <c r="AM114" s="14" t="str">
        <f>IF(基础状态预期!W127="","",J$27+(基础状态预期!W127-1)*J$28)</f>
        <v/>
      </c>
      <c r="AN114" s="14" t="str">
        <f>IF(基础状态预期!X127="","",K$27+(基础状态预期!X127-1)*K$28)</f>
        <v/>
      </c>
      <c r="AO114" s="14">
        <f>IF(基础状态预期!Y127="","",L$27+(基础状态预期!Y127-1)*L$28)</f>
        <v>2932.1476313398712</v>
      </c>
      <c r="AP114" s="14">
        <f>SUMPRODUCT(AK114:AO114,基础状态预期!$F127:$J127)/SUM(基础状态预期!$F127:$J127)</f>
        <v>2932.1476313398712</v>
      </c>
      <c r="AQ114" s="14" t="str">
        <f>IF(基础状态预期!U127="","",H$31+(基础状态预期!U127-1)*H$32)</f>
        <v/>
      </c>
      <c r="AR114" s="14" t="str">
        <f>IF(基础状态预期!V127="","",I$31+(基础状态预期!V127-1)*I$32)</f>
        <v/>
      </c>
      <c r="AS114" s="14" t="str">
        <f>IF(基础状态预期!W127="","",J$31+(基础状态预期!W127-1)*J$32)</f>
        <v/>
      </c>
      <c r="AT114" s="14" t="str">
        <f>IF(基础状态预期!X127="","",K$31+(基础状态预期!X127-1)*K$32)</f>
        <v/>
      </c>
      <c r="AU114" s="14">
        <f>IF(基础状态预期!Y127="","",L$31+(基础状态预期!Y127-1)*L$32)</f>
        <v>213.21476313398711</v>
      </c>
      <c r="AV114" s="14">
        <f>SUMPRODUCT(AQ114:AU114,基础状态预期!$F127:$J127)/SUM(基础状态预期!$F127:$J127)</f>
        <v>213.21476313398708</v>
      </c>
      <c r="BO114" s="29">
        <f t="shared" si="60"/>
        <v>97.107381566993553</v>
      </c>
      <c r="BP114" s="10">
        <f t="shared" si="61"/>
        <v>182345066858.24316</v>
      </c>
      <c r="BQ114" s="10" t="e">
        <f>$BP114*求节点('[1]功能-付费相关'!$AY$6:$AY$105,'[1]功能-付费相关'!$BB$6:$BB$105,$BO114)+$BQ113</f>
        <v>#VALUE!</v>
      </c>
      <c r="BZ114" s="4">
        <f t="shared" si="50"/>
        <v>211725</v>
      </c>
      <c r="CA114" s="4">
        <v>111</v>
      </c>
      <c r="CB114" s="90">
        <f t="shared" si="51"/>
        <v>2983580</v>
      </c>
      <c r="CC114" s="4">
        <f>SUM(CB$4:CB114)</f>
        <v>44630430</v>
      </c>
      <c r="CD114" s="4">
        <f t="shared" si="49"/>
        <v>1.0345270960967434</v>
      </c>
    </row>
    <row r="115" spans="1:82" x14ac:dyDescent="0.15">
      <c r="A115" s="99">
        <f>INT(A114*1.2/100)*100</f>
        <v>4596156300</v>
      </c>
      <c r="B115" s="14">
        <v>222</v>
      </c>
      <c r="C115" s="14">
        <f t="shared" si="52"/>
        <v>33565798500</v>
      </c>
      <c r="D115" s="14">
        <f>SUM(C$5:$C115)</f>
        <v>246815884300</v>
      </c>
      <c r="E115" s="89">
        <f>'[1]资源-武将经验'!$Z116</f>
        <v>1.4838522648538979</v>
      </c>
      <c r="P115" s="5">
        <v>25</v>
      </c>
      <c r="Q115" s="14">
        <f>基础状态预期!D128</f>
        <v>100.71243145193914</v>
      </c>
      <c r="R115" s="14">
        <f>IF(基础状态预期!U128="",0,求节点($B$5:$B$154,$D$5:$D$154,基础状态预期!U128)*基础状态预期!F128)</f>
        <v>0</v>
      </c>
      <c r="S115" s="14">
        <f>IF(基础状态预期!V128="",0,求节点($B$5:$B$154,$D$5:$D$154,基础状态预期!V128)*基础状态预期!G128)</f>
        <v>0</v>
      </c>
      <c r="T115" s="14">
        <f>IF(基础状态预期!W128="",0,求节点($B$5:$B$154,$D$5:$D$154,基础状态预期!W128)*基础状态预期!H128)</f>
        <v>0</v>
      </c>
      <c r="U115" s="14">
        <f>IF(基础状态预期!X128="",0,求节点($B$5:$B$154,$D$5:$D$154,基础状态预期!X128)*基础状态预期!I128)</f>
        <v>0</v>
      </c>
      <c r="V115" s="14">
        <f>IF(基础状态预期!Y128="",0,求节点($B$5:$B$154,$D$5:$D$154,基础状态预期!Y128)*基础状态预期!J128)</f>
        <v>320303289810.44537</v>
      </c>
      <c r="W115" s="14">
        <f t="shared" si="65"/>
        <v>320303289810.44537</v>
      </c>
      <c r="Y115" s="14" t="str">
        <f>IF(基础状态预期!U128="","",H$8+(基础状态预期!U128-1)*H$11)</f>
        <v/>
      </c>
      <c r="Z115" s="14" t="str">
        <f>IF(基础状态预期!V128="","",I$8+(基础状态预期!V128-1)*I$11)</f>
        <v/>
      </c>
      <c r="AA115" s="14" t="str">
        <f>IF(基础状态预期!W128="","",J$8+(基础状态预期!W128-1)*J$11)</f>
        <v/>
      </c>
      <c r="AB115" s="14" t="str">
        <f>IF(基础状态预期!X128="","",K$8+(基础状态预期!X128-1)*K$11)</f>
        <v/>
      </c>
      <c r="AC115" s="14">
        <f>IF(基础状态预期!Y128="","",L$8+(基础状态预期!Y128-1)*L$11)</f>
        <v>6812.7458871163481</v>
      </c>
      <c r="AD115" s="14">
        <f>SUMPRODUCT(Y115:AC115,基础状态预期!$F128:$J128)/SUM(基础状态预期!$F128:$J128)</f>
        <v>6812.7458871163481</v>
      </c>
      <c r="AE115" s="14" t="str">
        <f>IF(基础状态预期!U128="","",H$9+(基础状态预期!U128-1)*H$12)</f>
        <v/>
      </c>
      <c r="AF115" s="14" t="str">
        <f>IF(基础状态预期!V128="","",I$9+(基础状态预期!V128-1)*I$12)</f>
        <v/>
      </c>
      <c r="AG115" s="14" t="str">
        <f>IF(基础状态预期!W128="","",J$9+(基础状态预期!W128-1)*J$12)</f>
        <v/>
      </c>
      <c r="AH115" s="14" t="str">
        <f>IF(基础状态预期!X128="","",K$9+(基础状态预期!X128-1)*K$12)</f>
        <v/>
      </c>
      <c r="AI115" s="14">
        <f>IF(基础状态预期!Y128="","",L$9+(基础状态预期!Y128-1)*L$12)</f>
        <v>6812.7458871163481</v>
      </c>
      <c r="AJ115" s="14">
        <f>SUMPRODUCT(AE115:AI115,基础状态预期!$F128:$J128)/SUM(基础状态预期!$F128:$J128)</f>
        <v>6812.7458871163481</v>
      </c>
      <c r="AK115" s="14" t="str">
        <f>IF(基础状态预期!U128="","",H$27+(基础状态预期!U128-1)*H$28)</f>
        <v/>
      </c>
      <c r="AL115" s="14" t="str">
        <f>IF(基础状态预期!V128="","",I$27+(基础状态预期!V128-1)*I$28)</f>
        <v/>
      </c>
      <c r="AM115" s="14" t="str">
        <f>IF(基础状态预期!W128="","",J$27+(基础状态预期!W128-1)*J$28)</f>
        <v/>
      </c>
      <c r="AN115" s="14" t="str">
        <f>IF(基础状态预期!X128="","",K$27+(基础状态预期!X128-1)*K$28)</f>
        <v/>
      </c>
      <c r="AO115" s="14">
        <f>IF(基础状态预期!Y128="","",L$27+(基础状态预期!Y128-1)*L$28)</f>
        <v>3004.2486290387828</v>
      </c>
      <c r="AP115" s="14">
        <f>SUMPRODUCT(AK115:AO115,基础状态预期!$F128:$J128)/SUM(基础状态预期!$F128:$J128)</f>
        <v>3004.2486290387828</v>
      </c>
      <c r="AQ115" s="14" t="str">
        <f>IF(基础状态预期!U128="","",H$31+(基础状态预期!U128-1)*H$32)</f>
        <v/>
      </c>
      <c r="AR115" s="14" t="str">
        <f>IF(基础状态预期!V128="","",I$31+(基础状态预期!V128-1)*I$32)</f>
        <v/>
      </c>
      <c r="AS115" s="14" t="str">
        <f>IF(基础状态预期!W128="","",J$31+(基础状态预期!W128-1)*J$32)</f>
        <v/>
      </c>
      <c r="AT115" s="14" t="str">
        <f>IF(基础状态预期!X128="","",K$31+(基础状态预期!X128-1)*K$32)</f>
        <v/>
      </c>
      <c r="AU115" s="14">
        <f>IF(基础状态预期!Y128="","",L$31+(基础状态预期!Y128-1)*L$32)</f>
        <v>220.42486290387828</v>
      </c>
      <c r="AV115" s="14">
        <f>SUMPRODUCT(AQ115:AU115,基础状态预期!$F128:$J128)/SUM(基础状态预期!$F128:$J128)</f>
        <v>220.42486290387828</v>
      </c>
      <c r="BO115" s="29">
        <f t="shared" si="60"/>
        <v>100.71243145193914</v>
      </c>
      <c r="BP115" s="10">
        <f t="shared" si="61"/>
        <v>320303289810.44537</v>
      </c>
      <c r="BQ115" s="10" t="e">
        <f>$BP115*求节点('[1]功能-付费相关'!$AY$6:$AY$105,'[1]功能-付费相关'!$BB$6:$BB$105,$BO115)+$BQ114</f>
        <v>#VALUE!</v>
      </c>
      <c r="BZ115" s="4">
        <f t="shared" si="50"/>
        <v>249400</v>
      </c>
      <c r="CA115" s="4">
        <v>112</v>
      </c>
      <c r="CB115" s="90">
        <f t="shared" si="51"/>
        <v>3232980</v>
      </c>
      <c r="CC115" s="4">
        <f>SUM(CB$4:CB115)</f>
        <v>47863410</v>
      </c>
      <c r="CD115" s="4">
        <f t="shared" si="49"/>
        <v>1.0377003544753873</v>
      </c>
    </row>
    <row r="116" spans="1:82" x14ac:dyDescent="0.15">
      <c r="A116" s="99">
        <f t="shared" ref="A116:A139" si="66">INT(A115*1.2/100)*100</f>
        <v>5515387500</v>
      </c>
      <c r="B116" s="14">
        <v>224</v>
      </c>
      <c r="C116" s="14">
        <f t="shared" si="52"/>
        <v>39081186000</v>
      </c>
      <c r="D116" s="14">
        <f>SUM(C$5:$C116)</f>
        <v>285897070300</v>
      </c>
      <c r="E116" s="89">
        <f>'[1]资源-武将经验'!$Z117</f>
        <v>1.4546055161542326</v>
      </c>
      <c r="P116" s="5">
        <v>26</v>
      </c>
      <c r="Q116" s="14">
        <f>基础状态预期!D129</f>
        <v>104.39233713204413</v>
      </c>
      <c r="R116" s="14">
        <f>IF(基础状态预期!U129="",0,求节点($B$5:$B$154,$D$5:$D$154,基础状态预期!U129)*基础状态预期!F129)</f>
        <v>0</v>
      </c>
      <c r="S116" s="14">
        <f>IF(基础状态预期!V129="",0,求节点($B$5:$B$154,$D$5:$D$154,基础状态预期!V129)*基础状态预期!G129)</f>
        <v>0</v>
      </c>
      <c r="T116" s="14">
        <f>IF(基础状态预期!W129="",0,求节点($B$5:$B$154,$D$5:$D$154,基础状态预期!W129)*基础状态预期!H129)</f>
        <v>0</v>
      </c>
      <c r="U116" s="14">
        <f>IF(基础状态预期!X129="",0,求节点($B$5:$B$154,$D$5:$D$154,基础状态预期!X129)*基础状态预期!I129)</f>
        <v>0</v>
      </c>
      <c r="V116" s="14">
        <f>IF(基础状态预期!Y129="",0,求节点($B$5:$B$154,$D$5:$D$154,基础状态预期!Y129)*基础状态预期!J129)</f>
        <v>560358476854.78003</v>
      </c>
      <c r="W116" s="14">
        <f t="shared" si="65"/>
        <v>560358476854.78003</v>
      </c>
      <c r="Y116" s="14" t="str">
        <f>IF(基础状态预期!U129="","",H$8+(基础状态预期!U129-1)*H$11)</f>
        <v/>
      </c>
      <c r="Z116" s="14" t="str">
        <f>IF(基础状态预期!V129="","",I$8+(基础状态预期!V129-1)*I$11)</f>
        <v/>
      </c>
      <c r="AA116" s="14" t="str">
        <f>IF(基础状态预期!W129="","",J$8+(基础状态预期!W129-1)*J$11)</f>
        <v/>
      </c>
      <c r="AB116" s="14" t="str">
        <f>IF(基础状态预期!X129="","",K$8+(基础状态预期!X129-1)*K$11)</f>
        <v/>
      </c>
      <c r="AC116" s="14">
        <f>IF(基础状态预期!Y129="","",L$8+(基础状态预期!Y129-1)*L$11)</f>
        <v>7033.5402279226482</v>
      </c>
      <c r="AD116" s="14">
        <f>SUMPRODUCT(Y116:AC116,基础状态预期!$F129:$J129)/SUM(基础状态预期!$F129:$J129)</f>
        <v>7033.5402279226482</v>
      </c>
      <c r="AE116" s="14" t="str">
        <f>IF(基础状态预期!U129="","",H$9+(基础状态预期!U129-1)*H$12)</f>
        <v/>
      </c>
      <c r="AF116" s="14" t="str">
        <f>IF(基础状态预期!V129="","",I$9+(基础状态预期!V129-1)*I$12)</f>
        <v/>
      </c>
      <c r="AG116" s="14" t="str">
        <f>IF(基础状态预期!W129="","",J$9+(基础状态预期!W129-1)*J$12)</f>
        <v/>
      </c>
      <c r="AH116" s="14" t="str">
        <f>IF(基础状态预期!X129="","",K$9+(基础状态预期!X129-1)*K$12)</f>
        <v/>
      </c>
      <c r="AI116" s="14">
        <f>IF(基础状态预期!Y129="","",L$9+(基础状态预期!Y129-1)*L$12)</f>
        <v>7033.5402279226482</v>
      </c>
      <c r="AJ116" s="14">
        <f>SUMPRODUCT(AE116:AI116,基础状态预期!$F129:$J129)/SUM(基础状态预期!$F129:$J129)</f>
        <v>7033.5402279226482</v>
      </c>
      <c r="AK116" s="14" t="str">
        <f>IF(基础状态预期!U129="","",H$27+(基础状态预期!U129-1)*H$28)</f>
        <v/>
      </c>
      <c r="AL116" s="14" t="str">
        <f>IF(基础状态预期!V129="","",I$27+(基础状态预期!V129-1)*I$28)</f>
        <v/>
      </c>
      <c r="AM116" s="14" t="str">
        <f>IF(基础状态预期!W129="","",J$27+(基础状态预期!W129-1)*J$28)</f>
        <v/>
      </c>
      <c r="AN116" s="14" t="str">
        <f>IF(基础状态预期!X129="","",K$27+(基础状态预期!X129-1)*K$28)</f>
        <v/>
      </c>
      <c r="AO116" s="14">
        <f>IF(基础状态预期!Y129="","",L$27+(基础状态预期!Y129-1)*L$28)</f>
        <v>3077.8467426408824</v>
      </c>
      <c r="AP116" s="14">
        <f>SUMPRODUCT(AK116:AO116,基础状态预期!$F129:$J129)/SUM(基础状态预期!$F129:$J129)</f>
        <v>3077.8467426408824</v>
      </c>
      <c r="AQ116" s="14" t="str">
        <f>IF(基础状态预期!U129="","",H$31+(基础状态预期!U129-1)*H$32)</f>
        <v/>
      </c>
      <c r="AR116" s="14" t="str">
        <f>IF(基础状态预期!V129="","",I$31+(基础状态预期!V129-1)*I$32)</f>
        <v/>
      </c>
      <c r="AS116" s="14" t="str">
        <f>IF(基础状态预期!W129="","",J$31+(基础状态预期!W129-1)*J$32)</f>
        <v/>
      </c>
      <c r="AT116" s="14" t="str">
        <f>IF(基础状态预期!X129="","",K$31+(基础状态预期!X129-1)*K$32)</f>
        <v/>
      </c>
      <c r="AU116" s="14">
        <f>IF(基础状态预期!Y129="","",L$31+(基础状态预期!Y129-1)*L$32)</f>
        <v>227.78467426408827</v>
      </c>
      <c r="AV116" s="14">
        <f>SUMPRODUCT(AQ116:AU116,基础状态预期!$F129:$J129)/SUM(基础状态预期!$F129:$J129)</f>
        <v>227.78467426408827</v>
      </c>
      <c r="BO116" s="29">
        <f t="shared" si="60"/>
        <v>104.39233713204413</v>
      </c>
      <c r="BP116" s="10">
        <f t="shared" si="61"/>
        <v>560358476854.78003</v>
      </c>
      <c r="BQ116" s="10" t="e">
        <f>$BP116*求节点('[1]功能-付费相关'!$AY$6:$AY$105,'[1]功能-付费相关'!$BB$6:$BB$105,$BO116)+$BQ115</f>
        <v>#VALUE!</v>
      </c>
      <c r="BZ116" s="4">
        <f t="shared" si="50"/>
        <v>249400</v>
      </c>
      <c r="CA116" s="4">
        <v>113</v>
      </c>
      <c r="CB116" s="90">
        <f t="shared" si="51"/>
        <v>3482380</v>
      </c>
      <c r="CC116" s="4">
        <f>SUM(CB$4:CB116)</f>
        <v>51345790</v>
      </c>
      <c r="CD116" s="4">
        <f t="shared" si="49"/>
        <v>1.0350533897502161</v>
      </c>
    </row>
    <row r="117" spans="1:82" x14ac:dyDescent="0.15">
      <c r="A117" s="99">
        <f t="shared" si="66"/>
        <v>6618465000</v>
      </c>
      <c r="B117" s="14">
        <v>226</v>
      </c>
      <c r="C117" s="14">
        <f t="shared" si="52"/>
        <v>45699651000</v>
      </c>
      <c r="D117" s="14">
        <f>SUM(C$5:$C117)</f>
        <v>331596721300</v>
      </c>
      <c r="E117" s="89">
        <f>'[1]资源-武将经验'!$Z118</f>
        <v>1.4619601409944254</v>
      </c>
      <c r="P117" s="5">
        <v>27</v>
      </c>
      <c r="Q117" s="14">
        <f>基础状态预期!D130</f>
        <v>107.81562240612369</v>
      </c>
      <c r="R117" s="14">
        <f>IF(基础状态预期!U130="",0,求节点($B$5:$B$154,$D$5:$D$154,基础状态预期!U130)*基础状态预期!F130)</f>
        <v>0</v>
      </c>
      <c r="S117" s="14">
        <f>IF(基础状态预期!V130="",0,求节点($B$5:$B$154,$D$5:$D$154,基础状态预期!V130)*基础状态预期!G130)</f>
        <v>0</v>
      </c>
      <c r="T117" s="14">
        <f>IF(基础状态预期!W130="",0,求节点($B$5:$B$154,$D$5:$D$154,基础状态预期!W130)*基础状态预期!H130)</f>
        <v>0</v>
      </c>
      <c r="U117" s="14">
        <f>IF(基础状态预期!X130="",0,求节点($B$5:$B$154,$D$5:$D$154,基础状态预期!X130)*基础状态预期!I130)</f>
        <v>0</v>
      </c>
      <c r="V117" s="14">
        <f>IF(基础状态预期!Y130="",0,求节点($B$5:$B$154,$D$5:$D$154,基础状态预期!Y130)*基础状态预期!J130)</f>
        <v>930719084577.72327</v>
      </c>
      <c r="W117" s="14">
        <f t="shared" si="65"/>
        <v>930719084577.72327</v>
      </c>
      <c r="Y117" s="14" t="str">
        <f>IF(基础状态预期!U130="","",H$8+(基础状态预期!U130-1)*H$11)</f>
        <v/>
      </c>
      <c r="Z117" s="14" t="str">
        <f>IF(基础状态预期!V130="","",I$8+(基础状态预期!V130-1)*I$11)</f>
        <v/>
      </c>
      <c r="AA117" s="14" t="str">
        <f>IF(基础状态预期!W130="","",J$8+(基础状态预期!W130-1)*J$11)</f>
        <v/>
      </c>
      <c r="AB117" s="14" t="str">
        <f>IF(基础状态预期!X130="","",K$8+(基础状态预期!X130-1)*K$11)</f>
        <v/>
      </c>
      <c r="AC117" s="14">
        <f>IF(基础状态预期!Y130="","",L$8+(基础状态预期!Y130-1)*L$11)</f>
        <v>7238.9373443674212</v>
      </c>
      <c r="AD117" s="14">
        <f>SUMPRODUCT(Y117:AC117,基础状态预期!$F130:$J130)/SUM(基础状态预期!$F130:$J130)</f>
        <v>7238.9373443674222</v>
      </c>
      <c r="AE117" s="14" t="str">
        <f>IF(基础状态预期!U130="","",H$9+(基础状态预期!U130-1)*H$12)</f>
        <v/>
      </c>
      <c r="AF117" s="14" t="str">
        <f>IF(基础状态预期!V130="","",I$9+(基础状态预期!V130-1)*I$12)</f>
        <v/>
      </c>
      <c r="AG117" s="14" t="str">
        <f>IF(基础状态预期!W130="","",J$9+(基础状态预期!W130-1)*J$12)</f>
        <v/>
      </c>
      <c r="AH117" s="14" t="str">
        <f>IF(基础状态预期!X130="","",K$9+(基础状态预期!X130-1)*K$12)</f>
        <v/>
      </c>
      <c r="AI117" s="14">
        <f>IF(基础状态预期!Y130="","",L$9+(基础状态预期!Y130-1)*L$12)</f>
        <v>7238.9373443674212</v>
      </c>
      <c r="AJ117" s="14">
        <f>SUMPRODUCT(AE117:AI117,基础状态预期!$F130:$J130)/SUM(基础状态预期!$F130:$J130)</f>
        <v>7238.9373443674222</v>
      </c>
      <c r="AK117" s="14" t="str">
        <f>IF(基础状态预期!U130="","",H$27+(基础状态预期!U130-1)*H$28)</f>
        <v/>
      </c>
      <c r="AL117" s="14" t="str">
        <f>IF(基础状态预期!V130="","",I$27+(基础状态预期!V130-1)*I$28)</f>
        <v/>
      </c>
      <c r="AM117" s="14" t="str">
        <f>IF(基础状态预期!W130="","",J$27+(基础状态预期!W130-1)*J$28)</f>
        <v/>
      </c>
      <c r="AN117" s="14" t="str">
        <f>IF(基础状态预期!X130="","",K$27+(基础状态预期!X130-1)*K$28)</f>
        <v/>
      </c>
      <c r="AO117" s="14">
        <f>IF(基础状态预期!Y130="","",L$27+(基础状态预期!Y130-1)*L$28)</f>
        <v>3146.3124481224741</v>
      </c>
      <c r="AP117" s="14">
        <f>SUMPRODUCT(AK117:AO117,基础状态预期!$F130:$J130)/SUM(基础状态预期!$F130:$J130)</f>
        <v>3146.3124481224745</v>
      </c>
      <c r="AQ117" s="14" t="str">
        <f>IF(基础状态预期!U130="","",H$31+(基础状态预期!U130-1)*H$32)</f>
        <v/>
      </c>
      <c r="AR117" s="14" t="str">
        <f>IF(基础状态预期!V130="","",I$31+(基础状态预期!V130-1)*I$32)</f>
        <v/>
      </c>
      <c r="AS117" s="14" t="str">
        <f>IF(基础状态预期!W130="","",J$31+(基础状态预期!W130-1)*J$32)</f>
        <v/>
      </c>
      <c r="AT117" s="14" t="str">
        <f>IF(基础状态预期!X130="","",K$31+(基础状态预期!X130-1)*K$32)</f>
        <v/>
      </c>
      <c r="AU117" s="14">
        <f>IF(基础状态预期!Y130="","",L$31+(基础状态预期!Y130-1)*L$32)</f>
        <v>234.63124481224739</v>
      </c>
      <c r="AV117" s="14">
        <f>SUMPRODUCT(AQ117:AU117,基础状态预期!$F130:$J130)/SUM(基础状态预期!$F130:$J130)</f>
        <v>234.63124481224739</v>
      </c>
      <c r="BO117" s="29">
        <f t="shared" si="60"/>
        <v>107.81562240612369</v>
      </c>
      <c r="BP117" s="10">
        <f t="shared" si="61"/>
        <v>930719084577.72327</v>
      </c>
      <c r="BQ117" s="10" t="e">
        <f>$BP117*求节点('[1]功能-付费相关'!$AY$6:$AY$105,'[1]功能-付费相关'!$BB$6:$BB$105,$BO117)+$BQ116</f>
        <v>#VALUE!</v>
      </c>
      <c r="BZ117" s="4">
        <f t="shared" si="50"/>
        <v>293775</v>
      </c>
      <c r="CA117" s="4">
        <v>114</v>
      </c>
      <c r="CB117" s="90">
        <f t="shared" si="51"/>
        <v>3776155</v>
      </c>
      <c r="CC117" s="4">
        <f>SUM(CB$4:CB117)</f>
        <v>55121945</v>
      </c>
      <c r="CD117" s="4">
        <f t="shared" si="49"/>
        <v>1.0382872819946769</v>
      </c>
    </row>
    <row r="118" spans="1:82" x14ac:dyDescent="0.15">
      <c r="A118" s="99">
        <f t="shared" si="66"/>
        <v>7942158000</v>
      </c>
      <c r="B118" s="14">
        <v>228</v>
      </c>
      <c r="C118" s="14">
        <f t="shared" si="52"/>
        <v>53641809000</v>
      </c>
      <c r="D118" s="14">
        <f>SUM(C$5:$C118)</f>
        <v>385238530300</v>
      </c>
      <c r="E118" s="89">
        <f>'[1]资源-武将经验'!$Z119</f>
        <v>1.5001465773096001</v>
      </c>
      <c r="J118" s="48"/>
      <c r="P118" s="5">
        <v>28</v>
      </c>
      <c r="Q118" s="14">
        <f>基础状态预期!D131</f>
        <v>111.36292001894914</v>
      </c>
      <c r="R118" s="14">
        <f>IF(基础状态预期!U131="",0,求节点($B$5:$B$154,$D$5:$D$154,基础状态预期!U131)*基础状态预期!F131)</f>
        <v>0</v>
      </c>
      <c r="S118" s="14">
        <f>IF(基础状态预期!V131="",0,求节点($B$5:$B$154,$D$5:$D$154,基础状态预期!V131)*基础状态预期!G131)</f>
        <v>0</v>
      </c>
      <c r="T118" s="14">
        <f>IF(基础状态预期!W131="",0,求节点($B$5:$B$154,$D$5:$D$154,基础状态预期!W131)*基础状态预期!H131)</f>
        <v>0</v>
      </c>
      <c r="U118" s="14">
        <f>IF(基础状态预期!X131="",0,求节点($B$5:$B$154,$D$5:$D$154,基础状态预期!X131)*基础状态预期!I131)</f>
        <v>0</v>
      </c>
      <c r="V118" s="14">
        <f>IF(基础状态预期!Y131="",0,求节点($B$5:$B$154,$D$5:$D$154,基础状态预期!Y131)*基础状态预期!J131)</f>
        <v>1565995374382.0493</v>
      </c>
      <c r="W118" s="14">
        <f t="shared" si="65"/>
        <v>1565995374382.0493</v>
      </c>
      <c r="Y118" s="14" t="str">
        <f>IF(基础状态预期!U131="","",H$8+(基础状态预期!U131-1)*H$11)</f>
        <v/>
      </c>
      <c r="Z118" s="14" t="str">
        <f>IF(基础状态预期!V131="","",I$8+(基础状态预期!V131-1)*I$11)</f>
        <v/>
      </c>
      <c r="AA118" s="14" t="str">
        <f>IF(基础状态预期!W131="","",J$8+(基础状态预期!W131-1)*J$11)</f>
        <v/>
      </c>
      <c r="AB118" s="14" t="str">
        <f>IF(基础状态预期!X131="","",K$8+(基础状态预期!X131-1)*K$11)</f>
        <v/>
      </c>
      <c r="AC118" s="14">
        <f>IF(基础状态预期!Y131="","",L$8+(基础状态预期!Y131-1)*L$11)</f>
        <v>7451.7752011369485</v>
      </c>
      <c r="AD118" s="14">
        <f>SUMPRODUCT(Y118:AC118,基础状态预期!$F131:$J131)/SUM(基础状态预期!$F131:$J131)</f>
        <v>7451.7752011369485</v>
      </c>
      <c r="AE118" s="14" t="str">
        <f>IF(基础状态预期!U131="","",H$9+(基础状态预期!U131-1)*H$12)</f>
        <v/>
      </c>
      <c r="AF118" s="14" t="str">
        <f>IF(基础状态预期!V131="","",I$9+(基础状态预期!V131-1)*I$12)</f>
        <v/>
      </c>
      <c r="AG118" s="14" t="str">
        <f>IF(基础状态预期!W131="","",J$9+(基础状态预期!W131-1)*J$12)</f>
        <v/>
      </c>
      <c r="AH118" s="14" t="str">
        <f>IF(基础状态预期!X131="","",K$9+(基础状态预期!X131-1)*K$12)</f>
        <v/>
      </c>
      <c r="AI118" s="14">
        <f>IF(基础状态预期!Y131="","",L$9+(基础状态预期!Y131-1)*L$12)</f>
        <v>7451.7752011369485</v>
      </c>
      <c r="AJ118" s="14">
        <f>SUMPRODUCT(AE118:AI118,基础状态预期!$F131:$J131)/SUM(基础状态预期!$F131:$J131)</f>
        <v>7451.7752011369485</v>
      </c>
      <c r="AK118" s="14" t="str">
        <f>IF(基础状态预期!U131="","",H$27+(基础状态预期!U131-1)*H$28)</f>
        <v/>
      </c>
      <c r="AL118" s="14" t="str">
        <f>IF(基础状态预期!V131="","",I$27+(基础状态预期!V131-1)*I$28)</f>
        <v/>
      </c>
      <c r="AM118" s="14" t="str">
        <f>IF(基础状态预期!W131="","",J$27+(基础状态预期!W131-1)*J$28)</f>
        <v/>
      </c>
      <c r="AN118" s="14" t="str">
        <f>IF(基础状态预期!X131="","",K$27+(基础状态预期!X131-1)*K$28)</f>
        <v/>
      </c>
      <c r="AO118" s="14">
        <f>IF(基础状态预期!Y131="","",L$27+(基础状态预期!Y131-1)*L$28)</f>
        <v>3217.258400378983</v>
      </c>
      <c r="AP118" s="14">
        <f>SUMPRODUCT(AK118:AO118,基础状态预期!$F131:$J131)/SUM(基础状态预期!$F131:$J131)</f>
        <v>3217.258400378983</v>
      </c>
      <c r="AQ118" s="14" t="str">
        <f>IF(基础状态预期!U131="","",H$31+(基础状态预期!U131-1)*H$32)</f>
        <v/>
      </c>
      <c r="AR118" s="14" t="str">
        <f>IF(基础状态预期!V131="","",I$31+(基础状态预期!V131-1)*I$32)</f>
        <v/>
      </c>
      <c r="AS118" s="14" t="str">
        <f>IF(基础状态预期!W131="","",J$31+(基础状态预期!W131-1)*J$32)</f>
        <v/>
      </c>
      <c r="AT118" s="14" t="str">
        <f>IF(基础状态预期!X131="","",K$31+(基础状态预期!X131-1)*K$32)</f>
        <v/>
      </c>
      <c r="AU118" s="14">
        <f>IF(基础状态预期!Y131="","",L$31+(基础状态预期!Y131-1)*L$32)</f>
        <v>241.72584003789828</v>
      </c>
      <c r="AV118" s="14">
        <f>SUMPRODUCT(AQ118:AU118,基础状态预期!$F131:$J131)/SUM(基础状态预期!$F131:$J131)</f>
        <v>241.72584003789828</v>
      </c>
      <c r="BO118" s="29">
        <f t="shared" si="60"/>
        <v>111.36292001894914</v>
      </c>
      <c r="BP118" s="10">
        <f t="shared" si="61"/>
        <v>1565995374382.0493</v>
      </c>
      <c r="BQ118" s="10" t="e">
        <f>$BP118*求节点('[1]功能-付费相关'!$AY$6:$AY$105,'[1]功能-付费相关'!$BB$6:$BB$105,$BO118)+$BQ117</f>
        <v>#VALUE!</v>
      </c>
      <c r="BZ118" s="4">
        <f t="shared" si="50"/>
        <v>293775</v>
      </c>
      <c r="CA118" s="4">
        <v>115</v>
      </c>
      <c r="CB118" s="90">
        <f t="shared" si="51"/>
        <v>4069930</v>
      </c>
      <c r="CC118" s="4">
        <f>SUM(CB$4:CB118)</f>
        <v>59191875</v>
      </c>
      <c r="CD118" s="4">
        <f t="shared" si="49"/>
        <v>1.0355607360138561</v>
      </c>
    </row>
    <row r="119" spans="1:82" x14ac:dyDescent="0.15">
      <c r="A119" s="99">
        <f t="shared" si="66"/>
        <v>9530589600</v>
      </c>
      <c r="B119" s="14">
        <v>230</v>
      </c>
      <c r="C119" s="14">
        <f t="shared" si="52"/>
        <v>63172398600</v>
      </c>
      <c r="D119" s="14">
        <f>SUM(C$5:$C119)</f>
        <v>448410928900</v>
      </c>
      <c r="E119" s="89">
        <f>'[1]资源-武将经验'!$Z120</f>
        <v>1.5013755381211384</v>
      </c>
      <c r="I119" s="94"/>
      <c r="J119" s="48"/>
      <c r="P119" s="5">
        <v>29</v>
      </c>
      <c r="Q119" s="14">
        <f>基础状态预期!D132</f>
        <v>114.91934497223426</v>
      </c>
      <c r="R119" s="14">
        <f>IF(基础状态预期!U132="",0,求节点($B$5:$B$154,$D$5:$D$154,基础状态预期!U132)*基础状态预期!F132)</f>
        <v>0</v>
      </c>
      <c r="S119" s="14">
        <f>IF(基础状态预期!V132="",0,求节点($B$5:$B$154,$D$5:$D$154,基础状态预期!V132)*基础状态预期!G132)</f>
        <v>0</v>
      </c>
      <c r="T119" s="14">
        <f>IF(基础状态预期!W132="",0,求节点($B$5:$B$154,$D$5:$D$154,基础状态预期!W132)*基础状态预期!H132)</f>
        <v>0</v>
      </c>
      <c r="U119" s="14">
        <f>IF(基础状态预期!X132="",0,求节点($B$5:$B$154,$D$5:$D$154,基础状态预期!X132)*基础状态预期!I132)</f>
        <v>0</v>
      </c>
      <c r="V119" s="14">
        <f>IF(基础状态预期!Y132="",0,求节点($B$5:$B$154,$D$5:$D$154,基础状态预期!Y132)*基础状态预期!J132)</f>
        <v>2659894544021.3301</v>
      </c>
      <c r="W119" s="14">
        <f t="shared" si="65"/>
        <v>2659894544021.3301</v>
      </c>
      <c r="Y119" s="14" t="str">
        <f>IF(基础状态预期!U132="","",H$8+(基础状态预期!U132-1)*H$11)</f>
        <v/>
      </c>
      <c r="Z119" s="14" t="str">
        <f>IF(基础状态预期!V132="","",I$8+(基础状态预期!V132-1)*I$11)</f>
        <v/>
      </c>
      <c r="AA119" s="14" t="str">
        <f>IF(基础状态预期!W132="","",J$8+(基础状态预期!W132-1)*J$11)</f>
        <v/>
      </c>
      <c r="AB119" s="14" t="str">
        <f>IF(基础状态预期!X132="","",K$8+(基础状态预期!X132-1)*K$11)</f>
        <v/>
      </c>
      <c r="AC119" s="14">
        <f>IF(基础状态预期!Y132="","",L$8+(基础状态预期!Y132-1)*L$11)</f>
        <v>7665.1606983340553</v>
      </c>
      <c r="AD119" s="14">
        <f>SUMPRODUCT(Y119:AC119,基础状态预期!$F132:$J132)/SUM(基础状态预期!$F132:$J132)</f>
        <v>7665.1606983340562</v>
      </c>
      <c r="AE119" s="14" t="str">
        <f>IF(基础状态预期!U132="","",H$9+(基础状态预期!U132-1)*H$12)</f>
        <v/>
      </c>
      <c r="AF119" s="14" t="str">
        <f>IF(基础状态预期!V132="","",I$9+(基础状态预期!V132-1)*I$12)</f>
        <v/>
      </c>
      <c r="AG119" s="14" t="str">
        <f>IF(基础状态预期!W132="","",J$9+(基础状态预期!W132-1)*J$12)</f>
        <v/>
      </c>
      <c r="AH119" s="14" t="str">
        <f>IF(基础状态预期!X132="","",K$9+(基础状态预期!X132-1)*K$12)</f>
        <v/>
      </c>
      <c r="AI119" s="14">
        <f>IF(基础状态预期!Y132="","",L$9+(基础状态预期!Y132-1)*L$12)</f>
        <v>7665.1606983340553</v>
      </c>
      <c r="AJ119" s="14">
        <f>SUMPRODUCT(AE119:AI119,基础状态预期!$F132:$J132)/SUM(基础状态预期!$F132:$J132)</f>
        <v>7665.1606983340562</v>
      </c>
      <c r="AK119" s="14" t="str">
        <f>IF(基础状态预期!U132="","",H$27+(基础状态预期!U132-1)*H$28)</f>
        <v/>
      </c>
      <c r="AL119" s="14" t="str">
        <f>IF(基础状态预期!V132="","",I$27+(基础状态预期!V132-1)*I$28)</f>
        <v/>
      </c>
      <c r="AM119" s="14" t="str">
        <f>IF(基础状态预期!W132="","",J$27+(基础状态预期!W132-1)*J$28)</f>
        <v/>
      </c>
      <c r="AN119" s="14" t="str">
        <f>IF(基础状态预期!X132="","",K$27+(基础状态预期!X132-1)*K$28)</f>
        <v/>
      </c>
      <c r="AO119" s="14">
        <f>IF(基础状态预期!Y132="","",L$27+(基础状态预期!Y132-1)*L$28)</f>
        <v>3288.3868994446852</v>
      </c>
      <c r="AP119" s="14">
        <f>SUMPRODUCT(AK119:AO119,基础状态预期!$F132:$J132)/SUM(基础状态预期!$F132:$J132)</f>
        <v>3288.3868994446852</v>
      </c>
      <c r="AQ119" s="14" t="str">
        <f>IF(基础状态预期!U132="","",H$31+(基础状态预期!U132-1)*H$32)</f>
        <v/>
      </c>
      <c r="AR119" s="14" t="str">
        <f>IF(基础状态预期!V132="","",I$31+(基础状态预期!V132-1)*I$32)</f>
        <v/>
      </c>
      <c r="AS119" s="14" t="str">
        <f>IF(基础状态预期!W132="","",J$31+(基础状态预期!W132-1)*J$32)</f>
        <v/>
      </c>
      <c r="AT119" s="14" t="str">
        <f>IF(基础状态预期!X132="","",K$31+(基础状态预期!X132-1)*K$32)</f>
        <v/>
      </c>
      <c r="AU119" s="14">
        <f>IF(基础状态预期!Y132="","",L$31+(基础状态预期!Y132-1)*L$32)</f>
        <v>248.83868994446851</v>
      </c>
      <c r="AV119" s="14">
        <f>SUMPRODUCT(AQ119:AU119,基础状态预期!$F132:$J132)/SUM(基础状态预期!$F132:$J132)</f>
        <v>248.83868994446848</v>
      </c>
      <c r="BO119" s="29">
        <f t="shared" si="60"/>
        <v>114.91934497223426</v>
      </c>
      <c r="BP119" s="10">
        <f t="shared" si="61"/>
        <v>2659894544021.3301</v>
      </c>
      <c r="BQ119" s="10" t="e">
        <f>$BP119*求节点('[1]功能-付费相关'!$AY$6:$AY$105,'[1]功能-付费相关'!$BB$6:$BB$105,$BO119)+$BQ118</f>
        <v>#VALUE!</v>
      </c>
      <c r="BZ119" s="4">
        <f t="shared" si="50"/>
        <v>346050</v>
      </c>
      <c r="CA119" s="4">
        <v>116</v>
      </c>
      <c r="CB119" s="90">
        <f t="shared" si="51"/>
        <v>4415980</v>
      </c>
      <c r="CC119" s="4">
        <f>SUM(CB$4:CB119)</f>
        <v>63607855</v>
      </c>
      <c r="CD119" s="4">
        <f t="shared" si="49"/>
        <v>1.0388483762649194</v>
      </c>
    </row>
    <row r="120" spans="1:82" x14ac:dyDescent="0.15">
      <c r="A120" s="99">
        <f t="shared" si="66"/>
        <v>11436707500</v>
      </c>
      <c r="B120" s="14">
        <v>232</v>
      </c>
      <c r="C120" s="14">
        <f t="shared" si="52"/>
        <v>74609106100</v>
      </c>
      <c r="D120" s="14">
        <f>SUM(C$5:$C120)</f>
        <v>523020035000</v>
      </c>
      <c r="E120" s="89">
        <f>'[1]资源-武将经验'!$Z121</f>
        <v>1.482320420965755</v>
      </c>
      <c r="I120" s="94"/>
      <c r="J120" s="48"/>
      <c r="P120" s="5">
        <v>30</v>
      </c>
      <c r="Q120" s="14">
        <f>基础状态预期!D133</f>
        <v>118.44741987029688</v>
      </c>
      <c r="R120" s="14">
        <f>IF(基础状态预期!U133="",0,求节点($B$5:$B$154,$D$5:$D$154,基础状态预期!U133)*基础状态预期!F133)</f>
        <v>0</v>
      </c>
      <c r="S120" s="14">
        <f>IF(基础状态预期!V133="",0,求节点($B$5:$B$154,$D$5:$D$154,基础状态预期!V133)*基础状态预期!G133)</f>
        <v>0</v>
      </c>
      <c r="T120" s="14">
        <f>IF(基础状态预期!W133="",0,求节点($B$5:$B$154,$D$5:$D$154,基础状态预期!W133)*基础状态预期!H133)</f>
        <v>0</v>
      </c>
      <c r="U120" s="14">
        <f>IF(基础状态预期!X133="",0,求节点($B$5:$B$154,$D$5:$D$154,基础状态预期!X133)*基础状态预期!I133)</f>
        <v>0</v>
      </c>
      <c r="V120" s="14">
        <f>IF(基础状态预期!Y133="",0,求节点($B$5:$B$154,$D$5:$D$154,基础状态预期!Y133)*基础状态预期!J133)</f>
        <v>4631327406246.1523</v>
      </c>
      <c r="W120" s="14">
        <f t="shared" si="65"/>
        <v>4631327406246.1523</v>
      </c>
      <c r="Y120" s="14" t="str">
        <f>IF(基础状态预期!U133="","",H$8+(基础状态预期!U133-1)*H$11)</f>
        <v/>
      </c>
      <c r="Z120" s="14" t="str">
        <f>IF(基础状态预期!V133="","",I$8+(基础状态预期!V133-1)*I$11)</f>
        <v/>
      </c>
      <c r="AA120" s="14" t="str">
        <f>IF(基础状态预期!W133="","",J$8+(基础状态预期!W133-1)*J$11)</f>
        <v/>
      </c>
      <c r="AB120" s="14" t="str">
        <f>IF(基础状态预期!X133="","",K$8+(基础状态预期!X133-1)*K$11)</f>
        <v/>
      </c>
      <c r="AC120" s="14">
        <f>IF(基础状态预期!Y133="","",L$8+(基础状态预期!Y133-1)*L$11)</f>
        <v>7876.8451922178128</v>
      </c>
      <c r="AD120" s="14">
        <f>SUMPRODUCT(Y120:AC120,基础状态预期!$F133:$J133)/SUM(基础状态预期!$F133:$J133)</f>
        <v>7876.8451922178128</v>
      </c>
      <c r="AE120" s="14" t="str">
        <f>IF(基础状态预期!U133="","",H$9+(基础状态预期!U133-1)*H$12)</f>
        <v/>
      </c>
      <c r="AF120" s="14" t="str">
        <f>IF(基础状态预期!V133="","",I$9+(基础状态预期!V133-1)*I$12)</f>
        <v/>
      </c>
      <c r="AG120" s="14" t="str">
        <f>IF(基础状态预期!W133="","",J$9+(基础状态预期!W133-1)*J$12)</f>
        <v/>
      </c>
      <c r="AH120" s="14" t="str">
        <f>IF(基础状态预期!X133="","",K$9+(基础状态预期!X133-1)*K$12)</f>
        <v/>
      </c>
      <c r="AI120" s="14">
        <f>IF(基础状态预期!Y133="","",L$9+(基础状态预期!Y133-1)*L$12)</f>
        <v>7876.8451922178128</v>
      </c>
      <c r="AJ120" s="14">
        <f>SUMPRODUCT(AE120:AI120,基础状态预期!$F133:$J133)/SUM(基础状态预期!$F133:$J133)</f>
        <v>7876.8451922178128</v>
      </c>
      <c r="AK120" s="14" t="str">
        <f>IF(基础状态预期!U133="","",H$27+(基础状态预期!U133-1)*H$28)</f>
        <v/>
      </c>
      <c r="AL120" s="14" t="str">
        <f>IF(基础状态预期!V133="","",I$27+(基础状态预期!V133-1)*I$28)</f>
        <v/>
      </c>
      <c r="AM120" s="14" t="str">
        <f>IF(基础状态预期!W133="","",J$27+(基础状态预期!W133-1)*J$28)</f>
        <v/>
      </c>
      <c r="AN120" s="14" t="str">
        <f>IF(基础状态预期!X133="","",K$27+(基础状态预期!X133-1)*K$28)</f>
        <v/>
      </c>
      <c r="AO120" s="14">
        <f>IF(基础状态预期!Y133="","",L$27+(基础状态预期!Y133-1)*L$28)</f>
        <v>3358.9483974059376</v>
      </c>
      <c r="AP120" s="14">
        <f>SUMPRODUCT(AK120:AO120,基础状态预期!$F133:$J133)/SUM(基础状态预期!$F133:$J133)</f>
        <v>3358.9483974059381</v>
      </c>
      <c r="AQ120" s="14" t="str">
        <f>IF(基础状态预期!U133="","",H$31+(基础状态预期!U133-1)*H$32)</f>
        <v/>
      </c>
      <c r="AR120" s="14" t="str">
        <f>IF(基础状态预期!V133="","",I$31+(基础状态预期!V133-1)*I$32)</f>
        <v/>
      </c>
      <c r="AS120" s="14" t="str">
        <f>IF(基础状态预期!W133="","",J$31+(基础状态预期!W133-1)*J$32)</f>
        <v/>
      </c>
      <c r="AT120" s="14" t="str">
        <f>IF(基础状态预期!X133="","",K$31+(基础状态预期!X133-1)*K$32)</f>
        <v/>
      </c>
      <c r="AU120" s="14">
        <f>IF(基础状态预期!Y133="","",L$31+(基础状态预期!Y133-1)*L$32)</f>
        <v>255.89483974059377</v>
      </c>
      <c r="AV120" s="14">
        <f>SUMPRODUCT(AQ120:AU120,基础状态预期!$F133:$J133)/SUM(基础状态预期!$F133:$J133)</f>
        <v>255.89483974059377</v>
      </c>
      <c r="BO120" s="29">
        <f t="shared" si="60"/>
        <v>118.44741987029688</v>
      </c>
      <c r="BP120" s="10">
        <f t="shared" si="61"/>
        <v>4631327406246.1523</v>
      </c>
      <c r="BQ120" s="10" t="e">
        <f>$BP120*求节点('[1]功能-付费相关'!$AY$6:$AY$105,'[1]功能-付费相关'!$BB$6:$BB$105,$BO120)+$BQ119</f>
        <v>#VALUE!</v>
      </c>
      <c r="BZ120" s="4">
        <f t="shared" si="50"/>
        <v>346050</v>
      </c>
      <c r="CA120" s="4">
        <v>117</v>
      </c>
      <c r="CB120" s="90">
        <f t="shared" si="51"/>
        <v>4762030</v>
      </c>
      <c r="CC120" s="4">
        <f>SUM(CB$4:CB120)</f>
        <v>68369885</v>
      </c>
      <c r="CD120" s="4">
        <f t="shared" si="49"/>
        <v>1.0360447028962172</v>
      </c>
    </row>
    <row r="121" spans="1:82" x14ac:dyDescent="0.15">
      <c r="A121" s="99">
        <f t="shared" si="66"/>
        <v>13724049000</v>
      </c>
      <c r="B121" s="14">
        <v>234</v>
      </c>
      <c r="C121" s="14">
        <f t="shared" si="52"/>
        <v>88333155100</v>
      </c>
      <c r="D121" s="14">
        <f>SUM(C$5:$C121)</f>
        <v>611353190100</v>
      </c>
      <c r="E121" s="89">
        <f>'[1]资源-武将经验'!$Z122</f>
        <v>1.5015392039321256</v>
      </c>
      <c r="I121" s="94"/>
      <c r="J121" s="48"/>
      <c r="P121" s="5">
        <v>31</v>
      </c>
      <c r="Q121" s="14">
        <f>基础状态预期!D134</f>
        <v>121.97211685892326</v>
      </c>
      <c r="R121" s="14">
        <f>IF(基础状态预期!U134="",0,求节点($B$5:$B$154,$D$5:$D$154,基础状态预期!U134)*基础状态预期!F134)</f>
        <v>0</v>
      </c>
      <c r="S121" s="14">
        <f>IF(基础状态预期!V134="",0,求节点($B$5:$B$154,$D$5:$D$154,基础状态预期!V134)*基础状态预期!G134)</f>
        <v>0</v>
      </c>
      <c r="T121" s="14">
        <f>IF(基础状态预期!W134="",0,求节点($B$5:$B$154,$D$5:$D$154,基础状态预期!W134)*基础状态预期!H134)</f>
        <v>0</v>
      </c>
      <c r="U121" s="14">
        <f>IF(基础状态预期!X134="",0,求节点($B$5:$B$154,$D$5:$D$154,基础状态预期!X134)*基础状态预期!I134)</f>
        <v>0</v>
      </c>
      <c r="V121" s="14">
        <f>IF(基础状态预期!Y134="",0,求节点($B$5:$B$154,$D$5:$D$154,基础状态预期!Y134)*基础状态预期!J134)</f>
        <v>8224471427535.0439</v>
      </c>
      <c r="W121" s="14">
        <f t="shared" si="65"/>
        <v>8224471427535.0439</v>
      </c>
      <c r="Y121" s="14" t="str">
        <f>IF(基础状态预期!U134="","",H$8+(基础状态预期!U134-1)*H$11)</f>
        <v/>
      </c>
      <c r="Z121" s="14" t="str">
        <f>IF(基础状态预期!V134="","",I$8+(基础状态预期!V134-1)*I$11)</f>
        <v/>
      </c>
      <c r="AA121" s="14" t="str">
        <f>IF(基础状态预期!W134="","",J$8+(基础状态预期!W134-1)*J$11)</f>
        <v/>
      </c>
      <c r="AB121" s="14" t="str">
        <f>IF(基础状态预期!X134="","",K$8+(基础状态预期!X134-1)*K$11)</f>
        <v/>
      </c>
      <c r="AC121" s="14">
        <f>IF(基础状态预期!Y134="","",L$8+(基础状态预期!Y134-1)*L$11)</f>
        <v>8088.3270115353953</v>
      </c>
      <c r="AD121" s="14">
        <f>SUMPRODUCT(Y121:AC121,基础状态预期!$F134:$J134)/SUM(基础状态预期!$F134:$J134)</f>
        <v>8088.3270115353953</v>
      </c>
      <c r="AE121" s="14" t="str">
        <f>IF(基础状态预期!U134="","",H$9+(基础状态预期!U134-1)*H$12)</f>
        <v/>
      </c>
      <c r="AF121" s="14" t="str">
        <f>IF(基础状态预期!V134="","",I$9+(基础状态预期!V134-1)*I$12)</f>
        <v/>
      </c>
      <c r="AG121" s="14" t="str">
        <f>IF(基础状态预期!W134="","",J$9+(基础状态预期!W134-1)*J$12)</f>
        <v/>
      </c>
      <c r="AH121" s="14" t="str">
        <f>IF(基础状态预期!X134="","",K$9+(基础状态预期!X134-1)*K$12)</f>
        <v/>
      </c>
      <c r="AI121" s="14">
        <f>IF(基础状态预期!Y134="","",L$9+(基础状态预期!Y134-1)*L$12)</f>
        <v>8088.3270115353953</v>
      </c>
      <c r="AJ121" s="14">
        <f>SUMPRODUCT(AE121:AI121,基础状态预期!$F134:$J134)/SUM(基础状态预期!$F134:$J134)</f>
        <v>8088.3270115353953</v>
      </c>
      <c r="AK121" s="14" t="str">
        <f>IF(基础状态预期!U134="","",H$27+(基础状态预期!U134-1)*H$28)</f>
        <v/>
      </c>
      <c r="AL121" s="14" t="str">
        <f>IF(基础状态预期!V134="","",I$27+(基础状态预期!V134-1)*I$28)</f>
        <v/>
      </c>
      <c r="AM121" s="14" t="str">
        <f>IF(基础状态预期!W134="","",J$27+(基础状态预期!W134-1)*J$28)</f>
        <v/>
      </c>
      <c r="AN121" s="14" t="str">
        <f>IF(基础状态预期!X134="","",K$27+(基础状态预期!X134-1)*K$28)</f>
        <v/>
      </c>
      <c r="AO121" s="14">
        <f>IF(基础状态预期!Y134="","",L$27+(基础状态预期!Y134-1)*L$28)</f>
        <v>3429.4423371784651</v>
      </c>
      <c r="AP121" s="14">
        <f>SUMPRODUCT(AK121:AO121,基础状态预期!$F134:$J134)/SUM(基础状态预期!$F134:$J134)</f>
        <v>3429.4423371784651</v>
      </c>
      <c r="AQ121" s="14" t="str">
        <f>IF(基础状态预期!U134="","",H$31+(基础状态预期!U134-1)*H$32)</f>
        <v/>
      </c>
      <c r="AR121" s="14" t="str">
        <f>IF(基础状态预期!V134="","",I$31+(基础状态预期!V134-1)*I$32)</f>
        <v/>
      </c>
      <c r="AS121" s="14" t="str">
        <f>IF(基础状态预期!W134="","",J$31+(基础状态预期!W134-1)*J$32)</f>
        <v/>
      </c>
      <c r="AT121" s="14" t="str">
        <f>IF(基础状态预期!X134="","",K$31+(基础状态预期!X134-1)*K$32)</f>
        <v/>
      </c>
      <c r="AU121" s="14">
        <f>IF(基础状态预期!Y134="","",L$31+(基础状态预期!Y134-1)*L$32)</f>
        <v>262.94423371784649</v>
      </c>
      <c r="AV121" s="14">
        <f>SUMPRODUCT(AQ121:AU121,基础状态预期!$F134:$J134)/SUM(基础状态预期!$F134:$J134)</f>
        <v>262.94423371784649</v>
      </c>
      <c r="BO121" s="29">
        <f t="shared" si="60"/>
        <v>121.97211685892326</v>
      </c>
      <c r="BP121" s="10">
        <f t="shared" si="61"/>
        <v>8224471427535.0439</v>
      </c>
      <c r="BQ121" s="10" t="e">
        <f>$BP121*求节点('[1]功能-付费相关'!$AY$6:$AY$105,'[1]功能-付费相关'!$BB$6:$BB$105,$BO121)+$BQ120</f>
        <v>#VALUE!</v>
      </c>
      <c r="BZ121" s="4">
        <f t="shared" si="50"/>
        <v>407625</v>
      </c>
      <c r="CA121" s="4">
        <v>118</v>
      </c>
      <c r="CB121" s="90">
        <f t="shared" si="51"/>
        <v>5169655</v>
      </c>
      <c r="CC121" s="4">
        <f>SUM(CB$4:CB121)</f>
        <v>73539540</v>
      </c>
      <c r="CD121" s="4">
        <f t="shared" si="49"/>
        <v>1.0393796473097368</v>
      </c>
    </row>
    <row r="122" spans="1:82" x14ac:dyDescent="0.15">
      <c r="A122" s="99">
        <f t="shared" si="66"/>
        <v>16468858800</v>
      </c>
      <c r="B122" s="14">
        <v>236</v>
      </c>
      <c r="C122" s="14">
        <f t="shared" si="52"/>
        <v>104802013900</v>
      </c>
      <c r="D122" s="14">
        <f>SUM(C$5:$C122)</f>
        <v>716155204000</v>
      </c>
      <c r="E122" s="89">
        <f>'[1]资源-武将经验'!$Z123</f>
        <v>1.5504136694114365</v>
      </c>
      <c r="I122" s="94"/>
      <c r="J122" s="48"/>
      <c r="P122" s="5">
        <v>32</v>
      </c>
      <c r="Q122" s="14">
        <f>基础状态预期!D135</f>
        <v>125.41953077529134</v>
      </c>
      <c r="R122" s="14">
        <f>IF(基础状态预期!U135="",0,求节点($B$5:$B$154,$D$5:$D$154,基础状态预期!U135)*基础状态预期!F135)</f>
        <v>0</v>
      </c>
      <c r="S122" s="14">
        <f>IF(基础状态预期!V135="",0,求节点($B$5:$B$154,$D$5:$D$154,基础状态预期!V135)*基础状态预期!G135)</f>
        <v>0</v>
      </c>
      <c r="T122" s="14">
        <f>IF(基础状态预期!W135="",0,求节点($B$5:$B$154,$D$5:$D$154,基础状态预期!W135)*基础状态预期!H135)</f>
        <v>0</v>
      </c>
      <c r="U122" s="14">
        <f>IF(基础状态预期!X135="",0,求节点($B$5:$B$154,$D$5:$D$154,基础状态预期!X135)*基础状态预期!I135)</f>
        <v>0</v>
      </c>
      <c r="V122" s="14">
        <f>IF(基础状态预期!Y135="",0,求节点($B$5:$B$154,$D$5:$D$154,基础状态预期!Y135)*基础状态预期!J135)</f>
        <v>14822116595743.307</v>
      </c>
      <c r="W122" s="14">
        <f t="shared" si="65"/>
        <v>14822116595743.307</v>
      </c>
      <c r="Y122" s="14" t="str">
        <f>IF(基础状态预期!U135="","",H$8+(基础状态预期!U135-1)*H$11)</f>
        <v/>
      </c>
      <c r="Z122" s="14" t="str">
        <f>IF(基础状态预期!V135="","",I$8+(基础状态预期!V135-1)*I$11)</f>
        <v/>
      </c>
      <c r="AA122" s="14" t="str">
        <f>IF(基础状态预期!W135="","",J$8+(基础状态预期!W135-1)*J$11)</f>
        <v/>
      </c>
      <c r="AB122" s="14" t="str">
        <f>IF(基础状态预期!X135="","",K$8+(基础状态预期!X135-1)*K$11)</f>
        <v/>
      </c>
      <c r="AC122" s="14">
        <f>IF(基础状态预期!Y135="","",L$8+(基础状态预期!Y135-1)*L$11)</f>
        <v>8295.1718465174799</v>
      </c>
      <c r="AD122" s="14">
        <f>SUMPRODUCT(Y122:AC122,基础状态预期!$F135:$J135)/SUM(基础状态预期!$F135:$J135)</f>
        <v>8295.1718465174799</v>
      </c>
      <c r="AE122" s="14" t="str">
        <f>IF(基础状态预期!U135="","",H$9+(基础状态预期!U135-1)*H$12)</f>
        <v/>
      </c>
      <c r="AF122" s="14" t="str">
        <f>IF(基础状态预期!V135="","",I$9+(基础状态预期!V135-1)*I$12)</f>
        <v/>
      </c>
      <c r="AG122" s="14" t="str">
        <f>IF(基础状态预期!W135="","",J$9+(基础状态预期!W135-1)*J$12)</f>
        <v/>
      </c>
      <c r="AH122" s="14" t="str">
        <f>IF(基础状态预期!X135="","",K$9+(基础状态预期!X135-1)*K$12)</f>
        <v/>
      </c>
      <c r="AI122" s="14">
        <f>IF(基础状态预期!Y135="","",L$9+(基础状态预期!Y135-1)*L$12)</f>
        <v>8295.1718465174799</v>
      </c>
      <c r="AJ122" s="14">
        <f>SUMPRODUCT(AE122:AI122,基础状态预期!$F135:$J135)/SUM(基础状态预期!$F135:$J135)</f>
        <v>8295.1718465174799</v>
      </c>
      <c r="AK122" s="14" t="str">
        <f>IF(基础状态预期!U135="","",H$27+(基础状态预期!U135-1)*H$28)</f>
        <v/>
      </c>
      <c r="AL122" s="14" t="str">
        <f>IF(基础状态预期!V135="","",I$27+(基础状态预期!V135-1)*I$28)</f>
        <v/>
      </c>
      <c r="AM122" s="14" t="str">
        <f>IF(基础状态预期!W135="","",J$27+(基础状态预期!W135-1)*J$28)</f>
        <v/>
      </c>
      <c r="AN122" s="14" t="str">
        <f>IF(基础状态预期!X135="","",K$27+(基础状态预期!X135-1)*K$28)</f>
        <v/>
      </c>
      <c r="AO122" s="14">
        <f>IF(基础状态预期!Y135="","",L$27+(基础状态预期!Y135-1)*L$28)</f>
        <v>3498.3906155058266</v>
      </c>
      <c r="AP122" s="14">
        <f>SUMPRODUCT(AK122:AO122,基础状态预期!$F135:$J135)/SUM(基础状态预期!$F135:$J135)</f>
        <v>3498.3906155058266</v>
      </c>
      <c r="AQ122" s="14" t="str">
        <f>IF(基础状态预期!U135="","",H$31+(基础状态预期!U135-1)*H$32)</f>
        <v/>
      </c>
      <c r="AR122" s="14" t="str">
        <f>IF(基础状态预期!V135="","",I$31+(基础状态预期!V135-1)*I$32)</f>
        <v/>
      </c>
      <c r="AS122" s="14" t="str">
        <f>IF(基础状态预期!W135="","",J$31+(基础状态预期!W135-1)*J$32)</f>
        <v/>
      </c>
      <c r="AT122" s="14" t="str">
        <f>IF(基础状态预期!X135="","",K$31+(基础状态预期!X135-1)*K$32)</f>
        <v/>
      </c>
      <c r="AU122" s="14">
        <f>IF(基础状态预期!Y135="","",L$31+(基础状态预期!Y135-1)*L$32)</f>
        <v>269.83906155058264</v>
      </c>
      <c r="AV122" s="14">
        <f>SUMPRODUCT(AQ122:AU122,基础状态预期!$F135:$J135)/SUM(基础状态预期!$F135:$J135)</f>
        <v>269.83906155058264</v>
      </c>
      <c r="BO122" s="29">
        <f t="shared" si="60"/>
        <v>125.41953077529134</v>
      </c>
      <c r="BP122" s="10">
        <f t="shared" si="61"/>
        <v>14822116595743.307</v>
      </c>
      <c r="BQ122" s="10" t="e">
        <f>$BP122*求节点('[1]功能-付费相关'!$AY$6:$AY$105,'[1]功能-付费相关'!$BB$6:$BB$105,$BO122)+$BQ121</f>
        <v>#VALUE!</v>
      </c>
      <c r="BZ122" s="4">
        <f t="shared" si="50"/>
        <v>407625</v>
      </c>
      <c r="CA122" s="4">
        <v>119</v>
      </c>
      <c r="CB122" s="90">
        <f t="shared" si="51"/>
        <v>5577280</v>
      </c>
      <c r="CC122" s="4">
        <f>SUM(CB$4:CB122)</f>
        <v>79116820</v>
      </c>
      <c r="CD122" s="4">
        <f t="shared" si="49"/>
        <v>1.0365020057486776</v>
      </c>
    </row>
    <row r="123" spans="1:82" x14ac:dyDescent="0.15">
      <c r="A123" s="99">
        <f t="shared" si="66"/>
        <v>19762630500</v>
      </c>
      <c r="B123" s="14">
        <v>238</v>
      </c>
      <c r="C123" s="14">
        <f t="shared" si="52"/>
        <v>124564644400</v>
      </c>
      <c r="D123" s="14">
        <f>SUM(C$5:$C123)</f>
        <v>840719848400</v>
      </c>
      <c r="E123" s="89">
        <f>'[1]资源-武将经验'!$Z124</f>
        <v>1.4977116725468573</v>
      </c>
      <c r="I123" s="94"/>
      <c r="J123" s="48"/>
      <c r="P123" s="5">
        <v>33</v>
      </c>
      <c r="Q123" s="14">
        <f>基础状态预期!D136</f>
        <v>129.09045404756728</v>
      </c>
      <c r="R123" s="14">
        <f>IF(基础状态预期!U136="",0,求节点($B$5:$B$154,$D$5:$D$154,基础状态预期!U136)*基础状态预期!F136)</f>
        <v>0</v>
      </c>
      <c r="S123" s="14">
        <f>IF(基础状态预期!V136="",0,求节点($B$5:$B$154,$D$5:$D$154,基础状态预期!V136)*基础状态预期!G136)</f>
        <v>0</v>
      </c>
      <c r="T123" s="14">
        <f>IF(基础状态预期!W136="",0,求节点($B$5:$B$154,$D$5:$D$154,基础状态预期!W136)*基础状态预期!H136)</f>
        <v>0</v>
      </c>
      <c r="U123" s="14">
        <f>IF(基础状态预期!X136="",0,求节点($B$5:$B$154,$D$5:$D$154,基础状态预期!X136)*基础状态预期!I136)</f>
        <v>0</v>
      </c>
      <c r="V123" s="14">
        <f>IF(基础状态预期!Y136="",0,求节点($B$5:$B$154,$D$5:$D$154,基础状态预期!Y136)*基础状态预期!J136)</f>
        <v>28047167887568.805</v>
      </c>
      <c r="W123" s="14">
        <f t="shared" si="65"/>
        <v>28047167887568.805</v>
      </c>
      <c r="Y123" s="14" t="str">
        <f>IF(基础状态预期!U136="","",H$8+(基础状态预期!U136-1)*H$11)</f>
        <v/>
      </c>
      <c r="Z123" s="14" t="str">
        <f>IF(基础状态预期!V136="","",I$8+(基础状态预期!V136-1)*I$11)</f>
        <v/>
      </c>
      <c r="AA123" s="14" t="str">
        <f>IF(基础状态预期!W136="","",J$8+(基础状态预期!W136-1)*J$11)</f>
        <v/>
      </c>
      <c r="AB123" s="14" t="str">
        <f>IF(基础状态预期!X136="","",K$8+(基础状态预期!X136-1)*K$11)</f>
        <v/>
      </c>
      <c r="AC123" s="14">
        <f>IF(基础状态预期!Y136="","",L$8+(基础状态预期!Y136-1)*L$11)</f>
        <v>8515.4272428540371</v>
      </c>
      <c r="AD123" s="14">
        <f>SUMPRODUCT(Y123:AC123,基础状态预期!$F136:$J136)/SUM(基础状态预期!$F136:$J136)</f>
        <v>8515.4272428540371</v>
      </c>
      <c r="AE123" s="14" t="str">
        <f>IF(基础状态预期!U136="","",H$9+(基础状态预期!U136-1)*H$12)</f>
        <v/>
      </c>
      <c r="AF123" s="14" t="str">
        <f>IF(基础状态预期!V136="","",I$9+(基础状态预期!V136-1)*I$12)</f>
        <v/>
      </c>
      <c r="AG123" s="14" t="str">
        <f>IF(基础状态预期!W136="","",J$9+(基础状态预期!W136-1)*J$12)</f>
        <v/>
      </c>
      <c r="AH123" s="14" t="str">
        <f>IF(基础状态预期!X136="","",K$9+(基础状态预期!X136-1)*K$12)</f>
        <v/>
      </c>
      <c r="AI123" s="14">
        <f>IF(基础状态预期!Y136="","",L$9+(基础状态预期!Y136-1)*L$12)</f>
        <v>8515.4272428540371</v>
      </c>
      <c r="AJ123" s="14">
        <f>SUMPRODUCT(AE123:AI123,基础状态预期!$F136:$J136)/SUM(基础状态预期!$F136:$J136)</f>
        <v>8515.4272428540371</v>
      </c>
      <c r="AK123" s="14" t="str">
        <f>IF(基础状态预期!U136="","",H$27+(基础状态预期!U136-1)*H$28)</f>
        <v/>
      </c>
      <c r="AL123" s="14" t="str">
        <f>IF(基础状态预期!V136="","",I$27+(基础状态预期!V136-1)*I$28)</f>
        <v/>
      </c>
      <c r="AM123" s="14" t="str">
        <f>IF(基础状态预期!W136="","",J$27+(基础状态预期!W136-1)*J$28)</f>
        <v/>
      </c>
      <c r="AN123" s="14" t="str">
        <f>IF(基础状态预期!X136="","",K$27+(基础状态预期!X136-1)*K$28)</f>
        <v/>
      </c>
      <c r="AO123" s="14">
        <f>IF(基础状态预期!Y136="","",L$27+(基础状态预期!Y136-1)*L$28)</f>
        <v>3571.8090809513455</v>
      </c>
      <c r="AP123" s="14">
        <f>SUMPRODUCT(AK123:AO123,基础状态预期!$F136:$J136)/SUM(基础状态预期!$F136:$J136)</f>
        <v>3571.8090809513455</v>
      </c>
      <c r="AQ123" s="14" t="str">
        <f>IF(基础状态预期!U136="","",H$31+(基础状态预期!U136-1)*H$32)</f>
        <v/>
      </c>
      <c r="AR123" s="14" t="str">
        <f>IF(基础状态预期!V136="","",I$31+(基础状态预期!V136-1)*I$32)</f>
        <v/>
      </c>
      <c r="AS123" s="14" t="str">
        <f>IF(基础状态预期!W136="","",J$31+(基础状态预期!W136-1)*J$32)</f>
        <v/>
      </c>
      <c r="AT123" s="14" t="str">
        <f>IF(基础状态预期!X136="","",K$31+(基础状态预期!X136-1)*K$32)</f>
        <v/>
      </c>
      <c r="AU123" s="14">
        <f>IF(基础状态预期!Y136="","",L$31+(基础状态预期!Y136-1)*L$32)</f>
        <v>277.18090809513455</v>
      </c>
      <c r="AV123" s="14">
        <f>SUMPRODUCT(AQ123:AU123,基础状态预期!$F136:$J136)/SUM(基础状态预期!$F136:$J136)</f>
        <v>277.18090809513455</v>
      </c>
      <c r="BO123" s="29">
        <f t="shared" si="60"/>
        <v>129.09045404756728</v>
      </c>
      <c r="BP123" s="10">
        <f t="shared" si="61"/>
        <v>28047167887568.805</v>
      </c>
      <c r="BQ123" s="10" t="e">
        <f>$BP123*求节点('[1]功能-付费相关'!$AY$6:$AY$105,'[1]功能-付费相关'!$BB$6:$BB$105,$BO123)+$BQ122</f>
        <v>#VALUE!</v>
      </c>
      <c r="BZ123" s="4">
        <f t="shared" si="50"/>
        <v>480175</v>
      </c>
      <c r="CA123" s="4">
        <v>120</v>
      </c>
      <c r="CB123" s="90">
        <f t="shared" si="51"/>
        <v>6057455</v>
      </c>
      <c r="CC123" s="4">
        <f>SUM(CB$4:CB123)</f>
        <v>85174275</v>
      </c>
      <c r="CD123" s="4">
        <f t="shared" si="49"/>
        <v>1.0398786319756703</v>
      </c>
    </row>
    <row r="124" spans="1:82" x14ac:dyDescent="0.15">
      <c r="A124" s="99">
        <f t="shared" si="66"/>
        <v>23715156600</v>
      </c>
      <c r="B124" s="14">
        <v>240</v>
      </c>
      <c r="C124" s="14">
        <f t="shared" si="52"/>
        <v>148279801000</v>
      </c>
      <c r="D124" s="14">
        <f>SUM(C$5:$C124)</f>
        <v>988999649400</v>
      </c>
      <c r="E124" s="89">
        <f>'[1]资源-武将经验'!$Z125</f>
        <v>1.4878337139522593</v>
      </c>
      <c r="I124" s="94"/>
      <c r="J124" s="48"/>
      <c r="P124" s="5">
        <v>34</v>
      </c>
      <c r="Q124" s="14">
        <f>基础状态预期!D137</f>
        <v>132.53488795708068</v>
      </c>
      <c r="R124" s="14">
        <f>IF(基础状态预期!U137="",0,求节点($B$5:$B$154,$D$5:$D$154,基础状态预期!U137)*基础状态预期!F137)</f>
        <v>0</v>
      </c>
      <c r="S124" s="14">
        <f>IF(基础状态预期!V137="",0,求节点($B$5:$B$154,$D$5:$D$154,基础状态预期!V137)*基础状态预期!G137)</f>
        <v>0</v>
      </c>
      <c r="T124" s="14">
        <f>IF(基础状态预期!W137="",0,求节点($B$5:$B$154,$D$5:$D$154,基础状态预期!W137)*基础状态预期!H137)</f>
        <v>0</v>
      </c>
      <c r="U124" s="14">
        <f>IF(基础状态预期!X137="",0,求节点($B$5:$B$154,$D$5:$D$154,基础状态预期!X137)*基础状态预期!I137)</f>
        <v>0</v>
      </c>
      <c r="V124" s="14">
        <f>IF(基础状态预期!Y137="",0,求节点($B$5:$B$154,$D$5:$D$154,基础状态预期!Y137)*基础状态预期!J137)</f>
        <v>51820366332326.844</v>
      </c>
      <c r="W124" s="14">
        <f t="shared" si="65"/>
        <v>51820366332326.844</v>
      </c>
      <c r="Y124" s="14" t="str">
        <f>IF(基础状态预期!U137="","",H$8+(基础状态预期!U137-1)*H$11)</f>
        <v/>
      </c>
      <c r="Z124" s="14" t="str">
        <f>IF(基础状态预期!V137="","",I$8+(基础状态预期!V137-1)*I$11)</f>
        <v/>
      </c>
      <c r="AA124" s="14" t="str">
        <f>IF(基础状态预期!W137="","",J$8+(基础状态预期!W137-1)*J$11)</f>
        <v/>
      </c>
      <c r="AB124" s="14" t="str">
        <f>IF(基础状态预期!X137="","",K$8+(基础状态预期!X137-1)*K$11)</f>
        <v/>
      </c>
      <c r="AC124" s="14">
        <f>IF(基础状态预期!Y137="","",L$8+(基础状态预期!Y137-1)*L$11)</f>
        <v>8722.0932774248413</v>
      </c>
      <c r="AD124" s="14">
        <f>SUMPRODUCT(Y124:AC124,基础状态预期!$F137:$J137)/SUM(基础状态预期!$F137:$J137)</f>
        <v>8722.0932774248413</v>
      </c>
      <c r="AE124" s="14" t="str">
        <f>IF(基础状态预期!U137="","",H$9+(基础状态预期!U137-1)*H$12)</f>
        <v/>
      </c>
      <c r="AF124" s="14" t="str">
        <f>IF(基础状态预期!V137="","",I$9+(基础状态预期!V137-1)*I$12)</f>
        <v/>
      </c>
      <c r="AG124" s="14" t="str">
        <f>IF(基础状态预期!W137="","",J$9+(基础状态预期!W137-1)*J$12)</f>
        <v/>
      </c>
      <c r="AH124" s="14" t="str">
        <f>IF(基础状态预期!X137="","",K$9+(基础状态预期!X137-1)*K$12)</f>
        <v/>
      </c>
      <c r="AI124" s="14">
        <f>IF(基础状态预期!Y137="","",L$9+(基础状态预期!Y137-1)*L$12)</f>
        <v>8722.0932774248413</v>
      </c>
      <c r="AJ124" s="14">
        <f>SUMPRODUCT(AE124:AI124,基础状态预期!$F137:$J137)/SUM(基础状态预期!$F137:$J137)</f>
        <v>8722.0932774248413</v>
      </c>
      <c r="AK124" s="14" t="str">
        <f>IF(基础状态预期!U137="","",H$27+(基础状态预期!U137-1)*H$28)</f>
        <v/>
      </c>
      <c r="AL124" s="14" t="str">
        <f>IF(基础状态预期!V137="","",I$27+(基础状态预期!V137-1)*I$28)</f>
        <v/>
      </c>
      <c r="AM124" s="14" t="str">
        <f>IF(基础状态预期!W137="","",J$27+(基础状态预期!W137-1)*J$28)</f>
        <v/>
      </c>
      <c r="AN124" s="14" t="str">
        <f>IF(基础状态预期!X137="","",K$27+(基础状态预期!X137-1)*K$28)</f>
        <v/>
      </c>
      <c r="AO124" s="14">
        <f>IF(基础状态预期!Y137="","",L$27+(基础状态预期!Y137-1)*L$28)</f>
        <v>3640.6977591416135</v>
      </c>
      <c r="AP124" s="14">
        <f>SUMPRODUCT(AK124:AO124,基础状态预期!$F137:$J137)/SUM(基础状态预期!$F137:$J137)</f>
        <v>3640.697759141613</v>
      </c>
      <c r="AQ124" s="14" t="str">
        <f>IF(基础状态预期!U137="","",H$31+(基础状态预期!U137-1)*H$32)</f>
        <v/>
      </c>
      <c r="AR124" s="14" t="str">
        <f>IF(基础状态预期!V137="","",I$31+(基础状态预期!V137-1)*I$32)</f>
        <v/>
      </c>
      <c r="AS124" s="14" t="str">
        <f>IF(基础状态预期!W137="","",J$31+(基础状态预期!W137-1)*J$32)</f>
        <v/>
      </c>
      <c r="AT124" s="14" t="str">
        <f>IF(基础状态预期!X137="","",K$31+(基础状态预期!X137-1)*K$32)</f>
        <v/>
      </c>
      <c r="AU124" s="14">
        <f>IF(基础状态预期!Y137="","",L$31+(基础状态预期!Y137-1)*L$32)</f>
        <v>284.06977591416137</v>
      </c>
      <c r="AV124" s="14">
        <f>SUMPRODUCT(AQ124:AU124,基础状态预期!$F137:$J137)/SUM(基础状态预期!$F137:$J137)</f>
        <v>284.06977591416137</v>
      </c>
      <c r="BO124" s="29">
        <f t="shared" si="60"/>
        <v>132.53488795708068</v>
      </c>
      <c r="BP124" s="10">
        <f t="shared" si="61"/>
        <v>51820366332326.844</v>
      </c>
      <c r="BQ124" s="10" t="e">
        <f>$BP124*求节点('[1]功能-付费相关'!$AY$6:$AY$105,'[1]功能-付费相关'!$BB$6:$BB$105,$BO124)+$BQ123</f>
        <v>#VALUE!</v>
      </c>
      <c r="BZ124" s="4">
        <f t="shared" si="50"/>
        <v>480175</v>
      </c>
      <c r="CA124" s="4">
        <v>121</v>
      </c>
      <c r="CB124" s="90">
        <f t="shared" si="51"/>
        <v>6537630</v>
      </c>
      <c r="CC124" s="4">
        <f>SUM(CB$4:CB124)</f>
        <v>91711905</v>
      </c>
      <c r="CD124" s="4">
        <f t="shared" si="49"/>
        <v>1.0369306878638891</v>
      </c>
    </row>
    <row r="125" spans="1:82" x14ac:dyDescent="0.15">
      <c r="A125" s="99">
        <f t="shared" si="66"/>
        <v>28458187900</v>
      </c>
      <c r="B125" s="14">
        <v>242</v>
      </c>
      <c r="C125" s="14">
        <f t="shared" si="52"/>
        <v>176737988900</v>
      </c>
      <c r="D125" s="14">
        <f>SUM(C$5:$C125)</f>
        <v>1165737638300</v>
      </c>
      <c r="E125" s="89">
        <f>'[1]资源-武将经验'!$Z126</f>
        <v>1.5143620962706865</v>
      </c>
      <c r="I125" s="94"/>
      <c r="J125" s="48"/>
      <c r="P125" s="5">
        <v>35</v>
      </c>
      <c r="Q125" s="14">
        <f>基础状态预期!D138</f>
        <v>136.07141427598387</v>
      </c>
      <c r="R125" s="14">
        <f>IF(基础状态预期!U138="",0,求节点($B$5:$B$154,$D$5:$D$154,基础状态预期!U138)*基础状态预期!F138)</f>
        <v>0</v>
      </c>
      <c r="S125" s="14">
        <f>IF(基础状态预期!V138="",0,求节点($B$5:$B$154,$D$5:$D$154,基础状态预期!V138)*基础状态预期!G138)</f>
        <v>0</v>
      </c>
      <c r="T125" s="14">
        <f>IF(基础状态预期!W138="",0,求节点($B$5:$B$154,$D$5:$D$154,基础状态预期!W138)*基础状态预期!H138)</f>
        <v>0</v>
      </c>
      <c r="U125" s="14">
        <f>IF(基础状态预期!X138="",0,求节点($B$5:$B$154,$D$5:$D$154,基础状态预期!X138)*基础状态预期!I138)</f>
        <v>0</v>
      </c>
      <c r="V125" s="14">
        <f>IF(基础状态预期!Y138="",0,求节点($B$5:$B$154,$D$5:$D$154,基础状态预期!Y138)*基础状态预期!J138)</f>
        <v>97312339109406.406</v>
      </c>
      <c r="W125" s="14">
        <f t="shared" si="65"/>
        <v>97312339109406.406</v>
      </c>
      <c r="Y125" s="14" t="str">
        <f>IF(基础状态预期!U138="","",H$8+(基础状态预期!U138-1)*H$11)</f>
        <v/>
      </c>
      <c r="Z125" s="14" t="str">
        <f>IF(基础状态预期!V138="","",I$8+(基础状态预期!V138-1)*I$11)</f>
        <v/>
      </c>
      <c r="AA125" s="14" t="str">
        <f>IF(基础状态预期!W138="","",J$8+(基础状态预期!W138-1)*J$11)</f>
        <v/>
      </c>
      <c r="AB125" s="14" t="str">
        <f>IF(基础状态预期!X138="","",K$8+(基础状态预期!X138-1)*K$11)</f>
        <v/>
      </c>
      <c r="AC125" s="14">
        <f>IF(基础状态预期!Y138="","",L$8+(基础状态预期!Y138-1)*L$11)</f>
        <v>8934.2848565590321</v>
      </c>
      <c r="AD125" s="14">
        <f>SUMPRODUCT(Y125:AC125,基础状态预期!$F138:$J138)/SUM(基础状态预期!$F138:$J138)</f>
        <v>8934.2848565590321</v>
      </c>
      <c r="AE125" s="14" t="str">
        <f>IF(基础状态预期!U138="","",H$9+(基础状态预期!U138-1)*H$12)</f>
        <v/>
      </c>
      <c r="AF125" s="14" t="str">
        <f>IF(基础状态预期!V138="","",I$9+(基础状态预期!V138-1)*I$12)</f>
        <v/>
      </c>
      <c r="AG125" s="14" t="str">
        <f>IF(基础状态预期!W138="","",J$9+(基础状态预期!W138-1)*J$12)</f>
        <v/>
      </c>
      <c r="AH125" s="14" t="str">
        <f>IF(基础状态预期!X138="","",K$9+(基础状态预期!X138-1)*K$12)</f>
        <v/>
      </c>
      <c r="AI125" s="14">
        <f>IF(基础状态预期!Y138="","",L$9+(基础状态预期!Y138-1)*L$12)</f>
        <v>8934.2848565590321</v>
      </c>
      <c r="AJ125" s="14">
        <f>SUMPRODUCT(AE125:AI125,基础状态预期!$F138:$J138)/SUM(基础状态预期!$F138:$J138)</f>
        <v>8934.2848565590321</v>
      </c>
      <c r="AK125" s="14" t="str">
        <f>IF(基础状态预期!U138="","",H$27+(基础状态预期!U138-1)*H$28)</f>
        <v/>
      </c>
      <c r="AL125" s="14" t="str">
        <f>IF(基础状态预期!V138="","",I$27+(基础状态预期!V138-1)*I$28)</f>
        <v/>
      </c>
      <c r="AM125" s="14" t="str">
        <f>IF(基础状态预期!W138="","",J$27+(基础状态预期!W138-1)*J$28)</f>
        <v/>
      </c>
      <c r="AN125" s="14" t="str">
        <f>IF(基础状态预期!X138="","",K$27+(基础状态预期!X138-1)*K$28)</f>
        <v/>
      </c>
      <c r="AO125" s="14">
        <f>IF(基础状态预期!Y138="","",L$27+(基础状态预期!Y138-1)*L$28)</f>
        <v>3711.4282855196775</v>
      </c>
      <c r="AP125" s="14">
        <f>SUMPRODUCT(AK125:AO125,基础状态预期!$F138:$J138)/SUM(基础状态预期!$F138:$J138)</f>
        <v>3711.4282855196775</v>
      </c>
      <c r="AQ125" s="14" t="str">
        <f>IF(基础状态预期!U138="","",H$31+(基础状态预期!U138-1)*H$32)</f>
        <v/>
      </c>
      <c r="AR125" s="14" t="str">
        <f>IF(基础状态预期!V138="","",I$31+(基础状态预期!V138-1)*I$32)</f>
        <v/>
      </c>
      <c r="AS125" s="14" t="str">
        <f>IF(基础状态预期!W138="","",J$31+(基础状态预期!W138-1)*J$32)</f>
        <v/>
      </c>
      <c r="AT125" s="14" t="str">
        <f>IF(基础状态预期!X138="","",K$31+(基础状态预期!X138-1)*K$32)</f>
        <v/>
      </c>
      <c r="AU125" s="14">
        <f>IF(基础状态预期!Y138="","",L$31+(基础状态预期!Y138-1)*L$32)</f>
        <v>291.14282855196774</v>
      </c>
      <c r="AV125" s="14">
        <f>SUMPRODUCT(AQ125:AU125,基础状态预期!$F138:$J138)/SUM(基础状态预期!$F138:$J138)</f>
        <v>291.14282855196774</v>
      </c>
      <c r="BO125" s="29">
        <f t="shared" si="60"/>
        <v>136.07141427598387</v>
      </c>
      <c r="BP125" s="10">
        <f t="shared" si="61"/>
        <v>97312339109406.406</v>
      </c>
      <c r="BQ125" s="10" t="e">
        <f>$BP125*求节点('[1]功能-付费相关'!$AY$6:$AY$105,'[1]功能-付费相关'!$BB$6:$BB$105,$BO125)+$BQ124</f>
        <v>#VALUE!</v>
      </c>
      <c r="BZ125" s="4">
        <f t="shared" si="50"/>
        <v>565625</v>
      </c>
      <c r="CA125" s="4">
        <v>122</v>
      </c>
      <c r="CB125" s="90">
        <f t="shared" si="51"/>
        <v>7103255</v>
      </c>
      <c r="CC125" s="4">
        <f>SUM(CB$4:CB125)</f>
        <v>98815160</v>
      </c>
      <c r="CD125" s="4">
        <f t="shared" si="49"/>
        <v>1.0403435554919185</v>
      </c>
    </row>
    <row r="126" spans="1:82" x14ac:dyDescent="0.15">
      <c r="A126" s="99">
        <f t="shared" si="66"/>
        <v>34149825400</v>
      </c>
      <c r="B126" s="14">
        <v>244</v>
      </c>
      <c r="C126" s="14">
        <f t="shared" si="52"/>
        <v>210887814300</v>
      </c>
      <c r="D126" s="14">
        <f>SUM(C$5:$C126)</f>
        <v>1376625452600</v>
      </c>
      <c r="E126" s="89">
        <f>'[1]资源-武将经验'!$Z127</f>
        <v>1.4934189647967731</v>
      </c>
      <c r="I126" s="94"/>
      <c r="J126" s="48"/>
      <c r="P126" s="5">
        <v>36</v>
      </c>
      <c r="Q126" s="14">
        <f>基础状态预期!D139</f>
        <v>139.56936219880694</v>
      </c>
      <c r="R126" s="14">
        <f>IF(基础状态预期!U139="",0,求节点($B$5:$B$154,$D$5:$D$154,基础状态预期!U139)*基础状态预期!F139)</f>
        <v>0</v>
      </c>
      <c r="S126" s="14">
        <f>IF(基础状态预期!V139="",0,求节点($B$5:$B$154,$D$5:$D$154,基础状态预期!V139)*基础状态预期!G139)</f>
        <v>0</v>
      </c>
      <c r="T126" s="14">
        <f>IF(基础状态预期!W139="",0,求节点($B$5:$B$154,$D$5:$D$154,基础状态预期!W139)*基础状态预期!H139)</f>
        <v>0</v>
      </c>
      <c r="U126" s="14">
        <f>IF(基础状态预期!X139="",0,求节点($B$5:$B$154,$D$5:$D$154,基础状态预期!X139)*基础状态预期!I139)</f>
        <v>0</v>
      </c>
      <c r="V126" s="14">
        <f>IF(基础状态预期!Y139="",0,求节点($B$5:$B$154,$D$5:$D$154,基础状态预期!Y139)*基础状态预期!J139)</f>
        <v>179503950593633.94</v>
      </c>
      <c r="W126" s="14">
        <f t="shared" si="65"/>
        <v>179503950593633.94</v>
      </c>
      <c r="Y126" s="14" t="str">
        <f>IF(基础状态预期!U139="","",H$8+(基础状态预期!U139-1)*H$11)</f>
        <v/>
      </c>
      <c r="Z126" s="14" t="str">
        <f>IF(基础状态预期!V139="","",I$8+(基础状态预期!V139-1)*I$11)</f>
        <v/>
      </c>
      <c r="AA126" s="14" t="str">
        <f>IF(基础状态预期!W139="","",J$8+(基础状态预期!W139-1)*J$11)</f>
        <v/>
      </c>
      <c r="AB126" s="14" t="str">
        <f>IF(基础状态预期!X139="","",K$8+(基础状态预期!X139-1)*K$11)</f>
        <v/>
      </c>
      <c r="AC126" s="14">
        <f>IF(基础状态预期!Y139="","",L$8+(基础状态预期!Y139-1)*L$11)</f>
        <v>9144.161731928416</v>
      </c>
      <c r="AD126" s="14">
        <f>SUMPRODUCT(Y126:AC126,基础状态预期!$F139:$J139)/SUM(基础状态预期!$F139:$J139)</f>
        <v>9144.161731928416</v>
      </c>
      <c r="AE126" s="14" t="str">
        <f>IF(基础状态预期!U139="","",H$9+(基础状态预期!U139-1)*H$12)</f>
        <v/>
      </c>
      <c r="AF126" s="14" t="str">
        <f>IF(基础状态预期!V139="","",I$9+(基础状态预期!V139-1)*I$12)</f>
        <v/>
      </c>
      <c r="AG126" s="14" t="str">
        <f>IF(基础状态预期!W139="","",J$9+(基础状态预期!W139-1)*J$12)</f>
        <v/>
      </c>
      <c r="AH126" s="14" t="str">
        <f>IF(基础状态预期!X139="","",K$9+(基础状态预期!X139-1)*K$12)</f>
        <v/>
      </c>
      <c r="AI126" s="14">
        <f>IF(基础状态预期!Y139="","",L$9+(基础状态预期!Y139-1)*L$12)</f>
        <v>9144.161731928416</v>
      </c>
      <c r="AJ126" s="14">
        <f>SUMPRODUCT(AE126:AI126,基础状态预期!$F139:$J139)/SUM(基础状态预期!$F139:$J139)</f>
        <v>9144.161731928416</v>
      </c>
      <c r="AK126" s="14" t="str">
        <f>IF(基础状态预期!U139="","",H$27+(基础状态预期!U139-1)*H$28)</f>
        <v/>
      </c>
      <c r="AL126" s="14" t="str">
        <f>IF(基础状态预期!V139="","",I$27+(基础状态预期!V139-1)*I$28)</f>
        <v/>
      </c>
      <c r="AM126" s="14" t="str">
        <f>IF(基础状态预期!W139="","",J$27+(基础状态预期!W139-1)*J$28)</f>
        <v/>
      </c>
      <c r="AN126" s="14" t="str">
        <f>IF(基础状态预期!X139="","",K$27+(基础状态预期!X139-1)*K$28)</f>
        <v/>
      </c>
      <c r="AO126" s="14">
        <f>IF(基础状态预期!Y139="","",L$27+(基础状态预期!Y139-1)*L$28)</f>
        <v>3781.387243976139</v>
      </c>
      <c r="AP126" s="14">
        <f>SUMPRODUCT(AK126:AO126,基础状态预期!$F139:$J139)/SUM(基础状态预期!$F139:$J139)</f>
        <v>3781.3872439761385</v>
      </c>
      <c r="AQ126" s="14" t="str">
        <f>IF(基础状态预期!U139="","",H$31+(基础状态预期!U139-1)*H$32)</f>
        <v/>
      </c>
      <c r="AR126" s="14" t="str">
        <f>IF(基础状态预期!V139="","",I$31+(基础状态预期!V139-1)*I$32)</f>
        <v/>
      </c>
      <c r="AS126" s="14" t="str">
        <f>IF(基础状态预期!W139="","",J$31+(基础状态预期!W139-1)*J$32)</f>
        <v/>
      </c>
      <c r="AT126" s="14" t="str">
        <f>IF(基础状态预期!X139="","",K$31+(基础状态预期!X139-1)*K$32)</f>
        <v/>
      </c>
      <c r="AU126" s="14">
        <f>IF(基础状态预期!Y139="","",L$31+(基础状态预期!Y139-1)*L$32)</f>
        <v>298.13872439761388</v>
      </c>
      <c r="AV126" s="14">
        <f>SUMPRODUCT(AQ126:AU126,基础状态预期!$F139:$J139)/SUM(基础状态预期!$F139:$J139)</f>
        <v>298.13872439761388</v>
      </c>
      <c r="BO126" s="29">
        <f t="shared" si="60"/>
        <v>139.56936219880694</v>
      </c>
      <c r="BP126" s="10">
        <f t="shared" si="61"/>
        <v>179503950593633.94</v>
      </c>
      <c r="BQ126" s="10" t="e">
        <f>$BP126*求节点('[1]功能-付费相关'!$AY$6:$AY$105,'[1]功能-付费相关'!$BB$6:$BB$105,$BO126)+$BQ125</f>
        <v>#VALUE!</v>
      </c>
      <c r="BZ126" s="4">
        <f t="shared" si="50"/>
        <v>565625</v>
      </c>
      <c r="CA126" s="4">
        <v>123</v>
      </c>
      <c r="CB126" s="90">
        <f t="shared" si="51"/>
        <v>7668880</v>
      </c>
      <c r="CC126" s="4">
        <f>SUM(CB$4:CB126)</f>
        <v>106484040</v>
      </c>
      <c r="CD126" s="4">
        <f t="shared" si="49"/>
        <v>1.0373293873189151</v>
      </c>
    </row>
    <row r="127" spans="1:82" x14ac:dyDescent="0.15">
      <c r="A127" s="99">
        <f t="shared" si="66"/>
        <v>40979790400</v>
      </c>
      <c r="B127" s="14">
        <v>246</v>
      </c>
      <c r="C127" s="14">
        <f t="shared" si="52"/>
        <v>251867604700</v>
      </c>
      <c r="D127" s="14">
        <f>SUM(C$5:$C127)</f>
        <v>1628493057300</v>
      </c>
      <c r="E127" s="89">
        <f>'[1]资源-武将经验'!$Z128</f>
        <v>1.4560164416169867</v>
      </c>
      <c r="P127" s="5">
        <v>37</v>
      </c>
      <c r="Q127" s="14">
        <f>基础状态预期!D140</f>
        <v>143.08413721822018</v>
      </c>
      <c r="R127" s="14">
        <f>IF(基础状态预期!U140="",0,求节点($B$5:$B$154,$D$5:$D$154,基础状态预期!U140)*基础状态预期!F140)</f>
        <v>0</v>
      </c>
      <c r="S127" s="14">
        <f>IF(基础状态预期!V140="",0,求节点($B$5:$B$154,$D$5:$D$154,基础状态预期!V140)*基础状态预期!G140)</f>
        <v>0</v>
      </c>
      <c r="T127" s="14">
        <f>IF(基础状态预期!W140="",0,求节点($B$5:$B$154,$D$5:$D$154,基础状态预期!W140)*基础状态预期!H140)</f>
        <v>0</v>
      </c>
      <c r="U127" s="14">
        <f>IF(基础状态预期!X140="",0,求节点($B$5:$B$154,$D$5:$D$154,基础状态预期!X140)*基础状态预期!I140)</f>
        <v>0</v>
      </c>
      <c r="V127" s="14">
        <f>IF(基础状态预期!Y140="",0,求节点($B$5:$B$154,$D$5:$D$154,基础状态预期!Y140)*基础状态预期!J140)</f>
        <v>321320178743729.25</v>
      </c>
      <c r="W127" s="14">
        <f t="shared" si="65"/>
        <v>321320178743729.25</v>
      </c>
      <c r="Y127" s="14" t="str">
        <f>IF(基础状态预期!U140="","",H$8+(基础状态预期!U140-1)*H$11)</f>
        <v/>
      </c>
      <c r="Z127" s="14" t="str">
        <f>IF(基础状态预期!V140="","",I$8+(基础状态预期!V140-1)*I$11)</f>
        <v/>
      </c>
      <c r="AA127" s="14" t="str">
        <f>IF(基础状态预期!W140="","",J$8+(基础状态预期!W140-1)*J$11)</f>
        <v/>
      </c>
      <c r="AB127" s="14" t="str">
        <f>IF(基础状态预期!X140="","",K$8+(基础状态预期!X140-1)*K$11)</f>
        <v/>
      </c>
      <c r="AC127" s="14">
        <f>IF(基础状态预期!Y140="","",L$8+(基础状态预期!Y140-1)*L$11)</f>
        <v>9355.04823309321</v>
      </c>
      <c r="AD127" s="14">
        <f>SUMPRODUCT(Y127:AC127,基础状态预期!$F140:$J140)/SUM(基础状态预期!$F140:$J140)</f>
        <v>9355.04823309321</v>
      </c>
      <c r="AE127" s="14" t="str">
        <f>IF(基础状态预期!U140="","",H$9+(基础状态预期!U140-1)*H$12)</f>
        <v/>
      </c>
      <c r="AF127" s="14" t="str">
        <f>IF(基础状态预期!V140="","",I$9+(基础状态预期!V140-1)*I$12)</f>
        <v/>
      </c>
      <c r="AG127" s="14" t="str">
        <f>IF(基础状态预期!W140="","",J$9+(基础状态预期!W140-1)*J$12)</f>
        <v/>
      </c>
      <c r="AH127" s="14" t="str">
        <f>IF(基础状态预期!X140="","",K$9+(基础状态预期!X140-1)*K$12)</f>
        <v/>
      </c>
      <c r="AI127" s="14">
        <f>IF(基础状态预期!Y140="","",L$9+(基础状态预期!Y140-1)*L$12)</f>
        <v>9355.04823309321</v>
      </c>
      <c r="AJ127" s="14">
        <f>SUMPRODUCT(AE127:AI127,基础状态预期!$F140:$J140)/SUM(基础状态预期!$F140:$J140)</f>
        <v>9355.04823309321</v>
      </c>
      <c r="AK127" s="14" t="str">
        <f>IF(基础状态预期!U140="","",H$27+(基础状态预期!U140-1)*H$28)</f>
        <v/>
      </c>
      <c r="AL127" s="14" t="str">
        <f>IF(基础状态预期!V140="","",I$27+(基础状态预期!V140-1)*I$28)</f>
        <v/>
      </c>
      <c r="AM127" s="14" t="str">
        <f>IF(基础状态预期!W140="","",J$27+(基础状态预期!W140-1)*J$28)</f>
        <v/>
      </c>
      <c r="AN127" s="14" t="str">
        <f>IF(基础状态预期!X140="","",K$27+(基础状态预期!X140-1)*K$28)</f>
        <v/>
      </c>
      <c r="AO127" s="14">
        <f>IF(基础状态预期!Y140="","",L$27+(基础状态预期!Y140-1)*L$28)</f>
        <v>3851.6827443644033</v>
      </c>
      <c r="AP127" s="14">
        <f>SUMPRODUCT(AK127:AO127,基础状态预期!$F140:$J140)/SUM(基础状态预期!$F140:$J140)</f>
        <v>3851.6827443644033</v>
      </c>
      <c r="AQ127" s="14" t="str">
        <f>IF(基础状态预期!U140="","",H$31+(基础状态预期!U140-1)*H$32)</f>
        <v/>
      </c>
      <c r="AR127" s="14" t="str">
        <f>IF(基础状态预期!V140="","",I$31+(基础状态预期!V140-1)*I$32)</f>
        <v/>
      </c>
      <c r="AS127" s="14" t="str">
        <f>IF(基础状态预期!W140="","",J$31+(基础状态预期!W140-1)*J$32)</f>
        <v/>
      </c>
      <c r="AT127" s="14" t="str">
        <f>IF(基础状态预期!X140="","",K$31+(基础状态预期!X140-1)*K$32)</f>
        <v/>
      </c>
      <c r="AU127" s="14">
        <f>IF(基础状态预期!Y140="","",L$31+(基础状态预期!Y140-1)*L$32)</f>
        <v>305.16827443644036</v>
      </c>
      <c r="AV127" s="14">
        <f>SUMPRODUCT(AQ127:AU127,基础状态预期!$F140:$J140)/SUM(基础状态预期!$F140:$J140)</f>
        <v>305.16827443644036</v>
      </c>
      <c r="BO127" s="29">
        <f t="shared" si="60"/>
        <v>143.08413721822018</v>
      </c>
      <c r="BP127" s="10">
        <f t="shared" si="61"/>
        <v>321320178743729.25</v>
      </c>
      <c r="BQ127" s="10" t="e">
        <f>$BP127*求节点('[1]功能-付费相关'!$AY$6:$AY$105,'[1]功能-付费相关'!$BB$6:$BB$105,$BO127)+$BQ126</f>
        <v>#VALUE!</v>
      </c>
      <c r="BZ127" s="4">
        <f t="shared" si="50"/>
        <v>666300</v>
      </c>
      <c r="CA127" s="4">
        <v>124</v>
      </c>
      <c r="CB127" s="90">
        <f t="shared" si="51"/>
        <v>8335180</v>
      </c>
      <c r="CC127" s="4">
        <f>SUM(CB$4:CB127)</f>
        <v>114819220</v>
      </c>
      <c r="CD127" s="4">
        <f t="shared" si="49"/>
        <v>1.0407739233690776</v>
      </c>
    </row>
    <row r="128" spans="1:82" x14ac:dyDescent="0.15">
      <c r="A128" s="99">
        <f t="shared" si="66"/>
        <v>49175748400</v>
      </c>
      <c r="B128" s="14">
        <v>248</v>
      </c>
      <c r="C128" s="14">
        <f t="shared" si="52"/>
        <v>301043353100</v>
      </c>
      <c r="D128" s="14">
        <f>SUM(C$5:$C128)</f>
        <v>1929536410400</v>
      </c>
      <c r="E128" s="89">
        <f>'[1]资源-武将经验'!$Z129</f>
        <v>1.4623457046988122</v>
      </c>
      <c r="P128" s="5">
        <v>38</v>
      </c>
      <c r="Q128" s="14">
        <f>基础状态预期!D141</f>
        <v>146.62302564097175</v>
      </c>
      <c r="R128" s="14">
        <f>IF(基础状态预期!U141="",0,求节点($B$5:$B$154,$D$5:$D$154,基础状态预期!U141)*基础状态预期!F141)</f>
        <v>0</v>
      </c>
      <c r="S128" s="14">
        <f>IF(基础状态预期!V141="",0,求节点($B$5:$B$154,$D$5:$D$154,基础状态预期!V141)*基础状态预期!G141)</f>
        <v>0</v>
      </c>
      <c r="T128" s="14">
        <f>IF(基础状态预期!W141="",0,求节点($B$5:$B$154,$D$5:$D$154,基础状态预期!W141)*基础状态预期!H141)</f>
        <v>0</v>
      </c>
      <c r="U128" s="14">
        <f>IF(基础状态预期!X141="",0,求节点($B$5:$B$154,$D$5:$D$154,基础状态预期!X141)*基础状态预期!I141)</f>
        <v>0</v>
      </c>
      <c r="V128" s="14">
        <f>IF(基础状态预期!Y141="",0,求节点($B$5:$B$154,$D$5:$D$154,基础状态预期!Y141)*基础状态预期!J141)</f>
        <v>564884489098511.5</v>
      </c>
      <c r="W128" s="14">
        <f t="shared" si="65"/>
        <v>564884489098511.5</v>
      </c>
      <c r="Y128" s="14" t="str">
        <f>IF(基础状态预期!U141="","",H$8+(基础状态预期!U141-1)*H$11)</f>
        <v/>
      </c>
      <c r="Z128" s="14" t="str">
        <f>IF(基础状态预期!V141="","",I$8+(基础状态预期!V141-1)*I$11)</f>
        <v/>
      </c>
      <c r="AA128" s="14" t="str">
        <f>IF(基础状态预期!W141="","",J$8+(基础状态预期!W141-1)*J$11)</f>
        <v/>
      </c>
      <c r="AB128" s="14" t="str">
        <f>IF(基础状态预期!X141="","",K$8+(基础状态预期!X141-1)*K$11)</f>
        <v/>
      </c>
      <c r="AC128" s="14">
        <f>IF(基础状态预期!Y141="","",L$8+(基础状态预期!Y141-1)*L$11)</f>
        <v>9567.3815384583049</v>
      </c>
      <c r="AD128" s="14">
        <f>SUMPRODUCT(Y128:AC128,基础状态预期!$F141:$J141)/SUM(基础状态预期!$F141:$J141)</f>
        <v>9567.3815384583049</v>
      </c>
      <c r="AE128" s="14" t="str">
        <f>IF(基础状态预期!U141="","",H$9+(基础状态预期!U141-1)*H$12)</f>
        <v/>
      </c>
      <c r="AF128" s="14" t="str">
        <f>IF(基础状态预期!V141="","",I$9+(基础状态预期!V141-1)*I$12)</f>
        <v/>
      </c>
      <c r="AG128" s="14" t="str">
        <f>IF(基础状态预期!W141="","",J$9+(基础状态预期!W141-1)*J$12)</f>
        <v/>
      </c>
      <c r="AH128" s="14" t="str">
        <f>IF(基础状态预期!X141="","",K$9+(基础状态预期!X141-1)*K$12)</f>
        <v/>
      </c>
      <c r="AI128" s="14">
        <f>IF(基础状态预期!Y141="","",L$9+(基础状态预期!Y141-1)*L$12)</f>
        <v>9567.3815384583049</v>
      </c>
      <c r="AJ128" s="14">
        <f>SUMPRODUCT(AE128:AI128,基础状态预期!$F141:$J141)/SUM(基础状态预期!$F141:$J141)</f>
        <v>9567.3815384583049</v>
      </c>
      <c r="AK128" s="14" t="str">
        <f>IF(基础状态预期!U141="","",H$27+(基础状态预期!U141-1)*H$28)</f>
        <v/>
      </c>
      <c r="AL128" s="14" t="str">
        <f>IF(基础状态预期!V141="","",I$27+(基础状态预期!V141-1)*I$28)</f>
        <v/>
      </c>
      <c r="AM128" s="14" t="str">
        <f>IF(基础状态预期!W141="","",J$27+(基础状态预期!W141-1)*J$28)</f>
        <v/>
      </c>
      <c r="AN128" s="14" t="str">
        <f>IF(基础状态预期!X141="","",K$27+(基础状态预期!X141-1)*K$28)</f>
        <v/>
      </c>
      <c r="AO128" s="14">
        <f>IF(基础状态预期!Y141="","",L$27+(基础状态预期!Y141-1)*L$28)</f>
        <v>3922.4605128194348</v>
      </c>
      <c r="AP128" s="14">
        <f>SUMPRODUCT(AK128:AO128,基础状态预期!$F141:$J141)/SUM(基础状态预期!$F141:$J141)</f>
        <v>3922.4605128194348</v>
      </c>
      <c r="AQ128" s="14" t="str">
        <f>IF(基础状态预期!U141="","",H$31+(基础状态预期!U141-1)*H$32)</f>
        <v/>
      </c>
      <c r="AR128" s="14" t="str">
        <f>IF(基础状态预期!V141="","",I$31+(基础状态预期!V141-1)*I$32)</f>
        <v/>
      </c>
      <c r="AS128" s="14" t="str">
        <f>IF(基础状态预期!W141="","",J$31+(基础状态预期!W141-1)*J$32)</f>
        <v/>
      </c>
      <c r="AT128" s="14" t="str">
        <f>IF(基础状态预期!X141="","",K$31+(基础状态预期!X141-1)*K$32)</f>
        <v/>
      </c>
      <c r="AU128" s="14">
        <f>IF(基础状态预期!Y141="","",L$31+(基础状态预期!Y141-1)*L$32)</f>
        <v>312.24605128194349</v>
      </c>
      <c r="AV128" s="14">
        <f>SUMPRODUCT(AQ128:AU128,基础状态预期!$F141:$J141)/SUM(基础状态预期!$F141:$J141)</f>
        <v>312.24605128194349</v>
      </c>
      <c r="BO128" s="29">
        <f t="shared" si="60"/>
        <v>146.62302564097175</v>
      </c>
      <c r="BP128" s="10">
        <f t="shared" si="61"/>
        <v>564884489098511.5</v>
      </c>
      <c r="BQ128" s="10" t="e">
        <f>$BP128*求节点('[1]功能-付费相关'!$AY$6:$AY$105,'[1]功能-付费相关'!$BB$6:$BB$105,$BO128)+$BQ127</f>
        <v>#VALUE!</v>
      </c>
      <c r="BZ128" s="4">
        <f t="shared" si="50"/>
        <v>666300</v>
      </c>
      <c r="CA128" s="4">
        <v>125</v>
      </c>
      <c r="CB128" s="90">
        <f t="shared" si="51"/>
        <v>9001480</v>
      </c>
      <c r="CC128" s="4">
        <f>SUM(CB$4:CB128)</f>
        <v>123820700</v>
      </c>
      <c r="CD128" s="4">
        <f t="shared" si="49"/>
        <v>1.0376978356973747</v>
      </c>
    </row>
    <row r="129" spans="1:82" x14ac:dyDescent="0.15">
      <c r="A129" s="99">
        <f t="shared" si="66"/>
        <v>59010898000</v>
      </c>
      <c r="B129" s="14">
        <v>250</v>
      </c>
      <c r="C129" s="14">
        <f t="shared" si="52"/>
        <v>360054251100</v>
      </c>
      <c r="D129" s="14">
        <f>SUM(C$5:$C129)</f>
        <v>2289590661500</v>
      </c>
      <c r="E129" s="89">
        <f>'[1]资源-武将经验'!$Z130</f>
        <v>1.5008414604398927</v>
      </c>
      <c r="P129" s="5">
        <v>39</v>
      </c>
      <c r="Q129" s="14">
        <f>基础状态预期!D142</f>
        <v>150.12999034316616</v>
      </c>
      <c r="R129" s="14">
        <f>IF(基础状态预期!U142="",0,求节点($B$5:$B$154,$D$5:$D$154,基础状态预期!U142)*基础状态预期!F142)</f>
        <v>0</v>
      </c>
      <c r="S129" s="14">
        <f>IF(基础状态预期!V142="",0,求节点($B$5:$B$154,$D$5:$D$154,基础状态预期!V142)*基础状态预期!G142)</f>
        <v>0</v>
      </c>
      <c r="T129" s="14">
        <f>IF(基础状态预期!W142="",0,求节点($B$5:$B$154,$D$5:$D$154,基础状态预期!W142)*基础状态预期!H142)</f>
        <v>0</v>
      </c>
      <c r="U129" s="14">
        <f>IF(基础状态预期!X142="",0,求节点($B$5:$B$154,$D$5:$D$154,基础状态预期!X142)*基础状态预期!I142)</f>
        <v>0</v>
      </c>
      <c r="V129" s="14">
        <f>IF(基础状态预期!Y142="",0,求节点($B$5:$B$154,$D$5:$D$154,基础状态预期!Y142)*基础状态预期!J142)</f>
        <v>945667232849400</v>
      </c>
      <c r="W129" s="14">
        <f t="shared" si="65"/>
        <v>945667232849400</v>
      </c>
      <c r="Y129" s="14" t="str">
        <f>IF(基础状态预期!U142="","",H$8+(基础状态预期!U142-1)*H$11)</f>
        <v/>
      </c>
      <c r="Z129" s="14" t="str">
        <f>IF(基础状态预期!V142="","",I$8+(基础状态预期!V142-1)*I$11)</f>
        <v/>
      </c>
      <c r="AA129" s="14" t="str">
        <f>IF(基础状态预期!W142="","",J$8+(基础状态预期!W142-1)*J$11)</f>
        <v/>
      </c>
      <c r="AB129" s="14" t="str">
        <f>IF(基础状态预期!X142="","",K$8+(基础状态预期!X142-1)*K$11)</f>
        <v/>
      </c>
      <c r="AC129" s="14">
        <f>IF(基础状态预期!Y142="","",L$8+(基础状态预期!Y142-1)*L$11)</f>
        <v>9770</v>
      </c>
      <c r="AD129" s="14">
        <f>SUMPRODUCT(Y129:AC129,基础状态预期!$F142:$J142)/SUM(基础状态预期!$F142:$J142)</f>
        <v>9770</v>
      </c>
      <c r="AE129" s="14" t="str">
        <f>IF(基础状态预期!U142="","",H$9+(基础状态预期!U142-1)*H$12)</f>
        <v/>
      </c>
      <c r="AF129" s="14" t="str">
        <f>IF(基础状态预期!V142="","",I$9+(基础状态预期!V142-1)*I$12)</f>
        <v/>
      </c>
      <c r="AG129" s="14" t="str">
        <f>IF(基础状态预期!W142="","",J$9+(基础状态预期!W142-1)*J$12)</f>
        <v/>
      </c>
      <c r="AH129" s="14" t="str">
        <f>IF(基础状态预期!X142="","",K$9+(基础状态预期!X142-1)*K$12)</f>
        <v/>
      </c>
      <c r="AI129" s="14">
        <f>IF(基础状态预期!Y142="","",L$9+(基础状态预期!Y142-1)*L$12)</f>
        <v>9770</v>
      </c>
      <c r="AJ129" s="14">
        <f>SUMPRODUCT(AE129:AI129,基础状态预期!$F142:$J142)/SUM(基础状态预期!$F142:$J142)</f>
        <v>9770</v>
      </c>
      <c r="AK129" s="14" t="str">
        <f>IF(基础状态预期!U142="","",H$27+(基础状态预期!U142-1)*H$28)</f>
        <v/>
      </c>
      <c r="AL129" s="14" t="str">
        <f>IF(基础状态预期!V142="","",I$27+(基础状态预期!V142-1)*I$28)</f>
        <v/>
      </c>
      <c r="AM129" s="14" t="str">
        <f>IF(基础状态预期!W142="","",J$27+(基础状态预期!W142-1)*J$28)</f>
        <v/>
      </c>
      <c r="AN129" s="14" t="str">
        <f>IF(基础状态预期!X142="","",K$27+(基础状态预期!X142-1)*K$28)</f>
        <v/>
      </c>
      <c r="AO129" s="14">
        <f>IF(基础状态预期!Y142="","",L$27+(基础状态预期!Y142-1)*L$28)</f>
        <v>3990</v>
      </c>
      <c r="AP129" s="14">
        <f>SUMPRODUCT(AK129:AO129,基础状态预期!$F142:$J142)/SUM(基础状态预期!$F142:$J142)</f>
        <v>3990</v>
      </c>
      <c r="AQ129" s="14" t="str">
        <f>IF(基础状态预期!U142="","",H$31+(基础状态预期!U142-1)*H$32)</f>
        <v/>
      </c>
      <c r="AR129" s="14" t="str">
        <f>IF(基础状态预期!V142="","",I$31+(基础状态预期!V142-1)*I$32)</f>
        <v/>
      </c>
      <c r="AS129" s="14" t="str">
        <f>IF(基础状态预期!W142="","",J$31+(基础状态预期!W142-1)*J$32)</f>
        <v/>
      </c>
      <c r="AT129" s="14" t="str">
        <f>IF(基础状态预期!X142="","",K$31+(基础状态预期!X142-1)*K$32)</f>
        <v/>
      </c>
      <c r="AU129" s="14">
        <f>IF(基础状态预期!Y142="","",L$31+(基础状态预期!Y142-1)*L$32)</f>
        <v>319</v>
      </c>
      <c r="AV129" s="14">
        <f>SUMPRODUCT(AQ129:AU129,基础状态预期!$F142:$J142)/SUM(基础状态预期!$F142:$J142)</f>
        <v>319</v>
      </c>
      <c r="BO129" s="29">
        <f t="shared" si="60"/>
        <v>150.12999034316616</v>
      </c>
      <c r="BP129" s="10">
        <f t="shared" si="61"/>
        <v>945667232849400</v>
      </c>
      <c r="BQ129" s="10" t="e">
        <f>$BP129*求节点('[1]功能-付费相关'!$AY$6:$AY$105,'[1]功能-付费相关'!$BB$6:$BB$105,$BO129)+$BQ128</f>
        <v>#VALUE!</v>
      </c>
      <c r="BZ129" s="4">
        <f t="shared" si="50"/>
        <v>784900</v>
      </c>
      <c r="CA129" s="4">
        <v>126</v>
      </c>
      <c r="CB129" s="90">
        <f t="shared" si="51"/>
        <v>9786380</v>
      </c>
      <c r="CC129" s="4">
        <f>SUM(CB$4:CB129)</f>
        <v>133607080</v>
      </c>
      <c r="CD129" s="4">
        <f t="shared" si="49"/>
        <v>1.0411698513138619</v>
      </c>
    </row>
    <row r="130" spans="1:82" x14ac:dyDescent="0.15">
      <c r="A130" s="99">
        <f t="shared" si="66"/>
        <v>70813077600</v>
      </c>
      <c r="B130" s="14">
        <v>252</v>
      </c>
      <c r="C130" s="14">
        <f t="shared" si="52"/>
        <v>430867328700</v>
      </c>
      <c r="D130" s="14">
        <f>SUM(C$5:$C130)</f>
        <v>2720457990200</v>
      </c>
      <c r="E130" s="89">
        <f>'[1]资源-武将经验'!$Z131</f>
        <v>1.4226641878302555</v>
      </c>
      <c r="P130" s="5">
        <v>40</v>
      </c>
      <c r="Q130" s="14">
        <f>基础状态预期!D143</f>
        <v>153.11600330857166</v>
      </c>
      <c r="R130" s="14">
        <f>IF(基础状态预期!U143="",0,求节点($B$5:$B$154,$D$5:$D$154,基础状态预期!U143)*基础状态预期!F143)</f>
        <v>0</v>
      </c>
      <c r="S130" s="14">
        <f>IF(基础状态预期!V143="",0,求节点($B$5:$B$154,$D$5:$D$154,基础状态预期!V143)*基础状态预期!G143)</f>
        <v>0</v>
      </c>
      <c r="T130" s="14">
        <f>IF(基础状态预期!W143="",0,求节点($B$5:$B$154,$D$5:$D$154,基础状态预期!W143)*基础状态预期!H143)</f>
        <v>0</v>
      </c>
      <c r="U130" s="14">
        <f>IF(基础状态预期!X143="",0,求节点($B$5:$B$154,$D$5:$D$154,基础状态预期!X143)*基础状态预期!I143)</f>
        <v>0</v>
      </c>
      <c r="V130" s="14">
        <f>IF(基础状态预期!Y143="",0,求节点($B$5:$B$154,$D$5:$D$154,基础状态预期!Y143)*基础状态预期!J143)</f>
        <v>945667232849400</v>
      </c>
      <c r="W130" s="14">
        <f t="shared" si="65"/>
        <v>945667232849400</v>
      </c>
      <c r="Y130" s="14" t="str">
        <f>IF(基础状态预期!U143="","",H$8+(基础状态预期!U143-1)*H$11)</f>
        <v/>
      </c>
      <c r="Z130" s="14" t="str">
        <f>IF(基础状态预期!V143="","",I$8+(基础状态预期!V143-1)*I$11)</f>
        <v/>
      </c>
      <c r="AA130" s="14" t="str">
        <f>IF(基础状态预期!W143="","",J$8+(基础状态预期!W143-1)*J$11)</f>
        <v/>
      </c>
      <c r="AB130" s="14" t="str">
        <f>IF(基础状态预期!X143="","",K$8+(基础状态预期!X143-1)*K$11)</f>
        <v/>
      </c>
      <c r="AC130" s="14">
        <f>IF(基础状态预期!Y143="","",L$8+(基础状态预期!Y143-1)*L$11)</f>
        <v>9770</v>
      </c>
      <c r="AD130" s="14">
        <f>SUMPRODUCT(Y130:AC130,基础状态预期!$F143:$J143)/SUM(基础状态预期!$F143:$J143)</f>
        <v>9770</v>
      </c>
      <c r="AE130" s="14" t="str">
        <f>IF(基础状态预期!U143="","",H$9+(基础状态预期!U143-1)*H$12)</f>
        <v/>
      </c>
      <c r="AF130" s="14" t="str">
        <f>IF(基础状态预期!V143="","",I$9+(基础状态预期!V143-1)*I$12)</f>
        <v/>
      </c>
      <c r="AG130" s="14" t="str">
        <f>IF(基础状态预期!W143="","",J$9+(基础状态预期!W143-1)*J$12)</f>
        <v/>
      </c>
      <c r="AH130" s="14" t="str">
        <f>IF(基础状态预期!X143="","",K$9+(基础状态预期!X143-1)*K$12)</f>
        <v/>
      </c>
      <c r="AI130" s="14">
        <f>IF(基础状态预期!Y143="","",L$9+(基础状态预期!Y143-1)*L$12)</f>
        <v>9770</v>
      </c>
      <c r="AJ130" s="14">
        <f>SUMPRODUCT(AE130:AI130,基础状态预期!$F143:$J143)/SUM(基础状态预期!$F143:$J143)</f>
        <v>9770</v>
      </c>
      <c r="AK130" s="14" t="str">
        <f>IF(基础状态预期!U143="","",H$27+(基础状态预期!U143-1)*H$28)</f>
        <v/>
      </c>
      <c r="AL130" s="14" t="str">
        <f>IF(基础状态预期!V143="","",I$27+(基础状态预期!V143-1)*I$28)</f>
        <v/>
      </c>
      <c r="AM130" s="14" t="str">
        <f>IF(基础状态预期!W143="","",J$27+(基础状态预期!W143-1)*J$28)</f>
        <v/>
      </c>
      <c r="AN130" s="14" t="str">
        <f>IF(基础状态预期!X143="","",K$27+(基础状态预期!X143-1)*K$28)</f>
        <v/>
      </c>
      <c r="AO130" s="14">
        <f>IF(基础状态预期!Y143="","",L$27+(基础状态预期!Y143-1)*L$28)</f>
        <v>3990</v>
      </c>
      <c r="AP130" s="14">
        <f>SUMPRODUCT(AK130:AO130,基础状态预期!$F143:$J143)/SUM(基础状态预期!$F143:$J143)</f>
        <v>3990</v>
      </c>
      <c r="AQ130" s="14" t="str">
        <f>IF(基础状态预期!U143="","",H$31+(基础状态预期!U143-1)*H$32)</f>
        <v/>
      </c>
      <c r="AR130" s="14" t="str">
        <f>IF(基础状态预期!V143="","",I$31+(基础状态预期!V143-1)*I$32)</f>
        <v/>
      </c>
      <c r="AS130" s="14" t="str">
        <f>IF(基础状态预期!W143="","",J$31+(基础状态预期!W143-1)*J$32)</f>
        <v/>
      </c>
      <c r="AT130" s="14" t="str">
        <f>IF(基础状态预期!X143="","",K$31+(基础状态预期!X143-1)*K$32)</f>
        <v/>
      </c>
      <c r="AU130" s="14">
        <f>IF(基础状态预期!Y143="","",L$31+(基础状态预期!Y143-1)*L$32)</f>
        <v>319</v>
      </c>
      <c r="AV130" s="14">
        <f>SUMPRODUCT(AQ130:AU130,基础状态预期!$F143:$J143)/SUM(基础状态预期!$F143:$J143)</f>
        <v>319</v>
      </c>
      <c r="BO130" s="29">
        <f t="shared" si="60"/>
        <v>153.11600330857166</v>
      </c>
      <c r="BP130" s="10">
        <f t="shared" si="61"/>
        <v>945667232849400</v>
      </c>
      <c r="BQ130" s="10" t="e">
        <f>$BP130*求节点('[1]功能-付费相关'!$AY$6:$AY$105,'[1]功能-付费相关'!$BB$6:$BB$105,$BO130)+$BQ129</f>
        <v>#VALUE!</v>
      </c>
      <c r="BZ130" s="4">
        <f t="shared" si="50"/>
        <v>784900</v>
      </c>
      <c r="CA130" s="4">
        <v>127</v>
      </c>
      <c r="CB130" s="90">
        <f t="shared" si="51"/>
        <v>10571280</v>
      </c>
      <c r="CC130" s="4">
        <f>SUM(CB$4:CB130)</f>
        <v>144178360</v>
      </c>
      <c r="CD130" s="4">
        <f t="shared" si="49"/>
        <v>1.0380362762454884</v>
      </c>
    </row>
    <row r="131" spans="1:82" x14ac:dyDescent="0.15">
      <c r="A131" s="99">
        <f t="shared" si="66"/>
        <v>84975693100</v>
      </c>
      <c r="B131" s="14">
        <v>254</v>
      </c>
      <c r="C131" s="14">
        <f t="shared" si="52"/>
        <v>515843021800</v>
      </c>
      <c r="D131" s="14">
        <f>SUM(C$5:$C131)</f>
        <v>3236301012000</v>
      </c>
      <c r="E131" s="89">
        <f>'[1]资源-武将经验'!$Z132</f>
        <v>1.399331632618884</v>
      </c>
      <c r="P131" s="5">
        <v>41</v>
      </c>
      <c r="Q131" s="14">
        <f>基础状态预期!D144</f>
        <v>154.20294442048996</v>
      </c>
      <c r="R131" s="14">
        <f>IF(基础状态预期!U144="",0,求节点($B$5:$B$154,$D$5:$D$154,基础状态预期!U144)*基础状态预期!F144)</f>
        <v>0</v>
      </c>
      <c r="S131" s="14">
        <f>IF(基础状态预期!V144="",0,求节点($B$5:$B$154,$D$5:$D$154,基础状态预期!V144)*基础状态预期!G144)</f>
        <v>0</v>
      </c>
      <c r="T131" s="14">
        <f>IF(基础状态预期!W144="",0,求节点($B$5:$B$154,$D$5:$D$154,基础状态预期!W144)*基础状态预期!H144)</f>
        <v>0</v>
      </c>
      <c r="U131" s="14">
        <f>IF(基础状态预期!X144="",0,求节点($B$5:$B$154,$D$5:$D$154,基础状态预期!X144)*基础状态预期!I144)</f>
        <v>0</v>
      </c>
      <c r="V131" s="14">
        <f>IF(基础状态预期!Y144="",0,求节点($B$5:$B$154,$D$5:$D$154,基础状态预期!Y144)*基础状态预期!J144)</f>
        <v>945667232849400</v>
      </c>
      <c r="W131" s="14">
        <f t="shared" si="65"/>
        <v>945667232849400</v>
      </c>
      <c r="Y131" s="14" t="str">
        <f>IF(基础状态预期!U144="","",H$8+(基础状态预期!U144-1)*H$11)</f>
        <v/>
      </c>
      <c r="Z131" s="14" t="str">
        <f>IF(基础状态预期!V144="","",I$8+(基础状态预期!V144-1)*I$11)</f>
        <v/>
      </c>
      <c r="AA131" s="14" t="str">
        <f>IF(基础状态预期!W144="","",J$8+(基础状态预期!W144-1)*J$11)</f>
        <v/>
      </c>
      <c r="AB131" s="14" t="str">
        <f>IF(基础状态预期!X144="","",K$8+(基础状态预期!X144-1)*K$11)</f>
        <v/>
      </c>
      <c r="AC131" s="14">
        <f>IF(基础状态预期!Y144="","",L$8+(基础状态预期!Y144-1)*L$11)</f>
        <v>9770</v>
      </c>
      <c r="AD131" s="14">
        <f>SUMPRODUCT(Y131:AC131,基础状态预期!$F144:$J144)/SUM(基础状态预期!$F144:$J144)</f>
        <v>9770</v>
      </c>
      <c r="AE131" s="14" t="str">
        <f>IF(基础状态预期!U144="","",H$9+(基础状态预期!U144-1)*H$12)</f>
        <v/>
      </c>
      <c r="AF131" s="14" t="str">
        <f>IF(基础状态预期!V144="","",I$9+(基础状态预期!V144-1)*I$12)</f>
        <v/>
      </c>
      <c r="AG131" s="14" t="str">
        <f>IF(基础状态预期!W144="","",J$9+(基础状态预期!W144-1)*J$12)</f>
        <v/>
      </c>
      <c r="AH131" s="14" t="str">
        <f>IF(基础状态预期!X144="","",K$9+(基础状态预期!X144-1)*K$12)</f>
        <v/>
      </c>
      <c r="AI131" s="14">
        <f>IF(基础状态预期!Y144="","",L$9+(基础状态预期!Y144-1)*L$12)</f>
        <v>9770</v>
      </c>
      <c r="AJ131" s="14">
        <f>SUMPRODUCT(AE131:AI131,基础状态预期!$F144:$J144)/SUM(基础状态预期!$F144:$J144)</f>
        <v>9770</v>
      </c>
      <c r="AK131" s="14" t="str">
        <f>IF(基础状态预期!U144="","",H$27+(基础状态预期!U144-1)*H$28)</f>
        <v/>
      </c>
      <c r="AL131" s="14" t="str">
        <f>IF(基础状态预期!V144="","",I$27+(基础状态预期!V144-1)*I$28)</f>
        <v/>
      </c>
      <c r="AM131" s="14" t="str">
        <f>IF(基础状态预期!W144="","",J$27+(基础状态预期!W144-1)*J$28)</f>
        <v/>
      </c>
      <c r="AN131" s="14" t="str">
        <f>IF(基础状态预期!X144="","",K$27+(基础状态预期!X144-1)*K$28)</f>
        <v/>
      </c>
      <c r="AO131" s="14">
        <f>IF(基础状态预期!Y144="","",L$27+(基础状态预期!Y144-1)*L$28)</f>
        <v>3990</v>
      </c>
      <c r="AP131" s="14">
        <f>SUMPRODUCT(AK131:AO131,基础状态预期!$F144:$J144)/SUM(基础状态预期!$F144:$J144)</f>
        <v>3990</v>
      </c>
      <c r="AQ131" s="14" t="str">
        <f>IF(基础状态预期!U144="","",H$31+(基础状态预期!U144-1)*H$32)</f>
        <v/>
      </c>
      <c r="AR131" s="14" t="str">
        <f>IF(基础状态预期!V144="","",I$31+(基础状态预期!V144-1)*I$32)</f>
        <v/>
      </c>
      <c r="AS131" s="14" t="str">
        <f>IF(基础状态预期!W144="","",J$31+(基础状态预期!W144-1)*J$32)</f>
        <v/>
      </c>
      <c r="AT131" s="14" t="str">
        <f>IF(基础状态预期!X144="","",K$31+(基础状态预期!X144-1)*K$32)</f>
        <v/>
      </c>
      <c r="AU131" s="14">
        <f>IF(基础状态预期!Y144="","",L$31+(基础状态预期!Y144-1)*L$32)</f>
        <v>319</v>
      </c>
      <c r="AV131" s="14">
        <f>SUMPRODUCT(AQ131:AU131,基础状态预期!$F144:$J144)/SUM(基础状态预期!$F144:$J144)</f>
        <v>319</v>
      </c>
      <c r="BO131" s="29">
        <f t="shared" si="60"/>
        <v>154.20294442048996</v>
      </c>
      <c r="BP131" s="10">
        <f t="shared" si="61"/>
        <v>945667232849400</v>
      </c>
      <c r="BQ131" s="10" t="e">
        <f>$BP131*求节点('[1]功能-付费相关'!$AY$6:$AY$105,'[1]功能-付费相关'!$BB$6:$BB$105,$BO131)+$BQ130</f>
        <v>#VALUE!</v>
      </c>
      <c r="BZ131" s="4">
        <f t="shared" si="50"/>
        <v>924600</v>
      </c>
      <c r="CA131" s="4">
        <v>128</v>
      </c>
      <c r="CB131" s="90">
        <f t="shared" si="51"/>
        <v>11495880</v>
      </c>
      <c r="CC131" s="4">
        <f>SUM(CB$4:CB131)</f>
        <v>155674240</v>
      </c>
      <c r="CD131" s="4">
        <f t="shared" si="49"/>
        <v>1.0415319542961436</v>
      </c>
    </row>
    <row r="132" spans="1:82" x14ac:dyDescent="0.15">
      <c r="A132" s="99">
        <f t="shared" si="66"/>
        <v>101970831700</v>
      </c>
      <c r="B132" s="14">
        <v>256</v>
      </c>
      <c r="C132" s="14">
        <f t="shared" si="52"/>
        <v>617813853500</v>
      </c>
      <c r="D132" s="14">
        <f>SUM(C$5:$C132)</f>
        <v>3854114865500</v>
      </c>
      <c r="E132" s="89">
        <f>'[1]资源-武将经验'!$Z133</f>
        <v>1.4145643821552361</v>
      </c>
      <c r="P132" s="5">
        <v>42</v>
      </c>
      <c r="Q132" s="14">
        <f>基础状态预期!D145</f>
        <v>155.2512378743358</v>
      </c>
      <c r="R132" s="14">
        <f>IF(基础状态预期!U145="",0,求节点($B$5:$B$154,$D$5:$D$154,基础状态预期!U145)*基础状态预期!F145)</f>
        <v>0</v>
      </c>
      <c r="S132" s="14">
        <f>IF(基础状态预期!V145="",0,求节点($B$5:$B$154,$D$5:$D$154,基础状态预期!V145)*基础状态预期!G145)</f>
        <v>0</v>
      </c>
      <c r="T132" s="14">
        <f>IF(基础状态预期!W145="",0,求节点($B$5:$B$154,$D$5:$D$154,基础状态预期!W145)*基础状态预期!H145)</f>
        <v>0</v>
      </c>
      <c r="U132" s="14">
        <f>IF(基础状态预期!X145="",0,求节点($B$5:$B$154,$D$5:$D$154,基础状态预期!X145)*基础状态预期!I145)</f>
        <v>0</v>
      </c>
      <c r="V132" s="14">
        <f>IF(基础状态预期!Y145="",0,求节点($B$5:$B$154,$D$5:$D$154,基础状态预期!Y145)*基础状态预期!J145)</f>
        <v>945667232849400</v>
      </c>
      <c r="W132" s="14">
        <f t="shared" si="65"/>
        <v>945667232849400</v>
      </c>
      <c r="Y132" s="14" t="str">
        <f>IF(基础状态预期!U145="","",H$8+(基础状态预期!U145-1)*H$11)</f>
        <v/>
      </c>
      <c r="Z132" s="14" t="str">
        <f>IF(基础状态预期!V145="","",I$8+(基础状态预期!V145-1)*I$11)</f>
        <v/>
      </c>
      <c r="AA132" s="14" t="str">
        <f>IF(基础状态预期!W145="","",J$8+(基础状态预期!W145-1)*J$11)</f>
        <v/>
      </c>
      <c r="AB132" s="14" t="str">
        <f>IF(基础状态预期!X145="","",K$8+(基础状态预期!X145-1)*K$11)</f>
        <v/>
      </c>
      <c r="AC132" s="14">
        <f>IF(基础状态预期!Y145="","",L$8+(基础状态预期!Y145-1)*L$11)</f>
        <v>9770</v>
      </c>
      <c r="AD132" s="14">
        <f>SUMPRODUCT(Y132:AC132,基础状态预期!$F145:$J145)/SUM(基础状态预期!$F145:$J145)</f>
        <v>9770</v>
      </c>
      <c r="AE132" s="14" t="str">
        <f>IF(基础状态预期!U145="","",H$9+(基础状态预期!U145-1)*H$12)</f>
        <v/>
      </c>
      <c r="AF132" s="14" t="str">
        <f>IF(基础状态预期!V145="","",I$9+(基础状态预期!V145-1)*I$12)</f>
        <v/>
      </c>
      <c r="AG132" s="14" t="str">
        <f>IF(基础状态预期!W145="","",J$9+(基础状态预期!W145-1)*J$12)</f>
        <v/>
      </c>
      <c r="AH132" s="14" t="str">
        <f>IF(基础状态预期!X145="","",K$9+(基础状态预期!X145-1)*K$12)</f>
        <v/>
      </c>
      <c r="AI132" s="14">
        <f>IF(基础状态预期!Y145="","",L$9+(基础状态预期!Y145-1)*L$12)</f>
        <v>9770</v>
      </c>
      <c r="AJ132" s="14">
        <f>SUMPRODUCT(AE132:AI132,基础状态预期!$F145:$J145)/SUM(基础状态预期!$F145:$J145)</f>
        <v>9770</v>
      </c>
      <c r="AK132" s="14" t="str">
        <f>IF(基础状态预期!U145="","",H$27+(基础状态预期!U145-1)*H$28)</f>
        <v/>
      </c>
      <c r="AL132" s="14" t="str">
        <f>IF(基础状态预期!V145="","",I$27+(基础状态预期!V145-1)*I$28)</f>
        <v/>
      </c>
      <c r="AM132" s="14" t="str">
        <f>IF(基础状态预期!W145="","",J$27+(基础状态预期!W145-1)*J$28)</f>
        <v/>
      </c>
      <c r="AN132" s="14" t="str">
        <f>IF(基础状态预期!X145="","",K$27+(基础状态预期!X145-1)*K$28)</f>
        <v/>
      </c>
      <c r="AO132" s="14">
        <f>IF(基础状态预期!Y145="","",L$27+(基础状态预期!Y145-1)*L$28)</f>
        <v>3990</v>
      </c>
      <c r="AP132" s="14">
        <f>SUMPRODUCT(AK132:AO132,基础状态预期!$F145:$J145)/SUM(基础状态预期!$F145:$J145)</f>
        <v>3990</v>
      </c>
      <c r="AQ132" s="14" t="str">
        <f>IF(基础状态预期!U145="","",H$31+(基础状态预期!U145-1)*H$32)</f>
        <v/>
      </c>
      <c r="AR132" s="14" t="str">
        <f>IF(基础状态预期!V145="","",I$31+(基础状态预期!V145-1)*I$32)</f>
        <v/>
      </c>
      <c r="AS132" s="14" t="str">
        <f>IF(基础状态预期!W145="","",J$31+(基础状态预期!W145-1)*J$32)</f>
        <v/>
      </c>
      <c r="AT132" s="14" t="str">
        <f>IF(基础状态预期!X145="","",K$31+(基础状态预期!X145-1)*K$32)</f>
        <v/>
      </c>
      <c r="AU132" s="14">
        <f>IF(基础状态预期!Y145="","",L$31+(基础状态预期!Y145-1)*L$32)</f>
        <v>319</v>
      </c>
      <c r="AV132" s="14">
        <f>SUMPRODUCT(AQ132:AU132,基础状态预期!$F145:$J145)/SUM(基础状态预期!$F145:$J145)</f>
        <v>319</v>
      </c>
      <c r="BO132" s="29">
        <f t="shared" si="60"/>
        <v>155.2512378743358</v>
      </c>
      <c r="BP132" s="10">
        <f t="shared" si="61"/>
        <v>945667232849400</v>
      </c>
      <c r="BQ132" s="10" t="e">
        <f>$BP132*求节点('[1]功能-付费相关'!$AY$6:$AY$105,'[1]功能-付费相关'!$BB$6:$BB$105,$BO132)+$BQ131</f>
        <v>#VALUE!</v>
      </c>
      <c r="BZ132" s="4">
        <f t="shared" si="50"/>
        <v>924600</v>
      </c>
      <c r="CA132" s="4">
        <v>129</v>
      </c>
      <c r="CB132" s="90">
        <f t="shared" si="51"/>
        <v>12420480</v>
      </c>
      <c r="CC132" s="4">
        <f>SUM(CB$4:CB132)</f>
        <v>168094720</v>
      </c>
      <c r="CD132" s="4">
        <f t="shared" si="49"/>
        <v>1.0383453653811823</v>
      </c>
    </row>
    <row r="133" spans="1:82" x14ac:dyDescent="0.15">
      <c r="A133" s="99">
        <f t="shared" si="66"/>
        <v>122364998000</v>
      </c>
      <c r="B133" s="14">
        <v>258</v>
      </c>
      <c r="C133" s="14">
        <f t="shared" si="52"/>
        <v>740178851500</v>
      </c>
      <c r="D133" s="14">
        <f>SUM(C$5:$C133)</f>
        <v>4594293717000</v>
      </c>
      <c r="E133" s="89">
        <f>'[1]资源-武将经验'!$Z134</f>
        <v>1.3938501553051734</v>
      </c>
      <c r="P133" s="5">
        <v>43</v>
      </c>
      <c r="BZ133" s="4">
        <f t="shared" si="50"/>
        <v>1089175</v>
      </c>
      <c r="CA133" s="4">
        <v>130</v>
      </c>
      <c r="CB133" s="90">
        <f t="shared" si="51"/>
        <v>13509655</v>
      </c>
      <c r="CC133" s="4">
        <f>SUM(CB$4:CB133)</f>
        <v>181604375</v>
      </c>
      <c r="CD133" s="4">
        <f t="shared" ref="CD133:CD196" si="67">CC133/求节点($B$5:$B$154,$D$5:$D$154,CA133)</f>
        <v>1.0418614850987564</v>
      </c>
    </row>
    <row r="134" spans="1:82" x14ac:dyDescent="0.15">
      <c r="A134" s="99">
        <f t="shared" si="66"/>
        <v>146837997600</v>
      </c>
      <c r="B134" s="14">
        <v>260</v>
      </c>
      <c r="C134" s="14">
        <f t="shared" si="52"/>
        <v>887016849100</v>
      </c>
      <c r="D134" s="14">
        <f>SUM(C$5:$C134)</f>
        <v>5481310566100</v>
      </c>
      <c r="E134" s="89">
        <f>'[1]资源-武将经验'!$Z135</f>
        <v>1.3436749316789443</v>
      </c>
      <c r="P134" s="5">
        <v>44</v>
      </c>
      <c r="BZ134" s="4">
        <f t="shared" ref="BZ134:BZ197" si="68">INDEX($A$6:$A$154,CA134/2,1)/4</f>
        <v>1089175</v>
      </c>
      <c r="CA134" s="4">
        <v>131</v>
      </c>
      <c r="CB134" s="90">
        <f t="shared" ref="CB134:CB197" si="69">BZ134+CB133</f>
        <v>14598830</v>
      </c>
      <c r="CC134" s="4">
        <f>SUM(CB$4:CB134)</f>
        <v>196203205</v>
      </c>
      <c r="CD134" s="4">
        <f t="shared" si="67"/>
        <v>1.0386262883030197</v>
      </c>
    </row>
    <row r="135" spans="1:82" x14ac:dyDescent="0.15">
      <c r="A135" s="99">
        <f t="shared" si="66"/>
        <v>176205597100</v>
      </c>
      <c r="B135" s="14">
        <v>262</v>
      </c>
      <c r="C135" s="14">
        <f t="shared" ref="C135:C154" si="70">A135+C134</f>
        <v>1063222446200</v>
      </c>
      <c r="D135" s="14">
        <f>SUM(C$5:$C135)</f>
        <v>6544533012300</v>
      </c>
      <c r="E135" s="89">
        <f>'[1]资源-武将经验'!$Z136</f>
        <v>1.3392871987348736</v>
      </c>
      <c r="P135" s="5">
        <v>45</v>
      </c>
      <c r="BZ135" s="4">
        <f t="shared" si="68"/>
        <v>1283025</v>
      </c>
      <c r="CA135" s="4">
        <v>132</v>
      </c>
      <c r="CB135" s="90">
        <f t="shared" si="69"/>
        <v>15881855</v>
      </c>
      <c r="CC135" s="4">
        <f>SUM(CB$4:CB135)</f>
        <v>212085060</v>
      </c>
      <c r="CD135" s="4">
        <f t="shared" si="67"/>
        <v>1.0421598847794136</v>
      </c>
    </row>
    <row r="136" spans="1:82" x14ac:dyDescent="0.15">
      <c r="A136" s="99">
        <f t="shared" si="66"/>
        <v>211446716500</v>
      </c>
      <c r="B136" s="14">
        <v>264</v>
      </c>
      <c r="C136" s="14">
        <f t="shared" si="70"/>
        <v>1274669162700</v>
      </c>
      <c r="D136" s="14">
        <f>SUM(C$5:$C136)</f>
        <v>7819202175000</v>
      </c>
      <c r="E136" s="89">
        <f>'[1]资源-武将经验'!$Z137</f>
        <v>1.3671536582947781</v>
      </c>
      <c r="P136" s="5">
        <v>1</v>
      </c>
      <c r="BZ136" s="4">
        <f t="shared" si="68"/>
        <v>1283025</v>
      </c>
      <c r="CA136" s="4">
        <v>133</v>
      </c>
      <c r="CB136" s="90">
        <f t="shared" si="69"/>
        <v>17164880</v>
      </c>
      <c r="CC136" s="4">
        <f>SUM(CB$4:CB136)</f>
        <v>229249940</v>
      </c>
      <c r="CD136" s="4">
        <f t="shared" si="67"/>
        <v>1.0388803744230077</v>
      </c>
    </row>
    <row r="137" spans="1:82" x14ac:dyDescent="0.15">
      <c r="A137" s="99">
        <f t="shared" si="66"/>
        <v>253736059800</v>
      </c>
      <c r="B137" s="14">
        <v>266</v>
      </c>
      <c r="C137" s="14">
        <f t="shared" si="70"/>
        <v>1528405222500</v>
      </c>
      <c r="D137" s="14">
        <f>SUM(C$5:$C137)</f>
        <v>9347607397500</v>
      </c>
      <c r="E137" s="89">
        <f>'[1]资源-武将经验'!$Z138</f>
        <v>1.2946739775073191</v>
      </c>
      <c r="P137" s="5">
        <v>2</v>
      </c>
      <c r="Q137" s="8" t="s">
        <v>185</v>
      </c>
      <c r="R137" s="173" t="s">
        <v>202</v>
      </c>
      <c r="S137" s="173"/>
      <c r="T137" s="173"/>
      <c r="U137" s="173"/>
      <c r="V137" s="173"/>
      <c r="W137" s="173"/>
      <c r="Y137" s="173" t="s">
        <v>253</v>
      </c>
      <c r="Z137" s="173"/>
      <c r="AA137" s="173"/>
      <c r="AB137" s="173"/>
      <c r="AC137" s="173"/>
      <c r="AD137" s="173"/>
      <c r="AE137" s="173" t="s">
        <v>255</v>
      </c>
      <c r="AF137" s="173"/>
      <c r="AG137" s="173"/>
      <c r="AH137" s="173"/>
      <c r="AI137" s="173"/>
      <c r="AJ137" s="173"/>
      <c r="AK137" s="173" t="s">
        <v>234</v>
      </c>
      <c r="AL137" s="173"/>
      <c r="AM137" s="173"/>
      <c r="AN137" s="173"/>
      <c r="AO137" s="173"/>
      <c r="AP137" s="173"/>
      <c r="AQ137" s="173" t="s">
        <v>238</v>
      </c>
      <c r="AR137" s="173"/>
      <c r="AS137" s="173"/>
      <c r="AT137" s="173"/>
      <c r="AU137" s="173"/>
      <c r="AV137" s="173"/>
      <c r="BA137" s="35" t="s">
        <v>99</v>
      </c>
      <c r="BB137" s="174"/>
      <c r="BC137" s="174"/>
      <c r="BD137" s="175"/>
      <c r="BE137" s="159"/>
      <c r="BF137" s="159"/>
      <c r="BG137" s="159"/>
      <c r="BH137" s="159"/>
      <c r="BO137" s="8" t="s">
        <v>78</v>
      </c>
      <c r="BP137" s="164" t="s">
        <v>306</v>
      </c>
      <c r="BQ137" s="164"/>
      <c r="BS137" s="35" t="s">
        <v>78</v>
      </c>
      <c r="BT137" s="164" t="s">
        <v>308</v>
      </c>
      <c r="BU137" s="164"/>
      <c r="BZ137" s="4">
        <f t="shared" si="68"/>
        <v>1511400</v>
      </c>
      <c r="CA137" s="4">
        <v>134</v>
      </c>
      <c r="CB137" s="90">
        <f t="shared" si="69"/>
        <v>18676280</v>
      </c>
      <c r="CC137" s="4">
        <f>SUM(CB$4:CB137)</f>
        <v>247926220</v>
      </c>
      <c r="CD137" s="4">
        <f t="shared" si="67"/>
        <v>1.0424290611436242</v>
      </c>
    </row>
    <row r="138" spans="1:82" x14ac:dyDescent="0.15">
      <c r="A138" s="99">
        <f t="shared" si="66"/>
        <v>304483271700</v>
      </c>
      <c r="B138" s="14">
        <v>268</v>
      </c>
      <c r="C138" s="14">
        <f t="shared" si="70"/>
        <v>1832888494200</v>
      </c>
      <c r="D138" s="14">
        <f>SUM(C$5:$C138)</f>
        <v>11180495891700</v>
      </c>
      <c r="E138" s="89">
        <f>'[1]资源-武将经验'!$Z139</f>
        <v>1.2672979362568695</v>
      </c>
      <c r="P138" s="5">
        <v>3</v>
      </c>
      <c r="Q138" s="10" t="s">
        <v>478</v>
      </c>
      <c r="R138" s="22" t="s">
        <v>3</v>
      </c>
      <c r="S138" s="22" t="s">
        <v>1</v>
      </c>
      <c r="T138" s="22" t="s">
        <v>2</v>
      </c>
      <c r="U138" s="22" t="s">
        <v>0</v>
      </c>
      <c r="V138" s="22" t="s">
        <v>545</v>
      </c>
      <c r="W138" s="22" t="s">
        <v>204</v>
      </c>
      <c r="Y138" s="22" t="s">
        <v>3</v>
      </c>
      <c r="Z138" s="22" t="s">
        <v>1</v>
      </c>
      <c r="AA138" s="22" t="s">
        <v>2</v>
      </c>
      <c r="AB138" s="22" t="s">
        <v>0</v>
      </c>
      <c r="AC138" s="22" t="s">
        <v>545</v>
      </c>
      <c r="AD138" s="22" t="s">
        <v>206</v>
      </c>
      <c r="AE138" s="22" t="s">
        <v>3</v>
      </c>
      <c r="AF138" s="22" t="s">
        <v>1</v>
      </c>
      <c r="AG138" s="22" t="s">
        <v>2</v>
      </c>
      <c r="AH138" s="22" t="s">
        <v>0</v>
      </c>
      <c r="AI138" s="22" t="s">
        <v>545</v>
      </c>
      <c r="AJ138" s="22" t="s">
        <v>206</v>
      </c>
      <c r="AK138" s="22" t="s">
        <v>3</v>
      </c>
      <c r="AL138" s="22" t="s">
        <v>1</v>
      </c>
      <c r="AM138" s="22" t="s">
        <v>2</v>
      </c>
      <c r="AN138" s="22" t="s">
        <v>0</v>
      </c>
      <c r="AO138" s="22" t="s">
        <v>545</v>
      </c>
      <c r="AP138" s="22" t="s">
        <v>206</v>
      </c>
      <c r="AQ138" s="22" t="s">
        <v>3</v>
      </c>
      <c r="AR138" s="22" t="s">
        <v>1</v>
      </c>
      <c r="AS138" s="22" t="s">
        <v>2</v>
      </c>
      <c r="AT138" s="22" t="s">
        <v>0</v>
      </c>
      <c r="AU138" s="22" t="s">
        <v>545</v>
      </c>
      <c r="AV138" s="22" t="s">
        <v>206</v>
      </c>
      <c r="BA138" s="32" t="s">
        <v>478</v>
      </c>
      <c r="BB138" s="29" t="s">
        <v>288</v>
      </c>
      <c r="BC138" s="29" t="s">
        <v>289</v>
      </c>
      <c r="BD138" s="29" t="s">
        <v>295</v>
      </c>
      <c r="BE138" s="29" t="s">
        <v>288</v>
      </c>
      <c r="BF138" s="29" t="s">
        <v>289</v>
      </c>
      <c r="BG138" s="29" t="s">
        <v>295</v>
      </c>
      <c r="BH138" s="10" t="s">
        <v>293</v>
      </c>
      <c r="BO138" s="32" t="s">
        <v>478</v>
      </c>
      <c r="BP138" s="29" t="s">
        <v>310</v>
      </c>
      <c r="BQ138" s="29" t="s">
        <v>337</v>
      </c>
      <c r="BS138" s="32" t="s">
        <v>478</v>
      </c>
      <c r="BT138" s="29" t="s">
        <v>310</v>
      </c>
      <c r="BU138" s="29"/>
      <c r="BZ138" s="4">
        <f t="shared" si="68"/>
        <v>1511400</v>
      </c>
      <c r="CA138" s="4">
        <v>135</v>
      </c>
      <c r="CB138" s="90">
        <f t="shared" si="69"/>
        <v>20187680</v>
      </c>
      <c r="CC138" s="4">
        <f>SUM(CB$4:CB138)</f>
        <v>268113900</v>
      </c>
      <c r="CD138" s="4">
        <f t="shared" si="67"/>
        <v>1.0391093345239257</v>
      </c>
    </row>
    <row r="139" spans="1:82" x14ac:dyDescent="0.15">
      <c r="A139" s="99">
        <f t="shared" si="66"/>
        <v>365379926000</v>
      </c>
      <c r="B139" s="14">
        <v>270</v>
      </c>
      <c r="C139" s="14">
        <f t="shared" si="70"/>
        <v>2198268420200</v>
      </c>
      <c r="D139" s="14">
        <f>SUM(C$5:$C139)</f>
        <v>13378764311900</v>
      </c>
      <c r="E139" s="89">
        <f>'[1]资源-武将经验'!$Z140</f>
        <v>1.2769458921208032</v>
      </c>
      <c r="P139" s="5">
        <v>4</v>
      </c>
      <c r="Q139" s="14">
        <f>基础状态预期!D152</f>
        <v>10.00263241450434</v>
      </c>
      <c r="R139" s="14">
        <f>IF(基础状态预期!U152="",0,求节点($B$5:$B$154,$D$5:$D$154,基础状态预期!U152)*基础状态预期!F152)</f>
        <v>0</v>
      </c>
      <c r="S139" s="14">
        <f>IF(基础状态预期!V152="",0,求节点($B$5:$B$154,$D$5:$D$154,基础状态预期!V152)*基础状态预期!G152)</f>
        <v>0</v>
      </c>
      <c r="T139" s="14">
        <f>IF(基础状态预期!W152="",0,求节点($B$5:$B$154,$D$5:$D$154,基础状态预期!W152)*基础状态预期!H152)</f>
        <v>0</v>
      </c>
      <c r="U139" s="14">
        <f>IF(基础状态预期!X152="",0,求节点($B$5:$B$154,$D$5:$D$154,基础状态预期!X152)*基础状态预期!I152)</f>
        <v>99685.922009421673</v>
      </c>
      <c r="V139" s="14">
        <f>IF(基础状态预期!Y152="",0,求节点($B$5:$B$154,$D$5:$D$154,基础状态预期!Y152)*基础状态预期!J152)</f>
        <v>0</v>
      </c>
      <c r="W139" s="14">
        <f>SUM(R139:V139)</f>
        <v>99685.922009421673</v>
      </c>
      <c r="Y139" s="14" t="str">
        <f>IF(基础状态预期!U152="","",H$8+(基础状态预期!U152-1)*H$11)</f>
        <v/>
      </c>
      <c r="Z139" s="14" t="str">
        <f>IF(基础状态预期!V152="","",I$8+(基础状态预期!V152-1)*I$11)</f>
        <v/>
      </c>
      <c r="AA139" s="14" t="str">
        <f>IF(基础状态预期!W152="","",J$8+(基础状态预期!W152-1)*J$11)</f>
        <v/>
      </c>
      <c r="AB139" s="14">
        <f>IF(基础状态预期!X152="","",K$8+(基础状态预期!X152-1)*K$11)</f>
        <v>1370.1579448702605</v>
      </c>
      <c r="AC139" s="14" t="str">
        <f>IF(基础状态预期!Y152="","",L$8+(基础状态预期!Y152-1)*L$11)</f>
        <v/>
      </c>
      <c r="AD139" s="14">
        <f>SUMPRODUCT(Y139:AC139,基础状态预期!$F152:$J152)/SUM(基础状态预期!$F152:$J152)</f>
        <v>1370.1579448702605</v>
      </c>
      <c r="AE139" s="14" t="str">
        <f>IF(基础状态预期!U152="","",H$9+(基础状态预期!U152-1)*H$12)</f>
        <v/>
      </c>
      <c r="AF139" s="14" t="str">
        <f>IF(基础状态预期!V152="","",I$9+(基础状态预期!V152-1)*I$12)</f>
        <v/>
      </c>
      <c r="AG139" s="14" t="str">
        <f>IF(基础状态预期!W152="","",J$9+(基础状态预期!W152-1)*J$12)</f>
        <v/>
      </c>
      <c r="AH139" s="14">
        <f>IF(基础状态预期!X152="","",K$9+(基础状态预期!X152-1)*K$12)</f>
        <v>1370.1579448702605</v>
      </c>
      <c r="AI139" s="14" t="str">
        <f>IF(基础状态预期!Y152="","",L$9+(基础状态预期!Y152-1)*L$12)</f>
        <v/>
      </c>
      <c r="AJ139" s="14">
        <f>SUMPRODUCT(AE139:AI139,基础状态预期!$F152:$J152)/SUM(基础状态预期!$F152:$J152)</f>
        <v>1370.1579448702605</v>
      </c>
      <c r="AK139" s="14" t="str">
        <f>IF(基础状态预期!U152="","",H$27+(基础状态预期!U152-1)*H$28)</f>
        <v/>
      </c>
      <c r="AL139" s="14" t="str">
        <f>IF(基础状态预期!V152="","",I$27+(基础状态预期!V152-1)*I$28)</f>
        <v/>
      </c>
      <c r="AM139" s="14" t="str">
        <f>IF(基础状态预期!W152="","",J$27+(基础状态预期!W152-1)*J$28)</f>
        <v/>
      </c>
      <c r="AN139" s="14">
        <f>IF(基础状态预期!X152="","",K$27+(基础状态预期!X152-1)*K$28)</f>
        <v>1190.0526482900868</v>
      </c>
      <c r="AO139" s="14" t="str">
        <f>IF(基础状态预期!Y152="","",L$27+(基础状态预期!Y152-1)*L$28)</f>
        <v/>
      </c>
      <c r="AP139" s="14">
        <f>SUMPRODUCT(AK139:AO139,基础状态预期!$F152:$J152)/SUM(基础状态预期!$F152:$J152)</f>
        <v>1190.0526482900868</v>
      </c>
      <c r="AQ139" s="14" t="str">
        <f>IF(基础状态预期!U152="","",H$31+(基础状态预期!U152-1)*H$32)</f>
        <v/>
      </c>
      <c r="AR139" s="14" t="str">
        <f>IF(基础状态预期!V152="","",I$31+(基础状态预期!V152-1)*I$32)</f>
        <v/>
      </c>
      <c r="AS139" s="14" t="str">
        <f>IF(基础状态预期!W152="","",J$31+(基础状态预期!W152-1)*J$32)</f>
        <v/>
      </c>
      <c r="AT139" s="14">
        <f>IF(基础状态预期!X152="","",K$31+(基础状态预期!X152-1)*K$32)</f>
        <v>36.005264829008681</v>
      </c>
      <c r="AU139" s="14" t="str">
        <f>IF(基础状态预期!Y152="","",L$31+(基础状态预期!Y152-1)*L$32)</f>
        <v/>
      </c>
      <c r="AV139" s="14">
        <f>SUMPRODUCT(AQ139:AU139,基础状态预期!$F152:$J152)/SUM(基础状态预期!$F152:$J152)</f>
        <v>36.005264829008681</v>
      </c>
      <c r="BA139" s="29">
        <v>10</v>
      </c>
      <c r="BB139" s="29">
        <f t="shared" ref="BB139:BB154" si="71">求节点($Q$139:$Q$177,$AD$139:$AD$177,$BA139)</f>
        <v>1369.7973574270907</v>
      </c>
      <c r="BC139" s="29">
        <f t="shared" ref="BC139:BC154" si="72">求节点($Q$139:$Q$177,$AJ$139:$AJ$177,$BA139)</f>
        <v>1369.7973574270907</v>
      </c>
      <c r="BD139" s="29">
        <f t="shared" ref="BD139:BD154" si="73">求节点($Q$139:$Q$177,$AP$139:$AP$177,$BA139)</f>
        <v>1189.7394595491164</v>
      </c>
      <c r="BE139" s="41">
        <f>BB139*INDEX([2]大r将兵属性验证!W$7:W$166,$BA139,1)</f>
        <v>13674328.053451888</v>
      </c>
      <c r="BF139" s="41">
        <f>BC139*INDEX([2]大r将兵属性验证!X$7:X$166,$BA139,1)</f>
        <v>13674328.053451888</v>
      </c>
      <c r="BG139" s="41">
        <f>BD139*INDEX([2]大r将兵属性验证!$AM$7:$AM$166,$BA139,1)</f>
        <v>2707011.4147455641</v>
      </c>
      <c r="BH139" s="10">
        <f t="shared" ref="BH139:BH140" si="74">SUM(BE139:BG139)</f>
        <v>30055667.521649342</v>
      </c>
      <c r="BO139" s="29">
        <f>$Q139</f>
        <v>10.00263241450434</v>
      </c>
      <c r="BP139" s="10">
        <f>$W139</f>
        <v>99685.922009421673</v>
      </c>
      <c r="BQ139" s="42" t="e">
        <f>$BP139*求节点('[1]功能-付费相关'!$AY$6:$AY$105,'[1]功能-付费相关'!$BC$6:$BC$105,$BO139)</f>
        <v>#VALUE!</v>
      </c>
      <c r="BS139" s="29">
        <v>10</v>
      </c>
      <c r="BT139" s="29" t="e">
        <f t="shared" ref="BT139:BT148" si="75">求节点($BO$139:$BO$177,BQ$139:BQ$177,$BS139)</f>
        <v>#VALUE!</v>
      </c>
      <c r="BU139" s="29"/>
      <c r="BZ139" s="4">
        <f t="shared" si="68"/>
        <v>1780425</v>
      </c>
      <c r="CA139" s="4">
        <v>136</v>
      </c>
      <c r="CB139" s="90">
        <f t="shared" si="69"/>
        <v>21968105</v>
      </c>
      <c r="CC139" s="4">
        <f>SUM(CB$4:CB139)</f>
        <v>290082005</v>
      </c>
      <c r="CD139" s="4">
        <f t="shared" si="67"/>
        <v>1.042670945201565</v>
      </c>
    </row>
    <row r="140" spans="1:82" x14ac:dyDescent="0.15">
      <c r="A140" s="122">
        <f>INT(A139*1.15/100)*100</f>
        <v>420186914900</v>
      </c>
      <c r="B140" s="14">
        <v>272</v>
      </c>
      <c r="C140" s="14">
        <f t="shared" si="70"/>
        <v>2618455335100</v>
      </c>
      <c r="D140" s="14">
        <f>SUM(C$5:$C140)</f>
        <v>15997219647000</v>
      </c>
      <c r="E140" s="89">
        <f>'[1]资源-武将经验'!$Z141</f>
        <v>1.2568366536511095</v>
      </c>
      <c r="P140" s="5">
        <v>5</v>
      </c>
      <c r="Q140" s="14">
        <f>基础状态预期!D153</f>
        <v>19.43005414991557</v>
      </c>
      <c r="R140" s="14">
        <f>IF(基础状态预期!U153="",0,求节点($B$5:$B$154,$D$5:$D$154,基础状态预期!U153)*基础状态预期!F153)</f>
        <v>0</v>
      </c>
      <c r="S140" s="14">
        <f>IF(基础状态预期!V153="",0,求节点($B$5:$B$154,$D$5:$D$154,基础状态预期!V153)*基础状态预期!G153)</f>
        <v>0</v>
      </c>
      <c r="T140" s="14">
        <f>IF(基础状态预期!W153="",0,求节点($B$5:$B$154,$D$5:$D$154,基础状态预期!W153)*基础状态预期!H153)</f>
        <v>0</v>
      </c>
      <c r="U140" s="14">
        <f>IF(基础状态预期!X153="",0,求节点($B$5:$B$154,$D$5:$D$154,基础状态预期!X153)*基础状态预期!I153)</f>
        <v>756522.56296976702</v>
      </c>
      <c r="V140" s="14">
        <f>IF(基础状态预期!Y153="",0,求节点($B$5:$B$154,$D$5:$D$154,基础状态预期!Y153)*基础状态预期!J153)</f>
        <v>0</v>
      </c>
      <c r="W140" s="14">
        <f t="shared" ref="W140:W154" si="76">SUM(R140:V140)</f>
        <v>756522.56296976702</v>
      </c>
      <c r="Y140" s="14" t="str">
        <f>IF(基础状态预期!U153="","",H$8+(基础状态预期!U153-1)*H$11)</f>
        <v/>
      </c>
      <c r="Z140" s="14" t="str">
        <f>IF(基础状态预期!V153="","",I$8+(基础状态预期!V153-1)*I$11)</f>
        <v/>
      </c>
      <c r="AA140" s="14" t="str">
        <f>IF(基础状态预期!W153="","",J$8+(基础状态预期!W153-1)*J$11)</f>
        <v/>
      </c>
      <c r="AB140" s="14">
        <f>IF(基础状态预期!X153="","",K$8+(基础状态预期!X153-1)*K$11)</f>
        <v>1935.8032489949342</v>
      </c>
      <c r="AC140" s="14" t="str">
        <f>IF(基础状态预期!Y153="","",L$8+(基础状态预期!Y153-1)*L$11)</f>
        <v/>
      </c>
      <c r="AD140" s="14">
        <f>SUMPRODUCT(Y140:AC140,基础状态预期!$F153:$J153)/SUM(基础状态预期!$F153:$J153)</f>
        <v>1935.8032489949339</v>
      </c>
      <c r="AE140" s="14" t="str">
        <f>IF(基础状态预期!U153="","",H$9+(基础状态预期!U153-1)*H$12)</f>
        <v/>
      </c>
      <c r="AF140" s="14" t="str">
        <f>IF(基础状态预期!V153="","",I$9+(基础状态预期!V153-1)*I$12)</f>
        <v/>
      </c>
      <c r="AG140" s="14" t="str">
        <f>IF(基础状态预期!W153="","",J$9+(基础状态预期!W153-1)*J$12)</f>
        <v/>
      </c>
      <c r="AH140" s="14">
        <f>IF(基础状态预期!X153="","",K$9+(基础状态预期!X153-1)*K$12)</f>
        <v>1935.8032489949342</v>
      </c>
      <c r="AI140" s="14" t="str">
        <f>IF(基础状态预期!Y153="","",L$9+(基础状态预期!Y153-1)*L$12)</f>
        <v/>
      </c>
      <c r="AJ140" s="14">
        <f>SUMPRODUCT(AE140:AI140,基础状态预期!$F153:$J153)/SUM(基础状态预期!$F153:$J153)</f>
        <v>1935.8032489949339</v>
      </c>
      <c r="AK140" s="14" t="str">
        <f>IF(基础状态预期!U153="","",H$27+(基础状态预期!U153-1)*H$28)</f>
        <v/>
      </c>
      <c r="AL140" s="14" t="str">
        <f>IF(基础状态预期!V153="","",I$27+(基础状态预期!V153-1)*I$28)</f>
        <v/>
      </c>
      <c r="AM140" s="14" t="str">
        <f>IF(基础状态预期!W153="","",J$27+(基础状态预期!W153-1)*J$28)</f>
        <v/>
      </c>
      <c r="AN140" s="14">
        <f>IF(基础状态预期!X153="","",K$27+(基础状态预期!X153-1)*K$28)</f>
        <v>1378.6010829983115</v>
      </c>
      <c r="AO140" s="14" t="str">
        <f>IF(基础状态预期!Y153="","",L$27+(基础状态预期!Y153-1)*L$28)</f>
        <v/>
      </c>
      <c r="AP140" s="14">
        <f>SUMPRODUCT(AK140:AO140,基础状态预期!$F153:$J153)/SUM(基础状态预期!$F153:$J153)</f>
        <v>1378.6010829983115</v>
      </c>
      <c r="AQ140" s="14" t="str">
        <f>IF(基础状态预期!U153="","",H$31+(基础状态预期!U153-1)*H$32)</f>
        <v/>
      </c>
      <c r="AR140" s="14" t="str">
        <f>IF(基础状态预期!V153="","",I$31+(基础状态预期!V153-1)*I$32)</f>
        <v/>
      </c>
      <c r="AS140" s="14" t="str">
        <f>IF(基础状态预期!W153="","",J$31+(基础状态预期!W153-1)*J$32)</f>
        <v/>
      </c>
      <c r="AT140" s="14">
        <f>IF(基础状态预期!X153="","",K$31+(基础状态预期!X153-1)*K$32)</f>
        <v>54.86010829983114</v>
      </c>
      <c r="AU140" s="14" t="str">
        <f>IF(基础状态预期!Y153="","",L$31+(基础状态预期!Y153-1)*L$32)</f>
        <v/>
      </c>
      <c r="AV140" s="14">
        <f>SUMPRODUCT(AQ140:AU140,基础状态预期!$F153:$J153)/SUM(基础状态预期!$F153:$J153)</f>
        <v>54.860108299831133</v>
      </c>
      <c r="BA140" s="29">
        <v>20</v>
      </c>
      <c r="BB140" s="29">
        <f t="shared" si="71"/>
        <v>1969.9999999999998</v>
      </c>
      <c r="BC140" s="29">
        <f t="shared" si="72"/>
        <v>1969.9999999999998</v>
      </c>
      <c r="BD140" s="29">
        <f t="shared" si="73"/>
        <v>1390.0000000000002</v>
      </c>
      <c r="BE140" s="29">
        <f>(BB140-BB139)*INDEX([2]大r将兵属性验证!W$7:W$166,$BA140,1)+BE139</f>
        <v>31059242.606235277</v>
      </c>
      <c r="BF140" s="29">
        <f>(BC140-BC139)*INDEX([2]大r将兵属性验证!X$7:X$166,$BA140,1)+BF139</f>
        <v>31059242.606235277</v>
      </c>
      <c r="BG140" s="29">
        <f>(BD140-BD139)*INDEX([2]大r将兵属性验证!$AM$7:$AM$166,$BA140,1)+BG139</f>
        <v>3333523.7916737571</v>
      </c>
      <c r="BH140" s="10">
        <f t="shared" si="74"/>
        <v>65452009.004144311</v>
      </c>
      <c r="BO140" s="29">
        <f t="shared" ref="BO140:BO177" si="77">$Q140</f>
        <v>19.43005414991557</v>
      </c>
      <c r="BP140" s="10">
        <f t="shared" ref="BP140:BP177" si="78">$W140</f>
        <v>756522.56296976702</v>
      </c>
      <c r="BQ140" s="10" t="e">
        <f>$BP140*求节点('[1]功能-付费相关'!$AY$6:$AY$105,'[1]功能-付费相关'!$BC$6:$BC$105,$BO140)+$BQ139</f>
        <v>#VALUE!</v>
      </c>
      <c r="BS140" s="29">
        <v>20</v>
      </c>
      <c r="BT140" s="29" t="e">
        <f t="shared" si="75"/>
        <v>#VALUE!</v>
      </c>
      <c r="BU140" s="29"/>
      <c r="BZ140" s="4">
        <f t="shared" si="68"/>
        <v>1780425</v>
      </c>
      <c r="CA140" s="4">
        <v>137</v>
      </c>
      <c r="CB140" s="90">
        <f t="shared" si="69"/>
        <v>23748530</v>
      </c>
      <c r="CC140" s="4">
        <f>SUM(CB$4:CB140)</f>
        <v>313830535</v>
      </c>
      <c r="CD140" s="4">
        <f t="shared" si="67"/>
        <v>1.0393148839221742</v>
      </c>
    </row>
    <row r="141" spans="1:82" x14ac:dyDescent="0.15">
      <c r="A141" s="122">
        <f t="shared" ref="A141:A154" si="79">INT(A140*1.15/100)*100</f>
        <v>483214952100</v>
      </c>
      <c r="B141" s="14">
        <v>274</v>
      </c>
      <c r="C141" s="14">
        <f t="shared" si="70"/>
        <v>3101670287200</v>
      </c>
      <c r="D141" s="14">
        <f>SUM(C$5:$C141)</f>
        <v>19098889934200</v>
      </c>
      <c r="E141" s="89">
        <f>'[1]资源-武将经验'!$Z142</f>
        <v>1.2161777547459858</v>
      </c>
      <c r="P141" s="5">
        <v>6</v>
      </c>
      <c r="Q141" s="14">
        <f>基础状态预期!D154</f>
        <v>27.324610510337703</v>
      </c>
      <c r="R141" s="14">
        <f>IF(基础状态预期!U154="",0,求节点($B$5:$B$154,$D$5:$D$154,基础状态预期!U154)*基础状态预期!F154)</f>
        <v>0</v>
      </c>
      <c r="S141" s="14">
        <f>IF(基础状态预期!V154="",0,求节点($B$5:$B$154,$D$5:$D$154,基础状态预期!V154)*基础状态预期!G154)</f>
        <v>0</v>
      </c>
      <c r="T141" s="14">
        <f>IF(基础状态预期!W154="",0,求节点($B$5:$B$154,$D$5:$D$154,基础状态预期!W154)*基础状态预期!H154)</f>
        <v>0</v>
      </c>
      <c r="U141" s="14">
        <f>IF(基础状态预期!X154="",0,求节点($B$5:$B$154,$D$5:$D$154,基础状态预期!X154)*基础状态预期!I154)</f>
        <v>2973790.5998849096</v>
      </c>
      <c r="V141" s="14">
        <f>IF(基础状态预期!Y154="",0,求节点($B$5:$B$154,$D$5:$D$154,基础状态预期!Y154)*基础状态预期!J154)</f>
        <v>0</v>
      </c>
      <c r="W141" s="14">
        <f t="shared" si="76"/>
        <v>2973790.5998849096</v>
      </c>
      <c r="Y141" s="14" t="str">
        <f>IF(基础状态预期!U154="","",H$8+(基础状态预期!U154-1)*H$11)</f>
        <v/>
      </c>
      <c r="Z141" s="14" t="str">
        <f>IF(基础状态预期!V154="","",I$8+(基础状态预期!V154-1)*I$11)</f>
        <v/>
      </c>
      <c r="AA141" s="14" t="str">
        <f>IF(基础状态预期!W154="","",J$8+(基础状态预期!W154-1)*J$11)</f>
        <v/>
      </c>
      <c r="AB141" s="14">
        <f>IF(基础状态预期!X154="","",K$8+(基础状态预期!X154-1)*K$11)</f>
        <v>2409.4766306202619</v>
      </c>
      <c r="AC141" s="14" t="str">
        <f>IF(基础状态预期!Y154="","",L$8+(基础状态预期!Y154-1)*L$11)</f>
        <v/>
      </c>
      <c r="AD141" s="14">
        <f>SUMPRODUCT(Y141:AC141,基础状态预期!$F154:$J154)/SUM(基础状态预期!$F154:$J154)</f>
        <v>2409.4766306202619</v>
      </c>
      <c r="AE141" s="14" t="str">
        <f>IF(基础状态预期!U154="","",H$9+(基础状态预期!U154-1)*H$12)</f>
        <v/>
      </c>
      <c r="AF141" s="14" t="str">
        <f>IF(基础状态预期!V154="","",I$9+(基础状态预期!V154-1)*I$12)</f>
        <v/>
      </c>
      <c r="AG141" s="14" t="str">
        <f>IF(基础状态预期!W154="","",J$9+(基础状态预期!W154-1)*J$12)</f>
        <v/>
      </c>
      <c r="AH141" s="14">
        <f>IF(基础状态预期!X154="","",K$9+(基础状态预期!X154-1)*K$12)</f>
        <v>2409.4766306202619</v>
      </c>
      <c r="AI141" s="14" t="str">
        <f>IF(基础状态预期!Y154="","",L$9+(基础状态预期!Y154-1)*L$12)</f>
        <v/>
      </c>
      <c r="AJ141" s="14">
        <f>SUMPRODUCT(AE141:AI141,基础状态预期!$F154:$J154)/SUM(基础状态预期!$F154:$J154)</f>
        <v>2409.4766306202619</v>
      </c>
      <c r="AK141" s="14" t="str">
        <f>IF(基础状态预期!U154="","",H$27+(基础状态预期!U154-1)*H$28)</f>
        <v/>
      </c>
      <c r="AL141" s="14" t="str">
        <f>IF(基础状态预期!V154="","",I$27+(基础状态预期!V154-1)*I$28)</f>
        <v/>
      </c>
      <c r="AM141" s="14" t="str">
        <f>IF(基础状态预期!W154="","",J$27+(基础状态预期!W154-1)*J$28)</f>
        <v/>
      </c>
      <c r="AN141" s="14">
        <f>IF(基础状态预期!X154="","",K$27+(基础状态预期!X154-1)*K$28)</f>
        <v>1536.492210206754</v>
      </c>
      <c r="AO141" s="14" t="str">
        <f>IF(基础状态预期!Y154="","",L$27+(基础状态预期!Y154-1)*L$28)</f>
        <v/>
      </c>
      <c r="AP141" s="14">
        <f>SUMPRODUCT(AK141:AO141,基础状态预期!$F154:$J154)/SUM(基础状态预期!$F154:$J154)</f>
        <v>1536.492210206754</v>
      </c>
      <c r="AQ141" s="14" t="str">
        <f>IF(基础状态预期!U154="","",H$31+(基础状态预期!U154-1)*H$32)</f>
        <v/>
      </c>
      <c r="AR141" s="14" t="str">
        <f>IF(基础状态预期!V154="","",I$31+(基础状态预期!V154-1)*I$32)</f>
        <v/>
      </c>
      <c r="AS141" s="14" t="str">
        <f>IF(基础状态预期!W154="","",J$31+(基础状态预期!W154-1)*J$32)</f>
        <v/>
      </c>
      <c r="AT141" s="14">
        <f>IF(基础状态预期!X154="","",K$31+(基础状态预期!X154-1)*K$32)</f>
        <v>70.649221020675412</v>
      </c>
      <c r="AU141" s="14" t="str">
        <f>IF(基础状态预期!Y154="","",L$31+(基础状态预期!Y154-1)*L$32)</f>
        <v/>
      </c>
      <c r="AV141" s="14">
        <f>SUMPRODUCT(AQ141:AU141,基础状态预期!$F154:$J154)/SUM(基础状态预期!$F154:$J154)</f>
        <v>70.649221020675412</v>
      </c>
      <c r="BA141" s="29">
        <v>30</v>
      </c>
      <c r="BB141" s="29">
        <f t="shared" si="71"/>
        <v>2569.9999999999995</v>
      </c>
      <c r="BC141" s="29">
        <f t="shared" si="72"/>
        <v>2569.9999999999995</v>
      </c>
      <c r="BD141" s="29">
        <f t="shared" si="73"/>
        <v>1590</v>
      </c>
      <c r="BE141" s="29">
        <f>(BB141-BB140)*INDEX([2]大r将兵属性验证!W$7:W$166,$BA141,1)+BE140</f>
        <v>73449652.329936251</v>
      </c>
      <c r="BF141" s="29">
        <f>(BC141-BC140)*INDEX([2]大r将兵属性验证!X$7:X$166,$BA141,1)+BF140</f>
        <v>73449652.329936251</v>
      </c>
      <c r="BG141" s="29">
        <f>(BD141-BD140)*INDEX([2]大r将兵属性验证!$AM$7:$AM$166,$BA141,1)+BG140</f>
        <v>4097890.1193560441</v>
      </c>
      <c r="BH141" s="10">
        <f t="shared" ref="BH141:BH154" si="80">SUM(BE141:BG141)</f>
        <v>150997194.77922854</v>
      </c>
      <c r="BO141" s="29">
        <f t="shared" si="77"/>
        <v>27.324610510337703</v>
      </c>
      <c r="BP141" s="10">
        <f t="shared" si="78"/>
        <v>2973790.5998849096</v>
      </c>
      <c r="BQ141" s="10" t="e">
        <f>$BP141*求节点('[1]功能-付费相关'!$AY$6:$AY$105,'[1]功能-付费相关'!$BC$6:$BC$105,$BO141)+$BQ140</f>
        <v>#VALUE!</v>
      </c>
      <c r="BS141" s="29">
        <v>30</v>
      </c>
      <c r="BT141" s="29" t="e">
        <f t="shared" si="75"/>
        <v>#VALUE!</v>
      </c>
      <c r="BU141" s="29"/>
      <c r="BZ141" s="4">
        <f t="shared" si="68"/>
        <v>2097325</v>
      </c>
      <c r="CA141" s="4">
        <v>138</v>
      </c>
      <c r="CB141" s="90">
        <f t="shared" si="69"/>
        <v>25845855</v>
      </c>
      <c r="CC141" s="4">
        <f>SUM(CB$4:CB141)</f>
        <v>339676390</v>
      </c>
      <c r="CD141" s="4">
        <f t="shared" si="67"/>
        <v>1.042887516287615</v>
      </c>
    </row>
    <row r="142" spans="1:82" x14ac:dyDescent="0.15">
      <c r="A142" s="122">
        <f t="shared" si="79"/>
        <v>555697194900</v>
      </c>
      <c r="B142" s="14">
        <v>276</v>
      </c>
      <c r="C142" s="14">
        <f t="shared" si="70"/>
        <v>3657367482100</v>
      </c>
      <c r="D142" s="14">
        <f>SUM(C$5:$C142)</f>
        <v>22756257416300</v>
      </c>
      <c r="E142" s="89">
        <f>'[1]资源-武将经验'!$Z143</f>
        <v>1.2156174877619386</v>
      </c>
      <c r="P142" s="5">
        <v>7</v>
      </c>
      <c r="Q142" s="14">
        <f>基础状态预期!D155</f>
        <v>33.672145166817529</v>
      </c>
      <c r="R142" s="14">
        <f>IF(基础状态预期!U155="",0,求节点($B$5:$B$154,$D$5:$D$154,基础状态预期!U155)*基础状态预期!F155)</f>
        <v>0</v>
      </c>
      <c r="S142" s="14">
        <f>IF(基础状态预期!V155="",0,求节点($B$5:$B$154,$D$5:$D$154,基础状态预期!V155)*基础状态预期!G155)</f>
        <v>0</v>
      </c>
      <c r="T142" s="14">
        <f>IF(基础状态预期!W155="",0,求节点($B$5:$B$154,$D$5:$D$154,基础状态预期!W155)*基础状态预期!H155)</f>
        <v>0</v>
      </c>
      <c r="U142" s="14">
        <f>IF(基础状态预期!X155="",0,求节点($B$5:$B$154,$D$5:$D$154,基础状态预期!X155)*基础状态预期!I155)</f>
        <v>12660595.445974382</v>
      </c>
      <c r="V142" s="14">
        <f>IF(基础状态预期!Y155="",0,求节点($B$5:$B$154,$D$5:$D$154,基础状态预期!Y155)*基础状态预期!J155)</f>
        <v>0</v>
      </c>
      <c r="W142" s="14">
        <f t="shared" si="76"/>
        <v>12660595.445974382</v>
      </c>
      <c r="Y142" s="14" t="str">
        <f>IF(基础状态预期!U155="","",H$8+(基础状态预期!U155-1)*H$11)</f>
        <v/>
      </c>
      <c r="Z142" s="14" t="str">
        <f>IF(基础状态预期!V155="","",I$8+(基础状态预期!V155-1)*I$11)</f>
        <v/>
      </c>
      <c r="AA142" s="14" t="str">
        <f>IF(基础状态预期!W155="","",J$8+(基础状态预期!W155-1)*J$11)</f>
        <v/>
      </c>
      <c r="AB142" s="14">
        <f>IF(基础状态预期!X155="","",K$8+(基础状态预期!X155-1)*K$11)</f>
        <v>2790.328710009052</v>
      </c>
      <c r="AC142" s="14" t="str">
        <f>IF(基础状态预期!Y155="","",L$8+(基础状态预期!Y155-1)*L$11)</f>
        <v/>
      </c>
      <c r="AD142" s="14">
        <f>SUMPRODUCT(Y142:AC142,基础状态预期!$F155:$J155)/SUM(基础状态预期!$F155:$J155)</f>
        <v>2790.3287100090515</v>
      </c>
      <c r="AE142" s="14" t="str">
        <f>IF(基础状态预期!U155="","",H$9+(基础状态预期!U155-1)*H$12)</f>
        <v/>
      </c>
      <c r="AF142" s="14" t="str">
        <f>IF(基础状态预期!V155="","",I$9+(基础状态预期!V155-1)*I$12)</f>
        <v/>
      </c>
      <c r="AG142" s="14" t="str">
        <f>IF(基础状态预期!W155="","",J$9+(基础状态预期!W155-1)*J$12)</f>
        <v/>
      </c>
      <c r="AH142" s="14">
        <f>IF(基础状态预期!X155="","",K$9+(基础状态预期!X155-1)*K$12)</f>
        <v>2790.328710009052</v>
      </c>
      <c r="AI142" s="14" t="str">
        <f>IF(基础状态预期!Y155="","",L$9+(基础状态预期!Y155-1)*L$12)</f>
        <v/>
      </c>
      <c r="AJ142" s="14">
        <f>SUMPRODUCT(AE142:AI142,基础状态预期!$F155:$J155)/SUM(基础状态预期!$F155:$J155)</f>
        <v>2790.3287100090515</v>
      </c>
      <c r="AK142" s="14" t="str">
        <f>IF(基础状态预期!U155="","",H$27+(基础状态预期!U155-1)*H$28)</f>
        <v/>
      </c>
      <c r="AL142" s="14" t="str">
        <f>IF(基础状态预期!V155="","",I$27+(基础状态预期!V155-1)*I$28)</f>
        <v/>
      </c>
      <c r="AM142" s="14" t="str">
        <f>IF(基础状态预期!W155="","",J$27+(基础状态预期!W155-1)*J$28)</f>
        <v/>
      </c>
      <c r="AN142" s="14">
        <f>IF(基础状态预期!X155="","",K$27+(基础状态预期!X155-1)*K$28)</f>
        <v>1663.4429033363506</v>
      </c>
      <c r="AO142" s="14" t="str">
        <f>IF(基础状态预期!Y155="","",L$27+(基础状态预期!Y155-1)*L$28)</f>
        <v/>
      </c>
      <c r="AP142" s="14">
        <f>SUMPRODUCT(AK142:AO142,基础状态预期!$F155:$J155)/SUM(基础状态预期!$F155:$J155)</f>
        <v>1663.4429033363506</v>
      </c>
      <c r="AQ142" s="14" t="str">
        <f>IF(基础状态预期!U155="","",H$31+(基础状态预期!U155-1)*H$32)</f>
        <v/>
      </c>
      <c r="AR142" s="14" t="str">
        <f>IF(基础状态预期!V155="","",I$31+(基础状态预期!V155-1)*I$32)</f>
        <v/>
      </c>
      <c r="AS142" s="14" t="str">
        <f>IF(基础状态预期!W155="","",J$31+(基础状态预期!W155-1)*J$32)</f>
        <v/>
      </c>
      <c r="AT142" s="14">
        <f>IF(基础状态预期!X155="","",K$31+(基础状态预期!X155-1)*K$32)</f>
        <v>83.344290333635058</v>
      </c>
      <c r="AU142" s="14" t="str">
        <f>IF(基础状态预期!Y155="","",L$31+(基础状态预期!Y155-1)*L$32)</f>
        <v/>
      </c>
      <c r="AV142" s="14">
        <f>SUMPRODUCT(AQ142:AU142,基础状态预期!$F155:$J155)/SUM(基础状态预期!$F155:$J155)</f>
        <v>83.344290333635058</v>
      </c>
      <c r="BA142" s="29">
        <v>40</v>
      </c>
      <c r="BB142" s="29">
        <f t="shared" si="71"/>
        <v>3170.0000000000005</v>
      </c>
      <c r="BC142" s="29">
        <f t="shared" si="72"/>
        <v>3170.0000000000005</v>
      </c>
      <c r="BD142" s="29">
        <f t="shared" si="73"/>
        <v>1790</v>
      </c>
      <c r="BE142" s="29">
        <f>(BB142-BB141)*INDEX([2]大r将兵属性验证!W$7:W$166,$BA142,1)+BE141</f>
        <v>186798232.82100332</v>
      </c>
      <c r="BF142" s="29">
        <f>(BC142-BC141)*INDEX([2]大r将兵属性验证!X$7:X$166,$BA142,1)+BF141</f>
        <v>186798232.82100332</v>
      </c>
      <c r="BG142" s="29">
        <f>(BD142-BD141)*INDEX([2]大r将兵属性验证!$AM$7:$AM$166,$BA142,1)+BG141</f>
        <v>4993166.7907657465</v>
      </c>
      <c r="BH142" s="10">
        <f t="shared" si="80"/>
        <v>378589632.4327724</v>
      </c>
      <c r="BO142" s="29">
        <f t="shared" si="77"/>
        <v>33.672145166817529</v>
      </c>
      <c r="BP142" s="10">
        <f t="shared" si="78"/>
        <v>12660595.445974382</v>
      </c>
      <c r="BQ142" s="10" t="e">
        <f>$BP142*求节点('[1]功能-付费相关'!$AY$6:$AY$105,'[1]功能-付费相关'!$BC$6:$BC$105,$BO142)+$BQ141</f>
        <v>#VALUE!</v>
      </c>
      <c r="BS142" s="29">
        <v>40</v>
      </c>
      <c r="BT142" s="29" t="e">
        <f t="shared" si="75"/>
        <v>#VALUE!</v>
      </c>
      <c r="BU142" s="29"/>
      <c r="BZ142" s="4">
        <f t="shared" si="68"/>
        <v>2097325</v>
      </c>
      <c r="CA142" s="4">
        <v>139</v>
      </c>
      <c r="CB142" s="90">
        <f t="shared" si="69"/>
        <v>27943180</v>
      </c>
      <c r="CC142" s="4">
        <f>SUM(CB$4:CB142)</f>
        <v>367619570</v>
      </c>
      <c r="CD142" s="4">
        <f t="shared" si="67"/>
        <v>1.0394987654488552</v>
      </c>
    </row>
    <row r="143" spans="1:82" x14ac:dyDescent="0.15">
      <c r="A143" s="122">
        <f t="shared" si="79"/>
        <v>639051774100</v>
      </c>
      <c r="B143" s="14">
        <v>278</v>
      </c>
      <c r="C143" s="14">
        <f t="shared" si="70"/>
        <v>4296419256200</v>
      </c>
      <c r="D143" s="14">
        <f>SUM(C$5:$C143)</f>
        <v>27052676672500</v>
      </c>
      <c r="E143" s="89">
        <f>'[1]资源-武将经验'!$Z144</f>
        <v>1.2436519091805673</v>
      </c>
      <c r="P143" s="5">
        <v>8</v>
      </c>
      <c r="Q143" s="14">
        <f>基础状态预期!D156</f>
        <v>39.138098927718012</v>
      </c>
      <c r="R143" s="14">
        <f>IF(基础状态预期!U156="",0,求节点($B$5:$B$154,$D$5:$D$154,基础状态预期!U156)*基础状态预期!F156)</f>
        <v>0</v>
      </c>
      <c r="S143" s="14">
        <f>IF(基础状态预期!V156="",0,求节点($B$5:$B$154,$D$5:$D$154,基础状态预期!V156)*基础状态预期!G156)</f>
        <v>0</v>
      </c>
      <c r="T143" s="14">
        <f>IF(基础状态预期!W156="",0,求节点($B$5:$B$154,$D$5:$D$154,基础状态预期!W156)*基础状态预期!H156)</f>
        <v>0</v>
      </c>
      <c r="U143" s="14">
        <f>IF(基础状态预期!X156="",0,求节点($B$5:$B$154,$D$5:$D$154,基础状态预期!X156)*基础状态预期!I156)</f>
        <v>31708062.702784814</v>
      </c>
      <c r="V143" s="14">
        <f>IF(基础状态预期!Y156="",0,求节点($B$5:$B$154,$D$5:$D$154,基础状态预期!Y156)*基础状态预期!J156)</f>
        <v>0</v>
      </c>
      <c r="W143" s="14">
        <f t="shared" si="76"/>
        <v>31708062.702784814</v>
      </c>
      <c r="Y143" s="14" t="str">
        <f>IF(基础状态预期!U156="","",H$8+(基础状态预期!U156-1)*H$11)</f>
        <v/>
      </c>
      <c r="Z143" s="14" t="str">
        <f>IF(基础状态预期!V156="","",I$8+(基础状态预期!V156-1)*I$11)</f>
        <v/>
      </c>
      <c r="AA143" s="14" t="str">
        <f>IF(基础状态预期!W156="","",J$8+(基础状态预期!W156-1)*J$11)</f>
        <v/>
      </c>
      <c r="AB143" s="14">
        <f>IF(基础状态预期!X156="","",K$8+(基础状态预期!X156-1)*K$11)</f>
        <v>3118.2859356630806</v>
      </c>
      <c r="AC143" s="14" t="str">
        <f>IF(基础状态预期!Y156="","",L$8+(基础状态预期!Y156-1)*L$11)</f>
        <v/>
      </c>
      <c r="AD143" s="14">
        <f>SUMPRODUCT(Y143:AC143,基础状态预期!$F156:$J156)/SUM(基础状态预期!$F156:$J156)</f>
        <v>3118.2859356630811</v>
      </c>
      <c r="AE143" s="14" t="str">
        <f>IF(基础状态预期!U156="","",H$9+(基础状态预期!U156-1)*H$12)</f>
        <v/>
      </c>
      <c r="AF143" s="14" t="str">
        <f>IF(基础状态预期!V156="","",I$9+(基础状态预期!V156-1)*I$12)</f>
        <v/>
      </c>
      <c r="AG143" s="14" t="str">
        <f>IF(基础状态预期!W156="","",J$9+(基础状态预期!W156-1)*J$12)</f>
        <v/>
      </c>
      <c r="AH143" s="14">
        <f>IF(基础状态预期!X156="","",K$9+(基础状态预期!X156-1)*K$12)</f>
        <v>3118.2859356630806</v>
      </c>
      <c r="AI143" s="14" t="str">
        <f>IF(基础状态预期!Y156="","",L$9+(基础状态预期!Y156-1)*L$12)</f>
        <v/>
      </c>
      <c r="AJ143" s="14">
        <f>SUMPRODUCT(AE143:AI143,基础状态预期!$F156:$J156)/SUM(基础状态预期!$F156:$J156)</f>
        <v>3118.2859356630811</v>
      </c>
      <c r="AK143" s="14" t="str">
        <f>IF(基础状态预期!U156="","",H$27+(基础状态预期!U156-1)*H$28)</f>
        <v/>
      </c>
      <c r="AL143" s="14" t="str">
        <f>IF(基础状态预期!V156="","",I$27+(基础状态预期!V156-1)*I$28)</f>
        <v/>
      </c>
      <c r="AM143" s="14" t="str">
        <f>IF(基础状态预期!W156="","",J$27+(基础状态预期!W156-1)*J$28)</f>
        <v/>
      </c>
      <c r="AN143" s="14">
        <f>IF(基础状态预期!X156="","",K$27+(基础状态预期!X156-1)*K$28)</f>
        <v>1772.7619785543602</v>
      </c>
      <c r="AO143" s="14" t="str">
        <f>IF(基础状态预期!Y156="","",L$27+(基础状态预期!Y156-1)*L$28)</f>
        <v/>
      </c>
      <c r="AP143" s="14">
        <f>SUMPRODUCT(AK143:AO143,基础状态预期!$F156:$J156)/SUM(基础状态预期!$F156:$J156)</f>
        <v>1772.7619785543602</v>
      </c>
      <c r="AQ143" s="14" t="str">
        <f>IF(基础状态预期!U156="","",H$31+(基础状态预期!U156-1)*H$32)</f>
        <v/>
      </c>
      <c r="AR143" s="14" t="str">
        <f>IF(基础状态预期!V156="","",I$31+(基础状态预期!V156-1)*I$32)</f>
        <v/>
      </c>
      <c r="AS143" s="14" t="str">
        <f>IF(基础状态预期!W156="","",J$31+(基础状态预期!W156-1)*J$32)</f>
        <v/>
      </c>
      <c r="AT143" s="14">
        <f>IF(基础状态预期!X156="","",K$31+(基础状态预期!X156-1)*K$32)</f>
        <v>94.276197855436024</v>
      </c>
      <c r="AU143" s="14" t="str">
        <f>IF(基础状态预期!Y156="","",L$31+(基础状态预期!Y156-1)*L$32)</f>
        <v/>
      </c>
      <c r="AV143" s="14">
        <f>SUMPRODUCT(AQ143:AU143,基础状态预期!$F156:$J156)/SUM(基础状态预期!$F156:$J156)</f>
        <v>94.276197855436024</v>
      </c>
      <c r="BA143" s="29">
        <v>50</v>
      </c>
      <c r="BB143" s="29">
        <f t="shared" si="71"/>
        <v>3770</v>
      </c>
      <c r="BC143" s="29">
        <f t="shared" si="72"/>
        <v>3770</v>
      </c>
      <c r="BD143" s="29">
        <f t="shared" si="73"/>
        <v>1990</v>
      </c>
      <c r="BE143" s="29">
        <f>(BB143-BB142)*INDEX([2]大r将兵属性验证!W$7:W$166,$BA143,1)+BE142</f>
        <v>394884130.58000124</v>
      </c>
      <c r="BF143" s="29">
        <f>(BC143-BC142)*INDEX([2]大r将兵属性验证!X$7:X$166,$BA143,1)+BF142</f>
        <v>394884130.58000124</v>
      </c>
      <c r="BG143" s="29">
        <f>(BD143-BD142)*INDEX([2]大r将兵属性验证!$AM$7:$AM$166,$BA143,1)+BG142</f>
        <v>6016254.8066103877</v>
      </c>
      <c r="BH143" s="10">
        <f t="shared" si="80"/>
        <v>795784515.96661282</v>
      </c>
      <c r="BO143" s="29">
        <f t="shared" si="77"/>
        <v>39.138098927718012</v>
      </c>
      <c r="BP143" s="10">
        <f t="shared" si="78"/>
        <v>31708062.702784814</v>
      </c>
      <c r="BQ143" s="10" t="e">
        <f>$BP143*求节点('[1]功能-付费相关'!$AY$6:$AY$105,'[1]功能-付费相关'!$BC$6:$BC$105,$BO143)+$BQ142</f>
        <v>#VALUE!</v>
      </c>
      <c r="BS143" s="29">
        <v>50</v>
      </c>
      <c r="BT143" s="29" t="e">
        <f t="shared" si="75"/>
        <v>#VALUE!</v>
      </c>
      <c r="BU143" s="29"/>
      <c r="BZ143" s="4">
        <f t="shared" si="68"/>
        <v>2470625</v>
      </c>
      <c r="CA143" s="4">
        <v>140</v>
      </c>
      <c r="CB143" s="90">
        <f t="shared" si="69"/>
        <v>30413805</v>
      </c>
      <c r="CC143" s="4">
        <f>SUM(CB$4:CB143)</f>
        <v>398033375</v>
      </c>
      <c r="CD143" s="4">
        <f t="shared" si="67"/>
        <v>1.0430808005366961</v>
      </c>
    </row>
    <row r="144" spans="1:82" x14ac:dyDescent="0.15">
      <c r="A144" s="122">
        <f t="shared" si="79"/>
        <v>734909540200</v>
      </c>
      <c r="B144" s="14">
        <v>280</v>
      </c>
      <c r="C144" s="14">
        <f t="shared" si="70"/>
        <v>5031328796400</v>
      </c>
      <c r="D144" s="14">
        <f>SUM(C$5:$C144)</f>
        <v>32084005468900</v>
      </c>
      <c r="E144" s="89">
        <f>'[1]资源-武将经验'!$Z145</f>
        <v>1.1956202163142524</v>
      </c>
      <c r="P144" s="5">
        <v>9</v>
      </c>
      <c r="Q144" s="14">
        <f>基础状态预期!D157</f>
        <v>42.970748198558951</v>
      </c>
      <c r="R144" s="14">
        <f>IF(基础状态预期!U157="",0,求节点($B$5:$B$154,$D$5:$D$154,基础状态预期!U157)*基础状态预期!F157)</f>
        <v>0</v>
      </c>
      <c r="S144" s="14">
        <f>IF(基础状态预期!V157="",0,求节点($B$5:$B$154,$D$5:$D$154,基础状态预期!V157)*基础状态预期!G157)</f>
        <v>0</v>
      </c>
      <c r="T144" s="14">
        <f>IF(基础状态预期!W157="",0,求节点($B$5:$B$154,$D$5:$D$154,基础状态预期!W157)*基础状态预期!H157)</f>
        <v>0</v>
      </c>
      <c r="U144" s="14">
        <f>IF(基础状态预期!X157="",0,求节点($B$5:$B$154,$D$5:$D$154,基础状态预期!X157)*基础状态预期!I157)</f>
        <v>52253785.501681991</v>
      </c>
      <c r="V144" s="14">
        <f>IF(基础状态预期!Y157="",0,求节点($B$5:$B$154,$D$5:$D$154,基础状态预期!Y157)*基础状态预期!J157)</f>
        <v>0</v>
      </c>
      <c r="W144" s="14">
        <f t="shared" si="76"/>
        <v>52253785.501681991</v>
      </c>
      <c r="Y144" s="14" t="str">
        <f>IF(基础状态预期!U157="","",H$8+(基础状态预期!U157-1)*H$11)</f>
        <v/>
      </c>
      <c r="Z144" s="14" t="str">
        <f>IF(基础状态预期!V157="","",I$8+(基础状态预期!V157-1)*I$11)</f>
        <v/>
      </c>
      <c r="AA144" s="14" t="str">
        <f>IF(基础状态预期!W157="","",J$8+(基础状态预期!W157-1)*J$11)</f>
        <v/>
      </c>
      <c r="AB144" s="14">
        <f>IF(基础状态预期!X157="","",K$8+(基础状态预期!X157-1)*K$11)</f>
        <v>3348.2448919135372</v>
      </c>
      <c r="AC144" s="14" t="str">
        <f>IF(基础状态预期!Y157="","",L$8+(基础状态预期!Y157-1)*L$11)</f>
        <v/>
      </c>
      <c r="AD144" s="14">
        <f>SUMPRODUCT(Y144:AC144,基础状态预期!$F157:$J157)/SUM(基础状态预期!$F157:$J157)</f>
        <v>3348.2448919135372</v>
      </c>
      <c r="AE144" s="14" t="str">
        <f>IF(基础状态预期!U157="","",H$9+(基础状态预期!U157-1)*H$12)</f>
        <v/>
      </c>
      <c r="AF144" s="14" t="str">
        <f>IF(基础状态预期!V157="","",I$9+(基础状态预期!V157-1)*I$12)</f>
        <v/>
      </c>
      <c r="AG144" s="14" t="str">
        <f>IF(基础状态预期!W157="","",J$9+(基础状态预期!W157-1)*J$12)</f>
        <v/>
      </c>
      <c r="AH144" s="14">
        <f>IF(基础状态预期!X157="","",K$9+(基础状态预期!X157-1)*K$12)</f>
        <v>3348.2448919135372</v>
      </c>
      <c r="AI144" s="14" t="str">
        <f>IF(基础状态预期!Y157="","",L$9+(基础状态预期!Y157-1)*L$12)</f>
        <v/>
      </c>
      <c r="AJ144" s="14">
        <f>SUMPRODUCT(AE144:AI144,基础状态预期!$F157:$J157)/SUM(基础状态预期!$F157:$J157)</f>
        <v>3348.2448919135372</v>
      </c>
      <c r="AK144" s="14" t="str">
        <f>IF(基础状态预期!U157="","",H$27+(基础状态预期!U157-1)*H$28)</f>
        <v/>
      </c>
      <c r="AL144" s="14" t="str">
        <f>IF(基础状态预期!V157="","",I$27+(基础状态预期!V157-1)*I$28)</f>
        <v/>
      </c>
      <c r="AM144" s="14" t="str">
        <f>IF(基础状态预期!W157="","",J$27+(基础状态预期!W157-1)*J$28)</f>
        <v/>
      </c>
      <c r="AN144" s="14">
        <f>IF(基础状态预期!X157="","",K$27+(基础状态预期!X157-1)*K$28)</f>
        <v>1849.4149639711791</v>
      </c>
      <c r="AO144" s="14" t="str">
        <f>IF(基础状态预期!Y157="","",L$27+(基础状态预期!Y157-1)*L$28)</f>
        <v/>
      </c>
      <c r="AP144" s="14">
        <f>SUMPRODUCT(AK144:AO144,基础状态预期!$F157:$J157)/SUM(基础状态预期!$F157:$J157)</f>
        <v>1849.4149639711788</v>
      </c>
      <c r="AQ144" s="14" t="str">
        <f>IF(基础状态预期!U157="","",H$31+(基础状态预期!U157-1)*H$32)</f>
        <v/>
      </c>
      <c r="AR144" s="14" t="str">
        <f>IF(基础状态预期!V157="","",I$31+(基础状态预期!V157-1)*I$32)</f>
        <v/>
      </c>
      <c r="AS144" s="14" t="str">
        <f>IF(基础状态预期!W157="","",J$31+(基础状态预期!W157-1)*J$32)</f>
        <v/>
      </c>
      <c r="AT144" s="14">
        <f>IF(基础状态预期!X157="","",K$31+(基础状态预期!X157-1)*K$32)</f>
        <v>101.9414963971179</v>
      </c>
      <c r="AU144" s="14" t="str">
        <f>IF(基础状态预期!Y157="","",L$31+(基础状态预期!Y157-1)*L$32)</f>
        <v/>
      </c>
      <c r="AV144" s="14">
        <f>SUMPRODUCT(AQ144:AU144,基础状态预期!$F157:$J157)/SUM(基础状态预期!$F157:$J157)</f>
        <v>101.94149639711789</v>
      </c>
      <c r="BA144" s="29">
        <v>60</v>
      </c>
      <c r="BB144" s="29">
        <f t="shared" si="71"/>
        <v>4370</v>
      </c>
      <c r="BC144" s="29">
        <f t="shared" si="72"/>
        <v>4370</v>
      </c>
      <c r="BD144" s="29">
        <f t="shared" si="73"/>
        <v>2189.9999999999995</v>
      </c>
      <c r="BE144" s="29">
        <f>(BB144-BB143)*INDEX([2]大r将兵属性验证!W$7:W$166,$BA144,1)+BE143</f>
        <v>844024739.98373675</v>
      </c>
      <c r="BF144" s="29">
        <f>(BC144-BC143)*INDEX([2]大r将兵属性验证!X$7:X$166,$BA144,1)+BF143</f>
        <v>844024739.98373675</v>
      </c>
      <c r="BG144" s="29">
        <f>(BD144-BD143)*INDEX([2]大r将兵属性验证!$AM$7:$AM$166,$BA144,1)+BG143</f>
        <v>7168192.0287296595</v>
      </c>
      <c r="BH144" s="10">
        <f t="shared" si="80"/>
        <v>1695217671.9962032</v>
      </c>
      <c r="BO144" s="29">
        <f t="shared" si="77"/>
        <v>42.970748198558951</v>
      </c>
      <c r="BP144" s="10">
        <f t="shared" si="78"/>
        <v>52253785.501681991</v>
      </c>
      <c r="BQ144" s="10" t="e">
        <f>$BP144*求节点('[1]功能-付费相关'!$AY$6:$AY$105,'[1]功能-付费相关'!$BC$6:$BC$105,$BO144)+$BQ143</f>
        <v>#VALUE!</v>
      </c>
      <c r="BS144" s="29">
        <v>60</v>
      </c>
      <c r="BT144" s="29" t="e">
        <f t="shared" si="75"/>
        <v>#VALUE!</v>
      </c>
      <c r="BU144" s="29"/>
      <c r="BZ144" s="4">
        <f t="shared" si="68"/>
        <v>2470625</v>
      </c>
      <c r="CA144" s="4">
        <v>141</v>
      </c>
      <c r="CB144" s="90">
        <f t="shared" si="69"/>
        <v>32884430</v>
      </c>
      <c r="CC144" s="4">
        <f>SUM(CB$4:CB144)</f>
        <v>430917805</v>
      </c>
      <c r="CD144" s="4">
        <f t="shared" si="67"/>
        <v>1.0396627496556214</v>
      </c>
    </row>
    <row r="145" spans="1:82" x14ac:dyDescent="0.15">
      <c r="A145" s="122">
        <f t="shared" si="79"/>
        <v>845145971200</v>
      </c>
      <c r="B145" s="14">
        <v>282</v>
      </c>
      <c r="C145" s="14">
        <f t="shared" si="70"/>
        <v>5876474767600</v>
      </c>
      <c r="D145" s="14">
        <f>SUM(C$5:$C145)</f>
        <v>37960480236500</v>
      </c>
      <c r="E145" s="89">
        <f>'[1]资源-武将经验'!$Z146</f>
        <v>1.185770326611908</v>
      </c>
      <c r="P145" s="5">
        <v>10</v>
      </c>
      <c r="Q145" s="14">
        <f>基础状态预期!D158</f>
        <v>48.731413734867289</v>
      </c>
      <c r="R145" s="14">
        <f>IF(基础状态预期!U158="",0,求节点($B$5:$B$154,$D$5:$D$154,基础状态预期!U158)*基础状态预期!F158)</f>
        <v>0</v>
      </c>
      <c r="S145" s="14">
        <f>IF(基础状态预期!V158="",0,求节点($B$5:$B$154,$D$5:$D$154,基础状态预期!V158)*基础状态预期!G158)</f>
        <v>0</v>
      </c>
      <c r="T145" s="14">
        <f>IF(基础状态预期!W158="",0,求节点($B$5:$B$154,$D$5:$D$154,基础状态预期!W158)*基础状态预期!H158)</f>
        <v>0</v>
      </c>
      <c r="U145" s="14">
        <f>IF(基础状态预期!X158="",0,求节点($B$5:$B$154,$D$5:$D$154,基础状态预期!X158)*基础状态预期!I158)</f>
        <v>106227807.01699623</v>
      </c>
      <c r="V145" s="14">
        <f>IF(基础状态预期!Y158="",0,求节点($B$5:$B$154,$D$5:$D$154,基础状态预期!Y158)*基础状态预期!J158)</f>
        <v>0</v>
      </c>
      <c r="W145" s="14">
        <f t="shared" si="76"/>
        <v>106227807.01699623</v>
      </c>
      <c r="Y145" s="14" t="str">
        <f>IF(基础状态预期!U158="","",H$8+(基础状态预期!U158-1)*H$11)</f>
        <v/>
      </c>
      <c r="Z145" s="14" t="str">
        <f>IF(基础状态预期!V158="","",I$8+(基础状态预期!V158-1)*I$11)</f>
        <v/>
      </c>
      <c r="AA145" s="14" t="str">
        <f>IF(基础状态预期!W158="","",J$8+(基础状态预期!W158-1)*J$11)</f>
        <v/>
      </c>
      <c r="AB145" s="14">
        <f>IF(基础状态预期!X158="","",K$8+(基础状态预期!X158-1)*K$11)</f>
        <v>3693.8848240920374</v>
      </c>
      <c r="AC145" s="14" t="str">
        <f>IF(基础状态预期!Y158="","",L$8+(基础状态预期!Y158-1)*L$11)</f>
        <v/>
      </c>
      <c r="AD145" s="14">
        <f>SUMPRODUCT(Y145:AC145,基础状态预期!$F158:$J158)/SUM(基础状态预期!$F158:$J158)</f>
        <v>3693.8848240920374</v>
      </c>
      <c r="AE145" s="14" t="str">
        <f>IF(基础状态预期!U158="","",H$9+(基础状态预期!U158-1)*H$12)</f>
        <v/>
      </c>
      <c r="AF145" s="14" t="str">
        <f>IF(基础状态预期!V158="","",I$9+(基础状态预期!V158-1)*I$12)</f>
        <v/>
      </c>
      <c r="AG145" s="14" t="str">
        <f>IF(基础状态预期!W158="","",J$9+(基础状态预期!W158-1)*J$12)</f>
        <v/>
      </c>
      <c r="AH145" s="14">
        <f>IF(基础状态预期!X158="","",K$9+(基础状态预期!X158-1)*K$12)</f>
        <v>3693.8848240920374</v>
      </c>
      <c r="AI145" s="14" t="str">
        <f>IF(基础状态预期!Y158="","",L$9+(基础状态预期!Y158-1)*L$12)</f>
        <v/>
      </c>
      <c r="AJ145" s="14">
        <f>SUMPRODUCT(AE145:AI145,基础状态预期!$F158:$J158)/SUM(基础状态预期!$F158:$J158)</f>
        <v>3693.8848240920374</v>
      </c>
      <c r="AK145" s="14" t="str">
        <f>IF(基础状态预期!U158="","",H$27+(基础状态预期!U158-1)*H$28)</f>
        <v/>
      </c>
      <c r="AL145" s="14" t="str">
        <f>IF(基础状态预期!V158="","",I$27+(基础状态预期!V158-1)*I$28)</f>
        <v/>
      </c>
      <c r="AM145" s="14" t="str">
        <f>IF(基础状态预期!W158="","",J$27+(基础状态预期!W158-1)*J$28)</f>
        <v/>
      </c>
      <c r="AN145" s="14">
        <f>IF(基础状态预期!X158="","",K$27+(基础状态预期!X158-1)*K$28)</f>
        <v>1964.6282746973457</v>
      </c>
      <c r="AO145" s="14" t="str">
        <f>IF(基础状态预期!Y158="","",L$27+(基础状态预期!Y158-1)*L$28)</f>
        <v/>
      </c>
      <c r="AP145" s="14">
        <f>SUMPRODUCT(AK145:AO145,基础状态预期!$F158:$J158)/SUM(基础状态预期!$F158:$J158)</f>
        <v>1964.6282746973457</v>
      </c>
      <c r="AQ145" s="14" t="str">
        <f>IF(基础状态预期!U158="","",H$31+(基础状态预期!U158-1)*H$32)</f>
        <v/>
      </c>
      <c r="AR145" s="14" t="str">
        <f>IF(基础状态预期!V158="","",I$31+(基础状态预期!V158-1)*I$32)</f>
        <v/>
      </c>
      <c r="AS145" s="14" t="str">
        <f>IF(基础状态预期!W158="","",J$31+(基础状态预期!W158-1)*J$32)</f>
        <v/>
      </c>
      <c r="AT145" s="14">
        <f>IF(基础状态预期!X158="","",K$31+(基础状态预期!X158-1)*K$32)</f>
        <v>113.46282746973458</v>
      </c>
      <c r="AU145" s="14" t="str">
        <f>IF(基础状态预期!Y158="","",L$31+(基础状态预期!Y158-1)*L$32)</f>
        <v/>
      </c>
      <c r="AV145" s="14">
        <f>SUMPRODUCT(AQ145:AU145,基础状态预期!$F158:$J158)/SUM(基础状态预期!$F158:$J158)</f>
        <v>113.46282746973458</v>
      </c>
      <c r="BA145" s="29">
        <v>70</v>
      </c>
      <c r="BB145" s="29">
        <f t="shared" si="71"/>
        <v>4970</v>
      </c>
      <c r="BC145" s="29">
        <f t="shared" si="72"/>
        <v>4970</v>
      </c>
      <c r="BD145" s="29">
        <f t="shared" si="73"/>
        <v>2390</v>
      </c>
      <c r="BE145" s="29">
        <f>(BB145-BB144)*INDEX([2]大r将兵属性验证!W$7:W$166,$BA145,1)+BE144</f>
        <v>1849370247.0679321</v>
      </c>
      <c r="BF145" s="29">
        <f>(BC145-BC144)*INDEX([2]大r将兵属性验证!X$7:X$166,$BA145,1)+BF144</f>
        <v>1849370247.0679321</v>
      </c>
      <c r="BG145" s="29">
        <f>(BD145-BD144)*INDEX([2]大r将兵属性验证!$AM$7:$AM$166,$BA145,1)+BG144</f>
        <v>8453826.0449388772</v>
      </c>
      <c r="BH145" s="10">
        <f t="shared" si="80"/>
        <v>3707194320.1808033</v>
      </c>
      <c r="BO145" s="29">
        <f t="shared" si="77"/>
        <v>48.731413734867289</v>
      </c>
      <c r="BP145" s="10">
        <f t="shared" si="78"/>
        <v>106227807.01699623</v>
      </c>
      <c r="BQ145" s="10" t="e">
        <f>$BP145*求节点('[1]功能-付费相关'!$AY$6:$AY$105,'[1]功能-付费相关'!$BC$6:$BC$105,$BO145)+$BQ144</f>
        <v>#VALUE!</v>
      </c>
      <c r="BS145" s="29">
        <v>70</v>
      </c>
      <c r="BT145" s="29" t="e">
        <f t="shared" si="75"/>
        <v>#VALUE!</v>
      </c>
      <c r="BU145" s="29"/>
      <c r="BZ145" s="4">
        <f t="shared" si="68"/>
        <v>2910375</v>
      </c>
      <c r="CA145" s="4">
        <v>142</v>
      </c>
      <c r="CB145" s="90">
        <f t="shared" si="69"/>
        <v>35794805</v>
      </c>
      <c r="CC145" s="4">
        <f>SUM(CB$4:CB145)</f>
        <v>466712610</v>
      </c>
      <c r="CD145" s="4">
        <f t="shared" si="67"/>
        <v>1.0432528267319441</v>
      </c>
    </row>
    <row r="146" spans="1:82" x14ac:dyDescent="0.15">
      <c r="A146" s="122">
        <f t="shared" si="79"/>
        <v>971917866800</v>
      </c>
      <c r="B146" s="14">
        <v>284</v>
      </c>
      <c r="C146" s="14">
        <f t="shared" si="70"/>
        <v>6848392634400</v>
      </c>
      <c r="D146" s="14">
        <f>SUM(C$5:$C146)</f>
        <v>44808872870900</v>
      </c>
      <c r="E146" s="89">
        <f>'[1]资源-武将经验'!$Z147</f>
        <v>1.2062478873587714</v>
      </c>
      <c r="P146" s="5">
        <v>11</v>
      </c>
      <c r="Q146" s="14">
        <f>基础状态预期!D159</f>
        <v>52.769987980532711</v>
      </c>
      <c r="R146" s="14">
        <f>IF(基础状态预期!U159="",0,求节点($B$5:$B$154,$D$5:$D$154,基础状态预期!U159)*基础状态预期!F159)</f>
        <v>0</v>
      </c>
      <c r="S146" s="14">
        <f>IF(基础状态预期!V159="",0,求节点($B$5:$B$154,$D$5:$D$154,基础状态预期!V159)*基础状态预期!G159)</f>
        <v>0</v>
      </c>
      <c r="T146" s="14">
        <f>IF(基础状态预期!W159="",0,求节点($B$5:$B$154,$D$5:$D$154,基础状态预期!W159)*基础状态预期!H159)</f>
        <v>0</v>
      </c>
      <c r="U146" s="14">
        <f>IF(基础状态预期!X159="",0,求节点($B$5:$B$154,$D$5:$D$154,基础状态预期!X159)*基础状态预期!I159)</f>
        <v>148818737.17700726</v>
      </c>
      <c r="V146" s="14">
        <f>IF(基础状态预期!Y159="",0,求节点($B$5:$B$154,$D$5:$D$154,基础状态预期!Y159)*基础状态预期!J159)</f>
        <v>29763747.435401455</v>
      </c>
      <c r="W146" s="14">
        <f t="shared" si="76"/>
        <v>178582484.6124087</v>
      </c>
      <c r="Y146" s="14" t="str">
        <f>IF(基础状态预期!U159="","",H$8+(基础状态预期!U159-1)*H$11)</f>
        <v/>
      </c>
      <c r="Z146" s="14" t="str">
        <f>IF(基础状态预期!V159="","",I$8+(基础状态预期!V159-1)*I$11)</f>
        <v/>
      </c>
      <c r="AA146" s="14" t="str">
        <f>IF(基础状态预期!W159="","",J$8+(基础状态预期!W159-1)*J$11)</f>
        <v/>
      </c>
      <c r="AB146" s="14">
        <f>IF(基础状态预期!X159="","",K$8+(基础状态预期!X159-1)*K$11)</f>
        <v>3936.1992788319626</v>
      </c>
      <c r="AC146" s="14">
        <f>IF(基础状态预期!Y159="","",L$8+(基础状态预期!Y159-1)*L$11)</f>
        <v>3936.1992788319626</v>
      </c>
      <c r="AD146" s="14">
        <f>SUMPRODUCT(Y146:AC146,基础状态预期!$F159:$J159)/SUM(基础状态预期!$F159:$J159)</f>
        <v>3936.1992788319626</v>
      </c>
      <c r="AE146" s="14" t="str">
        <f>IF(基础状态预期!U159="","",H$9+(基础状态预期!U159-1)*H$12)</f>
        <v/>
      </c>
      <c r="AF146" s="14" t="str">
        <f>IF(基础状态预期!V159="","",I$9+(基础状态预期!V159-1)*I$12)</f>
        <v/>
      </c>
      <c r="AG146" s="14" t="str">
        <f>IF(基础状态预期!W159="","",J$9+(基础状态预期!W159-1)*J$12)</f>
        <v/>
      </c>
      <c r="AH146" s="14">
        <f>IF(基础状态预期!X159="","",K$9+(基础状态预期!X159-1)*K$12)</f>
        <v>3936.1992788319626</v>
      </c>
      <c r="AI146" s="14">
        <f>IF(基础状态预期!Y159="","",L$9+(基础状态预期!Y159-1)*L$12)</f>
        <v>3936.1992788319626</v>
      </c>
      <c r="AJ146" s="14">
        <f>SUMPRODUCT(AE146:AI146,基础状态预期!$F159:$J159)/SUM(基础状态预期!$F159:$J159)</f>
        <v>3936.1992788319626</v>
      </c>
      <c r="AK146" s="14" t="str">
        <f>IF(基础状态预期!U159="","",H$27+(基础状态预期!U159-1)*H$28)</f>
        <v/>
      </c>
      <c r="AL146" s="14" t="str">
        <f>IF(基础状态预期!V159="","",I$27+(基础状态预期!V159-1)*I$28)</f>
        <v/>
      </c>
      <c r="AM146" s="14" t="str">
        <f>IF(基础状态预期!W159="","",J$27+(基础状态预期!W159-1)*J$28)</f>
        <v/>
      </c>
      <c r="AN146" s="14">
        <f>IF(基础状态预期!X159="","",K$27+(基础状态预期!X159-1)*K$28)</f>
        <v>2045.3997596106542</v>
      </c>
      <c r="AO146" s="14">
        <f>IF(基础状态预期!Y159="","",L$27+(基础状态预期!Y159-1)*L$28)</f>
        <v>2045.3997596106542</v>
      </c>
      <c r="AP146" s="14">
        <f>SUMPRODUCT(AK146:AO146,基础状态预期!$F159:$J159)/SUM(基础状态预期!$F159:$J159)</f>
        <v>2045.3997596106544</v>
      </c>
      <c r="AQ146" s="14" t="str">
        <f>IF(基础状态预期!U159="","",H$31+(基础状态预期!U159-1)*H$32)</f>
        <v/>
      </c>
      <c r="AR146" s="14" t="str">
        <f>IF(基础状态预期!V159="","",I$31+(基础状态预期!V159-1)*I$32)</f>
        <v/>
      </c>
      <c r="AS146" s="14" t="str">
        <f>IF(基础状态预期!W159="","",J$31+(基础状态预期!W159-1)*J$32)</f>
        <v/>
      </c>
      <c r="AT146" s="14">
        <f>IF(基础状态预期!X159="","",K$31+(基础状态预期!X159-1)*K$32)</f>
        <v>121.53997596106542</v>
      </c>
      <c r="AU146" s="14">
        <f>IF(基础状态预期!Y159="","",L$31+(基础状态预期!Y159-1)*L$32)</f>
        <v>124.53997596106542</v>
      </c>
      <c r="AV146" s="14">
        <f>SUMPRODUCT(AQ146:AU146,基础状态预期!$F159:$J159)/SUM(基础状态预期!$F159:$J159)</f>
        <v>122.03997596106542</v>
      </c>
      <c r="BA146" s="29">
        <v>80</v>
      </c>
      <c r="BB146" s="29">
        <f t="shared" si="71"/>
        <v>5569.9999999999991</v>
      </c>
      <c r="BC146" s="29">
        <f t="shared" si="72"/>
        <v>5569.9999999999991</v>
      </c>
      <c r="BD146" s="29">
        <f t="shared" si="73"/>
        <v>2590</v>
      </c>
      <c r="BE146" s="29">
        <f>(BB146-BB145)*INDEX([2]大r将兵属性验证!W$7:W$166,$BA146,1)+BE145</f>
        <v>4079464408.2649932</v>
      </c>
      <c r="BF146" s="29">
        <f>(BC146-BC145)*INDEX([2]大r将兵属性验证!X$7:X$166,$BA146,1)+BF145</f>
        <v>4079464408.2649932</v>
      </c>
      <c r="BG146" s="29">
        <f>(BD146-BD145)*INDEX([2]大r将兵属性验证!$AM$7:$AM$166,$BA146,1)+BG145</f>
        <v>9873016.9000769053</v>
      </c>
      <c r="BH146" s="10">
        <f t="shared" si="80"/>
        <v>8168801833.4300632</v>
      </c>
      <c r="BO146" s="29">
        <f t="shared" si="77"/>
        <v>52.769987980532711</v>
      </c>
      <c r="BP146" s="10">
        <f t="shared" si="78"/>
        <v>178582484.6124087</v>
      </c>
      <c r="BQ146" s="10" t="e">
        <f>$BP146*求节点('[1]功能-付费相关'!$AY$6:$AY$105,'[1]功能-付费相关'!$BC$6:$BC$105,$BO146)+$BQ145</f>
        <v>#VALUE!</v>
      </c>
      <c r="BS146" s="29">
        <v>80</v>
      </c>
      <c r="BT146" s="29" t="e">
        <f t="shared" si="75"/>
        <v>#VALUE!</v>
      </c>
      <c r="BU146" s="29"/>
      <c r="BZ146" s="4">
        <f t="shared" si="68"/>
        <v>2910375</v>
      </c>
      <c r="CA146" s="4">
        <v>143</v>
      </c>
      <c r="CB146" s="90">
        <f t="shared" si="69"/>
        <v>38705180</v>
      </c>
      <c r="CC146" s="4">
        <f>SUM(CB$4:CB146)</f>
        <v>505417790</v>
      </c>
      <c r="CD146" s="4">
        <f t="shared" si="67"/>
        <v>1.0398085988362535</v>
      </c>
    </row>
    <row r="147" spans="1:82" x14ac:dyDescent="0.15">
      <c r="A147" s="122">
        <f t="shared" si="79"/>
        <v>1117705546800</v>
      </c>
      <c r="B147" s="14">
        <v>286</v>
      </c>
      <c r="C147" s="14">
        <f t="shared" si="70"/>
        <v>7966098181200</v>
      </c>
      <c r="D147" s="14">
        <f>SUM(C$5:$C147)</f>
        <v>52774971052100</v>
      </c>
      <c r="E147" s="89">
        <f>'[1]资源-武将经验'!$Z148</f>
        <v>1.2049700832024453</v>
      </c>
      <c r="P147" s="5">
        <v>12</v>
      </c>
      <c r="Q147" s="14">
        <f>基础状态预期!D160</f>
        <v>58.701446767877648</v>
      </c>
      <c r="R147" s="14">
        <f>IF(基础状态预期!U160="",0,求节点($B$5:$B$154,$D$5:$D$154,基础状态预期!U160)*基础状态预期!F160)</f>
        <v>0</v>
      </c>
      <c r="S147" s="14">
        <f>IF(基础状态预期!V160="",0,求节点($B$5:$B$154,$D$5:$D$154,基础状态预期!V160)*基础状态预期!G160)</f>
        <v>0</v>
      </c>
      <c r="T147" s="14">
        <f>IF(基础状态预期!W160="",0,求节点($B$5:$B$154,$D$5:$D$154,基础状态预期!W160)*基础状态预期!H160)</f>
        <v>0</v>
      </c>
      <c r="U147" s="14">
        <f>IF(基础状态预期!X160="",0,求节点($B$5:$B$154,$D$5:$D$154,基础状态预期!X160)*基础状态预期!I160)</f>
        <v>271639396.64777404</v>
      </c>
      <c r="V147" s="14">
        <f>IF(基础状态预期!Y160="",0,求节点($B$5:$B$154,$D$5:$D$154,基础状态预期!Y160)*基础状态预期!J160)</f>
        <v>135819698.32388702</v>
      </c>
      <c r="W147" s="14">
        <f t="shared" si="76"/>
        <v>407459094.97166109</v>
      </c>
      <c r="Y147" s="14" t="str">
        <f>IF(基础状态预期!U160="","",H$8+(基础状态预期!U160-1)*H$11)</f>
        <v/>
      </c>
      <c r="Z147" s="14" t="str">
        <f>IF(基础状态预期!V160="","",I$8+(基础状态预期!V160-1)*I$11)</f>
        <v/>
      </c>
      <c r="AA147" s="14" t="str">
        <f>IF(基础状态预期!W160="","",J$8+(基础状态预期!W160-1)*J$11)</f>
        <v/>
      </c>
      <c r="AB147" s="14">
        <f>IF(基础状态预期!X160="","",K$8+(基础状态预期!X160-1)*K$11)</f>
        <v>4292.0868060726589</v>
      </c>
      <c r="AC147" s="14">
        <f>IF(基础状态预期!Y160="","",L$8+(基础状态预期!Y160-1)*L$11)</f>
        <v>4292.0868060726589</v>
      </c>
      <c r="AD147" s="14">
        <f>SUMPRODUCT(Y147:AC147,基础状态预期!$F160:$J160)/SUM(基础状态预期!$F160:$J160)</f>
        <v>4292.0868060726589</v>
      </c>
      <c r="AE147" s="14" t="str">
        <f>IF(基础状态预期!U160="","",H$9+(基础状态预期!U160-1)*H$12)</f>
        <v/>
      </c>
      <c r="AF147" s="14" t="str">
        <f>IF(基础状态预期!V160="","",I$9+(基础状态预期!V160-1)*I$12)</f>
        <v/>
      </c>
      <c r="AG147" s="14" t="str">
        <f>IF(基础状态预期!W160="","",J$9+(基础状态预期!W160-1)*J$12)</f>
        <v/>
      </c>
      <c r="AH147" s="14">
        <f>IF(基础状态预期!X160="","",K$9+(基础状态预期!X160-1)*K$12)</f>
        <v>4292.0868060726589</v>
      </c>
      <c r="AI147" s="14">
        <f>IF(基础状态预期!Y160="","",L$9+(基础状态预期!Y160-1)*L$12)</f>
        <v>4292.0868060726589</v>
      </c>
      <c r="AJ147" s="14">
        <f>SUMPRODUCT(AE147:AI147,基础状态预期!$F160:$J160)/SUM(基础状态预期!$F160:$J160)</f>
        <v>4292.0868060726589</v>
      </c>
      <c r="AK147" s="14" t="str">
        <f>IF(基础状态预期!U160="","",H$27+(基础状态预期!U160-1)*H$28)</f>
        <v/>
      </c>
      <c r="AL147" s="14" t="str">
        <f>IF(基础状态预期!V160="","",I$27+(基础状态预期!V160-1)*I$28)</f>
        <v/>
      </c>
      <c r="AM147" s="14" t="str">
        <f>IF(基础状态预期!W160="","",J$27+(基础状态预期!W160-1)*J$28)</f>
        <v/>
      </c>
      <c r="AN147" s="14">
        <f>IF(基础状态预期!X160="","",K$27+(基础状态预期!X160-1)*K$28)</f>
        <v>2164.0289353575527</v>
      </c>
      <c r="AO147" s="14">
        <f>IF(基础状态预期!Y160="","",L$27+(基础状态预期!Y160-1)*L$28)</f>
        <v>2164.0289353575527</v>
      </c>
      <c r="AP147" s="14">
        <f>SUMPRODUCT(AK147:AO147,基础状态预期!$F160:$J160)/SUM(基础状态预期!$F160:$J160)</f>
        <v>2164.0289353575527</v>
      </c>
      <c r="AQ147" s="14" t="str">
        <f>IF(基础状态预期!U160="","",H$31+(基础状态预期!U160-1)*H$32)</f>
        <v/>
      </c>
      <c r="AR147" s="14" t="str">
        <f>IF(基础状态预期!V160="","",I$31+(基础状态预期!V160-1)*I$32)</f>
        <v/>
      </c>
      <c r="AS147" s="14" t="str">
        <f>IF(基础状态预期!W160="","",J$31+(基础状态预期!W160-1)*J$32)</f>
        <v/>
      </c>
      <c r="AT147" s="14">
        <f>IF(基础状态预期!X160="","",K$31+(基础状态预期!X160-1)*K$32)</f>
        <v>133.40289353575531</v>
      </c>
      <c r="AU147" s="14">
        <f>IF(基础状态预期!Y160="","",L$31+(基础状态预期!Y160-1)*L$32)</f>
        <v>136.40289353575531</v>
      </c>
      <c r="AV147" s="14">
        <f>SUMPRODUCT(AQ147:AU147,基础状态预期!$F160:$J160)/SUM(基础状态预期!$F160:$J160)</f>
        <v>134.40289353575531</v>
      </c>
      <c r="BA147" s="29">
        <v>90</v>
      </c>
      <c r="BB147" s="29">
        <f t="shared" si="71"/>
        <v>6170</v>
      </c>
      <c r="BC147" s="29">
        <f t="shared" si="72"/>
        <v>6170</v>
      </c>
      <c r="BD147" s="29">
        <f t="shared" si="73"/>
        <v>2790.0000000000005</v>
      </c>
      <c r="BE147" s="29">
        <f>(BB147-BB146)*INDEX([2]大r将兵属性验证!W$7:W$166,$BA147,1)+BE146</f>
        <v>8708423941.8434105</v>
      </c>
      <c r="BF147" s="29">
        <f>(BC147-BC146)*INDEX([2]大r将兵属性验证!X$7:X$166,$BA147,1)+BF146</f>
        <v>8708423941.8434105</v>
      </c>
      <c r="BG147" s="29">
        <f>(BD147-BD146)*INDEX([2]大r将兵属性验证!$AM$7:$AM$166,$BA147,1)+BG146</f>
        <v>11421504.332010809</v>
      </c>
      <c r="BH147" s="10">
        <f t="shared" si="80"/>
        <v>17428269388.018833</v>
      </c>
      <c r="BO147" s="29">
        <f t="shared" si="77"/>
        <v>58.701446767877648</v>
      </c>
      <c r="BP147" s="10">
        <f t="shared" si="78"/>
        <v>407459094.97166109</v>
      </c>
      <c r="BQ147" s="10" t="e">
        <f>$BP147*求节点('[1]功能-付费相关'!$AY$6:$AY$105,'[1]功能-付费相关'!$BC$6:$BC$105,$BO147)+$BQ146</f>
        <v>#VALUE!</v>
      </c>
      <c r="BS147" s="29">
        <v>90</v>
      </c>
      <c r="BT147" s="29" t="e">
        <f t="shared" si="75"/>
        <v>#VALUE!</v>
      </c>
      <c r="BU147" s="29"/>
      <c r="BZ147" s="4">
        <f t="shared" si="68"/>
        <v>3428400</v>
      </c>
      <c r="CA147" s="4">
        <v>144</v>
      </c>
      <c r="CB147" s="90">
        <f t="shared" si="69"/>
        <v>42133580</v>
      </c>
      <c r="CC147" s="4">
        <f>SUM(CB$4:CB147)</f>
        <v>547551370</v>
      </c>
      <c r="CD147" s="4">
        <f t="shared" si="67"/>
        <v>1.0434055429268219</v>
      </c>
    </row>
    <row r="148" spans="1:82" x14ac:dyDescent="0.15">
      <c r="A148" s="122">
        <f t="shared" si="79"/>
        <v>1285361378800</v>
      </c>
      <c r="B148" s="14">
        <v>288</v>
      </c>
      <c r="C148" s="14">
        <f t="shared" si="70"/>
        <v>9251459560000</v>
      </c>
      <c r="D148" s="14">
        <f>SUM(C$5:$C148)</f>
        <v>62026430612100</v>
      </c>
      <c r="E148" s="89">
        <f>'[1]资源-武将经验'!$Z149</f>
        <v>1.1893266266694809</v>
      </c>
      <c r="P148" s="5">
        <v>13</v>
      </c>
      <c r="Q148" s="14">
        <f>基础状态预期!D161</f>
        <v>64.399012521055653</v>
      </c>
      <c r="R148" s="14">
        <f>IF(基础状态预期!U161="",0,求节点($B$5:$B$154,$D$5:$D$154,基础状态预期!U161)*基础状态预期!F161)</f>
        <v>0</v>
      </c>
      <c r="S148" s="14">
        <f>IF(基础状态预期!V161="",0,求节点($B$5:$B$154,$D$5:$D$154,基础状态预期!V161)*基础状态预期!G161)</f>
        <v>0</v>
      </c>
      <c r="T148" s="14">
        <f>IF(基础状态预期!W161="",0,求节点($B$5:$B$154,$D$5:$D$154,基础状态预期!W161)*基础状态预期!H161)</f>
        <v>0</v>
      </c>
      <c r="U148" s="14">
        <f>IF(基础状态预期!X161="",0,求节点($B$5:$B$154,$D$5:$D$154,基础状态预期!X161)*基础状态预期!I161)</f>
        <v>478135410.10663044</v>
      </c>
      <c r="V148" s="14">
        <f>IF(基础状态预期!Y161="",0,求节点($B$5:$B$154,$D$5:$D$154,基础状态预期!Y161)*基础状态预期!J161)</f>
        <v>478135410.10663044</v>
      </c>
      <c r="W148" s="14">
        <f t="shared" si="76"/>
        <v>956270820.21326089</v>
      </c>
      <c r="Y148" s="14" t="str">
        <f>IF(基础状态预期!U161="","",H$8+(基础状态预期!U161-1)*H$11)</f>
        <v/>
      </c>
      <c r="Z148" s="14" t="str">
        <f>IF(基础状态预期!V161="","",I$8+(基础状态预期!V161-1)*I$11)</f>
        <v/>
      </c>
      <c r="AA148" s="14" t="str">
        <f>IF(基础状态预期!W161="","",J$8+(基础状态预期!W161-1)*J$11)</f>
        <v/>
      </c>
      <c r="AB148" s="14">
        <f>IF(基础状态预期!X161="","",K$8+(基础状态预期!X161-1)*K$11)</f>
        <v>4633.9407512633388</v>
      </c>
      <c r="AC148" s="14">
        <f>IF(基础状态预期!Y161="","",L$8+(基础状态预期!Y161-1)*L$11)</f>
        <v>4633.9407512633388</v>
      </c>
      <c r="AD148" s="14">
        <f>SUMPRODUCT(Y148:AC148,基础状态预期!$F161:$J161)/SUM(基础状态预期!$F161:$J161)</f>
        <v>4633.9407512633388</v>
      </c>
      <c r="AE148" s="14" t="str">
        <f>IF(基础状态预期!U161="","",H$9+(基础状态预期!U161-1)*H$12)</f>
        <v/>
      </c>
      <c r="AF148" s="14" t="str">
        <f>IF(基础状态预期!V161="","",I$9+(基础状态预期!V161-1)*I$12)</f>
        <v/>
      </c>
      <c r="AG148" s="14" t="str">
        <f>IF(基础状态预期!W161="","",J$9+(基础状态预期!W161-1)*J$12)</f>
        <v/>
      </c>
      <c r="AH148" s="14">
        <f>IF(基础状态预期!X161="","",K$9+(基础状态预期!X161-1)*K$12)</f>
        <v>4633.9407512633388</v>
      </c>
      <c r="AI148" s="14">
        <f>IF(基础状态预期!Y161="","",L$9+(基础状态预期!Y161-1)*L$12)</f>
        <v>4633.9407512633388</v>
      </c>
      <c r="AJ148" s="14">
        <f>SUMPRODUCT(AE148:AI148,基础状态预期!$F161:$J161)/SUM(基础状态预期!$F161:$J161)</f>
        <v>4633.9407512633388</v>
      </c>
      <c r="AK148" s="14" t="str">
        <f>IF(基础状态预期!U161="","",H$27+(基础状态预期!U161-1)*H$28)</f>
        <v/>
      </c>
      <c r="AL148" s="14" t="str">
        <f>IF(基础状态预期!V161="","",I$27+(基础状态预期!V161-1)*I$28)</f>
        <v/>
      </c>
      <c r="AM148" s="14" t="str">
        <f>IF(基础状态预期!W161="","",J$27+(基础状态预期!W161-1)*J$28)</f>
        <v/>
      </c>
      <c r="AN148" s="14">
        <f>IF(基础状态预期!X161="","",K$27+(基础状态预期!X161-1)*K$28)</f>
        <v>2277.9802504211129</v>
      </c>
      <c r="AO148" s="14">
        <f>IF(基础状态预期!Y161="","",L$27+(基础状态预期!Y161-1)*L$28)</f>
        <v>2277.9802504211129</v>
      </c>
      <c r="AP148" s="14">
        <f>SUMPRODUCT(AK148:AO148,基础状态预期!$F161:$J161)/SUM(基础状态预期!$F161:$J161)</f>
        <v>2277.9802504211129</v>
      </c>
      <c r="AQ148" s="14" t="str">
        <f>IF(基础状态预期!U161="","",H$31+(基础状态预期!U161-1)*H$32)</f>
        <v/>
      </c>
      <c r="AR148" s="14" t="str">
        <f>IF(基础状态预期!V161="","",I$31+(基础状态预期!V161-1)*I$32)</f>
        <v/>
      </c>
      <c r="AS148" s="14" t="str">
        <f>IF(基础状态预期!W161="","",J$31+(基础状态预期!W161-1)*J$32)</f>
        <v/>
      </c>
      <c r="AT148" s="14">
        <f>IF(基础状态预期!X161="","",K$31+(基础状态预期!X161-1)*K$32)</f>
        <v>144.79802504211131</v>
      </c>
      <c r="AU148" s="14">
        <f>IF(基础状态预期!Y161="","",L$31+(基础状态预期!Y161-1)*L$32)</f>
        <v>147.79802504211131</v>
      </c>
      <c r="AV148" s="14">
        <f>SUMPRODUCT(AQ148:AU148,基础状态预期!$F161:$J161)/SUM(基础状态预期!$F161:$J161)</f>
        <v>146.29802504211131</v>
      </c>
      <c r="BA148" s="29">
        <v>100</v>
      </c>
      <c r="BB148" s="29">
        <f t="shared" si="71"/>
        <v>6770</v>
      </c>
      <c r="BC148" s="29">
        <f t="shared" si="72"/>
        <v>6770</v>
      </c>
      <c r="BD148" s="29">
        <f t="shared" si="73"/>
        <v>2990</v>
      </c>
      <c r="BE148" s="29">
        <f>(BB148-BB147)*INDEX([2]大r将兵属性验证!W$7:W$166,$BA148,1)+BE147</f>
        <v>15021257874.601482</v>
      </c>
      <c r="BF148" s="29">
        <f>(BC148-BC147)*INDEX([2]大r将兵属性验证!X$7:X$166,$BA148,1)+BF147</f>
        <v>15021257874.601482</v>
      </c>
      <c r="BG148" s="29">
        <f>(BD148-BD147)*INDEX([2]大r将兵属性验证!$AM$7:$AM$166,$BA148,1)+BG147</f>
        <v>13103861.221150098</v>
      </c>
      <c r="BH148" s="10">
        <f t="shared" si="80"/>
        <v>30055619610.424114</v>
      </c>
      <c r="BO148" s="29">
        <f t="shared" si="77"/>
        <v>64.399012521055653</v>
      </c>
      <c r="BP148" s="10">
        <f t="shared" si="78"/>
        <v>956270820.21326089</v>
      </c>
      <c r="BQ148" s="10" t="e">
        <f>$BP148*求节点('[1]功能-付费相关'!$AY$6:$AY$105,'[1]功能-付费相关'!$BC$6:$BC$105,$BO148)+$BQ147</f>
        <v>#VALUE!</v>
      </c>
      <c r="BS148" s="29">
        <v>100</v>
      </c>
      <c r="BT148" s="29" t="e">
        <f t="shared" si="75"/>
        <v>#VALUE!</v>
      </c>
      <c r="BU148" s="29"/>
      <c r="BZ148" s="4">
        <f t="shared" si="68"/>
        <v>3428400</v>
      </c>
      <c r="CA148" s="4">
        <v>145</v>
      </c>
      <c r="CB148" s="90">
        <f t="shared" si="69"/>
        <v>45561980</v>
      </c>
      <c r="CC148" s="4">
        <f>SUM(CB$4:CB148)</f>
        <v>593113350</v>
      </c>
      <c r="CD148" s="4">
        <f t="shared" si="67"/>
        <v>1.0399379978759862</v>
      </c>
    </row>
    <row r="149" spans="1:82" x14ac:dyDescent="0.15">
      <c r="A149" s="122">
        <f t="shared" si="79"/>
        <v>1478165585600</v>
      </c>
      <c r="B149" s="14">
        <v>290</v>
      </c>
      <c r="C149" s="14">
        <f t="shared" si="70"/>
        <v>10729625145600</v>
      </c>
      <c r="D149" s="14">
        <f>SUM(C$5:$C149)</f>
        <v>72756055757700</v>
      </c>
      <c r="E149" s="89">
        <f>'[1]资源-武将经验'!$Z150</f>
        <v>1.2057127550681606</v>
      </c>
      <c r="P149" s="5">
        <v>14</v>
      </c>
      <c r="Q149" s="14">
        <f>基础状态预期!D162</f>
        <v>68.627579426319684</v>
      </c>
      <c r="R149" s="14">
        <f>IF(基础状态预期!U162="",0,求节点($B$5:$B$154,$D$5:$D$154,基础状态预期!U162)*基础状态预期!F162)</f>
        <v>0</v>
      </c>
      <c r="S149" s="14">
        <f>IF(基础状态预期!V162="",0,求节点($B$5:$B$154,$D$5:$D$154,基础状态预期!V162)*基础状态预期!G162)</f>
        <v>0</v>
      </c>
      <c r="T149" s="14">
        <f>IF(基础状态预期!W162="",0,求节点($B$5:$B$154,$D$5:$D$154,基础状态预期!W162)*基础状态预期!H162)</f>
        <v>0</v>
      </c>
      <c r="U149" s="14">
        <f>IF(基础状态预期!X162="",0,求节点($B$5:$B$154,$D$5:$D$154,基础状态预期!X162)*基础状态预期!I162)</f>
        <v>616037405.53969741</v>
      </c>
      <c r="V149" s="14">
        <f>IF(基础状态预期!Y162="",0,求节点($B$5:$B$154,$D$5:$D$154,基础状态预期!Y162)*基础状态预期!J162)</f>
        <v>1232074811.0793948</v>
      </c>
      <c r="W149" s="14">
        <f t="shared" si="76"/>
        <v>1848112216.6190922</v>
      </c>
      <c r="Y149" s="14" t="str">
        <f>IF(基础状态预期!U162="","",H$8+(基础状态预期!U162-1)*H$11)</f>
        <v/>
      </c>
      <c r="Z149" s="14" t="str">
        <f>IF(基础状态预期!V162="","",I$8+(基础状态预期!V162-1)*I$11)</f>
        <v/>
      </c>
      <c r="AA149" s="14" t="str">
        <f>IF(基础状态预期!W162="","",J$8+(基础状态预期!W162-1)*J$11)</f>
        <v/>
      </c>
      <c r="AB149" s="14">
        <f>IF(基础状态预期!X162="","",K$8+(基础状态预期!X162-1)*K$11)</f>
        <v>4887.654765579181</v>
      </c>
      <c r="AC149" s="14">
        <f>IF(基础状态预期!Y162="","",L$8+(基础状态预期!Y162-1)*L$11)</f>
        <v>4887.654765579181</v>
      </c>
      <c r="AD149" s="14">
        <f>SUMPRODUCT(Y149:AC149,基础状态预期!$F162:$J162)/SUM(基础状态预期!$F162:$J162)</f>
        <v>4887.654765579181</v>
      </c>
      <c r="AE149" s="14" t="str">
        <f>IF(基础状态预期!U162="","",H$9+(基础状态预期!U162-1)*H$12)</f>
        <v/>
      </c>
      <c r="AF149" s="14" t="str">
        <f>IF(基础状态预期!V162="","",I$9+(基础状态预期!V162-1)*I$12)</f>
        <v/>
      </c>
      <c r="AG149" s="14" t="str">
        <f>IF(基础状态预期!W162="","",J$9+(基础状态预期!W162-1)*J$12)</f>
        <v/>
      </c>
      <c r="AH149" s="14">
        <f>IF(基础状态预期!X162="","",K$9+(基础状态预期!X162-1)*K$12)</f>
        <v>4887.654765579181</v>
      </c>
      <c r="AI149" s="14">
        <f>IF(基础状态预期!Y162="","",L$9+(基础状态预期!Y162-1)*L$12)</f>
        <v>4887.654765579181</v>
      </c>
      <c r="AJ149" s="14">
        <f>SUMPRODUCT(AE149:AI149,基础状态预期!$F162:$J162)/SUM(基础状态预期!$F162:$J162)</f>
        <v>4887.654765579181</v>
      </c>
      <c r="AK149" s="14" t="str">
        <f>IF(基础状态预期!U162="","",H$27+(基础状态预期!U162-1)*H$28)</f>
        <v/>
      </c>
      <c r="AL149" s="14" t="str">
        <f>IF(基础状态预期!V162="","",I$27+(基础状态预期!V162-1)*I$28)</f>
        <v/>
      </c>
      <c r="AM149" s="14" t="str">
        <f>IF(基础状态预期!W162="","",J$27+(基础状态预期!W162-1)*J$28)</f>
        <v/>
      </c>
      <c r="AN149" s="14">
        <f>IF(基础状态预期!X162="","",K$27+(基础状态预期!X162-1)*K$28)</f>
        <v>2362.551588526394</v>
      </c>
      <c r="AO149" s="14">
        <f>IF(基础状态预期!Y162="","",L$27+(基础状态预期!Y162-1)*L$28)</f>
        <v>2362.551588526394</v>
      </c>
      <c r="AP149" s="14">
        <f>SUMPRODUCT(AK149:AO149,基础状态预期!$F162:$J162)/SUM(基础状态预期!$F162:$J162)</f>
        <v>2362.551588526394</v>
      </c>
      <c r="AQ149" s="14" t="str">
        <f>IF(基础状态预期!U162="","",H$31+(基础状态预期!U162-1)*H$32)</f>
        <v/>
      </c>
      <c r="AR149" s="14" t="str">
        <f>IF(基础状态预期!V162="","",I$31+(基础状态预期!V162-1)*I$32)</f>
        <v/>
      </c>
      <c r="AS149" s="14" t="str">
        <f>IF(基础状态预期!W162="","",J$31+(基础状态预期!W162-1)*J$32)</f>
        <v/>
      </c>
      <c r="AT149" s="14">
        <f>IF(基础状态预期!X162="","",K$31+(基础状态预期!X162-1)*K$32)</f>
        <v>153.25515885263937</v>
      </c>
      <c r="AU149" s="14">
        <f>IF(基础状态预期!Y162="","",L$31+(基础状态预期!Y162-1)*L$32)</f>
        <v>156.25515885263937</v>
      </c>
      <c r="AV149" s="14">
        <f>SUMPRODUCT(AQ149:AU149,基础状态预期!$F162:$J162)/SUM(基础状态预期!$F162:$J162)</f>
        <v>155.25515885263937</v>
      </c>
      <c r="BA149" s="29">
        <v>110</v>
      </c>
      <c r="BB149" s="29">
        <f t="shared" si="71"/>
        <v>7370</v>
      </c>
      <c r="BC149" s="29">
        <f t="shared" si="72"/>
        <v>7370</v>
      </c>
      <c r="BD149" s="29">
        <f t="shared" si="73"/>
        <v>3190</v>
      </c>
      <c r="BE149" s="29">
        <f>(BB149-BB148)*INDEX([2]大r将兵属性验证!W$7:W$166,$BA149,1)+BE148</f>
        <v>22393798679.338554</v>
      </c>
      <c r="BF149" s="29">
        <f>(BC149-BC148)*INDEX([2]大r将兵属性验证!X$7:X$166,$BA149,1)+BF148</f>
        <v>22393798679.338554</v>
      </c>
      <c r="BG149" s="29">
        <f>(BD149-BD148)*INDEX([2]大r将兵属性验证!$AM$7:$AM$166,$BA149,1)+BG148</f>
        <v>14918660.093439534</v>
      </c>
      <c r="BH149" s="10">
        <f t="shared" si="80"/>
        <v>44802516018.770546</v>
      </c>
      <c r="BO149" s="29">
        <f t="shared" si="77"/>
        <v>68.627579426319684</v>
      </c>
      <c r="BP149" s="10">
        <f t="shared" si="78"/>
        <v>1848112216.6190922</v>
      </c>
      <c r="BQ149" s="10" t="e">
        <f>$BP149*求节点('[1]功能-付费相关'!$AY$6:$AY$105,'[1]功能-付费相关'!$BC$6:$BC$105,$BO149)+$BQ148</f>
        <v>#VALUE!</v>
      </c>
      <c r="BS149" s="29">
        <v>110</v>
      </c>
      <c r="BT149" s="29" t="e">
        <f t="shared" ref="BT149:BT154" si="81">求节点($BO$139:$BO$177,BQ$139:BQ$177,$BS149)</f>
        <v>#VALUE!</v>
      </c>
      <c r="BU149" s="29"/>
      <c r="BZ149" s="4">
        <f t="shared" si="68"/>
        <v>4038650</v>
      </c>
      <c r="CA149" s="4">
        <v>146</v>
      </c>
      <c r="CB149" s="90">
        <f t="shared" si="69"/>
        <v>49600630</v>
      </c>
      <c r="CC149" s="4">
        <f>SUM(CB$4:CB149)</f>
        <v>642713980</v>
      </c>
      <c r="CD149" s="4">
        <f t="shared" si="67"/>
        <v>1.0435408305897753</v>
      </c>
    </row>
    <row r="150" spans="1:82" x14ac:dyDescent="0.15">
      <c r="A150" s="122">
        <f t="shared" si="79"/>
        <v>1699890423400</v>
      </c>
      <c r="B150" s="14">
        <v>292</v>
      </c>
      <c r="C150" s="14">
        <f t="shared" si="70"/>
        <v>12429515569000</v>
      </c>
      <c r="D150" s="14">
        <f>SUM(C$5:$C150)</f>
        <v>85185571326700</v>
      </c>
      <c r="E150" s="89">
        <f>'[1]资源-武将经验'!$Z151</f>
        <v>1.2466931673723898</v>
      </c>
      <c r="P150" s="5">
        <v>15</v>
      </c>
      <c r="Q150" s="14">
        <f>基础状态预期!D163</f>
        <v>71.882008108111634</v>
      </c>
      <c r="R150" s="14">
        <f>IF(基础状态预期!U163="",0,求节点($B$5:$B$154,$D$5:$D$154,基础状态预期!U163)*基础状态预期!F163)</f>
        <v>0</v>
      </c>
      <c r="S150" s="14">
        <f>IF(基础状态预期!V163="",0,求节点($B$5:$B$154,$D$5:$D$154,基础状态预期!V163)*基础状态预期!G163)</f>
        <v>0</v>
      </c>
      <c r="T150" s="14">
        <f>IF(基础状态预期!W163="",0,求节点($B$5:$B$154,$D$5:$D$154,基础状态预期!W163)*基础状态预期!H163)</f>
        <v>0</v>
      </c>
      <c r="U150" s="14">
        <f>IF(基础状态预期!X163="",0,求节点($B$5:$B$154,$D$5:$D$154,基础状态预期!X163)*基础状态预期!I163)</f>
        <v>515639500.45216483</v>
      </c>
      <c r="V150" s="14">
        <f>IF(基础状态预期!Y163="",0,求节点($B$5:$B$154,$D$5:$D$154,基础状态预期!Y163)*基础状态预期!J163)</f>
        <v>2578197502.2608242</v>
      </c>
      <c r="W150" s="14">
        <f t="shared" si="76"/>
        <v>3093837002.7129889</v>
      </c>
      <c r="Y150" s="14" t="str">
        <f>IF(基础状态预期!U163="","",H$8+(基础状态预期!U163-1)*H$11)</f>
        <v/>
      </c>
      <c r="Z150" s="14" t="str">
        <f>IF(基础状态预期!V163="","",I$8+(基础状态预期!V163-1)*I$11)</f>
        <v/>
      </c>
      <c r="AA150" s="14" t="str">
        <f>IF(基础状态预期!W163="","",J$8+(基础状态预期!W163-1)*J$11)</f>
        <v/>
      </c>
      <c r="AB150" s="14">
        <f>IF(基础状态预期!X163="","",K$8+(基础状态预期!X163-1)*K$11)</f>
        <v>5082.9204864866979</v>
      </c>
      <c r="AC150" s="14">
        <f>IF(基础状态预期!Y163="","",L$8+(基础状态预期!Y163-1)*L$11)</f>
        <v>5082.9204864866979</v>
      </c>
      <c r="AD150" s="14">
        <f>SUMPRODUCT(Y150:AC150,基础状态预期!$F163:$J163)/SUM(基础状态预期!$F163:$J163)</f>
        <v>5082.9204864866979</v>
      </c>
      <c r="AE150" s="14" t="str">
        <f>IF(基础状态预期!U163="","",H$9+(基础状态预期!U163-1)*H$12)</f>
        <v/>
      </c>
      <c r="AF150" s="14" t="str">
        <f>IF(基础状态预期!V163="","",I$9+(基础状态预期!V163-1)*I$12)</f>
        <v/>
      </c>
      <c r="AG150" s="14" t="str">
        <f>IF(基础状态预期!W163="","",J$9+(基础状态预期!W163-1)*J$12)</f>
        <v/>
      </c>
      <c r="AH150" s="14">
        <f>IF(基础状态预期!X163="","",K$9+(基础状态预期!X163-1)*K$12)</f>
        <v>5082.9204864866979</v>
      </c>
      <c r="AI150" s="14">
        <f>IF(基础状态预期!Y163="","",L$9+(基础状态预期!Y163-1)*L$12)</f>
        <v>5082.9204864866979</v>
      </c>
      <c r="AJ150" s="14">
        <f>SUMPRODUCT(AE150:AI150,基础状态预期!$F163:$J163)/SUM(基础状态预期!$F163:$J163)</f>
        <v>5082.9204864866979</v>
      </c>
      <c r="AK150" s="14" t="str">
        <f>IF(基础状态预期!U163="","",H$27+(基础状态预期!U163-1)*H$28)</f>
        <v/>
      </c>
      <c r="AL150" s="14" t="str">
        <f>IF(基础状态预期!V163="","",I$27+(基础状态预期!V163-1)*I$28)</f>
        <v/>
      </c>
      <c r="AM150" s="14" t="str">
        <f>IF(基础状态预期!W163="","",J$27+(基础状态预期!W163-1)*J$28)</f>
        <v/>
      </c>
      <c r="AN150" s="14">
        <f>IF(基础状态预期!X163="","",K$27+(基础状态预期!X163-1)*K$28)</f>
        <v>2427.6401621622326</v>
      </c>
      <c r="AO150" s="14">
        <f>IF(基础状态预期!Y163="","",L$27+(基础状态预期!Y163-1)*L$28)</f>
        <v>2427.6401621622326</v>
      </c>
      <c r="AP150" s="14">
        <f>SUMPRODUCT(AK150:AO150,基础状态预期!$F163:$J163)/SUM(基础状态预期!$F163:$J163)</f>
        <v>2427.6401621622322</v>
      </c>
      <c r="AQ150" s="14" t="str">
        <f>IF(基础状态预期!U163="","",H$31+(基础状态预期!U163-1)*H$32)</f>
        <v/>
      </c>
      <c r="AR150" s="14" t="str">
        <f>IF(基础状态预期!V163="","",I$31+(基础状态预期!V163-1)*I$32)</f>
        <v/>
      </c>
      <c r="AS150" s="14" t="str">
        <f>IF(基础状态预期!W163="","",J$31+(基础状态预期!W163-1)*J$32)</f>
        <v/>
      </c>
      <c r="AT150" s="14">
        <f>IF(基础状态预期!X163="","",K$31+(基础状态预期!X163-1)*K$32)</f>
        <v>159.76401621622327</v>
      </c>
      <c r="AU150" s="14">
        <f>IF(基础状态预期!Y163="","",L$31+(基础状态预期!Y163-1)*L$32)</f>
        <v>162.76401621622327</v>
      </c>
      <c r="AV150" s="14">
        <f>SUMPRODUCT(AQ150:AU150,基础状态预期!$F163:$J163)/SUM(基础状态预期!$F163:$J163)</f>
        <v>162.26401621622327</v>
      </c>
      <c r="BA150" s="29">
        <v>120</v>
      </c>
      <c r="BB150" s="29">
        <f t="shared" si="71"/>
        <v>7969.9999999999991</v>
      </c>
      <c r="BC150" s="29">
        <f t="shared" si="72"/>
        <v>7969.9999999999991</v>
      </c>
      <c r="BD150" s="29">
        <f t="shared" si="73"/>
        <v>3390</v>
      </c>
      <c r="BE150" s="29">
        <f>(BB150-BB149)*INDEX([2]大r将兵属性验证!W$7:W$166,$BA150,1)+BE149</f>
        <v>31644506797.803139</v>
      </c>
      <c r="BF150" s="29">
        <f>(BC150-BC149)*INDEX([2]大r将兵属性验证!X$7:X$166,$BA150,1)+BF149</f>
        <v>31644506797.803139</v>
      </c>
      <c r="BG150" s="29">
        <f>(BD150-BD149)*INDEX([2]大r将兵属性验证!$AM$7:$AM$166,$BA150,1)+BG149</f>
        <v>16866926.391002256</v>
      </c>
      <c r="BH150" s="10">
        <f t="shared" si="80"/>
        <v>63305880521.997276</v>
      </c>
      <c r="BO150" s="29">
        <f t="shared" si="77"/>
        <v>71.882008108111634</v>
      </c>
      <c r="BP150" s="10">
        <f t="shared" si="78"/>
        <v>3093837002.7129889</v>
      </c>
      <c r="BQ150" s="10" t="e">
        <f>$BP150*求节点('[1]功能-付费相关'!$AY$6:$AY$105,'[1]功能-付费相关'!$BC$6:$BC$105,$BO150)+$BQ149</f>
        <v>#VALUE!</v>
      </c>
      <c r="BS150" s="29">
        <v>120</v>
      </c>
      <c r="BT150" s="29" t="e">
        <f t="shared" si="81"/>
        <v>#VALUE!</v>
      </c>
      <c r="BU150" s="29"/>
      <c r="BZ150" s="4">
        <f t="shared" si="68"/>
        <v>4038650</v>
      </c>
      <c r="CA150" s="4">
        <v>147</v>
      </c>
      <c r="CB150" s="90">
        <f t="shared" si="69"/>
        <v>53639280</v>
      </c>
      <c r="CC150" s="4">
        <f>SUM(CB$4:CB150)</f>
        <v>696353260</v>
      </c>
      <c r="CD150" s="4">
        <f t="shared" si="67"/>
        <v>1.0400525677013026</v>
      </c>
    </row>
    <row r="151" spans="1:82" x14ac:dyDescent="0.15">
      <c r="A151" s="122">
        <f t="shared" si="79"/>
        <v>1954873986900</v>
      </c>
      <c r="B151" s="14">
        <v>294</v>
      </c>
      <c r="C151" s="14">
        <f t="shared" si="70"/>
        <v>14384389555900</v>
      </c>
      <c r="D151" s="14">
        <f>SUM(C$5:$C151)</f>
        <v>99569960882600</v>
      </c>
      <c r="E151" s="89">
        <f>'[1]资源-武将经验'!$Z152</f>
        <v>1.2203682510751772</v>
      </c>
      <c r="P151" s="5">
        <v>16</v>
      </c>
      <c r="Q151" s="14">
        <f>基础状态预期!D164</f>
        <v>74.493385467679886</v>
      </c>
      <c r="R151" s="14">
        <f>IF(基础状态预期!U164="",0,求节点($B$5:$B$154,$D$5:$D$154,基础状态预期!U164)*基础状态预期!F164)</f>
        <v>0</v>
      </c>
      <c r="S151" s="14">
        <f>IF(基础状态预期!V164="",0,求节点($B$5:$B$154,$D$5:$D$154,基础状态预期!V164)*基础状态预期!G164)</f>
        <v>0</v>
      </c>
      <c r="T151" s="14">
        <f>IF(基础状态预期!W164="",0,求节点($B$5:$B$154,$D$5:$D$154,基础状态预期!W164)*基础状态预期!H164)</f>
        <v>0</v>
      </c>
      <c r="U151" s="14">
        <f>IF(基础状态预期!X164="",0,求节点($B$5:$B$154,$D$5:$D$154,基础状态预期!X164)*基础状态预期!I164)</f>
        <v>392747388.51076919</v>
      </c>
      <c r="V151" s="14">
        <f>IF(基础状态预期!Y164="",0,求节点($B$5:$B$154,$D$5:$D$154,基础状态预期!Y164)*基础状态预期!J164)</f>
        <v>4320221273.6184607</v>
      </c>
      <c r="W151" s="14">
        <f t="shared" si="76"/>
        <v>4712968662.1292295</v>
      </c>
      <c r="Y151" s="14" t="str">
        <f>IF(基础状态预期!U164="","",H$8+(基础状态预期!U164-1)*H$11)</f>
        <v/>
      </c>
      <c r="Z151" s="14" t="str">
        <f>IF(基础状态预期!V164="","",I$8+(基础状态预期!V164-1)*I$11)</f>
        <v/>
      </c>
      <c r="AA151" s="14" t="str">
        <f>IF(基础状态预期!W164="","",J$8+(基础状态预期!W164-1)*J$11)</f>
        <v/>
      </c>
      <c r="AB151" s="14">
        <f>IF(基础状态预期!X164="","",K$8+(基础状态预期!X164-1)*K$11)</f>
        <v>5239.6031280607931</v>
      </c>
      <c r="AC151" s="14">
        <f>IF(基础状态预期!Y164="","",L$8+(基础状态预期!Y164-1)*L$11)</f>
        <v>5239.6031280607931</v>
      </c>
      <c r="AD151" s="14">
        <f>SUMPRODUCT(Y151:AC151,基础状态预期!$F164:$J164)/SUM(基础状态预期!$F164:$J164)</f>
        <v>5239.6031280607931</v>
      </c>
      <c r="AE151" s="14" t="str">
        <f>IF(基础状态预期!U164="","",H$9+(基础状态预期!U164-1)*H$12)</f>
        <v/>
      </c>
      <c r="AF151" s="14" t="str">
        <f>IF(基础状态预期!V164="","",I$9+(基础状态预期!V164-1)*I$12)</f>
        <v/>
      </c>
      <c r="AG151" s="14" t="str">
        <f>IF(基础状态预期!W164="","",J$9+(基础状态预期!W164-1)*J$12)</f>
        <v/>
      </c>
      <c r="AH151" s="14">
        <f>IF(基础状态预期!X164="","",K$9+(基础状态预期!X164-1)*K$12)</f>
        <v>5239.6031280607931</v>
      </c>
      <c r="AI151" s="14">
        <f>IF(基础状态预期!Y164="","",L$9+(基础状态预期!Y164-1)*L$12)</f>
        <v>5239.6031280607931</v>
      </c>
      <c r="AJ151" s="14">
        <f>SUMPRODUCT(AE151:AI151,基础状态预期!$F164:$J164)/SUM(基础状态预期!$F164:$J164)</f>
        <v>5239.6031280607931</v>
      </c>
      <c r="AK151" s="14" t="str">
        <f>IF(基础状态预期!U164="","",H$27+(基础状态预期!U164-1)*H$28)</f>
        <v/>
      </c>
      <c r="AL151" s="14" t="str">
        <f>IF(基础状态预期!V164="","",I$27+(基础状态预期!V164-1)*I$28)</f>
        <v/>
      </c>
      <c r="AM151" s="14" t="str">
        <f>IF(基础状态预期!W164="","",J$27+(基础状态预期!W164-1)*J$28)</f>
        <v/>
      </c>
      <c r="AN151" s="14">
        <f>IF(基础状态预期!X164="","",K$27+(基础状态预期!X164-1)*K$28)</f>
        <v>2479.867709353598</v>
      </c>
      <c r="AO151" s="14">
        <f>IF(基础状态预期!Y164="","",L$27+(基础状态预期!Y164-1)*L$28)</f>
        <v>2479.867709353598</v>
      </c>
      <c r="AP151" s="14">
        <f>SUMPRODUCT(AK151:AO151,基础状态预期!$F164:$J164)/SUM(基础状态预期!$F164:$J164)</f>
        <v>2479.867709353598</v>
      </c>
      <c r="AQ151" s="14" t="str">
        <f>IF(基础状态预期!U164="","",H$31+(基础状态预期!U164-1)*H$32)</f>
        <v/>
      </c>
      <c r="AR151" s="14" t="str">
        <f>IF(基础状态预期!V164="","",I$31+(基础状态预期!V164-1)*I$32)</f>
        <v/>
      </c>
      <c r="AS151" s="14" t="str">
        <f>IF(基础状态预期!W164="","",J$31+(基础状态预期!W164-1)*J$32)</f>
        <v/>
      </c>
      <c r="AT151" s="14">
        <f>IF(基础状态预期!X164="","",K$31+(基础状态预期!X164-1)*K$32)</f>
        <v>164.98677093535977</v>
      </c>
      <c r="AU151" s="14">
        <f>IF(基础状态预期!Y164="","",L$31+(基础状态预期!Y164-1)*L$32)</f>
        <v>167.98677093535977</v>
      </c>
      <c r="AV151" s="14">
        <f>SUMPRODUCT(AQ151:AU151,基础状态预期!$F164:$J164)/SUM(基础状态预期!$F164:$J164)</f>
        <v>167.73677093535977</v>
      </c>
      <c r="BA151" s="29">
        <v>130</v>
      </c>
      <c r="BB151" s="29">
        <f t="shared" si="71"/>
        <v>8570</v>
      </c>
      <c r="BC151" s="29">
        <f t="shared" si="72"/>
        <v>8570</v>
      </c>
      <c r="BD151" s="29">
        <f t="shared" si="73"/>
        <v>3590</v>
      </c>
      <c r="BE151" s="29">
        <f>(BB151-BB150)*INDEX([2]大r将兵属性验证!W$7:W$166,$BA151,1)+BE150</f>
        <v>43359468552.693176</v>
      </c>
      <c r="BF151" s="29">
        <f>(BC151-BC150)*INDEX([2]大r将兵属性验证!X$7:X$166,$BA151,1)+BF150</f>
        <v>43359468552.693176</v>
      </c>
      <c r="BG151" s="29">
        <f>(BD151-BD150)*INDEX([2]大r将兵属性验证!$AM$7:$AM$166,$BA151,1)+BG150</f>
        <v>18949221.219785597</v>
      </c>
      <c r="BH151" s="10">
        <f t="shared" si="80"/>
        <v>86737886326.60614</v>
      </c>
      <c r="BO151" s="29">
        <f t="shared" si="77"/>
        <v>74.493385467679886</v>
      </c>
      <c r="BP151" s="10">
        <f t="shared" si="78"/>
        <v>4712968662.1292295</v>
      </c>
      <c r="BQ151" s="10" t="e">
        <f>$BP151*求节点('[1]功能-付费相关'!$AY$6:$AY$105,'[1]功能-付费相关'!$BC$6:$BC$105,$BO151)+$BQ150</f>
        <v>#VALUE!</v>
      </c>
      <c r="BS151" s="29">
        <v>130</v>
      </c>
      <c r="BT151" s="29" t="e">
        <f t="shared" si="81"/>
        <v>#VALUE!</v>
      </c>
      <c r="BU151" s="29"/>
      <c r="BZ151" s="4">
        <f t="shared" si="68"/>
        <v>4757525</v>
      </c>
      <c r="CA151" s="4">
        <v>148</v>
      </c>
      <c r="CB151" s="90">
        <f t="shared" si="69"/>
        <v>58396805</v>
      </c>
      <c r="CC151" s="4">
        <f>SUM(CB$4:CB151)</f>
        <v>754750065</v>
      </c>
      <c r="CD151" s="4">
        <f t="shared" si="67"/>
        <v>1.0436604220356347</v>
      </c>
    </row>
    <row r="152" spans="1:82" x14ac:dyDescent="0.15">
      <c r="A152" s="122">
        <f t="shared" si="79"/>
        <v>2248105084900</v>
      </c>
      <c r="B152" s="14">
        <v>296</v>
      </c>
      <c r="C152" s="14">
        <f t="shared" si="70"/>
        <v>16632494640800</v>
      </c>
      <c r="D152" s="14">
        <f>SUM(C$5:$C152)</f>
        <v>116202455523400</v>
      </c>
      <c r="E152" s="89">
        <f>'[1]资源-武将经验'!$Z153</f>
        <v>1.227968821415534</v>
      </c>
      <c r="P152" s="5">
        <v>17</v>
      </c>
      <c r="Q152" s="14">
        <f>基础状态预期!D165</f>
        <v>77.332919927503724</v>
      </c>
      <c r="R152" s="14">
        <f>IF(基础状态预期!U165="",0,求节点($B$5:$B$154,$D$5:$D$154,基础状态预期!U165)*基础状态预期!F165)</f>
        <v>0</v>
      </c>
      <c r="S152" s="14">
        <f>IF(基础状态预期!V165="",0,求节点($B$5:$B$154,$D$5:$D$154,基础状态预期!V165)*基础状态预期!G165)</f>
        <v>0</v>
      </c>
      <c r="T152" s="14">
        <f>IF(基础状态预期!W165="",0,求节点($B$5:$B$154,$D$5:$D$154,基础状态预期!W165)*基础状态预期!H165)</f>
        <v>0</v>
      </c>
      <c r="U152" s="14">
        <f>IF(基础状态预期!X165="",0,求节点($B$5:$B$154,$D$5:$D$154,基础状态预期!X165)*基础状态预期!I165)</f>
        <v>0</v>
      </c>
      <c r="V152" s="14">
        <f>IF(基础状态预期!Y165="",0,求节点($B$5:$B$154,$D$5:$D$154,基础状态预期!Y165)*基础状态预期!J165)</f>
        <v>7452038430.6254253</v>
      </c>
      <c r="W152" s="14">
        <f t="shared" si="76"/>
        <v>7452038430.6254253</v>
      </c>
      <c r="Y152" s="14" t="str">
        <f>IF(基础状态预期!U165="","",H$8+(基础状态预期!U165-1)*H$11)</f>
        <v/>
      </c>
      <c r="Z152" s="14" t="str">
        <f>IF(基础状态预期!V165="","",I$8+(基础状态预期!V165-1)*I$11)</f>
        <v/>
      </c>
      <c r="AA152" s="14" t="str">
        <f>IF(基础状态预期!W165="","",J$8+(基础状态预期!W165-1)*J$11)</f>
        <v/>
      </c>
      <c r="AB152" s="14" t="str">
        <f>IF(基础状态预期!X165="","",K$8+(基础状态预期!X165-1)*K$11)</f>
        <v/>
      </c>
      <c r="AC152" s="14">
        <f>IF(基础状态预期!Y165="","",L$8+(基础状态预期!Y165-1)*L$11)</f>
        <v>5409.9751956502232</v>
      </c>
      <c r="AD152" s="14">
        <f>SUMPRODUCT(Y152:AC152,基础状态预期!$F165:$J165)/SUM(基础状态预期!$F165:$J165)</f>
        <v>5409.9751956502232</v>
      </c>
      <c r="AE152" s="14" t="str">
        <f>IF(基础状态预期!U165="","",H$9+(基础状态预期!U165-1)*H$12)</f>
        <v/>
      </c>
      <c r="AF152" s="14" t="str">
        <f>IF(基础状态预期!V165="","",I$9+(基础状态预期!V165-1)*I$12)</f>
        <v/>
      </c>
      <c r="AG152" s="14" t="str">
        <f>IF(基础状态预期!W165="","",J$9+(基础状态预期!W165-1)*J$12)</f>
        <v/>
      </c>
      <c r="AH152" s="14" t="str">
        <f>IF(基础状态预期!X165="","",K$9+(基础状态预期!X165-1)*K$12)</f>
        <v/>
      </c>
      <c r="AI152" s="14">
        <f>IF(基础状态预期!Y165="","",L$9+(基础状态预期!Y165-1)*L$12)</f>
        <v>5409.9751956502232</v>
      </c>
      <c r="AJ152" s="14">
        <f>SUMPRODUCT(AE152:AI152,基础状态预期!$F165:$J165)/SUM(基础状态预期!$F165:$J165)</f>
        <v>5409.9751956502232</v>
      </c>
      <c r="AK152" s="14" t="str">
        <f>IF(基础状态预期!U165="","",H$27+(基础状态预期!U165-1)*H$28)</f>
        <v/>
      </c>
      <c r="AL152" s="14" t="str">
        <f>IF(基础状态预期!V165="","",I$27+(基础状态预期!V165-1)*I$28)</f>
        <v/>
      </c>
      <c r="AM152" s="14" t="str">
        <f>IF(基础状态预期!W165="","",J$27+(基础状态预期!W165-1)*J$28)</f>
        <v/>
      </c>
      <c r="AN152" s="14" t="str">
        <f>IF(基础状态预期!X165="","",K$27+(基础状态预期!X165-1)*K$28)</f>
        <v/>
      </c>
      <c r="AO152" s="14">
        <f>IF(基础状态预期!Y165="","",L$27+(基础状态预期!Y165-1)*L$28)</f>
        <v>2536.6583985500747</v>
      </c>
      <c r="AP152" s="14">
        <f>SUMPRODUCT(AK152:AO152,基础状态预期!$F165:$J165)/SUM(基础状态预期!$F165:$J165)</f>
        <v>2536.6583985500747</v>
      </c>
      <c r="AQ152" s="14" t="str">
        <f>IF(基础状态预期!U165="","",H$31+(基础状态预期!U165-1)*H$32)</f>
        <v/>
      </c>
      <c r="AR152" s="14" t="str">
        <f>IF(基础状态预期!V165="","",I$31+(基础状态预期!V165-1)*I$32)</f>
        <v/>
      </c>
      <c r="AS152" s="14" t="str">
        <f>IF(基础状态预期!W165="","",J$31+(基础状态预期!W165-1)*J$32)</f>
        <v/>
      </c>
      <c r="AT152" s="14" t="str">
        <f>IF(基础状态预期!X165="","",K$31+(基础状态预期!X165-1)*K$32)</f>
        <v/>
      </c>
      <c r="AU152" s="14">
        <f>IF(基础状态预期!Y165="","",L$31+(基础状态预期!Y165-1)*L$32)</f>
        <v>173.66583985500745</v>
      </c>
      <c r="AV152" s="14">
        <f>SUMPRODUCT(AQ152:AU152,基础状态预期!$F165:$J165)/SUM(基础状态预期!$F165:$J165)</f>
        <v>173.66583985500745</v>
      </c>
      <c r="BA152" s="29">
        <v>140</v>
      </c>
      <c r="BB152" s="29">
        <f t="shared" si="71"/>
        <v>9170</v>
      </c>
      <c r="BC152" s="29">
        <f t="shared" si="72"/>
        <v>9170</v>
      </c>
      <c r="BD152" s="29">
        <f t="shared" si="73"/>
        <v>3789.9999999999991</v>
      </c>
      <c r="BE152" s="29">
        <f>(BB152-BB151)*INDEX([2]大r将兵属性验证!W$7:W$166,$BA152,1)+BE151</f>
        <v>57720386385.374557</v>
      </c>
      <c r="BF152" s="29">
        <f>(BC152-BC151)*INDEX([2]大r将兵属性验证!X$7:X$166,$BA152,1)+BF151</f>
        <v>57720386385.374557</v>
      </c>
      <c r="BG152" s="29">
        <f>(BD152-BD151)*INDEX([2]大r将兵属性验证!$AM$7:$AM$166,$BA152,1)+BG151</f>
        <v>21165321.850877706</v>
      </c>
      <c r="BH152" s="10">
        <f t="shared" si="80"/>
        <v>115461938092.59999</v>
      </c>
      <c r="BO152" s="29">
        <f t="shared" si="77"/>
        <v>77.332919927503724</v>
      </c>
      <c r="BP152" s="10">
        <f t="shared" si="78"/>
        <v>7452038430.6254253</v>
      </c>
      <c r="BQ152" s="10" t="e">
        <f>$BP152*求节点('[1]功能-付费相关'!$AY$6:$AY$105,'[1]功能-付费相关'!$BC$6:$BC$105,$BO152)+$BQ151</f>
        <v>#VALUE!</v>
      </c>
      <c r="BS152" s="29">
        <v>140</v>
      </c>
      <c r="BT152" s="29" t="e">
        <f t="shared" si="81"/>
        <v>#VALUE!</v>
      </c>
      <c r="BU152" s="29"/>
      <c r="BZ152" s="4">
        <f t="shared" si="68"/>
        <v>4757525</v>
      </c>
      <c r="CA152" s="4">
        <v>149</v>
      </c>
      <c r="CB152" s="90">
        <f t="shared" si="69"/>
        <v>63154330</v>
      </c>
      <c r="CC152" s="4">
        <f>SUM(CB$4:CB152)</f>
        <v>817904395</v>
      </c>
      <c r="CD152" s="4">
        <f t="shared" si="67"/>
        <v>1.0401537967031027</v>
      </c>
    </row>
    <row r="153" spans="1:82" x14ac:dyDescent="0.15">
      <c r="A153" s="122">
        <f t="shared" si="79"/>
        <v>2585320847600</v>
      </c>
      <c r="B153" s="14">
        <v>298</v>
      </c>
      <c r="C153" s="14">
        <f t="shared" si="70"/>
        <v>19217815488400</v>
      </c>
      <c r="D153" s="14">
        <f>SUM(C$5:$C153)</f>
        <v>135420271011800</v>
      </c>
      <c r="E153" s="89">
        <f>'[1]资源-武将经验'!$Z154</f>
        <v>1.2626332569630649</v>
      </c>
      <c r="P153" s="5">
        <v>18</v>
      </c>
      <c r="Q153" s="14">
        <f>基础状态预期!D166</f>
        <v>79.813360188853366</v>
      </c>
      <c r="R153" s="14">
        <f>IF(基础状态预期!U166="",0,求节点($B$5:$B$154,$D$5:$D$154,基础状态预期!U166)*基础状态预期!F166)</f>
        <v>0</v>
      </c>
      <c r="S153" s="14">
        <f>IF(基础状态预期!V166="",0,求节点($B$5:$B$154,$D$5:$D$154,基础状态预期!V166)*基础状态预期!G166)</f>
        <v>0</v>
      </c>
      <c r="T153" s="14">
        <f>IF(基础状态预期!W166="",0,求节点($B$5:$B$154,$D$5:$D$154,基础状态预期!W166)*基础状态预期!H166)</f>
        <v>0</v>
      </c>
      <c r="U153" s="14">
        <f>IF(基础状态预期!X166="",0,求节点($B$5:$B$154,$D$5:$D$154,基础状态预期!X166)*基础状态预期!I166)</f>
        <v>0</v>
      </c>
      <c r="V153" s="14">
        <f>IF(基础状态预期!Y166="",0,求节点($B$5:$B$154,$D$5:$D$154,基础状态预期!Y166)*基础状态预期!J166)</f>
        <v>11130835268.966925</v>
      </c>
      <c r="W153" s="14">
        <f t="shared" si="76"/>
        <v>11130835268.966925</v>
      </c>
      <c r="Y153" s="14" t="str">
        <f>IF(基础状态预期!U166="","",H$8+(基础状态预期!U166-1)*H$11)</f>
        <v/>
      </c>
      <c r="Z153" s="14" t="str">
        <f>IF(基础状态预期!V166="","",I$8+(基础状态预期!V166-1)*I$11)</f>
        <v/>
      </c>
      <c r="AA153" s="14" t="str">
        <f>IF(基础状态预期!W166="","",J$8+(基础状态预期!W166-1)*J$11)</f>
        <v/>
      </c>
      <c r="AB153" s="14" t="str">
        <f>IF(基础状态预期!X166="","",K$8+(基础状态预期!X166-1)*K$11)</f>
        <v/>
      </c>
      <c r="AC153" s="14">
        <f>IF(基础状态预期!Y166="","",L$8+(基础状态预期!Y166-1)*L$11)</f>
        <v>5558.8016113312024</v>
      </c>
      <c r="AD153" s="14">
        <f>SUMPRODUCT(Y153:AC153,基础状态预期!$F166:$J166)/SUM(基础状态预期!$F166:$J166)</f>
        <v>5558.8016113312015</v>
      </c>
      <c r="AE153" s="14" t="str">
        <f>IF(基础状态预期!U166="","",H$9+(基础状态预期!U166-1)*H$12)</f>
        <v/>
      </c>
      <c r="AF153" s="14" t="str">
        <f>IF(基础状态预期!V166="","",I$9+(基础状态预期!V166-1)*I$12)</f>
        <v/>
      </c>
      <c r="AG153" s="14" t="str">
        <f>IF(基础状态预期!W166="","",J$9+(基础状态预期!W166-1)*J$12)</f>
        <v/>
      </c>
      <c r="AH153" s="14" t="str">
        <f>IF(基础状态预期!X166="","",K$9+(基础状态预期!X166-1)*K$12)</f>
        <v/>
      </c>
      <c r="AI153" s="14">
        <f>IF(基础状态预期!Y166="","",L$9+(基础状态预期!Y166-1)*L$12)</f>
        <v>5558.8016113312024</v>
      </c>
      <c r="AJ153" s="14">
        <f>SUMPRODUCT(AE153:AI153,基础状态预期!$F166:$J166)/SUM(基础状态预期!$F166:$J166)</f>
        <v>5558.8016113312015</v>
      </c>
      <c r="AK153" s="14" t="str">
        <f>IF(基础状态预期!U166="","",H$27+(基础状态预期!U166-1)*H$28)</f>
        <v/>
      </c>
      <c r="AL153" s="14" t="str">
        <f>IF(基础状态预期!V166="","",I$27+(基础状态预期!V166-1)*I$28)</f>
        <v/>
      </c>
      <c r="AM153" s="14" t="str">
        <f>IF(基础状态预期!W166="","",J$27+(基础状态预期!W166-1)*J$28)</f>
        <v/>
      </c>
      <c r="AN153" s="14" t="str">
        <f>IF(基础状态预期!X166="","",K$27+(基础状态预期!X166-1)*K$28)</f>
        <v/>
      </c>
      <c r="AO153" s="14">
        <f>IF(基础状态预期!Y166="","",L$27+(基础状态预期!Y166-1)*L$28)</f>
        <v>2586.2672037770672</v>
      </c>
      <c r="AP153" s="14">
        <f>SUMPRODUCT(AK153:AO153,基础状态预期!$F166:$J166)/SUM(基础状态预期!$F166:$J166)</f>
        <v>2586.2672037770672</v>
      </c>
      <c r="AQ153" s="14" t="str">
        <f>IF(基础状态预期!U166="","",H$31+(基础状态预期!U166-1)*H$32)</f>
        <v/>
      </c>
      <c r="AR153" s="14" t="str">
        <f>IF(基础状态预期!V166="","",I$31+(基础状态预期!V166-1)*I$32)</f>
        <v/>
      </c>
      <c r="AS153" s="14" t="str">
        <f>IF(基础状态预期!W166="","",J$31+(基础状态预期!W166-1)*J$32)</f>
        <v/>
      </c>
      <c r="AT153" s="14" t="str">
        <f>IF(基础状态预期!X166="","",K$31+(基础状态预期!X166-1)*K$32)</f>
        <v/>
      </c>
      <c r="AU153" s="14">
        <f>IF(基础状态预期!Y166="","",L$31+(基础状态预期!Y166-1)*L$32)</f>
        <v>178.62672037770673</v>
      </c>
      <c r="AV153" s="14">
        <f>SUMPRODUCT(AQ153:AU153,基础状态预期!$F166:$J166)/SUM(基础状态预期!$F166:$J166)</f>
        <v>178.62672037770673</v>
      </c>
      <c r="BA153" s="29">
        <v>150</v>
      </c>
      <c r="BB153" s="29">
        <f t="shared" si="71"/>
        <v>9757.9810705094897</v>
      </c>
      <c r="BC153" s="29">
        <f t="shared" si="72"/>
        <v>9757.9810705094897</v>
      </c>
      <c r="BD153" s="29">
        <f t="shared" si="73"/>
        <v>3985.9936901698297</v>
      </c>
      <c r="BE153" s="29">
        <f>(BB153-BB152)*INDEX([2]大r将兵属性验证!W$7:W$166,$BA153,1)+BE152</f>
        <v>75003252646.041</v>
      </c>
      <c r="BF153" s="29">
        <f>(BC153-BC152)*INDEX([2]大r将兵属性验证!X$7:X$166,$BA153,1)+BF152</f>
        <v>75003252646.041</v>
      </c>
      <c r="BG153" s="29">
        <f>(BD153-BD152)*INDEX([2]大r将兵属性验证!$AM$7:$AM$166,$BA153,1)+BG152</f>
        <v>23468020.397761222</v>
      </c>
      <c r="BH153" s="10">
        <f t="shared" si="80"/>
        <v>150029973312.47977</v>
      </c>
      <c r="BO153" s="29">
        <f t="shared" si="77"/>
        <v>79.813360188853366</v>
      </c>
      <c r="BP153" s="10">
        <f t="shared" si="78"/>
        <v>11130835268.966925</v>
      </c>
      <c r="BQ153" s="10" t="e">
        <f>$BP153*求节点('[1]功能-付费相关'!$AY$6:$AY$105,'[1]功能-付费相关'!$BC$6:$BC$105,$BO153)+$BQ152</f>
        <v>#VALUE!</v>
      </c>
      <c r="BS153" s="29">
        <v>150</v>
      </c>
      <c r="BT153" s="29" t="e">
        <f t="shared" si="81"/>
        <v>#VALUE!</v>
      </c>
      <c r="BU153" s="29"/>
      <c r="BZ153" s="4">
        <f t="shared" si="68"/>
        <v>5604350</v>
      </c>
      <c r="CA153" s="4">
        <v>150</v>
      </c>
      <c r="CB153" s="90">
        <f t="shared" si="69"/>
        <v>68758680</v>
      </c>
      <c r="CC153" s="4">
        <f>SUM(CB$4:CB153)</f>
        <v>886663075</v>
      </c>
      <c r="CD153" s="4">
        <f t="shared" si="67"/>
        <v>1.0437659199472245</v>
      </c>
    </row>
    <row r="154" spans="1:82" x14ac:dyDescent="0.15">
      <c r="A154" s="122">
        <f t="shared" si="79"/>
        <v>2973118974700</v>
      </c>
      <c r="B154" s="14">
        <v>300</v>
      </c>
      <c r="C154" s="14">
        <f t="shared" si="70"/>
        <v>22190934463100</v>
      </c>
      <c r="D154" s="14">
        <f>SUM(C$5:$C154)</f>
        <v>157611205474900</v>
      </c>
      <c r="E154" s="89">
        <f>'[1]资源-武将经验'!$Z155</f>
        <v>1.3815175525641619</v>
      </c>
      <c r="P154" s="5">
        <v>19</v>
      </c>
      <c r="Q154" s="14">
        <f>基础状态预期!D167</f>
        <v>81.919202803497143</v>
      </c>
      <c r="R154" s="14">
        <f>IF(基础状态预期!U167="",0,求节点($B$5:$B$154,$D$5:$D$154,基础状态预期!U167)*基础状态预期!F167)</f>
        <v>0</v>
      </c>
      <c r="S154" s="14">
        <f>IF(基础状态预期!V167="",0,求节点($B$5:$B$154,$D$5:$D$154,基础状态预期!V167)*基础状态预期!G167)</f>
        <v>0</v>
      </c>
      <c r="T154" s="14">
        <f>IF(基础状态预期!W167="",0,求节点($B$5:$B$154,$D$5:$D$154,基础状态预期!W167)*基础状态预期!H167)</f>
        <v>0</v>
      </c>
      <c r="U154" s="14">
        <f>IF(基础状态预期!X167="",0,求节点($B$5:$B$154,$D$5:$D$154,基础状态预期!X167)*基础状态预期!I167)</f>
        <v>0</v>
      </c>
      <c r="V154" s="14">
        <f>IF(基础状态预期!Y167="",0,求节点($B$5:$B$154,$D$5:$D$154,基础状态预期!Y167)*基础状态预期!J167)</f>
        <v>15661111798.907665</v>
      </c>
      <c r="W154" s="14">
        <f t="shared" si="76"/>
        <v>15661111798.907665</v>
      </c>
      <c r="Y154" s="14" t="str">
        <f>IF(基础状态预期!U167="","",H$8+(基础状态预期!U167-1)*H$11)</f>
        <v/>
      </c>
      <c r="Z154" s="14" t="str">
        <f>IF(基础状态预期!V167="","",I$8+(基础状态预期!V167-1)*I$11)</f>
        <v/>
      </c>
      <c r="AA154" s="14" t="str">
        <f>IF(基础状态预期!W167="","",J$8+(基础状态预期!W167-1)*J$11)</f>
        <v/>
      </c>
      <c r="AB154" s="14" t="str">
        <f>IF(基础状态预期!X167="","",K$8+(基础状态预期!X167-1)*K$11)</f>
        <v/>
      </c>
      <c r="AC154" s="14">
        <f>IF(基础状态预期!Y167="","",L$8+(基础状态预期!Y167-1)*L$11)</f>
        <v>5685.1521682098282</v>
      </c>
      <c r="AD154" s="14">
        <f>SUMPRODUCT(Y154:AC154,基础状态预期!$F167:$J167)/SUM(基础状态预期!$F167:$J167)</f>
        <v>5685.1521682098282</v>
      </c>
      <c r="AE154" s="14" t="str">
        <f>IF(基础状态预期!U167="","",H$9+(基础状态预期!U167-1)*H$12)</f>
        <v/>
      </c>
      <c r="AF154" s="14" t="str">
        <f>IF(基础状态预期!V167="","",I$9+(基础状态预期!V167-1)*I$12)</f>
        <v/>
      </c>
      <c r="AG154" s="14" t="str">
        <f>IF(基础状态预期!W167="","",J$9+(基础状态预期!W167-1)*J$12)</f>
        <v/>
      </c>
      <c r="AH154" s="14" t="str">
        <f>IF(基础状态预期!X167="","",K$9+(基础状态预期!X167-1)*K$12)</f>
        <v/>
      </c>
      <c r="AI154" s="14">
        <f>IF(基础状态预期!Y167="","",L$9+(基础状态预期!Y167-1)*L$12)</f>
        <v>5685.1521682098282</v>
      </c>
      <c r="AJ154" s="14">
        <f>SUMPRODUCT(AE154:AI154,基础状态预期!$F167:$J167)/SUM(基础状态预期!$F167:$J167)</f>
        <v>5685.1521682098282</v>
      </c>
      <c r="AK154" s="14" t="str">
        <f>IF(基础状态预期!U167="","",H$27+(基础状态预期!U167-1)*H$28)</f>
        <v/>
      </c>
      <c r="AL154" s="14" t="str">
        <f>IF(基础状态预期!V167="","",I$27+(基础状态预期!V167-1)*I$28)</f>
        <v/>
      </c>
      <c r="AM154" s="14" t="str">
        <f>IF(基础状态预期!W167="","",J$27+(基础状态预期!W167-1)*J$28)</f>
        <v/>
      </c>
      <c r="AN154" s="14" t="str">
        <f>IF(基础状态预期!X167="","",K$27+(基础状态预期!X167-1)*K$28)</f>
        <v/>
      </c>
      <c r="AO154" s="14">
        <f>IF(基础状态预期!Y167="","",L$27+(基础状态预期!Y167-1)*L$28)</f>
        <v>2628.3840560699427</v>
      </c>
      <c r="AP154" s="14">
        <f>SUMPRODUCT(AK154:AO154,基础状态预期!$F167:$J167)/SUM(基础状态预期!$F167:$J167)</f>
        <v>2628.3840560699427</v>
      </c>
      <c r="AQ154" s="14" t="str">
        <f>IF(基础状态预期!U167="","",H$31+(基础状态预期!U167-1)*H$32)</f>
        <v/>
      </c>
      <c r="AR154" s="14" t="str">
        <f>IF(基础状态预期!V167="","",I$31+(基础状态预期!V167-1)*I$32)</f>
        <v/>
      </c>
      <c r="AS154" s="14" t="str">
        <f>IF(基础状态预期!W167="","",J$31+(基础状态预期!W167-1)*J$32)</f>
        <v/>
      </c>
      <c r="AT154" s="14" t="str">
        <f>IF(基础状态预期!X167="","",K$31+(基础状态预期!X167-1)*K$32)</f>
        <v/>
      </c>
      <c r="AU154" s="14">
        <f>IF(基础状态预期!Y167="","",L$31+(基础状态预期!Y167-1)*L$32)</f>
        <v>182.83840560699429</v>
      </c>
      <c r="AV154" s="14">
        <f>SUMPRODUCT(AQ154:AU154,基础状态预期!$F167:$J167)/SUM(基础状态预期!$F167:$J167)</f>
        <v>182.83840560699431</v>
      </c>
      <c r="BA154" s="29">
        <v>160</v>
      </c>
      <c r="BB154" s="29">
        <f t="shared" si="71"/>
        <v>9770</v>
      </c>
      <c r="BC154" s="29">
        <f t="shared" si="72"/>
        <v>9770</v>
      </c>
      <c r="BD154" s="29">
        <f t="shared" si="73"/>
        <v>3990</v>
      </c>
      <c r="BE154" s="29">
        <f>(BB154-BB153)*INDEX([2]大r将兵属性验证!W$7:W$166,$BA154,1)+BE153</f>
        <v>75393950616.173416</v>
      </c>
      <c r="BF154" s="29">
        <f>(BC154-BC153)*INDEX([2]大r将兵属性验证!X$7:X$166,$BA154,1)+BF153</f>
        <v>75393950616.173416</v>
      </c>
      <c r="BG154" s="29">
        <f>(BD154-BD153)*INDEX([2]大r将兵属性验证!$AM$7:$AM$166,$BA154,1)+BG153</f>
        <v>23515655.421641946</v>
      </c>
      <c r="BH154" s="10">
        <f t="shared" si="80"/>
        <v>150811416887.76846</v>
      </c>
      <c r="BO154" s="29">
        <f t="shared" si="77"/>
        <v>81.919202803497143</v>
      </c>
      <c r="BP154" s="10">
        <f t="shared" si="78"/>
        <v>15661111798.907665</v>
      </c>
      <c r="BQ154" s="10" t="e">
        <f>$BP154*求节点('[1]功能-付费相关'!$AY$6:$AY$105,'[1]功能-付费相关'!$BC$6:$BC$105,$BO154)+$BQ153</f>
        <v>#VALUE!</v>
      </c>
      <c r="BS154" s="29">
        <v>160</v>
      </c>
      <c r="BT154" s="29" t="e">
        <f t="shared" si="81"/>
        <v>#VALUE!</v>
      </c>
      <c r="BU154" s="29"/>
      <c r="BZ154" s="4">
        <f t="shared" si="68"/>
        <v>5604350</v>
      </c>
      <c r="CA154" s="4">
        <v>151</v>
      </c>
      <c r="CB154" s="90">
        <f t="shared" si="69"/>
        <v>74363030</v>
      </c>
      <c r="CC154" s="4">
        <f>SUM(CB$4:CB154)</f>
        <v>961026105</v>
      </c>
      <c r="CD154" s="4">
        <f t="shared" si="67"/>
        <v>1.040243058473981</v>
      </c>
    </row>
    <row r="155" spans="1:82" x14ac:dyDescent="0.15">
      <c r="P155" s="5">
        <v>20</v>
      </c>
      <c r="Q155" s="14">
        <f>基础状态预期!D168</f>
        <v>83.738783536778797</v>
      </c>
      <c r="R155" s="14">
        <f>IF(基础状态预期!U168="",0,求节点($B$5:$B$154,$D$5:$D$154,基础状态预期!U168)*基础状态预期!F168)</f>
        <v>0</v>
      </c>
      <c r="S155" s="14">
        <f>IF(基础状态预期!V168="",0,求节点($B$5:$B$154,$D$5:$D$154,基础状态预期!V168)*基础状态预期!G168)</f>
        <v>0</v>
      </c>
      <c r="T155" s="14">
        <f>IF(基础状态预期!W168="",0,求节点($B$5:$B$154,$D$5:$D$154,基础状态预期!W168)*基础状态预期!H168)</f>
        <v>0</v>
      </c>
      <c r="U155" s="14">
        <f>IF(基础状态预期!X168="",0,求节点($B$5:$B$154,$D$5:$D$154,基础状态预期!X168)*基础状态预期!I168)</f>
        <v>0</v>
      </c>
      <c r="V155" s="14">
        <f>IF(基础状态预期!Y168="",0,求节点($B$5:$B$154,$D$5:$D$154,基础状态预期!Y168)*基础状态预期!J168)</f>
        <v>21097963725.865738</v>
      </c>
      <c r="W155" s="14">
        <f t="shared" ref="W155:W177" si="82">SUM(R155:V155)</f>
        <v>21097963725.865738</v>
      </c>
      <c r="Y155" s="14" t="str">
        <f>IF(基础状态预期!U168="","",H$8+(基础状态预期!U168-1)*H$11)</f>
        <v/>
      </c>
      <c r="Z155" s="14" t="str">
        <f>IF(基础状态预期!V168="","",I$8+(基础状态预期!V168-1)*I$11)</f>
        <v/>
      </c>
      <c r="AA155" s="14" t="str">
        <f>IF(基础状态预期!W168="","",J$8+(基础状态预期!W168-1)*J$11)</f>
        <v/>
      </c>
      <c r="AB155" s="14" t="str">
        <f>IF(基础状态预期!X168="","",K$8+(基础状态预期!X168-1)*K$11)</f>
        <v/>
      </c>
      <c r="AC155" s="14">
        <f>IF(基础状态预期!Y168="","",L$8+(基础状态预期!Y168-1)*L$11)</f>
        <v>5794.3270122067279</v>
      </c>
      <c r="AD155" s="14">
        <f>SUMPRODUCT(Y155:AC155,基础状态预期!$F168:$J168)/SUM(基础状态预期!$F168:$J168)</f>
        <v>5794.3270122067288</v>
      </c>
      <c r="AE155" s="14" t="str">
        <f>IF(基础状态预期!U168="","",H$9+(基础状态预期!U168-1)*H$12)</f>
        <v/>
      </c>
      <c r="AF155" s="14" t="str">
        <f>IF(基础状态预期!V168="","",I$9+(基础状态预期!V168-1)*I$12)</f>
        <v/>
      </c>
      <c r="AG155" s="14" t="str">
        <f>IF(基础状态预期!W168="","",J$9+(基础状态预期!W168-1)*J$12)</f>
        <v/>
      </c>
      <c r="AH155" s="14" t="str">
        <f>IF(基础状态预期!X168="","",K$9+(基础状态预期!X168-1)*K$12)</f>
        <v/>
      </c>
      <c r="AI155" s="14">
        <f>IF(基础状态预期!Y168="","",L$9+(基础状态预期!Y168-1)*L$12)</f>
        <v>5794.3270122067279</v>
      </c>
      <c r="AJ155" s="14">
        <f>SUMPRODUCT(AE155:AI155,基础状态预期!$F168:$J168)/SUM(基础状态预期!$F168:$J168)</f>
        <v>5794.3270122067288</v>
      </c>
      <c r="AK155" s="14" t="str">
        <f>IF(基础状态预期!U168="","",H$27+(基础状态预期!U168-1)*H$28)</f>
        <v/>
      </c>
      <c r="AL155" s="14" t="str">
        <f>IF(基础状态预期!V168="","",I$27+(基础状态预期!V168-1)*I$28)</f>
        <v/>
      </c>
      <c r="AM155" s="14" t="str">
        <f>IF(基础状态预期!W168="","",J$27+(基础状态预期!W168-1)*J$28)</f>
        <v/>
      </c>
      <c r="AN155" s="14" t="str">
        <f>IF(基础状态预期!X168="","",K$27+(基础状态预期!X168-1)*K$28)</f>
        <v/>
      </c>
      <c r="AO155" s="14">
        <f>IF(基础状态预期!Y168="","",L$27+(基础状态预期!Y168-1)*L$28)</f>
        <v>2664.7756707355757</v>
      </c>
      <c r="AP155" s="14">
        <f>SUMPRODUCT(AK155:AO155,基础状态预期!$F168:$J168)/SUM(基础状态预期!$F168:$J168)</f>
        <v>2664.7756707355757</v>
      </c>
      <c r="AQ155" s="14" t="str">
        <f>IF(基础状态预期!U168="","",H$31+(基础状态预期!U168-1)*H$32)</f>
        <v/>
      </c>
      <c r="AR155" s="14" t="str">
        <f>IF(基础状态预期!V168="","",I$31+(基础状态预期!V168-1)*I$32)</f>
        <v/>
      </c>
      <c r="AS155" s="14" t="str">
        <f>IF(基础状态预期!W168="","",J$31+(基础状态预期!W168-1)*J$32)</f>
        <v/>
      </c>
      <c r="AT155" s="14" t="str">
        <f>IF(基础状态预期!X168="","",K$31+(基础状态预期!X168-1)*K$32)</f>
        <v/>
      </c>
      <c r="AU155" s="14">
        <f>IF(基础状态预期!Y168="","",L$31+(基础状态预期!Y168-1)*L$32)</f>
        <v>186.47756707355759</v>
      </c>
      <c r="AV155" s="14">
        <f>SUMPRODUCT(AQ155:AU155,基础状态预期!$F168:$J168)/SUM(基础状态预期!$F168:$J168)</f>
        <v>186.47756707355759</v>
      </c>
      <c r="BO155" s="29">
        <f t="shared" si="77"/>
        <v>83.738783536778797</v>
      </c>
      <c r="BP155" s="10">
        <f t="shared" si="78"/>
        <v>21097963725.865738</v>
      </c>
      <c r="BQ155" s="10" t="e">
        <f>$BP155*求节点('[1]功能-付费相关'!$AY$6:$AY$105,'[1]功能-付费相关'!$BC$6:$BC$105,$BO155)+$BQ154</f>
        <v>#VALUE!</v>
      </c>
      <c r="BZ155" s="4">
        <f t="shared" si="68"/>
        <v>6601900</v>
      </c>
      <c r="CA155" s="4">
        <v>152</v>
      </c>
      <c r="CB155" s="90">
        <f t="shared" si="69"/>
        <v>80964930</v>
      </c>
      <c r="CC155" s="4">
        <f>SUM(CB$4:CB155)</f>
        <v>1041991035</v>
      </c>
      <c r="CD155" s="4">
        <f t="shared" si="67"/>
        <v>1.043858811571545</v>
      </c>
    </row>
    <row r="156" spans="1:82" x14ac:dyDescent="0.15">
      <c r="P156" s="5">
        <v>21</v>
      </c>
      <c r="Q156" s="14">
        <f>基础状态预期!D169</f>
        <v>86.045919706798657</v>
      </c>
      <c r="R156" s="14">
        <f>IF(基础状态预期!U169="",0,求节点($B$5:$B$154,$D$5:$D$154,基础状态预期!U169)*基础状态预期!F169)</f>
        <v>0</v>
      </c>
      <c r="S156" s="14">
        <f>IF(基础状态预期!V169="",0,求节点($B$5:$B$154,$D$5:$D$154,基础状态预期!V169)*基础状态预期!G169)</f>
        <v>0</v>
      </c>
      <c r="T156" s="14">
        <f>IF(基础状态预期!W169="",0,求节点($B$5:$B$154,$D$5:$D$154,基础状态预期!W169)*基础状态预期!H169)</f>
        <v>0</v>
      </c>
      <c r="U156" s="14">
        <f>IF(基础状态预期!X169="",0,求节点($B$5:$B$154,$D$5:$D$154,基础状态预期!X169)*基础状态预期!I169)</f>
        <v>0</v>
      </c>
      <c r="V156" s="14">
        <f>IF(基础状态预期!Y169="",0,求节点($B$5:$B$154,$D$5:$D$154,基础状态预期!Y169)*基础状态预期!J169)</f>
        <v>30676484556.244041</v>
      </c>
      <c r="W156" s="14">
        <f t="shared" si="82"/>
        <v>30676484556.244041</v>
      </c>
      <c r="Y156" s="14" t="str">
        <f>IF(基础状态预期!U169="","",H$8+(基础状态预期!U169-1)*H$11)</f>
        <v/>
      </c>
      <c r="Z156" s="14" t="str">
        <f>IF(基础状态预期!V169="","",I$8+(基础状态预期!V169-1)*I$11)</f>
        <v/>
      </c>
      <c r="AA156" s="14" t="str">
        <f>IF(基础状态预期!W169="","",J$8+(基础状态预期!W169-1)*J$11)</f>
        <v/>
      </c>
      <c r="AB156" s="14" t="str">
        <f>IF(基础状态预期!X169="","",K$8+(基础状态预期!X169-1)*K$11)</f>
        <v/>
      </c>
      <c r="AC156" s="14">
        <f>IF(基础状态预期!Y169="","",L$8+(基础状态预期!Y169-1)*L$11)</f>
        <v>5932.7551824079192</v>
      </c>
      <c r="AD156" s="14">
        <f>SUMPRODUCT(Y156:AC156,基础状态预期!$F169:$J169)/SUM(基础状态预期!$F169:$J169)</f>
        <v>5932.7551824079192</v>
      </c>
      <c r="AE156" s="14" t="str">
        <f>IF(基础状态预期!U169="","",H$9+(基础状态预期!U169-1)*H$12)</f>
        <v/>
      </c>
      <c r="AF156" s="14" t="str">
        <f>IF(基础状态预期!V169="","",I$9+(基础状态预期!V169-1)*I$12)</f>
        <v/>
      </c>
      <c r="AG156" s="14" t="str">
        <f>IF(基础状态预期!W169="","",J$9+(基础状态预期!W169-1)*J$12)</f>
        <v/>
      </c>
      <c r="AH156" s="14" t="str">
        <f>IF(基础状态预期!X169="","",K$9+(基础状态预期!X169-1)*K$12)</f>
        <v/>
      </c>
      <c r="AI156" s="14">
        <f>IF(基础状态预期!Y169="","",L$9+(基础状态预期!Y169-1)*L$12)</f>
        <v>5932.7551824079192</v>
      </c>
      <c r="AJ156" s="14">
        <f>SUMPRODUCT(AE156:AI156,基础状态预期!$F169:$J169)/SUM(基础状态预期!$F169:$J169)</f>
        <v>5932.7551824079192</v>
      </c>
      <c r="AK156" s="14" t="str">
        <f>IF(基础状态预期!U169="","",H$27+(基础状态预期!U169-1)*H$28)</f>
        <v/>
      </c>
      <c r="AL156" s="14" t="str">
        <f>IF(基础状态预期!V169="","",I$27+(基础状态预期!V169-1)*I$28)</f>
        <v/>
      </c>
      <c r="AM156" s="14" t="str">
        <f>IF(基础状态预期!W169="","",J$27+(基础状态预期!W169-1)*J$28)</f>
        <v/>
      </c>
      <c r="AN156" s="14" t="str">
        <f>IF(基础状态预期!X169="","",K$27+(基础状态预期!X169-1)*K$28)</f>
        <v/>
      </c>
      <c r="AO156" s="14">
        <f>IF(基础状态预期!Y169="","",L$27+(基础状态预期!Y169-1)*L$28)</f>
        <v>2710.9183941359734</v>
      </c>
      <c r="AP156" s="14">
        <f>SUMPRODUCT(AK156:AO156,基础状态预期!$F169:$J169)/SUM(基础状态预期!$F169:$J169)</f>
        <v>2710.9183941359734</v>
      </c>
      <c r="AQ156" s="14" t="str">
        <f>IF(基础状态预期!U169="","",H$31+(基础状态预期!U169-1)*H$32)</f>
        <v/>
      </c>
      <c r="AR156" s="14" t="str">
        <f>IF(基础状态预期!V169="","",I$31+(基础状态预期!V169-1)*I$32)</f>
        <v/>
      </c>
      <c r="AS156" s="14" t="str">
        <f>IF(基础状态预期!W169="","",J$31+(基础状态预期!W169-1)*J$32)</f>
        <v/>
      </c>
      <c r="AT156" s="14" t="str">
        <f>IF(基础状态预期!X169="","",K$31+(基础状态预期!X169-1)*K$32)</f>
        <v/>
      </c>
      <c r="AU156" s="14">
        <f>IF(基础状态预期!Y169="","",L$31+(基础状态预期!Y169-1)*L$32)</f>
        <v>191.09183941359731</v>
      </c>
      <c r="AV156" s="14">
        <f>SUMPRODUCT(AQ156:AU156,基础状态预期!$F169:$J169)/SUM(基础状态预期!$F169:$J169)</f>
        <v>191.09183941359731</v>
      </c>
      <c r="BO156" s="29">
        <f t="shared" si="77"/>
        <v>86.045919706798657</v>
      </c>
      <c r="BP156" s="10">
        <f t="shared" si="78"/>
        <v>30676484556.244041</v>
      </c>
      <c r="BQ156" s="10" t="e">
        <f>$BP156*求节点('[1]功能-付费相关'!$AY$6:$AY$105,'[1]功能-付费相关'!$BC$6:$BC$105,$BO156)+$BQ155</f>
        <v>#VALUE!</v>
      </c>
      <c r="BZ156" s="4">
        <f t="shared" si="68"/>
        <v>6601900</v>
      </c>
      <c r="CA156" s="4">
        <v>153</v>
      </c>
      <c r="CB156" s="90">
        <f t="shared" si="69"/>
        <v>87566830</v>
      </c>
      <c r="CC156" s="4">
        <f>SUM(CB$4:CB156)</f>
        <v>1129557865</v>
      </c>
      <c r="CD156" s="4">
        <f t="shared" si="67"/>
        <v>1.0403216248116385</v>
      </c>
    </row>
    <row r="157" spans="1:82" x14ac:dyDescent="0.15">
      <c r="P157" s="5">
        <v>22</v>
      </c>
      <c r="Q157" s="14">
        <f>基础状态预期!D170</f>
        <v>90.288435080379244</v>
      </c>
      <c r="R157" s="14">
        <f>IF(基础状态预期!U170="",0,求节点($B$5:$B$154,$D$5:$D$154,基础状态预期!U170)*基础状态预期!F170)</f>
        <v>0</v>
      </c>
      <c r="S157" s="14">
        <f>IF(基础状态预期!V170="",0,求节点($B$5:$B$154,$D$5:$D$154,基础状态预期!V170)*基础状态预期!G170)</f>
        <v>0</v>
      </c>
      <c r="T157" s="14">
        <f>IF(基础状态预期!W170="",0,求节点($B$5:$B$154,$D$5:$D$154,基础状态预期!W170)*基础状态预期!H170)</f>
        <v>0</v>
      </c>
      <c r="U157" s="14">
        <f>IF(基础状态预期!X170="",0,求节点($B$5:$B$154,$D$5:$D$154,基础状态预期!X170)*基础状态预期!I170)</f>
        <v>0</v>
      </c>
      <c r="V157" s="14">
        <f>IF(基础状态预期!Y170="",0,求节点($B$5:$B$154,$D$5:$D$154,基础状态预期!Y170)*基础状态预期!J170)</f>
        <v>61219318640.238251</v>
      </c>
      <c r="W157" s="14">
        <f t="shared" si="82"/>
        <v>61219318640.238251</v>
      </c>
      <c r="Y157" s="14" t="str">
        <f>IF(基础状态预期!U170="","",H$8+(基础状态预期!U170-1)*H$11)</f>
        <v/>
      </c>
      <c r="Z157" s="14" t="str">
        <f>IF(基础状态预期!V170="","",I$8+(基础状态预期!V170-1)*I$11)</f>
        <v/>
      </c>
      <c r="AA157" s="14" t="str">
        <f>IF(基础状态预期!W170="","",J$8+(基础状态预期!W170-1)*J$11)</f>
        <v/>
      </c>
      <c r="AB157" s="14" t="str">
        <f>IF(基础状态预期!X170="","",K$8+(基础状态预期!X170-1)*K$11)</f>
        <v/>
      </c>
      <c r="AC157" s="14">
        <f>IF(基础状态预期!Y170="","",L$8+(基础状态预期!Y170-1)*L$11)</f>
        <v>6187.3061048227546</v>
      </c>
      <c r="AD157" s="14">
        <f>SUMPRODUCT(Y157:AC157,基础状态预期!$F170:$J170)/SUM(基础状态预期!$F170:$J170)</f>
        <v>6187.3061048227546</v>
      </c>
      <c r="AE157" s="14" t="str">
        <f>IF(基础状态预期!U170="","",H$9+(基础状态预期!U170-1)*H$12)</f>
        <v/>
      </c>
      <c r="AF157" s="14" t="str">
        <f>IF(基础状态预期!V170="","",I$9+(基础状态预期!V170-1)*I$12)</f>
        <v/>
      </c>
      <c r="AG157" s="14" t="str">
        <f>IF(基础状态预期!W170="","",J$9+(基础状态预期!W170-1)*J$12)</f>
        <v/>
      </c>
      <c r="AH157" s="14" t="str">
        <f>IF(基础状态预期!X170="","",K$9+(基础状态预期!X170-1)*K$12)</f>
        <v/>
      </c>
      <c r="AI157" s="14">
        <f>IF(基础状态预期!Y170="","",L$9+(基础状态预期!Y170-1)*L$12)</f>
        <v>6187.3061048227546</v>
      </c>
      <c r="AJ157" s="14">
        <f>SUMPRODUCT(AE157:AI157,基础状态预期!$F170:$J170)/SUM(基础状态预期!$F170:$J170)</f>
        <v>6187.3061048227546</v>
      </c>
      <c r="AK157" s="14" t="str">
        <f>IF(基础状态预期!U170="","",H$27+(基础状态预期!U170-1)*H$28)</f>
        <v/>
      </c>
      <c r="AL157" s="14" t="str">
        <f>IF(基础状态预期!V170="","",I$27+(基础状态预期!V170-1)*I$28)</f>
        <v/>
      </c>
      <c r="AM157" s="14" t="str">
        <f>IF(基础状态预期!W170="","",J$27+(基础状态预期!W170-1)*J$28)</f>
        <v/>
      </c>
      <c r="AN157" s="14" t="str">
        <f>IF(基础状态预期!X170="","",K$27+(基础状态预期!X170-1)*K$28)</f>
        <v/>
      </c>
      <c r="AO157" s="14">
        <f>IF(基础状态预期!Y170="","",L$27+(基础状态预期!Y170-1)*L$28)</f>
        <v>2795.7687016075852</v>
      </c>
      <c r="AP157" s="14">
        <f>SUMPRODUCT(AK157:AO157,基础状态预期!$F170:$J170)/SUM(基础状态预期!$F170:$J170)</f>
        <v>2795.7687016075852</v>
      </c>
      <c r="AQ157" s="14" t="str">
        <f>IF(基础状态预期!U170="","",H$31+(基础状态预期!U170-1)*H$32)</f>
        <v/>
      </c>
      <c r="AR157" s="14" t="str">
        <f>IF(基础状态预期!V170="","",I$31+(基础状态预期!V170-1)*I$32)</f>
        <v/>
      </c>
      <c r="AS157" s="14" t="str">
        <f>IF(基础状态预期!W170="","",J$31+(基础状态预期!W170-1)*J$32)</f>
        <v/>
      </c>
      <c r="AT157" s="14" t="str">
        <f>IF(基础状态预期!X170="","",K$31+(基础状态预期!X170-1)*K$32)</f>
        <v/>
      </c>
      <c r="AU157" s="14">
        <f>IF(基础状态预期!Y170="","",L$31+(基础状态预期!Y170-1)*L$32)</f>
        <v>199.57687016075849</v>
      </c>
      <c r="AV157" s="14">
        <f>SUMPRODUCT(AQ157:AU157,基础状态预期!$F170:$J170)/SUM(基础状态预期!$F170:$J170)</f>
        <v>199.57687016075849</v>
      </c>
      <c r="BO157" s="29">
        <f t="shared" si="77"/>
        <v>90.288435080379244</v>
      </c>
      <c r="BP157" s="10">
        <f t="shared" si="78"/>
        <v>61219318640.238251</v>
      </c>
      <c r="BQ157" s="10" t="e">
        <f>$BP157*求节点('[1]功能-付费相关'!$AY$6:$AY$105,'[1]功能-付费相关'!$BC$6:$BC$105,$BO157)+$BQ156</f>
        <v>#VALUE!</v>
      </c>
      <c r="BZ157" s="4">
        <f t="shared" si="68"/>
        <v>7777025</v>
      </c>
      <c r="CA157" s="4">
        <v>154</v>
      </c>
      <c r="CB157" s="90">
        <f t="shared" si="69"/>
        <v>95343855</v>
      </c>
      <c r="CC157" s="4">
        <f>SUM(CB$4:CB157)</f>
        <v>1224901720</v>
      </c>
      <c r="CD157" s="4">
        <f t="shared" si="67"/>
        <v>1.0439404832886234</v>
      </c>
    </row>
    <row r="158" spans="1:82" x14ac:dyDescent="0.15">
      <c r="P158" s="5">
        <v>23</v>
      </c>
      <c r="Q158" s="14">
        <f>基础状态预期!D171</f>
        <v>93.400072017025948</v>
      </c>
      <c r="R158" s="14">
        <f>IF(基础状态预期!U171="",0,求节点($B$5:$B$154,$D$5:$D$154,基础状态预期!U171)*基础状态预期!F171)</f>
        <v>0</v>
      </c>
      <c r="S158" s="14">
        <f>IF(基础状态预期!V171="",0,求节点($B$5:$B$154,$D$5:$D$154,基础状态预期!V171)*基础状态预期!G171)</f>
        <v>0</v>
      </c>
      <c r="T158" s="14">
        <f>IF(基础状态预期!W171="",0,求节点($B$5:$B$154,$D$5:$D$154,基础状态预期!W171)*基础状态预期!H171)</f>
        <v>0</v>
      </c>
      <c r="U158" s="14">
        <f>IF(基础状态预期!X171="",0,求节点($B$5:$B$154,$D$5:$D$154,基础状态预期!X171)*基础状态预期!I171)</f>
        <v>0</v>
      </c>
      <c r="V158" s="14">
        <f>IF(基础状态预期!Y171="",0,求节点($B$5:$B$154,$D$5:$D$154,基础状态预期!Y171)*基础状态预期!J171)</f>
        <v>101105367994.48575</v>
      </c>
      <c r="W158" s="14">
        <f t="shared" si="82"/>
        <v>101105367994.48575</v>
      </c>
      <c r="Y158" s="14" t="str">
        <f>IF(基础状态预期!U171="","",H$8+(基础状态预期!U171-1)*H$11)</f>
        <v/>
      </c>
      <c r="Z158" s="14" t="str">
        <f>IF(基础状态预期!V171="","",I$8+(基础状态预期!V171-1)*I$11)</f>
        <v/>
      </c>
      <c r="AA158" s="14" t="str">
        <f>IF(基础状态预期!W171="","",J$8+(基础状态预期!W171-1)*J$11)</f>
        <v/>
      </c>
      <c r="AB158" s="14" t="str">
        <f>IF(基础状态预期!X171="","",K$8+(基础状态预期!X171-1)*K$11)</f>
        <v/>
      </c>
      <c r="AC158" s="14">
        <f>IF(基础状态预期!Y171="","",L$8+(基础状态预期!Y171-1)*L$11)</f>
        <v>6374.0043210215572</v>
      </c>
      <c r="AD158" s="14">
        <f>SUMPRODUCT(Y158:AC158,基础状态预期!$F171:$J171)/SUM(基础状态预期!$F171:$J171)</f>
        <v>6374.0043210215563</v>
      </c>
      <c r="AE158" s="14" t="str">
        <f>IF(基础状态预期!U171="","",H$9+(基础状态预期!U171-1)*H$12)</f>
        <v/>
      </c>
      <c r="AF158" s="14" t="str">
        <f>IF(基础状态预期!V171="","",I$9+(基础状态预期!V171-1)*I$12)</f>
        <v/>
      </c>
      <c r="AG158" s="14" t="str">
        <f>IF(基础状态预期!W171="","",J$9+(基础状态预期!W171-1)*J$12)</f>
        <v/>
      </c>
      <c r="AH158" s="14" t="str">
        <f>IF(基础状态预期!X171="","",K$9+(基础状态预期!X171-1)*K$12)</f>
        <v/>
      </c>
      <c r="AI158" s="14">
        <f>IF(基础状态预期!Y171="","",L$9+(基础状态预期!Y171-1)*L$12)</f>
        <v>6374.0043210215572</v>
      </c>
      <c r="AJ158" s="14">
        <f>SUMPRODUCT(AE158:AI158,基础状态预期!$F171:$J171)/SUM(基础状态预期!$F171:$J171)</f>
        <v>6374.0043210215563</v>
      </c>
      <c r="AK158" s="14" t="str">
        <f>IF(基础状态预期!U171="","",H$27+(基础状态预期!U171-1)*H$28)</f>
        <v/>
      </c>
      <c r="AL158" s="14" t="str">
        <f>IF(基础状态预期!V171="","",I$27+(基础状态预期!V171-1)*I$28)</f>
        <v/>
      </c>
      <c r="AM158" s="14" t="str">
        <f>IF(基础状态预期!W171="","",J$27+(基础状态预期!W171-1)*J$28)</f>
        <v/>
      </c>
      <c r="AN158" s="14" t="str">
        <f>IF(基础状态预期!X171="","",K$27+(基础状态预期!X171-1)*K$28)</f>
        <v/>
      </c>
      <c r="AO158" s="14">
        <f>IF(基础状态预期!Y171="","",L$27+(基础状态预期!Y171-1)*L$28)</f>
        <v>2858.0014403405189</v>
      </c>
      <c r="AP158" s="14">
        <f>SUMPRODUCT(AK158:AO158,基础状态预期!$F171:$J171)/SUM(基础状态预期!$F171:$J171)</f>
        <v>2858.0014403405189</v>
      </c>
      <c r="AQ158" s="14" t="str">
        <f>IF(基础状态预期!U171="","",H$31+(基础状态预期!U171-1)*H$32)</f>
        <v/>
      </c>
      <c r="AR158" s="14" t="str">
        <f>IF(基础状态预期!V171="","",I$31+(基础状态预期!V171-1)*I$32)</f>
        <v/>
      </c>
      <c r="AS158" s="14" t="str">
        <f>IF(基础状态预期!W171="","",J$31+(基础状态预期!W171-1)*J$32)</f>
        <v/>
      </c>
      <c r="AT158" s="14" t="str">
        <f>IF(基础状态预期!X171="","",K$31+(基础状态预期!X171-1)*K$32)</f>
        <v/>
      </c>
      <c r="AU158" s="14">
        <f>IF(基础状态预期!Y171="","",L$31+(基础状态预期!Y171-1)*L$32)</f>
        <v>205.8001440340519</v>
      </c>
      <c r="AV158" s="14">
        <f>SUMPRODUCT(AQ158:AU158,基础状态预期!$F171:$J171)/SUM(基础状态预期!$F171:$J171)</f>
        <v>205.8001440340519</v>
      </c>
      <c r="BO158" s="29">
        <f t="shared" si="77"/>
        <v>93.400072017025948</v>
      </c>
      <c r="BP158" s="10">
        <f t="shared" si="78"/>
        <v>101105367994.48575</v>
      </c>
      <c r="BQ158" s="10" t="e">
        <f>$BP158*求节点('[1]功能-付费相关'!$AY$6:$AY$105,'[1]功能-付费相关'!$BC$6:$BC$105,$BO158)+$BQ157</f>
        <v>#VALUE!</v>
      </c>
      <c r="BZ158" s="4">
        <f t="shared" si="68"/>
        <v>7777025</v>
      </c>
      <c r="CA158" s="4">
        <v>155</v>
      </c>
      <c r="CB158" s="90">
        <f t="shared" si="69"/>
        <v>103120880</v>
      </c>
      <c r="CC158" s="4">
        <f>SUM(CB$4:CB158)</f>
        <v>1328022600</v>
      </c>
      <c r="CD158" s="4">
        <f t="shared" si="67"/>
        <v>1.0403906788535497</v>
      </c>
    </row>
    <row r="159" spans="1:82" x14ac:dyDescent="0.15">
      <c r="P159" s="5">
        <v>24</v>
      </c>
      <c r="Q159" s="14">
        <f>基础状态预期!D172</f>
        <v>97.006001686863456</v>
      </c>
      <c r="R159" s="14">
        <f>IF(基础状态预期!U172="",0,求节点($B$5:$B$154,$D$5:$D$154,基础状态预期!U172)*基础状态预期!F172)</f>
        <v>0</v>
      </c>
      <c r="S159" s="14">
        <f>IF(基础状态预期!V172="",0,求节点($B$5:$B$154,$D$5:$D$154,基础状态预期!V172)*基础状态预期!G172)</f>
        <v>0</v>
      </c>
      <c r="T159" s="14">
        <f>IF(基础状态预期!W172="",0,求节点($B$5:$B$154,$D$5:$D$154,基础状态预期!W172)*基础状态预期!H172)</f>
        <v>0</v>
      </c>
      <c r="U159" s="14">
        <f>IF(基础状态预期!X172="",0,求节点($B$5:$B$154,$D$5:$D$154,基础状态预期!X172)*基础状态预期!I172)</f>
        <v>0</v>
      </c>
      <c r="V159" s="14">
        <f>IF(基础状态预期!Y172="",0,求节点($B$5:$B$154,$D$5:$D$154,基础状态预期!Y172)*基础状态预期!J172)</f>
        <v>179246667386.37976</v>
      </c>
      <c r="W159" s="14">
        <f t="shared" si="82"/>
        <v>179246667386.37976</v>
      </c>
      <c r="Y159" s="14" t="str">
        <f>IF(基础状态预期!U172="","",H$8+(基础状态预期!U172-1)*H$11)</f>
        <v/>
      </c>
      <c r="Z159" s="14" t="str">
        <f>IF(基础状态预期!V172="","",I$8+(基础状态预期!V172-1)*I$11)</f>
        <v/>
      </c>
      <c r="AA159" s="14" t="str">
        <f>IF(基础状态预期!W172="","",J$8+(基础状态预期!W172-1)*J$11)</f>
        <v/>
      </c>
      <c r="AB159" s="14" t="str">
        <f>IF(基础状态预期!X172="","",K$8+(基础状态预期!X172-1)*K$11)</f>
        <v/>
      </c>
      <c r="AC159" s="14">
        <f>IF(基础状态预期!Y172="","",L$8+(基础状态预期!Y172-1)*L$11)</f>
        <v>6590.360101211807</v>
      </c>
      <c r="AD159" s="14">
        <f>SUMPRODUCT(Y159:AC159,基础状态预期!$F172:$J172)/SUM(基础状态预期!$F172:$J172)</f>
        <v>6590.3601012118061</v>
      </c>
      <c r="AE159" s="14" t="str">
        <f>IF(基础状态预期!U172="","",H$9+(基础状态预期!U172-1)*H$12)</f>
        <v/>
      </c>
      <c r="AF159" s="14" t="str">
        <f>IF(基础状态预期!V172="","",I$9+(基础状态预期!V172-1)*I$12)</f>
        <v/>
      </c>
      <c r="AG159" s="14" t="str">
        <f>IF(基础状态预期!W172="","",J$9+(基础状态预期!W172-1)*J$12)</f>
        <v/>
      </c>
      <c r="AH159" s="14" t="str">
        <f>IF(基础状态预期!X172="","",K$9+(基础状态预期!X172-1)*K$12)</f>
        <v/>
      </c>
      <c r="AI159" s="14">
        <f>IF(基础状态预期!Y172="","",L$9+(基础状态预期!Y172-1)*L$12)</f>
        <v>6590.360101211807</v>
      </c>
      <c r="AJ159" s="14">
        <f>SUMPRODUCT(AE159:AI159,基础状态预期!$F172:$J172)/SUM(基础状态预期!$F172:$J172)</f>
        <v>6590.3601012118061</v>
      </c>
      <c r="AK159" s="14" t="str">
        <f>IF(基础状态预期!U172="","",H$27+(基础状态预期!U172-1)*H$28)</f>
        <v/>
      </c>
      <c r="AL159" s="14" t="str">
        <f>IF(基础状态预期!V172="","",I$27+(基础状态预期!V172-1)*I$28)</f>
        <v/>
      </c>
      <c r="AM159" s="14" t="str">
        <f>IF(基础状态预期!W172="","",J$27+(基础状态预期!W172-1)*J$28)</f>
        <v/>
      </c>
      <c r="AN159" s="14" t="str">
        <f>IF(基础状态预期!X172="","",K$27+(基础状态预期!X172-1)*K$28)</f>
        <v/>
      </c>
      <c r="AO159" s="14">
        <f>IF(基础状态预期!Y172="","",L$27+(基础状态预期!Y172-1)*L$28)</f>
        <v>2930.1200337372693</v>
      </c>
      <c r="AP159" s="14">
        <f>SUMPRODUCT(AK159:AO159,基础状态预期!$F172:$J172)/SUM(基础状态预期!$F172:$J172)</f>
        <v>2930.1200337372698</v>
      </c>
      <c r="AQ159" s="14" t="str">
        <f>IF(基础状态预期!U172="","",H$31+(基础状态预期!U172-1)*H$32)</f>
        <v/>
      </c>
      <c r="AR159" s="14" t="str">
        <f>IF(基础状态预期!V172="","",I$31+(基础状态预期!V172-1)*I$32)</f>
        <v/>
      </c>
      <c r="AS159" s="14" t="str">
        <f>IF(基础状态预期!W172="","",J$31+(基础状态预期!W172-1)*J$32)</f>
        <v/>
      </c>
      <c r="AT159" s="14" t="str">
        <f>IF(基础状态预期!X172="","",K$31+(基础状态预期!X172-1)*K$32)</f>
        <v/>
      </c>
      <c r="AU159" s="14">
        <f>IF(基础状态预期!Y172="","",L$31+(基础状态预期!Y172-1)*L$32)</f>
        <v>213.01200337372691</v>
      </c>
      <c r="AV159" s="14">
        <f>SUMPRODUCT(AQ159:AU159,基础状态预期!$F172:$J172)/SUM(基础状态预期!$F172:$J172)</f>
        <v>213.01200337372691</v>
      </c>
      <c r="BO159" s="29">
        <f t="shared" si="77"/>
        <v>97.006001686863456</v>
      </c>
      <c r="BP159" s="10">
        <f t="shared" si="78"/>
        <v>179246667386.37976</v>
      </c>
      <c r="BQ159" s="10" t="e">
        <f>$BP159*求节点('[1]功能-付费相关'!$AY$6:$AY$105,'[1]功能-付费相关'!$BC$6:$BC$105,$BO159)+$BQ158</f>
        <v>#VALUE!</v>
      </c>
      <c r="BZ159" s="4">
        <f t="shared" si="68"/>
        <v>9161325</v>
      </c>
      <c r="CA159" s="4">
        <v>156</v>
      </c>
      <c r="CB159" s="90">
        <f t="shared" si="69"/>
        <v>112282205</v>
      </c>
      <c r="CC159" s="4">
        <f>SUM(CB$4:CB159)</f>
        <v>1440304805</v>
      </c>
      <c r="CD159" s="4">
        <f t="shared" si="67"/>
        <v>1.0440121864077794</v>
      </c>
    </row>
    <row r="160" spans="1:82" x14ac:dyDescent="0.15">
      <c r="P160" s="5">
        <v>25</v>
      </c>
      <c r="Q160" s="14">
        <f>基础状态预期!D173</f>
        <v>100.64473135315967</v>
      </c>
      <c r="R160" s="14">
        <f>IF(基础状态预期!U173="",0,求节点($B$5:$B$154,$D$5:$D$154,基础状态预期!U173)*基础状态预期!F173)</f>
        <v>0</v>
      </c>
      <c r="S160" s="14">
        <f>IF(基础状态预期!V173="",0,求节点($B$5:$B$154,$D$5:$D$154,基础状态预期!V173)*基础状态预期!G173)</f>
        <v>0</v>
      </c>
      <c r="T160" s="14">
        <f>IF(基础状态预期!W173="",0,求节点($B$5:$B$154,$D$5:$D$154,基础状态预期!W173)*基础状态预期!H173)</f>
        <v>0</v>
      </c>
      <c r="U160" s="14">
        <f>IF(基础状态预期!X173="",0,求节点($B$5:$B$154,$D$5:$D$154,基础状态预期!X173)*基础状态预期!I173)</f>
        <v>0</v>
      </c>
      <c r="V160" s="14">
        <f>IF(基础状态预期!Y173="",0,求节点($B$5:$B$154,$D$5:$D$154,基础状态预期!Y173)*基础状态预期!J173)</f>
        <v>317072985690.19189</v>
      </c>
      <c r="W160" s="14">
        <f t="shared" si="82"/>
        <v>317072985690.19189</v>
      </c>
      <c r="Y160" s="14" t="str">
        <f>IF(基础状态预期!U173="","",H$8+(基础状态预期!U173-1)*H$11)</f>
        <v/>
      </c>
      <c r="Z160" s="14" t="str">
        <f>IF(基础状态预期!V173="","",I$8+(基础状态预期!V173-1)*I$11)</f>
        <v/>
      </c>
      <c r="AA160" s="14" t="str">
        <f>IF(基础状态预期!W173="","",J$8+(基础状态预期!W173-1)*J$11)</f>
        <v/>
      </c>
      <c r="AB160" s="14" t="str">
        <f>IF(基础状态预期!X173="","",K$8+(基础状态预期!X173-1)*K$11)</f>
        <v/>
      </c>
      <c r="AC160" s="14">
        <f>IF(基础状态预期!Y173="","",L$8+(基础状态预期!Y173-1)*L$11)</f>
        <v>6808.6838811895805</v>
      </c>
      <c r="AD160" s="14">
        <f>SUMPRODUCT(Y160:AC160,基础状态预期!$F173:$J173)/SUM(基础状态预期!$F173:$J173)</f>
        <v>6808.6838811895805</v>
      </c>
      <c r="AE160" s="14" t="str">
        <f>IF(基础状态预期!U173="","",H$9+(基础状态预期!U173-1)*H$12)</f>
        <v/>
      </c>
      <c r="AF160" s="14" t="str">
        <f>IF(基础状态预期!V173="","",I$9+(基础状态预期!V173-1)*I$12)</f>
        <v/>
      </c>
      <c r="AG160" s="14" t="str">
        <f>IF(基础状态预期!W173="","",J$9+(基础状态预期!W173-1)*J$12)</f>
        <v/>
      </c>
      <c r="AH160" s="14" t="str">
        <f>IF(基础状态预期!X173="","",K$9+(基础状态预期!X173-1)*K$12)</f>
        <v/>
      </c>
      <c r="AI160" s="14">
        <f>IF(基础状态预期!Y173="","",L$9+(基础状态预期!Y173-1)*L$12)</f>
        <v>6808.6838811895805</v>
      </c>
      <c r="AJ160" s="14">
        <f>SUMPRODUCT(AE160:AI160,基础状态预期!$F173:$J173)/SUM(基础状态预期!$F173:$J173)</f>
        <v>6808.6838811895805</v>
      </c>
      <c r="AK160" s="14" t="str">
        <f>IF(基础状态预期!U173="","",H$27+(基础状态预期!U173-1)*H$28)</f>
        <v/>
      </c>
      <c r="AL160" s="14" t="str">
        <f>IF(基础状态预期!V173="","",I$27+(基础状态预期!V173-1)*I$28)</f>
        <v/>
      </c>
      <c r="AM160" s="14" t="str">
        <f>IF(基础状态预期!W173="","",J$27+(基础状态预期!W173-1)*J$28)</f>
        <v/>
      </c>
      <c r="AN160" s="14" t="str">
        <f>IF(基础状态预期!X173="","",K$27+(基础状态预期!X173-1)*K$28)</f>
        <v/>
      </c>
      <c r="AO160" s="14">
        <f>IF(基础状态预期!Y173="","",L$27+(基础状态预期!Y173-1)*L$28)</f>
        <v>3002.8946270631932</v>
      </c>
      <c r="AP160" s="14">
        <f>SUMPRODUCT(AK160:AO160,基础状态预期!$F173:$J173)/SUM(基础状态预期!$F173:$J173)</f>
        <v>3002.8946270631932</v>
      </c>
      <c r="AQ160" s="14" t="str">
        <f>IF(基础状态预期!U173="","",H$31+(基础状态预期!U173-1)*H$32)</f>
        <v/>
      </c>
      <c r="AR160" s="14" t="str">
        <f>IF(基础状态预期!V173="","",I$31+(基础状态预期!V173-1)*I$32)</f>
        <v/>
      </c>
      <c r="AS160" s="14" t="str">
        <f>IF(基础状态预期!W173="","",J$31+(基础状态预期!W173-1)*J$32)</f>
        <v/>
      </c>
      <c r="AT160" s="14" t="str">
        <f>IF(基础状态预期!X173="","",K$31+(基础状态预期!X173-1)*K$32)</f>
        <v/>
      </c>
      <c r="AU160" s="14">
        <f>IF(基础状态预期!Y173="","",L$31+(基础状态预期!Y173-1)*L$32)</f>
        <v>220.28946270631934</v>
      </c>
      <c r="AV160" s="14">
        <f>SUMPRODUCT(AQ160:AU160,基础状态预期!$F173:$J173)/SUM(基础状态预期!$F173:$J173)</f>
        <v>220.28946270631934</v>
      </c>
      <c r="BO160" s="29">
        <f t="shared" si="77"/>
        <v>100.64473135315967</v>
      </c>
      <c r="BP160" s="10">
        <f t="shared" si="78"/>
        <v>317072985690.19189</v>
      </c>
      <c r="BQ160" s="10" t="e">
        <f>$BP160*求节点('[1]功能-付费相关'!$AY$6:$AY$105,'[1]功能-付费相关'!$BC$6:$BC$105,$BO160)+$BQ159</f>
        <v>#VALUE!</v>
      </c>
      <c r="BZ160" s="4">
        <f t="shared" si="68"/>
        <v>9161325</v>
      </c>
      <c r="CA160" s="4">
        <v>157</v>
      </c>
      <c r="CB160" s="90">
        <f t="shared" si="69"/>
        <v>121443530</v>
      </c>
      <c r="CC160" s="4">
        <f>SUM(CB$4:CB160)</f>
        <v>1561748335</v>
      </c>
      <c r="CD160" s="4">
        <f t="shared" si="67"/>
        <v>1.0404512868582385</v>
      </c>
    </row>
    <row r="161" spans="16:82" x14ac:dyDescent="0.15">
      <c r="P161" s="5">
        <v>26</v>
      </c>
      <c r="Q161" s="14">
        <f>基础状态预期!D174</f>
        <v>104.30731379164318</v>
      </c>
      <c r="R161" s="14">
        <f>IF(基础状态预期!U174="",0,求节点($B$5:$B$154,$D$5:$D$154,基础状态预期!U174)*基础状态预期!F174)</f>
        <v>0</v>
      </c>
      <c r="S161" s="14">
        <f>IF(基础状态预期!V174="",0,求节点($B$5:$B$154,$D$5:$D$154,基础状态预期!V174)*基础状态预期!G174)</f>
        <v>0</v>
      </c>
      <c r="T161" s="14">
        <f>IF(基础状态预期!W174="",0,求节点($B$5:$B$154,$D$5:$D$154,基础状态预期!W174)*基础状态预期!H174)</f>
        <v>0</v>
      </c>
      <c r="U161" s="14">
        <f>IF(基础状态预期!X174="",0,求节点($B$5:$B$154,$D$5:$D$154,基础状态预期!X174)*基础状态预期!I174)</f>
        <v>0</v>
      </c>
      <c r="V161" s="14">
        <f>IF(基础状态预期!Y174="",0,求节点($B$5:$B$154,$D$5:$D$154,基础状态预期!Y174)*基础状态预期!J174)</f>
        <v>553112155586.26111</v>
      </c>
      <c r="W161" s="14">
        <f t="shared" si="82"/>
        <v>553112155586.26111</v>
      </c>
      <c r="Y161" s="14" t="str">
        <f>IF(基础状态预期!U174="","",H$8+(基础状态预期!U174-1)*H$11)</f>
        <v/>
      </c>
      <c r="Z161" s="14" t="str">
        <f>IF(基础状态预期!V174="","",I$8+(基础状态预期!V174-1)*I$11)</f>
        <v/>
      </c>
      <c r="AA161" s="14" t="str">
        <f>IF(基础状态预期!W174="","",J$8+(基础状态预期!W174-1)*J$11)</f>
        <v/>
      </c>
      <c r="AB161" s="14" t="str">
        <f>IF(基础状态预期!X174="","",K$8+(基础状态预期!X174-1)*K$11)</f>
        <v/>
      </c>
      <c r="AC161" s="14">
        <f>IF(基础状态预期!Y174="","",L$8+(基础状态预期!Y174-1)*L$11)</f>
        <v>7028.4388274985913</v>
      </c>
      <c r="AD161" s="14">
        <f>SUMPRODUCT(Y161:AC161,基础状态预期!$F174:$J174)/SUM(基础状态预期!$F174:$J174)</f>
        <v>7028.4388274985913</v>
      </c>
      <c r="AE161" s="14" t="str">
        <f>IF(基础状态预期!U174="","",H$9+(基础状态预期!U174-1)*H$12)</f>
        <v/>
      </c>
      <c r="AF161" s="14" t="str">
        <f>IF(基础状态预期!V174="","",I$9+(基础状态预期!V174-1)*I$12)</f>
        <v/>
      </c>
      <c r="AG161" s="14" t="str">
        <f>IF(基础状态预期!W174="","",J$9+(基础状态预期!W174-1)*J$12)</f>
        <v/>
      </c>
      <c r="AH161" s="14" t="str">
        <f>IF(基础状态预期!X174="","",K$9+(基础状态预期!X174-1)*K$12)</f>
        <v/>
      </c>
      <c r="AI161" s="14">
        <f>IF(基础状态预期!Y174="","",L$9+(基础状态预期!Y174-1)*L$12)</f>
        <v>7028.4388274985913</v>
      </c>
      <c r="AJ161" s="14">
        <f>SUMPRODUCT(AE161:AI161,基础状态预期!$F174:$J174)/SUM(基础状态预期!$F174:$J174)</f>
        <v>7028.4388274985913</v>
      </c>
      <c r="AK161" s="14" t="str">
        <f>IF(基础状态预期!U174="","",H$27+(基础状态预期!U174-1)*H$28)</f>
        <v/>
      </c>
      <c r="AL161" s="14" t="str">
        <f>IF(基础状态预期!V174="","",I$27+(基础状态预期!V174-1)*I$28)</f>
        <v/>
      </c>
      <c r="AM161" s="14" t="str">
        <f>IF(基础状态预期!W174="","",J$27+(基础状态预期!W174-1)*J$28)</f>
        <v/>
      </c>
      <c r="AN161" s="14" t="str">
        <f>IF(基础状态预期!X174="","",K$27+(基础状态预期!X174-1)*K$28)</f>
        <v/>
      </c>
      <c r="AO161" s="14">
        <f>IF(基础状态预期!Y174="","",L$27+(基础状态预期!Y174-1)*L$28)</f>
        <v>3076.1462758328635</v>
      </c>
      <c r="AP161" s="14">
        <f>SUMPRODUCT(AK161:AO161,基础状态预期!$F174:$J174)/SUM(基础状态预期!$F174:$J174)</f>
        <v>3076.1462758328635</v>
      </c>
      <c r="AQ161" s="14" t="str">
        <f>IF(基础状态预期!U174="","",H$31+(基础状态预期!U174-1)*H$32)</f>
        <v/>
      </c>
      <c r="AR161" s="14" t="str">
        <f>IF(基础状态预期!V174="","",I$31+(基础状态预期!V174-1)*I$32)</f>
        <v/>
      </c>
      <c r="AS161" s="14" t="str">
        <f>IF(基础状态预期!W174="","",J$31+(基础状态预期!W174-1)*J$32)</f>
        <v/>
      </c>
      <c r="AT161" s="14" t="str">
        <f>IF(基础状态预期!X174="","",K$31+(基础状态预期!X174-1)*K$32)</f>
        <v/>
      </c>
      <c r="AU161" s="14">
        <f>IF(基础状态预期!Y174="","",L$31+(基础状态预期!Y174-1)*L$32)</f>
        <v>227.61462758328636</v>
      </c>
      <c r="AV161" s="14">
        <f>SUMPRODUCT(AQ161:AU161,基础状态预期!$F174:$J174)/SUM(基础状态预期!$F174:$J174)</f>
        <v>227.61462758328636</v>
      </c>
      <c r="BO161" s="29">
        <f t="shared" si="77"/>
        <v>104.30731379164318</v>
      </c>
      <c r="BP161" s="10">
        <f t="shared" si="78"/>
        <v>553112155586.26111</v>
      </c>
      <c r="BQ161" s="10" t="e">
        <f>$BP161*求节点('[1]功能-付费相关'!$AY$6:$AY$105,'[1]功能-付费相关'!$BC$6:$BC$105,$BO161)+$BQ160</f>
        <v>#VALUE!</v>
      </c>
      <c r="BZ161" s="4">
        <f t="shared" si="68"/>
        <v>10792025</v>
      </c>
      <c r="CA161" s="4">
        <v>158</v>
      </c>
      <c r="CB161" s="90">
        <f t="shared" si="69"/>
        <v>132235555</v>
      </c>
      <c r="CC161" s="4">
        <f>SUM(CB$4:CB161)</f>
        <v>1693983890</v>
      </c>
      <c r="CD161" s="4">
        <f t="shared" si="67"/>
        <v>1.0440750488775377</v>
      </c>
    </row>
    <row r="162" spans="16:82" x14ac:dyDescent="0.15">
      <c r="P162" s="5">
        <v>27</v>
      </c>
      <c r="Q162" s="14">
        <f>基础状态预期!D175</f>
        <v>107.78950972208385</v>
      </c>
      <c r="R162" s="14">
        <f>IF(基础状态预期!U175="",0,求节点($B$5:$B$154,$D$5:$D$154,基础状态预期!U175)*基础状态预期!F175)</f>
        <v>0</v>
      </c>
      <c r="S162" s="14">
        <f>IF(基础状态预期!V175="",0,求节点($B$5:$B$154,$D$5:$D$154,基础状态预期!V175)*基础状态预期!G175)</f>
        <v>0</v>
      </c>
      <c r="T162" s="14">
        <f>IF(基础状态预期!W175="",0,求节点($B$5:$B$154,$D$5:$D$154,基础状态预期!W175)*基础状态预期!H175)</f>
        <v>0</v>
      </c>
      <c r="U162" s="14">
        <f>IF(基础状态预期!X175="",0,求节点($B$5:$B$154,$D$5:$D$154,基础状态预期!X175)*基础状态预期!I175)</f>
        <v>0</v>
      </c>
      <c r="V162" s="14">
        <f>IF(基础状态预期!Y175="",0,求节点($B$5:$B$154,$D$5:$D$154,基础状态预期!Y175)*基础状态预期!J175)</f>
        <v>927302141092.04846</v>
      </c>
      <c r="W162" s="14">
        <f t="shared" si="82"/>
        <v>927302141092.04846</v>
      </c>
      <c r="Y162" s="14" t="str">
        <f>IF(基础状态预期!U175="","",H$8+(基础状态预期!U175-1)*H$11)</f>
        <v/>
      </c>
      <c r="Z162" s="14" t="str">
        <f>IF(基础状态预期!V175="","",I$8+(基础状态预期!V175-1)*I$11)</f>
        <v/>
      </c>
      <c r="AA162" s="14" t="str">
        <f>IF(基础状态预期!W175="","",J$8+(基础状态预期!W175-1)*J$11)</f>
        <v/>
      </c>
      <c r="AB162" s="14" t="str">
        <f>IF(基础状态预期!X175="","",K$8+(基础状态预期!X175-1)*K$11)</f>
        <v/>
      </c>
      <c r="AC162" s="14">
        <f>IF(基础状态预期!Y175="","",L$8+(基础状态预期!Y175-1)*L$11)</f>
        <v>7237.3705833250306</v>
      </c>
      <c r="AD162" s="14">
        <f>SUMPRODUCT(Y162:AC162,基础状态预期!$F175:$J175)/SUM(基础状态预期!$F175:$J175)</f>
        <v>7237.3705833250306</v>
      </c>
      <c r="AE162" s="14" t="str">
        <f>IF(基础状态预期!U175="","",H$9+(基础状态预期!U175-1)*H$12)</f>
        <v/>
      </c>
      <c r="AF162" s="14" t="str">
        <f>IF(基础状态预期!V175="","",I$9+(基础状态预期!V175-1)*I$12)</f>
        <v/>
      </c>
      <c r="AG162" s="14" t="str">
        <f>IF(基础状态预期!W175="","",J$9+(基础状态预期!W175-1)*J$12)</f>
        <v/>
      </c>
      <c r="AH162" s="14" t="str">
        <f>IF(基础状态预期!X175="","",K$9+(基础状态预期!X175-1)*K$12)</f>
        <v/>
      </c>
      <c r="AI162" s="14">
        <f>IF(基础状态预期!Y175="","",L$9+(基础状态预期!Y175-1)*L$12)</f>
        <v>7237.3705833250306</v>
      </c>
      <c r="AJ162" s="14">
        <f>SUMPRODUCT(AE162:AI162,基础状态预期!$F175:$J175)/SUM(基础状态预期!$F175:$J175)</f>
        <v>7237.3705833250306</v>
      </c>
      <c r="AK162" s="14" t="str">
        <f>IF(基础状态预期!U175="","",H$27+(基础状态预期!U175-1)*H$28)</f>
        <v/>
      </c>
      <c r="AL162" s="14" t="str">
        <f>IF(基础状态预期!V175="","",I$27+(基础状态预期!V175-1)*I$28)</f>
        <v/>
      </c>
      <c r="AM162" s="14" t="str">
        <f>IF(基础状态预期!W175="","",J$27+(基础状态预期!W175-1)*J$28)</f>
        <v/>
      </c>
      <c r="AN162" s="14" t="str">
        <f>IF(基础状态预期!X175="","",K$27+(基础状态预期!X175-1)*K$28)</f>
        <v/>
      </c>
      <c r="AO162" s="14">
        <f>IF(基础状态预期!Y175="","",L$27+(基础状态预期!Y175-1)*L$28)</f>
        <v>3145.7901944416772</v>
      </c>
      <c r="AP162" s="14">
        <f>SUMPRODUCT(AK162:AO162,基础状态预期!$F175:$J175)/SUM(基础状态预期!$F175:$J175)</f>
        <v>3145.7901944416772</v>
      </c>
      <c r="AQ162" s="14" t="str">
        <f>IF(基础状态预期!U175="","",H$31+(基础状态预期!U175-1)*H$32)</f>
        <v/>
      </c>
      <c r="AR162" s="14" t="str">
        <f>IF(基础状态预期!V175="","",I$31+(基础状态预期!V175-1)*I$32)</f>
        <v/>
      </c>
      <c r="AS162" s="14" t="str">
        <f>IF(基础状态预期!W175="","",J$31+(基础状态预期!W175-1)*J$32)</f>
        <v/>
      </c>
      <c r="AT162" s="14" t="str">
        <f>IF(基础状态预期!X175="","",K$31+(基础状态预期!X175-1)*K$32)</f>
        <v/>
      </c>
      <c r="AU162" s="14">
        <f>IF(基础状态预期!Y175="","",L$31+(基础状态预期!Y175-1)*L$32)</f>
        <v>234.5790194441677</v>
      </c>
      <c r="AV162" s="14">
        <f>SUMPRODUCT(AQ162:AU162,基础状态预期!$F175:$J175)/SUM(基础状态预期!$F175:$J175)</f>
        <v>234.5790194441677</v>
      </c>
      <c r="BO162" s="29">
        <f t="shared" si="77"/>
        <v>107.78950972208385</v>
      </c>
      <c r="BP162" s="10">
        <f t="shared" si="78"/>
        <v>927302141092.04846</v>
      </c>
      <c r="BQ162" s="10" t="e">
        <f>$BP162*求节点('[1]功能-付费相关'!$AY$6:$AY$105,'[1]功能-付费相关'!$BC$6:$BC$105,$BO162)+$BQ161</f>
        <v>#VALUE!</v>
      </c>
      <c r="BZ162" s="4">
        <f t="shared" si="68"/>
        <v>10792025</v>
      </c>
      <c r="CA162" s="4">
        <v>159</v>
      </c>
      <c r="CB162" s="90">
        <f t="shared" si="69"/>
        <v>143027580</v>
      </c>
      <c r="CC162" s="4">
        <f>SUM(CB$4:CB162)</f>
        <v>1837011470</v>
      </c>
      <c r="CD162" s="4">
        <f t="shared" si="67"/>
        <v>1.0405044086921735</v>
      </c>
    </row>
    <row r="163" spans="16:82" x14ac:dyDescent="0.15">
      <c r="P163" s="5">
        <v>28</v>
      </c>
      <c r="Q163" s="14">
        <f>基础状态预期!D176</f>
        <v>111.29737083030383</v>
      </c>
      <c r="R163" s="14">
        <f>IF(基础状态预期!U176="",0,求节点($B$5:$B$154,$D$5:$D$154,基础状态预期!U176)*基础状态预期!F176)</f>
        <v>0</v>
      </c>
      <c r="S163" s="14">
        <f>IF(基础状态预期!V176="",0,求节点($B$5:$B$154,$D$5:$D$154,基础状态预期!V176)*基础状态预期!G176)</f>
        <v>0</v>
      </c>
      <c r="T163" s="14">
        <f>IF(基础状态预期!W176="",0,求节点($B$5:$B$154,$D$5:$D$154,基础状态预期!W176)*基础状态预期!H176)</f>
        <v>0</v>
      </c>
      <c r="U163" s="14">
        <f>IF(基础状态预期!X176="",0,求节点($B$5:$B$154,$D$5:$D$154,基础状态预期!X176)*基础状态预期!I176)</f>
        <v>0</v>
      </c>
      <c r="V163" s="14">
        <f>IF(基础状态预期!Y176="",0,求节点($B$5:$B$154,$D$5:$D$154,基础状态预期!Y176)*基础状态预期!J176)</f>
        <v>1550624934180.4712</v>
      </c>
      <c r="W163" s="14">
        <f t="shared" si="82"/>
        <v>1550624934180.4712</v>
      </c>
      <c r="Y163" s="14" t="str">
        <f>IF(基础状态预期!U176="","",H$8+(基础状态预期!U176-1)*H$11)</f>
        <v/>
      </c>
      <c r="Z163" s="14" t="str">
        <f>IF(基础状态预期!V176="","",I$8+(基础状态预期!V176-1)*I$11)</f>
        <v/>
      </c>
      <c r="AA163" s="14" t="str">
        <f>IF(基础状态预期!W176="","",J$8+(基础状态预期!W176-1)*J$11)</f>
        <v/>
      </c>
      <c r="AB163" s="14" t="str">
        <f>IF(基础状态预期!X176="","",K$8+(基础状态预期!X176-1)*K$11)</f>
        <v/>
      </c>
      <c r="AC163" s="14">
        <f>IF(基础状态预期!Y176="","",L$8+(基础状态预期!Y176-1)*L$11)</f>
        <v>7447.8422498182299</v>
      </c>
      <c r="AD163" s="14">
        <f>SUMPRODUCT(Y163:AC163,基础状态预期!$F176:$J176)/SUM(基础状态预期!$F176:$J176)</f>
        <v>7447.8422498182299</v>
      </c>
      <c r="AE163" s="14" t="str">
        <f>IF(基础状态预期!U176="","",H$9+(基础状态预期!U176-1)*H$12)</f>
        <v/>
      </c>
      <c r="AF163" s="14" t="str">
        <f>IF(基础状态预期!V176="","",I$9+(基础状态预期!V176-1)*I$12)</f>
        <v/>
      </c>
      <c r="AG163" s="14" t="str">
        <f>IF(基础状态预期!W176="","",J$9+(基础状态预期!W176-1)*J$12)</f>
        <v/>
      </c>
      <c r="AH163" s="14" t="str">
        <f>IF(基础状态预期!X176="","",K$9+(基础状态预期!X176-1)*K$12)</f>
        <v/>
      </c>
      <c r="AI163" s="14">
        <f>IF(基础状态预期!Y176="","",L$9+(基础状态预期!Y176-1)*L$12)</f>
        <v>7447.8422498182299</v>
      </c>
      <c r="AJ163" s="14">
        <f>SUMPRODUCT(AE163:AI163,基础状态预期!$F176:$J176)/SUM(基础状态预期!$F176:$J176)</f>
        <v>7447.8422498182299</v>
      </c>
      <c r="AK163" s="14" t="str">
        <f>IF(基础状态预期!U176="","",H$27+(基础状态预期!U176-1)*H$28)</f>
        <v/>
      </c>
      <c r="AL163" s="14" t="str">
        <f>IF(基础状态预期!V176="","",I$27+(基础状态预期!V176-1)*I$28)</f>
        <v/>
      </c>
      <c r="AM163" s="14" t="str">
        <f>IF(基础状态预期!W176="","",J$27+(基础状态预期!W176-1)*J$28)</f>
        <v/>
      </c>
      <c r="AN163" s="14" t="str">
        <f>IF(基础状态预期!X176="","",K$27+(基础状态预期!X176-1)*K$28)</f>
        <v/>
      </c>
      <c r="AO163" s="14">
        <f>IF(基础状态预期!Y176="","",L$27+(基础状态预期!Y176-1)*L$28)</f>
        <v>3215.9474166060768</v>
      </c>
      <c r="AP163" s="14">
        <f>SUMPRODUCT(AK163:AO163,基础状态预期!$F176:$J176)/SUM(基础状态预期!$F176:$J176)</f>
        <v>3215.9474166060768</v>
      </c>
      <c r="AQ163" s="14" t="str">
        <f>IF(基础状态预期!U176="","",H$31+(基础状态预期!U176-1)*H$32)</f>
        <v/>
      </c>
      <c r="AR163" s="14" t="str">
        <f>IF(基础状态预期!V176="","",I$31+(基础状态预期!V176-1)*I$32)</f>
        <v/>
      </c>
      <c r="AS163" s="14" t="str">
        <f>IF(基础状态预期!W176="","",J$31+(基础状态预期!W176-1)*J$32)</f>
        <v/>
      </c>
      <c r="AT163" s="14" t="str">
        <f>IF(基础状态预期!X176="","",K$31+(基础状态预期!X176-1)*K$32)</f>
        <v/>
      </c>
      <c r="AU163" s="14">
        <f>IF(基础状态预期!Y176="","",L$31+(基础状态预期!Y176-1)*L$32)</f>
        <v>241.59474166060767</v>
      </c>
      <c r="AV163" s="14">
        <f>SUMPRODUCT(AQ163:AU163,基础状态预期!$F176:$J176)/SUM(基础状态预期!$F176:$J176)</f>
        <v>241.59474166060764</v>
      </c>
      <c r="BO163" s="29">
        <f t="shared" si="77"/>
        <v>111.29737083030383</v>
      </c>
      <c r="BP163" s="10">
        <f t="shared" si="78"/>
        <v>1550624934180.4712</v>
      </c>
      <c r="BQ163" s="10" t="e">
        <f>$BP163*求节点('[1]功能-付费相关'!$AY$6:$AY$105,'[1]功能-付费相关'!$BC$6:$BC$105,$BO163)+$BQ162</f>
        <v>#VALUE!</v>
      </c>
      <c r="BZ163" s="4">
        <f t="shared" si="68"/>
        <v>12713000</v>
      </c>
      <c r="CA163" s="4">
        <v>160</v>
      </c>
      <c r="CB163" s="90">
        <f t="shared" si="69"/>
        <v>155740580</v>
      </c>
      <c r="CC163" s="4">
        <f>SUM(CB$4:CB163)</f>
        <v>1992752050</v>
      </c>
      <c r="CD163" s="4">
        <f t="shared" si="67"/>
        <v>1.044130098135815</v>
      </c>
    </row>
    <row r="164" spans="16:82" x14ac:dyDescent="0.15">
      <c r="P164" s="5">
        <v>29</v>
      </c>
      <c r="Q164" s="14">
        <f>基础状态预期!D177</f>
        <v>114.91888401282834</v>
      </c>
      <c r="R164" s="14">
        <f>IF(基础状态预期!U177="",0,求节点($B$5:$B$154,$D$5:$D$154,基础状态预期!U177)*基础状态预期!F177)</f>
        <v>0</v>
      </c>
      <c r="S164" s="14">
        <f>IF(基础状态预期!V177="",0,求节点($B$5:$B$154,$D$5:$D$154,基础状态预期!V177)*基础状态预期!G177)</f>
        <v>0</v>
      </c>
      <c r="T164" s="14">
        <f>IF(基础状态预期!W177="",0,求节点($B$5:$B$154,$D$5:$D$154,基础状态预期!W177)*基础状态预期!H177)</f>
        <v>0</v>
      </c>
      <c r="U164" s="14">
        <f>IF(基础状态预期!X177="",0,求节点($B$5:$B$154,$D$5:$D$154,基础状态预期!X177)*基础状态预期!I177)</f>
        <v>0</v>
      </c>
      <c r="V164" s="14">
        <f>IF(基础状态预期!Y177="",0,求节点($B$5:$B$154,$D$5:$D$154,基础状态预期!Y177)*基础状态预期!J177)</f>
        <v>2659719824553.3574</v>
      </c>
      <c r="W164" s="14">
        <f t="shared" si="82"/>
        <v>2659719824553.3574</v>
      </c>
      <c r="Y164" s="14" t="str">
        <f>IF(基础状态预期!U177="","",H$8+(基础状态预期!U177-1)*H$11)</f>
        <v/>
      </c>
      <c r="Z164" s="14" t="str">
        <f>IF(基础状态预期!V177="","",I$8+(基础状态预期!V177-1)*I$11)</f>
        <v/>
      </c>
      <c r="AA164" s="14" t="str">
        <f>IF(基础状态预期!W177="","",J$8+(基础状态预期!W177-1)*J$11)</f>
        <v/>
      </c>
      <c r="AB164" s="14" t="str">
        <f>IF(基础状态预期!X177="","",K$8+(基础状态预期!X177-1)*K$11)</f>
        <v/>
      </c>
      <c r="AC164" s="14">
        <f>IF(基础状态预期!Y177="","",L$8+(基础状态预期!Y177-1)*L$11)</f>
        <v>7665.1330407697005</v>
      </c>
      <c r="AD164" s="14">
        <f>SUMPRODUCT(Y164:AC164,基础状态预期!$F177:$J177)/SUM(基础状态预期!$F177:$J177)</f>
        <v>7665.1330407696996</v>
      </c>
      <c r="AE164" s="14" t="str">
        <f>IF(基础状态预期!U177="","",H$9+(基础状态预期!U177-1)*H$12)</f>
        <v/>
      </c>
      <c r="AF164" s="14" t="str">
        <f>IF(基础状态预期!V177="","",I$9+(基础状态预期!V177-1)*I$12)</f>
        <v/>
      </c>
      <c r="AG164" s="14" t="str">
        <f>IF(基础状态预期!W177="","",J$9+(基础状态预期!W177-1)*J$12)</f>
        <v/>
      </c>
      <c r="AH164" s="14" t="str">
        <f>IF(基础状态预期!X177="","",K$9+(基础状态预期!X177-1)*K$12)</f>
        <v/>
      </c>
      <c r="AI164" s="14">
        <f>IF(基础状态预期!Y177="","",L$9+(基础状态预期!Y177-1)*L$12)</f>
        <v>7665.1330407697005</v>
      </c>
      <c r="AJ164" s="14">
        <f>SUMPRODUCT(AE164:AI164,基础状态预期!$F177:$J177)/SUM(基础状态预期!$F177:$J177)</f>
        <v>7665.1330407696996</v>
      </c>
      <c r="AK164" s="14" t="str">
        <f>IF(基础状态预期!U177="","",H$27+(基础状态预期!U177-1)*H$28)</f>
        <v/>
      </c>
      <c r="AL164" s="14" t="str">
        <f>IF(基础状态预期!V177="","",I$27+(基础状态预期!V177-1)*I$28)</f>
        <v/>
      </c>
      <c r="AM164" s="14" t="str">
        <f>IF(基础状态预期!W177="","",J$27+(基础状态预期!W177-1)*J$28)</f>
        <v/>
      </c>
      <c r="AN164" s="14" t="str">
        <f>IF(基础状态预期!X177="","",K$27+(基础状态预期!X177-1)*K$28)</f>
        <v/>
      </c>
      <c r="AO164" s="14">
        <f>IF(基础状态预期!Y177="","",L$27+(基础状态预期!Y177-1)*L$28)</f>
        <v>3288.3776802565667</v>
      </c>
      <c r="AP164" s="14">
        <f>SUMPRODUCT(AK164:AO164,基础状态预期!$F177:$J177)/SUM(基础状态预期!$F177:$J177)</f>
        <v>3288.3776802565667</v>
      </c>
      <c r="AQ164" s="14" t="str">
        <f>IF(基础状态预期!U177="","",H$31+(基础状态预期!U177-1)*H$32)</f>
        <v/>
      </c>
      <c r="AR164" s="14" t="str">
        <f>IF(基础状态预期!V177="","",I$31+(基础状态预期!V177-1)*I$32)</f>
        <v/>
      </c>
      <c r="AS164" s="14" t="str">
        <f>IF(基础状态预期!W177="","",J$31+(基础状态预期!W177-1)*J$32)</f>
        <v/>
      </c>
      <c r="AT164" s="14" t="str">
        <f>IF(基础状态预期!X177="","",K$31+(基础状态预期!X177-1)*K$32)</f>
        <v/>
      </c>
      <c r="AU164" s="14">
        <f>IF(基础状态预期!Y177="","",L$31+(基础状态预期!Y177-1)*L$32)</f>
        <v>248.83776802565669</v>
      </c>
      <c r="AV164" s="14">
        <f>SUMPRODUCT(AQ164:AU164,基础状态预期!$F177:$J177)/SUM(基础状态预期!$F177:$J177)</f>
        <v>248.83776802565669</v>
      </c>
      <c r="BO164" s="29">
        <f t="shared" si="77"/>
        <v>114.91888401282834</v>
      </c>
      <c r="BP164" s="10">
        <f t="shared" si="78"/>
        <v>2659719824553.3574</v>
      </c>
      <c r="BQ164" s="10" t="e">
        <f>$BP164*求节点('[1]功能-付费相关'!$AY$6:$AY$105,'[1]功能-付费相关'!$BC$6:$BC$105,$BO164)+$BQ163</f>
        <v>#VALUE!</v>
      </c>
      <c r="BZ164" s="4">
        <f t="shared" si="68"/>
        <v>12713000</v>
      </c>
      <c r="CA164" s="4">
        <v>161</v>
      </c>
      <c r="CB164" s="90">
        <f t="shared" si="69"/>
        <v>168453580</v>
      </c>
      <c r="CC164" s="4">
        <f>SUM(CB$4:CB164)</f>
        <v>2161205630</v>
      </c>
      <c r="CD164" s="4">
        <f t="shared" si="67"/>
        <v>1.0405509176029972</v>
      </c>
    </row>
    <row r="165" spans="16:82" x14ac:dyDescent="0.15">
      <c r="P165" s="5">
        <v>30</v>
      </c>
      <c r="Q165" s="14">
        <f>基础状态预期!D178</f>
        <v>118.4172728380062</v>
      </c>
      <c r="R165" s="14">
        <f>IF(基础状态预期!U178="",0,求节点($B$5:$B$154,$D$5:$D$154,基础状态预期!U178)*基础状态预期!F178)</f>
        <v>0</v>
      </c>
      <c r="S165" s="14">
        <f>IF(基础状态预期!V178="",0,求节点($B$5:$B$154,$D$5:$D$154,基础状态预期!V178)*基础状态预期!G178)</f>
        <v>0</v>
      </c>
      <c r="T165" s="14">
        <f>IF(基础状态预期!W178="",0,求节点($B$5:$B$154,$D$5:$D$154,基础状态预期!W178)*基础状态预期!H178)</f>
        <v>0</v>
      </c>
      <c r="U165" s="14">
        <f>IF(基础状态预期!X178="",0,求节点($B$5:$B$154,$D$5:$D$154,基础状态预期!X178)*基础状态预期!I178)</f>
        <v>0</v>
      </c>
      <c r="V165" s="14">
        <f>IF(基础状态预期!Y178="",0,求节点($B$5:$B$154,$D$5:$D$154,基础状态预期!Y178)*基础状态预期!J178)</f>
        <v>4608795880104.125</v>
      </c>
      <c r="W165" s="14">
        <f t="shared" si="82"/>
        <v>4608795880104.125</v>
      </c>
      <c r="Y165" s="14" t="str">
        <f>IF(基础状态预期!U178="","",H$8+(基础状态预期!U178-1)*H$11)</f>
        <v/>
      </c>
      <c r="Z165" s="14" t="str">
        <f>IF(基础状态预期!V178="","",I$8+(基础状态预期!V178-1)*I$11)</f>
        <v/>
      </c>
      <c r="AA165" s="14" t="str">
        <f>IF(基础状态预期!W178="","",J$8+(基础状态预期!W178-1)*J$11)</f>
        <v/>
      </c>
      <c r="AB165" s="14" t="str">
        <f>IF(基础状态预期!X178="","",K$8+(基础状态预期!X178-1)*K$11)</f>
        <v/>
      </c>
      <c r="AC165" s="14">
        <f>IF(基础状态预期!Y178="","",L$8+(基础状态预期!Y178-1)*L$11)</f>
        <v>7875.0363702803716</v>
      </c>
      <c r="AD165" s="14">
        <f>SUMPRODUCT(Y165:AC165,基础状态预期!$F178:$J178)/SUM(基础状态预期!$F178:$J178)</f>
        <v>7875.0363702803706</v>
      </c>
      <c r="AE165" s="14" t="str">
        <f>IF(基础状态预期!U178="","",H$9+(基础状态预期!U178-1)*H$12)</f>
        <v/>
      </c>
      <c r="AF165" s="14" t="str">
        <f>IF(基础状态预期!V178="","",I$9+(基础状态预期!V178-1)*I$12)</f>
        <v/>
      </c>
      <c r="AG165" s="14" t="str">
        <f>IF(基础状态预期!W178="","",J$9+(基础状态预期!W178-1)*J$12)</f>
        <v/>
      </c>
      <c r="AH165" s="14" t="str">
        <f>IF(基础状态预期!X178="","",K$9+(基础状态预期!X178-1)*K$12)</f>
        <v/>
      </c>
      <c r="AI165" s="14">
        <f>IF(基础状态预期!Y178="","",L$9+(基础状态预期!Y178-1)*L$12)</f>
        <v>7875.0363702803716</v>
      </c>
      <c r="AJ165" s="14">
        <f>SUMPRODUCT(AE165:AI165,基础状态预期!$F178:$J178)/SUM(基础状态预期!$F178:$J178)</f>
        <v>7875.0363702803706</v>
      </c>
      <c r="AK165" s="14" t="str">
        <f>IF(基础状态预期!U178="","",H$27+(基础状态预期!U178-1)*H$28)</f>
        <v/>
      </c>
      <c r="AL165" s="14" t="str">
        <f>IF(基础状态预期!V178="","",I$27+(基础状态预期!V178-1)*I$28)</f>
        <v/>
      </c>
      <c r="AM165" s="14" t="str">
        <f>IF(基础状态预期!W178="","",J$27+(基础状态预期!W178-1)*J$28)</f>
        <v/>
      </c>
      <c r="AN165" s="14" t="str">
        <f>IF(基础状态预期!X178="","",K$27+(基础状态预期!X178-1)*K$28)</f>
        <v/>
      </c>
      <c r="AO165" s="14">
        <f>IF(基础状态预期!Y178="","",L$27+(基础状态预期!Y178-1)*L$28)</f>
        <v>3358.3454567601239</v>
      </c>
      <c r="AP165" s="14">
        <f>SUMPRODUCT(AK165:AO165,基础状态预期!$F178:$J178)/SUM(基础状态预期!$F178:$J178)</f>
        <v>3358.3454567601239</v>
      </c>
      <c r="AQ165" s="14" t="str">
        <f>IF(基础状态预期!U178="","",H$31+(基础状态预期!U178-1)*H$32)</f>
        <v/>
      </c>
      <c r="AR165" s="14" t="str">
        <f>IF(基础状态预期!V178="","",I$31+(基础状态预期!V178-1)*I$32)</f>
        <v/>
      </c>
      <c r="AS165" s="14" t="str">
        <f>IF(基础状态预期!W178="","",J$31+(基础状态预期!W178-1)*J$32)</f>
        <v/>
      </c>
      <c r="AT165" s="14" t="str">
        <f>IF(基础状态预期!X178="","",K$31+(基础状态预期!X178-1)*K$32)</f>
        <v/>
      </c>
      <c r="AU165" s="14">
        <f>IF(基础状态预期!Y178="","",L$31+(基础状态预期!Y178-1)*L$32)</f>
        <v>255.8345456760124</v>
      </c>
      <c r="AV165" s="14">
        <f>SUMPRODUCT(AQ165:AU165,基础状态预期!$F178:$J178)/SUM(基础状态预期!$F178:$J178)</f>
        <v>255.83454567601243</v>
      </c>
      <c r="BO165" s="29">
        <f t="shared" si="77"/>
        <v>118.4172728380062</v>
      </c>
      <c r="BP165" s="10">
        <f t="shared" si="78"/>
        <v>4608795880104.125</v>
      </c>
      <c r="BQ165" s="10" t="e">
        <f>$BP165*求节点('[1]功能-付费相关'!$AY$6:$AY$105,'[1]功能-付费相关'!$BC$6:$BC$105,$BO165)+$BQ164</f>
        <v>#VALUE!</v>
      </c>
      <c r="BZ165" s="4">
        <f t="shared" si="68"/>
        <v>14975900</v>
      </c>
      <c r="CA165" s="4">
        <v>162</v>
      </c>
      <c r="CB165" s="90">
        <f t="shared" si="69"/>
        <v>183429480</v>
      </c>
      <c r="CC165" s="4">
        <f>SUM(CB$4:CB165)</f>
        <v>2344635110</v>
      </c>
      <c r="CD165" s="4">
        <f t="shared" si="67"/>
        <v>1.0441782456741024</v>
      </c>
    </row>
    <row r="166" spans="16:82" x14ac:dyDescent="0.15">
      <c r="P166" s="5">
        <v>31</v>
      </c>
      <c r="Q166" s="14">
        <f>基础状态预期!D179</f>
        <v>121.99245722798884</v>
      </c>
      <c r="R166" s="14">
        <f>IF(基础状态预期!U179="",0,求节点($B$5:$B$154,$D$5:$D$154,基础状态预期!U179)*基础状态预期!F179)</f>
        <v>0</v>
      </c>
      <c r="S166" s="14">
        <f>IF(基础状态预期!V179="",0,求节点($B$5:$B$154,$D$5:$D$154,基础状态预期!V179)*基础状态预期!G179)</f>
        <v>0</v>
      </c>
      <c r="T166" s="14">
        <f>IF(基础状态预期!W179="",0,求节点($B$5:$B$154,$D$5:$D$154,基础状态预期!W179)*基础状态预期!H179)</f>
        <v>0</v>
      </c>
      <c r="U166" s="14">
        <f>IF(基础状态预期!X179="",0,求节点($B$5:$B$154,$D$5:$D$154,基础状态预期!X179)*基础状态预期!I179)</f>
        <v>0</v>
      </c>
      <c r="V166" s="14">
        <f>IF(基础状态预期!Y179="",0,求节点($B$5:$B$154,$D$5:$D$154,基础状态预期!Y179)*基础状态预期!J179)</f>
        <v>8250208643380.8145</v>
      </c>
      <c r="W166" s="14">
        <f t="shared" si="82"/>
        <v>8250208643380.8145</v>
      </c>
      <c r="Y166" s="14" t="str">
        <f>IF(基础状态预期!U179="","",H$8+(基础状态预期!U179-1)*H$11)</f>
        <v/>
      </c>
      <c r="Z166" s="14" t="str">
        <f>IF(基础状态预期!V179="","",I$8+(基础状态预期!V179-1)*I$11)</f>
        <v/>
      </c>
      <c r="AA166" s="14" t="str">
        <f>IF(基础状态预期!W179="","",J$8+(基础状态预期!W179-1)*J$11)</f>
        <v/>
      </c>
      <c r="AB166" s="14" t="str">
        <f>IF(基础状态预期!X179="","",K$8+(基础状态预期!X179-1)*K$11)</f>
        <v/>
      </c>
      <c r="AC166" s="14">
        <f>IF(基础状态预期!Y179="","",L$8+(基础状态预期!Y179-1)*L$11)</f>
        <v>8089.5474336793304</v>
      </c>
      <c r="AD166" s="14">
        <f>SUMPRODUCT(Y166:AC166,基础状态预期!$F179:$J179)/SUM(基础状态预期!$F179:$J179)</f>
        <v>8089.5474336793304</v>
      </c>
      <c r="AE166" s="14" t="str">
        <f>IF(基础状态预期!U179="","",H$9+(基础状态预期!U179-1)*H$12)</f>
        <v/>
      </c>
      <c r="AF166" s="14" t="str">
        <f>IF(基础状态预期!V179="","",I$9+(基础状态预期!V179-1)*I$12)</f>
        <v/>
      </c>
      <c r="AG166" s="14" t="str">
        <f>IF(基础状态预期!W179="","",J$9+(基础状态预期!W179-1)*J$12)</f>
        <v/>
      </c>
      <c r="AH166" s="14" t="str">
        <f>IF(基础状态预期!X179="","",K$9+(基础状态预期!X179-1)*K$12)</f>
        <v/>
      </c>
      <c r="AI166" s="14">
        <f>IF(基础状态预期!Y179="","",L$9+(基础状态预期!Y179-1)*L$12)</f>
        <v>8089.5474336793304</v>
      </c>
      <c r="AJ166" s="14">
        <f>SUMPRODUCT(AE166:AI166,基础状态预期!$F179:$J179)/SUM(基础状态预期!$F179:$J179)</f>
        <v>8089.5474336793304</v>
      </c>
      <c r="AK166" s="14" t="str">
        <f>IF(基础状态预期!U179="","",H$27+(基础状态预期!U179-1)*H$28)</f>
        <v/>
      </c>
      <c r="AL166" s="14" t="str">
        <f>IF(基础状态预期!V179="","",I$27+(基础状态预期!V179-1)*I$28)</f>
        <v/>
      </c>
      <c r="AM166" s="14" t="str">
        <f>IF(基础状态预期!W179="","",J$27+(基础状态预期!W179-1)*J$28)</f>
        <v/>
      </c>
      <c r="AN166" s="14" t="str">
        <f>IF(基础状态预期!X179="","",K$27+(基础状态预期!X179-1)*K$28)</f>
        <v/>
      </c>
      <c r="AO166" s="14">
        <f>IF(基础状态预期!Y179="","",L$27+(基础状态预期!Y179-1)*L$28)</f>
        <v>3429.8491445597765</v>
      </c>
      <c r="AP166" s="14">
        <f>SUMPRODUCT(AK166:AO166,基础状态预期!$F179:$J179)/SUM(基础状态预期!$F179:$J179)</f>
        <v>3429.849144559777</v>
      </c>
      <c r="AQ166" s="14" t="str">
        <f>IF(基础状态预期!U179="","",H$31+(基础状态预期!U179-1)*H$32)</f>
        <v/>
      </c>
      <c r="AR166" s="14" t="str">
        <f>IF(基础状态预期!V179="","",I$31+(基础状态预期!V179-1)*I$32)</f>
        <v/>
      </c>
      <c r="AS166" s="14" t="str">
        <f>IF(基础状态预期!W179="","",J$31+(基础状态预期!W179-1)*J$32)</f>
        <v/>
      </c>
      <c r="AT166" s="14" t="str">
        <f>IF(基础状态预期!X179="","",K$31+(基础状态预期!X179-1)*K$32)</f>
        <v/>
      </c>
      <c r="AU166" s="14">
        <f>IF(基础状态预期!Y179="","",L$31+(基础状态预期!Y179-1)*L$32)</f>
        <v>262.98491445597767</v>
      </c>
      <c r="AV166" s="14">
        <f>SUMPRODUCT(AQ166:AU166,基础状态预期!$F179:$J179)/SUM(基础状态预期!$F179:$J179)</f>
        <v>262.98491445597767</v>
      </c>
      <c r="BO166" s="29">
        <f t="shared" si="77"/>
        <v>121.99245722798884</v>
      </c>
      <c r="BP166" s="10">
        <f t="shared" si="78"/>
        <v>8250208643380.8145</v>
      </c>
      <c r="BQ166" s="10" t="e">
        <f>$BP166*求节点('[1]功能-付费相关'!$AY$6:$AY$105,'[1]功能-付费相关'!$BC$6:$BC$105,$BO166)+$BQ165</f>
        <v>#VALUE!</v>
      </c>
      <c r="BZ166" s="4">
        <f t="shared" si="68"/>
        <v>14975900</v>
      </c>
      <c r="CA166" s="4">
        <v>163</v>
      </c>
      <c r="CB166" s="90">
        <f t="shared" si="69"/>
        <v>198405380</v>
      </c>
      <c r="CC166" s="4">
        <f>SUM(CB$4:CB166)</f>
        <v>2543040490</v>
      </c>
      <c r="CD166" s="4">
        <f t="shared" si="67"/>
        <v>1.0405915875627101</v>
      </c>
    </row>
    <row r="167" spans="16:82" x14ac:dyDescent="0.15">
      <c r="P167" s="5">
        <v>32</v>
      </c>
      <c r="Q167" s="14">
        <f>基础状态预期!D180</f>
        <v>125.43876546297123</v>
      </c>
      <c r="R167" s="14">
        <f>IF(基础状态预期!U180="",0,求节点($B$5:$B$154,$D$5:$D$154,基础状态预期!U180)*基础状态预期!F180)</f>
        <v>0</v>
      </c>
      <c r="S167" s="14">
        <f>IF(基础状态预期!V180="",0,求节点($B$5:$B$154,$D$5:$D$154,基础状态预期!V180)*基础状态预期!G180)</f>
        <v>0</v>
      </c>
      <c r="T167" s="14">
        <f>IF(基础状态预期!W180="",0,求节点($B$5:$B$154,$D$5:$D$154,基础状态预期!W180)*基础状态预期!H180)</f>
        <v>0</v>
      </c>
      <c r="U167" s="14">
        <f>IF(基础状态预期!X180="",0,求节点($B$5:$B$154,$D$5:$D$154,基础状态预期!X180)*基础状态预期!I180)</f>
        <v>0</v>
      </c>
      <c r="V167" s="14">
        <f>IF(基础状态预期!Y180="",0,求节点($B$5:$B$154,$D$5:$D$154,基础状态预期!Y180)*基础状态预期!J180)</f>
        <v>14871842186737.402</v>
      </c>
      <c r="W167" s="14">
        <f t="shared" si="82"/>
        <v>14871842186737.402</v>
      </c>
      <c r="Y167" s="14" t="str">
        <f>IF(基础状态预期!U180="","",H$8+(基础状态预期!U180-1)*H$11)</f>
        <v/>
      </c>
      <c r="Z167" s="14" t="str">
        <f>IF(基础状态预期!V180="","",I$8+(基础状态预期!V180-1)*I$11)</f>
        <v/>
      </c>
      <c r="AA167" s="14" t="str">
        <f>IF(基础状态预期!W180="","",J$8+(基础状态预期!W180-1)*J$11)</f>
        <v/>
      </c>
      <c r="AB167" s="14" t="str">
        <f>IF(基础状态预期!X180="","",K$8+(基础状态预期!X180-1)*K$11)</f>
        <v/>
      </c>
      <c r="AC167" s="14">
        <f>IF(基础状态预期!Y180="","",L$8+(基础状态预期!Y180-1)*L$11)</f>
        <v>8296.3259277782745</v>
      </c>
      <c r="AD167" s="14">
        <f>SUMPRODUCT(Y167:AC167,基础状态预期!$F180:$J180)/SUM(基础状态预期!$F180:$J180)</f>
        <v>8296.3259277782745</v>
      </c>
      <c r="AE167" s="14" t="str">
        <f>IF(基础状态预期!U180="","",H$9+(基础状态预期!U180-1)*H$12)</f>
        <v/>
      </c>
      <c r="AF167" s="14" t="str">
        <f>IF(基础状态预期!V180="","",I$9+(基础状态预期!V180-1)*I$12)</f>
        <v/>
      </c>
      <c r="AG167" s="14" t="str">
        <f>IF(基础状态预期!W180="","",J$9+(基础状态预期!W180-1)*J$12)</f>
        <v/>
      </c>
      <c r="AH167" s="14" t="str">
        <f>IF(基础状态预期!X180="","",K$9+(基础状态预期!X180-1)*K$12)</f>
        <v/>
      </c>
      <c r="AI167" s="14">
        <f>IF(基础状态预期!Y180="","",L$9+(基础状态预期!Y180-1)*L$12)</f>
        <v>8296.3259277782745</v>
      </c>
      <c r="AJ167" s="14">
        <f>SUMPRODUCT(AE167:AI167,基础状态预期!$F180:$J180)/SUM(基础状态预期!$F180:$J180)</f>
        <v>8296.3259277782745</v>
      </c>
      <c r="AK167" s="14" t="str">
        <f>IF(基础状态预期!U180="","",H$27+(基础状态预期!U180-1)*H$28)</f>
        <v/>
      </c>
      <c r="AL167" s="14" t="str">
        <f>IF(基础状态预期!V180="","",I$27+(基础状态预期!V180-1)*I$28)</f>
        <v/>
      </c>
      <c r="AM167" s="14" t="str">
        <f>IF(基础状态预期!W180="","",J$27+(基础状态预期!W180-1)*J$28)</f>
        <v/>
      </c>
      <c r="AN167" s="14" t="str">
        <f>IF(基础状态预期!X180="","",K$27+(基础状态预期!X180-1)*K$28)</f>
        <v/>
      </c>
      <c r="AO167" s="14">
        <f>IF(基础状态预期!Y180="","",L$27+(基础状态预期!Y180-1)*L$28)</f>
        <v>3498.7753092594248</v>
      </c>
      <c r="AP167" s="14">
        <f>SUMPRODUCT(AK167:AO167,基础状态预期!$F180:$J180)/SUM(基础状态预期!$F180:$J180)</f>
        <v>3498.7753092594248</v>
      </c>
      <c r="AQ167" s="14" t="str">
        <f>IF(基础状态预期!U180="","",H$31+(基础状态预期!U180-1)*H$32)</f>
        <v/>
      </c>
      <c r="AR167" s="14" t="str">
        <f>IF(基础状态预期!V180="","",I$31+(基础状态预期!V180-1)*I$32)</f>
        <v/>
      </c>
      <c r="AS167" s="14" t="str">
        <f>IF(基础状态预期!W180="","",J$31+(基础状态预期!W180-1)*J$32)</f>
        <v/>
      </c>
      <c r="AT167" s="14" t="str">
        <f>IF(基础状态预期!X180="","",K$31+(基础状态预期!X180-1)*K$32)</f>
        <v/>
      </c>
      <c r="AU167" s="14">
        <f>IF(基础状态预期!Y180="","",L$31+(基础状态预期!Y180-1)*L$32)</f>
        <v>269.87753092594244</v>
      </c>
      <c r="AV167" s="14">
        <f>SUMPRODUCT(AQ167:AU167,基础状态预期!$F180:$J180)/SUM(基础状态预期!$F180:$J180)</f>
        <v>269.87753092594244</v>
      </c>
      <c r="BO167" s="29">
        <f t="shared" si="77"/>
        <v>125.43876546297123</v>
      </c>
      <c r="BP167" s="10">
        <f t="shared" si="78"/>
        <v>14871842186737.402</v>
      </c>
      <c r="BQ167" s="10" t="e">
        <f>$BP167*求节点('[1]功能-付费相关'!$AY$6:$AY$105,'[1]功能-付费相关'!$BC$6:$BC$105,$BO167)+$BQ166</f>
        <v>#VALUE!</v>
      </c>
      <c r="BZ167" s="4">
        <f t="shared" si="68"/>
        <v>17641600</v>
      </c>
      <c r="CA167" s="4">
        <v>164</v>
      </c>
      <c r="CB167" s="90">
        <f t="shared" si="69"/>
        <v>216046980</v>
      </c>
      <c r="CC167" s="4">
        <f>SUM(CB$4:CB167)</f>
        <v>2759087470</v>
      </c>
      <c r="CD167" s="4">
        <f t="shared" si="67"/>
        <v>1.0442203140395871</v>
      </c>
    </row>
    <row r="168" spans="16:82" x14ac:dyDescent="0.15">
      <c r="P168" s="5">
        <v>33</v>
      </c>
      <c r="Q168" s="14">
        <f>基础状态预期!D181</f>
        <v>129.12105302323599</v>
      </c>
      <c r="R168" s="14">
        <f>IF(基础状态预期!U181="",0,求节点($B$5:$B$154,$D$5:$D$154,基础状态预期!U181)*基础状态预期!F181)</f>
        <v>0</v>
      </c>
      <c r="S168" s="14">
        <f>IF(基础状态预期!V181="",0,求节点($B$5:$B$154,$D$5:$D$154,基础状态预期!V181)*基础状态预期!G181)</f>
        <v>0</v>
      </c>
      <c r="T168" s="14">
        <f>IF(基础状态预期!W181="",0,求节点($B$5:$B$154,$D$5:$D$154,基础状态预期!W181)*基础状态预期!H181)</f>
        <v>0</v>
      </c>
      <c r="U168" s="14">
        <f>IF(基础状态预期!X181="",0,求节点($B$5:$B$154,$D$5:$D$154,基础状态预期!X181)*基础状态预期!I181)</f>
        <v>0</v>
      </c>
      <c r="V168" s="14">
        <f>IF(基础状态预期!Y181="",0,求节点($B$5:$B$154,$D$5:$D$154,基础状态预期!Y181)*基础状态预期!J181)</f>
        <v>28210018729468.887</v>
      </c>
      <c r="W168" s="14">
        <f t="shared" si="82"/>
        <v>28210018729468.887</v>
      </c>
      <c r="Y168" s="14" t="str">
        <f>IF(基础状态预期!U181="","",H$8+(基础状态预期!U181-1)*H$11)</f>
        <v/>
      </c>
      <c r="Z168" s="14" t="str">
        <f>IF(基础状态预期!V181="","",I$8+(基础状态预期!V181-1)*I$11)</f>
        <v/>
      </c>
      <c r="AA168" s="14" t="str">
        <f>IF(基础状态预期!W181="","",J$8+(基础状态预期!W181-1)*J$11)</f>
        <v/>
      </c>
      <c r="AB168" s="14" t="str">
        <f>IF(基础状态预期!X181="","",K$8+(基础状态预期!X181-1)*K$11)</f>
        <v/>
      </c>
      <c r="AC168" s="14">
        <f>IF(基础状态预期!Y181="","",L$8+(基础状态预期!Y181-1)*L$11)</f>
        <v>8517.2631813941589</v>
      </c>
      <c r="AD168" s="14">
        <f>SUMPRODUCT(Y168:AC168,基础状态预期!$F181:$J181)/SUM(基础状态预期!$F181:$J181)</f>
        <v>8517.2631813941589</v>
      </c>
      <c r="AE168" s="14" t="str">
        <f>IF(基础状态预期!U181="","",H$9+(基础状态预期!U181-1)*H$12)</f>
        <v/>
      </c>
      <c r="AF168" s="14" t="str">
        <f>IF(基础状态预期!V181="","",I$9+(基础状态预期!V181-1)*I$12)</f>
        <v/>
      </c>
      <c r="AG168" s="14" t="str">
        <f>IF(基础状态预期!W181="","",J$9+(基础状态预期!W181-1)*J$12)</f>
        <v/>
      </c>
      <c r="AH168" s="14" t="str">
        <f>IF(基础状态预期!X181="","",K$9+(基础状态预期!X181-1)*K$12)</f>
        <v/>
      </c>
      <c r="AI168" s="14">
        <f>IF(基础状态预期!Y181="","",L$9+(基础状态预期!Y181-1)*L$12)</f>
        <v>8517.2631813941589</v>
      </c>
      <c r="AJ168" s="14">
        <f>SUMPRODUCT(AE168:AI168,基础状态预期!$F181:$J181)/SUM(基础状态预期!$F181:$J181)</f>
        <v>8517.2631813941589</v>
      </c>
      <c r="AK168" s="14" t="str">
        <f>IF(基础状态预期!U181="","",H$27+(基础状态预期!U181-1)*H$28)</f>
        <v/>
      </c>
      <c r="AL168" s="14" t="str">
        <f>IF(基础状态预期!V181="","",I$27+(基础状态预期!V181-1)*I$28)</f>
        <v/>
      </c>
      <c r="AM168" s="14" t="str">
        <f>IF(基础状态预期!W181="","",J$27+(基础状态预期!W181-1)*J$28)</f>
        <v/>
      </c>
      <c r="AN168" s="14" t="str">
        <f>IF(基础状态预期!X181="","",K$27+(基础状态预期!X181-1)*K$28)</f>
        <v/>
      </c>
      <c r="AO168" s="14">
        <f>IF(基础状态预期!Y181="","",L$27+(基础状态预期!Y181-1)*L$28)</f>
        <v>3572.4210604647196</v>
      </c>
      <c r="AP168" s="14">
        <f>SUMPRODUCT(AK168:AO168,基础状态预期!$F181:$J181)/SUM(基础状态预期!$F181:$J181)</f>
        <v>3572.4210604647196</v>
      </c>
      <c r="AQ168" s="14" t="str">
        <f>IF(基础状态预期!U181="","",H$31+(基础状态预期!U181-1)*H$32)</f>
        <v/>
      </c>
      <c r="AR168" s="14" t="str">
        <f>IF(基础状态预期!V181="","",I$31+(基础状态预期!V181-1)*I$32)</f>
        <v/>
      </c>
      <c r="AS168" s="14" t="str">
        <f>IF(基础状态预期!W181="","",J$31+(基础状态预期!W181-1)*J$32)</f>
        <v/>
      </c>
      <c r="AT168" s="14" t="str">
        <f>IF(基础状态预期!X181="","",K$31+(基础状态预期!X181-1)*K$32)</f>
        <v/>
      </c>
      <c r="AU168" s="14">
        <f>IF(基础状态预期!Y181="","",L$31+(基础状态预期!Y181-1)*L$32)</f>
        <v>277.24210604647197</v>
      </c>
      <c r="AV168" s="14">
        <f>SUMPRODUCT(AQ168:AU168,基础状态预期!$F181:$J181)/SUM(基础状态预期!$F181:$J181)</f>
        <v>277.24210604647197</v>
      </c>
      <c r="BO168" s="29">
        <f t="shared" si="77"/>
        <v>129.12105302323599</v>
      </c>
      <c r="BP168" s="10">
        <f t="shared" si="78"/>
        <v>28210018729468.887</v>
      </c>
      <c r="BQ168" s="10" t="e">
        <f>$BP168*求节点('[1]功能-付费相关'!$AY$6:$AY$105,'[1]功能-付费相关'!$BC$6:$BC$105,$BO168)+$BQ167</f>
        <v>#VALUE!</v>
      </c>
      <c r="BZ168" s="4">
        <f t="shared" si="68"/>
        <v>17641600</v>
      </c>
      <c r="CA168" s="4">
        <v>165</v>
      </c>
      <c r="CB168" s="90">
        <f t="shared" si="69"/>
        <v>233688580</v>
      </c>
      <c r="CC168" s="4">
        <f>SUM(CB$4:CB168)</f>
        <v>2992776050</v>
      </c>
      <c r="CD168" s="4">
        <f t="shared" si="67"/>
        <v>1.0406271163768612</v>
      </c>
    </row>
    <row r="169" spans="16:82" x14ac:dyDescent="0.15">
      <c r="P169" s="5">
        <v>34</v>
      </c>
      <c r="Q169" s="14">
        <f>基础状态预期!D182</f>
        <v>132.61179169042359</v>
      </c>
      <c r="R169" s="14">
        <f>IF(基础状态预期!U182="",0,求节点($B$5:$B$154,$D$5:$D$154,基础状态预期!U182)*基础状态预期!F182)</f>
        <v>0</v>
      </c>
      <c r="S169" s="14">
        <f>IF(基础状态预期!V182="",0,求节点($B$5:$B$154,$D$5:$D$154,基础状态预期!V182)*基础状态预期!G182)</f>
        <v>0</v>
      </c>
      <c r="T169" s="14">
        <f>IF(基础状态预期!W182="",0,求节点($B$5:$B$154,$D$5:$D$154,基础状态预期!W182)*基础状态预期!H182)</f>
        <v>0</v>
      </c>
      <c r="U169" s="14">
        <f>IF(基础状态预期!X182="",0,求节点($B$5:$B$154,$D$5:$D$154,基础状态预期!X182)*基础状态预期!I182)</f>
        <v>0</v>
      </c>
      <c r="V169" s="14">
        <f>IF(基础状态预期!Y182="",0,求节点($B$5:$B$154,$D$5:$D$154,基础状态预期!Y182)*基础状态预期!J182)</f>
        <v>52525606738353.078</v>
      </c>
      <c r="W169" s="14">
        <f t="shared" si="82"/>
        <v>52525606738353.078</v>
      </c>
      <c r="Y169" s="14" t="str">
        <f>IF(基础状态预期!U182="","",H$8+(基础状态预期!U182-1)*H$11)</f>
        <v/>
      </c>
      <c r="Z169" s="14" t="str">
        <f>IF(基础状态预期!V182="","",I$8+(基础状态预期!V182-1)*I$11)</f>
        <v/>
      </c>
      <c r="AA169" s="14" t="str">
        <f>IF(基础状态预期!W182="","",J$8+(基础状态预期!W182-1)*J$11)</f>
        <v/>
      </c>
      <c r="AB169" s="14" t="str">
        <f>IF(基础状态预期!X182="","",K$8+(基础状态预期!X182-1)*K$11)</f>
        <v/>
      </c>
      <c r="AC169" s="14">
        <f>IF(基础状态预期!Y182="","",L$8+(基础状态预期!Y182-1)*L$11)</f>
        <v>8726.7075014254151</v>
      </c>
      <c r="AD169" s="14">
        <f>SUMPRODUCT(Y169:AC169,基础状态预期!$F182:$J182)/SUM(基础状态预期!$F182:$J182)</f>
        <v>8726.7075014254151</v>
      </c>
      <c r="AE169" s="14" t="str">
        <f>IF(基础状态预期!U182="","",H$9+(基础状态预期!U182-1)*H$12)</f>
        <v/>
      </c>
      <c r="AF169" s="14" t="str">
        <f>IF(基础状态预期!V182="","",I$9+(基础状态预期!V182-1)*I$12)</f>
        <v/>
      </c>
      <c r="AG169" s="14" t="str">
        <f>IF(基础状态预期!W182="","",J$9+(基础状态预期!W182-1)*J$12)</f>
        <v/>
      </c>
      <c r="AH169" s="14" t="str">
        <f>IF(基础状态预期!X182="","",K$9+(基础状态预期!X182-1)*K$12)</f>
        <v/>
      </c>
      <c r="AI169" s="14">
        <f>IF(基础状态预期!Y182="","",L$9+(基础状态预期!Y182-1)*L$12)</f>
        <v>8726.7075014254151</v>
      </c>
      <c r="AJ169" s="14">
        <f>SUMPRODUCT(AE169:AI169,基础状态预期!$F182:$J182)/SUM(基础状态预期!$F182:$J182)</f>
        <v>8726.7075014254151</v>
      </c>
      <c r="AK169" s="14" t="str">
        <f>IF(基础状态预期!U182="","",H$27+(基础状态预期!U182-1)*H$28)</f>
        <v/>
      </c>
      <c r="AL169" s="14" t="str">
        <f>IF(基础状态预期!V182="","",I$27+(基础状态预期!V182-1)*I$28)</f>
        <v/>
      </c>
      <c r="AM169" s="14" t="str">
        <f>IF(基础状态预期!W182="","",J$27+(基础状态预期!W182-1)*J$28)</f>
        <v/>
      </c>
      <c r="AN169" s="14" t="str">
        <f>IF(基础状态预期!X182="","",K$27+(基础状态预期!X182-1)*K$28)</f>
        <v/>
      </c>
      <c r="AO169" s="14">
        <f>IF(基础状态预期!Y182="","",L$27+(基础状态预期!Y182-1)*L$28)</f>
        <v>3642.2358338084719</v>
      </c>
      <c r="AP169" s="14">
        <f>SUMPRODUCT(AK169:AO169,基础状态预期!$F182:$J182)/SUM(基础状态预期!$F182:$J182)</f>
        <v>3642.2358338084719</v>
      </c>
      <c r="AQ169" s="14" t="str">
        <f>IF(基础状态预期!U182="","",H$31+(基础状态预期!U182-1)*H$32)</f>
        <v/>
      </c>
      <c r="AR169" s="14" t="str">
        <f>IF(基础状态预期!V182="","",I$31+(基础状态预期!V182-1)*I$32)</f>
        <v/>
      </c>
      <c r="AS169" s="14" t="str">
        <f>IF(基础状态预期!W182="","",J$31+(基础状态预期!W182-1)*J$32)</f>
        <v/>
      </c>
      <c r="AT169" s="14" t="str">
        <f>IF(基础状态预期!X182="","",K$31+(基础状态预期!X182-1)*K$32)</f>
        <v/>
      </c>
      <c r="AU169" s="14">
        <f>IF(基础状态预期!Y182="","",L$31+(基础状态预期!Y182-1)*L$32)</f>
        <v>284.22358338084717</v>
      </c>
      <c r="AV169" s="14">
        <f>SUMPRODUCT(AQ169:AU169,基础状态预期!$F182:$J182)/SUM(基础状态预期!$F182:$J182)</f>
        <v>284.22358338084717</v>
      </c>
      <c r="BO169" s="29">
        <f t="shared" si="77"/>
        <v>132.61179169042359</v>
      </c>
      <c r="BP169" s="10">
        <f t="shared" si="78"/>
        <v>52525606738353.078</v>
      </c>
      <c r="BQ169" s="10" t="e">
        <f>$BP169*求节点('[1]功能-付费相关'!$AY$6:$AY$105,'[1]功能-付费相关'!$BC$6:$BC$105,$BO169)+$BQ168</f>
        <v>#VALUE!</v>
      </c>
      <c r="BZ169" s="4">
        <f t="shared" si="68"/>
        <v>20781800</v>
      </c>
      <c r="CA169" s="4">
        <v>166</v>
      </c>
      <c r="CB169" s="90">
        <f t="shared" si="69"/>
        <v>254470380</v>
      </c>
      <c r="CC169" s="4">
        <f>SUM(CB$4:CB169)</f>
        <v>3247246430</v>
      </c>
      <c r="CD169" s="4">
        <f t="shared" si="67"/>
        <v>1.0442570366311525</v>
      </c>
    </row>
    <row r="170" spans="16:82" x14ac:dyDescent="0.15">
      <c r="P170" s="5">
        <v>35</v>
      </c>
      <c r="Q170" s="14">
        <f>基础状态预期!D183</f>
        <v>136.12035534953262</v>
      </c>
      <c r="R170" s="14">
        <f>IF(基础状态预期!U183="",0,求节点($B$5:$B$154,$D$5:$D$154,基础状态预期!U183)*基础状态预期!F183)</f>
        <v>0</v>
      </c>
      <c r="S170" s="14">
        <f>IF(基础状态预期!V183="",0,求节点($B$5:$B$154,$D$5:$D$154,基础状态预期!V183)*基础状态预期!G183)</f>
        <v>0</v>
      </c>
      <c r="T170" s="14">
        <f>IF(基础状态预期!W183="",0,求节点($B$5:$B$154,$D$5:$D$154,基础状态预期!W183)*基础状态预期!H183)</f>
        <v>0</v>
      </c>
      <c r="U170" s="14">
        <f>IF(基础状态预期!X183="",0,求节点($B$5:$B$154,$D$5:$D$154,基础状态预期!X183)*基础状态预期!I183)</f>
        <v>0</v>
      </c>
      <c r="V170" s="14">
        <f>IF(基础状态预期!Y183="",0,求节点($B$5:$B$154,$D$5:$D$154,基础状态预期!Y183)*基础状态预期!J183)</f>
        <v>98223133551305.313</v>
      </c>
      <c r="W170" s="14">
        <f t="shared" si="82"/>
        <v>98223133551305.313</v>
      </c>
      <c r="Y170" s="14" t="str">
        <f>IF(基础状态预期!U183="","",H$8+(基础状态预期!U183-1)*H$11)</f>
        <v/>
      </c>
      <c r="Z170" s="14" t="str">
        <f>IF(基础状态预期!V183="","",I$8+(基础状态预期!V183-1)*I$11)</f>
        <v/>
      </c>
      <c r="AA170" s="14" t="str">
        <f>IF(基础状态预期!W183="","",J$8+(基础状态预期!W183-1)*J$11)</f>
        <v/>
      </c>
      <c r="AB170" s="14" t="str">
        <f>IF(基础状态预期!X183="","",K$8+(基础状态预期!X183-1)*K$11)</f>
        <v/>
      </c>
      <c r="AC170" s="14">
        <f>IF(基础状态预期!Y183="","",L$8+(基础状态预期!Y183-1)*L$11)</f>
        <v>8937.2213209719557</v>
      </c>
      <c r="AD170" s="14">
        <f>SUMPRODUCT(Y170:AC170,基础状态预期!$F183:$J183)/SUM(基础状态预期!$F183:$J183)</f>
        <v>8937.2213209719557</v>
      </c>
      <c r="AE170" s="14" t="str">
        <f>IF(基础状态预期!U183="","",H$9+(基础状态预期!U183-1)*H$12)</f>
        <v/>
      </c>
      <c r="AF170" s="14" t="str">
        <f>IF(基础状态预期!V183="","",I$9+(基础状态预期!V183-1)*I$12)</f>
        <v/>
      </c>
      <c r="AG170" s="14" t="str">
        <f>IF(基础状态预期!W183="","",J$9+(基础状态预期!W183-1)*J$12)</f>
        <v/>
      </c>
      <c r="AH170" s="14" t="str">
        <f>IF(基础状态预期!X183="","",K$9+(基础状态预期!X183-1)*K$12)</f>
        <v/>
      </c>
      <c r="AI170" s="14">
        <f>IF(基础状态预期!Y183="","",L$9+(基础状态预期!Y183-1)*L$12)</f>
        <v>8937.2213209719557</v>
      </c>
      <c r="AJ170" s="14">
        <f>SUMPRODUCT(AE170:AI170,基础状态预期!$F183:$J183)/SUM(基础状态预期!$F183:$J183)</f>
        <v>8937.2213209719557</v>
      </c>
      <c r="AK170" s="14" t="str">
        <f>IF(基础状态预期!U183="","",H$27+(基础状态预期!U183-1)*H$28)</f>
        <v/>
      </c>
      <c r="AL170" s="14" t="str">
        <f>IF(基础状态预期!V183="","",I$27+(基础状态预期!V183-1)*I$28)</f>
        <v/>
      </c>
      <c r="AM170" s="14" t="str">
        <f>IF(基础状态预期!W183="","",J$27+(基础状态预期!W183-1)*J$28)</f>
        <v/>
      </c>
      <c r="AN170" s="14" t="str">
        <f>IF(基础状态预期!X183="","",K$27+(基础状态预期!X183-1)*K$28)</f>
        <v/>
      </c>
      <c r="AO170" s="14">
        <f>IF(基础状态预期!Y183="","",L$27+(基础状态预期!Y183-1)*L$28)</f>
        <v>3712.4071069906522</v>
      </c>
      <c r="AP170" s="14">
        <f>SUMPRODUCT(AK170:AO170,基础状态预期!$F183:$J183)/SUM(基础状态预期!$F183:$J183)</f>
        <v>3712.4071069906518</v>
      </c>
      <c r="AQ170" s="14" t="str">
        <f>IF(基础状态预期!U183="","",H$31+(基础状态预期!U183-1)*H$32)</f>
        <v/>
      </c>
      <c r="AR170" s="14" t="str">
        <f>IF(基础状态预期!V183="","",I$31+(基础状态预期!V183-1)*I$32)</f>
        <v/>
      </c>
      <c r="AS170" s="14" t="str">
        <f>IF(基础状态预期!W183="","",J$31+(基础状态预期!W183-1)*J$32)</f>
        <v/>
      </c>
      <c r="AT170" s="14" t="str">
        <f>IF(基础状态预期!X183="","",K$31+(基础状态预期!X183-1)*K$32)</f>
        <v/>
      </c>
      <c r="AU170" s="14">
        <f>IF(基础状态预期!Y183="","",L$31+(基础状态预期!Y183-1)*L$32)</f>
        <v>291.24071069906523</v>
      </c>
      <c r="AV170" s="14">
        <f>SUMPRODUCT(AQ170:AU170,基础状态预期!$F183:$J183)/SUM(基础状态预期!$F183:$J183)</f>
        <v>291.24071069906523</v>
      </c>
      <c r="BO170" s="29">
        <f t="shared" si="77"/>
        <v>136.12035534953262</v>
      </c>
      <c r="BP170" s="10">
        <f t="shared" si="78"/>
        <v>98223133551305.313</v>
      </c>
      <c r="BQ170" s="10" t="e">
        <f>$BP170*求节点('[1]功能-付费相关'!$AY$6:$AY$105,'[1]功能-付费相关'!$BC$6:$BC$105,$BO170)+$BQ169</f>
        <v>#VALUE!</v>
      </c>
      <c r="BZ170" s="4">
        <f t="shared" si="68"/>
        <v>20781800</v>
      </c>
      <c r="CA170" s="4">
        <v>167</v>
      </c>
      <c r="CB170" s="90">
        <f t="shared" si="69"/>
        <v>275252180</v>
      </c>
      <c r="CC170" s="4">
        <f>SUM(CB$4:CB170)</f>
        <v>3522498610</v>
      </c>
      <c r="CD170" s="4">
        <f t="shared" si="67"/>
        <v>1.0406581257528527</v>
      </c>
    </row>
    <row r="171" spans="16:82" x14ac:dyDescent="0.15">
      <c r="P171" s="5">
        <v>36</v>
      </c>
      <c r="Q171" s="14">
        <f>基础状态预期!D184</f>
        <v>139.6793621861803</v>
      </c>
      <c r="R171" s="14">
        <f>IF(基础状态预期!U184="",0,求节点($B$5:$B$154,$D$5:$D$154,基础状态预期!U184)*基础状态预期!F184)</f>
        <v>0</v>
      </c>
      <c r="S171" s="14">
        <f>IF(基础状态预期!V184="",0,求节点($B$5:$B$154,$D$5:$D$154,基础状态预期!V184)*基础状态预期!G184)</f>
        <v>0</v>
      </c>
      <c r="T171" s="14">
        <f>IF(基础状态预期!W184="",0,求节点($B$5:$B$154,$D$5:$D$154,基础状态预期!W184)*基础状态预期!H184)</f>
        <v>0</v>
      </c>
      <c r="U171" s="14">
        <f>IF(基础状态预期!X184="",0,求节点($B$5:$B$154,$D$5:$D$154,基础状态预期!X184)*基础状态预期!I184)</f>
        <v>0</v>
      </c>
      <c r="V171" s="14">
        <f>IF(基础状态预期!Y184="",0,求节点($B$5:$B$154,$D$5:$D$154,基础状态预期!Y184)*基础状态预期!J184)</f>
        <v>182824627218085.19</v>
      </c>
      <c r="W171" s="14">
        <f t="shared" si="82"/>
        <v>182824627218085.19</v>
      </c>
      <c r="Y171" s="14" t="str">
        <f>IF(基础状态预期!U184="","",H$8+(基础状态预期!U184-1)*H$11)</f>
        <v/>
      </c>
      <c r="Z171" s="14" t="str">
        <f>IF(基础状态预期!V184="","",I$8+(基础状态预期!V184-1)*I$11)</f>
        <v/>
      </c>
      <c r="AA171" s="14" t="str">
        <f>IF(基础状态预期!W184="","",J$8+(基础状态预期!W184-1)*J$11)</f>
        <v/>
      </c>
      <c r="AB171" s="14" t="str">
        <f>IF(基础状态预期!X184="","",K$8+(基础状态预期!X184-1)*K$11)</f>
        <v/>
      </c>
      <c r="AC171" s="14">
        <f>IF(基础状态预期!Y184="","",L$8+(基础状态预期!Y184-1)*L$11)</f>
        <v>9150.7617311708182</v>
      </c>
      <c r="AD171" s="14">
        <f>SUMPRODUCT(Y171:AC171,基础状态预期!$F184:$J184)/SUM(基础状态预期!$F184:$J184)</f>
        <v>9150.7617311708182</v>
      </c>
      <c r="AE171" s="14" t="str">
        <f>IF(基础状态预期!U184="","",H$9+(基础状态预期!U184-1)*H$12)</f>
        <v/>
      </c>
      <c r="AF171" s="14" t="str">
        <f>IF(基础状态预期!V184="","",I$9+(基础状态预期!V184-1)*I$12)</f>
        <v/>
      </c>
      <c r="AG171" s="14" t="str">
        <f>IF(基础状态预期!W184="","",J$9+(基础状态预期!W184-1)*J$12)</f>
        <v/>
      </c>
      <c r="AH171" s="14" t="str">
        <f>IF(基础状态预期!X184="","",K$9+(基础状态预期!X184-1)*K$12)</f>
        <v/>
      </c>
      <c r="AI171" s="14">
        <f>IF(基础状态预期!Y184="","",L$9+(基础状态预期!Y184-1)*L$12)</f>
        <v>9150.7617311708182</v>
      </c>
      <c r="AJ171" s="14">
        <f>SUMPRODUCT(AE171:AI171,基础状态预期!$F184:$J184)/SUM(基础状态预期!$F184:$J184)</f>
        <v>9150.7617311708182</v>
      </c>
      <c r="AK171" s="14" t="str">
        <f>IF(基础状态预期!U184="","",H$27+(基础状态预期!U184-1)*H$28)</f>
        <v/>
      </c>
      <c r="AL171" s="14" t="str">
        <f>IF(基础状态预期!V184="","",I$27+(基础状态预期!V184-1)*I$28)</f>
        <v/>
      </c>
      <c r="AM171" s="14" t="str">
        <f>IF(基础状态预期!W184="","",J$27+(基础状态预期!W184-1)*J$28)</f>
        <v/>
      </c>
      <c r="AN171" s="14" t="str">
        <f>IF(基础状态预期!X184="","",K$27+(基础状态预期!X184-1)*K$28)</f>
        <v/>
      </c>
      <c r="AO171" s="14">
        <f>IF(基础状态预期!Y184="","",L$27+(基础状态预期!Y184-1)*L$28)</f>
        <v>3783.5872437236058</v>
      </c>
      <c r="AP171" s="14">
        <f>SUMPRODUCT(AK171:AO171,基础状态预期!$F184:$J184)/SUM(基础状态预期!$F184:$J184)</f>
        <v>3783.5872437236053</v>
      </c>
      <c r="AQ171" s="14" t="str">
        <f>IF(基础状态预期!U184="","",H$31+(基础状态预期!U184-1)*H$32)</f>
        <v/>
      </c>
      <c r="AR171" s="14" t="str">
        <f>IF(基础状态预期!V184="","",I$31+(基础状态预期!V184-1)*I$32)</f>
        <v/>
      </c>
      <c r="AS171" s="14" t="str">
        <f>IF(基础状态预期!W184="","",J$31+(基础状态预期!W184-1)*J$32)</f>
        <v/>
      </c>
      <c r="AT171" s="14" t="str">
        <f>IF(基础状态预期!X184="","",K$31+(基础状态预期!X184-1)*K$32)</f>
        <v/>
      </c>
      <c r="AU171" s="14">
        <f>IF(基础状态预期!Y184="","",L$31+(基础状态预期!Y184-1)*L$32)</f>
        <v>298.3587243723606</v>
      </c>
      <c r="AV171" s="14">
        <f>SUMPRODUCT(AQ171:AU171,基础状态预期!$F184:$J184)/SUM(基础状态预期!$F184:$J184)</f>
        <v>298.3587243723606</v>
      </c>
      <c r="BO171" s="29">
        <f t="shared" si="77"/>
        <v>139.6793621861803</v>
      </c>
      <c r="BP171" s="10">
        <f t="shared" si="78"/>
        <v>182824627218085.19</v>
      </c>
      <c r="BQ171" s="10" t="e">
        <f>$BP171*求节点('[1]功能-付费相关'!$AY$6:$AY$105,'[1]功能-付费相关'!$BC$6:$BC$105,$BO171)+$BQ170</f>
        <v>#VALUE!</v>
      </c>
      <c r="BZ171" s="4">
        <f t="shared" si="68"/>
        <v>24480950</v>
      </c>
      <c r="CA171" s="4">
        <v>168</v>
      </c>
      <c r="CB171" s="90">
        <f t="shared" si="69"/>
        <v>299733130</v>
      </c>
      <c r="CC171" s="4">
        <f>SUM(CB$4:CB171)</f>
        <v>3822231740</v>
      </c>
      <c r="CD171" s="4">
        <f t="shared" si="67"/>
        <v>1.0442890619046912</v>
      </c>
    </row>
    <row r="172" spans="16:82" x14ac:dyDescent="0.15">
      <c r="P172" s="5">
        <v>37</v>
      </c>
      <c r="Q172" s="14">
        <f>基础状态预期!D185</f>
        <v>143.14123736077869</v>
      </c>
      <c r="R172" s="14">
        <f>IF(基础状态预期!U185="",0,求节点($B$5:$B$154,$D$5:$D$154,基础状态预期!U185)*基础状态预期!F185)</f>
        <v>0</v>
      </c>
      <c r="S172" s="14">
        <f>IF(基础状态预期!V185="",0,求节点($B$5:$B$154,$D$5:$D$154,基础状态预期!V185)*基础状态预期!G185)</f>
        <v>0</v>
      </c>
      <c r="T172" s="14">
        <f>IF(基础状态预期!W185="",0,求节点($B$5:$B$154,$D$5:$D$154,基础状态预期!W185)*基础状态预期!H185)</f>
        <v>0</v>
      </c>
      <c r="U172" s="14">
        <f>IF(基础状态预期!X185="",0,求节点($B$5:$B$154,$D$5:$D$154,基础状态预期!X185)*基础状态预期!I185)</f>
        <v>0</v>
      </c>
      <c r="V172" s="14">
        <f>IF(基础状态预期!Y185="",0,求节点($B$5:$B$154,$D$5:$D$154,基础状态预期!Y185)*基础状态预期!J185)</f>
        <v>324489736702231</v>
      </c>
      <c r="W172" s="14">
        <f t="shared" si="82"/>
        <v>324489736702231</v>
      </c>
      <c r="Y172" s="14" t="str">
        <f>IF(基础状态预期!U185="","",H$8+(基础状态预期!U185-1)*H$11)</f>
        <v/>
      </c>
      <c r="Z172" s="14" t="str">
        <f>IF(基础状态预期!V185="","",I$8+(基础状态预期!V185-1)*I$11)</f>
        <v/>
      </c>
      <c r="AA172" s="14" t="str">
        <f>IF(基础状态预期!W185="","",J$8+(基础状态预期!W185-1)*J$11)</f>
        <v/>
      </c>
      <c r="AB172" s="14" t="str">
        <f>IF(基础状态预期!X185="","",K$8+(基础状态预期!X185-1)*K$11)</f>
        <v/>
      </c>
      <c r="AC172" s="14">
        <f>IF(基础状态预期!Y185="","",L$8+(基础状态预期!Y185-1)*L$11)</f>
        <v>9358.4742416467216</v>
      </c>
      <c r="AD172" s="14">
        <f>SUMPRODUCT(Y172:AC172,基础状态预期!$F185:$J185)/SUM(基础状态预期!$F185:$J185)</f>
        <v>9358.4742416467216</v>
      </c>
      <c r="AE172" s="14" t="str">
        <f>IF(基础状态预期!U185="","",H$9+(基础状态预期!U185-1)*H$12)</f>
        <v/>
      </c>
      <c r="AF172" s="14" t="str">
        <f>IF(基础状态预期!V185="","",I$9+(基础状态预期!V185-1)*I$12)</f>
        <v/>
      </c>
      <c r="AG172" s="14" t="str">
        <f>IF(基础状态预期!W185="","",J$9+(基础状态预期!W185-1)*J$12)</f>
        <v/>
      </c>
      <c r="AH172" s="14" t="str">
        <f>IF(基础状态预期!X185="","",K$9+(基础状态预期!X185-1)*K$12)</f>
        <v/>
      </c>
      <c r="AI172" s="14">
        <f>IF(基础状态预期!Y185="","",L$9+(基础状态预期!Y185-1)*L$12)</f>
        <v>9358.4742416467216</v>
      </c>
      <c r="AJ172" s="14">
        <f>SUMPRODUCT(AE172:AI172,基础状态预期!$F185:$J185)/SUM(基础状态预期!$F185:$J185)</f>
        <v>9358.4742416467216</v>
      </c>
      <c r="AK172" s="14" t="str">
        <f>IF(基础状态预期!U185="","",H$27+(基础状态预期!U185-1)*H$28)</f>
        <v/>
      </c>
      <c r="AL172" s="14" t="str">
        <f>IF(基础状态预期!V185="","",I$27+(基础状态预期!V185-1)*I$28)</f>
        <v/>
      </c>
      <c r="AM172" s="14" t="str">
        <f>IF(基础状态预期!W185="","",J$27+(基础状态预期!W185-1)*J$28)</f>
        <v/>
      </c>
      <c r="AN172" s="14" t="str">
        <f>IF(基础状态预期!X185="","",K$27+(基础状态预期!X185-1)*K$28)</f>
        <v/>
      </c>
      <c r="AO172" s="14">
        <f>IF(基础状态预期!Y185="","",L$27+(基础状态预期!Y185-1)*L$28)</f>
        <v>3852.8247472155736</v>
      </c>
      <c r="AP172" s="14">
        <f>SUMPRODUCT(AK172:AO172,基础状态预期!$F185:$J185)/SUM(基础状态预期!$F185:$J185)</f>
        <v>3852.8247472155731</v>
      </c>
      <c r="AQ172" s="14" t="str">
        <f>IF(基础状态预期!U185="","",H$31+(基础状态预期!U185-1)*H$32)</f>
        <v/>
      </c>
      <c r="AR172" s="14" t="str">
        <f>IF(基础状态预期!V185="","",I$31+(基础状态预期!V185-1)*I$32)</f>
        <v/>
      </c>
      <c r="AS172" s="14" t="str">
        <f>IF(基础状态预期!W185="","",J$31+(基础状态预期!W185-1)*J$32)</f>
        <v/>
      </c>
      <c r="AT172" s="14" t="str">
        <f>IF(基础状态预期!X185="","",K$31+(基础状态预期!X185-1)*K$32)</f>
        <v/>
      </c>
      <c r="AU172" s="14">
        <f>IF(基础状态预期!Y185="","",L$31+(基础状态预期!Y185-1)*L$32)</f>
        <v>305.28247472155738</v>
      </c>
      <c r="AV172" s="14">
        <f>SUMPRODUCT(AQ172:AU172,基础状态预期!$F185:$J185)/SUM(基础状态预期!$F185:$J185)</f>
        <v>305.28247472155738</v>
      </c>
      <c r="BO172" s="29">
        <f t="shared" si="77"/>
        <v>143.14123736077869</v>
      </c>
      <c r="BP172" s="10">
        <f t="shared" si="78"/>
        <v>324489736702231</v>
      </c>
      <c r="BQ172" s="10" t="e">
        <f>$BP172*求节点('[1]功能-付费相关'!$AY$6:$AY$105,'[1]功能-付费相关'!$BC$6:$BC$105,$BO172)+$BQ171</f>
        <v>#VALUE!</v>
      </c>
      <c r="BZ172" s="4">
        <f t="shared" si="68"/>
        <v>24480950</v>
      </c>
      <c r="CA172" s="4">
        <v>169</v>
      </c>
      <c r="CB172" s="90">
        <f t="shared" si="69"/>
        <v>324214080</v>
      </c>
      <c r="CC172" s="4">
        <f>SUM(CB$4:CB172)</f>
        <v>4146445820</v>
      </c>
      <c r="CD172" s="4">
        <f t="shared" si="67"/>
        <v>1.0406851650443076</v>
      </c>
    </row>
    <row r="173" spans="16:82" x14ac:dyDescent="0.15">
      <c r="P173" s="5">
        <v>38</v>
      </c>
      <c r="Q173" s="14">
        <f>基础状态预期!D186</f>
        <v>146.75578521325724</v>
      </c>
      <c r="R173" s="14">
        <f>IF(基础状态预期!U186="",0,求节点($B$5:$B$154,$D$5:$D$154,基础状态预期!U186)*基础状态预期!F186)</f>
        <v>0</v>
      </c>
      <c r="S173" s="14">
        <f>IF(基础状态预期!V186="",0,求节点($B$5:$B$154,$D$5:$D$154,基础状态预期!V186)*基础状态预期!G186)</f>
        <v>0</v>
      </c>
      <c r="T173" s="14">
        <f>IF(基础状态预期!W186="",0,求节点($B$5:$B$154,$D$5:$D$154,基础状态预期!W186)*基础状态预期!H186)</f>
        <v>0</v>
      </c>
      <c r="U173" s="14">
        <f>IF(基础状态预期!X186="",0,求节点($B$5:$B$154,$D$5:$D$154,基础状态预期!X186)*基础状态预期!I186)</f>
        <v>0</v>
      </c>
      <c r="V173" s="14">
        <f>IF(基础状态预期!Y186="",0,求节点($B$5:$B$154,$D$5:$D$154,基础状态预期!Y186)*基础状态预期!J186)</f>
        <v>576342481528686.63</v>
      </c>
      <c r="W173" s="14">
        <f t="shared" si="82"/>
        <v>576342481528686.63</v>
      </c>
      <c r="Y173" s="14" t="str">
        <f>IF(基础状态预期!U186="","",H$8+(基础状态预期!U186-1)*H$11)</f>
        <v/>
      </c>
      <c r="Z173" s="14" t="str">
        <f>IF(基础状态预期!V186="","",I$8+(基础状态预期!V186-1)*I$11)</f>
        <v/>
      </c>
      <c r="AA173" s="14" t="str">
        <f>IF(基础状态预期!W186="","",J$8+(基础状态预期!W186-1)*J$11)</f>
        <v/>
      </c>
      <c r="AB173" s="14" t="str">
        <f>IF(基础状态预期!X186="","",K$8+(基础状态预期!X186-1)*K$11)</f>
        <v/>
      </c>
      <c r="AC173" s="14">
        <f>IF(基础状态预期!Y186="","",L$8+(基础状态预期!Y186-1)*L$11)</f>
        <v>9575.3471127954344</v>
      </c>
      <c r="AD173" s="14">
        <f>SUMPRODUCT(Y173:AC173,基础状态预期!$F186:$J186)/SUM(基础状态预期!$F186:$J186)</f>
        <v>9575.3471127954344</v>
      </c>
      <c r="AE173" s="14" t="str">
        <f>IF(基础状态预期!U186="","",H$9+(基础状态预期!U186-1)*H$12)</f>
        <v/>
      </c>
      <c r="AF173" s="14" t="str">
        <f>IF(基础状态预期!V186="","",I$9+(基础状态预期!V186-1)*I$12)</f>
        <v/>
      </c>
      <c r="AG173" s="14" t="str">
        <f>IF(基础状态预期!W186="","",J$9+(基础状态预期!W186-1)*J$12)</f>
        <v/>
      </c>
      <c r="AH173" s="14" t="str">
        <f>IF(基础状态预期!X186="","",K$9+(基础状态预期!X186-1)*K$12)</f>
        <v/>
      </c>
      <c r="AI173" s="14">
        <f>IF(基础状态预期!Y186="","",L$9+(基础状态预期!Y186-1)*L$12)</f>
        <v>9575.3471127954344</v>
      </c>
      <c r="AJ173" s="14">
        <f>SUMPRODUCT(AE173:AI173,基础状态预期!$F186:$J186)/SUM(基础状态预期!$F186:$J186)</f>
        <v>9575.3471127954344</v>
      </c>
      <c r="AK173" s="14" t="str">
        <f>IF(基础状态预期!U186="","",H$27+(基础状态预期!U186-1)*H$28)</f>
        <v/>
      </c>
      <c r="AL173" s="14" t="str">
        <f>IF(基础状态预期!V186="","",I$27+(基础状态预期!V186-1)*I$28)</f>
        <v/>
      </c>
      <c r="AM173" s="14" t="str">
        <f>IF(基础状态预期!W186="","",J$27+(基础状态预期!W186-1)*J$28)</f>
        <v/>
      </c>
      <c r="AN173" s="14" t="str">
        <f>IF(基础状态预期!X186="","",K$27+(基础状态预期!X186-1)*K$28)</f>
        <v/>
      </c>
      <c r="AO173" s="14">
        <f>IF(基础状态预期!Y186="","",L$27+(基础状态预期!Y186-1)*L$28)</f>
        <v>3925.1157042651448</v>
      </c>
      <c r="AP173" s="14">
        <f>SUMPRODUCT(AK173:AO173,基础状态预期!$F186:$J186)/SUM(基础状态预期!$F186:$J186)</f>
        <v>3925.1157042651448</v>
      </c>
      <c r="AQ173" s="14" t="str">
        <f>IF(基础状态预期!U186="","",H$31+(基础状态预期!U186-1)*H$32)</f>
        <v/>
      </c>
      <c r="AR173" s="14" t="str">
        <f>IF(基础状态预期!V186="","",I$31+(基础状态预期!V186-1)*I$32)</f>
        <v/>
      </c>
      <c r="AS173" s="14" t="str">
        <f>IF(基础状态预期!W186="","",J$31+(基础状态预期!W186-1)*J$32)</f>
        <v/>
      </c>
      <c r="AT173" s="14" t="str">
        <f>IF(基础状态预期!X186="","",K$31+(基础状态预期!X186-1)*K$32)</f>
        <v/>
      </c>
      <c r="AU173" s="14">
        <f>IF(基础状态预期!Y186="","",L$31+(基础状态预期!Y186-1)*L$32)</f>
        <v>312.51157042651448</v>
      </c>
      <c r="AV173" s="14">
        <f>SUMPRODUCT(AQ173:AU173,基础状态预期!$F186:$J186)/SUM(基础状态预期!$F186:$J186)</f>
        <v>312.51157042651448</v>
      </c>
      <c r="BO173" s="29">
        <f t="shared" si="77"/>
        <v>146.75578521325724</v>
      </c>
      <c r="BP173" s="10">
        <f t="shared" si="78"/>
        <v>576342481528686.63</v>
      </c>
      <c r="BQ173" s="10" t="e">
        <f>$BP173*求节点('[1]功能-付费相关'!$AY$6:$AY$105,'[1]功能-付费相关'!$BC$6:$BC$105,$BO173)+$BQ172</f>
        <v>#VALUE!</v>
      </c>
      <c r="BZ173" s="4">
        <f t="shared" si="68"/>
        <v>28642700</v>
      </c>
      <c r="CA173" s="4">
        <v>170</v>
      </c>
      <c r="CB173" s="90">
        <f t="shared" si="69"/>
        <v>352856780</v>
      </c>
      <c r="CC173" s="4">
        <f>SUM(CB$4:CB173)</f>
        <v>4499302600</v>
      </c>
      <c r="CD173" s="4">
        <f t="shared" si="67"/>
        <v>1.0442715115501682</v>
      </c>
    </row>
    <row r="174" spans="16:82" x14ac:dyDescent="0.15">
      <c r="P174" s="5">
        <v>39</v>
      </c>
      <c r="Q174" s="14">
        <f>基础状态预期!D187</f>
        <v>150.21349802228445</v>
      </c>
      <c r="R174" s="14">
        <f>IF(基础状态预期!U187="",0,求节点($B$5:$B$154,$D$5:$D$154,基础状态预期!U187)*基础状态预期!F187)</f>
        <v>0</v>
      </c>
      <c r="S174" s="14">
        <f>IF(基础状态预期!V187="",0,求节点($B$5:$B$154,$D$5:$D$154,基础状态预期!V187)*基础状态预期!G187)</f>
        <v>0</v>
      </c>
      <c r="T174" s="14">
        <f>IF(基础状态预期!W187="",0,求节点($B$5:$B$154,$D$5:$D$154,基础状态预期!W187)*基础状态预期!H187)</f>
        <v>0</v>
      </c>
      <c r="U174" s="14">
        <f>IF(基础状态预期!X187="",0,求节点($B$5:$B$154,$D$5:$D$154,基础状态预期!X187)*基础状态预期!I187)</f>
        <v>0</v>
      </c>
      <c r="V174" s="14">
        <f>IF(基础状态预期!Y187="",0,求节点($B$5:$B$154,$D$5:$D$154,基础状态预期!Y187)*基础状态预期!J187)</f>
        <v>945667232849400</v>
      </c>
      <c r="W174" s="14">
        <f t="shared" si="82"/>
        <v>945667232849400</v>
      </c>
      <c r="Y174" s="14" t="str">
        <f>IF(基础状态预期!U187="","",H$8+(基础状态预期!U187-1)*H$11)</f>
        <v/>
      </c>
      <c r="Z174" s="14" t="str">
        <f>IF(基础状态预期!V187="","",I$8+(基础状态预期!V187-1)*I$11)</f>
        <v/>
      </c>
      <c r="AA174" s="14" t="str">
        <f>IF(基础状态预期!W187="","",J$8+(基础状态预期!W187-1)*J$11)</f>
        <v/>
      </c>
      <c r="AB174" s="14" t="str">
        <f>IF(基础状态预期!X187="","",K$8+(基础状态预期!X187-1)*K$11)</f>
        <v/>
      </c>
      <c r="AC174" s="14">
        <f>IF(基础状态预期!Y187="","",L$8+(基础状态预期!Y187-1)*L$11)</f>
        <v>9770</v>
      </c>
      <c r="AD174" s="14">
        <f>SUMPRODUCT(Y174:AC174,基础状态预期!$F187:$J187)/SUM(基础状态预期!$F187:$J187)</f>
        <v>9770</v>
      </c>
      <c r="AE174" s="14" t="str">
        <f>IF(基础状态预期!U187="","",H$9+(基础状态预期!U187-1)*H$12)</f>
        <v/>
      </c>
      <c r="AF174" s="14" t="str">
        <f>IF(基础状态预期!V187="","",I$9+(基础状态预期!V187-1)*I$12)</f>
        <v/>
      </c>
      <c r="AG174" s="14" t="str">
        <f>IF(基础状态预期!W187="","",J$9+(基础状态预期!W187-1)*J$12)</f>
        <v/>
      </c>
      <c r="AH174" s="14" t="str">
        <f>IF(基础状态预期!X187="","",K$9+(基础状态预期!X187-1)*K$12)</f>
        <v/>
      </c>
      <c r="AI174" s="14">
        <f>IF(基础状态预期!Y187="","",L$9+(基础状态预期!Y187-1)*L$12)</f>
        <v>9770</v>
      </c>
      <c r="AJ174" s="14">
        <f>SUMPRODUCT(AE174:AI174,基础状态预期!$F187:$J187)/SUM(基础状态预期!$F187:$J187)</f>
        <v>9770</v>
      </c>
      <c r="AK174" s="14" t="str">
        <f>IF(基础状态预期!U187="","",H$27+(基础状态预期!U187-1)*H$28)</f>
        <v/>
      </c>
      <c r="AL174" s="14" t="str">
        <f>IF(基础状态预期!V187="","",I$27+(基础状态预期!V187-1)*I$28)</f>
        <v/>
      </c>
      <c r="AM174" s="14" t="str">
        <f>IF(基础状态预期!W187="","",J$27+(基础状态预期!W187-1)*J$28)</f>
        <v/>
      </c>
      <c r="AN174" s="14" t="str">
        <f>IF(基础状态预期!X187="","",K$27+(基础状态预期!X187-1)*K$28)</f>
        <v/>
      </c>
      <c r="AO174" s="14">
        <f>IF(基础状态预期!Y187="","",L$27+(基础状态预期!Y187-1)*L$28)</f>
        <v>3990</v>
      </c>
      <c r="AP174" s="14">
        <f>SUMPRODUCT(AK174:AO174,基础状态预期!$F187:$J187)/SUM(基础状态预期!$F187:$J187)</f>
        <v>3990</v>
      </c>
      <c r="AQ174" s="14" t="str">
        <f>IF(基础状态预期!U187="","",H$31+(基础状态预期!U187-1)*H$32)</f>
        <v/>
      </c>
      <c r="AR174" s="14" t="str">
        <f>IF(基础状态预期!V187="","",I$31+(基础状态预期!V187-1)*I$32)</f>
        <v/>
      </c>
      <c r="AS174" s="14" t="str">
        <f>IF(基础状态预期!W187="","",J$31+(基础状态预期!W187-1)*J$32)</f>
        <v/>
      </c>
      <c r="AT174" s="14" t="str">
        <f>IF(基础状态预期!X187="","",K$31+(基础状态预期!X187-1)*K$32)</f>
        <v/>
      </c>
      <c r="AU174" s="14">
        <f>IF(基础状态预期!Y187="","",L$31+(基础状态预期!Y187-1)*L$32)</f>
        <v>319</v>
      </c>
      <c r="AV174" s="14">
        <f>SUMPRODUCT(AQ174:AU174,基础状态预期!$F187:$J187)/SUM(基础状态预期!$F187:$J187)</f>
        <v>319</v>
      </c>
      <c r="BO174" s="29">
        <f t="shared" si="77"/>
        <v>150.21349802228445</v>
      </c>
      <c r="BP174" s="10">
        <f t="shared" si="78"/>
        <v>945667232849400</v>
      </c>
      <c r="BQ174" s="10" t="e">
        <f>$BP174*求节点('[1]功能-付费相关'!$AY$6:$AY$105,'[1]功能-付费相关'!$BC$6:$BC$105,$BO174)+$BQ173</f>
        <v>#VALUE!</v>
      </c>
      <c r="BZ174" s="4">
        <f t="shared" si="68"/>
        <v>28642700</v>
      </c>
      <c r="CA174" s="4">
        <v>171</v>
      </c>
      <c r="CB174" s="90">
        <f t="shared" si="69"/>
        <v>381499480</v>
      </c>
      <c r="CC174" s="4">
        <f>SUM(CB$4:CB174)</f>
        <v>4880802080</v>
      </c>
      <c r="CD174" s="4">
        <f t="shared" si="67"/>
        <v>1.0406703647321212</v>
      </c>
    </row>
    <row r="175" spans="16:82" x14ac:dyDescent="0.15">
      <c r="P175" s="5">
        <v>40</v>
      </c>
      <c r="Q175" s="14">
        <f>基础状态预期!D188</f>
        <v>152.32856849044819</v>
      </c>
      <c r="R175" s="14">
        <f>IF(基础状态预期!U188="",0,求节点($B$5:$B$154,$D$5:$D$154,基础状态预期!U188)*基础状态预期!F188)</f>
        <v>0</v>
      </c>
      <c r="S175" s="14">
        <f>IF(基础状态预期!V188="",0,求节点($B$5:$B$154,$D$5:$D$154,基础状态预期!V188)*基础状态预期!G188)</f>
        <v>0</v>
      </c>
      <c r="T175" s="14">
        <f>IF(基础状态预期!W188="",0,求节点($B$5:$B$154,$D$5:$D$154,基础状态预期!W188)*基础状态预期!H188)</f>
        <v>0</v>
      </c>
      <c r="U175" s="14">
        <f>IF(基础状态预期!X188="",0,求节点($B$5:$B$154,$D$5:$D$154,基础状态预期!X188)*基础状态预期!I188)</f>
        <v>0</v>
      </c>
      <c r="V175" s="14">
        <f>IF(基础状态预期!Y188="",0,求节点($B$5:$B$154,$D$5:$D$154,基础状态预期!Y188)*基础状态预期!J188)</f>
        <v>945667232849400</v>
      </c>
      <c r="W175" s="14">
        <f t="shared" si="82"/>
        <v>945667232849400</v>
      </c>
      <c r="Y175" s="14" t="str">
        <f>IF(基础状态预期!U188="","",H$8+(基础状态预期!U188-1)*H$11)</f>
        <v/>
      </c>
      <c r="Z175" s="14" t="str">
        <f>IF(基础状态预期!V188="","",I$8+(基础状态预期!V188-1)*I$11)</f>
        <v/>
      </c>
      <c r="AA175" s="14" t="str">
        <f>IF(基础状态预期!W188="","",J$8+(基础状态预期!W188-1)*J$11)</f>
        <v/>
      </c>
      <c r="AB175" s="14" t="str">
        <f>IF(基础状态预期!X188="","",K$8+(基础状态预期!X188-1)*K$11)</f>
        <v/>
      </c>
      <c r="AC175" s="14">
        <f>IF(基础状态预期!Y188="","",L$8+(基础状态预期!Y188-1)*L$11)</f>
        <v>9770</v>
      </c>
      <c r="AD175" s="14">
        <f>SUMPRODUCT(Y175:AC175,基础状态预期!$F188:$J188)/SUM(基础状态预期!$F188:$J188)</f>
        <v>9770</v>
      </c>
      <c r="AE175" s="14" t="str">
        <f>IF(基础状态预期!U188="","",H$9+(基础状态预期!U188-1)*H$12)</f>
        <v/>
      </c>
      <c r="AF175" s="14" t="str">
        <f>IF(基础状态预期!V188="","",I$9+(基础状态预期!V188-1)*I$12)</f>
        <v/>
      </c>
      <c r="AG175" s="14" t="str">
        <f>IF(基础状态预期!W188="","",J$9+(基础状态预期!W188-1)*J$12)</f>
        <v/>
      </c>
      <c r="AH175" s="14" t="str">
        <f>IF(基础状态预期!X188="","",K$9+(基础状态预期!X188-1)*K$12)</f>
        <v/>
      </c>
      <c r="AI175" s="14">
        <f>IF(基础状态预期!Y188="","",L$9+(基础状态预期!Y188-1)*L$12)</f>
        <v>9770</v>
      </c>
      <c r="AJ175" s="14">
        <f>SUMPRODUCT(AE175:AI175,基础状态预期!$F188:$J188)/SUM(基础状态预期!$F188:$J188)</f>
        <v>9770</v>
      </c>
      <c r="AK175" s="14" t="str">
        <f>IF(基础状态预期!U188="","",H$27+(基础状态预期!U188-1)*H$28)</f>
        <v/>
      </c>
      <c r="AL175" s="14" t="str">
        <f>IF(基础状态预期!V188="","",I$27+(基础状态预期!V188-1)*I$28)</f>
        <v/>
      </c>
      <c r="AM175" s="14" t="str">
        <f>IF(基础状态预期!W188="","",J$27+(基础状态预期!W188-1)*J$28)</f>
        <v/>
      </c>
      <c r="AN175" s="14" t="str">
        <f>IF(基础状态预期!X188="","",K$27+(基础状态预期!X188-1)*K$28)</f>
        <v/>
      </c>
      <c r="AO175" s="14">
        <f>IF(基础状态预期!Y188="","",L$27+(基础状态预期!Y188-1)*L$28)</f>
        <v>3990</v>
      </c>
      <c r="AP175" s="14">
        <f>SUMPRODUCT(AK175:AO175,基础状态预期!$F188:$J188)/SUM(基础状态预期!$F188:$J188)</f>
        <v>3990</v>
      </c>
      <c r="AQ175" s="14" t="str">
        <f>IF(基础状态预期!U188="","",H$31+(基础状态预期!U188-1)*H$32)</f>
        <v/>
      </c>
      <c r="AR175" s="14" t="str">
        <f>IF(基础状态预期!V188="","",I$31+(基础状态预期!V188-1)*I$32)</f>
        <v/>
      </c>
      <c r="AS175" s="14" t="str">
        <f>IF(基础状态预期!W188="","",J$31+(基础状态预期!W188-1)*J$32)</f>
        <v/>
      </c>
      <c r="AT175" s="14" t="str">
        <f>IF(基础状态预期!X188="","",K$31+(基础状态预期!X188-1)*K$32)</f>
        <v/>
      </c>
      <c r="AU175" s="14">
        <f>IF(基础状态预期!Y188="","",L$31+(基础状态预期!Y188-1)*L$32)</f>
        <v>319</v>
      </c>
      <c r="AV175" s="14">
        <f>SUMPRODUCT(AQ175:AU175,基础状态预期!$F188:$J188)/SUM(基础状态预期!$F188:$J188)</f>
        <v>319</v>
      </c>
      <c r="BO175" s="29">
        <f t="shared" si="77"/>
        <v>152.32856849044819</v>
      </c>
      <c r="BP175" s="10">
        <f t="shared" si="78"/>
        <v>945667232849400</v>
      </c>
      <c r="BQ175" s="10" t="e">
        <f>$BP175*求节点('[1]功能-付费相关'!$AY$6:$AY$105,'[1]功能-付费相关'!$BC$6:$BC$105,$BO175)+$BQ174</f>
        <v>#VALUE!</v>
      </c>
      <c r="BZ175" s="4">
        <f t="shared" si="68"/>
        <v>33511950</v>
      </c>
      <c r="CA175" s="4">
        <v>172</v>
      </c>
      <c r="CB175" s="90">
        <f t="shared" si="69"/>
        <v>415011430</v>
      </c>
      <c r="CC175" s="4">
        <f>SUM(CB$4:CB175)</f>
        <v>5295813510</v>
      </c>
      <c r="CD175" s="4">
        <f t="shared" si="67"/>
        <v>1.0442188237600407</v>
      </c>
    </row>
    <row r="176" spans="16:82" x14ac:dyDescent="0.15">
      <c r="P176" s="5">
        <v>41</v>
      </c>
      <c r="Q176" s="14">
        <f>基础状态预期!D189</f>
        <v>153.15627769682186</v>
      </c>
      <c r="R176" s="14">
        <f>IF(基础状态预期!U189="",0,求节点($B$5:$B$154,$D$5:$D$154,基础状态预期!U189)*基础状态预期!F189)</f>
        <v>0</v>
      </c>
      <c r="S176" s="14">
        <f>IF(基础状态预期!V189="",0,求节点($B$5:$B$154,$D$5:$D$154,基础状态预期!V189)*基础状态预期!G189)</f>
        <v>0</v>
      </c>
      <c r="T176" s="14">
        <f>IF(基础状态预期!W189="",0,求节点($B$5:$B$154,$D$5:$D$154,基础状态预期!W189)*基础状态预期!H189)</f>
        <v>0</v>
      </c>
      <c r="U176" s="14">
        <f>IF(基础状态预期!X189="",0,求节点($B$5:$B$154,$D$5:$D$154,基础状态预期!X189)*基础状态预期!I189)</f>
        <v>0</v>
      </c>
      <c r="V176" s="14">
        <f>IF(基础状态预期!Y189="",0,求节点($B$5:$B$154,$D$5:$D$154,基础状态预期!Y189)*基础状态预期!J189)</f>
        <v>945667232849400</v>
      </c>
      <c r="W176" s="14">
        <f t="shared" si="82"/>
        <v>945667232849400</v>
      </c>
      <c r="Y176" s="14" t="str">
        <f>IF(基础状态预期!U189="","",H$8+(基础状态预期!U189-1)*H$11)</f>
        <v/>
      </c>
      <c r="Z176" s="14" t="str">
        <f>IF(基础状态预期!V189="","",I$8+(基础状态预期!V189-1)*I$11)</f>
        <v/>
      </c>
      <c r="AA176" s="14" t="str">
        <f>IF(基础状态预期!W189="","",J$8+(基础状态预期!W189-1)*J$11)</f>
        <v/>
      </c>
      <c r="AB176" s="14" t="str">
        <f>IF(基础状态预期!X189="","",K$8+(基础状态预期!X189-1)*K$11)</f>
        <v/>
      </c>
      <c r="AC176" s="14">
        <f>IF(基础状态预期!Y189="","",L$8+(基础状态预期!Y189-1)*L$11)</f>
        <v>9770</v>
      </c>
      <c r="AD176" s="14">
        <f>SUMPRODUCT(Y176:AC176,基础状态预期!$F189:$J189)/SUM(基础状态预期!$F189:$J189)</f>
        <v>9770</v>
      </c>
      <c r="AE176" s="14" t="str">
        <f>IF(基础状态预期!U189="","",H$9+(基础状态预期!U189-1)*H$12)</f>
        <v/>
      </c>
      <c r="AF176" s="14" t="str">
        <f>IF(基础状态预期!V189="","",I$9+(基础状态预期!V189-1)*I$12)</f>
        <v/>
      </c>
      <c r="AG176" s="14" t="str">
        <f>IF(基础状态预期!W189="","",J$9+(基础状态预期!W189-1)*J$12)</f>
        <v/>
      </c>
      <c r="AH176" s="14" t="str">
        <f>IF(基础状态预期!X189="","",K$9+(基础状态预期!X189-1)*K$12)</f>
        <v/>
      </c>
      <c r="AI176" s="14">
        <f>IF(基础状态预期!Y189="","",L$9+(基础状态预期!Y189-1)*L$12)</f>
        <v>9770</v>
      </c>
      <c r="AJ176" s="14">
        <f>SUMPRODUCT(AE176:AI176,基础状态预期!$F189:$J189)/SUM(基础状态预期!$F189:$J189)</f>
        <v>9770</v>
      </c>
      <c r="AK176" s="14" t="str">
        <f>IF(基础状态预期!U189="","",H$27+(基础状态预期!U189-1)*H$28)</f>
        <v/>
      </c>
      <c r="AL176" s="14" t="str">
        <f>IF(基础状态预期!V189="","",I$27+(基础状态预期!V189-1)*I$28)</f>
        <v/>
      </c>
      <c r="AM176" s="14" t="str">
        <f>IF(基础状态预期!W189="","",J$27+(基础状态预期!W189-1)*J$28)</f>
        <v/>
      </c>
      <c r="AN176" s="14" t="str">
        <f>IF(基础状态预期!X189="","",K$27+(基础状态预期!X189-1)*K$28)</f>
        <v/>
      </c>
      <c r="AO176" s="14">
        <f>IF(基础状态预期!Y189="","",L$27+(基础状态预期!Y189-1)*L$28)</f>
        <v>3990</v>
      </c>
      <c r="AP176" s="14">
        <f>SUMPRODUCT(AK176:AO176,基础状态预期!$F189:$J189)/SUM(基础状态预期!$F189:$J189)</f>
        <v>3990</v>
      </c>
      <c r="AQ176" s="14" t="str">
        <f>IF(基础状态预期!U189="","",H$31+(基础状态预期!U189-1)*H$32)</f>
        <v/>
      </c>
      <c r="AR176" s="14" t="str">
        <f>IF(基础状态预期!V189="","",I$31+(基础状态预期!V189-1)*I$32)</f>
        <v/>
      </c>
      <c r="AS176" s="14" t="str">
        <f>IF(基础状态预期!W189="","",J$31+(基础状态预期!W189-1)*J$32)</f>
        <v/>
      </c>
      <c r="AT176" s="14" t="str">
        <f>IF(基础状态预期!X189="","",K$31+(基础状态预期!X189-1)*K$32)</f>
        <v/>
      </c>
      <c r="AU176" s="14">
        <f>IF(基础状态预期!Y189="","",L$31+(基础状态预期!Y189-1)*L$32)</f>
        <v>319</v>
      </c>
      <c r="AV176" s="14">
        <f>SUMPRODUCT(AQ176:AU176,基础状态预期!$F189:$J189)/SUM(基础状态预期!$F189:$J189)</f>
        <v>319</v>
      </c>
      <c r="BO176" s="29">
        <f t="shared" si="77"/>
        <v>153.15627769682186</v>
      </c>
      <c r="BP176" s="10">
        <f t="shared" si="78"/>
        <v>945667232849400</v>
      </c>
      <c r="BQ176" s="10" t="e">
        <f>$BP176*求节点('[1]功能-付费相关'!$AY$6:$AY$105,'[1]功能-付费相关'!$BC$6:$BC$105,$BO176)+$BQ175</f>
        <v>#VALUE!</v>
      </c>
      <c r="BZ176" s="4">
        <f t="shared" si="68"/>
        <v>33511950</v>
      </c>
      <c r="CA176" s="4">
        <v>173</v>
      </c>
      <c r="CB176" s="90">
        <f t="shared" si="69"/>
        <v>448523380</v>
      </c>
      <c r="CC176" s="4">
        <f>SUM(CB$4:CB176)</f>
        <v>5744336890</v>
      </c>
      <c r="CD176" s="4">
        <f t="shared" si="67"/>
        <v>1.0406259044821227</v>
      </c>
    </row>
    <row r="177" spans="16:82" x14ac:dyDescent="0.15">
      <c r="P177" s="5">
        <v>42</v>
      </c>
      <c r="Q177" s="14">
        <f>基础状态预期!D190</f>
        <v>153.85863088955028</v>
      </c>
      <c r="R177" s="14">
        <f>IF(基础状态预期!U190="",0,求节点($B$5:$B$154,$D$5:$D$154,基础状态预期!U190)*基础状态预期!F190)</f>
        <v>0</v>
      </c>
      <c r="S177" s="14">
        <f>IF(基础状态预期!V190="",0,求节点($B$5:$B$154,$D$5:$D$154,基础状态预期!V190)*基础状态预期!G190)</f>
        <v>0</v>
      </c>
      <c r="T177" s="14">
        <f>IF(基础状态预期!W190="",0,求节点($B$5:$B$154,$D$5:$D$154,基础状态预期!W190)*基础状态预期!H190)</f>
        <v>0</v>
      </c>
      <c r="U177" s="14">
        <f>IF(基础状态预期!X190="",0,求节点($B$5:$B$154,$D$5:$D$154,基础状态预期!X190)*基础状态预期!I190)</f>
        <v>0</v>
      </c>
      <c r="V177" s="14">
        <f>IF(基础状态预期!Y190="",0,求节点($B$5:$B$154,$D$5:$D$154,基础状态预期!Y190)*基础状态预期!J190)</f>
        <v>945667232849400</v>
      </c>
      <c r="W177" s="14">
        <f t="shared" si="82"/>
        <v>945667232849400</v>
      </c>
      <c r="Y177" s="14" t="str">
        <f>IF(基础状态预期!U190="","",H$8+(基础状态预期!U190-1)*H$11)</f>
        <v/>
      </c>
      <c r="Z177" s="14" t="str">
        <f>IF(基础状态预期!V190="","",I$8+(基础状态预期!V190-1)*I$11)</f>
        <v/>
      </c>
      <c r="AA177" s="14" t="str">
        <f>IF(基础状态预期!W190="","",J$8+(基础状态预期!W190-1)*J$11)</f>
        <v/>
      </c>
      <c r="AB177" s="14" t="str">
        <f>IF(基础状态预期!X190="","",K$8+(基础状态预期!X190-1)*K$11)</f>
        <v/>
      </c>
      <c r="AC177" s="14">
        <f>IF(基础状态预期!Y190="","",L$8+(基础状态预期!Y190-1)*L$11)</f>
        <v>9770</v>
      </c>
      <c r="AD177" s="14">
        <f>SUMPRODUCT(Y177:AC177,基础状态预期!$F190:$J190)/SUM(基础状态预期!$F190:$J190)</f>
        <v>9770</v>
      </c>
      <c r="AE177" s="14" t="str">
        <f>IF(基础状态预期!U190="","",H$9+(基础状态预期!U190-1)*H$12)</f>
        <v/>
      </c>
      <c r="AF177" s="14" t="str">
        <f>IF(基础状态预期!V190="","",I$9+(基础状态预期!V190-1)*I$12)</f>
        <v/>
      </c>
      <c r="AG177" s="14" t="str">
        <f>IF(基础状态预期!W190="","",J$9+(基础状态预期!W190-1)*J$12)</f>
        <v/>
      </c>
      <c r="AH177" s="14" t="str">
        <f>IF(基础状态预期!X190="","",K$9+(基础状态预期!X190-1)*K$12)</f>
        <v/>
      </c>
      <c r="AI177" s="14">
        <f>IF(基础状态预期!Y190="","",L$9+(基础状态预期!Y190-1)*L$12)</f>
        <v>9770</v>
      </c>
      <c r="AJ177" s="14">
        <f>SUMPRODUCT(AE177:AI177,基础状态预期!$F190:$J190)/SUM(基础状态预期!$F190:$J190)</f>
        <v>9770</v>
      </c>
      <c r="AK177" s="14" t="str">
        <f>IF(基础状态预期!U190="","",H$27+(基础状态预期!U190-1)*H$28)</f>
        <v/>
      </c>
      <c r="AL177" s="14" t="str">
        <f>IF(基础状态预期!V190="","",I$27+(基础状态预期!V190-1)*I$28)</f>
        <v/>
      </c>
      <c r="AM177" s="14" t="str">
        <f>IF(基础状态预期!W190="","",J$27+(基础状态预期!W190-1)*J$28)</f>
        <v/>
      </c>
      <c r="AN177" s="14" t="str">
        <f>IF(基础状态预期!X190="","",K$27+(基础状态预期!X190-1)*K$28)</f>
        <v/>
      </c>
      <c r="AO177" s="14">
        <f>IF(基础状态预期!Y190="","",L$27+(基础状态预期!Y190-1)*L$28)</f>
        <v>3990</v>
      </c>
      <c r="AP177" s="14">
        <f>SUMPRODUCT(AK177:AO177,基础状态预期!$F190:$J190)/SUM(基础状态预期!$F190:$J190)</f>
        <v>3990</v>
      </c>
      <c r="AQ177" s="14" t="str">
        <f>IF(基础状态预期!U190="","",H$31+(基础状态预期!U190-1)*H$32)</f>
        <v/>
      </c>
      <c r="AR177" s="14" t="str">
        <f>IF(基础状态预期!V190="","",I$31+(基础状态预期!V190-1)*I$32)</f>
        <v/>
      </c>
      <c r="AS177" s="14" t="str">
        <f>IF(基础状态预期!W190="","",J$31+(基础状态预期!W190-1)*J$32)</f>
        <v/>
      </c>
      <c r="AT177" s="14" t="str">
        <f>IF(基础状态预期!X190="","",K$31+(基础状态预期!X190-1)*K$32)</f>
        <v/>
      </c>
      <c r="AU177" s="14">
        <f>IF(基础状态预期!Y190="","",L$31+(基础状态预期!Y190-1)*L$32)</f>
        <v>319</v>
      </c>
      <c r="AV177" s="14">
        <f>SUMPRODUCT(AQ177:AU177,基础状态预期!$F190:$J190)/SUM(基础状态预期!$F190:$J190)</f>
        <v>319</v>
      </c>
      <c r="BO177" s="29">
        <f t="shared" si="77"/>
        <v>153.85863088955028</v>
      </c>
      <c r="BP177" s="10">
        <f t="shared" si="78"/>
        <v>945667232849400</v>
      </c>
      <c r="BQ177" s="10" t="e">
        <f>$BP177*求节点('[1]功能-付费相关'!$AY$6:$AY$105,'[1]功能-付费相关'!$BC$6:$BC$105,$BO177)+$BQ176</f>
        <v>#VALUE!</v>
      </c>
      <c r="BZ177" s="4">
        <f t="shared" si="68"/>
        <v>39208975</v>
      </c>
      <c r="CA177" s="4">
        <v>174</v>
      </c>
      <c r="CB177" s="90">
        <f t="shared" si="69"/>
        <v>487732355</v>
      </c>
      <c r="CC177" s="4">
        <f>SUM(CB$4:CB177)</f>
        <v>6232069245</v>
      </c>
      <c r="CD177" s="4">
        <f t="shared" si="67"/>
        <v>1.044142186157794</v>
      </c>
    </row>
    <row r="178" spans="16:82" x14ac:dyDescent="0.15">
      <c r="P178" s="5">
        <v>43</v>
      </c>
      <c r="BZ178" s="4">
        <f t="shared" si="68"/>
        <v>39208975</v>
      </c>
      <c r="CA178" s="4">
        <v>175</v>
      </c>
      <c r="CB178" s="90">
        <f t="shared" si="69"/>
        <v>526941330</v>
      </c>
      <c r="CC178" s="4">
        <f>SUM(CB$4:CB178)</f>
        <v>6759010575</v>
      </c>
      <c r="CD178" s="4">
        <f t="shared" si="67"/>
        <v>1.0405612135501918</v>
      </c>
    </row>
    <row r="179" spans="16:82" x14ac:dyDescent="0.15">
      <c r="P179" s="5">
        <v>44</v>
      </c>
      <c r="BZ179" s="4">
        <f t="shared" si="68"/>
        <v>45874500</v>
      </c>
      <c r="CA179" s="4">
        <v>176</v>
      </c>
      <c r="CB179" s="90">
        <f t="shared" si="69"/>
        <v>572815830</v>
      </c>
      <c r="CC179" s="4">
        <f>SUM(CB$4:CB179)</f>
        <v>7331826405</v>
      </c>
      <c r="CD179" s="4">
        <f t="shared" si="67"/>
        <v>1.0440501636970436</v>
      </c>
    </row>
    <row r="180" spans="16:82" x14ac:dyDescent="0.15">
      <c r="P180" s="5">
        <v>45</v>
      </c>
      <c r="BZ180" s="4">
        <f t="shared" si="68"/>
        <v>45874500</v>
      </c>
      <c r="CA180" s="4">
        <v>177</v>
      </c>
      <c r="CB180" s="90">
        <f t="shared" si="69"/>
        <v>618690330</v>
      </c>
      <c r="CC180" s="4">
        <f>SUM(CB$4:CB180)</f>
        <v>7950516735</v>
      </c>
      <c r="CD180" s="4">
        <f t="shared" si="67"/>
        <v>1.0404835092675504</v>
      </c>
    </row>
    <row r="181" spans="16:82" x14ac:dyDescent="0.15">
      <c r="P181" s="5">
        <v>1</v>
      </c>
      <c r="BZ181" s="4">
        <f t="shared" si="68"/>
        <v>53673150</v>
      </c>
      <c r="CA181" s="4">
        <v>178</v>
      </c>
      <c r="CB181" s="90">
        <f t="shared" si="69"/>
        <v>672363480</v>
      </c>
      <c r="CC181" s="4">
        <f>SUM(CB$4:CB181)</f>
        <v>8622880215</v>
      </c>
      <c r="CD181" s="4">
        <f t="shared" si="67"/>
        <v>1.0439492283500258</v>
      </c>
    </row>
    <row r="182" spans="16:82" x14ac:dyDescent="0.15">
      <c r="P182" s="5">
        <v>2</v>
      </c>
      <c r="Q182" s="8" t="s">
        <v>186</v>
      </c>
      <c r="R182" s="173" t="s">
        <v>202</v>
      </c>
      <c r="S182" s="173"/>
      <c r="T182" s="173"/>
      <c r="U182" s="173"/>
      <c r="V182" s="173"/>
      <c r="W182" s="173"/>
      <c r="Y182" s="173" t="s">
        <v>253</v>
      </c>
      <c r="Z182" s="173"/>
      <c r="AA182" s="173"/>
      <c r="AB182" s="173"/>
      <c r="AC182" s="173"/>
      <c r="AD182" s="173"/>
      <c r="AE182" s="173" t="s">
        <v>255</v>
      </c>
      <c r="AF182" s="173"/>
      <c r="AG182" s="173"/>
      <c r="AH182" s="173"/>
      <c r="AI182" s="173"/>
      <c r="AJ182" s="173"/>
      <c r="AK182" s="173" t="s">
        <v>234</v>
      </c>
      <c r="AL182" s="173"/>
      <c r="AM182" s="173"/>
      <c r="AN182" s="173"/>
      <c r="AO182" s="173"/>
      <c r="AP182" s="173"/>
      <c r="AQ182" s="173" t="s">
        <v>238</v>
      </c>
      <c r="AR182" s="173"/>
      <c r="AS182" s="173"/>
      <c r="AT182" s="173"/>
      <c r="AU182" s="173"/>
      <c r="AV182" s="173"/>
      <c r="BA182" s="35" t="s">
        <v>107</v>
      </c>
      <c r="BB182" s="174"/>
      <c r="BC182" s="174"/>
      <c r="BD182" s="175"/>
      <c r="BE182" s="159"/>
      <c r="BF182" s="159"/>
      <c r="BG182" s="159"/>
      <c r="BH182" s="159"/>
      <c r="BO182" s="8" t="s">
        <v>107</v>
      </c>
      <c r="BP182" s="164" t="s">
        <v>307</v>
      </c>
      <c r="BQ182" s="164"/>
      <c r="BS182" s="35" t="s">
        <v>107</v>
      </c>
      <c r="BT182" s="164" t="s">
        <v>308</v>
      </c>
      <c r="BU182" s="164"/>
      <c r="BZ182" s="4">
        <f t="shared" si="68"/>
        <v>53673150</v>
      </c>
      <c r="CA182" s="4">
        <v>179</v>
      </c>
      <c r="CB182" s="90">
        <f t="shared" si="69"/>
        <v>726036630</v>
      </c>
      <c r="CC182" s="4">
        <f>SUM(CB$4:CB182)</f>
        <v>9348916845</v>
      </c>
      <c r="CD182" s="4">
        <f t="shared" si="67"/>
        <v>1.0403982470474598</v>
      </c>
    </row>
    <row r="183" spans="16:82" x14ac:dyDescent="0.15">
      <c r="P183" s="5">
        <v>3</v>
      </c>
      <c r="Q183" s="10" t="s">
        <v>478</v>
      </c>
      <c r="R183" s="22" t="s">
        <v>3</v>
      </c>
      <c r="S183" s="22" t="s">
        <v>1</v>
      </c>
      <c r="T183" s="22" t="s">
        <v>2</v>
      </c>
      <c r="U183" s="22" t="s">
        <v>0</v>
      </c>
      <c r="V183" s="22" t="s">
        <v>545</v>
      </c>
      <c r="W183" s="22" t="s">
        <v>204</v>
      </c>
      <c r="Y183" s="22" t="s">
        <v>3</v>
      </c>
      <c r="Z183" s="22" t="s">
        <v>1</v>
      </c>
      <c r="AA183" s="22" t="s">
        <v>2</v>
      </c>
      <c r="AB183" s="22" t="s">
        <v>0</v>
      </c>
      <c r="AC183" s="22" t="s">
        <v>545</v>
      </c>
      <c r="AD183" s="22" t="s">
        <v>206</v>
      </c>
      <c r="AE183" s="22" t="s">
        <v>3</v>
      </c>
      <c r="AF183" s="22" t="s">
        <v>1</v>
      </c>
      <c r="AG183" s="22" t="s">
        <v>2</v>
      </c>
      <c r="AH183" s="22" t="s">
        <v>0</v>
      </c>
      <c r="AI183" s="22" t="s">
        <v>545</v>
      </c>
      <c r="AJ183" s="22" t="s">
        <v>206</v>
      </c>
      <c r="AK183" s="22" t="s">
        <v>3</v>
      </c>
      <c r="AL183" s="22" t="s">
        <v>1</v>
      </c>
      <c r="AM183" s="22" t="s">
        <v>2</v>
      </c>
      <c r="AN183" s="22" t="s">
        <v>0</v>
      </c>
      <c r="AO183" s="22" t="s">
        <v>545</v>
      </c>
      <c r="AP183" s="22" t="s">
        <v>206</v>
      </c>
      <c r="AQ183" s="22" t="s">
        <v>3</v>
      </c>
      <c r="AR183" s="22" t="s">
        <v>1</v>
      </c>
      <c r="AS183" s="22" t="s">
        <v>2</v>
      </c>
      <c r="AT183" s="22" t="s">
        <v>0</v>
      </c>
      <c r="AU183" s="22" t="s">
        <v>545</v>
      </c>
      <c r="AV183" s="22" t="s">
        <v>206</v>
      </c>
      <c r="BA183" s="32" t="s">
        <v>478</v>
      </c>
      <c r="BB183" s="29" t="s">
        <v>288</v>
      </c>
      <c r="BC183" s="29" t="s">
        <v>289</v>
      </c>
      <c r="BD183" s="29" t="s">
        <v>295</v>
      </c>
      <c r="BE183" s="29" t="s">
        <v>288</v>
      </c>
      <c r="BF183" s="29" t="s">
        <v>289</v>
      </c>
      <c r="BG183" s="29" t="s">
        <v>295</v>
      </c>
      <c r="BH183" s="10" t="s">
        <v>293</v>
      </c>
      <c r="BO183" s="32" t="s">
        <v>478</v>
      </c>
      <c r="BP183" s="29" t="s">
        <v>310</v>
      </c>
      <c r="BQ183" s="29" t="s">
        <v>337</v>
      </c>
      <c r="BS183" s="32" t="s">
        <v>478</v>
      </c>
      <c r="BT183" s="29" t="s">
        <v>310</v>
      </c>
      <c r="BU183" s="29"/>
      <c r="BZ183" s="4">
        <f t="shared" si="68"/>
        <v>62797575</v>
      </c>
      <c r="CA183" s="4">
        <v>180</v>
      </c>
      <c r="CB183" s="90">
        <f t="shared" si="69"/>
        <v>788834205</v>
      </c>
      <c r="CC183" s="4">
        <f>SUM(CB$4:CB183)</f>
        <v>10137751050</v>
      </c>
      <c r="CD183" s="4">
        <f t="shared" si="67"/>
        <v>1.0438442064729649</v>
      </c>
    </row>
    <row r="184" spans="16:82" x14ac:dyDescent="0.15">
      <c r="P184" s="5">
        <v>4</v>
      </c>
      <c r="Q184" s="14">
        <f>基础状态预期!D197</f>
        <v>10.040470049930473</v>
      </c>
      <c r="R184" s="14">
        <f>IF(基础状态预期!U197="",0,求节点($B$5:$B$154,$D$5:$D$154,基础状态预期!U197)*基础状态预期!F197)</f>
        <v>0</v>
      </c>
      <c r="S184" s="14">
        <f>IF(基础状态预期!V197="",0,求节点($B$5:$B$154,$D$5:$D$154,基础状态预期!V197)*基础状态预期!G197)</f>
        <v>0</v>
      </c>
      <c r="T184" s="14">
        <f>IF(基础状态预期!W197="",0,求节点($B$5:$B$154,$D$5:$D$154,基础状态预期!W197)*基础状态预期!H197)</f>
        <v>0</v>
      </c>
      <c r="U184" s="14">
        <f>IF(基础状态预期!X197="",0,求节点($B$5:$B$154,$D$5:$D$154,基础状态预期!X197)*基础状态预期!I197)</f>
        <v>100920.94242973064</v>
      </c>
      <c r="V184" s="14">
        <f>IF(基础状态预期!Y197="",0,求节点($B$5:$B$154,$D$5:$D$154,基础状态预期!Y197)*基础状态预期!J197)</f>
        <v>0</v>
      </c>
      <c r="W184" s="14">
        <f>SUM(R184:V184)</f>
        <v>100920.94242973064</v>
      </c>
      <c r="Y184" s="14" t="str">
        <f>IF(基础状态预期!U197="","",H$8+(基础状态预期!U197-1)*H$11)</f>
        <v/>
      </c>
      <c r="Z184" s="14" t="str">
        <f>IF(基础状态预期!V197="","",I$8+(基础状态预期!V197-1)*I$11)</f>
        <v/>
      </c>
      <c r="AA184" s="14" t="str">
        <f>IF(基础状态预期!W197="","",J$8+(基础状态预期!W197-1)*J$11)</f>
        <v/>
      </c>
      <c r="AB184" s="14">
        <f>IF(基础状态预期!X197="","",K$8+(基础状态预期!X197-1)*K$11)</f>
        <v>1372.4282029958285</v>
      </c>
      <c r="AC184" s="14" t="str">
        <f>IF(基础状态预期!Y197="","",L$8+(基础状态预期!Y197-1)*L$11)</f>
        <v/>
      </c>
      <c r="AD184" s="14">
        <f>SUMPRODUCT(Y184:AC184,基础状态预期!$F197:$J197)/SUM(基础状态预期!$F197:$J197)</f>
        <v>1372.4282029958285</v>
      </c>
      <c r="AE184" s="14" t="str">
        <f>IF(基础状态预期!U197="","",H$9+(基础状态预期!U197-1)*H$12)</f>
        <v/>
      </c>
      <c r="AF184" s="14" t="str">
        <f>IF(基础状态预期!V197="","",I$9+(基础状态预期!V197-1)*I$12)</f>
        <v/>
      </c>
      <c r="AG184" s="14" t="str">
        <f>IF(基础状态预期!W197="","",J$9+(基础状态预期!W197-1)*J$12)</f>
        <v/>
      </c>
      <c r="AH184" s="14">
        <f>IF(基础状态预期!X197="","",K$9+(基础状态预期!X197-1)*K$12)</f>
        <v>1372.4282029958285</v>
      </c>
      <c r="AI184" s="14" t="str">
        <f>IF(基础状态预期!Y197="","",L$9+(基础状态预期!Y197-1)*L$12)</f>
        <v/>
      </c>
      <c r="AJ184" s="14">
        <f>SUMPRODUCT(AE184:AI184,基础状态预期!$F197:$J197)/SUM(基础状态预期!$F197:$J197)</f>
        <v>1372.4282029958285</v>
      </c>
      <c r="AK184" s="14" t="str">
        <f>IF(基础状态预期!U197="","",H$27+(基础状态预期!U197-1)*H$28)</f>
        <v/>
      </c>
      <c r="AL184" s="14" t="str">
        <f>IF(基础状态预期!V197="","",I$27+(基础状态预期!V197-1)*I$28)</f>
        <v/>
      </c>
      <c r="AM184" s="14" t="str">
        <f>IF(基础状态预期!W197="","",J$27+(基础状态预期!W197-1)*J$28)</f>
        <v/>
      </c>
      <c r="AN184" s="14">
        <f>IF(基础状态预期!X197="","",K$27+(基础状态预期!X197-1)*K$28)</f>
        <v>1190.8094009986094</v>
      </c>
      <c r="AO184" s="14" t="str">
        <f>IF(基础状态预期!Y197="","",L$27+(基础状态预期!Y197-1)*L$28)</f>
        <v/>
      </c>
      <c r="AP184" s="14">
        <f>SUMPRODUCT(AK184:AO184,基础状态预期!$F197:$J197)/SUM(基础状态预期!$F197:$J197)</f>
        <v>1190.8094009986094</v>
      </c>
      <c r="AQ184" s="14" t="str">
        <f>IF(基础状态预期!U197="","",H$31+(基础状态预期!U197-1)*H$32)</f>
        <v/>
      </c>
      <c r="AR184" s="14" t="str">
        <f>IF(基础状态预期!V197="","",I$31+(基础状态预期!V197-1)*I$32)</f>
        <v/>
      </c>
      <c r="AS184" s="14" t="str">
        <f>IF(基础状态预期!W197="","",J$31+(基础状态预期!W197-1)*J$32)</f>
        <v/>
      </c>
      <c r="AT184" s="14">
        <f>IF(基础状态预期!X197="","",K$31+(基础状态预期!X197-1)*K$32)</f>
        <v>36.080940099860946</v>
      </c>
      <c r="AU184" s="14" t="str">
        <f>IF(基础状态预期!Y197="","",L$31+(基础状态预期!Y197-1)*L$32)</f>
        <v/>
      </c>
      <c r="AV184" s="14">
        <f>SUMPRODUCT(AQ184:AU184,基础状态预期!$F197:$J197)/SUM(基础状态预期!$F197:$J197)</f>
        <v>36.080940099860946</v>
      </c>
      <c r="BA184" s="29">
        <v>10</v>
      </c>
      <c r="BB184" s="29">
        <f t="shared" ref="BB184:BB199" si="83">求节点($Q$184:$Q$222,$AD$184:$AD$222,$BA184)</f>
        <v>1366.8963665753199</v>
      </c>
      <c r="BC184" s="29">
        <f t="shared" ref="BC184:BC199" si="84">求节点($Q$184:$Q$222,$AJ$184:$AJ$222,$BA184)</f>
        <v>1366.8963665753199</v>
      </c>
      <c r="BD184" s="29">
        <f t="shared" ref="BD184:BD199" si="85">求节点($Q$184:$Q$222,$AP$184:$AP$222,$BA184)</f>
        <v>1186.0096141682682</v>
      </c>
      <c r="BE184" s="41">
        <f>BB184*INDEX([2]超r将兵属性验证!W$7:W$166,$BA184,1)</f>
        <v>14416549.041940184</v>
      </c>
      <c r="BF184" s="41">
        <f>BC184*INDEX([2]超r将兵属性验证!X$7:X$166,$BA184,1)</f>
        <v>14416549.041940184</v>
      </c>
      <c r="BG184" s="41">
        <f>BD184*INDEX([2]超r将兵属性验证!$AM$7:$AM$166,$BA184,1)</f>
        <v>2749470.1690566959</v>
      </c>
      <c r="BH184" s="10">
        <f t="shared" ref="BH184:BH185" si="86">SUM(BE184:BG184)</f>
        <v>31582568.252937064</v>
      </c>
      <c r="BO184" s="29">
        <f>$Q184</f>
        <v>10.040470049930473</v>
      </c>
      <c r="BP184" s="10">
        <f>$W184</f>
        <v>100920.94242973064</v>
      </c>
      <c r="BQ184" s="42" t="e">
        <f>$BP184*求节点('[1]功能-付费相关'!$AY$6:$AY$105,'[1]功能-付费相关'!$BD$6:$BD$105,$BO184)</f>
        <v>#VALUE!</v>
      </c>
      <c r="BS184" s="29">
        <v>10</v>
      </c>
      <c r="BT184" s="29" t="e">
        <f t="shared" ref="BT184:BT193" si="87">求节点($BO$184:$BO$222,BQ$184:BQ$222,$BS184)</f>
        <v>#VALUE!</v>
      </c>
      <c r="BU184" s="29"/>
      <c r="BZ184" s="4">
        <f t="shared" si="68"/>
        <v>62797575</v>
      </c>
      <c r="CA184" s="4">
        <v>181</v>
      </c>
      <c r="CB184" s="90">
        <f t="shared" si="69"/>
        <v>851631780</v>
      </c>
      <c r="CC184" s="4">
        <f>SUM(CB$4:CB184)</f>
        <v>10989382830</v>
      </c>
      <c r="CD184" s="4">
        <f t="shared" si="67"/>
        <v>1.040309498191833</v>
      </c>
    </row>
    <row r="185" spans="16:82" x14ac:dyDescent="0.15">
      <c r="P185" s="5">
        <v>5</v>
      </c>
      <c r="Q185" s="14">
        <f>基础状态预期!D198</f>
        <v>19.288856680060892</v>
      </c>
      <c r="R185" s="14">
        <f>IF(基础状态预期!U198="",0,求节点($B$5:$B$154,$D$5:$D$154,基础状态预期!U198)*基础状态预期!F198)</f>
        <v>0</v>
      </c>
      <c r="S185" s="14">
        <f>IF(基础状态预期!V198="",0,求节点($B$5:$B$154,$D$5:$D$154,基础状态预期!V198)*基础状态预期!G198)</f>
        <v>0</v>
      </c>
      <c r="T185" s="14">
        <f>IF(基础状态预期!W198="",0,求节点($B$5:$B$154,$D$5:$D$154,基础状态预期!W198)*基础状态预期!H198)</f>
        <v>0</v>
      </c>
      <c r="U185" s="14">
        <f>IF(基础状态预期!X198="",0,求节点($B$5:$B$154,$D$5:$D$154,基础状态预期!X198)*基础状态预期!I198)</f>
        <v>739409.42962338007</v>
      </c>
      <c r="V185" s="14">
        <f>IF(基础状态预期!Y198="",0,求节点($B$5:$B$154,$D$5:$D$154,基础状态预期!Y198)*基础状态预期!J198)</f>
        <v>0</v>
      </c>
      <c r="W185" s="14">
        <f t="shared" ref="W185:W199" si="88">SUM(R185:V185)</f>
        <v>739409.42962338007</v>
      </c>
      <c r="Y185" s="14" t="str">
        <f>IF(基础状态预期!U198="","",H$8+(基础状态预期!U198-1)*H$11)</f>
        <v/>
      </c>
      <c r="Z185" s="14" t="str">
        <f>IF(基础状态预期!V198="","",I$8+(基础状态预期!V198-1)*I$11)</f>
        <v/>
      </c>
      <c r="AA185" s="14" t="str">
        <f>IF(基础状态预期!W198="","",J$8+(基础状态预期!W198-1)*J$11)</f>
        <v/>
      </c>
      <c r="AB185" s="14">
        <f>IF(基础状态预期!X198="","",K$8+(基础状态预期!X198-1)*K$11)</f>
        <v>1927.3314008036534</v>
      </c>
      <c r="AC185" s="14" t="str">
        <f>IF(基础状态预期!Y198="","",L$8+(基础状态预期!Y198-1)*L$11)</f>
        <v/>
      </c>
      <c r="AD185" s="14">
        <f>SUMPRODUCT(Y185:AC185,基础状态预期!$F198:$J198)/SUM(基础状态预期!$F198:$J198)</f>
        <v>1927.3314008036534</v>
      </c>
      <c r="AE185" s="14" t="str">
        <f>IF(基础状态预期!U198="","",H$9+(基础状态预期!U198-1)*H$12)</f>
        <v/>
      </c>
      <c r="AF185" s="14" t="str">
        <f>IF(基础状态预期!V198="","",I$9+(基础状态预期!V198-1)*I$12)</f>
        <v/>
      </c>
      <c r="AG185" s="14" t="str">
        <f>IF(基础状态预期!W198="","",J$9+(基础状态预期!W198-1)*J$12)</f>
        <v/>
      </c>
      <c r="AH185" s="14">
        <f>IF(基础状态预期!X198="","",K$9+(基础状态预期!X198-1)*K$12)</f>
        <v>1927.3314008036534</v>
      </c>
      <c r="AI185" s="14" t="str">
        <f>IF(基础状态预期!Y198="","",L$9+(基础状态预期!Y198-1)*L$12)</f>
        <v/>
      </c>
      <c r="AJ185" s="14">
        <f>SUMPRODUCT(AE185:AI185,基础状态预期!$F198:$J198)/SUM(基础状态预期!$F198:$J198)</f>
        <v>1927.3314008036534</v>
      </c>
      <c r="AK185" s="14" t="str">
        <f>IF(基础状态预期!U198="","",H$27+(基础状态预期!U198-1)*H$28)</f>
        <v/>
      </c>
      <c r="AL185" s="14" t="str">
        <f>IF(基础状态预期!V198="","",I$27+(基础状态预期!V198-1)*I$28)</f>
        <v/>
      </c>
      <c r="AM185" s="14" t="str">
        <f>IF(基础状态预期!W198="","",J$27+(基础状态预期!W198-1)*J$28)</f>
        <v/>
      </c>
      <c r="AN185" s="14">
        <f>IF(基础状态预期!X198="","",K$27+(基础状态预期!X198-1)*K$28)</f>
        <v>1375.7771336012179</v>
      </c>
      <c r="AO185" s="14" t="str">
        <f>IF(基础状态预期!Y198="","",L$27+(基础状态预期!Y198-1)*L$28)</f>
        <v/>
      </c>
      <c r="AP185" s="14">
        <f>SUMPRODUCT(AK185:AO185,基础状态预期!$F198:$J198)/SUM(基础状态预期!$F198:$J198)</f>
        <v>1375.7771336012181</v>
      </c>
      <c r="AQ185" s="14" t="str">
        <f>IF(基础状态预期!U198="","",H$31+(基础状态预期!U198-1)*H$32)</f>
        <v/>
      </c>
      <c r="AR185" s="14" t="str">
        <f>IF(基础状态预期!V198="","",I$31+(基础状态预期!V198-1)*I$32)</f>
        <v/>
      </c>
      <c r="AS185" s="14" t="str">
        <f>IF(基础状态预期!W198="","",J$31+(基础状态预期!W198-1)*J$32)</f>
        <v/>
      </c>
      <c r="AT185" s="14">
        <f>IF(基础状态预期!X198="","",K$31+(基础状态预期!X198-1)*K$32)</f>
        <v>54.577713360121784</v>
      </c>
      <c r="AU185" s="14" t="str">
        <f>IF(基础状态预期!Y198="","",L$31+(基础状态预期!Y198-1)*L$32)</f>
        <v/>
      </c>
      <c r="AV185" s="14">
        <f>SUMPRODUCT(AQ185:AU185,基础状态预期!$F198:$J198)/SUM(基础状态预期!$F198:$J198)</f>
        <v>54.577713360121784</v>
      </c>
      <c r="BA185" s="29">
        <v>20</v>
      </c>
      <c r="BB185" s="29">
        <f t="shared" si="83"/>
        <v>1970</v>
      </c>
      <c r="BC185" s="29">
        <f t="shared" si="84"/>
        <v>1970</v>
      </c>
      <c r="BD185" s="29">
        <f t="shared" si="85"/>
        <v>1390.0000000000002</v>
      </c>
      <c r="BE185" s="29">
        <f>(BB185-BB184)*INDEX([2]超r将兵属性验证!W$7:W$166,$BA185,1)+BE184</f>
        <v>33147534.462644242</v>
      </c>
      <c r="BF185" s="29">
        <f>(BC185-BC184)*INDEX([2]超r将兵属性验证!X$7:X$166,$BA185,1)+BF184</f>
        <v>33147534.462644242</v>
      </c>
      <c r="BG185" s="29">
        <f>(BD185-BD184)*INDEX([2]超r将兵属性验证!$AM$7:$AM$166,$BA185,1)+BG184</f>
        <v>3400287.9764332888</v>
      </c>
      <c r="BH185" s="10">
        <f t="shared" si="86"/>
        <v>69695356.901721776</v>
      </c>
      <c r="BO185" s="29">
        <f t="shared" ref="BO185:BO222" si="89">$Q185</f>
        <v>19.288856680060892</v>
      </c>
      <c r="BP185" s="10">
        <f t="shared" ref="BP185:BP222" si="90">$W185</f>
        <v>739409.42962338007</v>
      </c>
      <c r="BQ185" s="10" t="e">
        <f>$BP185*求节点('[1]功能-付费相关'!$AY$6:$AY$105,'[1]功能-付费相关'!$BD$6:$BD$105,$BO185)+$BQ184</f>
        <v>#VALUE!</v>
      </c>
      <c r="BS185" s="29">
        <v>20</v>
      </c>
      <c r="BT185" s="29" t="e">
        <f t="shared" si="87"/>
        <v>#VALUE!</v>
      </c>
      <c r="BU185" s="29"/>
      <c r="BZ185" s="4">
        <f t="shared" si="68"/>
        <v>73473150</v>
      </c>
      <c r="CA185" s="4">
        <v>182</v>
      </c>
      <c r="CB185" s="90">
        <f t="shared" si="69"/>
        <v>925104930</v>
      </c>
      <c r="CC185" s="4">
        <f>SUM(CB$4:CB185)</f>
        <v>11914487760</v>
      </c>
      <c r="CD185" s="4">
        <f t="shared" si="67"/>
        <v>1.0437386340166863</v>
      </c>
    </row>
    <row r="186" spans="16:82" x14ac:dyDescent="0.15">
      <c r="P186" s="5">
        <v>6</v>
      </c>
      <c r="Q186" s="14">
        <f>基础状态预期!D199</f>
        <v>27.144641112884834</v>
      </c>
      <c r="R186" s="14">
        <f>IF(基础状态预期!U199="",0,求节点($B$5:$B$154,$D$5:$D$154,基础状态预期!U199)*基础状态预期!F199)</f>
        <v>0</v>
      </c>
      <c r="S186" s="14">
        <f>IF(基础状态预期!V199="",0,求节点($B$5:$B$154,$D$5:$D$154,基础状态预期!V199)*基础状态预期!G199)</f>
        <v>0</v>
      </c>
      <c r="T186" s="14">
        <f>IF(基础状态预期!W199="",0,求节点($B$5:$B$154,$D$5:$D$154,基础状态预期!W199)*基础状态预期!H199)</f>
        <v>0</v>
      </c>
      <c r="U186" s="14">
        <f>IF(基础状态预期!X199="",0,求节点($B$5:$B$154,$D$5:$D$154,基础状态预期!X199)*基础状态预期!I199)</f>
        <v>2853930.9811812993</v>
      </c>
      <c r="V186" s="14">
        <f>IF(基础状态预期!Y199="",0,求节点($B$5:$B$154,$D$5:$D$154,基础状态预期!Y199)*基础状态预期!J199)</f>
        <v>0</v>
      </c>
      <c r="W186" s="14">
        <f t="shared" si="88"/>
        <v>2853930.9811812993</v>
      </c>
      <c r="Y186" s="14" t="str">
        <f>IF(基础状态预期!U199="","",H$8+(基础状态预期!U199-1)*H$11)</f>
        <v/>
      </c>
      <c r="Z186" s="14" t="str">
        <f>IF(基础状态预期!V199="","",I$8+(基础状态预期!V199-1)*I$11)</f>
        <v/>
      </c>
      <c r="AA186" s="14" t="str">
        <f>IF(基础状态预期!W199="","",J$8+(基础状态预期!W199-1)*J$11)</f>
        <v/>
      </c>
      <c r="AB186" s="14">
        <f>IF(基础状态预期!X199="","",K$8+(基础状态预期!X199-1)*K$11)</f>
        <v>2398.6784667730899</v>
      </c>
      <c r="AC186" s="14" t="str">
        <f>IF(基础状态预期!Y199="","",L$8+(基础状态预期!Y199-1)*L$11)</f>
        <v/>
      </c>
      <c r="AD186" s="14">
        <f>SUMPRODUCT(Y186:AC186,基础状态预期!$F199:$J199)/SUM(基础状态预期!$F199:$J199)</f>
        <v>2398.6784667730899</v>
      </c>
      <c r="AE186" s="14" t="str">
        <f>IF(基础状态预期!U199="","",H$9+(基础状态预期!U199-1)*H$12)</f>
        <v/>
      </c>
      <c r="AF186" s="14" t="str">
        <f>IF(基础状态预期!V199="","",I$9+(基础状态预期!V199-1)*I$12)</f>
        <v/>
      </c>
      <c r="AG186" s="14" t="str">
        <f>IF(基础状态预期!W199="","",J$9+(基础状态预期!W199-1)*J$12)</f>
        <v/>
      </c>
      <c r="AH186" s="14">
        <f>IF(基础状态预期!X199="","",K$9+(基础状态预期!X199-1)*K$12)</f>
        <v>2398.6784667730899</v>
      </c>
      <c r="AI186" s="14" t="str">
        <f>IF(基础状态预期!Y199="","",L$9+(基础状态预期!Y199-1)*L$12)</f>
        <v/>
      </c>
      <c r="AJ186" s="14">
        <f>SUMPRODUCT(AE186:AI186,基础状态预期!$F199:$J199)/SUM(基础状态预期!$F199:$J199)</f>
        <v>2398.6784667730899</v>
      </c>
      <c r="AK186" s="14" t="str">
        <f>IF(基础状态预期!U199="","",H$27+(基础状态预期!U199-1)*H$28)</f>
        <v/>
      </c>
      <c r="AL186" s="14" t="str">
        <f>IF(基础状态预期!V199="","",I$27+(基础状态预期!V199-1)*I$28)</f>
        <v/>
      </c>
      <c r="AM186" s="14" t="str">
        <f>IF(基础状态预期!W199="","",J$27+(基础状态预期!W199-1)*J$28)</f>
        <v/>
      </c>
      <c r="AN186" s="14">
        <f>IF(基础状态预期!X199="","",K$27+(基础状态预期!X199-1)*K$28)</f>
        <v>1532.8928222576967</v>
      </c>
      <c r="AO186" s="14" t="str">
        <f>IF(基础状态预期!Y199="","",L$27+(基础状态预期!Y199-1)*L$28)</f>
        <v/>
      </c>
      <c r="AP186" s="14">
        <f>SUMPRODUCT(AK186:AO186,基础状态预期!$F199:$J199)/SUM(基础状态预期!$F199:$J199)</f>
        <v>1532.8928222576967</v>
      </c>
      <c r="AQ186" s="14" t="str">
        <f>IF(基础状态预期!U199="","",H$31+(基础状态预期!U199-1)*H$32)</f>
        <v/>
      </c>
      <c r="AR186" s="14" t="str">
        <f>IF(基础状态预期!V199="","",I$31+(基础状态预期!V199-1)*I$32)</f>
        <v/>
      </c>
      <c r="AS186" s="14" t="str">
        <f>IF(基础状态预期!W199="","",J$31+(基础状态预期!W199-1)*J$32)</f>
        <v/>
      </c>
      <c r="AT186" s="14">
        <f>IF(基础状态预期!X199="","",K$31+(基础状态预期!X199-1)*K$32)</f>
        <v>70.289282225769668</v>
      </c>
      <c r="AU186" s="14" t="str">
        <f>IF(基础状态预期!Y199="","",L$31+(基础状态预期!Y199-1)*L$32)</f>
        <v/>
      </c>
      <c r="AV186" s="14">
        <f>SUMPRODUCT(AQ186:AU186,基础状态预期!$F199:$J199)/SUM(基础状态预期!$F199:$J199)</f>
        <v>70.289282225769668</v>
      </c>
      <c r="BA186" s="29">
        <v>30</v>
      </c>
      <c r="BB186" s="29">
        <f t="shared" si="83"/>
        <v>2570</v>
      </c>
      <c r="BC186" s="29">
        <f t="shared" si="84"/>
        <v>2570</v>
      </c>
      <c r="BD186" s="29">
        <f t="shared" si="85"/>
        <v>1590</v>
      </c>
      <c r="BE186" s="29">
        <f>(BB186-BB185)*INDEX([2]超r将兵属性验证!W$7:W$166,$BA186,1)+BE185</f>
        <v>81316025.101838678</v>
      </c>
      <c r="BF186" s="29">
        <f>(BC186-BC185)*INDEX([2]超r将兵属性验证!X$7:X$166,$BA186,1)+BF185</f>
        <v>81316025.101838678</v>
      </c>
      <c r="BG186" s="29">
        <f>(BD186-BD185)*INDEX([2]超r将兵属性验证!$AM$7:$AM$166,$BA186,1)+BG185</f>
        <v>4178589.4932685643</v>
      </c>
      <c r="BH186" s="10">
        <f t="shared" ref="BH186:BH199" si="91">SUM(BE186:BG186)</f>
        <v>166810639.69694591</v>
      </c>
      <c r="BO186" s="29">
        <f t="shared" si="89"/>
        <v>27.144641112884834</v>
      </c>
      <c r="BP186" s="10">
        <f t="shared" si="90"/>
        <v>2853930.9811812993</v>
      </c>
      <c r="BQ186" s="10" t="e">
        <f>$BP186*求节点('[1]功能-付费相关'!$AY$6:$AY$105,'[1]功能-付费相关'!$BD$6:$BD$105,$BO186)+$BQ185</f>
        <v>#VALUE!</v>
      </c>
      <c r="BS186" s="29">
        <v>30</v>
      </c>
      <c r="BT186" s="29" t="e">
        <f t="shared" si="87"/>
        <v>#VALUE!</v>
      </c>
      <c r="BU186" s="29"/>
      <c r="BZ186" s="4">
        <f t="shared" si="68"/>
        <v>73473150</v>
      </c>
      <c r="CA186" s="4">
        <v>183</v>
      </c>
      <c r="CB186" s="90">
        <f t="shared" si="69"/>
        <v>998578080</v>
      </c>
      <c r="CC186" s="4">
        <f>SUM(CB$4:CB186)</f>
        <v>12913065840</v>
      </c>
      <c r="CD186" s="4">
        <f t="shared" si="67"/>
        <v>1.0402202487791692</v>
      </c>
    </row>
    <row r="187" spans="16:82" x14ac:dyDescent="0.15">
      <c r="P187" s="5">
        <v>7</v>
      </c>
      <c r="Q187" s="14">
        <f>基础状态预期!D200</f>
        <v>33.399598377161809</v>
      </c>
      <c r="R187" s="14">
        <f>IF(基础状态预期!U200="",0,求节点($B$5:$B$154,$D$5:$D$154,基础状态预期!U200)*基础状态预期!F200)</f>
        <v>0</v>
      </c>
      <c r="S187" s="14">
        <f>IF(基础状态预期!V200="",0,求节点($B$5:$B$154,$D$5:$D$154,基础状态预期!V200)*基础状态预期!G200)</f>
        <v>0</v>
      </c>
      <c r="T187" s="14">
        <f>IF(基础状态预期!W200="",0,求节点($B$5:$B$154,$D$5:$D$154,基础状态预期!W200)*基础状态预期!H200)</f>
        <v>0</v>
      </c>
      <c r="U187" s="14">
        <f>IF(基础状态预期!X200="",0,求节点($B$5:$B$154,$D$5:$D$154,基础状态预期!X200)*基础状态预期!I200)</f>
        <v>11984243.332764745</v>
      </c>
      <c r="V187" s="14">
        <f>IF(基础状态预期!Y200="",0,求节点($B$5:$B$154,$D$5:$D$154,基础状态预期!Y200)*基础状态预期!J200)</f>
        <v>0</v>
      </c>
      <c r="W187" s="14">
        <f t="shared" si="88"/>
        <v>11984243.332764745</v>
      </c>
      <c r="Y187" s="14" t="str">
        <f>IF(基础状态预期!U200="","",H$8+(基础状态预期!U200-1)*H$11)</f>
        <v/>
      </c>
      <c r="Z187" s="14" t="str">
        <f>IF(基础状态预期!V200="","",I$8+(基础状态预期!V200-1)*I$11)</f>
        <v/>
      </c>
      <c r="AA187" s="14" t="str">
        <f>IF(基础状态预期!W200="","",J$8+(基础状态预期!W200-1)*J$11)</f>
        <v/>
      </c>
      <c r="AB187" s="14">
        <f>IF(基础状态预期!X200="","",K$8+(基础状态预期!X200-1)*K$11)</f>
        <v>2773.9759026297088</v>
      </c>
      <c r="AC187" s="14" t="str">
        <f>IF(基础状态预期!Y200="","",L$8+(基础状态预期!Y200-1)*L$11)</f>
        <v/>
      </c>
      <c r="AD187" s="14">
        <f>SUMPRODUCT(Y187:AC187,基础状态预期!$F200:$J200)/SUM(基础状态预期!$F200:$J200)</f>
        <v>2773.9759026297088</v>
      </c>
      <c r="AE187" s="14" t="str">
        <f>IF(基础状态预期!U200="","",H$9+(基础状态预期!U200-1)*H$12)</f>
        <v/>
      </c>
      <c r="AF187" s="14" t="str">
        <f>IF(基础状态预期!V200="","",I$9+(基础状态预期!V200-1)*I$12)</f>
        <v/>
      </c>
      <c r="AG187" s="14" t="str">
        <f>IF(基础状态预期!W200="","",J$9+(基础状态预期!W200-1)*J$12)</f>
        <v/>
      </c>
      <c r="AH187" s="14">
        <f>IF(基础状态预期!X200="","",K$9+(基础状态预期!X200-1)*K$12)</f>
        <v>2773.9759026297088</v>
      </c>
      <c r="AI187" s="14" t="str">
        <f>IF(基础状态预期!Y200="","",L$9+(基础状态预期!Y200-1)*L$12)</f>
        <v/>
      </c>
      <c r="AJ187" s="14">
        <f>SUMPRODUCT(AE187:AI187,基础状态预期!$F200:$J200)/SUM(基础状态预期!$F200:$J200)</f>
        <v>2773.9759026297088</v>
      </c>
      <c r="AK187" s="14" t="str">
        <f>IF(基础状态预期!U200="","",H$27+(基础状态预期!U200-1)*H$28)</f>
        <v/>
      </c>
      <c r="AL187" s="14" t="str">
        <f>IF(基础状态预期!V200="","",I$27+(基础状态预期!V200-1)*I$28)</f>
        <v/>
      </c>
      <c r="AM187" s="14" t="str">
        <f>IF(基础状态预期!W200="","",J$27+(基础状态预期!W200-1)*J$28)</f>
        <v/>
      </c>
      <c r="AN187" s="14">
        <f>IF(基础状态预期!X200="","",K$27+(基础状态预期!X200-1)*K$28)</f>
        <v>1657.9919675432361</v>
      </c>
      <c r="AO187" s="14" t="str">
        <f>IF(基础状态预期!Y200="","",L$27+(基础状态预期!Y200-1)*L$28)</f>
        <v/>
      </c>
      <c r="AP187" s="14">
        <f>SUMPRODUCT(AK187:AO187,基础状态预期!$F200:$J200)/SUM(基础状态预期!$F200:$J200)</f>
        <v>1657.9919675432363</v>
      </c>
      <c r="AQ187" s="14" t="str">
        <f>IF(基础状态预期!U200="","",H$31+(基础状态预期!U200-1)*H$32)</f>
        <v/>
      </c>
      <c r="AR187" s="14" t="str">
        <f>IF(基础状态预期!V200="","",I$31+(基础状态预期!V200-1)*I$32)</f>
        <v/>
      </c>
      <c r="AS187" s="14" t="str">
        <f>IF(基础状态预期!W200="","",J$31+(基础状态预期!W200-1)*J$32)</f>
        <v/>
      </c>
      <c r="AT187" s="14">
        <f>IF(基础状态预期!X200="","",K$31+(基础状态预期!X200-1)*K$32)</f>
        <v>82.799196754323617</v>
      </c>
      <c r="AU187" s="14" t="str">
        <f>IF(基础状态预期!Y200="","",L$31+(基础状态预期!Y200-1)*L$32)</f>
        <v/>
      </c>
      <c r="AV187" s="14">
        <f>SUMPRODUCT(AQ187:AU187,基础状态预期!$F200:$J200)/SUM(基础状态预期!$F200:$J200)</f>
        <v>82.799196754323617</v>
      </c>
      <c r="BA187" s="29">
        <v>40</v>
      </c>
      <c r="BB187" s="29">
        <f t="shared" si="83"/>
        <v>3170</v>
      </c>
      <c r="BC187" s="29">
        <f t="shared" si="84"/>
        <v>3170</v>
      </c>
      <c r="BD187" s="29">
        <f t="shared" si="85"/>
        <v>1790</v>
      </c>
      <c r="BE187" s="29">
        <f>(BB187-BB186)*INDEX([2]超r将兵属性验证!W$7:W$166,$BA187,1)+BE186</f>
        <v>209939081.07386422</v>
      </c>
      <c r="BF187" s="29">
        <f>(BC187-BC186)*INDEX([2]超r将兵属性验证!X$7:X$166,$BA187,1)+BF186</f>
        <v>209939081.07386422</v>
      </c>
      <c r="BG187" s="29">
        <f>(BD187-BD186)*INDEX([2]超r将兵属性验证!$AM$7:$AM$166,$BA187,1)+BG186</f>
        <v>5087957.2988182353</v>
      </c>
      <c r="BH187" s="10">
        <f t="shared" si="91"/>
        <v>424966119.44654667</v>
      </c>
      <c r="BO187" s="29">
        <f t="shared" si="89"/>
        <v>33.399598377161809</v>
      </c>
      <c r="BP187" s="10">
        <f t="shared" si="90"/>
        <v>11984243.332764745</v>
      </c>
      <c r="BQ187" s="10" t="e">
        <f>$BP187*求节点('[1]功能-付费相关'!$AY$6:$AY$105,'[1]功能-付费相关'!$BD$6:$BD$105,$BO187)+$BQ186</f>
        <v>#VALUE!</v>
      </c>
      <c r="BS187" s="29">
        <v>40</v>
      </c>
      <c r="BT187" s="29" t="e">
        <f t="shared" si="87"/>
        <v>#VALUE!</v>
      </c>
      <c r="BU187" s="29"/>
      <c r="BZ187" s="4">
        <f t="shared" si="68"/>
        <v>85963575</v>
      </c>
      <c r="CA187" s="4">
        <v>184</v>
      </c>
      <c r="CB187" s="90">
        <f t="shared" si="69"/>
        <v>1084541655</v>
      </c>
      <c r="CC187" s="4">
        <f>SUM(CB$4:CB187)</f>
        <v>13997607495</v>
      </c>
      <c r="CD187" s="4">
        <f t="shared" si="67"/>
        <v>1.0436350467843889</v>
      </c>
    </row>
    <row r="188" spans="16:82" x14ac:dyDescent="0.15">
      <c r="P188" s="5">
        <v>8</v>
      </c>
      <c r="Q188" s="14">
        <f>基础状态预期!D201</f>
        <v>38.848984787984186</v>
      </c>
      <c r="R188" s="14">
        <f>IF(基础状态预期!U201="",0,求节点($B$5:$B$154,$D$5:$D$154,基础状态预期!U201)*基础状态预期!F201)</f>
        <v>0</v>
      </c>
      <c r="S188" s="14">
        <f>IF(基础状态预期!V201="",0,求节点($B$5:$B$154,$D$5:$D$154,基础状态预期!V201)*基础状态预期!G201)</f>
        <v>0</v>
      </c>
      <c r="T188" s="14">
        <f>IF(基础状态预期!W201="",0,求节点($B$5:$B$154,$D$5:$D$154,基础状态预期!W201)*基础状态预期!H201)</f>
        <v>0</v>
      </c>
      <c r="U188" s="14">
        <f>IF(基础状态预期!X201="",0,求节点($B$5:$B$154,$D$5:$D$154,基础状态预期!X201)*基础状态预期!I201)</f>
        <v>30432861.998409849</v>
      </c>
      <c r="V188" s="14">
        <f>IF(基础状态预期!Y201="",0,求节点($B$5:$B$154,$D$5:$D$154,基础状态预期!Y201)*基础状态预期!J201)</f>
        <v>0</v>
      </c>
      <c r="W188" s="14">
        <f t="shared" si="88"/>
        <v>30432861.998409849</v>
      </c>
      <c r="Y188" s="14" t="str">
        <f>IF(基础状态预期!U201="","",H$8+(基础状态预期!U201-1)*H$11)</f>
        <v/>
      </c>
      <c r="Z188" s="14" t="str">
        <f>IF(基础状态预期!V201="","",I$8+(基础状态预期!V201-1)*I$11)</f>
        <v/>
      </c>
      <c r="AA188" s="14" t="str">
        <f>IF(基础状态预期!W201="","",J$8+(基础状态预期!W201-1)*J$11)</f>
        <v/>
      </c>
      <c r="AB188" s="14">
        <f>IF(基础状态预期!X201="","",K$8+(基础状态预期!X201-1)*K$11)</f>
        <v>3100.9390872790514</v>
      </c>
      <c r="AC188" s="14" t="str">
        <f>IF(基础状态预期!Y201="","",L$8+(基础状态预期!Y201-1)*L$11)</f>
        <v/>
      </c>
      <c r="AD188" s="14">
        <f>SUMPRODUCT(Y188:AC188,基础状态预期!$F201:$J201)/SUM(基础状态预期!$F201:$J201)</f>
        <v>3100.9390872790514</v>
      </c>
      <c r="AE188" s="14" t="str">
        <f>IF(基础状态预期!U201="","",H$9+(基础状态预期!U201-1)*H$12)</f>
        <v/>
      </c>
      <c r="AF188" s="14" t="str">
        <f>IF(基础状态预期!V201="","",I$9+(基础状态预期!V201-1)*I$12)</f>
        <v/>
      </c>
      <c r="AG188" s="14" t="str">
        <f>IF(基础状态预期!W201="","",J$9+(基础状态预期!W201-1)*J$12)</f>
        <v/>
      </c>
      <c r="AH188" s="14">
        <f>IF(基础状态预期!X201="","",K$9+(基础状态预期!X201-1)*K$12)</f>
        <v>3100.9390872790514</v>
      </c>
      <c r="AI188" s="14" t="str">
        <f>IF(基础状态预期!Y201="","",L$9+(基础状态预期!Y201-1)*L$12)</f>
        <v/>
      </c>
      <c r="AJ188" s="14">
        <f>SUMPRODUCT(AE188:AI188,基础状态预期!$F201:$J201)/SUM(基础状态预期!$F201:$J201)</f>
        <v>3100.9390872790514</v>
      </c>
      <c r="AK188" s="14" t="str">
        <f>IF(基础状态预期!U201="","",H$27+(基础状态预期!U201-1)*H$28)</f>
        <v/>
      </c>
      <c r="AL188" s="14" t="str">
        <f>IF(基础状态预期!V201="","",I$27+(基础状态预期!V201-1)*I$28)</f>
        <v/>
      </c>
      <c r="AM188" s="14" t="str">
        <f>IF(基础状态预期!W201="","",J$27+(基础状态预期!W201-1)*J$28)</f>
        <v/>
      </c>
      <c r="AN188" s="14">
        <f>IF(基础状态预期!X201="","",K$27+(基础状态预期!X201-1)*K$28)</f>
        <v>1766.9796957596836</v>
      </c>
      <c r="AO188" s="14" t="str">
        <f>IF(基础状态预期!Y201="","",L$27+(基础状态预期!Y201-1)*L$28)</f>
        <v/>
      </c>
      <c r="AP188" s="14">
        <f>SUMPRODUCT(AK188:AO188,基础状态预期!$F201:$J201)/SUM(基础状态预期!$F201:$J201)</f>
        <v>1766.9796957596836</v>
      </c>
      <c r="AQ188" s="14" t="str">
        <f>IF(基础状态预期!U201="","",H$31+(基础状态预期!U201-1)*H$32)</f>
        <v/>
      </c>
      <c r="AR188" s="14" t="str">
        <f>IF(基础状态预期!V201="","",I$31+(基础状态预期!V201-1)*I$32)</f>
        <v/>
      </c>
      <c r="AS188" s="14" t="str">
        <f>IF(基础状态预期!W201="","",J$31+(基础状态预期!W201-1)*J$32)</f>
        <v/>
      </c>
      <c r="AT188" s="14">
        <f>IF(基础状态预期!X201="","",K$31+(基础状态预期!X201-1)*K$32)</f>
        <v>93.697969575968372</v>
      </c>
      <c r="AU188" s="14" t="str">
        <f>IF(基础状态预期!Y201="","",L$31+(基础状态预期!Y201-1)*L$32)</f>
        <v/>
      </c>
      <c r="AV188" s="14">
        <f>SUMPRODUCT(AQ188:AU188,基础状态预期!$F201:$J201)/SUM(基础状态预期!$F201:$J201)</f>
        <v>93.697969575968372</v>
      </c>
      <c r="BA188" s="29">
        <v>50</v>
      </c>
      <c r="BB188" s="29">
        <f t="shared" si="83"/>
        <v>3770</v>
      </c>
      <c r="BC188" s="29">
        <f t="shared" si="84"/>
        <v>3770</v>
      </c>
      <c r="BD188" s="29">
        <f t="shared" si="85"/>
        <v>1990</v>
      </c>
      <c r="BE188" s="29">
        <f>(BB188-BB187)*INDEX([2]超r将兵属性验证!W$7:W$166,$BA188,1)+BE187</f>
        <v>439299551.33334482</v>
      </c>
      <c r="BF188" s="29">
        <f>(BC188-BC187)*INDEX([2]超r将兵属性验证!X$7:X$166,$BA188,1)+BF187</f>
        <v>439299551.33334482</v>
      </c>
      <c r="BG188" s="29">
        <f>(BD188-BD187)*INDEX([2]超r将兵属性验证!$AM$7:$AM$166,$BA188,1)+BG187</f>
        <v>6125546.8860637499</v>
      </c>
      <c r="BH188" s="10">
        <f t="shared" si="91"/>
        <v>884724649.55275333</v>
      </c>
      <c r="BO188" s="29">
        <f t="shared" si="89"/>
        <v>38.848984787984186</v>
      </c>
      <c r="BP188" s="10">
        <f t="shared" si="90"/>
        <v>30432861.998409849</v>
      </c>
      <c r="BQ188" s="10" t="e">
        <f>$BP188*求节点('[1]功能-付费相关'!$AY$6:$AY$105,'[1]功能-付费相关'!$BD$6:$BD$105,$BO188)+$BQ187</f>
        <v>#VALUE!</v>
      </c>
      <c r="BS188" s="29">
        <v>50</v>
      </c>
      <c r="BT188" s="29" t="e">
        <f t="shared" si="87"/>
        <v>#VALUE!</v>
      </c>
      <c r="BU188" s="29"/>
      <c r="BZ188" s="4">
        <f t="shared" si="68"/>
        <v>85963575</v>
      </c>
      <c r="CA188" s="4">
        <v>185</v>
      </c>
      <c r="CB188" s="90">
        <f t="shared" si="69"/>
        <v>1170505230</v>
      </c>
      <c r="CC188" s="4">
        <f>SUM(CB$4:CB188)</f>
        <v>15168112725</v>
      </c>
      <c r="CD188" s="4">
        <f t="shared" si="67"/>
        <v>1.0401326434244944</v>
      </c>
    </row>
    <row r="189" spans="16:82" x14ac:dyDescent="0.15">
      <c r="P189" s="5">
        <v>9</v>
      </c>
      <c r="Q189" s="14">
        <f>基础状态预期!D202</f>
        <v>42.643360270022924</v>
      </c>
      <c r="R189" s="14">
        <f>IF(基础状态预期!U202="",0,求节点($B$5:$B$154,$D$5:$D$154,基础状态预期!U202)*基础状态预期!F202)</f>
        <v>0</v>
      </c>
      <c r="S189" s="14">
        <f>IF(基础状态预期!V202="",0,求节点($B$5:$B$154,$D$5:$D$154,基础状态预期!V202)*基础状态预期!G202)</f>
        <v>0</v>
      </c>
      <c r="T189" s="14">
        <f>IF(基础状态预期!W202="",0,求节点($B$5:$B$154,$D$5:$D$154,基础状态预期!W202)*基础状态预期!H202)</f>
        <v>0</v>
      </c>
      <c r="U189" s="14">
        <f>IF(基础状态预期!X202="",0,求节点($B$5:$B$154,$D$5:$D$154,基础状态预期!X202)*基础状态预期!I202)</f>
        <v>50236813.951557234</v>
      </c>
      <c r="V189" s="14">
        <f>IF(基础状态预期!Y202="",0,求节点($B$5:$B$154,$D$5:$D$154,基础状态预期!Y202)*基础状态预期!J202)</f>
        <v>0</v>
      </c>
      <c r="W189" s="14">
        <f t="shared" si="88"/>
        <v>50236813.951557234</v>
      </c>
      <c r="Y189" s="14" t="str">
        <f>IF(基础状态预期!U202="","",H$8+(基础状态预期!U202-1)*H$11)</f>
        <v/>
      </c>
      <c r="Z189" s="14" t="str">
        <f>IF(基础状态预期!V202="","",I$8+(基础状态预期!V202-1)*I$11)</f>
        <v/>
      </c>
      <c r="AA189" s="14" t="str">
        <f>IF(基础状态预期!W202="","",J$8+(基础状态预期!W202-1)*J$11)</f>
        <v/>
      </c>
      <c r="AB189" s="14">
        <f>IF(基础状态预期!X202="","",K$8+(基础状态预期!X202-1)*K$11)</f>
        <v>3328.6016162013757</v>
      </c>
      <c r="AC189" s="14" t="str">
        <f>IF(基础状态预期!Y202="","",L$8+(基础状态预期!Y202-1)*L$11)</f>
        <v/>
      </c>
      <c r="AD189" s="14">
        <f>SUMPRODUCT(Y189:AC189,基础状态预期!$F202:$J202)/SUM(基础状态预期!$F202:$J202)</f>
        <v>3328.6016162013752</v>
      </c>
      <c r="AE189" s="14" t="str">
        <f>IF(基础状态预期!U202="","",H$9+(基础状态预期!U202-1)*H$12)</f>
        <v/>
      </c>
      <c r="AF189" s="14" t="str">
        <f>IF(基础状态预期!V202="","",I$9+(基础状态预期!V202-1)*I$12)</f>
        <v/>
      </c>
      <c r="AG189" s="14" t="str">
        <f>IF(基础状态预期!W202="","",J$9+(基础状态预期!W202-1)*J$12)</f>
        <v/>
      </c>
      <c r="AH189" s="14">
        <f>IF(基础状态预期!X202="","",K$9+(基础状态预期!X202-1)*K$12)</f>
        <v>3328.6016162013757</v>
      </c>
      <c r="AI189" s="14" t="str">
        <f>IF(基础状态预期!Y202="","",L$9+(基础状态预期!Y202-1)*L$12)</f>
        <v/>
      </c>
      <c r="AJ189" s="14">
        <f>SUMPRODUCT(AE189:AI189,基础状态预期!$F202:$J202)/SUM(基础状态预期!$F202:$J202)</f>
        <v>3328.6016162013752</v>
      </c>
      <c r="AK189" s="14" t="str">
        <f>IF(基础状态预期!U202="","",H$27+(基础状态预期!U202-1)*H$28)</f>
        <v/>
      </c>
      <c r="AL189" s="14" t="str">
        <f>IF(基础状态预期!V202="","",I$27+(基础状态预期!V202-1)*I$28)</f>
        <v/>
      </c>
      <c r="AM189" s="14" t="str">
        <f>IF(基础状态预期!W202="","",J$27+(基础状态预期!W202-1)*J$28)</f>
        <v/>
      </c>
      <c r="AN189" s="14">
        <f>IF(基础状态预期!X202="","",K$27+(基础状态预期!X202-1)*K$28)</f>
        <v>1842.8672054004585</v>
      </c>
      <c r="AO189" s="14" t="str">
        <f>IF(基础状态预期!Y202="","",L$27+(基础状态预期!Y202-1)*L$28)</f>
        <v/>
      </c>
      <c r="AP189" s="14">
        <f>SUMPRODUCT(AK189:AO189,基础状态预期!$F202:$J202)/SUM(基础状态预期!$F202:$J202)</f>
        <v>1842.8672054004585</v>
      </c>
      <c r="AQ189" s="14" t="str">
        <f>IF(基础状态预期!U202="","",H$31+(基础状态预期!U202-1)*H$32)</f>
        <v/>
      </c>
      <c r="AR189" s="14" t="str">
        <f>IF(基础状态预期!V202="","",I$31+(基础状态预期!V202-1)*I$32)</f>
        <v/>
      </c>
      <c r="AS189" s="14" t="str">
        <f>IF(基础状态预期!W202="","",J$31+(基础状态预期!W202-1)*J$32)</f>
        <v/>
      </c>
      <c r="AT189" s="14">
        <f>IF(基础状态预期!X202="","",K$31+(基础状态预期!X202-1)*K$32)</f>
        <v>101.28672054004585</v>
      </c>
      <c r="AU189" s="14" t="str">
        <f>IF(基础状态预期!Y202="","",L$31+(基础状态预期!Y202-1)*L$32)</f>
        <v/>
      </c>
      <c r="AV189" s="14">
        <f>SUMPRODUCT(AQ189:AU189,基础状态预期!$F202:$J202)/SUM(基础状态预期!$F202:$J202)</f>
        <v>101.28672054004585</v>
      </c>
      <c r="BA189" s="29">
        <v>60</v>
      </c>
      <c r="BB189" s="29">
        <f t="shared" si="83"/>
        <v>4370</v>
      </c>
      <c r="BC189" s="29">
        <f t="shared" si="84"/>
        <v>4370</v>
      </c>
      <c r="BD189" s="29">
        <f t="shared" si="85"/>
        <v>2190</v>
      </c>
      <c r="BE189" s="29">
        <f>(BB189-BB188)*INDEX([2]超r将兵属性验证!W$7:W$166,$BA189,1)+BE188</f>
        <v>969481278.12257111</v>
      </c>
      <c r="BF189" s="29">
        <f>(BC189-BC188)*INDEX([2]超r将兵属性验证!X$7:X$166,$BA189,1)+BF188</f>
        <v>969481278.12257111</v>
      </c>
      <c r="BG189" s="29">
        <f>(BD189-BD188)*INDEX([2]超r将兵属性验证!$AM$7:$AM$166,$BA189,1)+BG188</f>
        <v>7291902.0589186</v>
      </c>
      <c r="BH189" s="10">
        <f t="shared" si="91"/>
        <v>1946254458.3040609</v>
      </c>
      <c r="BO189" s="29">
        <f t="shared" si="89"/>
        <v>42.643360270022924</v>
      </c>
      <c r="BP189" s="10">
        <f t="shared" si="90"/>
        <v>50236813.951557234</v>
      </c>
      <c r="BQ189" s="10" t="e">
        <f>$BP189*求节点('[1]功能-付费相关'!$AY$6:$AY$105,'[1]功能-付费相关'!$BD$6:$BD$105,$BO189)+$BQ188</f>
        <v>#VALUE!</v>
      </c>
      <c r="BS189" s="29">
        <v>60</v>
      </c>
      <c r="BT189" s="29" t="e">
        <f t="shared" si="87"/>
        <v>#VALUE!</v>
      </c>
      <c r="BU189" s="29"/>
      <c r="BZ189" s="4">
        <f t="shared" si="68"/>
        <v>100577375</v>
      </c>
      <c r="CA189" s="4">
        <v>186</v>
      </c>
      <c r="CB189" s="90">
        <f t="shared" si="69"/>
        <v>1271082605</v>
      </c>
      <c r="CC189" s="4">
        <f>SUM(CB$4:CB189)</f>
        <v>16439195330</v>
      </c>
      <c r="CD189" s="4">
        <f t="shared" si="67"/>
        <v>1.0435352098745658</v>
      </c>
    </row>
    <row r="190" spans="16:82" x14ac:dyDescent="0.15">
      <c r="P190" s="5">
        <v>10</v>
      </c>
      <c r="Q190" s="14">
        <f>基础状态预期!D203</f>
        <v>48.493134765265182</v>
      </c>
      <c r="R190" s="14">
        <f>IF(基础状态预期!U203="",0,求节点($B$5:$B$154,$D$5:$D$154,基础状态预期!U203)*基础状态预期!F203)</f>
        <v>0</v>
      </c>
      <c r="S190" s="14">
        <f>IF(基础状态预期!V203="",0,求节点($B$5:$B$154,$D$5:$D$154,基础状态预期!V203)*基础状态预期!G203)</f>
        <v>0</v>
      </c>
      <c r="T190" s="14">
        <f>IF(基础状态预期!W203="",0,求节点($B$5:$B$154,$D$5:$D$154,基础状态预期!W203)*基础状态预期!H203)</f>
        <v>0</v>
      </c>
      <c r="U190" s="14">
        <f>IF(基础状态预期!X203="",0,求节点($B$5:$B$154,$D$5:$D$154,基础状态预期!X203)*基础状态预期!I203)</f>
        <v>103165159.76490645</v>
      </c>
      <c r="V190" s="14">
        <f>IF(基础状态预期!Y203="",0,求节点($B$5:$B$154,$D$5:$D$154,基础状态预期!Y203)*基础状态预期!J203)</f>
        <v>0</v>
      </c>
      <c r="W190" s="14">
        <f t="shared" si="88"/>
        <v>103165159.76490645</v>
      </c>
      <c r="Y190" s="14" t="str">
        <f>IF(基础状态预期!U203="","",H$8+(基础状态预期!U203-1)*H$11)</f>
        <v/>
      </c>
      <c r="Z190" s="14" t="str">
        <f>IF(基础状态预期!V203="","",I$8+(基础状态预期!V203-1)*I$11)</f>
        <v/>
      </c>
      <c r="AA190" s="14" t="str">
        <f>IF(基础状态预期!W203="","",J$8+(基础状态预期!W203-1)*J$11)</f>
        <v/>
      </c>
      <c r="AB190" s="14">
        <f>IF(基础状态预期!X203="","",K$8+(基础状态预期!X203-1)*K$11)</f>
        <v>3679.5880859159111</v>
      </c>
      <c r="AC190" s="14" t="str">
        <f>IF(基础状态预期!Y203="","",L$8+(基础状态预期!Y203-1)*L$11)</f>
        <v/>
      </c>
      <c r="AD190" s="14">
        <f>SUMPRODUCT(Y190:AC190,基础状态预期!$F203:$J203)/SUM(基础状态预期!$F203:$J203)</f>
        <v>3679.5880859159111</v>
      </c>
      <c r="AE190" s="14" t="str">
        <f>IF(基础状态预期!U203="","",H$9+(基础状态预期!U203-1)*H$12)</f>
        <v/>
      </c>
      <c r="AF190" s="14" t="str">
        <f>IF(基础状态预期!V203="","",I$9+(基础状态预期!V203-1)*I$12)</f>
        <v/>
      </c>
      <c r="AG190" s="14" t="str">
        <f>IF(基础状态预期!W203="","",J$9+(基础状态预期!W203-1)*J$12)</f>
        <v/>
      </c>
      <c r="AH190" s="14">
        <f>IF(基础状态预期!X203="","",K$9+(基础状态预期!X203-1)*K$12)</f>
        <v>3679.5880859159111</v>
      </c>
      <c r="AI190" s="14" t="str">
        <f>IF(基础状态预期!Y203="","",L$9+(基础状态预期!Y203-1)*L$12)</f>
        <v/>
      </c>
      <c r="AJ190" s="14">
        <f>SUMPRODUCT(AE190:AI190,基础状态预期!$F203:$J203)/SUM(基础状态预期!$F203:$J203)</f>
        <v>3679.5880859159111</v>
      </c>
      <c r="AK190" s="14" t="str">
        <f>IF(基础状态预期!U203="","",H$27+(基础状态预期!U203-1)*H$28)</f>
        <v/>
      </c>
      <c r="AL190" s="14" t="str">
        <f>IF(基础状态预期!V203="","",I$27+(基础状态预期!V203-1)*I$28)</f>
        <v/>
      </c>
      <c r="AM190" s="14" t="str">
        <f>IF(基础状态预期!W203="","",J$27+(基础状态预期!W203-1)*J$28)</f>
        <v/>
      </c>
      <c r="AN190" s="14">
        <f>IF(基础状态预期!X203="","",K$27+(基础状态预期!X203-1)*K$28)</f>
        <v>1959.8626953053035</v>
      </c>
      <c r="AO190" s="14" t="str">
        <f>IF(基础状态预期!Y203="","",L$27+(基础状态预期!Y203-1)*L$28)</f>
        <v/>
      </c>
      <c r="AP190" s="14">
        <f>SUMPRODUCT(AK190:AO190,基础状态预期!$F203:$J203)/SUM(基础状态预期!$F203:$J203)</f>
        <v>1959.8626953053035</v>
      </c>
      <c r="AQ190" s="14" t="str">
        <f>IF(基础状态预期!U203="","",H$31+(基础状态预期!U203-1)*H$32)</f>
        <v/>
      </c>
      <c r="AR190" s="14" t="str">
        <f>IF(基础状态预期!V203="","",I$31+(基础状态预期!V203-1)*I$32)</f>
        <v/>
      </c>
      <c r="AS190" s="14" t="str">
        <f>IF(基础状态预期!W203="","",J$31+(基础状态预期!W203-1)*J$32)</f>
        <v/>
      </c>
      <c r="AT190" s="14">
        <f>IF(基础状态预期!X203="","",K$31+(基础状态预期!X203-1)*K$32)</f>
        <v>112.98626953053036</v>
      </c>
      <c r="AU190" s="14" t="str">
        <f>IF(基础状态预期!Y203="","",L$31+(基础状态预期!Y203-1)*L$32)</f>
        <v/>
      </c>
      <c r="AV190" s="14">
        <f>SUMPRODUCT(AQ190:AU190,基础状态预期!$F203:$J203)/SUM(基础状态预期!$F203:$J203)</f>
        <v>112.98626953053036</v>
      </c>
      <c r="BA190" s="29">
        <v>70</v>
      </c>
      <c r="BB190" s="29">
        <f t="shared" si="83"/>
        <v>4970</v>
      </c>
      <c r="BC190" s="29">
        <f t="shared" si="84"/>
        <v>4970</v>
      </c>
      <c r="BD190" s="29">
        <f t="shared" si="85"/>
        <v>2390</v>
      </c>
      <c r="BE190" s="29">
        <f>(BB190-BB189)*INDEX([2]超r将兵属性验证!W$7:W$166,$BA190,1)+BE189</f>
        <v>2105904947.4223938</v>
      </c>
      <c r="BF190" s="29">
        <f>(BC190-BC189)*INDEX([2]超r将兵属性验证!X$7:X$166,$BA190,1)+BF189</f>
        <v>2105904947.4223938</v>
      </c>
      <c r="BG190" s="29">
        <f>(BD190-BD189)*INDEX([2]超r将兵属性验证!$AM$7:$AM$166,$BA190,1)+BG189</f>
        <v>8591508.7016658988</v>
      </c>
      <c r="BH190" s="10">
        <f t="shared" si="91"/>
        <v>4220401403.5464535</v>
      </c>
      <c r="BO190" s="29">
        <f t="shared" si="89"/>
        <v>48.493134765265182</v>
      </c>
      <c r="BP190" s="10">
        <f t="shared" si="90"/>
        <v>103165159.76490645</v>
      </c>
      <c r="BQ190" s="10" t="e">
        <f>$BP190*求节点('[1]功能-付费相关'!$AY$6:$AY$105,'[1]功能-付费相关'!$BD$6:$BD$105,$BO190)+$BQ189</f>
        <v>#VALUE!</v>
      </c>
      <c r="BS190" s="29">
        <v>70</v>
      </c>
      <c r="BT190" s="29" t="e">
        <f t="shared" si="87"/>
        <v>#VALUE!</v>
      </c>
      <c r="BU190" s="29"/>
      <c r="BZ190" s="4">
        <f t="shared" si="68"/>
        <v>100577375</v>
      </c>
      <c r="CA190" s="4">
        <v>187</v>
      </c>
      <c r="CB190" s="90">
        <f t="shared" si="69"/>
        <v>1371659980</v>
      </c>
      <c r="CC190" s="4">
        <f>SUM(CB$4:CB190)</f>
        <v>17810855310</v>
      </c>
      <c r="CD190" s="4">
        <f t="shared" si="67"/>
        <v>1.0400481777867461</v>
      </c>
    </row>
    <row r="191" spans="16:82" x14ac:dyDescent="0.15">
      <c r="P191" s="5">
        <v>11</v>
      </c>
      <c r="Q191" s="14">
        <f>基础状态预期!D204</f>
        <v>52.559419343629337</v>
      </c>
      <c r="R191" s="14">
        <f>IF(基础状态预期!U204="",0,求节点($B$5:$B$154,$D$5:$D$154,基础状态预期!U204)*基础状态预期!F204)</f>
        <v>0</v>
      </c>
      <c r="S191" s="14">
        <f>IF(基础状态预期!V204="",0,求节点($B$5:$B$154,$D$5:$D$154,基础状态预期!V204)*基础状态预期!G204)</f>
        <v>0</v>
      </c>
      <c r="T191" s="14">
        <f>IF(基础状态预期!W204="",0,求节点($B$5:$B$154,$D$5:$D$154,基础状态预期!W204)*基础状态预期!H204)</f>
        <v>0</v>
      </c>
      <c r="U191" s="14">
        <f>IF(基础状态预期!X204="",0,求节点($B$5:$B$154,$D$5:$D$154,基础状态预期!X204)*基础状态预期!I204)</f>
        <v>144827513.94882226</v>
      </c>
      <c r="V191" s="14">
        <f>IF(基础状态预期!Y204="",0,求节点($B$5:$B$154,$D$5:$D$154,基础状态预期!Y204)*基础状态预期!J204)</f>
        <v>28965502.789764453</v>
      </c>
      <c r="W191" s="14">
        <f t="shared" si="88"/>
        <v>173793016.73858672</v>
      </c>
      <c r="Y191" s="14" t="str">
        <f>IF(基础状态预期!U204="","",H$8+(基础状态预期!U204-1)*H$11)</f>
        <v/>
      </c>
      <c r="Z191" s="14" t="str">
        <f>IF(基础状态预期!V204="","",I$8+(基础状态预期!V204-1)*I$11)</f>
        <v/>
      </c>
      <c r="AA191" s="14" t="str">
        <f>IF(基础状态预期!W204="","",J$8+(基础状态预期!W204-1)*J$11)</f>
        <v/>
      </c>
      <c r="AB191" s="14">
        <f>IF(基础状态预期!X204="","",K$8+(基础状态预期!X204-1)*K$11)</f>
        <v>3923.5651606177603</v>
      </c>
      <c r="AC191" s="14">
        <f>IF(基础状态预期!Y204="","",L$8+(基础状态预期!Y204-1)*L$11)</f>
        <v>3923.5651606177603</v>
      </c>
      <c r="AD191" s="14">
        <f>SUMPRODUCT(Y191:AC191,基础状态预期!$F204:$J204)/SUM(基础状态预期!$F204:$J204)</f>
        <v>3923.5651606177603</v>
      </c>
      <c r="AE191" s="14" t="str">
        <f>IF(基础状态预期!U204="","",H$9+(基础状态预期!U204-1)*H$12)</f>
        <v/>
      </c>
      <c r="AF191" s="14" t="str">
        <f>IF(基础状态预期!V204="","",I$9+(基础状态预期!V204-1)*I$12)</f>
        <v/>
      </c>
      <c r="AG191" s="14" t="str">
        <f>IF(基础状态预期!W204="","",J$9+(基础状态预期!W204-1)*J$12)</f>
        <v/>
      </c>
      <c r="AH191" s="14">
        <f>IF(基础状态预期!X204="","",K$9+(基础状态预期!X204-1)*K$12)</f>
        <v>3923.5651606177603</v>
      </c>
      <c r="AI191" s="14">
        <f>IF(基础状态预期!Y204="","",L$9+(基础状态预期!Y204-1)*L$12)</f>
        <v>3923.5651606177603</v>
      </c>
      <c r="AJ191" s="14">
        <f>SUMPRODUCT(AE191:AI191,基础状态预期!$F204:$J204)/SUM(基础状态预期!$F204:$J204)</f>
        <v>3923.5651606177603</v>
      </c>
      <c r="AK191" s="14" t="str">
        <f>IF(基础状态预期!U204="","",H$27+(基础状态预期!U204-1)*H$28)</f>
        <v/>
      </c>
      <c r="AL191" s="14" t="str">
        <f>IF(基础状态预期!V204="","",I$27+(基础状态预期!V204-1)*I$28)</f>
        <v/>
      </c>
      <c r="AM191" s="14" t="str">
        <f>IF(基础状态预期!W204="","",J$27+(基础状态预期!W204-1)*J$28)</f>
        <v/>
      </c>
      <c r="AN191" s="14">
        <f>IF(基础状态预期!X204="","",K$27+(基础状态预期!X204-1)*K$28)</f>
        <v>2041.1883868725868</v>
      </c>
      <c r="AO191" s="14">
        <f>IF(基础状态预期!Y204="","",L$27+(基础状态预期!Y204-1)*L$28)</f>
        <v>2041.1883868725868</v>
      </c>
      <c r="AP191" s="14">
        <f>SUMPRODUCT(AK191:AO191,基础状态预期!$F204:$J204)/SUM(基础状态预期!$F204:$J204)</f>
        <v>2041.188386872587</v>
      </c>
      <c r="AQ191" s="14" t="str">
        <f>IF(基础状态预期!U204="","",H$31+(基础状态预期!U204-1)*H$32)</f>
        <v/>
      </c>
      <c r="AR191" s="14" t="str">
        <f>IF(基础状态预期!V204="","",I$31+(基础状态预期!V204-1)*I$32)</f>
        <v/>
      </c>
      <c r="AS191" s="14" t="str">
        <f>IF(基础状态预期!W204="","",J$31+(基础状态预期!W204-1)*J$32)</f>
        <v/>
      </c>
      <c r="AT191" s="14">
        <f>IF(基础状态预期!X204="","",K$31+(基础状态预期!X204-1)*K$32)</f>
        <v>121.11883868725867</v>
      </c>
      <c r="AU191" s="14">
        <f>IF(基础状态预期!Y204="","",L$31+(基础状态预期!Y204-1)*L$32)</f>
        <v>124.11883868725867</v>
      </c>
      <c r="AV191" s="14">
        <f>SUMPRODUCT(AQ191:AU191,基础状态预期!$F204:$J204)/SUM(基础状态预期!$F204:$J204)</f>
        <v>121.61883868725867</v>
      </c>
      <c r="BA191" s="29">
        <v>80</v>
      </c>
      <c r="BB191" s="29">
        <f t="shared" si="83"/>
        <v>5570.0000000000009</v>
      </c>
      <c r="BC191" s="29">
        <f t="shared" si="84"/>
        <v>5570.0000000000009</v>
      </c>
      <c r="BD191" s="29">
        <f t="shared" si="85"/>
        <v>2590</v>
      </c>
      <c r="BE191" s="29">
        <f>(BB191-BB190)*INDEX([2]超r将兵属性验证!W$7:W$166,$BA191,1)+BE190</f>
        <v>4756338050.536294</v>
      </c>
      <c r="BF191" s="29">
        <f>(BC191-BC190)*INDEX([2]超r将兵属性验证!X$7:X$166,$BA191,1)+BF190</f>
        <v>4756338050.536294</v>
      </c>
      <c r="BG191" s="29">
        <f>(BD191-BD190)*INDEX([2]超r将兵属性验证!$AM$7:$AM$166,$BA191,1)+BG190</f>
        <v>10024159.343521371</v>
      </c>
      <c r="BH191" s="10">
        <f t="shared" si="91"/>
        <v>9522700260.4161091</v>
      </c>
      <c r="BO191" s="29">
        <f t="shared" si="89"/>
        <v>52.559419343629337</v>
      </c>
      <c r="BP191" s="10">
        <f t="shared" si="90"/>
        <v>173793016.73858672</v>
      </c>
      <c r="BQ191" s="10" t="e">
        <f>$BP191*求节点('[1]功能-付费相关'!$AY$6:$AY$105,'[1]功能-付费相关'!$BD$6:$BD$105,$BO191)+$BQ190</f>
        <v>#VALUE!</v>
      </c>
      <c r="BS191" s="29">
        <v>80</v>
      </c>
      <c r="BT191" s="29" t="e">
        <f t="shared" si="87"/>
        <v>#VALUE!</v>
      </c>
      <c r="BU191" s="29"/>
      <c r="BZ191" s="4">
        <f t="shared" si="68"/>
        <v>117675525</v>
      </c>
      <c r="CA191" s="4">
        <v>188</v>
      </c>
      <c r="CB191" s="90">
        <f t="shared" si="69"/>
        <v>1489335505</v>
      </c>
      <c r="CC191" s="4">
        <f>SUM(CB$4:CB191)</f>
        <v>19300190815</v>
      </c>
      <c r="CD191" s="4">
        <f t="shared" si="67"/>
        <v>1.0434402995398782</v>
      </c>
    </row>
    <row r="192" spans="16:82" x14ac:dyDescent="0.15">
      <c r="P192" s="5">
        <v>12</v>
      </c>
      <c r="Q192" s="14">
        <f>基础状态预期!D205</f>
        <v>58.560986008166232</v>
      </c>
      <c r="R192" s="14">
        <f>IF(基础状态预期!U205="",0,求节点($B$5:$B$154,$D$5:$D$154,基础状态预期!U205)*基础状态预期!F205)</f>
        <v>0</v>
      </c>
      <c r="S192" s="14">
        <f>IF(基础状态预期!V205="",0,求节点($B$5:$B$154,$D$5:$D$154,基础状态预期!V205)*基础状态预期!G205)</f>
        <v>0</v>
      </c>
      <c r="T192" s="14">
        <f>IF(基础状态预期!W205="",0,求节点($B$5:$B$154,$D$5:$D$154,基础状态预期!W205)*基础状态预期!H205)</f>
        <v>0</v>
      </c>
      <c r="U192" s="14">
        <f>IF(基础状态预期!X205="",0,求节点($B$5:$B$154,$D$5:$D$154,基础状态预期!X205)*基础状态预期!I205)</f>
        <v>266288347.36150405</v>
      </c>
      <c r="V192" s="14">
        <f>IF(基础状态预期!Y205="",0,求节点($B$5:$B$154,$D$5:$D$154,基础状态预期!Y205)*基础状态预期!J205)</f>
        <v>133144173.68075202</v>
      </c>
      <c r="W192" s="14">
        <f t="shared" si="88"/>
        <v>399432521.04225606</v>
      </c>
      <c r="Y192" s="14" t="str">
        <f>IF(基础状态预期!U205="","",H$8+(基础状态预期!U205-1)*H$11)</f>
        <v/>
      </c>
      <c r="Z192" s="14" t="str">
        <f>IF(基础状态预期!V205="","",I$8+(基础状态预期!V205-1)*I$11)</f>
        <v/>
      </c>
      <c r="AA192" s="14" t="str">
        <f>IF(基础状态预期!W205="","",J$8+(基础状态预期!W205-1)*J$11)</f>
        <v/>
      </c>
      <c r="AB192" s="14">
        <f>IF(基础状态预期!X205="","",K$8+(基础状态预期!X205-1)*K$11)</f>
        <v>4283.6591604899741</v>
      </c>
      <c r="AC192" s="14">
        <f>IF(基础状态预期!Y205="","",L$8+(基础状态预期!Y205-1)*L$11)</f>
        <v>4283.6591604899741</v>
      </c>
      <c r="AD192" s="14">
        <f>SUMPRODUCT(Y192:AC192,基础状态预期!$F205:$J205)/SUM(基础状态预期!$F205:$J205)</f>
        <v>4283.6591604899741</v>
      </c>
      <c r="AE192" s="14" t="str">
        <f>IF(基础状态预期!U205="","",H$9+(基础状态预期!U205-1)*H$12)</f>
        <v/>
      </c>
      <c r="AF192" s="14" t="str">
        <f>IF(基础状态预期!V205="","",I$9+(基础状态预期!V205-1)*I$12)</f>
        <v/>
      </c>
      <c r="AG192" s="14" t="str">
        <f>IF(基础状态预期!W205="","",J$9+(基础状态预期!W205-1)*J$12)</f>
        <v/>
      </c>
      <c r="AH192" s="14">
        <f>IF(基础状态预期!X205="","",K$9+(基础状态预期!X205-1)*K$12)</f>
        <v>4283.6591604899741</v>
      </c>
      <c r="AI192" s="14">
        <f>IF(基础状态预期!Y205="","",L$9+(基础状态预期!Y205-1)*L$12)</f>
        <v>4283.6591604899741</v>
      </c>
      <c r="AJ192" s="14">
        <f>SUMPRODUCT(AE192:AI192,基础状态预期!$F205:$J205)/SUM(基础状态预期!$F205:$J205)</f>
        <v>4283.6591604899741</v>
      </c>
      <c r="AK192" s="14" t="str">
        <f>IF(基础状态预期!U205="","",H$27+(基础状态预期!U205-1)*H$28)</f>
        <v/>
      </c>
      <c r="AL192" s="14" t="str">
        <f>IF(基础状态预期!V205="","",I$27+(基础状态预期!V205-1)*I$28)</f>
        <v/>
      </c>
      <c r="AM192" s="14" t="str">
        <f>IF(基础状态预期!W205="","",J$27+(基础状态预期!W205-1)*J$28)</f>
        <v/>
      </c>
      <c r="AN192" s="14">
        <f>IF(基础状态预期!X205="","",K$27+(基础状态预期!X205-1)*K$28)</f>
        <v>2161.2197201633244</v>
      </c>
      <c r="AO192" s="14">
        <f>IF(基础状态预期!Y205="","",L$27+(基础状态预期!Y205-1)*L$28)</f>
        <v>2161.2197201633244</v>
      </c>
      <c r="AP192" s="14">
        <f>SUMPRODUCT(AK192:AO192,基础状态预期!$F205:$J205)/SUM(基础状态预期!$F205:$J205)</f>
        <v>2161.2197201633244</v>
      </c>
      <c r="AQ192" s="14" t="str">
        <f>IF(基础状态预期!U205="","",H$31+(基础状态预期!U205-1)*H$32)</f>
        <v/>
      </c>
      <c r="AR192" s="14" t="str">
        <f>IF(基础状态预期!V205="","",I$31+(基础状态预期!V205-1)*I$32)</f>
        <v/>
      </c>
      <c r="AS192" s="14" t="str">
        <f>IF(基础状态预期!W205="","",J$31+(基础状态预期!W205-1)*J$32)</f>
        <v/>
      </c>
      <c r="AT192" s="14">
        <f>IF(基础状态预期!X205="","",K$31+(基础状态预期!X205-1)*K$32)</f>
        <v>133.12197201633245</v>
      </c>
      <c r="AU192" s="14">
        <f>IF(基础状态预期!Y205="","",L$31+(基础状态预期!Y205-1)*L$32)</f>
        <v>136.12197201633245</v>
      </c>
      <c r="AV192" s="14">
        <f>SUMPRODUCT(AQ192:AU192,基础状态预期!$F205:$J205)/SUM(基础状态预期!$F205:$J205)</f>
        <v>134.12197201633245</v>
      </c>
      <c r="BA192" s="29">
        <v>90</v>
      </c>
      <c r="BB192" s="29">
        <f t="shared" si="83"/>
        <v>6170</v>
      </c>
      <c r="BC192" s="29">
        <f t="shared" si="84"/>
        <v>6170</v>
      </c>
      <c r="BD192" s="29">
        <f t="shared" si="85"/>
        <v>2790</v>
      </c>
      <c r="BE192" s="29">
        <f>(BB192-BB191)*INDEX([2]超r将兵属性验证!W$7:W$166,$BA192,1)+BE191</f>
        <v>9758822452.559494</v>
      </c>
      <c r="BF192" s="29">
        <f>(BC192-BC191)*INDEX([2]超r将兵属性验证!X$7:X$166,$BA192,1)+BF191</f>
        <v>9758822452.559494</v>
      </c>
      <c r="BG192" s="29">
        <f>(BD192-BD191)*INDEX([2]超r将兵属性验证!$AM$7:$AM$166,$BA192,1)+BG191</f>
        <v>11584146.45305619</v>
      </c>
      <c r="BH192" s="10">
        <f t="shared" si="91"/>
        <v>19529229051.572044</v>
      </c>
      <c r="BO192" s="29">
        <f t="shared" si="89"/>
        <v>58.560986008166232</v>
      </c>
      <c r="BP192" s="10">
        <f t="shared" si="90"/>
        <v>399432521.04225606</v>
      </c>
      <c r="BQ192" s="10" t="e">
        <f>$BP192*求节点('[1]功能-付费相关'!$AY$6:$AY$105,'[1]功能-付费相关'!$BD$6:$BD$105,$BO192)+$BQ191</f>
        <v>#VALUE!</v>
      </c>
      <c r="BS192" s="29">
        <v>90</v>
      </c>
      <c r="BT192" s="29" t="e">
        <f t="shared" si="87"/>
        <v>#VALUE!</v>
      </c>
      <c r="BU192" s="29"/>
      <c r="BZ192" s="4">
        <f t="shared" si="68"/>
        <v>117675525</v>
      </c>
      <c r="CA192" s="4">
        <v>189</v>
      </c>
      <c r="CB192" s="90">
        <f t="shared" si="69"/>
        <v>1607011030</v>
      </c>
      <c r="CC192" s="4">
        <f>SUM(CB$4:CB192)</f>
        <v>20907201845</v>
      </c>
      <c r="CD192" s="4">
        <f t="shared" si="67"/>
        <v>1.0399678511420696</v>
      </c>
    </row>
    <row r="193" spans="16:82" x14ac:dyDescent="0.15">
      <c r="P193" s="5">
        <v>13</v>
      </c>
      <c r="Q193" s="14">
        <f>基础状态预期!D206</f>
        <v>64.247064283227857</v>
      </c>
      <c r="R193" s="14">
        <f>IF(基础状态预期!U206="",0,求节点($B$5:$B$154,$D$5:$D$154,基础状态预期!U206)*基础状态预期!F206)</f>
        <v>0</v>
      </c>
      <c r="S193" s="14">
        <f>IF(基础状态预期!V206="",0,求节点($B$5:$B$154,$D$5:$D$154,基础状态预期!V206)*基础状态预期!G206)</f>
        <v>0</v>
      </c>
      <c r="T193" s="14">
        <f>IF(基础状态预期!W206="",0,求节点($B$5:$B$154,$D$5:$D$154,基础状态预期!W206)*基础状态预期!H206)</f>
        <v>0</v>
      </c>
      <c r="U193" s="14">
        <f>IF(基础状态预期!X206="",0,求节点($B$5:$B$154,$D$5:$D$154,基础状态预期!X206)*基础状态预期!I206)</f>
        <v>466811771.57898957</v>
      </c>
      <c r="V193" s="14">
        <f>IF(基础状态预期!Y206="",0,求节点($B$5:$B$154,$D$5:$D$154,基础状态预期!Y206)*基础状态预期!J206)</f>
        <v>466811771.57898957</v>
      </c>
      <c r="W193" s="14">
        <f t="shared" si="88"/>
        <v>933623543.15797913</v>
      </c>
      <c r="Y193" s="14" t="str">
        <f>IF(基础状态预期!U206="","",H$8+(基础状态预期!U206-1)*H$11)</f>
        <v/>
      </c>
      <c r="Z193" s="14" t="str">
        <f>IF(基础状态预期!V206="","",I$8+(基础状态预期!V206-1)*I$11)</f>
        <v/>
      </c>
      <c r="AA193" s="14" t="str">
        <f>IF(基础状态预期!W206="","",J$8+(基础状态预期!W206-1)*J$11)</f>
        <v/>
      </c>
      <c r="AB193" s="14">
        <f>IF(基础状态预期!X206="","",K$8+(基础状态预期!X206-1)*K$11)</f>
        <v>4624.8238569936711</v>
      </c>
      <c r="AC193" s="14">
        <f>IF(基础状态预期!Y206="","",L$8+(基础状态预期!Y206-1)*L$11)</f>
        <v>4624.8238569936711</v>
      </c>
      <c r="AD193" s="14">
        <f>SUMPRODUCT(Y193:AC193,基础状态预期!$F206:$J206)/SUM(基础状态预期!$F206:$J206)</f>
        <v>4624.8238569936711</v>
      </c>
      <c r="AE193" s="14" t="str">
        <f>IF(基础状态预期!U206="","",H$9+(基础状态预期!U206-1)*H$12)</f>
        <v/>
      </c>
      <c r="AF193" s="14" t="str">
        <f>IF(基础状态预期!V206="","",I$9+(基础状态预期!V206-1)*I$12)</f>
        <v/>
      </c>
      <c r="AG193" s="14" t="str">
        <f>IF(基础状态预期!W206="","",J$9+(基础状态预期!W206-1)*J$12)</f>
        <v/>
      </c>
      <c r="AH193" s="14">
        <f>IF(基础状态预期!X206="","",K$9+(基础状态预期!X206-1)*K$12)</f>
        <v>4624.8238569936711</v>
      </c>
      <c r="AI193" s="14">
        <f>IF(基础状态预期!Y206="","",L$9+(基础状态预期!Y206-1)*L$12)</f>
        <v>4624.8238569936711</v>
      </c>
      <c r="AJ193" s="14">
        <f>SUMPRODUCT(AE193:AI193,基础状态预期!$F206:$J206)/SUM(基础状态预期!$F206:$J206)</f>
        <v>4624.8238569936711</v>
      </c>
      <c r="AK193" s="14" t="str">
        <f>IF(基础状态预期!U206="","",H$27+(基础状态预期!U206-1)*H$28)</f>
        <v/>
      </c>
      <c r="AL193" s="14" t="str">
        <f>IF(基础状态预期!V206="","",I$27+(基础状态预期!V206-1)*I$28)</f>
        <v/>
      </c>
      <c r="AM193" s="14" t="str">
        <f>IF(基础状态预期!W206="","",J$27+(基础状态预期!W206-1)*J$28)</f>
        <v/>
      </c>
      <c r="AN193" s="14">
        <f>IF(基础状态预期!X206="","",K$27+(基础状态预期!X206-1)*K$28)</f>
        <v>2274.9412856645572</v>
      </c>
      <c r="AO193" s="14">
        <f>IF(基础状态预期!Y206="","",L$27+(基础状态预期!Y206-1)*L$28)</f>
        <v>2274.9412856645572</v>
      </c>
      <c r="AP193" s="14">
        <f>SUMPRODUCT(AK193:AO193,基础状态预期!$F206:$J206)/SUM(基础状态预期!$F206:$J206)</f>
        <v>2274.9412856645572</v>
      </c>
      <c r="AQ193" s="14" t="str">
        <f>IF(基础状态预期!U206="","",H$31+(基础状态预期!U206-1)*H$32)</f>
        <v/>
      </c>
      <c r="AR193" s="14" t="str">
        <f>IF(基础状态预期!V206="","",I$31+(基础状态预期!V206-1)*I$32)</f>
        <v/>
      </c>
      <c r="AS193" s="14" t="str">
        <f>IF(基础状态预期!W206="","",J$31+(基础状态预期!W206-1)*J$32)</f>
        <v/>
      </c>
      <c r="AT193" s="14">
        <f>IF(基础状态预期!X206="","",K$31+(基础状态预期!X206-1)*K$32)</f>
        <v>144.49412856645571</v>
      </c>
      <c r="AU193" s="14">
        <f>IF(基础状态预期!Y206="","",L$31+(基础状态预期!Y206-1)*L$32)</f>
        <v>147.49412856645571</v>
      </c>
      <c r="AV193" s="14">
        <f>SUMPRODUCT(AQ193:AU193,基础状态预期!$F206:$J206)/SUM(基础状态预期!$F206:$J206)</f>
        <v>145.99412856645571</v>
      </c>
      <c r="BA193" s="29">
        <v>100</v>
      </c>
      <c r="BB193" s="29">
        <f t="shared" si="83"/>
        <v>6770.0000000000009</v>
      </c>
      <c r="BC193" s="29">
        <f t="shared" si="84"/>
        <v>6770.0000000000009</v>
      </c>
      <c r="BD193" s="29">
        <f t="shared" si="85"/>
        <v>2989.9999999999995</v>
      </c>
      <c r="BE193" s="29">
        <f>(BB193-BB192)*INDEX([2]超r将兵属性验证!W$7:W$166,$BA193,1)+BE192</f>
        <v>16190682161.441751</v>
      </c>
      <c r="BF193" s="29">
        <f>(BC193-BC192)*INDEX([2]超r将兵属性验证!X$7:X$166,$BA193,1)+BF192</f>
        <v>16190682161.441751</v>
      </c>
      <c r="BG193" s="29">
        <f>(BD193-BD192)*INDEX([2]超r将兵属性验证!$AM$7:$AM$166,$BA193,1)+BG192</f>
        <v>13277129.00561754</v>
      </c>
      <c r="BH193" s="10">
        <f t="shared" si="91"/>
        <v>32394641451.889122</v>
      </c>
      <c r="BO193" s="29">
        <f t="shared" si="89"/>
        <v>64.247064283227857</v>
      </c>
      <c r="BP193" s="10">
        <f t="shared" si="90"/>
        <v>933623543.15797913</v>
      </c>
      <c r="BQ193" s="10" t="e">
        <f>$BP193*求节点('[1]功能-付费相关'!$AY$6:$AY$105,'[1]功能-付费相关'!$BD$6:$BD$105,$BO193)+$BQ192</f>
        <v>#VALUE!</v>
      </c>
      <c r="BS193" s="29">
        <v>100</v>
      </c>
      <c r="BT193" s="29" t="e">
        <f t="shared" si="87"/>
        <v>#VALUE!</v>
      </c>
      <c r="BU193" s="29"/>
      <c r="BZ193" s="4">
        <f t="shared" si="68"/>
        <v>135326850</v>
      </c>
      <c r="CA193" s="4">
        <v>190</v>
      </c>
      <c r="CB193" s="90">
        <f t="shared" si="69"/>
        <v>1742337880</v>
      </c>
      <c r="CC193" s="4">
        <f>SUM(CB$4:CB193)</f>
        <v>22649539725</v>
      </c>
      <c r="CD193" s="4">
        <f t="shared" si="67"/>
        <v>1.0432426425993819</v>
      </c>
    </row>
    <row r="194" spans="16:82" x14ac:dyDescent="0.15">
      <c r="P194" s="5">
        <v>14</v>
      </c>
      <c r="Q194" s="14">
        <f>基础状态预期!D207</f>
        <v>68.518369035696878</v>
      </c>
      <c r="R194" s="14">
        <f>IF(基础状态预期!U207="",0,求节点($B$5:$B$154,$D$5:$D$154,基础状态预期!U207)*基础状态预期!F207)</f>
        <v>0</v>
      </c>
      <c r="S194" s="14">
        <f>IF(基础状态预期!V207="",0,求节点($B$5:$B$154,$D$5:$D$154,基础状态预期!V207)*基础状态预期!G207)</f>
        <v>0</v>
      </c>
      <c r="T194" s="14">
        <f>IF(基础状态预期!W207="",0,求节点($B$5:$B$154,$D$5:$D$154,基础状态预期!W207)*基础状态预期!H207)</f>
        <v>0</v>
      </c>
      <c r="U194" s="14">
        <f>IF(基础状态预期!X207="",0,求节点($B$5:$B$154,$D$5:$D$154,基础状态预期!X207)*基础状态预期!I207)</f>
        <v>605663051.85079634</v>
      </c>
      <c r="V194" s="14">
        <f>IF(基础状态预期!Y207="",0,求节点($B$5:$B$154,$D$5:$D$154,基础状态预期!Y207)*基础状态预期!J207)</f>
        <v>1211326103.7015927</v>
      </c>
      <c r="W194" s="14">
        <f t="shared" si="88"/>
        <v>1816989155.5523891</v>
      </c>
      <c r="Y194" s="14" t="str">
        <f>IF(基础状态预期!U207="","",H$8+(基础状态预期!U207-1)*H$11)</f>
        <v/>
      </c>
      <c r="Z194" s="14" t="str">
        <f>IF(基础状态预期!V207="","",I$8+(基础状态预期!V207-1)*I$11)</f>
        <v/>
      </c>
      <c r="AA194" s="14" t="str">
        <f>IF(基础状态预期!W207="","",J$8+(基础状态预期!W207-1)*J$11)</f>
        <v/>
      </c>
      <c r="AB194" s="14">
        <f>IF(基础状态预期!X207="","",K$8+(基础状态预期!X207-1)*K$11)</f>
        <v>4881.1021421418127</v>
      </c>
      <c r="AC194" s="14">
        <f>IF(基础状态预期!Y207="","",L$8+(基础状态预期!Y207-1)*L$11)</f>
        <v>4881.1021421418127</v>
      </c>
      <c r="AD194" s="14">
        <f>SUMPRODUCT(Y194:AC194,基础状态预期!$F207:$J207)/SUM(基础状态预期!$F207:$J207)</f>
        <v>4881.1021421418127</v>
      </c>
      <c r="AE194" s="14" t="str">
        <f>IF(基础状态预期!U207="","",H$9+(基础状态预期!U207-1)*H$12)</f>
        <v/>
      </c>
      <c r="AF194" s="14" t="str">
        <f>IF(基础状态预期!V207="","",I$9+(基础状态预期!V207-1)*I$12)</f>
        <v/>
      </c>
      <c r="AG194" s="14" t="str">
        <f>IF(基础状态预期!W207="","",J$9+(基础状态预期!W207-1)*J$12)</f>
        <v/>
      </c>
      <c r="AH194" s="14">
        <f>IF(基础状态预期!X207="","",K$9+(基础状态预期!X207-1)*K$12)</f>
        <v>4881.1021421418127</v>
      </c>
      <c r="AI194" s="14">
        <f>IF(基础状态预期!Y207="","",L$9+(基础状态预期!Y207-1)*L$12)</f>
        <v>4881.1021421418127</v>
      </c>
      <c r="AJ194" s="14">
        <f>SUMPRODUCT(AE194:AI194,基础状态预期!$F207:$J207)/SUM(基础状态预期!$F207:$J207)</f>
        <v>4881.1021421418127</v>
      </c>
      <c r="AK194" s="14" t="str">
        <f>IF(基础状态预期!U207="","",H$27+(基础状态预期!U207-1)*H$28)</f>
        <v/>
      </c>
      <c r="AL194" s="14" t="str">
        <f>IF(基础状态预期!V207="","",I$27+(基础状态预期!V207-1)*I$28)</f>
        <v/>
      </c>
      <c r="AM194" s="14" t="str">
        <f>IF(基础状态预期!W207="","",J$27+(基础状态预期!W207-1)*J$28)</f>
        <v/>
      </c>
      <c r="AN194" s="14">
        <f>IF(基础状态预期!X207="","",K$27+(基础状态预期!X207-1)*K$28)</f>
        <v>2360.3673807139376</v>
      </c>
      <c r="AO194" s="14">
        <f>IF(基础状态预期!Y207="","",L$27+(基础状态预期!Y207-1)*L$28)</f>
        <v>2360.3673807139376</v>
      </c>
      <c r="AP194" s="14">
        <f>SUMPRODUCT(AK194:AO194,基础状态预期!$F207:$J207)/SUM(基础状态预期!$F207:$J207)</f>
        <v>2360.3673807139376</v>
      </c>
      <c r="AQ194" s="14" t="str">
        <f>IF(基础状态预期!U207="","",H$31+(基础状态预期!U207-1)*H$32)</f>
        <v/>
      </c>
      <c r="AR194" s="14" t="str">
        <f>IF(基础状态预期!V207="","",I$31+(基础状态预期!V207-1)*I$32)</f>
        <v/>
      </c>
      <c r="AS194" s="14" t="str">
        <f>IF(基础状态预期!W207="","",J$31+(基础状态预期!W207-1)*J$32)</f>
        <v/>
      </c>
      <c r="AT194" s="14">
        <f>IF(基础状态预期!X207="","",K$31+(基础状态预期!X207-1)*K$32)</f>
        <v>153.03673807139376</v>
      </c>
      <c r="AU194" s="14">
        <f>IF(基础状态预期!Y207="","",L$31+(基础状态预期!Y207-1)*L$32)</f>
        <v>156.03673807139376</v>
      </c>
      <c r="AV194" s="14">
        <f>SUMPRODUCT(AQ194:AU194,基础状态预期!$F207:$J207)/SUM(基础状态预期!$F207:$J207)</f>
        <v>155.03673807139376</v>
      </c>
      <c r="BA194" s="29">
        <v>110</v>
      </c>
      <c r="BB194" s="29">
        <f t="shared" si="83"/>
        <v>7370</v>
      </c>
      <c r="BC194" s="29">
        <f t="shared" si="84"/>
        <v>7370</v>
      </c>
      <c r="BD194" s="29">
        <f t="shared" si="85"/>
        <v>3190</v>
      </c>
      <c r="BE194" s="29">
        <f>(BB194-BB193)*INDEX([2]超r将兵属性验证!W$7:W$166,$BA194,1)+BE193</f>
        <v>23870426867.2658</v>
      </c>
      <c r="BF194" s="29">
        <f>(BC194-BC193)*INDEX([2]超r将兵属性验证!X$7:X$166,$BA194,1)+BF193</f>
        <v>23870426867.2658</v>
      </c>
      <c r="BG194" s="29">
        <f>(BD194-BD193)*INDEX([2]超r将兵属性验证!$AM$7:$AM$166,$BA194,1)+BG193</f>
        <v>15102593.499915704</v>
      </c>
      <c r="BH194" s="10">
        <f t="shared" si="91"/>
        <v>47755956328.031517</v>
      </c>
      <c r="BO194" s="29">
        <f t="shared" si="89"/>
        <v>68.518369035696878</v>
      </c>
      <c r="BP194" s="10">
        <f t="shared" si="90"/>
        <v>1816989155.5523891</v>
      </c>
      <c r="BQ194" s="10" t="e">
        <f>$BP194*求节点('[1]功能-付费相关'!$AY$6:$AY$105,'[1]功能-付费相关'!$BD$6:$BD$105,$BO194)+$BQ193</f>
        <v>#VALUE!</v>
      </c>
      <c r="BS194" s="29">
        <v>110</v>
      </c>
      <c r="BT194" s="29" t="e">
        <f t="shared" ref="BT194:BT199" si="92">求节点($BO$184:$BO$222,BQ$184:BQ$222,$BS194)</f>
        <v>#VALUE!</v>
      </c>
      <c r="BU194" s="29"/>
      <c r="BZ194" s="4">
        <f t="shared" si="68"/>
        <v>135326850</v>
      </c>
      <c r="CA194" s="4">
        <v>191</v>
      </c>
      <c r="CB194" s="90">
        <f t="shared" si="69"/>
        <v>1877664730</v>
      </c>
      <c r="CC194" s="4">
        <f>SUM(CB$4:CB194)</f>
        <v>24527204455</v>
      </c>
      <c r="CD194" s="4">
        <f t="shared" si="67"/>
        <v>1.039800472359353</v>
      </c>
    </row>
    <row r="195" spans="16:82" x14ac:dyDescent="0.15">
      <c r="P195" s="5">
        <v>15</v>
      </c>
      <c r="Q195" s="14">
        <f>基础状态预期!D208</f>
        <v>71.7664716439551</v>
      </c>
      <c r="R195" s="14">
        <f>IF(基础状态预期!U208="",0,求节点($B$5:$B$154,$D$5:$D$154,基础状态预期!U208)*基础状态预期!F208)</f>
        <v>0</v>
      </c>
      <c r="S195" s="14">
        <f>IF(基础状态预期!V208="",0,求节点($B$5:$B$154,$D$5:$D$154,基础状态预期!V208)*基础状态预期!G208)</f>
        <v>0</v>
      </c>
      <c r="T195" s="14">
        <f>IF(基础状态预期!W208="",0,求节点($B$5:$B$154,$D$5:$D$154,基础状态预期!W208)*基础状态预期!H208)</f>
        <v>0</v>
      </c>
      <c r="U195" s="14">
        <f>IF(基础状态预期!X208="",0,求节点($B$5:$B$154,$D$5:$D$154,基础状态预期!X208)*基础状态预期!I208)</f>
        <v>506695776.5472219</v>
      </c>
      <c r="V195" s="14">
        <f>IF(基础状态预期!Y208="",0,求节点($B$5:$B$154,$D$5:$D$154,基础状态预期!Y208)*基础状态预期!J208)</f>
        <v>2533478882.7361097</v>
      </c>
      <c r="W195" s="14">
        <f t="shared" si="88"/>
        <v>3040174659.2833319</v>
      </c>
      <c r="Y195" s="14" t="str">
        <f>IF(基础状态预期!U208="","",H$8+(基础状态预期!U208-1)*H$11)</f>
        <v/>
      </c>
      <c r="Z195" s="14" t="str">
        <f>IF(基础状态预期!V208="","",I$8+(基础状态预期!V208-1)*I$11)</f>
        <v/>
      </c>
      <c r="AA195" s="14" t="str">
        <f>IF(基础状态预期!W208="","",J$8+(基础状态预期!W208-1)*J$11)</f>
        <v/>
      </c>
      <c r="AB195" s="14">
        <f>IF(基础状态预期!X208="","",K$8+(基础状态预期!X208-1)*K$11)</f>
        <v>5075.9882986373059</v>
      </c>
      <c r="AC195" s="14">
        <f>IF(基础状态预期!Y208="","",L$8+(基础状态预期!Y208-1)*L$11)</f>
        <v>5075.9882986373059</v>
      </c>
      <c r="AD195" s="14">
        <f>SUMPRODUCT(Y195:AC195,基础状态预期!$F208:$J208)/SUM(基础状态预期!$F208:$J208)</f>
        <v>5075.9882986373059</v>
      </c>
      <c r="AE195" s="14" t="str">
        <f>IF(基础状态预期!U208="","",H$9+(基础状态预期!U208-1)*H$12)</f>
        <v/>
      </c>
      <c r="AF195" s="14" t="str">
        <f>IF(基础状态预期!V208="","",I$9+(基础状态预期!V208-1)*I$12)</f>
        <v/>
      </c>
      <c r="AG195" s="14" t="str">
        <f>IF(基础状态预期!W208="","",J$9+(基础状态预期!W208-1)*J$12)</f>
        <v/>
      </c>
      <c r="AH195" s="14">
        <f>IF(基础状态预期!X208="","",K$9+(基础状态预期!X208-1)*K$12)</f>
        <v>5075.9882986373059</v>
      </c>
      <c r="AI195" s="14">
        <f>IF(基础状态预期!Y208="","",L$9+(基础状态预期!Y208-1)*L$12)</f>
        <v>5075.9882986373059</v>
      </c>
      <c r="AJ195" s="14">
        <f>SUMPRODUCT(AE195:AI195,基础状态预期!$F208:$J208)/SUM(基础状态预期!$F208:$J208)</f>
        <v>5075.9882986373059</v>
      </c>
      <c r="AK195" s="14" t="str">
        <f>IF(基础状态预期!U208="","",H$27+(基础状态预期!U208-1)*H$28)</f>
        <v/>
      </c>
      <c r="AL195" s="14" t="str">
        <f>IF(基础状态预期!V208="","",I$27+(基础状态预期!V208-1)*I$28)</f>
        <v/>
      </c>
      <c r="AM195" s="14" t="str">
        <f>IF(基础状态预期!W208="","",J$27+(基础状态预期!W208-1)*J$28)</f>
        <v/>
      </c>
      <c r="AN195" s="14">
        <f>IF(基础状态预期!X208="","",K$27+(基础状态预期!X208-1)*K$28)</f>
        <v>2425.3294328791021</v>
      </c>
      <c r="AO195" s="14">
        <f>IF(基础状态预期!Y208="","",L$27+(基础状态预期!Y208-1)*L$28)</f>
        <v>2425.3294328791021</v>
      </c>
      <c r="AP195" s="14">
        <f>SUMPRODUCT(AK195:AO195,基础状态预期!$F208:$J208)/SUM(基础状态预期!$F208:$J208)</f>
        <v>2425.3294328791021</v>
      </c>
      <c r="AQ195" s="14" t="str">
        <f>IF(基础状态预期!U208="","",H$31+(基础状态预期!U208-1)*H$32)</f>
        <v/>
      </c>
      <c r="AR195" s="14" t="str">
        <f>IF(基础状态预期!V208="","",I$31+(基础状态预期!V208-1)*I$32)</f>
        <v/>
      </c>
      <c r="AS195" s="14" t="str">
        <f>IF(基础状态预期!W208="","",J$31+(基础状态预期!W208-1)*J$32)</f>
        <v/>
      </c>
      <c r="AT195" s="14">
        <f>IF(基础状态预期!X208="","",K$31+(基础状态预期!X208-1)*K$32)</f>
        <v>159.5329432879102</v>
      </c>
      <c r="AU195" s="14">
        <f>IF(基础状态预期!Y208="","",L$31+(基础状态预期!Y208-1)*L$32)</f>
        <v>162.5329432879102</v>
      </c>
      <c r="AV195" s="14">
        <f>SUMPRODUCT(AQ195:AU195,基础状态预期!$F208:$J208)/SUM(基础状态预期!$F208:$J208)</f>
        <v>162.03294328791023</v>
      </c>
      <c r="BA195" s="29">
        <v>120</v>
      </c>
      <c r="BB195" s="29">
        <f t="shared" si="83"/>
        <v>7970</v>
      </c>
      <c r="BC195" s="29">
        <f t="shared" si="84"/>
        <v>7970</v>
      </c>
      <c r="BD195" s="29">
        <f t="shared" si="85"/>
        <v>3390</v>
      </c>
      <c r="BE195" s="29">
        <f>(BB195-BB194)*INDEX([2]超r将兵属性验证!W$7:W$166,$BA195,1)+BE194</f>
        <v>33700705146.478764</v>
      </c>
      <c r="BF195" s="29">
        <f>(BC195-BC194)*INDEX([2]超r将兵属性验证!X$7:X$166,$BA195,1)+BF194</f>
        <v>33700705146.478764</v>
      </c>
      <c r="BG195" s="29">
        <f>(BD195-BD194)*INDEX([2]超r将兵属性验证!$AM$7:$AM$166,$BA195,1)+BG194</f>
        <v>17060968.544016179</v>
      </c>
      <c r="BH195" s="10">
        <f t="shared" si="91"/>
        <v>67418471261.501541</v>
      </c>
      <c r="BO195" s="29">
        <f t="shared" si="89"/>
        <v>71.7664716439551</v>
      </c>
      <c r="BP195" s="10">
        <f t="shared" si="90"/>
        <v>3040174659.2833319</v>
      </c>
      <c r="BQ195" s="10" t="e">
        <f>$BP195*求节点('[1]功能-付费相关'!$AY$6:$AY$105,'[1]功能-付费相关'!$BD$6:$BD$105,$BO195)+$BQ194</f>
        <v>#VALUE!</v>
      </c>
      <c r="BS195" s="29">
        <v>120</v>
      </c>
      <c r="BT195" s="29" t="e">
        <f t="shared" si="92"/>
        <v>#VALUE!</v>
      </c>
      <c r="BU195" s="29"/>
      <c r="BZ195" s="4">
        <f t="shared" si="68"/>
        <v>155625875</v>
      </c>
      <c r="CA195" s="4">
        <v>192</v>
      </c>
      <c r="CB195" s="90">
        <f t="shared" si="69"/>
        <v>2033290605</v>
      </c>
      <c r="CC195" s="4">
        <f>SUM(CB$4:CB195)</f>
        <v>26560495060</v>
      </c>
      <c r="CD195" s="4">
        <f t="shared" si="67"/>
        <v>1.0429770129127296</v>
      </c>
    </row>
    <row r="196" spans="16:82" x14ac:dyDescent="0.15">
      <c r="P196" s="5">
        <v>16</v>
      </c>
      <c r="Q196" s="14">
        <f>基础状态预期!D209</f>
        <v>74.370993278111257</v>
      </c>
      <c r="R196" s="14">
        <f>IF(基础状态预期!U209="",0,求节点($B$5:$B$154,$D$5:$D$154,基础状态预期!U209)*基础状态预期!F209)</f>
        <v>0</v>
      </c>
      <c r="S196" s="14">
        <f>IF(基础状态预期!V209="",0,求节点($B$5:$B$154,$D$5:$D$154,基础状态预期!V209)*基础状态预期!G209)</f>
        <v>0</v>
      </c>
      <c r="T196" s="14">
        <f>IF(基础状态预期!W209="",0,求节点($B$5:$B$154,$D$5:$D$154,基础状态预期!W209)*基础状态预期!H209)</f>
        <v>0</v>
      </c>
      <c r="U196" s="14">
        <f>IF(基础状态预期!X209="",0,求节点($B$5:$B$154,$D$5:$D$154,基础状态预期!X209)*基础状态预期!I209)</f>
        <v>385017789.33348566</v>
      </c>
      <c r="V196" s="14">
        <f>IF(基础状态预期!Y209="",0,求节点($B$5:$B$154,$D$5:$D$154,基础状态预期!Y209)*基础状态预期!J209)</f>
        <v>4235195682.6683421</v>
      </c>
      <c r="W196" s="14">
        <f t="shared" si="88"/>
        <v>4620213472.0018282</v>
      </c>
      <c r="Y196" s="14" t="str">
        <f>IF(基础状态预期!U209="","",H$8+(基础状态预期!U209-1)*H$11)</f>
        <v/>
      </c>
      <c r="Z196" s="14" t="str">
        <f>IF(基础状态预期!V209="","",I$8+(基础状态预期!V209-1)*I$11)</f>
        <v/>
      </c>
      <c r="AA196" s="14" t="str">
        <f>IF(基础状态预期!W209="","",J$8+(基础状态预期!W209-1)*J$11)</f>
        <v/>
      </c>
      <c r="AB196" s="14">
        <f>IF(基础状态预期!X209="","",K$8+(基础状态预期!X209-1)*K$11)</f>
        <v>5232.2595966866756</v>
      </c>
      <c r="AC196" s="14">
        <f>IF(基础状态预期!Y209="","",L$8+(基础状态预期!Y209-1)*L$11)</f>
        <v>5232.2595966866756</v>
      </c>
      <c r="AD196" s="14">
        <f>SUMPRODUCT(Y196:AC196,基础状态预期!$F209:$J209)/SUM(基础状态预期!$F209:$J209)</f>
        <v>5232.2595966866756</v>
      </c>
      <c r="AE196" s="14" t="str">
        <f>IF(基础状态预期!U209="","",H$9+(基础状态预期!U209-1)*H$12)</f>
        <v/>
      </c>
      <c r="AF196" s="14" t="str">
        <f>IF(基础状态预期!V209="","",I$9+(基础状态预期!V209-1)*I$12)</f>
        <v/>
      </c>
      <c r="AG196" s="14" t="str">
        <f>IF(基础状态预期!W209="","",J$9+(基础状态预期!W209-1)*J$12)</f>
        <v/>
      </c>
      <c r="AH196" s="14">
        <f>IF(基础状态预期!X209="","",K$9+(基础状态预期!X209-1)*K$12)</f>
        <v>5232.2595966866756</v>
      </c>
      <c r="AI196" s="14">
        <f>IF(基础状态预期!Y209="","",L$9+(基础状态预期!Y209-1)*L$12)</f>
        <v>5232.2595966866756</v>
      </c>
      <c r="AJ196" s="14">
        <f>SUMPRODUCT(AE196:AI196,基础状态预期!$F209:$J209)/SUM(基础状态预期!$F209:$J209)</f>
        <v>5232.2595966866756</v>
      </c>
      <c r="AK196" s="14" t="str">
        <f>IF(基础状态预期!U209="","",H$27+(基础状态预期!U209-1)*H$28)</f>
        <v/>
      </c>
      <c r="AL196" s="14" t="str">
        <f>IF(基础状态预期!V209="","",I$27+(基础状态预期!V209-1)*I$28)</f>
        <v/>
      </c>
      <c r="AM196" s="14" t="str">
        <f>IF(基础状态预期!W209="","",J$27+(基础状态预期!W209-1)*J$28)</f>
        <v/>
      </c>
      <c r="AN196" s="14">
        <f>IF(基础状态预期!X209="","",K$27+(基础状态预期!X209-1)*K$28)</f>
        <v>2477.4198655622249</v>
      </c>
      <c r="AO196" s="14">
        <f>IF(基础状态预期!Y209="","",L$27+(基础状态预期!Y209-1)*L$28)</f>
        <v>2477.4198655622249</v>
      </c>
      <c r="AP196" s="14">
        <f>SUMPRODUCT(AK196:AO196,基础状态预期!$F209:$J209)/SUM(基础状态预期!$F209:$J209)</f>
        <v>2477.4198655622249</v>
      </c>
      <c r="AQ196" s="14" t="str">
        <f>IF(基础状态预期!U209="","",H$31+(基础状态预期!U209-1)*H$32)</f>
        <v/>
      </c>
      <c r="AR196" s="14" t="str">
        <f>IF(基础状态预期!V209="","",I$31+(基础状态预期!V209-1)*I$32)</f>
        <v/>
      </c>
      <c r="AS196" s="14" t="str">
        <f>IF(基础状态预期!W209="","",J$31+(基础状态预期!W209-1)*J$32)</f>
        <v/>
      </c>
      <c r="AT196" s="14">
        <f>IF(基础状态预期!X209="","",K$31+(基础状态预期!X209-1)*K$32)</f>
        <v>164.74198655622251</v>
      </c>
      <c r="AU196" s="14">
        <f>IF(基础状态预期!Y209="","",L$31+(基础状态预期!Y209-1)*L$32)</f>
        <v>167.74198655622251</v>
      </c>
      <c r="AV196" s="14">
        <f>SUMPRODUCT(AQ196:AU196,基础状态预期!$F209:$J209)/SUM(基础状态预期!$F209:$J209)</f>
        <v>167.49198655622251</v>
      </c>
      <c r="BA196" s="29">
        <v>130</v>
      </c>
      <c r="BB196" s="29">
        <f t="shared" si="83"/>
        <v>8570</v>
      </c>
      <c r="BC196" s="29">
        <f t="shared" si="84"/>
        <v>8570</v>
      </c>
      <c r="BD196" s="29">
        <f t="shared" si="85"/>
        <v>3590</v>
      </c>
      <c r="BE196" s="29">
        <f>(BB196-BB195)*INDEX([2]超r将兵属性验证!W$7:W$166,$BA196,1)+BE195</f>
        <v>46356102149.725212</v>
      </c>
      <c r="BF196" s="29">
        <f>(BC196-BC195)*INDEX([2]超r将兵属性验证!X$7:X$166,$BA196,1)+BF195</f>
        <v>46356102149.725212</v>
      </c>
      <c r="BG196" s="29">
        <f>(BD196-BD195)*INDEX([2]超r将兵属性验证!$AM$7:$AM$166,$BA196,1)+BG195</f>
        <v>19153182.492040452</v>
      </c>
      <c r="BH196" s="10">
        <f t="shared" si="91"/>
        <v>92731357481.942459</v>
      </c>
      <c r="BO196" s="29">
        <f t="shared" si="89"/>
        <v>74.370993278111257</v>
      </c>
      <c r="BP196" s="10">
        <f t="shared" si="90"/>
        <v>4620213472.0018282</v>
      </c>
      <c r="BQ196" s="10" t="e">
        <f>$BP196*求节点('[1]功能-付费相关'!$AY$6:$AY$105,'[1]功能-付费相关'!$BD$6:$BD$105,$BO196)+$BQ195</f>
        <v>#VALUE!</v>
      </c>
      <c r="BS196" s="29">
        <v>130</v>
      </c>
      <c r="BT196" s="29" t="e">
        <f t="shared" si="92"/>
        <v>#VALUE!</v>
      </c>
      <c r="BU196" s="29"/>
      <c r="BZ196" s="4">
        <f t="shared" si="68"/>
        <v>155625875</v>
      </c>
      <c r="CA196" s="4">
        <v>193</v>
      </c>
      <c r="CB196" s="90">
        <f t="shared" si="69"/>
        <v>2188916480</v>
      </c>
      <c r="CC196" s="4">
        <f>SUM(CB$4:CB196)</f>
        <v>28749411540</v>
      </c>
      <c r="CD196" s="4">
        <f t="shared" si="67"/>
        <v>1.0395753402214631</v>
      </c>
    </row>
    <row r="197" spans="16:82" x14ac:dyDescent="0.15">
      <c r="P197" s="5">
        <v>17</v>
      </c>
      <c r="Q197" s="14">
        <f>基础状态预期!D210</f>
        <v>77.234275947206214</v>
      </c>
      <c r="R197" s="14">
        <f>IF(基础状态预期!U210="",0,求节点($B$5:$B$154,$D$5:$D$154,基础状态预期!U210)*基础状态预期!F210)</f>
        <v>0</v>
      </c>
      <c r="S197" s="14">
        <f>IF(基础状态预期!V210="",0,求节点($B$5:$B$154,$D$5:$D$154,基础状态预期!V210)*基础状态预期!G210)</f>
        <v>0</v>
      </c>
      <c r="T197" s="14">
        <f>IF(基础状态预期!W210="",0,求节点($B$5:$B$154,$D$5:$D$154,基础状态预期!W210)*基础状态预期!H210)</f>
        <v>0</v>
      </c>
      <c r="U197" s="14">
        <f>IF(基础状态预期!X210="",0,求节点($B$5:$B$154,$D$5:$D$154,基础状态预期!X210)*基础状态预期!I210)</f>
        <v>0</v>
      </c>
      <c r="V197" s="14">
        <f>IF(基础状态预期!Y210="",0,求节点($B$5:$B$154,$D$5:$D$154,基础状态预期!Y210)*基础状态预期!J210)</f>
        <v>7329971358.2910881</v>
      </c>
      <c r="W197" s="14">
        <f t="shared" si="88"/>
        <v>7329971358.2910881</v>
      </c>
      <c r="Y197" s="14" t="str">
        <f>IF(基础状态预期!U210="","",H$8+(基础状态预期!U210-1)*H$11)</f>
        <v/>
      </c>
      <c r="Z197" s="14" t="str">
        <f>IF(基础状态预期!V210="","",I$8+(基础状态预期!V210-1)*I$11)</f>
        <v/>
      </c>
      <c r="AA197" s="14" t="str">
        <f>IF(基础状态预期!W210="","",J$8+(基础状态预期!W210-1)*J$11)</f>
        <v/>
      </c>
      <c r="AB197" s="14" t="str">
        <f>IF(基础状态预期!X210="","",K$8+(基础状态预期!X210-1)*K$11)</f>
        <v/>
      </c>
      <c r="AC197" s="14">
        <f>IF(基础状态预期!Y210="","",L$8+(基础状态预期!Y210-1)*L$11)</f>
        <v>5404.0565568323727</v>
      </c>
      <c r="AD197" s="14">
        <f>SUMPRODUCT(Y197:AC197,基础状态预期!$F210:$J210)/SUM(基础状态预期!$F210:$J210)</f>
        <v>5404.0565568323727</v>
      </c>
      <c r="AE197" s="14" t="str">
        <f>IF(基础状态预期!U210="","",H$9+(基础状态预期!U210-1)*H$12)</f>
        <v/>
      </c>
      <c r="AF197" s="14" t="str">
        <f>IF(基础状态预期!V210="","",I$9+(基础状态预期!V210-1)*I$12)</f>
        <v/>
      </c>
      <c r="AG197" s="14" t="str">
        <f>IF(基础状态预期!W210="","",J$9+(基础状态预期!W210-1)*J$12)</f>
        <v/>
      </c>
      <c r="AH197" s="14" t="str">
        <f>IF(基础状态预期!X210="","",K$9+(基础状态预期!X210-1)*K$12)</f>
        <v/>
      </c>
      <c r="AI197" s="14">
        <f>IF(基础状态预期!Y210="","",L$9+(基础状态预期!Y210-1)*L$12)</f>
        <v>5404.0565568323727</v>
      </c>
      <c r="AJ197" s="14">
        <f>SUMPRODUCT(AE197:AI197,基础状态预期!$F210:$J210)/SUM(基础状态预期!$F210:$J210)</f>
        <v>5404.0565568323727</v>
      </c>
      <c r="AK197" s="14" t="str">
        <f>IF(基础状态预期!U210="","",H$27+(基础状态预期!U210-1)*H$28)</f>
        <v/>
      </c>
      <c r="AL197" s="14" t="str">
        <f>IF(基础状态预期!V210="","",I$27+(基础状态预期!V210-1)*I$28)</f>
        <v/>
      </c>
      <c r="AM197" s="14" t="str">
        <f>IF(基础状态预期!W210="","",J$27+(基础状态预期!W210-1)*J$28)</f>
        <v/>
      </c>
      <c r="AN197" s="14" t="str">
        <f>IF(基础状态预期!X210="","",K$27+(基础状态预期!X210-1)*K$28)</f>
        <v/>
      </c>
      <c r="AO197" s="14">
        <f>IF(基础状态预期!Y210="","",L$27+(基础状态预期!Y210-1)*L$28)</f>
        <v>2534.6855189441244</v>
      </c>
      <c r="AP197" s="14">
        <f>SUMPRODUCT(AK197:AO197,基础状态预期!$F210:$J210)/SUM(基础状态预期!$F210:$J210)</f>
        <v>2534.6855189441244</v>
      </c>
      <c r="AQ197" s="14" t="str">
        <f>IF(基础状态预期!U210="","",H$31+(基础状态预期!U210-1)*H$32)</f>
        <v/>
      </c>
      <c r="AR197" s="14" t="str">
        <f>IF(基础状态预期!V210="","",I$31+(基础状态预期!V210-1)*I$32)</f>
        <v/>
      </c>
      <c r="AS197" s="14" t="str">
        <f>IF(基础状态预期!W210="","",J$31+(基础状态预期!W210-1)*J$32)</f>
        <v/>
      </c>
      <c r="AT197" s="14" t="str">
        <f>IF(基础状态预期!X210="","",K$31+(基础状态预期!X210-1)*K$32)</f>
        <v/>
      </c>
      <c r="AU197" s="14">
        <f>IF(基础状态预期!Y210="","",L$31+(基础状态预期!Y210-1)*L$32)</f>
        <v>173.46855189441243</v>
      </c>
      <c r="AV197" s="14">
        <f>SUMPRODUCT(AQ197:AU197,基础状态预期!$F210:$J210)/SUM(基础状态预期!$F210:$J210)</f>
        <v>173.4685518944124</v>
      </c>
      <c r="BA197" s="29">
        <v>140</v>
      </c>
      <c r="BB197" s="29">
        <f t="shared" si="83"/>
        <v>9170</v>
      </c>
      <c r="BC197" s="29">
        <f t="shared" si="84"/>
        <v>9170</v>
      </c>
      <c r="BD197" s="29">
        <f t="shared" si="85"/>
        <v>3789.9999999999995</v>
      </c>
      <c r="BE197" s="29">
        <f>(BB197-BB196)*INDEX([2]超r将兵属性验证!W$7:W$166,$BA197,1)+BE196</f>
        <v>61628089625.333885</v>
      </c>
      <c r="BF197" s="29">
        <f>(BC197-BC196)*INDEX([2]超r将兵属性验证!X$7:X$166,$BA197,1)+BF196</f>
        <v>61628089625.333885</v>
      </c>
      <c r="BG197" s="29">
        <f>(BD197-BD196)*INDEX([2]超r将兵属性验证!$AM$7:$AM$166,$BA197,1)+BG196</f>
        <v>21378490.176971924</v>
      </c>
      <c r="BH197" s="10">
        <f t="shared" si="91"/>
        <v>123277557740.84474</v>
      </c>
      <c r="BO197" s="29">
        <f t="shared" si="89"/>
        <v>77.234275947206214</v>
      </c>
      <c r="BP197" s="10">
        <f t="shared" si="90"/>
        <v>7329971358.2910881</v>
      </c>
      <c r="BQ197" s="10" t="e">
        <f>$BP197*求节点('[1]功能-付费相关'!$AY$6:$AY$105,'[1]功能-付费相关'!$BD$6:$BD$105,$BO197)+$BQ196</f>
        <v>#VALUE!</v>
      </c>
      <c r="BS197" s="29">
        <v>140</v>
      </c>
      <c r="BT197" s="29" t="e">
        <f t="shared" si="92"/>
        <v>#VALUE!</v>
      </c>
      <c r="BU197" s="29"/>
      <c r="BZ197" s="4">
        <f t="shared" si="68"/>
        <v>178969750</v>
      </c>
      <c r="CA197" s="4">
        <v>194</v>
      </c>
      <c r="CB197" s="90">
        <f t="shared" si="69"/>
        <v>2367886230</v>
      </c>
      <c r="CC197" s="4">
        <f>SUM(CB$4:CB197)</f>
        <v>31117297770</v>
      </c>
      <c r="CD197" s="4">
        <f t="shared" ref="CD197:CD203" si="93">CC197/求节点($B$5:$B$154,$D$5:$D$154,CA197)</f>
        <v>1.04266953019574</v>
      </c>
    </row>
    <row r="198" spans="16:82" x14ac:dyDescent="0.15">
      <c r="P198" s="5">
        <v>18</v>
      </c>
      <c r="Q198" s="14">
        <f>基础状态预期!D211</f>
        <v>79.725666247801229</v>
      </c>
      <c r="R198" s="14">
        <f>IF(基础状态预期!U211="",0,求节点($B$5:$B$154,$D$5:$D$154,基础状态预期!U211)*基础状态预期!F211)</f>
        <v>0</v>
      </c>
      <c r="S198" s="14">
        <f>IF(基础状态预期!V211="",0,求节点($B$5:$B$154,$D$5:$D$154,基础状态预期!V211)*基础状态预期!G211)</f>
        <v>0</v>
      </c>
      <c r="T198" s="14">
        <f>IF(基础状态预期!W211="",0,求节点($B$5:$B$154,$D$5:$D$154,基础状态预期!W211)*基础状态预期!H211)</f>
        <v>0</v>
      </c>
      <c r="U198" s="14">
        <f>IF(基础状态预期!X211="",0,求节点($B$5:$B$154,$D$5:$D$154,基础状态预期!X211)*基础状态预期!I211)</f>
        <v>0</v>
      </c>
      <c r="V198" s="14">
        <f>IF(基础状态预期!Y211="",0,求节点($B$5:$B$154,$D$5:$D$154,基础状态预期!Y211)*基础状态预期!J211)</f>
        <v>10980323421.88818</v>
      </c>
      <c r="W198" s="14">
        <f t="shared" si="88"/>
        <v>10980323421.88818</v>
      </c>
      <c r="Y198" s="14" t="str">
        <f>IF(基础状态预期!U211="","",H$8+(基础状态预期!U211-1)*H$11)</f>
        <v/>
      </c>
      <c r="Z198" s="14" t="str">
        <f>IF(基础状态预期!V211="","",I$8+(基础状态预期!V211-1)*I$11)</f>
        <v/>
      </c>
      <c r="AA198" s="14" t="str">
        <f>IF(基础状态预期!W211="","",J$8+(基础状态预期!W211-1)*J$11)</f>
        <v/>
      </c>
      <c r="AB198" s="14" t="str">
        <f>IF(基础状态预期!X211="","",K$8+(基础状态预期!X211-1)*K$11)</f>
        <v/>
      </c>
      <c r="AC198" s="14">
        <f>IF(基础状态预期!Y211="","",L$8+(基础状态预期!Y211-1)*L$11)</f>
        <v>5553.5399748680738</v>
      </c>
      <c r="AD198" s="14">
        <f>SUMPRODUCT(Y198:AC198,基础状态预期!$F211:$J211)/SUM(基础状态预期!$F211:$J211)</f>
        <v>5553.5399748680748</v>
      </c>
      <c r="AE198" s="14" t="str">
        <f>IF(基础状态预期!U211="","",H$9+(基础状态预期!U211-1)*H$12)</f>
        <v/>
      </c>
      <c r="AF198" s="14" t="str">
        <f>IF(基础状态预期!V211="","",I$9+(基础状态预期!V211-1)*I$12)</f>
        <v/>
      </c>
      <c r="AG198" s="14" t="str">
        <f>IF(基础状态预期!W211="","",J$9+(基础状态预期!W211-1)*J$12)</f>
        <v/>
      </c>
      <c r="AH198" s="14" t="str">
        <f>IF(基础状态预期!X211="","",K$9+(基础状态预期!X211-1)*K$12)</f>
        <v/>
      </c>
      <c r="AI198" s="14">
        <f>IF(基础状态预期!Y211="","",L$9+(基础状态预期!Y211-1)*L$12)</f>
        <v>5553.5399748680738</v>
      </c>
      <c r="AJ198" s="14">
        <f>SUMPRODUCT(AE198:AI198,基础状态预期!$F211:$J211)/SUM(基础状态预期!$F211:$J211)</f>
        <v>5553.5399748680748</v>
      </c>
      <c r="AK198" s="14" t="str">
        <f>IF(基础状态预期!U211="","",H$27+(基础状态预期!U211-1)*H$28)</f>
        <v/>
      </c>
      <c r="AL198" s="14" t="str">
        <f>IF(基础状态预期!V211="","",I$27+(基础状态预期!V211-1)*I$28)</f>
        <v/>
      </c>
      <c r="AM198" s="14" t="str">
        <f>IF(基础状态预期!W211="","",J$27+(基础状态预期!W211-1)*J$28)</f>
        <v/>
      </c>
      <c r="AN198" s="14" t="str">
        <f>IF(基础状态预期!X211="","",K$27+(基础状态预期!X211-1)*K$28)</f>
        <v/>
      </c>
      <c r="AO198" s="14">
        <f>IF(基础状态预期!Y211="","",L$27+(基础状态预期!Y211-1)*L$28)</f>
        <v>2584.5133249560245</v>
      </c>
      <c r="AP198" s="14">
        <f>SUMPRODUCT(AK198:AO198,基础状态预期!$F211:$J211)/SUM(基础状态预期!$F211:$J211)</f>
        <v>2584.5133249560245</v>
      </c>
      <c r="AQ198" s="14" t="str">
        <f>IF(基础状态预期!U211="","",H$31+(基础状态预期!U211-1)*H$32)</f>
        <v/>
      </c>
      <c r="AR198" s="14" t="str">
        <f>IF(基础状态预期!V211="","",I$31+(基础状态预期!V211-1)*I$32)</f>
        <v/>
      </c>
      <c r="AS198" s="14" t="str">
        <f>IF(基础状态预期!W211="","",J$31+(基础状态预期!W211-1)*J$32)</f>
        <v/>
      </c>
      <c r="AT198" s="14" t="str">
        <f>IF(基础状态预期!X211="","",K$31+(基础状态预期!X211-1)*K$32)</f>
        <v/>
      </c>
      <c r="AU198" s="14">
        <f>IF(基础状态预期!Y211="","",L$31+(基础状态预期!Y211-1)*L$32)</f>
        <v>178.45133249560246</v>
      </c>
      <c r="AV198" s="14">
        <f>SUMPRODUCT(AQ198:AU198,基础状态预期!$F211:$J211)/SUM(基础状态预期!$F211:$J211)</f>
        <v>178.45133249560249</v>
      </c>
      <c r="BA198" s="29">
        <v>150</v>
      </c>
      <c r="BB198" s="29">
        <f t="shared" si="83"/>
        <v>9744.6735880165106</v>
      </c>
      <c r="BC198" s="29">
        <f t="shared" si="84"/>
        <v>9744.6735880165106</v>
      </c>
      <c r="BD198" s="29">
        <f t="shared" si="85"/>
        <v>3981.5578626721704</v>
      </c>
      <c r="BE198" s="29">
        <f>(BB198-BB197)*INDEX([2]超r将兵属性验证!W$7:W$166,$BA198,1)+BE197</f>
        <v>79072004899.109604</v>
      </c>
      <c r="BF198" s="29">
        <f>(BC198-BC197)*INDEX([2]超r将兵属性验证!X$7:X$166,$BA198,1)+BF197</f>
        <v>79072004899.109604</v>
      </c>
      <c r="BG198" s="29">
        <f>(BD198-BD197)*INDEX([2]超r将兵属性验证!$AM$7:$AM$166,$BA198,1)+BG197</f>
        <v>23637426.433987256</v>
      </c>
      <c r="BH198" s="10">
        <f t="shared" si="91"/>
        <v>158167647224.6532</v>
      </c>
      <c r="BO198" s="29">
        <f t="shared" si="89"/>
        <v>79.725666247801229</v>
      </c>
      <c r="BP198" s="10">
        <f t="shared" si="90"/>
        <v>10980323421.88818</v>
      </c>
      <c r="BQ198" s="10" t="e">
        <f>$BP198*求节点('[1]功能-付费相关'!$AY$6:$AY$105,'[1]功能-付费相关'!$BD$6:$BD$105,$BO198)+$BQ197</f>
        <v>#VALUE!</v>
      </c>
      <c r="BS198" s="29">
        <v>150</v>
      </c>
      <c r="BT198" s="29" t="e">
        <f t="shared" si="92"/>
        <v>#VALUE!</v>
      </c>
      <c r="BU198" s="29"/>
      <c r="BZ198" s="4">
        <f t="shared" ref="BZ198:BZ261" si="94">INDEX($A$6:$A$154,CA198/2,1)/4</f>
        <v>178969750</v>
      </c>
      <c r="CA198" s="4">
        <v>195</v>
      </c>
      <c r="CB198" s="90">
        <f t="shared" ref="CB198:CB261" si="95">BZ198+CB197</f>
        <v>2546855980</v>
      </c>
      <c r="CC198" s="4">
        <f>SUM(CB$4:CB198)</f>
        <v>33664153750</v>
      </c>
      <c r="CD198" s="4">
        <f t="shared" si="93"/>
        <v>1.0393144600876343</v>
      </c>
    </row>
    <row r="199" spans="16:82" x14ac:dyDescent="0.15">
      <c r="P199" s="5">
        <v>19</v>
      </c>
      <c r="Q199" s="14">
        <f>基础状态预期!D212</f>
        <v>81.863982387630472</v>
      </c>
      <c r="R199" s="14">
        <f>IF(基础状态预期!U212="",0,求节点($B$5:$B$154,$D$5:$D$154,基础状态预期!U212)*基础状态预期!F212)</f>
        <v>0</v>
      </c>
      <c r="S199" s="14">
        <f>IF(基础状态预期!V212="",0,求节点($B$5:$B$154,$D$5:$D$154,基础状态预期!V212)*基础状态预期!G212)</f>
        <v>0</v>
      </c>
      <c r="T199" s="14">
        <f>IF(基础状态预期!W212="",0,求节点($B$5:$B$154,$D$5:$D$154,基础状态预期!W212)*基础状态预期!H212)</f>
        <v>0</v>
      </c>
      <c r="U199" s="14">
        <f>IF(基础状态预期!X212="",0,求节点($B$5:$B$154,$D$5:$D$154,基础状态预期!X212)*基础状态预期!I212)</f>
        <v>0</v>
      </c>
      <c r="V199" s="14">
        <f>IF(基础状态预期!Y212="",0,求节点($B$5:$B$154,$D$5:$D$154,基础状态预期!Y212)*基础状态预期!J212)</f>
        <v>15529639454.529345</v>
      </c>
      <c r="W199" s="14">
        <f t="shared" si="88"/>
        <v>15529639454.529345</v>
      </c>
      <c r="Y199" s="14" t="str">
        <f>IF(基础状态预期!U212="","",H$8+(基础状态预期!U212-1)*H$11)</f>
        <v/>
      </c>
      <c r="Z199" s="14" t="str">
        <f>IF(基础状态预期!V212="","",I$8+(基础状态预期!V212-1)*I$11)</f>
        <v/>
      </c>
      <c r="AA199" s="14" t="str">
        <f>IF(基础状态预期!W212="","",J$8+(基础状态预期!W212-1)*J$11)</f>
        <v/>
      </c>
      <c r="AB199" s="14" t="str">
        <f>IF(基础状态预期!X212="","",K$8+(基础状态预期!X212-1)*K$11)</f>
        <v/>
      </c>
      <c r="AC199" s="14">
        <f>IF(基础状态预期!Y212="","",L$8+(基础状态预期!Y212-1)*L$11)</f>
        <v>5681.8389432578279</v>
      </c>
      <c r="AD199" s="14">
        <f>SUMPRODUCT(Y199:AC199,基础状态预期!$F212:$J212)/SUM(基础状态预期!$F212:$J212)</f>
        <v>5681.8389432578288</v>
      </c>
      <c r="AE199" s="14" t="str">
        <f>IF(基础状态预期!U212="","",H$9+(基础状态预期!U212-1)*H$12)</f>
        <v/>
      </c>
      <c r="AF199" s="14" t="str">
        <f>IF(基础状态预期!V212="","",I$9+(基础状态预期!V212-1)*I$12)</f>
        <v/>
      </c>
      <c r="AG199" s="14" t="str">
        <f>IF(基础状态预期!W212="","",J$9+(基础状态预期!W212-1)*J$12)</f>
        <v/>
      </c>
      <c r="AH199" s="14" t="str">
        <f>IF(基础状态预期!X212="","",K$9+(基础状态预期!X212-1)*K$12)</f>
        <v/>
      </c>
      <c r="AI199" s="14">
        <f>IF(基础状态预期!Y212="","",L$9+(基础状态预期!Y212-1)*L$12)</f>
        <v>5681.8389432578279</v>
      </c>
      <c r="AJ199" s="14">
        <f>SUMPRODUCT(AE199:AI199,基础状态预期!$F212:$J212)/SUM(基础状态预期!$F212:$J212)</f>
        <v>5681.8389432578288</v>
      </c>
      <c r="AK199" s="14" t="str">
        <f>IF(基础状态预期!U212="","",H$27+(基础状态预期!U212-1)*H$28)</f>
        <v/>
      </c>
      <c r="AL199" s="14" t="str">
        <f>IF(基础状态预期!V212="","",I$27+(基础状态预期!V212-1)*I$28)</f>
        <v/>
      </c>
      <c r="AM199" s="14" t="str">
        <f>IF(基础状态预期!W212="","",J$27+(基础状态预期!W212-1)*J$28)</f>
        <v/>
      </c>
      <c r="AN199" s="14" t="str">
        <f>IF(基础状态预期!X212="","",K$27+(基础状态预期!X212-1)*K$28)</f>
        <v/>
      </c>
      <c r="AO199" s="14">
        <f>IF(基础状态预期!Y212="","",L$27+(基础状态预期!Y212-1)*L$28)</f>
        <v>2627.2796477526094</v>
      </c>
      <c r="AP199" s="14">
        <f>SUMPRODUCT(AK199:AO199,基础状态预期!$F212:$J212)/SUM(基础状态预期!$F212:$J212)</f>
        <v>2627.2796477526094</v>
      </c>
      <c r="AQ199" s="14" t="str">
        <f>IF(基础状态预期!U212="","",H$31+(基础状态预期!U212-1)*H$32)</f>
        <v/>
      </c>
      <c r="AR199" s="14" t="str">
        <f>IF(基础状态预期!V212="","",I$31+(基础状态预期!V212-1)*I$32)</f>
        <v/>
      </c>
      <c r="AS199" s="14" t="str">
        <f>IF(基础状态预期!W212="","",J$31+(基础状态预期!W212-1)*J$32)</f>
        <v/>
      </c>
      <c r="AT199" s="14" t="str">
        <f>IF(基础状态预期!X212="","",K$31+(基础状态预期!X212-1)*K$32)</f>
        <v/>
      </c>
      <c r="AU199" s="14">
        <f>IF(基础状态预期!Y212="","",L$31+(基础状态预期!Y212-1)*L$32)</f>
        <v>182.72796477526094</v>
      </c>
      <c r="AV199" s="14">
        <f>SUMPRODUCT(AQ199:AU199,基础状态预期!$F212:$J212)/SUM(基础状态预期!$F212:$J212)</f>
        <v>182.72796477526094</v>
      </c>
      <c r="BA199" s="29">
        <v>160</v>
      </c>
      <c r="BB199" s="29">
        <f t="shared" si="83"/>
        <v>9770</v>
      </c>
      <c r="BC199" s="29">
        <f t="shared" si="84"/>
        <v>9770</v>
      </c>
      <c r="BD199" s="29">
        <f t="shared" si="85"/>
        <v>3990</v>
      </c>
      <c r="BE199" s="29">
        <f>(BB199-BB198)*INDEX([2]超r将兵属性验证!W$7:W$166,$BA199,1)+BE198</f>
        <v>79908109635.21347</v>
      </c>
      <c r="BF199" s="29">
        <f>(BC199-BC198)*INDEX([2]超r将兵属性验证!X$7:X$166,$BA199,1)+BF198</f>
        <v>79908109635.21347</v>
      </c>
      <c r="BG199" s="29">
        <f>(BD199-BD198)*INDEX([2]超r将兵属性验证!$AM$7:$AM$166,$BA199,1)+BG198</f>
        <v>23737803.446815152</v>
      </c>
      <c r="BH199" s="10">
        <f t="shared" si="91"/>
        <v>159839957073.87375</v>
      </c>
      <c r="BO199" s="29">
        <f t="shared" si="89"/>
        <v>81.863982387630472</v>
      </c>
      <c r="BP199" s="10">
        <f t="shared" si="90"/>
        <v>15529639454.529345</v>
      </c>
      <c r="BQ199" s="10" t="e">
        <f>$BP199*求节点('[1]功能-付费相关'!$AY$6:$AY$105,'[1]功能-付费相关'!$BD$6:$BD$105,$BO199)+$BQ198</f>
        <v>#VALUE!</v>
      </c>
      <c r="BS199" s="29">
        <v>160</v>
      </c>
      <c r="BT199" s="29" t="e">
        <f t="shared" si="92"/>
        <v>#VALUE!</v>
      </c>
      <c r="BU199" s="29"/>
      <c r="BZ199" s="4">
        <f t="shared" si="94"/>
        <v>205815200</v>
      </c>
      <c r="CA199" s="4">
        <v>196</v>
      </c>
      <c r="CB199" s="90">
        <f t="shared" si="95"/>
        <v>2752671180</v>
      </c>
      <c r="CC199" s="4">
        <f>SUM(CB$4:CB199)</f>
        <v>36416824930</v>
      </c>
      <c r="CD199" s="4">
        <f t="shared" si="93"/>
        <v>1.0423394805440147</v>
      </c>
    </row>
    <row r="200" spans="16:82" x14ac:dyDescent="0.15">
      <c r="P200" s="5">
        <v>20</v>
      </c>
      <c r="Q200" s="14">
        <f>基础状态预期!D213</f>
        <v>83.667042947574714</v>
      </c>
      <c r="R200" s="14">
        <f>IF(基础状态预期!U213="",0,求节点($B$5:$B$154,$D$5:$D$154,基础状态预期!U213)*基础状态预期!F213)</f>
        <v>0</v>
      </c>
      <c r="S200" s="14">
        <f>IF(基础状态预期!V213="",0,求节点($B$5:$B$154,$D$5:$D$154,基础状态预期!V213)*基础状态预期!G213)</f>
        <v>0</v>
      </c>
      <c r="T200" s="14">
        <f>IF(基础状态预期!W213="",0,求节点($B$5:$B$154,$D$5:$D$154,基础状态预期!W213)*基础状态预期!H213)</f>
        <v>0</v>
      </c>
      <c r="U200" s="14">
        <f>IF(基础状态预期!X213="",0,求节点($B$5:$B$154,$D$5:$D$154,基础状态预期!X213)*基础状态预期!I213)</f>
        <v>0</v>
      </c>
      <c r="V200" s="14">
        <f>IF(基础状态预期!Y213="",0,求节点($B$5:$B$154,$D$5:$D$154,基础状态预期!Y213)*基础状态预期!J213)</f>
        <v>20861002665.773098</v>
      </c>
      <c r="W200" s="14">
        <f t="shared" ref="W200:W222" si="96">SUM(R200:V200)</f>
        <v>20861002665.773098</v>
      </c>
      <c r="Y200" s="14" t="str">
        <f>IF(基础状态预期!U213="","",H$8+(基础状态预期!U213-1)*H$11)</f>
        <v/>
      </c>
      <c r="Z200" s="14" t="str">
        <f>IF(基础状态预期!V213="","",I$8+(基础状态预期!V213-1)*I$11)</f>
        <v/>
      </c>
      <c r="AA200" s="14" t="str">
        <f>IF(基础状态预期!W213="","",J$8+(基础状态预期!W213-1)*J$11)</f>
        <v/>
      </c>
      <c r="AB200" s="14" t="str">
        <f>IF(基础状态预期!X213="","",K$8+(基础状态预期!X213-1)*K$11)</f>
        <v/>
      </c>
      <c r="AC200" s="14">
        <f>IF(基础状态预期!Y213="","",L$8+(基础状态预期!Y213-1)*L$11)</f>
        <v>5790.0225768544824</v>
      </c>
      <c r="AD200" s="14">
        <f>SUMPRODUCT(Y200:AC200,基础状态预期!$F213:$J213)/SUM(基础状态预期!$F213:$J213)</f>
        <v>5790.0225768544815</v>
      </c>
      <c r="AE200" s="14" t="str">
        <f>IF(基础状态预期!U213="","",H$9+(基础状态预期!U213-1)*H$12)</f>
        <v/>
      </c>
      <c r="AF200" s="14" t="str">
        <f>IF(基础状态预期!V213="","",I$9+(基础状态预期!V213-1)*I$12)</f>
        <v/>
      </c>
      <c r="AG200" s="14" t="str">
        <f>IF(基础状态预期!W213="","",J$9+(基础状态预期!W213-1)*J$12)</f>
        <v/>
      </c>
      <c r="AH200" s="14" t="str">
        <f>IF(基础状态预期!X213="","",K$9+(基础状态预期!X213-1)*K$12)</f>
        <v/>
      </c>
      <c r="AI200" s="14">
        <f>IF(基础状态预期!Y213="","",L$9+(基础状态预期!Y213-1)*L$12)</f>
        <v>5790.0225768544824</v>
      </c>
      <c r="AJ200" s="14">
        <f>SUMPRODUCT(AE200:AI200,基础状态预期!$F213:$J213)/SUM(基础状态预期!$F213:$J213)</f>
        <v>5790.0225768544815</v>
      </c>
      <c r="AK200" s="14" t="str">
        <f>IF(基础状态预期!U213="","",H$27+(基础状态预期!U213-1)*H$28)</f>
        <v/>
      </c>
      <c r="AL200" s="14" t="str">
        <f>IF(基础状态预期!V213="","",I$27+(基础状态预期!V213-1)*I$28)</f>
        <v/>
      </c>
      <c r="AM200" s="14" t="str">
        <f>IF(基础状态预期!W213="","",J$27+(基础状态预期!W213-1)*J$28)</f>
        <v/>
      </c>
      <c r="AN200" s="14" t="str">
        <f>IF(基础状态预期!X213="","",K$27+(基础状态预期!X213-1)*K$28)</f>
        <v/>
      </c>
      <c r="AO200" s="14">
        <f>IF(基础状态预期!Y213="","",L$27+(基础状态预期!Y213-1)*L$28)</f>
        <v>2663.3408589514943</v>
      </c>
      <c r="AP200" s="14">
        <f>SUMPRODUCT(AK200:AO200,基础状态预期!$F213:$J213)/SUM(基础状态预期!$F213:$J213)</f>
        <v>2663.3408589514943</v>
      </c>
      <c r="AQ200" s="14" t="str">
        <f>IF(基础状态预期!U213="","",H$31+(基础状态预期!U213-1)*H$32)</f>
        <v/>
      </c>
      <c r="AR200" s="14" t="str">
        <f>IF(基础状态预期!V213="","",I$31+(基础状态预期!V213-1)*I$32)</f>
        <v/>
      </c>
      <c r="AS200" s="14" t="str">
        <f>IF(基础状态预期!W213="","",J$31+(基础状态预期!W213-1)*J$32)</f>
        <v/>
      </c>
      <c r="AT200" s="14" t="str">
        <f>IF(基础状态预期!X213="","",K$31+(基础状态预期!X213-1)*K$32)</f>
        <v/>
      </c>
      <c r="AU200" s="14">
        <f>IF(基础状态预期!Y213="","",L$31+(基础状态预期!Y213-1)*L$32)</f>
        <v>186.33408589514943</v>
      </c>
      <c r="AV200" s="14">
        <f>SUMPRODUCT(AQ200:AU200,基础状态预期!$F213:$J213)/SUM(基础状态预期!$F213:$J213)</f>
        <v>186.33408589514943</v>
      </c>
      <c r="BO200" s="29">
        <f t="shared" si="89"/>
        <v>83.667042947574714</v>
      </c>
      <c r="BP200" s="10">
        <f t="shared" si="90"/>
        <v>20861002665.773098</v>
      </c>
      <c r="BQ200" s="10" t="e">
        <f>$BP200*求节点('[1]功能-付费相关'!$AY$6:$AY$105,'[1]功能-付费相关'!$BD$6:$BD$105,$BO200)+$BQ199</f>
        <v>#VALUE!</v>
      </c>
      <c r="BZ200" s="4">
        <f t="shared" si="94"/>
        <v>205815200</v>
      </c>
      <c r="CA200" s="4">
        <v>197</v>
      </c>
      <c r="CB200" s="90">
        <f t="shared" si="95"/>
        <v>2958486380</v>
      </c>
      <c r="CC200" s="4">
        <f>SUM(CB$4:CB200)</f>
        <v>39375311310</v>
      </c>
      <c r="CD200" s="4">
        <f t="shared" si="93"/>
        <v>1.0390341037481823</v>
      </c>
    </row>
    <row r="201" spans="16:82" x14ac:dyDescent="0.15">
      <c r="P201" s="5">
        <v>21</v>
      </c>
      <c r="Q201" s="14">
        <f>基础状态预期!D214</f>
        <v>86.154780808490059</v>
      </c>
      <c r="R201" s="14">
        <f>IF(基础状态预期!U214="",0,求节点($B$5:$B$154,$D$5:$D$154,基础状态预期!U214)*基础状态预期!F214)</f>
        <v>0</v>
      </c>
      <c r="S201" s="14">
        <f>IF(基础状态预期!V214="",0,求节点($B$5:$B$154,$D$5:$D$154,基础状态预期!V214)*基础状态预期!G214)</f>
        <v>0</v>
      </c>
      <c r="T201" s="14">
        <f>IF(基础状态预期!W214="",0,求节点($B$5:$B$154,$D$5:$D$154,基础状态预期!W214)*基础状态预期!H214)</f>
        <v>0</v>
      </c>
      <c r="U201" s="14">
        <f>IF(基础状态预期!X214="",0,求节点($B$5:$B$154,$D$5:$D$154,基础状态预期!X214)*基础状态预期!I214)</f>
        <v>0</v>
      </c>
      <c r="V201" s="14">
        <f>IF(基础状态预期!Y214="",0,求节点($B$5:$B$154,$D$5:$D$154,基础状态预期!Y214)*基础状态预期!J214)</f>
        <v>31262405573.744522</v>
      </c>
      <c r="W201" s="14">
        <f t="shared" si="96"/>
        <v>31262405573.744522</v>
      </c>
      <c r="Y201" s="14" t="str">
        <f>IF(基础状态预期!U214="","",H$8+(基础状态预期!U214-1)*H$11)</f>
        <v/>
      </c>
      <c r="Z201" s="14" t="str">
        <f>IF(基础状态预期!V214="","",I$8+(基础状态预期!V214-1)*I$11)</f>
        <v/>
      </c>
      <c r="AA201" s="14" t="str">
        <f>IF(基础状态预期!W214="","",J$8+(基础状态预期!W214-1)*J$11)</f>
        <v/>
      </c>
      <c r="AB201" s="14" t="str">
        <f>IF(基础状态预期!X214="","",K$8+(基础状态预期!X214-1)*K$11)</f>
        <v/>
      </c>
      <c r="AC201" s="14">
        <f>IF(基础状态预期!Y214="","",L$8+(基础状态预期!Y214-1)*L$11)</f>
        <v>5939.2868485094032</v>
      </c>
      <c r="AD201" s="14">
        <f>SUMPRODUCT(Y201:AC201,基础状态预期!$F214:$J214)/SUM(基础状态预期!$F214:$J214)</f>
        <v>5939.2868485094032</v>
      </c>
      <c r="AE201" s="14" t="str">
        <f>IF(基础状态预期!U214="","",H$9+(基础状态预期!U214-1)*H$12)</f>
        <v/>
      </c>
      <c r="AF201" s="14" t="str">
        <f>IF(基础状态预期!V214="","",I$9+(基础状态预期!V214-1)*I$12)</f>
        <v/>
      </c>
      <c r="AG201" s="14" t="str">
        <f>IF(基础状态预期!W214="","",J$9+(基础状态预期!W214-1)*J$12)</f>
        <v/>
      </c>
      <c r="AH201" s="14" t="str">
        <f>IF(基础状态预期!X214="","",K$9+(基础状态预期!X214-1)*K$12)</f>
        <v/>
      </c>
      <c r="AI201" s="14">
        <f>IF(基础状态预期!Y214="","",L$9+(基础状态预期!Y214-1)*L$12)</f>
        <v>5939.2868485094032</v>
      </c>
      <c r="AJ201" s="14">
        <f>SUMPRODUCT(AE201:AI201,基础状态预期!$F214:$J214)/SUM(基础状态预期!$F214:$J214)</f>
        <v>5939.2868485094032</v>
      </c>
      <c r="AK201" s="14" t="str">
        <f>IF(基础状态预期!U214="","",H$27+(基础状态预期!U214-1)*H$28)</f>
        <v/>
      </c>
      <c r="AL201" s="14" t="str">
        <f>IF(基础状态预期!V214="","",I$27+(基础状态预期!V214-1)*I$28)</f>
        <v/>
      </c>
      <c r="AM201" s="14" t="str">
        <f>IF(基础状态预期!W214="","",J$27+(基础状态预期!W214-1)*J$28)</f>
        <v/>
      </c>
      <c r="AN201" s="14" t="str">
        <f>IF(基础状态预期!X214="","",K$27+(基础状态预期!X214-1)*K$28)</f>
        <v/>
      </c>
      <c r="AO201" s="14">
        <f>IF(基础状态预期!Y214="","",L$27+(基础状态预期!Y214-1)*L$28)</f>
        <v>2713.0956161698014</v>
      </c>
      <c r="AP201" s="14">
        <f>SUMPRODUCT(AK201:AO201,基础状态预期!$F214:$J214)/SUM(基础状态预期!$F214:$J214)</f>
        <v>2713.0956161698014</v>
      </c>
      <c r="AQ201" s="14" t="str">
        <f>IF(基础状态预期!U214="","",H$31+(基础状态预期!U214-1)*H$32)</f>
        <v/>
      </c>
      <c r="AR201" s="14" t="str">
        <f>IF(基础状态预期!V214="","",I$31+(基础状态预期!V214-1)*I$32)</f>
        <v/>
      </c>
      <c r="AS201" s="14" t="str">
        <f>IF(基础状态预期!W214="","",J$31+(基础状态预期!W214-1)*J$32)</f>
        <v/>
      </c>
      <c r="AT201" s="14" t="str">
        <f>IF(基础状态预期!X214="","",K$31+(基础状态预期!X214-1)*K$32)</f>
        <v/>
      </c>
      <c r="AU201" s="14">
        <f>IF(基础状态预期!Y214="","",L$31+(基础状态预期!Y214-1)*L$32)</f>
        <v>191.30956161698012</v>
      </c>
      <c r="AV201" s="14">
        <f>SUMPRODUCT(AQ201:AU201,基础状态预期!$F214:$J214)/SUM(基础状态预期!$F214:$J214)</f>
        <v>191.30956161698012</v>
      </c>
      <c r="BO201" s="29">
        <f t="shared" si="89"/>
        <v>86.154780808490059</v>
      </c>
      <c r="BP201" s="10">
        <f t="shared" si="90"/>
        <v>31262405573.744522</v>
      </c>
      <c r="BQ201" s="10" t="e">
        <f>$BP201*求节点('[1]功能-付费相关'!$AY$6:$AY$105,'[1]功能-付费相关'!$BD$6:$BD$105,$BO201)+$BQ200</f>
        <v>#VALUE!</v>
      </c>
      <c r="BZ201" s="4">
        <f t="shared" si="94"/>
        <v>236687475</v>
      </c>
      <c r="CA201" s="4">
        <v>198</v>
      </c>
      <c r="CB201" s="90">
        <f t="shared" si="95"/>
        <v>3195173855</v>
      </c>
      <c r="CC201" s="4">
        <f>SUM(CB$4:CB201)</f>
        <v>42570485165</v>
      </c>
      <c r="CD201" s="4">
        <f t="shared" si="93"/>
        <v>1.0420008617887768</v>
      </c>
    </row>
    <row r="202" spans="16:82" x14ac:dyDescent="0.15">
      <c r="P202" s="5">
        <v>22</v>
      </c>
      <c r="Q202" s="14">
        <f>基础状态预期!D215</f>
        <v>90.480184629206022</v>
      </c>
      <c r="R202" s="14">
        <f>IF(基础状态预期!U215="",0,求节点($B$5:$B$154,$D$5:$D$154,基础状态预期!U215)*基础状态预期!F215)</f>
        <v>0</v>
      </c>
      <c r="S202" s="14">
        <f>IF(基础状态预期!V215="",0,求节点($B$5:$B$154,$D$5:$D$154,基础状态预期!V215)*基础状态预期!G215)</f>
        <v>0</v>
      </c>
      <c r="T202" s="14">
        <f>IF(基础状态预期!W215="",0,求节点($B$5:$B$154,$D$5:$D$154,基础状态预期!W215)*基础状态预期!H215)</f>
        <v>0</v>
      </c>
      <c r="U202" s="14">
        <f>IF(基础状态预期!X215="",0,求节点($B$5:$B$154,$D$5:$D$154,基础状态预期!X215)*基础状态预期!I215)</f>
        <v>0</v>
      </c>
      <c r="V202" s="14">
        <f>IF(基础状态预期!Y215="",0,求节点($B$5:$B$154,$D$5:$D$154,基础状态预期!Y215)*基础状态预期!J215)</f>
        <v>63178918801.236679</v>
      </c>
      <c r="W202" s="14">
        <f t="shared" si="96"/>
        <v>63178918801.236679</v>
      </c>
      <c r="Y202" s="14" t="str">
        <f>IF(基础状态预期!U215="","",H$8+(基础状态预期!U215-1)*H$11)</f>
        <v/>
      </c>
      <c r="Z202" s="14" t="str">
        <f>IF(基础状态预期!V215="","",I$8+(基础状态预期!V215-1)*I$11)</f>
        <v/>
      </c>
      <c r="AA202" s="14" t="str">
        <f>IF(基础状态预期!W215="","",J$8+(基础状态预期!W215-1)*J$11)</f>
        <v/>
      </c>
      <c r="AB202" s="14" t="str">
        <f>IF(基础状态预期!X215="","",K$8+(基础状态预期!X215-1)*K$11)</f>
        <v/>
      </c>
      <c r="AC202" s="14">
        <f>IF(基础状态预期!Y215="","",L$8+(基础状态预期!Y215-1)*L$11)</f>
        <v>6198.8110777523616</v>
      </c>
      <c r="AD202" s="14">
        <f>SUMPRODUCT(Y202:AC202,基础状态预期!$F215:$J215)/SUM(基础状态预期!$F215:$J215)</f>
        <v>6198.8110777523616</v>
      </c>
      <c r="AE202" s="14" t="str">
        <f>IF(基础状态预期!U215="","",H$9+(基础状态预期!U215-1)*H$12)</f>
        <v/>
      </c>
      <c r="AF202" s="14" t="str">
        <f>IF(基础状态预期!V215="","",I$9+(基础状态预期!V215-1)*I$12)</f>
        <v/>
      </c>
      <c r="AG202" s="14" t="str">
        <f>IF(基础状态预期!W215="","",J$9+(基础状态预期!W215-1)*J$12)</f>
        <v/>
      </c>
      <c r="AH202" s="14" t="str">
        <f>IF(基础状态预期!X215="","",K$9+(基础状态预期!X215-1)*K$12)</f>
        <v/>
      </c>
      <c r="AI202" s="14">
        <f>IF(基础状态预期!Y215="","",L$9+(基础状态预期!Y215-1)*L$12)</f>
        <v>6198.8110777523616</v>
      </c>
      <c r="AJ202" s="14">
        <f>SUMPRODUCT(AE202:AI202,基础状态预期!$F215:$J215)/SUM(基础状态预期!$F215:$J215)</f>
        <v>6198.8110777523616</v>
      </c>
      <c r="AK202" s="14" t="str">
        <f>IF(基础状态预期!U215="","",H$27+(基础状态预期!U215-1)*H$28)</f>
        <v/>
      </c>
      <c r="AL202" s="14" t="str">
        <f>IF(基础状态预期!V215="","",I$27+(基础状态预期!V215-1)*I$28)</f>
        <v/>
      </c>
      <c r="AM202" s="14" t="str">
        <f>IF(基础状态预期!W215="","",J$27+(基础状态预期!W215-1)*J$28)</f>
        <v/>
      </c>
      <c r="AN202" s="14" t="str">
        <f>IF(基础状态预期!X215="","",K$27+(基础状态预期!X215-1)*K$28)</f>
        <v/>
      </c>
      <c r="AO202" s="14">
        <f>IF(基础状态预期!Y215="","",L$27+(基础状态预期!Y215-1)*L$28)</f>
        <v>2799.6036925841204</v>
      </c>
      <c r="AP202" s="14">
        <f>SUMPRODUCT(AK202:AO202,基础状态预期!$F215:$J215)/SUM(基础状态预期!$F215:$J215)</f>
        <v>2799.6036925841204</v>
      </c>
      <c r="AQ202" s="14" t="str">
        <f>IF(基础状态预期!U215="","",H$31+(基础状态预期!U215-1)*H$32)</f>
        <v/>
      </c>
      <c r="AR202" s="14" t="str">
        <f>IF(基础状态预期!V215="","",I$31+(基础状态预期!V215-1)*I$32)</f>
        <v/>
      </c>
      <c r="AS202" s="14" t="str">
        <f>IF(基础状态预期!W215="","",J$31+(基础状态预期!W215-1)*J$32)</f>
        <v/>
      </c>
      <c r="AT202" s="14" t="str">
        <f>IF(基础状态预期!X215="","",K$31+(基础状态预期!X215-1)*K$32)</f>
        <v/>
      </c>
      <c r="AU202" s="14">
        <f>IF(基础状态预期!Y215="","",L$31+(基础状态预期!Y215-1)*L$32)</f>
        <v>199.96036925841204</v>
      </c>
      <c r="AV202" s="14">
        <f>SUMPRODUCT(AQ202:AU202,基础状态预期!$F215:$J215)/SUM(基础状态预期!$F215:$J215)</f>
        <v>199.96036925841204</v>
      </c>
      <c r="BO202" s="29">
        <f t="shared" si="89"/>
        <v>90.480184629206022</v>
      </c>
      <c r="BP202" s="10">
        <f t="shared" si="90"/>
        <v>63178918801.236679</v>
      </c>
      <c r="BQ202" s="10" t="e">
        <f>$BP202*求节点('[1]功能-付费相关'!$AY$6:$AY$105,'[1]功能-付费相关'!$BD$6:$BD$105,$BO202)+$BQ201</f>
        <v>#VALUE!</v>
      </c>
      <c r="BZ202" s="4">
        <f t="shared" si="94"/>
        <v>236687475</v>
      </c>
      <c r="CA202" s="4">
        <v>199</v>
      </c>
      <c r="CB202" s="90">
        <f t="shared" si="95"/>
        <v>3431861330</v>
      </c>
      <c r="CC202" s="4">
        <f>SUM(CB$4:CB202)</f>
        <v>46002346495</v>
      </c>
      <c r="CD202" s="4">
        <f t="shared" si="93"/>
        <v>1.0387461133867202</v>
      </c>
    </row>
    <row r="203" spans="16:82" x14ac:dyDescent="0.15">
      <c r="P203" s="5">
        <v>23</v>
      </c>
      <c r="Q203" s="14">
        <f>基础状态预期!D216</f>
        <v>93.6774218048877</v>
      </c>
      <c r="R203" s="14">
        <f>IF(基础状态预期!U216="",0,求节点($B$5:$B$154,$D$5:$D$154,基础状态预期!U216)*基础状态预期!F216)</f>
        <v>0</v>
      </c>
      <c r="S203" s="14">
        <f>IF(基础状态预期!V216="",0,求节点($B$5:$B$154,$D$5:$D$154,基础状态预期!V216)*基础状态预期!G216)</f>
        <v>0</v>
      </c>
      <c r="T203" s="14">
        <f>IF(基础状态预期!W216="",0,求节点($B$5:$B$154,$D$5:$D$154,基础状态预期!W216)*基础状态预期!H216)</f>
        <v>0</v>
      </c>
      <c r="U203" s="14">
        <f>IF(基础状态预期!X216="",0,求节点($B$5:$B$154,$D$5:$D$154,基础状态预期!X216)*基础状态预期!I216)</f>
        <v>0</v>
      </c>
      <c r="V203" s="14">
        <f>IF(基础状态预期!Y216="",0,求节点($B$5:$B$154,$D$5:$D$154,基础状态预期!Y216)*基础状态预期!J216)</f>
        <v>105670523314.70715</v>
      </c>
      <c r="W203" s="14">
        <f t="shared" si="96"/>
        <v>105670523314.70715</v>
      </c>
      <c r="Y203" s="14" t="str">
        <f>IF(基础状态预期!U216="","",H$8+(基础状态预期!U216-1)*H$11)</f>
        <v/>
      </c>
      <c r="Z203" s="14" t="str">
        <f>IF(基础状态预期!V216="","",I$8+(基础状态预期!V216-1)*I$11)</f>
        <v/>
      </c>
      <c r="AA203" s="14" t="str">
        <f>IF(基础状态预期!W216="","",J$8+(基础状态预期!W216-1)*J$11)</f>
        <v/>
      </c>
      <c r="AB203" s="14" t="str">
        <f>IF(基础状态预期!X216="","",K$8+(基础状态预期!X216-1)*K$11)</f>
        <v/>
      </c>
      <c r="AC203" s="14">
        <f>IF(基础状态预期!Y216="","",L$8+(基础状态预期!Y216-1)*L$11)</f>
        <v>6390.6453082932621</v>
      </c>
      <c r="AD203" s="14">
        <f>SUMPRODUCT(Y203:AC203,基础状态预期!$F216:$J216)/SUM(基础状态预期!$F216:$J216)</f>
        <v>6390.6453082932612</v>
      </c>
      <c r="AE203" s="14" t="str">
        <f>IF(基础状态预期!U216="","",H$9+(基础状态预期!U216-1)*H$12)</f>
        <v/>
      </c>
      <c r="AF203" s="14" t="str">
        <f>IF(基础状态预期!V216="","",I$9+(基础状态预期!V216-1)*I$12)</f>
        <v/>
      </c>
      <c r="AG203" s="14" t="str">
        <f>IF(基础状态预期!W216="","",J$9+(基础状态预期!W216-1)*J$12)</f>
        <v/>
      </c>
      <c r="AH203" s="14" t="str">
        <f>IF(基础状态预期!X216="","",K$9+(基础状态预期!X216-1)*K$12)</f>
        <v/>
      </c>
      <c r="AI203" s="14">
        <f>IF(基础状态预期!Y216="","",L$9+(基础状态预期!Y216-1)*L$12)</f>
        <v>6390.6453082932621</v>
      </c>
      <c r="AJ203" s="14">
        <f>SUMPRODUCT(AE203:AI203,基础状态预期!$F216:$J216)/SUM(基础状态预期!$F216:$J216)</f>
        <v>6390.6453082932612</v>
      </c>
      <c r="AK203" s="14" t="str">
        <f>IF(基础状态预期!U216="","",H$27+(基础状态预期!U216-1)*H$28)</f>
        <v/>
      </c>
      <c r="AL203" s="14" t="str">
        <f>IF(基础状态预期!V216="","",I$27+(基础状态预期!V216-1)*I$28)</f>
        <v/>
      </c>
      <c r="AM203" s="14" t="str">
        <f>IF(基础状态预期!W216="","",J$27+(基础状态预期!W216-1)*J$28)</f>
        <v/>
      </c>
      <c r="AN203" s="14" t="str">
        <f>IF(基础状态预期!X216="","",K$27+(基础状态预期!X216-1)*K$28)</f>
        <v/>
      </c>
      <c r="AO203" s="14">
        <f>IF(基础状态预期!Y216="","",L$27+(基础状态预期!Y216-1)*L$28)</f>
        <v>2863.5484360977539</v>
      </c>
      <c r="AP203" s="14">
        <f>SUMPRODUCT(AK203:AO203,基础状态预期!$F216:$J216)/SUM(基础状态预期!$F216:$J216)</f>
        <v>2863.5484360977539</v>
      </c>
      <c r="AQ203" s="14" t="str">
        <f>IF(基础状态预期!U216="","",H$31+(基础状态预期!U216-1)*H$32)</f>
        <v/>
      </c>
      <c r="AR203" s="14" t="str">
        <f>IF(基础状态预期!V216="","",I$31+(基础状态预期!V216-1)*I$32)</f>
        <v/>
      </c>
      <c r="AS203" s="14" t="str">
        <f>IF(基础状态预期!W216="","",J$31+(基础状态预期!W216-1)*J$32)</f>
        <v/>
      </c>
      <c r="AT203" s="14" t="str">
        <f>IF(基础状态预期!X216="","",K$31+(基础状态预期!X216-1)*K$32)</f>
        <v/>
      </c>
      <c r="AU203" s="14">
        <f>IF(基础状态预期!Y216="","",L$31+(基础状态预期!Y216-1)*L$32)</f>
        <v>206.3548436097754</v>
      </c>
      <c r="AV203" s="14">
        <f>SUMPRODUCT(AQ203:AU203,基础状态预期!$F216:$J216)/SUM(基础状态预期!$F216:$J216)</f>
        <v>206.35484360977543</v>
      </c>
      <c r="BO203" s="29">
        <f t="shared" si="89"/>
        <v>93.6774218048877</v>
      </c>
      <c r="BP203" s="10">
        <f t="shared" si="90"/>
        <v>105670523314.70715</v>
      </c>
      <c r="BQ203" s="10" t="e">
        <f>$BP203*求节点('[1]功能-付费相关'!$AY$6:$AY$105,'[1]功能-付费相关'!$BD$6:$BD$105,$BO203)+$BQ202</f>
        <v>#VALUE!</v>
      </c>
      <c r="BZ203" s="4">
        <f t="shared" si="94"/>
        <v>272190575</v>
      </c>
      <c r="CA203" s="4">
        <v>200</v>
      </c>
      <c r="CB203" s="90">
        <f t="shared" si="95"/>
        <v>3704051905</v>
      </c>
      <c r="CC203" s="4">
        <f>SUM(CB$4:CB203)</f>
        <v>49706398400</v>
      </c>
      <c r="CD203" s="4">
        <f t="shared" si="93"/>
        <v>1.0416636381278543</v>
      </c>
    </row>
    <row r="204" spans="16:82" x14ac:dyDescent="0.15">
      <c r="P204" s="5">
        <v>24</v>
      </c>
      <c r="Q204" s="14">
        <f>基础状态预期!D217</f>
        <v>97.125654465362558</v>
      </c>
      <c r="R204" s="14">
        <f>IF(基础状态预期!U217="",0,求节点($B$5:$B$154,$D$5:$D$154,基础状态预期!U217)*基础状态预期!F217)</f>
        <v>0</v>
      </c>
      <c r="S204" s="14">
        <f>IF(基础状态预期!V217="",0,求节点($B$5:$B$154,$D$5:$D$154,基础状态预期!V217)*基础状态预期!G217)</f>
        <v>0</v>
      </c>
      <c r="T204" s="14">
        <f>IF(基础状态预期!W217="",0,求节点($B$5:$B$154,$D$5:$D$154,基础状态预期!W217)*基础状态预期!H217)</f>
        <v>0</v>
      </c>
      <c r="U204" s="14">
        <f>IF(基础状态预期!X217="",0,求节点($B$5:$B$154,$D$5:$D$154,基础状态预期!X217)*基础状态预期!I217)</f>
        <v>0</v>
      </c>
      <c r="V204" s="14">
        <f>IF(基础状态预期!Y217="",0,求节点($B$5:$B$154,$D$5:$D$154,基础状态预期!Y217)*基础状态预期!J217)</f>
        <v>182903528148.42508</v>
      </c>
      <c r="W204" s="14">
        <f t="shared" si="96"/>
        <v>182903528148.42508</v>
      </c>
      <c r="Y204" s="14" t="str">
        <f>IF(基础状态预期!U217="","",H$8+(基础状态预期!U217-1)*H$11)</f>
        <v/>
      </c>
      <c r="Z204" s="14" t="str">
        <f>IF(基础状态预期!V217="","",I$8+(基础状态预期!V217-1)*I$11)</f>
        <v/>
      </c>
      <c r="AA204" s="14" t="str">
        <f>IF(基础状态预期!W217="","",J$8+(基础状态预期!W217-1)*J$11)</f>
        <v/>
      </c>
      <c r="AB204" s="14" t="str">
        <f>IF(基础状态预期!X217="","",K$8+(基础状态预期!X217-1)*K$11)</f>
        <v/>
      </c>
      <c r="AC204" s="14">
        <f>IF(基础状态预期!Y217="","",L$8+(基础状态预期!Y217-1)*L$11)</f>
        <v>6597.5392679217539</v>
      </c>
      <c r="AD204" s="14">
        <f>SUMPRODUCT(Y204:AC204,基础状态预期!$F217:$J217)/SUM(基础状态预期!$F217:$J217)</f>
        <v>6597.5392679217539</v>
      </c>
      <c r="AE204" s="14" t="str">
        <f>IF(基础状态预期!U217="","",H$9+(基础状态预期!U217-1)*H$12)</f>
        <v/>
      </c>
      <c r="AF204" s="14" t="str">
        <f>IF(基础状态预期!V217="","",I$9+(基础状态预期!V217-1)*I$12)</f>
        <v/>
      </c>
      <c r="AG204" s="14" t="str">
        <f>IF(基础状态预期!W217="","",J$9+(基础状态预期!W217-1)*J$12)</f>
        <v/>
      </c>
      <c r="AH204" s="14" t="str">
        <f>IF(基础状态预期!X217="","",K$9+(基础状态预期!X217-1)*K$12)</f>
        <v/>
      </c>
      <c r="AI204" s="14">
        <f>IF(基础状态预期!Y217="","",L$9+(基础状态预期!Y217-1)*L$12)</f>
        <v>6597.5392679217539</v>
      </c>
      <c r="AJ204" s="14">
        <f>SUMPRODUCT(AE204:AI204,基础状态预期!$F217:$J217)/SUM(基础状态预期!$F217:$J217)</f>
        <v>6597.5392679217539</v>
      </c>
      <c r="AK204" s="14" t="str">
        <f>IF(基础状态预期!U217="","",H$27+(基础状态预期!U217-1)*H$28)</f>
        <v/>
      </c>
      <c r="AL204" s="14" t="str">
        <f>IF(基础状态预期!V217="","",I$27+(基础状态预期!V217-1)*I$28)</f>
        <v/>
      </c>
      <c r="AM204" s="14" t="str">
        <f>IF(基础状态预期!W217="","",J$27+(基础状态预期!W217-1)*J$28)</f>
        <v/>
      </c>
      <c r="AN204" s="14" t="str">
        <f>IF(基础状态预期!X217="","",K$27+(基础状态预期!X217-1)*K$28)</f>
        <v/>
      </c>
      <c r="AO204" s="14">
        <f>IF(基础状态预期!Y217="","",L$27+(基础状态预期!Y217-1)*L$28)</f>
        <v>2932.513089307251</v>
      </c>
      <c r="AP204" s="14">
        <f>SUMPRODUCT(AK204:AO204,基础状态预期!$F217:$J217)/SUM(基础状态预期!$F217:$J217)</f>
        <v>2932.513089307251</v>
      </c>
      <c r="AQ204" s="14" t="str">
        <f>IF(基础状态预期!U217="","",H$31+(基础状态预期!U217-1)*H$32)</f>
        <v/>
      </c>
      <c r="AR204" s="14" t="str">
        <f>IF(基础状态预期!V217="","",I$31+(基础状态预期!V217-1)*I$32)</f>
        <v/>
      </c>
      <c r="AS204" s="14" t="str">
        <f>IF(基础状态预期!W217="","",J$31+(基础状态预期!W217-1)*J$32)</f>
        <v/>
      </c>
      <c r="AT204" s="14" t="str">
        <f>IF(基础状态预期!X217="","",K$31+(基础状态预期!X217-1)*K$32)</f>
        <v/>
      </c>
      <c r="AU204" s="14">
        <f>IF(基础状态预期!Y217="","",L$31+(基础状态预期!Y217-1)*L$32)</f>
        <v>213.25130893072512</v>
      </c>
      <c r="AV204" s="14">
        <f>SUMPRODUCT(AQ204:AU204,基础状态预期!$F217:$J217)/SUM(基础状态预期!$F217:$J217)</f>
        <v>213.25130893072512</v>
      </c>
      <c r="BO204" s="29">
        <f t="shared" si="89"/>
        <v>97.125654465362558</v>
      </c>
      <c r="BP204" s="10">
        <f t="shared" si="90"/>
        <v>182903528148.42508</v>
      </c>
      <c r="BQ204" s="10" t="e">
        <f>$BP204*求节点('[1]功能-付费相关'!$AY$6:$AY$105,'[1]功能-付费相关'!$BD$6:$BD$105,$BO204)+$BQ203</f>
        <v>#VALUE!</v>
      </c>
      <c r="BZ204" s="4">
        <f t="shared" si="94"/>
        <v>272190575</v>
      </c>
      <c r="CA204" s="4">
        <v>201</v>
      </c>
      <c r="CB204" s="90">
        <f t="shared" si="95"/>
        <v>3976242480</v>
      </c>
      <c r="CC204" s="4">
        <f>SUM(CB$4:CB204)</f>
        <v>53682640880</v>
      </c>
      <c r="CD204" s="4">
        <f t="shared" ref="CD204:CD267" si="97">CC204/求节点($B$5:$B$154,$D$5:$D$154,CA204)</f>
        <v>1.0384589515039868</v>
      </c>
    </row>
    <row r="205" spans="16:82" x14ac:dyDescent="0.15">
      <c r="P205" s="5">
        <v>25</v>
      </c>
      <c r="Q205" s="14">
        <f>基础状态预期!D218</f>
        <v>100.89689545435591</v>
      </c>
      <c r="R205" s="14">
        <f>IF(基础状态预期!U218="",0,求节点($B$5:$B$154,$D$5:$D$154,基础状态预期!U218)*基础状态预期!F218)</f>
        <v>0</v>
      </c>
      <c r="S205" s="14">
        <f>IF(基础状态预期!V218="",0,求节点($B$5:$B$154,$D$5:$D$154,基础状态预期!V218)*基础状态预期!G218)</f>
        <v>0</v>
      </c>
      <c r="T205" s="14">
        <f>IF(基础状态预期!W218="",0,求节点($B$5:$B$154,$D$5:$D$154,基础状态预期!W218)*基础状态预期!H218)</f>
        <v>0</v>
      </c>
      <c r="U205" s="14">
        <f>IF(基础状态预期!X218="",0,求节点($B$5:$B$154,$D$5:$D$154,基础状态预期!X218)*基础状态预期!I218)</f>
        <v>0</v>
      </c>
      <c r="V205" s="14">
        <f>IF(基础状态预期!Y218="",0,求节点($B$5:$B$154,$D$5:$D$154,基础状态预期!Y218)*基础状态预期!J218)</f>
        <v>329104973084.00153</v>
      </c>
      <c r="W205" s="14">
        <f t="shared" si="96"/>
        <v>329104973084.00153</v>
      </c>
      <c r="Y205" s="14" t="str">
        <f>IF(基础状态预期!U218="","",H$8+(基础状态预期!U218-1)*H$11)</f>
        <v/>
      </c>
      <c r="Z205" s="14" t="str">
        <f>IF(基础状态预期!V218="","",I$8+(基础状态预期!V218-1)*I$11)</f>
        <v/>
      </c>
      <c r="AA205" s="14" t="str">
        <f>IF(基础状态预期!W218="","",J$8+(基础状态预期!W218-1)*J$11)</f>
        <v/>
      </c>
      <c r="AB205" s="14" t="str">
        <f>IF(基础状态预期!X218="","",K$8+(基础状态预期!X218-1)*K$11)</f>
        <v/>
      </c>
      <c r="AC205" s="14">
        <f>IF(基础状态预期!Y218="","",L$8+(基础状态预期!Y218-1)*L$11)</f>
        <v>6823.8137272613549</v>
      </c>
      <c r="AD205" s="14">
        <f>SUMPRODUCT(Y205:AC205,基础状态预期!$F218:$J218)/SUM(基础状态预期!$F218:$J218)</f>
        <v>6823.8137272613558</v>
      </c>
      <c r="AE205" s="14" t="str">
        <f>IF(基础状态预期!U218="","",H$9+(基础状态预期!U218-1)*H$12)</f>
        <v/>
      </c>
      <c r="AF205" s="14" t="str">
        <f>IF(基础状态预期!V218="","",I$9+(基础状态预期!V218-1)*I$12)</f>
        <v/>
      </c>
      <c r="AG205" s="14" t="str">
        <f>IF(基础状态预期!W218="","",J$9+(基础状态预期!W218-1)*J$12)</f>
        <v/>
      </c>
      <c r="AH205" s="14" t="str">
        <f>IF(基础状态预期!X218="","",K$9+(基础状态预期!X218-1)*K$12)</f>
        <v/>
      </c>
      <c r="AI205" s="14">
        <f>IF(基础状态预期!Y218="","",L$9+(基础状态预期!Y218-1)*L$12)</f>
        <v>6823.8137272613549</v>
      </c>
      <c r="AJ205" s="14">
        <f>SUMPRODUCT(AE205:AI205,基础状态预期!$F218:$J218)/SUM(基础状态预期!$F218:$J218)</f>
        <v>6823.8137272613558</v>
      </c>
      <c r="AK205" s="14" t="str">
        <f>IF(基础状态预期!U218="","",H$27+(基础状态预期!U218-1)*H$28)</f>
        <v/>
      </c>
      <c r="AL205" s="14" t="str">
        <f>IF(基础状态预期!V218="","",I$27+(基础状态预期!V218-1)*I$28)</f>
        <v/>
      </c>
      <c r="AM205" s="14" t="str">
        <f>IF(基础状态预期!W218="","",J$27+(基础状态预期!W218-1)*J$28)</f>
        <v/>
      </c>
      <c r="AN205" s="14" t="str">
        <f>IF(基础状态预期!X218="","",K$27+(基础状态预期!X218-1)*K$28)</f>
        <v/>
      </c>
      <c r="AO205" s="14">
        <f>IF(基础状态预期!Y218="","",L$27+(基础状态预期!Y218-1)*L$28)</f>
        <v>3007.937909087118</v>
      </c>
      <c r="AP205" s="14">
        <f>SUMPRODUCT(AK205:AO205,基础状态预期!$F218:$J218)/SUM(基础状态预期!$F218:$J218)</f>
        <v>3007.9379090871175</v>
      </c>
      <c r="AQ205" s="14" t="str">
        <f>IF(基础状态预期!U218="","",H$31+(基础状态预期!U218-1)*H$32)</f>
        <v/>
      </c>
      <c r="AR205" s="14" t="str">
        <f>IF(基础状态预期!V218="","",I$31+(基础状态预期!V218-1)*I$32)</f>
        <v/>
      </c>
      <c r="AS205" s="14" t="str">
        <f>IF(基础状态预期!W218="","",J$31+(基础状态预期!W218-1)*J$32)</f>
        <v/>
      </c>
      <c r="AT205" s="14" t="str">
        <f>IF(基础状态预期!X218="","",K$31+(基础状态预期!X218-1)*K$32)</f>
        <v/>
      </c>
      <c r="AU205" s="14">
        <f>IF(基础状态预期!Y218="","",L$31+(基础状态预期!Y218-1)*L$32)</f>
        <v>220.79379090871183</v>
      </c>
      <c r="AV205" s="14">
        <f>SUMPRODUCT(AQ205:AU205,基础状态预期!$F218:$J218)/SUM(基础状态预期!$F218:$J218)</f>
        <v>220.79379090871183</v>
      </c>
      <c r="BO205" s="29">
        <f t="shared" si="89"/>
        <v>100.89689545435591</v>
      </c>
      <c r="BP205" s="10">
        <f t="shared" si="90"/>
        <v>329104973084.00153</v>
      </c>
      <c r="BQ205" s="10" t="e">
        <f>$BP205*求节点('[1]功能-付费相关'!$AY$6:$AY$105,'[1]功能-付费相关'!$BD$6:$BD$105,$BO205)+$BQ204</f>
        <v>#VALUE!</v>
      </c>
      <c r="BZ205" s="4">
        <f t="shared" si="94"/>
        <v>313019150</v>
      </c>
      <c r="CA205" s="4">
        <v>202</v>
      </c>
      <c r="CB205" s="90">
        <f t="shared" si="95"/>
        <v>4289261630</v>
      </c>
      <c r="CC205" s="4">
        <f>SUM(CB$4:CB205)</f>
        <v>57971902510</v>
      </c>
      <c r="CD205" s="4">
        <f t="shared" si="97"/>
        <v>1.041334733955934</v>
      </c>
    </row>
    <row r="206" spans="16:82" x14ac:dyDescent="0.15">
      <c r="P206" s="5">
        <v>26</v>
      </c>
      <c r="Q206" s="14">
        <f>基础状态预期!D219</f>
        <v>104.52148587104635</v>
      </c>
      <c r="R206" s="14">
        <f>IF(基础状态预期!U219="",0,求节点($B$5:$B$154,$D$5:$D$154,基础状态预期!U219)*基础状态预期!F219)</f>
        <v>0</v>
      </c>
      <c r="S206" s="14">
        <f>IF(基础状态预期!V219="",0,求节点($B$5:$B$154,$D$5:$D$154,基础状态预期!V219)*基础状态预期!G219)</f>
        <v>0</v>
      </c>
      <c r="T206" s="14">
        <f>IF(基础状态预期!W219="",0,求节点($B$5:$B$154,$D$5:$D$154,基础状态预期!W219)*基础状态预期!H219)</f>
        <v>0</v>
      </c>
      <c r="U206" s="14">
        <f>IF(基础状态预期!X219="",0,求节点($B$5:$B$154,$D$5:$D$154,基础状态预期!X219)*基础状态预期!I219)</f>
        <v>0</v>
      </c>
      <c r="V206" s="14">
        <f>IF(基础状态预期!Y219="",0,求节点($B$5:$B$154,$D$5:$D$154,基础状态预期!Y219)*基础状态预期!J219)</f>
        <v>571365492690.91284</v>
      </c>
      <c r="W206" s="14">
        <f t="shared" si="96"/>
        <v>571365492690.91284</v>
      </c>
      <c r="Y206" s="14" t="str">
        <f>IF(基础状态预期!U219="","",H$8+(基础状态预期!U219-1)*H$11)</f>
        <v/>
      </c>
      <c r="Z206" s="14" t="str">
        <f>IF(基础状态预期!V219="","",I$8+(基础状态预期!V219-1)*I$11)</f>
        <v/>
      </c>
      <c r="AA206" s="14" t="str">
        <f>IF(基础状态预期!W219="","",J$8+(基础状态预期!W219-1)*J$11)</f>
        <v/>
      </c>
      <c r="AB206" s="14" t="str">
        <f>IF(基础状态预期!X219="","",K$8+(基础状态预期!X219-1)*K$11)</f>
        <v/>
      </c>
      <c r="AC206" s="14">
        <f>IF(基础状态预期!Y219="","",L$8+(基础状态预期!Y219-1)*L$11)</f>
        <v>7041.2891522627815</v>
      </c>
      <c r="AD206" s="14">
        <f>SUMPRODUCT(Y206:AC206,基础状态预期!$F219:$J219)/SUM(基础状态预期!$F219:$J219)</f>
        <v>7041.2891522627806</v>
      </c>
      <c r="AE206" s="14" t="str">
        <f>IF(基础状态预期!U219="","",H$9+(基础状态预期!U219-1)*H$12)</f>
        <v/>
      </c>
      <c r="AF206" s="14" t="str">
        <f>IF(基础状态预期!V219="","",I$9+(基础状态预期!V219-1)*I$12)</f>
        <v/>
      </c>
      <c r="AG206" s="14" t="str">
        <f>IF(基础状态预期!W219="","",J$9+(基础状态预期!W219-1)*J$12)</f>
        <v/>
      </c>
      <c r="AH206" s="14" t="str">
        <f>IF(基础状态预期!X219="","",K$9+(基础状态预期!X219-1)*K$12)</f>
        <v/>
      </c>
      <c r="AI206" s="14">
        <f>IF(基础状态预期!Y219="","",L$9+(基础状态预期!Y219-1)*L$12)</f>
        <v>7041.2891522627815</v>
      </c>
      <c r="AJ206" s="14">
        <f>SUMPRODUCT(AE206:AI206,基础状态预期!$F219:$J219)/SUM(基础状态预期!$F219:$J219)</f>
        <v>7041.2891522627806</v>
      </c>
      <c r="AK206" s="14" t="str">
        <f>IF(基础状态预期!U219="","",H$27+(基础状态预期!U219-1)*H$28)</f>
        <v/>
      </c>
      <c r="AL206" s="14" t="str">
        <f>IF(基础状态预期!V219="","",I$27+(基础状态预期!V219-1)*I$28)</f>
        <v/>
      </c>
      <c r="AM206" s="14" t="str">
        <f>IF(基础状态预期!W219="","",J$27+(基础状态预期!W219-1)*J$28)</f>
        <v/>
      </c>
      <c r="AN206" s="14" t="str">
        <f>IF(基础状态预期!X219="","",K$27+(基础状态预期!X219-1)*K$28)</f>
        <v/>
      </c>
      <c r="AO206" s="14">
        <f>IF(基础状态预期!Y219="","",L$27+(基础状态预期!Y219-1)*L$28)</f>
        <v>3080.4297174209269</v>
      </c>
      <c r="AP206" s="14">
        <f>SUMPRODUCT(AK206:AO206,基础状态预期!$F219:$J219)/SUM(基础状态预期!$F219:$J219)</f>
        <v>3080.4297174209264</v>
      </c>
      <c r="AQ206" s="14" t="str">
        <f>IF(基础状态预期!U219="","",H$31+(基础状态预期!U219-1)*H$32)</f>
        <v/>
      </c>
      <c r="AR206" s="14" t="str">
        <f>IF(基础状态预期!V219="","",I$31+(基础状态预期!V219-1)*I$32)</f>
        <v/>
      </c>
      <c r="AS206" s="14" t="str">
        <f>IF(基础状态预期!W219="","",J$31+(基础状态预期!W219-1)*J$32)</f>
        <v/>
      </c>
      <c r="AT206" s="14" t="str">
        <f>IF(基础状态预期!X219="","",K$31+(基础状态预期!X219-1)*K$32)</f>
        <v/>
      </c>
      <c r="AU206" s="14">
        <f>IF(基础状态预期!Y219="","",L$31+(基础状态预期!Y219-1)*L$32)</f>
        <v>228.0429717420927</v>
      </c>
      <c r="AV206" s="14">
        <f>SUMPRODUCT(AQ206:AU206,基础状态预期!$F219:$J219)/SUM(基础状态预期!$F219:$J219)</f>
        <v>228.0429717420927</v>
      </c>
      <c r="BO206" s="29">
        <f t="shared" si="89"/>
        <v>104.52148587104635</v>
      </c>
      <c r="BP206" s="10">
        <f t="shared" si="90"/>
        <v>571365492690.91284</v>
      </c>
      <c r="BQ206" s="10" t="e">
        <f>$BP206*求节点('[1]功能-付费相关'!$AY$6:$AY$105,'[1]功能-付费相关'!$BD$6:$BD$105,$BO206)+$BQ205</f>
        <v>#VALUE!</v>
      </c>
      <c r="BZ206" s="4">
        <f t="shared" si="94"/>
        <v>313019150</v>
      </c>
      <c r="CA206" s="4">
        <v>203</v>
      </c>
      <c r="CB206" s="90">
        <f t="shared" si="95"/>
        <v>4602280780</v>
      </c>
      <c r="CC206" s="4">
        <f>SUM(CB$4:CB206)</f>
        <v>62574183290</v>
      </c>
      <c r="CD206" s="4">
        <f t="shared" si="97"/>
        <v>1.0381785292852375</v>
      </c>
    </row>
    <row r="207" spans="16:82" x14ac:dyDescent="0.15">
      <c r="P207" s="5">
        <v>27</v>
      </c>
      <c r="Q207" s="14">
        <f>基础状态预期!D220</f>
        <v>108.05586950728798</v>
      </c>
      <c r="R207" s="14">
        <f>IF(基础状态预期!U220="",0,求节点($B$5:$B$154,$D$5:$D$154,基础状态预期!U220)*基础状态预期!F220)</f>
        <v>0</v>
      </c>
      <c r="S207" s="14">
        <f>IF(基础状态预期!V220="",0,求节点($B$5:$B$154,$D$5:$D$154,基础状态预期!V220)*基础状态预期!G220)</f>
        <v>0</v>
      </c>
      <c r="T207" s="14">
        <f>IF(基础状态预期!W220="",0,求节点($B$5:$B$154,$D$5:$D$154,基础状态预期!W220)*基础状态预期!H220)</f>
        <v>0</v>
      </c>
      <c r="U207" s="14">
        <f>IF(基础状态预期!X220="",0,求节点($B$5:$B$154,$D$5:$D$154,基础状态预期!X220)*基础状态预期!I220)</f>
        <v>0</v>
      </c>
      <c r="V207" s="14">
        <f>IF(基础状态预期!Y220="",0,求节点($B$5:$B$154,$D$5:$D$154,基础状态预期!Y220)*基础状态预期!J220)</f>
        <v>963272783059.87988</v>
      </c>
      <c r="W207" s="14">
        <f t="shared" si="96"/>
        <v>963272783059.87988</v>
      </c>
      <c r="Y207" s="14" t="str">
        <f>IF(基础状态预期!U220="","",H$8+(基础状态预期!U220-1)*H$11)</f>
        <v/>
      </c>
      <c r="Z207" s="14" t="str">
        <f>IF(基础状态预期!V220="","",I$8+(基础状态预期!V220-1)*I$11)</f>
        <v/>
      </c>
      <c r="AA207" s="14" t="str">
        <f>IF(基础状态预期!W220="","",J$8+(基础状态预期!W220-1)*J$11)</f>
        <v/>
      </c>
      <c r="AB207" s="14" t="str">
        <f>IF(基础状态预期!X220="","",K$8+(基础状态预期!X220-1)*K$11)</f>
        <v/>
      </c>
      <c r="AC207" s="14">
        <f>IF(基础状态预期!Y220="","",L$8+(基础状态预期!Y220-1)*L$11)</f>
        <v>7253.3521704372788</v>
      </c>
      <c r="AD207" s="14">
        <f>SUMPRODUCT(Y207:AC207,基础状态预期!$F220:$J220)/SUM(基础状态预期!$F220:$J220)</f>
        <v>7253.3521704372788</v>
      </c>
      <c r="AE207" s="14" t="str">
        <f>IF(基础状态预期!U220="","",H$9+(基础状态预期!U220-1)*H$12)</f>
        <v/>
      </c>
      <c r="AF207" s="14" t="str">
        <f>IF(基础状态预期!V220="","",I$9+(基础状态预期!V220-1)*I$12)</f>
        <v/>
      </c>
      <c r="AG207" s="14" t="str">
        <f>IF(基础状态预期!W220="","",J$9+(基础状态预期!W220-1)*J$12)</f>
        <v/>
      </c>
      <c r="AH207" s="14" t="str">
        <f>IF(基础状态预期!X220="","",K$9+(基础状态预期!X220-1)*K$12)</f>
        <v/>
      </c>
      <c r="AI207" s="14">
        <f>IF(基础状态预期!Y220="","",L$9+(基础状态预期!Y220-1)*L$12)</f>
        <v>7253.3521704372788</v>
      </c>
      <c r="AJ207" s="14">
        <f>SUMPRODUCT(AE207:AI207,基础状态预期!$F220:$J220)/SUM(基础状态预期!$F220:$J220)</f>
        <v>7253.3521704372788</v>
      </c>
      <c r="AK207" s="14" t="str">
        <f>IF(基础状态预期!U220="","",H$27+(基础状态预期!U220-1)*H$28)</f>
        <v/>
      </c>
      <c r="AL207" s="14" t="str">
        <f>IF(基础状态预期!V220="","",I$27+(基础状态预期!V220-1)*I$28)</f>
        <v/>
      </c>
      <c r="AM207" s="14" t="str">
        <f>IF(基础状态预期!W220="","",J$27+(基础状态预期!W220-1)*J$28)</f>
        <v/>
      </c>
      <c r="AN207" s="14" t="str">
        <f>IF(基础状态预期!X220="","",K$27+(基础状态预期!X220-1)*K$28)</f>
        <v/>
      </c>
      <c r="AO207" s="14">
        <f>IF(基础状态预期!Y220="","",L$27+(基础状态预期!Y220-1)*L$28)</f>
        <v>3151.1173901457596</v>
      </c>
      <c r="AP207" s="14">
        <f>SUMPRODUCT(AK207:AO207,基础状态预期!$F220:$J220)/SUM(基础状态预期!$F220:$J220)</f>
        <v>3151.1173901457601</v>
      </c>
      <c r="AQ207" s="14" t="str">
        <f>IF(基础状态预期!U220="","",H$31+(基础状态预期!U220-1)*H$32)</f>
        <v/>
      </c>
      <c r="AR207" s="14" t="str">
        <f>IF(基础状态预期!V220="","",I$31+(基础状态预期!V220-1)*I$32)</f>
        <v/>
      </c>
      <c r="AS207" s="14" t="str">
        <f>IF(基础状态预期!W220="","",J$31+(基础状态预期!W220-1)*J$32)</f>
        <v/>
      </c>
      <c r="AT207" s="14" t="str">
        <f>IF(基础状态预期!X220="","",K$31+(基础状态预期!X220-1)*K$32)</f>
        <v/>
      </c>
      <c r="AU207" s="14">
        <f>IF(基础状态预期!Y220="","",L$31+(基础状态预期!Y220-1)*L$32)</f>
        <v>235.11173901457596</v>
      </c>
      <c r="AV207" s="14">
        <f>SUMPRODUCT(AQ207:AU207,基础状态预期!$F220:$J220)/SUM(基础状态预期!$F220:$J220)</f>
        <v>235.11173901457596</v>
      </c>
      <c r="BO207" s="29">
        <f t="shared" si="89"/>
        <v>108.05586950728798</v>
      </c>
      <c r="BP207" s="10">
        <f t="shared" si="90"/>
        <v>963272783059.87988</v>
      </c>
      <c r="BQ207" s="10" t="e">
        <f>$BP207*求节点('[1]功能-付费相关'!$AY$6:$AY$105,'[1]功能-付费相关'!$BD$6:$BD$105,$BO207)+$BQ206</f>
        <v>#VALUE!</v>
      </c>
      <c r="BZ207" s="4">
        <f t="shared" si="94"/>
        <v>359972000</v>
      </c>
      <c r="CA207" s="4">
        <v>204</v>
      </c>
      <c r="CB207" s="90">
        <f t="shared" si="95"/>
        <v>4962252780</v>
      </c>
      <c r="CC207" s="4">
        <f>SUM(CB$4:CB207)</f>
        <v>67536436070</v>
      </c>
      <c r="CD207" s="4">
        <f t="shared" si="97"/>
        <v>1.0410188026826432</v>
      </c>
    </row>
    <row r="208" spans="16:82" x14ac:dyDescent="0.15">
      <c r="P208" s="5">
        <v>28</v>
      </c>
      <c r="Q208" s="14">
        <f>基础状态预期!D221</f>
        <v>111.54601176466306</v>
      </c>
      <c r="R208" s="14">
        <f>IF(基础状态预期!U221="",0,求节点($B$5:$B$154,$D$5:$D$154,基础状态预期!U221)*基础状态预期!F221)</f>
        <v>0</v>
      </c>
      <c r="S208" s="14">
        <f>IF(基础状态预期!V221="",0,求节点($B$5:$B$154,$D$5:$D$154,基础状态预期!V221)*基础状态预期!G221)</f>
        <v>0</v>
      </c>
      <c r="T208" s="14">
        <f>IF(基础状态预期!W221="",0,求节点($B$5:$B$154,$D$5:$D$154,基础状态预期!W221)*基础状态预期!H221)</f>
        <v>0</v>
      </c>
      <c r="U208" s="14">
        <f>IF(基础状态预期!X221="",0,求节点($B$5:$B$154,$D$5:$D$154,基础状态预期!X221)*基础状态预期!I221)</f>
        <v>0</v>
      </c>
      <c r="V208" s="14">
        <f>IF(基础状态预期!Y221="",0,求节点($B$5:$B$154,$D$5:$D$154,基础状态预期!Y221)*基础状态预期!J221)</f>
        <v>1608928029797.9126</v>
      </c>
      <c r="W208" s="14">
        <f t="shared" si="96"/>
        <v>1608928029797.9126</v>
      </c>
      <c r="Y208" s="14" t="str">
        <f>IF(基础状态预期!U221="","",H$8+(基础状态预期!U221-1)*H$11)</f>
        <v/>
      </c>
      <c r="Z208" s="14" t="str">
        <f>IF(基础状态预期!V221="","",I$8+(基础状态预期!V221-1)*I$11)</f>
        <v/>
      </c>
      <c r="AA208" s="14" t="str">
        <f>IF(基础状态预期!W221="","",J$8+(基础状态预期!W221-1)*J$11)</f>
        <v/>
      </c>
      <c r="AB208" s="14" t="str">
        <f>IF(基础状态预期!X221="","",K$8+(基础状态预期!X221-1)*K$11)</f>
        <v/>
      </c>
      <c r="AC208" s="14">
        <f>IF(基础状态预期!Y221="","",L$8+(基础状态预期!Y221-1)*L$11)</f>
        <v>7462.7607058797839</v>
      </c>
      <c r="AD208" s="14">
        <f>SUMPRODUCT(Y208:AC208,基础状态预期!$F221:$J221)/SUM(基础状态预期!$F221:$J221)</f>
        <v>7462.7607058797839</v>
      </c>
      <c r="AE208" s="14" t="str">
        <f>IF(基础状态预期!U221="","",H$9+(基础状态预期!U221-1)*H$12)</f>
        <v/>
      </c>
      <c r="AF208" s="14" t="str">
        <f>IF(基础状态预期!V221="","",I$9+(基础状态预期!V221-1)*I$12)</f>
        <v/>
      </c>
      <c r="AG208" s="14" t="str">
        <f>IF(基础状态预期!W221="","",J$9+(基础状态预期!W221-1)*J$12)</f>
        <v/>
      </c>
      <c r="AH208" s="14" t="str">
        <f>IF(基础状态预期!X221="","",K$9+(基础状态预期!X221-1)*K$12)</f>
        <v/>
      </c>
      <c r="AI208" s="14">
        <f>IF(基础状态预期!Y221="","",L$9+(基础状态预期!Y221-1)*L$12)</f>
        <v>7462.7607058797839</v>
      </c>
      <c r="AJ208" s="14">
        <f>SUMPRODUCT(AE208:AI208,基础状态预期!$F221:$J221)/SUM(基础状态预期!$F221:$J221)</f>
        <v>7462.7607058797839</v>
      </c>
      <c r="AK208" s="14" t="str">
        <f>IF(基础状态预期!U221="","",H$27+(基础状态预期!U221-1)*H$28)</f>
        <v/>
      </c>
      <c r="AL208" s="14" t="str">
        <f>IF(基础状态预期!V221="","",I$27+(基础状态预期!V221-1)*I$28)</f>
        <v/>
      </c>
      <c r="AM208" s="14" t="str">
        <f>IF(基础状态预期!W221="","",J$27+(基础状态预期!W221-1)*J$28)</f>
        <v/>
      </c>
      <c r="AN208" s="14" t="str">
        <f>IF(基础状态预期!X221="","",K$27+(基础状态预期!X221-1)*K$28)</f>
        <v/>
      </c>
      <c r="AO208" s="14">
        <f>IF(基础状态预期!Y221="","",L$27+(基础状态预期!Y221-1)*L$28)</f>
        <v>3220.9202352932612</v>
      </c>
      <c r="AP208" s="14">
        <f>SUMPRODUCT(AK208:AO208,基础状态预期!$F221:$J221)/SUM(基础状态预期!$F221:$J221)</f>
        <v>3220.9202352932612</v>
      </c>
      <c r="AQ208" s="14" t="str">
        <f>IF(基础状态预期!U221="","",H$31+(基础状态预期!U221-1)*H$32)</f>
        <v/>
      </c>
      <c r="AR208" s="14" t="str">
        <f>IF(基础状态预期!V221="","",I$31+(基础状态预期!V221-1)*I$32)</f>
        <v/>
      </c>
      <c r="AS208" s="14" t="str">
        <f>IF(基础状态预期!W221="","",J$31+(基础状态预期!W221-1)*J$32)</f>
        <v/>
      </c>
      <c r="AT208" s="14" t="str">
        <f>IF(基础状态预期!X221="","",K$31+(基础状态预期!X221-1)*K$32)</f>
        <v/>
      </c>
      <c r="AU208" s="14">
        <f>IF(基础状态预期!Y221="","",L$31+(基础状态预期!Y221-1)*L$32)</f>
        <v>242.09202352932613</v>
      </c>
      <c r="AV208" s="14">
        <f>SUMPRODUCT(AQ208:AU208,基础状态预期!$F221:$J221)/SUM(基础状态预期!$F221:$J221)</f>
        <v>242.09202352932616</v>
      </c>
      <c r="BO208" s="29">
        <f t="shared" si="89"/>
        <v>111.54601176466306</v>
      </c>
      <c r="BP208" s="10">
        <f t="shared" si="90"/>
        <v>1608928029797.9126</v>
      </c>
      <c r="BQ208" s="10" t="e">
        <f>$BP208*求节点('[1]功能-付费相关'!$AY$6:$AY$105,'[1]功能-付费相关'!$BD$6:$BD$105,$BO208)+$BQ207</f>
        <v>#VALUE!</v>
      </c>
      <c r="BZ208" s="4">
        <f t="shared" si="94"/>
        <v>359972000</v>
      </c>
      <c r="CA208" s="4">
        <v>205</v>
      </c>
      <c r="CB208" s="90">
        <f t="shared" si="95"/>
        <v>5322224780</v>
      </c>
      <c r="CC208" s="4">
        <f>SUM(CB$4:CB208)</f>
        <v>72858660850</v>
      </c>
      <c r="CD208" s="4">
        <f t="shared" si="97"/>
        <v>1.0379088465542885</v>
      </c>
    </row>
    <row r="209" spans="16:82" x14ac:dyDescent="0.15">
      <c r="P209" s="5">
        <v>29</v>
      </c>
      <c r="Q209" s="14">
        <f>基础状态预期!D222</f>
        <v>115.20444967370992</v>
      </c>
      <c r="R209" s="14">
        <f>IF(基础状态预期!U222="",0,求节点($B$5:$B$154,$D$5:$D$154,基础状态预期!U222)*基础状态预期!F222)</f>
        <v>0</v>
      </c>
      <c r="S209" s="14">
        <f>IF(基础状态预期!V222="",0,求节点($B$5:$B$154,$D$5:$D$154,基础状态预期!V222)*基础状态预期!G222)</f>
        <v>0</v>
      </c>
      <c r="T209" s="14">
        <f>IF(基础状态预期!W222="",0,求节点($B$5:$B$154,$D$5:$D$154,基础状态预期!W222)*基础状态预期!H222)</f>
        <v>0</v>
      </c>
      <c r="U209" s="14">
        <f>IF(基础状态预期!X222="",0,求节点($B$5:$B$154,$D$5:$D$154,基础状态预期!X222)*基础状态预期!I222)</f>
        <v>0</v>
      </c>
      <c r="V209" s="14">
        <f>IF(基础状态预期!Y222="",0,求节点($B$5:$B$154,$D$5:$D$154,基础状态预期!Y222)*基础状态预期!J222)</f>
        <v>2781988417787.6011</v>
      </c>
      <c r="W209" s="14">
        <f t="shared" si="96"/>
        <v>2781988417787.6011</v>
      </c>
      <c r="Y209" s="14" t="str">
        <f>IF(基础状态预期!U222="","",H$8+(基础状态预期!U222-1)*H$11)</f>
        <v/>
      </c>
      <c r="Z209" s="14" t="str">
        <f>IF(基础状态预期!V222="","",I$8+(基础状态预期!V222-1)*I$11)</f>
        <v/>
      </c>
      <c r="AA209" s="14" t="str">
        <f>IF(基础状态预期!W222="","",J$8+(基础状态预期!W222-1)*J$11)</f>
        <v/>
      </c>
      <c r="AB209" s="14" t="str">
        <f>IF(基础状态预期!X222="","",K$8+(基础状态预期!X222-1)*K$11)</f>
        <v/>
      </c>
      <c r="AC209" s="14">
        <f>IF(基础状态预期!Y222="","",L$8+(基础状态预期!Y222-1)*L$11)</f>
        <v>7682.2669804225952</v>
      </c>
      <c r="AD209" s="14">
        <f>SUMPRODUCT(Y209:AC209,基础状态预期!$F222:$J222)/SUM(基础状态预期!$F222:$J222)</f>
        <v>7682.2669804225952</v>
      </c>
      <c r="AE209" s="14" t="str">
        <f>IF(基础状态预期!U222="","",H$9+(基础状态预期!U222-1)*H$12)</f>
        <v/>
      </c>
      <c r="AF209" s="14" t="str">
        <f>IF(基础状态预期!V222="","",I$9+(基础状态预期!V222-1)*I$12)</f>
        <v/>
      </c>
      <c r="AG209" s="14" t="str">
        <f>IF(基础状态预期!W222="","",J$9+(基础状态预期!W222-1)*J$12)</f>
        <v/>
      </c>
      <c r="AH209" s="14" t="str">
        <f>IF(基础状态预期!X222="","",K$9+(基础状态预期!X222-1)*K$12)</f>
        <v/>
      </c>
      <c r="AI209" s="14">
        <f>IF(基础状态预期!Y222="","",L$9+(基础状态预期!Y222-1)*L$12)</f>
        <v>7682.2669804225952</v>
      </c>
      <c r="AJ209" s="14">
        <f>SUMPRODUCT(AE209:AI209,基础状态预期!$F222:$J222)/SUM(基础状态预期!$F222:$J222)</f>
        <v>7682.2669804225952</v>
      </c>
      <c r="AK209" s="14" t="str">
        <f>IF(基础状态预期!U222="","",H$27+(基础状态预期!U222-1)*H$28)</f>
        <v/>
      </c>
      <c r="AL209" s="14" t="str">
        <f>IF(基础状态预期!V222="","",I$27+(基础状态预期!V222-1)*I$28)</f>
        <v/>
      </c>
      <c r="AM209" s="14" t="str">
        <f>IF(基础状态预期!W222="","",J$27+(基础状态预期!W222-1)*J$28)</f>
        <v/>
      </c>
      <c r="AN209" s="14" t="str">
        <f>IF(基础状态预期!X222="","",K$27+(基础状态预期!X222-1)*K$28)</f>
        <v/>
      </c>
      <c r="AO209" s="14">
        <f>IF(基础状态预期!Y222="","",L$27+(基础状态预期!Y222-1)*L$28)</f>
        <v>3294.0889934741981</v>
      </c>
      <c r="AP209" s="14">
        <f>SUMPRODUCT(AK209:AO209,基础状态预期!$F222:$J222)/SUM(基础状态预期!$F222:$J222)</f>
        <v>3294.0889934741986</v>
      </c>
      <c r="AQ209" s="14" t="str">
        <f>IF(基础状态预期!U222="","",H$31+(基础状态预期!U222-1)*H$32)</f>
        <v/>
      </c>
      <c r="AR209" s="14" t="str">
        <f>IF(基础状态预期!V222="","",I$31+(基础状态预期!V222-1)*I$32)</f>
        <v/>
      </c>
      <c r="AS209" s="14" t="str">
        <f>IF(基础状态预期!W222="","",J$31+(基础状态预期!W222-1)*J$32)</f>
        <v/>
      </c>
      <c r="AT209" s="14" t="str">
        <f>IF(基础状态预期!X222="","",K$31+(基础状态预期!X222-1)*K$32)</f>
        <v/>
      </c>
      <c r="AU209" s="14">
        <f>IF(基础状态预期!Y222="","",L$31+(基础状态预期!Y222-1)*L$32)</f>
        <v>249.40889934741983</v>
      </c>
      <c r="AV209" s="14">
        <f>SUMPRODUCT(AQ209:AU209,基础状态预期!$F222:$J222)/SUM(基础状态预期!$F222:$J222)</f>
        <v>249.40889934741983</v>
      </c>
      <c r="BO209" s="29">
        <f t="shared" si="89"/>
        <v>115.20444967370992</v>
      </c>
      <c r="BP209" s="10">
        <f t="shared" si="90"/>
        <v>2781988417787.6011</v>
      </c>
      <c r="BQ209" s="10" t="e">
        <f>$BP209*求节点('[1]功能-付费相关'!$AY$6:$AY$105,'[1]功能-付费相关'!$BD$6:$BD$105,$BO209)+$BQ208</f>
        <v>#VALUE!</v>
      </c>
      <c r="BZ209" s="4">
        <f t="shared" si="94"/>
        <v>413967800</v>
      </c>
      <c r="CA209" s="4">
        <v>206</v>
      </c>
      <c r="CB209" s="90">
        <f t="shared" si="95"/>
        <v>5736192580</v>
      </c>
      <c r="CC209" s="4">
        <f>SUM(CB$4:CB209)</f>
        <v>78594853430</v>
      </c>
      <c r="CD209" s="4">
        <f t="shared" si="97"/>
        <v>1.0407188174524467</v>
      </c>
    </row>
    <row r="210" spans="16:82" x14ac:dyDescent="0.15">
      <c r="P210" s="5">
        <v>30</v>
      </c>
      <c r="Q210" s="14">
        <f>基础状态预期!D223</f>
        <v>118.75432507225094</v>
      </c>
      <c r="R210" s="14">
        <f>IF(基础状态预期!U223="",0,求节点($B$5:$B$154,$D$5:$D$154,基础状态预期!U223)*基础状态预期!F223)</f>
        <v>0</v>
      </c>
      <c r="S210" s="14">
        <f>IF(基础状态预期!V223="",0,求节点($B$5:$B$154,$D$5:$D$154,基础状态预期!V223)*基础状态预期!G223)</f>
        <v>0</v>
      </c>
      <c r="T210" s="14">
        <f>IF(基础状态预期!W223="",0,求节点($B$5:$B$154,$D$5:$D$154,基础状态预期!W223)*基础状态预期!H223)</f>
        <v>0</v>
      </c>
      <c r="U210" s="14">
        <f>IF(基础状态预期!X223="",0,求节点($B$5:$B$154,$D$5:$D$154,基础状态预期!X223)*基础状态预期!I223)</f>
        <v>0</v>
      </c>
      <c r="V210" s="14">
        <f>IF(基础状态预期!Y223="",0,求节点($B$5:$B$154,$D$5:$D$154,基础状态预期!Y223)*基础状态预期!J223)</f>
        <v>4860704630321.6523</v>
      </c>
      <c r="W210" s="14">
        <f t="shared" si="96"/>
        <v>4860704630321.6523</v>
      </c>
      <c r="Y210" s="14" t="str">
        <f>IF(基础状态预期!U223="","",H$8+(基础状态预期!U223-1)*H$11)</f>
        <v/>
      </c>
      <c r="Z210" s="14" t="str">
        <f>IF(基础状态预期!V223="","",I$8+(基础状态预期!V223-1)*I$11)</f>
        <v/>
      </c>
      <c r="AA210" s="14" t="str">
        <f>IF(基础状态预期!W223="","",J$8+(基础状态预期!W223-1)*J$11)</f>
        <v/>
      </c>
      <c r="AB210" s="14" t="str">
        <f>IF(基础状态预期!X223="","",K$8+(基础状态预期!X223-1)*K$11)</f>
        <v/>
      </c>
      <c r="AC210" s="14">
        <f>IF(基础状态预期!Y223="","",L$8+(基础状态预期!Y223-1)*L$11)</f>
        <v>7895.2595043350557</v>
      </c>
      <c r="AD210" s="14">
        <f>SUMPRODUCT(Y210:AC210,基础状态预期!$F223:$J223)/SUM(基础状态预期!$F223:$J223)</f>
        <v>7895.2595043350557</v>
      </c>
      <c r="AE210" s="14" t="str">
        <f>IF(基础状态预期!U223="","",H$9+(基础状态预期!U223-1)*H$12)</f>
        <v/>
      </c>
      <c r="AF210" s="14" t="str">
        <f>IF(基础状态预期!V223="","",I$9+(基础状态预期!V223-1)*I$12)</f>
        <v/>
      </c>
      <c r="AG210" s="14" t="str">
        <f>IF(基础状态预期!W223="","",J$9+(基础状态预期!W223-1)*J$12)</f>
        <v/>
      </c>
      <c r="AH210" s="14" t="str">
        <f>IF(基础状态预期!X223="","",K$9+(基础状态预期!X223-1)*K$12)</f>
        <v/>
      </c>
      <c r="AI210" s="14">
        <f>IF(基础状态预期!Y223="","",L$9+(基础状态预期!Y223-1)*L$12)</f>
        <v>7895.2595043350557</v>
      </c>
      <c r="AJ210" s="14">
        <f>SUMPRODUCT(AE210:AI210,基础状态预期!$F223:$J223)/SUM(基础状态预期!$F223:$J223)</f>
        <v>7895.2595043350557</v>
      </c>
      <c r="AK210" s="14" t="str">
        <f>IF(基础状态预期!U223="","",H$27+(基础状态预期!U223-1)*H$28)</f>
        <v/>
      </c>
      <c r="AL210" s="14" t="str">
        <f>IF(基础状态预期!V223="","",I$27+(基础状态预期!V223-1)*I$28)</f>
        <v/>
      </c>
      <c r="AM210" s="14" t="str">
        <f>IF(基础状态预期!W223="","",J$27+(基础状态预期!W223-1)*J$28)</f>
        <v/>
      </c>
      <c r="AN210" s="14" t="str">
        <f>IF(基础状态预期!X223="","",K$27+(基础状态预期!X223-1)*K$28)</f>
        <v/>
      </c>
      <c r="AO210" s="14">
        <f>IF(基础状态预期!Y223="","",L$27+(基础状态预期!Y223-1)*L$28)</f>
        <v>3365.0865014450187</v>
      </c>
      <c r="AP210" s="14">
        <f>SUMPRODUCT(AK210:AO210,基础状态预期!$F223:$J223)/SUM(基础状态预期!$F223:$J223)</f>
        <v>3365.0865014450187</v>
      </c>
      <c r="AQ210" s="14" t="str">
        <f>IF(基础状态预期!U223="","",H$31+(基础状态预期!U223-1)*H$32)</f>
        <v/>
      </c>
      <c r="AR210" s="14" t="str">
        <f>IF(基础状态预期!V223="","",I$31+(基础状态预期!V223-1)*I$32)</f>
        <v/>
      </c>
      <c r="AS210" s="14" t="str">
        <f>IF(基础状态预期!W223="","",J$31+(基础状态预期!W223-1)*J$32)</f>
        <v/>
      </c>
      <c r="AT210" s="14" t="str">
        <f>IF(基础状态预期!X223="","",K$31+(基础状态预期!X223-1)*K$32)</f>
        <v/>
      </c>
      <c r="AU210" s="14">
        <f>IF(基础状态预期!Y223="","",L$31+(基础状态预期!Y223-1)*L$32)</f>
        <v>256.50865014450187</v>
      </c>
      <c r="AV210" s="14">
        <f>SUMPRODUCT(AQ210:AU210,基础状态预期!$F223:$J223)/SUM(基础状态预期!$F223:$J223)</f>
        <v>256.50865014450187</v>
      </c>
      <c r="BO210" s="29">
        <f t="shared" si="89"/>
        <v>118.75432507225094</v>
      </c>
      <c r="BP210" s="10">
        <f t="shared" si="90"/>
        <v>4860704630321.6523</v>
      </c>
      <c r="BQ210" s="10" t="e">
        <f>$BP210*求节点('[1]功能-付费相关'!$AY$6:$AY$105,'[1]功能-付费相关'!$BD$6:$BD$105,$BO210)+$BQ209</f>
        <v>#VALUE!</v>
      </c>
      <c r="BZ210" s="4">
        <f t="shared" si="94"/>
        <v>413967800</v>
      </c>
      <c r="CA210" s="4">
        <v>207</v>
      </c>
      <c r="CB210" s="90">
        <f t="shared" si="95"/>
        <v>6150160380</v>
      </c>
      <c r="CC210" s="4">
        <f>SUM(CB$4:CB210)</f>
        <v>84745013810</v>
      </c>
      <c r="CD210" s="4">
        <f t="shared" si="97"/>
        <v>1.0376524838004713</v>
      </c>
    </row>
    <row r="211" spans="16:82" x14ac:dyDescent="0.15">
      <c r="P211" s="5">
        <v>31</v>
      </c>
      <c r="Q211" s="14">
        <f>基础状态预期!D224</f>
        <v>122.26514676047371</v>
      </c>
      <c r="R211" s="14">
        <f>IF(基础状态预期!U224="",0,求节点($B$5:$B$154,$D$5:$D$154,基础状态预期!U224)*基础状态预期!F224)</f>
        <v>0</v>
      </c>
      <c r="S211" s="14">
        <f>IF(基础状态预期!V224="",0,求节点($B$5:$B$154,$D$5:$D$154,基础状态预期!V224)*基础状态预期!G224)</f>
        <v>0</v>
      </c>
      <c r="T211" s="14">
        <f>IF(基础状态预期!W224="",0,求节点($B$5:$B$154,$D$5:$D$154,基础状态预期!W224)*基础状态预期!H224)</f>
        <v>0</v>
      </c>
      <c r="U211" s="14">
        <f>IF(基础状态预期!X224="",0,求节点($B$5:$B$154,$D$5:$D$154,基础状态预期!X224)*基础状态预期!I224)</f>
        <v>0</v>
      </c>
      <c r="V211" s="14">
        <f>IF(基础状态预期!Y224="",0,求节点($B$5:$B$154,$D$5:$D$154,基础状态预期!Y224)*基础状态预期!J224)</f>
        <v>8660443992326.8711</v>
      </c>
      <c r="W211" s="14">
        <f t="shared" si="96"/>
        <v>8660443992326.8711</v>
      </c>
      <c r="Y211" s="14" t="str">
        <f>IF(基础状态预期!U224="","",H$8+(基础状态预期!U224-1)*H$11)</f>
        <v/>
      </c>
      <c r="Z211" s="14" t="str">
        <f>IF(基础状态预期!V224="","",I$8+(基础状态预期!V224-1)*I$11)</f>
        <v/>
      </c>
      <c r="AA211" s="14" t="str">
        <f>IF(基础状态预期!W224="","",J$8+(基础状态预期!W224-1)*J$11)</f>
        <v/>
      </c>
      <c r="AB211" s="14" t="str">
        <f>IF(基础状态预期!X224="","",K$8+(基础状态预期!X224-1)*K$11)</f>
        <v/>
      </c>
      <c r="AC211" s="14">
        <f>IF(基础状态预期!Y224="","",L$8+(基础状态预期!Y224-1)*L$11)</f>
        <v>8105.9088056284227</v>
      </c>
      <c r="AD211" s="14">
        <f>SUMPRODUCT(Y211:AC211,基础状态预期!$F224:$J224)/SUM(基础状态预期!$F224:$J224)</f>
        <v>8105.9088056284227</v>
      </c>
      <c r="AE211" s="14" t="str">
        <f>IF(基础状态预期!U224="","",H$9+(基础状态预期!U224-1)*H$12)</f>
        <v/>
      </c>
      <c r="AF211" s="14" t="str">
        <f>IF(基础状态预期!V224="","",I$9+(基础状态预期!V224-1)*I$12)</f>
        <v/>
      </c>
      <c r="AG211" s="14" t="str">
        <f>IF(基础状态预期!W224="","",J$9+(基础状态预期!W224-1)*J$12)</f>
        <v/>
      </c>
      <c r="AH211" s="14" t="str">
        <f>IF(基础状态预期!X224="","",K$9+(基础状态预期!X224-1)*K$12)</f>
        <v/>
      </c>
      <c r="AI211" s="14">
        <f>IF(基础状态预期!Y224="","",L$9+(基础状态预期!Y224-1)*L$12)</f>
        <v>8105.9088056284227</v>
      </c>
      <c r="AJ211" s="14">
        <f>SUMPRODUCT(AE211:AI211,基础状态预期!$F224:$J224)/SUM(基础状态预期!$F224:$J224)</f>
        <v>8105.9088056284227</v>
      </c>
      <c r="AK211" s="14" t="str">
        <f>IF(基础状态预期!U224="","",H$27+(基础状态预期!U224-1)*H$28)</f>
        <v/>
      </c>
      <c r="AL211" s="14" t="str">
        <f>IF(基础状态预期!V224="","",I$27+(基础状态预期!V224-1)*I$28)</f>
        <v/>
      </c>
      <c r="AM211" s="14" t="str">
        <f>IF(基础状态预期!W224="","",J$27+(基础状态预期!W224-1)*J$28)</f>
        <v/>
      </c>
      <c r="AN211" s="14" t="str">
        <f>IF(基础状态预期!X224="","",K$27+(基础状态预期!X224-1)*K$28)</f>
        <v/>
      </c>
      <c r="AO211" s="14">
        <f>IF(基础状态预期!Y224="","",L$27+(基础状态预期!Y224-1)*L$28)</f>
        <v>3435.3029352094741</v>
      </c>
      <c r="AP211" s="14">
        <f>SUMPRODUCT(AK211:AO211,基础状态预期!$F224:$J224)/SUM(基础状态预期!$F224:$J224)</f>
        <v>3435.3029352094741</v>
      </c>
      <c r="AQ211" s="14" t="str">
        <f>IF(基础状态预期!U224="","",H$31+(基础状态预期!U224-1)*H$32)</f>
        <v/>
      </c>
      <c r="AR211" s="14" t="str">
        <f>IF(基础状态预期!V224="","",I$31+(基础状态预期!V224-1)*I$32)</f>
        <v/>
      </c>
      <c r="AS211" s="14" t="str">
        <f>IF(基础状态预期!W224="","",J$31+(基础状态预期!W224-1)*J$32)</f>
        <v/>
      </c>
      <c r="AT211" s="14" t="str">
        <f>IF(基础状态预期!X224="","",K$31+(基础状态预期!X224-1)*K$32)</f>
        <v/>
      </c>
      <c r="AU211" s="14">
        <f>IF(基础状态预期!Y224="","",L$31+(基础状态预期!Y224-1)*L$32)</f>
        <v>263.53029352094745</v>
      </c>
      <c r="AV211" s="14">
        <f>SUMPRODUCT(AQ211:AU211,基础状态预期!$F224:$J224)/SUM(基础状态预期!$F224:$J224)</f>
        <v>263.53029352094745</v>
      </c>
      <c r="BO211" s="29">
        <f t="shared" si="89"/>
        <v>122.26514676047371</v>
      </c>
      <c r="BP211" s="10">
        <f t="shared" si="90"/>
        <v>8660443992326.8711</v>
      </c>
      <c r="BQ211" s="10" t="e">
        <f>$BP211*求节点('[1]功能-付费相关'!$AY$6:$AY$105,'[1]功能-付费相关'!$BD$6:$BD$105,$BO211)+$BQ210</f>
        <v>#VALUE!</v>
      </c>
      <c r="BZ211" s="4">
        <f t="shared" si="94"/>
        <v>476062950</v>
      </c>
      <c r="CA211" s="4">
        <v>208</v>
      </c>
      <c r="CB211" s="90">
        <f t="shared" si="95"/>
        <v>6626223330</v>
      </c>
      <c r="CC211" s="4">
        <f>SUM(CB$4:CB211)</f>
        <v>91371237140</v>
      </c>
      <c r="CD211" s="4">
        <f t="shared" si="97"/>
        <v>1.0404365175260075</v>
      </c>
    </row>
    <row r="212" spans="16:82" x14ac:dyDescent="0.15">
      <c r="P212" s="5">
        <v>32</v>
      </c>
      <c r="Q212" s="14">
        <f>基础状态预期!D225</f>
        <v>125.84855083483956</v>
      </c>
      <c r="R212" s="14">
        <f>IF(基础状态预期!U225="",0,求节点($B$5:$B$154,$D$5:$D$154,基础状态预期!U225)*基础状态预期!F225)</f>
        <v>0</v>
      </c>
      <c r="S212" s="14">
        <f>IF(基础状态预期!V225="",0,求节点($B$5:$B$154,$D$5:$D$154,基础状态预期!V225)*基础状态预期!G225)</f>
        <v>0</v>
      </c>
      <c r="T212" s="14">
        <f>IF(基础状态预期!W225="",0,求节点($B$5:$B$154,$D$5:$D$154,基础状态预期!W225)*基础状态预期!H225)</f>
        <v>0</v>
      </c>
      <c r="U212" s="14">
        <f>IF(基础状态预期!X225="",0,求节点($B$5:$B$154,$D$5:$D$154,基础状态预期!X225)*基础状态预期!I225)</f>
        <v>0</v>
      </c>
      <c r="V212" s="14">
        <f>IF(基础状态预期!Y225="",0,求节点($B$5:$B$154,$D$5:$D$154,基础状态预期!Y225)*基础状态预期!J225)</f>
        <v>15931220957840.848</v>
      </c>
      <c r="W212" s="14">
        <f t="shared" si="96"/>
        <v>15931220957840.848</v>
      </c>
      <c r="Y212" s="14" t="str">
        <f>IF(基础状态预期!U225="","",H$8+(基础状态预期!U225-1)*H$11)</f>
        <v/>
      </c>
      <c r="Z212" s="14" t="str">
        <f>IF(基础状态预期!V225="","",I$8+(基础状态预期!V225-1)*I$11)</f>
        <v/>
      </c>
      <c r="AA212" s="14" t="str">
        <f>IF(基础状态预期!W225="","",J$8+(基础状态预期!W225-1)*J$11)</f>
        <v/>
      </c>
      <c r="AB212" s="14" t="str">
        <f>IF(基础状态预期!X225="","",K$8+(基础状态预期!X225-1)*K$11)</f>
        <v/>
      </c>
      <c r="AC212" s="14">
        <f>IF(基础状态预期!Y225="","",L$8+(基础状态预期!Y225-1)*L$11)</f>
        <v>8320.9130500903739</v>
      </c>
      <c r="AD212" s="14">
        <f>SUMPRODUCT(Y212:AC212,基础状态预期!$F225:$J225)/SUM(基础状态预期!$F225:$J225)</f>
        <v>8320.9130500903739</v>
      </c>
      <c r="AE212" s="14" t="str">
        <f>IF(基础状态预期!U225="","",H$9+(基础状态预期!U225-1)*H$12)</f>
        <v/>
      </c>
      <c r="AF212" s="14" t="str">
        <f>IF(基础状态预期!V225="","",I$9+(基础状态预期!V225-1)*I$12)</f>
        <v/>
      </c>
      <c r="AG212" s="14" t="str">
        <f>IF(基础状态预期!W225="","",J$9+(基础状态预期!W225-1)*J$12)</f>
        <v/>
      </c>
      <c r="AH212" s="14" t="str">
        <f>IF(基础状态预期!X225="","",K$9+(基础状态预期!X225-1)*K$12)</f>
        <v/>
      </c>
      <c r="AI212" s="14">
        <f>IF(基础状态预期!Y225="","",L$9+(基础状态预期!Y225-1)*L$12)</f>
        <v>8320.9130500903739</v>
      </c>
      <c r="AJ212" s="14">
        <f>SUMPRODUCT(AE212:AI212,基础状态预期!$F225:$J225)/SUM(基础状态预期!$F225:$J225)</f>
        <v>8320.9130500903739</v>
      </c>
      <c r="AK212" s="14" t="str">
        <f>IF(基础状态预期!U225="","",H$27+(基础状态预期!U225-1)*H$28)</f>
        <v/>
      </c>
      <c r="AL212" s="14" t="str">
        <f>IF(基础状态预期!V225="","",I$27+(基础状态预期!V225-1)*I$28)</f>
        <v/>
      </c>
      <c r="AM212" s="14" t="str">
        <f>IF(基础状态预期!W225="","",J$27+(基础状态预期!W225-1)*J$28)</f>
        <v/>
      </c>
      <c r="AN212" s="14" t="str">
        <f>IF(基础状态预期!X225="","",K$27+(基础状态预期!X225-1)*K$28)</f>
        <v/>
      </c>
      <c r="AO212" s="14">
        <f>IF(基础状态预期!Y225="","",L$27+(基础状态预期!Y225-1)*L$28)</f>
        <v>3506.9710166967911</v>
      </c>
      <c r="AP212" s="14">
        <f>SUMPRODUCT(AK212:AO212,基础状态预期!$F225:$J225)/SUM(基础状态预期!$F225:$J225)</f>
        <v>3506.9710166967911</v>
      </c>
      <c r="AQ212" s="14" t="str">
        <f>IF(基础状态预期!U225="","",H$31+(基础状态预期!U225-1)*H$32)</f>
        <v/>
      </c>
      <c r="AR212" s="14" t="str">
        <f>IF(基础状态预期!V225="","",I$31+(基础状态预期!V225-1)*I$32)</f>
        <v/>
      </c>
      <c r="AS212" s="14" t="str">
        <f>IF(基础状态预期!W225="","",J$31+(基础状态预期!W225-1)*J$32)</f>
        <v/>
      </c>
      <c r="AT212" s="14" t="str">
        <f>IF(基础状态预期!X225="","",K$31+(基础状态预期!X225-1)*K$32)</f>
        <v/>
      </c>
      <c r="AU212" s="14">
        <f>IF(基础状态预期!Y225="","",L$31+(基础状态预期!Y225-1)*L$32)</f>
        <v>270.69710166967911</v>
      </c>
      <c r="AV212" s="14">
        <f>SUMPRODUCT(AQ212:AU212,基础状态预期!$F225:$J225)/SUM(基础状态预期!$F225:$J225)</f>
        <v>270.69710166967911</v>
      </c>
      <c r="BO212" s="29">
        <f t="shared" si="89"/>
        <v>125.84855083483956</v>
      </c>
      <c r="BP212" s="10">
        <f t="shared" si="90"/>
        <v>15931220957840.848</v>
      </c>
      <c r="BQ212" s="10" t="e">
        <f>$BP212*求节点('[1]功能-付费相关'!$AY$6:$AY$105,'[1]功能-付费相关'!$BD$6:$BD$105,$BO212)+$BQ211</f>
        <v>#VALUE!</v>
      </c>
      <c r="BZ212" s="4">
        <f t="shared" si="94"/>
        <v>476062950</v>
      </c>
      <c r="CA212" s="4">
        <v>209</v>
      </c>
      <c r="CB212" s="90">
        <f t="shared" si="95"/>
        <v>7102286280</v>
      </c>
      <c r="CC212" s="4">
        <f>SUM(CB$4:CB212)</f>
        <v>98473523420</v>
      </c>
      <c r="CD212" s="4">
        <f t="shared" si="97"/>
        <v>1.0374109746473974</v>
      </c>
    </row>
    <row r="213" spans="16:82" x14ac:dyDescent="0.15">
      <c r="P213" s="5">
        <v>33</v>
      </c>
      <c r="Q213" s="14">
        <f>基础状态预期!D226</f>
        <v>129.43528964176323</v>
      </c>
      <c r="R213" s="14">
        <f>IF(基础状态预期!U226="",0,求节点($B$5:$B$154,$D$5:$D$154,基础状态预期!U226)*基础状态预期!F226)</f>
        <v>0</v>
      </c>
      <c r="S213" s="14">
        <f>IF(基础状态预期!V226="",0,求节点($B$5:$B$154,$D$5:$D$154,基础状态预期!V226)*基础状态预期!G226)</f>
        <v>0</v>
      </c>
      <c r="T213" s="14">
        <f>IF(基础状态预期!W226="",0,求节点($B$5:$B$154,$D$5:$D$154,基础状态预期!W226)*基础状态预期!H226)</f>
        <v>0</v>
      </c>
      <c r="U213" s="14">
        <f>IF(基础状态预期!X226="",0,求节点($B$5:$B$154,$D$5:$D$154,基础状态预期!X226)*基础状态预期!I226)</f>
        <v>0</v>
      </c>
      <c r="V213" s="14">
        <f>IF(基础状态预期!Y226="",0,求节点($B$5:$B$154,$D$5:$D$154,基础状态预期!Y226)*基础状态预期!J226)</f>
        <v>29882417780896.148</v>
      </c>
      <c r="W213" s="14">
        <f t="shared" si="96"/>
        <v>29882417780896.148</v>
      </c>
      <c r="Y213" s="14" t="str">
        <f>IF(基础状态预期!U226="","",H$8+(基础状态预期!U226-1)*H$11)</f>
        <v/>
      </c>
      <c r="Z213" s="14" t="str">
        <f>IF(基础状态预期!V226="","",I$8+(基础状态预期!V226-1)*I$11)</f>
        <v/>
      </c>
      <c r="AA213" s="14" t="str">
        <f>IF(基础状态预期!W226="","",J$8+(基础状态预期!W226-1)*J$11)</f>
        <v/>
      </c>
      <c r="AB213" s="14" t="str">
        <f>IF(基础状态预期!X226="","",K$8+(基础状态预期!X226-1)*K$11)</f>
        <v/>
      </c>
      <c r="AC213" s="14">
        <f>IF(基础状态预期!Y226="","",L$8+(基础状态预期!Y226-1)*L$11)</f>
        <v>8536.1173785057945</v>
      </c>
      <c r="AD213" s="14">
        <f>SUMPRODUCT(Y213:AC213,基础状态预期!$F226:$J226)/SUM(基础状态预期!$F226:$J226)</f>
        <v>8536.1173785057945</v>
      </c>
      <c r="AE213" s="14" t="str">
        <f>IF(基础状态预期!U226="","",H$9+(基础状态预期!U226-1)*H$12)</f>
        <v/>
      </c>
      <c r="AF213" s="14" t="str">
        <f>IF(基础状态预期!V226="","",I$9+(基础状态预期!V226-1)*I$12)</f>
        <v/>
      </c>
      <c r="AG213" s="14" t="str">
        <f>IF(基础状态预期!W226="","",J$9+(基础状态预期!W226-1)*J$12)</f>
        <v/>
      </c>
      <c r="AH213" s="14" t="str">
        <f>IF(基础状态预期!X226="","",K$9+(基础状态预期!X226-1)*K$12)</f>
        <v/>
      </c>
      <c r="AI213" s="14">
        <f>IF(基础状态预期!Y226="","",L$9+(基础状态预期!Y226-1)*L$12)</f>
        <v>8536.1173785057945</v>
      </c>
      <c r="AJ213" s="14">
        <f>SUMPRODUCT(AE213:AI213,基础状态预期!$F226:$J226)/SUM(基础状态预期!$F226:$J226)</f>
        <v>8536.1173785057945</v>
      </c>
      <c r="AK213" s="14" t="str">
        <f>IF(基础状态预期!U226="","",H$27+(基础状态预期!U226-1)*H$28)</f>
        <v/>
      </c>
      <c r="AL213" s="14" t="str">
        <f>IF(基础状态预期!V226="","",I$27+(基础状态预期!V226-1)*I$28)</f>
        <v/>
      </c>
      <c r="AM213" s="14" t="str">
        <f>IF(基础状态预期!W226="","",J$27+(基础状态预期!W226-1)*J$28)</f>
        <v/>
      </c>
      <c r="AN213" s="14" t="str">
        <f>IF(基础状态预期!X226="","",K$27+(基础状态预期!X226-1)*K$28)</f>
        <v/>
      </c>
      <c r="AO213" s="14">
        <f>IF(基础状态预期!Y226="","",L$27+(基础状态预期!Y226-1)*L$28)</f>
        <v>3578.7057928352647</v>
      </c>
      <c r="AP213" s="14">
        <f>SUMPRODUCT(AK213:AO213,基础状态预期!$F226:$J226)/SUM(基础状态预期!$F226:$J226)</f>
        <v>3578.7057928352647</v>
      </c>
      <c r="AQ213" s="14" t="str">
        <f>IF(基础状态预期!U226="","",H$31+(基础状态预期!U226-1)*H$32)</f>
        <v/>
      </c>
      <c r="AR213" s="14" t="str">
        <f>IF(基础状态预期!V226="","",I$31+(基础状态预期!V226-1)*I$32)</f>
        <v/>
      </c>
      <c r="AS213" s="14" t="str">
        <f>IF(基础状态预期!W226="","",J$31+(基础状态预期!W226-1)*J$32)</f>
        <v/>
      </c>
      <c r="AT213" s="14" t="str">
        <f>IF(基础状态预期!X226="","",K$31+(基础状态预期!X226-1)*K$32)</f>
        <v/>
      </c>
      <c r="AU213" s="14">
        <f>IF(基础状态预期!Y226="","",L$31+(基础状态预期!Y226-1)*L$32)</f>
        <v>277.87057928352647</v>
      </c>
      <c r="AV213" s="14">
        <f>SUMPRODUCT(AQ213:AU213,基础状态预期!$F226:$J226)/SUM(基础状态预期!$F226:$J226)</f>
        <v>277.87057928352647</v>
      </c>
      <c r="BO213" s="29">
        <f t="shared" si="89"/>
        <v>129.43528964176323</v>
      </c>
      <c r="BP213" s="10">
        <f t="shared" si="90"/>
        <v>29882417780896.148</v>
      </c>
      <c r="BQ213" s="10" t="e">
        <f>$BP213*求节点('[1]功能-付费相关'!$AY$6:$AY$105,'[1]功能-付费相关'!$BD$6:$BD$105,$BO213)+$BQ212</f>
        <v>#VALUE!</v>
      </c>
      <c r="BZ213" s="4">
        <f t="shared" si="94"/>
        <v>547472375</v>
      </c>
      <c r="CA213" s="4">
        <v>210</v>
      </c>
      <c r="CB213" s="90">
        <f t="shared" si="95"/>
        <v>7649758655</v>
      </c>
      <c r="CC213" s="4">
        <f>SUM(CB$4:CB213)</f>
        <v>106123282075</v>
      </c>
      <c r="CD213" s="4">
        <f t="shared" si="97"/>
        <v>1.0401727468744746</v>
      </c>
    </row>
    <row r="214" spans="16:82" x14ac:dyDescent="0.15">
      <c r="P214" s="5">
        <v>34</v>
      </c>
      <c r="Q214" s="14">
        <f>基础状态预期!D227</f>
        <v>133.03192104200832</v>
      </c>
      <c r="R214" s="14">
        <f>IF(基础状态预期!U227="",0,求节点($B$5:$B$154,$D$5:$D$154,基础状态预期!U227)*基础状态预期!F227)</f>
        <v>0</v>
      </c>
      <c r="S214" s="14">
        <f>IF(基础状态预期!V227="",0,求节点($B$5:$B$154,$D$5:$D$154,基础状态预期!V227)*基础状态预期!G227)</f>
        <v>0</v>
      </c>
      <c r="T214" s="14">
        <f>IF(基础状态预期!W227="",0,求节点($B$5:$B$154,$D$5:$D$154,基础状态预期!W227)*基础状态预期!H227)</f>
        <v>0</v>
      </c>
      <c r="U214" s="14">
        <f>IF(基础状态预期!X227="",0,求节点($B$5:$B$154,$D$5:$D$154,基础状态预期!X227)*基础状态预期!I227)</f>
        <v>0</v>
      </c>
      <c r="V214" s="14">
        <f>IF(基础状态预期!Y227="",0,求节点($B$5:$B$154,$D$5:$D$154,基础状态预期!Y227)*基础状态预期!J227)</f>
        <v>56436690648719.555</v>
      </c>
      <c r="W214" s="14">
        <f t="shared" si="96"/>
        <v>56436690648719.555</v>
      </c>
      <c r="Y214" s="14" t="str">
        <f>IF(基础状态预期!U227="","",H$8+(基础状态预期!U227-1)*H$11)</f>
        <v/>
      </c>
      <c r="Z214" s="14" t="str">
        <f>IF(基础状态预期!V227="","",I$8+(基础状态预期!V227-1)*I$11)</f>
        <v/>
      </c>
      <c r="AA214" s="14" t="str">
        <f>IF(基础状态预期!W227="","",J$8+(基础状态预期!W227-1)*J$11)</f>
        <v/>
      </c>
      <c r="AB214" s="14" t="str">
        <f>IF(基础状态预期!X227="","",K$8+(基础状态预期!X227-1)*K$11)</f>
        <v/>
      </c>
      <c r="AC214" s="14">
        <f>IF(基础状态预期!Y227="","",L$8+(基础状态预期!Y227-1)*L$11)</f>
        <v>8751.9152625204988</v>
      </c>
      <c r="AD214" s="14">
        <f>SUMPRODUCT(Y214:AC214,基础状态预期!$F227:$J227)/SUM(基础状态预期!$F227:$J227)</f>
        <v>8751.9152625204988</v>
      </c>
      <c r="AE214" s="14" t="str">
        <f>IF(基础状态预期!U227="","",H$9+(基础状态预期!U227-1)*H$12)</f>
        <v/>
      </c>
      <c r="AF214" s="14" t="str">
        <f>IF(基础状态预期!V227="","",I$9+(基础状态预期!V227-1)*I$12)</f>
        <v/>
      </c>
      <c r="AG214" s="14" t="str">
        <f>IF(基础状态预期!W227="","",J$9+(基础状态预期!W227-1)*J$12)</f>
        <v/>
      </c>
      <c r="AH214" s="14" t="str">
        <f>IF(基础状态预期!X227="","",K$9+(基础状态预期!X227-1)*K$12)</f>
        <v/>
      </c>
      <c r="AI214" s="14">
        <f>IF(基础状态预期!Y227="","",L$9+(基础状态预期!Y227-1)*L$12)</f>
        <v>8751.9152625204988</v>
      </c>
      <c r="AJ214" s="14">
        <f>SUMPRODUCT(AE214:AI214,基础状态预期!$F227:$J227)/SUM(基础状态预期!$F227:$J227)</f>
        <v>8751.9152625204988</v>
      </c>
      <c r="AK214" s="14" t="str">
        <f>IF(基础状态预期!U227="","",H$27+(基础状态预期!U227-1)*H$28)</f>
        <v/>
      </c>
      <c r="AL214" s="14" t="str">
        <f>IF(基础状态预期!V227="","",I$27+(基础状态预期!V227-1)*I$28)</f>
        <v/>
      </c>
      <c r="AM214" s="14" t="str">
        <f>IF(基础状态预期!W227="","",J$27+(基础状态预期!W227-1)*J$28)</f>
        <v/>
      </c>
      <c r="AN214" s="14" t="str">
        <f>IF(基础状态预期!X227="","",K$27+(基础状态预期!X227-1)*K$28)</f>
        <v/>
      </c>
      <c r="AO214" s="14">
        <f>IF(基础状态预期!Y227="","",L$27+(基础状态预期!Y227-1)*L$28)</f>
        <v>3650.6384208401664</v>
      </c>
      <c r="AP214" s="14">
        <f>SUMPRODUCT(AK214:AO214,基础状态预期!$F227:$J227)/SUM(基础状态预期!$F227:$J227)</f>
        <v>3650.6384208401664</v>
      </c>
      <c r="AQ214" s="14" t="str">
        <f>IF(基础状态预期!U227="","",H$31+(基础状态预期!U227-1)*H$32)</f>
        <v/>
      </c>
      <c r="AR214" s="14" t="str">
        <f>IF(基础状态预期!V227="","",I$31+(基础状态预期!V227-1)*I$32)</f>
        <v/>
      </c>
      <c r="AS214" s="14" t="str">
        <f>IF(基础状态预期!W227="","",J$31+(基础状态预期!W227-1)*J$32)</f>
        <v/>
      </c>
      <c r="AT214" s="14" t="str">
        <f>IF(基础状态预期!X227="","",K$31+(基础状态预期!X227-1)*K$32)</f>
        <v/>
      </c>
      <c r="AU214" s="14">
        <f>IF(基础状态预期!Y227="","",L$31+(基础状态预期!Y227-1)*L$32)</f>
        <v>285.06384208401664</v>
      </c>
      <c r="AV214" s="14">
        <f>SUMPRODUCT(AQ214:AU214,基础状态预期!$F227:$J227)/SUM(基础状态预期!$F227:$J227)</f>
        <v>285.06384208401664</v>
      </c>
      <c r="BO214" s="29">
        <f t="shared" si="89"/>
        <v>133.03192104200832</v>
      </c>
      <c r="BP214" s="10">
        <f t="shared" si="90"/>
        <v>56436690648719.555</v>
      </c>
      <c r="BQ214" s="10" t="e">
        <f>$BP214*求节点('[1]功能-付费相关'!$AY$6:$AY$105,'[1]功能-付费相关'!$BD$6:$BD$105,$BO214)+$BQ213</f>
        <v>#VALUE!</v>
      </c>
      <c r="BZ214" s="4">
        <f t="shared" si="94"/>
        <v>547472375</v>
      </c>
      <c r="CA214" s="4">
        <v>211</v>
      </c>
      <c r="CB214" s="90">
        <f t="shared" si="95"/>
        <v>8197231030</v>
      </c>
      <c r="CC214" s="4">
        <f>SUM(CB$4:CB214)</f>
        <v>114320513105</v>
      </c>
      <c r="CD214" s="4">
        <f t="shared" si="97"/>
        <v>1.0371850892264385</v>
      </c>
    </row>
    <row r="215" spans="16:82" x14ac:dyDescent="0.15">
      <c r="P215" s="5">
        <v>35</v>
      </c>
      <c r="Q215" s="14">
        <f>基础状态预期!D228</f>
        <v>136.45508882162355</v>
      </c>
      <c r="R215" s="14">
        <f>IF(基础状态预期!U228="",0,求节点($B$5:$B$154,$D$5:$D$154,基础状态预期!U228)*基础状态预期!F228)</f>
        <v>0</v>
      </c>
      <c r="S215" s="14">
        <f>IF(基础状态预期!V228="",0,求节点($B$5:$B$154,$D$5:$D$154,基础状态预期!V228)*基础状态预期!G228)</f>
        <v>0</v>
      </c>
      <c r="T215" s="14">
        <f>IF(基础状态预期!W228="",0,求节点($B$5:$B$154,$D$5:$D$154,基础状态预期!W228)*基础状态预期!H228)</f>
        <v>0</v>
      </c>
      <c r="U215" s="14">
        <f>IF(基础状态预期!X228="",0,求节点($B$5:$B$154,$D$5:$D$154,基础状态预期!X228)*基础状态预期!I228)</f>
        <v>0</v>
      </c>
      <c r="V215" s="14">
        <f>IF(基础状态预期!Y228="",0,求节点($B$5:$B$154,$D$5:$D$154,基础状态预期!Y228)*基础状态预期!J228)</f>
        <v>104452530738399.72</v>
      </c>
      <c r="W215" s="14">
        <f t="shared" si="96"/>
        <v>104452530738399.72</v>
      </c>
      <c r="Y215" s="14" t="str">
        <f>IF(基础状态预期!U228="","",H$8+(基础状态预期!U228-1)*H$11)</f>
        <v/>
      </c>
      <c r="Z215" s="14" t="str">
        <f>IF(基础状态预期!V228="","",I$8+(基础状态预期!V228-1)*I$11)</f>
        <v/>
      </c>
      <c r="AA215" s="14" t="str">
        <f>IF(基础状态预期!W228="","",J$8+(基础状态预期!W228-1)*J$11)</f>
        <v/>
      </c>
      <c r="AB215" s="14" t="str">
        <f>IF(基础状态预期!X228="","",K$8+(基础状态预期!X228-1)*K$11)</f>
        <v/>
      </c>
      <c r="AC215" s="14">
        <f>IF(基础状态预期!Y228="","",L$8+(基础状态预期!Y228-1)*L$11)</f>
        <v>8957.3053292974128</v>
      </c>
      <c r="AD215" s="14">
        <f>SUMPRODUCT(Y215:AC215,基础状态预期!$F228:$J228)/SUM(基础状态预期!$F228:$J228)</f>
        <v>8957.3053292974128</v>
      </c>
      <c r="AE215" s="14" t="str">
        <f>IF(基础状态预期!U228="","",H$9+(基础状态预期!U228-1)*H$12)</f>
        <v/>
      </c>
      <c r="AF215" s="14" t="str">
        <f>IF(基础状态预期!V228="","",I$9+(基础状态预期!V228-1)*I$12)</f>
        <v/>
      </c>
      <c r="AG215" s="14" t="str">
        <f>IF(基础状态预期!W228="","",J$9+(基础状态预期!W228-1)*J$12)</f>
        <v/>
      </c>
      <c r="AH215" s="14" t="str">
        <f>IF(基础状态预期!X228="","",K$9+(基础状态预期!X228-1)*K$12)</f>
        <v/>
      </c>
      <c r="AI215" s="14">
        <f>IF(基础状态预期!Y228="","",L$9+(基础状态预期!Y228-1)*L$12)</f>
        <v>8957.3053292974128</v>
      </c>
      <c r="AJ215" s="14">
        <f>SUMPRODUCT(AE215:AI215,基础状态预期!$F228:$J228)/SUM(基础状态预期!$F228:$J228)</f>
        <v>8957.3053292974128</v>
      </c>
      <c r="AK215" s="14" t="str">
        <f>IF(基础状态预期!U228="","",H$27+(基础状态预期!U228-1)*H$28)</f>
        <v/>
      </c>
      <c r="AL215" s="14" t="str">
        <f>IF(基础状态预期!V228="","",I$27+(基础状态预期!V228-1)*I$28)</f>
        <v/>
      </c>
      <c r="AM215" s="14" t="str">
        <f>IF(基础状态预期!W228="","",J$27+(基础状态预期!W228-1)*J$28)</f>
        <v/>
      </c>
      <c r="AN215" s="14" t="str">
        <f>IF(基础状态预期!X228="","",K$27+(基础状态预期!X228-1)*K$28)</f>
        <v/>
      </c>
      <c r="AO215" s="14">
        <f>IF(基础状态预期!Y228="","",L$27+(基础状态预期!Y228-1)*L$28)</f>
        <v>3719.1017764324711</v>
      </c>
      <c r="AP215" s="14">
        <f>SUMPRODUCT(AK215:AO215,基础状态预期!$F228:$J228)/SUM(基础状态预期!$F228:$J228)</f>
        <v>3719.1017764324711</v>
      </c>
      <c r="AQ215" s="14" t="str">
        <f>IF(基础状态预期!U228="","",H$31+(基础状态预期!U228-1)*H$32)</f>
        <v/>
      </c>
      <c r="AR215" s="14" t="str">
        <f>IF(基础状态预期!V228="","",I$31+(基础状态预期!V228-1)*I$32)</f>
        <v/>
      </c>
      <c r="AS215" s="14" t="str">
        <f>IF(基础状态预期!W228="","",J$31+(基础状态预期!W228-1)*J$32)</f>
        <v/>
      </c>
      <c r="AT215" s="14" t="str">
        <f>IF(基础状态预期!X228="","",K$31+(基础状态预期!X228-1)*K$32)</f>
        <v/>
      </c>
      <c r="AU215" s="14">
        <f>IF(基础状态预期!Y228="","",L$31+(基础状态预期!Y228-1)*L$32)</f>
        <v>291.9101776432471</v>
      </c>
      <c r="AV215" s="14">
        <f>SUMPRODUCT(AQ215:AU215,基础状态预期!$F228:$J228)/SUM(基础状态预期!$F228:$J228)</f>
        <v>291.9101776432471</v>
      </c>
      <c r="BO215" s="29">
        <f t="shared" si="89"/>
        <v>136.45508882162355</v>
      </c>
      <c r="BP215" s="10">
        <f t="shared" si="90"/>
        <v>104452530738399.72</v>
      </c>
      <c r="BQ215" s="10" t="e">
        <f>$BP215*求节点('[1]功能-付费相关'!$AY$6:$AY$105,'[1]功能-付费相关'!$BD$6:$BD$105,$BO215)+$BQ214</f>
        <v>#VALUE!</v>
      </c>
      <c r="BZ215" s="4">
        <f t="shared" si="94"/>
        <v>629593225</v>
      </c>
      <c r="CA215" s="4">
        <v>212</v>
      </c>
      <c r="CB215" s="90">
        <f t="shared" si="95"/>
        <v>8826824255</v>
      </c>
      <c r="CC215" s="4">
        <f>SUM(CB$4:CB215)</f>
        <v>123147337360</v>
      </c>
      <c r="CD215" s="4">
        <f t="shared" si="97"/>
        <v>1.0399277071551669</v>
      </c>
    </row>
    <row r="216" spans="16:82" x14ac:dyDescent="0.15">
      <c r="P216" s="5">
        <v>36</v>
      </c>
      <c r="Q216" s="14">
        <f>基础状态预期!D229</f>
        <v>140.08772492574531</v>
      </c>
      <c r="R216" s="14">
        <f>IF(基础状态预期!U229="",0,求节点($B$5:$B$154,$D$5:$D$154,基础状态预期!U229)*基础状态预期!F229)</f>
        <v>0</v>
      </c>
      <c r="S216" s="14">
        <f>IF(基础状态预期!V229="",0,求节点($B$5:$B$154,$D$5:$D$154,基础状态预期!V229)*基础状态预期!G229)</f>
        <v>0</v>
      </c>
      <c r="T216" s="14">
        <f>IF(基础状态预期!W229="",0,求节点($B$5:$B$154,$D$5:$D$154,基础状态预期!W229)*基础状态预期!H229)</f>
        <v>0</v>
      </c>
      <c r="U216" s="14">
        <f>IF(基础状态预期!X229="",0,求节点($B$5:$B$154,$D$5:$D$154,基础状态预期!X229)*基础状态预期!I229)</f>
        <v>0</v>
      </c>
      <c r="V216" s="14">
        <f>IF(基础状态预期!Y229="",0,求节点($B$5:$B$154,$D$5:$D$154,基础状态预期!Y229)*基础状态预期!J229)</f>
        <v>195597112689191.25</v>
      </c>
      <c r="W216" s="14">
        <f t="shared" si="96"/>
        <v>195597112689191.25</v>
      </c>
      <c r="Y216" s="14" t="str">
        <f>IF(基础状态预期!U229="","",H$8+(基础状态预期!U229-1)*H$11)</f>
        <v/>
      </c>
      <c r="Z216" s="14" t="str">
        <f>IF(基础状态预期!V229="","",I$8+(基础状态预期!V229-1)*I$11)</f>
        <v/>
      </c>
      <c r="AA216" s="14" t="str">
        <f>IF(基础状态预期!W229="","",J$8+(基础状态预期!W229-1)*J$11)</f>
        <v/>
      </c>
      <c r="AB216" s="14" t="str">
        <f>IF(基础状态预期!X229="","",K$8+(基础状态预期!X229-1)*K$11)</f>
        <v/>
      </c>
      <c r="AC216" s="14">
        <f>IF(基础状态预期!Y229="","",L$8+(基础状态预期!Y229-1)*L$11)</f>
        <v>9175.2634955447174</v>
      </c>
      <c r="AD216" s="14">
        <f>SUMPRODUCT(Y216:AC216,基础状态预期!$F229:$J229)/SUM(基础状态预期!$F229:$J229)</f>
        <v>9175.2634955447174</v>
      </c>
      <c r="AE216" s="14" t="str">
        <f>IF(基础状态预期!U229="","",H$9+(基础状态预期!U229-1)*H$12)</f>
        <v/>
      </c>
      <c r="AF216" s="14" t="str">
        <f>IF(基础状态预期!V229="","",I$9+(基础状态预期!V229-1)*I$12)</f>
        <v/>
      </c>
      <c r="AG216" s="14" t="str">
        <f>IF(基础状态预期!W229="","",J$9+(基础状态预期!W229-1)*J$12)</f>
        <v/>
      </c>
      <c r="AH216" s="14" t="str">
        <f>IF(基础状态预期!X229="","",K$9+(基础状态预期!X229-1)*K$12)</f>
        <v/>
      </c>
      <c r="AI216" s="14">
        <f>IF(基础状态预期!Y229="","",L$9+(基础状态预期!Y229-1)*L$12)</f>
        <v>9175.2634955447174</v>
      </c>
      <c r="AJ216" s="14">
        <f>SUMPRODUCT(AE216:AI216,基础状态预期!$F229:$J229)/SUM(基础状态预期!$F229:$J229)</f>
        <v>9175.2634955447174</v>
      </c>
      <c r="AK216" s="14" t="str">
        <f>IF(基础状态预期!U229="","",H$27+(基础状态预期!U229-1)*H$28)</f>
        <v/>
      </c>
      <c r="AL216" s="14" t="str">
        <f>IF(基础状态预期!V229="","",I$27+(基础状态预期!V229-1)*I$28)</f>
        <v/>
      </c>
      <c r="AM216" s="14" t="str">
        <f>IF(基础状态预期!W229="","",J$27+(基础状态预期!W229-1)*J$28)</f>
        <v/>
      </c>
      <c r="AN216" s="14" t="str">
        <f>IF(基础状态预期!X229="","",K$27+(基础状态预期!X229-1)*K$28)</f>
        <v/>
      </c>
      <c r="AO216" s="14">
        <f>IF(基础状态预期!Y229="","",L$27+(基础状态预期!Y229-1)*L$28)</f>
        <v>3791.7544985149061</v>
      </c>
      <c r="AP216" s="14">
        <f>SUMPRODUCT(AK216:AO216,基础状态预期!$F229:$J229)/SUM(基础状态预期!$F229:$J229)</f>
        <v>3791.7544985149057</v>
      </c>
      <c r="AQ216" s="14" t="str">
        <f>IF(基础状态预期!U229="","",H$31+(基础状态预期!U229-1)*H$32)</f>
        <v/>
      </c>
      <c r="AR216" s="14" t="str">
        <f>IF(基础状态预期!V229="","",I$31+(基础状态预期!V229-1)*I$32)</f>
        <v/>
      </c>
      <c r="AS216" s="14" t="str">
        <f>IF(基础状态预期!W229="","",J$31+(基础状态预期!W229-1)*J$32)</f>
        <v/>
      </c>
      <c r="AT216" s="14" t="str">
        <f>IF(基础状态预期!X229="","",K$31+(基础状态预期!X229-1)*K$32)</f>
        <v/>
      </c>
      <c r="AU216" s="14">
        <f>IF(基础状态预期!Y229="","",L$31+(基础状态预期!Y229-1)*L$32)</f>
        <v>299.17544985149061</v>
      </c>
      <c r="AV216" s="14">
        <f>SUMPRODUCT(AQ216:AU216,基础状态预期!$F229:$J229)/SUM(基础状态预期!$F229:$J229)</f>
        <v>299.17544985149061</v>
      </c>
      <c r="BO216" s="29">
        <f t="shared" si="89"/>
        <v>140.08772492574531</v>
      </c>
      <c r="BP216" s="10">
        <f t="shared" si="90"/>
        <v>195597112689191.25</v>
      </c>
      <c r="BQ216" s="10" t="e">
        <f>$BP216*求节点('[1]功能-付费相关'!$AY$6:$AY$105,'[1]功能-付费相关'!$BD$6:$BD$105,$BO216)+$BQ215</f>
        <v>#VALUE!</v>
      </c>
      <c r="BZ216" s="4">
        <f t="shared" si="94"/>
        <v>629593225</v>
      </c>
      <c r="CA216" s="4">
        <v>213</v>
      </c>
      <c r="CB216" s="90">
        <f t="shared" si="95"/>
        <v>9456417480</v>
      </c>
      <c r="CC216" s="4">
        <f>SUM(CB$4:CB216)</f>
        <v>132603754840</v>
      </c>
      <c r="CD216" s="4">
        <f t="shared" si="97"/>
        <v>1.0369750466387826</v>
      </c>
    </row>
    <row r="217" spans="16:82" x14ac:dyDescent="0.15">
      <c r="P217" s="5">
        <v>37</v>
      </c>
      <c r="Q217" s="14">
        <f>基础状态预期!D230</f>
        <v>143.51956656528549</v>
      </c>
      <c r="R217" s="14">
        <f>IF(基础状态预期!U230="",0,求节点($B$5:$B$154,$D$5:$D$154,基础状态预期!U230)*基础状态预期!F230)</f>
        <v>0</v>
      </c>
      <c r="S217" s="14">
        <f>IF(基础状态预期!V230="",0,求节点($B$5:$B$154,$D$5:$D$154,基础状态预期!V230)*基础状态预期!G230)</f>
        <v>0</v>
      </c>
      <c r="T217" s="14">
        <f>IF(基础状态预期!W230="",0,求节点($B$5:$B$154,$D$5:$D$154,基础状态预期!W230)*基础状态预期!H230)</f>
        <v>0</v>
      </c>
      <c r="U217" s="14">
        <f>IF(基础状态预期!X230="",0,求节点($B$5:$B$154,$D$5:$D$154,基础状态预期!X230)*基础状态预期!I230)</f>
        <v>0</v>
      </c>
      <c r="V217" s="14">
        <f>IF(基础状态预期!Y230="",0,求节点($B$5:$B$154,$D$5:$D$154,基础状态预期!Y230)*基础状态预期!J230)</f>
        <v>345490320717400.69</v>
      </c>
      <c r="W217" s="14">
        <f t="shared" si="96"/>
        <v>345490320717400.69</v>
      </c>
      <c r="Y217" s="14" t="str">
        <f>IF(基础状态预期!U230="","",H$8+(基础状态预期!U230-1)*H$11)</f>
        <v/>
      </c>
      <c r="Z217" s="14" t="str">
        <f>IF(基础状态预期!V230="","",I$8+(基础状态预期!V230-1)*I$11)</f>
        <v/>
      </c>
      <c r="AA217" s="14" t="str">
        <f>IF(基础状态预期!W230="","",J$8+(基础状态预期!W230-1)*J$11)</f>
        <v/>
      </c>
      <c r="AB217" s="14" t="str">
        <f>IF(基础状态预期!X230="","",K$8+(基础状态预期!X230-1)*K$11)</f>
        <v/>
      </c>
      <c r="AC217" s="14">
        <f>IF(基础状态预期!Y230="","",L$8+(基础状态预期!Y230-1)*L$11)</f>
        <v>9381.1739939171293</v>
      </c>
      <c r="AD217" s="14">
        <f>SUMPRODUCT(Y217:AC217,基础状态预期!$F230:$J230)/SUM(基础状态预期!$F230:$J230)</f>
        <v>9381.1739939171293</v>
      </c>
      <c r="AE217" s="14" t="str">
        <f>IF(基础状态预期!U230="","",H$9+(基础状态预期!U230-1)*H$12)</f>
        <v/>
      </c>
      <c r="AF217" s="14" t="str">
        <f>IF(基础状态预期!V230="","",I$9+(基础状态预期!V230-1)*I$12)</f>
        <v/>
      </c>
      <c r="AG217" s="14" t="str">
        <f>IF(基础状态预期!W230="","",J$9+(基础状态预期!W230-1)*J$12)</f>
        <v/>
      </c>
      <c r="AH217" s="14" t="str">
        <f>IF(基础状态预期!X230="","",K$9+(基础状态预期!X230-1)*K$12)</f>
        <v/>
      </c>
      <c r="AI217" s="14">
        <f>IF(基础状态预期!Y230="","",L$9+(基础状态预期!Y230-1)*L$12)</f>
        <v>9381.1739939171293</v>
      </c>
      <c r="AJ217" s="14">
        <f>SUMPRODUCT(AE217:AI217,基础状态预期!$F230:$J230)/SUM(基础状态预期!$F230:$J230)</f>
        <v>9381.1739939171293</v>
      </c>
      <c r="AK217" s="14" t="str">
        <f>IF(基础状态预期!U230="","",H$27+(基础状态预期!U230-1)*H$28)</f>
        <v/>
      </c>
      <c r="AL217" s="14" t="str">
        <f>IF(基础状态预期!V230="","",I$27+(基础状态预期!V230-1)*I$28)</f>
        <v/>
      </c>
      <c r="AM217" s="14" t="str">
        <f>IF(基础状态预期!W230="","",J$27+(基础状态预期!W230-1)*J$28)</f>
        <v/>
      </c>
      <c r="AN217" s="14" t="str">
        <f>IF(基础状态预期!X230="","",K$27+(基础状态预期!X230-1)*K$28)</f>
        <v/>
      </c>
      <c r="AO217" s="14">
        <f>IF(基础状态预期!Y230="","",L$27+(基础状态预期!Y230-1)*L$28)</f>
        <v>3860.3913313057096</v>
      </c>
      <c r="AP217" s="14">
        <f>SUMPRODUCT(AK217:AO217,基础状态预期!$F230:$J230)/SUM(基础状态预期!$F230:$J230)</f>
        <v>3860.3913313057096</v>
      </c>
      <c r="AQ217" s="14" t="str">
        <f>IF(基础状态预期!U230="","",H$31+(基础状态预期!U230-1)*H$32)</f>
        <v/>
      </c>
      <c r="AR217" s="14" t="str">
        <f>IF(基础状态预期!V230="","",I$31+(基础状态预期!V230-1)*I$32)</f>
        <v/>
      </c>
      <c r="AS217" s="14" t="str">
        <f>IF(基础状态预期!W230="","",J$31+(基础状态预期!W230-1)*J$32)</f>
        <v/>
      </c>
      <c r="AT217" s="14" t="str">
        <f>IF(基础状态预期!X230="","",K$31+(基础状态预期!X230-1)*K$32)</f>
        <v/>
      </c>
      <c r="AU217" s="14">
        <f>IF(基础状态预期!Y230="","",L$31+(基础状态预期!Y230-1)*L$32)</f>
        <v>306.03913313057097</v>
      </c>
      <c r="AV217" s="14">
        <f>SUMPRODUCT(AQ217:AU217,基础状态预期!$F230:$J230)/SUM(基础状态预期!$F230:$J230)</f>
        <v>306.03913313057097</v>
      </c>
      <c r="BO217" s="29">
        <f t="shared" si="89"/>
        <v>143.51956656528549</v>
      </c>
      <c r="BP217" s="10">
        <f t="shared" si="90"/>
        <v>345490320717400.69</v>
      </c>
      <c r="BQ217" s="10" t="e">
        <f>$BP217*求节点('[1]功能-付费相关'!$AY$6:$AY$105,'[1]功能-付费相关'!$BD$6:$BD$105,$BO217)+$BQ216</f>
        <v>#VALUE!</v>
      </c>
      <c r="BZ217" s="4">
        <f t="shared" si="94"/>
        <v>724032200</v>
      </c>
      <c r="CA217" s="4">
        <v>214</v>
      </c>
      <c r="CB217" s="90">
        <f t="shared" si="95"/>
        <v>10180449680</v>
      </c>
      <c r="CC217" s="4">
        <f>SUM(CB$4:CB217)</f>
        <v>142784204520</v>
      </c>
      <c r="CD217" s="4">
        <f t="shared" si="97"/>
        <v>1.0397011468150672</v>
      </c>
    </row>
    <row r="218" spans="16:82" x14ac:dyDescent="0.15">
      <c r="P218" s="5">
        <v>38</v>
      </c>
      <c r="Q218" s="14">
        <f>基础状态预期!D231</f>
        <v>147.17868266109423</v>
      </c>
      <c r="R218" s="14">
        <f>IF(基础状态预期!U231="",0,求节点($B$5:$B$154,$D$5:$D$154,基础状态预期!U231)*基础状态预期!F231)</f>
        <v>0</v>
      </c>
      <c r="S218" s="14">
        <f>IF(基础状态预期!V231="",0,求节点($B$5:$B$154,$D$5:$D$154,基础状态预期!V231)*基础状态预期!G231)</f>
        <v>0</v>
      </c>
      <c r="T218" s="14">
        <f>IF(基础状态预期!W231="",0,求节点($B$5:$B$154,$D$5:$D$154,基础状态预期!W231)*基础状态预期!H231)</f>
        <v>0</v>
      </c>
      <c r="U218" s="14">
        <f>IF(基础状态预期!X231="",0,求节点($B$5:$B$154,$D$5:$D$154,基础状态预期!X231)*基础状态预期!I231)</f>
        <v>0</v>
      </c>
      <c r="V218" s="14">
        <f>IF(基础状态预期!Y231="",0,求节点($B$5:$B$154,$D$5:$D$154,基础状态预期!Y231)*基础状态预期!J231)</f>
        <v>615251395713921.88</v>
      </c>
      <c r="W218" s="14">
        <f t="shared" si="96"/>
        <v>615251395713921.88</v>
      </c>
      <c r="Y218" s="14" t="str">
        <f>IF(基础状态预期!U231="","",H$8+(基础状态预期!U231-1)*H$11)</f>
        <v/>
      </c>
      <c r="Z218" s="14" t="str">
        <f>IF(基础状态预期!V231="","",I$8+(基础状态预期!V231-1)*I$11)</f>
        <v/>
      </c>
      <c r="AA218" s="14" t="str">
        <f>IF(基础状态预期!W231="","",J$8+(基础状态预期!W231-1)*J$11)</f>
        <v/>
      </c>
      <c r="AB218" s="14" t="str">
        <f>IF(基础状态预期!X231="","",K$8+(基础状态预期!X231-1)*K$11)</f>
        <v/>
      </c>
      <c r="AC218" s="14">
        <f>IF(基础状态预期!Y231="","",L$8+(基础状态预期!Y231-1)*L$11)</f>
        <v>9600.7209596656539</v>
      </c>
      <c r="AD218" s="14">
        <f>SUMPRODUCT(Y218:AC218,基础状态预期!$F231:$J231)/SUM(基础状态预期!$F231:$J231)</f>
        <v>9600.7209596656539</v>
      </c>
      <c r="AE218" s="14" t="str">
        <f>IF(基础状态预期!U231="","",H$9+(基础状态预期!U231-1)*H$12)</f>
        <v/>
      </c>
      <c r="AF218" s="14" t="str">
        <f>IF(基础状态预期!V231="","",I$9+(基础状态预期!V231-1)*I$12)</f>
        <v/>
      </c>
      <c r="AG218" s="14" t="str">
        <f>IF(基础状态预期!W231="","",J$9+(基础状态预期!W231-1)*J$12)</f>
        <v/>
      </c>
      <c r="AH218" s="14" t="str">
        <f>IF(基础状态预期!X231="","",K$9+(基础状态预期!X231-1)*K$12)</f>
        <v/>
      </c>
      <c r="AI218" s="14">
        <f>IF(基础状态预期!Y231="","",L$9+(基础状态预期!Y231-1)*L$12)</f>
        <v>9600.7209596656539</v>
      </c>
      <c r="AJ218" s="14">
        <f>SUMPRODUCT(AE218:AI218,基础状态预期!$F231:$J231)/SUM(基础状态预期!$F231:$J231)</f>
        <v>9600.7209596656539</v>
      </c>
      <c r="AK218" s="14" t="str">
        <f>IF(基础状态预期!U231="","",H$27+(基础状态预期!U231-1)*H$28)</f>
        <v/>
      </c>
      <c r="AL218" s="14" t="str">
        <f>IF(基础状态预期!V231="","",I$27+(基础状态预期!V231-1)*I$28)</f>
        <v/>
      </c>
      <c r="AM218" s="14" t="str">
        <f>IF(基础状态预期!W231="","",J$27+(基础状态预期!W231-1)*J$28)</f>
        <v/>
      </c>
      <c r="AN218" s="14" t="str">
        <f>IF(基础状态预期!X231="","",K$27+(基础状态预期!X231-1)*K$28)</f>
        <v/>
      </c>
      <c r="AO218" s="14">
        <f>IF(基础状态预期!Y231="","",L$27+(基础状态预期!Y231-1)*L$28)</f>
        <v>3933.5736532218843</v>
      </c>
      <c r="AP218" s="14">
        <f>SUMPRODUCT(AK218:AO218,基础状态预期!$F231:$J231)/SUM(基础状态预期!$F231:$J231)</f>
        <v>3933.5736532218848</v>
      </c>
      <c r="AQ218" s="14" t="str">
        <f>IF(基础状态预期!U231="","",H$31+(基础状态预期!U231-1)*H$32)</f>
        <v/>
      </c>
      <c r="AR218" s="14" t="str">
        <f>IF(基础状态预期!V231="","",I$31+(基础状态预期!V231-1)*I$32)</f>
        <v/>
      </c>
      <c r="AS218" s="14" t="str">
        <f>IF(基础状态预期!W231="","",J$31+(基础状态预期!W231-1)*J$32)</f>
        <v/>
      </c>
      <c r="AT218" s="14" t="str">
        <f>IF(基础状态预期!X231="","",K$31+(基础状态预期!X231-1)*K$32)</f>
        <v/>
      </c>
      <c r="AU218" s="14">
        <f>IF(基础状态预期!Y231="","",L$31+(基础状态预期!Y231-1)*L$32)</f>
        <v>313.35736532218846</v>
      </c>
      <c r="AV218" s="14">
        <f>SUMPRODUCT(AQ218:AU218,基础状态预期!$F231:$J231)/SUM(基础状态预期!$F231:$J231)</f>
        <v>313.35736532218846</v>
      </c>
      <c r="BO218" s="29">
        <f t="shared" si="89"/>
        <v>147.17868266109423</v>
      </c>
      <c r="BP218" s="10">
        <f t="shared" si="90"/>
        <v>615251395713921.88</v>
      </c>
      <c r="BQ218" s="10" t="e">
        <f>$BP218*求节点('[1]功能-付费相关'!$AY$6:$AY$105,'[1]功能-付费相关'!$BD$6:$BD$105,$BO218)+$BQ217</f>
        <v>#VALUE!</v>
      </c>
      <c r="BZ218" s="4">
        <f t="shared" si="94"/>
        <v>724032200</v>
      </c>
      <c r="CA218" s="4">
        <v>215</v>
      </c>
      <c r="CB218" s="90">
        <f t="shared" si="95"/>
        <v>10904481880</v>
      </c>
      <c r="CC218" s="4">
        <f>SUM(CB$4:CB218)</f>
        <v>153688686400</v>
      </c>
      <c r="CD218" s="4">
        <f t="shared" si="97"/>
        <v>1.0367806744384134</v>
      </c>
    </row>
    <row r="219" spans="16:82" x14ac:dyDescent="0.15">
      <c r="P219" s="5">
        <v>39</v>
      </c>
      <c r="Q219" s="14">
        <f>基础状态预期!D232</f>
        <v>150.49637054967232</v>
      </c>
      <c r="R219" s="14">
        <f>IF(基础状态预期!U232="",0,求节点($B$5:$B$154,$D$5:$D$154,基础状态预期!U232)*基础状态预期!F232)</f>
        <v>0</v>
      </c>
      <c r="S219" s="14">
        <f>IF(基础状态预期!V232="",0,求节点($B$5:$B$154,$D$5:$D$154,基础状态预期!V232)*基础状态预期!G232)</f>
        <v>0</v>
      </c>
      <c r="T219" s="14">
        <f>IF(基础状态预期!W232="",0,求节点($B$5:$B$154,$D$5:$D$154,基础状态预期!W232)*基础状态预期!H232)</f>
        <v>0</v>
      </c>
      <c r="U219" s="14">
        <f>IF(基础状态预期!X232="",0,求节点($B$5:$B$154,$D$5:$D$154,基础状态预期!X232)*基础状态预期!I232)</f>
        <v>0</v>
      </c>
      <c r="V219" s="14">
        <f>IF(基础状态预期!Y232="",0,求节点($B$5:$B$154,$D$5:$D$154,基础状态预期!Y232)*基础状态预期!J232)</f>
        <v>945667232849400</v>
      </c>
      <c r="W219" s="14">
        <f t="shared" si="96"/>
        <v>945667232849400</v>
      </c>
      <c r="Y219" s="14" t="str">
        <f>IF(基础状态预期!U232="","",H$8+(基础状态预期!U232-1)*H$11)</f>
        <v/>
      </c>
      <c r="Z219" s="14" t="str">
        <f>IF(基础状态预期!V232="","",I$8+(基础状态预期!V232-1)*I$11)</f>
        <v/>
      </c>
      <c r="AA219" s="14" t="str">
        <f>IF(基础状态预期!W232="","",J$8+(基础状态预期!W232-1)*J$11)</f>
        <v/>
      </c>
      <c r="AB219" s="14" t="str">
        <f>IF(基础状态预期!X232="","",K$8+(基础状态预期!X232-1)*K$11)</f>
        <v/>
      </c>
      <c r="AC219" s="14">
        <f>IF(基础状态预期!Y232="","",L$8+(基础状态预期!Y232-1)*L$11)</f>
        <v>9770</v>
      </c>
      <c r="AD219" s="14">
        <f>SUMPRODUCT(Y219:AC219,基础状态预期!$F232:$J232)/SUM(基础状态预期!$F232:$J232)</f>
        <v>9770</v>
      </c>
      <c r="AE219" s="14" t="str">
        <f>IF(基础状态预期!U232="","",H$9+(基础状态预期!U232-1)*H$12)</f>
        <v/>
      </c>
      <c r="AF219" s="14" t="str">
        <f>IF(基础状态预期!V232="","",I$9+(基础状态预期!V232-1)*I$12)</f>
        <v/>
      </c>
      <c r="AG219" s="14" t="str">
        <f>IF(基础状态预期!W232="","",J$9+(基础状态预期!W232-1)*J$12)</f>
        <v/>
      </c>
      <c r="AH219" s="14" t="str">
        <f>IF(基础状态预期!X232="","",K$9+(基础状态预期!X232-1)*K$12)</f>
        <v/>
      </c>
      <c r="AI219" s="14">
        <f>IF(基础状态预期!Y232="","",L$9+(基础状态预期!Y232-1)*L$12)</f>
        <v>9770</v>
      </c>
      <c r="AJ219" s="14">
        <f>SUMPRODUCT(AE219:AI219,基础状态预期!$F232:$J232)/SUM(基础状态预期!$F232:$J232)</f>
        <v>9770</v>
      </c>
      <c r="AK219" s="14" t="str">
        <f>IF(基础状态预期!U232="","",H$27+(基础状态预期!U232-1)*H$28)</f>
        <v/>
      </c>
      <c r="AL219" s="14" t="str">
        <f>IF(基础状态预期!V232="","",I$27+(基础状态预期!V232-1)*I$28)</f>
        <v/>
      </c>
      <c r="AM219" s="14" t="str">
        <f>IF(基础状态预期!W232="","",J$27+(基础状态预期!W232-1)*J$28)</f>
        <v/>
      </c>
      <c r="AN219" s="14" t="str">
        <f>IF(基础状态预期!X232="","",K$27+(基础状态预期!X232-1)*K$28)</f>
        <v/>
      </c>
      <c r="AO219" s="14">
        <f>IF(基础状态预期!Y232="","",L$27+(基础状态预期!Y232-1)*L$28)</f>
        <v>3990</v>
      </c>
      <c r="AP219" s="14">
        <f>SUMPRODUCT(AK219:AO219,基础状态预期!$F232:$J232)/SUM(基础状态预期!$F232:$J232)</f>
        <v>3990</v>
      </c>
      <c r="AQ219" s="14" t="str">
        <f>IF(基础状态预期!U232="","",H$31+(基础状态预期!U232-1)*H$32)</f>
        <v/>
      </c>
      <c r="AR219" s="14" t="str">
        <f>IF(基础状态预期!V232="","",I$31+(基础状态预期!V232-1)*I$32)</f>
        <v/>
      </c>
      <c r="AS219" s="14" t="str">
        <f>IF(基础状态预期!W232="","",J$31+(基础状态预期!W232-1)*J$32)</f>
        <v/>
      </c>
      <c r="AT219" s="14" t="str">
        <f>IF(基础状态预期!X232="","",K$31+(基础状态预期!X232-1)*K$32)</f>
        <v/>
      </c>
      <c r="AU219" s="14">
        <f>IF(基础状态预期!Y232="","",L$31+(基础状态预期!Y232-1)*L$32)</f>
        <v>319</v>
      </c>
      <c r="AV219" s="14">
        <f>SUMPRODUCT(AQ219:AU219,基础状态预期!$F232:$J232)/SUM(基础状态预期!$F232:$J232)</f>
        <v>319</v>
      </c>
      <c r="BO219" s="29">
        <f t="shared" si="89"/>
        <v>150.49637054967232</v>
      </c>
      <c r="BP219" s="10">
        <f t="shared" si="90"/>
        <v>945667232849400</v>
      </c>
      <c r="BQ219" s="10" t="e">
        <f>$BP219*求节点('[1]功能-付费相关'!$AY$6:$AY$105,'[1]功能-付费相关'!$BD$6:$BD$105,$BO219)+$BQ218</f>
        <v>#VALUE!</v>
      </c>
      <c r="BZ219" s="4">
        <f t="shared" si="94"/>
        <v>832637025</v>
      </c>
      <c r="CA219" s="4">
        <v>216</v>
      </c>
      <c r="CB219" s="90">
        <f t="shared" si="95"/>
        <v>11737118905</v>
      </c>
      <c r="CC219" s="4">
        <f>SUM(CB$4:CB219)</f>
        <v>165425805305</v>
      </c>
      <c r="CD219" s="4">
        <f t="shared" si="97"/>
        <v>1.0394925022611263</v>
      </c>
    </row>
    <row r="220" spans="16:82" x14ac:dyDescent="0.15">
      <c r="P220" s="5">
        <v>40</v>
      </c>
      <c r="Q220" s="14">
        <f>基础状态预期!D233</f>
        <v>151.40240982411487</v>
      </c>
      <c r="R220" s="14">
        <f>IF(基础状态预期!U233="",0,求节点($B$5:$B$154,$D$5:$D$154,基础状态预期!U233)*基础状态预期!F233)</f>
        <v>0</v>
      </c>
      <c r="S220" s="14">
        <f>IF(基础状态预期!V233="",0,求节点($B$5:$B$154,$D$5:$D$154,基础状态预期!V233)*基础状态预期!G233)</f>
        <v>0</v>
      </c>
      <c r="T220" s="14">
        <f>IF(基础状态预期!W233="",0,求节点($B$5:$B$154,$D$5:$D$154,基础状态预期!W233)*基础状态预期!H233)</f>
        <v>0</v>
      </c>
      <c r="U220" s="14">
        <f>IF(基础状态预期!X233="",0,求节点($B$5:$B$154,$D$5:$D$154,基础状态预期!X233)*基础状态预期!I233)</f>
        <v>0</v>
      </c>
      <c r="V220" s="14">
        <f>IF(基础状态预期!Y233="",0,求节点($B$5:$B$154,$D$5:$D$154,基础状态预期!Y233)*基础状态预期!J233)</f>
        <v>945667232849400</v>
      </c>
      <c r="W220" s="14">
        <f t="shared" si="96"/>
        <v>945667232849400</v>
      </c>
      <c r="Y220" s="14" t="str">
        <f>IF(基础状态预期!U233="","",H$8+(基础状态预期!U233-1)*H$11)</f>
        <v/>
      </c>
      <c r="Z220" s="14" t="str">
        <f>IF(基础状态预期!V233="","",I$8+(基础状态预期!V233-1)*I$11)</f>
        <v/>
      </c>
      <c r="AA220" s="14" t="str">
        <f>IF(基础状态预期!W233="","",J$8+(基础状态预期!W233-1)*J$11)</f>
        <v/>
      </c>
      <c r="AB220" s="14" t="str">
        <f>IF(基础状态预期!X233="","",K$8+(基础状态预期!X233-1)*K$11)</f>
        <v/>
      </c>
      <c r="AC220" s="14">
        <f>IF(基础状态预期!Y233="","",L$8+(基础状态预期!Y233-1)*L$11)</f>
        <v>9770</v>
      </c>
      <c r="AD220" s="14">
        <f>SUMPRODUCT(Y220:AC220,基础状态预期!$F233:$J233)/SUM(基础状态预期!$F233:$J233)</f>
        <v>9770</v>
      </c>
      <c r="AE220" s="14" t="str">
        <f>IF(基础状态预期!U233="","",H$9+(基础状态预期!U233-1)*H$12)</f>
        <v/>
      </c>
      <c r="AF220" s="14" t="str">
        <f>IF(基础状态预期!V233="","",I$9+(基础状态预期!V233-1)*I$12)</f>
        <v/>
      </c>
      <c r="AG220" s="14" t="str">
        <f>IF(基础状态预期!W233="","",J$9+(基础状态预期!W233-1)*J$12)</f>
        <v/>
      </c>
      <c r="AH220" s="14" t="str">
        <f>IF(基础状态预期!X233="","",K$9+(基础状态预期!X233-1)*K$12)</f>
        <v/>
      </c>
      <c r="AI220" s="14">
        <f>IF(基础状态预期!Y233="","",L$9+(基础状态预期!Y233-1)*L$12)</f>
        <v>9770</v>
      </c>
      <c r="AJ220" s="14">
        <f>SUMPRODUCT(AE220:AI220,基础状态预期!$F233:$J233)/SUM(基础状态预期!$F233:$J233)</f>
        <v>9770</v>
      </c>
      <c r="AK220" s="14" t="str">
        <f>IF(基础状态预期!U233="","",H$27+(基础状态预期!U233-1)*H$28)</f>
        <v/>
      </c>
      <c r="AL220" s="14" t="str">
        <f>IF(基础状态预期!V233="","",I$27+(基础状态预期!V233-1)*I$28)</f>
        <v/>
      </c>
      <c r="AM220" s="14" t="str">
        <f>IF(基础状态预期!W233="","",J$27+(基础状态预期!W233-1)*J$28)</f>
        <v/>
      </c>
      <c r="AN220" s="14" t="str">
        <f>IF(基础状态预期!X233="","",K$27+(基础状态预期!X233-1)*K$28)</f>
        <v/>
      </c>
      <c r="AO220" s="14">
        <f>IF(基础状态预期!Y233="","",L$27+(基础状态预期!Y233-1)*L$28)</f>
        <v>3990</v>
      </c>
      <c r="AP220" s="14">
        <f>SUMPRODUCT(AK220:AO220,基础状态预期!$F233:$J233)/SUM(基础状态预期!$F233:$J233)</f>
        <v>3990</v>
      </c>
      <c r="AQ220" s="14" t="str">
        <f>IF(基础状态预期!U233="","",H$31+(基础状态预期!U233-1)*H$32)</f>
        <v/>
      </c>
      <c r="AR220" s="14" t="str">
        <f>IF(基础状态预期!V233="","",I$31+(基础状态预期!V233-1)*I$32)</f>
        <v/>
      </c>
      <c r="AS220" s="14" t="str">
        <f>IF(基础状态预期!W233="","",J$31+(基础状态预期!W233-1)*J$32)</f>
        <v/>
      </c>
      <c r="AT220" s="14" t="str">
        <f>IF(基础状态预期!X233="","",K$31+(基础状态预期!X233-1)*K$32)</f>
        <v/>
      </c>
      <c r="AU220" s="14">
        <f>IF(基础状态预期!Y233="","",L$31+(基础状态预期!Y233-1)*L$32)</f>
        <v>319</v>
      </c>
      <c r="AV220" s="14">
        <f>SUMPRODUCT(AQ220:AU220,基础状态预期!$F233:$J233)/SUM(基础状态预期!$F233:$J233)</f>
        <v>319</v>
      </c>
      <c r="BO220" s="29">
        <f t="shared" si="89"/>
        <v>151.40240982411487</v>
      </c>
      <c r="BP220" s="10">
        <f t="shared" si="90"/>
        <v>945667232849400</v>
      </c>
      <c r="BQ220" s="10" t="e">
        <f>$BP220*求节点('[1]功能-付费相关'!$AY$6:$AY$105,'[1]功能-付费相关'!$BD$6:$BD$105,$BO220)+$BQ219</f>
        <v>#VALUE!</v>
      </c>
      <c r="BZ220" s="4">
        <f t="shared" si="94"/>
        <v>832637025</v>
      </c>
      <c r="CA220" s="4">
        <v>217</v>
      </c>
      <c r="CB220" s="90">
        <f t="shared" si="95"/>
        <v>12569755930</v>
      </c>
      <c r="CC220" s="4">
        <f>SUM(CB$4:CB220)</f>
        <v>177995561235</v>
      </c>
      <c r="CD220" s="4">
        <f t="shared" si="97"/>
        <v>1.0366015282508829</v>
      </c>
    </row>
    <row r="221" spans="16:82" x14ac:dyDescent="0.15">
      <c r="P221" s="5">
        <v>41</v>
      </c>
      <c r="Q221" s="14">
        <f>基础状态预期!D234</f>
        <v>152.00526961196863</v>
      </c>
      <c r="R221" s="14">
        <f>IF(基础状态预期!U234="",0,求节点($B$5:$B$154,$D$5:$D$154,基础状态预期!U234)*基础状态预期!F234)</f>
        <v>0</v>
      </c>
      <c r="S221" s="14">
        <f>IF(基础状态预期!V234="",0,求节点($B$5:$B$154,$D$5:$D$154,基础状态预期!V234)*基础状态预期!G234)</f>
        <v>0</v>
      </c>
      <c r="T221" s="14">
        <f>IF(基础状态预期!W234="",0,求节点($B$5:$B$154,$D$5:$D$154,基础状态预期!W234)*基础状态预期!H234)</f>
        <v>0</v>
      </c>
      <c r="U221" s="14">
        <f>IF(基础状态预期!X234="",0,求节点($B$5:$B$154,$D$5:$D$154,基础状态预期!X234)*基础状态预期!I234)</f>
        <v>0</v>
      </c>
      <c r="V221" s="14">
        <f>IF(基础状态预期!Y234="",0,求节点($B$5:$B$154,$D$5:$D$154,基础状态预期!Y234)*基础状态预期!J234)</f>
        <v>945667232849400</v>
      </c>
      <c r="W221" s="14">
        <f t="shared" si="96"/>
        <v>945667232849400</v>
      </c>
      <c r="Y221" s="14" t="str">
        <f>IF(基础状态预期!U234="","",H$8+(基础状态预期!U234-1)*H$11)</f>
        <v/>
      </c>
      <c r="Z221" s="14" t="str">
        <f>IF(基础状态预期!V234="","",I$8+(基础状态预期!V234-1)*I$11)</f>
        <v/>
      </c>
      <c r="AA221" s="14" t="str">
        <f>IF(基础状态预期!W234="","",J$8+(基础状态预期!W234-1)*J$11)</f>
        <v/>
      </c>
      <c r="AB221" s="14" t="str">
        <f>IF(基础状态预期!X234="","",K$8+(基础状态预期!X234-1)*K$11)</f>
        <v/>
      </c>
      <c r="AC221" s="14">
        <f>IF(基础状态预期!Y234="","",L$8+(基础状态预期!Y234-1)*L$11)</f>
        <v>9770</v>
      </c>
      <c r="AD221" s="14">
        <f>SUMPRODUCT(Y221:AC221,基础状态预期!$F234:$J234)/SUM(基础状态预期!$F234:$J234)</f>
        <v>9770</v>
      </c>
      <c r="AE221" s="14" t="str">
        <f>IF(基础状态预期!U234="","",H$9+(基础状态预期!U234-1)*H$12)</f>
        <v/>
      </c>
      <c r="AF221" s="14" t="str">
        <f>IF(基础状态预期!V234="","",I$9+(基础状态预期!V234-1)*I$12)</f>
        <v/>
      </c>
      <c r="AG221" s="14" t="str">
        <f>IF(基础状态预期!W234="","",J$9+(基础状态预期!W234-1)*J$12)</f>
        <v/>
      </c>
      <c r="AH221" s="14" t="str">
        <f>IF(基础状态预期!X234="","",K$9+(基础状态预期!X234-1)*K$12)</f>
        <v/>
      </c>
      <c r="AI221" s="14">
        <f>IF(基础状态预期!Y234="","",L$9+(基础状态预期!Y234-1)*L$12)</f>
        <v>9770</v>
      </c>
      <c r="AJ221" s="14">
        <f>SUMPRODUCT(AE221:AI221,基础状态预期!$F234:$J234)/SUM(基础状态预期!$F234:$J234)</f>
        <v>9770</v>
      </c>
      <c r="AK221" s="14" t="str">
        <f>IF(基础状态预期!U234="","",H$27+(基础状态预期!U234-1)*H$28)</f>
        <v/>
      </c>
      <c r="AL221" s="14" t="str">
        <f>IF(基础状态预期!V234="","",I$27+(基础状态预期!V234-1)*I$28)</f>
        <v/>
      </c>
      <c r="AM221" s="14" t="str">
        <f>IF(基础状态预期!W234="","",J$27+(基础状态预期!W234-1)*J$28)</f>
        <v/>
      </c>
      <c r="AN221" s="14" t="str">
        <f>IF(基础状态预期!X234="","",K$27+(基础状态预期!X234-1)*K$28)</f>
        <v/>
      </c>
      <c r="AO221" s="14">
        <f>IF(基础状态预期!Y234="","",L$27+(基础状态预期!Y234-1)*L$28)</f>
        <v>3990</v>
      </c>
      <c r="AP221" s="14">
        <f>SUMPRODUCT(AK221:AO221,基础状态预期!$F234:$J234)/SUM(基础状态预期!$F234:$J234)</f>
        <v>3990</v>
      </c>
      <c r="AQ221" s="14" t="str">
        <f>IF(基础状态预期!U234="","",H$31+(基础状态预期!U234-1)*H$32)</f>
        <v/>
      </c>
      <c r="AR221" s="14" t="str">
        <f>IF(基础状态预期!V234="","",I$31+(基础状态预期!V234-1)*I$32)</f>
        <v/>
      </c>
      <c r="AS221" s="14" t="str">
        <f>IF(基础状态预期!W234="","",J$31+(基础状态预期!W234-1)*J$32)</f>
        <v/>
      </c>
      <c r="AT221" s="14" t="str">
        <f>IF(基础状态预期!X234="","",K$31+(基础状态预期!X234-1)*K$32)</f>
        <v/>
      </c>
      <c r="AU221" s="14">
        <f>IF(基础状态预期!Y234="","",L$31+(基础状态预期!Y234-1)*L$32)</f>
        <v>319</v>
      </c>
      <c r="AV221" s="14">
        <f>SUMPRODUCT(AQ221:AU221,基础状态预期!$F234:$J234)/SUM(基础状态预期!$F234:$J234)</f>
        <v>319</v>
      </c>
      <c r="BO221" s="29">
        <f t="shared" si="89"/>
        <v>152.00526961196863</v>
      </c>
      <c r="BP221" s="10">
        <f t="shared" si="90"/>
        <v>945667232849400</v>
      </c>
      <c r="BQ221" s="10" t="e">
        <f>$BP221*求节点('[1]功能-付费相关'!$AY$6:$AY$105,'[1]功能-付费相关'!$BD$6:$BD$105,$BO221)+$BQ220</f>
        <v>#VALUE!</v>
      </c>
      <c r="BZ221" s="4">
        <f t="shared" si="94"/>
        <v>957532575</v>
      </c>
      <c r="CA221" s="4">
        <v>218</v>
      </c>
      <c r="CB221" s="90">
        <f t="shared" si="95"/>
        <v>13527288505</v>
      </c>
      <c r="CC221" s="4">
        <f>SUM(CB$4:CB221)</f>
        <v>191522849740</v>
      </c>
      <c r="CD221" s="4">
        <f t="shared" si="97"/>
        <v>1.0393010023121085</v>
      </c>
    </row>
    <row r="222" spans="16:82" x14ac:dyDescent="0.15">
      <c r="P222" s="5">
        <v>42</v>
      </c>
      <c r="Q222" s="14">
        <f>基础状态预期!D235</f>
        <v>152.38629594951036</v>
      </c>
      <c r="R222" s="14">
        <f>IF(基础状态预期!U235="",0,求节点($B$5:$B$154,$D$5:$D$154,基础状态预期!U235)*基础状态预期!F235)</f>
        <v>0</v>
      </c>
      <c r="S222" s="14">
        <f>IF(基础状态预期!V235="",0,求节点($B$5:$B$154,$D$5:$D$154,基础状态预期!V235)*基础状态预期!G235)</f>
        <v>0</v>
      </c>
      <c r="T222" s="14">
        <f>IF(基础状态预期!W235="",0,求节点($B$5:$B$154,$D$5:$D$154,基础状态预期!W235)*基础状态预期!H235)</f>
        <v>0</v>
      </c>
      <c r="U222" s="14">
        <f>IF(基础状态预期!X235="",0,求节点($B$5:$B$154,$D$5:$D$154,基础状态预期!X235)*基础状态预期!I235)</f>
        <v>0</v>
      </c>
      <c r="V222" s="14">
        <f>IF(基础状态预期!Y235="",0,求节点($B$5:$B$154,$D$5:$D$154,基础状态预期!Y235)*基础状态预期!J235)</f>
        <v>945667232849400</v>
      </c>
      <c r="W222" s="14">
        <f t="shared" si="96"/>
        <v>945667232849400</v>
      </c>
      <c r="Y222" s="14" t="str">
        <f>IF(基础状态预期!U235="","",H$8+(基础状态预期!U235-1)*H$11)</f>
        <v/>
      </c>
      <c r="Z222" s="14" t="str">
        <f>IF(基础状态预期!V235="","",I$8+(基础状态预期!V235-1)*I$11)</f>
        <v/>
      </c>
      <c r="AA222" s="14" t="str">
        <f>IF(基础状态预期!W235="","",J$8+(基础状态预期!W235-1)*J$11)</f>
        <v/>
      </c>
      <c r="AB222" s="14" t="str">
        <f>IF(基础状态预期!X235="","",K$8+(基础状态预期!X235-1)*K$11)</f>
        <v/>
      </c>
      <c r="AC222" s="14">
        <f>IF(基础状态预期!Y235="","",L$8+(基础状态预期!Y235-1)*L$11)</f>
        <v>9770</v>
      </c>
      <c r="AD222" s="14">
        <f>SUMPRODUCT(Y222:AC222,基础状态预期!$F235:$J235)/SUM(基础状态预期!$F235:$J235)</f>
        <v>9770</v>
      </c>
      <c r="AE222" s="14" t="str">
        <f>IF(基础状态预期!U235="","",H$9+(基础状态预期!U235-1)*H$12)</f>
        <v/>
      </c>
      <c r="AF222" s="14" t="str">
        <f>IF(基础状态预期!V235="","",I$9+(基础状态预期!V235-1)*I$12)</f>
        <v/>
      </c>
      <c r="AG222" s="14" t="str">
        <f>IF(基础状态预期!W235="","",J$9+(基础状态预期!W235-1)*J$12)</f>
        <v/>
      </c>
      <c r="AH222" s="14" t="str">
        <f>IF(基础状态预期!X235="","",K$9+(基础状态预期!X235-1)*K$12)</f>
        <v/>
      </c>
      <c r="AI222" s="14">
        <f>IF(基础状态预期!Y235="","",L$9+(基础状态预期!Y235-1)*L$12)</f>
        <v>9770</v>
      </c>
      <c r="AJ222" s="14">
        <f>SUMPRODUCT(AE222:AI222,基础状态预期!$F235:$J235)/SUM(基础状态预期!$F235:$J235)</f>
        <v>9770</v>
      </c>
      <c r="AK222" s="14" t="str">
        <f>IF(基础状态预期!U235="","",H$27+(基础状态预期!U235-1)*H$28)</f>
        <v/>
      </c>
      <c r="AL222" s="14" t="str">
        <f>IF(基础状态预期!V235="","",I$27+(基础状态预期!V235-1)*I$28)</f>
        <v/>
      </c>
      <c r="AM222" s="14" t="str">
        <f>IF(基础状态预期!W235="","",J$27+(基础状态预期!W235-1)*J$28)</f>
        <v/>
      </c>
      <c r="AN222" s="14" t="str">
        <f>IF(基础状态预期!X235="","",K$27+(基础状态预期!X235-1)*K$28)</f>
        <v/>
      </c>
      <c r="AO222" s="14">
        <f>IF(基础状态预期!Y235="","",L$27+(基础状态预期!Y235-1)*L$28)</f>
        <v>3990</v>
      </c>
      <c r="AP222" s="14">
        <f>SUMPRODUCT(AK222:AO222,基础状态预期!$F235:$J235)/SUM(基础状态预期!$F235:$J235)</f>
        <v>3990</v>
      </c>
      <c r="AQ222" s="14" t="str">
        <f>IF(基础状态预期!U235="","",H$31+(基础状态预期!U235-1)*H$32)</f>
        <v/>
      </c>
      <c r="AR222" s="14" t="str">
        <f>IF(基础状态预期!V235="","",I$31+(基础状态预期!V235-1)*I$32)</f>
        <v/>
      </c>
      <c r="AS222" s="14" t="str">
        <f>IF(基础状态预期!W235="","",J$31+(基础状态预期!W235-1)*J$32)</f>
        <v/>
      </c>
      <c r="AT222" s="14" t="str">
        <f>IF(基础状态预期!X235="","",K$31+(基础状态预期!X235-1)*K$32)</f>
        <v/>
      </c>
      <c r="AU222" s="14">
        <f>IF(基础状态预期!Y235="","",L$31+(基础状态预期!Y235-1)*L$32)</f>
        <v>319</v>
      </c>
      <c r="AV222" s="14">
        <f>SUMPRODUCT(AQ222:AU222,基础状态预期!$F235:$J235)/SUM(基础状态预期!$F235:$J235)</f>
        <v>319</v>
      </c>
      <c r="BO222" s="29">
        <f t="shared" si="89"/>
        <v>152.38629594951036</v>
      </c>
      <c r="BP222" s="10">
        <f t="shared" si="90"/>
        <v>945667232849400</v>
      </c>
      <c r="BQ222" s="10" t="e">
        <f>$BP222*求节点('[1]功能-付费相关'!$AY$6:$AY$105,'[1]功能-付费相关'!$BD$6:$BD$105,$BO222)+$BQ221</f>
        <v>#VALUE!</v>
      </c>
      <c r="BZ222" s="4">
        <f t="shared" si="94"/>
        <v>957532575</v>
      </c>
      <c r="CA222" s="4">
        <v>219</v>
      </c>
      <c r="CB222" s="90">
        <f t="shared" si="95"/>
        <v>14484821080</v>
      </c>
      <c r="CC222" s="4">
        <f>SUM(CB$4:CB222)</f>
        <v>206007670820</v>
      </c>
      <c r="CD222" s="4">
        <f t="shared" si="97"/>
        <v>1.036436980731674</v>
      </c>
    </row>
    <row r="223" spans="16:82" x14ac:dyDescent="0.15">
      <c r="P223" s="5">
        <v>43</v>
      </c>
      <c r="BZ223" s="4">
        <f t="shared" si="94"/>
        <v>1149039075</v>
      </c>
      <c r="CA223" s="4">
        <v>220</v>
      </c>
      <c r="CB223" s="90">
        <f t="shared" si="95"/>
        <v>15633860155</v>
      </c>
      <c r="CC223" s="4">
        <f>SUM(CB$4:CB223)</f>
        <v>221641530975</v>
      </c>
      <c r="CD223" s="4">
        <f t="shared" si="97"/>
        <v>1.0393502546248448</v>
      </c>
    </row>
    <row r="224" spans="16:82" x14ac:dyDescent="0.15">
      <c r="P224" s="5">
        <v>44</v>
      </c>
      <c r="BZ224" s="4">
        <f t="shared" si="94"/>
        <v>1149039075</v>
      </c>
      <c r="CA224" s="4">
        <v>221</v>
      </c>
      <c r="CB224" s="90">
        <f t="shared" si="95"/>
        <v>16782899230</v>
      </c>
      <c r="CC224" s="4">
        <f>SUM(CB$4:CB224)</f>
        <v>238424430205</v>
      </c>
      <c r="CD224" s="4">
        <f t="shared" si="97"/>
        <v>1.0364793125350089</v>
      </c>
    </row>
    <row r="225" spans="16:82" x14ac:dyDescent="0.15">
      <c r="P225" s="5">
        <v>45</v>
      </c>
      <c r="BZ225" s="4">
        <f t="shared" si="94"/>
        <v>1378846875</v>
      </c>
      <c r="CA225" s="4">
        <v>222</v>
      </c>
      <c r="CB225" s="90">
        <f t="shared" si="95"/>
        <v>18161746105</v>
      </c>
      <c r="CC225" s="4">
        <f>SUM(CB$4:CB225)</f>
        <v>256586176310</v>
      </c>
      <c r="CD225" s="4">
        <f t="shared" si="97"/>
        <v>1.0395853453180688</v>
      </c>
    </row>
    <row r="226" spans="16:82" x14ac:dyDescent="0.15">
      <c r="BZ226" s="4">
        <f t="shared" si="94"/>
        <v>1378846875</v>
      </c>
      <c r="CA226" s="4">
        <v>223</v>
      </c>
      <c r="CB226" s="90">
        <f t="shared" si="95"/>
        <v>19540592980</v>
      </c>
      <c r="CC226" s="4">
        <f>SUM(CB$4:CB226)</f>
        <v>276126769290</v>
      </c>
      <c r="CD226" s="4">
        <f t="shared" si="97"/>
        <v>1.036681262978995</v>
      </c>
    </row>
    <row r="227" spans="16:82" x14ac:dyDescent="0.15">
      <c r="BZ227" s="4">
        <f t="shared" si="94"/>
        <v>1654616250</v>
      </c>
      <c r="CA227" s="4">
        <v>224</v>
      </c>
      <c r="CB227" s="90">
        <f t="shared" si="95"/>
        <v>21195209230</v>
      </c>
      <c r="CC227" s="4">
        <f>SUM(CB$4:CB227)</f>
        <v>297321978520</v>
      </c>
      <c r="CD227" s="4">
        <f t="shared" si="97"/>
        <v>1.0399616134856209</v>
      </c>
    </row>
    <row r="228" spans="16:82" x14ac:dyDescent="0.15">
      <c r="BZ228" s="4">
        <f t="shared" si="94"/>
        <v>1654616250</v>
      </c>
      <c r="CA228" s="4">
        <v>225</v>
      </c>
      <c r="CB228" s="90">
        <f t="shared" si="95"/>
        <v>22849825480</v>
      </c>
      <c r="CC228" s="4">
        <f>SUM(CB$4:CB228)</f>
        <v>320171804000</v>
      </c>
      <c r="CD228" s="4">
        <f t="shared" si="97"/>
        <v>1.0370041232978122</v>
      </c>
    </row>
    <row r="229" spans="16:82" x14ac:dyDescent="0.15">
      <c r="BZ229" s="4">
        <f t="shared" si="94"/>
        <v>1985539500</v>
      </c>
      <c r="CA229" s="4">
        <v>226</v>
      </c>
      <c r="CB229" s="90">
        <f t="shared" si="95"/>
        <v>24835364980</v>
      </c>
      <c r="CC229" s="4">
        <f>SUM(CB$4:CB229)</f>
        <v>345007168980</v>
      </c>
      <c r="CD229" s="4">
        <f t="shared" si="97"/>
        <v>1.0404420394370166</v>
      </c>
    </row>
    <row r="230" spans="16:82" x14ac:dyDescent="0.15">
      <c r="BZ230" s="4">
        <f t="shared" si="94"/>
        <v>1985539500</v>
      </c>
      <c r="CA230" s="4">
        <v>227</v>
      </c>
      <c r="CB230" s="90">
        <f t="shared" si="95"/>
        <v>26820904480</v>
      </c>
      <c r="CC230" s="4">
        <f>SUM(CB$4:CB230)</f>
        <v>371828073460</v>
      </c>
      <c r="CD230" s="4">
        <f t="shared" si="97"/>
        <v>1.037415703622464</v>
      </c>
    </row>
    <row r="231" spans="16:82" x14ac:dyDescent="0.15">
      <c r="BZ231" s="4">
        <f t="shared" si="94"/>
        <v>2382647400</v>
      </c>
      <c r="CA231" s="4">
        <v>228</v>
      </c>
      <c r="CB231" s="90">
        <f t="shared" si="95"/>
        <v>29203551880</v>
      </c>
      <c r="CC231" s="4">
        <f>SUM(CB$4:CB231)</f>
        <v>401031625340</v>
      </c>
      <c r="CD231" s="4">
        <f t="shared" si="97"/>
        <v>1.0409956268592897</v>
      </c>
    </row>
    <row r="232" spans="16:82" x14ac:dyDescent="0.15">
      <c r="BZ232" s="4">
        <f t="shared" si="94"/>
        <v>2382647400</v>
      </c>
      <c r="CA232" s="4">
        <v>229</v>
      </c>
      <c r="CB232" s="90">
        <f t="shared" si="95"/>
        <v>31586199280</v>
      </c>
      <c r="CC232" s="4">
        <f>SUM(CB$4:CB232)</f>
        <v>432617824620</v>
      </c>
      <c r="CD232" s="4">
        <f t="shared" si="97"/>
        <v>1.0378890547956587</v>
      </c>
    </row>
    <row r="233" spans="16:82" x14ac:dyDescent="0.15">
      <c r="BZ233" s="4">
        <f t="shared" si="94"/>
        <v>2859176875</v>
      </c>
      <c r="CA233" s="4">
        <v>230</v>
      </c>
      <c r="CB233" s="90">
        <f t="shared" si="95"/>
        <v>34445376155</v>
      </c>
      <c r="CC233" s="4">
        <f>SUM(CB$4:CB233)</f>
        <v>467063200775</v>
      </c>
      <c r="CD233" s="4">
        <f t="shared" si="97"/>
        <v>1.0415963810711661</v>
      </c>
    </row>
    <row r="234" spans="16:82" x14ac:dyDescent="0.15">
      <c r="BZ234" s="4">
        <f t="shared" si="94"/>
        <v>2859176875</v>
      </c>
      <c r="CA234" s="4">
        <v>231</v>
      </c>
      <c r="CB234" s="90">
        <f t="shared" si="95"/>
        <v>37304553030</v>
      </c>
      <c r="CC234" s="4">
        <f>SUM(CB$4:CB234)</f>
        <v>504367753805</v>
      </c>
      <c r="CD234" s="4">
        <f t="shared" si="97"/>
        <v>1.0384016415950277</v>
      </c>
    </row>
    <row r="235" spans="16:82" x14ac:dyDescent="0.15">
      <c r="BZ235" s="4">
        <f t="shared" si="94"/>
        <v>3431012250</v>
      </c>
      <c r="CA235" s="4">
        <v>232</v>
      </c>
      <c r="CB235" s="90">
        <f t="shared" si="95"/>
        <v>40735565280</v>
      </c>
      <c r="CC235" s="4">
        <f>SUM(CB$4:CB235)</f>
        <v>545103319085</v>
      </c>
      <c r="CD235" s="4">
        <f t="shared" si="97"/>
        <v>1.0422226350946575</v>
      </c>
    </row>
    <row r="236" spans="16:82" x14ac:dyDescent="0.15">
      <c r="BZ236" s="4">
        <f t="shared" si="94"/>
        <v>3431012250</v>
      </c>
      <c r="CA236" s="4">
        <v>233</v>
      </c>
      <c r="CB236" s="90">
        <f t="shared" si="95"/>
        <v>44166577530</v>
      </c>
      <c r="CC236" s="4">
        <f>SUM(CB$4:CB236)</f>
        <v>589269896615</v>
      </c>
      <c r="CD236" s="4">
        <f t="shared" si="97"/>
        <v>1.0389347766261907</v>
      </c>
    </row>
    <row r="237" spans="16:82" x14ac:dyDescent="0.15">
      <c r="BZ237" s="4">
        <f t="shared" si="94"/>
        <v>4117214700</v>
      </c>
      <c r="CA237" s="4">
        <v>234</v>
      </c>
      <c r="CB237" s="90">
        <f t="shared" si="95"/>
        <v>48283792230</v>
      </c>
      <c r="CC237" s="4">
        <f>SUM(CB$4:CB237)</f>
        <v>637553688845</v>
      </c>
      <c r="CD237" s="4">
        <f t="shared" si="97"/>
        <v>1.0428565666611052</v>
      </c>
    </row>
    <row r="238" spans="16:82" x14ac:dyDescent="0.15">
      <c r="BZ238" s="4">
        <f t="shared" si="94"/>
        <v>4117214700</v>
      </c>
      <c r="CA238" s="4">
        <v>235</v>
      </c>
      <c r="CB238" s="90">
        <f t="shared" si="95"/>
        <v>52401006930</v>
      </c>
      <c r="CC238" s="4">
        <f>SUM(CB$4:CB238)</f>
        <v>689954695775</v>
      </c>
      <c r="CD238" s="4">
        <f t="shared" si="97"/>
        <v>1.039473194808328</v>
      </c>
    </row>
    <row r="239" spans="16:82" x14ac:dyDescent="0.15">
      <c r="BZ239" s="4">
        <f t="shared" si="94"/>
        <v>4940657625</v>
      </c>
      <c r="CA239" s="4">
        <v>236</v>
      </c>
      <c r="CB239" s="90">
        <f t="shared" si="95"/>
        <v>57341664555</v>
      </c>
      <c r="CC239" s="4">
        <f>SUM(CB$4:CB239)</f>
        <v>747296360330</v>
      </c>
      <c r="CD239" s="4">
        <f t="shared" si="97"/>
        <v>1.0434838093140493</v>
      </c>
    </row>
    <row r="240" spans="16:82" x14ac:dyDescent="0.15">
      <c r="BZ240" s="4">
        <f t="shared" si="94"/>
        <v>4940657625</v>
      </c>
      <c r="CA240" s="4">
        <v>237</v>
      </c>
      <c r="CB240" s="90">
        <f t="shared" si="95"/>
        <v>62282322180</v>
      </c>
      <c r="CC240" s="4">
        <f>SUM(CB$4:CB240)</f>
        <v>809578682510</v>
      </c>
      <c r="CD240" s="4">
        <f t="shared" si="97"/>
        <v>1.0400046956395048</v>
      </c>
    </row>
    <row r="241" spans="78:82" x14ac:dyDescent="0.15">
      <c r="BZ241" s="4">
        <f t="shared" si="94"/>
        <v>5928789150</v>
      </c>
      <c r="CA241" s="4">
        <v>238</v>
      </c>
      <c r="CB241" s="90">
        <f t="shared" si="95"/>
        <v>68211111330</v>
      </c>
      <c r="CC241" s="4">
        <f>SUM(CB$4:CB241)</f>
        <v>877789793840</v>
      </c>
      <c r="CD241" s="4">
        <f t="shared" si="97"/>
        <v>1.0440931012994983</v>
      </c>
    </row>
    <row r="242" spans="78:82" x14ac:dyDescent="0.15">
      <c r="BZ242" s="4">
        <f t="shared" si="94"/>
        <v>5928789150</v>
      </c>
      <c r="CA242" s="4">
        <v>239</v>
      </c>
      <c r="CB242" s="90">
        <f t="shared" si="95"/>
        <v>74139900480</v>
      </c>
      <c r="CC242" s="4">
        <f>SUM(CB$4:CB242)</f>
        <v>951929694320</v>
      </c>
      <c r="CD242" s="4">
        <f t="shared" si="97"/>
        <v>1.0405198124243327</v>
      </c>
    </row>
    <row r="243" spans="78:82" x14ac:dyDescent="0.15">
      <c r="BZ243" s="4">
        <f t="shared" si="94"/>
        <v>7114546975</v>
      </c>
      <c r="CA243" s="4">
        <v>240</v>
      </c>
      <c r="CB243" s="90">
        <f t="shared" si="95"/>
        <v>81254447455</v>
      </c>
      <c r="CC243" s="4">
        <f>SUM(CB$4:CB243)</f>
        <v>1033184141775</v>
      </c>
      <c r="CD243" s="4">
        <f t="shared" si="97"/>
        <v>1.0446759434159614</v>
      </c>
    </row>
    <row r="244" spans="78:82" x14ac:dyDescent="0.15">
      <c r="BZ244" s="4">
        <f t="shared" si="94"/>
        <v>7114546975</v>
      </c>
      <c r="CA244" s="4">
        <v>241</v>
      </c>
      <c r="CB244" s="90">
        <f t="shared" si="95"/>
        <v>88368994430</v>
      </c>
      <c r="CC244" s="4">
        <f>SUM(CB$4:CB244)</f>
        <v>1121553136205</v>
      </c>
      <c r="CD244" s="4">
        <f t="shared" si="97"/>
        <v>1.04101148906386</v>
      </c>
    </row>
    <row r="245" spans="78:82" x14ac:dyDescent="0.15">
      <c r="BZ245" s="4">
        <f t="shared" si="94"/>
        <v>8537456350</v>
      </c>
      <c r="CA245" s="4">
        <v>242</v>
      </c>
      <c r="CB245" s="90">
        <f t="shared" si="95"/>
        <v>96906450780</v>
      </c>
      <c r="CC245" s="4">
        <f>SUM(CB$4:CB245)</f>
        <v>1218459586985</v>
      </c>
      <c r="CD245" s="4">
        <f t="shared" si="97"/>
        <v>1.045226255851089</v>
      </c>
    </row>
    <row r="246" spans="78:82" x14ac:dyDescent="0.15">
      <c r="BZ246" s="4">
        <f t="shared" si="94"/>
        <v>8537456350</v>
      </c>
      <c r="CA246" s="4">
        <v>243</v>
      </c>
      <c r="CB246" s="90">
        <f t="shared" si="95"/>
        <v>105443907130</v>
      </c>
      <c r="CC246" s="4">
        <f>SUM(CB$4:CB246)</f>
        <v>1323903494115</v>
      </c>
      <c r="CD246" s="4">
        <f t="shared" si="97"/>
        <v>1.0414747593321427</v>
      </c>
    </row>
    <row r="247" spans="78:82" x14ac:dyDescent="0.15">
      <c r="BZ247" s="4">
        <f t="shared" si="94"/>
        <v>10244947600</v>
      </c>
      <c r="CA247" s="4">
        <v>244</v>
      </c>
      <c r="CB247" s="90">
        <f t="shared" si="95"/>
        <v>115688854730</v>
      </c>
      <c r="CC247" s="4">
        <f>SUM(CB$4:CB247)</f>
        <v>1439592348845</v>
      </c>
      <c r="CD247" s="4">
        <f t="shared" si="97"/>
        <v>1.045740034899163</v>
      </c>
    </row>
    <row r="248" spans="78:82" x14ac:dyDescent="0.15">
      <c r="BZ248" s="4">
        <f t="shared" si="94"/>
        <v>10244947600</v>
      </c>
      <c r="CA248" s="4">
        <v>245</v>
      </c>
      <c r="CB248" s="90">
        <f t="shared" si="95"/>
        <v>125933802330</v>
      </c>
      <c r="CC248" s="4">
        <f>SUM(CB$4:CB248)</f>
        <v>1565526151175</v>
      </c>
      <c r="CD248" s="4">
        <f t="shared" si="97"/>
        <v>1.0419064313221347</v>
      </c>
    </row>
    <row r="249" spans="78:82" x14ac:dyDescent="0.15">
      <c r="BZ249" s="4">
        <f t="shared" si="94"/>
        <v>12293937100</v>
      </c>
      <c r="CA249" s="4">
        <v>246</v>
      </c>
      <c r="CB249" s="90">
        <f t="shared" si="95"/>
        <v>138227739430</v>
      </c>
      <c r="CC249" s="4">
        <f>SUM(CB$4:CB249)</f>
        <v>1703753890605</v>
      </c>
      <c r="CD249" s="4">
        <f t="shared" si="97"/>
        <v>1.046215016372118</v>
      </c>
    </row>
    <row r="250" spans="78:82" x14ac:dyDescent="0.15">
      <c r="BZ250" s="4">
        <f t="shared" si="94"/>
        <v>12293937100</v>
      </c>
      <c r="CA250" s="4">
        <v>247</v>
      </c>
      <c r="CB250" s="90">
        <f t="shared" si="95"/>
        <v>150521676530</v>
      </c>
      <c r="CC250" s="4">
        <f>SUM(CB$4:CB250)</f>
        <v>1854275567135</v>
      </c>
      <c r="CD250" s="4">
        <f t="shared" si="97"/>
        <v>1.0423047835709187</v>
      </c>
    </row>
    <row r="251" spans="78:82" x14ac:dyDescent="0.15">
      <c r="BZ251" s="4">
        <f t="shared" si="94"/>
        <v>14752724500</v>
      </c>
      <c r="CA251" s="4">
        <v>248</v>
      </c>
      <c r="CB251" s="90">
        <f t="shared" si="95"/>
        <v>165274401030</v>
      </c>
      <c r="CC251" s="4">
        <f>SUM(CB$4:CB251)</f>
        <v>2019549968165</v>
      </c>
      <c r="CD251" s="4">
        <f t="shared" si="97"/>
        <v>1.0466503546032282</v>
      </c>
    </row>
    <row r="252" spans="78:82" x14ac:dyDescent="0.15">
      <c r="BZ252" s="4">
        <f t="shared" si="94"/>
        <v>14752724500</v>
      </c>
      <c r="CA252" s="4">
        <v>249</v>
      </c>
      <c r="CB252" s="90">
        <f t="shared" si="95"/>
        <v>180027125530</v>
      </c>
      <c r="CC252" s="4">
        <f>SUM(CB$4:CB252)</f>
        <v>2199577093695</v>
      </c>
      <c r="CD252" s="4">
        <f t="shared" si="97"/>
        <v>1.0426692802615514</v>
      </c>
    </row>
    <row r="253" spans="78:82" x14ac:dyDescent="0.15">
      <c r="BZ253" s="4">
        <f t="shared" si="94"/>
        <v>17703269400</v>
      </c>
      <c r="CA253" s="4">
        <v>250</v>
      </c>
      <c r="CB253" s="90">
        <f t="shared" si="95"/>
        <v>197730394930</v>
      </c>
      <c r="CC253" s="4">
        <f>SUM(CB$4:CB253)</f>
        <v>2397307488625</v>
      </c>
      <c r="CD253" s="4">
        <f t="shared" si="97"/>
        <v>1.0470463253263056</v>
      </c>
    </row>
    <row r="254" spans="78:82" x14ac:dyDescent="0.15">
      <c r="BZ254" s="4">
        <f t="shared" si="94"/>
        <v>17703269400</v>
      </c>
      <c r="CA254" s="4">
        <v>251</v>
      </c>
      <c r="CB254" s="90">
        <f t="shared" si="95"/>
        <v>215433664330</v>
      </c>
      <c r="CC254" s="4">
        <f>SUM(CB$4:CB254)</f>
        <v>2612741152955</v>
      </c>
      <c r="CD254" s="4">
        <f t="shared" si="97"/>
        <v>1.0430003118107245</v>
      </c>
    </row>
    <row r="255" spans="78:82" x14ac:dyDescent="0.15">
      <c r="BZ255" s="4">
        <f t="shared" si="94"/>
        <v>21243923275</v>
      </c>
      <c r="CA255" s="4">
        <v>252</v>
      </c>
      <c r="CB255" s="90">
        <f t="shared" si="95"/>
        <v>236677587605</v>
      </c>
      <c r="CC255" s="4">
        <f>SUM(CB$4:CB255)</f>
        <v>2849418740560</v>
      </c>
      <c r="CD255" s="4">
        <f t="shared" si="97"/>
        <v>1.0474040587373743</v>
      </c>
    </row>
    <row r="256" spans="78:82" x14ac:dyDescent="0.15">
      <c r="BZ256" s="4">
        <f t="shared" si="94"/>
        <v>21243923275</v>
      </c>
      <c r="CA256" s="4">
        <v>253</v>
      </c>
      <c r="CB256" s="90">
        <f t="shared" si="95"/>
        <v>257921510880</v>
      </c>
      <c r="CC256" s="4">
        <f>SUM(CB$4:CB256)</f>
        <v>3107340251440</v>
      </c>
      <c r="CD256" s="4">
        <f t="shared" si="97"/>
        <v>1.043298965189752</v>
      </c>
    </row>
    <row r="257" spans="78:82" x14ac:dyDescent="0.15">
      <c r="BZ257" s="4">
        <f t="shared" si="94"/>
        <v>25492707925</v>
      </c>
      <c r="CA257" s="4">
        <v>254</v>
      </c>
      <c r="CB257" s="90">
        <f t="shared" si="95"/>
        <v>283414218805</v>
      </c>
      <c r="CC257" s="4">
        <f>SUM(CB$4:CB257)</f>
        <v>3390754470245</v>
      </c>
      <c r="CD257" s="4">
        <f t="shared" si="97"/>
        <v>1.0477253066609986</v>
      </c>
    </row>
    <row r="258" spans="78:82" x14ac:dyDescent="0.15">
      <c r="BZ258" s="4">
        <f t="shared" si="94"/>
        <v>25492707925</v>
      </c>
      <c r="CA258" s="4">
        <v>255</v>
      </c>
      <c r="CB258" s="90">
        <f t="shared" si="95"/>
        <v>308906926730</v>
      </c>
      <c r="CC258" s="4">
        <f>SUM(CB$4:CB258)</f>
        <v>3699661396975</v>
      </c>
      <c r="CD258" s="4">
        <f t="shared" si="97"/>
        <v>1.0435668262323305</v>
      </c>
    </row>
    <row r="259" spans="78:82" x14ac:dyDescent="0.15">
      <c r="BZ259" s="4">
        <f t="shared" si="94"/>
        <v>30591249500</v>
      </c>
      <c r="CA259" s="4">
        <v>256</v>
      </c>
      <c r="CB259" s="90">
        <f t="shared" si="95"/>
        <v>339498176230</v>
      </c>
      <c r="CC259" s="4">
        <f>SUM(CB$4:CB259)</f>
        <v>4039159573205</v>
      </c>
      <c r="CD259" s="4">
        <f t="shared" si="97"/>
        <v>1.0480122451360809</v>
      </c>
    </row>
    <row r="260" spans="78:82" x14ac:dyDescent="0.15">
      <c r="BZ260" s="4">
        <f t="shared" si="94"/>
        <v>30591249500</v>
      </c>
      <c r="CA260" s="4">
        <v>257</v>
      </c>
      <c r="CB260" s="90">
        <f t="shared" si="95"/>
        <v>370089425730</v>
      </c>
      <c r="CC260" s="4">
        <f>SUM(CB$4:CB260)</f>
        <v>4409248998935</v>
      </c>
      <c r="CD260" s="4">
        <f t="shared" si="97"/>
        <v>1.0438058140484117</v>
      </c>
    </row>
    <row r="261" spans="78:82" x14ac:dyDescent="0.15">
      <c r="BZ261" s="4">
        <f t="shared" si="94"/>
        <v>36709499400</v>
      </c>
      <c r="CA261" s="4">
        <v>258</v>
      </c>
      <c r="CB261" s="90">
        <f t="shared" si="95"/>
        <v>406798925130</v>
      </c>
      <c r="CC261" s="4">
        <f>SUM(CB$4:CB261)</f>
        <v>4816047924065</v>
      </c>
      <c r="CD261" s="4">
        <f t="shared" si="97"/>
        <v>1.048267311740313</v>
      </c>
    </row>
    <row r="262" spans="78:82" x14ac:dyDescent="0.15">
      <c r="BZ262" s="4">
        <f t="shared" ref="BZ262:BZ302" si="98">INDEX($A$6:$A$154,CA262/2,1)/4</f>
        <v>36709499400</v>
      </c>
      <c r="CA262" s="4">
        <v>259</v>
      </c>
      <c r="CB262" s="90">
        <f t="shared" ref="CB262:CB302" si="99">BZ262+CB261</f>
        <v>443508424530</v>
      </c>
      <c r="CC262" s="4">
        <f>SUM(CB$4:CB262)</f>
        <v>5259556348595</v>
      </c>
      <c r="CD262" s="4">
        <f t="shared" si="97"/>
        <v>1.0440180461269113</v>
      </c>
    </row>
    <row r="263" spans="78:82" x14ac:dyDescent="0.15">
      <c r="BZ263" s="4">
        <f t="shared" si="98"/>
        <v>44051399275</v>
      </c>
      <c r="CA263" s="4">
        <v>260</v>
      </c>
      <c r="CB263" s="90">
        <f t="shared" si="99"/>
        <v>487559823805</v>
      </c>
      <c r="CC263" s="4">
        <f>SUM(CB$4:CB263)</f>
        <v>5747116172400</v>
      </c>
      <c r="CD263" s="4">
        <f t="shared" si="97"/>
        <v>1.0484930753502484</v>
      </c>
    </row>
    <row r="264" spans="78:82" x14ac:dyDescent="0.15">
      <c r="BZ264" s="4">
        <f t="shared" si="98"/>
        <v>44051399275</v>
      </c>
      <c r="CA264" s="4">
        <v>261</v>
      </c>
      <c r="CB264" s="90">
        <f t="shared" si="99"/>
        <v>531611223080</v>
      </c>
      <c r="CC264" s="4">
        <f>SUM(CB$4:CB264)</f>
        <v>6278727395480</v>
      </c>
      <c r="CD264" s="4">
        <f t="shared" si="97"/>
        <v>1.0442057315226387</v>
      </c>
    </row>
    <row r="265" spans="78:82" x14ac:dyDescent="0.15">
      <c r="BZ265" s="4">
        <f t="shared" si="98"/>
        <v>52861679125</v>
      </c>
      <c r="CA265" s="4">
        <v>262</v>
      </c>
      <c r="CB265" s="90">
        <f t="shared" si="99"/>
        <v>584472902205</v>
      </c>
      <c r="CC265" s="4">
        <f>SUM(CB$4:CB265)</f>
        <v>6863200297685</v>
      </c>
      <c r="CD265" s="4">
        <f t="shared" si="97"/>
        <v>1.0486921350669463</v>
      </c>
    </row>
    <row r="266" spans="78:82" x14ac:dyDescent="0.15">
      <c r="BZ266" s="4">
        <f t="shared" si="98"/>
        <v>52861679125</v>
      </c>
      <c r="CA266" s="4">
        <v>263</v>
      </c>
      <c r="CB266" s="90">
        <f t="shared" si="99"/>
        <v>637334581330</v>
      </c>
      <c r="CC266" s="4">
        <f>SUM(CB$4:CB266)</f>
        <v>7500534879015</v>
      </c>
      <c r="CD266" s="4">
        <f t="shared" si="97"/>
        <v>1.0443710888859545</v>
      </c>
    </row>
    <row r="267" spans="78:82" x14ac:dyDescent="0.15">
      <c r="BZ267" s="4">
        <f t="shared" si="98"/>
        <v>63434014950</v>
      </c>
      <c r="CA267" s="4">
        <v>264</v>
      </c>
      <c r="CB267" s="90">
        <f t="shared" si="99"/>
        <v>700768596280</v>
      </c>
      <c r="CC267" s="4">
        <f>SUM(CB$4:CB267)</f>
        <v>8201303475295</v>
      </c>
      <c r="CD267" s="4">
        <f t="shared" si="97"/>
        <v>1.0488670444558494</v>
      </c>
    </row>
    <row r="268" spans="78:82" x14ac:dyDescent="0.15">
      <c r="BZ268" s="4">
        <f t="shared" si="98"/>
        <v>63434014950</v>
      </c>
      <c r="CA268" s="4">
        <v>265</v>
      </c>
      <c r="CB268" s="90">
        <f t="shared" si="99"/>
        <v>764202611230</v>
      </c>
      <c r="CC268" s="4">
        <f>SUM(CB$4:CB268)</f>
        <v>8965506086525</v>
      </c>
      <c r="CD268" s="4">
        <f t="shared" ref="CD268:CD302" si="100">CC268/求节点($B$5:$B$154,$D$5:$D$154,CA268)</f>
        <v>1.0445162857619275</v>
      </c>
    </row>
    <row r="269" spans="78:82" x14ac:dyDescent="0.15">
      <c r="BZ269" s="4">
        <f t="shared" si="98"/>
        <v>76120817925</v>
      </c>
      <c r="CA269" s="4">
        <v>266</v>
      </c>
      <c r="CB269" s="90">
        <f t="shared" si="99"/>
        <v>840323429155</v>
      </c>
      <c r="CC269" s="4">
        <f>SUM(CB$4:CB269)</f>
        <v>9805829515680</v>
      </c>
      <c r="CD269" s="4">
        <f t="shared" si="100"/>
        <v>1.0490202571304557</v>
      </c>
    </row>
    <row r="270" spans="78:82" x14ac:dyDescent="0.15">
      <c r="BZ270" s="4">
        <f t="shared" si="98"/>
        <v>76120817925</v>
      </c>
      <c r="CA270" s="4">
        <v>267</v>
      </c>
      <c r="CB270" s="90">
        <f t="shared" si="99"/>
        <v>916444247080</v>
      </c>
      <c r="CC270" s="4">
        <f>SUM(CB$4:CB270)</f>
        <v>10722273762760</v>
      </c>
      <c r="CD270" s="4">
        <f t="shared" si="100"/>
        <v>1.0446433956127914</v>
      </c>
    </row>
    <row r="271" spans="78:82" x14ac:dyDescent="0.15">
      <c r="BZ271" s="4">
        <f t="shared" si="98"/>
        <v>91344981500</v>
      </c>
      <c r="CA271" s="4">
        <v>268</v>
      </c>
      <c r="CB271" s="90">
        <f t="shared" si="99"/>
        <v>1007789228580</v>
      </c>
      <c r="CC271" s="4">
        <f>SUM(CB$4:CB271)</f>
        <v>11730062991340</v>
      </c>
      <c r="CD271" s="4">
        <f t="shared" si="100"/>
        <v>1.0491540898510574</v>
      </c>
    </row>
    <row r="272" spans="78:82" x14ac:dyDescent="0.15">
      <c r="BZ272" s="4">
        <f t="shared" si="98"/>
        <v>91344981500</v>
      </c>
      <c r="CA272" s="4">
        <v>269</v>
      </c>
      <c r="CB272" s="90">
        <f t="shared" si="99"/>
        <v>1099134210080</v>
      </c>
      <c r="CC272" s="4">
        <f>SUM(CB$4:CB272)</f>
        <v>12829197201420</v>
      </c>
      <c r="CD272" s="4">
        <f t="shared" si="100"/>
        <v>1.0447543692329497</v>
      </c>
    </row>
    <row r="273" spans="78:82" x14ac:dyDescent="0.15">
      <c r="BZ273" s="4">
        <f t="shared" si="98"/>
        <v>105046728725</v>
      </c>
      <c r="CA273" s="4">
        <v>270</v>
      </c>
      <c r="CB273" s="90">
        <f t="shared" si="99"/>
        <v>1204180938805</v>
      </c>
      <c r="CC273" s="4">
        <f>SUM(CB$4:CB273)</f>
        <v>14033378140225</v>
      </c>
      <c r="CD273" s="4">
        <f t="shared" si="100"/>
        <v>1.0489293191107898</v>
      </c>
    </row>
    <row r="274" spans="78:82" x14ac:dyDescent="0.15">
      <c r="BZ274" s="4">
        <f t="shared" si="98"/>
        <v>105046728725</v>
      </c>
      <c r="CA274" s="4">
        <v>271</v>
      </c>
      <c r="CB274" s="90">
        <f t="shared" si="99"/>
        <v>1309227667530</v>
      </c>
      <c r="CC274" s="4">
        <f>SUM(CB$4:CB274)</f>
        <v>15342605807755</v>
      </c>
      <c r="CD274" s="4">
        <f t="shared" si="100"/>
        <v>1.044567959270462</v>
      </c>
    </row>
    <row r="275" spans="78:82" x14ac:dyDescent="0.15">
      <c r="BZ275" s="4">
        <f t="shared" si="98"/>
        <v>120803738025</v>
      </c>
      <c r="CA275" s="4">
        <v>272</v>
      </c>
      <c r="CB275" s="90">
        <f t="shared" si="99"/>
        <v>1430031405555</v>
      </c>
      <c r="CC275" s="4">
        <f>SUM(CB$4:CB275)</f>
        <v>16772637213310</v>
      </c>
      <c r="CD275" s="4">
        <f t="shared" si="100"/>
        <v>1.0484720209774339</v>
      </c>
    </row>
    <row r="276" spans="78:82" x14ac:dyDescent="0.15">
      <c r="BZ276" s="4">
        <f t="shared" si="98"/>
        <v>120803738025</v>
      </c>
      <c r="CA276" s="4">
        <v>273</v>
      </c>
      <c r="CB276" s="90">
        <f t="shared" si="99"/>
        <v>1550835143580</v>
      </c>
      <c r="CC276" s="4">
        <f>SUM(CB$4:CB276)</f>
        <v>18323472356890</v>
      </c>
      <c r="CD276" s="4">
        <f t="shared" si="100"/>
        <v>1.0441882348524105</v>
      </c>
    </row>
    <row r="277" spans="78:82" x14ac:dyDescent="0.15">
      <c r="BZ277" s="4">
        <f t="shared" si="98"/>
        <v>138924298725</v>
      </c>
      <c r="CA277" s="4">
        <v>274</v>
      </c>
      <c r="CB277" s="90">
        <f t="shared" si="99"/>
        <v>1689759442305</v>
      </c>
      <c r="CC277" s="4">
        <f>SUM(CB$4:CB277)</f>
        <v>20013231799195</v>
      </c>
      <c r="CD277" s="4">
        <f t="shared" si="100"/>
        <v>1.047874084208303</v>
      </c>
    </row>
    <row r="278" spans="78:82" x14ac:dyDescent="0.15">
      <c r="BZ278" s="4">
        <f t="shared" si="98"/>
        <v>138924298725</v>
      </c>
      <c r="CA278" s="4">
        <v>275</v>
      </c>
      <c r="CB278" s="90">
        <f t="shared" si="99"/>
        <v>1828683741030</v>
      </c>
      <c r="CC278" s="4">
        <f>SUM(CB$4:CB278)</f>
        <v>21841915540225</v>
      </c>
      <c r="CD278" s="4">
        <f t="shared" si="100"/>
        <v>1.0436907727175437</v>
      </c>
    </row>
    <row r="279" spans="78:82" x14ac:dyDescent="0.15">
      <c r="BZ279" s="4">
        <f t="shared" si="98"/>
        <v>159762943525</v>
      </c>
      <c r="CA279" s="4">
        <v>276</v>
      </c>
      <c r="CB279" s="90">
        <f t="shared" si="99"/>
        <v>1988446684555</v>
      </c>
      <c r="CC279" s="4">
        <f>SUM(CB$4:CB279)</f>
        <v>23830362224780</v>
      </c>
      <c r="CD279" s="4">
        <f t="shared" si="100"/>
        <v>1.0472004156408705</v>
      </c>
    </row>
    <row r="280" spans="78:82" x14ac:dyDescent="0.15">
      <c r="BZ280" s="4">
        <f t="shared" si="98"/>
        <v>159762943525</v>
      </c>
      <c r="CA280" s="4">
        <v>277</v>
      </c>
      <c r="CB280" s="90">
        <f t="shared" si="99"/>
        <v>2148209628080</v>
      </c>
      <c r="CC280" s="4">
        <f>SUM(CB$4:CB280)</f>
        <v>25978571852860</v>
      </c>
      <c r="CD280" s="4">
        <f t="shared" si="100"/>
        <v>1.0431290019796478</v>
      </c>
    </row>
    <row r="281" spans="78:82" x14ac:dyDescent="0.15">
      <c r="BZ281" s="4">
        <f t="shared" si="98"/>
        <v>183727385050</v>
      </c>
      <c r="CA281" s="4">
        <v>278</v>
      </c>
      <c r="CB281" s="90">
        <f t="shared" si="99"/>
        <v>2331937013130</v>
      </c>
      <c r="CC281" s="4">
        <f>SUM(CB$4:CB281)</f>
        <v>28310508865990</v>
      </c>
      <c r="CD281" s="4">
        <f t="shared" si="100"/>
        <v>1.0464956650581134</v>
      </c>
    </row>
    <row r="282" spans="78:82" x14ac:dyDescent="0.15">
      <c r="BZ282" s="4">
        <f t="shared" si="98"/>
        <v>183727385050</v>
      </c>
      <c r="CA282" s="4">
        <v>279</v>
      </c>
      <c r="CB282" s="90">
        <f t="shared" si="99"/>
        <v>2515664398180</v>
      </c>
      <c r="CC282" s="4">
        <f>SUM(CB$4:CB282)</f>
        <v>30826173264170</v>
      </c>
      <c r="CD282" s="4">
        <f t="shared" si="100"/>
        <v>1.0425398296936048</v>
      </c>
    </row>
    <row r="283" spans="78:82" x14ac:dyDescent="0.15">
      <c r="BZ283" s="4">
        <f t="shared" si="98"/>
        <v>211286492800</v>
      </c>
      <c r="CA283" s="4">
        <v>280</v>
      </c>
      <c r="CB283" s="90">
        <f t="shared" si="99"/>
        <v>2726950890980</v>
      </c>
      <c r="CC283" s="4">
        <f>SUM(CB$4:CB283)</f>
        <v>33553124155150</v>
      </c>
      <c r="CD283" s="4">
        <f t="shared" si="100"/>
        <v>1.0457897530180282</v>
      </c>
    </row>
    <row r="284" spans="78:82" x14ac:dyDescent="0.15">
      <c r="BZ284" s="4">
        <f t="shared" si="98"/>
        <v>211286492800</v>
      </c>
      <c r="CA284" s="4">
        <v>281</v>
      </c>
      <c r="CB284" s="90">
        <f t="shared" si="99"/>
        <v>2938237383780</v>
      </c>
      <c r="CC284" s="4">
        <f>SUM(CB$4:CB284)</f>
        <v>36491361538930</v>
      </c>
      <c r="CD284" s="4">
        <f t="shared" si="100"/>
        <v>1.0419481611274573</v>
      </c>
    </row>
    <row r="285" spans="78:82" x14ac:dyDescent="0.15">
      <c r="BZ285" s="4">
        <f t="shared" si="98"/>
        <v>242979466700</v>
      </c>
      <c r="CA285" s="4">
        <v>282</v>
      </c>
      <c r="CB285" s="90">
        <f t="shared" si="99"/>
        <v>3181216850480</v>
      </c>
      <c r="CC285" s="4">
        <f>SUM(CB$4:CB285)</f>
        <v>39672578389410</v>
      </c>
      <c r="CD285" s="4">
        <f t="shared" si="100"/>
        <v>1.0451021204748556</v>
      </c>
    </row>
    <row r="286" spans="78:82" x14ac:dyDescent="0.15">
      <c r="BZ286" s="4">
        <f t="shared" si="98"/>
        <v>242979466700</v>
      </c>
      <c r="CA286" s="4">
        <v>283</v>
      </c>
      <c r="CB286" s="90">
        <f t="shared" si="99"/>
        <v>3424196317180</v>
      </c>
      <c r="CC286" s="4">
        <f>SUM(CB$4:CB286)</f>
        <v>43096774706590</v>
      </c>
      <c r="CD286" s="4">
        <f t="shared" si="100"/>
        <v>1.0413703403158996</v>
      </c>
    </row>
    <row r="287" spans="78:82" x14ac:dyDescent="0.15">
      <c r="BZ287" s="4">
        <f t="shared" si="98"/>
        <v>279426386700</v>
      </c>
      <c r="CA287" s="4">
        <v>284</v>
      </c>
      <c r="CB287" s="90">
        <f t="shared" si="99"/>
        <v>3703622703880</v>
      </c>
      <c r="CC287" s="4">
        <f>SUM(CB$4:CB287)</f>
        <v>46800397410470</v>
      </c>
      <c r="CD287" s="4">
        <f t="shared" si="100"/>
        <v>1.0444448702226417</v>
      </c>
    </row>
    <row r="288" spans="78:82" x14ac:dyDescent="0.15">
      <c r="BZ288" s="4">
        <f t="shared" si="98"/>
        <v>279426386700</v>
      </c>
      <c r="CA288" s="4">
        <v>285</v>
      </c>
      <c r="CB288" s="90">
        <f t="shared" si="99"/>
        <v>3983049090580</v>
      </c>
      <c r="CC288" s="4">
        <f>SUM(CB$4:CB288)</f>
        <v>50783446501050</v>
      </c>
      <c r="CD288" s="4">
        <f t="shared" si="100"/>
        <v>1.0408166856210632</v>
      </c>
    </row>
    <row r="289" spans="78:82" x14ac:dyDescent="0.15">
      <c r="BZ289" s="4">
        <f t="shared" si="98"/>
        <v>321340344700</v>
      </c>
      <c r="CA289" s="4">
        <v>286</v>
      </c>
      <c r="CB289" s="90">
        <f t="shared" si="99"/>
        <v>4304389435280</v>
      </c>
      <c r="CC289" s="4">
        <f>SUM(CB$4:CB289)</f>
        <v>55087835936330</v>
      </c>
      <c r="CD289" s="4">
        <f t="shared" si="100"/>
        <v>1.0438250336877819</v>
      </c>
    </row>
    <row r="290" spans="78:82" x14ac:dyDescent="0.15">
      <c r="BZ290" s="4">
        <f t="shared" si="98"/>
        <v>321340344700</v>
      </c>
      <c r="CA290" s="4">
        <v>287</v>
      </c>
      <c r="CB290" s="90">
        <f t="shared" si="99"/>
        <v>4625729779980</v>
      </c>
      <c r="CC290" s="4">
        <f>SUM(CB$4:CB290)</f>
        <v>59713565716310</v>
      </c>
      <c r="CD290" s="4">
        <f t="shared" si="100"/>
        <v>1.0402933213476826</v>
      </c>
    </row>
    <row r="291" spans="78:82" x14ac:dyDescent="0.15">
      <c r="BZ291" s="4">
        <f t="shared" si="98"/>
        <v>369541396400</v>
      </c>
      <c r="CA291" s="4">
        <v>288</v>
      </c>
      <c r="CB291" s="90">
        <f t="shared" si="99"/>
        <v>4995271176380</v>
      </c>
      <c r="CC291" s="4">
        <f>SUM(CB$4:CB291)</f>
        <v>64708836892690</v>
      </c>
      <c r="CD291" s="4">
        <f t="shared" si="100"/>
        <v>1.0432461815732263</v>
      </c>
    </row>
    <row r="292" spans="78:82" x14ac:dyDescent="0.15">
      <c r="BZ292" s="4">
        <f t="shared" si="98"/>
        <v>369541396400</v>
      </c>
      <c r="CA292" s="4">
        <v>289</v>
      </c>
      <c r="CB292" s="90">
        <f t="shared" si="99"/>
        <v>5364812572780</v>
      </c>
      <c r="CC292" s="4">
        <f>SUM(CB$4:CB292)</f>
        <v>70073649465470</v>
      </c>
      <c r="CD292" s="4">
        <f t="shared" si="100"/>
        <v>1.0398034841590671</v>
      </c>
    </row>
    <row r="293" spans="78:82" x14ac:dyDescent="0.15">
      <c r="BZ293" s="4">
        <f t="shared" si="98"/>
        <v>424972605850</v>
      </c>
      <c r="CA293" s="4">
        <v>290</v>
      </c>
      <c r="CB293" s="90">
        <f t="shared" si="99"/>
        <v>5789785178630</v>
      </c>
      <c r="CC293" s="4">
        <f>SUM(CB$4:CB293)</f>
        <v>75863434644100</v>
      </c>
      <c r="CD293" s="4">
        <f t="shared" si="100"/>
        <v>1.0427095566690494</v>
      </c>
    </row>
    <row r="294" spans="78:82" x14ac:dyDescent="0.15">
      <c r="BZ294" s="4">
        <f t="shared" si="98"/>
        <v>424972605850</v>
      </c>
      <c r="CA294" s="4">
        <v>291</v>
      </c>
      <c r="CB294" s="90">
        <f t="shared" si="99"/>
        <v>6214757784480</v>
      </c>
      <c r="CC294" s="4">
        <f>SUM(CB$4:CB294)</f>
        <v>82078192428580</v>
      </c>
      <c r="CD294" s="4">
        <f t="shared" si="100"/>
        <v>1.0393484471920691</v>
      </c>
    </row>
    <row r="295" spans="78:82" x14ac:dyDescent="0.15">
      <c r="BZ295" s="4">
        <f t="shared" si="98"/>
        <v>488718496725</v>
      </c>
      <c r="CA295" s="4">
        <v>292</v>
      </c>
      <c r="CB295" s="90">
        <f t="shared" si="99"/>
        <v>6703476281205</v>
      </c>
      <c r="CC295" s="4">
        <f>SUM(CB$4:CB295)</f>
        <v>88781668709785</v>
      </c>
      <c r="CD295" s="4">
        <f t="shared" si="100"/>
        <v>1.0422148648776846</v>
      </c>
    </row>
    <row r="296" spans="78:82" x14ac:dyDescent="0.15">
      <c r="BZ296" s="4">
        <f t="shared" si="98"/>
        <v>488718496725</v>
      </c>
      <c r="CA296" s="4">
        <v>293</v>
      </c>
      <c r="CB296" s="90">
        <f t="shared" si="99"/>
        <v>7192194777930</v>
      </c>
      <c r="CC296" s="4">
        <f>SUM(CB$4:CB296)</f>
        <v>95973863487715</v>
      </c>
      <c r="CD296" s="4">
        <f t="shared" si="100"/>
        <v>1.0389281699991659</v>
      </c>
    </row>
    <row r="297" spans="78:82" x14ac:dyDescent="0.15">
      <c r="BZ297" s="4">
        <f t="shared" si="98"/>
        <v>562026271225</v>
      </c>
      <c r="CA297" s="4">
        <v>294</v>
      </c>
      <c r="CB297" s="90">
        <f t="shared" si="99"/>
        <v>7754221049155</v>
      </c>
      <c r="CC297" s="4">
        <f>SUM(CB$4:CB297)</f>
        <v>103728084536870</v>
      </c>
      <c r="CD297" s="4">
        <f t="shared" si="100"/>
        <v>1.0417608244234697</v>
      </c>
    </row>
    <row r="298" spans="78:82" x14ac:dyDescent="0.15">
      <c r="BZ298" s="4">
        <f t="shared" si="98"/>
        <v>562026271225</v>
      </c>
      <c r="CA298" s="4">
        <v>295</v>
      </c>
      <c r="CB298" s="90">
        <f t="shared" si="99"/>
        <v>8316247320380</v>
      </c>
      <c r="CC298" s="4">
        <f>SUM(CB$4:CB298)</f>
        <v>112044331857250</v>
      </c>
      <c r="CD298" s="4">
        <f t="shared" si="100"/>
        <v>1.0385417536078942</v>
      </c>
    </row>
    <row r="299" spans="78:82" x14ac:dyDescent="0.15">
      <c r="BZ299" s="4">
        <f t="shared" si="98"/>
        <v>646330211900</v>
      </c>
      <c r="CA299" s="4">
        <v>296</v>
      </c>
      <c r="CB299" s="90">
        <f t="shared" si="99"/>
        <v>8962577532280</v>
      </c>
      <c r="CC299" s="4">
        <f>SUM(CB$4:CB299)</f>
        <v>121006909389530</v>
      </c>
      <c r="CD299" s="4">
        <f t="shared" si="100"/>
        <v>1.0413455451047893</v>
      </c>
    </row>
    <row r="300" spans="78:82" x14ac:dyDescent="0.15">
      <c r="BZ300" s="4">
        <f t="shared" si="98"/>
        <v>646330211900</v>
      </c>
      <c r="CA300" s="4">
        <v>297</v>
      </c>
      <c r="CB300" s="90">
        <f t="shared" si="99"/>
        <v>9608907744180</v>
      </c>
      <c r="CC300" s="4">
        <f>SUM(CB$4:CB300)</f>
        <v>130615817133710</v>
      </c>
      <c r="CD300" s="4">
        <f t="shared" si="100"/>
        <v>1.0381877577774192</v>
      </c>
    </row>
    <row r="301" spans="78:82" x14ac:dyDescent="0.15">
      <c r="BZ301" s="4">
        <f t="shared" si="98"/>
        <v>743279743675</v>
      </c>
      <c r="CA301" s="4">
        <v>298</v>
      </c>
      <c r="CB301" s="90">
        <f t="shared" si="99"/>
        <v>10352187487855</v>
      </c>
      <c r="CC301" s="4">
        <f>SUM(CB$4:CB301)</f>
        <v>140968004621565</v>
      </c>
      <c r="CD301" s="4">
        <f t="shared" si="100"/>
        <v>1.040966788563594</v>
      </c>
    </row>
    <row r="302" spans="78:82" x14ac:dyDescent="0.15">
      <c r="BZ302" s="4">
        <f t="shared" si="98"/>
        <v>743279743675</v>
      </c>
      <c r="CA302" s="4">
        <v>299</v>
      </c>
      <c r="CB302" s="90">
        <f t="shared" si="99"/>
        <v>11095467231530</v>
      </c>
      <c r="CC302" s="4">
        <f>SUM(CB$4:CB302)</f>
        <v>152063471853095</v>
      </c>
      <c r="CD302" s="4">
        <f t="shared" si="100"/>
        <v>1.0378644210940036</v>
      </c>
    </row>
    <row r="303" spans="78:82" x14ac:dyDescent="0.15">
      <c r="BZ303" s="4"/>
      <c r="CA303" s="4">
        <v>300</v>
      </c>
      <c r="CB303" s="90"/>
      <c r="CC303" s="4"/>
      <c r="CD303" s="4"/>
    </row>
  </sheetData>
  <mergeCells count="60">
    <mergeCell ref="BI2:BK2"/>
    <mergeCell ref="Y182:AD182"/>
    <mergeCell ref="Y2:AD2"/>
    <mergeCell ref="Y47:AD47"/>
    <mergeCell ref="Y92:AD92"/>
    <mergeCell ref="AE2:AJ2"/>
    <mergeCell ref="AE47:AJ47"/>
    <mergeCell ref="AE92:AJ92"/>
    <mergeCell ref="BE2:BH2"/>
    <mergeCell ref="BE47:BH47"/>
    <mergeCell ref="AQ2:AV2"/>
    <mergeCell ref="AQ47:AV47"/>
    <mergeCell ref="BB2:BD2"/>
    <mergeCell ref="BB47:BD47"/>
    <mergeCell ref="BE92:BH92"/>
    <mergeCell ref="BE137:BH137"/>
    <mergeCell ref="B3:D3"/>
    <mergeCell ref="R47:W47"/>
    <mergeCell ref="F7:G7"/>
    <mergeCell ref="F8:F10"/>
    <mergeCell ref="F11:F13"/>
    <mergeCell ref="F42:G42"/>
    <mergeCell ref="F43:F45"/>
    <mergeCell ref="F46:F48"/>
    <mergeCell ref="F26:G26"/>
    <mergeCell ref="F27:G27"/>
    <mergeCell ref="F28:G28"/>
    <mergeCell ref="F30:G30"/>
    <mergeCell ref="F31:G31"/>
    <mergeCell ref="F32:G32"/>
    <mergeCell ref="BB92:BD92"/>
    <mergeCell ref="AQ92:AV92"/>
    <mergeCell ref="AQ137:AV137"/>
    <mergeCell ref="AK92:AP92"/>
    <mergeCell ref="AK137:AP137"/>
    <mergeCell ref="R2:W2"/>
    <mergeCell ref="R92:W92"/>
    <mergeCell ref="R137:W137"/>
    <mergeCell ref="AK2:AP2"/>
    <mergeCell ref="AK47:AP47"/>
    <mergeCell ref="Y137:AD137"/>
    <mergeCell ref="AE137:AJ137"/>
    <mergeCell ref="R182:W182"/>
    <mergeCell ref="AQ182:AV182"/>
    <mergeCell ref="AK182:AP182"/>
    <mergeCell ref="AE182:AJ182"/>
    <mergeCell ref="BP137:BQ137"/>
    <mergeCell ref="BE182:BH182"/>
    <mergeCell ref="BB182:BD182"/>
    <mergeCell ref="BB137:BD137"/>
    <mergeCell ref="CA2:CC2"/>
    <mergeCell ref="BT137:BU137"/>
    <mergeCell ref="BP182:BQ182"/>
    <mergeCell ref="BT182:BU182"/>
    <mergeCell ref="BP2:BQ2"/>
    <mergeCell ref="BT2:BU2"/>
    <mergeCell ref="BP47:BQ47"/>
    <mergeCell ref="BT47:BU47"/>
    <mergeCell ref="BP92:BQ92"/>
    <mergeCell ref="BT92:BU92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0"/>
  <dimension ref="B1:BQ226"/>
  <sheetViews>
    <sheetView topLeftCell="F1" workbookViewId="0">
      <selection activeCell="BA34" sqref="BA34"/>
    </sheetView>
  </sheetViews>
  <sheetFormatPr defaultColWidth="6.625" defaultRowHeight="11.25" x14ac:dyDescent="0.15"/>
  <cols>
    <col min="1" max="10" width="6.625" style="17"/>
    <col min="11" max="11" width="6.625" style="26"/>
    <col min="12" max="12" width="6.625" style="17" hidden="1" customWidth="1"/>
    <col min="13" max="20" width="6.625" style="16" hidden="1" customWidth="1"/>
    <col min="21" max="28" width="6.625" style="17" hidden="1" customWidth="1"/>
    <col min="29" max="29" width="6.625" style="26" hidden="1" customWidth="1"/>
    <col min="30" max="30" width="6.625" style="17" hidden="1" customWidth="1"/>
    <col min="31" max="34" width="6.625" style="16" hidden="1" customWidth="1"/>
    <col min="35" max="35" width="9.75" style="16" hidden="1" customWidth="1"/>
    <col min="36" max="36" width="6.625" style="16" hidden="1" customWidth="1"/>
    <col min="37" max="38" width="6.625" style="17" hidden="1" customWidth="1"/>
    <col min="39" max="39" width="6.625" style="26" hidden="1" customWidth="1"/>
    <col min="40" max="40" width="6.625" style="17" customWidth="1"/>
    <col min="41" max="63" width="6.625" style="16" customWidth="1"/>
    <col min="64" max="64" width="6.625" style="17" customWidth="1"/>
    <col min="65" max="16384" width="6.625" style="17"/>
  </cols>
  <sheetData>
    <row r="1" spans="2:63" x14ac:dyDescent="0.15">
      <c r="AE1" s="125" t="s">
        <v>672</v>
      </c>
    </row>
    <row r="2" spans="2:63" x14ac:dyDescent="0.15">
      <c r="M2" s="16">
        <v>1</v>
      </c>
      <c r="AE2" s="30"/>
    </row>
    <row r="3" spans="2:63" ht="11.25" customHeight="1" x14ac:dyDescent="0.15">
      <c r="B3" s="169" t="s">
        <v>674</v>
      </c>
      <c r="C3" s="29" t="s">
        <v>175</v>
      </c>
      <c r="D3" s="29" t="s">
        <v>3</v>
      </c>
      <c r="E3" s="29" t="s">
        <v>1</v>
      </c>
      <c r="F3" s="29" t="s">
        <v>2</v>
      </c>
      <c r="G3" s="29" t="s">
        <v>0</v>
      </c>
      <c r="H3" s="29" t="s">
        <v>545</v>
      </c>
      <c r="I3" s="29" t="s">
        <v>30</v>
      </c>
      <c r="M3" s="16">
        <v>2</v>
      </c>
      <c r="N3" s="14" t="s">
        <v>75</v>
      </c>
      <c r="O3" s="161" t="s">
        <v>197</v>
      </c>
      <c r="P3" s="162"/>
      <c r="Q3" s="162"/>
      <c r="R3" s="162"/>
      <c r="S3" s="162"/>
      <c r="T3" s="163"/>
      <c r="W3" s="187" t="s">
        <v>676</v>
      </c>
      <c r="X3" s="187"/>
      <c r="Y3" s="187"/>
      <c r="Z3" s="187"/>
      <c r="AA3" s="187"/>
      <c r="AE3" s="29" t="s">
        <v>75</v>
      </c>
      <c r="AF3" s="165" t="s">
        <v>55</v>
      </c>
      <c r="AG3" s="166"/>
      <c r="AH3" s="160" t="s">
        <v>342</v>
      </c>
      <c r="AI3" s="160"/>
      <c r="AJ3" s="160"/>
      <c r="AO3" s="14" t="s">
        <v>75</v>
      </c>
      <c r="AP3" s="165" t="s">
        <v>677</v>
      </c>
      <c r="AQ3" s="172"/>
      <c r="AR3" s="172"/>
      <c r="AS3" s="172"/>
      <c r="AT3" s="166"/>
      <c r="AU3" s="165" t="s">
        <v>678</v>
      </c>
      <c r="AV3" s="172"/>
      <c r="AW3" s="172"/>
      <c r="AX3" s="172"/>
      <c r="AY3" s="166"/>
      <c r="AZ3" s="165" t="s">
        <v>679</v>
      </c>
      <c r="BA3" s="172"/>
      <c r="BB3" s="172"/>
      <c r="BC3" s="172"/>
      <c r="BD3" s="166"/>
      <c r="BE3" s="185" t="s">
        <v>673</v>
      </c>
      <c r="BH3" s="29" t="s">
        <v>75</v>
      </c>
      <c r="BI3" s="164" t="s">
        <v>332</v>
      </c>
      <c r="BJ3" s="164"/>
      <c r="BK3" s="164"/>
    </row>
    <row r="4" spans="2:63" x14ac:dyDescent="0.15">
      <c r="B4" s="170"/>
      <c r="C4" s="29">
        <v>0</v>
      </c>
      <c r="D4" s="29">
        <v>0</v>
      </c>
      <c r="E4" s="29">
        <v>0</v>
      </c>
      <c r="F4" s="29">
        <v>0</v>
      </c>
      <c r="G4" s="29">
        <v>0</v>
      </c>
      <c r="H4" s="29">
        <v>0</v>
      </c>
      <c r="I4" s="29">
        <v>0</v>
      </c>
      <c r="K4" s="124"/>
      <c r="M4" s="16">
        <v>3</v>
      </c>
      <c r="N4" s="29" t="s">
        <v>478</v>
      </c>
      <c r="O4" s="29" t="s">
        <v>3</v>
      </c>
      <c r="P4" s="29" t="s">
        <v>1</v>
      </c>
      <c r="Q4" s="29" t="s">
        <v>2</v>
      </c>
      <c r="R4" s="29" t="s">
        <v>0</v>
      </c>
      <c r="S4" s="29" t="s">
        <v>545</v>
      </c>
      <c r="T4" s="29" t="s">
        <v>228</v>
      </c>
      <c r="V4" s="17" t="s">
        <v>489</v>
      </c>
      <c r="W4" s="17" t="s">
        <v>75</v>
      </c>
      <c r="X4" s="17" t="s">
        <v>76</v>
      </c>
      <c r="Y4" s="17" t="s">
        <v>77</v>
      </c>
      <c r="Z4" s="17" t="s">
        <v>78</v>
      </c>
      <c r="AA4" s="17" t="s">
        <v>79</v>
      </c>
      <c r="AC4" s="124"/>
      <c r="AE4" s="29" t="s">
        <v>478</v>
      </c>
      <c r="AF4" s="29"/>
      <c r="AG4" s="29" t="s">
        <v>197</v>
      </c>
      <c r="AH4" s="29"/>
      <c r="AI4" s="29" t="s">
        <v>197</v>
      </c>
      <c r="AJ4" s="14" t="s">
        <v>343</v>
      </c>
      <c r="AM4" s="124"/>
      <c r="AO4" s="29" t="s">
        <v>478</v>
      </c>
      <c r="AP4" s="29" t="s">
        <v>3</v>
      </c>
      <c r="AQ4" s="29" t="s">
        <v>80</v>
      </c>
      <c r="AR4" s="29" t="s">
        <v>81</v>
      </c>
      <c r="AS4" s="29" t="s">
        <v>82</v>
      </c>
      <c r="AT4" s="29" t="s">
        <v>545</v>
      </c>
      <c r="AU4" s="29" t="s">
        <v>3</v>
      </c>
      <c r="AV4" s="29" t="s">
        <v>80</v>
      </c>
      <c r="AW4" s="29" t="s">
        <v>81</v>
      </c>
      <c r="AX4" s="29" t="s">
        <v>82</v>
      </c>
      <c r="AY4" s="29" t="s">
        <v>545</v>
      </c>
      <c r="AZ4" s="29" t="s">
        <v>3</v>
      </c>
      <c r="BA4" s="29" t="s">
        <v>80</v>
      </c>
      <c r="BB4" s="29" t="s">
        <v>81</v>
      </c>
      <c r="BC4" s="29" t="s">
        <v>82</v>
      </c>
      <c r="BD4" s="29" t="s">
        <v>545</v>
      </c>
      <c r="BE4" s="186"/>
      <c r="BH4" s="29" t="s">
        <v>478</v>
      </c>
      <c r="BI4" s="29" t="s">
        <v>675</v>
      </c>
      <c r="BJ4" s="29"/>
      <c r="BK4" s="29" t="s">
        <v>203</v>
      </c>
    </row>
    <row r="5" spans="2:63" x14ac:dyDescent="0.15">
      <c r="B5" s="170"/>
      <c r="C5" s="29">
        <v>1</v>
      </c>
      <c r="D5" s="29">
        <v>0</v>
      </c>
      <c r="E5" s="29">
        <v>0</v>
      </c>
      <c r="F5" s="29">
        <v>0</v>
      </c>
      <c r="G5" s="29">
        <v>0</v>
      </c>
      <c r="H5" s="29">
        <v>0</v>
      </c>
      <c r="I5" s="29">
        <v>0</v>
      </c>
      <c r="K5" s="124"/>
      <c r="M5" s="16">
        <v>4</v>
      </c>
      <c r="N5" s="29">
        <f>基础状态预期!D17</f>
        <v>10</v>
      </c>
      <c r="O5" s="29">
        <f>IF(基础状态预期!U17="",0,MIN(求节点($C$16:$C$24,D$16:D$24,基础状态预期!K17),求节点($C$28:$C$48,D$28:D$48,基础状态预期!U17)))</f>
        <v>0</v>
      </c>
      <c r="P5" s="29">
        <f>IF(基础状态预期!V17="",0,MIN(求节点($C$16:$C$24,E$16:E$24,基础状态预期!L17),求节点($C$28:$C$48,E$28:E$48,基础状态预期!V17)))</f>
        <v>0</v>
      </c>
      <c r="Q5" s="29">
        <f>IF(基础状态预期!W17="",0,MIN(求节点($C$16:$C$24,F$16:F$24,基础状态预期!M17),求节点($C$28:$C$48,F$28:F$48,基础状态预期!W17)))</f>
        <v>0</v>
      </c>
      <c r="R5" s="29">
        <f>IF(基础状态预期!X17="",0,MIN(求节点($C$16:$C$24,G$16:G$24,基础状态预期!N17),求节点($C$28:$C$48,G$28:G$48,基础状态预期!X17)))</f>
        <v>0</v>
      </c>
      <c r="S5" s="29">
        <f>IF(基础状态预期!Y17="",0,MIN(求节点($C$16:$C$24,H$16:H$24,基础状态预期!O17),求节点($C$28:$C$48,H$28:H$48,基础状态预期!Y17)))</f>
        <v>0</v>
      </c>
      <c r="T5" s="29">
        <f>MAX(SUMPRODUCT(O5:S5,基础状态预期!$F17:$J17)/SUM(基础状态预期!$F17:$J17),T4)</f>
        <v>0</v>
      </c>
      <c r="V5" s="17">
        <v>1</v>
      </c>
      <c r="W5" s="17">
        <f>求节点($N$5:$N$43,$T$5:$T$43,$V5)</f>
        <v>0</v>
      </c>
      <c r="X5" s="17">
        <f>求节点($N$50:$N$88,$T$50:$T$88,$V5)</f>
        <v>0</v>
      </c>
      <c r="Y5" s="17">
        <f>求节点($N$95:$N$133,$T$95:$T$133,$V5)</f>
        <v>0</v>
      </c>
      <c r="Z5" s="17">
        <f>求节点($N$140:$N$178,$T$140:$T$178,$V5)</f>
        <v>0</v>
      </c>
      <c r="AA5" s="17">
        <f>求节点($N$185:$N$223,$T$185:$T$223,$V5)</f>
        <v>0</v>
      </c>
      <c r="AC5" s="124"/>
      <c r="AE5" s="29">
        <v>10</v>
      </c>
      <c r="AF5" s="29"/>
      <c r="AG5" s="29">
        <f>求节点($N$5:$N$43,$T$5:$T$43,$AE5)</f>
        <v>0</v>
      </c>
      <c r="AH5" s="29"/>
      <c r="AI5" s="41">
        <f>AG5*INDEX([2]非r将兵属性验证!$AX$7:$AX$166,$AE5,1)</f>
        <v>0</v>
      </c>
      <c r="AJ5" s="14">
        <f t="shared" ref="AJ5:AJ14" si="0">SUM(AH5:AI5)</f>
        <v>0</v>
      </c>
      <c r="AM5" s="124"/>
      <c r="AO5" s="29">
        <f>$N5</f>
        <v>10</v>
      </c>
      <c r="AP5" s="14">
        <f>MAX(求节点($C$74:$C$79,D$74:D$79,求节点($C$4:$C$12,D$4:D$12,基础状态预期!K17)),AP4)</f>
        <v>0</v>
      </c>
      <c r="AQ5" s="14">
        <f>MAX(求节点($C$74:$C$79,E$74:E$79,求节点($C$4:$C$12,E$4:E$12,基础状态预期!L17)),AQ4)</f>
        <v>0</v>
      </c>
      <c r="AR5" s="14">
        <f>MAX(求节点($C$74:$C$79,F$74:F$79,求节点($C$4:$C$12,F$4:F$12,基础状态预期!M17)),AR4)</f>
        <v>0</v>
      </c>
      <c r="AS5" s="14">
        <f>MAX(求节点($C$74:$C$79,G$74:G$79,求节点($C$4:$C$12,G$4:G$12,基础状态预期!N17)),AS4)</f>
        <v>0</v>
      </c>
      <c r="AT5" s="14">
        <f>MAX(求节点($C$74:$C$79,H$74:H$79,求节点($C$4:$C$12,H$4:H$12,基础状态预期!O17)),AT4)</f>
        <v>0</v>
      </c>
      <c r="AU5" s="14">
        <f>MAX(求节点($C$81:$C$86,D$81:D$86,求节点($C$4:$C$12,D$4:D$12,基础状态预期!K17)),AU4)</f>
        <v>0</v>
      </c>
      <c r="AV5" s="14">
        <f>MAX(求节点($C$81:$C$86,E$81:E$86,求节点($C$4:$C$12,E$4:E$12,基础状态预期!L17)),AV4)</f>
        <v>0</v>
      </c>
      <c r="AW5" s="14">
        <f>MAX(求节点($C$81:$C$86,F$81:F$86,求节点($C$4:$C$12,F$4:F$12,基础状态预期!M17)),AW4)</f>
        <v>0</v>
      </c>
      <c r="AX5" s="14">
        <f>MAX(求节点($C$81:$C$86,G$81:G$86,求节点($C$4:$C$12,G$4:G$12,基础状态预期!N17)),AX4)</f>
        <v>0</v>
      </c>
      <c r="AY5" s="14">
        <f>MAX(求节点($C$81:$C$86,H$81:H$86,求节点($C$4:$C$12,H$4:H$12,基础状态预期!O17)),AY4)</f>
        <v>0</v>
      </c>
      <c r="AZ5" s="14">
        <f>MAX(求节点($C$88:$C$93,D$88:D$93,求节点($C$4:$C$12,D$4:D$12,基础状态预期!K17)),AZ4)</f>
        <v>0</v>
      </c>
      <c r="BA5" s="14">
        <f>MAX(求节点($C$88:$C$93,E$88:E$93,求节点($C$4:$C$12,E$4:E$12,基础状态预期!L17)),BA4)</f>
        <v>0</v>
      </c>
      <c r="BB5" s="14">
        <f>MAX(求节点($C$88:$C$93,F$88:F$93,求节点($C$4:$C$12,F$4:F$12,基础状态预期!M17)),BB4)</f>
        <v>0</v>
      </c>
      <c r="BC5" s="14">
        <f>MAX(求节点($C$88:$C$93,G$88:G$93,求节点($C$4:$C$12,G$4:G$12,基础状态预期!N17)),BC4)</f>
        <v>0</v>
      </c>
      <c r="BD5" s="14">
        <f>MAX(求节点($C$88:$C$93,H$88:H$93,求节点($C$4:$C$12,H$4:H$12,基础状态预期!O17)),BD4)</f>
        <v>0</v>
      </c>
      <c r="BE5" s="14">
        <f t="shared" ref="BE5:BE43" si="1">SUM(AP5:AT5)*$D$97+
SUM(AU5:AY5)*$D$98+
SUM(AZ5:BD5)*$D$99</f>
        <v>0</v>
      </c>
      <c r="BH5" s="29">
        <v>10</v>
      </c>
      <c r="BI5" s="29">
        <f t="shared" ref="BI5:BI20" si="2">求节点($AO$5:$AO$43,BE$5:BE$43,$BH5)</f>
        <v>0</v>
      </c>
      <c r="BJ5" s="29"/>
      <c r="BK5" s="29">
        <f>SUM(BI5:BJ5)</f>
        <v>0</v>
      </c>
    </row>
    <row r="6" spans="2:63" x14ac:dyDescent="0.15">
      <c r="B6" s="170"/>
      <c r="C6" s="29">
        <v>2</v>
      </c>
      <c r="D6" s="29">
        <v>0</v>
      </c>
      <c r="E6" s="29">
        <v>0</v>
      </c>
      <c r="F6" s="29">
        <v>0</v>
      </c>
      <c r="G6" s="29">
        <v>0</v>
      </c>
      <c r="H6" s="29">
        <v>1</v>
      </c>
      <c r="I6" s="29">
        <v>1</v>
      </c>
      <c r="K6" s="124"/>
      <c r="M6" s="16">
        <v>5</v>
      </c>
      <c r="N6" s="29">
        <f>基础状态预期!D18</f>
        <v>20</v>
      </c>
      <c r="O6" s="29">
        <f>IF(基础状态预期!U18="",0,MIN(求节点($C$16:$C$24,D$16:D$24,基础状态预期!K18),求节点($C$28:$C$48,D$28:D$48,基础状态预期!U18)))</f>
        <v>0</v>
      </c>
      <c r="P6" s="29">
        <f>IF(基础状态预期!V18="",0,MIN(求节点($C$16:$C$24,E$16:E$24,基础状态预期!L18),求节点($C$28:$C$48,E$28:E$48,基础状态预期!V18)))</f>
        <v>0</v>
      </c>
      <c r="Q6" s="29">
        <f>IF(基础状态预期!W18="",0,MIN(求节点($C$16:$C$24,F$16:F$24,基础状态预期!M18),求节点($C$28:$C$48,F$28:F$48,基础状态预期!W18)))</f>
        <v>0</v>
      </c>
      <c r="R6" s="29">
        <f>IF(基础状态预期!X18="",0,MIN(求节点($C$16:$C$24,G$16:G$24,基础状态预期!N18),求节点($C$28:$C$48,G$28:G$48,基础状态预期!X18)))</f>
        <v>0</v>
      </c>
      <c r="S6" s="29">
        <f>IF(基础状态预期!Y18="",0,MIN(求节点($C$16:$C$24,H$16:H$24,基础状态预期!O18),求节点($C$28:$C$48,H$28:H$48,基础状态预期!Y18)))</f>
        <v>0</v>
      </c>
      <c r="T6" s="29">
        <f>MAX(SUMPRODUCT(O6:S6,基础状态预期!$F18:$J18)/SUM(基础状态预期!$F18:$J18),T5)</f>
        <v>0</v>
      </c>
      <c r="V6" s="17">
        <v>2</v>
      </c>
      <c r="W6" s="17">
        <f t="shared" ref="W6:W69" si="3">求节点($N$5:$N$43,$T$5:$T$43,$V6)</f>
        <v>0</v>
      </c>
      <c r="X6" s="17">
        <f t="shared" ref="X6:X69" si="4">求节点($N$50:$N$88,$T$50:$T$88,$V6)</f>
        <v>0</v>
      </c>
      <c r="Y6" s="17">
        <f t="shared" ref="Y6:Y69" si="5">求节点($N$95:$N$133,$T$95:$T$133,$V6)</f>
        <v>0</v>
      </c>
      <c r="Z6" s="17">
        <f t="shared" ref="Z6:Z69" si="6">求节点($N$140:$N$178,$T$140:$T$178,$V6)</f>
        <v>0</v>
      </c>
      <c r="AA6" s="17">
        <f t="shared" ref="AA6:AA69" si="7">求节点($N$185:$N$223,$T$185:$T$223,$V6)</f>
        <v>0</v>
      </c>
      <c r="AC6" s="124"/>
      <c r="AE6" s="29">
        <v>20</v>
      </c>
      <c r="AF6" s="29"/>
      <c r="AG6" s="29">
        <f t="shared" ref="AG6:AG20" si="8">求节点($N$5:$N$43,$T$5:$T$43,$AE6)</f>
        <v>0</v>
      </c>
      <c r="AH6" s="29"/>
      <c r="AI6" s="29">
        <f>(AG6-AG5)*INDEX([2]非r将兵属性验证!$AX$7:$AX$166,$AE6,1)+AI5</f>
        <v>0</v>
      </c>
      <c r="AJ6" s="14">
        <f t="shared" si="0"/>
        <v>0</v>
      </c>
      <c r="AM6" s="124"/>
      <c r="AO6" s="29">
        <f t="shared" ref="AO6:AO43" si="9">$N6</f>
        <v>20</v>
      </c>
      <c r="AP6" s="14">
        <f>MAX(求节点($C$74:$C$79,D$74:D$79,求节点($C$4:$C$12,D$4:D$12,基础状态预期!K18)),AP5)</f>
        <v>0</v>
      </c>
      <c r="AQ6" s="14">
        <f>MAX(求节点($C$74:$C$79,E$74:E$79,求节点($C$4:$C$12,E$4:E$12,基础状态预期!L18)),AQ5)</f>
        <v>0</v>
      </c>
      <c r="AR6" s="14">
        <f>MAX(求节点($C$74:$C$79,F$74:F$79,求节点($C$4:$C$12,F$4:F$12,基础状态预期!M18)),AR5)</f>
        <v>0</v>
      </c>
      <c r="AS6" s="14">
        <f>MAX(求节点($C$74:$C$79,G$74:G$79,求节点($C$4:$C$12,G$4:G$12,基础状态预期!N18)),AS5)</f>
        <v>0</v>
      </c>
      <c r="AT6" s="14">
        <f>MAX(求节点($C$74:$C$79,H$74:H$79,求节点($C$4:$C$12,H$4:H$12,基础状态预期!O18)),AT5)</f>
        <v>0</v>
      </c>
      <c r="AU6" s="14">
        <f>MAX(求节点($C$81:$C$86,D$81:D$86,求节点($C$4:$C$12,D$4:D$12,基础状态预期!K18)),AU5)</f>
        <v>0</v>
      </c>
      <c r="AV6" s="14">
        <f>MAX(求节点($C$81:$C$86,E$81:E$86,求节点($C$4:$C$12,E$4:E$12,基础状态预期!L18)),AV5)</f>
        <v>0</v>
      </c>
      <c r="AW6" s="14">
        <f>MAX(求节点($C$81:$C$86,F$81:F$86,求节点($C$4:$C$12,F$4:F$12,基础状态预期!M18)),AW5)</f>
        <v>0</v>
      </c>
      <c r="AX6" s="14">
        <f>MAX(求节点($C$81:$C$86,G$81:G$86,求节点($C$4:$C$12,G$4:G$12,基础状态预期!N18)),AX5)</f>
        <v>0</v>
      </c>
      <c r="AY6" s="14">
        <f>MAX(求节点($C$81:$C$86,H$81:H$86,求节点($C$4:$C$12,H$4:H$12,基础状态预期!O18)),AY5)</f>
        <v>0</v>
      </c>
      <c r="AZ6" s="14">
        <f>MAX(求节点($C$88:$C$93,D$88:D$93,求节点($C$4:$C$12,D$4:D$12,基础状态预期!K18)),AZ5)</f>
        <v>0</v>
      </c>
      <c r="BA6" s="14">
        <f>MAX(求节点($C$88:$C$93,E$88:E$93,求节点($C$4:$C$12,E$4:E$12,基础状态预期!L18)),BA5)</f>
        <v>0</v>
      </c>
      <c r="BB6" s="14">
        <f>MAX(求节点($C$88:$C$93,F$88:F$93,求节点($C$4:$C$12,F$4:F$12,基础状态预期!M18)),BB5)</f>
        <v>0</v>
      </c>
      <c r="BC6" s="14">
        <f>MAX(求节点($C$88:$C$93,G$88:G$93,求节点($C$4:$C$12,G$4:G$12,基础状态预期!N18)),BC5)</f>
        <v>0</v>
      </c>
      <c r="BD6" s="14">
        <f>MAX(求节点($C$88:$C$93,H$88:H$93,求节点($C$4:$C$12,H$4:H$12,基础状态预期!O18)),BD5)</f>
        <v>0</v>
      </c>
      <c r="BE6" s="14">
        <f t="shared" si="1"/>
        <v>0</v>
      </c>
      <c r="BH6" s="29">
        <v>20</v>
      </c>
      <c r="BI6" s="29">
        <f t="shared" si="2"/>
        <v>0</v>
      </c>
      <c r="BJ6" s="29"/>
      <c r="BK6" s="29">
        <f t="shared" ref="BK6:BK14" si="10">SUM(BI6:BJ6)</f>
        <v>0</v>
      </c>
    </row>
    <row r="7" spans="2:63" x14ac:dyDescent="0.15">
      <c r="B7" s="170"/>
      <c r="C7" s="29">
        <v>3</v>
      </c>
      <c r="D7" s="29">
        <v>0</v>
      </c>
      <c r="E7" s="29">
        <v>0</v>
      </c>
      <c r="F7" s="29">
        <v>0</v>
      </c>
      <c r="G7" s="29">
        <v>0</v>
      </c>
      <c r="H7" s="29">
        <v>1</v>
      </c>
      <c r="I7" s="29">
        <v>1</v>
      </c>
      <c r="K7" s="124"/>
      <c r="M7" s="16">
        <v>6</v>
      </c>
      <c r="N7" s="29">
        <f>基础状态预期!D19</f>
        <v>28.071211008105138</v>
      </c>
      <c r="O7" s="29">
        <f>IF(基础状态预期!U19="",0,MIN(求节点($C$16:$C$24,D$16:D$24,基础状态预期!K19),求节点($C$28:$C$48,D$28:D$48,基础状态预期!U19)))</f>
        <v>0</v>
      </c>
      <c r="P7" s="29">
        <f>IF(基础状态预期!V19="",0,MIN(求节点($C$16:$C$24,E$16:E$24,基础状态预期!L19),求节点($C$28:$C$48,E$28:E$48,基础状态预期!V19)))</f>
        <v>0</v>
      </c>
      <c r="Q7" s="29">
        <f>IF(基础状态预期!W19="",0,MIN(求节点($C$16:$C$24,F$16:F$24,基础状态预期!M19),求节点($C$28:$C$48,F$28:F$48,基础状态预期!W19)))</f>
        <v>0</v>
      </c>
      <c r="R7" s="29">
        <f>IF(基础状态预期!X19="",0,MIN(求节点($C$16:$C$24,G$16:G$24,基础状态预期!N19),求节点($C$28:$C$48,G$28:G$48,基础状态预期!X19)))</f>
        <v>0</v>
      </c>
      <c r="S7" s="29">
        <f>IF(基础状态预期!Y19="",0,MIN(求节点($C$16:$C$24,H$16:H$24,基础状态预期!O19),求节点($C$28:$C$48,H$28:H$48,基础状态预期!Y19)))</f>
        <v>0</v>
      </c>
      <c r="T7" s="29">
        <f>MAX(SUMPRODUCT(O7:S7,基础状态预期!$F19:$J19)/SUM(基础状态预期!$F19:$J19),T6)</f>
        <v>0</v>
      </c>
      <c r="V7" s="17">
        <v>3</v>
      </c>
      <c r="W7" s="17">
        <f t="shared" si="3"/>
        <v>0</v>
      </c>
      <c r="X7" s="17">
        <f t="shared" si="4"/>
        <v>0</v>
      </c>
      <c r="Y7" s="17">
        <f t="shared" si="5"/>
        <v>0</v>
      </c>
      <c r="Z7" s="17">
        <f t="shared" si="6"/>
        <v>0</v>
      </c>
      <c r="AA7" s="17">
        <f t="shared" si="7"/>
        <v>0</v>
      </c>
      <c r="AC7" s="124"/>
      <c r="AE7" s="29">
        <v>30</v>
      </c>
      <c r="AF7" s="29"/>
      <c r="AG7" s="29">
        <f t="shared" si="8"/>
        <v>0</v>
      </c>
      <c r="AH7" s="29"/>
      <c r="AI7" s="29">
        <f>(AG7-AG6)*INDEX([2]非r将兵属性验证!$AX$7:$AX$166,$AE7,1)+AI6</f>
        <v>0</v>
      </c>
      <c r="AJ7" s="14">
        <f t="shared" si="0"/>
        <v>0</v>
      </c>
      <c r="AM7" s="124"/>
      <c r="AO7" s="29">
        <f t="shared" si="9"/>
        <v>28.071211008105138</v>
      </c>
      <c r="AP7" s="14">
        <f>MAX(求节点($C$74:$C$79,D$74:D$79,求节点($C$4:$C$12,D$4:D$12,基础状态预期!K19)),AP6)</f>
        <v>0</v>
      </c>
      <c r="AQ7" s="14">
        <f>MAX(求节点($C$74:$C$79,E$74:E$79,求节点($C$4:$C$12,E$4:E$12,基础状态预期!L19)),AQ6)</f>
        <v>0</v>
      </c>
      <c r="AR7" s="14">
        <f>MAX(求节点($C$74:$C$79,F$74:F$79,求节点($C$4:$C$12,F$4:F$12,基础状态预期!M19)),AR6)</f>
        <v>0</v>
      </c>
      <c r="AS7" s="14">
        <f>MAX(求节点($C$74:$C$79,G$74:G$79,求节点($C$4:$C$12,G$4:G$12,基础状态预期!N19)),AS6)</f>
        <v>0</v>
      </c>
      <c r="AT7" s="14">
        <f>MAX(求节点($C$74:$C$79,H$74:H$79,求节点($C$4:$C$12,H$4:H$12,基础状态预期!O19)),AT6)</f>
        <v>0</v>
      </c>
      <c r="AU7" s="14">
        <f>MAX(求节点($C$81:$C$86,D$81:D$86,求节点($C$4:$C$12,D$4:D$12,基础状态预期!K19)),AU6)</f>
        <v>0</v>
      </c>
      <c r="AV7" s="14">
        <f>MAX(求节点($C$81:$C$86,E$81:E$86,求节点($C$4:$C$12,E$4:E$12,基础状态预期!L19)),AV6)</f>
        <v>0</v>
      </c>
      <c r="AW7" s="14">
        <f>MAX(求节点($C$81:$C$86,F$81:F$86,求节点($C$4:$C$12,F$4:F$12,基础状态预期!M19)),AW6)</f>
        <v>0</v>
      </c>
      <c r="AX7" s="14">
        <f>MAX(求节点($C$81:$C$86,G$81:G$86,求节点($C$4:$C$12,G$4:G$12,基础状态预期!N19)),AX6)</f>
        <v>0</v>
      </c>
      <c r="AY7" s="14">
        <f>MAX(求节点($C$81:$C$86,H$81:H$86,求节点($C$4:$C$12,H$4:H$12,基础状态预期!O19)),AY6)</f>
        <v>0</v>
      </c>
      <c r="AZ7" s="14">
        <f>MAX(求节点($C$88:$C$93,D$88:D$93,求节点($C$4:$C$12,D$4:D$12,基础状态预期!K19)),AZ6)</f>
        <v>0</v>
      </c>
      <c r="BA7" s="14">
        <f>MAX(求节点($C$88:$C$93,E$88:E$93,求节点($C$4:$C$12,E$4:E$12,基础状态预期!L19)),BA6)</f>
        <v>0</v>
      </c>
      <c r="BB7" s="14">
        <f>MAX(求节点($C$88:$C$93,F$88:F$93,求节点($C$4:$C$12,F$4:F$12,基础状态预期!M19)),BB6)</f>
        <v>0</v>
      </c>
      <c r="BC7" s="14">
        <f>MAX(求节点($C$88:$C$93,G$88:G$93,求节点($C$4:$C$12,G$4:G$12,基础状态预期!N19)),BC6)</f>
        <v>0</v>
      </c>
      <c r="BD7" s="14">
        <f>MAX(求节点($C$88:$C$93,H$88:H$93,求节点($C$4:$C$12,H$4:H$12,基础状态预期!O19)),BD6)</f>
        <v>0</v>
      </c>
      <c r="BE7" s="14">
        <f t="shared" si="1"/>
        <v>0</v>
      </c>
      <c r="BH7" s="29">
        <v>30</v>
      </c>
      <c r="BI7" s="29">
        <f t="shared" si="2"/>
        <v>0</v>
      </c>
      <c r="BJ7" s="29"/>
      <c r="BK7" s="29">
        <f t="shared" si="10"/>
        <v>0</v>
      </c>
    </row>
    <row r="8" spans="2:63" x14ac:dyDescent="0.15">
      <c r="B8" s="170"/>
      <c r="C8" s="29">
        <v>4</v>
      </c>
      <c r="D8" s="29">
        <v>0</v>
      </c>
      <c r="E8" s="29">
        <v>0</v>
      </c>
      <c r="F8" s="29">
        <v>0</v>
      </c>
      <c r="G8" s="29">
        <v>1</v>
      </c>
      <c r="H8" s="29">
        <v>1</v>
      </c>
      <c r="I8" s="29">
        <v>1</v>
      </c>
      <c r="K8" s="124"/>
      <c r="M8" s="16">
        <v>7</v>
      </c>
      <c r="N8" s="29">
        <f>基础状态预期!D20</f>
        <v>34.585942742481357</v>
      </c>
      <c r="O8" s="29">
        <f>IF(基础状态预期!U20="",0,MIN(求节点($C$16:$C$24,D$16:D$24,基础状态预期!K20),求节点($C$28:$C$48,D$28:D$48,基础状态预期!U20)))</f>
        <v>0</v>
      </c>
      <c r="P8" s="29">
        <f>IF(基础状态预期!V20="",0,MIN(求节点($C$16:$C$24,E$16:E$24,基础状态预期!L20),求节点($C$28:$C$48,E$28:E$48,基础状态预期!V20)))</f>
        <v>0</v>
      </c>
      <c r="Q8" s="29">
        <f>IF(基础状态预期!W20="",0,MIN(求节点($C$16:$C$24,F$16:F$24,基础状态预期!M20),求节点($C$28:$C$48,F$28:F$48,基础状态预期!W20)))</f>
        <v>0</v>
      </c>
      <c r="R8" s="29">
        <f>IF(基础状态预期!X20="",0,MIN(求节点($C$16:$C$24,G$16:G$24,基础状态预期!N20),求节点($C$28:$C$48,G$28:G$48,基础状态预期!X20)))</f>
        <v>0</v>
      </c>
      <c r="S8" s="29">
        <f>IF(基础状态预期!Y20="",0,MIN(求节点($C$16:$C$24,H$16:H$24,基础状态预期!O20),求节点($C$28:$C$48,H$28:H$48,基础状态预期!Y20)))</f>
        <v>0</v>
      </c>
      <c r="T8" s="29">
        <f>MAX(SUMPRODUCT(O8:S8,基础状态预期!$F20:$J20)/SUM(基础状态预期!$F20:$J20),T7)</f>
        <v>0</v>
      </c>
      <c r="V8" s="17">
        <v>4</v>
      </c>
      <c r="W8" s="17">
        <f t="shared" si="3"/>
        <v>0</v>
      </c>
      <c r="X8" s="17">
        <f t="shared" si="4"/>
        <v>0</v>
      </c>
      <c r="Y8" s="17">
        <f t="shared" si="5"/>
        <v>0</v>
      </c>
      <c r="Z8" s="17">
        <f t="shared" si="6"/>
        <v>0</v>
      </c>
      <c r="AA8" s="17">
        <f t="shared" si="7"/>
        <v>0</v>
      </c>
      <c r="AC8" s="124"/>
      <c r="AE8" s="29">
        <v>40</v>
      </c>
      <c r="AF8" s="29"/>
      <c r="AG8" s="29">
        <f t="shared" si="8"/>
        <v>0</v>
      </c>
      <c r="AH8" s="29"/>
      <c r="AI8" s="29">
        <f>(AG8-AG7)*INDEX([2]非r将兵属性验证!$AX$7:$AX$166,$AE8,1)+AI7</f>
        <v>0</v>
      </c>
      <c r="AJ8" s="14">
        <f t="shared" si="0"/>
        <v>0</v>
      </c>
      <c r="AM8" s="124"/>
      <c r="AO8" s="29">
        <f t="shared" si="9"/>
        <v>34.585942742481357</v>
      </c>
      <c r="AP8" s="14">
        <f>MAX(求节点($C$74:$C$79,D$74:D$79,求节点($C$4:$C$12,D$4:D$12,基础状态预期!K20)),AP7)</f>
        <v>0</v>
      </c>
      <c r="AQ8" s="14">
        <f>MAX(求节点($C$74:$C$79,E$74:E$79,求节点($C$4:$C$12,E$4:E$12,基础状态预期!L20)),AQ7)</f>
        <v>0</v>
      </c>
      <c r="AR8" s="14">
        <f>MAX(求节点($C$74:$C$79,F$74:F$79,求节点($C$4:$C$12,F$4:F$12,基础状态预期!M20)),AR7)</f>
        <v>0</v>
      </c>
      <c r="AS8" s="14">
        <f>MAX(求节点($C$74:$C$79,G$74:G$79,求节点($C$4:$C$12,G$4:G$12,基础状态预期!N20)),AS7)</f>
        <v>0</v>
      </c>
      <c r="AT8" s="14">
        <f>MAX(求节点($C$74:$C$79,H$74:H$79,求节点($C$4:$C$12,H$4:H$12,基础状态预期!O20)),AT7)</f>
        <v>0</v>
      </c>
      <c r="AU8" s="14">
        <f>MAX(求节点($C$81:$C$86,D$81:D$86,求节点($C$4:$C$12,D$4:D$12,基础状态预期!K20)),AU7)</f>
        <v>0</v>
      </c>
      <c r="AV8" s="14">
        <f>MAX(求节点($C$81:$C$86,E$81:E$86,求节点($C$4:$C$12,E$4:E$12,基础状态预期!L20)),AV7)</f>
        <v>0</v>
      </c>
      <c r="AW8" s="14">
        <f>MAX(求节点($C$81:$C$86,F$81:F$86,求节点($C$4:$C$12,F$4:F$12,基础状态预期!M20)),AW7)</f>
        <v>0</v>
      </c>
      <c r="AX8" s="14">
        <f>MAX(求节点($C$81:$C$86,G$81:G$86,求节点($C$4:$C$12,G$4:G$12,基础状态预期!N20)),AX7)</f>
        <v>0</v>
      </c>
      <c r="AY8" s="14">
        <f>MAX(求节点($C$81:$C$86,H$81:H$86,求节点($C$4:$C$12,H$4:H$12,基础状态预期!O20)),AY7)</f>
        <v>0</v>
      </c>
      <c r="AZ8" s="14">
        <f>MAX(求节点($C$88:$C$93,D$88:D$93,求节点($C$4:$C$12,D$4:D$12,基础状态预期!K20)),AZ7)</f>
        <v>0</v>
      </c>
      <c r="BA8" s="14">
        <f>MAX(求节点($C$88:$C$93,E$88:E$93,求节点($C$4:$C$12,E$4:E$12,基础状态预期!L20)),BA7)</f>
        <v>0</v>
      </c>
      <c r="BB8" s="14">
        <f>MAX(求节点($C$88:$C$93,F$88:F$93,求节点($C$4:$C$12,F$4:F$12,基础状态预期!M20)),BB7)</f>
        <v>0</v>
      </c>
      <c r="BC8" s="14">
        <f>MAX(求节点($C$88:$C$93,G$88:G$93,求节点($C$4:$C$12,G$4:G$12,基础状态预期!N20)),BC7)</f>
        <v>0</v>
      </c>
      <c r="BD8" s="14">
        <f>MAX(求节点($C$88:$C$93,H$88:H$93,求节点($C$4:$C$12,H$4:H$12,基础状态预期!O20)),BD7)</f>
        <v>0</v>
      </c>
      <c r="BE8" s="14">
        <f t="shared" si="1"/>
        <v>0</v>
      </c>
      <c r="BH8" s="29">
        <v>40</v>
      </c>
      <c r="BI8" s="29">
        <f t="shared" si="2"/>
        <v>0</v>
      </c>
      <c r="BJ8" s="29"/>
      <c r="BK8" s="29">
        <f t="shared" si="10"/>
        <v>0</v>
      </c>
    </row>
    <row r="9" spans="2:63" x14ac:dyDescent="0.15">
      <c r="B9" s="170"/>
      <c r="C9" s="29">
        <v>5</v>
      </c>
      <c r="D9" s="29">
        <v>0</v>
      </c>
      <c r="E9" s="29">
        <v>0</v>
      </c>
      <c r="F9" s="29">
        <v>0</v>
      </c>
      <c r="G9" s="29">
        <v>1</v>
      </c>
      <c r="H9" s="29">
        <v>2</v>
      </c>
      <c r="I9" s="29">
        <v>2</v>
      </c>
      <c r="K9" s="124"/>
      <c r="M9" s="16">
        <v>8</v>
      </c>
      <c r="N9" s="29">
        <f>基础状态预期!D21</f>
        <v>40</v>
      </c>
      <c r="O9" s="29">
        <f>IF(基础状态预期!U21="",0,MIN(求节点($C$16:$C$24,D$16:D$24,基础状态预期!K21),求节点($C$28:$C$48,D$28:D$48,基础状态预期!U21)))</f>
        <v>0</v>
      </c>
      <c r="P9" s="29">
        <f>IF(基础状态预期!V21="",0,MIN(求节点($C$16:$C$24,E$16:E$24,基础状态预期!L21),求节点($C$28:$C$48,E$28:E$48,基础状态预期!V21)))</f>
        <v>0</v>
      </c>
      <c r="Q9" s="29">
        <f>IF(基础状态预期!W21="",0,MIN(求节点($C$16:$C$24,F$16:F$24,基础状态预期!M21),求节点($C$28:$C$48,F$28:F$48,基础状态预期!W21)))</f>
        <v>0</v>
      </c>
      <c r="R9" s="29">
        <f>IF(基础状态预期!X21="",0,MIN(求节点($C$16:$C$24,G$16:G$24,基础状态预期!N21),求节点($C$28:$C$48,G$28:G$48,基础状态预期!X21)))</f>
        <v>0</v>
      </c>
      <c r="S9" s="29">
        <f>IF(基础状态预期!Y21="",0,MIN(求节点($C$16:$C$24,H$16:H$24,基础状态预期!O21),求节点($C$28:$C$48,H$28:H$48,基础状态预期!Y21)))</f>
        <v>0</v>
      </c>
      <c r="T9" s="29">
        <f>MAX(SUMPRODUCT(O9:S9,基础状态预期!$F21:$J21)/SUM(基础状态预期!$F21:$J21),T8)</f>
        <v>0</v>
      </c>
      <c r="V9" s="17">
        <v>5</v>
      </c>
      <c r="W9" s="17">
        <f t="shared" si="3"/>
        <v>0</v>
      </c>
      <c r="X9" s="17">
        <f t="shared" si="4"/>
        <v>0</v>
      </c>
      <c r="Y9" s="17">
        <f t="shared" si="5"/>
        <v>0</v>
      </c>
      <c r="Z9" s="17">
        <f t="shared" si="6"/>
        <v>0</v>
      </c>
      <c r="AA9" s="17">
        <f t="shared" si="7"/>
        <v>0</v>
      </c>
      <c r="AC9" s="124"/>
      <c r="AE9" s="29">
        <v>50</v>
      </c>
      <c r="AF9" s="29"/>
      <c r="AG9" s="29">
        <f t="shared" si="8"/>
        <v>0</v>
      </c>
      <c r="AH9" s="29"/>
      <c r="AI9" s="29">
        <f>(AG9-AG8)*INDEX([2]非r将兵属性验证!$AX$7:$AX$166,$AE9,1)+AI8</f>
        <v>0</v>
      </c>
      <c r="AJ9" s="14">
        <f t="shared" si="0"/>
        <v>0</v>
      </c>
      <c r="AM9" s="124"/>
      <c r="AO9" s="29">
        <f t="shared" si="9"/>
        <v>40</v>
      </c>
      <c r="AP9" s="14">
        <f>MAX(求节点($C$74:$C$79,D$74:D$79,求节点($C$4:$C$12,D$4:D$12,基础状态预期!K21)),AP8)</f>
        <v>0</v>
      </c>
      <c r="AQ9" s="14">
        <f>MAX(求节点($C$74:$C$79,E$74:E$79,求节点($C$4:$C$12,E$4:E$12,基础状态预期!L21)),AQ8)</f>
        <v>0</v>
      </c>
      <c r="AR9" s="14">
        <f>MAX(求节点($C$74:$C$79,F$74:F$79,求节点($C$4:$C$12,F$4:F$12,基础状态预期!M21)),AR8)</f>
        <v>0</v>
      </c>
      <c r="AS9" s="14">
        <f>MAX(求节点($C$74:$C$79,G$74:G$79,求节点($C$4:$C$12,G$4:G$12,基础状态预期!N21)),AS8)</f>
        <v>0</v>
      </c>
      <c r="AT9" s="14">
        <f>MAX(求节点($C$74:$C$79,H$74:H$79,求节点($C$4:$C$12,H$4:H$12,基础状态预期!O21)),AT8)</f>
        <v>0</v>
      </c>
      <c r="AU9" s="14">
        <f>MAX(求节点($C$81:$C$86,D$81:D$86,求节点($C$4:$C$12,D$4:D$12,基础状态预期!K21)),AU8)</f>
        <v>0</v>
      </c>
      <c r="AV9" s="14">
        <f>MAX(求节点($C$81:$C$86,E$81:E$86,求节点($C$4:$C$12,E$4:E$12,基础状态预期!L21)),AV8)</f>
        <v>0</v>
      </c>
      <c r="AW9" s="14">
        <f>MAX(求节点($C$81:$C$86,F$81:F$86,求节点($C$4:$C$12,F$4:F$12,基础状态预期!M21)),AW8)</f>
        <v>0</v>
      </c>
      <c r="AX9" s="14">
        <f>MAX(求节点($C$81:$C$86,G$81:G$86,求节点($C$4:$C$12,G$4:G$12,基础状态预期!N21)),AX8)</f>
        <v>0</v>
      </c>
      <c r="AY9" s="14">
        <f>MAX(求节点($C$81:$C$86,H$81:H$86,求节点($C$4:$C$12,H$4:H$12,基础状态预期!O21)),AY8)</f>
        <v>0</v>
      </c>
      <c r="AZ9" s="14">
        <f>MAX(求节点($C$88:$C$93,D$88:D$93,求节点($C$4:$C$12,D$4:D$12,基础状态预期!K21)),AZ8)</f>
        <v>0</v>
      </c>
      <c r="BA9" s="14">
        <f>MAX(求节点($C$88:$C$93,E$88:E$93,求节点($C$4:$C$12,E$4:E$12,基础状态预期!L21)),BA8)</f>
        <v>0</v>
      </c>
      <c r="BB9" s="14">
        <f>MAX(求节点($C$88:$C$93,F$88:F$93,求节点($C$4:$C$12,F$4:F$12,基础状态预期!M21)),BB8)</f>
        <v>0</v>
      </c>
      <c r="BC9" s="14">
        <f>MAX(求节点($C$88:$C$93,G$88:G$93,求节点($C$4:$C$12,G$4:G$12,基础状态预期!N21)),BC8)</f>
        <v>0</v>
      </c>
      <c r="BD9" s="14">
        <f>MAX(求节点($C$88:$C$93,H$88:H$93,求节点($C$4:$C$12,H$4:H$12,基础状态预期!O21)),BD8)</f>
        <v>0</v>
      </c>
      <c r="BE9" s="14">
        <f t="shared" si="1"/>
        <v>0</v>
      </c>
      <c r="BH9" s="29">
        <v>50</v>
      </c>
      <c r="BI9" s="29">
        <f t="shared" si="2"/>
        <v>0</v>
      </c>
      <c r="BJ9" s="29"/>
      <c r="BK9" s="29">
        <f t="shared" si="10"/>
        <v>0</v>
      </c>
    </row>
    <row r="10" spans="2:63" x14ac:dyDescent="0.15">
      <c r="B10" s="170"/>
      <c r="C10" s="29">
        <v>6</v>
      </c>
      <c r="D10" s="29">
        <v>0</v>
      </c>
      <c r="E10" s="29">
        <v>0</v>
      </c>
      <c r="F10" s="29">
        <v>0</v>
      </c>
      <c r="G10" s="29">
        <v>1</v>
      </c>
      <c r="H10" s="29">
        <v>2</v>
      </c>
      <c r="I10" s="29">
        <v>2</v>
      </c>
      <c r="K10" s="124"/>
      <c r="M10" s="16">
        <v>9</v>
      </c>
      <c r="N10" s="29">
        <f>基础状态预期!D22</f>
        <v>43.920692243099523</v>
      </c>
      <c r="O10" s="29">
        <f>IF(基础状态预期!U22="",0,MIN(求节点($C$16:$C$24,D$16:D$24,基础状态预期!K22),求节点($C$28:$C$48,D$28:D$48,基础状态预期!U22)))</f>
        <v>0</v>
      </c>
      <c r="P10" s="29">
        <f>IF(基础状态预期!V22="",0,MIN(求节点($C$16:$C$24,E$16:E$24,基础状态预期!L22),求节点($C$28:$C$48,E$28:E$48,基础状态预期!V22)))</f>
        <v>0</v>
      </c>
      <c r="Q10" s="29">
        <f>IF(基础状态预期!W22="",0,MIN(求节点($C$16:$C$24,F$16:F$24,基础状态预期!M22),求节点($C$28:$C$48,F$28:F$48,基础状态预期!W22)))</f>
        <v>0</v>
      </c>
      <c r="R10" s="29">
        <f>IF(基础状态预期!X22="",0,MIN(求节点($C$16:$C$24,G$16:G$24,基础状态预期!N22),求节点($C$28:$C$48,G$28:G$48,基础状态预期!X22)))</f>
        <v>0</v>
      </c>
      <c r="S10" s="29">
        <f>IF(基础状态预期!Y22="",0,MIN(求节点($C$16:$C$24,H$16:H$24,基础状态预期!O22),求节点($C$28:$C$48,H$28:H$48,基础状态预期!Y22)))</f>
        <v>0</v>
      </c>
      <c r="T10" s="29">
        <f>MAX(SUMPRODUCT(O10:S10,基础状态预期!$F22:$J22)/SUM(基础状态预期!$F22:$J22),T9)</f>
        <v>0</v>
      </c>
      <c r="V10" s="17">
        <v>6</v>
      </c>
      <c r="W10" s="17">
        <f t="shared" si="3"/>
        <v>0</v>
      </c>
      <c r="X10" s="17">
        <f t="shared" si="4"/>
        <v>0</v>
      </c>
      <c r="Y10" s="17">
        <f t="shared" si="5"/>
        <v>0</v>
      </c>
      <c r="Z10" s="17">
        <f t="shared" si="6"/>
        <v>0</v>
      </c>
      <c r="AA10" s="17">
        <f t="shared" si="7"/>
        <v>0</v>
      </c>
      <c r="AC10" s="124"/>
      <c r="AE10" s="29">
        <v>60</v>
      </c>
      <c r="AF10" s="29"/>
      <c r="AG10" s="29">
        <f t="shared" si="8"/>
        <v>2.3294023514124827E-2</v>
      </c>
      <c r="AH10" s="29"/>
      <c r="AI10" s="29">
        <f>(AG10-AG9)*INDEX([2]非r将兵属性验证!$AX$7:$AX$166,$AE10,1)+AI9</f>
        <v>75497941.141369343</v>
      </c>
      <c r="AJ10" s="14">
        <f t="shared" si="0"/>
        <v>75497941.141369343</v>
      </c>
      <c r="AM10" s="124"/>
      <c r="AO10" s="29">
        <f t="shared" si="9"/>
        <v>43.920692243099523</v>
      </c>
      <c r="AP10" s="14">
        <f>MAX(求节点($C$74:$C$79,D$74:D$79,求节点($C$4:$C$12,D$4:D$12,基础状态预期!K22)),AP9)</f>
        <v>0</v>
      </c>
      <c r="AQ10" s="14">
        <f>MAX(求节点($C$74:$C$79,E$74:E$79,求节点($C$4:$C$12,E$4:E$12,基础状态预期!L22)),AQ9)</f>
        <v>0</v>
      </c>
      <c r="AR10" s="14">
        <f>MAX(求节点($C$74:$C$79,F$74:F$79,求节点($C$4:$C$12,F$4:F$12,基础状态预期!M22)),AR9)</f>
        <v>0</v>
      </c>
      <c r="AS10" s="14">
        <f>MAX(求节点($C$74:$C$79,G$74:G$79,求节点($C$4:$C$12,G$4:G$12,基础状态预期!N22)),AS9)</f>
        <v>0</v>
      </c>
      <c r="AT10" s="14">
        <f>MAX(求节点($C$74:$C$79,H$74:H$79,求节点($C$4:$C$12,H$4:H$12,基础状态预期!O22)),AT9)</f>
        <v>0</v>
      </c>
      <c r="AU10" s="14">
        <f>MAX(求节点($C$81:$C$86,D$81:D$86,求节点($C$4:$C$12,D$4:D$12,基础状态预期!K22)),AU9)</f>
        <v>0</v>
      </c>
      <c r="AV10" s="14">
        <f>MAX(求节点($C$81:$C$86,E$81:E$86,求节点($C$4:$C$12,E$4:E$12,基础状态预期!L22)),AV9)</f>
        <v>0</v>
      </c>
      <c r="AW10" s="14">
        <f>MAX(求节点($C$81:$C$86,F$81:F$86,求节点($C$4:$C$12,F$4:F$12,基础状态预期!M22)),AW9)</f>
        <v>0</v>
      </c>
      <c r="AX10" s="14">
        <f>MAX(求节点($C$81:$C$86,G$81:G$86,求节点($C$4:$C$12,G$4:G$12,基础状态预期!N22)),AX9)</f>
        <v>0</v>
      </c>
      <c r="AY10" s="14">
        <f>MAX(求节点($C$81:$C$86,H$81:H$86,求节点($C$4:$C$12,H$4:H$12,基础状态预期!O22)),AY9)</f>
        <v>0</v>
      </c>
      <c r="AZ10" s="14">
        <f>MAX(求节点($C$88:$C$93,D$88:D$93,求节点($C$4:$C$12,D$4:D$12,基础状态预期!K22)),AZ9)</f>
        <v>0</v>
      </c>
      <c r="BA10" s="14">
        <f>MAX(求节点($C$88:$C$93,E$88:E$93,求节点($C$4:$C$12,E$4:E$12,基础状态预期!L22)),BA9)</f>
        <v>0</v>
      </c>
      <c r="BB10" s="14">
        <f>MAX(求节点($C$88:$C$93,F$88:F$93,求节点($C$4:$C$12,F$4:F$12,基础状态预期!M22)),BB9)</f>
        <v>0</v>
      </c>
      <c r="BC10" s="14">
        <f>MAX(求节点($C$88:$C$93,G$88:G$93,求节点($C$4:$C$12,G$4:G$12,基础状态预期!N22)),BC9)</f>
        <v>0</v>
      </c>
      <c r="BD10" s="14">
        <f>MAX(求节点($C$88:$C$93,H$88:H$93,求节点($C$4:$C$12,H$4:H$12,基础状态预期!O22)),BD9)</f>
        <v>0</v>
      </c>
      <c r="BE10" s="14">
        <f t="shared" si="1"/>
        <v>0</v>
      </c>
      <c r="BH10" s="29">
        <v>60</v>
      </c>
      <c r="BI10" s="29">
        <f t="shared" si="2"/>
        <v>620.30655445629736</v>
      </c>
      <c r="BJ10" s="29"/>
      <c r="BK10" s="29">
        <f t="shared" si="10"/>
        <v>620.30655445629736</v>
      </c>
    </row>
    <row r="11" spans="2:63" x14ac:dyDescent="0.15">
      <c r="B11" s="170"/>
      <c r="C11" s="29">
        <v>7</v>
      </c>
      <c r="D11" s="29">
        <v>0</v>
      </c>
      <c r="E11" s="29">
        <v>0</v>
      </c>
      <c r="F11" s="29">
        <v>0</v>
      </c>
      <c r="G11" s="29">
        <v>1</v>
      </c>
      <c r="H11" s="29">
        <v>2</v>
      </c>
      <c r="I11" s="29">
        <v>2</v>
      </c>
      <c r="K11" s="124"/>
      <c r="M11" s="16">
        <v>10</v>
      </c>
      <c r="N11" s="29">
        <f>基础状态预期!D23</f>
        <v>49.533352307096472</v>
      </c>
      <c r="O11" s="29">
        <f>IF(基础状态预期!U23="",0,MIN(求节点($C$16:$C$24,D$16:D$24,基础状态预期!K23),求节点($C$28:$C$48,D$28:D$48,基础状态预期!U23)))</f>
        <v>0</v>
      </c>
      <c r="P11" s="29">
        <f>IF(基础状态预期!V23="",0,MIN(求节点($C$16:$C$24,E$16:E$24,基础状态预期!L23),求节点($C$28:$C$48,E$28:E$48,基础状态预期!V23)))</f>
        <v>0</v>
      </c>
      <c r="Q11" s="29">
        <f>IF(基础状态预期!W23="",0,MIN(求节点($C$16:$C$24,F$16:F$24,基础状态预期!M23),求节点($C$28:$C$48,F$28:F$48,基础状态预期!W23)))</f>
        <v>0</v>
      </c>
      <c r="R11" s="29">
        <f>IF(基础状态预期!X23="",0,MIN(求节点($C$16:$C$24,G$16:G$24,基础状态预期!N23),求节点($C$28:$C$48,G$28:G$48,基础状态预期!X23)))</f>
        <v>0</v>
      </c>
      <c r="S11" s="29">
        <f>IF(基础状态预期!Y23="",0,MIN(求节点($C$16:$C$24,H$16:H$24,基础状态预期!O23),求节点($C$28:$C$48,H$28:H$48,基础状态预期!Y23)))</f>
        <v>0</v>
      </c>
      <c r="T11" s="29">
        <f>MAX(SUMPRODUCT(O11:S11,基础状态预期!$F23:$J23)/SUM(基础状态预期!$F23:$J23),T10)</f>
        <v>0</v>
      </c>
      <c r="V11" s="17">
        <v>7</v>
      </c>
      <c r="W11" s="17">
        <f t="shared" si="3"/>
        <v>0</v>
      </c>
      <c r="X11" s="17">
        <f t="shared" si="4"/>
        <v>0</v>
      </c>
      <c r="Y11" s="17">
        <f t="shared" si="5"/>
        <v>0</v>
      </c>
      <c r="Z11" s="17">
        <f t="shared" si="6"/>
        <v>0</v>
      </c>
      <c r="AA11" s="17">
        <f t="shared" si="7"/>
        <v>0</v>
      </c>
      <c r="AC11" s="124"/>
      <c r="AE11" s="29">
        <v>70</v>
      </c>
      <c r="AF11" s="29"/>
      <c r="AG11" s="29">
        <f t="shared" si="8"/>
        <v>8.5246994135640769E-2</v>
      </c>
      <c r="AH11" s="29"/>
      <c r="AI11" s="29">
        <f>(AG11-AG10)*INDEX([2]非r将兵属性验证!$AX$7:$AX$166,$AE11,1)+AI10</f>
        <v>631043928.93295145</v>
      </c>
      <c r="AJ11" s="14">
        <f t="shared" si="0"/>
        <v>631043928.93295145</v>
      </c>
      <c r="AM11" s="124"/>
      <c r="AO11" s="29">
        <f t="shared" si="9"/>
        <v>49.533352307096472</v>
      </c>
      <c r="AP11" s="14">
        <f>MAX(求节点($C$74:$C$79,D$74:D$79,求节点($C$4:$C$12,D$4:D$12,基础状态预期!K23)),AP10)</f>
        <v>0</v>
      </c>
      <c r="AQ11" s="14">
        <f>MAX(求节点($C$74:$C$79,E$74:E$79,求节点($C$4:$C$12,E$4:E$12,基础状态预期!L23)),AQ10)</f>
        <v>0</v>
      </c>
      <c r="AR11" s="14">
        <f>MAX(求节点($C$74:$C$79,F$74:F$79,求节点($C$4:$C$12,F$4:F$12,基础状态预期!M23)),AR10)</f>
        <v>0</v>
      </c>
      <c r="AS11" s="14">
        <f>MAX(求节点($C$74:$C$79,G$74:G$79,求节点($C$4:$C$12,G$4:G$12,基础状态预期!N23)),AS10)</f>
        <v>0</v>
      </c>
      <c r="AT11" s="14">
        <f>MAX(求节点($C$74:$C$79,H$74:H$79,求节点($C$4:$C$12,H$4:H$12,基础状态预期!O23)),AT10)</f>
        <v>0</v>
      </c>
      <c r="AU11" s="14">
        <f>MAX(求节点($C$81:$C$86,D$81:D$86,求节点($C$4:$C$12,D$4:D$12,基础状态预期!K23)),AU10)</f>
        <v>0</v>
      </c>
      <c r="AV11" s="14">
        <f>MAX(求节点($C$81:$C$86,E$81:E$86,求节点($C$4:$C$12,E$4:E$12,基础状态预期!L23)),AV10)</f>
        <v>0</v>
      </c>
      <c r="AW11" s="14">
        <f>MAX(求节点($C$81:$C$86,F$81:F$86,求节点($C$4:$C$12,F$4:F$12,基础状态预期!M23)),AW10)</f>
        <v>0</v>
      </c>
      <c r="AX11" s="14">
        <f>MAX(求节点($C$81:$C$86,G$81:G$86,求节点($C$4:$C$12,G$4:G$12,基础状态预期!N23)),AX10)</f>
        <v>0</v>
      </c>
      <c r="AY11" s="14">
        <f>MAX(求节点($C$81:$C$86,H$81:H$86,求节点($C$4:$C$12,H$4:H$12,基础状态预期!O23)),AY10)</f>
        <v>0</v>
      </c>
      <c r="AZ11" s="14">
        <f>MAX(求节点($C$88:$C$93,D$88:D$93,求节点($C$4:$C$12,D$4:D$12,基础状态预期!K23)),AZ10)</f>
        <v>0</v>
      </c>
      <c r="BA11" s="14">
        <f>MAX(求节点($C$88:$C$93,E$88:E$93,求节点($C$4:$C$12,E$4:E$12,基础状态预期!L23)),BA10)</f>
        <v>0</v>
      </c>
      <c r="BB11" s="14">
        <f>MAX(求节点($C$88:$C$93,F$88:F$93,求节点($C$4:$C$12,F$4:F$12,基础状态预期!M23)),BB10)</f>
        <v>0</v>
      </c>
      <c r="BC11" s="14">
        <f>MAX(求节点($C$88:$C$93,G$88:G$93,求节点($C$4:$C$12,G$4:G$12,基础状态预期!N23)),BC10)</f>
        <v>0</v>
      </c>
      <c r="BD11" s="14">
        <f>MAX(求节点($C$88:$C$93,H$88:H$93,求节点($C$4:$C$12,H$4:H$12,基础状态预期!O23)),BD10)</f>
        <v>0</v>
      </c>
      <c r="BE11" s="14">
        <f t="shared" si="1"/>
        <v>0</v>
      </c>
      <c r="BH11" s="29">
        <v>70</v>
      </c>
      <c r="BI11" s="29">
        <f t="shared" si="2"/>
        <v>2984.3000590254533</v>
      </c>
      <c r="BJ11" s="29"/>
      <c r="BK11" s="29">
        <f t="shared" si="10"/>
        <v>2984.3000590254533</v>
      </c>
    </row>
    <row r="12" spans="2:63" x14ac:dyDescent="0.15">
      <c r="B12" s="171"/>
      <c r="C12" s="29">
        <v>8</v>
      </c>
      <c r="D12" s="29">
        <v>0</v>
      </c>
      <c r="E12" s="29">
        <v>0</v>
      </c>
      <c r="F12" s="29">
        <v>0</v>
      </c>
      <c r="G12" s="29">
        <v>3</v>
      </c>
      <c r="H12" s="29">
        <v>5</v>
      </c>
      <c r="I12" s="29">
        <v>5</v>
      </c>
      <c r="K12" s="124"/>
      <c r="M12" s="16">
        <v>11</v>
      </c>
      <c r="N12" s="29">
        <f>基础状态预期!D24</f>
        <v>53.567039423670657</v>
      </c>
      <c r="O12" s="29">
        <f>IF(基础状态预期!U24="",0,MIN(求节点($C$16:$C$24,D$16:D$24,基础状态预期!K24),求节点($C$28:$C$48,D$28:D$48,基础状态预期!U24)))</f>
        <v>0</v>
      </c>
      <c r="P12" s="29">
        <f>IF(基础状态预期!V24="",0,MIN(求节点($C$16:$C$24,E$16:E$24,基础状态预期!L24),求节点($C$28:$C$48,E$28:E$48,基础状态预期!V24)))</f>
        <v>0</v>
      </c>
      <c r="Q12" s="29">
        <f>IF(基础状态预期!W24="",0,MIN(求节点($C$16:$C$24,F$16:F$24,基础状态预期!M24),求节点($C$28:$C$48,F$28:F$48,基础状态预期!W24)))</f>
        <v>0</v>
      </c>
      <c r="R12" s="29">
        <f>IF(基础状态预期!X24="",0,MIN(求节点($C$16:$C$24,G$16:G$24,基础状态预期!N24),求节点($C$28:$C$48,G$28:G$48,基础状态预期!X24)))</f>
        <v>0</v>
      </c>
      <c r="S12" s="29">
        <f>IF(基础状态预期!Y24="",0,MIN(求节点($C$16:$C$24,H$16:H$24,基础状态预期!O24),求节点($C$28:$C$48,H$28:H$48,基础状态预期!Y24)))</f>
        <v>0</v>
      </c>
      <c r="T12" s="29">
        <f>MAX(SUMPRODUCT(O12:S12,基础状态预期!$F24:$J24)/SUM(基础状态预期!$F24:$J24),T11)</f>
        <v>0</v>
      </c>
      <c r="V12" s="17">
        <v>8</v>
      </c>
      <c r="W12" s="17">
        <f t="shared" si="3"/>
        <v>0</v>
      </c>
      <c r="X12" s="17">
        <f t="shared" si="4"/>
        <v>0</v>
      </c>
      <c r="Y12" s="17">
        <f t="shared" si="5"/>
        <v>0</v>
      </c>
      <c r="Z12" s="17">
        <f t="shared" si="6"/>
        <v>0</v>
      </c>
      <c r="AA12" s="17">
        <f t="shared" si="7"/>
        <v>0</v>
      </c>
      <c r="AC12" s="124"/>
      <c r="AE12" s="29">
        <v>80</v>
      </c>
      <c r="AF12" s="29"/>
      <c r="AG12" s="29">
        <f t="shared" si="8"/>
        <v>9.0000000000000011E-2</v>
      </c>
      <c r="AH12" s="29"/>
      <c r="AI12" s="29">
        <f>(AG12-AG11)*INDEX([2]非r将兵属性验证!$AX$7:$AX$166,$AE12,1)+AI11</f>
        <v>748186412.95871329</v>
      </c>
      <c r="AJ12" s="14">
        <f t="shared" si="0"/>
        <v>748186412.95871329</v>
      </c>
      <c r="AM12" s="124"/>
      <c r="AO12" s="29">
        <f t="shared" si="9"/>
        <v>53.567039423670657</v>
      </c>
      <c r="AP12" s="14">
        <f>MAX(求节点($C$74:$C$79,D$74:D$79,求节点($C$4:$C$12,D$4:D$12,基础状态预期!K24)),AP11)</f>
        <v>0</v>
      </c>
      <c r="AQ12" s="14">
        <f>MAX(求节点($C$74:$C$79,E$74:E$79,求节点($C$4:$C$12,E$4:E$12,基础状态预期!L24)),AQ11)</f>
        <v>0</v>
      </c>
      <c r="AR12" s="14">
        <f>MAX(求节点($C$74:$C$79,F$74:F$79,求节点($C$4:$C$12,F$4:F$12,基础状态预期!M24)),AR11)</f>
        <v>0</v>
      </c>
      <c r="AS12" s="14">
        <f>MAX(求节点($C$74:$C$79,G$74:G$79,求节点($C$4:$C$12,G$4:G$12,基础状态预期!N24)),AS11)</f>
        <v>0</v>
      </c>
      <c r="AT12" s="14">
        <f>MAX(求节点($C$74:$C$79,H$74:H$79,求节点($C$4:$C$12,H$4:H$12,基础状态预期!O24)),AT11)</f>
        <v>0</v>
      </c>
      <c r="AU12" s="14">
        <f>MAX(求节点($C$81:$C$86,D$81:D$86,求节点($C$4:$C$12,D$4:D$12,基础状态预期!K24)),AU11)</f>
        <v>0</v>
      </c>
      <c r="AV12" s="14">
        <f>MAX(求节点($C$81:$C$86,E$81:E$86,求节点($C$4:$C$12,E$4:E$12,基础状态预期!L24)),AV11)</f>
        <v>0</v>
      </c>
      <c r="AW12" s="14">
        <f>MAX(求节点($C$81:$C$86,F$81:F$86,求节点($C$4:$C$12,F$4:F$12,基础状态预期!M24)),AW11)</f>
        <v>0</v>
      </c>
      <c r="AX12" s="14">
        <f>MAX(求节点($C$81:$C$86,G$81:G$86,求节点($C$4:$C$12,G$4:G$12,基础状态预期!N24)),AX11)</f>
        <v>0</v>
      </c>
      <c r="AY12" s="14">
        <f>MAX(求节点($C$81:$C$86,H$81:H$86,求节点($C$4:$C$12,H$4:H$12,基础状态预期!O24)),AY11)</f>
        <v>0</v>
      </c>
      <c r="AZ12" s="14">
        <f>MAX(求节点($C$88:$C$93,D$88:D$93,求节点($C$4:$C$12,D$4:D$12,基础状态预期!K24)),AZ11)</f>
        <v>0</v>
      </c>
      <c r="BA12" s="14">
        <f>MAX(求节点($C$88:$C$93,E$88:E$93,求节点($C$4:$C$12,E$4:E$12,基础状态预期!L24)),BA11)</f>
        <v>0</v>
      </c>
      <c r="BB12" s="14">
        <f>MAX(求节点($C$88:$C$93,F$88:F$93,求节点($C$4:$C$12,F$4:F$12,基础状态预期!M24)),BB11)</f>
        <v>0</v>
      </c>
      <c r="BC12" s="14">
        <f>MAX(求节点($C$88:$C$93,G$88:G$93,求节点($C$4:$C$12,G$4:G$12,基础状态预期!N24)),BC11)</f>
        <v>0</v>
      </c>
      <c r="BD12" s="14">
        <f>MAX(求节点($C$88:$C$93,H$88:H$93,求节点($C$4:$C$12,H$4:H$12,基础状态预期!O24)),BD11)</f>
        <v>0</v>
      </c>
      <c r="BE12" s="14">
        <f t="shared" si="1"/>
        <v>0</v>
      </c>
      <c r="BH12" s="29">
        <v>80</v>
      </c>
      <c r="BI12" s="29">
        <f t="shared" si="2"/>
        <v>3000</v>
      </c>
      <c r="BJ12" s="29"/>
      <c r="BK12" s="29">
        <f t="shared" si="10"/>
        <v>3000</v>
      </c>
    </row>
    <row r="13" spans="2:63" x14ac:dyDescent="0.15">
      <c r="B13" s="126"/>
      <c r="D13" s="96"/>
      <c r="E13" s="96"/>
      <c r="F13" s="96"/>
      <c r="G13" s="96"/>
      <c r="H13" s="96"/>
      <c r="I13" s="96"/>
      <c r="M13" s="16">
        <v>12</v>
      </c>
      <c r="N13" s="29">
        <f>基础状态预期!D25</f>
        <v>59.300028460644697</v>
      </c>
      <c r="O13" s="29">
        <f>IF(基础状态预期!U25="",0,MIN(求节点($C$16:$C$24,D$16:D$24,基础状态预期!K25),求节点($C$28:$C$48,D$28:D$48,基础状态预期!U25)))</f>
        <v>0</v>
      </c>
      <c r="P13" s="29">
        <f>IF(基础状态预期!V25="",0,MIN(求节点($C$16:$C$24,E$16:E$24,基础状态预期!L25),求节点($C$28:$C$48,E$28:E$48,基础状态预期!V25)))</f>
        <v>0</v>
      </c>
      <c r="Q13" s="29">
        <f>IF(基础状态预期!W25="",0,MIN(求节点($C$16:$C$24,F$16:F$24,基础状态预期!M25),求节点($C$28:$C$48,F$28:F$48,基础状态预期!W25)))</f>
        <v>0</v>
      </c>
      <c r="R13" s="29">
        <f>IF(基础状态预期!X25="",0,MIN(求节点($C$16:$C$24,G$16:G$24,基础状态预期!N25),求节点($C$28:$C$48,G$28:G$48,基础状态预期!X25)))</f>
        <v>2.5046311484074314E-2</v>
      </c>
      <c r="S13" s="29">
        <f>IF(基础状态预期!Y25="",0,MIN(求节点($C$16:$C$24,H$16:H$24,基础状态预期!O25),求节点($C$28:$C$48,H$28:H$48,基础状态预期!Y25)))</f>
        <v>0</v>
      </c>
      <c r="T13" s="29">
        <f>MAX(SUMPRODUCT(O13:S13,基础状态预期!$F25:$J25)/SUM(基础状态预期!$F25:$J25),T12)</f>
        <v>1.6697540989382875E-2</v>
      </c>
      <c r="V13" s="17">
        <v>9</v>
      </c>
      <c r="W13" s="17">
        <f t="shared" si="3"/>
        <v>0</v>
      </c>
      <c r="X13" s="17">
        <f t="shared" si="4"/>
        <v>0</v>
      </c>
      <c r="Y13" s="17">
        <f t="shared" si="5"/>
        <v>0</v>
      </c>
      <c r="Z13" s="17">
        <f t="shared" si="6"/>
        <v>0</v>
      </c>
      <c r="AA13" s="17">
        <f t="shared" si="7"/>
        <v>0</v>
      </c>
      <c r="AE13" s="29">
        <v>90</v>
      </c>
      <c r="AF13" s="29"/>
      <c r="AG13" s="29">
        <f t="shared" si="8"/>
        <v>0.1791189846818691</v>
      </c>
      <c r="AH13" s="29"/>
      <c r="AI13" s="29">
        <f>(AG13-AG12)*INDEX([2]非r将兵属性验证!$AX$7:$AX$166,$AE13,1)+AI12</f>
        <v>5730279594.1836433</v>
      </c>
      <c r="AJ13" s="14">
        <f t="shared" si="0"/>
        <v>5730279594.1836433</v>
      </c>
      <c r="AO13" s="29">
        <f t="shared" si="9"/>
        <v>59.300028460644697</v>
      </c>
      <c r="AP13" s="14">
        <f>MAX(求节点($C$74:$C$79,D$74:D$79,求节点($C$4:$C$12,D$4:D$12,基础状态预期!K25)),AP12)</f>
        <v>0</v>
      </c>
      <c r="AQ13" s="14">
        <f>MAX(求节点($C$74:$C$79,E$74:E$79,求节点($C$4:$C$12,E$4:E$12,基础状态预期!L25)),AQ12)</f>
        <v>0</v>
      </c>
      <c r="AR13" s="14">
        <f>MAX(求节点($C$74:$C$79,F$74:F$79,求节点($C$4:$C$12,F$4:F$12,基础状态预期!M25)),AR12)</f>
        <v>0</v>
      </c>
      <c r="AS13" s="14">
        <f>MAX(求节点($C$74:$C$79,G$74:G$79,求节点($C$4:$C$12,G$4:G$12,基础状态预期!N25)),AS12)</f>
        <v>0.3339508197876575</v>
      </c>
      <c r="AT13" s="14">
        <f>MAX(求节点($C$74:$C$79,H$74:H$79,求节点($C$4:$C$12,H$4:H$12,基础状态预期!O25)),AT12)</f>
        <v>0</v>
      </c>
      <c r="AU13" s="14">
        <f>MAX(求节点($C$81:$C$86,D$81:D$86,求节点($C$4:$C$12,D$4:D$12,基础状态预期!K25)),AU12)</f>
        <v>0</v>
      </c>
      <c r="AV13" s="14">
        <f>MAX(求节点($C$81:$C$86,E$81:E$86,求节点($C$4:$C$12,E$4:E$12,基础状态预期!L25)),AV12)</f>
        <v>0</v>
      </c>
      <c r="AW13" s="14">
        <f>MAX(求节点($C$81:$C$86,F$81:F$86,求节点($C$4:$C$12,F$4:F$12,基础状态预期!M25)),AW12)</f>
        <v>0</v>
      </c>
      <c r="AX13" s="14">
        <f>MAX(求节点($C$81:$C$86,G$81:G$86,求节点($C$4:$C$12,G$4:G$12,基础状态预期!N25)),AX12)</f>
        <v>0</v>
      </c>
      <c r="AY13" s="14">
        <f>MAX(求节点($C$81:$C$86,H$81:H$86,求节点($C$4:$C$12,H$4:H$12,基础状态预期!O25)),AY12)</f>
        <v>0</v>
      </c>
      <c r="AZ13" s="14">
        <f>MAX(求节点($C$88:$C$93,D$88:D$93,求节点($C$4:$C$12,D$4:D$12,基础状态预期!K25)),AZ12)</f>
        <v>0</v>
      </c>
      <c r="BA13" s="14">
        <f>MAX(求节点($C$88:$C$93,E$88:E$93,求节点($C$4:$C$12,E$4:E$12,基础状态预期!L25)),BA12)</f>
        <v>0</v>
      </c>
      <c r="BB13" s="14">
        <f>MAX(求节点($C$88:$C$93,F$88:F$93,求节点($C$4:$C$12,F$4:F$12,基础状态预期!M25)),BB12)</f>
        <v>0</v>
      </c>
      <c r="BC13" s="14">
        <f>MAX(求节点($C$88:$C$93,G$88:G$93,求节点($C$4:$C$12,G$4:G$12,基础状态预期!N25)),BC12)</f>
        <v>0</v>
      </c>
      <c r="BD13" s="14">
        <f>MAX(求节点($C$88:$C$93,H$88:H$93,求节点($C$4:$C$12,H$4:H$12,基础状态预期!O25)),BD12)</f>
        <v>0</v>
      </c>
      <c r="BE13" s="14">
        <f t="shared" si="1"/>
        <v>333.95081978765751</v>
      </c>
      <c r="BH13" s="29">
        <v>90</v>
      </c>
      <c r="BI13" s="29">
        <f t="shared" si="2"/>
        <v>10921.68752727725</v>
      </c>
      <c r="BJ13" s="29"/>
      <c r="BK13" s="29">
        <f t="shared" si="10"/>
        <v>10921.68752727725</v>
      </c>
    </row>
    <row r="14" spans="2:63" x14ac:dyDescent="0.15">
      <c r="B14" s="126"/>
      <c r="D14" s="96"/>
      <c r="E14" s="96"/>
      <c r="F14" s="96"/>
      <c r="G14" s="96"/>
      <c r="H14" s="96"/>
      <c r="I14" s="96"/>
      <c r="M14" s="16">
        <v>13</v>
      </c>
      <c r="N14" s="29">
        <f>基础状态预期!D26</f>
        <v>65.075479910097457</v>
      </c>
      <c r="O14" s="29">
        <f>IF(基础状态预期!U26="",0,MIN(求节点($C$16:$C$24,D$16:D$24,基础状态预期!K26),求节点($C$28:$C$48,D$28:D$48,基础状态预期!U26)))</f>
        <v>0</v>
      </c>
      <c r="P14" s="29">
        <f>IF(基础状态预期!V26="",0,MIN(求节点($C$16:$C$24,E$16:E$24,基础状态预期!L26),求节点($C$28:$C$48,E$28:E$48,基础状态预期!V26)))</f>
        <v>0</v>
      </c>
      <c r="Q14" s="29">
        <f>IF(基础状态预期!W26="",0,MIN(求节点($C$16:$C$24,F$16:F$24,基础状态预期!M26),求节点($C$28:$C$48,F$28:F$48,基础状态预期!W26)))</f>
        <v>0</v>
      </c>
      <c r="R14" s="29">
        <f>IF(基础状态预期!X26="",0,MIN(求节点($C$16:$C$24,G$16:G$24,基础状态预期!N26),求节点($C$28:$C$48,G$28:G$48,基础状态预期!X26)))</f>
        <v>5.2249977976108496E-2</v>
      </c>
      <c r="S14" s="29">
        <f>IF(基础状态预期!Y26="",0,MIN(求节点($C$16:$C$24,H$16:H$24,基础状态预期!O26),求节点($C$28:$C$48,H$28:H$48,基础状态预期!Y26)))</f>
        <v>0.09</v>
      </c>
      <c r="T14" s="29">
        <f>MAX(SUMPRODUCT(O14:S14,基础状态预期!$F26:$J26)/SUM(基础状态预期!$F26:$J26),T13)</f>
        <v>7.112498898805425E-2</v>
      </c>
      <c r="V14" s="17">
        <v>10</v>
      </c>
      <c r="W14" s="17">
        <f t="shared" si="3"/>
        <v>0</v>
      </c>
      <c r="X14" s="17">
        <f t="shared" si="4"/>
        <v>0</v>
      </c>
      <c r="Y14" s="17">
        <f t="shared" si="5"/>
        <v>0</v>
      </c>
      <c r="Z14" s="17">
        <f t="shared" si="6"/>
        <v>0</v>
      </c>
      <c r="AA14" s="17">
        <f t="shared" si="7"/>
        <v>0</v>
      </c>
      <c r="AE14" s="29">
        <v>100</v>
      </c>
      <c r="AF14" s="29"/>
      <c r="AG14" s="29">
        <f t="shared" si="8"/>
        <v>0.34681294838662624</v>
      </c>
      <c r="AH14" s="29"/>
      <c r="AI14" s="29">
        <f>(AG14-AG13)*INDEX([2]非r将兵属性验证!$AX$7:$AX$166,$AE14,1)+AI13</f>
        <v>25570696843.217503</v>
      </c>
      <c r="AJ14" s="14">
        <f t="shared" si="0"/>
        <v>25570696843.217503</v>
      </c>
      <c r="AO14" s="29">
        <f t="shared" si="9"/>
        <v>65.075479910097457</v>
      </c>
      <c r="AP14" s="14">
        <f>MAX(求节点($C$74:$C$79,D$74:D$79,求节点($C$4:$C$12,D$4:D$12,基础状态预期!K26)),AP13)</f>
        <v>0</v>
      </c>
      <c r="AQ14" s="14">
        <f>MAX(求节点($C$74:$C$79,E$74:E$79,求节点($C$4:$C$12,E$4:E$12,基础状态预期!L26)),AQ13)</f>
        <v>0</v>
      </c>
      <c r="AR14" s="14">
        <f>MAX(求节点($C$74:$C$79,F$74:F$79,求节点($C$4:$C$12,F$4:F$12,基础状态预期!M26)),AR13)</f>
        <v>0</v>
      </c>
      <c r="AS14" s="14">
        <f>MAX(求节点($C$74:$C$79,G$74:G$79,求节点($C$4:$C$12,G$4:G$12,基础状态预期!N26)),AS13)</f>
        <v>0.69666637301477996</v>
      </c>
      <c r="AT14" s="14">
        <f>MAX(求节点($C$74:$C$79,H$74:H$79,求节点($C$4:$C$12,H$4:H$12,基础状态预期!O26)),AT13)</f>
        <v>2</v>
      </c>
      <c r="AU14" s="14">
        <f>MAX(求节点($C$81:$C$86,D$81:D$86,求节点($C$4:$C$12,D$4:D$12,基础状态预期!K26)),AU13)</f>
        <v>0</v>
      </c>
      <c r="AV14" s="14">
        <f>MAX(求节点($C$81:$C$86,E$81:E$86,求节点($C$4:$C$12,E$4:E$12,基础状态预期!L26)),AV13)</f>
        <v>0</v>
      </c>
      <c r="AW14" s="14">
        <f>MAX(求节点($C$81:$C$86,F$81:F$86,求节点($C$4:$C$12,F$4:F$12,基础状态预期!M26)),AW13)</f>
        <v>0</v>
      </c>
      <c r="AX14" s="14">
        <f>MAX(求节点($C$81:$C$86,G$81:G$86,求节点($C$4:$C$12,G$4:G$12,基础状态预期!N26)),AX13)</f>
        <v>0</v>
      </c>
      <c r="AY14" s="14">
        <f>MAX(求节点($C$81:$C$86,H$81:H$86,求节点($C$4:$C$12,H$4:H$12,基础状态预期!O26)),AY13)</f>
        <v>0</v>
      </c>
      <c r="AZ14" s="14">
        <f>MAX(求节点($C$88:$C$93,D$88:D$93,求节点($C$4:$C$12,D$4:D$12,基础状态预期!K26)),AZ13)</f>
        <v>0</v>
      </c>
      <c r="BA14" s="14">
        <f>MAX(求节点($C$88:$C$93,E$88:E$93,求节点($C$4:$C$12,E$4:E$12,基础状态预期!L26)),BA13)</f>
        <v>0</v>
      </c>
      <c r="BB14" s="14">
        <f>MAX(求节点($C$88:$C$93,F$88:F$93,求节点($C$4:$C$12,F$4:F$12,基础状态预期!M26)),BB13)</f>
        <v>0</v>
      </c>
      <c r="BC14" s="14">
        <f>MAX(求节点($C$88:$C$93,G$88:G$93,求节点($C$4:$C$12,G$4:G$12,基础状态预期!N26)),BC13)</f>
        <v>0</v>
      </c>
      <c r="BD14" s="14">
        <f>MAX(求节点($C$88:$C$93,H$88:H$93,求节点($C$4:$C$12,H$4:H$12,基础状态预期!O26)),BD13)</f>
        <v>0</v>
      </c>
      <c r="BE14" s="14">
        <f t="shared" si="1"/>
        <v>2696.6663730147798</v>
      </c>
      <c r="BH14" s="29">
        <v>100</v>
      </c>
      <c r="BI14" s="29">
        <f t="shared" si="2"/>
        <v>201017.17775816924</v>
      </c>
      <c r="BJ14" s="29"/>
      <c r="BK14" s="29">
        <f t="shared" si="10"/>
        <v>201017.17775816924</v>
      </c>
    </row>
    <row r="15" spans="2:63" ht="11.25" customHeight="1" x14ac:dyDescent="0.15">
      <c r="B15" s="169" t="s">
        <v>663</v>
      </c>
      <c r="C15" s="29" t="s">
        <v>175</v>
      </c>
      <c r="D15" s="29" t="s">
        <v>3</v>
      </c>
      <c r="E15" s="29" t="s">
        <v>1</v>
      </c>
      <c r="F15" s="29" t="s">
        <v>2</v>
      </c>
      <c r="G15" s="29" t="s">
        <v>0</v>
      </c>
      <c r="H15" s="29" t="s">
        <v>545</v>
      </c>
      <c r="I15" s="29" t="s">
        <v>30</v>
      </c>
      <c r="M15" s="16">
        <v>14</v>
      </c>
      <c r="N15" s="29">
        <f>基础状态预期!D27</f>
        <v>69.18336653741882</v>
      </c>
      <c r="O15" s="29">
        <f>IF(基础状态预期!U27="",0,MIN(求节点($C$16:$C$24,D$16:D$24,基础状态预期!K27),求节点($C$28:$C$48,D$28:D$48,基础状态预期!U27)))</f>
        <v>0</v>
      </c>
      <c r="P15" s="29">
        <f>IF(基础状态预期!V27="",0,MIN(求节点($C$16:$C$24,E$16:E$24,基础状态预期!L27),求节点($C$28:$C$48,E$28:E$48,基础状态预期!V27)))</f>
        <v>0</v>
      </c>
      <c r="Q15" s="29">
        <f>IF(基础状态预期!W27="",0,MIN(求节点($C$16:$C$24,F$16:F$24,基础状态预期!M27),求节点($C$28:$C$48,F$28:F$48,基础状态预期!W27)))</f>
        <v>0</v>
      </c>
      <c r="R15" s="29">
        <f>IF(基础状态预期!X27="",0,MIN(求节点($C$16:$C$24,G$16:G$24,基础状态预期!N27),求节点($C$28:$C$48,G$28:G$48,基础状态预期!X27)))</f>
        <v>7.3417776232619164E-2</v>
      </c>
      <c r="S15" s="29">
        <f>IF(基础状态预期!Y27="",0,MIN(求节点($C$16:$C$24,H$16:H$24,基础状态预期!O27),求节点($C$28:$C$48,H$28:H$48,基础状态预期!Y27)))</f>
        <v>0.09</v>
      </c>
      <c r="T15" s="29">
        <f>MAX(SUMPRODUCT(O15:S15,基础状态预期!$F27:$J27)/SUM(基础状态预期!$F27:$J27),T14)</f>
        <v>8.4472592077539724E-2</v>
      </c>
      <c r="V15" s="17">
        <v>11</v>
      </c>
      <c r="W15" s="17">
        <f t="shared" si="3"/>
        <v>0</v>
      </c>
      <c r="X15" s="17">
        <f t="shared" si="4"/>
        <v>0</v>
      </c>
      <c r="Y15" s="17">
        <f t="shared" si="5"/>
        <v>0</v>
      </c>
      <c r="Z15" s="17">
        <f t="shared" si="6"/>
        <v>0</v>
      </c>
      <c r="AA15" s="17">
        <f t="shared" si="7"/>
        <v>0</v>
      </c>
      <c r="AE15" s="29">
        <v>110</v>
      </c>
      <c r="AF15" s="29"/>
      <c r="AG15" s="29">
        <f t="shared" si="8"/>
        <v>0.45</v>
      </c>
      <c r="AH15" s="29"/>
      <c r="AI15" s="29">
        <f>(AG15-AG14)*INDEX([2]非r将兵属性验证!$AX$7:$AX$166,$AE15,1)+AI14</f>
        <v>47126188720.999962</v>
      </c>
      <c r="AJ15" s="14">
        <f t="shared" ref="AJ15:AJ20" si="11">SUM(AH15:AI15)</f>
        <v>47126188720.999962</v>
      </c>
      <c r="AO15" s="29">
        <f t="shared" si="9"/>
        <v>69.18336653741882</v>
      </c>
      <c r="AP15" s="14">
        <f>MAX(求节点($C$74:$C$79,D$74:D$79,求节点($C$4:$C$12,D$4:D$12,基础状态预期!K27)),AP14)</f>
        <v>0</v>
      </c>
      <c r="AQ15" s="14">
        <f>MAX(求节点($C$74:$C$79,E$74:E$79,求节点($C$4:$C$12,E$4:E$12,基础状态预期!L27)),AQ14)</f>
        <v>0</v>
      </c>
      <c r="AR15" s="14">
        <f>MAX(求节点($C$74:$C$79,F$74:F$79,求节点($C$4:$C$12,F$4:F$12,基础状态预期!M27)),AR14)</f>
        <v>0</v>
      </c>
      <c r="AS15" s="14">
        <f>MAX(求节点($C$74:$C$79,G$74:G$79,求节点($C$4:$C$12,G$4:G$12,基础状态预期!N27)),AS14)</f>
        <v>0.97890368310158893</v>
      </c>
      <c r="AT15" s="14">
        <f>MAX(求节点($C$74:$C$79,H$74:H$79,求节点($C$4:$C$12,H$4:H$12,基础状态预期!O27)),AT14)</f>
        <v>2</v>
      </c>
      <c r="AU15" s="14">
        <f>MAX(求节点($C$81:$C$86,D$81:D$86,求节点($C$4:$C$12,D$4:D$12,基础状态预期!K27)),AU14)</f>
        <v>0</v>
      </c>
      <c r="AV15" s="14">
        <f>MAX(求节点($C$81:$C$86,E$81:E$86,求节点($C$4:$C$12,E$4:E$12,基础状态预期!L27)),AV14)</f>
        <v>0</v>
      </c>
      <c r="AW15" s="14">
        <f>MAX(求节点($C$81:$C$86,F$81:F$86,求节点($C$4:$C$12,F$4:F$12,基础状态预期!M27)),AW14)</f>
        <v>0</v>
      </c>
      <c r="AX15" s="14">
        <f>MAX(求节点($C$81:$C$86,G$81:G$86,求节点($C$4:$C$12,G$4:G$12,基础状态预期!N27)),AX14)</f>
        <v>0</v>
      </c>
      <c r="AY15" s="14">
        <f>MAX(求节点($C$81:$C$86,H$81:H$86,求节点($C$4:$C$12,H$4:H$12,基础状态预期!O27)),AY14)</f>
        <v>0</v>
      </c>
      <c r="AZ15" s="14">
        <f>MAX(求节点($C$88:$C$93,D$88:D$93,求节点($C$4:$C$12,D$4:D$12,基础状态预期!K27)),AZ14)</f>
        <v>0</v>
      </c>
      <c r="BA15" s="14">
        <f>MAX(求节点($C$88:$C$93,E$88:E$93,求节点($C$4:$C$12,E$4:E$12,基础状态预期!L27)),BA14)</f>
        <v>0</v>
      </c>
      <c r="BB15" s="14">
        <f>MAX(求节点($C$88:$C$93,F$88:F$93,求节点($C$4:$C$12,F$4:F$12,基础状态预期!M27)),BB14)</f>
        <v>0</v>
      </c>
      <c r="BC15" s="14">
        <f>MAX(求节点($C$88:$C$93,G$88:G$93,求节点($C$4:$C$12,G$4:G$12,基础状态预期!N27)),BC14)</f>
        <v>0</v>
      </c>
      <c r="BD15" s="14">
        <f>MAX(求节点($C$88:$C$93,H$88:H$93,求节点($C$4:$C$12,H$4:H$12,基础状态预期!O27)),BD14)</f>
        <v>0</v>
      </c>
      <c r="BE15" s="14">
        <f t="shared" si="1"/>
        <v>2978.9036831015887</v>
      </c>
      <c r="BH15" s="29">
        <v>110</v>
      </c>
      <c r="BI15" s="29">
        <f t="shared" si="2"/>
        <v>395000</v>
      </c>
      <c r="BJ15" s="29"/>
      <c r="BK15" s="29">
        <f t="shared" ref="BK15:BK20" si="12">SUM(BI15:BJ15)</f>
        <v>395000</v>
      </c>
    </row>
    <row r="16" spans="2:63" x14ac:dyDescent="0.15">
      <c r="B16" s="170"/>
      <c r="C16" s="29">
        <v>0</v>
      </c>
      <c r="D16" s="95">
        <v>0</v>
      </c>
      <c r="E16" s="95">
        <v>0</v>
      </c>
      <c r="F16" s="95">
        <v>0</v>
      </c>
      <c r="G16" s="95">
        <v>0</v>
      </c>
      <c r="H16" s="95">
        <v>0</v>
      </c>
      <c r="I16" s="95">
        <v>0</v>
      </c>
      <c r="J16" s="96"/>
      <c r="M16" s="16">
        <v>15</v>
      </c>
      <c r="N16" s="29">
        <f>基础状态预期!D28</f>
        <v>72.375871759353331</v>
      </c>
      <c r="O16" s="29">
        <f>IF(基础状态预期!U28="",0,MIN(求节点($C$16:$C$24,D$16:D$24,基础状态预期!K28),求节点($C$28:$C$48,D$28:D$48,基础状态预期!U28)))</f>
        <v>0</v>
      </c>
      <c r="P16" s="29">
        <f>IF(基础状态预期!V28="",0,MIN(求节点($C$16:$C$24,E$16:E$24,基础状态预期!L28),求节点($C$28:$C$48,E$28:E$48,基础状态预期!V28)))</f>
        <v>0</v>
      </c>
      <c r="Q16" s="29">
        <f>IF(基础状态预期!W28="",0,MIN(求节点($C$16:$C$24,F$16:F$24,基础状态预期!M28),求节点($C$28:$C$48,F$28:F$48,基础状态预期!W28)))</f>
        <v>0</v>
      </c>
      <c r="R16" s="29">
        <f>IF(基础状态预期!X28="",0,MIN(求节点($C$16:$C$24,G$16:G$24,基础状态预期!N28),求节点($C$28:$C$48,G$28:G$48,基础状态预期!X28)))</f>
        <v>7.4999999999999997E-2</v>
      </c>
      <c r="S16" s="29">
        <f>IF(基础状态预期!Y28="",0,MIN(求节点($C$16:$C$24,H$16:H$24,基础状态预期!O28),求节点($C$28:$C$48,H$28:H$48,基础状态预期!Y28)))</f>
        <v>0.09</v>
      </c>
      <c r="T16" s="29">
        <f>MAX(SUMPRODUCT(O16:S16,基础状态预期!$F28:$J28)/SUM(基础状态预期!$F28:$J28),T15)</f>
        <v>8.7499999999999981E-2</v>
      </c>
      <c r="V16" s="17">
        <v>12</v>
      </c>
      <c r="W16" s="17">
        <f t="shared" si="3"/>
        <v>0</v>
      </c>
      <c r="X16" s="17">
        <f t="shared" si="4"/>
        <v>0</v>
      </c>
      <c r="Y16" s="17">
        <f t="shared" si="5"/>
        <v>0</v>
      </c>
      <c r="Z16" s="17">
        <f t="shared" si="6"/>
        <v>0</v>
      </c>
      <c r="AA16" s="17">
        <f t="shared" si="7"/>
        <v>0</v>
      </c>
      <c r="AE16" s="29">
        <v>120</v>
      </c>
      <c r="AF16" s="29"/>
      <c r="AG16" s="29">
        <f t="shared" si="8"/>
        <v>0.45</v>
      </c>
      <c r="AH16" s="29"/>
      <c r="AI16" s="29">
        <f>(AG16-AG15)*INDEX([2]非r将兵属性验证!$AX$7:$AX$166,$AE16,1)+AI15</f>
        <v>47126188720.999962</v>
      </c>
      <c r="AJ16" s="14">
        <f t="shared" si="11"/>
        <v>47126188720.999962</v>
      </c>
      <c r="AO16" s="29">
        <f t="shared" si="9"/>
        <v>72.375871759353331</v>
      </c>
      <c r="AP16" s="14">
        <f>MAX(求节点($C$74:$C$79,D$74:D$79,求节点($C$4:$C$12,D$4:D$12,基础状态预期!K28)),AP15)</f>
        <v>0</v>
      </c>
      <c r="AQ16" s="14">
        <f>MAX(求节点($C$74:$C$79,E$74:E$79,求节点($C$4:$C$12,E$4:E$12,基础状态预期!L28)),AQ15)</f>
        <v>0</v>
      </c>
      <c r="AR16" s="14">
        <f>MAX(求节点($C$74:$C$79,F$74:F$79,求节点($C$4:$C$12,F$4:F$12,基础状态预期!M28)),AR15)</f>
        <v>0</v>
      </c>
      <c r="AS16" s="14">
        <f>MAX(求节点($C$74:$C$79,G$74:G$79,求节点($C$4:$C$12,G$4:G$12,基础状态预期!N28)),AS15)</f>
        <v>1</v>
      </c>
      <c r="AT16" s="14">
        <f>MAX(求节点($C$74:$C$79,H$74:H$79,求节点($C$4:$C$12,H$4:H$12,基础状态预期!O28)),AT15)</f>
        <v>2</v>
      </c>
      <c r="AU16" s="14">
        <f>MAX(求节点($C$81:$C$86,D$81:D$86,求节点($C$4:$C$12,D$4:D$12,基础状态预期!K28)),AU15)</f>
        <v>0</v>
      </c>
      <c r="AV16" s="14">
        <f>MAX(求节点($C$81:$C$86,E$81:E$86,求节点($C$4:$C$12,E$4:E$12,基础状态预期!L28)),AV15)</f>
        <v>0</v>
      </c>
      <c r="AW16" s="14">
        <f>MAX(求节点($C$81:$C$86,F$81:F$86,求节点($C$4:$C$12,F$4:F$12,基础状态预期!M28)),AW15)</f>
        <v>0</v>
      </c>
      <c r="AX16" s="14">
        <f>MAX(求节点($C$81:$C$86,G$81:G$86,求节点($C$4:$C$12,G$4:G$12,基础状态预期!N28)),AX15)</f>
        <v>0</v>
      </c>
      <c r="AY16" s="14">
        <f>MAX(求节点($C$81:$C$86,H$81:H$86,求节点($C$4:$C$12,H$4:H$12,基础状态预期!O28)),AY15)</f>
        <v>0</v>
      </c>
      <c r="AZ16" s="14">
        <f>MAX(求节点($C$88:$C$93,D$88:D$93,求节点($C$4:$C$12,D$4:D$12,基础状态预期!K28)),AZ15)</f>
        <v>0</v>
      </c>
      <c r="BA16" s="14">
        <f>MAX(求节点($C$88:$C$93,E$88:E$93,求节点($C$4:$C$12,E$4:E$12,基础状态预期!L28)),BA15)</f>
        <v>0</v>
      </c>
      <c r="BB16" s="14">
        <f>MAX(求节点($C$88:$C$93,F$88:F$93,求节点($C$4:$C$12,F$4:F$12,基础状态预期!M28)),BB15)</f>
        <v>0</v>
      </c>
      <c r="BC16" s="14">
        <f>MAX(求节点($C$88:$C$93,G$88:G$93,求节点($C$4:$C$12,G$4:G$12,基础状态预期!N28)),BC15)</f>
        <v>0</v>
      </c>
      <c r="BD16" s="14">
        <f>MAX(求节点($C$88:$C$93,H$88:H$93,求节点($C$4:$C$12,H$4:H$12,基础状态预期!O28)),BD15)</f>
        <v>0</v>
      </c>
      <c r="BE16" s="14">
        <f t="shared" si="1"/>
        <v>3000</v>
      </c>
      <c r="BH16" s="29">
        <v>120</v>
      </c>
      <c r="BI16" s="29">
        <f t="shared" si="2"/>
        <v>395000</v>
      </c>
      <c r="BJ16" s="29"/>
      <c r="BK16" s="29">
        <f t="shared" si="12"/>
        <v>395000</v>
      </c>
    </row>
    <row r="17" spans="2:63" x14ac:dyDescent="0.15">
      <c r="B17" s="170"/>
      <c r="C17" s="29">
        <v>1</v>
      </c>
      <c r="D17" s="95">
        <v>0</v>
      </c>
      <c r="E17" s="95">
        <v>0</v>
      </c>
      <c r="F17" s="95">
        <v>0</v>
      </c>
      <c r="G17" s="95">
        <v>0</v>
      </c>
      <c r="H17" s="95">
        <v>0</v>
      </c>
      <c r="I17" s="95">
        <v>0</v>
      </c>
      <c r="J17" s="96"/>
      <c r="M17" s="16">
        <v>16</v>
      </c>
      <c r="N17" s="29">
        <f>基础状态预期!D29</f>
        <v>74.998404927577795</v>
      </c>
      <c r="O17" s="29">
        <f>IF(基础状态预期!U29="",0,MIN(求节点($C$16:$C$24,D$16:D$24,基础状态预期!K29),求节点($C$28:$C$48,D$28:D$48,基础状态预期!U29)))</f>
        <v>0</v>
      </c>
      <c r="P17" s="29">
        <f>IF(基础状态预期!V29="",0,MIN(求节点($C$16:$C$24,E$16:E$24,基础状态预期!L29),求节点($C$28:$C$48,E$28:E$48,基础状态预期!V29)))</f>
        <v>0</v>
      </c>
      <c r="Q17" s="29">
        <f>IF(基础状态预期!W29="",0,MIN(求节点($C$16:$C$24,F$16:F$24,基础状态预期!M29),求节点($C$28:$C$48,F$28:F$48,基础状态预期!W29)))</f>
        <v>0</v>
      </c>
      <c r="R17" s="29">
        <f>IF(基础状态预期!X29="",0,MIN(求节点($C$16:$C$24,G$16:G$24,基础状态预期!N29),求节点($C$28:$C$48,G$28:G$48,基础状态预期!X29)))</f>
        <v>7.4999999999999997E-2</v>
      </c>
      <c r="S17" s="29">
        <f>IF(基础状态预期!Y29="",0,MIN(求节点($C$16:$C$24,H$16:H$24,基础状态预期!O29),求节点($C$28:$C$48,H$28:H$48,基础状态预期!Y29)))</f>
        <v>0.09</v>
      </c>
      <c r="T17" s="29">
        <f>MAX(SUMPRODUCT(O17:S17,基础状态预期!$F29:$J29)/SUM(基础状态预期!$F29:$J29),T16)</f>
        <v>8.8749999999999996E-2</v>
      </c>
      <c r="V17" s="17">
        <v>13</v>
      </c>
      <c r="W17" s="17">
        <f t="shared" si="3"/>
        <v>0</v>
      </c>
      <c r="X17" s="17">
        <f t="shared" si="4"/>
        <v>0</v>
      </c>
      <c r="Y17" s="17">
        <f t="shared" si="5"/>
        <v>0</v>
      </c>
      <c r="Z17" s="17">
        <f t="shared" si="6"/>
        <v>0</v>
      </c>
      <c r="AA17" s="17">
        <f t="shared" si="7"/>
        <v>0</v>
      </c>
      <c r="AE17" s="29">
        <v>130</v>
      </c>
      <c r="AF17" s="29"/>
      <c r="AG17" s="29">
        <f t="shared" si="8"/>
        <v>0.45</v>
      </c>
      <c r="AH17" s="29"/>
      <c r="AI17" s="29">
        <f>(AG17-AG16)*INDEX([2]非r将兵属性验证!$AX$7:$AX$166,$AE17,1)+AI16</f>
        <v>47126188720.999962</v>
      </c>
      <c r="AJ17" s="14">
        <f t="shared" si="11"/>
        <v>47126188720.999962</v>
      </c>
      <c r="AO17" s="29">
        <f t="shared" si="9"/>
        <v>74.998404927577795</v>
      </c>
      <c r="AP17" s="14">
        <f>MAX(求节点($C$74:$C$79,D$74:D$79,求节点($C$4:$C$12,D$4:D$12,基础状态预期!K29)),AP16)</f>
        <v>0</v>
      </c>
      <c r="AQ17" s="14">
        <f>MAX(求节点($C$74:$C$79,E$74:E$79,求节点($C$4:$C$12,E$4:E$12,基础状态预期!L29)),AQ16)</f>
        <v>0</v>
      </c>
      <c r="AR17" s="14">
        <f>MAX(求节点($C$74:$C$79,F$74:F$79,求节点($C$4:$C$12,F$4:F$12,基础状态预期!M29)),AR16)</f>
        <v>0</v>
      </c>
      <c r="AS17" s="14">
        <f>MAX(求节点($C$74:$C$79,G$74:G$79,求节点($C$4:$C$12,G$4:G$12,基础状态预期!N29)),AS16)</f>
        <v>1</v>
      </c>
      <c r="AT17" s="14">
        <f>MAX(求节点($C$74:$C$79,H$74:H$79,求节点($C$4:$C$12,H$4:H$12,基础状态预期!O29)),AT16)</f>
        <v>2</v>
      </c>
      <c r="AU17" s="14">
        <f>MAX(求节点($C$81:$C$86,D$81:D$86,求节点($C$4:$C$12,D$4:D$12,基础状态预期!K29)),AU16)</f>
        <v>0</v>
      </c>
      <c r="AV17" s="14">
        <f>MAX(求节点($C$81:$C$86,E$81:E$86,求节点($C$4:$C$12,E$4:E$12,基础状态预期!L29)),AV16)</f>
        <v>0</v>
      </c>
      <c r="AW17" s="14">
        <f>MAX(求节点($C$81:$C$86,F$81:F$86,求节点($C$4:$C$12,F$4:F$12,基础状态预期!M29)),AW16)</f>
        <v>0</v>
      </c>
      <c r="AX17" s="14">
        <f>MAX(求节点($C$81:$C$86,G$81:G$86,求节点($C$4:$C$12,G$4:G$12,基础状态预期!N29)),AX16)</f>
        <v>0</v>
      </c>
      <c r="AY17" s="14">
        <f>MAX(求节点($C$81:$C$86,H$81:H$86,求节点($C$4:$C$12,H$4:H$12,基础状态预期!O29)),AY16)</f>
        <v>0</v>
      </c>
      <c r="AZ17" s="14">
        <f>MAX(求节点($C$88:$C$93,D$88:D$93,求节点($C$4:$C$12,D$4:D$12,基础状态预期!K29)),AZ16)</f>
        <v>0</v>
      </c>
      <c r="BA17" s="14">
        <f>MAX(求节点($C$88:$C$93,E$88:E$93,求节点($C$4:$C$12,E$4:E$12,基础状态预期!L29)),BA16)</f>
        <v>0</v>
      </c>
      <c r="BB17" s="14">
        <f>MAX(求节点($C$88:$C$93,F$88:F$93,求节点($C$4:$C$12,F$4:F$12,基础状态预期!M29)),BB16)</f>
        <v>0</v>
      </c>
      <c r="BC17" s="14">
        <f>MAX(求节点($C$88:$C$93,G$88:G$93,求节点($C$4:$C$12,G$4:G$12,基础状态预期!N29)),BC16)</f>
        <v>0</v>
      </c>
      <c r="BD17" s="14">
        <f>MAX(求节点($C$88:$C$93,H$88:H$93,求节点($C$4:$C$12,H$4:H$12,基础状态预期!O29)),BD16)</f>
        <v>0</v>
      </c>
      <c r="BE17" s="14">
        <f t="shared" si="1"/>
        <v>3000</v>
      </c>
      <c r="BH17" s="29">
        <v>130</v>
      </c>
      <c r="BI17" s="29">
        <f t="shared" si="2"/>
        <v>395000</v>
      </c>
      <c r="BJ17" s="29"/>
      <c r="BK17" s="29">
        <f t="shared" si="12"/>
        <v>395000</v>
      </c>
    </row>
    <row r="18" spans="2:63" x14ac:dyDescent="0.15">
      <c r="B18" s="170"/>
      <c r="C18" s="29">
        <v>2</v>
      </c>
      <c r="D18" s="95">
        <v>0</v>
      </c>
      <c r="E18" s="95">
        <v>0</v>
      </c>
      <c r="F18" s="95">
        <v>0</v>
      </c>
      <c r="G18" s="95">
        <v>0</v>
      </c>
      <c r="H18" s="95">
        <v>0.09</v>
      </c>
      <c r="I18" s="95">
        <v>0.12</v>
      </c>
      <c r="J18" s="96"/>
      <c r="M18" s="16">
        <v>17</v>
      </c>
      <c r="N18" s="29">
        <f>基础状态预期!D30</f>
        <v>77.875308029777003</v>
      </c>
      <c r="O18" s="29">
        <f>IF(基础状态预期!U30="",0,MIN(求节点($C$16:$C$24,D$16:D$24,基础状态预期!K30),求节点($C$28:$C$48,D$28:D$48,基础状态预期!U30)))</f>
        <v>0</v>
      </c>
      <c r="P18" s="29">
        <f>IF(基础状态预期!V30="",0,MIN(求节点($C$16:$C$24,E$16:E$24,基础状态预期!L30),求节点($C$28:$C$48,E$28:E$48,基础状态预期!V30)))</f>
        <v>0</v>
      </c>
      <c r="Q18" s="29">
        <f>IF(基础状态预期!W30="",0,MIN(求节点($C$16:$C$24,F$16:F$24,基础状态预期!M30),求节点($C$28:$C$48,F$28:F$48,基础状态预期!W30)))</f>
        <v>0</v>
      </c>
      <c r="R18" s="29">
        <f>IF(基础状态预期!X30="",0,MIN(求节点($C$16:$C$24,G$16:G$24,基础状态预期!N30),求节点($C$28:$C$48,G$28:G$48,基础状态预期!X30)))</f>
        <v>0</v>
      </c>
      <c r="S18" s="29">
        <f>IF(基础状态预期!Y30="",0,MIN(求节点($C$16:$C$24,H$16:H$24,基础状态预期!O30),求节点($C$28:$C$48,H$28:H$48,基础状态预期!Y30)))</f>
        <v>0.09</v>
      </c>
      <c r="T18" s="29">
        <f>MAX(SUMPRODUCT(O18:S18,基础状态预期!$F30:$J30)/SUM(基础状态预期!$F30:$J30),T17)</f>
        <v>9.0000000000000011E-2</v>
      </c>
      <c r="V18" s="17">
        <v>14</v>
      </c>
      <c r="W18" s="17">
        <f t="shared" si="3"/>
        <v>0</v>
      </c>
      <c r="X18" s="17">
        <f t="shared" si="4"/>
        <v>0</v>
      </c>
      <c r="Y18" s="17">
        <f t="shared" si="5"/>
        <v>0</v>
      </c>
      <c r="Z18" s="17">
        <f t="shared" si="6"/>
        <v>0</v>
      </c>
      <c r="AA18" s="17">
        <f t="shared" si="7"/>
        <v>0</v>
      </c>
      <c r="AE18" s="29">
        <v>140</v>
      </c>
      <c r="AF18" s="29"/>
      <c r="AG18" s="29">
        <f t="shared" si="8"/>
        <v>0.45</v>
      </c>
      <c r="AH18" s="29"/>
      <c r="AI18" s="29">
        <f>(AG18-AG17)*INDEX([2]非r将兵属性验证!$AX$7:$AX$166,$AE18,1)+AI17</f>
        <v>47126188720.999962</v>
      </c>
      <c r="AJ18" s="14">
        <f t="shared" si="11"/>
        <v>47126188720.999962</v>
      </c>
      <c r="AO18" s="29">
        <f t="shared" si="9"/>
        <v>77.875308029777003</v>
      </c>
      <c r="AP18" s="14">
        <f>MAX(求节点($C$74:$C$79,D$74:D$79,求节点($C$4:$C$12,D$4:D$12,基础状态预期!K30)),AP17)</f>
        <v>0</v>
      </c>
      <c r="AQ18" s="14">
        <f>MAX(求节点($C$74:$C$79,E$74:E$79,求节点($C$4:$C$12,E$4:E$12,基础状态预期!L30)),AQ17)</f>
        <v>0</v>
      </c>
      <c r="AR18" s="14">
        <f>MAX(求节点($C$74:$C$79,F$74:F$79,求节点($C$4:$C$12,F$4:F$12,基础状态预期!M30)),AR17)</f>
        <v>0</v>
      </c>
      <c r="AS18" s="14">
        <f>MAX(求节点($C$74:$C$79,G$74:G$79,求节点($C$4:$C$12,G$4:G$12,基础状态预期!N30)),AS17)</f>
        <v>1</v>
      </c>
      <c r="AT18" s="14">
        <f>MAX(求节点($C$74:$C$79,H$74:H$79,求节点($C$4:$C$12,H$4:H$12,基础状态预期!O30)),AT17)</f>
        <v>2</v>
      </c>
      <c r="AU18" s="14">
        <f>MAX(求节点($C$81:$C$86,D$81:D$86,求节点($C$4:$C$12,D$4:D$12,基础状态预期!K30)),AU17)</f>
        <v>0</v>
      </c>
      <c r="AV18" s="14">
        <f>MAX(求节点($C$81:$C$86,E$81:E$86,求节点($C$4:$C$12,E$4:E$12,基础状态预期!L30)),AV17)</f>
        <v>0</v>
      </c>
      <c r="AW18" s="14">
        <f>MAX(求节点($C$81:$C$86,F$81:F$86,求节点($C$4:$C$12,F$4:F$12,基础状态预期!M30)),AW17)</f>
        <v>0</v>
      </c>
      <c r="AX18" s="14">
        <f>MAX(求节点($C$81:$C$86,G$81:G$86,求节点($C$4:$C$12,G$4:G$12,基础状态预期!N30)),AX17)</f>
        <v>0</v>
      </c>
      <c r="AY18" s="14">
        <f>MAX(求节点($C$81:$C$86,H$81:H$86,求节点($C$4:$C$12,H$4:H$12,基础状态预期!O30)),AY17)</f>
        <v>0</v>
      </c>
      <c r="AZ18" s="14">
        <f>MAX(求节点($C$88:$C$93,D$88:D$93,求节点($C$4:$C$12,D$4:D$12,基础状态预期!K30)),AZ17)</f>
        <v>0</v>
      </c>
      <c r="BA18" s="14">
        <f>MAX(求节点($C$88:$C$93,E$88:E$93,求节点($C$4:$C$12,E$4:E$12,基础状态预期!L30)),BA17)</f>
        <v>0</v>
      </c>
      <c r="BB18" s="14">
        <f>MAX(求节点($C$88:$C$93,F$88:F$93,求节点($C$4:$C$12,F$4:F$12,基础状态预期!M30)),BB17)</f>
        <v>0</v>
      </c>
      <c r="BC18" s="14">
        <f>MAX(求节点($C$88:$C$93,G$88:G$93,求节点($C$4:$C$12,G$4:G$12,基础状态预期!N30)),BC17)</f>
        <v>0</v>
      </c>
      <c r="BD18" s="14">
        <f>MAX(求节点($C$88:$C$93,H$88:H$93,求节点($C$4:$C$12,H$4:H$12,基础状态预期!O30)),BD17)</f>
        <v>0</v>
      </c>
      <c r="BE18" s="14">
        <f t="shared" si="1"/>
        <v>3000</v>
      </c>
      <c r="BH18" s="29">
        <v>140</v>
      </c>
      <c r="BI18" s="29">
        <f t="shared" si="2"/>
        <v>395000</v>
      </c>
      <c r="BJ18" s="29"/>
      <c r="BK18" s="29">
        <f t="shared" si="12"/>
        <v>395000</v>
      </c>
    </row>
    <row r="19" spans="2:63" x14ac:dyDescent="0.15">
      <c r="B19" s="170"/>
      <c r="C19" s="29">
        <v>3</v>
      </c>
      <c r="D19" s="95">
        <v>0</v>
      </c>
      <c r="E19" s="95">
        <v>0</v>
      </c>
      <c r="F19" s="95">
        <v>0</v>
      </c>
      <c r="G19" s="95">
        <v>0</v>
      </c>
      <c r="H19" s="95">
        <v>0.09</v>
      </c>
      <c r="I19" s="95">
        <v>0.12</v>
      </c>
      <c r="J19" s="96"/>
      <c r="M19" s="16">
        <v>18</v>
      </c>
      <c r="N19" s="29">
        <f>基础状态预期!D31</f>
        <v>80.272123558064706</v>
      </c>
      <c r="O19" s="29">
        <f>IF(基础状态预期!U31="",0,MIN(求节点($C$16:$C$24,D$16:D$24,基础状态预期!K31),求节点($C$28:$C$48,D$28:D$48,基础状态预期!U31)))</f>
        <v>0</v>
      </c>
      <c r="P19" s="29">
        <f>IF(基础状态预期!V31="",0,MIN(求节点($C$16:$C$24,E$16:E$24,基础状态预期!L31),求节点($C$28:$C$48,E$28:E$48,基础状态预期!V31)))</f>
        <v>0</v>
      </c>
      <c r="Q19" s="29">
        <f>IF(基础状态预期!W31="",0,MIN(求节点($C$16:$C$24,F$16:F$24,基础状态预期!M31),求节点($C$28:$C$48,F$28:F$48,基础状态预期!W31)))</f>
        <v>0</v>
      </c>
      <c r="R19" s="29">
        <f>IF(基础状态预期!X31="",0,MIN(求节点($C$16:$C$24,G$16:G$24,基础状态预期!N31),求节点($C$28:$C$48,G$28:G$48,基础状态预期!X31)))</f>
        <v>0</v>
      </c>
      <c r="S19" s="29">
        <f>IF(基础状态预期!Y31="",0,MIN(求节点($C$16:$C$24,H$16:H$24,基础状态预期!O31),求节点($C$28:$C$48,H$28:H$48,基础状态预期!Y31)))</f>
        <v>0.09</v>
      </c>
      <c r="T19" s="29">
        <f>MAX(SUMPRODUCT(O19:S19,基础状态预期!$F31:$J31)/SUM(基础状态预期!$F31:$J31),T18)</f>
        <v>9.0000000000000011E-2</v>
      </c>
      <c r="V19" s="17">
        <v>15</v>
      </c>
      <c r="W19" s="17">
        <f t="shared" si="3"/>
        <v>0</v>
      </c>
      <c r="X19" s="17">
        <f t="shared" si="4"/>
        <v>0</v>
      </c>
      <c r="Y19" s="17">
        <f t="shared" si="5"/>
        <v>0</v>
      </c>
      <c r="Z19" s="17">
        <f t="shared" si="6"/>
        <v>0</v>
      </c>
      <c r="AA19" s="17">
        <f t="shared" si="7"/>
        <v>0</v>
      </c>
      <c r="AE19" s="29">
        <v>150</v>
      </c>
      <c r="AF19" s="29"/>
      <c r="AG19" s="29">
        <f t="shared" si="8"/>
        <v>0.45</v>
      </c>
      <c r="AH19" s="29"/>
      <c r="AI19" s="29">
        <f>(AG19-AG18)*INDEX([2]非r将兵属性验证!$AX$7:$AX$166,$AE19,1)+AI18</f>
        <v>47126188720.999962</v>
      </c>
      <c r="AJ19" s="14">
        <f t="shared" si="11"/>
        <v>47126188720.999962</v>
      </c>
      <c r="AO19" s="29">
        <f t="shared" si="9"/>
        <v>80.272123558064706</v>
      </c>
      <c r="AP19" s="14">
        <f>MAX(求节点($C$74:$C$79,D$74:D$79,求节点($C$4:$C$12,D$4:D$12,基础状态预期!K31)),AP18)</f>
        <v>0</v>
      </c>
      <c r="AQ19" s="14">
        <f>MAX(求节点($C$74:$C$79,E$74:E$79,求节点($C$4:$C$12,E$4:E$12,基础状态预期!L31)),AQ18)</f>
        <v>0</v>
      </c>
      <c r="AR19" s="14">
        <f>MAX(求节点($C$74:$C$79,F$74:F$79,求节点($C$4:$C$12,F$4:F$12,基础状态预期!M31)),AR18)</f>
        <v>0</v>
      </c>
      <c r="AS19" s="14">
        <f>MAX(求节点($C$74:$C$79,G$74:G$79,求节点($C$4:$C$12,G$4:G$12,基础状态预期!N31)),AS18)</f>
        <v>1</v>
      </c>
      <c r="AT19" s="14">
        <f>MAX(求节点($C$74:$C$79,H$74:H$79,求节点($C$4:$C$12,H$4:H$12,基础状态预期!O31)),AT18)</f>
        <v>2</v>
      </c>
      <c r="AU19" s="14">
        <f>MAX(求节点($C$81:$C$86,D$81:D$86,求节点($C$4:$C$12,D$4:D$12,基础状态预期!K31)),AU18)</f>
        <v>0</v>
      </c>
      <c r="AV19" s="14">
        <f>MAX(求节点($C$81:$C$86,E$81:E$86,求节点($C$4:$C$12,E$4:E$12,基础状态预期!L31)),AV18)</f>
        <v>0</v>
      </c>
      <c r="AW19" s="14">
        <f>MAX(求节点($C$81:$C$86,F$81:F$86,求节点($C$4:$C$12,F$4:F$12,基础状态预期!M31)),AW18)</f>
        <v>0</v>
      </c>
      <c r="AX19" s="14">
        <f>MAX(求节点($C$81:$C$86,G$81:G$86,求节点($C$4:$C$12,G$4:G$12,基础状态预期!N31)),AX18)</f>
        <v>0</v>
      </c>
      <c r="AY19" s="14">
        <f>MAX(求节点($C$81:$C$86,H$81:H$86,求节点($C$4:$C$12,H$4:H$12,基础状态预期!O31)),AY18)</f>
        <v>0</v>
      </c>
      <c r="AZ19" s="14">
        <f>MAX(求节点($C$88:$C$93,D$88:D$93,求节点($C$4:$C$12,D$4:D$12,基础状态预期!K31)),AZ18)</f>
        <v>0</v>
      </c>
      <c r="BA19" s="14">
        <f>MAX(求节点($C$88:$C$93,E$88:E$93,求节点($C$4:$C$12,E$4:E$12,基础状态预期!L31)),BA18)</f>
        <v>0</v>
      </c>
      <c r="BB19" s="14">
        <f>MAX(求节点($C$88:$C$93,F$88:F$93,求节点($C$4:$C$12,F$4:F$12,基础状态预期!M31)),BB18)</f>
        <v>0</v>
      </c>
      <c r="BC19" s="14">
        <f>MAX(求节点($C$88:$C$93,G$88:G$93,求节点($C$4:$C$12,G$4:G$12,基础状态预期!N31)),BC18)</f>
        <v>0</v>
      </c>
      <c r="BD19" s="14">
        <f>MAX(求节点($C$88:$C$93,H$88:H$93,求节点($C$4:$C$12,H$4:H$12,基础状态预期!O31)),BD18)</f>
        <v>0</v>
      </c>
      <c r="BE19" s="14">
        <f t="shared" si="1"/>
        <v>3000</v>
      </c>
      <c r="BH19" s="29">
        <v>150</v>
      </c>
      <c r="BI19" s="29">
        <f t="shared" si="2"/>
        <v>395000</v>
      </c>
      <c r="BJ19" s="29"/>
      <c r="BK19" s="29">
        <f t="shared" si="12"/>
        <v>395000</v>
      </c>
    </row>
    <row r="20" spans="2:63" x14ac:dyDescent="0.15">
      <c r="B20" s="170"/>
      <c r="C20" s="29">
        <v>4</v>
      </c>
      <c r="D20" s="95">
        <v>0</v>
      </c>
      <c r="E20" s="95">
        <v>0</v>
      </c>
      <c r="F20" s="95">
        <v>0</v>
      </c>
      <c r="G20" s="95">
        <v>7.4999999999999997E-2</v>
      </c>
      <c r="H20" s="95">
        <v>0.09</v>
      </c>
      <c r="I20" s="95">
        <v>0.12</v>
      </c>
      <c r="J20" s="96"/>
      <c r="M20" s="16">
        <v>19</v>
      </c>
      <c r="N20" s="29">
        <f>基础状态预期!D32</f>
        <v>82.328492296001457</v>
      </c>
      <c r="O20" s="29">
        <f>IF(基础状态预期!U32="",0,MIN(求节点($C$16:$C$24,D$16:D$24,基础状态预期!K32),求节点($C$28:$C$48,D$28:D$48,基础状态预期!U32)))</f>
        <v>0</v>
      </c>
      <c r="P20" s="29">
        <f>IF(基础状态预期!V32="",0,MIN(求节点($C$16:$C$24,E$16:E$24,基础状态预期!L32),求节点($C$28:$C$48,E$28:E$48,基础状态预期!V32)))</f>
        <v>0</v>
      </c>
      <c r="Q20" s="29">
        <f>IF(基础状态预期!W32="",0,MIN(求节点($C$16:$C$24,F$16:F$24,基础状态预期!M32),求节点($C$28:$C$48,F$28:F$48,基础状态预期!W32)))</f>
        <v>0</v>
      </c>
      <c r="R20" s="29">
        <f>IF(基础状态预期!X32="",0,MIN(求节点($C$16:$C$24,G$16:G$24,基础状态预期!N32),求节点($C$28:$C$48,G$28:G$48,基础状态预期!X32)))</f>
        <v>0</v>
      </c>
      <c r="S20" s="29">
        <f>IF(基础状态预期!Y32="",0,MIN(求节点($C$16:$C$24,H$16:H$24,基础状态预期!O32),求节点($C$28:$C$48,H$28:H$48,基础状态预期!Y32)))</f>
        <v>0.09</v>
      </c>
      <c r="T20" s="29">
        <f>MAX(SUMPRODUCT(O20:S20,基础状态预期!$F32:$J32)/SUM(基础状态预期!$F32:$J32),T19)</f>
        <v>9.0000000000000011E-2</v>
      </c>
      <c r="V20" s="17">
        <v>16</v>
      </c>
      <c r="W20" s="17">
        <f t="shared" si="3"/>
        <v>0</v>
      </c>
      <c r="X20" s="17">
        <f t="shared" si="4"/>
        <v>0</v>
      </c>
      <c r="Y20" s="17">
        <f t="shared" si="5"/>
        <v>0</v>
      </c>
      <c r="Z20" s="17">
        <f t="shared" si="6"/>
        <v>0</v>
      </c>
      <c r="AA20" s="17">
        <f t="shared" si="7"/>
        <v>0</v>
      </c>
      <c r="AE20" s="29">
        <v>160</v>
      </c>
      <c r="AF20" s="29"/>
      <c r="AG20" s="29">
        <f t="shared" si="8"/>
        <v>0.45</v>
      </c>
      <c r="AH20" s="29"/>
      <c r="AI20" s="29">
        <f>(AG20-AG19)*INDEX([2]非r将兵属性验证!$AX$7:$AX$166,$AE20,1)+AI19</f>
        <v>47126188720.999962</v>
      </c>
      <c r="AJ20" s="14">
        <f t="shared" si="11"/>
        <v>47126188720.999962</v>
      </c>
      <c r="AO20" s="29">
        <f t="shared" si="9"/>
        <v>82.328492296001457</v>
      </c>
      <c r="AP20" s="14">
        <f>MAX(求节点($C$74:$C$79,D$74:D$79,求节点($C$4:$C$12,D$4:D$12,基础状态预期!K32)),AP19)</f>
        <v>0</v>
      </c>
      <c r="AQ20" s="14">
        <f>MAX(求节点($C$74:$C$79,E$74:E$79,求节点($C$4:$C$12,E$4:E$12,基础状态预期!L32)),AQ19)</f>
        <v>0</v>
      </c>
      <c r="AR20" s="14">
        <f>MAX(求节点($C$74:$C$79,F$74:F$79,求节点($C$4:$C$12,F$4:F$12,基础状态预期!M32)),AR19)</f>
        <v>0</v>
      </c>
      <c r="AS20" s="14">
        <f>MAX(求节点($C$74:$C$79,G$74:G$79,求节点($C$4:$C$12,G$4:G$12,基础状态预期!N32)),AS19)</f>
        <v>1</v>
      </c>
      <c r="AT20" s="14">
        <f>MAX(求节点($C$74:$C$79,H$74:H$79,求节点($C$4:$C$12,H$4:H$12,基础状态预期!O32)),AT19)</f>
        <v>2</v>
      </c>
      <c r="AU20" s="14">
        <f>MAX(求节点($C$81:$C$86,D$81:D$86,求节点($C$4:$C$12,D$4:D$12,基础状态预期!K32)),AU19)</f>
        <v>0</v>
      </c>
      <c r="AV20" s="14">
        <f>MAX(求节点($C$81:$C$86,E$81:E$86,求节点($C$4:$C$12,E$4:E$12,基础状态预期!L32)),AV19)</f>
        <v>0</v>
      </c>
      <c r="AW20" s="14">
        <f>MAX(求节点($C$81:$C$86,F$81:F$86,求节点($C$4:$C$12,F$4:F$12,基础状态预期!M32)),AW19)</f>
        <v>0</v>
      </c>
      <c r="AX20" s="14">
        <f>MAX(求节点($C$81:$C$86,G$81:G$86,求节点($C$4:$C$12,G$4:G$12,基础状态预期!N32)),AX19)</f>
        <v>0</v>
      </c>
      <c r="AY20" s="14">
        <f>MAX(求节点($C$81:$C$86,H$81:H$86,求节点($C$4:$C$12,H$4:H$12,基础状态预期!O32)),AY19)</f>
        <v>0</v>
      </c>
      <c r="AZ20" s="14">
        <f>MAX(求节点($C$88:$C$93,D$88:D$93,求节点($C$4:$C$12,D$4:D$12,基础状态预期!K32)),AZ19)</f>
        <v>0</v>
      </c>
      <c r="BA20" s="14">
        <f>MAX(求节点($C$88:$C$93,E$88:E$93,求节点($C$4:$C$12,E$4:E$12,基础状态预期!L32)),BA19)</f>
        <v>0</v>
      </c>
      <c r="BB20" s="14">
        <f>MAX(求节点($C$88:$C$93,F$88:F$93,求节点($C$4:$C$12,F$4:F$12,基础状态预期!M32)),BB19)</f>
        <v>0</v>
      </c>
      <c r="BC20" s="14">
        <f>MAX(求节点($C$88:$C$93,G$88:G$93,求节点($C$4:$C$12,G$4:G$12,基础状态预期!N32)),BC19)</f>
        <v>0</v>
      </c>
      <c r="BD20" s="14">
        <f>MAX(求节点($C$88:$C$93,H$88:H$93,求节点($C$4:$C$12,H$4:H$12,基础状态预期!O32)),BD19)</f>
        <v>0</v>
      </c>
      <c r="BE20" s="14">
        <f t="shared" si="1"/>
        <v>3000</v>
      </c>
      <c r="BH20" s="29">
        <v>160</v>
      </c>
      <c r="BI20" s="29">
        <f t="shared" si="2"/>
        <v>395000</v>
      </c>
      <c r="BJ20" s="29"/>
      <c r="BK20" s="29">
        <f t="shared" si="12"/>
        <v>395000</v>
      </c>
    </row>
    <row r="21" spans="2:63" x14ac:dyDescent="0.15">
      <c r="B21" s="170"/>
      <c r="C21" s="29">
        <v>5</v>
      </c>
      <c r="D21" s="95">
        <v>0</v>
      </c>
      <c r="E21" s="95">
        <v>0</v>
      </c>
      <c r="F21" s="95">
        <v>0</v>
      </c>
      <c r="G21" s="95">
        <v>7.4999999999999997E-2</v>
      </c>
      <c r="H21" s="95">
        <v>0.18</v>
      </c>
      <c r="I21" s="95">
        <v>0.24</v>
      </c>
      <c r="J21" s="96"/>
      <c r="M21" s="16">
        <v>20</v>
      </c>
      <c r="N21" s="29">
        <f>基础状态预期!D33</f>
        <v>84.132234338875293</v>
      </c>
      <c r="O21" s="29">
        <f>IF(基础状态预期!U33="",0,MIN(求节点($C$16:$C$24,D$16:D$24,基础状态预期!K33),求节点($C$28:$C$48,D$28:D$48,基础状态预期!U33)))</f>
        <v>0</v>
      </c>
      <c r="P21" s="29">
        <f>IF(基础状态预期!V33="",0,MIN(求节点($C$16:$C$24,E$16:E$24,基础状态预期!L33),求节点($C$28:$C$48,E$28:E$48,基础状态预期!V33)))</f>
        <v>0</v>
      </c>
      <c r="Q21" s="29">
        <f>IF(基础状态预期!W33="",0,MIN(求节点($C$16:$C$24,F$16:F$24,基础状态预期!M33),求节点($C$28:$C$48,F$28:F$48,基础状态预期!W33)))</f>
        <v>0</v>
      </c>
      <c r="R21" s="29">
        <f>IF(基础状态预期!X33="",0,MIN(求节点($C$16:$C$24,G$16:G$24,基础状态预期!N33),求节点($C$28:$C$48,G$28:G$48,基础状态预期!X33)))</f>
        <v>0</v>
      </c>
      <c r="S21" s="29">
        <f>IF(基础状态预期!Y33="",0,MIN(求节点($C$16:$C$24,H$16:H$24,基础状态预期!O33),求节点($C$28:$C$48,H$28:H$48,基础状态预期!Y33)))</f>
        <v>0.12147278921109561</v>
      </c>
      <c r="T21" s="29">
        <f>MAX(SUMPRODUCT(O21:S21,基础状态预期!$F33:$J33)/SUM(基础状态预期!$F33:$J33),T20)</f>
        <v>0.12147278921109561</v>
      </c>
      <c r="V21" s="17">
        <v>17</v>
      </c>
      <c r="W21" s="17">
        <f t="shared" si="3"/>
        <v>0</v>
      </c>
      <c r="X21" s="17">
        <f t="shared" si="4"/>
        <v>0</v>
      </c>
      <c r="Y21" s="17">
        <f t="shared" si="5"/>
        <v>0</v>
      </c>
      <c r="Z21" s="17">
        <f t="shared" si="6"/>
        <v>0</v>
      </c>
      <c r="AA21" s="17">
        <f t="shared" si="7"/>
        <v>0</v>
      </c>
      <c r="AO21" s="29">
        <f t="shared" si="9"/>
        <v>84.132234338875293</v>
      </c>
      <c r="AP21" s="14">
        <f>MAX(求节点($C$74:$C$79,D$74:D$79,求节点($C$4:$C$12,D$4:D$12,基础状态预期!K33)),AP20)</f>
        <v>0</v>
      </c>
      <c r="AQ21" s="14">
        <f>MAX(求节点($C$74:$C$79,E$74:E$79,求节点($C$4:$C$12,E$4:E$12,基础状态预期!L33)),AQ20)</f>
        <v>0</v>
      </c>
      <c r="AR21" s="14">
        <f>MAX(求节点($C$74:$C$79,F$74:F$79,求节点($C$4:$C$12,F$4:F$12,基础状态预期!M33)),AR20)</f>
        <v>0</v>
      </c>
      <c r="AS21" s="14">
        <f>MAX(求节点($C$74:$C$79,G$74:G$79,求节点($C$4:$C$12,G$4:G$12,基础状态预期!N33)),AS20)</f>
        <v>1</v>
      </c>
      <c r="AT21" s="14">
        <f>MAX(求节点($C$74:$C$79,H$74:H$79,求节点($C$4:$C$12,H$4:H$12,基础状态预期!O33)),AT20)</f>
        <v>2</v>
      </c>
      <c r="AU21" s="14">
        <f>MAX(求节点($C$81:$C$86,D$81:D$86,求节点($C$4:$C$12,D$4:D$12,基础状态预期!K33)),AU20)</f>
        <v>0</v>
      </c>
      <c r="AV21" s="14">
        <f>MAX(求节点($C$81:$C$86,E$81:E$86,求节点($C$4:$C$12,E$4:E$12,基础状态预期!L33)),AV20)</f>
        <v>0</v>
      </c>
      <c r="AW21" s="14">
        <f>MAX(求节点($C$81:$C$86,F$81:F$86,求节点($C$4:$C$12,F$4:F$12,基础状态预期!M33)),AW20)</f>
        <v>0</v>
      </c>
      <c r="AX21" s="14">
        <f>MAX(求节点($C$81:$C$86,G$81:G$86,求节点($C$4:$C$12,G$4:G$12,基础状态预期!N33)),AX20)</f>
        <v>0</v>
      </c>
      <c r="AY21" s="14">
        <f>MAX(求节点($C$81:$C$86,H$81:H$86,求节点($C$4:$C$12,H$4:H$12,基础状态预期!O33)),AY20)</f>
        <v>1.3987906316042498</v>
      </c>
      <c r="AZ21" s="14">
        <f>MAX(求节点($C$88:$C$93,D$88:D$93,求节点($C$4:$C$12,D$4:D$12,基础状态预期!K33)),AZ20)</f>
        <v>0</v>
      </c>
      <c r="BA21" s="14">
        <f>MAX(求节点($C$88:$C$93,E$88:E$93,求节点($C$4:$C$12,E$4:E$12,基础状态预期!L33)),BA20)</f>
        <v>0</v>
      </c>
      <c r="BB21" s="14">
        <f>MAX(求节点($C$88:$C$93,F$88:F$93,求节点($C$4:$C$12,F$4:F$12,基础状态预期!M33)),BB20)</f>
        <v>0</v>
      </c>
      <c r="BC21" s="14">
        <f>MAX(求节点($C$88:$C$93,G$88:G$93,求节点($C$4:$C$12,G$4:G$12,基础状态预期!N33)),BC20)</f>
        <v>0</v>
      </c>
      <c r="BD21" s="14">
        <f>MAX(求节点($C$88:$C$93,H$88:H$93,求节点($C$4:$C$12,H$4:H$12,基础状态预期!O33)),BD20)</f>
        <v>0</v>
      </c>
      <c r="BE21" s="14">
        <f t="shared" si="1"/>
        <v>5797.5812632084999</v>
      </c>
    </row>
    <row r="22" spans="2:63" x14ac:dyDescent="0.15">
      <c r="B22" s="170"/>
      <c r="C22" s="29">
        <v>6</v>
      </c>
      <c r="D22" s="95">
        <v>0</v>
      </c>
      <c r="E22" s="95">
        <v>0</v>
      </c>
      <c r="F22" s="95">
        <v>0</v>
      </c>
      <c r="G22" s="95">
        <v>7.4999999999999997E-2</v>
      </c>
      <c r="H22" s="95">
        <v>0.18</v>
      </c>
      <c r="I22" s="95">
        <v>0.24</v>
      </c>
      <c r="J22" s="96"/>
      <c r="M22" s="16">
        <v>21</v>
      </c>
      <c r="N22" s="29">
        <f>基础状态预期!D34</f>
        <v>86.465948248806328</v>
      </c>
      <c r="O22" s="29">
        <f>IF(基础状态预期!U34="",0,MIN(求节点($C$16:$C$24,D$16:D$24,基础状态预期!K34),求节点($C$28:$C$48,D$28:D$48,基础状态预期!U34)))</f>
        <v>0</v>
      </c>
      <c r="P22" s="29">
        <f>IF(基础状态预期!V34="",0,MIN(求节点($C$16:$C$24,E$16:E$24,基础状态预期!L34),求节点($C$28:$C$48,E$28:E$48,基础状态预期!V34)))</f>
        <v>0</v>
      </c>
      <c r="Q22" s="29">
        <f>IF(基础状态预期!W34="",0,MIN(求节点($C$16:$C$24,F$16:F$24,基础状态预期!M34),求节点($C$28:$C$48,F$28:F$48,基础状态预期!W34)))</f>
        <v>0</v>
      </c>
      <c r="R22" s="29">
        <f>IF(基础状态预期!X34="",0,MIN(求节点($C$16:$C$24,G$16:G$24,基础状态预期!N34),求节点($C$28:$C$48,G$28:G$48,基础状态预期!X34)))</f>
        <v>0</v>
      </c>
      <c r="S22" s="29">
        <f>IF(基础状态预期!Y34="",0,MIN(求节点($C$16:$C$24,H$16:H$24,基础状态预期!O34),求节点($C$28:$C$48,H$28:H$48,基础状态预期!Y34)))</f>
        <v>0.1664059944259717</v>
      </c>
      <c r="T22" s="29">
        <f>MAX(SUMPRODUCT(O22:S22,基础状态预期!$F34:$J34)/SUM(基础状态预期!$F34:$J34),T21)</f>
        <v>0.1664059944259717</v>
      </c>
      <c r="V22" s="17">
        <v>18</v>
      </c>
      <c r="W22" s="17">
        <f t="shared" si="3"/>
        <v>0</v>
      </c>
      <c r="X22" s="17">
        <f t="shared" si="4"/>
        <v>0</v>
      </c>
      <c r="Y22" s="17">
        <f t="shared" si="5"/>
        <v>0</v>
      </c>
      <c r="Z22" s="17">
        <f t="shared" si="6"/>
        <v>0</v>
      </c>
      <c r="AA22" s="17">
        <f t="shared" si="7"/>
        <v>0</v>
      </c>
      <c r="AO22" s="29">
        <f t="shared" si="9"/>
        <v>86.465948248806328</v>
      </c>
      <c r="AP22" s="14">
        <f>MAX(求节点($C$74:$C$79,D$74:D$79,求节点($C$4:$C$12,D$4:D$12,基础状态预期!K34)),AP21)</f>
        <v>0</v>
      </c>
      <c r="AQ22" s="14">
        <f>MAX(求节点($C$74:$C$79,E$74:E$79,求节点($C$4:$C$12,E$4:E$12,基础状态预期!L34)),AQ21)</f>
        <v>0</v>
      </c>
      <c r="AR22" s="14">
        <f>MAX(求节点($C$74:$C$79,F$74:F$79,求节点($C$4:$C$12,F$4:F$12,基础状态预期!M34)),AR21)</f>
        <v>0</v>
      </c>
      <c r="AS22" s="14">
        <f>MAX(求节点($C$74:$C$79,G$74:G$79,求节点($C$4:$C$12,G$4:G$12,基础状态预期!N34)),AS21)</f>
        <v>1</v>
      </c>
      <c r="AT22" s="14">
        <f>MAX(求节点($C$74:$C$79,H$74:H$79,求节点($C$4:$C$12,H$4:H$12,基础状态预期!O34)),AT21)</f>
        <v>2</v>
      </c>
      <c r="AU22" s="14">
        <f>MAX(求节点($C$81:$C$86,D$81:D$86,求节点($C$4:$C$12,D$4:D$12,基础状态预期!K34)),AU21)</f>
        <v>0</v>
      </c>
      <c r="AV22" s="14">
        <f>MAX(求节点($C$81:$C$86,E$81:E$86,求节点($C$4:$C$12,E$4:E$12,基础状态预期!L34)),AV21)</f>
        <v>0</v>
      </c>
      <c r="AW22" s="14">
        <f>MAX(求节点($C$81:$C$86,F$81:F$86,求节点($C$4:$C$12,F$4:F$12,基础状态预期!M34)),AW21)</f>
        <v>0</v>
      </c>
      <c r="AX22" s="14">
        <f>MAX(求节点($C$81:$C$86,G$81:G$86,求节点($C$4:$C$12,G$4:G$12,基础状态预期!N34)),AX21)</f>
        <v>0</v>
      </c>
      <c r="AY22" s="14">
        <f>MAX(求节点($C$81:$C$86,H$81:H$86,求节点($C$4:$C$12,H$4:H$12,基础状态预期!O34)),AY21)</f>
        <v>3.3958219744876317</v>
      </c>
      <c r="AZ22" s="14">
        <f>MAX(求节点($C$88:$C$93,D$88:D$93,求节点($C$4:$C$12,D$4:D$12,基础状态预期!K34)),AZ21)</f>
        <v>0</v>
      </c>
      <c r="BA22" s="14">
        <f>MAX(求节点($C$88:$C$93,E$88:E$93,求节点($C$4:$C$12,E$4:E$12,基础状态预期!L34)),BA21)</f>
        <v>0</v>
      </c>
      <c r="BB22" s="14">
        <f>MAX(求节点($C$88:$C$93,F$88:F$93,求节点($C$4:$C$12,F$4:F$12,基础状态预期!M34)),BB21)</f>
        <v>0</v>
      </c>
      <c r="BC22" s="14">
        <f>MAX(求节点($C$88:$C$93,G$88:G$93,求节点($C$4:$C$12,G$4:G$12,基础状态预期!N34)),BC21)</f>
        <v>0</v>
      </c>
      <c r="BD22" s="14">
        <f>MAX(求节点($C$88:$C$93,H$88:H$93,求节点($C$4:$C$12,H$4:H$12,基础状态预期!O34)),BD21)</f>
        <v>0</v>
      </c>
      <c r="BE22" s="14">
        <f t="shared" si="1"/>
        <v>9791.6439489752629</v>
      </c>
    </row>
    <row r="23" spans="2:63" x14ac:dyDescent="0.15">
      <c r="B23" s="170"/>
      <c r="C23" s="29">
        <v>7</v>
      </c>
      <c r="D23" s="95">
        <v>0</v>
      </c>
      <c r="E23" s="95">
        <v>0</v>
      </c>
      <c r="F23" s="95">
        <v>0</v>
      </c>
      <c r="G23" s="95">
        <v>7.4999999999999997E-2</v>
      </c>
      <c r="H23" s="95">
        <v>0.18</v>
      </c>
      <c r="I23" s="95">
        <v>0.24</v>
      </c>
      <c r="J23" s="96"/>
      <c r="M23" s="16">
        <v>22</v>
      </c>
      <c r="N23" s="29">
        <f>基础状态预期!D35</f>
        <v>90.244911202258237</v>
      </c>
      <c r="O23" s="29">
        <f>IF(基础状态预期!U35="",0,MIN(求节点($C$16:$C$24,D$16:D$24,基础状态预期!K35),求节点($C$28:$C$48,D$28:D$48,基础状态预期!U35)))</f>
        <v>0</v>
      </c>
      <c r="P23" s="29">
        <f>IF(基础状态预期!V35="",0,MIN(求节点($C$16:$C$24,E$16:E$24,基础状态预期!L35),求节点($C$28:$C$48,E$28:E$48,基础状态预期!V35)))</f>
        <v>0</v>
      </c>
      <c r="Q23" s="29">
        <f>IF(基础状态预期!W35="",0,MIN(求节点($C$16:$C$24,F$16:F$24,基础状态预期!M35),求节点($C$28:$C$48,F$28:F$48,基础状态预期!W35)))</f>
        <v>0</v>
      </c>
      <c r="R23" s="29">
        <f>IF(基础状态预期!X35="",0,MIN(求节点($C$16:$C$24,G$16:G$24,基础状态预期!N35),求节点($C$28:$C$48,G$28:G$48,基础状态预期!X35)))</f>
        <v>0</v>
      </c>
      <c r="S23" s="29">
        <f>IF(基础状态预期!Y35="",0,MIN(求节点($C$16:$C$24,H$16:H$24,基础状态预期!O35),求节点($C$28:$C$48,H$28:H$48,基础状态预期!Y35)))</f>
        <v>0.18</v>
      </c>
      <c r="T23" s="29">
        <f>MAX(SUMPRODUCT(O23:S23,基础状态预期!$F35:$J35)/SUM(基础状态预期!$F35:$J35),T22)</f>
        <v>0.18000000000000002</v>
      </c>
      <c r="V23" s="17">
        <v>19</v>
      </c>
      <c r="W23" s="17">
        <f t="shared" si="3"/>
        <v>0</v>
      </c>
      <c r="X23" s="17">
        <f t="shared" si="4"/>
        <v>0</v>
      </c>
      <c r="Y23" s="17">
        <f t="shared" si="5"/>
        <v>0</v>
      </c>
      <c r="Z23" s="17">
        <f t="shared" si="6"/>
        <v>0</v>
      </c>
      <c r="AA23" s="17">
        <f t="shared" si="7"/>
        <v>0</v>
      </c>
      <c r="AO23" s="29">
        <f t="shared" si="9"/>
        <v>90.244911202258237</v>
      </c>
      <c r="AP23" s="14">
        <f>MAX(求节点($C$74:$C$79,D$74:D$79,求节点($C$4:$C$12,D$4:D$12,基础状态预期!K35)),AP22)</f>
        <v>0</v>
      </c>
      <c r="AQ23" s="14">
        <f>MAX(求节点($C$74:$C$79,E$74:E$79,求节点($C$4:$C$12,E$4:E$12,基础状态预期!L35)),AQ22)</f>
        <v>0</v>
      </c>
      <c r="AR23" s="14">
        <f>MAX(求节点($C$74:$C$79,F$74:F$79,求节点($C$4:$C$12,F$4:F$12,基础状态预期!M35)),AR22)</f>
        <v>0</v>
      </c>
      <c r="AS23" s="14">
        <f>MAX(求节点($C$74:$C$79,G$74:G$79,求节点($C$4:$C$12,G$4:G$12,基础状态预期!N35)),AS22)</f>
        <v>1</v>
      </c>
      <c r="AT23" s="14">
        <f>MAX(求节点($C$74:$C$79,H$74:H$79,求节点($C$4:$C$12,H$4:H$12,基础状态预期!O35)),AT22)</f>
        <v>2</v>
      </c>
      <c r="AU23" s="14">
        <f>MAX(求节点($C$81:$C$86,D$81:D$86,求节点($C$4:$C$12,D$4:D$12,基础状态预期!K35)),AU22)</f>
        <v>0</v>
      </c>
      <c r="AV23" s="14">
        <f>MAX(求节点($C$81:$C$86,E$81:E$86,求节点($C$4:$C$12,E$4:E$12,基础状态预期!L35)),AV22)</f>
        <v>0</v>
      </c>
      <c r="AW23" s="14">
        <f>MAX(求节点($C$81:$C$86,F$81:F$86,求节点($C$4:$C$12,F$4:F$12,基础状态预期!M35)),AW22)</f>
        <v>0</v>
      </c>
      <c r="AX23" s="14">
        <f>MAX(求节点($C$81:$C$86,G$81:G$86,求节点($C$4:$C$12,G$4:G$12,基础状态预期!N35)),AX22)</f>
        <v>0</v>
      </c>
      <c r="AY23" s="14">
        <f>MAX(求节点($C$81:$C$86,H$81:H$86,求节点($C$4:$C$12,H$4:H$12,基础状态预期!O35)),AY22)</f>
        <v>4</v>
      </c>
      <c r="AZ23" s="14">
        <f>MAX(求节点($C$88:$C$93,D$88:D$93,求节点($C$4:$C$12,D$4:D$12,基础状态预期!K35)),AZ22)</f>
        <v>0</v>
      </c>
      <c r="BA23" s="14">
        <f>MAX(求节点($C$88:$C$93,E$88:E$93,求节点($C$4:$C$12,E$4:E$12,基础状态预期!L35)),BA22)</f>
        <v>0</v>
      </c>
      <c r="BB23" s="14">
        <f>MAX(求节点($C$88:$C$93,F$88:F$93,求节点($C$4:$C$12,F$4:F$12,基础状态预期!M35)),BB22)</f>
        <v>0</v>
      </c>
      <c r="BC23" s="14">
        <f>MAX(求节点($C$88:$C$93,G$88:G$93,求节点($C$4:$C$12,G$4:G$12,基础状态预期!N35)),BC22)</f>
        <v>0</v>
      </c>
      <c r="BD23" s="14">
        <f>MAX(求节点($C$88:$C$93,H$88:H$93,求节点($C$4:$C$12,H$4:H$12,基础状态预期!O35)),BD22)</f>
        <v>0</v>
      </c>
      <c r="BE23" s="14">
        <f t="shared" si="1"/>
        <v>11000</v>
      </c>
    </row>
    <row r="24" spans="2:63" x14ac:dyDescent="0.15">
      <c r="B24" s="171"/>
      <c r="C24" s="29">
        <v>8</v>
      </c>
      <c r="D24" s="95">
        <v>0</v>
      </c>
      <c r="E24" s="95">
        <v>0</v>
      </c>
      <c r="F24" s="95">
        <v>0</v>
      </c>
      <c r="G24" s="95">
        <v>0.22500000000000001</v>
      </c>
      <c r="H24" s="95">
        <v>0.45</v>
      </c>
      <c r="I24" s="95">
        <v>0.6</v>
      </c>
      <c r="J24" s="96"/>
      <c r="M24" s="16">
        <v>23</v>
      </c>
      <c r="N24" s="29">
        <f>基础状态预期!D36</f>
        <v>93.235489905456092</v>
      </c>
      <c r="O24" s="29">
        <f>IF(基础状态预期!U36="",0,MIN(求节点($C$16:$C$24,D$16:D$24,基础状态预期!K36),求节点($C$28:$C$48,D$28:D$48,基础状态预期!U36)))</f>
        <v>0</v>
      </c>
      <c r="P24" s="29">
        <f>IF(基础状态预期!V36="",0,MIN(求节点($C$16:$C$24,E$16:E$24,基础状态预期!L36),求节点($C$28:$C$48,E$28:E$48,基础状态预期!V36)))</f>
        <v>0</v>
      </c>
      <c r="Q24" s="29">
        <f>IF(基础状态预期!W36="",0,MIN(求节点($C$16:$C$24,F$16:F$24,基础状态预期!M36),求节点($C$28:$C$48,F$28:F$48,基础状态预期!W36)))</f>
        <v>0</v>
      </c>
      <c r="R24" s="29">
        <f>IF(基础状态预期!X36="",0,MIN(求节点($C$16:$C$24,G$16:G$24,基础状态预期!N36),求节点($C$28:$C$48,G$28:G$48,基础状态预期!X36)))</f>
        <v>0</v>
      </c>
      <c r="S24" s="29">
        <f>IF(基础状态预期!Y36="",0,MIN(求节点($C$16:$C$24,H$16:H$24,基础状态预期!O36),求节点($C$28:$C$48,H$28:H$48,基础状态预期!Y36)))</f>
        <v>0.18</v>
      </c>
      <c r="T24" s="29">
        <f>MAX(SUMPRODUCT(O24:S24,基础状态预期!$F36:$J36)/SUM(基础状态预期!$F36:$J36),T23)</f>
        <v>0.18000000000000002</v>
      </c>
      <c r="V24" s="17">
        <v>20</v>
      </c>
      <c r="W24" s="17">
        <f t="shared" si="3"/>
        <v>0</v>
      </c>
      <c r="X24" s="17">
        <f t="shared" si="4"/>
        <v>0</v>
      </c>
      <c r="Y24" s="17">
        <f t="shared" si="5"/>
        <v>0</v>
      </c>
      <c r="Z24" s="17">
        <f t="shared" si="6"/>
        <v>0</v>
      </c>
      <c r="AA24" s="17">
        <f t="shared" si="7"/>
        <v>0</v>
      </c>
      <c r="AO24" s="29">
        <f t="shared" si="9"/>
        <v>93.235489905456092</v>
      </c>
      <c r="AP24" s="14">
        <f>MAX(求节点($C$74:$C$79,D$74:D$79,求节点($C$4:$C$12,D$4:D$12,基础状态预期!K36)),AP23)</f>
        <v>0</v>
      </c>
      <c r="AQ24" s="14">
        <f>MAX(求节点($C$74:$C$79,E$74:E$79,求节点($C$4:$C$12,E$4:E$12,基础状态预期!L36)),AQ23)</f>
        <v>0</v>
      </c>
      <c r="AR24" s="14">
        <f>MAX(求节点($C$74:$C$79,F$74:F$79,求节点($C$4:$C$12,F$4:F$12,基础状态预期!M36)),AR23)</f>
        <v>0</v>
      </c>
      <c r="AS24" s="14">
        <f>MAX(求节点($C$74:$C$79,G$74:G$79,求节点($C$4:$C$12,G$4:G$12,基础状态预期!N36)),AS23)</f>
        <v>1</v>
      </c>
      <c r="AT24" s="14">
        <f>MAX(求节点($C$74:$C$79,H$74:H$79,求节点($C$4:$C$12,H$4:H$12,基础状态预期!O36)),AT23)</f>
        <v>2</v>
      </c>
      <c r="AU24" s="14">
        <f>MAX(求节点($C$81:$C$86,D$81:D$86,求节点($C$4:$C$12,D$4:D$12,基础状态预期!K36)),AU23)</f>
        <v>0</v>
      </c>
      <c r="AV24" s="14">
        <f>MAX(求节点($C$81:$C$86,E$81:E$86,求节点($C$4:$C$12,E$4:E$12,基础状态预期!L36)),AV23)</f>
        <v>0</v>
      </c>
      <c r="AW24" s="14">
        <f>MAX(求节点($C$81:$C$86,F$81:F$86,求节点($C$4:$C$12,F$4:F$12,基础状态预期!M36)),AW23)</f>
        <v>0</v>
      </c>
      <c r="AX24" s="14">
        <f>MAX(求节点($C$81:$C$86,G$81:G$86,求节点($C$4:$C$12,G$4:G$12,基础状态预期!N36)),AX23)</f>
        <v>0</v>
      </c>
      <c r="AY24" s="14">
        <f>MAX(求节点($C$81:$C$86,H$81:H$86,求节点($C$4:$C$12,H$4:H$12,基础状态预期!O36)),AY23)</f>
        <v>4</v>
      </c>
      <c r="AZ24" s="14">
        <f>MAX(求节点($C$88:$C$93,D$88:D$93,求节点($C$4:$C$12,D$4:D$12,基础状态预期!K36)),AZ23)</f>
        <v>0</v>
      </c>
      <c r="BA24" s="14">
        <f>MAX(求节点($C$88:$C$93,E$88:E$93,求节点($C$4:$C$12,E$4:E$12,基础状态预期!L36)),BA23)</f>
        <v>0</v>
      </c>
      <c r="BB24" s="14">
        <f>MAX(求节点($C$88:$C$93,F$88:F$93,求节点($C$4:$C$12,F$4:F$12,基础状态预期!M36)),BB23)</f>
        <v>0</v>
      </c>
      <c r="BC24" s="14">
        <f>MAX(求节点($C$88:$C$93,G$88:G$93,求节点($C$4:$C$12,G$4:G$12,基础状态预期!N36)),BC23)</f>
        <v>0</v>
      </c>
      <c r="BD24" s="14">
        <f>MAX(求节点($C$88:$C$93,H$88:H$93,求节点($C$4:$C$12,H$4:H$12,基础状态预期!O36)),BD23)</f>
        <v>0</v>
      </c>
      <c r="BE24" s="14">
        <f t="shared" si="1"/>
        <v>11000</v>
      </c>
    </row>
    <row r="25" spans="2:63" x14ac:dyDescent="0.15">
      <c r="M25" s="16">
        <v>24</v>
      </c>
      <c r="N25" s="29">
        <f>基础状态预期!D37</f>
        <v>96.807063977001675</v>
      </c>
      <c r="O25" s="29">
        <f>IF(基础状态预期!U37="",0,MIN(求节点($C$16:$C$24,D$16:D$24,基础状态预期!K37),求节点($C$28:$C$48,D$28:D$48,基础状态预期!U37)))</f>
        <v>0</v>
      </c>
      <c r="P25" s="29">
        <f>IF(基础状态预期!V37="",0,MIN(求节点($C$16:$C$24,E$16:E$24,基础状态预期!L37),求节点($C$28:$C$48,E$28:E$48,基础状态预期!V37)))</f>
        <v>0</v>
      </c>
      <c r="Q25" s="29">
        <f>IF(基础状态预期!W37="",0,MIN(求节点($C$16:$C$24,F$16:F$24,基础状态预期!M37),求节点($C$28:$C$48,F$28:F$48,基础状态预期!W37)))</f>
        <v>0</v>
      </c>
      <c r="R25" s="29">
        <f>IF(基础状态预期!X37="",0,MIN(求节点($C$16:$C$24,G$16:G$24,基础状态预期!N37),求节点($C$28:$C$48,G$28:G$48,基础状态预期!X37)))</f>
        <v>0</v>
      </c>
      <c r="S25" s="29">
        <f>IF(基础状态预期!Y37="",0,MIN(求节点($C$16:$C$24,H$16:H$24,基础状态预期!O37),求节点($C$28:$C$48,H$28:H$48,基础状态预期!Y37)))</f>
        <v>0.18</v>
      </c>
      <c r="T25" s="29">
        <f>MAX(SUMPRODUCT(O25:S25,基础状态预期!$F37:$J37)/SUM(基础状态预期!$F37:$J37),T24)</f>
        <v>0.18000000000000002</v>
      </c>
      <c r="V25" s="17">
        <v>21</v>
      </c>
      <c r="W25" s="17">
        <f t="shared" si="3"/>
        <v>0</v>
      </c>
      <c r="X25" s="17">
        <f t="shared" si="4"/>
        <v>0</v>
      </c>
      <c r="Y25" s="17">
        <f t="shared" si="5"/>
        <v>0</v>
      </c>
      <c r="Z25" s="17">
        <f t="shared" si="6"/>
        <v>0</v>
      </c>
      <c r="AA25" s="17">
        <f t="shared" si="7"/>
        <v>0</v>
      </c>
      <c r="AO25" s="29">
        <f t="shared" si="9"/>
        <v>96.807063977001675</v>
      </c>
      <c r="AP25" s="14">
        <f>MAX(求节点($C$74:$C$79,D$74:D$79,求节点($C$4:$C$12,D$4:D$12,基础状态预期!K37)),AP24)</f>
        <v>0</v>
      </c>
      <c r="AQ25" s="14">
        <f>MAX(求节点($C$74:$C$79,E$74:E$79,求节点($C$4:$C$12,E$4:E$12,基础状态预期!L37)),AQ24)</f>
        <v>0</v>
      </c>
      <c r="AR25" s="14">
        <f>MAX(求节点($C$74:$C$79,F$74:F$79,求节点($C$4:$C$12,F$4:F$12,基础状态预期!M37)),AR24)</f>
        <v>0</v>
      </c>
      <c r="AS25" s="14">
        <f>MAX(求节点($C$74:$C$79,G$74:G$79,求节点($C$4:$C$12,G$4:G$12,基础状态预期!N37)),AS24)</f>
        <v>1</v>
      </c>
      <c r="AT25" s="14">
        <f>MAX(求节点($C$74:$C$79,H$74:H$79,求节点($C$4:$C$12,H$4:H$12,基础状态预期!O37)),AT24)</f>
        <v>2</v>
      </c>
      <c r="AU25" s="14">
        <f>MAX(求节点($C$81:$C$86,D$81:D$86,求节点($C$4:$C$12,D$4:D$12,基础状态预期!K37)),AU24)</f>
        <v>0</v>
      </c>
      <c r="AV25" s="14">
        <f>MAX(求节点($C$81:$C$86,E$81:E$86,求节点($C$4:$C$12,E$4:E$12,基础状态预期!L37)),AV24)</f>
        <v>0</v>
      </c>
      <c r="AW25" s="14">
        <f>MAX(求节点($C$81:$C$86,F$81:F$86,求节点($C$4:$C$12,F$4:F$12,基础状态预期!M37)),AW24)</f>
        <v>0</v>
      </c>
      <c r="AX25" s="14">
        <f>MAX(求节点($C$81:$C$86,G$81:G$86,求节点($C$4:$C$12,G$4:G$12,基础状态预期!N37)),AX24)</f>
        <v>0</v>
      </c>
      <c r="AY25" s="14">
        <f>MAX(求节点($C$81:$C$86,H$81:H$86,求节点($C$4:$C$12,H$4:H$12,基础状态预期!O37)),AY24)</f>
        <v>4</v>
      </c>
      <c r="AZ25" s="14">
        <f>MAX(求节点($C$88:$C$93,D$88:D$93,求节点($C$4:$C$12,D$4:D$12,基础状态预期!K37)),AZ24)</f>
        <v>0</v>
      </c>
      <c r="BA25" s="14">
        <f>MAX(求节点($C$88:$C$93,E$88:E$93,求节点($C$4:$C$12,E$4:E$12,基础状态预期!L37)),BA24)</f>
        <v>0</v>
      </c>
      <c r="BB25" s="14">
        <f>MAX(求节点($C$88:$C$93,F$88:F$93,求节点($C$4:$C$12,F$4:F$12,基础状态预期!M37)),BB24)</f>
        <v>0</v>
      </c>
      <c r="BC25" s="14">
        <f>MAX(求节点($C$88:$C$93,G$88:G$93,求节点($C$4:$C$12,G$4:G$12,基础状态预期!N37)),BC24)</f>
        <v>0</v>
      </c>
      <c r="BD25" s="14">
        <f>MAX(求节点($C$88:$C$93,H$88:H$93,求节点($C$4:$C$12,H$4:H$12,基础状态预期!O37)),BD24)</f>
        <v>0</v>
      </c>
      <c r="BE25" s="14">
        <f t="shared" si="1"/>
        <v>11000</v>
      </c>
    </row>
    <row r="26" spans="2:63" x14ac:dyDescent="0.15">
      <c r="M26" s="16">
        <v>25</v>
      </c>
      <c r="N26" s="29">
        <f>基础状态预期!D38</f>
        <v>100.50342858241972</v>
      </c>
      <c r="O26" s="29">
        <f>IF(基础状态预期!U38="",0,MIN(求节点($C$16:$C$24,D$16:D$24,基础状态预期!K38),求节点($C$28:$C$48,D$28:D$48,基础状态预期!U38)))</f>
        <v>0</v>
      </c>
      <c r="P26" s="29">
        <f>IF(基础状态预期!V38="",0,MIN(求节点($C$16:$C$24,E$16:E$24,基础状态预期!L38),求节点($C$28:$C$48,E$28:E$48,基础状态预期!V38)))</f>
        <v>0</v>
      </c>
      <c r="Q26" s="29">
        <f>IF(基础状态预期!W38="",0,MIN(求节点($C$16:$C$24,F$16:F$24,基础状态预期!M38),求节点($C$28:$C$48,F$28:F$48,基础状态预期!W38)))</f>
        <v>0</v>
      </c>
      <c r="R26" s="29">
        <f>IF(基础状态预期!X38="",0,MIN(求节点($C$16:$C$24,G$16:G$24,基础状态预期!N38),求节点($C$28:$C$48,G$28:G$48,基础状态预期!X38)))</f>
        <v>0</v>
      </c>
      <c r="S26" s="29">
        <f>IF(基础状态预期!Y38="",0,MIN(求节点($C$16:$C$24,H$16:H$24,基础状态预期!O38),求节点($C$28:$C$48,H$28:H$48,基础状态预期!Y38)))</f>
        <v>0.37311426026091565</v>
      </c>
      <c r="T26" s="29">
        <f>MAX(SUMPRODUCT(O26:S26,基础状态预期!$F38:$J38)/SUM(基础状态预期!$F38:$J38),T25)</f>
        <v>0.37311426026091565</v>
      </c>
      <c r="V26" s="17">
        <v>22</v>
      </c>
      <c r="W26" s="17">
        <f t="shared" si="3"/>
        <v>0</v>
      </c>
      <c r="X26" s="17">
        <f t="shared" si="4"/>
        <v>0</v>
      </c>
      <c r="Y26" s="17">
        <f t="shared" si="5"/>
        <v>0</v>
      </c>
      <c r="Z26" s="17">
        <f t="shared" si="6"/>
        <v>0</v>
      </c>
      <c r="AA26" s="17">
        <f t="shared" si="7"/>
        <v>0</v>
      </c>
      <c r="AO26" s="29">
        <f t="shared" si="9"/>
        <v>100.50342858241972</v>
      </c>
      <c r="AP26" s="14">
        <f>MAX(求节点($C$74:$C$79,D$74:D$79,求节点($C$4:$C$12,D$4:D$12,基础状态预期!K38)),AP25)</f>
        <v>0</v>
      </c>
      <c r="AQ26" s="14">
        <f>MAX(求节点($C$74:$C$79,E$74:E$79,求节点($C$4:$C$12,E$4:E$12,基础状态预期!L38)),AQ25)</f>
        <v>0</v>
      </c>
      <c r="AR26" s="14">
        <f>MAX(求节点($C$74:$C$79,F$74:F$79,求节点($C$4:$C$12,F$4:F$12,基础状态预期!M38)),AR25)</f>
        <v>0</v>
      </c>
      <c r="AS26" s="14">
        <f>MAX(求节点($C$74:$C$79,G$74:G$79,求节点($C$4:$C$12,G$4:G$12,基础状态预期!N38)),AS25)</f>
        <v>1</v>
      </c>
      <c r="AT26" s="14">
        <f>MAX(求节点($C$74:$C$79,H$74:H$79,求节点($C$4:$C$12,H$4:H$12,基础状态预期!O38)),AT25)</f>
        <v>2</v>
      </c>
      <c r="AU26" s="14">
        <f>MAX(求节点($C$81:$C$86,D$81:D$86,求节点($C$4:$C$12,D$4:D$12,基础状态预期!K38)),AU25)</f>
        <v>0</v>
      </c>
      <c r="AV26" s="14">
        <f>MAX(求节点($C$81:$C$86,E$81:E$86,求节点($C$4:$C$12,E$4:E$12,基础状态预期!L38)),AV25)</f>
        <v>0</v>
      </c>
      <c r="AW26" s="14">
        <f>MAX(求节点($C$81:$C$86,F$81:F$86,求节点($C$4:$C$12,F$4:F$12,基础状态预期!M38)),AW25)</f>
        <v>0</v>
      </c>
      <c r="AX26" s="14">
        <f>MAX(求节点($C$81:$C$86,G$81:G$86,求节点($C$4:$C$12,G$4:G$12,基础状态预期!N38)),AX25)</f>
        <v>0</v>
      </c>
      <c r="AY26" s="14">
        <f>MAX(求节点($C$81:$C$86,H$81:H$86,求节点($C$4:$C$12,H$4:H$12,基础状态预期!O38)),AY25)</f>
        <v>4</v>
      </c>
      <c r="AZ26" s="14">
        <f>MAX(求节点($C$88:$C$93,D$88:D$93,求节点($C$4:$C$12,D$4:D$12,基础状态预期!K38)),AZ25)</f>
        <v>0</v>
      </c>
      <c r="BA26" s="14">
        <f>MAX(求节点($C$88:$C$93,E$88:E$93,求节点($C$4:$C$12,E$4:E$12,基础状态预期!L38)),BA25)</f>
        <v>0</v>
      </c>
      <c r="BB26" s="14">
        <f>MAX(求节点($C$88:$C$93,F$88:F$93,求节点($C$4:$C$12,F$4:F$12,基础状态预期!M38)),BB25)</f>
        <v>0</v>
      </c>
      <c r="BC26" s="14">
        <f>MAX(求节点($C$88:$C$93,G$88:G$93,求节点($C$4:$C$12,G$4:G$12,基础状态预期!N38)),BC25)</f>
        <v>0</v>
      </c>
      <c r="BD26" s="14">
        <f>MAX(求节点($C$88:$C$93,H$88:H$93,求节点($C$4:$C$12,H$4:H$12,基础状态预期!O38)),BD25)</f>
        <v>27.497136069577515</v>
      </c>
      <c r="BE26" s="14">
        <f t="shared" si="1"/>
        <v>230977.08855662012</v>
      </c>
    </row>
    <row r="27" spans="2:63" x14ac:dyDescent="0.15">
      <c r="B27" s="184" t="s">
        <v>664</v>
      </c>
      <c r="C27" s="29" t="s">
        <v>164</v>
      </c>
      <c r="D27" s="29" t="s">
        <v>3</v>
      </c>
      <c r="E27" s="29" t="s">
        <v>1</v>
      </c>
      <c r="F27" s="29" t="s">
        <v>2</v>
      </c>
      <c r="G27" s="29" t="s">
        <v>0</v>
      </c>
      <c r="H27" s="29" t="s">
        <v>545</v>
      </c>
      <c r="I27" s="29" t="s">
        <v>30</v>
      </c>
      <c r="M27" s="16">
        <v>26</v>
      </c>
      <c r="N27" s="29">
        <f>基础状态预期!D39</f>
        <v>104.10129967499306</v>
      </c>
      <c r="O27" s="29">
        <f>IF(基础状态预期!U39="",0,MIN(求节点($C$16:$C$24,D$16:D$24,基础状态预期!K39),求节点($C$28:$C$48,D$28:D$48,基础状态预期!U39)))</f>
        <v>0</v>
      </c>
      <c r="P27" s="29">
        <f>IF(基础状态预期!V39="",0,MIN(求节点($C$16:$C$24,E$16:E$24,基础状态预期!L39),求节点($C$28:$C$48,E$28:E$48,基础状态预期!V39)))</f>
        <v>0</v>
      </c>
      <c r="Q27" s="29">
        <f>IF(基础状态预期!W39="",0,MIN(求节点($C$16:$C$24,F$16:F$24,基础状态预期!M39),求节点($C$28:$C$48,F$28:F$48,基础状态预期!W39)))</f>
        <v>0</v>
      </c>
      <c r="R27" s="29">
        <f>IF(基础状态预期!X39="",0,MIN(求节点($C$16:$C$24,G$16:G$24,基础状态预期!N39),求节点($C$28:$C$48,G$28:G$48,基础状态预期!X39)))</f>
        <v>0</v>
      </c>
      <c r="S27" s="29">
        <f>IF(基础状态预期!Y39="",0,MIN(求节点($C$16:$C$24,H$16:H$24,基础状态预期!O39),求节点($C$28:$C$48,H$28:H$48,基础状态预期!Y39)))</f>
        <v>0.45</v>
      </c>
      <c r="T27" s="29">
        <f>MAX(SUMPRODUCT(O27:S27,基础状态预期!$F39:$J39)/SUM(基础状态预期!$F39:$J39),T26)</f>
        <v>0.45</v>
      </c>
      <c r="V27" s="17">
        <v>23</v>
      </c>
      <c r="W27" s="17">
        <f t="shared" si="3"/>
        <v>0</v>
      </c>
      <c r="X27" s="17">
        <f t="shared" si="4"/>
        <v>0</v>
      </c>
      <c r="Y27" s="17">
        <f t="shared" si="5"/>
        <v>0</v>
      </c>
      <c r="Z27" s="17">
        <f t="shared" si="6"/>
        <v>0</v>
      </c>
      <c r="AA27" s="17">
        <f t="shared" si="7"/>
        <v>0</v>
      </c>
      <c r="AO27" s="29">
        <f t="shared" si="9"/>
        <v>104.10129967499306</v>
      </c>
      <c r="AP27" s="14">
        <f>MAX(求节点($C$74:$C$79,D$74:D$79,求节点($C$4:$C$12,D$4:D$12,基础状态预期!K39)),AP26)</f>
        <v>0</v>
      </c>
      <c r="AQ27" s="14">
        <f>MAX(求节点($C$74:$C$79,E$74:E$79,求节点($C$4:$C$12,E$4:E$12,基础状态预期!L39)),AQ26)</f>
        <v>0</v>
      </c>
      <c r="AR27" s="14">
        <f>MAX(求节点($C$74:$C$79,F$74:F$79,求节点($C$4:$C$12,F$4:F$12,基础状态预期!M39)),AR26)</f>
        <v>0</v>
      </c>
      <c r="AS27" s="14">
        <f>MAX(求节点($C$74:$C$79,G$74:G$79,求节点($C$4:$C$12,G$4:G$12,基础状态预期!N39)),AS26)</f>
        <v>1</v>
      </c>
      <c r="AT27" s="14">
        <f>MAX(求节点($C$74:$C$79,H$74:H$79,求节点($C$4:$C$12,H$4:H$12,基础状态预期!O39)),AT26)</f>
        <v>2</v>
      </c>
      <c r="AU27" s="14">
        <f>MAX(求节点($C$81:$C$86,D$81:D$86,求节点($C$4:$C$12,D$4:D$12,基础状态预期!K39)),AU26)</f>
        <v>0</v>
      </c>
      <c r="AV27" s="14">
        <f>MAX(求节点($C$81:$C$86,E$81:E$86,求节点($C$4:$C$12,E$4:E$12,基础状态预期!L39)),AV26)</f>
        <v>0</v>
      </c>
      <c r="AW27" s="14">
        <f>MAX(求节点($C$81:$C$86,F$81:F$86,求节点($C$4:$C$12,F$4:F$12,基础状态预期!M39)),AW26)</f>
        <v>0</v>
      </c>
      <c r="AX27" s="14">
        <f>MAX(求节点($C$81:$C$86,G$81:G$86,求节点($C$4:$C$12,G$4:G$12,基础状态预期!N39)),AX26)</f>
        <v>0</v>
      </c>
      <c r="AY27" s="14">
        <f>MAX(求节点($C$81:$C$86,H$81:H$86,求节点($C$4:$C$12,H$4:H$12,基础状态预期!O39)),AY26)</f>
        <v>4</v>
      </c>
      <c r="AZ27" s="14">
        <f>MAX(求节点($C$88:$C$93,D$88:D$93,求节点($C$4:$C$12,D$4:D$12,基础状态预期!K39)),AZ26)</f>
        <v>0</v>
      </c>
      <c r="BA27" s="14">
        <f>MAX(求节点($C$88:$C$93,E$88:E$93,求节点($C$4:$C$12,E$4:E$12,基础状态预期!L39)),BA26)</f>
        <v>0</v>
      </c>
      <c r="BB27" s="14">
        <f>MAX(求节点($C$88:$C$93,F$88:F$93,求节点($C$4:$C$12,F$4:F$12,基础状态预期!M39)),BB26)</f>
        <v>0</v>
      </c>
      <c r="BC27" s="14">
        <f>MAX(求节点($C$88:$C$93,G$88:G$93,求节点($C$4:$C$12,G$4:G$12,基础状态预期!N39)),BC26)</f>
        <v>0</v>
      </c>
      <c r="BD27" s="14">
        <f>MAX(求节点($C$88:$C$93,H$88:H$93,求节点($C$4:$C$12,H$4:H$12,基础状态预期!O39)),BD26)</f>
        <v>48</v>
      </c>
      <c r="BE27" s="14">
        <f t="shared" si="1"/>
        <v>395000</v>
      </c>
    </row>
    <row r="28" spans="2:63" x14ac:dyDescent="0.15">
      <c r="B28" s="184"/>
      <c r="C28" s="29">
        <v>100</v>
      </c>
      <c r="D28" s="95">
        <v>0</v>
      </c>
      <c r="E28" s="95">
        <v>0</v>
      </c>
      <c r="F28" s="95">
        <v>0</v>
      </c>
      <c r="G28" s="95">
        <v>0</v>
      </c>
      <c r="H28" s="95">
        <v>0</v>
      </c>
      <c r="I28" s="95">
        <v>0</v>
      </c>
      <c r="M28" s="16">
        <v>27</v>
      </c>
      <c r="N28" s="29">
        <f>基础状态预期!D40</f>
        <v>107.48165553683219</v>
      </c>
      <c r="O28" s="29">
        <f>IF(基础状态预期!U40="",0,MIN(求节点($C$16:$C$24,D$16:D$24,基础状态预期!K40),求节点($C$28:$C$48,D$28:D$48,基础状态预期!U40)))</f>
        <v>0</v>
      </c>
      <c r="P28" s="29">
        <f>IF(基础状态预期!V40="",0,MIN(求节点($C$16:$C$24,E$16:E$24,基础状态预期!L40),求节点($C$28:$C$48,E$28:E$48,基础状态预期!V40)))</f>
        <v>0</v>
      </c>
      <c r="Q28" s="29">
        <f>IF(基础状态预期!W40="",0,MIN(求节点($C$16:$C$24,F$16:F$24,基础状态预期!M40),求节点($C$28:$C$48,F$28:F$48,基础状态预期!W40)))</f>
        <v>0</v>
      </c>
      <c r="R28" s="29">
        <f>IF(基础状态预期!X40="",0,MIN(求节点($C$16:$C$24,G$16:G$24,基础状态预期!N40),求节点($C$28:$C$48,G$28:G$48,基础状态预期!X40)))</f>
        <v>0</v>
      </c>
      <c r="S28" s="29">
        <f>IF(基础状态预期!Y40="",0,MIN(求节点($C$16:$C$24,H$16:H$24,基础状态预期!O40),求节点($C$28:$C$48,H$28:H$48,基础状态预期!Y40)))</f>
        <v>0.45</v>
      </c>
      <c r="T28" s="29">
        <f>MAX(SUMPRODUCT(O28:S28,基础状态预期!$F40:$J40)/SUM(基础状态预期!$F40:$J40),T27)</f>
        <v>0.45</v>
      </c>
      <c r="V28" s="17">
        <v>24</v>
      </c>
      <c r="W28" s="17">
        <f t="shared" si="3"/>
        <v>0</v>
      </c>
      <c r="X28" s="17">
        <f t="shared" si="4"/>
        <v>0</v>
      </c>
      <c r="Y28" s="17">
        <f t="shared" si="5"/>
        <v>0</v>
      </c>
      <c r="Z28" s="17">
        <f t="shared" si="6"/>
        <v>0</v>
      </c>
      <c r="AA28" s="17">
        <f t="shared" si="7"/>
        <v>0</v>
      </c>
      <c r="AO28" s="29">
        <f t="shared" si="9"/>
        <v>107.48165553683219</v>
      </c>
      <c r="AP28" s="14">
        <f>MAX(求节点($C$74:$C$79,D$74:D$79,求节点($C$4:$C$12,D$4:D$12,基础状态预期!K40)),AP27)</f>
        <v>0</v>
      </c>
      <c r="AQ28" s="14">
        <f>MAX(求节点($C$74:$C$79,E$74:E$79,求节点($C$4:$C$12,E$4:E$12,基础状态预期!L40)),AQ27)</f>
        <v>0</v>
      </c>
      <c r="AR28" s="14">
        <f>MAX(求节点($C$74:$C$79,F$74:F$79,求节点($C$4:$C$12,F$4:F$12,基础状态预期!M40)),AR27)</f>
        <v>0</v>
      </c>
      <c r="AS28" s="14">
        <f>MAX(求节点($C$74:$C$79,G$74:G$79,求节点($C$4:$C$12,G$4:G$12,基础状态预期!N40)),AS27)</f>
        <v>1</v>
      </c>
      <c r="AT28" s="14">
        <f>MAX(求节点($C$74:$C$79,H$74:H$79,求节点($C$4:$C$12,H$4:H$12,基础状态预期!O40)),AT27)</f>
        <v>2</v>
      </c>
      <c r="AU28" s="14">
        <f>MAX(求节点($C$81:$C$86,D$81:D$86,求节点($C$4:$C$12,D$4:D$12,基础状态预期!K40)),AU27)</f>
        <v>0</v>
      </c>
      <c r="AV28" s="14">
        <f>MAX(求节点($C$81:$C$86,E$81:E$86,求节点($C$4:$C$12,E$4:E$12,基础状态预期!L40)),AV27)</f>
        <v>0</v>
      </c>
      <c r="AW28" s="14">
        <f>MAX(求节点($C$81:$C$86,F$81:F$86,求节点($C$4:$C$12,F$4:F$12,基础状态预期!M40)),AW27)</f>
        <v>0</v>
      </c>
      <c r="AX28" s="14">
        <f>MAX(求节点($C$81:$C$86,G$81:G$86,求节点($C$4:$C$12,G$4:G$12,基础状态预期!N40)),AX27)</f>
        <v>0</v>
      </c>
      <c r="AY28" s="14">
        <f>MAX(求节点($C$81:$C$86,H$81:H$86,求节点($C$4:$C$12,H$4:H$12,基础状态预期!O40)),AY27)</f>
        <v>4</v>
      </c>
      <c r="AZ28" s="14">
        <f>MAX(求节点($C$88:$C$93,D$88:D$93,求节点($C$4:$C$12,D$4:D$12,基础状态预期!K40)),AZ27)</f>
        <v>0</v>
      </c>
      <c r="BA28" s="14">
        <f>MAX(求节点($C$88:$C$93,E$88:E$93,求节点($C$4:$C$12,E$4:E$12,基础状态预期!L40)),BA27)</f>
        <v>0</v>
      </c>
      <c r="BB28" s="14">
        <f>MAX(求节点($C$88:$C$93,F$88:F$93,求节点($C$4:$C$12,F$4:F$12,基础状态预期!M40)),BB27)</f>
        <v>0</v>
      </c>
      <c r="BC28" s="14">
        <f>MAX(求节点($C$88:$C$93,G$88:G$93,求节点($C$4:$C$12,G$4:G$12,基础状态预期!N40)),BC27)</f>
        <v>0</v>
      </c>
      <c r="BD28" s="14">
        <f>MAX(求节点($C$88:$C$93,H$88:H$93,求节点($C$4:$C$12,H$4:H$12,基础状态预期!O40)),BD27)</f>
        <v>48</v>
      </c>
      <c r="BE28" s="14">
        <f t="shared" si="1"/>
        <v>395000</v>
      </c>
    </row>
    <row r="29" spans="2:63" x14ac:dyDescent="0.15">
      <c r="B29" s="184"/>
      <c r="C29" s="29">
        <v>105</v>
      </c>
      <c r="D29" s="95">
        <v>0</v>
      </c>
      <c r="E29" s="95">
        <v>0</v>
      </c>
      <c r="F29" s="95">
        <v>0</v>
      </c>
      <c r="G29" s="95">
        <v>0</v>
      </c>
      <c r="H29" s="95">
        <v>0</v>
      </c>
      <c r="I29" s="95">
        <v>0</v>
      </c>
      <c r="M29" s="16">
        <v>28</v>
      </c>
      <c r="N29" s="29">
        <f>基础状态预期!D41</f>
        <v>111.03813549320469</v>
      </c>
      <c r="O29" s="29">
        <f>IF(基础状态预期!U41="",0,MIN(求节点($C$16:$C$24,D$16:D$24,基础状态预期!K41),求节点($C$28:$C$48,D$28:D$48,基础状态预期!U41)))</f>
        <v>0</v>
      </c>
      <c r="P29" s="29">
        <f>IF(基础状态预期!V41="",0,MIN(求节点($C$16:$C$24,E$16:E$24,基础状态预期!L41),求节点($C$28:$C$48,E$28:E$48,基础状态预期!V41)))</f>
        <v>0</v>
      </c>
      <c r="Q29" s="29">
        <f>IF(基础状态预期!W41="",0,MIN(求节点($C$16:$C$24,F$16:F$24,基础状态预期!M41),求节点($C$28:$C$48,F$28:F$48,基础状态预期!W41)))</f>
        <v>0</v>
      </c>
      <c r="R29" s="29">
        <f>IF(基础状态预期!X41="",0,MIN(求节点($C$16:$C$24,G$16:G$24,基础状态预期!N41),求节点($C$28:$C$48,G$28:G$48,基础状态预期!X41)))</f>
        <v>0</v>
      </c>
      <c r="S29" s="29">
        <f>IF(基础状态预期!Y41="",0,MIN(求节点($C$16:$C$24,H$16:H$24,基础状态预期!O41),求节点($C$28:$C$48,H$28:H$48,基础状态预期!Y41)))</f>
        <v>0.45</v>
      </c>
      <c r="T29" s="29">
        <f>MAX(SUMPRODUCT(O29:S29,基础状态预期!$F41:$J41)/SUM(基础状态预期!$F41:$J41),T28)</f>
        <v>0.45</v>
      </c>
      <c r="V29" s="17">
        <v>25</v>
      </c>
      <c r="W29" s="17">
        <f t="shared" si="3"/>
        <v>0</v>
      </c>
      <c r="X29" s="17">
        <f t="shared" si="4"/>
        <v>0</v>
      </c>
      <c r="Y29" s="17">
        <f t="shared" si="5"/>
        <v>0</v>
      </c>
      <c r="Z29" s="17">
        <f t="shared" si="6"/>
        <v>0</v>
      </c>
      <c r="AA29" s="17">
        <f t="shared" si="7"/>
        <v>0</v>
      </c>
      <c r="AO29" s="29">
        <f t="shared" si="9"/>
        <v>111.03813549320469</v>
      </c>
      <c r="AP29" s="14">
        <f>MAX(求节点($C$74:$C$79,D$74:D$79,求节点($C$4:$C$12,D$4:D$12,基础状态预期!K41)),AP28)</f>
        <v>0</v>
      </c>
      <c r="AQ29" s="14">
        <f>MAX(求节点($C$74:$C$79,E$74:E$79,求节点($C$4:$C$12,E$4:E$12,基础状态预期!L41)),AQ28)</f>
        <v>0</v>
      </c>
      <c r="AR29" s="14">
        <f>MAX(求节点($C$74:$C$79,F$74:F$79,求节点($C$4:$C$12,F$4:F$12,基础状态预期!M41)),AR28)</f>
        <v>0</v>
      </c>
      <c r="AS29" s="14">
        <f>MAX(求节点($C$74:$C$79,G$74:G$79,求节点($C$4:$C$12,G$4:G$12,基础状态预期!N41)),AS28)</f>
        <v>1</v>
      </c>
      <c r="AT29" s="14">
        <f>MAX(求节点($C$74:$C$79,H$74:H$79,求节点($C$4:$C$12,H$4:H$12,基础状态预期!O41)),AT28)</f>
        <v>2</v>
      </c>
      <c r="AU29" s="14">
        <f>MAX(求节点($C$81:$C$86,D$81:D$86,求节点($C$4:$C$12,D$4:D$12,基础状态预期!K41)),AU28)</f>
        <v>0</v>
      </c>
      <c r="AV29" s="14">
        <f>MAX(求节点($C$81:$C$86,E$81:E$86,求节点($C$4:$C$12,E$4:E$12,基础状态预期!L41)),AV28)</f>
        <v>0</v>
      </c>
      <c r="AW29" s="14">
        <f>MAX(求节点($C$81:$C$86,F$81:F$86,求节点($C$4:$C$12,F$4:F$12,基础状态预期!M41)),AW28)</f>
        <v>0</v>
      </c>
      <c r="AX29" s="14">
        <f>MAX(求节点($C$81:$C$86,G$81:G$86,求节点($C$4:$C$12,G$4:G$12,基础状态预期!N41)),AX28)</f>
        <v>0</v>
      </c>
      <c r="AY29" s="14">
        <f>MAX(求节点($C$81:$C$86,H$81:H$86,求节点($C$4:$C$12,H$4:H$12,基础状态预期!O41)),AY28)</f>
        <v>4</v>
      </c>
      <c r="AZ29" s="14">
        <f>MAX(求节点($C$88:$C$93,D$88:D$93,求节点($C$4:$C$12,D$4:D$12,基础状态预期!K41)),AZ28)</f>
        <v>0</v>
      </c>
      <c r="BA29" s="14">
        <f>MAX(求节点($C$88:$C$93,E$88:E$93,求节点($C$4:$C$12,E$4:E$12,基础状态预期!L41)),BA28)</f>
        <v>0</v>
      </c>
      <c r="BB29" s="14">
        <f>MAX(求节点($C$88:$C$93,F$88:F$93,求节点($C$4:$C$12,F$4:F$12,基础状态预期!M41)),BB28)</f>
        <v>0</v>
      </c>
      <c r="BC29" s="14">
        <f>MAX(求节点($C$88:$C$93,G$88:G$93,求节点($C$4:$C$12,G$4:G$12,基础状态预期!N41)),BC28)</f>
        <v>0</v>
      </c>
      <c r="BD29" s="14">
        <f>MAX(求节点($C$88:$C$93,H$88:H$93,求节点($C$4:$C$12,H$4:H$12,基础状态预期!O41)),BD28)</f>
        <v>48</v>
      </c>
      <c r="BE29" s="14">
        <f t="shared" si="1"/>
        <v>395000</v>
      </c>
    </row>
    <row r="30" spans="2:63" x14ac:dyDescent="0.15">
      <c r="B30" s="184"/>
      <c r="C30" s="29">
        <v>110</v>
      </c>
      <c r="D30" s="95">
        <v>0</v>
      </c>
      <c r="E30" s="95">
        <v>0</v>
      </c>
      <c r="F30" s="95">
        <v>0</v>
      </c>
      <c r="G30" s="95">
        <v>0</v>
      </c>
      <c r="H30" s="95">
        <v>0</v>
      </c>
      <c r="I30" s="95">
        <v>0</v>
      </c>
      <c r="M30" s="16">
        <v>29</v>
      </c>
      <c r="N30" s="29">
        <f>基础状态预期!D42</f>
        <v>114.50860608277577</v>
      </c>
      <c r="O30" s="29">
        <f>IF(基础状态预期!U42="",0,MIN(求节点($C$16:$C$24,D$16:D$24,基础状态预期!K42),求节点($C$28:$C$48,D$28:D$48,基础状态预期!U42)))</f>
        <v>0</v>
      </c>
      <c r="P30" s="29">
        <f>IF(基础状态预期!V42="",0,MIN(求节点($C$16:$C$24,E$16:E$24,基础状态预期!L42),求节点($C$28:$C$48,E$28:E$48,基础状态预期!V42)))</f>
        <v>0</v>
      </c>
      <c r="Q30" s="29">
        <f>IF(基础状态预期!W42="",0,MIN(求节点($C$16:$C$24,F$16:F$24,基础状态预期!M42),求节点($C$28:$C$48,F$28:F$48,基础状态预期!W42)))</f>
        <v>0</v>
      </c>
      <c r="R30" s="29">
        <f>IF(基础状态预期!X42="",0,MIN(求节点($C$16:$C$24,G$16:G$24,基础状态预期!N42),求节点($C$28:$C$48,G$28:G$48,基础状态预期!X42)))</f>
        <v>0</v>
      </c>
      <c r="S30" s="29">
        <f>IF(基础状态预期!Y42="",0,MIN(求节点($C$16:$C$24,H$16:H$24,基础状态预期!O42),求节点($C$28:$C$48,H$28:H$48,基础状态预期!Y42)))</f>
        <v>0.45</v>
      </c>
      <c r="T30" s="29">
        <f>MAX(SUMPRODUCT(O30:S30,基础状态预期!$F42:$J42)/SUM(基础状态预期!$F42:$J42),T29)</f>
        <v>0.45</v>
      </c>
      <c r="V30" s="17">
        <v>26</v>
      </c>
      <c r="W30" s="17">
        <f t="shared" si="3"/>
        <v>0</v>
      </c>
      <c r="X30" s="17">
        <f t="shared" si="4"/>
        <v>0</v>
      </c>
      <c r="Y30" s="17">
        <f t="shared" si="5"/>
        <v>0</v>
      </c>
      <c r="Z30" s="17">
        <f t="shared" si="6"/>
        <v>0</v>
      </c>
      <c r="AA30" s="17">
        <f t="shared" si="7"/>
        <v>0</v>
      </c>
      <c r="AO30" s="29">
        <f t="shared" si="9"/>
        <v>114.50860608277577</v>
      </c>
      <c r="AP30" s="14">
        <f>MAX(求节点($C$74:$C$79,D$74:D$79,求节点($C$4:$C$12,D$4:D$12,基础状态预期!K42)),AP29)</f>
        <v>0</v>
      </c>
      <c r="AQ30" s="14">
        <f>MAX(求节点($C$74:$C$79,E$74:E$79,求节点($C$4:$C$12,E$4:E$12,基础状态预期!L42)),AQ29)</f>
        <v>0</v>
      </c>
      <c r="AR30" s="14">
        <f>MAX(求节点($C$74:$C$79,F$74:F$79,求节点($C$4:$C$12,F$4:F$12,基础状态预期!M42)),AR29)</f>
        <v>0</v>
      </c>
      <c r="AS30" s="14">
        <f>MAX(求节点($C$74:$C$79,G$74:G$79,求节点($C$4:$C$12,G$4:G$12,基础状态预期!N42)),AS29)</f>
        <v>1</v>
      </c>
      <c r="AT30" s="14">
        <f>MAX(求节点($C$74:$C$79,H$74:H$79,求节点($C$4:$C$12,H$4:H$12,基础状态预期!O42)),AT29)</f>
        <v>2</v>
      </c>
      <c r="AU30" s="14">
        <f>MAX(求节点($C$81:$C$86,D$81:D$86,求节点($C$4:$C$12,D$4:D$12,基础状态预期!K42)),AU29)</f>
        <v>0</v>
      </c>
      <c r="AV30" s="14">
        <f>MAX(求节点($C$81:$C$86,E$81:E$86,求节点($C$4:$C$12,E$4:E$12,基础状态预期!L42)),AV29)</f>
        <v>0</v>
      </c>
      <c r="AW30" s="14">
        <f>MAX(求节点($C$81:$C$86,F$81:F$86,求节点($C$4:$C$12,F$4:F$12,基础状态预期!M42)),AW29)</f>
        <v>0</v>
      </c>
      <c r="AX30" s="14">
        <f>MAX(求节点($C$81:$C$86,G$81:G$86,求节点($C$4:$C$12,G$4:G$12,基础状态预期!N42)),AX29)</f>
        <v>0</v>
      </c>
      <c r="AY30" s="14">
        <f>MAX(求节点($C$81:$C$86,H$81:H$86,求节点($C$4:$C$12,H$4:H$12,基础状态预期!O42)),AY29)</f>
        <v>4</v>
      </c>
      <c r="AZ30" s="14">
        <f>MAX(求节点($C$88:$C$93,D$88:D$93,求节点($C$4:$C$12,D$4:D$12,基础状态预期!K42)),AZ29)</f>
        <v>0</v>
      </c>
      <c r="BA30" s="14">
        <f>MAX(求节点($C$88:$C$93,E$88:E$93,求节点($C$4:$C$12,E$4:E$12,基础状态预期!L42)),BA29)</f>
        <v>0</v>
      </c>
      <c r="BB30" s="14">
        <f>MAX(求节点($C$88:$C$93,F$88:F$93,求节点($C$4:$C$12,F$4:F$12,基础状态预期!M42)),BB29)</f>
        <v>0</v>
      </c>
      <c r="BC30" s="14">
        <f>MAX(求节点($C$88:$C$93,G$88:G$93,求节点($C$4:$C$12,G$4:G$12,基础状态预期!N42)),BC29)</f>
        <v>0</v>
      </c>
      <c r="BD30" s="14">
        <f>MAX(求节点($C$88:$C$93,H$88:H$93,求节点($C$4:$C$12,H$4:H$12,基础状态预期!O42)),BD29)</f>
        <v>48</v>
      </c>
      <c r="BE30" s="14">
        <f t="shared" si="1"/>
        <v>395000</v>
      </c>
    </row>
    <row r="31" spans="2:63" x14ac:dyDescent="0.15">
      <c r="B31" s="184"/>
      <c r="C31" s="29">
        <v>115</v>
      </c>
      <c r="D31" s="95">
        <v>0</v>
      </c>
      <c r="E31" s="95">
        <v>0</v>
      </c>
      <c r="F31" s="95">
        <v>0</v>
      </c>
      <c r="G31" s="95">
        <v>0</v>
      </c>
      <c r="H31" s="95">
        <v>0</v>
      </c>
      <c r="I31" s="95">
        <v>0</v>
      </c>
      <c r="M31" s="16">
        <v>30</v>
      </c>
      <c r="N31" s="29">
        <f>基础状态预期!D43</f>
        <v>118.05948896247369</v>
      </c>
      <c r="O31" s="29">
        <f>IF(基础状态预期!U43="",0,MIN(求节点($C$16:$C$24,D$16:D$24,基础状态预期!K43),求节点($C$28:$C$48,D$28:D$48,基础状态预期!U43)))</f>
        <v>0</v>
      </c>
      <c r="P31" s="29">
        <f>IF(基础状态预期!V43="",0,MIN(求节点($C$16:$C$24,E$16:E$24,基础状态预期!L43),求节点($C$28:$C$48,E$28:E$48,基础状态预期!V43)))</f>
        <v>0</v>
      </c>
      <c r="Q31" s="29">
        <f>IF(基础状态预期!W43="",0,MIN(求节点($C$16:$C$24,F$16:F$24,基础状态预期!M43),求节点($C$28:$C$48,F$28:F$48,基础状态预期!W43)))</f>
        <v>0</v>
      </c>
      <c r="R31" s="29">
        <f>IF(基础状态预期!X43="",0,MIN(求节点($C$16:$C$24,G$16:G$24,基础状态预期!N43),求节点($C$28:$C$48,G$28:G$48,基础状态预期!X43)))</f>
        <v>0</v>
      </c>
      <c r="S31" s="29">
        <f>IF(基础状态预期!Y43="",0,MIN(求节点($C$16:$C$24,H$16:H$24,基础状态预期!O43),求节点($C$28:$C$48,H$28:H$48,基础状态预期!Y43)))</f>
        <v>0.45</v>
      </c>
      <c r="T31" s="29">
        <f>MAX(SUMPRODUCT(O31:S31,基础状态预期!$F43:$J43)/SUM(基础状态预期!$F43:$J43),T30)</f>
        <v>0.45</v>
      </c>
      <c r="V31" s="17">
        <v>27</v>
      </c>
      <c r="W31" s="17">
        <f t="shared" si="3"/>
        <v>0</v>
      </c>
      <c r="X31" s="17">
        <f t="shared" si="4"/>
        <v>0</v>
      </c>
      <c r="Y31" s="17">
        <f t="shared" si="5"/>
        <v>0</v>
      </c>
      <c r="Z31" s="17">
        <f t="shared" si="6"/>
        <v>0</v>
      </c>
      <c r="AA31" s="17">
        <f t="shared" si="7"/>
        <v>0</v>
      </c>
      <c r="AO31" s="29">
        <f t="shared" si="9"/>
        <v>118.05948896247369</v>
      </c>
      <c r="AP31" s="14">
        <f>MAX(求节点($C$74:$C$79,D$74:D$79,求节点($C$4:$C$12,D$4:D$12,基础状态预期!K43)),AP30)</f>
        <v>0</v>
      </c>
      <c r="AQ31" s="14">
        <f>MAX(求节点($C$74:$C$79,E$74:E$79,求节点($C$4:$C$12,E$4:E$12,基础状态预期!L43)),AQ30)</f>
        <v>0</v>
      </c>
      <c r="AR31" s="14">
        <f>MAX(求节点($C$74:$C$79,F$74:F$79,求节点($C$4:$C$12,F$4:F$12,基础状态预期!M43)),AR30)</f>
        <v>0</v>
      </c>
      <c r="AS31" s="14">
        <f>MAX(求节点($C$74:$C$79,G$74:G$79,求节点($C$4:$C$12,G$4:G$12,基础状态预期!N43)),AS30)</f>
        <v>1</v>
      </c>
      <c r="AT31" s="14">
        <f>MAX(求节点($C$74:$C$79,H$74:H$79,求节点($C$4:$C$12,H$4:H$12,基础状态预期!O43)),AT30)</f>
        <v>2</v>
      </c>
      <c r="AU31" s="14">
        <f>MAX(求节点($C$81:$C$86,D$81:D$86,求节点($C$4:$C$12,D$4:D$12,基础状态预期!K43)),AU30)</f>
        <v>0</v>
      </c>
      <c r="AV31" s="14">
        <f>MAX(求节点($C$81:$C$86,E$81:E$86,求节点($C$4:$C$12,E$4:E$12,基础状态预期!L43)),AV30)</f>
        <v>0</v>
      </c>
      <c r="AW31" s="14">
        <f>MAX(求节点($C$81:$C$86,F$81:F$86,求节点($C$4:$C$12,F$4:F$12,基础状态预期!M43)),AW30)</f>
        <v>0</v>
      </c>
      <c r="AX31" s="14">
        <f>MAX(求节点($C$81:$C$86,G$81:G$86,求节点($C$4:$C$12,G$4:G$12,基础状态预期!N43)),AX30)</f>
        <v>0</v>
      </c>
      <c r="AY31" s="14">
        <f>MAX(求节点($C$81:$C$86,H$81:H$86,求节点($C$4:$C$12,H$4:H$12,基础状态预期!O43)),AY30)</f>
        <v>4</v>
      </c>
      <c r="AZ31" s="14">
        <f>MAX(求节点($C$88:$C$93,D$88:D$93,求节点($C$4:$C$12,D$4:D$12,基础状态预期!K43)),AZ30)</f>
        <v>0</v>
      </c>
      <c r="BA31" s="14">
        <f>MAX(求节点($C$88:$C$93,E$88:E$93,求节点($C$4:$C$12,E$4:E$12,基础状态预期!L43)),BA30)</f>
        <v>0</v>
      </c>
      <c r="BB31" s="14">
        <f>MAX(求节点($C$88:$C$93,F$88:F$93,求节点($C$4:$C$12,F$4:F$12,基础状态预期!M43)),BB30)</f>
        <v>0</v>
      </c>
      <c r="BC31" s="14">
        <f>MAX(求节点($C$88:$C$93,G$88:G$93,求节点($C$4:$C$12,G$4:G$12,基础状态预期!N43)),BC30)</f>
        <v>0</v>
      </c>
      <c r="BD31" s="14">
        <f>MAX(求节点($C$88:$C$93,H$88:H$93,求节点($C$4:$C$12,H$4:H$12,基础状态预期!O43)),BD30)</f>
        <v>48</v>
      </c>
      <c r="BE31" s="14">
        <f t="shared" si="1"/>
        <v>395000</v>
      </c>
    </row>
    <row r="32" spans="2:63" x14ac:dyDescent="0.15">
      <c r="B32" s="184"/>
      <c r="C32" s="29">
        <v>120</v>
      </c>
      <c r="D32" s="95">
        <v>0</v>
      </c>
      <c r="E32" s="95">
        <v>0</v>
      </c>
      <c r="F32" s="95">
        <v>0</v>
      </c>
      <c r="G32" s="95">
        <v>7.4999999999999997E-2</v>
      </c>
      <c r="H32" s="95">
        <v>0.09</v>
      </c>
      <c r="I32" s="95">
        <v>0.12</v>
      </c>
      <c r="M32" s="16">
        <v>31</v>
      </c>
      <c r="N32" s="29">
        <f>基础状态预期!D44</f>
        <v>121.47928719052189</v>
      </c>
      <c r="O32" s="29">
        <f>IF(基础状态预期!U44="",0,MIN(求节点($C$16:$C$24,D$16:D$24,基础状态预期!K44),求节点($C$28:$C$48,D$28:D$48,基础状态预期!U44)))</f>
        <v>0</v>
      </c>
      <c r="P32" s="29">
        <f>IF(基础状态预期!V44="",0,MIN(求节点($C$16:$C$24,E$16:E$24,基础状态预期!L44),求节点($C$28:$C$48,E$28:E$48,基础状态预期!V44)))</f>
        <v>0</v>
      </c>
      <c r="Q32" s="29">
        <f>IF(基础状态预期!W44="",0,MIN(求节点($C$16:$C$24,F$16:F$24,基础状态预期!M44),求节点($C$28:$C$48,F$28:F$48,基础状态预期!W44)))</f>
        <v>0</v>
      </c>
      <c r="R32" s="29">
        <f>IF(基础状态预期!X44="",0,MIN(求节点($C$16:$C$24,G$16:G$24,基础状态预期!N44),求节点($C$28:$C$48,G$28:G$48,基础状态预期!X44)))</f>
        <v>0</v>
      </c>
      <c r="S32" s="29">
        <f>IF(基础状态预期!Y44="",0,MIN(求节点($C$16:$C$24,H$16:H$24,基础状态预期!O44),求节点($C$28:$C$48,H$28:H$48,基础状态预期!Y44)))</f>
        <v>0.45</v>
      </c>
      <c r="T32" s="29">
        <f>MAX(SUMPRODUCT(O32:S32,基础状态预期!$F44:$J44)/SUM(基础状态预期!$F44:$J44),T31)</f>
        <v>0.45</v>
      </c>
      <c r="V32" s="17">
        <v>28</v>
      </c>
      <c r="W32" s="17">
        <f t="shared" si="3"/>
        <v>0</v>
      </c>
      <c r="X32" s="17">
        <f t="shared" si="4"/>
        <v>0</v>
      </c>
      <c r="Y32" s="17">
        <f t="shared" si="5"/>
        <v>0</v>
      </c>
      <c r="Z32" s="17">
        <f t="shared" si="6"/>
        <v>0</v>
      </c>
      <c r="AA32" s="17">
        <f t="shared" si="7"/>
        <v>0</v>
      </c>
      <c r="AO32" s="29">
        <f t="shared" si="9"/>
        <v>121.47928719052189</v>
      </c>
      <c r="AP32" s="14">
        <f>MAX(求节点($C$74:$C$79,D$74:D$79,求节点($C$4:$C$12,D$4:D$12,基础状态预期!K44)),AP31)</f>
        <v>0</v>
      </c>
      <c r="AQ32" s="14">
        <f>MAX(求节点($C$74:$C$79,E$74:E$79,求节点($C$4:$C$12,E$4:E$12,基础状态预期!L44)),AQ31)</f>
        <v>0</v>
      </c>
      <c r="AR32" s="14">
        <f>MAX(求节点($C$74:$C$79,F$74:F$79,求节点($C$4:$C$12,F$4:F$12,基础状态预期!M44)),AR31)</f>
        <v>0</v>
      </c>
      <c r="AS32" s="14">
        <f>MAX(求节点($C$74:$C$79,G$74:G$79,求节点($C$4:$C$12,G$4:G$12,基础状态预期!N44)),AS31)</f>
        <v>1</v>
      </c>
      <c r="AT32" s="14">
        <f>MAX(求节点($C$74:$C$79,H$74:H$79,求节点($C$4:$C$12,H$4:H$12,基础状态预期!O44)),AT31)</f>
        <v>2</v>
      </c>
      <c r="AU32" s="14">
        <f>MAX(求节点($C$81:$C$86,D$81:D$86,求节点($C$4:$C$12,D$4:D$12,基础状态预期!K44)),AU31)</f>
        <v>0</v>
      </c>
      <c r="AV32" s="14">
        <f>MAX(求节点($C$81:$C$86,E$81:E$86,求节点($C$4:$C$12,E$4:E$12,基础状态预期!L44)),AV31)</f>
        <v>0</v>
      </c>
      <c r="AW32" s="14">
        <f>MAX(求节点($C$81:$C$86,F$81:F$86,求节点($C$4:$C$12,F$4:F$12,基础状态预期!M44)),AW31)</f>
        <v>0</v>
      </c>
      <c r="AX32" s="14">
        <f>MAX(求节点($C$81:$C$86,G$81:G$86,求节点($C$4:$C$12,G$4:G$12,基础状态预期!N44)),AX31)</f>
        <v>0</v>
      </c>
      <c r="AY32" s="14">
        <f>MAX(求节点($C$81:$C$86,H$81:H$86,求节点($C$4:$C$12,H$4:H$12,基础状态预期!O44)),AY31)</f>
        <v>4</v>
      </c>
      <c r="AZ32" s="14">
        <f>MAX(求节点($C$88:$C$93,D$88:D$93,求节点($C$4:$C$12,D$4:D$12,基础状态预期!K44)),AZ31)</f>
        <v>0</v>
      </c>
      <c r="BA32" s="14">
        <f>MAX(求节点($C$88:$C$93,E$88:E$93,求节点($C$4:$C$12,E$4:E$12,基础状态预期!L44)),BA31)</f>
        <v>0</v>
      </c>
      <c r="BB32" s="14">
        <f>MAX(求节点($C$88:$C$93,F$88:F$93,求节点($C$4:$C$12,F$4:F$12,基础状态预期!M44)),BB31)</f>
        <v>0</v>
      </c>
      <c r="BC32" s="14">
        <f>MAX(求节点($C$88:$C$93,G$88:G$93,求节点($C$4:$C$12,G$4:G$12,基础状态预期!N44)),BC31)</f>
        <v>0</v>
      </c>
      <c r="BD32" s="14">
        <f>MAX(求节点($C$88:$C$93,H$88:H$93,求节点($C$4:$C$12,H$4:H$12,基础状态预期!O44)),BD31)</f>
        <v>48</v>
      </c>
      <c r="BE32" s="14">
        <f t="shared" si="1"/>
        <v>395000</v>
      </c>
    </row>
    <row r="33" spans="2:63" x14ac:dyDescent="0.15">
      <c r="B33" s="184"/>
      <c r="C33" s="29">
        <v>125</v>
      </c>
      <c r="D33" s="95">
        <v>0</v>
      </c>
      <c r="E33" s="95">
        <v>0</v>
      </c>
      <c r="F33" s="95">
        <v>0</v>
      </c>
      <c r="G33" s="95">
        <v>7.4999999999999997E-2</v>
      </c>
      <c r="H33" s="95">
        <v>0.09</v>
      </c>
      <c r="I33" s="95">
        <v>0.12</v>
      </c>
      <c r="M33" s="16">
        <v>32</v>
      </c>
      <c r="N33" s="29">
        <f>基础状态预期!D45</f>
        <v>125.02015904129435</v>
      </c>
      <c r="O33" s="29">
        <f>IF(基础状态预期!U45="",0,MIN(求节点($C$16:$C$24,D$16:D$24,基础状态预期!K45),求节点($C$28:$C$48,D$28:D$48,基础状态预期!U45)))</f>
        <v>0</v>
      </c>
      <c r="P33" s="29">
        <f>IF(基础状态预期!V45="",0,MIN(求节点($C$16:$C$24,E$16:E$24,基础状态预期!L45),求节点($C$28:$C$48,E$28:E$48,基础状态预期!V45)))</f>
        <v>0</v>
      </c>
      <c r="Q33" s="29">
        <f>IF(基础状态预期!W45="",0,MIN(求节点($C$16:$C$24,F$16:F$24,基础状态预期!M45),求节点($C$28:$C$48,F$28:F$48,基础状态预期!W45)))</f>
        <v>0</v>
      </c>
      <c r="R33" s="29">
        <f>IF(基础状态预期!X45="",0,MIN(求节点($C$16:$C$24,G$16:G$24,基础状态预期!N45),求节点($C$28:$C$48,G$28:G$48,基础状态预期!X45)))</f>
        <v>0</v>
      </c>
      <c r="S33" s="29">
        <f>IF(基础状态预期!Y45="",0,MIN(求节点($C$16:$C$24,H$16:H$24,基础状态预期!O45),求节点($C$28:$C$48,H$28:H$48,基础状态预期!Y45)))</f>
        <v>0.45</v>
      </c>
      <c r="T33" s="29">
        <f>MAX(SUMPRODUCT(O33:S33,基础状态预期!$F45:$J45)/SUM(基础状态预期!$F45:$J45),T32)</f>
        <v>0.45</v>
      </c>
      <c r="V33" s="17">
        <v>29</v>
      </c>
      <c r="W33" s="17">
        <f t="shared" si="3"/>
        <v>0</v>
      </c>
      <c r="X33" s="17">
        <f t="shared" si="4"/>
        <v>0</v>
      </c>
      <c r="Y33" s="17">
        <f t="shared" si="5"/>
        <v>0</v>
      </c>
      <c r="Z33" s="17">
        <f t="shared" si="6"/>
        <v>0</v>
      </c>
      <c r="AA33" s="17">
        <f t="shared" si="7"/>
        <v>0</v>
      </c>
      <c r="AO33" s="29">
        <f t="shared" si="9"/>
        <v>125.02015904129435</v>
      </c>
      <c r="AP33" s="14">
        <f>MAX(求节点($C$74:$C$79,D$74:D$79,求节点($C$4:$C$12,D$4:D$12,基础状态预期!K45)),AP32)</f>
        <v>0</v>
      </c>
      <c r="AQ33" s="14">
        <f>MAX(求节点($C$74:$C$79,E$74:E$79,求节点($C$4:$C$12,E$4:E$12,基础状态预期!L45)),AQ32)</f>
        <v>0</v>
      </c>
      <c r="AR33" s="14">
        <f>MAX(求节点($C$74:$C$79,F$74:F$79,求节点($C$4:$C$12,F$4:F$12,基础状态预期!M45)),AR32)</f>
        <v>0</v>
      </c>
      <c r="AS33" s="14">
        <f>MAX(求节点($C$74:$C$79,G$74:G$79,求节点($C$4:$C$12,G$4:G$12,基础状态预期!N45)),AS32)</f>
        <v>1</v>
      </c>
      <c r="AT33" s="14">
        <f>MAX(求节点($C$74:$C$79,H$74:H$79,求节点($C$4:$C$12,H$4:H$12,基础状态预期!O45)),AT32)</f>
        <v>2</v>
      </c>
      <c r="AU33" s="14">
        <f>MAX(求节点($C$81:$C$86,D$81:D$86,求节点($C$4:$C$12,D$4:D$12,基础状态预期!K45)),AU32)</f>
        <v>0</v>
      </c>
      <c r="AV33" s="14">
        <f>MAX(求节点($C$81:$C$86,E$81:E$86,求节点($C$4:$C$12,E$4:E$12,基础状态预期!L45)),AV32)</f>
        <v>0</v>
      </c>
      <c r="AW33" s="14">
        <f>MAX(求节点($C$81:$C$86,F$81:F$86,求节点($C$4:$C$12,F$4:F$12,基础状态预期!M45)),AW32)</f>
        <v>0</v>
      </c>
      <c r="AX33" s="14">
        <f>MAX(求节点($C$81:$C$86,G$81:G$86,求节点($C$4:$C$12,G$4:G$12,基础状态预期!N45)),AX32)</f>
        <v>0</v>
      </c>
      <c r="AY33" s="14">
        <f>MAX(求节点($C$81:$C$86,H$81:H$86,求节点($C$4:$C$12,H$4:H$12,基础状态预期!O45)),AY32)</f>
        <v>4</v>
      </c>
      <c r="AZ33" s="14">
        <f>MAX(求节点($C$88:$C$93,D$88:D$93,求节点($C$4:$C$12,D$4:D$12,基础状态预期!K45)),AZ32)</f>
        <v>0</v>
      </c>
      <c r="BA33" s="14">
        <f>MAX(求节点($C$88:$C$93,E$88:E$93,求节点($C$4:$C$12,E$4:E$12,基础状态预期!L45)),BA32)</f>
        <v>0</v>
      </c>
      <c r="BB33" s="14">
        <f>MAX(求节点($C$88:$C$93,F$88:F$93,求节点($C$4:$C$12,F$4:F$12,基础状态预期!M45)),BB32)</f>
        <v>0</v>
      </c>
      <c r="BC33" s="14">
        <f>MAX(求节点($C$88:$C$93,G$88:G$93,求节点($C$4:$C$12,G$4:G$12,基础状态预期!N45)),BC32)</f>
        <v>0</v>
      </c>
      <c r="BD33" s="14">
        <f>MAX(求节点($C$88:$C$93,H$88:H$93,求节点($C$4:$C$12,H$4:H$12,基础状态预期!O45)),BD32)</f>
        <v>48</v>
      </c>
      <c r="BE33" s="14">
        <f t="shared" si="1"/>
        <v>395000</v>
      </c>
    </row>
    <row r="34" spans="2:63" x14ac:dyDescent="0.15">
      <c r="B34" s="184"/>
      <c r="C34" s="29">
        <v>130</v>
      </c>
      <c r="D34" s="95">
        <v>0</v>
      </c>
      <c r="E34" s="95">
        <v>0</v>
      </c>
      <c r="F34" s="95">
        <v>0</v>
      </c>
      <c r="G34" s="95">
        <v>7.4999999999999997E-2</v>
      </c>
      <c r="H34" s="95">
        <v>0.09</v>
      </c>
      <c r="I34" s="95">
        <v>0.12</v>
      </c>
      <c r="M34" s="16">
        <v>33</v>
      </c>
      <c r="N34" s="29">
        <f>基础状态预期!D46</f>
        <v>128.56549059889721</v>
      </c>
      <c r="O34" s="29">
        <f>IF(基础状态预期!U46="",0,MIN(求节点($C$16:$C$24,D$16:D$24,基础状态预期!K46),求节点($C$28:$C$48,D$28:D$48,基础状态预期!U46)))</f>
        <v>0</v>
      </c>
      <c r="P34" s="29">
        <f>IF(基础状态预期!V46="",0,MIN(求节点($C$16:$C$24,E$16:E$24,基础状态预期!L46),求节点($C$28:$C$48,E$28:E$48,基础状态预期!V46)))</f>
        <v>0</v>
      </c>
      <c r="Q34" s="29">
        <f>IF(基础状态预期!W46="",0,MIN(求节点($C$16:$C$24,F$16:F$24,基础状态预期!M46),求节点($C$28:$C$48,F$28:F$48,基础状态预期!W46)))</f>
        <v>0</v>
      </c>
      <c r="R34" s="29">
        <f>IF(基础状态预期!X46="",0,MIN(求节点($C$16:$C$24,G$16:G$24,基础状态预期!N46),求节点($C$28:$C$48,G$28:G$48,基础状态预期!X46)))</f>
        <v>0</v>
      </c>
      <c r="S34" s="29">
        <f>IF(基础状态预期!Y46="",0,MIN(求节点($C$16:$C$24,H$16:H$24,基础状态预期!O46),求节点($C$28:$C$48,H$28:H$48,基础状态预期!Y46)))</f>
        <v>0.45</v>
      </c>
      <c r="T34" s="29">
        <f>MAX(SUMPRODUCT(O34:S34,基础状态预期!$F46:$J46)/SUM(基础状态预期!$F46:$J46),T33)</f>
        <v>0.45</v>
      </c>
      <c r="V34" s="17">
        <v>30</v>
      </c>
      <c r="W34" s="17">
        <f t="shared" si="3"/>
        <v>0</v>
      </c>
      <c r="X34" s="17">
        <f t="shared" si="4"/>
        <v>0</v>
      </c>
      <c r="Y34" s="17">
        <f t="shared" si="5"/>
        <v>0</v>
      </c>
      <c r="Z34" s="17">
        <f t="shared" si="6"/>
        <v>0</v>
      </c>
      <c r="AA34" s="17">
        <f t="shared" si="7"/>
        <v>0</v>
      </c>
      <c r="AO34" s="29">
        <f t="shared" si="9"/>
        <v>128.56549059889721</v>
      </c>
      <c r="AP34" s="14">
        <f>MAX(求节点($C$74:$C$79,D$74:D$79,求节点($C$4:$C$12,D$4:D$12,基础状态预期!K46)),AP33)</f>
        <v>0</v>
      </c>
      <c r="AQ34" s="14">
        <f>MAX(求节点($C$74:$C$79,E$74:E$79,求节点($C$4:$C$12,E$4:E$12,基础状态预期!L46)),AQ33)</f>
        <v>0</v>
      </c>
      <c r="AR34" s="14">
        <f>MAX(求节点($C$74:$C$79,F$74:F$79,求节点($C$4:$C$12,F$4:F$12,基础状态预期!M46)),AR33)</f>
        <v>0</v>
      </c>
      <c r="AS34" s="14">
        <f>MAX(求节点($C$74:$C$79,G$74:G$79,求节点($C$4:$C$12,G$4:G$12,基础状态预期!N46)),AS33)</f>
        <v>1</v>
      </c>
      <c r="AT34" s="14">
        <f>MAX(求节点($C$74:$C$79,H$74:H$79,求节点($C$4:$C$12,H$4:H$12,基础状态预期!O46)),AT33)</f>
        <v>2</v>
      </c>
      <c r="AU34" s="14">
        <f>MAX(求节点($C$81:$C$86,D$81:D$86,求节点($C$4:$C$12,D$4:D$12,基础状态预期!K46)),AU33)</f>
        <v>0</v>
      </c>
      <c r="AV34" s="14">
        <f>MAX(求节点($C$81:$C$86,E$81:E$86,求节点($C$4:$C$12,E$4:E$12,基础状态预期!L46)),AV33)</f>
        <v>0</v>
      </c>
      <c r="AW34" s="14">
        <f>MAX(求节点($C$81:$C$86,F$81:F$86,求节点($C$4:$C$12,F$4:F$12,基础状态预期!M46)),AW33)</f>
        <v>0</v>
      </c>
      <c r="AX34" s="14">
        <f>MAX(求节点($C$81:$C$86,G$81:G$86,求节点($C$4:$C$12,G$4:G$12,基础状态预期!N46)),AX33)</f>
        <v>0</v>
      </c>
      <c r="AY34" s="14">
        <f>MAX(求节点($C$81:$C$86,H$81:H$86,求节点($C$4:$C$12,H$4:H$12,基础状态预期!O46)),AY33)</f>
        <v>4</v>
      </c>
      <c r="AZ34" s="14">
        <f>MAX(求节点($C$88:$C$93,D$88:D$93,求节点($C$4:$C$12,D$4:D$12,基础状态预期!K46)),AZ33)</f>
        <v>0</v>
      </c>
      <c r="BA34" s="14">
        <f>MAX(求节点($C$88:$C$93,E$88:E$93,求节点($C$4:$C$12,E$4:E$12,基础状态预期!L46)),BA33)</f>
        <v>0</v>
      </c>
      <c r="BB34" s="14">
        <f>MAX(求节点($C$88:$C$93,F$88:F$93,求节点($C$4:$C$12,F$4:F$12,基础状态预期!M46)),BB33)</f>
        <v>0</v>
      </c>
      <c r="BC34" s="14">
        <f>MAX(求节点($C$88:$C$93,G$88:G$93,求节点($C$4:$C$12,G$4:G$12,基础状态预期!N46)),BC33)</f>
        <v>0</v>
      </c>
      <c r="BD34" s="14">
        <f>MAX(求节点($C$88:$C$93,H$88:H$93,求节点($C$4:$C$12,H$4:H$12,基础状态预期!O46)),BD33)</f>
        <v>48</v>
      </c>
      <c r="BE34" s="14">
        <f t="shared" si="1"/>
        <v>395000</v>
      </c>
    </row>
    <row r="35" spans="2:63" x14ac:dyDescent="0.15">
      <c r="B35" s="184"/>
      <c r="C35" s="29">
        <v>135</v>
      </c>
      <c r="D35" s="95">
        <v>0</v>
      </c>
      <c r="E35" s="95">
        <v>0</v>
      </c>
      <c r="F35" s="95">
        <v>0</v>
      </c>
      <c r="G35" s="95">
        <v>7.4999999999999997E-2</v>
      </c>
      <c r="H35" s="95">
        <v>0.18</v>
      </c>
      <c r="I35" s="95">
        <v>0.24</v>
      </c>
      <c r="M35" s="16">
        <v>34</v>
      </c>
      <c r="N35" s="29">
        <f>基础状态预期!D47</f>
        <v>132.07530828871487</v>
      </c>
      <c r="O35" s="29">
        <f>IF(基础状态预期!U47="",0,MIN(求节点($C$16:$C$24,D$16:D$24,基础状态预期!K47),求节点($C$28:$C$48,D$28:D$48,基础状态预期!U47)))</f>
        <v>0</v>
      </c>
      <c r="P35" s="29">
        <f>IF(基础状态预期!V47="",0,MIN(求节点($C$16:$C$24,E$16:E$24,基础状态预期!L47),求节点($C$28:$C$48,E$28:E$48,基础状态预期!V47)))</f>
        <v>0</v>
      </c>
      <c r="Q35" s="29">
        <f>IF(基础状态预期!W47="",0,MIN(求节点($C$16:$C$24,F$16:F$24,基础状态预期!M47),求节点($C$28:$C$48,F$28:F$48,基础状态预期!W47)))</f>
        <v>0</v>
      </c>
      <c r="R35" s="29">
        <f>IF(基础状态预期!X47="",0,MIN(求节点($C$16:$C$24,G$16:G$24,基础状态预期!N47),求节点($C$28:$C$48,G$28:G$48,基础状态预期!X47)))</f>
        <v>0</v>
      </c>
      <c r="S35" s="29">
        <f>IF(基础状态预期!Y47="",0,MIN(求节点($C$16:$C$24,H$16:H$24,基础状态预期!O47),求节点($C$28:$C$48,H$28:H$48,基础状态预期!Y47)))</f>
        <v>0.45</v>
      </c>
      <c r="T35" s="29">
        <f>MAX(SUMPRODUCT(O35:S35,基础状态预期!$F47:$J47)/SUM(基础状态预期!$F47:$J47),T34)</f>
        <v>0.45</v>
      </c>
      <c r="V35" s="17">
        <v>31</v>
      </c>
      <c r="W35" s="17">
        <f t="shared" si="3"/>
        <v>0</v>
      </c>
      <c r="X35" s="17">
        <f t="shared" si="4"/>
        <v>0</v>
      </c>
      <c r="Y35" s="17">
        <f t="shared" si="5"/>
        <v>0</v>
      </c>
      <c r="Z35" s="17">
        <f t="shared" si="6"/>
        <v>0</v>
      </c>
      <c r="AA35" s="17">
        <f t="shared" si="7"/>
        <v>0</v>
      </c>
      <c r="AO35" s="29">
        <f t="shared" si="9"/>
        <v>132.07530828871487</v>
      </c>
      <c r="AP35" s="14">
        <f>MAX(求节点($C$74:$C$79,D$74:D$79,求节点($C$4:$C$12,D$4:D$12,基础状态预期!K47)),AP34)</f>
        <v>0</v>
      </c>
      <c r="AQ35" s="14">
        <f>MAX(求节点($C$74:$C$79,E$74:E$79,求节点($C$4:$C$12,E$4:E$12,基础状态预期!L47)),AQ34)</f>
        <v>0</v>
      </c>
      <c r="AR35" s="14">
        <f>MAX(求节点($C$74:$C$79,F$74:F$79,求节点($C$4:$C$12,F$4:F$12,基础状态预期!M47)),AR34)</f>
        <v>0</v>
      </c>
      <c r="AS35" s="14">
        <f>MAX(求节点($C$74:$C$79,G$74:G$79,求节点($C$4:$C$12,G$4:G$12,基础状态预期!N47)),AS34)</f>
        <v>1</v>
      </c>
      <c r="AT35" s="14">
        <f>MAX(求节点($C$74:$C$79,H$74:H$79,求节点($C$4:$C$12,H$4:H$12,基础状态预期!O47)),AT34)</f>
        <v>2</v>
      </c>
      <c r="AU35" s="14">
        <f>MAX(求节点($C$81:$C$86,D$81:D$86,求节点($C$4:$C$12,D$4:D$12,基础状态预期!K47)),AU34)</f>
        <v>0</v>
      </c>
      <c r="AV35" s="14">
        <f>MAX(求节点($C$81:$C$86,E$81:E$86,求节点($C$4:$C$12,E$4:E$12,基础状态预期!L47)),AV34)</f>
        <v>0</v>
      </c>
      <c r="AW35" s="14">
        <f>MAX(求节点($C$81:$C$86,F$81:F$86,求节点($C$4:$C$12,F$4:F$12,基础状态预期!M47)),AW34)</f>
        <v>0</v>
      </c>
      <c r="AX35" s="14">
        <f>MAX(求节点($C$81:$C$86,G$81:G$86,求节点($C$4:$C$12,G$4:G$12,基础状态预期!N47)),AX34)</f>
        <v>0</v>
      </c>
      <c r="AY35" s="14">
        <f>MAX(求节点($C$81:$C$86,H$81:H$86,求节点($C$4:$C$12,H$4:H$12,基础状态预期!O47)),AY34)</f>
        <v>4</v>
      </c>
      <c r="AZ35" s="14">
        <f>MAX(求节点($C$88:$C$93,D$88:D$93,求节点($C$4:$C$12,D$4:D$12,基础状态预期!K47)),AZ34)</f>
        <v>0</v>
      </c>
      <c r="BA35" s="14">
        <f>MAX(求节点($C$88:$C$93,E$88:E$93,求节点($C$4:$C$12,E$4:E$12,基础状态预期!L47)),BA34)</f>
        <v>0</v>
      </c>
      <c r="BB35" s="14">
        <f>MAX(求节点($C$88:$C$93,F$88:F$93,求节点($C$4:$C$12,F$4:F$12,基础状态预期!M47)),BB34)</f>
        <v>0</v>
      </c>
      <c r="BC35" s="14">
        <f>MAX(求节点($C$88:$C$93,G$88:G$93,求节点($C$4:$C$12,G$4:G$12,基础状态预期!N47)),BC34)</f>
        <v>0</v>
      </c>
      <c r="BD35" s="14">
        <f>MAX(求节点($C$88:$C$93,H$88:H$93,求节点($C$4:$C$12,H$4:H$12,基础状态预期!O47)),BD34)</f>
        <v>48</v>
      </c>
      <c r="BE35" s="14">
        <f t="shared" si="1"/>
        <v>395000</v>
      </c>
    </row>
    <row r="36" spans="2:63" x14ac:dyDescent="0.15">
      <c r="B36" s="184"/>
      <c r="C36" s="29">
        <v>140</v>
      </c>
      <c r="D36" s="95">
        <v>0</v>
      </c>
      <c r="E36" s="95">
        <v>0</v>
      </c>
      <c r="F36" s="95">
        <v>0</v>
      </c>
      <c r="G36" s="95">
        <v>7.4999999999999997E-2</v>
      </c>
      <c r="H36" s="95">
        <v>0.18</v>
      </c>
      <c r="I36" s="95">
        <v>0.24</v>
      </c>
      <c r="M36" s="16">
        <v>35</v>
      </c>
      <c r="N36" s="29">
        <f>基础状态预期!D48</f>
        <v>135.54811255008914</v>
      </c>
      <c r="O36" s="29">
        <f>IF(基础状态预期!U48="",0,MIN(求节点($C$16:$C$24,D$16:D$24,基础状态预期!K48),求节点($C$28:$C$48,D$28:D$48,基础状态预期!U48)))</f>
        <v>0</v>
      </c>
      <c r="P36" s="29">
        <f>IF(基础状态预期!V48="",0,MIN(求节点($C$16:$C$24,E$16:E$24,基础状态预期!L48),求节点($C$28:$C$48,E$28:E$48,基础状态预期!V48)))</f>
        <v>0</v>
      </c>
      <c r="Q36" s="29">
        <f>IF(基础状态预期!W48="",0,MIN(求节点($C$16:$C$24,F$16:F$24,基础状态预期!M48),求节点($C$28:$C$48,F$28:F$48,基础状态预期!W48)))</f>
        <v>0</v>
      </c>
      <c r="R36" s="29">
        <f>IF(基础状态预期!X48="",0,MIN(求节点($C$16:$C$24,G$16:G$24,基础状态预期!N48),求节点($C$28:$C$48,G$28:G$48,基础状态预期!X48)))</f>
        <v>0</v>
      </c>
      <c r="S36" s="29">
        <f>IF(基础状态预期!Y48="",0,MIN(求节点($C$16:$C$24,H$16:H$24,基础状态预期!O48),求节点($C$28:$C$48,H$28:H$48,基础状态预期!Y48)))</f>
        <v>0.45</v>
      </c>
      <c r="T36" s="29">
        <f>MAX(SUMPRODUCT(O36:S36,基础状态预期!$F48:$J48)/SUM(基础状态预期!$F48:$J48),T35)</f>
        <v>0.45</v>
      </c>
      <c r="V36" s="17">
        <v>32</v>
      </c>
      <c r="W36" s="17">
        <f t="shared" si="3"/>
        <v>0</v>
      </c>
      <c r="X36" s="17">
        <f t="shared" si="4"/>
        <v>0</v>
      </c>
      <c r="Y36" s="17">
        <f t="shared" si="5"/>
        <v>0</v>
      </c>
      <c r="Z36" s="17">
        <f t="shared" si="6"/>
        <v>0</v>
      </c>
      <c r="AA36" s="17">
        <f t="shared" si="7"/>
        <v>0</v>
      </c>
      <c r="AO36" s="29">
        <f t="shared" si="9"/>
        <v>135.54811255008914</v>
      </c>
      <c r="AP36" s="14">
        <f>MAX(求节点($C$74:$C$79,D$74:D$79,求节点($C$4:$C$12,D$4:D$12,基础状态预期!K48)),AP35)</f>
        <v>0</v>
      </c>
      <c r="AQ36" s="14">
        <f>MAX(求节点($C$74:$C$79,E$74:E$79,求节点($C$4:$C$12,E$4:E$12,基础状态预期!L48)),AQ35)</f>
        <v>0</v>
      </c>
      <c r="AR36" s="14">
        <f>MAX(求节点($C$74:$C$79,F$74:F$79,求节点($C$4:$C$12,F$4:F$12,基础状态预期!M48)),AR35)</f>
        <v>0</v>
      </c>
      <c r="AS36" s="14">
        <f>MAX(求节点($C$74:$C$79,G$74:G$79,求节点($C$4:$C$12,G$4:G$12,基础状态预期!N48)),AS35)</f>
        <v>1</v>
      </c>
      <c r="AT36" s="14">
        <f>MAX(求节点($C$74:$C$79,H$74:H$79,求节点($C$4:$C$12,H$4:H$12,基础状态预期!O48)),AT35)</f>
        <v>2</v>
      </c>
      <c r="AU36" s="14">
        <f>MAX(求节点($C$81:$C$86,D$81:D$86,求节点($C$4:$C$12,D$4:D$12,基础状态预期!K48)),AU35)</f>
        <v>0</v>
      </c>
      <c r="AV36" s="14">
        <f>MAX(求节点($C$81:$C$86,E$81:E$86,求节点($C$4:$C$12,E$4:E$12,基础状态预期!L48)),AV35)</f>
        <v>0</v>
      </c>
      <c r="AW36" s="14">
        <f>MAX(求节点($C$81:$C$86,F$81:F$86,求节点($C$4:$C$12,F$4:F$12,基础状态预期!M48)),AW35)</f>
        <v>0</v>
      </c>
      <c r="AX36" s="14">
        <f>MAX(求节点($C$81:$C$86,G$81:G$86,求节点($C$4:$C$12,G$4:G$12,基础状态预期!N48)),AX35)</f>
        <v>0</v>
      </c>
      <c r="AY36" s="14">
        <f>MAX(求节点($C$81:$C$86,H$81:H$86,求节点($C$4:$C$12,H$4:H$12,基础状态预期!O48)),AY35)</f>
        <v>4</v>
      </c>
      <c r="AZ36" s="14">
        <f>MAX(求节点($C$88:$C$93,D$88:D$93,求节点($C$4:$C$12,D$4:D$12,基础状态预期!K48)),AZ35)</f>
        <v>0</v>
      </c>
      <c r="BA36" s="14">
        <f>MAX(求节点($C$88:$C$93,E$88:E$93,求节点($C$4:$C$12,E$4:E$12,基础状态预期!L48)),BA35)</f>
        <v>0</v>
      </c>
      <c r="BB36" s="14">
        <f>MAX(求节点($C$88:$C$93,F$88:F$93,求节点($C$4:$C$12,F$4:F$12,基础状态预期!M48)),BB35)</f>
        <v>0</v>
      </c>
      <c r="BC36" s="14">
        <f>MAX(求节点($C$88:$C$93,G$88:G$93,求节点($C$4:$C$12,G$4:G$12,基础状态预期!N48)),BC35)</f>
        <v>0</v>
      </c>
      <c r="BD36" s="14">
        <f>MAX(求节点($C$88:$C$93,H$88:H$93,求节点($C$4:$C$12,H$4:H$12,基础状态预期!O48)),BD35)</f>
        <v>48</v>
      </c>
      <c r="BE36" s="14">
        <f t="shared" si="1"/>
        <v>395000</v>
      </c>
    </row>
    <row r="37" spans="2:63" x14ac:dyDescent="0.15">
      <c r="B37" s="184"/>
      <c r="C37" s="29">
        <v>145</v>
      </c>
      <c r="D37" s="95">
        <v>0</v>
      </c>
      <c r="E37" s="95">
        <v>0</v>
      </c>
      <c r="F37" s="95">
        <v>0</v>
      </c>
      <c r="G37" s="95">
        <v>7.4999999999999997E-2</v>
      </c>
      <c r="H37" s="95">
        <v>0.18</v>
      </c>
      <c r="I37" s="95">
        <v>0.24</v>
      </c>
      <c r="M37" s="16">
        <v>36</v>
      </c>
      <c r="N37" s="29">
        <f>基础状态预期!D49</f>
        <v>139.0493876099641</v>
      </c>
      <c r="O37" s="29">
        <f>IF(基础状态预期!U49="",0,MIN(求节点($C$16:$C$24,D$16:D$24,基础状态预期!K49),求节点($C$28:$C$48,D$28:D$48,基础状态预期!U49)))</f>
        <v>0</v>
      </c>
      <c r="P37" s="29">
        <f>IF(基础状态预期!V49="",0,MIN(求节点($C$16:$C$24,E$16:E$24,基础状态预期!L49),求节点($C$28:$C$48,E$28:E$48,基础状态预期!V49)))</f>
        <v>0</v>
      </c>
      <c r="Q37" s="29">
        <f>IF(基础状态预期!W49="",0,MIN(求节点($C$16:$C$24,F$16:F$24,基础状态预期!M49),求节点($C$28:$C$48,F$28:F$48,基础状态预期!W49)))</f>
        <v>0</v>
      </c>
      <c r="R37" s="29">
        <f>IF(基础状态预期!X49="",0,MIN(求节点($C$16:$C$24,G$16:G$24,基础状态预期!N49),求节点($C$28:$C$48,G$28:G$48,基础状态预期!X49)))</f>
        <v>0</v>
      </c>
      <c r="S37" s="29">
        <f>IF(基础状态预期!Y49="",0,MIN(求节点($C$16:$C$24,H$16:H$24,基础状态预期!O49),求节点($C$28:$C$48,H$28:H$48,基础状态预期!Y49)))</f>
        <v>0.45</v>
      </c>
      <c r="T37" s="29">
        <f>MAX(SUMPRODUCT(O37:S37,基础状态预期!$F49:$J49)/SUM(基础状态预期!$F49:$J49),T36)</f>
        <v>0.45</v>
      </c>
      <c r="V37" s="17">
        <v>33</v>
      </c>
      <c r="W37" s="17">
        <f t="shared" si="3"/>
        <v>0</v>
      </c>
      <c r="X37" s="17">
        <f t="shared" si="4"/>
        <v>0</v>
      </c>
      <c r="Y37" s="17">
        <f t="shared" si="5"/>
        <v>0</v>
      </c>
      <c r="Z37" s="17">
        <f t="shared" si="6"/>
        <v>0</v>
      </c>
      <c r="AA37" s="17">
        <f t="shared" si="7"/>
        <v>0</v>
      </c>
      <c r="AO37" s="29">
        <f t="shared" si="9"/>
        <v>139.0493876099641</v>
      </c>
      <c r="AP37" s="14">
        <f>MAX(求节点($C$74:$C$79,D$74:D$79,求节点($C$4:$C$12,D$4:D$12,基础状态预期!K49)),AP36)</f>
        <v>0</v>
      </c>
      <c r="AQ37" s="14">
        <f>MAX(求节点($C$74:$C$79,E$74:E$79,求节点($C$4:$C$12,E$4:E$12,基础状态预期!L49)),AQ36)</f>
        <v>0</v>
      </c>
      <c r="AR37" s="14">
        <f>MAX(求节点($C$74:$C$79,F$74:F$79,求节点($C$4:$C$12,F$4:F$12,基础状态预期!M49)),AR36)</f>
        <v>0</v>
      </c>
      <c r="AS37" s="14">
        <f>MAX(求节点($C$74:$C$79,G$74:G$79,求节点($C$4:$C$12,G$4:G$12,基础状态预期!N49)),AS36)</f>
        <v>1</v>
      </c>
      <c r="AT37" s="14">
        <f>MAX(求节点($C$74:$C$79,H$74:H$79,求节点($C$4:$C$12,H$4:H$12,基础状态预期!O49)),AT36)</f>
        <v>2</v>
      </c>
      <c r="AU37" s="14">
        <f>MAX(求节点($C$81:$C$86,D$81:D$86,求节点($C$4:$C$12,D$4:D$12,基础状态预期!K49)),AU36)</f>
        <v>0</v>
      </c>
      <c r="AV37" s="14">
        <f>MAX(求节点($C$81:$C$86,E$81:E$86,求节点($C$4:$C$12,E$4:E$12,基础状态预期!L49)),AV36)</f>
        <v>0</v>
      </c>
      <c r="AW37" s="14">
        <f>MAX(求节点($C$81:$C$86,F$81:F$86,求节点($C$4:$C$12,F$4:F$12,基础状态预期!M49)),AW36)</f>
        <v>0</v>
      </c>
      <c r="AX37" s="14">
        <f>MAX(求节点($C$81:$C$86,G$81:G$86,求节点($C$4:$C$12,G$4:G$12,基础状态预期!N49)),AX36)</f>
        <v>0</v>
      </c>
      <c r="AY37" s="14">
        <f>MAX(求节点($C$81:$C$86,H$81:H$86,求节点($C$4:$C$12,H$4:H$12,基础状态预期!O49)),AY36)</f>
        <v>4</v>
      </c>
      <c r="AZ37" s="14">
        <f>MAX(求节点($C$88:$C$93,D$88:D$93,求节点($C$4:$C$12,D$4:D$12,基础状态预期!K49)),AZ36)</f>
        <v>0</v>
      </c>
      <c r="BA37" s="14">
        <f>MAX(求节点($C$88:$C$93,E$88:E$93,求节点($C$4:$C$12,E$4:E$12,基础状态预期!L49)),BA36)</f>
        <v>0</v>
      </c>
      <c r="BB37" s="14">
        <f>MAX(求节点($C$88:$C$93,F$88:F$93,求节点($C$4:$C$12,F$4:F$12,基础状态预期!M49)),BB36)</f>
        <v>0</v>
      </c>
      <c r="BC37" s="14">
        <f>MAX(求节点($C$88:$C$93,G$88:G$93,求节点($C$4:$C$12,G$4:G$12,基础状态预期!N49)),BC36)</f>
        <v>0</v>
      </c>
      <c r="BD37" s="14">
        <f>MAX(求节点($C$88:$C$93,H$88:H$93,求节点($C$4:$C$12,H$4:H$12,基础状态预期!O49)),BD36)</f>
        <v>48</v>
      </c>
      <c r="BE37" s="14">
        <f t="shared" si="1"/>
        <v>395000</v>
      </c>
    </row>
    <row r="38" spans="2:63" x14ac:dyDescent="0.15">
      <c r="B38" s="184"/>
      <c r="C38" s="29">
        <v>150</v>
      </c>
      <c r="D38" s="95">
        <v>0</v>
      </c>
      <c r="E38" s="95">
        <v>0</v>
      </c>
      <c r="F38" s="95">
        <v>0</v>
      </c>
      <c r="G38" s="95">
        <v>0.22500000000000001</v>
      </c>
      <c r="H38" s="95">
        <v>0.45</v>
      </c>
      <c r="I38" s="95">
        <v>0.6</v>
      </c>
      <c r="M38" s="16">
        <v>37</v>
      </c>
      <c r="N38" s="29">
        <f>基础状态预期!D50</f>
        <v>142.53355653582128</v>
      </c>
      <c r="O38" s="29">
        <f>IF(基础状态预期!U50="",0,MIN(求节点($C$16:$C$24,D$16:D$24,基础状态预期!K50),求节点($C$28:$C$48,D$28:D$48,基础状态预期!U50)))</f>
        <v>0</v>
      </c>
      <c r="P38" s="29">
        <f>IF(基础状态预期!V50="",0,MIN(求节点($C$16:$C$24,E$16:E$24,基础状态预期!L50),求节点($C$28:$C$48,E$28:E$48,基础状态预期!V50)))</f>
        <v>0</v>
      </c>
      <c r="Q38" s="29">
        <f>IF(基础状态预期!W50="",0,MIN(求节点($C$16:$C$24,F$16:F$24,基础状态预期!M50),求节点($C$28:$C$48,F$28:F$48,基础状态预期!W50)))</f>
        <v>0</v>
      </c>
      <c r="R38" s="29">
        <f>IF(基础状态预期!X50="",0,MIN(求节点($C$16:$C$24,G$16:G$24,基础状态预期!N50),求节点($C$28:$C$48,G$28:G$48,基础状态预期!X50)))</f>
        <v>0</v>
      </c>
      <c r="S38" s="29">
        <f>IF(基础状态预期!Y50="",0,MIN(求节点($C$16:$C$24,H$16:H$24,基础状态预期!O50),求节点($C$28:$C$48,H$28:H$48,基础状态预期!Y50)))</f>
        <v>0.45</v>
      </c>
      <c r="T38" s="29">
        <f>MAX(SUMPRODUCT(O38:S38,基础状态预期!$F50:$J50)/SUM(基础状态预期!$F50:$J50),T37)</f>
        <v>0.45</v>
      </c>
      <c r="V38" s="17">
        <v>34</v>
      </c>
      <c r="W38" s="17">
        <f t="shared" si="3"/>
        <v>0</v>
      </c>
      <c r="X38" s="17">
        <f t="shared" si="4"/>
        <v>0</v>
      </c>
      <c r="Y38" s="17">
        <f t="shared" si="5"/>
        <v>0</v>
      </c>
      <c r="Z38" s="17">
        <f t="shared" si="6"/>
        <v>0</v>
      </c>
      <c r="AA38" s="17">
        <f t="shared" si="7"/>
        <v>0</v>
      </c>
      <c r="AO38" s="29">
        <f t="shared" si="9"/>
        <v>142.53355653582128</v>
      </c>
      <c r="AP38" s="14">
        <f>MAX(求节点($C$74:$C$79,D$74:D$79,求节点($C$4:$C$12,D$4:D$12,基础状态预期!K50)),AP37)</f>
        <v>0</v>
      </c>
      <c r="AQ38" s="14">
        <f>MAX(求节点($C$74:$C$79,E$74:E$79,求节点($C$4:$C$12,E$4:E$12,基础状态预期!L50)),AQ37)</f>
        <v>0</v>
      </c>
      <c r="AR38" s="14">
        <f>MAX(求节点($C$74:$C$79,F$74:F$79,求节点($C$4:$C$12,F$4:F$12,基础状态预期!M50)),AR37)</f>
        <v>0</v>
      </c>
      <c r="AS38" s="14">
        <f>MAX(求节点($C$74:$C$79,G$74:G$79,求节点($C$4:$C$12,G$4:G$12,基础状态预期!N50)),AS37)</f>
        <v>1</v>
      </c>
      <c r="AT38" s="14">
        <f>MAX(求节点($C$74:$C$79,H$74:H$79,求节点($C$4:$C$12,H$4:H$12,基础状态预期!O50)),AT37)</f>
        <v>2</v>
      </c>
      <c r="AU38" s="14">
        <f>MAX(求节点($C$81:$C$86,D$81:D$86,求节点($C$4:$C$12,D$4:D$12,基础状态预期!K50)),AU37)</f>
        <v>0</v>
      </c>
      <c r="AV38" s="14">
        <f>MAX(求节点($C$81:$C$86,E$81:E$86,求节点($C$4:$C$12,E$4:E$12,基础状态预期!L50)),AV37)</f>
        <v>0</v>
      </c>
      <c r="AW38" s="14">
        <f>MAX(求节点($C$81:$C$86,F$81:F$86,求节点($C$4:$C$12,F$4:F$12,基础状态预期!M50)),AW37)</f>
        <v>0</v>
      </c>
      <c r="AX38" s="14">
        <f>MAX(求节点($C$81:$C$86,G$81:G$86,求节点($C$4:$C$12,G$4:G$12,基础状态预期!N50)),AX37)</f>
        <v>0</v>
      </c>
      <c r="AY38" s="14">
        <f>MAX(求节点($C$81:$C$86,H$81:H$86,求节点($C$4:$C$12,H$4:H$12,基础状态预期!O50)),AY37)</f>
        <v>4</v>
      </c>
      <c r="AZ38" s="14">
        <f>MAX(求节点($C$88:$C$93,D$88:D$93,求节点($C$4:$C$12,D$4:D$12,基础状态预期!K50)),AZ37)</f>
        <v>0</v>
      </c>
      <c r="BA38" s="14">
        <f>MAX(求节点($C$88:$C$93,E$88:E$93,求节点($C$4:$C$12,E$4:E$12,基础状态预期!L50)),BA37)</f>
        <v>0</v>
      </c>
      <c r="BB38" s="14">
        <f>MAX(求节点($C$88:$C$93,F$88:F$93,求节点($C$4:$C$12,F$4:F$12,基础状态预期!M50)),BB37)</f>
        <v>0</v>
      </c>
      <c r="BC38" s="14">
        <f>MAX(求节点($C$88:$C$93,G$88:G$93,求节点($C$4:$C$12,G$4:G$12,基础状态预期!N50)),BC37)</f>
        <v>0</v>
      </c>
      <c r="BD38" s="14">
        <f>MAX(求节点($C$88:$C$93,H$88:H$93,求节点($C$4:$C$12,H$4:H$12,基础状态预期!O50)),BD37)</f>
        <v>48</v>
      </c>
      <c r="BE38" s="14">
        <f t="shared" si="1"/>
        <v>395000</v>
      </c>
    </row>
    <row r="39" spans="2:63" ht="11.25" customHeight="1" x14ac:dyDescent="0.15">
      <c r="B39" s="184"/>
      <c r="C39" s="29">
        <v>155</v>
      </c>
      <c r="D39" s="95">
        <v>0</v>
      </c>
      <c r="E39" s="95">
        <v>0</v>
      </c>
      <c r="F39" s="95">
        <v>0</v>
      </c>
      <c r="G39" s="95">
        <v>0.22500000000000001</v>
      </c>
      <c r="H39" s="95">
        <v>0.45</v>
      </c>
      <c r="I39" s="95">
        <v>0.6</v>
      </c>
      <c r="M39" s="16">
        <v>38</v>
      </c>
      <c r="N39" s="29">
        <f>基础状态预期!D51</f>
        <v>146.02664953963369</v>
      </c>
      <c r="O39" s="29">
        <f>IF(基础状态预期!U51="",0,MIN(求节点($C$16:$C$24,D$16:D$24,基础状态预期!K51),求节点($C$28:$C$48,D$28:D$48,基础状态预期!U51)))</f>
        <v>0</v>
      </c>
      <c r="P39" s="29">
        <f>IF(基础状态预期!V51="",0,MIN(求节点($C$16:$C$24,E$16:E$24,基础状态预期!L51),求节点($C$28:$C$48,E$28:E$48,基础状态预期!V51)))</f>
        <v>0</v>
      </c>
      <c r="Q39" s="29">
        <f>IF(基础状态预期!W51="",0,MIN(求节点($C$16:$C$24,F$16:F$24,基础状态预期!M51),求节点($C$28:$C$48,F$28:F$48,基础状态预期!W51)))</f>
        <v>0</v>
      </c>
      <c r="R39" s="29">
        <f>IF(基础状态预期!X51="",0,MIN(求节点($C$16:$C$24,G$16:G$24,基础状态预期!N51),求节点($C$28:$C$48,G$28:G$48,基础状态预期!X51)))</f>
        <v>0</v>
      </c>
      <c r="S39" s="29">
        <f>IF(基础状态预期!Y51="",0,MIN(求节点($C$16:$C$24,H$16:H$24,基础状态预期!O51),求节点($C$28:$C$48,H$28:H$48,基础状态预期!Y51)))</f>
        <v>0.45</v>
      </c>
      <c r="T39" s="29">
        <f>MAX(SUMPRODUCT(O39:S39,基础状态预期!$F51:$J51)/SUM(基础状态预期!$F51:$J51),T38)</f>
        <v>0.45</v>
      </c>
      <c r="V39" s="17">
        <v>35</v>
      </c>
      <c r="W39" s="17">
        <f t="shared" si="3"/>
        <v>0</v>
      </c>
      <c r="X39" s="17">
        <f t="shared" si="4"/>
        <v>0</v>
      </c>
      <c r="Y39" s="17">
        <f t="shared" si="5"/>
        <v>0</v>
      </c>
      <c r="Z39" s="17">
        <f t="shared" si="6"/>
        <v>0</v>
      </c>
      <c r="AA39" s="17">
        <f t="shared" si="7"/>
        <v>0</v>
      </c>
      <c r="AO39" s="29">
        <f t="shared" si="9"/>
        <v>146.02664953963369</v>
      </c>
      <c r="AP39" s="14">
        <f>MAX(求节点($C$74:$C$79,D$74:D$79,求节点($C$4:$C$12,D$4:D$12,基础状态预期!K51)),AP38)</f>
        <v>0</v>
      </c>
      <c r="AQ39" s="14">
        <f>MAX(求节点($C$74:$C$79,E$74:E$79,求节点($C$4:$C$12,E$4:E$12,基础状态预期!L51)),AQ38)</f>
        <v>0</v>
      </c>
      <c r="AR39" s="14">
        <f>MAX(求节点($C$74:$C$79,F$74:F$79,求节点($C$4:$C$12,F$4:F$12,基础状态预期!M51)),AR38)</f>
        <v>0</v>
      </c>
      <c r="AS39" s="14">
        <f>MAX(求节点($C$74:$C$79,G$74:G$79,求节点($C$4:$C$12,G$4:G$12,基础状态预期!N51)),AS38)</f>
        <v>1</v>
      </c>
      <c r="AT39" s="14">
        <f>MAX(求节点($C$74:$C$79,H$74:H$79,求节点($C$4:$C$12,H$4:H$12,基础状态预期!O51)),AT38)</f>
        <v>2</v>
      </c>
      <c r="AU39" s="14">
        <f>MAX(求节点($C$81:$C$86,D$81:D$86,求节点($C$4:$C$12,D$4:D$12,基础状态预期!K51)),AU38)</f>
        <v>0</v>
      </c>
      <c r="AV39" s="14">
        <f>MAX(求节点($C$81:$C$86,E$81:E$86,求节点($C$4:$C$12,E$4:E$12,基础状态预期!L51)),AV38)</f>
        <v>0</v>
      </c>
      <c r="AW39" s="14">
        <f>MAX(求节点($C$81:$C$86,F$81:F$86,求节点($C$4:$C$12,F$4:F$12,基础状态预期!M51)),AW38)</f>
        <v>0</v>
      </c>
      <c r="AX39" s="14">
        <f>MAX(求节点($C$81:$C$86,G$81:G$86,求节点($C$4:$C$12,G$4:G$12,基础状态预期!N51)),AX38)</f>
        <v>0</v>
      </c>
      <c r="AY39" s="14">
        <f>MAX(求节点($C$81:$C$86,H$81:H$86,求节点($C$4:$C$12,H$4:H$12,基础状态预期!O51)),AY38)</f>
        <v>4</v>
      </c>
      <c r="AZ39" s="14">
        <f>MAX(求节点($C$88:$C$93,D$88:D$93,求节点($C$4:$C$12,D$4:D$12,基础状态预期!K51)),AZ38)</f>
        <v>0</v>
      </c>
      <c r="BA39" s="14">
        <f>MAX(求节点($C$88:$C$93,E$88:E$93,求节点($C$4:$C$12,E$4:E$12,基础状态预期!L51)),BA38)</f>
        <v>0</v>
      </c>
      <c r="BB39" s="14">
        <f>MAX(求节点($C$88:$C$93,F$88:F$93,求节点($C$4:$C$12,F$4:F$12,基础状态预期!M51)),BB38)</f>
        <v>0</v>
      </c>
      <c r="BC39" s="14">
        <f>MAX(求节点($C$88:$C$93,G$88:G$93,求节点($C$4:$C$12,G$4:G$12,基础状态预期!N51)),BC38)</f>
        <v>0</v>
      </c>
      <c r="BD39" s="14">
        <f>MAX(求节点($C$88:$C$93,H$88:H$93,求节点($C$4:$C$12,H$4:H$12,基础状态预期!O51)),BD38)</f>
        <v>48</v>
      </c>
      <c r="BE39" s="14">
        <f t="shared" si="1"/>
        <v>395000</v>
      </c>
    </row>
    <row r="40" spans="2:63" x14ac:dyDescent="0.15">
      <c r="B40" s="184"/>
      <c r="C40" s="29">
        <v>160</v>
      </c>
      <c r="D40" s="95">
        <v>0</v>
      </c>
      <c r="E40" s="95">
        <v>0</v>
      </c>
      <c r="F40" s="95">
        <v>0</v>
      </c>
      <c r="G40" s="95">
        <v>0.22500000000000001</v>
      </c>
      <c r="H40" s="95">
        <v>0.45</v>
      </c>
      <c r="I40" s="95">
        <v>0.6</v>
      </c>
      <c r="M40" s="16">
        <v>39</v>
      </c>
      <c r="N40" s="29">
        <f>基础状态预期!D52</f>
        <v>149.52287096243165</v>
      </c>
      <c r="O40" s="29">
        <f>IF(基础状态预期!U52="",0,MIN(求节点($C$16:$C$24,D$16:D$24,基础状态预期!K52),求节点($C$28:$C$48,D$28:D$48,基础状态预期!U52)))</f>
        <v>0</v>
      </c>
      <c r="P40" s="29">
        <f>IF(基础状态预期!V52="",0,MIN(求节点($C$16:$C$24,E$16:E$24,基础状态预期!L52),求节点($C$28:$C$48,E$28:E$48,基础状态预期!V52)))</f>
        <v>0</v>
      </c>
      <c r="Q40" s="29">
        <f>IF(基础状态预期!W52="",0,MIN(求节点($C$16:$C$24,F$16:F$24,基础状态预期!M52),求节点($C$28:$C$48,F$28:F$48,基础状态预期!W52)))</f>
        <v>0</v>
      </c>
      <c r="R40" s="29">
        <f>IF(基础状态预期!X52="",0,MIN(求节点($C$16:$C$24,G$16:G$24,基础状态预期!N52),求节点($C$28:$C$48,G$28:G$48,基础状态预期!X52)))</f>
        <v>0</v>
      </c>
      <c r="S40" s="29">
        <f>IF(基础状态预期!Y52="",0,MIN(求节点($C$16:$C$24,H$16:H$24,基础状态预期!O52),求节点($C$28:$C$48,H$28:H$48,基础状态预期!Y52)))</f>
        <v>0.45</v>
      </c>
      <c r="T40" s="29">
        <f>MAX(SUMPRODUCT(O40:S40,基础状态预期!$F52:$J52)/SUM(基础状态预期!$F52:$J52),T39)</f>
        <v>0.45</v>
      </c>
      <c r="V40" s="17">
        <v>36</v>
      </c>
      <c r="W40" s="17">
        <f t="shared" si="3"/>
        <v>0</v>
      </c>
      <c r="X40" s="17">
        <f t="shared" si="4"/>
        <v>0</v>
      </c>
      <c r="Y40" s="17">
        <f t="shared" si="5"/>
        <v>0</v>
      </c>
      <c r="Z40" s="17">
        <f t="shared" si="6"/>
        <v>0</v>
      </c>
      <c r="AA40" s="17">
        <f t="shared" si="7"/>
        <v>0</v>
      </c>
      <c r="AO40" s="29">
        <f t="shared" si="9"/>
        <v>149.52287096243165</v>
      </c>
      <c r="AP40" s="14">
        <f>MAX(求节点($C$74:$C$79,D$74:D$79,求节点($C$4:$C$12,D$4:D$12,基础状态预期!K52)),AP39)</f>
        <v>0</v>
      </c>
      <c r="AQ40" s="14">
        <f>MAX(求节点($C$74:$C$79,E$74:E$79,求节点($C$4:$C$12,E$4:E$12,基础状态预期!L52)),AQ39)</f>
        <v>0</v>
      </c>
      <c r="AR40" s="14">
        <f>MAX(求节点($C$74:$C$79,F$74:F$79,求节点($C$4:$C$12,F$4:F$12,基础状态预期!M52)),AR39)</f>
        <v>0</v>
      </c>
      <c r="AS40" s="14">
        <f>MAX(求节点($C$74:$C$79,G$74:G$79,求节点($C$4:$C$12,G$4:G$12,基础状态预期!N52)),AS39)</f>
        <v>1</v>
      </c>
      <c r="AT40" s="14">
        <f>MAX(求节点($C$74:$C$79,H$74:H$79,求节点($C$4:$C$12,H$4:H$12,基础状态预期!O52)),AT39)</f>
        <v>2</v>
      </c>
      <c r="AU40" s="14">
        <f>MAX(求节点($C$81:$C$86,D$81:D$86,求节点($C$4:$C$12,D$4:D$12,基础状态预期!K52)),AU39)</f>
        <v>0</v>
      </c>
      <c r="AV40" s="14">
        <f>MAX(求节点($C$81:$C$86,E$81:E$86,求节点($C$4:$C$12,E$4:E$12,基础状态预期!L52)),AV39)</f>
        <v>0</v>
      </c>
      <c r="AW40" s="14">
        <f>MAX(求节点($C$81:$C$86,F$81:F$86,求节点($C$4:$C$12,F$4:F$12,基础状态预期!M52)),AW39)</f>
        <v>0</v>
      </c>
      <c r="AX40" s="14">
        <f>MAX(求节点($C$81:$C$86,G$81:G$86,求节点($C$4:$C$12,G$4:G$12,基础状态预期!N52)),AX39)</f>
        <v>0</v>
      </c>
      <c r="AY40" s="14">
        <f>MAX(求节点($C$81:$C$86,H$81:H$86,求节点($C$4:$C$12,H$4:H$12,基础状态预期!O52)),AY39)</f>
        <v>4</v>
      </c>
      <c r="AZ40" s="14">
        <f>MAX(求节点($C$88:$C$93,D$88:D$93,求节点($C$4:$C$12,D$4:D$12,基础状态预期!K52)),AZ39)</f>
        <v>0</v>
      </c>
      <c r="BA40" s="14">
        <f>MAX(求节点($C$88:$C$93,E$88:E$93,求节点($C$4:$C$12,E$4:E$12,基础状态预期!L52)),BA39)</f>
        <v>0</v>
      </c>
      <c r="BB40" s="14">
        <f>MAX(求节点($C$88:$C$93,F$88:F$93,求节点($C$4:$C$12,F$4:F$12,基础状态预期!M52)),BB39)</f>
        <v>0</v>
      </c>
      <c r="BC40" s="14">
        <f>MAX(求节点($C$88:$C$93,G$88:G$93,求节点($C$4:$C$12,G$4:G$12,基础状态预期!N52)),BC39)</f>
        <v>0</v>
      </c>
      <c r="BD40" s="14">
        <f>MAX(求节点($C$88:$C$93,H$88:H$93,求节点($C$4:$C$12,H$4:H$12,基础状态预期!O52)),BD39)</f>
        <v>48</v>
      </c>
      <c r="BE40" s="14">
        <f t="shared" si="1"/>
        <v>395000</v>
      </c>
    </row>
    <row r="41" spans="2:63" x14ac:dyDescent="0.15">
      <c r="B41" s="184"/>
      <c r="C41" s="29">
        <v>165</v>
      </c>
      <c r="D41" s="95">
        <v>0</v>
      </c>
      <c r="E41" s="95">
        <v>0</v>
      </c>
      <c r="F41" s="95">
        <v>0</v>
      </c>
      <c r="G41" s="95">
        <v>0.22500000000000001</v>
      </c>
      <c r="H41" s="95">
        <v>0.45</v>
      </c>
      <c r="I41" s="95">
        <v>0.6</v>
      </c>
      <c r="M41" s="16">
        <v>40</v>
      </c>
      <c r="N41" s="29">
        <f>基础状态预期!D53</f>
        <v>153.02723536432757</v>
      </c>
      <c r="O41" s="29">
        <f>IF(基础状态预期!U53="",0,MIN(求节点($C$16:$C$24,D$16:D$24,基础状态预期!K53),求节点($C$28:$C$48,D$28:D$48,基础状态预期!U53)))</f>
        <v>0</v>
      </c>
      <c r="P41" s="29">
        <f>IF(基础状态预期!V53="",0,MIN(求节点($C$16:$C$24,E$16:E$24,基础状态预期!L53),求节点($C$28:$C$48,E$28:E$48,基础状态预期!V53)))</f>
        <v>0</v>
      </c>
      <c r="Q41" s="29">
        <f>IF(基础状态预期!W53="",0,MIN(求节点($C$16:$C$24,F$16:F$24,基础状态预期!M53),求节点($C$28:$C$48,F$28:F$48,基础状态预期!W53)))</f>
        <v>0</v>
      </c>
      <c r="R41" s="29">
        <f>IF(基础状态预期!X53="",0,MIN(求节点($C$16:$C$24,G$16:G$24,基础状态预期!N53),求节点($C$28:$C$48,G$28:G$48,基础状态预期!X53)))</f>
        <v>0</v>
      </c>
      <c r="S41" s="29">
        <f>IF(基础状态预期!Y53="",0,MIN(求节点($C$16:$C$24,H$16:H$24,基础状态预期!O53),求节点($C$28:$C$48,H$28:H$48,基础状态预期!Y53)))</f>
        <v>0.45</v>
      </c>
      <c r="T41" s="29">
        <f>MAX(SUMPRODUCT(O41:S41,基础状态预期!$F53:$J53)/SUM(基础状态预期!$F53:$J53),T40)</f>
        <v>0.45</v>
      </c>
      <c r="V41" s="17">
        <v>37</v>
      </c>
      <c r="W41" s="17">
        <f t="shared" si="3"/>
        <v>0</v>
      </c>
      <c r="X41" s="17">
        <f t="shared" si="4"/>
        <v>0</v>
      </c>
      <c r="Y41" s="17">
        <f t="shared" si="5"/>
        <v>0</v>
      </c>
      <c r="Z41" s="17">
        <f t="shared" si="6"/>
        <v>0</v>
      </c>
      <c r="AA41" s="17">
        <f t="shared" si="7"/>
        <v>0</v>
      </c>
      <c r="AO41" s="29">
        <f t="shared" si="9"/>
        <v>153.02723536432757</v>
      </c>
      <c r="AP41" s="14">
        <f>MAX(求节点($C$74:$C$79,D$74:D$79,求节点($C$4:$C$12,D$4:D$12,基础状态预期!K53)),AP40)</f>
        <v>0</v>
      </c>
      <c r="AQ41" s="14">
        <f>MAX(求节点($C$74:$C$79,E$74:E$79,求节点($C$4:$C$12,E$4:E$12,基础状态预期!L53)),AQ40)</f>
        <v>0</v>
      </c>
      <c r="AR41" s="14">
        <f>MAX(求节点($C$74:$C$79,F$74:F$79,求节点($C$4:$C$12,F$4:F$12,基础状态预期!M53)),AR40)</f>
        <v>0</v>
      </c>
      <c r="AS41" s="14">
        <f>MAX(求节点($C$74:$C$79,G$74:G$79,求节点($C$4:$C$12,G$4:G$12,基础状态预期!N53)),AS40)</f>
        <v>1</v>
      </c>
      <c r="AT41" s="14">
        <f>MAX(求节点($C$74:$C$79,H$74:H$79,求节点($C$4:$C$12,H$4:H$12,基础状态预期!O53)),AT40)</f>
        <v>2</v>
      </c>
      <c r="AU41" s="14">
        <f>MAX(求节点($C$81:$C$86,D$81:D$86,求节点($C$4:$C$12,D$4:D$12,基础状态预期!K53)),AU40)</f>
        <v>0</v>
      </c>
      <c r="AV41" s="14">
        <f>MAX(求节点($C$81:$C$86,E$81:E$86,求节点($C$4:$C$12,E$4:E$12,基础状态预期!L53)),AV40)</f>
        <v>0</v>
      </c>
      <c r="AW41" s="14">
        <f>MAX(求节点($C$81:$C$86,F$81:F$86,求节点($C$4:$C$12,F$4:F$12,基础状态预期!M53)),AW40)</f>
        <v>0</v>
      </c>
      <c r="AX41" s="14">
        <f>MAX(求节点($C$81:$C$86,G$81:G$86,求节点($C$4:$C$12,G$4:G$12,基础状态预期!N53)),AX40)</f>
        <v>0</v>
      </c>
      <c r="AY41" s="14">
        <f>MAX(求节点($C$81:$C$86,H$81:H$86,求节点($C$4:$C$12,H$4:H$12,基础状态预期!O53)),AY40)</f>
        <v>4</v>
      </c>
      <c r="AZ41" s="14">
        <f>MAX(求节点($C$88:$C$93,D$88:D$93,求节点($C$4:$C$12,D$4:D$12,基础状态预期!K53)),AZ40)</f>
        <v>0</v>
      </c>
      <c r="BA41" s="14">
        <f>MAX(求节点($C$88:$C$93,E$88:E$93,求节点($C$4:$C$12,E$4:E$12,基础状态预期!L53)),BA40)</f>
        <v>0</v>
      </c>
      <c r="BB41" s="14">
        <f>MAX(求节点($C$88:$C$93,F$88:F$93,求节点($C$4:$C$12,F$4:F$12,基础状态预期!M53)),BB40)</f>
        <v>0</v>
      </c>
      <c r="BC41" s="14">
        <f>MAX(求节点($C$88:$C$93,G$88:G$93,求节点($C$4:$C$12,G$4:G$12,基础状态预期!N53)),BC40)</f>
        <v>0</v>
      </c>
      <c r="BD41" s="14">
        <f>MAX(求节点($C$88:$C$93,H$88:H$93,求节点($C$4:$C$12,H$4:H$12,基础状态预期!O53)),BD40)</f>
        <v>48</v>
      </c>
      <c r="BE41" s="14">
        <f t="shared" si="1"/>
        <v>395000</v>
      </c>
    </row>
    <row r="42" spans="2:63" x14ac:dyDescent="0.15">
      <c r="B42" s="184"/>
      <c r="C42" s="29">
        <v>170</v>
      </c>
      <c r="D42" s="95">
        <v>0</v>
      </c>
      <c r="E42" s="95">
        <v>0</v>
      </c>
      <c r="F42" s="95">
        <v>0</v>
      </c>
      <c r="G42" s="95">
        <v>0.22500000000000001</v>
      </c>
      <c r="H42" s="95">
        <v>0.45</v>
      </c>
      <c r="I42" s="95">
        <v>0.6</v>
      </c>
      <c r="M42" s="16">
        <v>41</v>
      </c>
      <c r="N42" s="29">
        <f>基础状态预期!D54</f>
        <v>156.52008914974525</v>
      </c>
      <c r="O42" s="29">
        <f>IF(基础状态预期!U54="",0,MIN(求节点($C$16:$C$24,D$16:D$24,基础状态预期!K54),求节点($C$28:$C$48,D$28:D$48,基础状态预期!U54)))</f>
        <v>0</v>
      </c>
      <c r="P42" s="29">
        <f>IF(基础状态预期!V54="",0,MIN(求节点($C$16:$C$24,E$16:E$24,基础状态预期!L54),求节点($C$28:$C$48,E$28:E$48,基础状态预期!V54)))</f>
        <v>0</v>
      </c>
      <c r="Q42" s="29">
        <f>IF(基础状态预期!W54="",0,MIN(求节点($C$16:$C$24,F$16:F$24,基础状态预期!M54),求节点($C$28:$C$48,F$28:F$48,基础状态预期!W54)))</f>
        <v>0</v>
      </c>
      <c r="R42" s="29">
        <f>IF(基础状态预期!X54="",0,MIN(求节点($C$16:$C$24,G$16:G$24,基础状态预期!N54),求节点($C$28:$C$48,G$28:G$48,基础状态预期!X54)))</f>
        <v>0</v>
      </c>
      <c r="S42" s="29">
        <f>IF(基础状态预期!Y54="",0,MIN(求节点($C$16:$C$24,H$16:H$24,基础状态预期!O54),求节点($C$28:$C$48,H$28:H$48,基础状态预期!Y54)))</f>
        <v>0.45</v>
      </c>
      <c r="T42" s="29">
        <f>MAX(SUMPRODUCT(O42:S42,基础状态预期!$F54:$J54)/SUM(基础状态预期!$F54:$J54),T41)</f>
        <v>0.45</v>
      </c>
      <c r="V42" s="17">
        <v>38</v>
      </c>
      <c r="W42" s="17">
        <f t="shared" si="3"/>
        <v>0</v>
      </c>
      <c r="X42" s="17">
        <f t="shared" si="4"/>
        <v>0</v>
      </c>
      <c r="Y42" s="17">
        <f t="shared" si="5"/>
        <v>0</v>
      </c>
      <c r="Z42" s="17">
        <f t="shared" si="6"/>
        <v>0</v>
      </c>
      <c r="AA42" s="17">
        <f t="shared" si="7"/>
        <v>0</v>
      </c>
      <c r="AO42" s="29">
        <f t="shared" si="9"/>
        <v>156.52008914974525</v>
      </c>
      <c r="AP42" s="14">
        <f>MAX(求节点($C$74:$C$79,D$74:D$79,求节点($C$4:$C$12,D$4:D$12,基础状态预期!K54)),AP41)</f>
        <v>0</v>
      </c>
      <c r="AQ42" s="14">
        <f>MAX(求节点($C$74:$C$79,E$74:E$79,求节点($C$4:$C$12,E$4:E$12,基础状态预期!L54)),AQ41)</f>
        <v>0</v>
      </c>
      <c r="AR42" s="14">
        <f>MAX(求节点($C$74:$C$79,F$74:F$79,求节点($C$4:$C$12,F$4:F$12,基础状态预期!M54)),AR41)</f>
        <v>0</v>
      </c>
      <c r="AS42" s="14">
        <f>MAX(求节点($C$74:$C$79,G$74:G$79,求节点($C$4:$C$12,G$4:G$12,基础状态预期!N54)),AS41)</f>
        <v>1</v>
      </c>
      <c r="AT42" s="14">
        <f>MAX(求节点($C$74:$C$79,H$74:H$79,求节点($C$4:$C$12,H$4:H$12,基础状态预期!O54)),AT41)</f>
        <v>2</v>
      </c>
      <c r="AU42" s="14">
        <f>MAX(求节点($C$81:$C$86,D$81:D$86,求节点($C$4:$C$12,D$4:D$12,基础状态预期!K54)),AU41)</f>
        <v>0</v>
      </c>
      <c r="AV42" s="14">
        <f>MAX(求节点($C$81:$C$86,E$81:E$86,求节点($C$4:$C$12,E$4:E$12,基础状态预期!L54)),AV41)</f>
        <v>0</v>
      </c>
      <c r="AW42" s="14">
        <f>MAX(求节点($C$81:$C$86,F$81:F$86,求节点($C$4:$C$12,F$4:F$12,基础状态预期!M54)),AW41)</f>
        <v>0</v>
      </c>
      <c r="AX42" s="14">
        <f>MAX(求节点($C$81:$C$86,G$81:G$86,求节点($C$4:$C$12,G$4:G$12,基础状态预期!N54)),AX41)</f>
        <v>0</v>
      </c>
      <c r="AY42" s="14">
        <f>MAX(求节点($C$81:$C$86,H$81:H$86,求节点($C$4:$C$12,H$4:H$12,基础状态预期!O54)),AY41)</f>
        <v>4</v>
      </c>
      <c r="AZ42" s="14">
        <f>MAX(求节点($C$88:$C$93,D$88:D$93,求节点($C$4:$C$12,D$4:D$12,基础状态预期!K54)),AZ41)</f>
        <v>0</v>
      </c>
      <c r="BA42" s="14">
        <f>MAX(求节点($C$88:$C$93,E$88:E$93,求节点($C$4:$C$12,E$4:E$12,基础状态预期!L54)),BA41)</f>
        <v>0</v>
      </c>
      <c r="BB42" s="14">
        <f>MAX(求节点($C$88:$C$93,F$88:F$93,求节点($C$4:$C$12,F$4:F$12,基础状态预期!M54)),BB41)</f>
        <v>0</v>
      </c>
      <c r="BC42" s="14">
        <f>MAX(求节点($C$88:$C$93,G$88:G$93,求节点($C$4:$C$12,G$4:G$12,基础状态预期!N54)),BC41)</f>
        <v>0</v>
      </c>
      <c r="BD42" s="14">
        <f>MAX(求节点($C$88:$C$93,H$88:H$93,求节点($C$4:$C$12,H$4:H$12,基础状态预期!O54)),BD41)</f>
        <v>48</v>
      </c>
      <c r="BE42" s="14">
        <f t="shared" si="1"/>
        <v>395000</v>
      </c>
    </row>
    <row r="43" spans="2:63" x14ac:dyDescent="0.15">
      <c r="B43" s="184"/>
      <c r="C43" s="29">
        <v>175</v>
      </c>
      <c r="D43" s="95">
        <v>0</v>
      </c>
      <c r="E43" s="95">
        <v>0</v>
      </c>
      <c r="F43" s="95">
        <v>0</v>
      </c>
      <c r="G43" s="95">
        <v>0.22500000000000001</v>
      </c>
      <c r="H43" s="95">
        <v>0.45</v>
      </c>
      <c r="I43" s="95">
        <v>0.6</v>
      </c>
      <c r="M43" s="16">
        <v>42</v>
      </c>
      <c r="N43" s="29">
        <f>基础状态预期!D55</f>
        <v>159.99202506384199</v>
      </c>
      <c r="O43" s="29">
        <f>IF(基础状态预期!U55="",0,MIN(求节点($C$16:$C$24,D$16:D$24,基础状态预期!K55),求节点($C$28:$C$48,D$28:D$48,基础状态预期!U55)))</f>
        <v>0</v>
      </c>
      <c r="P43" s="29">
        <f>IF(基础状态预期!V55="",0,MIN(求节点($C$16:$C$24,E$16:E$24,基础状态预期!L55),求节点($C$28:$C$48,E$28:E$48,基础状态预期!V55)))</f>
        <v>0</v>
      </c>
      <c r="Q43" s="29">
        <f>IF(基础状态预期!W55="",0,MIN(求节点($C$16:$C$24,F$16:F$24,基础状态预期!M55),求节点($C$28:$C$48,F$28:F$48,基础状态预期!W55)))</f>
        <v>0</v>
      </c>
      <c r="R43" s="29">
        <f>IF(基础状态预期!X55="",0,MIN(求节点($C$16:$C$24,G$16:G$24,基础状态预期!N55),求节点($C$28:$C$48,G$28:G$48,基础状态预期!X55)))</f>
        <v>0</v>
      </c>
      <c r="S43" s="29">
        <f>IF(基础状态预期!Y55="",0,MIN(求节点($C$16:$C$24,H$16:H$24,基础状态预期!O55),求节点($C$28:$C$48,H$28:H$48,基础状态预期!Y55)))</f>
        <v>0.45</v>
      </c>
      <c r="T43" s="29">
        <f>MAX(SUMPRODUCT(O43:S43,基础状态预期!$F55:$J55)/SUM(基础状态预期!$F55:$J55),T42)</f>
        <v>0.45</v>
      </c>
      <c r="V43" s="17">
        <v>39</v>
      </c>
      <c r="W43" s="17">
        <f t="shared" si="3"/>
        <v>0</v>
      </c>
      <c r="X43" s="17">
        <f t="shared" si="4"/>
        <v>0</v>
      </c>
      <c r="Y43" s="17">
        <f t="shared" si="5"/>
        <v>0</v>
      </c>
      <c r="Z43" s="17">
        <f t="shared" si="6"/>
        <v>0</v>
      </c>
      <c r="AA43" s="17">
        <f t="shared" si="7"/>
        <v>0</v>
      </c>
      <c r="AO43" s="29">
        <f t="shared" si="9"/>
        <v>159.99202506384199</v>
      </c>
      <c r="AP43" s="14">
        <f>MAX(求节点($C$74:$C$79,D$74:D$79,求节点($C$4:$C$12,D$4:D$12,基础状态预期!K55)),AP42)</f>
        <v>0</v>
      </c>
      <c r="AQ43" s="14">
        <f>MAX(求节点($C$74:$C$79,E$74:E$79,求节点($C$4:$C$12,E$4:E$12,基础状态预期!L55)),AQ42)</f>
        <v>0</v>
      </c>
      <c r="AR43" s="14">
        <f>MAX(求节点($C$74:$C$79,F$74:F$79,求节点($C$4:$C$12,F$4:F$12,基础状态预期!M55)),AR42)</f>
        <v>0</v>
      </c>
      <c r="AS43" s="14">
        <f>MAX(求节点($C$74:$C$79,G$74:G$79,求节点($C$4:$C$12,G$4:G$12,基础状态预期!N55)),AS42)</f>
        <v>1</v>
      </c>
      <c r="AT43" s="14">
        <f>MAX(求节点($C$74:$C$79,H$74:H$79,求节点($C$4:$C$12,H$4:H$12,基础状态预期!O55)),AT42)</f>
        <v>2</v>
      </c>
      <c r="AU43" s="14">
        <f>MAX(求节点($C$81:$C$86,D$81:D$86,求节点($C$4:$C$12,D$4:D$12,基础状态预期!K55)),AU42)</f>
        <v>0</v>
      </c>
      <c r="AV43" s="14">
        <f>MAX(求节点($C$81:$C$86,E$81:E$86,求节点($C$4:$C$12,E$4:E$12,基础状态预期!L55)),AV42)</f>
        <v>0</v>
      </c>
      <c r="AW43" s="14">
        <f>MAX(求节点($C$81:$C$86,F$81:F$86,求节点($C$4:$C$12,F$4:F$12,基础状态预期!M55)),AW42)</f>
        <v>0</v>
      </c>
      <c r="AX43" s="14">
        <f>MAX(求节点($C$81:$C$86,G$81:G$86,求节点($C$4:$C$12,G$4:G$12,基础状态预期!N55)),AX42)</f>
        <v>0</v>
      </c>
      <c r="AY43" s="14">
        <f>MAX(求节点($C$81:$C$86,H$81:H$86,求节点($C$4:$C$12,H$4:H$12,基础状态预期!O55)),AY42)</f>
        <v>4</v>
      </c>
      <c r="AZ43" s="14">
        <f>MAX(求节点($C$88:$C$93,D$88:D$93,求节点($C$4:$C$12,D$4:D$12,基础状态预期!K55)),AZ42)</f>
        <v>0</v>
      </c>
      <c r="BA43" s="14">
        <f>MAX(求节点($C$88:$C$93,E$88:E$93,求节点($C$4:$C$12,E$4:E$12,基础状态预期!L55)),BA42)</f>
        <v>0</v>
      </c>
      <c r="BB43" s="14">
        <f>MAX(求节点($C$88:$C$93,F$88:F$93,求节点($C$4:$C$12,F$4:F$12,基础状态预期!M55)),BB42)</f>
        <v>0</v>
      </c>
      <c r="BC43" s="14">
        <f>MAX(求节点($C$88:$C$93,G$88:G$93,求节点($C$4:$C$12,G$4:G$12,基础状态预期!N55)),BC42)</f>
        <v>0</v>
      </c>
      <c r="BD43" s="14">
        <f>MAX(求节点($C$88:$C$93,H$88:H$93,求节点($C$4:$C$12,H$4:H$12,基础状态预期!O55)),BD42)</f>
        <v>48</v>
      </c>
      <c r="BE43" s="14">
        <f t="shared" si="1"/>
        <v>395000</v>
      </c>
    </row>
    <row r="44" spans="2:63" x14ac:dyDescent="0.15">
      <c r="B44" s="184"/>
      <c r="C44" s="29">
        <v>180</v>
      </c>
      <c r="D44" s="95">
        <v>0</v>
      </c>
      <c r="E44" s="95">
        <v>0</v>
      </c>
      <c r="F44" s="95">
        <v>0</v>
      </c>
      <c r="G44" s="95">
        <v>0.22500000000000001</v>
      </c>
      <c r="H44" s="95">
        <v>0.45</v>
      </c>
      <c r="I44" s="95">
        <v>0.6</v>
      </c>
      <c r="M44" s="16">
        <v>43</v>
      </c>
      <c r="N44" s="17"/>
      <c r="V44" s="17">
        <v>40</v>
      </c>
      <c r="W44" s="17">
        <f t="shared" si="3"/>
        <v>0</v>
      </c>
      <c r="X44" s="17">
        <f t="shared" si="4"/>
        <v>0</v>
      </c>
      <c r="Y44" s="17">
        <f t="shared" si="5"/>
        <v>0</v>
      </c>
      <c r="Z44" s="17">
        <f t="shared" si="6"/>
        <v>0</v>
      </c>
      <c r="AA44" s="17">
        <f t="shared" si="7"/>
        <v>0</v>
      </c>
      <c r="AE44" s="17"/>
      <c r="AF44" s="17"/>
      <c r="AO44" s="17"/>
      <c r="BH44" s="17"/>
      <c r="BI44" s="17"/>
    </row>
    <row r="45" spans="2:63" x14ac:dyDescent="0.15">
      <c r="B45" s="184"/>
      <c r="C45" s="29">
        <v>185</v>
      </c>
      <c r="D45" s="95">
        <v>0</v>
      </c>
      <c r="E45" s="95">
        <v>0</v>
      </c>
      <c r="F45" s="95">
        <v>0</v>
      </c>
      <c r="G45" s="95">
        <v>0.22500000000000001</v>
      </c>
      <c r="H45" s="95">
        <v>0.45</v>
      </c>
      <c r="I45" s="95">
        <v>0.6</v>
      </c>
      <c r="M45" s="16">
        <v>44</v>
      </c>
      <c r="N45" s="17"/>
      <c r="V45" s="17">
        <v>41</v>
      </c>
      <c r="W45" s="17">
        <f t="shared" si="3"/>
        <v>0</v>
      </c>
      <c r="X45" s="17">
        <f t="shared" si="4"/>
        <v>0</v>
      </c>
      <c r="Y45" s="17">
        <f t="shared" si="5"/>
        <v>0</v>
      </c>
      <c r="Z45" s="17">
        <f t="shared" si="6"/>
        <v>0</v>
      </c>
      <c r="AA45" s="17">
        <f t="shared" si="7"/>
        <v>0</v>
      </c>
      <c r="AE45" s="17"/>
      <c r="AF45" s="17"/>
      <c r="AO45" s="17"/>
      <c r="BH45" s="17"/>
      <c r="BI45" s="17"/>
    </row>
    <row r="46" spans="2:63" x14ac:dyDescent="0.15">
      <c r="B46" s="184"/>
      <c r="C46" s="29">
        <v>190</v>
      </c>
      <c r="D46" s="95">
        <v>0</v>
      </c>
      <c r="E46" s="95">
        <v>0</v>
      </c>
      <c r="F46" s="95">
        <v>0</v>
      </c>
      <c r="G46" s="95">
        <v>0.22500000000000001</v>
      </c>
      <c r="H46" s="95">
        <v>0.45</v>
      </c>
      <c r="I46" s="95">
        <v>0.6</v>
      </c>
      <c r="M46" s="16">
        <v>45</v>
      </c>
      <c r="V46" s="17">
        <v>42</v>
      </c>
      <c r="W46" s="17">
        <f t="shared" si="3"/>
        <v>0</v>
      </c>
      <c r="X46" s="17">
        <f t="shared" si="4"/>
        <v>0</v>
      </c>
      <c r="Y46" s="17">
        <f t="shared" si="5"/>
        <v>0</v>
      </c>
      <c r="Z46" s="17">
        <f t="shared" si="6"/>
        <v>0</v>
      </c>
      <c r="AA46" s="17">
        <f t="shared" si="7"/>
        <v>0</v>
      </c>
    </row>
    <row r="47" spans="2:63" x14ac:dyDescent="0.15">
      <c r="B47" s="184"/>
      <c r="C47" s="29">
        <v>195</v>
      </c>
      <c r="D47" s="95">
        <v>0</v>
      </c>
      <c r="E47" s="95">
        <v>0</v>
      </c>
      <c r="F47" s="95">
        <v>0</v>
      </c>
      <c r="G47" s="95">
        <v>0.22500000000000001</v>
      </c>
      <c r="H47" s="95">
        <v>0.45</v>
      </c>
      <c r="I47" s="95">
        <v>0.6</v>
      </c>
      <c r="M47" s="16">
        <v>1</v>
      </c>
      <c r="V47" s="17">
        <v>43</v>
      </c>
      <c r="W47" s="17">
        <f t="shared" si="3"/>
        <v>0</v>
      </c>
      <c r="X47" s="17">
        <f t="shared" si="4"/>
        <v>0</v>
      </c>
      <c r="Y47" s="17">
        <f t="shared" si="5"/>
        <v>0</v>
      </c>
      <c r="Z47" s="17">
        <f t="shared" si="6"/>
        <v>0</v>
      </c>
      <c r="AA47" s="17">
        <f t="shared" si="7"/>
        <v>0</v>
      </c>
    </row>
    <row r="48" spans="2:63" x14ac:dyDescent="0.15">
      <c r="B48" s="184"/>
      <c r="C48" s="29">
        <v>200</v>
      </c>
      <c r="D48" s="95">
        <v>0</v>
      </c>
      <c r="E48" s="95">
        <v>0</v>
      </c>
      <c r="F48" s="95">
        <v>0</v>
      </c>
      <c r="G48" s="95">
        <v>0.22500000000000001</v>
      </c>
      <c r="H48" s="95">
        <v>0.45</v>
      </c>
      <c r="I48" s="95">
        <v>0.6</v>
      </c>
      <c r="M48" s="16">
        <v>2</v>
      </c>
      <c r="N48" s="14" t="s">
        <v>76</v>
      </c>
      <c r="O48" s="161" t="s">
        <v>197</v>
      </c>
      <c r="P48" s="162"/>
      <c r="Q48" s="162"/>
      <c r="R48" s="162"/>
      <c r="S48" s="162"/>
      <c r="T48" s="163"/>
      <c r="V48" s="17">
        <v>44</v>
      </c>
      <c r="W48" s="17">
        <f t="shared" si="3"/>
        <v>0</v>
      </c>
      <c r="X48" s="17">
        <f t="shared" si="4"/>
        <v>0</v>
      </c>
      <c r="Y48" s="17">
        <f t="shared" si="5"/>
        <v>0</v>
      </c>
      <c r="Z48" s="17">
        <f t="shared" si="6"/>
        <v>0</v>
      </c>
      <c r="AA48" s="17">
        <f t="shared" si="7"/>
        <v>0</v>
      </c>
      <c r="AE48" s="29" t="s">
        <v>76</v>
      </c>
      <c r="AF48" s="14" t="s">
        <v>55</v>
      </c>
      <c r="AG48" s="14"/>
      <c r="AH48" s="160" t="s">
        <v>342</v>
      </c>
      <c r="AI48" s="160"/>
      <c r="AJ48" s="160"/>
      <c r="AO48" s="14" t="s">
        <v>76</v>
      </c>
      <c r="AP48" s="165" t="s">
        <v>677</v>
      </c>
      <c r="AQ48" s="172"/>
      <c r="AR48" s="172"/>
      <c r="AS48" s="172"/>
      <c r="AT48" s="166"/>
      <c r="AU48" s="165" t="s">
        <v>678</v>
      </c>
      <c r="AV48" s="172"/>
      <c r="AW48" s="172"/>
      <c r="AX48" s="172"/>
      <c r="AY48" s="166"/>
      <c r="AZ48" s="165" t="s">
        <v>679</v>
      </c>
      <c r="BA48" s="172"/>
      <c r="BB48" s="172"/>
      <c r="BC48" s="172"/>
      <c r="BD48" s="166"/>
      <c r="BE48" s="185" t="s">
        <v>673</v>
      </c>
      <c r="BH48" s="29" t="s">
        <v>76</v>
      </c>
      <c r="BI48" s="164" t="s">
        <v>332</v>
      </c>
      <c r="BJ48" s="164"/>
      <c r="BK48" s="164"/>
    </row>
    <row r="49" spans="2:63" x14ac:dyDescent="0.15">
      <c r="M49" s="16">
        <v>3</v>
      </c>
      <c r="N49" s="29" t="s">
        <v>478</v>
      </c>
      <c r="O49" s="29" t="s">
        <v>3</v>
      </c>
      <c r="P49" s="29" t="s">
        <v>1</v>
      </c>
      <c r="Q49" s="29" t="s">
        <v>2</v>
      </c>
      <c r="R49" s="29" t="s">
        <v>0</v>
      </c>
      <c r="S49" s="29" t="s">
        <v>545</v>
      </c>
      <c r="T49" s="29" t="s">
        <v>228</v>
      </c>
      <c r="V49" s="17">
        <v>45</v>
      </c>
      <c r="W49" s="17">
        <f t="shared" si="3"/>
        <v>0</v>
      </c>
      <c r="X49" s="17">
        <f t="shared" si="4"/>
        <v>0</v>
      </c>
      <c r="Y49" s="17">
        <f t="shared" si="5"/>
        <v>0</v>
      </c>
      <c r="Z49" s="17">
        <f t="shared" si="6"/>
        <v>0</v>
      </c>
      <c r="AA49" s="17">
        <f t="shared" si="7"/>
        <v>0</v>
      </c>
      <c r="AE49" s="29" t="s">
        <v>478</v>
      </c>
      <c r="AF49" s="29"/>
      <c r="AG49" s="29" t="s">
        <v>197</v>
      </c>
      <c r="AH49" s="29"/>
      <c r="AI49" s="29" t="s">
        <v>197</v>
      </c>
      <c r="AJ49" s="14" t="s">
        <v>343</v>
      </c>
      <c r="AO49" s="29" t="s">
        <v>478</v>
      </c>
      <c r="AP49" s="29" t="s">
        <v>3</v>
      </c>
      <c r="AQ49" s="29" t="s">
        <v>80</v>
      </c>
      <c r="AR49" s="29" t="s">
        <v>81</v>
      </c>
      <c r="AS49" s="29" t="s">
        <v>82</v>
      </c>
      <c r="AT49" s="29" t="s">
        <v>545</v>
      </c>
      <c r="AU49" s="29" t="s">
        <v>3</v>
      </c>
      <c r="AV49" s="29" t="s">
        <v>80</v>
      </c>
      <c r="AW49" s="29" t="s">
        <v>81</v>
      </c>
      <c r="AX49" s="29" t="s">
        <v>82</v>
      </c>
      <c r="AY49" s="29" t="s">
        <v>545</v>
      </c>
      <c r="AZ49" s="29" t="s">
        <v>3</v>
      </c>
      <c r="BA49" s="29" t="s">
        <v>80</v>
      </c>
      <c r="BB49" s="29" t="s">
        <v>81</v>
      </c>
      <c r="BC49" s="29" t="s">
        <v>82</v>
      </c>
      <c r="BD49" s="29" t="s">
        <v>545</v>
      </c>
      <c r="BE49" s="186"/>
      <c r="BH49" s="29" t="s">
        <v>478</v>
      </c>
      <c r="BI49" s="29" t="s">
        <v>675</v>
      </c>
      <c r="BJ49" s="29"/>
      <c r="BK49" s="29" t="s">
        <v>203</v>
      </c>
    </row>
    <row r="50" spans="2:63" x14ac:dyDescent="0.15">
      <c r="M50" s="16">
        <v>4</v>
      </c>
      <c r="N50" s="29">
        <f>基础状态预期!D62</f>
        <v>9.9592453074578113</v>
      </c>
      <c r="O50" s="29">
        <f>IF(基础状态预期!U62="",0,MIN(求节点($C$16:$C$24,D$16:D$24,基础状态预期!K62),求节点($C$28:$C$48,D$28:D$48,基础状态预期!U62)))</f>
        <v>0</v>
      </c>
      <c r="P50" s="29">
        <f>IF(基础状态预期!V62="",0,MIN(求节点($C$16:$C$24,E$16:E$24,基础状态预期!L62),求节点($C$28:$C$48,E$28:E$48,基础状态预期!V62)))</f>
        <v>0</v>
      </c>
      <c r="Q50" s="29">
        <f>IF(基础状态预期!W62="",0,MIN(求节点($C$16:$C$24,F$16:F$24,基础状态预期!M62),求节点($C$28:$C$48,F$28:F$48,基础状态预期!W62)))</f>
        <v>0</v>
      </c>
      <c r="R50" s="29">
        <f>IF(基础状态预期!X62="",0,MIN(求节点($C$16:$C$24,G$16:G$24,基础状态预期!N62),求节点($C$28:$C$48,G$28:G$48,基础状态预期!X62)))</f>
        <v>0</v>
      </c>
      <c r="S50" s="29">
        <f>IF(基础状态预期!Y62="",0,MIN(求节点($C$16:$C$24,H$16:H$24,基础状态预期!O62),求节点($C$28:$C$48,H$28:H$48,基础状态预期!Y62)))</f>
        <v>0</v>
      </c>
      <c r="T50" s="29">
        <f>MAX(SUMPRODUCT(O50:S50,基础状态预期!$F62:$J62)/SUM(基础状态预期!$F62:$J62),T49)</f>
        <v>0</v>
      </c>
      <c r="V50" s="17">
        <v>46</v>
      </c>
      <c r="W50" s="17">
        <f t="shared" si="3"/>
        <v>0</v>
      </c>
      <c r="X50" s="17">
        <f t="shared" si="4"/>
        <v>0</v>
      </c>
      <c r="Y50" s="17">
        <f t="shared" si="5"/>
        <v>0</v>
      </c>
      <c r="Z50" s="17">
        <f t="shared" si="6"/>
        <v>0</v>
      </c>
      <c r="AA50" s="17">
        <f t="shared" si="7"/>
        <v>0</v>
      </c>
      <c r="AE50" s="29">
        <v>10</v>
      </c>
      <c r="AF50" s="29"/>
      <c r="AG50" s="29">
        <f>求节点($N$50:$N$88,$T$50:$T$88,$AE50)</f>
        <v>0</v>
      </c>
      <c r="AH50" s="29"/>
      <c r="AI50" s="41">
        <f>AG50*INDEX([2]小r将兵属性验证!$AX$7:$AX$166,$AE50,1)</f>
        <v>0</v>
      </c>
      <c r="AJ50" s="14">
        <f t="shared" ref="AJ50:AJ59" si="13">SUM(AH50:AI50)</f>
        <v>0</v>
      </c>
      <c r="AO50" s="29">
        <f>$N50</f>
        <v>9.9592453074578113</v>
      </c>
      <c r="AP50" s="14">
        <f>MAX(求节点($C$74:$C$79,D$74:D$79,求节点($C$4:$C$12,D$4:D$12,基础状态预期!K62)),AP49)</f>
        <v>0</v>
      </c>
      <c r="AQ50" s="14">
        <f>MAX(求节点($C$74:$C$79,E$74:E$79,求节点($C$4:$C$12,E$4:E$12,基础状态预期!L62)),AQ49)</f>
        <v>0</v>
      </c>
      <c r="AR50" s="14">
        <f>MAX(求节点($C$74:$C$79,F$74:F$79,求节点($C$4:$C$12,F$4:F$12,基础状态预期!M62)),AR49)</f>
        <v>0</v>
      </c>
      <c r="AS50" s="14">
        <f>MAX(求节点($C$74:$C$79,G$74:G$79,求节点($C$4:$C$12,G$4:G$12,基础状态预期!N62)),AS49)</f>
        <v>0</v>
      </c>
      <c r="AT50" s="14">
        <f>MAX(求节点($C$74:$C$79,H$74:H$79,求节点($C$4:$C$12,H$4:H$12,基础状态预期!O62)),AT49)</f>
        <v>0</v>
      </c>
      <c r="AU50" s="14">
        <f>MAX(求节点($C$81:$C$86,D$81:D$86,求节点($C$4:$C$12,D$4:D$12,基础状态预期!K62)),AU49)</f>
        <v>0</v>
      </c>
      <c r="AV50" s="14">
        <f>MAX(求节点($C$81:$C$86,E$81:E$86,求节点($C$4:$C$12,E$4:E$12,基础状态预期!L62)),AV49)</f>
        <v>0</v>
      </c>
      <c r="AW50" s="14">
        <f>MAX(求节点($C$81:$C$86,F$81:F$86,求节点($C$4:$C$12,F$4:F$12,基础状态预期!M62)),AW49)</f>
        <v>0</v>
      </c>
      <c r="AX50" s="14">
        <f>MAX(求节点($C$81:$C$86,G$81:G$86,求节点($C$4:$C$12,G$4:G$12,基础状态预期!N62)),AX49)</f>
        <v>0</v>
      </c>
      <c r="AY50" s="14">
        <f>MAX(求节点($C$81:$C$86,H$81:H$86,求节点($C$4:$C$12,H$4:H$12,基础状态预期!O62)),AY49)</f>
        <v>0</v>
      </c>
      <c r="AZ50" s="14">
        <f>MAX(求节点($C$88:$C$93,D$88:D$93,求节点($C$4:$C$12,D$4:D$12,基础状态预期!K62)),AZ49)</f>
        <v>0</v>
      </c>
      <c r="BA50" s="14">
        <f>MAX(求节点($C$88:$C$93,E$88:E$93,求节点($C$4:$C$12,E$4:E$12,基础状态预期!L62)),BA49)</f>
        <v>0</v>
      </c>
      <c r="BB50" s="14">
        <f>MAX(求节点($C$88:$C$93,F$88:F$93,求节点($C$4:$C$12,F$4:F$12,基础状态预期!M62)),BB49)</f>
        <v>0</v>
      </c>
      <c r="BC50" s="14">
        <f>MAX(求节点($C$88:$C$93,G$88:G$93,求节点($C$4:$C$12,G$4:G$12,基础状态预期!N62)),BC49)</f>
        <v>0</v>
      </c>
      <c r="BD50" s="14">
        <f>MAX(求节点($C$88:$C$93,H$88:H$93,求节点($C$4:$C$12,H$4:H$12,基础状态预期!O62)),BD49)</f>
        <v>0</v>
      </c>
      <c r="BE50" s="14">
        <f t="shared" ref="BE50:BE88" si="14">SUM(AP50:AT50)*$D$97+
SUM(AU50:AY50)*$D$98+
SUM(AZ50:BD50)*$D$99</f>
        <v>0</v>
      </c>
      <c r="BH50" s="29">
        <v>10</v>
      </c>
      <c r="BI50" s="29">
        <f t="shared" ref="BI50:BI65" si="15">求节点($AO$50:$AO$88,BE$5:BE$43,$BH50)</f>
        <v>0</v>
      </c>
      <c r="BJ50" s="29"/>
      <c r="BK50" s="29">
        <f>SUM(BI50:BJ50)</f>
        <v>0</v>
      </c>
    </row>
    <row r="51" spans="2:63" x14ac:dyDescent="0.15">
      <c r="B51" s="184" t="s">
        <v>683</v>
      </c>
      <c r="C51" s="29" t="s">
        <v>665</v>
      </c>
      <c r="D51" s="29" t="s">
        <v>3</v>
      </c>
      <c r="E51" s="29" t="s">
        <v>1</v>
      </c>
      <c r="F51" s="29" t="s">
        <v>2</v>
      </c>
      <c r="G51" s="29" t="s">
        <v>0</v>
      </c>
      <c r="H51" s="29" t="s">
        <v>545</v>
      </c>
      <c r="I51" s="29" t="s">
        <v>30</v>
      </c>
      <c r="M51" s="16">
        <v>5</v>
      </c>
      <c r="N51" s="29">
        <f>基础状态预期!D63</f>
        <v>19.766822802328868</v>
      </c>
      <c r="O51" s="29">
        <f>IF(基础状态预期!U63="",0,MIN(求节点($C$16:$C$24,D$16:D$24,基础状态预期!K63),求节点($C$28:$C$48,D$28:D$48,基础状态预期!U63)))</f>
        <v>0</v>
      </c>
      <c r="P51" s="29">
        <f>IF(基础状态预期!V63="",0,MIN(求节点($C$16:$C$24,E$16:E$24,基础状态预期!L63),求节点($C$28:$C$48,E$28:E$48,基础状态预期!V63)))</f>
        <v>0</v>
      </c>
      <c r="Q51" s="29">
        <f>IF(基础状态预期!W63="",0,MIN(求节点($C$16:$C$24,F$16:F$24,基础状态预期!M63),求节点($C$28:$C$48,F$28:F$48,基础状态预期!W63)))</f>
        <v>0</v>
      </c>
      <c r="R51" s="29">
        <f>IF(基础状态预期!X63="",0,MIN(求节点($C$16:$C$24,G$16:G$24,基础状态预期!N63),求节点($C$28:$C$48,G$28:G$48,基础状态预期!X63)))</f>
        <v>0</v>
      </c>
      <c r="S51" s="29">
        <f>IF(基础状态预期!Y63="",0,MIN(求节点($C$16:$C$24,H$16:H$24,基础状态预期!O63),求节点($C$28:$C$48,H$28:H$48,基础状态预期!Y63)))</f>
        <v>0</v>
      </c>
      <c r="T51" s="29">
        <f>MAX(SUMPRODUCT(O51:S51,基础状态预期!$F63:$J63)/SUM(基础状态预期!$F63:$J63),T50)</f>
        <v>0</v>
      </c>
      <c r="V51" s="17">
        <v>47</v>
      </c>
      <c r="W51" s="17">
        <f t="shared" si="3"/>
        <v>0</v>
      </c>
      <c r="X51" s="17">
        <f t="shared" si="4"/>
        <v>0</v>
      </c>
      <c r="Y51" s="17">
        <f t="shared" si="5"/>
        <v>0</v>
      </c>
      <c r="Z51" s="17">
        <f t="shared" si="6"/>
        <v>0</v>
      </c>
      <c r="AA51" s="17">
        <f t="shared" si="7"/>
        <v>0</v>
      </c>
      <c r="AE51" s="29">
        <v>20</v>
      </c>
      <c r="AF51" s="29"/>
      <c r="AG51" s="29">
        <f t="shared" ref="AG51:AG65" si="16">求节点($N$50:$N$88,$T$50:$T$88,$AE51)</f>
        <v>0</v>
      </c>
      <c r="AH51" s="29"/>
      <c r="AI51" s="29">
        <f>(AG51-AG50)*INDEX([2]小r将兵属性验证!$AX$7:$AX$166,$AE51,1)+AI50</f>
        <v>0</v>
      </c>
      <c r="AJ51" s="14">
        <f t="shared" si="13"/>
        <v>0</v>
      </c>
      <c r="AO51" s="29">
        <f t="shared" ref="AO51:AO88" si="17">$N51</f>
        <v>19.766822802328868</v>
      </c>
      <c r="AP51" s="14">
        <f>MAX(求节点($C$74:$C$79,D$74:D$79,求节点($C$4:$C$12,D$4:D$12,基础状态预期!K63)),AP50)</f>
        <v>0</v>
      </c>
      <c r="AQ51" s="14">
        <f>MAX(求节点($C$74:$C$79,E$74:E$79,求节点($C$4:$C$12,E$4:E$12,基础状态预期!L63)),AQ50)</f>
        <v>0</v>
      </c>
      <c r="AR51" s="14">
        <f>MAX(求节点($C$74:$C$79,F$74:F$79,求节点($C$4:$C$12,F$4:F$12,基础状态预期!M63)),AR50)</f>
        <v>0</v>
      </c>
      <c r="AS51" s="14">
        <f>MAX(求节点($C$74:$C$79,G$74:G$79,求节点($C$4:$C$12,G$4:G$12,基础状态预期!N63)),AS50)</f>
        <v>0</v>
      </c>
      <c r="AT51" s="14">
        <f>MAX(求节点($C$74:$C$79,H$74:H$79,求节点($C$4:$C$12,H$4:H$12,基础状态预期!O63)),AT50)</f>
        <v>0</v>
      </c>
      <c r="AU51" s="14">
        <f>MAX(求节点($C$81:$C$86,D$81:D$86,求节点($C$4:$C$12,D$4:D$12,基础状态预期!K63)),AU50)</f>
        <v>0</v>
      </c>
      <c r="AV51" s="14">
        <f>MAX(求节点($C$81:$C$86,E$81:E$86,求节点($C$4:$C$12,E$4:E$12,基础状态预期!L63)),AV50)</f>
        <v>0</v>
      </c>
      <c r="AW51" s="14">
        <f>MAX(求节点($C$81:$C$86,F$81:F$86,求节点($C$4:$C$12,F$4:F$12,基础状态预期!M63)),AW50)</f>
        <v>0</v>
      </c>
      <c r="AX51" s="14">
        <f>MAX(求节点($C$81:$C$86,G$81:G$86,求节点($C$4:$C$12,G$4:G$12,基础状态预期!N63)),AX50)</f>
        <v>0</v>
      </c>
      <c r="AY51" s="14">
        <f>MAX(求节点($C$81:$C$86,H$81:H$86,求节点($C$4:$C$12,H$4:H$12,基础状态预期!O63)),AY50)</f>
        <v>0</v>
      </c>
      <c r="AZ51" s="14">
        <f>MAX(求节点($C$88:$C$93,D$88:D$93,求节点($C$4:$C$12,D$4:D$12,基础状态预期!K63)),AZ50)</f>
        <v>0</v>
      </c>
      <c r="BA51" s="14">
        <f>MAX(求节点($C$88:$C$93,E$88:E$93,求节点($C$4:$C$12,E$4:E$12,基础状态预期!L63)),BA50)</f>
        <v>0</v>
      </c>
      <c r="BB51" s="14">
        <f>MAX(求节点($C$88:$C$93,F$88:F$93,求节点($C$4:$C$12,F$4:F$12,基础状态预期!M63)),BB50)</f>
        <v>0</v>
      </c>
      <c r="BC51" s="14">
        <f>MAX(求节点($C$88:$C$93,G$88:G$93,求节点($C$4:$C$12,G$4:G$12,基础状态预期!N63)),BC50)</f>
        <v>0</v>
      </c>
      <c r="BD51" s="14">
        <f>MAX(求节点($C$88:$C$93,H$88:H$93,求节点($C$4:$C$12,H$4:H$12,基础状态预期!O63)),BD50)</f>
        <v>0</v>
      </c>
      <c r="BE51" s="14">
        <f t="shared" si="14"/>
        <v>0</v>
      </c>
      <c r="BH51" s="29">
        <v>20</v>
      </c>
      <c r="BI51" s="29">
        <f t="shared" si="15"/>
        <v>0</v>
      </c>
      <c r="BJ51" s="29"/>
      <c r="BK51" s="29">
        <f t="shared" ref="BK51:BK59" si="18">SUM(BI51:BJ51)</f>
        <v>0</v>
      </c>
    </row>
    <row r="52" spans="2:63" x14ac:dyDescent="0.15">
      <c r="B52" s="184"/>
      <c r="C52" s="29">
        <v>0</v>
      </c>
      <c r="D52" s="29"/>
      <c r="E52" s="29"/>
      <c r="F52" s="29"/>
      <c r="G52" s="29"/>
      <c r="H52" s="29"/>
      <c r="I52" s="29"/>
      <c r="M52" s="16">
        <v>6</v>
      </c>
      <c r="N52" s="29">
        <f>基础状态预期!D64</f>
        <v>27.773265580596355</v>
      </c>
      <c r="O52" s="29">
        <f>IF(基础状态预期!U64="",0,MIN(求节点($C$16:$C$24,D$16:D$24,基础状态预期!K64),求节点($C$28:$C$48,D$28:D$48,基础状态预期!U64)))</f>
        <v>0</v>
      </c>
      <c r="P52" s="29">
        <f>IF(基础状态预期!V64="",0,MIN(求节点($C$16:$C$24,E$16:E$24,基础状态预期!L64),求节点($C$28:$C$48,E$28:E$48,基础状态预期!V64)))</f>
        <v>0</v>
      </c>
      <c r="Q52" s="29">
        <f>IF(基础状态预期!W64="",0,MIN(求节点($C$16:$C$24,F$16:F$24,基础状态预期!M64),求节点($C$28:$C$48,F$28:F$48,基础状态预期!W64)))</f>
        <v>0</v>
      </c>
      <c r="R52" s="29">
        <f>IF(基础状态预期!X64="",0,MIN(求节点($C$16:$C$24,G$16:G$24,基础状态预期!N64),求节点($C$28:$C$48,G$28:G$48,基础状态预期!X64)))</f>
        <v>0</v>
      </c>
      <c r="S52" s="29">
        <f>IF(基础状态预期!Y64="",0,MIN(求节点($C$16:$C$24,H$16:H$24,基础状态预期!O64),求节点($C$28:$C$48,H$28:H$48,基础状态预期!Y64)))</f>
        <v>0</v>
      </c>
      <c r="T52" s="29">
        <f>MAX(SUMPRODUCT(O52:S52,基础状态预期!$F64:$J64)/SUM(基础状态预期!$F64:$J64),T51)</f>
        <v>0</v>
      </c>
      <c r="V52" s="17">
        <v>48</v>
      </c>
      <c r="W52" s="17">
        <f t="shared" si="3"/>
        <v>0</v>
      </c>
      <c r="X52" s="17">
        <f t="shared" si="4"/>
        <v>0</v>
      </c>
      <c r="Y52" s="17">
        <f t="shared" si="5"/>
        <v>0</v>
      </c>
      <c r="Z52" s="17">
        <f t="shared" si="6"/>
        <v>0</v>
      </c>
      <c r="AA52" s="17">
        <f t="shared" si="7"/>
        <v>0</v>
      </c>
      <c r="AE52" s="29">
        <v>30</v>
      </c>
      <c r="AF52" s="29"/>
      <c r="AG52" s="29">
        <f t="shared" si="16"/>
        <v>0</v>
      </c>
      <c r="AH52" s="29"/>
      <c r="AI52" s="29">
        <f>(AG52-AG51)*INDEX([2]小r将兵属性验证!$AX$7:$AX$166,$AE52,1)+AI51</f>
        <v>0</v>
      </c>
      <c r="AJ52" s="14">
        <f t="shared" si="13"/>
        <v>0</v>
      </c>
      <c r="AO52" s="29">
        <f t="shared" si="17"/>
        <v>27.773265580596355</v>
      </c>
      <c r="AP52" s="14">
        <f>MAX(求节点($C$74:$C$79,D$74:D$79,求节点($C$4:$C$12,D$4:D$12,基础状态预期!K64)),AP51)</f>
        <v>0</v>
      </c>
      <c r="AQ52" s="14">
        <f>MAX(求节点($C$74:$C$79,E$74:E$79,求节点($C$4:$C$12,E$4:E$12,基础状态预期!L64)),AQ51)</f>
        <v>0</v>
      </c>
      <c r="AR52" s="14">
        <f>MAX(求节点($C$74:$C$79,F$74:F$79,求节点($C$4:$C$12,F$4:F$12,基础状态预期!M64)),AR51)</f>
        <v>0</v>
      </c>
      <c r="AS52" s="14">
        <f>MAX(求节点($C$74:$C$79,G$74:G$79,求节点($C$4:$C$12,G$4:G$12,基础状态预期!N64)),AS51)</f>
        <v>0</v>
      </c>
      <c r="AT52" s="14">
        <f>MAX(求节点($C$74:$C$79,H$74:H$79,求节点($C$4:$C$12,H$4:H$12,基础状态预期!O64)),AT51)</f>
        <v>0</v>
      </c>
      <c r="AU52" s="14">
        <f>MAX(求节点($C$81:$C$86,D$81:D$86,求节点($C$4:$C$12,D$4:D$12,基础状态预期!K64)),AU51)</f>
        <v>0</v>
      </c>
      <c r="AV52" s="14">
        <f>MAX(求节点($C$81:$C$86,E$81:E$86,求节点($C$4:$C$12,E$4:E$12,基础状态预期!L64)),AV51)</f>
        <v>0</v>
      </c>
      <c r="AW52" s="14">
        <f>MAX(求节点($C$81:$C$86,F$81:F$86,求节点($C$4:$C$12,F$4:F$12,基础状态预期!M64)),AW51)</f>
        <v>0</v>
      </c>
      <c r="AX52" s="14">
        <f>MAX(求节点($C$81:$C$86,G$81:G$86,求节点($C$4:$C$12,G$4:G$12,基础状态预期!N64)),AX51)</f>
        <v>0</v>
      </c>
      <c r="AY52" s="14">
        <f>MAX(求节点($C$81:$C$86,H$81:H$86,求节点($C$4:$C$12,H$4:H$12,基础状态预期!O64)),AY51)</f>
        <v>0</v>
      </c>
      <c r="AZ52" s="14">
        <f>MAX(求节点($C$88:$C$93,D$88:D$93,求节点($C$4:$C$12,D$4:D$12,基础状态预期!K64)),AZ51)</f>
        <v>0</v>
      </c>
      <c r="BA52" s="14">
        <f>MAX(求节点($C$88:$C$93,E$88:E$93,求节点($C$4:$C$12,E$4:E$12,基础状态预期!L64)),BA51)</f>
        <v>0</v>
      </c>
      <c r="BB52" s="14">
        <f>MAX(求节点($C$88:$C$93,F$88:F$93,求节点($C$4:$C$12,F$4:F$12,基础状态预期!M64)),BB51)</f>
        <v>0</v>
      </c>
      <c r="BC52" s="14">
        <f>MAX(求节点($C$88:$C$93,G$88:G$93,求节点($C$4:$C$12,G$4:G$12,基础状态预期!N64)),BC51)</f>
        <v>0</v>
      </c>
      <c r="BD52" s="14">
        <f>MAX(求节点($C$88:$C$93,H$88:H$93,求节点($C$4:$C$12,H$4:H$12,基础状态预期!O64)),BD51)</f>
        <v>0</v>
      </c>
      <c r="BE52" s="14">
        <f t="shared" si="14"/>
        <v>0</v>
      </c>
      <c r="BH52" s="29">
        <v>30</v>
      </c>
      <c r="BI52" s="29">
        <f t="shared" si="15"/>
        <v>0</v>
      </c>
      <c r="BJ52" s="29"/>
      <c r="BK52" s="29">
        <f t="shared" si="18"/>
        <v>0</v>
      </c>
    </row>
    <row r="53" spans="2:63" x14ac:dyDescent="0.15">
      <c r="B53" s="184"/>
      <c r="C53" s="29">
        <v>1</v>
      </c>
      <c r="D53" s="29"/>
      <c r="E53" s="29"/>
      <c r="F53" s="29"/>
      <c r="G53" s="29">
        <v>1</v>
      </c>
      <c r="H53" s="29">
        <v>2</v>
      </c>
      <c r="I53" s="29">
        <v>4</v>
      </c>
      <c r="M53" s="16">
        <v>7</v>
      </c>
      <c r="N53" s="29">
        <f>基础状态预期!D65</f>
        <v>34.250806171891597</v>
      </c>
      <c r="O53" s="29">
        <f>IF(基础状态预期!U65="",0,MIN(求节点($C$16:$C$24,D$16:D$24,基础状态预期!K65),求节点($C$28:$C$48,D$28:D$48,基础状态预期!U65)))</f>
        <v>0</v>
      </c>
      <c r="P53" s="29">
        <f>IF(基础状态预期!V65="",0,MIN(求节点($C$16:$C$24,E$16:E$24,基础状态预期!L65),求节点($C$28:$C$48,E$28:E$48,基础状态预期!V65)))</f>
        <v>0</v>
      </c>
      <c r="Q53" s="29">
        <f>IF(基础状态预期!W65="",0,MIN(求节点($C$16:$C$24,F$16:F$24,基础状态预期!M65),求节点($C$28:$C$48,F$28:F$48,基础状态预期!W65)))</f>
        <v>0</v>
      </c>
      <c r="R53" s="29">
        <f>IF(基础状态预期!X65="",0,MIN(求节点($C$16:$C$24,G$16:G$24,基础状态预期!N65),求节点($C$28:$C$48,G$28:G$48,基础状态预期!X65)))</f>
        <v>0</v>
      </c>
      <c r="S53" s="29">
        <f>IF(基础状态预期!Y65="",0,MIN(求节点($C$16:$C$24,H$16:H$24,基础状态预期!O65),求节点($C$28:$C$48,H$28:H$48,基础状态预期!Y65)))</f>
        <v>0</v>
      </c>
      <c r="T53" s="29">
        <f>MAX(SUMPRODUCT(O53:S53,基础状态预期!$F65:$J65)/SUM(基础状态预期!$F65:$J65),T52)</f>
        <v>0</v>
      </c>
      <c r="V53" s="17">
        <v>49</v>
      </c>
      <c r="W53" s="17">
        <f t="shared" si="3"/>
        <v>0</v>
      </c>
      <c r="X53" s="17">
        <f t="shared" si="4"/>
        <v>0</v>
      </c>
      <c r="Y53" s="17">
        <f t="shared" si="5"/>
        <v>0</v>
      </c>
      <c r="Z53" s="17">
        <f t="shared" si="6"/>
        <v>0</v>
      </c>
      <c r="AA53" s="17">
        <f t="shared" si="7"/>
        <v>0</v>
      </c>
      <c r="AE53" s="29">
        <v>40</v>
      </c>
      <c r="AF53" s="29"/>
      <c r="AG53" s="29">
        <f t="shared" si="16"/>
        <v>0</v>
      </c>
      <c r="AH53" s="29"/>
      <c r="AI53" s="29">
        <f>(AG53-AG52)*INDEX([2]小r将兵属性验证!$AX$7:$AX$166,$AE53,1)+AI52</f>
        <v>0</v>
      </c>
      <c r="AJ53" s="14">
        <f t="shared" si="13"/>
        <v>0</v>
      </c>
      <c r="AO53" s="29">
        <f t="shared" si="17"/>
        <v>34.250806171891597</v>
      </c>
      <c r="AP53" s="14">
        <f>MAX(求节点($C$74:$C$79,D$74:D$79,求节点($C$4:$C$12,D$4:D$12,基础状态预期!K65)),AP52)</f>
        <v>0</v>
      </c>
      <c r="AQ53" s="14">
        <f>MAX(求节点($C$74:$C$79,E$74:E$79,求节点($C$4:$C$12,E$4:E$12,基础状态预期!L65)),AQ52)</f>
        <v>0</v>
      </c>
      <c r="AR53" s="14">
        <f>MAX(求节点($C$74:$C$79,F$74:F$79,求节点($C$4:$C$12,F$4:F$12,基础状态预期!M65)),AR52)</f>
        <v>0</v>
      </c>
      <c r="AS53" s="14">
        <f>MAX(求节点($C$74:$C$79,G$74:G$79,求节点($C$4:$C$12,G$4:G$12,基础状态预期!N65)),AS52)</f>
        <v>0</v>
      </c>
      <c r="AT53" s="14">
        <f>MAX(求节点($C$74:$C$79,H$74:H$79,求节点($C$4:$C$12,H$4:H$12,基础状态预期!O65)),AT52)</f>
        <v>0</v>
      </c>
      <c r="AU53" s="14">
        <f>MAX(求节点($C$81:$C$86,D$81:D$86,求节点($C$4:$C$12,D$4:D$12,基础状态预期!K65)),AU52)</f>
        <v>0</v>
      </c>
      <c r="AV53" s="14">
        <f>MAX(求节点($C$81:$C$86,E$81:E$86,求节点($C$4:$C$12,E$4:E$12,基础状态预期!L65)),AV52)</f>
        <v>0</v>
      </c>
      <c r="AW53" s="14">
        <f>MAX(求节点($C$81:$C$86,F$81:F$86,求节点($C$4:$C$12,F$4:F$12,基础状态预期!M65)),AW52)</f>
        <v>0</v>
      </c>
      <c r="AX53" s="14">
        <f>MAX(求节点($C$81:$C$86,G$81:G$86,求节点($C$4:$C$12,G$4:G$12,基础状态预期!N65)),AX52)</f>
        <v>0</v>
      </c>
      <c r="AY53" s="14">
        <f>MAX(求节点($C$81:$C$86,H$81:H$86,求节点($C$4:$C$12,H$4:H$12,基础状态预期!O65)),AY52)</f>
        <v>0</v>
      </c>
      <c r="AZ53" s="14">
        <f>MAX(求节点($C$88:$C$93,D$88:D$93,求节点($C$4:$C$12,D$4:D$12,基础状态预期!K65)),AZ52)</f>
        <v>0</v>
      </c>
      <c r="BA53" s="14">
        <f>MAX(求节点($C$88:$C$93,E$88:E$93,求节点($C$4:$C$12,E$4:E$12,基础状态预期!L65)),BA52)</f>
        <v>0</v>
      </c>
      <c r="BB53" s="14">
        <f>MAX(求节点($C$88:$C$93,F$88:F$93,求节点($C$4:$C$12,F$4:F$12,基础状态预期!M65)),BB52)</f>
        <v>0</v>
      </c>
      <c r="BC53" s="14">
        <f>MAX(求节点($C$88:$C$93,G$88:G$93,求节点($C$4:$C$12,G$4:G$12,基础状态预期!N65)),BC52)</f>
        <v>0</v>
      </c>
      <c r="BD53" s="14">
        <f>MAX(求节点($C$88:$C$93,H$88:H$93,求节点($C$4:$C$12,H$4:H$12,基础状态预期!O65)),BD52)</f>
        <v>0</v>
      </c>
      <c r="BE53" s="14">
        <f t="shared" si="14"/>
        <v>0</v>
      </c>
      <c r="BH53" s="29">
        <v>40</v>
      </c>
      <c r="BI53" s="29">
        <f t="shared" si="15"/>
        <v>0</v>
      </c>
      <c r="BJ53" s="29"/>
      <c r="BK53" s="29">
        <f t="shared" si="18"/>
        <v>0</v>
      </c>
    </row>
    <row r="54" spans="2:63" x14ac:dyDescent="0.15">
      <c r="B54" s="184"/>
      <c r="C54" s="29">
        <v>2</v>
      </c>
      <c r="D54" s="29"/>
      <c r="E54" s="29"/>
      <c r="F54" s="29"/>
      <c r="G54" s="29"/>
      <c r="H54" s="29"/>
      <c r="I54" s="29"/>
      <c r="M54" s="16">
        <v>8</v>
      </c>
      <c r="N54" s="29">
        <f>基础状态预期!D66</f>
        <v>39.661158518499626</v>
      </c>
      <c r="O54" s="29">
        <f>IF(基础状态预期!U66="",0,MIN(求节点($C$16:$C$24,D$16:D$24,基础状态预期!K66),求节点($C$28:$C$48,D$28:D$48,基础状态预期!U66)))</f>
        <v>0</v>
      </c>
      <c r="P54" s="29">
        <f>IF(基础状态预期!V66="",0,MIN(求节点($C$16:$C$24,E$16:E$24,基础状态预期!L66),求节点($C$28:$C$48,E$28:E$48,基础状态预期!V66)))</f>
        <v>0</v>
      </c>
      <c r="Q54" s="29">
        <f>IF(基础状态预期!W66="",0,MIN(求节点($C$16:$C$24,F$16:F$24,基础状态预期!M66),求节点($C$28:$C$48,F$28:F$48,基础状态预期!W66)))</f>
        <v>0</v>
      </c>
      <c r="R54" s="29">
        <f>IF(基础状态预期!X66="",0,MIN(求节点($C$16:$C$24,G$16:G$24,基础状态预期!N66),求节点($C$28:$C$48,G$28:G$48,基础状态预期!X66)))</f>
        <v>0</v>
      </c>
      <c r="S54" s="29">
        <f>IF(基础状态预期!Y66="",0,MIN(求节点($C$16:$C$24,H$16:H$24,基础状态预期!O66),求节点($C$28:$C$48,H$28:H$48,基础状态预期!Y66)))</f>
        <v>0</v>
      </c>
      <c r="T54" s="29">
        <f>MAX(SUMPRODUCT(O54:S54,基础状态预期!$F66:$J66)/SUM(基础状态预期!$F66:$J66),T53)</f>
        <v>0</v>
      </c>
      <c r="V54" s="17">
        <v>50</v>
      </c>
      <c r="W54" s="17">
        <f t="shared" si="3"/>
        <v>0</v>
      </c>
      <c r="X54" s="17">
        <f t="shared" si="4"/>
        <v>0</v>
      </c>
      <c r="Y54" s="17">
        <f t="shared" si="5"/>
        <v>0</v>
      </c>
      <c r="Z54" s="17">
        <f t="shared" si="6"/>
        <v>0</v>
      </c>
      <c r="AA54" s="17">
        <f t="shared" si="7"/>
        <v>0</v>
      </c>
      <c r="AE54" s="29">
        <v>50</v>
      </c>
      <c r="AF54" s="29"/>
      <c r="AG54" s="29">
        <f t="shared" si="16"/>
        <v>0</v>
      </c>
      <c r="AH54" s="29"/>
      <c r="AI54" s="29">
        <f>(AG54-AG53)*INDEX([2]小r将兵属性验证!$AX$7:$AX$166,$AE54,1)+AI53</f>
        <v>0</v>
      </c>
      <c r="AJ54" s="14">
        <f t="shared" si="13"/>
        <v>0</v>
      </c>
      <c r="AO54" s="29">
        <f t="shared" si="17"/>
        <v>39.661158518499626</v>
      </c>
      <c r="AP54" s="14">
        <f>MAX(求节点($C$74:$C$79,D$74:D$79,求节点($C$4:$C$12,D$4:D$12,基础状态预期!K66)),AP53)</f>
        <v>0</v>
      </c>
      <c r="AQ54" s="14">
        <f>MAX(求节点($C$74:$C$79,E$74:E$79,求节点($C$4:$C$12,E$4:E$12,基础状态预期!L66)),AQ53)</f>
        <v>0</v>
      </c>
      <c r="AR54" s="14">
        <f>MAX(求节点($C$74:$C$79,F$74:F$79,求节点($C$4:$C$12,F$4:F$12,基础状态预期!M66)),AR53)</f>
        <v>0</v>
      </c>
      <c r="AS54" s="14">
        <f>MAX(求节点($C$74:$C$79,G$74:G$79,求节点($C$4:$C$12,G$4:G$12,基础状态预期!N66)),AS53)</f>
        <v>0</v>
      </c>
      <c r="AT54" s="14">
        <f>MAX(求节点($C$74:$C$79,H$74:H$79,求节点($C$4:$C$12,H$4:H$12,基础状态预期!O66)),AT53)</f>
        <v>0</v>
      </c>
      <c r="AU54" s="14">
        <f>MAX(求节点($C$81:$C$86,D$81:D$86,求节点($C$4:$C$12,D$4:D$12,基础状态预期!K66)),AU53)</f>
        <v>0</v>
      </c>
      <c r="AV54" s="14">
        <f>MAX(求节点($C$81:$C$86,E$81:E$86,求节点($C$4:$C$12,E$4:E$12,基础状态预期!L66)),AV53)</f>
        <v>0</v>
      </c>
      <c r="AW54" s="14">
        <f>MAX(求节点($C$81:$C$86,F$81:F$86,求节点($C$4:$C$12,F$4:F$12,基础状态预期!M66)),AW53)</f>
        <v>0</v>
      </c>
      <c r="AX54" s="14">
        <f>MAX(求节点($C$81:$C$86,G$81:G$86,求节点($C$4:$C$12,G$4:G$12,基础状态预期!N66)),AX53)</f>
        <v>0</v>
      </c>
      <c r="AY54" s="14">
        <f>MAX(求节点($C$81:$C$86,H$81:H$86,求节点($C$4:$C$12,H$4:H$12,基础状态预期!O66)),AY53)</f>
        <v>0</v>
      </c>
      <c r="AZ54" s="14">
        <f>MAX(求节点($C$88:$C$93,D$88:D$93,求节点($C$4:$C$12,D$4:D$12,基础状态预期!K66)),AZ53)</f>
        <v>0</v>
      </c>
      <c r="BA54" s="14">
        <f>MAX(求节点($C$88:$C$93,E$88:E$93,求节点($C$4:$C$12,E$4:E$12,基础状态预期!L66)),BA53)</f>
        <v>0</v>
      </c>
      <c r="BB54" s="14">
        <f>MAX(求节点($C$88:$C$93,F$88:F$93,求节点($C$4:$C$12,F$4:F$12,基础状态预期!M66)),BB53)</f>
        <v>0</v>
      </c>
      <c r="BC54" s="14">
        <f>MAX(求节点($C$88:$C$93,G$88:G$93,求节点($C$4:$C$12,G$4:G$12,基础状态预期!N66)),BC53)</f>
        <v>0</v>
      </c>
      <c r="BD54" s="14">
        <f>MAX(求节点($C$88:$C$93,H$88:H$93,求节点($C$4:$C$12,H$4:H$12,基础状态预期!O66)),BD53)</f>
        <v>0</v>
      </c>
      <c r="BE54" s="14">
        <f t="shared" si="14"/>
        <v>0</v>
      </c>
      <c r="BH54" s="29">
        <v>50</v>
      </c>
      <c r="BI54" s="29">
        <f t="shared" si="15"/>
        <v>0</v>
      </c>
      <c r="BJ54" s="29"/>
      <c r="BK54" s="29">
        <f t="shared" si="18"/>
        <v>0</v>
      </c>
    </row>
    <row r="55" spans="2:63" x14ac:dyDescent="0.15">
      <c r="B55" s="184"/>
      <c r="C55" s="29">
        <v>3</v>
      </c>
      <c r="D55" s="29"/>
      <c r="E55" s="29"/>
      <c r="F55" s="29"/>
      <c r="G55" s="29"/>
      <c r="H55" s="29"/>
      <c r="I55" s="29"/>
      <c r="M55" s="16">
        <v>9</v>
      </c>
      <c r="N55" s="29">
        <f>基础状态预期!D67</f>
        <v>43.535389560453282</v>
      </c>
      <c r="O55" s="29">
        <f>IF(基础状态预期!U67="",0,MIN(求节点($C$16:$C$24,D$16:D$24,基础状态预期!K67),求节点($C$28:$C$48,D$28:D$48,基础状态预期!U67)))</f>
        <v>0</v>
      </c>
      <c r="P55" s="29">
        <f>IF(基础状态预期!V67="",0,MIN(求节点($C$16:$C$24,E$16:E$24,基础状态预期!L67),求节点($C$28:$C$48,E$28:E$48,基础状态预期!V67)))</f>
        <v>0</v>
      </c>
      <c r="Q55" s="29">
        <f>IF(基础状态预期!W67="",0,MIN(求节点($C$16:$C$24,F$16:F$24,基础状态预期!M67),求节点($C$28:$C$48,F$28:F$48,基础状态预期!W67)))</f>
        <v>0</v>
      </c>
      <c r="R55" s="29">
        <f>IF(基础状态预期!X67="",0,MIN(求节点($C$16:$C$24,G$16:G$24,基础状态预期!N67),求节点($C$28:$C$48,G$28:G$48,基础状态预期!X67)))</f>
        <v>0</v>
      </c>
      <c r="S55" s="29">
        <f>IF(基础状态预期!Y67="",0,MIN(求节点($C$16:$C$24,H$16:H$24,基础状态预期!O67),求节点($C$28:$C$48,H$28:H$48,基础状态预期!Y67)))</f>
        <v>0</v>
      </c>
      <c r="T55" s="29">
        <f>MAX(SUMPRODUCT(O55:S55,基础状态预期!$F67:$J67)/SUM(基础状态预期!$F67:$J67),T54)</f>
        <v>0</v>
      </c>
      <c r="V55" s="17">
        <v>51</v>
      </c>
      <c r="W55" s="17">
        <f t="shared" si="3"/>
        <v>0</v>
      </c>
      <c r="X55" s="17">
        <f t="shared" si="4"/>
        <v>0</v>
      </c>
      <c r="Y55" s="17">
        <f t="shared" si="5"/>
        <v>0</v>
      </c>
      <c r="Z55" s="17">
        <f t="shared" si="6"/>
        <v>0</v>
      </c>
      <c r="AA55" s="17">
        <f t="shared" si="7"/>
        <v>0</v>
      </c>
      <c r="AE55" s="29">
        <v>60</v>
      </c>
      <c r="AF55" s="29"/>
      <c r="AG55" s="29">
        <f t="shared" si="16"/>
        <v>4.4984168404455155E-2</v>
      </c>
      <c r="AH55" s="29"/>
      <c r="AI55" s="29">
        <f>(AG55-AG54)*INDEX([2]小r将兵属性验证!$AX$7:$AX$166,$AE55,1)+AI54</f>
        <v>157243549.69165596</v>
      </c>
      <c r="AJ55" s="14">
        <f t="shared" si="13"/>
        <v>157243549.69165596</v>
      </c>
      <c r="AO55" s="29">
        <f t="shared" si="17"/>
        <v>43.535389560453282</v>
      </c>
      <c r="AP55" s="14">
        <f>MAX(求节点($C$74:$C$79,D$74:D$79,求节点($C$4:$C$12,D$4:D$12,基础状态预期!K67)),AP54)</f>
        <v>0</v>
      </c>
      <c r="AQ55" s="14">
        <f>MAX(求节点($C$74:$C$79,E$74:E$79,求节点($C$4:$C$12,E$4:E$12,基础状态预期!L67)),AQ54)</f>
        <v>0</v>
      </c>
      <c r="AR55" s="14">
        <f>MAX(求节点($C$74:$C$79,F$74:F$79,求节点($C$4:$C$12,F$4:F$12,基础状态预期!M67)),AR54)</f>
        <v>0</v>
      </c>
      <c r="AS55" s="14">
        <f>MAX(求节点($C$74:$C$79,G$74:G$79,求节点($C$4:$C$12,G$4:G$12,基础状态预期!N67)),AS54)</f>
        <v>0</v>
      </c>
      <c r="AT55" s="14">
        <f>MAX(求节点($C$74:$C$79,H$74:H$79,求节点($C$4:$C$12,H$4:H$12,基础状态预期!O67)),AT54)</f>
        <v>0</v>
      </c>
      <c r="AU55" s="14">
        <f>MAX(求节点($C$81:$C$86,D$81:D$86,求节点($C$4:$C$12,D$4:D$12,基础状态预期!K67)),AU54)</f>
        <v>0</v>
      </c>
      <c r="AV55" s="14">
        <f>MAX(求节点($C$81:$C$86,E$81:E$86,求节点($C$4:$C$12,E$4:E$12,基础状态预期!L67)),AV54)</f>
        <v>0</v>
      </c>
      <c r="AW55" s="14">
        <f>MAX(求节点($C$81:$C$86,F$81:F$86,求节点($C$4:$C$12,F$4:F$12,基础状态预期!M67)),AW54)</f>
        <v>0</v>
      </c>
      <c r="AX55" s="14">
        <f>MAX(求节点($C$81:$C$86,G$81:G$86,求节点($C$4:$C$12,G$4:G$12,基础状态预期!N67)),AX54)</f>
        <v>0</v>
      </c>
      <c r="AY55" s="14">
        <f>MAX(求节点($C$81:$C$86,H$81:H$86,求节点($C$4:$C$12,H$4:H$12,基础状态预期!O67)),AY54)</f>
        <v>0</v>
      </c>
      <c r="AZ55" s="14">
        <f>MAX(求节点($C$88:$C$93,D$88:D$93,求节点($C$4:$C$12,D$4:D$12,基础状态预期!K67)),AZ54)</f>
        <v>0</v>
      </c>
      <c r="BA55" s="14">
        <f>MAX(求节点($C$88:$C$93,E$88:E$93,求节点($C$4:$C$12,E$4:E$12,基础状态预期!L67)),BA54)</f>
        <v>0</v>
      </c>
      <c r="BB55" s="14">
        <f>MAX(求节点($C$88:$C$93,F$88:F$93,求节点($C$4:$C$12,F$4:F$12,基础状态预期!M67)),BB54)</f>
        <v>0</v>
      </c>
      <c r="BC55" s="14">
        <f>MAX(求节点($C$88:$C$93,G$88:G$93,求节点($C$4:$C$12,G$4:G$12,基础状态预期!N67)),BC54)</f>
        <v>0</v>
      </c>
      <c r="BD55" s="14">
        <f>MAX(求节点($C$88:$C$93,H$88:H$93,求节点($C$4:$C$12,H$4:H$12,基础状态预期!O67)),BD54)</f>
        <v>0</v>
      </c>
      <c r="BE55" s="14">
        <f t="shared" si="14"/>
        <v>0</v>
      </c>
      <c r="BH55" s="29">
        <v>60</v>
      </c>
      <c r="BI55" s="29">
        <f t="shared" si="15"/>
        <v>737.11415621927131</v>
      </c>
      <c r="BJ55" s="29"/>
      <c r="BK55" s="29">
        <f t="shared" si="18"/>
        <v>737.11415621927131</v>
      </c>
    </row>
    <row r="56" spans="2:63" x14ac:dyDescent="0.15">
      <c r="B56" s="184"/>
      <c r="C56" s="29">
        <v>4</v>
      </c>
      <c r="D56" s="29"/>
      <c r="E56" s="29"/>
      <c r="F56" s="29"/>
      <c r="G56" s="29"/>
      <c r="H56" s="29"/>
      <c r="I56" s="29"/>
      <c r="M56" s="16">
        <v>10</v>
      </c>
      <c r="N56" s="29">
        <f>基础状态预期!D68</f>
        <v>49.178590903134719</v>
      </c>
      <c r="O56" s="29">
        <f>IF(基础状态预期!U68="",0,MIN(求节点($C$16:$C$24,D$16:D$24,基础状态预期!K68),求节点($C$28:$C$48,D$28:D$48,基础状态预期!U68)))</f>
        <v>0</v>
      </c>
      <c r="P56" s="29">
        <f>IF(基础状态预期!V68="",0,MIN(求节点($C$16:$C$24,E$16:E$24,基础状态预期!L68),求节点($C$28:$C$48,E$28:E$48,基础状态预期!V68)))</f>
        <v>0</v>
      </c>
      <c r="Q56" s="29">
        <f>IF(基础状态预期!W68="",0,MIN(求节点($C$16:$C$24,F$16:F$24,基础状态预期!M68),求节点($C$28:$C$48,F$28:F$48,基础状态预期!W68)))</f>
        <v>0</v>
      </c>
      <c r="R56" s="29">
        <f>IF(基础状态预期!X68="",0,MIN(求节点($C$16:$C$24,G$16:G$24,基础状态预期!N68),求节点($C$28:$C$48,G$28:G$48,基础状态预期!X68)))</f>
        <v>0</v>
      </c>
      <c r="S56" s="29">
        <f>IF(基础状态预期!Y68="",0,MIN(求节点($C$16:$C$24,H$16:H$24,基础状态预期!O68),求节点($C$28:$C$48,H$28:H$48,基础状态预期!Y68)))</f>
        <v>0</v>
      </c>
      <c r="T56" s="29">
        <f>MAX(SUMPRODUCT(O56:S56,基础状态预期!$F68:$J68)/SUM(基础状态预期!$F68:$J68),T55)</f>
        <v>0</v>
      </c>
      <c r="V56" s="17">
        <v>52</v>
      </c>
      <c r="W56" s="17">
        <f t="shared" si="3"/>
        <v>0</v>
      </c>
      <c r="X56" s="17">
        <f t="shared" si="4"/>
        <v>0</v>
      </c>
      <c r="Y56" s="17">
        <f t="shared" si="5"/>
        <v>0</v>
      </c>
      <c r="Z56" s="17">
        <f t="shared" si="6"/>
        <v>0</v>
      </c>
      <c r="AA56" s="17">
        <f t="shared" si="7"/>
        <v>0</v>
      </c>
      <c r="AE56" s="29">
        <v>70</v>
      </c>
      <c r="AF56" s="29"/>
      <c r="AG56" s="29">
        <f t="shared" si="16"/>
        <v>8.5846222733438601E-2</v>
      </c>
      <c r="AH56" s="29"/>
      <c r="AI56" s="29">
        <f>(AG56-AG55)*INDEX([2]小r将兵属性验证!$AX$7:$AX$166,$AE56,1)+AI55</f>
        <v>597666361.1605109</v>
      </c>
      <c r="AJ56" s="14">
        <f t="shared" si="13"/>
        <v>597666361.1605109</v>
      </c>
      <c r="AO56" s="29">
        <f t="shared" si="17"/>
        <v>49.178590903134719</v>
      </c>
      <c r="AP56" s="14">
        <f>MAX(求节点($C$74:$C$79,D$74:D$79,求节点($C$4:$C$12,D$4:D$12,基础状态预期!K68)),AP55)</f>
        <v>0</v>
      </c>
      <c r="AQ56" s="14">
        <f>MAX(求节点($C$74:$C$79,E$74:E$79,求节点($C$4:$C$12,E$4:E$12,基础状态预期!L68)),AQ55)</f>
        <v>0</v>
      </c>
      <c r="AR56" s="14">
        <f>MAX(求节点($C$74:$C$79,F$74:F$79,求节点($C$4:$C$12,F$4:F$12,基础状态预期!M68)),AR55)</f>
        <v>0</v>
      </c>
      <c r="AS56" s="14">
        <f>MAX(求节点($C$74:$C$79,G$74:G$79,求节点($C$4:$C$12,G$4:G$12,基础状态预期!N68)),AS55)</f>
        <v>0</v>
      </c>
      <c r="AT56" s="14">
        <f>MAX(求节点($C$74:$C$79,H$74:H$79,求节点($C$4:$C$12,H$4:H$12,基础状态预期!O68)),AT55)</f>
        <v>0</v>
      </c>
      <c r="AU56" s="14">
        <f>MAX(求节点($C$81:$C$86,D$81:D$86,求节点($C$4:$C$12,D$4:D$12,基础状态预期!K68)),AU55)</f>
        <v>0</v>
      </c>
      <c r="AV56" s="14">
        <f>MAX(求节点($C$81:$C$86,E$81:E$86,求节点($C$4:$C$12,E$4:E$12,基础状态预期!L68)),AV55)</f>
        <v>0</v>
      </c>
      <c r="AW56" s="14">
        <f>MAX(求节点($C$81:$C$86,F$81:F$86,求节点($C$4:$C$12,F$4:F$12,基础状态预期!M68)),AW55)</f>
        <v>0</v>
      </c>
      <c r="AX56" s="14">
        <f>MAX(求节点($C$81:$C$86,G$81:G$86,求节点($C$4:$C$12,G$4:G$12,基础状态预期!N68)),AX55)</f>
        <v>0</v>
      </c>
      <c r="AY56" s="14">
        <f>MAX(求节点($C$81:$C$86,H$81:H$86,求节点($C$4:$C$12,H$4:H$12,基础状态预期!O68)),AY55)</f>
        <v>0</v>
      </c>
      <c r="AZ56" s="14">
        <f>MAX(求节点($C$88:$C$93,D$88:D$93,求节点($C$4:$C$12,D$4:D$12,基础状态预期!K68)),AZ55)</f>
        <v>0</v>
      </c>
      <c r="BA56" s="14">
        <f>MAX(求节点($C$88:$C$93,E$88:E$93,求节点($C$4:$C$12,E$4:E$12,基础状态预期!L68)),BA55)</f>
        <v>0</v>
      </c>
      <c r="BB56" s="14">
        <f>MAX(求节点($C$88:$C$93,F$88:F$93,求节点($C$4:$C$12,F$4:F$12,基础状态预期!M68)),BB55)</f>
        <v>0</v>
      </c>
      <c r="BC56" s="14">
        <f>MAX(求节点($C$88:$C$93,G$88:G$93,求节点($C$4:$C$12,G$4:G$12,基础状态预期!N68)),BC55)</f>
        <v>0</v>
      </c>
      <c r="BD56" s="14">
        <f>MAX(求节点($C$88:$C$93,H$88:H$93,求节点($C$4:$C$12,H$4:H$12,基础状态预期!O68)),BD55)</f>
        <v>0</v>
      </c>
      <c r="BE56" s="14">
        <f t="shared" si="14"/>
        <v>0</v>
      </c>
      <c r="BH56" s="29">
        <v>70</v>
      </c>
      <c r="BI56" s="29">
        <f t="shared" si="15"/>
        <v>2986.0445562820928</v>
      </c>
      <c r="BJ56" s="29"/>
      <c r="BK56" s="29">
        <f t="shared" si="18"/>
        <v>2986.0445562820928</v>
      </c>
    </row>
    <row r="57" spans="2:63" x14ac:dyDescent="0.15">
      <c r="B57" s="184"/>
      <c r="C57" s="29">
        <v>5</v>
      </c>
      <c r="D57" s="29"/>
      <c r="E57" s="29"/>
      <c r="F57" s="29"/>
      <c r="G57" s="29"/>
      <c r="H57" s="29"/>
      <c r="I57" s="29"/>
      <c r="M57" s="16">
        <v>11</v>
      </c>
      <c r="N57" s="29">
        <f>基础状态预期!D69</f>
        <v>53.226994578658328</v>
      </c>
      <c r="O57" s="29">
        <f>IF(基础状态预期!U69="",0,MIN(求节点($C$16:$C$24,D$16:D$24,基础状态预期!K69),求节点($C$28:$C$48,D$28:D$48,基础状态预期!U69)))</f>
        <v>0</v>
      </c>
      <c r="P57" s="29">
        <f>IF(基础状态预期!V69="",0,MIN(求节点($C$16:$C$24,E$16:E$24,基础状态预期!L69),求节点($C$28:$C$48,E$28:E$48,基础状态预期!V69)))</f>
        <v>0</v>
      </c>
      <c r="Q57" s="29">
        <f>IF(基础状态预期!W69="",0,MIN(求节点($C$16:$C$24,F$16:F$24,基础状态预期!M69),求节点($C$28:$C$48,F$28:F$48,基础状态预期!W69)))</f>
        <v>0</v>
      </c>
      <c r="R57" s="29">
        <f>IF(基础状态预期!X69="",0,MIN(求节点($C$16:$C$24,G$16:G$24,基础状态预期!N69),求节点($C$28:$C$48,G$28:G$48,基础状态预期!X69)))</f>
        <v>0</v>
      </c>
      <c r="S57" s="29">
        <f>IF(基础状态预期!Y69="",0,MIN(求节点($C$16:$C$24,H$16:H$24,基础状态预期!O69),求节点($C$28:$C$48,H$28:H$48,基础状态预期!Y69)))</f>
        <v>0</v>
      </c>
      <c r="T57" s="29">
        <f>MAX(SUMPRODUCT(O57:S57,基础状态预期!$F69:$J69)/SUM(基础状态预期!$F69:$J69),T56)</f>
        <v>0</v>
      </c>
      <c r="V57" s="17">
        <v>53</v>
      </c>
      <c r="W57" s="17">
        <f t="shared" si="3"/>
        <v>0</v>
      </c>
      <c r="X57" s="17">
        <f t="shared" si="4"/>
        <v>0</v>
      </c>
      <c r="Y57" s="17">
        <f t="shared" si="5"/>
        <v>0</v>
      </c>
      <c r="Z57" s="17">
        <f t="shared" si="6"/>
        <v>1.4908828725996922E-3</v>
      </c>
      <c r="AA57" s="17">
        <f t="shared" si="7"/>
        <v>2.4924154002127111E-3</v>
      </c>
      <c r="AE57" s="29">
        <v>80</v>
      </c>
      <c r="AF57" s="29"/>
      <c r="AG57" s="29">
        <f t="shared" si="16"/>
        <v>0.18000000000000002</v>
      </c>
      <c r="AH57" s="29"/>
      <c r="AI57" s="29">
        <f>(AG57-AG56)*INDEX([2]小r将兵属性验证!$AX$7:$AX$166,$AE57,1)+AI56</f>
        <v>3350734727.9281116</v>
      </c>
      <c r="AJ57" s="14">
        <f t="shared" si="13"/>
        <v>3350734727.9281116</v>
      </c>
      <c r="AO57" s="29">
        <f t="shared" si="17"/>
        <v>53.226994578658328</v>
      </c>
      <c r="AP57" s="14">
        <f>MAX(求节点($C$74:$C$79,D$74:D$79,求节点($C$4:$C$12,D$4:D$12,基础状态预期!K69)),AP56)</f>
        <v>0</v>
      </c>
      <c r="AQ57" s="14">
        <f>MAX(求节点($C$74:$C$79,E$74:E$79,求节点($C$4:$C$12,E$4:E$12,基础状态预期!L69)),AQ56)</f>
        <v>0</v>
      </c>
      <c r="AR57" s="14">
        <f>MAX(求节点($C$74:$C$79,F$74:F$79,求节点($C$4:$C$12,F$4:F$12,基础状态预期!M69)),AR56)</f>
        <v>0</v>
      </c>
      <c r="AS57" s="14">
        <f>MAX(求节点($C$74:$C$79,G$74:G$79,求节点($C$4:$C$12,G$4:G$12,基础状态预期!N69)),AS56)</f>
        <v>7.3515069452640969E-2</v>
      </c>
      <c r="AT57" s="14">
        <f>MAX(求节点($C$74:$C$79,H$74:H$79,求节点($C$4:$C$12,H$4:H$12,基础状态预期!O69)),AT56)</f>
        <v>0</v>
      </c>
      <c r="AU57" s="14">
        <f>MAX(求节点($C$81:$C$86,D$81:D$86,求节点($C$4:$C$12,D$4:D$12,基础状态预期!K69)),AU56)</f>
        <v>0</v>
      </c>
      <c r="AV57" s="14">
        <f>MAX(求节点($C$81:$C$86,E$81:E$86,求节点($C$4:$C$12,E$4:E$12,基础状态预期!L69)),AV56)</f>
        <v>0</v>
      </c>
      <c r="AW57" s="14">
        <f>MAX(求节点($C$81:$C$86,F$81:F$86,求节点($C$4:$C$12,F$4:F$12,基础状态预期!M69)),AW56)</f>
        <v>0</v>
      </c>
      <c r="AX57" s="14">
        <f>MAX(求节点($C$81:$C$86,G$81:G$86,求节点($C$4:$C$12,G$4:G$12,基础状态预期!N69)),AX56)</f>
        <v>0</v>
      </c>
      <c r="AY57" s="14">
        <f>MAX(求节点($C$81:$C$86,H$81:H$86,求节点($C$4:$C$12,H$4:H$12,基础状态预期!O69)),AY56)</f>
        <v>0</v>
      </c>
      <c r="AZ57" s="14">
        <f>MAX(求节点($C$88:$C$93,D$88:D$93,求节点($C$4:$C$12,D$4:D$12,基础状态预期!K69)),AZ56)</f>
        <v>0</v>
      </c>
      <c r="BA57" s="14">
        <f>MAX(求节点($C$88:$C$93,E$88:E$93,求节点($C$4:$C$12,E$4:E$12,基础状态预期!L69)),BA56)</f>
        <v>0</v>
      </c>
      <c r="BB57" s="14">
        <f>MAX(求节点($C$88:$C$93,F$88:F$93,求节点($C$4:$C$12,F$4:F$12,基础状态预期!M69)),BB56)</f>
        <v>0</v>
      </c>
      <c r="BC57" s="14">
        <f>MAX(求节点($C$88:$C$93,G$88:G$93,求节点($C$4:$C$12,G$4:G$12,基础状态预期!N69)),BC56)</f>
        <v>0</v>
      </c>
      <c r="BD57" s="14">
        <f>MAX(求节点($C$88:$C$93,H$88:H$93,求节点($C$4:$C$12,H$4:H$12,基础状态预期!O69)),BD56)</f>
        <v>0</v>
      </c>
      <c r="BE57" s="14">
        <f t="shared" si="14"/>
        <v>73.515069452640972</v>
      </c>
      <c r="BH57" s="29">
        <v>80</v>
      </c>
      <c r="BI57" s="29">
        <f t="shared" si="15"/>
        <v>3000</v>
      </c>
      <c r="BJ57" s="29"/>
      <c r="BK57" s="29">
        <f t="shared" si="18"/>
        <v>3000</v>
      </c>
    </row>
    <row r="58" spans="2:63" x14ac:dyDescent="0.15">
      <c r="B58" s="184" t="s">
        <v>684</v>
      </c>
      <c r="C58" s="29" t="s">
        <v>665</v>
      </c>
      <c r="D58" s="29" t="s">
        <v>3</v>
      </c>
      <c r="E58" s="29" t="s">
        <v>1</v>
      </c>
      <c r="F58" s="29" t="s">
        <v>2</v>
      </c>
      <c r="G58" s="29" t="s">
        <v>0</v>
      </c>
      <c r="H58" s="29" t="s">
        <v>545</v>
      </c>
      <c r="I58" s="29" t="s">
        <v>30</v>
      </c>
      <c r="M58" s="16">
        <v>12</v>
      </c>
      <c r="N58" s="29">
        <f>基础状态预期!D70</f>
        <v>59.016342740868758</v>
      </c>
      <c r="O58" s="29">
        <f>IF(基础状态预期!U70="",0,MIN(求节点($C$16:$C$24,D$16:D$24,基础状态预期!K70),求节点($C$28:$C$48,D$28:D$48,基础状态预期!U70)))</f>
        <v>0</v>
      </c>
      <c r="P58" s="29">
        <f>IF(基础状态预期!V70="",0,MIN(求节点($C$16:$C$24,E$16:E$24,基础状态预期!L70),求节点($C$28:$C$48,E$28:E$48,基础状态预期!V70)))</f>
        <v>0</v>
      </c>
      <c r="Q58" s="29">
        <f>IF(基础状态预期!W70="",0,MIN(求节点($C$16:$C$24,F$16:F$24,基础状态预期!M70),求节点($C$28:$C$48,F$28:F$48,基础状态预期!W70)))</f>
        <v>0</v>
      </c>
      <c r="R58" s="29">
        <f>IF(基础状态预期!X70="",0,MIN(求节点($C$16:$C$24,G$16:G$24,基础状态预期!N70),求节点($C$28:$C$48,G$28:G$48,基础状态预期!X70)))</f>
        <v>4.5490282226062745E-2</v>
      </c>
      <c r="S58" s="29">
        <f>IF(基础状态预期!Y70="",0,MIN(求节点($C$16:$C$24,H$16:H$24,基础状态预期!O70),求节点($C$28:$C$48,H$28:H$48,基础状态预期!Y70)))</f>
        <v>2.0832562262161854E-2</v>
      </c>
      <c r="T58" s="29">
        <f>MAX(SUMPRODUCT(O58:S58,基础状态预期!$F70:$J70)/SUM(基础状态预期!$F70:$J70),T57)</f>
        <v>3.7271042238095776E-2</v>
      </c>
      <c r="V58" s="17">
        <v>54</v>
      </c>
      <c r="W58" s="17">
        <f t="shared" si="3"/>
        <v>1.2610135696093732E-3</v>
      </c>
      <c r="X58" s="17">
        <f t="shared" si="4"/>
        <v>4.9765045911666621E-3</v>
      </c>
      <c r="Y58" s="17">
        <f t="shared" si="5"/>
        <v>6.4886701685408317E-3</v>
      </c>
      <c r="Z58" s="17">
        <f t="shared" si="6"/>
        <v>7.9726435912464838E-3</v>
      </c>
      <c r="AA58" s="17">
        <f t="shared" si="7"/>
        <v>8.1495303102141741E-3</v>
      </c>
      <c r="AE58" s="29">
        <v>90</v>
      </c>
      <c r="AF58" s="29"/>
      <c r="AG58" s="29">
        <f t="shared" si="16"/>
        <v>0.29957999167088672</v>
      </c>
      <c r="AH58" s="29"/>
      <c r="AI58" s="29">
        <f>(AG58-AG57)*INDEX([2]小r将兵属性验证!$AX$7:$AX$166,$AE58,1)+AI57</f>
        <v>11915586270.483463</v>
      </c>
      <c r="AJ58" s="14">
        <f t="shared" si="13"/>
        <v>11915586270.483463</v>
      </c>
      <c r="AO58" s="29">
        <f t="shared" si="17"/>
        <v>59.016342740868758</v>
      </c>
      <c r="AP58" s="14">
        <f>MAX(求节点($C$74:$C$79,D$74:D$79,求节点($C$4:$C$12,D$4:D$12,基础状态预期!K70)),AP57)</f>
        <v>0</v>
      </c>
      <c r="AQ58" s="14">
        <f>MAX(求节点($C$74:$C$79,E$74:E$79,求节点($C$4:$C$12,E$4:E$12,基础状态预期!L70)),AQ57)</f>
        <v>0</v>
      </c>
      <c r="AR58" s="14">
        <f>MAX(求节点($C$74:$C$79,F$74:F$79,求节点($C$4:$C$12,F$4:F$12,基础状态预期!M70)),AR57)</f>
        <v>0</v>
      </c>
      <c r="AS58" s="14">
        <f>MAX(求节点($C$74:$C$79,G$74:G$79,求节点($C$4:$C$12,G$4:G$12,基础状态预期!N70)),AS57)</f>
        <v>0.62258798015220451</v>
      </c>
      <c r="AT58" s="14">
        <f>MAX(求节点($C$74:$C$79,H$74:H$79,求节点($C$4:$C$12,H$4:H$12,基础状态预期!O70)),AT57)</f>
        <v>0.46294582804804119</v>
      </c>
      <c r="AU58" s="14">
        <f>MAX(求节点($C$81:$C$86,D$81:D$86,求节点($C$4:$C$12,D$4:D$12,基础状态预期!K70)),AU57)</f>
        <v>0</v>
      </c>
      <c r="AV58" s="14">
        <f>MAX(求节点($C$81:$C$86,E$81:E$86,求节点($C$4:$C$12,E$4:E$12,基础状态预期!L70)),AV57)</f>
        <v>0</v>
      </c>
      <c r="AW58" s="14">
        <f>MAX(求节点($C$81:$C$86,F$81:F$86,求节点($C$4:$C$12,F$4:F$12,基础状态预期!M70)),AW57)</f>
        <v>0</v>
      </c>
      <c r="AX58" s="14">
        <f>MAX(求节点($C$81:$C$86,G$81:G$86,求节点($C$4:$C$12,G$4:G$12,基础状态预期!N70)),AX57)</f>
        <v>0</v>
      </c>
      <c r="AY58" s="14">
        <f>MAX(求节点($C$81:$C$86,H$81:H$86,求节点($C$4:$C$12,H$4:H$12,基础状态预期!O70)),AY57)</f>
        <v>0</v>
      </c>
      <c r="AZ58" s="14">
        <f>MAX(求节点($C$88:$C$93,D$88:D$93,求节点($C$4:$C$12,D$4:D$12,基础状态预期!K70)),AZ57)</f>
        <v>0</v>
      </c>
      <c r="BA58" s="14">
        <f>MAX(求节点($C$88:$C$93,E$88:E$93,求节点($C$4:$C$12,E$4:E$12,基础状态预期!L70)),BA57)</f>
        <v>0</v>
      </c>
      <c r="BB58" s="14">
        <f>MAX(求节点($C$88:$C$93,F$88:F$93,求节点($C$4:$C$12,F$4:F$12,基础状态预期!M70)),BB57)</f>
        <v>0</v>
      </c>
      <c r="BC58" s="14">
        <f>MAX(求节点($C$88:$C$93,G$88:G$93,求节点($C$4:$C$12,G$4:G$12,基础状态预期!N70)),BC57)</f>
        <v>0</v>
      </c>
      <c r="BD58" s="14">
        <f>MAX(求节点($C$88:$C$93,H$88:H$93,求节点($C$4:$C$12,H$4:H$12,基础状态预期!O70)),BD57)</f>
        <v>0</v>
      </c>
      <c r="BE58" s="14">
        <f t="shared" si="14"/>
        <v>1085.5338082002456</v>
      </c>
      <c r="BH58" s="29">
        <v>90</v>
      </c>
      <c r="BI58" s="29">
        <f t="shared" si="15"/>
        <v>10961.719668105401</v>
      </c>
      <c r="BJ58" s="29"/>
      <c r="BK58" s="29">
        <f t="shared" si="18"/>
        <v>10961.719668105401</v>
      </c>
    </row>
    <row r="59" spans="2:63" x14ac:dyDescent="0.15">
      <c r="B59" s="184"/>
      <c r="C59" s="29">
        <v>0</v>
      </c>
      <c r="D59" s="29"/>
      <c r="E59" s="29"/>
      <c r="F59" s="29"/>
      <c r="G59" s="29"/>
      <c r="H59" s="29"/>
      <c r="I59" s="29"/>
      <c r="M59" s="16">
        <v>13</v>
      </c>
      <c r="N59" s="29">
        <f>基础状态预期!D71</f>
        <v>64.781009552500748</v>
      </c>
      <c r="O59" s="29">
        <f>IF(基础状态预期!U71="",0,MIN(求节点($C$16:$C$24,D$16:D$24,基础状态预期!K71),求节点($C$28:$C$48,D$28:D$48,基础状态预期!U71)))</f>
        <v>0</v>
      </c>
      <c r="P59" s="29">
        <f>IF(基础状态预期!V71="",0,MIN(求节点($C$16:$C$24,E$16:E$24,基础状态预期!L71),求节点($C$28:$C$48,E$28:E$48,基础状态预期!V71)))</f>
        <v>0</v>
      </c>
      <c r="Q59" s="29">
        <f>IF(基础状态预期!W71="",0,MIN(求节点($C$16:$C$24,F$16:F$24,基础状态预期!M71),求节点($C$28:$C$48,F$28:F$48,基础状态预期!W71)))</f>
        <v>0</v>
      </c>
      <c r="R59" s="29">
        <f>IF(基础状态预期!X71="",0,MIN(求节点($C$16:$C$24,G$16:G$24,基础状态预期!N71),求节点($C$28:$C$48,G$28:G$48,基础状态预期!X71)))</f>
        <v>7.4946749337633387E-2</v>
      </c>
      <c r="S59" s="29">
        <f>IF(基础状态预期!Y71="",0,MIN(求节点($C$16:$C$24,H$16:H$24,基础状态预期!O71),求节点($C$28:$C$48,H$28:H$48,基础状态预期!Y71)))</f>
        <v>0.09</v>
      </c>
      <c r="T59" s="29">
        <f>MAX(SUMPRODUCT(O59:S59,基础状态预期!$F71:$J71)/SUM(基础状态预期!$F71:$J71),T58)</f>
        <v>8.2473374668816699E-2</v>
      </c>
      <c r="V59" s="17">
        <v>55</v>
      </c>
      <c r="W59" s="17">
        <f t="shared" si="3"/>
        <v>4.1735502728360192E-3</v>
      </c>
      <c r="X59" s="17">
        <f t="shared" si="4"/>
        <v>1.1414369648476556E-2</v>
      </c>
      <c r="Y59" s="17">
        <f t="shared" si="5"/>
        <v>1.4730186972482311E-2</v>
      </c>
      <c r="Z59" s="17">
        <f t="shared" si="6"/>
        <v>1.4454404309893277E-2</v>
      </c>
      <c r="AA59" s="17">
        <f t="shared" si="7"/>
        <v>1.3806645220215638E-2</v>
      </c>
      <c r="AE59" s="29">
        <v>100</v>
      </c>
      <c r="AF59" s="29"/>
      <c r="AG59" s="29">
        <f t="shared" si="16"/>
        <v>0.45</v>
      </c>
      <c r="AH59" s="29"/>
      <c r="AI59" s="29">
        <f>(AG59-AG58)*INDEX([2]小r将兵属性验证!$AX$7:$AX$166,$AE59,1)+AI58</f>
        <v>35545121149.530106</v>
      </c>
      <c r="AJ59" s="14">
        <f t="shared" si="13"/>
        <v>35545121149.530106</v>
      </c>
      <c r="AO59" s="29">
        <f t="shared" si="17"/>
        <v>64.781009552500748</v>
      </c>
      <c r="AP59" s="14">
        <f>MAX(求节点($C$74:$C$79,D$74:D$79,求节点($C$4:$C$12,D$4:D$12,基础状态预期!K71)),AP58)</f>
        <v>0</v>
      </c>
      <c r="AQ59" s="14">
        <f>MAX(求节点($C$74:$C$79,E$74:E$79,求节点($C$4:$C$12,E$4:E$12,基础状态预期!L71)),AQ58)</f>
        <v>0</v>
      </c>
      <c r="AR59" s="14">
        <f>MAX(求节点($C$74:$C$79,F$74:F$79,求节点($C$4:$C$12,F$4:F$12,基础状态预期!M71)),AR58)</f>
        <v>0</v>
      </c>
      <c r="AS59" s="14">
        <f>MAX(求节点($C$74:$C$79,G$74:G$79,求节点($C$4:$C$12,G$4:G$12,基础状态预期!N71)),AS58)</f>
        <v>0.99928999116844519</v>
      </c>
      <c r="AT59" s="14">
        <f>MAX(求节点($C$74:$C$79,H$74:H$79,求节点($C$4:$C$12,H$4:H$12,基础状态预期!O71)),AT58)</f>
        <v>2</v>
      </c>
      <c r="AU59" s="14">
        <f>MAX(求节点($C$81:$C$86,D$81:D$86,求节点($C$4:$C$12,D$4:D$12,基础状态预期!K71)),AU58)</f>
        <v>0</v>
      </c>
      <c r="AV59" s="14">
        <f>MAX(求节点($C$81:$C$86,E$81:E$86,求节点($C$4:$C$12,E$4:E$12,基础状态预期!L71)),AV58)</f>
        <v>0</v>
      </c>
      <c r="AW59" s="14">
        <f>MAX(求节点($C$81:$C$86,F$81:F$86,求节点($C$4:$C$12,F$4:F$12,基础状态预期!M71)),AW58)</f>
        <v>0</v>
      </c>
      <c r="AX59" s="14">
        <f>MAX(求节点($C$81:$C$86,G$81:G$86,求节点($C$4:$C$12,G$4:G$12,基础状态预期!N71)),AX58)</f>
        <v>0</v>
      </c>
      <c r="AY59" s="14">
        <f>MAX(求节点($C$81:$C$86,H$81:H$86,求节点($C$4:$C$12,H$4:H$12,基础状态预期!O71)),AY58)</f>
        <v>0</v>
      </c>
      <c r="AZ59" s="14">
        <f>MAX(求节点($C$88:$C$93,D$88:D$93,求节点($C$4:$C$12,D$4:D$12,基础状态预期!K71)),AZ58)</f>
        <v>0</v>
      </c>
      <c r="BA59" s="14">
        <f>MAX(求节点($C$88:$C$93,E$88:E$93,求节点($C$4:$C$12,E$4:E$12,基础状态预期!L71)),BA58)</f>
        <v>0</v>
      </c>
      <c r="BB59" s="14">
        <f>MAX(求节点($C$88:$C$93,F$88:F$93,求节点($C$4:$C$12,F$4:F$12,基础状态预期!M71)),BB58)</f>
        <v>0</v>
      </c>
      <c r="BC59" s="14">
        <f>MAX(求节点($C$88:$C$93,G$88:G$93,求节点($C$4:$C$12,G$4:G$12,基础状态预期!N71)),BC58)</f>
        <v>0</v>
      </c>
      <c r="BD59" s="14">
        <f>MAX(求节点($C$88:$C$93,H$88:H$93,求节点($C$4:$C$12,H$4:H$12,基础状态预期!O71)),BD58)</f>
        <v>0</v>
      </c>
      <c r="BE59" s="14">
        <f t="shared" si="14"/>
        <v>2999.2899911684453</v>
      </c>
      <c r="BH59" s="29">
        <v>100</v>
      </c>
      <c r="BI59" s="29">
        <f t="shared" si="15"/>
        <v>206639.47294080054</v>
      </c>
      <c r="BJ59" s="29"/>
      <c r="BK59" s="29">
        <f t="shared" si="18"/>
        <v>206639.47294080054</v>
      </c>
    </row>
    <row r="60" spans="2:63" x14ac:dyDescent="0.15">
      <c r="B60" s="184"/>
      <c r="C60" s="29">
        <v>1</v>
      </c>
      <c r="D60" s="29"/>
      <c r="E60" s="29"/>
      <c r="F60" s="29"/>
      <c r="G60" s="29"/>
      <c r="H60" s="29"/>
      <c r="I60" s="29"/>
      <c r="M60" s="16">
        <v>14</v>
      </c>
      <c r="N60" s="29">
        <f>基础状态预期!D72</f>
        <v>68.923431594456531</v>
      </c>
      <c r="O60" s="29">
        <f>IF(基础状态预期!U72="",0,MIN(求节点($C$16:$C$24,D$16:D$24,基础状态预期!K72),求节点($C$28:$C$48,D$28:D$48,基础状态预期!U72)))</f>
        <v>0</v>
      </c>
      <c r="P60" s="29">
        <f>IF(基础状态预期!V72="",0,MIN(求节点($C$16:$C$24,E$16:E$24,基础状态预期!L72),求节点($C$28:$C$48,E$28:E$48,基础状态预期!V72)))</f>
        <v>0</v>
      </c>
      <c r="Q60" s="29">
        <f>IF(基础状态预期!W72="",0,MIN(求节点($C$16:$C$24,F$16:F$24,基础状态预期!M72),求节点($C$28:$C$48,F$28:F$48,基础状态预期!W72)))</f>
        <v>0</v>
      </c>
      <c r="R60" s="29">
        <f>IF(基础状态预期!X72="",0,MIN(求节点($C$16:$C$24,G$16:G$24,基础状态预期!N72),求节点($C$28:$C$48,G$28:G$48,基础状态预期!X72)))</f>
        <v>7.4999999999999997E-2</v>
      </c>
      <c r="S60" s="29">
        <f>IF(基础状态预期!Y72="",0,MIN(求节点($C$16:$C$24,H$16:H$24,基础状态预期!O72),求节点($C$28:$C$48,H$28:H$48,基础状态预期!Y72)))</f>
        <v>0.09</v>
      </c>
      <c r="T60" s="29">
        <f>MAX(SUMPRODUCT(O60:S60,基础状态预期!$F72:$J72)/SUM(基础状态预期!$F72:$J72),T59)</f>
        <v>8.5000000000000006E-2</v>
      </c>
      <c r="V60" s="17">
        <v>56</v>
      </c>
      <c r="W60" s="17">
        <f t="shared" si="3"/>
        <v>7.0860869760626648E-3</v>
      </c>
      <c r="X60" s="17">
        <f t="shared" si="4"/>
        <v>1.7852234705786448E-2</v>
      </c>
      <c r="Y60" s="17">
        <f t="shared" si="5"/>
        <v>2.2971703776423793E-2</v>
      </c>
      <c r="Z60" s="17">
        <f t="shared" si="6"/>
        <v>2.0936165028540069E-2</v>
      </c>
      <c r="AA60" s="17">
        <f t="shared" si="7"/>
        <v>1.9463760130217101E-2</v>
      </c>
      <c r="AE60" s="29">
        <v>110</v>
      </c>
      <c r="AF60" s="29"/>
      <c r="AG60" s="29">
        <f t="shared" si="16"/>
        <v>0.45</v>
      </c>
      <c r="AH60" s="29"/>
      <c r="AI60" s="29">
        <f>(AG60-AG59)*INDEX([2]小r将兵属性验证!$AX$7:$AX$166,$AE60,1)+AI59</f>
        <v>35545121149.530106</v>
      </c>
      <c r="AJ60" s="14">
        <f t="shared" ref="AJ60:AJ65" si="19">SUM(AH60:AI60)</f>
        <v>35545121149.530106</v>
      </c>
      <c r="AO60" s="29">
        <f t="shared" si="17"/>
        <v>68.923431594456531</v>
      </c>
      <c r="AP60" s="14">
        <f>MAX(求节点($C$74:$C$79,D$74:D$79,求节点($C$4:$C$12,D$4:D$12,基础状态预期!K72)),AP59)</f>
        <v>0</v>
      </c>
      <c r="AQ60" s="14">
        <f>MAX(求节点($C$74:$C$79,E$74:E$79,求节点($C$4:$C$12,E$4:E$12,基础状态预期!L72)),AQ59)</f>
        <v>0</v>
      </c>
      <c r="AR60" s="14">
        <f>MAX(求节点($C$74:$C$79,F$74:F$79,求节点($C$4:$C$12,F$4:F$12,基础状态预期!M72)),AR59)</f>
        <v>0</v>
      </c>
      <c r="AS60" s="14">
        <f>MAX(求节点($C$74:$C$79,G$74:G$79,求节点($C$4:$C$12,G$4:G$12,基础状态预期!N72)),AS59)</f>
        <v>1</v>
      </c>
      <c r="AT60" s="14">
        <f>MAX(求节点($C$74:$C$79,H$74:H$79,求节点($C$4:$C$12,H$4:H$12,基础状态预期!O72)),AT59)</f>
        <v>2</v>
      </c>
      <c r="AU60" s="14">
        <f>MAX(求节点($C$81:$C$86,D$81:D$86,求节点($C$4:$C$12,D$4:D$12,基础状态预期!K72)),AU59)</f>
        <v>0</v>
      </c>
      <c r="AV60" s="14">
        <f>MAX(求节点($C$81:$C$86,E$81:E$86,求节点($C$4:$C$12,E$4:E$12,基础状态预期!L72)),AV59)</f>
        <v>0</v>
      </c>
      <c r="AW60" s="14">
        <f>MAX(求节点($C$81:$C$86,F$81:F$86,求节点($C$4:$C$12,F$4:F$12,基础状态预期!M72)),AW59)</f>
        <v>0</v>
      </c>
      <c r="AX60" s="14">
        <f>MAX(求节点($C$81:$C$86,G$81:G$86,求节点($C$4:$C$12,G$4:G$12,基础状态预期!N72)),AX59)</f>
        <v>0</v>
      </c>
      <c r="AY60" s="14">
        <f>MAX(求节点($C$81:$C$86,H$81:H$86,求节点($C$4:$C$12,H$4:H$12,基础状态预期!O72)),AY59)</f>
        <v>0</v>
      </c>
      <c r="AZ60" s="14">
        <f>MAX(求节点($C$88:$C$93,D$88:D$93,求节点($C$4:$C$12,D$4:D$12,基础状态预期!K72)),AZ59)</f>
        <v>0</v>
      </c>
      <c r="BA60" s="14">
        <f>MAX(求节点($C$88:$C$93,E$88:E$93,求节点($C$4:$C$12,E$4:E$12,基础状态预期!L72)),BA59)</f>
        <v>0</v>
      </c>
      <c r="BB60" s="14">
        <f>MAX(求节点($C$88:$C$93,F$88:F$93,求节点($C$4:$C$12,F$4:F$12,基础状态预期!M72)),BB59)</f>
        <v>0</v>
      </c>
      <c r="BC60" s="14">
        <f>MAX(求节点($C$88:$C$93,G$88:G$93,求节点($C$4:$C$12,G$4:G$12,基础状态预期!N72)),BC59)</f>
        <v>0</v>
      </c>
      <c r="BD60" s="14">
        <f>MAX(求节点($C$88:$C$93,H$88:H$93,求节点($C$4:$C$12,H$4:H$12,基础状态预期!O72)),BD59)</f>
        <v>0</v>
      </c>
      <c r="BE60" s="14">
        <f t="shared" si="14"/>
        <v>3000</v>
      </c>
      <c r="BH60" s="29">
        <v>110</v>
      </c>
      <c r="BI60" s="29">
        <f t="shared" si="15"/>
        <v>395000</v>
      </c>
      <c r="BJ60" s="29"/>
      <c r="BK60" s="29">
        <f t="shared" ref="BK60:BK65" si="20">SUM(BI60:BJ60)</f>
        <v>395000</v>
      </c>
    </row>
    <row r="61" spans="2:63" x14ac:dyDescent="0.15">
      <c r="B61" s="184"/>
      <c r="C61" s="29">
        <v>2</v>
      </c>
      <c r="D61" s="29"/>
      <c r="E61" s="29"/>
      <c r="F61" s="29"/>
      <c r="G61" s="29">
        <v>2</v>
      </c>
      <c r="H61" s="29">
        <v>4</v>
      </c>
      <c r="I61" s="29">
        <v>8</v>
      </c>
      <c r="M61" s="16">
        <v>15</v>
      </c>
      <c r="N61" s="29">
        <f>基础状态预期!D73</f>
        <v>72.103942950990486</v>
      </c>
      <c r="O61" s="29">
        <f>IF(基础状态预期!U73="",0,MIN(求节点($C$16:$C$24,D$16:D$24,基础状态预期!K73),求节点($C$28:$C$48,D$28:D$48,基础状态预期!U73)))</f>
        <v>0</v>
      </c>
      <c r="P61" s="29">
        <f>IF(基础状态预期!V73="",0,MIN(求节点($C$16:$C$24,E$16:E$24,基础状态预期!L73),求节点($C$28:$C$48,E$28:E$48,基础状态预期!V73)))</f>
        <v>0</v>
      </c>
      <c r="Q61" s="29">
        <f>IF(基础状态预期!W73="",0,MIN(求节点($C$16:$C$24,F$16:F$24,基础状态预期!M73),求节点($C$28:$C$48,F$28:F$48,基础状态预期!W73)))</f>
        <v>0</v>
      </c>
      <c r="R61" s="29">
        <f>IF(基础状态预期!X73="",0,MIN(求节点($C$16:$C$24,G$16:G$24,基础状态预期!N73),求节点($C$28:$C$48,G$28:G$48,基础状态预期!X73)))</f>
        <v>7.4999999999999997E-2</v>
      </c>
      <c r="S61" s="29">
        <f>IF(基础状态预期!Y73="",0,MIN(求节点($C$16:$C$24,H$16:H$24,基础状态预期!O73),求节点($C$28:$C$48,H$28:H$48,基础状态预期!Y73)))</f>
        <v>0.09</v>
      </c>
      <c r="T61" s="29">
        <f>MAX(SUMPRODUCT(O61:S61,基础状态预期!$F73:$J73)/SUM(基础状态预期!$F73:$J73),T60)</f>
        <v>8.7499999999999981E-2</v>
      </c>
      <c r="V61" s="17">
        <v>57</v>
      </c>
      <c r="W61" s="17">
        <f t="shared" si="3"/>
        <v>9.9986236792893105E-3</v>
      </c>
      <c r="X61" s="17">
        <f t="shared" si="4"/>
        <v>2.4290099763096342E-2</v>
      </c>
      <c r="Y61" s="17">
        <f t="shared" si="5"/>
        <v>3.1213220580365273E-2</v>
      </c>
      <c r="Z61" s="17">
        <f t="shared" si="6"/>
        <v>2.741792574718686E-2</v>
      </c>
      <c r="AA61" s="17">
        <f t="shared" si="7"/>
        <v>2.5120875040218565E-2</v>
      </c>
      <c r="AE61" s="29">
        <v>120</v>
      </c>
      <c r="AF61" s="29"/>
      <c r="AG61" s="29">
        <f t="shared" si="16"/>
        <v>0.45</v>
      </c>
      <c r="AH61" s="29"/>
      <c r="AI61" s="29">
        <f>(AG61-AG60)*INDEX([2]小r将兵属性验证!$AX$7:$AX$166,$AE61,1)+AI60</f>
        <v>35545121149.530106</v>
      </c>
      <c r="AJ61" s="14">
        <f t="shared" si="19"/>
        <v>35545121149.530106</v>
      </c>
      <c r="AO61" s="29">
        <f t="shared" si="17"/>
        <v>72.103942950990486</v>
      </c>
      <c r="AP61" s="14">
        <f>MAX(求节点($C$74:$C$79,D$74:D$79,求节点($C$4:$C$12,D$4:D$12,基础状态预期!K73)),AP60)</f>
        <v>0</v>
      </c>
      <c r="AQ61" s="14">
        <f>MAX(求节点($C$74:$C$79,E$74:E$79,求节点($C$4:$C$12,E$4:E$12,基础状态预期!L73)),AQ60)</f>
        <v>0</v>
      </c>
      <c r="AR61" s="14">
        <f>MAX(求节点($C$74:$C$79,F$74:F$79,求节点($C$4:$C$12,F$4:F$12,基础状态预期!M73)),AR60)</f>
        <v>0</v>
      </c>
      <c r="AS61" s="14">
        <f>MAX(求节点($C$74:$C$79,G$74:G$79,求节点($C$4:$C$12,G$4:G$12,基础状态预期!N73)),AS60)</f>
        <v>1</v>
      </c>
      <c r="AT61" s="14">
        <f>MAX(求节点($C$74:$C$79,H$74:H$79,求节点($C$4:$C$12,H$4:H$12,基础状态预期!O73)),AT60)</f>
        <v>2</v>
      </c>
      <c r="AU61" s="14">
        <f>MAX(求节点($C$81:$C$86,D$81:D$86,求节点($C$4:$C$12,D$4:D$12,基础状态预期!K73)),AU60)</f>
        <v>0</v>
      </c>
      <c r="AV61" s="14">
        <f>MAX(求节点($C$81:$C$86,E$81:E$86,求节点($C$4:$C$12,E$4:E$12,基础状态预期!L73)),AV60)</f>
        <v>0</v>
      </c>
      <c r="AW61" s="14">
        <f>MAX(求节点($C$81:$C$86,F$81:F$86,求节点($C$4:$C$12,F$4:F$12,基础状态预期!M73)),AW60)</f>
        <v>0</v>
      </c>
      <c r="AX61" s="14">
        <f>MAX(求节点($C$81:$C$86,G$81:G$86,求节点($C$4:$C$12,G$4:G$12,基础状态预期!N73)),AX60)</f>
        <v>0</v>
      </c>
      <c r="AY61" s="14">
        <f>MAX(求节点($C$81:$C$86,H$81:H$86,求节点($C$4:$C$12,H$4:H$12,基础状态预期!O73)),AY60)</f>
        <v>0</v>
      </c>
      <c r="AZ61" s="14">
        <f>MAX(求节点($C$88:$C$93,D$88:D$93,求节点($C$4:$C$12,D$4:D$12,基础状态预期!K73)),AZ60)</f>
        <v>0</v>
      </c>
      <c r="BA61" s="14">
        <f>MAX(求节点($C$88:$C$93,E$88:E$93,求节点($C$4:$C$12,E$4:E$12,基础状态预期!L73)),BA60)</f>
        <v>0</v>
      </c>
      <c r="BB61" s="14">
        <f>MAX(求节点($C$88:$C$93,F$88:F$93,求节点($C$4:$C$12,F$4:F$12,基础状态预期!M73)),BB60)</f>
        <v>0</v>
      </c>
      <c r="BC61" s="14">
        <f>MAX(求节点($C$88:$C$93,G$88:G$93,求节点($C$4:$C$12,G$4:G$12,基础状态预期!N73)),BC60)</f>
        <v>0</v>
      </c>
      <c r="BD61" s="14">
        <f>MAX(求节点($C$88:$C$93,H$88:H$93,求节点($C$4:$C$12,H$4:H$12,基础状态预期!O73)),BD60)</f>
        <v>0</v>
      </c>
      <c r="BE61" s="14">
        <f t="shared" si="14"/>
        <v>3000</v>
      </c>
      <c r="BH61" s="29">
        <v>120</v>
      </c>
      <c r="BI61" s="29">
        <f t="shared" si="15"/>
        <v>395000</v>
      </c>
      <c r="BJ61" s="29"/>
      <c r="BK61" s="29">
        <f t="shared" si="20"/>
        <v>395000</v>
      </c>
    </row>
    <row r="62" spans="2:63" x14ac:dyDescent="0.15">
      <c r="B62" s="184"/>
      <c r="C62" s="29">
        <v>3</v>
      </c>
      <c r="D62" s="29"/>
      <c r="E62" s="29"/>
      <c r="F62" s="29"/>
      <c r="G62" s="29"/>
      <c r="H62" s="29"/>
      <c r="I62" s="29"/>
      <c r="M62" s="16">
        <v>16</v>
      </c>
      <c r="N62" s="29">
        <f>基础状态预期!D74</f>
        <v>74.74003809013405</v>
      </c>
      <c r="O62" s="29">
        <f>IF(基础状态预期!U74="",0,MIN(求节点($C$16:$C$24,D$16:D$24,基础状态预期!K74),求节点($C$28:$C$48,D$28:D$48,基础状态预期!U74)))</f>
        <v>0</v>
      </c>
      <c r="P62" s="29">
        <f>IF(基础状态预期!V74="",0,MIN(求节点($C$16:$C$24,E$16:E$24,基础状态预期!L74),求节点($C$28:$C$48,E$28:E$48,基础状态预期!V74)))</f>
        <v>0</v>
      </c>
      <c r="Q62" s="29">
        <f>IF(基础状态预期!W74="",0,MIN(求节点($C$16:$C$24,F$16:F$24,基础状态预期!M74),求节点($C$28:$C$48,F$28:F$48,基础状态预期!W74)))</f>
        <v>0</v>
      </c>
      <c r="R62" s="29">
        <f>IF(基础状态预期!X74="",0,MIN(求节点($C$16:$C$24,G$16:G$24,基础状态预期!N74),求节点($C$28:$C$48,G$28:G$48,基础状态预期!X74)))</f>
        <v>7.4999999999999997E-2</v>
      </c>
      <c r="S62" s="29">
        <f>IF(基础状态预期!Y74="",0,MIN(求节点($C$16:$C$24,H$16:H$24,基础状态预期!O74),求节点($C$28:$C$48,H$28:H$48,基础状态预期!Y74)))</f>
        <v>0.10848707160982304</v>
      </c>
      <c r="T62" s="29">
        <f>MAX(SUMPRODUCT(O62:S62,基础状态预期!$F74:$J74)/SUM(基础状态预期!$F74:$J74),T61)</f>
        <v>0.10569648230900446</v>
      </c>
      <c r="V62" s="17">
        <v>58</v>
      </c>
      <c r="W62" s="17">
        <f t="shared" si="3"/>
        <v>1.2911160382515958E-2</v>
      </c>
      <c r="X62" s="17">
        <f t="shared" si="4"/>
        <v>3.0727964820406236E-2</v>
      </c>
      <c r="Y62" s="17">
        <f t="shared" si="5"/>
        <v>3.945473738430675E-2</v>
      </c>
      <c r="Z62" s="17">
        <f t="shared" si="6"/>
        <v>3.3899686465833655E-2</v>
      </c>
      <c r="AA62" s="17">
        <f t="shared" si="7"/>
        <v>3.077798995022003E-2</v>
      </c>
      <c r="AE62" s="29">
        <v>130</v>
      </c>
      <c r="AF62" s="29"/>
      <c r="AG62" s="29">
        <f t="shared" si="16"/>
        <v>0.45</v>
      </c>
      <c r="AH62" s="29"/>
      <c r="AI62" s="29">
        <f>(AG62-AG61)*INDEX([2]小r将兵属性验证!$AX$7:$AX$166,$AE62,1)+AI61</f>
        <v>35545121149.530106</v>
      </c>
      <c r="AJ62" s="14">
        <f t="shared" si="19"/>
        <v>35545121149.530106</v>
      </c>
      <c r="AO62" s="29">
        <f t="shared" si="17"/>
        <v>74.74003809013405</v>
      </c>
      <c r="AP62" s="14">
        <f>MAX(求节点($C$74:$C$79,D$74:D$79,求节点($C$4:$C$12,D$4:D$12,基础状态预期!K74)),AP61)</f>
        <v>0</v>
      </c>
      <c r="AQ62" s="14">
        <f>MAX(求节点($C$74:$C$79,E$74:E$79,求节点($C$4:$C$12,E$4:E$12,基础状态预期!L74)),AQ61)</f>
        <v>0</v>
      </c>
      <c r="AR62" s="14">
        <f>MAX(求节点($C$74:$C$79,F$74:F$79,求节点($C$4:$C$12,F$4:F$12,基础状态预期!M74)),AR61)</f>
        <v>0</v>
      </c>
      <c r="AS62" s="14">
        <f>MAX(求节点($C$74:$C$79,G$74:G$79,求节点($C$4:$C$12,G$4:G$12,基础状态预期!N74)),AS61)</f>
        <v>1</v>
      </c>
      <c r="AT62" s="14">
        <f>MAX(求节点($C$74:$C$79,H$74:H$79,求节点($C$4:$C$12,H$4:H$12,基础状态预期!O74)),AT61)</f>
        <v>2</v>
      </c>
      <c r="AU62" s="14">
        <f>MAX(求节点($C$81:$C$86,D$81:D$86,求节点($C$4:$C$12,D$4:D$12,基础状态预期!K74)),AU61)</f>
        <v>0</v>
      </c>
      <c r="AV62" s="14">
        <f>MAX(求节点($C$81:$C$86,E$81:E$86,求节点($C$4:$C$12,E$4:E$12,基础状态预期!L74)),AV61)</f>
        <v>0</v>
      </c>
      <c r="AW62" s="14">
        <f>MAX(求节点($C$81:$C$86,F$81:F$86,求节点($C$4:$C$12,F$4:F$12,基础状态预期!M74)),AW61)</f>
        <v>0</v>
      </c>
      <c r="AX62" s="14">
        <f>MAX(求节点($C$81:$C$86,G$81:G$86,求节点($C$4:$C$12,G$4:G$12,基础状态预期!N74)),AX61)</f>
        <v>0</v>
      </c>
      <c r="AY62" s="14">
        <f>MAX(求节点($C$81:$C$86,H$81:H$86,求节点($C$4:$C$12,H$4:H$12,基础状态预期!O74)),AY61)</f>
        <v>0.82164762710324624</v>
      </c>
      <c r="AZ62" s="14">
        <f>MAX(求节点($C$88:$C$93,D$88:D$93,求节点($C$4:$C$12,D$4:D$12,基础状态预期!K74)),AZ61)</f>
        <v>0</v>
      </c>
      <c r="BA62" s="14">
        <f>MAX(求节点($C$88:$C$93,E$88:E$93,求节点($C$4:$C$12,E$4:E$12,基础状态预期!L74)),BA61)</f>
        <v>0</v>
      </c>
      <c r="BB62" s="14">
        <f>MAX(求节点($C$88:$C$93,F$88:F$93,求节点($C$4:$C$12,F$4:F$12,基础状态预期!M74)),BB61)</f>
        <v>0</v>
      </c>
      <c r="BC62" s="14">
        <f>MAX(求节点($C$88:$C$93,G$88:G$93,求节点($C$4:$C$12,G$4:G$12,基础状态预期!N74)),BC61)</f>
        <v>0</v>
      </c>
      <c r="BD62" s="14">
        <f>MAX(求节点($C$88:$C$93,H$88:H$93,求节点($C$4:$C$12,H$4:H$12,基础状态预期!O74)),BD61)</f>
        <v>0</v>
      </c>
      <c r="BE62" s="14">
        <f t="shared" si="14"/>
        <v>4643.2952542064922</v>
      </c>
      <c r="BH62" s="29">
        <v>130</v>
      </c>
      <c r="BI62" s="29">
        <f t="shared" si="15"/>
        <v>395000</v>
      </c>
      <c r="BJ62" s="29"/>
      <c r="BK62" s="29">
        <f t="shared" si="20"/>
        <v>395000</v>
      </c>
    </row>
    <row r="63" spans="2:63" x14ac:dyDescent="0.15">
      <c r="B63" s="184"/>
      <c r="C63" s="29">
        <v>4</v>
      </c>
      <c r="D63" s="29"/>
      <c r="E63" s="29"/>
      <c r="F63" s="29"/>
      <c r="G63" s="29"/>
      <c r="H63" s="29"/>
      <c r="I63" s="29"/>
      <c r="M63" s="16">
        <v>17</v>
      </c>
      <c r="N63" s="29">
        <f>基础状态预期!D75</f>
        <v>77.609642525433856</v>
      </c>
      <c r="O63" s="29">
        <f>IF(基础状态预期!U75="",0,MIN(求节点($C$16:$C$24,D$16:D$24,基础状态预期!K75),求节点($C$28:$C$48,D$28:D$48,基础状态预期!U75)))</f>
        <v>0</v>
      </c>
      <c r="P63" s="29">
        <f>IF(基础状态预期!V75="",0,MIN(求节点($C$16:$C$24,E$16:E$24,基础状态预期!L75),求节点($C$28:$C$48,E$28:E$48,基础状态预期!V75)))</f>
        <v>0</v>
      </c>
      <c r="Q63" s="29">
        <f>IF(基础状态预期!W75="",0,MIN(求节点($C$16:$C$24,F$16:F$24,基础状态预期!M75),求节点($C$28:$C$48,F$28:F$48,基础状态预期!W75)))</f>
        <v>0</v>
      </c>
      <c r="R63" s="29">
        <f>IF(基础状态预期!X75="",0,MIN(求节点($C$16:$C$24,G$16:G$24,基础状态预期!N75),求节点($C$28:$C$48,G$28:G$48,基础状态预期!X75)))</f>
        <v>0</v>
      </c>
      <c r="S63" s="29">
        <f>IF(基础状态预期!Y75="",0,MIN(求节点($C$16:$C$24,H$16:H$24,基础状态预期!O75),求节点($C$28:$C$48,H$28:H$48,基础状态预期!Y75)))</f>
        <v>0.14744845864999989</v>
      </c>
      <c r="T63" s="29">
        <f>MAX(SUMPRODUCT(O63:S63,基础状态预期!$F75:$J75)/SUM(基础状态预期!$F75:$J75),T62)</f>
        <v>0.14744845864999989</v>
      </c>
      <c r="V63" s="17">
        <v>59</v>
      </c>
      <c r="W63" s="17">
        <f t="shared" si="3"/>
        <v>1.5823697085742602E-2</v>
      </c>
      <c r="X63" s="17">
        <f t="shared" si="4"/>
        <v>3.7165829877716126E-2</v>
      </c>
      <c r="Y63" s="17">
        <f t="shared" si="5"/>
        <v>4.769625418824823E-2</v>
      </c>
      <c r="Z63" s="17">
        <f t="shared" si="6"/>
        <v>4.0754716714147599E-2</v>
      </c>
      <c r="AA63" s="17">
        <f t="shared" si="7"/>
        <v>3.7699908651798453E-2</v>
      </c>
      <c r="AE63" s="29">
        <v>140</v>
      </c>
      <c r="AF63" s="29"/>
      <c r="AG63" s="29">
        <f t="shared" si="16"/>
        <v>0.45</v>
      </c>
      <c r="AH63" s="29"/>
      <c r="AI63" s="29">
        <f>(AG63-AG62)*INDEX([2]小r将兵属性验证!$AX$7:$AX$166,$AE63,1)+AI62</f>
        <v>35545121149.530106</v>
      </c>
      <c r="AJ63" s="14">
        <f t="shared" si="19"/>
        <v>35545121149.530106</v>
      </c>
      <c r="AO63" s="29">
        <f t="shared" si="17"/>
        <v>77.609642525433856</v>
      </c>
      <c r="AP63" s="14">
        <f>MAX(求节点($C$74:$C$79,D$74:D$79,求节点($C$4:$C$12,D$4:D$12,基础状态预期!K75)),AP62)</f>
        <v>0</v>
      </c>
      <c r="AQ63" s="14">
        <f>MAX(求节点($C$74:$C$79,E$74:E$79,求节点($C$4:$C$12,E$4:E$12,基础状态预期!L75)),AQ62)</f>
        <v>0</v>
      </c>
      <c r="AR63" s="14">
        <f>MAX(求节点($C$74:$C$79,F$74:F$79,求节点($C$4:$C$12,F$4:F$12,基础状态预期!M75)),AR62)</f>
        <v>0</v>
      </c>
      <c r="AS63" s="14">
        <f>MAX(求节点($C$74:$C$79,G$74:G$79,求节点($C$4:$C$12,G$4:G$12,基础状态预期!N75)),AS62)</f>
        <v>1</v>
      </c>
      <c r="AT63" s="14">
        <f>MAX(求节点($C$74:$C$79,H$74:H$79,求节点($C$4:$C$12,H$4:H$12,基础状态预期!O75)),AT62)</f>
        <v>2</v>
      </c>
      <c r="AU63" s="14">
        <f>MAX(求节点($C$81:$C$86,D$81:D$86,求节点($C$4:$C$12,D$4:D$12,基础状态预期!K75)),AU62)</f>
        <v>0</v>
      </c>
      <c r="AV63" s="14">
        <f>MAX(求节点($C$81:$C$86,E$81:E$86,求节点($C$4:$C$12,E$4:E$12,基础状态预期!L75)),AV62)</f>
        <v>0</v>
      </c>
      <c r="AW63" s="14">
        <f>MAX(求节点($C$81:$C$86,F$81:F$86,求节点($C$4:$C$12,F$4:F$12,基础状态预期!M75)),AW62)</f>
        <v>0</v>
      </c>
      <c r="AX63" s="14">
        <f>MAX(求节点($C$81:$C$86,G$81:G$86,求节点($C$4:$C$12,G$4:G$12,基础状态预期!N75)),AX62)</f>
        <v>0</v>
      </c>
      <c r="AY63" s="14">
        <f>MAX(求节点($C$81:$C$86,H$81:H$86,求节点($C$4:$C$12,H$4:H$12,基础状态预期!O75)),AY62)</f>
        <v>2.5532648288888851</v>
      </c>
      <c r="AZ63" s="14">
        <f>MAX(求节点($C$88:$C$93,D$88:D$93,求节点($C$4:$C$12,D$4:D$12,基础状态预期!K75)),AZ62)</f>
        <v>0</v>
      </c>
      <c r="BA63" s="14">
        <f>MAX(求节点($C$88:$C$93,E$88:E$93,求节点($C$4:$C$12,E$4:E$12,基础状态预期!L75)),BA62)</f>
        <v>0</v>
      </c>
      <c r="BB63" s="14">
        <f>MAX(求节点($C$88:$C$93,F$88:F$93,求节点($C$4:$C$12,F$4:F$12,基础状态预期!M75)),BB62)</f>
        <v>0</v>
      </c>
      <c r="BC63" s="14">
        <f>MAX(求节点($C$88:$C$93,G$88:G$93,求节点($C$4:$C$12,G$4:G$12,基础状态预期!N75)),BC62)</f>
        <v>0</v>
      </c>
      <c r="BD63" s="14">
        <f>MAX(求节点($C$88:$C$93,H$88:H$93,求节点($C$4:$C$12,H$4:H$12,基础状态预期!O75)),BD62)</f>
        <v>0</v>
      </c>
      <c r="BE63" s="14">
        <f t="shared" si="14"/>
        <v>8106.5296577777699</v>
      </c>
      <c r="BH63" s="29">
        <v>140</v>
      </c>
      <c r="BI63" s="29">
        <f t="shared" si="15"/>
        <v>395000</v>
      </c>
      <c r="BJ63" s="29"/>
      <c r="BK63" s="29">
        <f t="shared" si="20"/>
        <v>395000</v>
      </c>
    </row>
    <row r="64" spans="2:63" x14ac:dyDescent="0.15">
      <c r="B64" s="184"/>
      <c r="C64" s="29">
        <v>5</v>
      </c>
      <c r="D64" s="29"/>
      <c r="E64" s="29"/>
      <c r="F64" s="29"/>
      <c r="G64" s="29"/>
      <c r="H64" s="29"/>
      <c r="I64" s="29"/>
      <c r="M64" s="16">
        <v>18</v>
      </c>
      <c r="N64" s="29">
        <f>基础状态预期!D76</f>
        <v>79.994335665275713</v>
      </c>
      <c r="O64" s="29">
        <f>IF(基础状态预期!U76="",0,MIN(求节点($C$16:$C$24,D$16:D$24,基础状态预期!K76),求节点($C$28:$C$48,D$28:D$48,基础状态预期!U76)))</f>
        <v>0</v>
      </c>
      <c r="P64" s="29">
        <f>IF(基础状态预期!V76="",0,MIN(求节点($C$16:$C$24,E$16:E$24,基础状态预期!L76),求节点($C$28:$C$48,E$28:E$48,基础状态预期!V76)))</f>
        <v>0</v>
      </c>
      <c r="Q64" s="29">
        <f>IF(基础状态预期!W76="",0,MIN(求节点($C$16:$C$24,F$16:F$24,基础状态预期!M76),求节点($C$28:$C$48,F$28:F$48,基础状态预期!W76)))</f>
        <v>0</v>
      </c>
      <c r="R64" s="29">
        <f>IF(基础状态预期!X76="",0,MIN(求节点($C$16:$C$24,G$16:G$24,基础状态预期!N76),求节点($C$28:$C$48,G$28:G$48,基础状态预期!X76)))</f>
        <v>0</v>
      </c>
      <c r="S64" s="29">
        <f>IF(基础状态预期!Y76="",0,MIN(求节点($C$16:$C$24,H$16:H$24,基础状态预期!O76),求节点($C$28:$C$48,H$28:H$48,基础状态预期!Y76)))</f>
        <v>0.18</v>
      </c>
      <c r="T64" s="29">
        <f>MAX(SUMPRODUCT(O64:S64,基础状态预期!$F76:$J76)/SUM(基础状态预期!$F76:$J76),T63)</f>
        <v>0.18000000000000002</v>
      </c>
      <c r="V64" s="17">
        <v>60</v>
      </c>
      <c r="W64" s="17">
        <f t="shared" si="3"/>
        <v>2.3294023514124827E-2</v>
      </c>
      <c r="X64" s="17">
        <f t="shared" si="4"/>
        <v>4.4984168404455155E-2</v>
      </c>
      <c r="Y64" s="17">
        <f t="shared" si="5"/>
        <v>5.385013521233694E-2</v>
      </c>
      <c r="Z64" s="17">
        <f t="shared" si="6"/>
        <v>4.8486738657614048E-2</v>
      </c>
      <c r="AA64" s="17">
        <f t="shared" si="7"/>
        <v>4.6238033769000507E-2</v>
      </c>
      <c r="AE64" s="29">
        <v>150</v>
      </c>
      <c r="AF64" s="29"/>
      <c r="AG64" s="29">
        <f t="shared" si="16"/>
        <v>0.45</v>
      </c>
      <c r="AH64" s="29"/>
      <c r="AI64" s="29">
        <f>(AG64-AG63)*INDEX([2]小r将兵属性验证!$AX$7:$AX$166,$AE64,1)+AI63</f>
        <v>35545121149.530106</v>
      </c>
      <c r="AJ64" s="14">
        <f t="shared" si="19"/>
        <v>35545121149.530106</v>
      </c>
      <c r="AO64" s="29">
        <f t="shared" si="17"/>
        <v>79.994335665275713</v>
      </c>
      <c r="AP64" s="14">
        <f>MAX(求节点($C$74:$C$79,D$74:D$79,求节点($C$4:$C$12,D$4:D$12,基础状态预期!K76)),AP63)</f>
        <v>0</v>
      </c>
      <c r="AQ64" s="14">
        <f>MAX(求节点($C$74:$C$79,E$74:E$79,求节点($C$4:$C$12,E$4:E$12,基础状态预期!L76)),AQ63)</f>
        <v>0</v>
      </c>
      <c r="AR64" s="14">
        <f>MAX(求节点($C$74:$C$79,F$74:F$79,求节点($C$4:$C$12,F$4:F$12,基础状态预期!M76)),AR63)</f>
        <v>0</v>
      </c>
      <c r="AS64" s="14">
        <f>MAX(求节点($C$74:$C$79,G$74:G$79,求节点($C$4:$C$12,G$4:G$12,基础状态预期!N76)),AS63)</f>
        <v>1</v>
      </c>
      <c r="AT64" s="14">
        <f>MAX(求节点($C$74:$C$79,H$74:H$79,求节点($C$4:$C$12,H$4:H$12,基础状态预期!O76)),AT63)</f>
        <v>2</v>
      </c>
      <c r="AU64" s="14">
        <f>MAX(求节点($C$81:$C$86,D$81:D$86,求节点($C$4:$C$12,D$4:D$12,基础状态预期!K76)),AU63)</f>
        <v>0</v>
      </c>
      <c r="AV64" s="14">
        <f>MAX(求节点($C$81:$C$86,E$81:E$86,求节点($C$4:$C$12,E$4:E$12,基础状态预期!L76)),AV63)</f>
        <v>0</v>
      </c>
      <c r="AW64" s="14">
        <f>MAX(求节点($C$81:$C$86,F$81:F$86,求节点($C$4:$C$12,F$4:F$12,基础状态预期!M76)),AW63)</f>
        <v>0</v>
      </c>
      <c r="AX64" s="14">
        <f>MAX(求节点($C$81:$C$86,G$81:G$86,求节点($C$4:$C$12,G$4:G$12,基础状态预期!N76)),AX63)</f>
        <v>0</v>
      </c>
      <c r="AY64" s="14">
        <f>MAX(求节点($C$81:$C$86,H$81:H$86,求节点($C$4:$C$12,H$4:H$12,基础状态预期!O76)),AY63)</f>
        <v>4</v>
      </c>
      <c r="AZ64" s="14">
        <f>MAX(求节点($C$88:$C$93,D$88:D$93,求节点($C$4:$C$12,D$4:D$12,基础状态预期!K76)),AZ63)</f>
        <v>0</v>
      </c>
      <c r="BA64" s="14">
        <f>MAX(求节点($C$88:$C$93,E$88:E$93,求节点($C$4:$C$12,E$4:E$12,基础状态预期!L76)),BA63)</f>
        <v>0</v>
      </c>
      <c r="BB64" s="14">
        <f>MAX(求节点($C$88:$C$93,F$88:F$93,求节点($C$4:$C$12,F$4:F$12,基础状态预期!M76)),BB63)</f>
        <v>0</v>
      </c>
      <c r="BC64" s="14">
        <f>MAX(求节点($C$88:$C$93,G$88:G$93,求节点($C$4:$C$12,G$4:G$12,基础状态预期!N76)),BC63)</f>
        <v>0</v>
      </c>
      <c r="BD64" s="14">
        <f>MAX(求节点($C$88:$C$93,H$88:H$93,求节点($C$4:$C$12,H$4:H$12,基础状态预期!O76)),BD63)</f>
        <v>0</v>
      </c>
      <c r="BE64" s="14">
        <f t="shared" si="14"/>
        <v>11000</v>
      </c>
      <c r="BH64" s="29">
        <v>150</v>
      </c>
      <c r="BI64" s="29">
        <f t="shared" si="15"/>
        <v>395000</v>
      </c>
      <c r="BJ64" s="29"/>
      <c r="BK64" s="29">
        <f t="shared" si="20"/>
        <v>395000</v>
      </c>
    </row>
    <row r="65" spans="2:63" ht="11.25" customHeight="1" x14ac:dyDescent="0.15">
      <c r="B65" s="169" t="s">
        <v>685</v>
      </c>
      <c r="C65" s="29" t="s">
        <v>665</v>
      </c>
      <c r="D65" s="29" t="s">
        <v>3</v>
      </c>
      <c r="E65" s="29" t="s">
        <v>1</v>
      </c>
      <c r="F65" s="29" t="s">
        <v>2</v>
      </c>
      <c r="G65" s="29" t="s">
        <v>0</v>
      </c>
      <c r="H65" s="29" t="s">
        <v>545</v>
      </c>
      <c r="I65" s="29" t="s">
        <v>30</v>
      </c>
      <c r="M65" s="16">
        <v>19</v>
      </c>
      <c r="N65" s="29">
        <f>基础状态预期!D77</f>
        <v>82.100546804797787</v>
      </c>
      <c r="O65" s="29">
        <f>IF(基础状态预期!U77="",0,MIN(求节点($C$16:$C$24,D$16:D$24,基础状态预期!K77),求节点($C$28:$C$48,D$28:D$48,基础状态预期!U77)))</f>
        <v>0</v>
      </c>
      <c r="P65" s="29">
        <f>IF(基础状态预期!V77="",0,MIN(求节点($C$16:$C$24,E$16:E$24,基础状态预期!L77),求节点($C$28:$C$48,E$28:E$48,基础状态预期!V77)))</f>
        <v>0</v>
      </c>
      <c r="Q65" s="29">
        <f>IF(基础状态预期!W77="",0,MIN(求节点($C$16:$C$24,F$16:F$24,基础状态预期!M77),求节点($C$28:$C$48,F$28:F$48,基础状态预期!W77)))</f>
        <v>0</v>
      </c>
      <c r="R65" s="29">
        <f>IF(基础状态预期!X77="",0,MIN(求节点($C$16:$C$24,G$16:G$24,基础状态预期!N77),求节点($C$28:$C$48,G$28:G$48,基础状态预期!X77)))</f>
        <v>0</v>
      </c>
      <c r="S65" s="29">
        <f>IF(基础状态预期!Y77="",0,MIN(求节点($C$16:$C$24,H$16:H$24,基础状态预期!O77),求节点($C$28:$C$48,H$28:H$48,基础状态预期!Y77)))</f>
        <v>0.18</v>
      </c>
      <c r="T65" s="29">
        <f>MAX(SUMPRODUCT(O65:S65,基础状态预期!$F77:$J77)/SUM(基础状态预期!$F77:$J77),T64)</f>
        <v>0.18000000000000002</v>
      </c>
      <c r="V65" s="17">
        <v>61</v>
      </c>
      <c r="W65" s="17">
        <f t="shared" si="3"/>
        <v>3.2717953136774239E-2</v>
      </c>
      <c r="X65" s="17">
        <f t="shared" si="4"/>
        <v>5.2825442481130545E-2</v>
      </c>
      <c r="Y65" s="17">
        <f t="shared" si="5"/>
        <v>5.9795144345877189E-2</v>
      </c>
      <c r="Z65" s="17">
        <f t="shared" si="6"/>
        <v>5.6218760601080491E-2</v>
      </c>
      <c r="AA65" s="17">
        <f t="shared" si="7"/>
        <v>5.4776158886202561E-2</v>
      </c>
      <c r="AE65" s="29">
        <v>160</v>
      </c>
      <c r="AF65" s="29"/>
      <c r="AG65" s="29">
        <f t="shared" si="16"/>
        <v>0.45</v>
      </c>
      <c r="AH65" s="29"/>
      <c r="AI65" s="29">
        <f>(AG65-AG64)*INDEX([2]小r将兵属性验证!$AX$7:$AX$166,$AE65,1)+AI64</f>
        <v>35545121149.530106</v>
      </c>
      <c r="AJ65" s="14">
        <f t="shared" si="19"/>
        <v>35545121149.530106</v>
      </c>
      <c r="AO65" s="29">
        <f t="shared" si="17"/>
        <v>82.100546804797787</v>
      </c>
      <c r="AP65" s="14">
        <f>MAX(求节点($C$74:$C$79,D$74:D$79,求节点($C$4:$C$12,D$4:D$12,基础状态预期!K77)),AP64)</f>
        <v>0</v>
      </c>
      <c r="AQ65" s="14">
        <f>MAX(求节点($C$74:$C$79,E$74:E$79,求节点($C$4:$C$12,E$4:E$12,基础状态预期!L77)),AQ64)</f>
        <v>0</v>
      </c>
      <c r="AR65" s="14">
        <f>MAX(求节点($C$74:$C$79,F$74:F$79,求节点($C$4:$C$12,F$4:F$12,基础状态预期!M77)),AR64)</f>
        <v>0</v>
      </c>
      <c r="AS65" s="14">
        <f>MAX(求节点($C$74:$C$79,G$74:G$79,求节点($C$4:$C$12,G$4:G$12,基础状态预期!N77)),AS64)</f>
        <v>1</v>
      </c>
      <c r="AT65" s="14">
        <f>MAX(求节点($C$74:$C$79,H$74:H$79,求节点($C$4:$C$12,H$4:H$12,基础状态预期!O77)),AT64)</f>
        <v>2</v>
      </c>
      <c r="AU65" s="14">
        <f>MAX(求节点($C$81:$C$86,D$81:D$86,求节点($C$4:$C$12,D$4:D$12,基础状态预期!K77)),AU64)</f>
        <v>0</v>
      </c>
      <c r="AV65" s="14">
        <f>MAX(求节点($C$81:$C$86,E$81:E$86,求节点($C$4:$C$12,E$4:E$12,基础状态预期!L77)),AV64)</f>
        <v>0</v>
      </c>
      <c r="AW65" s="14">
        <f>MAX(求节点($C$81:$C$86,F$81:F$86,求节点($C$4:$C$12,F$4:F$12,基础状态预期!M77)),AW64)</f>
        <v>0</v>
      </c>
      <c r="AX65" s="14">
        <f>MAX(求节点($C$81:$C$86,G$81:G$86,求节点($C$4:$C$12,G$4:G$12,基础状态预期!N77)),AX64)</f>
        <v>0</v>
      </c>
      <c r="AY65" s="14">
        <f>MAX(求节点($C$81:$C$86,H$81:H$86,求节点($C$4:$C$12,H$4:H$12,基础状态预期!O77)),AY64)</f>
        <v>4</v>
      </c>
      <c r="AZ65" s="14">
        <f>MAX(求节点($C$88:$C$93,D$88:D$93,求节点($C$4:$C$12,D$4:D$12,基础状态预期!K77)),AZ64)</f>
        <v>0</v>
      </c>
      <c r="BA65" s="14">
        <f>MAX(求节点($C$88:$C$93,E$88:E$93,求节点($C$4:$C$12,E$4:E$12,基础状态预期!L77)),BA64)</f>
        <v>0</v>
      </c>
      <c r="BB65" s="14">
        <f>MAX(求节点($C$88:$C$93,F$88:F$93,求节点($C$4:$C$12,F$4:F$12,基础状态预期!M77)),BB64)</f>
        <v>0</v>
      </c>
      <c r="BC65" s="14">
        <f>MAX(求节点($C$88:$C$93,G$88:G$93,求节点($C$4:$C$12,G$4:G$12,基础状态预期!N77)),BC64)</f>
        <v>0</v>
      </c>
      <c r="BD65" s="14">
        <f>MAX(求节点($C$88:$C$93,H$88:H$93,求节点($C$4:$C$12,H$4:H$12,基础状态预期!O77)),BD64)</f>
        <v>0</v>
      </c>
      <c r="BE65" s="14">
        <f t="shared" si="14"/>
        <v>11000</v>
      </c>
      <c r="BH65" s="29">
        <v>160</v>
      </c>
      <c r="BI65" s="29">
        <f t="shared" si="15"/>
        <v>395000</v>
      </c>
      <c r="BJ65" s="29"/>
      <c r="BK65" s="29">
        <f t="shared" si="20"/>
        <v>395000</v>
      </c>
    </row>
    <row r="66" spans="2:63" x14ac:dyDescent="0.15">
      <c r="B66" s="170"/>
      <c r="C66" s="29">
        <v>0</v>
      </c>
      <c r="D66" s="29"/>
      <c r="E66" s="29"/>
      <c r="F66" s="29"/>
      <c r="G66" s="29"/>
      <c r="H66" s="29"/>
      <c r="I66" s="29"/>
      <c r="M66" s="16">
        <v>20</v>
      </c>
      <c r="N66" s="29">
        <f>基础状态预期!D78</f>
        <v>83.885420957389968</v>
      </c>
      <c r="O66" s="29">
        <f>IF(基础状态预期!U78="",0,MIN(求节点($C$16:$C$24,D$16:D$24,基础状态预期!K78),求节点($C$28:$C$48,D$28:D$48,基础状态预期!U78)))</f>
        <v>0</v>
      </c>
      <c r="P66" s="29">
        <f>IF(基础状态预期!V78="",0,MIN(求节点($C$16:$C$24,E$16:E$24,基础状态预期!L78),求节点($C$28:$C$48,E$28:E$48,基础状态预期!V78)))</f>
        <v>0</v>
      </c>
      <c r="Q66" s="29">
        <f>IF(基础状态预期!W78="",0,MIN(求节点($C$16:$C$24,F$16:F$24,基础状态预期!M78),求节点($C$28:$C$48,F$28:F$48,基础状态预期!W78)))</f>
        <v>0</v>
      </c>
      <c r="R66" s="29">
        <f>IF(基础状态预期!X78="",0,MIN(求节点($C$16:$C$24,G$16:G$24,基础状态预期!N78),求节点($C$28:$C$48,G$28:G$48,基础状态预期!X78)))</f>
        <v>0</v>
      </c>
      <c r="S66" s="29">
        <f>IF(基础状态预期!Y78="",0,MIN(求节点($C$16:$C$24,H$16:H$24,基础状态预期!O78),求节点($C$28:$C$48,H$28:H$48,基础状态预期!Y78)))</f>
        <v>0.18</v>
      </c>
      <c r="T66" s="29">
        <f>MAX(SUMPRODUCT(O66:S66,基础状态预期!$F78:$J78)/SUM(基础状态预期!$F78:$J78),T65)</f>
        <v>0.18000000000000002</v>
      </c>
      <c r="V66" s="17">
        <v>62</v>
      </c>
      <c r="W66" s="17">
        <f t="shared" si="3"/>
        <v>4.2141882759423654E-2</v>
      </c>
      <c r="X66" s="17">
        <f t="shared" si="4"/>
        <v>6.0666716557805943E-2</v>
      </c>
      <c r="Y66" s="17">
        <f t="shared" si="5"/>
        <v>6.5740153479417432E-2</v>
      </c>
      <c r="Z66" s="17">
        <f t="shared" si="6"/>
        <v>6.3950782544546933E-2</v>
      </c>
      <c r="AA66" s="17">
        <f t="shared" si="7"/>
        <v>6.3314284003404608E-2</v>
      </c>
      <c r="AO66" s="29">
        <f t="shared" si="17"/>
        <v>83.885420957389968</v>
      </c>
      <c r="AP66" s="14">
        <f>MAX(求节点($C$74:$C$79,D$74:D$79,求节点($C$4:$C$12,D$4:D$12,基础状态预期!K78)),AP65)</f>
        <v>0</v>
      </c>
      <c r="AQ66" s="14">
        <f>MAX(求节点($C$74:$C$79,E$74:E$79,求节点($C$4:$C$12,E$4:E$12,基础状态预期!L78)),AQ65)</f>
        <v>0</v>
      </c>
      <c r="AR66" s="14">
        <f>MAX(求节点($C$74:$C$79,F$74:F$79,求节点($C$4:$C$12,F$4:F$12,基础状态预期!M78)),AR65)</f>
        <v>0</v>
      </c>
      <c r="AS66" s="14">
        <f>MAX(求节点($C$74:$C$79,G$74:G$79,求节点($C$4:$C$12,G$4:G$12,基础状态预期!N78)),AS65)</f>
        <v>1</v>
      </c>
      <c r="AT66" s="14">
        <f>MAX(求节点($C$74:$C$79,H$74:H$79,求节点($C$4:$C$12,H$4:H$12,基础状态预期!O78)),AT65)</f>
        <v>2</v>
      </c>
      <c r="AU66" s="14">
        <f>MAX(求节点($C$81:$C$86,D$81:D$86,求节点($C$4:$C$12,D$4:D$12,基础状态预期!K78)),AU65)</f>
        <v>0</v>
      </c>
      <c r="AV66" s="14">
        <f>MAX(求节点($C$81:$C$86,E$81:E$86,求节点($C$4:$C$12,E$4:E$12,基础状态预期!L78)),AV65)</f>
        <v>0</v>
      </c>
      <c r="AW66" s="14">
        <f>MAX(求节点($C$81:$C$86,F$81:F$86,求节点($C$4:$C$12,F$4:F$12,基础状态预期!M78)),AW65)</f>
        <v>0</v>
      </c>
      <c r="AX66" s="14">
        <f>MAX(求节点($C$81:$C$86,G$81:G$86,求节点($C$4:$C$12,G$4:G$12,基础状态预期!N78)),AX65)</f>
        <v>0</v>
      </c>
      <c r="AY66" s="14">
        <f>MAX(求节点($C$81:$C$86,H$81:H$86,求节点($C$4:$C$12,H$4:H$12,基础状态预期!O78)),AY65)</f>
        <v>4</v>
      </c>
      <c r="AZ66" s="14">
        <f>MAX(求节点($C$88:$C$93,D$88:D$93,求节点($C$4:$C$12,D$4:D$12,基础状态预期!K78)),AZ65)</f>
        <v>0</v>
      </c>
      <c r="BA66" s="14">
        <f>MAX(求节点($C$88:$C$93,E$88:E$93,求节点($C$4:$C$12,E$4:E$12,基础状态预期!L78)),BA65)</f>
        <v>0</v>
      </c>
      <c r="BB66" s="14">
        <f>MAX(求节点($C$88:$C$93,F$88:F$93,求节点($C$4:$C$12,F$4:F$12,基础状态预期!M78)),BB65)</f>
        <v>0</v>
      </c>
      <c r="BC66" s="14">
        <f>MAX(求节点($C$88:$C$93,G$88:G$93,求节点($C$4:$C$12,G$4:G$12,基础状态预期!N78)),BC65)</f>
        <v>0</v>
      </c>
      <c r="BD66" s="14">
        <f>MAX(求节点($C$88:$C$93,H$88:H$93,求节点($C$4:$C$12,H$4:H$12,基础状态预期!O78)),BD65)</f>
        <v>0</v>
      </c>
      <c r="BE66" s="14">
        <f t="shared" si="14"/>
        <v>11000</v>
      </c>
    </row>
    <row r="67" spans="2:63" x14ac:dyDescent="0.15">
      <c r="B67" s="170"/>
      <c r="C67" s="29">
        <v>1</v>
      </c>
      <c r="D67" s="29"/>
      <c r="E67" s="29"/>
      <c r="F67" s="29"/>
      <c r="G67" s="29"/>
      <c r="H67" s="29"/>
      <c r="I67" s="29"/>
      <c r="M67" s="16">
        <v>21</v>
      </c>
      <c r="N67" s="29">
        <f>基础状态预期!D79</f>
        <v>86.247032860782397</v>
      </c>
      <c r="O67" s="29">
        <f>IF(基础状态预期!U79="",0,MIN(求节点($C$16:$C$24,D$16:D$24,基础状态预期!K79),求节点($C$28:$C$48,D$28:D$48,基础状态预期!U79)))</f>
        <v>0</v>
      </c>
      <c r="P67" s="29">
        <f>IF(基础状态预期!V79="",0,MIN(求节点($C$16:$C$24,E$16:E$24,基础状态预期!L79),求节点($C$28:$C$48,E$28:E$48,基础状态预期!V79)))</f>
        <v>0</v>
      </c>
      <c r="Q67" s="29">
        <f>IF(基础状态预期!W79="",0,MIN(求节点($C$16:$C$24,F$16:F$24,基础状态预期!M79),求节点($C$28:$C$48,F$28:F$48,基础状态预期!W79)))</f>
        <v>0</v>
      </c>
      <c r="R67" s="29">
        <f>IF(基础状态预期!X79="",0,MIN(求节点($C$16:$C$24,G$16:G$24,基础状态预期!N79),求节点($C$28:$C$48,G$28:G$48,基础状态预期!X79)))</f>
        <v>0</v>
      </c>
      <c r="S67" s="29">
        <f>IF(基础状态预期!Y79="",0,MIN(求节点($C$16:$C$24,H$16:H$24,基础状态预期!O79),求节点($C$28:$C$48,H$28:H$48,基础状态预期!Y79)))</f>
        <v>0.18</v>
      </c>
      <c r="T67" s="29">
        <f>MAX(SUMPRODUCT(O67:S67,基础状态预期!$F79:$J79)/SUM(基础状态预期!$F79:$J79),T66)</f>
        <v>0.18000000000000002</v>
      </c>
      <c r="V67" s="17">
        <v>63</v>
      </c>
      <c r="W67" s="17">
        <f t="shared" si="3"/>
        <v>5.156581238207307E-2</v>
      </c>
      <c r="X67" s="17">
        <f t="shared" si="4"/>
        <v>6.8507990634481333E-2</v>
      </c>
      <c r="Y67" s="17">
        <f t="shared" si="5"/>
        <v>7.1685162612957681E-2</v>
      </c>
      <c r="Z67" s="17">
        <f t="shared" si="6"/>
        <v>7.1682804488013382E-2</v>
      </c>
      <c r="AA67" s="17">
        <f t="shared" si="7"/>
        <v>7.185240912060667E-2</v>
      </c>
      <c r="AO67" s="29">
        <f t="shared" si="17"/>
        <v>86.247032860782397</v>
      </c>
      <c r="AP67" s="14">
        <f>MAX(求节点($C$74:$C$79,D$74:D$79,求节点($C$4:$C$12,D$4:D$12,基础状态预期!K79)),AP66)</f>
        <v>0</v>
      </c>
      <c r="AQ67" s="14">
        <f>MAX(求节点($C$74:$C$79,E$74:E$79,求节点($C$4:$C$12,E$4:E$12,基础状态预期!L79)),AQ66)</f>
        <v>0</v>
      </c>
      <c r="AR67" s="14">
        <f>MAX(求节点($C$74:$C$79,F$74:F$79,求节点($C$4:$C$12,F$4:F$12,基础状态预期!M79)),AR66)</f>
        <v>0</v>
      </c>
      <c r="AS67" s="14">
        <f>MAX(求节点($C$74:$C$79,G$74:G$79,求节点($C$4:$C$12,G$4:G$12,基础状态预期!N79)),AS66)</f>
        <v>1</v>
      </c>
      <c r="AT67" s="14">
        <f>MAX(求节点($C$74:$C$79,H$74:H$79,求节点($C$4:$C$12,H$4:H$12,基础状态预期!O79)),AT66)</f>
        <v>2</v>
      </c>
      <c r="AU67" s="14">
        <f>MAX(求节点($C$81:$C$86,D$81:D$86,求节点($C$4:$C$12,D$4:D$12,基础状态预期!K79)),AU66)</f>
        <v>0</v>
      </c>
      <c r="AV67" s="14">
        <f>MAX(求节点($C$81:$C$86,E$81:E$86,求节点($C$4:$C$12,E$4:E$12,基础状态预期!L79)),AV66)</f>
        <v>0</v>
      </c>
      <c r="AW67" s="14">
        <f>MAX(求节点($C$81:$C$86,F$81:F$86,求节点($C$4:$C$12,F$4:F$12,基础状态预期!M79)),AW66)</f>
        <v>0</v>
      </c>
      <c r="AX67" s="14">
        <f>MAX(求节点($C$81:$C$86,G$81:G$86,求节点($C$4:$C$12,G$4:G$12,基础状态预期!N79)),AX66)</f>
        <v>0</v>
      </c>
      <c r="AY67" s="14">
        <f>MAX(求节点($C$81:$C$86,H$81:H$86,求节点($C$4:$C$12,H$4:H$12,基础状态预期!O79)),AY66)</f>
        <v>4</v>
      </c>
      <c r="AZ67" s="14">
        <f>MAX(求节点($C$88:$C$93,D$88:D$93,求节点($C$4:$C$12,D$4:D$12,基础状态预期!K79)),AZ66)</f>
        <v>0</v>
      </c>
      <c r="BA67" s="14">
        <f>MAX(求节点($C$88:$C$93,E$88:E$93,求节点($C$4:$C$12,E$4:E$12,基础状态预期!L79)),BA66)</f>
        <v>0</v>
      </c>
      <c r="BB67" s="14">
        <f>MAX(求节点($C$88:$C$93,F$88:F$93,求节点($C$4:$C$12,F$4:F$12,基础状态预期!M79)),BB66)</f>
        <v>0</v>
      </c>
      <c r="BC67" s="14">
        <f>MAX(求节点($C$88:$C$93,G$88:G$93,求节点($C$4:$C$12,G$4:G$12,基础状态预期!N79)),BC66)</f>
        <v>0</v>
      </c>
      <c r="BD67" s="14">
        <f>MAX(求节点($C$88:$C$93,H$88:H$93,求节点($C$4:$C$12,H$4:H$12,基础状态预期!O79)),BD66)</f>
        <v>0</v>
      </c>
      <c r="BE67" s="14">
        <f t="shared" si="14"/>
        <v>11000</v>
      </c>
    </row>
    <row r="68" spans="2:63" x14ac:dyDescent="0.15">
      <c r="B68" s="170"/>
      <c r="C68" s="29">
        <v>2</v>
      </c>
      <c r="D68" s="29"/>
      <c r="E68" s="29"/>
      <c r="F68" s="29"/>
      <c r="G68" s="29"/>
      <c r="H68" s="29"/>
      <c r="I68" s="29"/>
      <c r="M68" s="16">
        <v>22</v>
      </c>
      <c r="N68" s="29">
        <f>基础状态预期!D80</f>
        <v>90.122782504866933</v>
      </c>
      <c r="O68" s="29">
        <f>IF(基础状态预期!U80="",0,MIN(求节点($C$16:$C$24,D$16:D$24,基础状态预期!K80),求节点($C$28:$C$48,D$28:D$48,基础状态预期!U80)))</f>
        <v>0</v>
      </c>
      <c r="P68" s="29">
        <f>IF(基础状态预期!V80="",0,MIN(求节点($C$16:$C$24,E$16:E$24,基础状态预期!L80),求节点($C$28:$C$48,E$28:E$48,基础状态预期!V80)))</f>
        <v>0</v>
      </c>
      <c r="Q68" s="29">
        <f>IF(基础状态预期!W80="",0,MIN(求节点($C$16:$C$24,F$16:F$24,基础状态预期!M80),求节点($C$28:$C$48,F$28:F$48,基础状态预期!W80)))</f>
        <v>0</v>
      </c>
      <c r="R68" s="29">
        <f>IF(基础状态预期!X80="",0,MIN(求节点($C$16:$C$24,G$16:G$24,基础状态预期!N80),求节点($C$28:$C$48,G$28:G$48,基础状态预期!X80)))</f>
        <v>0</v>
      </c>
      <c r="S68" s="29">
        <f>IF(基础状态预期!Y80="",0,MIN(求节点($C$16:$C$24,H$16:H$24,基础状态预期!O80),求节点($C$28:$C$48,H$28:H$48,基础状态预期!Y80)))</f>
        <v>0.30349218444121279</v>
      </c>
      <c r="T68" s="29">
        <f>MAX(SUMPRODUCT(O68:S68,基础状态预期!$F80:$J80)/SUM(基础状态预期!$F80:$J80),T67)</f>
        <v>0.30349218444121279</v>
      </c>
      <c r="V68" s="17">
        <v>64</v>
      </c>
      <c r="W68" s="17">
        <f t="shared" si="3"/>
        <v>6.0989742004722486E-2</v>
      </c>
      <c r="X68" s="17">
        <f t="shared" si="4"/>
        <v>7.6349264711156731E-2</v>
      </c>
      <c r="Y68" s="17">
        <f t="shared" si="5"/>
        <v>7.7630171746497931E-2</v>
      </c>
      <c r="Z68" s="17">
        <f t="shared" si="6"/>
        <v>7.9414826431479832E-2</v>
      </c>
      <c r="AA68" s="17">
        <f t="shared" si="7"/>
        <v>8.0390534237808717E-2</v>
      </c>
      <c r="AO68" s="29">
        <f t="shared" si="17"/>
        <v>90.122782504866933</v>
      </c>
      <c r="AP68" s="14">
        <f>MAX(求节点($C$74:$C$79,D$74:D$79,求节点($C$4:$C$12,D$4:D$12,基础状态预期!K80)),AP67)</f>
        <v>0</v>
      </c>
      <c r="AQ68" s="14">
        <f>MAX(求节点($C$74:$C$79,E$74:E$79,求节点($C$4:$C$12,E$4:E$12,基础状态预期!L80)),AQ67)</f>
        <v>0</v>
      </c>
      <c r="AR68" s="14">
        <f>MAX(求节点($C$74:$C$79,F$74:F$79,求节点($C$4:$C$12,F$4:F$12,基础状态预期!M80)),AR67)</f>
        <v>0</v>
      </c>
      <c r="AS68" s="14">
        <f>MAX(求节点($C$74:$C$79,G$74:G$79,求节点($C$4:$C$12,G$4:G$12,基础状态预期!N80)),AS67)</f>
        <v>1</v>
      </c>
      <c r="AT68" s="14">
        <f>MAX(求节点($C$74:$C$79,H$74:H$79,求节点($C$4:$C$12,H$4:H$12,基础状态预期!O80)),AT67)</f>
        <v>2</v>
      </c>
      <c r="AU68" s="14">
        <f>MAX(求节点($C$81:$C$86,D$81:D$86,求节点($C$4:$C$12,D$4:D$12,基础状态预期!K80)),AU67)</f>
        <v>0</v>
      </c>
      <c r="AV68" s="14">
        <f>MAX(求节点($C$81:$C$86,E$81:E$86,求节点($C$4:$C$12,E$4:E$12,基础状态预期!L80)),AV67)</f>
        <v>0</v>
      </c>
      <c r="AW68" s="14">
        <f>MAX(求节点($C$81:$C$86,F$81:F$86,求节点($C$4:$C$12,F$4:F$12,基础状态预期!M80)),AW67)</f>
        <v>0</v>
      </c>
      <c r="AX68" s="14">
        <f>MAX(求节点($C$81:$C$86,G$81:G$86,求节点($C$4:$C$12,G$4:G$12,基础状态预期!N80)),AX67)</f>
        <v>0</v>
      </c>
      <c r="AY68" s="14">
        <f>MAX(求节点($C$81:$C$86,H$81:H$86,求节点($C$4:$C$12,H$4:H$12,基础状态预期!O80)),AY67)</f>
        <v>4</v>
      </c>
      <c r="AZ68" s="14">
        <f>MAX(求节点($C$88:$C$93,D$88:D$93,求节点($C$4:$C$12,D$4:D$12,基础状态预期!K80)),AZ67)</f>
        <v>0</v>
      </c>
      <c r="BA68" s="14">
        <f>MAX(求节点($C$88:$C$93,E$88:E$93,求节点($C$4:$C$12,E$4:E$12,基础状态预期!L80)),BA67)</f>
        <v>0</v>
      </c>
      <c r="BB68" s="14">
        <f>MAX(求节点($C$88:$C$93,F$88:F$93,求节点($C$4:$C$12,F$4:F$12,基础状态预期!M80)),BB67)</f>
        <v>0</v>
      </c>
      <c r="BC68" s="14">
        <f>MAX(求节点($C$88:$C$93,G$88:G$93,求节点($C$4:$C$12,G$4:G$12,基础状态预期!N80)),BC67)</f>
        <v>0</v>
      </c>
      <c r="BD68" s="14">
        <f>MAX(求节点($C$88:$C$93,H$88:H$93,求节点($C$4:$C$12,H$4:H$12,基础状态预期!O80)),BD67)</f>
        <v>13.95416612288227</v>
      </c>
      <c r="BE68" s="14">
        <f t="shared" si="14"/>
        <v>122633.32898305816</v>
      </c>
    </row>
    <row r="69" spans="2:63" x14ac:dyDescent="0.15">
      <c r="B69" s="170"/>
      <c r="C69" s="29">
        <v>3</v>
      </c>
      <c r="D69" s="29"/>
      <c r="E69" s="29"/>
      <c r="F69" s="29"/>
      <c r="G69" s="29">
        <v>6</v>
      </c>
      <c r="H69" s="29">
        <v>8</v>
      </c>
      <c r="I69" s="29">
        <v>16</v>
      </c>
      <c r="M69" s="16">
        <v>23</v>
      </c>
      <c r="N69" s="29">
        <f>基础状态预期!D81</f>
        <v>93.149045658279036</v>
      </c>
      <c r="O69" s="29">
        <f>IF(基础状态预期!U81="",0,MIN(求节点($C$16:$C$24,D$16:D$24,基础状态预期!K81),求节点($C$28:$C$48,D$28:D$48,基础状态预期!U81)))</f>
        <v>0</v>
      </c>
      <c r="P69" s="29">
        <f>IF(基础状态预期!V81="",0,MIN(求节点($C$16:$C$24,E$16:E$24,基础状态预期!L81),求节点($C$28:$C$48,E$28:E$48,基础状态预期!V81)))</f>
        <v>0</v>
      </c>
      <c r="Q69" s="29">
        <f>IF(基础状态预期!W81="",0,MIN(求节点($C$16:$C$24,F$16:F$24,基础状态预期!M81),求节点($C$28:$C$48,F$28:F$48,基础状态预期!W81)))</f>
        <v>0</v>
      </c>
      <c r="R69" s="29">
        <f>IF(基础状态预期!X81="",0,MIN(求节点($C$16:$C$24,G$16:G$24,基础状态预期!N81),求节点($C$28:$C$48,G$28:G$48,基础状态预期!X81)))</f>
        <v>0</v>
      </c>
      <c r="S69" s="29">
        <f>IF(基础状态预期!Y81="",0,MIN(求节点($C$16:$C$24,H$16:H$24,基础状态预期!O81),求节点($C$28:$C$48,H$28:H$48,基础状态预期!Y81)))</f>
        <v>0.45</v>
      </c>
      <c r="T69" s="29">
        <f>MAX(SUMPRODUCT(O69:S69,基础状态预期!$F81:$J81)/SUM(基础状态预期!$F81:$J81),T68)</f>
        <v>0.45</v>
      </c>
      <c r="V69" s="17">
        <v>65</v>
      </c>
      <c r="W69" s="17">
        <f t="shared" si="3"/>
        <v>7.0413671627371902E-2</v>
      </c>
      <c r="X69" s="17">
        <f t="shared" si="4"/>
        <v>8.2606945513683472E-2</v>
      </c>
      <c r="Y69" s="17">
        <f t="shared" si="5"/>
        <v>8.3554858403980747E-2</v>
      </c>
      <c r="Z69" s="17">
        <f t="shared" si="6"/>
        <v>9.1382848084362131E-2</v>
      </c>
      <c r="AA69" s="17">
        <f t="shared" si="7"/>
        <v>9.3517355357530238E-2</v>
      </c>
      <c r="AO69" s="29">
        <f t="shared" si="17"/>
        <v>93.149045658279036</v>
      </c>
      <c r="AP69" s="14">
        <f>MAX(求节点($C$74:$C$79,D$74:D$79,求节点($C$4:$C$12,D$4:D$12,基础状态预期!K81)),AP68)</f>
        <v>0</v>
      </c>
      <c r="AQ69" s="14">
        <f>MAX(求节点($C$74:$C$79,E$74:E$79,求节点($C$4:$C$12,E$4:E$12,基础状态预期!L81)),AQ68)</f>
        <v>0</v>
      </c>
      <c r="AR69" s="14">
        <f>MAX(求节点($C$74:$C$79,F$74:F$79,求节点($C$4:$C$12,F$4:F$12,基础状态预期!M81)),AR68)</f>
        <v>0</v>
      </c>
      <c r="AS69" s="14">
        <f>MAX(求节点($C$74:$C$79,G$74:G$79,求节点($C$4:$C$12,G$4:G$12,基础状态预期!N81)),AS68)</f>
        <v>1</v>
      </c>
      <c r="AT69" s="14">
        <f>MAX(求节点($C$74:$C$79,H$74:H$79,求节点($C$4:$C$12,H$4:H$12,基础状态预期!O81)),AT68)</f>
        <v>2</v>
      </c>
      <c r="AU69" s="14">
        <f>MAX(求节点($C$81:$C$86,D$81:D$86,求节点($C$4:$C$12,D$4:D$12,基础状态预期!K81)),AU68)</f>
        <v>0</v>
      </c>
      <c r="AV69" s="14">
        <f>MAX(求节点($C$81:$C$86,E$81:E$86,求节点($C$4:$C$12,E$4:E$12,基础状态预期!L81)),AV68)</f>
        <v>0</v>
      </c>
      <c r="AW69" s="14">
        <f>MAX(求节点($C$81:$C$86,F$81:F$86,求节点($C$4:$C$12,F$4:F$12,基础状态预期!M81)),AW68)</f>
        <v>0</v>
      </c>
      <c r="AX69" s="14">
        <f>MAX(求节点($C$81:$C$86,G$81:G$86,求节点($C$4:$C$12,G$4:G$12,基础状态预期!N81)),AX68)</f>
        <v>0</v>
      </c>
      <c r="AY69" s="14">
        <f>MAX(求节点($C$81:$C$86,H$81:H$86,求节点($C$4:$C$12,H$4:H$12,基础状态预期!O81)),AY68)</f>
        <v>4</v>
      </c>
      <c r="AZ69" s="14">
        <f>MAX(求节点($C$88:$C$93,D$88:D$93,求节点($C$4:$C$12,D$4:D$12,基础状态预期!K81)),AZ68)</f>
        <v>0</v>
      </c>
      <c r="BA69" s="14">
        <f>MAX(求节点($C$88:$C$93,E$88:E$93,求节点($C$4:$C$12,E$4:E$12,基础状态预期!L81)),BA68)</f>
        <v>0</v>
      </c>
      <c r="BB69" s="14">
        <f>MAX(求节点($C$88:$C$93,F$88:F$93,求节点($C$4:$C$12,F$4:F$12,基础状态预期!M81)),BB68)</f>
        <v>0</v>
      </c>
      <c r="BC69" s="14">
        <f>MAX(求节点($C$88:$C$93,G$88:G$93,求节点($C$4:$C$12,G$4:G$12,基础状态预期!N81)),BC68)</f>
        <v>0</v>
      </c>
      <c r="BD69" s="14">
        <f>MAX(求节点($C$88:$C$93,H$88:H$93,求节点($C$4:$C$12,H$4:H$12,基础状态预期!O81)),BD68)</f>
        <v>48</v>
      </c>
      <c r="BE69" s="14">
        <f t="shared" si="14"/>
        <v>395000</v>
      </c>
    </row>
    <row r="70" spans="2:63" x14ac:dyDescent="0.15">
      <c r="B70" s="170"/>
      <c r="C70" s="29">
        <v>4</v>
      </c>
      <c r="D70" s="29"/>
      <c r="E70" s="29"/>
      <c r="F70" s="29"/>
      <c r="G70" s="29"/>
      <c r="H70" s="29">
        <v>16</v>
      </c>
      <c r="I70" s="29">
        <v>32</v>
      </c>
      <c r="M70" s="16">
        <v>24</v>
      </c>
      <c r="N70" s="29">
        <f>基础状态预期!D82</f>
        <v>96.770480813454071</v>
      </c>
      <c r="O70" s="29">
        <f>IF(基础状态预期!U82="",0,MIN(求节点($C$16:$C$24,D$16:D$24,基础状态预期!K82),求节点($C$28:$C$48,D$28:D$48,基础状态预期!U82)))</f>
        <v>0</v>
      </c>
      <c r="P70" s="29">
        <f>IF(基础状态预期!V82="",0,MIN(求节点($C$16:$C$24,E$16:E$24,基础状态预期!L82),求节点($C$28:$C$48,E$28:E$48,基础状态预期!V82)))</f>
        <v>0</v>
      </c>
      <c r="Q70" s="29">
        <f>IF(基础状态预期!W82="",0,MIN(求节点($C$16:$C$24,F$16:F$24,基础状态预期!M82),求节点($C$28:$C$48,F$28:F$48,基础状态预期!W82)))</f>
        <v>0</v>
      </c>
      <c r="R70" s="29">
        <f>IF(基础状态预期!X82="",0,MIN(求节点($C$16:$C$24,G$16:G$24,基础状态预期!N82),求节点($C$28:$C$48,G$28:G$48,基础状态预期!X82)))</f>
        <v>0</v>
      </c>
      <c r="S70" s="29">
        <f>IF(基础状态预期!Y82="",0,MIN(求节点($C$16:$C$24,H$16:H$24,基础状态预期!O82),求节点($C$28:$C$48,H$28:H$48,基础状态预期!Y82)))</f>
        <v>0.45</v>
      </c>
      <c r="T70" s="29">
        <f>MAX(SUMPRODUCT(O70:S70,基础状态预期!$F82:$J82)/SUM(基础状态预期!$F82:$J82),T69)</f>
        <v>0.45</v>
      </c>
      <c r="V70" s="17">
        <v>66</v>
      </c>
      <c r="W70" s="17">
        <f t="shared" ref="W70:W133" si="21">求节点($N$5:$N$43,$T$5:$T$43,$V70)</f>
        <v>7.4128997698080706E-2</v>
      </c>
      <c r="X70" s="17">
        <f t="shared" ref="X70:X133" si="22">求节点($N$50:$N$88,$T$50:$T$88,$V70)</f>
        <v>8.3216884652089179E-2</v>
      </c>
      <c r="Y70" s="17">
        <f t="shared" ref="Y70:Y133" si="23">求节点($N$95:$N$133,$T$95:$T$133,$V70)</f>
        <v>8.9387498253411982E-2</v>
      </c>
      <c r="Z70" s="17">
        <f t="shared" ref="Z70:Z133" si="24">求节点($N$140:$N$178,$T$140:$T$178,$V70)</f>
        <v>0.10616326930039997</v>
      </c>
      <c r="AA70" s="17">
        <f t="shared" ref="AA70:AA133" si="25">求节点($N$185:$N$223,$T$185:$T$223,$V70)</f>
        <v>0.10814988654460415</v>
      </c>
      <c r="AO70" s="29">
        <f t="shared" si="17"/>
        <v>96.770480813454071</v>
      </c>
      <c r="AP70" s="14">
        <f>MAX(求节点($C$74:$C$79,D$74:D$79,求节点($C$4:$C$12,D$4:D$12,基础状态预期!K82)),AP69)</f>
        <v>0</v>
      </c>
      <c r="AQ70" s="14">
        <f>MAX(求节点($C$74:$C$79,E$74:E$79,求节点($C$4:$C$12,E$4:E$12,基础状态预期!L82)),AQ69)</f>
        <v>0</v>
      </c>
      <c r="AR70" s="14">
        <f>MAX(求节点($C$74:$C$79,F$74:F$79,求节点($C$4:$C$12,F$4:F$12,基础状态预期!M82)),AR69)</f>
        <v>0</v>
      </c>
      <c r="AS70" s="14">
        <f>MAX(求节点($C$74:$C$79,G$74:G$79,求节点($C$4:$C$12,G$4:G$12,基础状态预期!N82)),AS69)</f>
        <v>1</v>
      </c>
      <c r="AT70" s="14">
        <f>MAX(求节点($C$74:$C$79,H$74:H$79,求节点($C$4:$C$12,H$4:H$12,基础状态预期!O82)),AT69)</f>
        <v>2</v>
      </c>
      <c r="AU70" s="14">
        <f>MAX(求节点($C$81:$C$86,D$81:D$86,求节点($C$4:$C$12,D$4:D$12,基础状态预期!K82)),AU69)</f>
        <v>0</v>
      </c>
      <c r="AV70" s="14">
        <f>MAX(求节点($C$81:$C$86,E$81:E$86,求节点($C$4:$C$12,E$4:E$12,基础状态预期!L82)),AV69)</f>
        <v>0</v>
      </c>
      <c r="AW70" s="14">
        <f>MAX(求节点($C$81:$C$86,F$81:F$86,求节点($C$4:$C$12,F$4:F$12,基础状态预期!M82)),AW69)</f>
        <v>0</v>
      </c>
      <c r="AX70" s="14">
        <f>MAX(求节点($C$81:$C$86,G$81:G$86,求节点($C$4:$C$12,G$4:G$12,基础状态预期!N82)),AX69)</f>
        <v>0</v>
      </c>
      <c r="AY70" s="14">
        <f>MAX(求节点($C$81:$C$86,H$81:H$86,求节点($C$4:$C$12,H$4:H$12,基础状态预期!O82)),AY69)</f>
        <v>4</v>
      </c>
      <c r="AZ70" s="14">
        <f>MAX(求节点($C$88:$C$93,D$88:D$93,求节点($C$4:$C$12,D$4:D$12,基础状态预期!K82)),AZ69)</f>
        <v>0</v>
      </c>
      <c r="BA70" s="14">
        <f>MAX(求节点($C$88:$C$93,E$88:E$93,求节点($C$4:$C$12,E$4:E$12,基础状态预期!L82)),BA69)</f>
        <v>0</v>
      </c>
      <c r="BB70" s="14">
        <f>MAX(求节点($C$88:$C$93,F$88:F$93,求节点($C$4:$C$12,F$4:F$12,基础状态预期!M82)),BB69)</f>
        <v>0</v>
      </c>
      <c r="BC70" s="14">
        <f>MAX(求节点($C$88:$C$93,G$88:G$93,求节点($C$4:$C$12,G$4:G$12,基础状态预期!N82)),BC69)</f>
        <v>0</v>
      </c>
      <c r="BD70" s="14">
        <f>MAX(求节点($C$88:$C$93,H$88:H$93,求节点($C$4:$C$12,H$4:H$12,基础状态预期!O82)),BD69)</f>
        <v>48</v>
      </c>
      <c r="BE70" s="14">
        <f t="shared" si="14"/>
        <v>395000</v>
      </c>
    </row>
    <row r="71" spans="2:63" x14ac:dyDescent="0.15">
      <c r="B71" s="171"/>
      <c r="C71" s="29">
        <v>5</v>
      </c>
      <c r="D71" s="29"/>
      <c r="E71" s="29"/>
      <c r="F71" s="29"/>
      <c r="G71" s="29"/>
      <c r="H71" s="29">
        <v>24</v>
      </c>
      <c r="I71" s="29">
        <v>48</v>
      </c>
      <c r="M71" s="16">
        <v>25</v>
      </c>
      <c r="N71" s="29">
        <f>基础状态预期!D83</f>
        <v>100.40175326279811</v>
      </c>
      <c r="O71" s="29">
        <f>IF(基础状态预期!U83="",0,MIN(求节点($C$16:$C$24,D$16:D$24,基础状态预期!K83),求节点($C$28:$C$48,D$28:D$48,基础状态预期!U83)))</f>
        <v>0</v>
      </c>
      <c r="P71" s="29">
        <f>IF(基础状态预期!V83="",0,MIN(求节点($C$16:$C$24,E$16:E$24,基础状态预期!L83),求节点($C$28:$C$48,E$28:E$48,基础状态预期!V83)))</f>
        <v>0</v>
      </c>
      <c r="Q71" s="29">
        <f>IF(基础状态预期!W83="",0,MIN(求节点($C$16:$C$24,F$16:F$24,基础状态预期!M83),求节点($C$28:$C$48,F$28:F$48,基础状态预期!W83)))</f>
        <v>0</v>
      </c>
      <c r="R71" s="29">
        <f>IF(基础状态预期!X83="",0,MIN(求节点($C$16:$C$24,G$16:G$24,基础状态预期!N83),求节点($C$28:$C$48,G$28:G$48,基础状态预期!X83)))</f>
        <v>0</v>
      </c>
      <c r="S71" s="29">
        <f>IF(基础状态预期!Y83="",0,MIN(求节点($C$16:$C$24,H$16:H$24,基础状态预期!O83),求节点($C$28:$C$48,H$28:H$48,基础状态预期!Y83)))</f>
        <v>0.45</v>
      </c>
      <c r="T71" s="29">
        <f>MAX(SUMPRODUCT(O71:S71,基础状态预期!$F83:$J83)/SUM(基础状态预期!$F83:$J83),T70)</f>
        <v>0.45</v>
      </c>
      <c r="V71" s="17">
        <v>67</v>
      </c>
      <c r="W71" s="17">
        <f t="shared" si="21"/>
        <v>7.7378260470015836E-2</v>
      </c>
      <c r="X71" s="17">
        <f t="shared" si="22"/>
        <v>8.3826823790494887E-2</v>
      </c>
      <c r="Y71" s="17">
        <f t="shared" si="23"/>
        <v>9.5220138102843216E-2</v>
      </c>
      <c r="Z71" s="17">
        <f t="shared" si="24"/>
        <v>0.12094369051643783</v>
      </c>
      <c r="AA71" s="17">
        <f t="shared" si="25"/>
        <v>0.12278241773167807</v>
      </c>
      <c r="AO71" s="29">
        <f t="shared" si="17"/>
        <v>100.40175326279811</v>
      </c>
      <c r="AP71" s="14">
        <f>MAX(求节点($C$74:$C$79,D$74:D$79,求节点($C$4:$C$12,D$4:D$12,基础状态预期!K83)),AP70)</f>
        <v>0</v>
      </c>
      <c r="AQ71" s="14">
        <f>MAX(求节点($C$74:$C$79,E$74:E$79,求节点($C$4:$C$12,E$4:E$12,基础状态预期!L83)),AQ70)</f>
        <v>0</v>
      </c>
      <c r="AR71" s="14">
        <f>MAX(求节点($C$74:$C$79,F$74:F$79,求节点($C$4:$C$12,F$4:F$12,基础状态预期!M83)),AR70)</f>
        <v>0</v>
      </c>
      <c r="AS71" s="14">
        <f>MAX(求节点($C$74:$C$79,G$74:G$79,求节点($C$4:$C$12,G$4:G$12,基础状态预期!N83)),AS70)</f>
        <v>1</v>
      </c>
      <c r="AT71" s="14">
        <f>MAX(求节点($C$74:$C$79,H$74:H$79,求节点($C$4:$C$12,H$4:H$12,基础状态预期!O83)),AT70)</f>
        <v>2</v>
      </c>
      <c r="AU71" s="14">
        <f>MAX(求节点($C$81:$C$86,D$81:D$86,求节点($C$4:$C$12,D$4:D$12,基础状态预期!K83)),AU70)</f>
        <v>0</v>
      </c>
      <c r="AV71" s="14">
        <f>MAX(求节点($C$81:$C$86,E$81:E$86,求节点($C$4:$C$12,E$4:E$12,基础状态预期!L83)),AV70)</f>
        <v>0</v>
      </c>
      <c r="AW71" s="14">
        <f>MAX(求节点($C$81:$C$86,F$81:F$86,求节点($C$4:$C$12,F$4:F$12,基础状态预期!M83)),AW70)</f>
        <v>0</v>
      </c>
      <c r="AX71" s="14">
        <f>MAX(求节点($C$81:$C$86,G$81:G$86,求节点($C$4:$C$12,G$4:G$12,基础状态预期!N83)),AX70)</f>
        <v>0</v>
      </c>
      <c r="AY71" s="14">
        <f>MAX(求节点($C$81:$C$86,H$81:H$86,求节点($C$4:$C$12,H$4:H$12,基础状态预期!O83)),AY70)</f>
        <v>4</v>
      </c>
      <c r="AZ71" s="14">
        <f>MAX(求节点($C$88:$C$93,D$88:D$93,求节点($C$4:$C$12,D$4:D$12,基础状态预期!K83)),AZ70)</f>
        <v>0</v>
      </c>
      <c r="BA71" s="14">
        <f>MAX(求节点($C$88:$C$93,E$88:E$93,求节点($C$4:$C$12,E$4:E$12,基础状态预期!L83)),BA70)</f>
        <v>0</v>
      </c>
      <c r="BB71" s="14">
        <f>MAX(求节点($C$88:$C$93,F$88:F$93,求节点($C$4:$C$12,F$4:F$12,基础状态预期!M83)),BB70)</f>
        <v>0</v>
      </c>
      <c r="BC71" s="14">
        <f>MAX(求节点($C$88:$C$93,G$88:G$93,求节点($C$4:$C$12,G$4:G$12,基础状态预期!N83)),BC70)</f>
        <v>0</v>
      </c>
      <c r="BD71" s="14">
        <f>MAX(求节点($C$88:$C$93,H$88:H$93,求节点($C$4:$C$12,H$4:H$12,基础状态预期!O83)),BD70)</f>
        <v>48</v>
      </c>
      <c r="BE71" s="14">
        <f t="shared" si="14"/>
        <v>395000</v>
      </c>
    </row>
    <row r="72" spans="2:63" x14ac:dyDescent="0.15">
      <c r="M72" s="16">
        <v>26</v>
      </c>
      <c r="N72" s="29">
        <f>基础状态预期!D84</f>
        <v>104.06236366727887</v>
      </c>
      <c r="O72" s="29">
        <f>IF(基础状态预期!U84="",0,MIN(求节点($C$16:$C$24,D$16:D$24,基础状态预期!K84),求节点($C$28:$C$48,D$28:D$48,基础状态预期!U84)))</f>
        <v>0</v>
      </c>
      <c r="P72" s="29">
        <f>IF(基础状态预期!V84="",0,MIN(求节点($C$16:$C$24,E$16:E$24,基础状态预期!L84),求节点($C$28:$C$48,E$28:E$48,基础状态预期!V84)))</f>
        <v>0</v>
      </c>
      <c r="Q72" s="29">
        <f>IF(基础状态预期!W84="",0,MIN(求节点($C$16:$C$24,F$16:F$24,基础状态预期!M84),求节点($C$28:$C$48,F$28:F$48,基础状态预期!W84)))</f>
        <v>0</v>
      </c>
      <c r="R72" s="29">
        <f>IF(基础状态预期!X84="",0,MIN(求节点($C$16:$C$24,G$16:G$24,基础状态预期!N84),求节点($C$28:$C$48,G$28:G$48,基础状态预期!X84)))</f>
        <v>0</v>
      </c>
      <c r="S72" s="29">
        <f>IF(基础状态预期!Y84="",0,MIN(求节点($C$16:$C$24,H$16:H$24,基础状态预期!O84),求节点($C$28:$C$48,H$28:H$48,基础状态预期!Y84)))</f>
        <v>0.45</v>
      </c>
      <c r="T72" s="29">
        <f>MAX(SUMPRODUCT(O72:S72,基础状态预期!$F84:$J84)/SUM(基础状态预期!$F84:$J84),T71)</f>
        <v>0.45</v>
      </c>
      <c r="V72" s="17">
        <v>68</v>
      </c>
      <c r="W72" s="17">
        <f t="shared" si="21"/>
        <v>8.0627523241950966E-2</v>
      </c>
      <c r="X72" s="17">
        <f t="shared" si="22"/>
        <v>8.443676292890058E-2</v>
      </c>
      <c r="Y72" s="17">
        <f t="shared" si="23"/>
        <v>0.10105277795227444</v>
      </c>
      <c r="Z72" s="17">
        <f t="shared" si="24"/>
        <v>0.13572411173247567</v>
      </c>
      <c r="AA72" s="17">
        <f t="shared" si="25"/>
        <v>0.137414948918752</v>
      </c>
      <c r="AO72" s="29">
        <f t="shared" si="17"/>
        <v>104.06236366727887</v>
      </c>
      <c r="AP72" s="14">
        <f>MAX(求节点($C$74:$C$79,D$74:D$79,求节点($C$4:$C$12,D$4:D$12,基础状态预期!K84)),AP71)</f>
        <v>0</v>
      </c>
      <c r="AQ72" s="14">
        <f>MAX(求节点($C$74:$C$79,E$74:E$79,求节点($C$4:$C$12,E$4:E$12,基础状态预期!L84)),AQ71)</f>
        <v>0</v>
      </c>
      <c r="AR72" s="14">
        <f>MAX(求节点($C$74:$C$79,F$74:F$79,求节点($C$4:$C$12,F$4:F$12,基础状态预期!M84)),AR71)</f>
        <v>0</v>
      </c>
      <c r="AS72" s="14">
        <f>MAX(求节点($C$74:$C$79,G$74:G$79,求节点($C$4:$C$12,G$4:G$12,基础状态预期!N84)),AS71)</f>
        <v>1</v>
      </c>
      <c r="AT72" s="14">
        <f>MAX(求节点($C$74:$C$79,H$74:H$79,求节点($C$4:$C$12,H$4:H$12,基础状态预期!O84)),AT71)</f>
        <v>2</v>
      </c>
      <c r="AU72" s="14">
        <f>MAX(求节点($C$81:$C$86,D$81:D$86,求节点($C$4:$C$12,D$4:D$12,基础状态预期!K84)),AU71)</f>
        <v>0</v>
      </c>
      <c r="AV72" s="14">
        <f>MAX(求节点($C$81:$C$86,E$81:E$86,求节点($C$4:$C$12,E$4:E$12,基础状态预期!L84)),AV71)</f>
        <v>0</v>
      </c>
      <c r="AW72" s="14">
        <f>MAX(求节点($C$81:$C$86,F$81:F$86,求节点($C$4:$C$12,F$4:F$12,基础状态预期!M84)),AW71)</f>
        <v>0</v>
      </c>
      <c r="AX72" s="14">
        <f>MAX(求节点($C$81:$C$86,G$81:G$86,求节点($C$4:$C$12,G$4:G$12,基础状态预期!N84)),AX71)</f>
        <v>0</v>
      </c>
      <c r="AY72" s="14">
        <f>MAX(求节点($C$81:$C$86,H$81:H$86,求节点($C$4:$C$12,H$4:H$12,基础状态预期!O84)),AY71)</f>
        <v>4</v>
      </c>
      <c r="AZ72" s="14">
        <f>MAX(求节点($C$88:$C$93,D$88:D$93,求节点($C$4:$C$12,D$4:D$12,基础状态预期!K84)),AZ71)</f>
        <v>0</v>
      </c>
      <c r="BA72" s="14">
        <f>MAX(求节点($C$88:$C$93,E$88:E$93,求节点($C$4:$C$12,E$4:E$12,基础状态预期!L84)),BA71)</f>
        <v>0</v>
      </c>
      <c r="BB72" s="14">
        <f>MAX(求节点($C$88:$C$93,F$88:F$93,求节点($C$4:$C$12,F$4:F$12,基础状态预期!M84)),BB71)</f>
        <v>0</v>
      </c>
      <c r="BC72" s="14">
        <f>MAX(求节点($C$88:$C$93,G$88:G$93,求节点($C$4:$C$12,G$4:G$12,基础状态预期!N84)),BC71)</f>
        <v>0</v>
      </c>
      <c r="BD72" s="14">
        <f>MAX(求节点($C$88:$C$93,H$88:H$93,求节点($C$4:$C$12,H$4:H$12,基础状态预期!O84)),BD71)</f>
        <v>48</v>
      </c>
      <c r="BE72" s="14">
        <f t="shared" si="14"/>
        <v>395000</v>
      </c>
    </row>
    <row r="73" spans="2:63" x14ac:dyDescent="0.15">
      <c r="B73" s="184" t="s">
        <v>680</v>
      </c>
      <c r="C73" s="29" t="s">
        <v>665</v>
      </c>
      <c r="D73" s="29" t="s">
        <v>3</v>
      </c>
      <c r="E73" s="29" t="s">
        <v>1</v>
      </c>
      <c r="F73" s="29" t="s">
        <v>2</v>
      </c>
      <c r="G73" s="29" t="s">
        <v>0</v>
      </c>
      <c r="H73" s="29" t="s">
        <v>545</v>
      </c>
      <c r="I73" s="29" t="s">
        <v>30</v>
      </c>
      <c r="M73" s="16">
        <v>27</v>
      </c>
      <c r="N73" s="29">
        <f>基础状态预期!D85</f>
        <v>107.42257994053838</v>
      </c>
      <c r="O73" s="29">
        <f>IF(基础状态预期!U85="",0,MIN(求节点($C$16:$C$24,D$16:D$24,基础状态预期!K85),求节点($C$28:$C$48,D$28:D$48,基础状态预期!U85)))</f>
        <v>0</v>
      </c>
      <c r="P73" s="29">
        <f>IF(基础状态预期!V85="",0,MIN(求节点($C$16:$C$24,E$16:E$24,基础状态预期!L85),求节点($C$28:$C$48,E$28:E$48,基础状态预期!V85)))</f>
        <v>0</v>
      </c>
      <c r="Q73" s="29">
        <f>IF(基础状态预期!W85="",0,MIN(求节点($C$16:$C$24,F$16:F$24,基础状态预期!M85),求节点($C$28:$C$48,F$28:F$48,基础状态预期!W85)))</f>
        <v>0</v>
      </c>
      <c r="R73" s="29">
        <f>IF(基础状态预期!X85="",0,MIN(求节点($C$16:$C$24,G$16:G$24,基础状态预期!N85),求节点($C$28:$C$48,G$28:G$48,基础状态预期!X85)))</f>
        <v>0</v>
      </c>
      <c r="S73" s="29">
        <f>IF(基础状态预期!Y85="",0,MIN(求节点($C$16:$C$24,H$16:H$24,基础状态预期!O85),求节点($C$28:$C$48,H$28:H$48,基础状态预期!Y85)))</f>
        <v>0.45</v>
      </c>
      <c r="T73" s="29">
        <f>MAX(SUMPRODUCT(O73:S73,基础状态预期!$F85:$J85)/SUM(基础状态预期!$F85:$J85),T72)</f>
        <v>0.45</v>
      </c>
      <c r="V73" s="17">
        <v>69</v>
      </c>
      <c r="W73" s="17">
        <f t="shared" si="21"/>
        <v>8.3876786013886095E-2</v>
      </c>
      <c r="X73" s="17">
        <f t="shared" si="22"/>
        <v>8.5060185609293751E-2</v>
      </c>
      <c r="Y73" s="17">
        <f t="shared" si="23"/>
        <v>0.10688541780170567</v>
      </c>
      <c r="Z73" s="17">
        <f t="shared" si="24"/>
        <v>0.14700261264776493</v>
      </c>
      <c r="AA73" s="17">
        <f t="shared" si="25"/>
        <v>0.14759491244330619</v>
      </c>
      <c r="AO73" s="29">
        <f t="shared" si="17"/>
        <v>107.42257994053838</v>
      </c>
      <c r="AP73" s="14">
        <f>MAX(求节点($C$74:$C$79,D$74:D$79,求节点($C$4:$C$12,D$4:D$12,基础状态预期!K85)),AP72)</f>
        <v>0</v>
      </c>
      <c r="AQ73" s="14">
        <f>MAX(求节点($C$74:$C$79,E$74:E$79,求节点($C$4:$C$12,E$4:E$12,基础状态预期!L85)),AQ72)</f>
        <v>0</v>
      </c>
      <c r="AR73" s="14">
        <f>MAX(求节点($C$74:$C$79,F$74:F$79,求节点($C$4:$C$12,F$4:F$12,基础状态预期!M85)),AR72)</f>
        <v>0</v>
      </c>
      <c r="AS73" s="14">
        <f>MAX(求节点($C$74:$C$79,G$74:G$79,求节点($C$4:$C$12,G$4:G$12,基础状态预期!N85)),AS72)</f>
        <v>1</v>
      </c>
      <c r="AT73" s="14">
        <f>MAX(求节点($C$74:$C$79,H$74:H$79,求节点($C$4:$C$12,H$4:H$12,基础状态预期!O85)),AT72)</f>
        <v>2</v>
      </c>
      <c r="AU73" s="14">
        <f>MAX(求节点($C$81:$C$86,D$81:D$86,求节点($C$4:$C$12,D$4:D$12,基础状态预期!K85)),AU72)</f>
        <v>0</v>
      </c>
      <c r="AV73" s="14">
        <f>MAX(求节点($C$81:$C$86,E$81:E$86,求节点($C$4:$C$12,E$4:E$12,基础状态预期!L85)),AV72)</f>
        <v>0</v>
      </c>
      <c r="AW73" s="14">
        <f>MAX(求节点($C$81:$C$86,F$81:F$86,求节点($C$4:$C$12,F$4:F$12,基础状态预期!M85)),AW72)</f>
        <v>0</v>
      </c>
      <c r="AX73" s="14">
        <f>MAX(求节点($C$81:$C$86,G$81:G$86,求节点($C$4:$C$12,G$4:G$12,基础状态预期!N85)),AX72)</f>
        <v>0</v>
      </c>
      <c r="AY73" s="14">
        <f>MAX(求节点($C$81:$C$86,H$81:H$86,求节点($C$4:$C$12,H$4:H$12,基础状态预期!O85)),AY72)</f>
        <v>4</v>
      </c>
      <c r="AZ73" s="14">
        <f>MAX(求节点($C$88:$C$93,D$88:D$93,求节点($C$4:$C$12,D$4:D$12,基础状态预期!K85)),AZ72)</f>
        <v>0</v>
      </c>
      <c r="BA73" s="14">
        <f>MAX(求节点($C$88:$C$93,E$88:E$93,求节点($C$4:$C$12,E$4:E$12,基础状态预期!L85)),BA72)</f>
        <v>0</v>
      </c>
      <c r="BB73" s="14">
        <f>MAX(求节点($C$88:$C$93,F$88:F$93,求节点($C$4:$C$12,F$4:F$12,基础状态预期!M85)),BB72)</f>
        <v>0</v>
      </c>
      <c r="BC73" s="14">
        <f>MAX(求节点($C$88:$C$93,G$88:G$93,求节点($C$4:$C$12,G$4:G$12,基础状态预期!N85)),BC72)</f>
        <v>0</v>
      </c>
      <c r="BD73" s="14">
        <f>MAX(求节点($C$88:$C$93,H$88:H$93,求节点($C$4:$C$12,H$4:H$12,基础状态预期!O85)),BD72)</f>
        <v>48</v>
      </c>
      <c r="BE73" s="14">
        <f t="shared" si="14"/>
        <v>395000</v>
      </c>
    </row>
    <row r="74" spans="2:63" x14ac:dyDescent="0.15">
      <c r="B74" s="184"/>
      <c r="C74" s="29">
        <v>0</v>
      </c>
      <c r="D74" s="29">
        <f>SUM(D$52:D52)</f>
        <v>0</v>
      </c>
      <c r="E74" s="29">
        <f>SUM(E$52:E52)</f>
        <v>0</v>
      </c>
      <c r="F74" s="29">
        <f>SUM(F$52:F52)</f>
        <v>0</v>
      </c>
      <c r="G74" s="29">
        <f>SUM(G$52:G52)</f>
        <v>0</v>
      </c>
      <c r="H74" s="29">
        <f>SUM(H$52:H52)</f>
        <v>0</v>
      </c>
      <c r="I74" s="29">
        <f>SUM(I$52:I52)</f>
        <v>0</v>
      </c>
      <c r="M74" s="16">
        <v>28</v>
      </c>
      <c r="N74" s="29">
        <f>基础状态预期!D86</f>
        <v>111.00691759243479</v>
      </c>
      <c r="O74" s="29">
        <f>IF(基础状态预期!U86="",0,MIN(求节点($C$16:$C$24,D$16:D$24,基础状态预期!K86),求节点($C$28:$C$48,D$28:D$48,基础状态预期!U86)))</f>
        <v>0</v>
      </c>
      <c r="P74" s="29">
        <f>IF(基础状态预期!V86="",0,MIN(求节点($C$16:$C$24,E$16:E$24,基础状态预期!L86),求节点($C$28:$C$48,E$28:E$48,基础状态预期!V86)))</f>
        <v>0</v>
      </c>
      <c r="Q74" s="29">
        <f>IF(基础状态预期!W86="",0,MIN(求节点($C$16:$C$24,F$16:F$24,基础状态预期!M86),求节点($C$28:$C$48,F$28:F$48,基础状态预期!W86)))</f>
        <v>0</v>
      </c>
      <c r="R74" s="29">
        <f>IF(基础状态预期!X86="",0,MIN(求节点($C$16:$C$24,G$16:G$24,基础状态预期!N86),求节点($C$28:$C$48,G$28:G$48,基础状态预期!X86)))</f>
        <v>0</v>
      </c>
      <c r="S74" s="29">
        <f>IF(基础状态预期!Y86="",0,MIN(求节点($C$16:$C$24,H$16:H$24,基础状态预期!O86),求节点($C$28:$C$48,H$28:H$48,基础状态预期!Y86)))</f>
        <v>0.45</v>
      </c>
      <c r="T74" s="29">
        <f>MAX(SUMPRODUCT(O74:S74,基础状态预期!$F86:$J86)/SUM(基础状态预期!$F86:$J86),T73)</f>
        <v>0.45</v>
      </c>
      <c r="V74" s="17">
        <v>70</v>
      </c>
      <c r="W74" s="17">
        <f t="shared" si="21"/>
        <v>8.5246994135640769E-2</v>
      </c>
      <c r="X74" s="17">
        <f t="shared" si="22"/>
        <v>8.5846222733438601E-2</v>
      </c>
      <c r="Y74" s="17">
        <f t="shared" si="23"/>
        <v>0.11475923698292854</v>
      </c>
      <c r="Z74" s="17">
        <f t="shared" si="24"/>
        <v>0.15237990055636463</v>
      </c>
      <c r="AA74" s="17">
        <f t="shared" si="25"/>
        <v>0.15298267327189169</v>
      </c>
      <c r="AO74" s="29">
        <f t="shared" si="17"/>
        <v>111.00691759243479</v>
      </c>
      <c r="AP74" s="14">
        <f>MAX(求节点($C$74:$C$79,D$74:D$79,求节点($C$4:$C$12,D$4:D$12,基础状态预期!K86)),AP73)</f>
        <v>0</v>
      </c>
      <c r="AQ74" s="14">
        <f>MAX(求节点($C$74:$C$79,E$74:E$79,求节点($C$4:$C$12,E$4:E$12,基础状态预期!L86)),AQ73)</f>
        <v>0</v>
      </c>
      <c r="AR74" s="14">
        <f>MAX(求节点($C$74:$C$79,F$74:F$79,求节点($C$4:$C$12,F$4:F$12,基础状态预期!M86)),AR73)</f>
        <v>0</v>
      </c>
      <c r="AS74" s="14">
        <f>MAX(求节点($C$74:$C$79,G$74:G$79,求节点($C$4:$C$12,G$4:G$12,基础状态预期!N86)),AS73)</f>
        <v>1</v>
      </c>
      <c r="AT74" s="14">
        <f>MAX(求节点($C$74:$C$79,H$74:H$79,求节点($C$4:$C$12,H$4:H$12,基础状态预期!O86)),AT73)</f>
        <v>2</v>
      </c>
      <c r="AU74" s="14">
        <f>MAX(求节点($C$81:$C$86,D$81:D$86,求节点($C$4:$C$12,D$4:D$12,基础状态预期!K86)),AU73)</f>
        <v>0</v>
      </c>
      <c r="AV74" s="14">
        <f>MAX(求节点($C$81:$C$86,E$81:E$86,求节点($C$4:$C$12,E$4:E$12,基础状态预期!L86)),AV73)</f>
        <v>0</v>
      </c>
      <c r="AW74" s="14">
        <f>MAX(求节点($C$81:$C$86,F$81:F$86,求节点($C$4:$C$12,F$4:F$12,基础状态预期!M86)),AW73)</f>
        <v>0</v>
      </c>
      <c r="AX74" s="14">
        <f>MAX(求节点($C$81:$C$86,G$81:G$86,求节点($C$4:$C$12,G$4:G$12,基础状态预期!N86)),AX73)</f>
        <v>0</v>
      </c>
      <c r="AY74" s="14">
        <f>MAX(求节点($C$81:$C$86,H$81:H$86,求节点($C$4:$C$12,H$4:H$12,基础状态预期!O86)),AY73)</f>
        <v>4</v>
      </c>
      <c r="AZ74" s="14">
        <f>MAX(求节点($C$88:$C$93,D$88:D$93,求节点($C$4:$C$12,D$4:D$12,基础状态预期!K86)),AZ73)</f>
        <v>0</v>
      </c>
      <c r="BA74" s="14">
        <f>MAX(求节点($C$88:$C$93,E$88:E$93,求节点($C$4:$C$12,E$4:E$12,基础状态预期!L86)),BA73)</f>
        <v>0</v>
      </c>
      <c r="BB74" s="14">
        <f>MAX(求节点($C$88:$C$93,F$88:F$93,求节点($C$4:$C$12,F$4:F$12,基础状态预期!M86)),BB73)</f>
        <v>0</v>
      </c>
      <c r="BC74" s="14">
        <f>MAX(求节点($C$88:$C$93,G$88:G$93,求节点($C$4:$C$12,G$4:G$12,基础状态预期!N86)),BC73)</f>
        <v>0</v>
      </c>
      <c r="BD74" s="14">
        <f>MAX(求节点($C$88:$C$93,H$88:H$93,求节点($C$4:$C$12,H$4:H$12,基础状态预期!O86)),BD73)</f>
        <v>48</v>
      </c>
      <c r="BE74" s="14">
        <f t="shared" si="14"/>
        <v>395000</v>
      </c>
    </row>
    <row r="75" spans="2:63" x14ac:dyDescent="0.15">
      <c r="B75" s="184"/>
      <c r="C75" s="29">
        <v>1</v>
      </c>
      <c r="D75" s="29">
        <f>SUM(D$52:D53)</f>
        <v>0</v>
      </c>
      <c r="E75" s="29">
        <f>SUM(E$52:E53)</f>
        <v>0</v>
      </c>
      <c r="F75" s="29">
        <f>SUM(F$52:F53)</f>
        <v>0</v>
      </c>
      <c r="G75" s="29">
        <f>SUM(G$52:G53)</f>
        <v>1</v>
      </c>
      <c r="H75" s="29">
        <f>SUM(H$52:H53)</f>
        <v>2</v>
      </c>
      <c r="I75" s="29">
        <f>SUM(I$52:I53)</f>
        <v>4</v>
      </c>
      <c r="M75" s="16">
        <v>29</v>
      </c>
      <c r="N75" s="29">
        <f>基础状态预期!D87</f>
        <v>114.47614359759058</v>
      </c>
      <c r="O75" s="29">
        <f>IF(基础状态预期!U87="",0,MIN(求节点($C$16:$C$24,D$16:D$24,基础状态预期!K87),求节点($C$28:$C$48,D$28:D$48,基础状态预期!U87)))</f>
        <v>0</v>
      </c>
      <c r="P75" s="29">
        <f>IF(基础状态预期!V87="",0,MIN(求节点($C$16:$C$24,E$16:E$24,基础状态预期!L87),求节点($C$28:$C$48,E$28:E$48,基础状态预期!V87)))</f>
        <v>0</v>
      </c>
      <c r="Q75" s="29">
        <f>IF(基础状态预期!W87="",0,MIN(求节点($C$16:$C$24,F$16:F$24,基础状态预期!M87),求节点($C$28:$C$48,F$28:F$48,基础状态预期!W87)))</f>
        <v>0</v>
      </c>
      <c r="R75" s="29">
        <f>IF(基础状态预期!X87="",0,MIN(求节点($C$16:$C$24,G$16:G$24,基础状态预期!N87),求节点($C$28:$C$48,G$28:G$48,基础状态预期!X87)))</f>
        <v>0</v>
      </c>
      <c r="S75" s="29">
        <f>IF(基础状态预期!Y87="",0,MIN(求节点($C$16:$C$24,H$16:H$24,基础状态预期!O87),求节点($C$28:$C$48,H$28:H$48,基础状态预期!Y87)))</f>
        <v>0.45</v>
      </c>
      <c r="T75" s="29">
        <f>MAX(SUMPRODUCT(O75:S75,基础状态预期!$F87:$J87)/SUM(基础状态预期!$F87:$J87),T74)</f>
        <v>0.45</v>
      </c>
      <c r="V75" s="17">
        <v>71</v>
      </c>
      <c r="W75" s="17">
        <f t="shared" si="21"/>
        <v>8.6195280109195346E-2</v>
      </c>
      <c r="X75" s="17">
        <f t="shared" si="22"/>
        <v>8.6632259857583438E-2</v>
      </c>
      <c r="Y75" s="17">
        <f t="shared" si="23"/>
        <v>0.12266830319664142</v>
      </c>
      <c r="Z75" s="17">
        <f t="shared" si="24"/>
        <v>0.15775718846496437</v>
      </c>
      <c r="AA75" s="17">
        <f t="shared" si="25"/>
        <v>0.15837043410047716</v>
      </c>
      <c r="AO75" s="29">
        <f t="shared" si="17"/>
        <v>114.47614359759058</v>
      </c>
      <c r="AP75" s="14">
        <f>MAX(求节点($C$74:$C$79,D$74:D$79,求节点($C$4:$C$12,D$4:D$12,基础状态预期!K87)),AP74)</f>
        <v>0</v>
      </c>
      <c r="AQ75" s="14">
        <f>MAX(求节点($C$74:$C$79,E$74:E$79,求节点($C$4:$C$12,E$4:E$12,基础状态预期!L87)),AQ74)</f>
        <v>0</v>
      </c>
      <c r="AR75" s="14">
        <f>MAX(求节点($C$74:$C$79,F$74:F$79,求节点($C$4:$C$12,F$4:F$12,基础状态预期!M87)),AR74)</f>
        <v>0</v>
      </c>
      <c r="AS75" s="14">
        <f>MAX(求节点($C$74:$C$79,G$74:G$79,求节点($C$4:$C$12,G$4:G$12,基础状态预期!N87)),AS74)</f>
        <v>1</v>
      </c>
      <c r="AT75" s="14">
        <f>MAX(求节点($C$74:$C$79,H$74:H$79,求节点($C$4:$C$12,H$4:H$12,基础状态预期!O87)),AT74)</f>
        <v>2</v>
      </c>
      <c r="AU75" s="14">
        <f>MAX(求节点($C$81:$C$86,D$81:D$86,求节点($C$4:$C$12,D$4:D$12,基础状态预期!K87)),AU74)</f>
        <v>0</v>
      </c>
      <c r="AV75" s="14">
        <f>MAX(求节点($C$81:$C$86,E$81:E$86,求节点($C$4:$C$12,E$4:E$12,基础状态预期!L87)),AV74)</f>
        <v>0</v>
      </c>
      <c r="AW75" s="14">
        <f>MAX(求节点($C$81:$C$86,F$81:F$86,求节点($C$4:$C$12,F$4:F$12,基础状态预期!M87)),AW74)</f>
        <v>0</v>
      </c>
      <c r="AX75" s="14">
        <f>MAX(求节点($C$81:$C$86,G$81:G$86,求节点($C$4:$C$12,G$4:G$12,基础状态预期!N87)),AX74)</f>
        <v>0</v>
      </c>
      <c r="AY75" s="14">
        <f>MAX(求节点($C$81:$C$86,H$81:H$86,求节点($C$4:$C$12,H$4:H$12,基础状态预期!O87)),AY74)</f>
        <v>4</v>
      </c>
      <c r="AZ75" s="14">
        <f>MAX(求节点($C$88:$C$93,D$88:D$93,求节点($C$4:$C$12,D$4:D$12,基础状态预期!K87)),AZ74)</f>
        <v>0</v>
      </c>
      <c r="BA75" s="14">
        <f>MAX(求节点($C$88:$C$93,E$88:E$93,求节点($C$4:$C$12,E$4:E$12,基础状态预期!L87)),BA74)</f>
        <v>0</v>
      </c>
      <c r="BB75" s="14">
        <f>MAX(求节点($C$88:$C$93,F$88:F$93,求节点($C$4:$C$12,F$4:F$12,基础状态预期!M87)),BB74)</f>
        <v>0</v>
      </c>
      <c r="BC75" s="14">
        <f>MAX(求节点($C$88:$C$93,G$88:G$93,求节点($C$4:$C$12,G$4:G$12,基础状态预期!N87)),BC74)</f>
        <v>0</v>
      </c>
      <c r="BD75" s="14">
        <f>MAX(求节点($C$88:$C$93,H$88:H$93,求节点($C$4:$C$12,H$4:H$12,基础状态预期!O87)),BD74)</f>
        <v>48</v>
      </c>
      <c r="BE75" s="14">
        <f t="shared" si="14"/>
        <v>395000</v>
      </c>
    </row>
    <row r="76" spans="2:63" x14ac:dyDescent="0.15">
      <c r="B76" s="184"/>
      <c r="C76" s="29">
        <v>2</v>
      </c>
      <c r="D76" s="29">
        <f>SUM(D$52:D54)</f>
        <v>0</v>
      </c>
      <c r="E76" s="29">
        <f>SUM(E$52:E54)</f>
        <v>0</v>
      </c>
      <c r="F76" s="29">
        <f>SUM(F$52:F54)</f>
        <v>0</v>
      </c>
      <c r="G76" s="29">
        <f>SUM(G$52:G54)</f>
        <v>1</v>
      </c>
      <c r="H76" s="29">
        <f>SUM(H$52:H54)</f>
        <v>2</v>
      </c>
      <c r="I76" s="29">
        <f>SUM(I$52:I54)</f>
        <v>4</v>
      </c>
      <c r="M76" s="16">
        <v>30</v>
      </c>
      <c r="N76" s="29">
        <f>基础状态预期!D88</f>
        <v>118.05724034557241</v>
      </c>
      <c r="O76" s="29">
        <f>IF(基础状态预期!U88="",0,MIN(求节点($C$16:$C$24,D$16:D$24,基础状态预期!K88),求节点($C$28:$C$48,D$28:D$48,基础状态预期!U88)))</f>
        <v>0</v>
      </c>
      <c r="P76" s="29">
        <f>IF(基础状态预期!V88="",0,MIN(求节点($C$16:$C$24,E$16:E$24,基础状态预期!L88),求节点($C$28:$C$48,E$28:E$48,基础状态预期!V88)))</f>
        <v>0</v>
      </c>
      <c r="Q76" s="29">
        <f>IF(基础状态预期!W88="",0,MIN(求节点($C$16:$C$24,F$16:F$24,基础状态预期!M88),求节点($C$28:$C$48,F$28:F$48,基础状态预期!W88)))</f>
        <v>0</v>
      </c>
      <c r="R76" s="29">
        <f>IF(基础状态预期!X88="",0,MIN(求节点($C$16:$C$24,G$16:G$24,基础状态预期!N88),求节点($C$28:$C$48,G$28:G$48,基础状态预期!X88)))</f>
        <v>0</v>
      </c>
      <c r="S76" s="29">
        <f>IF(基础状态预期!Y88="",0,MIN(求节点($C$16:$C$24,H$16:H$24,基础状态预期!O88),求节点($C$28:$C$48,H$28:H$48,基础状态预期!Y88)))</f>
        <v>0.45</v>
      </c>
      <c r="T76" s="29">
        <f>MAX(SUMPRODUCT(O76:S76,基础状态预期!$F88:$J88)/SUM(基础状态预期!$F88:$J88),T75)</f>
        <v>0.45</v>
      </c>
      <c r="V76" s="17">
        <v>72</v>
      </c>
      <c r="W76" s="17">
        <f t="shared" si="21"/>
        <v>8.7143566082749938E-2</v>
      </c>
      <c r="X76" s="17">
        <f t="shared" si="22"/>
        <v>8.7418296981728288E-2</v>
      </c>
      <c r="Y76" s="17">
        <f t="shared" si="23"/>
        <v>0.1305773694103543</v>
      </c>
      <c r="Z76" s="17">
        <f t="shared" si="24"/>
        <v>0.16334570146819374</v>
      </c>
      <c r="AA76" s="17">
        <f t="shared" si="25"/>
        <v>0.16412333957299016</v>
      </c>
      <c r="AO76" s="29">
        <f t="shared" si="17"/>
        <v>118.05724034557241</v>
      </c>
      <c r="AP76" s="14">
        <f>MAX(求节点($C$74:$C$79,D$74:D$79,求节点($C$4:$C$12,D$4:D$12,基础状态预期!K88)),AP75)</f>
        <v>0</v>
      </c>
      <c r="AQ76" s="14">
        <f>MAX(求节点($C$74:$C$79,E$74:E$79,求节点($C$4:$C$12,E$4:E$12,基础状态预期!L88)),AQ75)</f>
        <v>0</v>
      </c>
      <c r="AR76" s="14">
        <f>MAX(求节点($C$74:$C$79,F$74:F$79,求节点($C$4:$C$12,F$4:F$12,基础状态预期!M88)),AR75)</f>
        <v>0</v>
      </c>
      <c r="AS76" s="14">
        <f>MAX(求节点($C$74:$C$79,G$74:G$79,求节点($C$4:$C$12,G$4:G$12,基础状态预期!N88)),AS75)</f>
        <v>1</v>
      </c>
      <c r="AT76" s="14">
        <f>MAX(求节点($C$74:$C$79,H$74:H$79,求节点($C$4:$C$12,H$4:H$12,基础状态预期!O88)),AT75)</f>
        <v>2</v>
      </c>
      <c r="AU76" s="14">
        <f>MAX(求节点($C$81:$C$86,D$81:D$86,求节点($C$4:$C$12,D$4:D$12,基础状态预期!K88)),AU75)</f>
        <v>0</v>
      </c>
      <c r="AV76" s="14">
        <f>MAX(求节点($C$81:$C$86,E$81:E$86,求节点($C$4:$C$12,E$4:E$12,基础状态预期!L88)),AV75)</f>
        <v>0</v>
      </c>
      <c r="AW76" s="14">
        <f>MAX(求节点($C$81:$C$86,F$81:F$86,求节点($C$4:$C$12,F$4:F$12,基础状态预期!M88)),AW75)</f>
        <v>0</v>
      </c>
      <c r="AX76" s="14">
        <f>MAX(求节点($C$81:$C$86,G$81:G$86,求节点($C$4:$C$12,G$4:G$12,基础状态预期!N88)),AX75)</f>
        <v>0</v>
      </c>
      <c r="AY76" s="14">
        <f>MAX(求节点($C$81:$C$86,H$81:H$86,求节点($C$4:$C$12,H$4:H$12,基础状态预期!O88)),AY75)</f>
        <v>4</v>
      </c>
      <c r="AZ76" s="14">
        <f>MAX(求节点($C$88:$C$93,D$88:D$93,求节点($C$4:$C$12,D$4:D$12,基础状态预期!K88)),AZ75)</f>
        <v>0</v>
      </c>
      <c r="BA76" s="14">
        <f>MAX(求节点($C$88:$C$93,E$88:E$93,求节点($C$4:$C$12,E$4:E$12,基础状态预期!L88)),BA75)</f>
        <v>0</v>
      </c>
      <c r="BB76" s="14">
        <f>MAX(求节点($C$88:$C$93,F$88:F$93,求节点($C$4:$C$12,F$4:F$12,基础状态预期!M88)),BB75)</f>
        <v>0</v>
      </c>
      <c r="BC76" s="14">
        <f>MAX(求节点($C$88:$C$93,G$88:G$93,求节点($C$4:$C$12,G$4:G$12,基础状态预期!N88)),BC75)</f>
        <v>0</v>
      </c>
      <c r="BD76" s="14">
        <f>MAX(求节点($C$88:$C$93,H$88:H$93,求节点($C$4:$C$12,H$4:H$12,基础状态预期!O88)),BD75)</f>
        <v>48</v>
      </c>
      <c r="BE76" s="14">
        <f t="shared" si="14"/>
        <v>395000</v>
      </c>
    </row>
    <row r="77" spans="2:63" x14ac:dyDescent="0.15">
      <c r="B77" s="184"/>
      <c r="C77" s="29">
        <v>3</v>
      </c>
      <c r="D77" s="29">
        <f>SUM(D$52:D55)</f>
        <v>0</v>
      </c>
      <c r="E77" s="29">
        <f>SUM(E$52:E55)</f>
        <v>0</v>
      </c>
      <c r="F77" s="29">
        <f>SUM(F$52:F55)</f>
        <v>0</v>
      </c>
      <c r="G77" s="29">
        <f>SUM(G$52:G55)</f>
        <v>1</v>
      </c>
      <c r="H77" s="29">
        <f>SUM(H$52:H55)</f>
        <v>2</v>
      </c>
      <c r="I77" s="29">
        <f>SUM(I$52:I55)</f>
        <v>4</v>
      </c>
      <c r="M77" s="16">
        <v>31</v>
      </c>
      <c r="N77" s="29">
        <f>基础状态预期!D89</f>
        <v>121.49411884885473</v>
      </c>
      <c r="O77" s="29">
        <f>IF(基础状态预期!U89="",0,MIN(求节点($C$16:$C$24,D$16:D$24,基础状态预期!K89),求节点($C$28:$C$48,D$28:D$48,基础状态预期!U89)))</f>
        <v>0</v>
      </c>
      <c r="P77" s="29">
        <f>IF(基础状态预期!V89="",0,MIN(求节点($C$16:$C$24,E$16:E$24,基础状态预期!L89),求节点($C$28:$C$48,E$28:E$48,基础状态预期!V89)))</f>
        <v>0</v>
      </c>
      <c r="Q77" s="29">
        <f>IF(基础状态预期!W89="",0,MIN(求节点($C$16:$C$24,F$16:F$24,基础状态预期!M89),求节点($C$28:$C$48,F$28:F$48,基础状态预期!W89)))</f>
        <v>0</v>
      </c>
      <c r="R77" s="29">
        <f>IF(基础状态预期!X89="",0,MIN(求节点($C$16:$C$24,G$16:G$24,基础状态预期!N89),求节点($C$28:$C$48,G$28:G$48,基础状态预期!X89)))</f>
        <v>0</v>
      </c>
      <c r="S77" s="29">
        <f>IF(基础状态预期!Y89="",0,MIN(求节点($C$16:$C$24,H$16:H$24,基础状态预期!O89),求节点($C$28:$C$48,H$28:H$48,基础状态预期!Y89)))</f>
        <v>0.45</v>
      </c>
      <c r="T77" s="29">
        <f>MAX(SUMPRODUCT(O77:S77,基础状态预期!$F89:$J89)/SUM(基础状态预期!$F89:$J89),T76)</f>
        <v>0.45</v>
      </c>
      <c r="V77" s="17">
        <v>73</v>
      </c>
      <c r="W77" s="17">
        <f t="shared" si="21"/>
        <v>8.7797483482863439E-2</v>
      </c>
      <c r="X77" s="17">
        <f t="shared" si="22"/>
        <v>9.3685317820303579E-2</v>
      </c>
      <c r="Y77" s="17">
        <f t="shared" si="23"/>
        <v>0.14384810334833678</v>
      </c>
      <c r="Z77" s="17">
        <f t="shared" si="24"/>
        <v>0.17051315555897056</v>
      </c>
      <c r="AA77" s="17">
        <f t="shared" si="25"/>
        <v>0.17107469914440804</v>
      </c>
      <c r="AO77" s="29">
        <f t="shared" si="17"/>
        <v>121.49411884885473</v>
      </c>
      <c r="AP77" s="14">
        <f>MAX(求节点($C$74:$C$79,D$74:D$79,求节点($C$4:$C$12,D$4:D$12,基础状态预期!K89)),AP76)</f>
        <v>0</v>
      </c>
      <c r="AQ77" s="14">
        <f>MAX(求节点($C$74:$C$79,E$74:E$79,求节点($C$4:$C$12,E$4:E$12,基础状态预期!L89)),AQ76)</f>
        <v>0</v>
      </c>
      <c r="AR77" s="14">
        <f>MAX(求节点($C$74:$C$79,F$74:F$79,求节点($C$4:$C$12,F$4:F$12,基础状态预期!M89)),AR76)</f>
        <v>0</v>
      </c>
      <c r="AS77" s="14">
        <f>MAX(求节点($C$74:$C$79,G$74:G$79,求节点($C$4:$C$12,G$4:G$12,基础状态预期!N89)),AS76)</f>
        <v>1</v>
      </c>
      <c r="AT77" s="14">
        <f>MAX(求节点($C$74:$C$79,H$74:H$79,求节点($C$4:$C$12,H$4:H$12,基础状态预期!O89)),AT76)</f>
        <v>2</v>
      </c>
      <c r="AU77" s="14">
        <f>MAX(求节点($C$81:$C$86,D$81:D$86,求节点($C$4:$C$12,D$4:D$12,基础状态预期!K89)),AU76)</f>
        <v>0</v>
      </c>
      <c r="AV77" s="14">
        <f>MAX(求节点($C$81:$C$86,E$81:E$86,求节点($C$4:$C$12,E$4:E$12,基础状态预期!L89)),AV76)</f>
        <v>0</v>
      </c>
      <c r="AW77" s="14">
        <f>MAX(求节点($C$81:$C$86,F$81:F$86,求节点($C$4:$C$12,F$4:F$12,基础状态预期!M89)),AW76)</f>
        <v>0</v>
      </c>
      <c r="AX77" s="14">
        <f>MAX(求节点($C$81:$C$86,G$81:G$86,求节点($C$4:$C$12,G$4:G$12,基础状态预期!N89)),AX76)</f>
        <v>0</v>
      </c>
      <c r="AY77" s="14">
        <f>MAX(求节点($C$81:$C$86,H$81:H$86,求节点($C$4:$C$12,H$4:H$12,基础状态预期!O89)),AY76)</f>
        <v>4</v>
      </c>
      <c r="AZ77" s="14">
        <f>MAX(求节点($C$88:$C$93,D$88:D$93,求节点($C$4:$C$12,D$4:D$12,基础状态预期!K89)),AZ76)</f>
        <v>0</v>
      </c>
      <c r="BA77" s="14">
        <f>MAX(求节点($C$88:$C$93,E$88:E$93,求节点($C$4:$C$12,E$4:E$12,基础状态预期!L89)),BA76)</f>
        <v>0</v>
      </c>
      <c r="BB77" s="14">
        <f>MAX(求节点($C$88:$C$93,F$88:F$93,求节点($C$4:$C$12,F$4:F$12,基础状态预期!M89)),BB76)</f>
        <v>0</v>
      </c>
      <c r="BC77" s="14">
        <f>MAX(求节点($C$88:$C$93,G$88:G$93,求节点($C$4:$C$12,G$4:G$12,基础状态预期!N89)),BC76)</f>
        <v>0</v>
      </c>
      <c r="BD77" s="14">
        <f>MAX(求节点($C$88:$C$93,H$88:H$93,求节点($C$4:$C$12,H$4:H$12,基础状态预期!O89)),BD76)</f>
        <v>48</v>
      </c>
      <c r="BE77" s="14">
        <f t="shared" si="14"/>
        <v>395000</v>
      </c>
    </row>
    <row r="78" spans="2:63" x14ac:dyDescent="0.15">
      <c r="B78" s="184"/>
      <c r="C78" s="29">
        <v>4</v>
      </c>
      <c r="D78" s="29">
        <f>SUM(D$52:D56)</f>
        <v>0</v>
      </c>
      <c r="E78" s="29">
        <f>SUM(E$52:E56)</f>
        <v>0</v>
      </c>
      <c r="F78" s="29">
        <f>SUM(F$52:F56)</f>
        <v>0</v>
      </c>
      <c r="G78" s="29">
        <f>SUM(G$52:G56)</f>
        <v>1</v>
      </c>
      <c r="H78" s="29">
        <f>SUM(H$52:H56)</f>
        <v>2</v>
      </c>
      <c r="I78" s="29">
        <f>SUM(I$52:I56)</f>
        <v>4</v>
      </c>
      <c r="M78" s="16">
        <v>32</v>
      </c>
      <c r="N78" s="29">
        <f>基础状态预期!D90</f>
        <v>125.03100311549058</v>
      </c>
      <c r="O78" s="29">
        <f>IF(基础状态预期!U90="",0,MIN(求节点($C$16:$C$24,D$16:D$24,基础状态预期!K90),求节点($C$28:$C$48,D$28:D$48,基础状态预期!U90)))</f>
        <v>0</v>
      </c>
      <c r="P78" s="29">
        <f>IF(基础状态预期!V90="",0,MIN(求节点($C$16:$C$24,E$16:E$24,基础状态预期!L90),求节点($C$28:$C$48,E$28:E$48,基础状态预期!V90)))</f>
        <v>0</v>
      </c>
      <c r="Q78" s="29">
        <f>IF(基础状态预期!W90="",0,MIN(求节点($C$16:$C$24,F$16:F$24,基础状态预期!M90),求节点($C$28:$C$48,F$28:F$48,基础状态预期!W90)))</f>
        <v>0</v>
      </c>
      <c r="R78" s="29">
        <f>IF(基础状态预期!X90="",0,MIN(求节点($C$16:$C$24,G$16:G$24,基础状态预期!N90),求节点($C$28:$C$48,G$28:G$48,基础状态预期!X90)))</f>
        <v>0</v>
      </c>
      <c r="S78" s="29">
        <f>IF(基础状态预期!Y90="",0,MIN(求节点($C$16:$C$24,H$16:H$24,基础状态预期!O90),求节点($C$28:$C$48,H$28:H$48,基础状态预期!Y90)))</f>
        <v>0.45</v>
      </c>
      <c r="T78" s="29">
        <f>MAX(SUMPRODUCT(O78:S78,基础状态预期!$F90:$J90)/SUM(基础状态预期!$F90:$J90),T77)</f>
        <v>0.45</v>
      </c>
      <c r="V78" s="17">
        <v>74</v>
      </c>
      <c r="W78" s="17">
        <f t="shared" si="21"/>
        <v>8.8274121877811293E-2</v>
      </c>
      <c r="X78" s="17">
        <f t="shared" si="22"/>
        <v>0.10058813480850845</v>
      </c>
      <c r="Y78" s="17">
        <f t="shared" si="23"/>
        <v>0.15873402773725345</v>
      </c>
      <c r="Z78" s="17">
        <f t="shared" si="24"/>
        <v>0.17768060964974741</v>
      </c>
      <c r="AA78" s="17">
        <f t="shared" si="25"/>
        <v>0.17802605871582589</v>
      </c>
      <c r="AO78" s="29">
        <f t="shared" si="17"/>
        <v>125.03100311549058</v>
      </c>
      <c r="AP78" s="14">
        <f>MAX(求节点($C$74:$C$79,D$74:D$79,求节点($C$4:$C$12,D$4:D$12,基础状态预期!K90)),AP77)</f>
        <v>0</v>
      </c>
      <c r="AQ78" s="14">
        <f>MAX(求节点($C$74:$C$79,E$74:E$79,求节点($C$4:$C$12,E$4:E$12,基础状态预期!L90)),AQ77)</f>
        <v>0</v>
      </c>
      <c r="AR78" s="14">
        <f>MAX(求节点($C$74:$C$79,F$74:F$79,求节点($C$4:$C$12,F$4:F$12,基础状态预期!M90)),AR77)</f>
        <v>0</v>
      </c>
      <c r="AS78" s="14">
        <f>MAX(求节点($C$74:$C$79,G$74:G$79,求节点($C$4:$C$12,G$4:G$12,基础状态预期!N90)),AS77)</f>
        <v>1</v>
      </c>
      <c r="AT78" s="14">
        <f>MAX(求节点($C$74:$C$79,H$74:H$79,求节点($C$4:$C$12,H$4:H$12,基础状态预期!O90)),AT77)</f>
        <v>2</v>
      </c>
      <c r="AU78" s="14">
        <f>MAX(求节点($C$81:$C$86,D$81:D$86,求节点($C$4:$C$12,D$4:D$12,基础状态预期!K90)),AU77)</f>
        <v>0</v>
      </c>
      <c r="AV78" s="14">
        <f>MAX(求节点($C$81:$C$86,E$81:E$86,求节点($C$4:$C$12,E$4:E$12,基础状态预期!L90)),AV77)</f>
        <v>0</v>
      </c>
      <c r="AW78" s="14">
        <f>MAX(求节点($C$81:$C$86,F$81:F$86,求节点($C$4:$C$12,F$4:F$12,基础状态预期!M90)),AW77)</f>
        <v>0</v>
      </c>
      <c r="AX78" s="14">
        <f>MAX(求节点($C$81:$C$86,G$81:G$86,求节点($C$4:$C$12,G$4:G$12,基础状态预期!N90)),AX77)</f>
        <v>0</v>
      </c>
      <c r="AY78" s="14">
        <f>MAX(求节点($C$81:$C$86,H$81:H$86,求节点($C$4:$C$12,H$4:H$12,基础状态预期!O90)),AY77)</f>
        <v>4</v>
      </c>
      <c r="AZ78" s="14">
        <f>MAX(求节点($C$88:$C$93,D$88:D$93,求节点($C$4:$C$12,D$4:D$12,基础状态预期!K90)),AZ77)</f>
        <v>0</v>
      </c>
      <c r="BA78" s="14">
        <f>MAX(求节点($C$88:$C$93,E$88:E$93,求节点($C$4:$C$12,E$4:E$12,基础状态预期!L90)),BA77)</f>
        <v>0</v>
      </c>
      <c r="BB78" s="14">
        <f>MAX(求节点($C$88:$C$93,F$88:F$93,求节点($C$4:$C$12,F$4:F$12,基础状态预期!M90)),BB77)</f>
        <v>0</v>
      </c>
      <c r="BC78" s="14">
        <f>MAX(求节点($C$88:$C$93,G$88:G$93,求节点($C$4:$C$12,G$4:G$12,基础状态预期!N90)),BC77)</f>
        <v>0</v>
      </c>
      <c r="BD78" s="14">
        <f>MAX(求节点($C$88:$C$93,H$88:H$93,求节点($C$4:$C$12,H$4:H$12,基础状态预期!O90)),BD77)</f>
        <v>48</v>
      </c>
      <c r="BE78" s="14">
        <f t="shared" si="14"/>
        <v>395000</v>
      </c>
    </row>
    <row r="79" spans="2:63" x14ac:dyDescent="0.15">
      <c r="B79" s="184"/>
      <c r="C79" s="29">
        <v>5</v>
      </c>
      <c r="D79" s="29">
        <f>SUM(D$52:D57)</f>
        <v>0</v>
      </c>
      <c r="E79" s="29">
        <f>SUM(E$52:E57)</f>
        <v>0</v>
      </c>
      <c r="F79" s="29">
        <f>SUM(F$52:F57)</f>
        <v>0</v>
      </c>
      <c r="G79" s="29">
        <f>SUM(G$52:G57)</f>
        <v>1</v>
      </c>
      <c r="H79" s="29">
        <f>SUM(H$52:H57)</f>
        <v>2</v>
      </c>
      <c r="I79" s="29">
        <f>SUM(I$52:I57)</f>
        <v>4</v>
      </c>
      <c r="M79" s="16">
        <v>33</v>
      </c>
      <c r="N79" s="29">
        <f>基础状态预期!D91</f>
        <v>128.62542789463421</v>
      </c>
      <c r="O79" s="29">
        <f>IF(基础状态预期!U91="",0,MIN(求节点($C$16:$C$24,D$16:D$24,基础状态预期!K91),求节点($C$28:$C$48,D$28:D$48,基础状态预期!U91)))</f>
        <v>0</v>
      </c>
      <c r="P79" s="29">
        <f>IF(基础状态预期!V91="",0,MIN(求节点($C$16:$C$24,E$16:E$24,基础状态预期!L91),求节点($C$28:$C$48,E$28:E$48,基础状态预期!V91)))</f>
        <v>0</v>
      </c>
      <c r="Q79" s="29">
        <f>IF(基础状态预期!W91="",0,MIN(求节点($C$16:$C$24,F$16:F$24,基础状态预期!M91),求节点($C$28:$C$48,F$28:F$48,基础状态预期!W91)))</f>
        <v>0</v>
      </c>
      <c r="R79" s="29">
        <f>IF(基础状态预期!X91="",0,MIN(求节点($C$16:$C$24,G$16:G$24,基础状态预期!N91),求节点($C$28:$C$48,G$28:G$48,基础状态预期!X91)))</f>
        <v>0</v>
      </c>
      <c r="S79" s="29">
        <f>IF(基础状态预期!Y91="",0,MIN(求节点($C$16:$C$24,H$16:H$24,基础状态预期!O91),求节点($C$28:$C$48,H$28:H$48,基础状态预期!Y91)))</f>
        <v>0.45</v>
      </c>
      <c r="T79" s="29">
        <f>MAX(SUMPRODUCT(O79:S79,基础状态预期!$F91:$J91)/SUM(基础状态预期!$F91:$J91),T78)</f>
        <v>0.45</v>
      </c>
      <c r="V79" s="17">
        <v>75</v>
      </c>
      <c r="W79" s="17">
        <f t="shared" si="21"/>
        <v>8.8750693050984653E-2</v>
      </c>
      <c r="X79" s="17">
        <f t="shared" si="22"/>
        <v>0.10947885850579521</v>
      </c>
      <c r="Y79" s="17">
        <f t="shared" si="23"/>
        <v>0.17173758035015724</v>
      </c>
      <c r="Z79" s="17">
        <f t="shared" si="24"/>
        <v>0.19378276816443721</v>
      </c>
      <c r="AA79" s="17">
        <f t="shared" si="25"/>
        <v>0.20374767067131949</v>
      </c>
      <c r="AO79" s="29">
        <f t="shared" si="17"/>
        <v>128.62542789463421</v>
      </c>
      <c r="AP79" s="14">
        <f>MAX(求节点($C$74:$C$79,D$74:D$79,求节点($C$4:$C$12,D$4:D$12,基础状态预期!K91)),AP78)</f>
        <v>0</v>
      </c>
      <c r="AQ79" s="14">
        <f>MAX(求节点($C$74:$C$79,E$74:E$79,求节点($C$4:$C$12,E$4:E$12,基础状态预期!L91)),AQ78)</f>
        <v>0</v>
      </c>
      <c r="AR79" s="14">
        <f>MAX(求节点($C$74:$C$79,F$74:F$79,求节点($C$4:$C$12,F$4:F$12,基础状态预期!M91)),AR78)</f>
        <v>0</v>
      </c>
      <c r="AS79" s="14">
        <f>MAX(求节点($C$74:$C$79,G$74:G$79,求节点($C$4:$C$12,G$4:G$12,基础状态预期!N91)),AS78)</f>
        <v>1</v>
      </c>
      <c r="AT79" s="14">
        <f>MAX(求节点($C$74:$C$79,H$74:H$79,求节点($C$4:$C$12,H$4:H$12,基础状态预期!O91)),AT78)</f>
        <v>2</v>
      </c>
      <c r="AU79" s="14">
        <f>MAX(求节点($C$81:$C$86,D$81:D$86,求节点($C$4:$C$12,D$4:D$12,基础状态预期!K91)),AU78)</f>
        <v>0</v>
      </c>
      <c r="AV79" s="14">
        <f>MAX(求节点($C$81:$C$86,E$81:E$86,求节点($C$4:$C$12,E$4:E$12,基础状态预期!L91)),AV78)</f>
        <v>0</v>
      </c>
      <c r="AW79" s="14">
        <f>MAX(求节点($C$81:$C$86,F$81:F$86,求节点($C$4:$C$12,F$4:F$12,基础状态预期!M91)),AW78)</f>
        <v>0</v>
      </c>
      <c r="AX79" s="14">
        <f>MAX(求节点($C$81:$C$86,G$81:G$86,求节点($C$4:$C$12,G$4:G$12,基础状态预期!N91)),AX78)</f>
        <v>0</v>
      </c>
      <c r="AY79" s="14">
        <f>MAX(求节点($C$81:$C$86,H$81:H$86,求节点($C$4:$C$12,H$4:H$12,基础状态预期!O91)),AY78)</f>
        <v>4</v>
      </c>
      <c r="AZ79" s="14">
        <f>MAX(求节点($C$88:$C$93,D$88:D$93,求节点($C$4:$C$12,D$4:D$12,基础状态预期!K91)),AZ78)</f>
        <v>0</v>
      </c>
      <c r="BA79" s="14">
        <f>MAX(求节点($C$88:$C$93,E$88:E$93,求节点($C$4:$C$12,E$4:E$12,基础状态预期!L91)),BA78)</f>
        <v>0</v>
      </c>
      <c r="BB79" s="14">
        <f>MAX(求节点($C$88:$C$93,F$88:F$93,求节点($C$4:$C$12,F$4:F$12,基础状态预期!M91)),BB78)</f>
        <v>0</v>
      </c>
      <c r="BC79" s="14">
        <f>MAX(求节点($C$88:$C$93,G$88:G$93,求节点($C$4:$C$12,G$4:G$12,基础状态预期!N91)),BC78)</f>
        <v>0</v>
      </c>
      <c r="BD79" s="14">
        <f>MAX(求节点($C$88:$C$93,H$88:H$93,求节点($C$4:$C$12,H$4:H$12,基础状态预期!O91)),BD78)</f>
        <v>48</v>
      </c>
      <c r="BE79" s="14">
        <f t="shared" si="14"/>
        <v>395000</v>
      </c>
    </row>
    <row r="80" spans="2:63" x14ac:dyDescent="0.15">
      <c r="B80" s="184" t="s">
        <v>681</v>
      </c>
      <c r="C80" s="29" t="s">
        <v>665</v>
      </c>
      <c r="D80" s="29" t="s">
        <v>3</v>
      </c>
      <c r="E80" s="29" t="s">
        <v>1</v>
      </c>
      <c r="F80" s="29" t="s">
        <v>2</v>
      </c>
      <c r="G80" s="29" t="s">
        <v>0</v>
      </c>
      <c r="H80" s="29" t="s">
        <v>545</v>
      </c>
      <c r="I80" s="29" t="s">
        <v>30</v>
      </c>
      <c r="M80" s="16">
        <v>34</v>
      </c>
      <c r="N80" s="29">
        <f>基础状态预期!D92</f>
        <v>132.09902390525281</v>
      </c>
      <c r="O80" s="29">
        <f>IF(基础状态预期!U92="",0,MIN(求节点($C$16:$C$24,D$16:D$24,基础状态预期!K92),求节点($C$28:$C$48,D$28:D$48,基础状态预期!U92)))</f>
        <v>0</v>
      </c>
      <c r="P80" s="29">
        <f>IF(基础状态预期!V92="",0,MIN(求节点($C$16:$C$24,E$16:E$24,基础状态预期!L92),求节点($C$28:$C$48,E$28:E$48,基础状态预期!V92)))</f>
        <v>0</v>
      </c>
      <c r="Q80" s="29">
        <f>IF(基础状态预期!W92="",0,MIN(求节点($C$16:$C$24,F$16:F$24,基础状态预期!M92),求节点($C$28:$C$48,F$28:F$48,基础状态预期!W92)))</f>
        <v>0</v>
      </c>
      <c r="R80" s="29">
        <f>IF(基础状态预期!X92="",0,MIN(求节点($C$16:$C$24,G$16:G$24,基础状态预期!N92),求节点($C$28:$C$48,G$28:G$48,基础状态预期!X92)))</f>
        <v>0</v>
      </c>
      <c r="S80" s="29">
        <f>IF(基础状态预期!Y92="",0,MIN(求节点($C$16:$C$24,H$16:H$24,基础状态预期!O92),求节点($C$28:$C$48,H$28:H$48,基础状态预期!Y92)))</f>
        <v>0.45</v>
      </c>
      <c r="T80" s="29">
        <f>MAX(SUMPRODUCT(O80:S80,基础状态预期!$F92:$J92)/SUM(基础状态预期!$F92:$J92),T79)</f>
        <v>0.45</v>
      </c>
      <c r="V80" s="17">
        <v>76</v>
      </c>
      <c r="W80" s="17">
        <f t="shared" si="21"/>
        <v>8.9185188046330341E-2</v>
      </c>
      <c r="X80" s="17">
        <f t="shared" si="22"/>
        <v>0.12402859080596616</v>
      </c>
      <c r="Y80" s="17">
        <f t="shared" si="23"/>
        <v>0.17480012500910405</v>
      </c>
      <c r="Z80" s="17">
        <f t="shared" si="24"/>
        <v>0.21858632199952105</v>
      </c>
      <c r="AA80" s="17">
        <f t="shared" si="25"/>
        <v>0.24054013007663666</v>
      </c>
      <c r="AO80" s="29">
        <f t="shared" si="17"/>
        <v>132.09902390525281</v>
      </c>
      <c r="AP80" s="14">
        <f>MAX(求节点($C$74:$C$79,D$74:D$79,求节点($C$4:$C$12,D$4:D$12,基础状态预期!K92)),AP79)</f>
        <v>0</v>
      </c>
      <c r="AQ80" s="14">
        <f>MAX(求节点($C$74:$C$79,E$74:E$79,求节点($C$4:$C$12,E$4:E$12,基础状态预期!L92)),AQ79)</f>
        <v>0</v>
      </c>
      <c r="AR80" s="14">
        <f>MAX(求节点($C$74:$C$79,F$74:F$79,求节点($C$4:$C$12,F$4:F$12,基础状态预期!M92)),AR79)</f>
        <v>0</v>
      </c>
      <c r="AS80" s="14">
        <f>MAX(求节点($C$74:$C$79,G$74:G$79,求节点($C$4:$C$12,G$4:G$12,基础状态预期!N92)),AS79)</f>
        <v>1</v>
      </c>
      <c r="AT80" s="14">
        <f>MAX(求节点($C$74:$C$79,H$74:H$79,求节点($C$4:$C$12,H$4:H$12,基础状态预期!O92)),AT79)</f>
        <v>2</v>
      </c>
      <c r="AU80" s="14">
        <f>MAX(求节点($C$81:$C$86,D$81:D$86,求节点($C$4:$C$12,D$4:D$12,基础状态预期!K92)),AU79)</f>
        <v>0</v>
      </c>
      <c r="AV80" s="14">
        <f>MAX(求节点($C$81:$C$86,E$81:E$86,求节点($C$4:$C$12,E$4:E$12,基础状态预期!L92)),AV79)</f>
        <v>0</v>
      </c>
      <c r="AW80" s="14">
        <f>MAX(求节点($C$81:$C$86,F$81:F$86,求节点($C$4:$C$12,F$4:F$12,基础状态预期!M92)),AW79)</f>
        <v>0</v>
      </c>
      <c r="AX80" s="14">
        <f>MAX(求节点($C$81:$C$86,G$81:G$86,求节点($C$4:$C$12,G$4:G$12,基础状态预期!N92)),AX79)</f>
        <v>0</v>
      </c>
      <c r="AY80" s="14">
        <f>MAX(求节点($C$81:$C$86,H$81:H$86,求节点($C$4:$C$12,H$4:H$12,基础状态预期!O92)),AY79)</f>
        <v>4</v>
      </c>
      <c r="AZ80" s="14">
        <f>MAX(求节点($C$88:$C$93,D$88:D$93,求节点($C$4:$C$12,D$4:D$12,基础状态预期!K92)),AZ79)</f>
        <v>0</v>
      </c>
      <c r="BA80" s="14">
        <f>MAX(求节点($C$88:$C$93,E$88:E$93,求节点($C$4:$C$12,E$4:E$12,基础状态预期!L92)),BA79)</f>
        <v>0</v>
      </c>
      <c r="BB80" s="14">
        <f>MAX(求节点($C$88:$C$93,F$88:F$93,求节点($C$4:$C$12,F$4:F$12,基础状态预期!M92)),BB79)</f>
        <v>0</v>
      </c>
      <c r="BC80" s="14">
        <f>MAX(求节点($C$88:$C$93,G$88:G$93,求节点($C$4:$C$12,G$4:G$12,基础状态预期!N92)),BC79)</f>
        <v>0</v>
      </c>
      <c r="BD80" s="14">
        <f>MAX(求节点($C$88:$C$93,H$88:H$93,求节点($C$4:$C$12,H$4:H$12,基础状态预期!O92)),BD79)</f>
        <v>48</v>
      </c>
      <c r="BE80" s="14">
        <f t="shared" si="14"/>
        <v>395000</v>
      </c>
    </row>
    <row r="81" spans="2:69" x14ac:dyDescent="0.15">
      <c r="B81" s="184"/>
      <c r="C81" s="29">
        <v>0</v>
      </c>
      <c r="D81" s="29">
        <f>SUM(D$59:D59)</f>
        <v>0</v>
      </c>
      <c r="E81" s="29">
        <f>SUM(E$59:E59)</f>
        <v>0</v>
      </c>
      <c r="F81" s="29">
        <f>SUM(F$59:F59)</f>
        <v>0</v>
      </c>
      <c r="G81" s="29">
        <f>SUM(G$59:G59)</f>
        <v>0</v>
      </c>
      <c r="H81" s="29">
        <f>SUM(H$59:H59)</f>
        <v>0</v>
      </c>
      <c r="I81" s="29">
        <f>SUM(I$59:I59)</f>
        <v>0</v>
      </c>
      <c r="M81" s="16">
        <v>35</v>
      </c>
      <c r="N81" s="29">
        <f>基础状态预期!D93</f>
        <v>135.61521761503846</v>
      </c>
      <c r="O81" s="29">
        <f>IF(基础状态预期!U93="",0,MIN(求节点($C$16:$C$24,D$16:D$24,基础状态预期!K93),求节点($C$28:$C$48,D$28:D$48,基础状态预期!U93)))</f>
        <v>0</v>
      </c>
      <c r="P81" s="29">
        <f>IF(基础状态预期!V93="",0,MIN(求节点($C$16:$C$24,E$16:E$24,基础状态预期!L93),求节点($C$28:$C$48,E$28:E$48,基础状态预期!V93)))</f>
        <v>0</v>
      </c>
      <c r="Q81" s="29">
        <f>IF(基础状态预期!W93="",0,MIN(求节点($C$16:$C$24,F$16:F$24,基础状态预期!M93),求节点($C$28:$C$48,F$28:F$48,基础状态预期!W93)))</f>
        <v>0</v>
      </c>
      <c r="R81" s="29">
        <f>IF(基础状态预期!X93="",0,MIN(求节点($C$16:$C$24,G$16:G$24,基础状态预期!N93),求节点($C$28:$C$48,G$28:G$48,基础状态预期!X93)))</f>
        <v>0</v>
      </c>
      <c r="S81" s="29">
        <f>IF(基础状态预期!Y93="",0,MIN(求节点($C$16:$C$24,H$16:H$24,基础状态预期!O93),求节点($C$28:$C$48,H$28:H$48,基础状态预期!Y93)))</f>
        <v>0.45</v>
      </c>
      <c r="T81" s="29">
        <f>MAX(SUMPRODUCT(O81:S81,基础状态预期!$F93:$J93)/SUM(基础状态预期!$F93:$J93),T80)</f>
        <v>0.45</v>
      </c>
      <c r="V81" s="17">
        <v>77</v>
      </c>
      <c r="W81" s="17">
        <f t="shared" si="21"/>
        <v>8.9619683041676015E-2</v>
      </c>
      <c r="X81" s="17">
        <f t="shared" si="22"/>
        <v>0.13857832310613713</v>
      </c>
      <c r="Y81" s="17">
        <f t="shared" si="23"/>
        <v>0.17786266966805087</v>
      </c>
      <c r="Z81" s="17">
        <f t="shared" si="24"/>
        <v>0.24338987583460489</v>
      </c>
      <c r="AA81" s="17">
        <f t="shared" si="25"/>
        <v>0.27733258948195388</v>
      </c>
      <c r="AO81" s="29">
        <f t="shared" si="17"/>
        <v>135.61521761503846</v>
      </c>
      <c r="AP81" s="14">
        <f>MAX(求节点($C$74:$C$79,D$74:D$79,求节点($C$4:$C$12,D$4:D$12,基础状态预期!K93)),AP80)</f>
        <v>0</v>
      </c>
      <c r="AQ81" s="14">
        <f>MAX(求节点($C$74:$C$79,E$74:E$79,求节点($C$4:$C$12,E$4:E$12,基础状态预期!L93)),AQ80)</f>
        <v>0</v>
      </c>
      <c r="AR81" s="14">
        <f>MAX(求节点($C$74:$C$79,F$74:F$79,求节点($C$4:$C$12,F$4:F$12,基础状态预期!M93)),AR80)</f>
        <v>0</v>
      </c>
      <c r="AS81" s="14">
        <f>MAX(求节点($C$74:$C$79,G$74:G$79,求节点($C$4:$C$12,G$4:G$12,基础状态预期!N93)),AS80)</f>
        <v>1</v>
      </c>
      <c r="AT81" s="14">
        <f>MAX(求节点($C$74:$C$79,H$74:H$79,求节点($C$4:$C$12,H$4:H$12,基础状态预期!O93)),AT80)</f>
        <v>2</v>
      </c>
      <c r="AU81" s="14">
        <f>MAX(求节点($C$81:$C$86,D$81:D$86,求节点($C$4:$C$12,D$4:D$12,基础状态预期!K93)),AU80)</f>
        <v>0</v>
      </c>
      <c r="AV81" s="14">
        <f>MAX(求节点($C$81:$C$86,E$81:E$86,求节点($C$4:$C$12,E$4:E$12,基础状态预期!L93)),AV80)</f>
        <v>0</v>
      </c>
      <c r="AW81" s="14">
        <f>MAX(求节点($C$81:$C$86,F$81:F$86,求节点($C$4:$C$12,F$4:F$12,基础状态预期!M93)),AW80)</f>
        <v>0</v>
      </c>
      <c r="AX81" s="14">
        <f>MAX(求节点($C$81:$C$86,G$81:G$86,求节点($C$4:$C$12,G$4:G$12,基础状态预期!N93)),AX80)</f>
        <v>0</v>
      </c>
      <c r="AY81" s="14">
        <f>MAX(求节点($C$81:$C$86,H$81:H$86,求节点($C$4:$C$12,H$4:H$12,基础状态预期!O93)),AY80)</f>
        <v>4</v>
      </c>
      <c r="AZ81" s="14">
        <f>MAX(求节点($C$88:$C$93,D$88:D$93,求节点($C$4:$C$12,D$4:D$12,基础状态预期!K93)),AZ80)</f>
        <v>0</v>
      </c>
      <c r="BA81" s="14">
        <f>MAX(求节点($C$88:$C$93,E$88:E$93,求节点($C$4:$C$12,E$4:E$12,基础状态预期!L93)),BA80)</f>
        <v>0</v>
      </c>
      <c r="BB81" s="14">
        <f>MAX(求节点($C$88:$C$93,F$88:F$93,求节点($C$4:$C$12,F$4:F$12,基础状态预期!M93)),BB80)</f>
        <v>0</v>
      </c>
      <c r="BC81" s="14">
        <f>MAX(求节点($C$88:$C$93,G$88:G$93,求节点($C$4:$C$12,G$4:G$12,基础状态预期!N93)),BC80)</f>
        <v>0</v>
      </c>
      <c r="BD81" s="14">
        <f>MAX(求节点($C$88:$C$93,H$88:H$93,求节点($C$4:$C$12,H$4:H$12,基础状态预期!O93)),BD80)</f>
        <v>48</v>
      </c>
      <c r="BE81" s="14">
        <f t="shared" si="14"/>
        <v>395000</v>
      </c>
    </row>
    <row r="82" spans="2:69" x14ac:dyDescent="0.15">
      <c r="B82" s="184"/>
      <c r="C82" s="29">
        <v>1</v>
      </c>
      <c r="D82" s="29">
        <f>SUM(D$59:D60)</f>
        <v>0</v>
      </c>
      <c r="E82" s="29">
        <f>SUM(E$59:E60)</f>
        <v>0</v>
      </c>
      <c r="F82" s="29">
        <f>SUM(F$59:F60)</f>
        <v>0</v>
      </c>
      <c r="G82" s="29">
        <f>SUM(G$59:G60)</f>
        <v>0</v>
      </c>
      <c r="H82" s="29">
        <f>SUM(H$59:H60)</f>
        <v>0</v>
      </c>
      <c r="I82" s="29">
        <f>SUM(I$59:I60)</f>
        <v>0</v>
      </c>
      <c r="M82" s="16">
        <v>36</v>
      </c>
      <c r="N82" s="29">
        <f>基础状态预期!D94</f>
        <v>139.08794136138388</v>
      </c>
      <c r="O82" s="29">
        <f>IF(基础状态预期!U94="",0,MIN(求节点($C$16:$C$24,D$16:D$24,基础状态预期!K94),求节点($C$28:$C$48,D$28:D$48,基础状态预期!U94)))</f>
        <v>0</v>
      </c>
      <c r="P82" s="29">
        <f>IF(基础状态预期!V94="",0,MIN(求节点($C$16:$C$24,E$16:E$24,基础状态预期!L94),求节点($C$28:$C$48,E$28:E$48,基础状态预期!V94)))</f>
        <v>0</v>
      </c>
      <c r="Q82" s="29">
        <f>IF(基础状态预期!W94="",0,MIN(求节点($C$16:$C$24,F$16:F$24,基础状态预期!M94),求节点($C$28:$C$48,F$28:F$48,基础状态预期!W94)))</f>
        <v>0</v>
      </c>
      <c r="R82" s="29">
        <f>IF(基础状态预期!X94="",0,MIN(求节点($C$16:$C$24,G$16:G$24,基础状态预期!N94),求节点($C$28:$C$48,G$28:G$48,基础状态预期!X94)))</f>
        <v>0</v>
      </c>
      <c r="S82" s="29">
        <f>IF(基础状态预期!Y94="",0,MIN(求节点($C$16:$C$24,H$16:H$24,基础状态预期!O94),求节点($C$28:$C$48,H$28:H$48,基础状态预期!Y94)))</f>
        <v>0.45</v>
      </c>
      <c r="T82" s="29">
        <f>MAX(SUMPRODUCT(O82:S82,基础状态预期!$F94:$J94)/SUM(基础状态预期!$F94:$J94),T81)</f>
        <v>0.45</v>
      </c>
      <c r="V82" s="17">
        <v>78</v>
      </c>
      <c r="W82" s="17">
        <f t="shared" si="21"/>
        <v>9.0000000000000011E-2</v>
      </c>
      <c r="X82" s="17">
        <f t="shared" si="22"/>
        <v>0.15277691674900049</v>
      </c>
      <c r="Y82" s="17">
        <f t="shared" si="23"/>
        <v>0.18000000000000002</v>
      </c>
      <c r="Z82" s="17">
        <f t="shared" si="24"/>
        <v>0.30444421434822111</v>
      </c>
      <c r="AA82" s="17">
        <f t="shared" si="25"/>
        <v>0.33637196275562797</v>
      </c>
      <c r="AO82" s="29">
        <f t="shared" si="17"/>
        <v>139.08794136138388</v>
      </c>
      <c r="AP82" s="14">
        <f>MAX(求节点($C$74:$C$79,D$74:D$79,求节点($C$4:$C$12,D$4:D$12,基础状态预期!K94)),AP81)</f>
        <v>0</v>
      </c>
      <c r="AQ82" s="14">
        <f>MAX(求节点($C$74:$C$79,E$74:E$79,求节点($C$4:$C$12,E$4:E$12,基础状态预期!L94)),AQ81)</f>
        <v>0</v>
      </c>
      <c r="AR82" s="14">
        <f>MAX(求节点($C$74:$C$79,F$74:F$79,求节点($C$4:$C$12,F$4:F$12,基础状态预期!M94)),AR81)</f>
        <v>0</v>
      </c>
      <c r="AS82" s="14">
        <f>MAX(求节点($C$74:$C$79,G$74:G$79,求节点($C$4:$C$12,G$4:G$12,基础状态预期!N94)),AS81)</f>
        <v>1</v>
      </c>
      <c r="AT82" s="14">
        <f>MAX(求节点($C$74:$C$79,H$74:H$79,求节点($C$4:$C$12,H$4:H$12,基础状态预期!O94)),AT81)</f>
        <v>2</v>
      </c>
      <c r="AU82" s="14">
        <f>MAX(求节点($C$81:$C$86,D$81:D$86,求节点($C$4:$C$12,D$4:D$12,基础状态预期!K94)),AU81)</f>
        <v>0</v>
      </c>
      <c r="AV82" s="14">
        <f>MAX(求节点($C$81:$C$86,E$81:E$86,求节点($C$4:$C$12,E$4:E$12,基础状态预期!L94)),AV81)</f>
        <v>0</v>
      </c>
      <c r="AW82" s="14">
        <f>MAX(求节点($C$81:$C$86,F$81:F$86,求节点($C$4:$C$12,F$4:F$12,基础状态预期!M94)),AW81)</f>
        <v>0</v>
      </c>
      <c r="AX82" s="14">
        <f>MAX(求节点($C$81:$C$86,G$81:G$86,求节点($C$4:$C$12,G$4:G$12,基础状态预期!N94)),AX81)</f>
        <v>0</v>
      </c>
      <c r="AY82" s="14">
        <f>MAX(求节点($C$81:$C$86,H$81:H$86,求节点($C$4:$C$12,H$4:H$12,基础状态预期!O94)),AY81)</f>
        <v>4</v>
      </c>
      <c r="AZ82" s="14">
        <f>MAX(求节点($C$88:$C$93,D$88:D$93,求节点($C$4:$C$12,D$4:D$12,基础状态预期!K94)),AZ81)</f>
        <v>0</v>
      </c>
      <c r="BA82" s="14">
        <f>MAX(求节点($C$88:$C$93,E$88:E$93,求节点($C$4:$C$12,E$4:E$12,基础状态预期!L94)),BA81)</f>
        <v>0</v>
      </c>
      <c r="BB82" s="14">
        <f>MAX(求节点($C$88:$C$93,F$88:F$93,求节点($C$4:$C$12,F$4:F$12,基础状态预期!M94)),BB81)</f>
        <v>0</v>
      </c>
      <c r="BC82" s="14">
        <f>MAX(求节点($C$88:$C$93,G$88:G$93,求节点($C$4:$C$12,G$4:G$12,基础状态预期!N94)),BC81)</f>
        <v>0</v>
      </c>
      <c r="BD82" s="14">
        <f>MAX(求节点($C$88:$C$93,H$88:H$93,求节点($C$4:$C$12,H$4:H$12,基础状态预期!O94)),BD81)</f>
        <v>48</v>
      </c>
      <c r="BE82" s="14">
        <f t="shared" si="14"/>
        <v>395000</v>
      </c>
    </row>
    <row r="83" spans="2:69" x14ac:dyDescent="0.15">
      <c r="B83" s="184"/>
      <c r="C83" s="29">
        <v>2</v>
      </c>
      <c r="D83" s="29">
        <f>SUM(D$59:D61)</f>
        <v>0</v>
      </c>
      <c r="E83" s="29">
        <f>SUM(E$59:E61)</f>
        <v>0</v>
      </c>
      <c r="F83" s="29">
        <f>SUM(F$59:F61)</f>
        <v>0</v>
      </c>
      <c r="G83" s="29">
        <f>SUM(G$59:G61)</f>
        <v>2</v>
      </c>
      <c r="H83" s="29">
        <f>SUM(H$59:H61)</f>
        <v>4</v>
      </c>
      <c r="I83" s="29">
        <f>SUM(I$59:I61)</f>
        <v>8</v>
      </c>
      <c r="M83" s="16">
        <v>37</v>
      </c>
      <c r="N83" s="29">
        <f>基础状态预期!D95</f>
        <v>142.60670974426387</v>
      </c>
      <c r="O83" s="29">
        <f>IF(基础状态预期!U95="",0,MIN(求节点($C$16:$C$24,D$16:D$24,基础状态预期!K95),求节点($C$28:$C$48,D$28:D$48,基础状态预期!U95)))</f>
        <v>0</v>
      </c>
      <c r="P83" s="29">
        <f>IF(基础状态预期!V95="",0,MIN(求节点($C$16:$C$24,E$16:E$24,基础状态预期!L95),求节点($C$28:$C$48,E$28:E$48,基础状态预期!V95)))</f>
        <v>0</v>
      </c>
      <c r="Q83" s="29">
        <f>IF(基础状态预期!W95="",0,MIN(求节点($C$16:$C$24,F$16:F$24,基础状态预期!M95),求节点($C$28:$C$48,F$28:F$48,基础状态预期!W95)))</f>
        <v>0</v>
      </c>
      <c r="R83" s="29">
        <f>IF(基础状态预期!X95="",0,MIN(求节点($C$16:$C$24,G$16:G$24,基础状态预期!N95),求节点($C$28:$C$48,G$28:G$48,基础状态预期!X95)))</f>
        <v>0</v>
      </c>
      <c r="S83" s="29">
        <f>IF(基础状态预期!Y95="",0,MIN(求节点($C$16:$C$24,H$16:H$24,基础状态预期!O95),求节点($C$28:$C$48,H$28:H$48,基础状态预期!Y95)))</f>
        <v>0.45</v>
      </c>
      <c r="T83" s="29">
        <f>MAX(SUMPRODUCT(O83:S83,基础状态预期!$F95:$J95)/SUM(基础状态预期!$F95:$J95),T82)</f>
        <v>0.45</v>
      </c>
      <c r="V83" s="17">
        <v>79</v>
      </c>
      <c r="W83" s="17">
        <f t="shared" si="21"/>
        <v>9.0000000000000011E-2</v>
      </c>
      <c r="X83" s="17">
        <f t="shared" si="22"/>
        <v>0.1664271180290523</v>
      </c>
      <c r="Y83" s="17">
        <f t="shared" si="23"/>
        <v>0.18000000000000002</v>
      </c>
      <c r="Z83" s="17">
        <f t="shared" si="24"/>
        <v>0.38359024695482424</v>
      </c>
      <c r="AA83" s="17">
        <f t="shared" si="25"/>
        <v>0.40221785699453544</v>
      </c>
      <c r="AO83" s="29">
        <f t="shared" si="17"/>
        <v>142.60670974426387</v>
      </c>
      <c r="AP83" s="14">
        <f>MAX(求节点($C$74:$C$79,D$74:D$79,求节点($C$4:$C$12,D$4:D$12,基础状态预期!K95)),AP82)</f>
        <v>0</v>
      </c>
      <c r="AQ83" s="14">
        <f>MAX(求节点($C$74:$C$79,E$74:E$79,求节点($C$4:$C$12,E$4:E$12,基础状态预期!L95)),AQ82)</f>
        <v>0</v>
      </c>
      <c r="AR83" s="14">
        <f>MAX(求节点($C$74:$C$79,F$74:F$79,求节点($C$4:$C$12,F$4:F$12,基础状态预期!M95)),AR82)</f>
        <v>0</v>
      </c>
      <c r="AS83" s="14">
        <f>MAX(求节点($C$74:$C$79,G$74:G$79,求节点($C$4:$C$12,G$4:G$12,基础状态预期!N95)),AS82)</f>
        <v>1</v>
      </c>
      <c r="AT83" s="14">
        <f>MAX(求节点($C$74:$C$79,H$74:H$79,求节点($C$4:$C$12,H$4:H$12,基础状态预期!O95)),AT82)</f>
        <v>2</v>
      </c>
      <c r="AU83" s="14">
        <f>MAX(求节点($C$81:$C$86,D$81:D$86,求节点($C$4:$C$12,D$4:D$12,基础状态预期!K95)),AU82)</f>
        <v>0</v>
      </c>
      <c r="AV83" s="14">
        <f>MAX(求节点($C$81:$C$86,E$81:E$86,求节点($C$4:$C$12,E$4:E$12,基础状态预期!L95)),AV82)</f>
        <v>0</v>
      </c>
      <c r="AW83" s="14">
        <f>MAX(求节点($C$81:$C$86,F$81:F$86,求节点($C$4:$C$12,F$4:F$12,基础状态预期!M95)),AW82)</f>
        <v>0</v>
      </c>
      <c r="AX83" s="14">
        <f>MAX(求节点($C$81:$C$86,G$81:G$86,求节点($C$4:$C$12,G$4:G$12,基础状态预期!N95)),AX82)</f>
        <v>0</v>
      </c>
      <c r="AY83" s="14">
        <f>MAX(求节点($C$81:$C$86,H$81:H$86,求节点($C$4:$C$12,H$4:H$12,基础状态预期!O95)),AY82)</f>
        <v>4</v>
      </c>
      <c r="AZ83" s="14">
        <f>MAX(求节点($C$88:$C$93,D$88:D$93,求节点($C$4:$C$12,D$4:D$12,基础状态预期!K95)),AZ82)</f>
        <v>0</v>
      </c>
      <c r="BA83" s="14">
        <f>MAX(求节点($C$88:$C$93,E$88:E$93,求节点($C$4:$C$12,E$4:E$12,基础状态预期!L95)),BA82)</f>
        <v>0</v>
      </c>
      <c r="BB83" s="14">
        <f>MAX(求节点($C$88:$C$93,F$88:F$93,求节点($C$4:$C$12,F$4:F$12,基础状态预期!M95)),BB82)</f>
        <v>0</v>
      </c>
      <c r="BC83" s="14">
        <f>MAX(求节点($C$88:$C$93,G$88:G$93,求节点($C$4:$C$12,G$4:G$12,基础状态预期!N95)),BC82)</f>
        <v>0</v>
      </c>
      <c r="BD83" s="14">
        <f>MAX(求节点($C$88:$C$93,H$88:H$93,求节点($C$4:$C$12,H$4:H$12,基础状态预期!O95)),BD82)</f>
        <v>48</v>
      </c>
      <c r="BE83" s="14">
        <f t="shared" si="14"/>
        <v>395000</v>
      </c>
    </row>
    <row r="84" spans="2:69" x14ac:dyDescent="0.15">
      <c r="B84" s="184"/>
      <c r="C84" s="29">
        <v>3</v>
      </c>
      <c r="D84" s="29">
        <f>SUM(D$59:D62)</f>
        <v>0</v>
      </c>
      <c r="E84" s="29">
        <f>SUM(E$59:E62)</f>
        <v>0</v>
      </c>
      <c r="F84" s="29">
        <f>SUM(F$59:F62)</f>
        <v>0</v>
      </c>
      <c r="G84" s="29">
        <f>SUM(G$59:G62)</f>
        <v>2</v>
      </c>
      <c r="H84" s="29">
        <f>SUM(H$59:H62)</f>
        <v>4</v>
      </c>
      <c r="I84" s="29">
        <f>SUM(I$59:I62)</f>
        <v>8</v>
      </c>
      <c r="M84" s="16">
        <v>38</v>
      </c>
      <c r="N84" s="29">
        <f>基础状态预期!D96</f>
        <v>146.07830147206653</v>
      </c>
      <c r="O84" s="29">
        <f>IF(基础状态预期!U96="",0,MIN(求节点($C$16:$C$24,D$16:D$24,基础状态预期!K96),求节点($C$28:$C$48,D$28:D$48,基础状态预期!U96)))</f>
        <v>0</v>
      </c>
      <c r="P84" s="29">
        <f>IF(基础状态预期!V96="",0,MIN(求节点($C$16:$C$24,E$16:E$24,基础状态预期!L96),求节点($C$28:$C$48,E$28:E$48,基础状态预期!V96)))</f>
        <v>0</v>
      </c>
      <c r="Q84" s="29">
        <f>IF(基础状态预期!W96="",0,MIN(求节点($C$16:$C$24,F$16:F$24,基础状态预期!M96),求节点($C$28:$C$48,F$28:F$48,基础状态预期!W96)))</f>
        <v>0</v>
      </c>
      <c r="R84" s="29">
        <f>IF(基础状态预期!X96="",0,MIN(求节点($C$16:$C$24,G$16:G$24,基础状态预期!N96),求节点($C$28:$C$48,G$28:G$48,基础状态预期!X96)))</f>
        <v>0</v>
      </c>
      <c r="S84" s="29">
        <f>IF(基础状态预期!Y96="",0,MIN(求节点($C$16:$C$24,H$16:H$24,基础状态预期!O96),求节点($C$28:$C$48,H$28:H$48,基础状态预期!Y96)))</f>
        <v>0.45</v>
      </c>
      <c r="T84" s="29">
        <f>MAX(SUMPRODUCT(O84:S84,基础状态预期!$F96:$J96)/SUM(基础状态预期!$F96:$J96),T83)</f>
        <v>0.45</v>
      </c>
      <c r="V84" s="17">
        <v>80</v>
      </c>
      <c r="W84" s="17">
        <f t="shared" si="21"/>
        <v>9.0000000000000011E-2</v>
      </c>
      <c r="X84" s="17">
        <f t="shared" si="22"/>
        <v>0.18000000000000002</v>
      </c>
      <c r="Y84" s="17">
        <f t="shared" si="23"/>
        <v>0.18000000000000002</v>
      </c>
      <c r="Z84" s="17">
        <f t="shared" si="24"/>
        <v>0.44814488622475174</v>
      </c>
      <c r="AA84" s="17">
        <f t="shared" si="25"/>
        <v>0.45</v>
      </c>
      <c r="AO84" s="29">
        <f t="shared" si="17"/>
        <v>146.07830147206653</v>
      </c>
      <c r="AP84" s="14">
        <f>MAX(求节点($C$74:$C$79,D$74:D$79,求节点($C$4:$C$12,D$4:D$12,基础状态预期!K96)),AP83)</f>
        <v>0</v>
      </c>
      <c r="AQ84" s="14">
        <f>MAX(求节点($C$74:$C$79,E$74:E$79,求节点($C$4:$C$12,E$4:E$12,基础状态预期!L96)),AQ83)</f>
        <v>0</v>
      </c>
      <c r="AR84" s="14">
        <f>MAX(求节点($C$74:$C$79,F$74:F$79,求节点($C$4:$C$12,F$4:F$12,基础状态预期!M96)),AR83)</f>
        <v>0</v>
      </c>
      <c r="AS84" s="14">
        <f>MAX(求节点($C$74:$C$79,G$74:G$79,求节点($C$4:$C$12,G$4:G$12,基础状态预期!N96)),AS83)</f>
        <v>1</v>
      </c>
      <c r="AT84" s="14">
        <f>MAX(求节点($C$74:$C$79,H$74:H$79,求节点($C$4:$C$12,H$4:H$12,基础状态预期!O96)),AT83)</f>
        <v>2</v>
      </c>
      <c r="AU84" s="14">
        <f>MAX(求节点($C$81:$C$86,D$81:D$86,求节点($C$4:$C$12,D$4:D$12,基础状态预期!K96)),AU83)</f>
        <v>0</v>
      </c>
      <c r="AV84" s="14">
        <f>MAX(求节点($C$81:$C$86,E$81:E$86,求节点($C$4:$C$12,E$4:E$12,基础状态预期!L96)),AV83)</f>
        <v>0</v>
      </c>
      <c r="AW84" s="14">
        <f>MAX(求节点($C$81:$C$86,F$81:F$86,求节点($C$4:$C$12,F$4:F$12,基础状态预期!M96)),AW83)</f>
        <v>0</v>
      </c>
      <c r="AX84" s="14">
        <f>MAX(求节点($C$81:$C$86,G$81:G$86,求节点($C$4:$C$12,G$4:G$12,基础状态预期!N96)),AX83)</f>
        <v>0</v>
      </c>
      <c r="AY84" s="14">
        <f>MAX(求节点($C$81:$C$86,H$81:H$86,求节点($C$4:$C$12,H$4:H$12,基础状态预期!O96)),AY83)</f>
        <v>4</v>
      </c>
      <c r="AZ84" s="14">
        <f>MAX(求节点($C$88:$C$93,D$88:D$93,求节点($C$4:$C$12,D$4:D$12,基础状态预期!K96)),AZ83)</f>
        <v>0</v>
      </c>
      <c r="BA84" s="14">
        <f>MAX(求节点($C$88:$C$93,E$88:E$93,求节点($C$4:$C$12,E$4:E$12,基础状态预期!L96)),BA83)</f>
        <v>0</v>
      </c>
      <c r="BB84" s="14">
        <f>MAX(求节点($C$88:$C$93,F$88:F$93,求节点($C$4:$C$12,F$4:F$12,基础状态预期!M96)),BB83)</f>
        <v>0</v>
      </c>
      <c r="BC84" s="14">
        <f>MAX(求节点($C$88:$C$93,G$88:G$93,求节点($C$4:$C$12,G$4:G$12,基础状态预期!N96)),BC83)</f>
        <v>0</v>
      </c>
      <c r="BD84" s="14">
        <f>MAX(求节点($C$88:$C$93,H$88:H$93,求节点($C$4:$C$12,H$4:H$12,基础状态预期!O96)),BD83)</f>
        <v>48</v>
      </c>
      <c r="BE84" s="14">
        <f t="shared" si="14"/>
        <v>395000</v>
      </c>
    </row>
    <row r="85" spans="2:69" x14ac:dyDescent="0.15">
      <c r="B85" s="184"/>
      <c r="C85" s="29">
        <v>4</v>
      </c>
      <c r="D85" s="29">
        <f>SUM(D$59:D63)</f>
        <v>0</v>
      </c>
      <c r="E85" s="29">
        <f>SUM(E$59:E63)</f>
        <v>0</v>
      </c>
      <c r="F85" s="29">
        <f>SUM(F$59:F63)</f>
        <v>0</v>
      </c>
      <c r="G85" s="29">
        <f>SUM(G$59:G63)</f>
        <v>2</v>
      </c>
      <c r="H85" s="29">
        <f>SUM(H$59:H63)</f>
        <v>4</v>
      </c>
      <c r="I85" s="29">
        <f>SUM(I$59:I63)</f>
        <v>8</v>
      </c>
      <c r="M85" s="16">
        <v>39</v>
      </c>
      <c r="N85" s="29">
        <f>基础状态预期!D97</f>
        <v>149.61701338734093</v>
      </c>
      <c r="O85" s="29">
        <f>IF(基础状态预期!U97="",0,MIN(求节点($C$16:$C$24,D$16:D$24,基础状态预期!K97),求节点($C$28:$C$48,D$28:D$48,基础状态预期!U97)))</f>
        <v>0</v>
      </c>
      <c r="P85" s="29">
        <f>IF(基础状态预期!V97="",0,MIN(求节点($C$16:$C$24,E$16:E$24,基础状态预期!L97),求节点($C$28:$C$48,E$28:E$48,基础状态预期!V97)))</f>
        <v>0</v>
      </c>
      <c r="Q85" s="29">
        <f>IF(基础状态预期!W97="",0,MIN(求节点($C$16:$C$24,F$16:F$24,基础状态预期!M97),求节点($C$28:$C$48,F$28:F$48,基础状态预期!W97)))</f>
        <v>0</v>
      </c>
      <c r="R85" s="29">
        <f>IF(基础状态预期!X97="",0,MIN(求节点($C$16:$C$24,G$16:G$24,基础状态预期!N97),求节点($C$28:$C$48,G$28:G$48,基础状态预期!X97)))</f>
        <v>0</v>
      </c>
      <c r="S85" s="29">
        <f>IF(基础状态预期!Y97="",0,MIN(求节点($C$16:$C$24,H$16:H$24,基础状态预期!O97),求节点($C$28:$C$48,H$28:H$48,基础状态预期!Y97)))</f>
        <v>0.45</v>
      </c>
      <c r="T85" s="29">
        <f>MAX(SUMPRODUCT(O85:S85,基础状态预期!$F97:$J97)/SUM(基础状态预期!$F97:$J97),T84)</f>
        <v>0.45</v>
      </c>
      <c r="V85" s="17">
        <v>81</v>
      </c>
      <c r="W85" s="17">
        <f t="shared" si="21"/>
        <v>9.0000000000000011E-2</v>
      </c>
      <c r="X85" s="17">
        <f t="shared" si="22"/>
        <v>0.18000000000000002</v>
      </c>
      <c r="Y85" s="17">
        <f t="shared" si="23"/>
        <v>0.18000000000000002</v>
      </c>
      <c r="Z85" s="17">
        <f t="shared" si="24"/>
        <v>0.44911149265731215</v>
      </c>
      <c r="AA85" s="17">
        <f t="shared" si="25"/>
        <v>0.45</v>
      </c>
      <c r="AO85" s="29">
        <f t="shared" si="17"/>
        <v>149.61701338734093</v>
      </c>
      <c r="AP85" s="14">
        <f>MAX(求节点($C$74:$C$79,D$74:D$79,求节点($C$4:$C$12,D$4:D$12,基础状态预期!K97)),AP84)</f>
        <v>0</v>
      </c>
      <c r="AQ85" s="14">
        <f>MAX(求节点($C$74:$C$79,E$74:E$79,求节点($C$4:$C$12,E$4:E$12,基础状态预期!L97)),AQ84)</f>
        <v>0</v>
      </c>
      <c r="AR85" s="14">
        <f>MAX(求节点($C$74:$C$79,F$74:F$79,求节点($C$4:$C$12,F$4:F$12,基础状态预期!M97)),AR84)</f>
        <v>0</v>
      </c>
      <c r="AS85" s="14">
        <f>MAX(求节点($C$74:$C$79,G$74:G$79,求节点($C$4:$C$12,G$4:G$12,基础状态预期!N97)),AS84)</f>
        <v>1</v>
      </c>
      <c r="AT85" s="14">
        <f>MAX(求节点($C$74:$C$79,H$74:H$79,求节点($C$4:$C$12,H$4:H$12,基础状态预期!O97)),AT84)</f>
        <v>2</v>
      </c>
      <c r="AU85" s="14">
        <f>MAX(求节点($C$81:$C$86,D$81:D$86,求节点($C$4:$C$12,D$4:D$12,基础状态预期!K97)),AU84)</f>
        <v>0</v>
      </c>
      <c r="AV85" s="14">
        <f>MAX(求节点($C$81:$C$86,E$81:E$86,求节点($C$4:$C$12,E$4:E$12,基础状态预期!L97)),AV84)</f>
        <v>0</v>
      </c>
      <c r="AW85" s="14">
        <f>MAX(求节点($C$81:$C$86,F$81:F$86,求节点($C$4:$C$12,F$4:F$12,基础状态预期!M97)),AW84)</f>
        <v>0</v>
      </c>
      <c r="AX85" s="14">
        <f>MAX(求节点($C$81:$C$86,G$81:G$86,求节点($C$4:$C$12,G$4:G$12,基础状态预期!N97)),AX84)</f>
        <v>0</v>
      </c>
      <c r="AY85" s="14">
        <f>MAX(求节点($C$81:$C$86,H$81:H$86,求节点($C$4:$C$12,H$4:H$12,基础状态预期!O97)),AY84)</f>
        <v>4</v>
      </c>
      <c r="AZ85" s="14">
        <f>MAX(求节点($C$88:$C$93,D$88:D$93,求节点($C$4:$C$12,D$4:D$12,基础状态预期!K97)),AZ84)</f>
        <v>0</v>
      </c>
      <c r="BA85" s="14">
        <f>MAX(求节点($C$88:$C$93,E$88:E$93,求节点($C$4:$C$12,E$4:E$12,基础状态预期!L97)),BA84)</f>
        <v>0</v>
      </c>
      <c r="BB85" s="14">
        <f>MAX(求节点($C$88:$C$93,F$88:F$93,求节点($C$4:$C$12,F$4:F$12,基础状态预期!M97)),BB84)</f>
        <v>0</v>
      </c>
      <c r="BC85" s="14">
        <f>MAX(求节点($C$88:$C$93,G$88:G$93,求节点($C$4:$C$12,G$4:G$12,基础状态预期!N97)),BC84)</f>
        <v>0</v>
      </c>
      <c r="BD85" s="14">
        <f>MAX(求节点($C$88:$C$93,H$88:H$93,求节点($C$4:$C$12,H$4:H$12,基础状态预期!O97)),BD84)</f>
        <v>48</v>
      </c>
      <c r="BE85" s="14">
        <f t="shared" si="14"/>
        <v>395000</v>
      </c>
    </row>
    <row r="86" spans="2:69" x14ac:dyDescent="0.15">
      <c r="B86" s="184"/>
      <c r="C86" s="29">
        <v>5</v>
      </c>
      <c r="D86" s="29">
        <f>SUM(D$59:D64)</f>
        <v>0</v>
      </c>
      <c r="E86" s="29">
        <f>SUM(E$59:E64)</f>
        <v>0</v>
      </c>
      <c r="F86" s="29">
        <f>SUM(F$59:F64)</f>
        <v>0</v>
      </c>
      <c r="G86" s="29">
        <f>SUM(G$59:G64)</f>
        <v>2</v>
      </c>
      <c r="H86" s="29">
        <f>SUM(H$59:H64)</f>
        <v>4</v>
      </c>
      <c r="I86" s="29">
        <f>SUM(I$59:I64)</f>
        <v>8</v>
      </c>
      <c r="M86" s="16">
        <v>40</v>
      </c>
      <c r="N86" s="29">
        <f>基础状态预期!D98</f>
        <v>153.01012120353457</v>
      </c>
      <c r="O86" s="29">
        <f>IF(基础状态预期!U98="",0,MIN(求节点($C$16:$C$24,D$16:D$24,基础状态预期!K98),求节点($C$28:$C$48,D$28:D$48,基础状态预期!U98)))</f>
        <v>0</v>
      </c>
      <c r="P86" s="29">
        <f>IF(基础状态预期!V98="",0,MIN(求节点($C$16:$C$24,E$16:E$24,基础状态预期!L98),求节点($C$28:$C$48,E$28:E$48,基础状态预期!V98)))</f>
        <v>0</v>
      </c>
      <c r="Q86" s="29">
        <f>IF(基础状态预期!W98="",0,MIN(求节点($C$16:$C$24,F$16:F$24,基础状态预期!M98),求节点($C$28:$C$48,F$28:F$48,基础状态预期!W98)))</f>
        <v>0</v>
      </c>
      <c r="R86" s="29">
        <f>IF(基础状态预期!X98="",0,MIN(求节点($C$16:$C$24,G$16:G$24,基础状态预期!N98),求节点($C$28:$C$48,G$28:G$48,基础状态预期!X98)))</f>
        <v>0</v>
      </c>
      <c r="S86" s="29">
        <f>IF(基础状态预期!Y98="",0,MIN(求节点($C$16:$C$24,H$16:H$24,基础状态预期!O98),求节点($C$28:$C$48,H$28:H$48,基础状态预期!Y98)))</f>
        <v>0.45</v>
      </c>
      <c r="T86" s="29">
        <f>MAX(SUMPRODUCT(O86:S86,基础状态预期!$F98:$J98)/SUM(基础状态预期!$F98:$J98),T85)</f>
        <v>0.45</v>
      </c>
      <c r="V86" s="17">
        <v>82</v>
      </c>
      <c r="W86" s="17">
        <f t="shared" si="21"/>
        <v>9.0000000000000011E-2</v>
      </c>
      <c r="X86" s="17">
        <f t="shared" si="22"/>
        <v>0.18000000000000002</v>
      </c>
      <c r="Y86" s="17">
        <f t="shared" si="23"/>
        <v>0.18000000000000002</v>
      </c>
      <c r="Z86" s="17">
        <f t="shared" si="24"/>
        <v>0.45</v>
      </c>
      <c r="AA86" s="17">
        <f t="shared" si="25"/>
        <v>0.45</v>
      </c>
      <c r="AO86" s="29">
        <f t="shared" si="17"/>
        <v>153.01012120353457</v>
      </c>
      <c r="AP86" s="14">
        <f>MAX(求节点($C$74:$C$79,D$74:D$79,求节点($C$4:$C$12,D$4:D$12,基础状态预期!K98)),AP85)</f>
        <v>0</v>
      </c>
      <c r="AQ86" s="14">
        <f>MAX(求节点($C$74:$C$79,E$74:E$79,求节点($C$4:$C$12,E$4:E$12,基础状态预期!L98)),AQ85)</f>
        <v>0</v>
      </c>
      <c r="AR86" s="14">
        <f>MAX(求节点($C$74:$C$79,F$74:F$79,求节点($C$4:$C$12,F$4:F$12,基础状态预期!M98)),AR85)</f>
        <v>0</v>
      </c>
      <c r="AS86" s="14">
        <f>MAX(求节点($C$74:$C$79,G$74:G$79,求节点($C$4:$C$12,G$4:G$12,基础状态预期!N98)),AS85)</f>
        <v>1</v>
      </c>
      <c r="AT86" s="14">
        <f>MAX(求节点($C$74:$C$79,H$74:H$79,求节点($C$4:$C$12,H$4:H$12,基础状态预期!O98)),AT85)</f>
        <v>2</v>
      </c>
      <c r="AU86" s="14">
        <f>MAX(求节点($C$81:$C$86,D$81:D$86,求节点($C$4:$C$12,D$4:D$12,基础状态预期!K98)),AU85)</f>
        <v>0</v>
      </c>
      <c r="AV86" s="14">
        <f>MAX(求节点($C$81:$C$86,E$81:E$86,求节点($C$4:$C$12,E$4:E$12,基础状态预期!L98)),AV85)</f>
        <v>0</v>
      </c>
      <c r="AW86" s="14">
        <f>MAX(求节点($C$81:$C$86,F$81:F$86,求节点($C$4:$C$12,F$4:F$12,基础状态预期!M98)),AW85)</f>
        <v>0</v>
      </c>
      <c r="AX86" s="14">
        <f>MAX(求节点($C$81:$C$86,G$81:G$86,求节点($C$4:$C$12,G$4:G$12,基础状态预期!N98)),AX85)</f>
        <v>0</v>
      </c>
      <c r="AY86" s="14">
        <f>MAX(求节点($C$81:$C$86,H$81:H$86,求节点($C$4:$C$12,H$4:H$12,基础状态预期!O98)),AY85)</f>
        <v>4</v>
      </c>
      <c r="AZ86" s="14">
        <f>MAX(求节点($C$88:$C$93,D$88:D$93,求节点($C$4:$C$12,D$4:D$12,基础状态预期!K98)),AZ85)</f>
        <v>0</v>
      </c>
      <c r="BA86" s="14">
        <f>MAX(求节点($C$88:$C$93,E$88:E$93,求节点($C$4:$C$12,E$4:E$12,基础状态预期!L98)),BA85)</f>
        <v>0</v>
      </c>
      <c r="BB86" s="14">
        <f>MAX(求节点($C$88:$C$93,F$88:F$93,求节点($C$4:$C$12,F$4:F$12,基础状态预期!M98)),BB85)</f>
        <v>0</v>
      </c>
      <c r="BC86" s="14">
        <f>MAX(求节点($C$88:$C$93,G$88:G$93,求节点($C$4:$C$12,G$4:G$12,基础状态预期!N98)),BC85)</f>
        <v>0</v>
      </c>
      <c r="BD86" s="14">
        <f>MAX(求节点($C$88:$C$93,H$88:H$93,求节点($C$4:$C$12,H$4:H$12,基础状态预期!O98)),BD85)</f>
        <v>48</v>
      </c>
      <c r="BE86" s="14">
        <f t="shared" si="14"/>
        <v>395000</v>
      </c>
    </row>
    <row r="87" spans="2:69" x14ac:dyDescent="0.15">
      <c r="B87" s="169" t="s">
        <v>682</v>
      </c>
      <c r="C87" s="29" t="s">
        <v>665</v>
      </c>
      <c r="D87" s="29" t="s">
        <v>3</v>
      </c>
      <c r="E87" s="29" t="s">
        <v>1</v>
      </c>
      <c r="F87" s="29" t="s">
        <v>2</v>
      </c>
      <c r="G87" s="29" t="s">
        <v>0</v>
      </c>
      <c r="H87" s="29" t="s">
        <v>545</v>
      </c>
      <c r="I87" s="29" t="s">
        <v>30</v>
      </c>
      <c r="M87" s="16">
        <v>41</v>
      </c>
      <c r="N87" s="29">
        <f>基础状态预期!D99</f>
        <v>154.95970315183646</v>
      </c>
      <c r="O87" s="29">
        <f>IF(基础状态预期!U99="",0,MIN(求节点($C$16:$C$24,D$16:D$24,基础状态预期!K99),求节点($C$28:$C$48,D$28:D$48,基础状态预期!U99)))</f>
        <v>0</v>
      </c>
      <c r="P87" s="29">
        <f>IF(基础状态预期!V99="",0,MIN(求节点($C$16:$C$24,E$16:E$24,基础状态预期!L99),求节点($C$28:$C$48,E$28:E$48,基础状态预期!V99)))</f>
        <v>0</v>
      </c>
      <c r="Q87" s="29">
        <f>IF(基础状态预期!W99="",0,MIN(求节点($C$16:$C$24,F$16:F$24,基础状态预期!M99),求节点($C$28:$C$48,F$28:F$48,基础状态预期!W99)))</f>
        <v>0</v>
      </c>
      <c r="R87" s="29">
        <f>IF(基础状态预期!X99="",0,MIN(求节点($C$16:$C$24,G$16:G$24,基础状态预期!N99),求节点($C$28:$C$48,G$28:G$48,基础状态预期!X99)))</f>
        <v>0</v>
      </c>
      <c r="S87" s="29">
        <f>IF(基础状态预期!Y99="",0,MIN(求节点($C$16:$C$24,H$16:H$24,基础状态预期!O99),求节点($C$28:$C$48,H$28:H$48,基础状态预期!Y99)))</f>
        <v>0.45</v>
      </c>
      <c r="T87" s="29">
        <f>MAX(SUMPRODUCT(O87:S87,基础状态预期!$F99:$J99)/SUM(基础状态预期!$F99:$J99),T86)</f>
        <v>0.45</v>
      </c>
      <c r="V87" s="17">
        <v>83</v>
      </c>
      <c r="W87" s="17">
        <f t="shared" si="21"/>
        <v>0.10171687520677877</v>
      </c>
      <c r="X87" s="17">
        <f t="shared" si="22"/>
        <v>0.18000000000000002</v>
      </c>
      <c r="Y87" s="17">
        <f t="shared" si="23"/>
        <v>0.18155133376667063</v>
      </c>
      <c r="Z87" s="17">
        <f t="shared" si="24"/>
        <v>0.45</v>
      </c>
      <c r="AA87" s="17">
        <f t="shared" si="25"/>
        <v>0.45</v>
      </c>
      <c r="AO87" s="29">
        <f t="shared" si="17"/>
        <v>154.95970315183646</v>
      </c>
      <c r="AP87" s="14">
        <f>MAX(求节点($C$74:$C$79,D$74:D$79,求节点($C$4:$C$12,D$4:D$12,基础状态预期!K99)),AP86)</f>
        <v>0</v>
      </c>
      <c r="AQ87" s="14">
        <f>MAX(求节点($C$74:$C$79,E$74:E$79,求节点($C$4:$C$12,E$4:E$12,基础状态预期!L99)),AQ86)</f>
        <v>0</v>
      </c>
      <c r="AR87" s="14">
        <f>MAX(求节点($C$74:$C$79,F$74:F$79,求节点($C$4:$C$12,F$4:F$12,基础状态预期!M99)),AR86)</f>
        <v>0</v>
      </c>
      <c r="AS87" s="14">
        <f>MAX(求节点($C$74:$C$79,G$74:G$79,求节点($C$4:$C$12,G$4:G$12,基础状态预期!N99)),AS86)</f>
        <v>1</v>
      </c>
      <c r="AT87" s="14">
        <f>MAX(求节点($C$74:$C$79,H$74:H$79,求节点($C$4:$C$12,H$4:H$12,基础状态预期!O99)),AT86)</f>
        <v>2</v>
      </c>
      <c r="AU87" s="14">
        <f>MAX(求节点($C$81:$C$86,D$81:D$86,求节点($C$4:$C$12,D$4:D$12,基础状态预期!K99)),AU86)</f>
        <v>0</v>
      </c>
      <c r="AV87" s="14">
        <f>MAX(求节点($C$81:$C$86,E$81:E$86,求节点($C$4:$C$12,E$4:E$12,基础状态预期!L99)),AV86)</f>
        <v>0</v>
      </c>
      <c r="AW87" s="14">
        <f>MAX(求节点($C$81:$C$86,F$81:F$86,求节点($C$4:$C$12,F$4:F$12,基础状态预期!M99)),AW86)</f>
        <v>0</v>
      </c>
      <c r="AX87" s="14">
        <f>MAX(求节点($C$81:$C$86,G$81:G$86,求节点($C$4:$C$12,G$4:G$12,基础状态预期!N99)),AX86)</f>
        <v>0</v>
      </c>
      <c r="AY87" s="14">
        <f>MAX(求节点($C$81:$C$86,H$81:H$86,求节点($C$4:$C$12,H$4:H$12,基础状态预期!O99)),AY86)</f>
        <v>4</v>
      </c>
      <c r="AZ87" s="14">
        <f>MAX(求节点($C$88:$C$93,D$88:D$93,求节点($C$4:$C$12,D$4:D$12,基础状态预期!K99)),AZ86)</f>
        <v>0</v>
      </c>
      <c r="BA87" s="14">
        <f>MAX(求节点($C$88:$C$93,E$88:E$93,求节点($C$4:$C$12,E$4:E$12,基础状态预期!L99)),BA86)</f>
        <v>0</v>
      </c>
      <c r="BB87" s="14">
        <f>MAX(求节点($C$88:$C$93,F$88:F$93,求节点($C$4:$C$12,F$4:F$12,基础状态预期!M99)),BB86)</f>
        <v>0</v>
      </c>
      <c r="BC87" s="14">
        <f>MAX(求节点($C$88:$C$93,G$88:G$93,求节点($C$4:$C$12,G$4:G$12,基础状态预期!N99)),BC86)</f>
        <v>0</v>
      </c>
      <c r="BD87" s="14">
        <f>MAX(求节点($C$88:$C$93,H$88:H$93,求节点($C$4:$C$12,H$4:H$12,基础状态预期!O99)),BD86)</f>
        <v>48</v>
      </c>
      <c r="BE87" s="14">
        <f t="shared" si="14"/>
        <v>395000</v>
      </c>
    </row>
    <row r="88" spans="2:69" x14ac:dyDescent="0.15">
      <c r="B88" s="170"/>
      <c r="C88" s="29">
        <v>0</v>
      </c>
      <c r="D88" s="29">
        <f>SUM(D$66:D66)</f>
        <v>0</v>
      </c>
      <c r="E88" s="29">
        <f>SUM(E$66:E66)</f>
        <v>0</v>
      </c>
      <c r="F88" s="29">
        <f>SUM(F$66:F66)</f>
        <v>0</v>
      </c>
      <c r="G88" s="29">
        <f>SUM(G$66:G66)</f>
        <v>0</v>
      </c>
      <c r="H88" s="29">
        <f>SUM(H$66:H66)</f>
        <v>0</v>
      </c>
      <c r="I88" s="29">
        <f>SUM(I$66:I66)</f>
        <v>0</v>
      </c>
      <c r="M88" s="16">
        <v>42</v>
      </c>
      <c r="N88" s="29">
        <f>基础状态预期!D100</f>
        <v>157.63974470288184</v>
      </c>
      <c r="O88" s="29">
        <f>IF(基础状态预期!U100="",0,MIN(求节点($C$16:$C$24,D$16:D$24,基础状态预期!K100),求节点($C$28:$C$48,D$28:D$48,基础状态预期!U100)))</f>
        <v>0</v>
      </c>
      <c r="P88" s="29">
        <f>IF(基础状态预期!V100="",0,MIN(求节点($C$16:$C$24,E$16:E$24,基础状态预期!L100),求节点($C$28:$C$48,E$28:E$48,基础状态预期!V100)))</f>
        <v>0</v>
      </c>
      <c r="Q88" s="29">
        <f>IF(基础状态预期!W100="",0,MIN(求节点($C$16:$C$24,F$16:F$24,基础状态预期!M100),求节点($C$28:$C$48,F$28:F$48,基础状态预期!W100)))</f>
        <v>0</v>
      </c>
      <c r="R88" s="29">
        <f>IF(基础状态预期!X100="",0,MIN(求节点($C$16:$C$24,G$16:G$24,基础状态预期!N100),求节点($C$28:$C$48,G$28:G$48,基础状态预期!X100)))</f>
        <v>0</v>
      </c>
      <c r="S88" s="29">
        <f>IF(基础状态预期!Y100="",0,MIN(求节点($C$16:$C$24,H$16:H$24,基础状态预期!O100),求节点($C$28:$C$48,H$28:H$48,基础状态预期!Y100)))</f>
        <v>0.45</v>
      </c>
      <c r="T88" s="29">
        <f>MAX(SUMPRODUCT(O88:S88,基础状态预期!$F100:$J100)/SUM(基础状态预期!$F100:$J100),T87)</f>
        <v>0.45</v>
      </c>
      <c r="V88" s="17">
        <v>84</v>
      </c>
      <c r="W88" s="17">
        <f t="shared" si="21"/>
        <v>0.11916548396734809</v>
      </c>
      <c r="X88" s="17">
        <f t="shared" si="22"/>
        <v>0.18000000000000002</v>
      </c>
      <c r="Y88" s="17">
        <f t="shared" si="23"/>
        <v>0.183589004132341</v>
      </c>
      <c r="Z88" s="17">
        <f t="shared" si="24"/>
        <v>0.45</v>
      </c>
      <c r="AA88" s="17">
        <f t="shared" si="25"/>
        <v>0.45</v>
      </c>
      <c r="AO88" s="29">
        <f t="shared" si="17"/>
        <v>157.63974470288184</v>
      </c>
      <c r="AP88" s="14">
        <f>MAX(求节点($C$74:$C$79,D$74:D$79,求节点($C$4:$C$12,D$4:D$12,基础状态预期!K100)),AP87)</f>
        <v>0</v>
      </c>
      <c r="AQ88" s="14">
        <f>MAX(求节点($C$74:$C$79,E$74:E$79,求节点($C$4:$C$12,E$4:E$12,基础状态预期!L100)),AQ87)</f>
        <v>0</v>
      </c>
      <c r="AR88" s="14">
        <f>MAX(求节点($C$74:$C$79,F$74:F$79,求节点($C$4:$C$12,F$4:F$12,基础状态预期!M100)),AR87)</f>
        <v>0</v>
      </c>
      <c r="AS88" s="14">
        <f>MAX(求节点($C$74:$C$79,G$74:G$79,求节点($C$4:$C$12,G$4:G$12,基础状态预期!N100)),AS87)</f>
        <v>1</v>
      </c>
      <c r="AT88" s="14">
        <f>MAX(求节点($C$74:$C$79,H$74:H$79,求节点($C$4:$C$12,H$4:H$12,基础状态预期!O100)),AT87)</f>
        <v>2</v>
      </c>
      <c r="AU88" s="14">
        <f>MAX(求节点($C$81:$C$86,D$81:D$86,求节点($C$4:$C$12,D$4:D$12,基础状态预期!K100)),AU87)</f>
        <v>0</v>
      </c>
      <c r="AV88" s="14">
        <f>MAX(求节点($C$81:$C$86,E$81:E$86,求节点($C$4:$C$12,E$4:E$12,基础状态预期!L100)),AV87)</f>
        <v>0</v>
      </c>
      <c r="AW88" s="14">
        <f>MAX(求节点($C$81:$C$86,F$81:F$86,求节点($C$4:$C$12,F$4:F$12,基础状态预期!M100)),AW87)</f>
        <v>0</v>
      </c>
      <c r="AX88" s="14">
        <f>MAX(求节点($C$81:$C$86,G$81:G$86,求节点($C$4:$C$12,G$4:G$12,基础状态预期!N100)),AX87)</f>
        <v>0</v>
      </c>
      <c r="AY88" s="14">
        <f>MAX(求节点($C$81:$C$86,H$81:H$86,求节点($C$4:$C$12,H$4:H$12,基础状态预期!O100)),AY87)</f>
        <v>4</v>
      </c>
      <c r="AZ88" s="14">
        <f>MAX(求节点($C$88:$C$93,D$88:D$93,求节点($C$4:$C$12,D$4:D$12,基础状态预期!K100)),AZ87)</f>
        <v>0</v>
      </c>
      <c r="BA88" s="14">
        <f>MAX(求节点($C$88:$C$93,E$88:E$93,求节点($C$4:$C$12,E$4:E$12,基础状态预期!L100)),BA87)</f>
        <v>0</v>
      </c>
      <c r="BB88" s="14">
        <f>MAX(求节点($C$88:$C$93,F$88:F$93,求节点($C$4:$C$12,F$4:F$12,基础状态预期!M100)),BB87)</f>
        <v>0</v>
      </c>
      <c r="BC88" s="14">
        <f>MAX(求节点($C$88:$C$93,G$88:G$93,求节点($C$4:$C$12,G$4:G$12,基础状态预期!N100)),BC87)</f>
        <v>0</v>
      </c>
      <c r="BD88" s="14">
        <f>MAX(求节点($C$88:$C$93,H$88:H$93,求节点($C$4:$C$12,H$4:H$12,基础状态预期!O100)),BD87)</f>
        <v>48</v>
      </c>
      <c r="BE88" s="14">
        <f t="shared" si="14"/>
        <v>395000</v>
      </c>
    </row>
    <row r="89" spans="2:69" x14ac:dyDescent="0.15">
      <c r="B89" s="170"/>
      <c r="C89" s="29">
        <v>1</v>
      </c>
      <c r="D89" s="29">
        <f>SUM(D$66:D67)</f>
        <v>0</v>
      </c>
      <c r="E89" s="29">
        <f>SUM(E$66:E67)</f>
        <v>0</v>
      </c>
      <c r="F89" s="29">
        <f>SUM(F$66:F67)</f>
        <v>0</v>
      </c>
      <c r="G89" s="29">
        <f>SUM(G$66:G67)</f>
        <v>0</v>
      </c>
      <c r="H89" s="29">
        <f>SUM(H$66:H67)</f>
        <v>0</v>
      </c>
      <c r="I89" s="29">
        <f>SUM(I$66:I67)</f>
        <v>0</v>
      </c>
      <c r="M89" s="16">
        <v>43</v>
      </c>
      <c r="V89" s="17">
        <v>85</v>
      </c>
      <c r="W89" s="17">
        <f t="shared" si="21"/>
        <v>0.13818070373472777</v>
      </c>
      <c r="X89" s="17">
        <f t="shared" si="22"/>
        <v>0.18000000000000002</v>
      </c>
      <c r="Y89" s="17">
        <f t="shared" si="23"/>
        <v>0.24749733836585358</v>
      </c>
      <c r="Z89" s="17">
        <f t="shared" si="24"/>
        <v>0.45</v>
      </c>
      <c r="AA89" s="17">
        <f t="shared" si="25"/>
        <v>0.45</v>
      </c>
    </row>
    <row r="90" spans="2:69" x14ac:dyDescent="0.15">
      <c r="B90" s="170"/>
      <c r="C90" s="29">
        <v>2</v>
      </c>
      <c r="D90" s="29">
        <f>SUM(D$66:D68)</f>
        <v>0</v>
      </c>
      <c r="E90" s="29">
        <f>SUM(E$66:E68)</f>
        <v>0</v>
      </c>
      <c r="F90" s="29">
        <f>SUM(F$66:F68)</f>
        <v>0</v>
      </c>
      <c r="G90" s="29">
        <f>SUM(G$66:G68)</f>
        <v>0</v>
      </c>
      <c r="H90" s="29">
        <f>SUM(H$66:H68)</f>
        <v>0</v>
      </c>
      <c r="I90" s="29">
        <f>SUM(I$66:I68)</f>
        <v>0</v>
      </c>
      <c r="M90" s="16">
        <v>44</v>
      </c>
      <c r="V90" s="17">
        <v>86</v>
      </c>
      <c r="W90" s="17">
        <f t="shared" si="21"/>
        <v>0.15743465128316736</v>
      </c>
      <c r="X90" s="17">
        <f t="shared" si="22"/>
        <v>0.18000000000000002</v>
      </c>
      <c r="Y90" s="17">
        <f t="shared" si="23"/>
        <v>0.31423756915386591</v>
      </c>
      <c r="Z90" s="17">
        <f t="shared" si="24"/>
        <v>0.45</v>
      </c>
      <c r="AA90" s="17">
        <f t="shared" si="25"/>
        <v>0.45</v>
      </c>
    </row>
    <row r="91" spans="2:69" x14ac:dyDescent="0.15">
      <c r="B91" s="170"/>
      <c r="C91" s="29">
        <v>3</v>
      </c>
      <c r="D91" s="29">
        <f>SUM(D$66:D69)</f>
        <v>0</v>
      </c>
      <c r="E91" s="29">
        <f>SUM(E$66:E69)</f>
        <v>0</v>
      </c>
      <c r="F91" s="29">
        <f>SUM(F$66:F69)</f>
        <v>0</v>
      </c>
      <c r="G91" s="29">
        <f>SUM(G$66:G69)</f>
        <v>6</v>
      </c>
      <c r="H91" s="29">
        <f>SUM(H$66:H69)</f>
        <v>8</v>
      </c>
      <c r="I91" s="29">
        <f>SUM(I$66:I69)</f>
        <v>16</v>
      </c>
      <c r="M91" s="16">
        <v>45</v>
      </c>
      <c r="V91" s="17">
        <v>87</v>
      </c>
      <c r="W91" s="17">
        <f t="shared" si="21"/>
        <v>0.16832713061385488</v>
      </c>
      <c r="X91" s="17">
        <f t="shared" si="22"/>
        <v>0.20399163139351745</v>
      </c>
      <c r="Y91" s="17">
        <f t="shared" si="23"/>
        <v>0.35676975217306817</v>
      </c>
      <c r="Z91" s="17">
        <f t="shared" si="24"/>
        <v>0.45</v>
      </c>
      <c r="AA91" s="17">
        <f t="shared" si="25"/>
        <v>0.45</v>
      </c>
    </row>
    <row r="92" spans="2:69" x14ac:dyDescent="0.15">
      <c r="B92" s="170"/>
      <c r="C92" s="29">
        <v>4</v>
      </c>
      <c r="D92" s="29">
        <f>SUM(D$66:D70)</f>
        <v>0</v>
      </c>
      <c r="E92" s="29">
        <f>SUM(E$66:E70)</f>
        <v>0</v>
      </c>
      <c r="F92" s="29">
        <f>SUM(F$66:F70)</f>
        <v>0</v>
      </c>
      <c r="G92" s="29">
        <f>SUM(G$66:G70)</f>
        <v>6</v>
      </c>
      <c r="H92" s="29">
        <f>SUM(H$66:H70)</f>
        <v>24</v>
      </c>
      <c r="I92" s="29">
        <f>SUM(I$66:I70)</f>
        <v>48</v>
      </c>
      <c r="M92" s="16">
        <v>1</v>
      </c>
      <c r="V92" s="17">
        <v>88</v>
      </c>
      <c r="W92" s="17">
        <f t="shared" si="21"/>
        <v>0.17192441530319294</v>
      </c>
      <c r="X92" s="17">
        <f t="shared" si="22"/>
        <v>0.23585441815264052</v>
      </c>
      <c r="Y92" s="17">
        <f t="shared" si="23"/>
        <v>0.38414056824070253</v>
      </c>
      <c r="Z92" s="17">
        <f t="shared" si="24"/>
        <v>0.45</v>
      </c>
      <c r="AA92" s="17">
        <f t="shared" si="25"/>
        <v>0.45</v>
      </c>
    </row>
    <row r="93" spans="2:69" x14ac:dyDescent="0.15">
      <c r="B93" s="171"/>
      <c r="C93" s="29">
        <v>5</v>
      </c>
      <c r="D93" s="29">
        <f>SUM(D$66:D71)</f>
        <v>0</v>
      </c>
      <c r="E93" s="29">
        <f>SUM(E$66:E71)</f>
        <v>0</v>
      </c>
      <c r="F93" s="29">
        <f>SUM(F$66:F71)</f>
        <v>0</v>
      </c>
      <c r="G93" s="29">
        <f>SUM(G$66:G71)</f>
        <v>6</v>
      </c>
      <c r="H93" s="29">
        <f>SUM(H$66:H71)</f>
        <v>48</v>
      </c>
      <c r="I93" s="29">
        <f>SUM(I$66:I71)</f>
        <v>96</v>
      </c>
      <c r="M93" s="16">
        <v>2</v>
      </c>
      <c r="N93" s="14" t="s">
        <v>77</v>
      </c>
      <c r="O93" s="161" t="s">
        <v>197</v>
      </c>
      <c r="P93" s="162"/>
      <c r="Q93" s="162"/>
      <c r="R93" s="162"/>
      <c r="S93" s="162"/>
      <c r="T93" s="163"/>
      <c r="V93" s="17">
        <v>89</v>
      </c>
      <c r="W93" s="17">
        <f t="shared" si="21"/>
        <v>0.17552169999253103</v>
      </c>
      <c r="X93" s="17">
        <f t="shared" si="22"/>
        <v>0.26771720491176365</v>
      </c>
      <c r="Y93" s="17">
        <f t="shared" si="23"/>
        <v>0.41151138430833695</v>
      </c>
      <c r="Z93" s="17">
        <f t="shared" si="24"/>
        <v>0.45</v>
      </c>
      <c r="AA93" s="17">
        <f t="shared" si="25"/>
        <v>0.45</v>
      </c>
      <c r="AE93" s="29" t="s">
        <v>77</v>
      </c>
      <c r="AF93" s="14" t="s">
        <v>55</v>
      </c>
      <c r="AG93" s="14"/>
      <c r="AH93" s="160" t="s">
        <v>342</v>
      </c>
      <c r="AI93" s="160"/>
      <c r="AJ93" s="160"/>
      <c r="AO93" s="14" t="s">
        <v>77</v>
      </c>
      <c r="AP93" s="165" t="s">
        <v>677</v>
      </c>
      <c r="AQ93" s="172"/>
      <c r="AR93" s="172"/>
      <c r="AS93" s="172"/>
      <c r="AT93" s="166"/>
      <c r="AU93" s="165" t="s">
        <v>678</v>
      </c>
      <c r="AV93" s="172"/>
      <c r="AW93" s="172"/>
      <c r="AX93" s="172"/>
      <c r="AY93" s="166"/>
      <c r="AZ93" s="165" t="s">
        <v>679</v>
      </c>
      <c r="BA93" s="172"/>
      <c r="BB93" s="172"/>
      <c r="BC93" s="172"/>
      <c r="BD93" s="166"/>
      <c r="BE93" s="185" t="s">
        <v>673</v>
      </c>
      <c r="BH93" s="29" t="s">
        <v>77</v>
      </c>
      <c r="BI93" s="164" t="s">
        <v>332</v>
      </c>
      <c r="BJ93" s="164"/>
      <c r="BK93" s="164"/>
    </row>
    <row r="94" spans="2:69" x14ac:dyDescent="0.15">
      <c r="M94" s="16">
        <v>3</v>
      </c>
      <c r="N94" s="29" t="s">
        <v>478</v>
      </c>
      <c r="O94" s="29" t="s">
        <v>3</v>
      </c>
      <c r="P94" s="29" t="s">
        <v>1</v>
      </c>
      <c r="Q94" s="29" t="s">
        <v>2</v>
      </c>
      <c r="R94" s="29" t="s">
        <v>0</v>
      </c>
      <c r="S94" s="29" t="s">
        <v>545</v>
      </c>
      <c r="T94" s="29" t="s">
        <v>228</v>
      </c>
      <c r="V94" s="17">
        <v>90</v>
      </c>
      <c r="W94" s="17">
        <f t="shared" si="21"/>
        <v>0.1791189846818691</v>
      </c>
      <c r="X94" s="17">
        <f t="shared" si="22"/>
        <v>0.29957999167088672</v>
      </c>
      <c r="Y94" s="17">
        <f t="shared" si="23"/>
        <v>0.43888220037597131</v>
      </c>
      <c r="Z94" s="17">
        <f t="shared" si="24"/>
        <v>0.45</v>
      </c>
      <c r="AA94" s="17">
        <f t="shared" si="25"/>
        <v>0.45</v>
      </c>
      <c r="AE94" s="29" t="s">
        <v>478</v>
      </c>
      <c r="AF94" s="29"/>
      <c r="AG94" s="29" t="s">
        <v>197</v>
      </c>
      <c r="AH94" s="29"/>
      <c r="AI94" s="29" t="s">
        <v>197</v>
      </c>
      <c r="AJ94" s="14" t="s">
        <v>343</v>
      </c>
      <c r="AO94" s="29" t="s">
        <v>478</v>
      </c>
      <c r="AP94" s="29" t="s">
        <v>3</v>
      </c>
      <c r="AQ94" s="29" t="s">
        <v>80</v>
      </c>
      <c r="AR94" s="29" t="s">
        <v>81</v>
      </c>
      <c r="AS94" s="29" t="s">
        <v>82</v>
      </c>
      <c r="AT94" s="29" t="s">
        <v>545</v>
      </c>
      <c r="AU94" s="29" t="s">
        <v>3</v>
      </c>
      <c r="AV94" s="29" t="s">
        <v>80</v>
      </c>
      <c r="AW94" s="29" t="s">
        <v>81</v>
      </c>
      <c r="AX94" s="29" t="s">
        <v>82</v>
      </c>
      <c r="AY94" s="29" t="s">
        <v>545</v>
      </c>
      <c r="AZ94" s="29" t="s">
        <v>3</v>
      </c>
      <c r="BA94" s="29" t="s">
        <v>80</v>
      </c>
      <c r="BB94" s="29" t="s">
        <v>81</v>
      </c>
      <c r="BC94" s="29" t="s">
        <v>82</v>
      </c>
      <c r="BD94" s="29" t="s">
        <v>545</v>
      </c>
      <c r="BE94" s="186"/>
      <c r="BH94" s="29" t="s">
        <v>478</v>
      </c>
      <c r="BI94" s="29" t="s">
        <v>675</v>
      </c>
      <c r="BJ94" s="29"/>
      <c r="BK94" s="29" t="s">
        <v>203</v>
      </c>
    </row>
    <row r="95" spans="2:69" x14ac:dyDescent="0.15">
      <c r="M95" s="16">
        <v>4</v>
      </c>
      <c r="N95" s="29">
        <f>基础状态预期!D107</f>
        <v>10.099965341977441</v>
      </c>
      <c r="O95" s="29">
        <f>IF(基础状态预期!U107="",0,MIN(求节点($C$16:$C$24,D$16:D$24,基础状态预期!K107),求节点($C$28:$C$48,D$28:D$48,基础状态预期!U107)))</f>
        <v>0</v>
      </c>
      <c r="P95" s="29">
        <f>IF(基础状态预期!V107="",0,MIN(求节点($C$16:$C$24,E$16:E$24,基础状态预期!L107),求节点($C$28:$C$48,E$28:E$48,基础状态预期!V107)))</f>
        <v>0</v>
      </c>
      <c r="Q95" s="29">
        <f>IF(基础状态预期!W107="",0,MIN(求节点($C$16:$C$24,F$16:F$24,基础状态预期!M107),求节点($C$28:$C$48,F$28:F$48,基础状态预期!W107)))</f>
        <v>0</v>
      </c>
      <c r="R95" s="29">
        <f>IF(基础状态预期!X107="",0,MIN(求节点($C$16:$C$24,G$16:G$24,基础状态预期!N107),求节点($C$28:$C$48,G$28:G$48,基础状态预期!X107)))</f>
        <v>0</v>
      </c>
      <c r="S95" s="29">
        <f>IF(基础状态预期!Y107="",0,MIN(求节点($C$16:$C$24,H$16:H$24,基础状态预期!O107),求节点($C$28:$C$48,H$28:H$48,基础状态预期!Y107)))</f>
        <v>0</v>
      </c>
      <c r="T95" s="29">
        <f>MAX(SUMPRODUCT(O95:S95,基础状态预期!$F107:$J107)/SUM(基础状态预期!$F107:$J107),T94)</f>
        <v>0</v>
      </c>
      <c r="V95" s="17">
        <v>91</v>
      </c>
      <c r="W95" s="17">
        <f t="shared" si="21"/>
        <v>0.18000000000000002</v>
      </c>
      <c r="X95" s="17">
        <f t="shared" si="22"/>
        <v>0.34596014326263635</v>
      </c>
      <c r="Y95" s="17">
        <f t="shared" si="23"/>
        <v>0.45</v>
      </c>
      <c r="Z95" s="17">
        <f t="shared" si="24"/>
        <v>0.45</v>
      </c>
      <c r="AA95" s="17">
        <f t="shared" si="25"/>
        <v>0.45</v>
      </c>
      <c r="AE95" s="29">
        <v>10</v>
      </c>
      <c r="AF95" s="29"/>
      <c r="AG95" s="29">
        <f>求节点($N$95:$N$133,$T$95:$T$133,$AE95)</f>
        <v>0</v>
      </c>
      <c r="AH95" s="29"/>
      <c r="AI95" s="41">
        <f>AG95*INDEX([2]中r将兵属性验证!$AX$7:$AX$166,$AE95,1)</f>
        <v>0</v>
      </c>
      <c r="AJ95" s="14">
        <f t="shared" ref="AJ95:AJ96" si="26">SUM(AH95:AI95)</f>
        <v>0</v>
      </c>
      <c r="AO95" s="29">
        <f>$N95</f>
        <v>10.099965341977441</v>
      </c>
      <c r="AP95" s="14">
        <f>MAX(求节点($C$74:$C$79,D$74:D$79,求节点($C$4:$C$12,D$4:D$12,基础状态预期!K107)),AP94)</f>
        <v>0</v>
      </c>
      <c r="AQ95" s="14">
        <f>MAX(求节点($C$74:$C$79,E$74:E$79,求节点($C$4:$C$12,E$4:E$12,基础状态预期!L107)),AQ94)</f>
        <v>0</v>
      </c>
      <c r="AR95" s="14">
        <f>MAX(求节点($C$74:$C$79,F$74:F$79,求节点($C$4:$C$12,F$4:F$12,基础状态预期!M107)),AR94)</f>
        <v>0</v>
      </c>
      <c r="AS95" s="14">
        <f>MAX(求节点($C$74:$C$79,G$74:G$79,求节点($C$4:$C$12,G$4:G$12,基础状态预期!N107)),AS94)</f>
        <v>0</v>
      </c>
      <c r="AT95" s="14">
        <f>MAX(求节点($C$74:$C$79,H$74:H$79,求节点($C$4:$C$12,H$4:H$12,基础状态预期!O107)),AT94)</f>
        <v>0</v>
      </c>
      <c r="AU95" s="14">
        <f>MAX(求节点($C$81:$C$86,D$81:D$86,求节点($C$4:$C$12,D$4:D$12,基础状态预期!K107)),AU94)</f>
        <v>0</v>
      </c>
      <c r="AV95" s="14">
        <f>MAX(求节点($C$81:$C$86,E$81:E$86,求节点($C$4:$C$12,E$4:E$12,基础状态预期!L107)),AV94)</f>
        <v>0</v>
      </c>
      <c r="AW95" s="14">
        <f>MAX(求节点($C$81:$C$86,F$81:F$86,求节点($C$4:$C$12,F$4:F$12,基础状态预期!M107)),AW94)</f>
        <v>0</v>
      </c>
      <c r="AX95" s="14">
        <f>MAX(求节点($C$81:$C$86,G$81:G$86,求节点($C$4:$C$12,G$4:G$12,基础状态预期!N107)),AX94)</f>
        <v>0</v>
      </c>
      <c r="AY95" s="14">
        <f>MAX(求节点($C$81:$C$86,H$81:H$86,求节点($C$4:$C$12,H$4:H$12,基础状态预期!O107)),AY94)</f>
        <v>0</v>
      </c>
      <c r="AZ95" s="14">
        <f>MAX(求节点($C$88:$C$93,D$88:D$93,求节点($C$4:$C$12,D$4:D$12,基础状态预期!K107)),AZ94)</f>
        <v>0</v>
      </c>
      <c r="BA95" s="14">
        <f>MAX(求节点($C$88:$C$93,E$88:E$93,求节点($C$4:$C$12,E$4:E$12,基础状态预期!L107)),BA94)</f>
        <v>0</v>
      </c>
      <c r="BB95" s="14">
        <f>MAX(求节点($C$88:$C$93,F$88:F$93,求节点($C$4:$C$12,F$4:F$12,基础状态预期!M107)),BB94)</f>
        <v>0</v>
      </c>
      <c r="BC95" s="14">
        <f>MAX(求节点($C$88:$C$93,G$88:G$93,求节点($C$4:$C$12,G$4:G$12,基础状态预期!N107)),BC94)</f>
        <v>0</v>
      </c>
      <c r="BD95" s="14">
        <f>MAX(求节点($C$88:$C$93,H$88:H$93,求节点($C$4:$C$12,H$4:H$12,基础状态预期!O107)),BD94)</f>
        <v>0</v>
      </c>
      <c r="BE95" s="14">
        <f t="shared" ref="BE95:BE133" si="27">SUM(AP95:AT95)*$D$97+
SUM(AU95:AY95)*$D$98+
SUM(AZ95:BD95)*$D$99</f>
        <v>0</v>
      </c>
      <c r="BH95" s="29">
        <v>10</v>
      </c>
      <c r="BI95" s="29">
        <f t="shared" ref="BI95:BI110" si="28">求节点($AO$95:$AO$133,$BE$95:$BE$133,$BH95)</f>
        <v>0</v>
      </c>
      <c r="BJ95" s="29"/>
      <c r="BK95" s="29">
        <f>SUM(BI95:BJ95)</f>
        <v>0</v>
      </c>
      <c r="BM95" s="17">
        <f>求节点($C$4:$C$12,D$4:D$12,基础状态预期!K107)</f>
        <v>0</v>
      </c>
      <c r="BN95" s="17">
        <f>求节点($C$4:$C$12,E$4:E$12,基础状态预期!L107)</f>
        <v>0</v>
      </c>
      <c r="BO95" s="17">
        <f>求节点($C$4:$C$12,F$4:F$12,基础状态预期!M107)</f>
        <v>0</v>
      </c>
      <c r="BP95" s="17">
        <f>求节点($C$4:$C$12,G$4:G$12,基础状态预期!N107)</f>
        <v>0</v>
      </c>
      <c r="BQ95" s="17">
        <f>求节点($C$4:$C$12,H$4:H$12,基础状态预期!O107)</f>
        <v>0</v>
      </c>
    </row>
    <row r="96" spans="2:69" x14ac:dyDescent="0.15">
      <c r="B96" s="184" t="s">
        <v>666</v>
      </c>
      <c r="C96" s="29" t="s">
        <v>670</v>
      </c>
      <c r="D96" s="29" t="s">
        <v>671</v>
      </c>
      <c r="M96" s="16">
        <v>5</v>
      </c>
      <c r="N96" s="29">
        <f>基础状态预期!D108</f>
        <v>19.800198258084681</v>
      </c>
      <c r="O96" s="29">
        <f>IF(基础状态预期!U108="",0,MIN(求节点($C$16:$C$24,D$16:D$24,基础状态预期!K108),求节点($C$28:$C$48,D$28:D$48,基础状态预期!U108)))</f>
        <v>0</v>
      </c>
      <c r="P96" s="29">
        <f>IF(基础状态预期!V108="",0,MIN(求节点($C$16:$C$24,E$16:E$24,基础状态预期!L108),求节点($C$28:$C$48,E$28:E$48,基础状态预期!V108)))</f>
        <v>0</v>
      </c>
      <c r="Q96" s="29">
        <f>IF(基础状态预期!W108="",0,MIN(求节点($C$16:$C$24,F$16:F$24,基础状态预期!M108),求节点($C$28:$C$48,F$28:F$48,基础状态预期!W108)))</f>
        <v>0</v>
      </c>
      <c r="R96" s="29">
        <f>IF(基础状态预期!X108="",0,MIN(求节点($C$16:$C$24,G$16:G$24,基础状态预期!N108),求节点($C$28:$C$48,G$28:G$48,基础状态预期!X108)))</f>
        <v>0</v>
      </c>
      <c r="S96" s="29">
        <f>IF(基础状态预期!Y108="",0,MIN(求节点($C$16:$C$24,H$16:H$24,基础状态预期!O108),求节点($C$28:$C$48,H$28:H$48,基础状态预期!Y108)))</f>
        <v>0</v>
      </c>
      <c r="T96" s="29">
        <f>MAX(SUMPRODUCT(O96:S96,基础状态预期!$F108:$J108)/SUM(基础状态预期!$F108:$J108),T95)</f>
        <v>0</v>
      </c>
      <c r="V96" s="17">
        <v>92</v>
      </c>
      <c r="W96" s="17">
        <f t="shared" si="21"/>
        <v>0.18000000000000002</v>
      </c>
      <c r="X96" s="17">
        <f t="shared" si="22"/>
        <v>0.39437226346890464</v>
      </c>
      <c r="Y96" s="17">
        <f t="shared" si="23"/>
        <v>0.45</v>
      </c>
      <c r="Z96" s="17">
        <f t="shared" si="24"/>
        <v>0.45</v>
      </c>
      <c r="AA96" s="17">
        <f t="shared" si="25"/>
        <v>0.45</v>
      </c>
      <c r="AE96" s="29">
        <v>20</v>
      </c>
      <c r="AF96" s="29"/>
      <c r="AG96" s="29">
        <f t="shared" ref="AG96:AG110" si="29">求节点($N$95:$N$133,$T$95:$T$133,$AE96)</f>
        <v>0</v>
      </c>
      <c r="AH96" s="29"/>
      <c r="AI96" s="29">
        <f>(AG96-AG95)*INDEX([2]中r将兵属性验证!$AX$7:$AX$166,$AE96,1)+AI95</f>
        <v>0</v>
      </c>
      <c r="AJ96" s="14">
        <f t="shared" si="26"/>
        <v>0</v>
      </c>
      <c r="AO96" s="29">
        <f t="shared" ref="AO96:AO133" si="30">$N96</f>
        <v>19.800198258084681</v>
      </c>
      <c r="AP96" s="14">
        <f>MAX(求节点($C$74:$C$79,D$74:D$79,求节点($C$4:$C$12,D$4:D$12,基础状态预期!K108)),AP95)</f>
        <v>0</v>
      </c>
      <c r="AQ96" s="14">
        <f>MAX(求节点($C$74:$C$79,E$74:E$79,求节点($C$4:$C$12,E$4:E$12,基础状态预期!L108)),AQ95)</f>
        <v>0</v>
      </c>
      <c r="AR96" s="14">
        <f>MAX(求节点($C$74:$C$79,F$74:F$79,求节点($C$4:$C$12,F$4:F$12,基础状态预期!M108)),AR95)</f>
        <v>0</v>
      </c>
      <c r="AS96" s="14">
        <f>MAX(求节点($C$74:$C$79,G$74:G$79,求节点($C$4:$C$12,G$4:G$12,基础状态预期!N108)),AS95)</f>
        <v>0</v>
      </c>
      <c r="AT96" s="14">
        <f>MAX(求节点($C$74:$C$79,H$74:H$79,求节点($C$4:$C$12,H$4:H$12,基础状态预期!O108)),AT95)</f>
        <v>0</v>
      </c>
      <c r="AU96" s="14">
        <f>MAX(求节点($C$81:$C$86,D$81:D$86,求节点($C$4:$C$12,D$4:D$12,基础状态预期!K108)),AU95)</f>
        <v>0</v>
      </c>
      <c r="AV96" s="14">
        <f>MAX(求节点($C$81:$C$86,E$81:E$86,求节点($C$4:$C$12,E$4:E$12,基础状态预期!L108)),AV95)</f>
        <v>0</v>
      </c>
      <c r="AW96" s="14">
        <f>MAX(求节点($C$81:$C$86,F$81:F$86,求节点($C$4:$C$12,F$4:F$12,基础状态预期!M108)),AW95)</f>
        <v>0</v>
      </c>
      <c r="AX96" s="14">
        <f>MAX(求节点($C$81:$C$86,G$81:G$86,求节点($C$4:$C$12,G$4:G$12,基础状态预期!N108)),AX95)</f>
        <v>0</v>
      </c>
      <c r="AY96" s="14">
        <f>MAX(求节点($C$81:$C$86,H$81:H$86,求节点($C$4:$C$12,H$4:H$12,基础状态预期!O108)),AY95)</f>
        <v>0</v>
      </c>
      <c r="AZ96" s="14">
        <f>MAX(求节点($C$88:$C$93,D$88:D$93,求节点($C$4:$C$12,D$4:D$12,基础状态预期!K108)),AZ95)</f>
        <v>0</v>
      </c>
      <c r="BA96" s="14">
        <f>MAX(求节点($C$88:$C$93,E$88:E$93,求节点($C$4:$C$12,E$4:E$12,基础状态预期!L108)),BA95)</f>
        <v>0</v>
      </c>
      <c r="BB96" s="14">
        <f>MAX(求节点($C$88:$C$93,F$88:F$93,求节点($C$4:$C$12,F$4:F$12,基础状态预期!M108)),BB95)</f>
        <v>0</v>
      </c>
      <c r="BC96" s="14">
        <f>MAX(求节点($C$88:$C$93,G$88:G$93,求节点($C$4:$C$12,G$4:G$12,基础状态预期!N108)),BC95)</f>
        <v>0</v>
      </c>
      <c r="BD96" s="14">
        <f>MAX(求节点($C$88:$C$93,H$88:H$93,求节点($C$4:$C$12,H$4:H$12,基础状态预期!O108)),BD95)</f>
        <v>0</v>
      </c>
      <c r="BE96" s="14">
        <f t="shared" si="27"/>
        <v>0</v>
      </c>
      <c r="BH96" s="29">
        <v>20</v>
      </c>
      <c r="BI96" s="29">
        <f t="shared" si="28"/>
        <v>0</v>
      </c>
      <c r="BJ96" s="29"/>
      <c r="BK96" s="29">
        <f t="shared" ref="BK96:BK104" si="31">SUM(BI96:BJ96)</f>
        <v>0</v>
      </c>
      <c r="BM96" s="17">
        <f>求节点($C$4:$C$12,D$4:D$12,基础状态预期!K108)</f>
        <v>0</v>
      </c>
      <c r="BN96" s="17">
        <f>求节点($C$4:$C$12,E$4:E$12,基础状态预期!L108)</f>
        <v>0</v>
      </c>
      <c r="BO96" s="17">
        <f>求节点($C$4:$C$12,F$4:F$12,基础状态预期!M108)</f>
        <v>0</v>
      </c>
      <c r="BP96" s="17">
        <f>求节点($C$4:$C$12,G$4:G$12,基础状态预期!N108)</f>
        <v>0</v>
      </c>
      <c r="BQ96" s="17">
        <f>求节点($C$4:$C$12,H$4:H$12,基础状态预期!O108)</f>
        <v>0</v>
      </c>
    </row>
    <row r="97" spans="2:69" x14ac:dyDescent="0.15">
      <c r="B97" s="184"/>
      <c r="C97" s="29" t="s">
        <v>667</v>
      </c>
      <c r="D97" s="29">
        <v>1000</v>
      </c>
      <c r="M97" s="16">
        <v>6</v>
      </c>
      <c r="N97" s="29">
        <f>基础状态预期!D109</f>
        <v>27.769105021676069</v>
      </c>
      <c r="O97" s="29">
        <f>IF(基础状态预期!U109="",0,MIN(求节点($C$16:$C$24,D$16:D$24,基础状态预期!K109),求节点($C$28:$C$48,D$28:D$48,基础状态预期!U109)))</f>
        <v>0</v>
      </c>
      <c r="P97" s="29">
        <f>IF(基础状态预期!V109="",0,MIN(求节点($C$16:$C$24,E$16:E$24,基础状态预期!L109),求节点($C$28:$C$48,E$28:E$48,基础状态预期!V109)))</f>
        <v>0</v>
      </c>
      <c r="Q97" s="29">
        <f>IF(基础状态预期!W109="",0,MIN(求节点($C$16:$C$24,F$16:F$24,基础状态预期!M109),求节点($C$28:$C$48,F$28:F$48,基础状态预期!W109)))</f>
        <v>0</v>
      </c>
      <c r="R97" s="29">
        <f>IF(基础状态预期!X109="",0,MIN(求节点($C$16:$C$24,G$16:G$24,基础状态预期!N109),求节点($C$28:$C$48,G$28:G$48,基础状态预期!X109)))</f>
        <v>0</v>
      </c>
      <c r="S97" s="29">
        <f>IF(基础状态预期!Y109="",0,MIN(求节点($C$16:$C$24,H$16:H$24,基础状态预期!O109),求节点($C$28:$C$48,H$28:H$48,基础状态预期!Y109)))</f>
        <v>0</v>
      </c>
      <c r="T97" s="29">
        <f>MAX(SUMPRODUCT(O97:S97,基础状态预期!$F109:$J109)/SUM(基础状态预期!$F109:$J109),T96)</f>
        <v>0</v>
      </c>
      <c r="V97" s="17">
        <v>93</v>
      </c>
      <c r="W97" s="17">
        <f t="shared" si="21"/>
        <v>0.18000000000000002</v>
      </c>
      <c r="X97" s="17">
        <f t="shared" si="22"/>
        <v>0.44278438367517292</v>
      </c>
      <c r="Y97" s="17">
        <f t="shared" si="23"/>
        <v>0.45</v>
      </c>
      <c r="Z97" s="17">
        <f t="shared" si="24"/>
        <v>0.45</v>
      </c>
      <c r="AA97" s="17">
        <f t="shared" si="25"/>
        <v>0.45</v>
      </c>
      <c r="AE97" s="29">
        <v>30</v>
      </c>
      <c r="AF97" s="29"/>
      <c r="AG97" s="29">
        <f t="shared" si="29"/>
        <v>0</v>
      </c>
      <c r="AH97" s="29"/>
      <c r="AI97" s="29">
        <f>(AG97-AG96)*INDEX([2]中r将兵属性验证!$AX$7:$AX$166,$AE97,1)+AI96</f>
        <v>0</v>
      </c>
      <c r="AJ97" s="14">
        <f t="shared" ref="AJ97:AJ110" si="32">SUM(AH97:AI97)</f>
        <v>0</v>
      </c>
      <c r="AO97" s="29">
        <f t="shared" si="30"/>
        <v>27.769105021676069</v>
      </c>
      <c r="AP97" s="14">
        <f>MAX(求节点($C$74:$C$79,D$74:D$79,求节点($C$4:$C$12,D$4:D$12,基础状态预期!K109)),AP96)</f>
        <v>0</v>
      </c>
      <c r="AQ97" s="14">
        <f>MAX(求节点($C$74:$C$79,E$74:E$79,求节点($C$4:$C$12,E$4:E$12,基础状态预期!L109)),AQ96)</f>
        <v>0</v>
      </c>
      <c r="AR97" s="14">
        <f>MAX(求节点($C$74:$C$79,F$74:F$79,求节点($C$4:$C$12,F$4:F$12,基础状态预期!M109)),AR96)</f>
        <v>0</v>
      </c>
      <c r="AS97" s="14">
        <f>MAX(求节点($C$74:$C$79,G$74:G$79,求节点($C$4:$C$12,G$4:G$12,基础状态预期!N109)),AS96)</f>
        <v>0</v>
      </c>
      <c r="AT97" s="14">
        <f>MAX(求节点($C$74:$C$79,H$74:H$79,求节点($C$4:$C$12,H$4:H$12,基础状态预期!O109)),AT96)</f>
        <v>0</v>
      </c>
      <c r="AU97" s="14">
        <f>MAX(求节点($C$81:$C$86,D$81:D$86,求节点($C$4:$C$12,D$4:D$12,基础状态预期!K109)),AU96)</f>
        <v>0</v>
      </c>
      <c r="AV97" s="14">
        <f>MAX(求节点($C$81:$C$86,E$81:E$86,求节点($C$4:$C$12,E$4:E$12,基础状态预期!L109)),AV96)</f>
        <v>0</v>
      </c>
      <c r="AW97" s="14">
        <f>MAX(求节点($C$81:$C$86,F$81:F$86,求节点($C$4:$C$12,F$4:F$12,基础状态预期!M109)),AW96)</f>
        <v>0</v>
      </c>
      <c r="AX97" s="14">
        <f>MAX(求节点($C$81:$C$86,G$81:G$86,求节点($C$4:$C$12,G$4:G$12,基础状态预期!N109)),AX96)</f>
        <v>0</v>
      </c>
      <c r="AY97" s="14">
        <f>MAX(求节点($C$81:$C$86,H$81:H$86,求节点($C$4:$C$12,H$4:H$12,基础状态预期!O109)),AY96)</f>
        <v>0</v>
      </c>
      <c r="AZ97" s="14">
        <f>MAX(求节点($C$88:$C$93,D$88:D$93,求节点($C$4:$C$12,D$4:D$12,基础状态预期!K109)),AZ96)</f>
        <v>0</v>
      </c>
      <c r="BA97" s="14">
        <f>MAX(求节点($C$88:$C$93,E$88:E$93,求节点($C$4:$C$12,E$4:E$12,基础状态预期!L109)),BA96)</f>
        <v>0</v>
      </c>
      <c r="BB97" s="14">
        <f>MAX(求节点($C$88:$C$93,F$88:F$93,求节点($C$4:$C$12,F$4:F$12,基础状态预期!M109)),BB96)</f>
        <v>0</v>
      </c>
      <c r="BC97" s="14">
        <f>MAX(求节点($C$88:$C$93,G$88:G$93,求节点($C$4:$C$12,G$4:G$12,基础状态预期!N109)),BC96)</f>
        <v>0</v>
      </c>
      <c r="BD97" s="14">
        <f>MAX(求节点($C$88:$C$93,H$88:H$93,求节点($C$4:$C$12,H$4:H$12,基础状态预期!O109)),BD96)</f>
        <v>0</v>
      </c>
      <c r="BE97" s="14">
        <f t="shared" si="27"/>
        <v>0</v>
      </c>
      <c r="BH97" s="29">
        <v>30</v>
      </c>
      <c r="BI97" s="29">
        <f t="shared" si="28"/>
        <v>0</v>
      </c>
      <c r="BJ97" s="29"/>
      <c r="BK97" s="29">
        <f t="shared" si="31"/>
        <v>0</v>
      </c>
      <c r="BM97" s="17">
        <f>求节点($C$4:$C$12,D$4:D$12,基础状态预期!K109)</f>
        <v>0</v>
      </c>
      <c r="BN97" s="17">
        <f>求节点($C$4:$C$12,E$4:E$12,基础状态预期!L109)</f>
        <v>0</v>
      </c>
      <c r="BO97" s="17">
        <f>求节点($C$4:$C$12,F$4:F$12,基础状态预期!M109)</f>
        <v>0</v>
      </c>
      <c r="BP97" s="17">
        <f>求节点($C$4:$C$12,G$4:G$12,基础状态预期!N109)</f>
        <v>0</v>
      </c>
      <c r="BQ97" s="17">
        <f>求节点($C$4:$C$12,H$4:H$12,基础状态预期!O109)</f>
        <v>0</v>
      </c>
    </row>
    <row r="98" spans="2:69" x14ac:dyDescent="0.15">
      <c r="B98" s="184"/>
      <c r="C98" s="29" t="s">
        <v>668</v>
      </c>
      <c r="D98" s="29">
        <v>2000</v>
      </c>
      <c r="M98" s="16">
        <v>7</v>
      </c>
      <c r="N98" s="29">
        <f>基础状态预期!D110</f>
        <v>34.192155176139416</v>
      </c>
      <c r="O98" s="29">
        <f>IF(基础状态预期!U110="",0,MIN(求节点($C$16:$C$24,D$16:D$24,基础状态预期!K110),求节点($C$28:$C$48,D$28:D$48,基础状态预期!U110)))</f>
        <v>0</v>
      </c>
      <c r="P98" s="29">
        <f>IF(基础状态预期!V110="",0,MIN(求节点($C$16:$C$24,E$16:E$24,基础状态预期!L110),求节点($C$28:$C$48,E$28:E$48,基础状态预期!V110)))</f>
        <v>0</v>
      </c>
      <c r="Q98" s="29">
        <f>IF(基础状态预期!W110="",0,MIN(求节点($C$16:$C$24,F$16:F$24,基础状态预期!M110),求节点($C$28:$C$48,F$28:F$48,基础状态预期!W110)))</f>
        <v>0</v>
      </c>
      <c r="R98" s="29">
        <f>IF(基础状态预期!X110="",0,MIN(求节点($C$16:$C$24,G$16:G$24,基础状态预期!N110),求节点($C$28:$C$48,G$28:G$48,基础状态预期!X110)))</f>
        <v>0</v>
      </c>
      <c r="S98" s="29">
        <f>IF(基础状态预期!Y110="",0,MIN(求节点($C$16:$C$24,H$16:H$24,基础状态预期!O110),求节点($C$28:$C$48,H$28:H$48,基础状态预期!Y110)))</f>
        <v>0</v>
      </c>
      <c r="T98" s="29">
        <f>MAX(SUMPRODUCT(O98:S98,基础状态预期!$F110:$J110)/SUM(基础状态预期!$F110:$J110),T97)</f>
        <v>0</v>
      </c>
      <c r="V98" s="17">
        <v>94</v>
      </c>
      <c r="W98" s="17">
        <f t="shared" si="21"/>
        <v>0.18000000000000002</v>
      </c>
      <c r="X98" s="17">
        <f t="shared" si="22"/>
        <v>0.45</v>
      </c>
      <c r="Y98" s="17">
        <f t="shared" si="23"/>
        <v>0.45</v>
      </c>
      <c r="Z98" s="17">
        <f t="shared" si="24"/>
        <v>0.45</v>
      </c>
      <c r="AA98" s="17">
        <f t="shared" si="25"/>
        <v>0.45</v>
      </c>
      <c r="AE98" s="29">
        <v>40</v>
      </c>
      <c r="AF98" s="29"/>
      <c r="AG98" s="29">
        <f t="shared" si="29"/>
        <v>0</v>
      </c>
      <c r="AH98" s="29"/>
      <c r="AI98" s="29">
        <f>(AG98-AG97)*INDEX([2]中r将兵属性验证!$AX$7:$AX$166,$AE98,1)+AI97</f>
        <v>0</v>
      </c>
      <c r="AJ98" s="14">
        <f t="shared" si="32"/>
        <v>0</v>
      </c>
      <c r="AO98" s="29">
        <f t="shared" si="30"/>
        <v>34.192155176139416</v>
      </c>
      <c r="AP98" s="14">
        <f>MAX(求节点($C$74:$C$79,D$74:D$79,求节点($C$4:$C$12,D$4:D$12,基础状态预期!K110)),AP97)</f>
        <v>0</v>
      </c>
      <c r="AQ98" s="14">
        <f>MAX(求节点($C$74:$C$79,E$74:E$79,求节点($C$4:$C$12,E$4:E$12,基础状态预期!L110)),AQ97)</f>
        <v>0</v>
      </c>
      <c r="AR98" s="14">
        <f>MAX(求节点($C$74:$C$79,F$74:F$79,求节点($C$4:$C$12,F$4:F$12,基础状态预期!M110)),AR97)</f>
        <v>0</v>
      </c>
      <c r="AS98" s="14">
        <f>MAX(求节点($C$74:$C$79,G$74:G$79,求节点($C$4:$C$12,G$4:G$12,基础状态预期!N110)),AS97)</f>
        <v>0</v>
      </c>
      <c r="AT98" s="14">
        <f>MAX(求节点($C$74:$C$79,H$74:H$79,求节点($C$4:$C$12,H$4:H$12,基础状态预期!O110)),AT97)</f>
        <v>0</v>
      </c>
      <c r="AU98" s="14">
        <f>MAX(求节点($C$81:$C$86,D$81:D$86,求节点($C$4:$C$12,D$4:D$12,基础状态预期!K110)),AU97)</f>
        <v>0</v>
      </c>
      <c r="AV98" s="14">
        <f>MAX(求节点($C$81:$C$86,E$81:E$86,求节点($C$4:$C$12,E$4:E$12,基础状态预期!L110)),AV97)</f>
        <v>0</v>
      </c>
      <c r="AW98" s="14">
        <f>MAX(求节点($C$81:$C$86,F$81:F$86,求节点($C$4:$C$12,F$4:F$12,基础状态预期!M110)),AW97)</f>
        <v>0</v>
      </c>
      <c r="AX98" s="14">
        <f>MAX(求节点($C$81:$C$86,G$81:G$86,求节点($C$4:$C$12,G$4:G$12,基础状态预期!N110)),AX97)</f>
        <v>0</v>
      </c>
      <c r="AY98" s="14">
        <f>MAX(求节点($C$81:$C$86,H$81:H$86,求节点($C$4:$C$12,H$4:H$12,基础状态预期!O110)),AY97)</f>
        <v>0</v>
      </c>
      <c r="AZ98" s="14">
        <f>MAX(求节点($C$88:$C$93,D$88:D$93,求节点($C$4:$C$12,D$4:D$12,基础状态预期!K110)),AZ97)</f>
        <v>0</v>
      </c>
      <c r="BA98" s="14">
        <f>MAX(求节点($C$88:$C$93,E$88:E$93,求节点($C$4:$C$12,E$4:E$12,基础状态预期!L110)),BA97)</f>
        <v>0</v>
      </c>
      <c r="BB98" s="14">
        <f>MAX(求节点($C$88:$C$93,F$88:F$93,求节点($C$4:$C$12,F$4:F$12,基础状态预期!M110)),BB97)</f>
        <v>0</v>
      </c>
      <c r="BC98" s="14">
        <f>MAX(求节点($C$88:$C$93,G$88:G$93,求节点($C$4:$C$12,G$4:G$12,基础状态预期!N110)),BC97)</f>
        <v>0</v>
      </c>
      <c r="BD98" s="14">
        <f>MAX(求节点($C$88:$C$93,H$88:H$93,求节点($C$4:$C$12,H$4:H$12,基础状态预期!O110)),BD97)</f>
        <v>0</v>
      </c>
      <c r="BE98" s="14">
        <f t="shared" si="27"/>
        <v>0</v>
      </c>
      <c r="BH98" s="29">
        <v>40</v>
      </c>
      <c r="BI98" s="29">
        <f t="shared" si="28"/>
        <v>0</v>
      </c>
      <c r="BJ98" s="29"/>
      <c r="BK98" s="29">
        <f t="shared" si="31"/>
        <v>0</v>
      </c>
      <c r="BM98" s="17">
        <f>求节点($C$4:$C$12,D$4:D$12,基础状态预期!K110)</f>
        <v>0</v>
      </c>
      <c r="BN98" s="17">
        <f>求节点($C$4:$C$12,E$4:E$12,基础状态预期!L110)</f>
        <v>0</v>
      </c>
      <c r="BO98" s="17">
        <f>求节点($C$4:$C$12,F$4:F$12,基础状态预期!M110)</f>
        <v>0</v>
      </c>
      <c r="BP98" s="17">
        <f>求节点($C$4:$C$12,G$4:G$12,基础状态预期!N110)</f>
        <v>0</v>
      </c>
      <c r="BQ98" s="17">
        <f>求节点($C$4:$C$12,H$4:H$12,基础状态预期!O110)</f>
        <v>0</v>
      </c>
    </row>
    <row r="99" spans="2:69" x14ac:dyDescent="0.15">
      <c r="B99" s="184"/>
      <c r="C99" s="29" t="s">
        <v>669</v>
      </c>
      <c r="D99" s="29">
        <v>8000</v>
      </c>
      <c r="M99" s="16">
        <v>8</v>
      </c>
      <c r="N99" s="29">
        <f>基础状态预期!D111</f>
        <v>39.631851677253941</v>
      </c>
      <c r="O99" s="29">
        <f>IF(基础状态预期!U111="",0,MIN(求节点($C$16:$C$24,D$16:D$24,基础状态预期!K111),求节点($C$28:$C$48,D$28:D$48,基础状态预期!U111)))</f>
        <v>0</v>
      </c>
      <c r="P99" s="29">
        <f>IF(基础状态预期!V111="",0,MIN(求节点($C$16:$C$24,E$16:E$24,基础状态预期!L111),求节点($C$28:$C$48,E$28:E$48,基础状态预期!V111)))</f>
        <v>0</v>
      </c>
      <c r="Q99" s="29">
        <f>IF(基础状态预期!W111="",0,MIN(求节点($C$16:$C$24,F$16:F$24,基础状态预期!M111),求节点($C$28:$C$48,F$28:F$48,基础状态预期!W111)))</f>
        <v>0</v>
      </c>
      <c r="R99" s="29">
        <f>IF(基础状态预期!X111="",0,MIN(求节点($C$16:$C$24,G$16:G$24,基础状态预期!N111),求节点($C$28:$C$48,G$28:G$48,基础状态预期!X111)))</f>
        <v>0</v>
      </c>
      <c r="S99" s="29">
        <f>IF(基础状态预期!Y111="",0,MIN(求节点($C$16:$C$24,H$16:H$24,基础状态预期!O111),求节点($C$28:$C$48,H$28:H$48,基础状态预期!Y111)))</f>
        <v>0</v>
      </c>
      <c r="T99" s="29">
        <f>MAX(SUMPRODUCT(O99:S99,基础状态预期!$F111:$J111)/SUM(基础状态预期!$F111:$J111),T98)</f>
        <v>0</v>
      </c>
      <c r="V99" s="17">
        <v>95</v>
      </c>
      <c r="W99" s="17">
        <f t="shared" si="21"/>
        <v>0.18000000000000002</v>
      </c>
      <c r="X99" s="17">
        <f t="shared" si="22"/>
        <v>0.45</v>
      </c>
      <c r="Y99" s="17">
        <f t="shared" si="23"/>
        <v>0.45</v>
      </c>
      <c r="Z99" s="17">
        <f t="shared" si="24"/>
        <v>0.45</v>
      </c>
      <c r="AA99" s="17">
        <f t="shared" si="25"/>
        <v>0.45</v>
      </c>
      <c r="AE99" s="29">
        <v>50</v>
      </c>
      <c r="AF99" s="29"/>
      <c r="AG99" s="29">
        <f t="shared" si="29"/>
        <v>0</v>
      </c>
      <c r="AH99" s="29"/>
      <c r="AI99" s="29">
        <f>(AG99-AG98)*INDEX([2]中r将兵属性验证!$AX$7:$AX$166,$AE99,1)+AI98</f>
        <v>0</v>
      </c>
      <c r="AJ99" s="14">
        <f t="shared" si="32"/>
        <v>0</v>
      </c>
      <c r="AO99" s="29">
        <f t="shared" si="30"/>
        <v>39.631851677253941</v>
      </c>
      <c r="AP99" s="14">
        <f>MAX(求节点($C$74:$C$79,D$74:D$79,求节点($C$4:$C$12,D$4:D$12,基础状态预期!K111)),AP98)</f>
        <v>0</v>
      </c>
      <c r="AQ99" s="14">
        <f>MAX(求节点($C$74:$C$79,E$74:E$79,求节点($C$4:$C$12,E$4:E$12,基础状态预期!L111)),AQ98)</f>
        <v>0</v>
      </c>
      <c r="AR99" s="14">
        <f>MAX(求节点($C$74:$C$79,F$74:F$79,求节点($C$4:$C$12,F$4:F$12,基础状态预期!M111)),AR98)</f>
        <v>0</v>
      </c>
      <c r="AS99" s="14">
        <f>MAX(求节点($C$74:$C$79,G$74:G$79,求节点($C$4:$C$12,G$4:G$12,基础状态预期!N111)),AS98)</f>
        <v>0</v>
      </c>
      <c r="AT99" s="14">
        <f>MAX(求节点($C$74:$C$79,H$74:H$79,求节点($C$4:$C$12,H$4:H$12,基础状态预期!O111)),AT98)</f>
        <v>0</v>
      </c>
      <c r="AU99" s="14">
        <f>MAX(求节点($C$81:$C$86,D$81:D$86,求节点($C$4:$C$12,D$4:D$12,基础状态预期!K111)),AU98)</f>
        <v>0</v>
      </c>
      <c r="AV99" s="14">
        <f>MAX(求节点($C$81:$C$86,E$81:E$86,求节点($C$4:$C$12,E$4:E$12,基础状态预期!L111)),AV98)</f>
        <v>0</v>
      </c>
      <c r="AW99" s="14">
        <f>MAX(求节点($C$81:$C$86,F$81:F$86,求节点($C$4:$C$12,F$4:F$12,基础状态预期!M111)),AW98)</f>
        <v>0</v>
      </c>
      <c r="AX99" s="14">
        <f>MAX(求节点($C$81:$C$86,G$81:G$86,求节点($C$4:$C$12,G$4:G$12,基础状态预期!N111)),AX98)</f>
        <v>0</v>
      </c>
      <c r="AY99" s="14">
        <f>MAX(求节点($C$81:$C$86,H$81:H$86,求节点($C$4:$C$12,H$4:H$12,基础状态预期!O111)),AY98)</f>
        <v>0</v>
      </c>
      <c r="AZ99" s="14">
        <f>MAX(求节点($C$88:$C$93,D$88:D$93,求节点($C$4:$C$12,D$4:D$12,基础状态预期!K111)),AZ98)</f>
        <v>0</v>
      </c>
      <c r="BA99" s="14">
        <f>MAX(求节点($C$88:$C$93,E$88:E$93,求节点($C$4:$C$12,E$4:E$12,基础状态预期!L111)),BA98)</f>
        <v>0</v>
      </c>
      <c r="BB99" s="14">
        <f>MAX(求节点($C$88:$C$93,F$88:F$93,求节点($C$4:$C$12,F$4:F$12,基础状态预期!M111)),BB98)</f>
        <v>0</v>
      </c>
      <c r="BC99" s="14">
        <f>MAX(求节点($C$88:$C$93,G$88:G$93,求节点($C$4:$C$12,G$4:G$12,基础状态预期!N111)),BC98)</f>
        <v>0</v>
      </c>
      <c r="BD99" s="14">
        <f>MAX(求节点($C$88:$C$93,H$88:H$93,求节点($C$4:$C$12,H$4:H$12,基础状态预期!O111)),BD98)</f>
        <v>0</v>
      </c>
      <c r="BE99" s="14">
        <f t="shared" si="27"/>
        <v>0</v>
      </c>
      <c r="BH99" s="29">
        <v>50</v>
      </c>
      <c r="BI99" s="29">
        <f t="shared" si="28"/>
        <v>352.78184399254019</v>
      </c>
      <c r="BJ99" s="29"/>
      <c r="BK99" s="29">
        <f t="shared" si="31"/>
        <v>352.78184399254019</v>
      </c>
      <c r="BM99" s="17">
        <f>求节点($C$4:$C$12,D$4:D$12,基础状态预期!K111)</f>
        <v>0</v>
      </c>
      <c r="BN99" s="17">
        <f>求节点($C$4:$C$12,E$4:E$12,基础状态预期!L111)</f>
        <v>0</v>
      </c>
      <c r="BO99" s="17">
        <f>求节点($C$4:$C$12,F$4:F$12,基础状态预期!M111)</f>
        <v>0</v>
      </c>
      <c r="BP99" s="17">
        <f>求节点($C$4:$C$12,G$4:G$12,基础状态预期!N111)</f>
        <v>0</v>
      </c>
      <c r="BQ99" s="17">
        <f>求节点($C$4:$C$12,H$4:H$12,基础状态预期!O111)</f>
        <v>0</v>
      </c>
    </row>
    <row r="100" spans="2:69" x14ac:dyDescent="0.15">
      <c r="B100" s="184"/>
      <c r="C100" s="29"/>
      <c r="D100" s="29"/>
      <c r="M100" s="16">
        <v>9</v>
      </c>
      <c r="N100" s="29">
        <f>基础状态预期!D112</f>
        <v>43.484929789964411</v>
      </c>
      <c r="O100" s="29">
        <f>IF(基础状态预期!U112="",0,MIN(求节点($C$16:$C$24,D$16:D$24,基础状态预期!K112),求节点($C$28:$C$48,D$28:D$48,基础状态预期!U112)))</f>
        <v>0</v>
      </c>
      <c r="P100" s="29">
        <f>IF(基础状态预期!V112="",0,MIN(求节点($C$16:$C$24,E$16:E$24,基础状态预期!L112),求节点($C$28:$C$48,E$28:E$48,基础状态预期!V112)))</f>
        <v>0</v>
      </c>
      <c r="Q100" s="29">
        <f>IF(基础状态预期!W112="",0,MIN(求节点($C$16:$C$24,F$16:F$24,基础状态预期!M112),求节点($C$28:$C$48,F$28:F$48,基础状态预期!W112)))</f>
        <v>0</v>
      </c>
      <c r="R100" s="29">
        <f>IF(基础状态预期!X112="",0,MIN(求节点($C$16:$C$24,G$16:G$24,基础状态预期!N112),求节点($C$28:$C$48,G$28:G$48,基础状态预期!X112)))</f>
        <v>0</v>
      </c>
      <c r="S100" s="29">
        <f>IF(基础状态预期!Y112="",0,MIN(求节点($C$16:$C$24,H$16:H$24,基础状态预期!O112),求节点($C$28:$C$48,H$28:H$48,基础状态预期!Y112)))</f>
        <v>0</v>
      </c>
      <c r="T100" s="29">
        <f>MAX(SUMPRODUCT(O100:S100,基础状态预期!$F112:$J112)/SUM(基础状态预期!$F112:$J112),T99)</f>
        <v>0</v>
      </c>
      <c r="V100" s="17">
        <v>96</v>
      </c>
      <c r="W100" s="17">
        <f t="shared" si="21"/>
        <v>0.18000000000000002</v>
      </c>
      <c r="X100" s="17">
        <f t="shared" si="22"/>
        <v>0.45</v>
      </c>
      <c r="Y100" s="17">
        <f t="shared" si="23"/>
        <v>0.45</v>
      </c>
      <c r="Z100" s="17">
        <f t="shared" si="24"/>
        <v>0.45</v>
      </c>
      <c r="AA100" s="17">
        <f t="shared" si="25"/>
        <v>0.45</v>
      </c>
      <c r="AE100" s="29">
        <v>60</v>
      </c>
      <c r="AF100" s="29"/>
      <c r="AG100" s="29">
        <f t="shared" si="29"/>
        <v>5.385013521233694E-2</v>
      </c>
      <c r="AH100" s="29"/>
      <c r="AI100" s="29">
        <f>(AG100-AG99)*INDEX([2]中r将兵属性验证!$AX$7:$AX$166,$AE100,1)+AI99</f>
        <v>225689338.08546773</v>
      </c>
      <c r="AJ100" s="14">
        <f t="shared" si="32"/>
        <v>225689338.08546773</v>
      </c>
      <c r="AO100" s="29">
        <f t="shared" si="30"/>
        <v>43.484929789964411</v>
      </c>
      <c r="AP100" s="14">
        <f>MAX(求节点($C$74:$C$79,D$74:D$79,求节点($C$4:$C$12,D$4:D$12,基础状态预期!K112)),AP99)</f>
        <v>0</v>
      </c>
      <c r="AQ100" s="14">
        <f>MAX(求节点($C$74:$C$79,E$74:E$79,求节点($C$4:$C$12,E$4:E$12,基础状态预期!L112)),AQ99)</f>
        <v>0</v>
      </c>
      <c r="AR100" s="14">
        <f>MAX(求节点($C$74:$C$79,F$74:F$79,求节点($C$4:$C$12,F$4:F$12,基础状态预期!M112)),AR99)</f>
        <v>0</v>
      </c>
      <c r="AS100" s="14">
        <f>MAX(求节点($C$74:$C$79,G$74:G$79,求节点($C$4:$C$12,G$4:G$12,基础状态预期!N112)),AS99)</f>
        <v>0</v>
      </c>
      <c r="AT100" s="14">
        <f>MAX(求节点($C$74:$C$79,H$74:H$79,求节点($C$4:$C$12,H$4:H$12,基础状态预期!O112)),AT99)</f>
        <v>0</v>
      </c>
      <c r="AU100" s="14">
        <f>MAX(求节点($C$81:$C$86,D$81:D$86,求节点($C$4:$C$12,D$4:D$12,基础状态预期!K112)),AU99)</f>
        <v>0</v>
      </c>
      <c r="AV100" s="14">
        <f>MAX(求节点($C$81:$C$86,E$81:E$86,求节点($C$4:$C$12,E$4:E$12,基础状态预期!L112)),AV99)</f>
        <v>0</v>
      </c>
      <c r="AW100" s="14">
        <f>MAX(求节点($C$81:$C$86,F$81:F$86,求节点($C$4:$C$12,F$4:F$12,基础状态预期!M112)),AW99)</f>
        <v>0</v>
      </c>
      <c r="AX100" s="14">
        <f>MAX(求节点($C$81:$C$86,G$81:G$86,求节点($C$4:$C$12,G$4:G$12,基础状态预期!N112)),AX99)</f>
        <v>0</v>
      </c>
      <c r="AY100" s="14">
        <f>MAX(求节点($C$81:$C$86,H$81:H$86,求节点($C$4:$C$12,H$4:H$12,基础状态预期!O112)),AY99)</f>
        <v>0</v>
      </c>
      <c r="AZ100" s="14">
        <f>MAX(求节点($C$88:$C$93,D$88:D$93,求节点($C$4:$C$12,D$4:D$12,基础状态预期!K112)),AZ99)</f>
        <v>0</v>
      </c>
      <c r="BA100" s="14">
        <f>MAX(求节点($C$88:$C$93,E$88:E$93,求节点($C$4:$C$12,E$4:E$12,基础状态预期!L112)),BA99)</f>
        <v>0</v>
      </c>
      <c r="BB100" s="14">
        <f>MAX(求节点($C$88:$C$93,F$88:F$93,求节点($C$4:$C$12,F$4:F$12,基础状态预期!M112)),BB99)</f>
        <v>0</v>
      </c>
      <c r="BC100" s="14">
        <f>MAX(求节点($C$88:$C$93,G$88:G$93,求节点($C$4:$C$12,G$4:G$12,基础状态预期!N112)),BC99)</f>
        <v>0</v>
      </c>
      <c r="BD100" s="14">
        <f>MAX(求节点($C$88:$C$93,H$88:H$93,求节点($C$4:$C$12,H$4:H$12,基础状态预期!O112)),BD99)</f>
        <v>0</v>
      </c>
      <c r="BE100" s="14">
        <f t="shared" si="27"/>
        <v>0</v>
      </c>
      <c r="BH100" s="29">
        <v>60</v>
      </c>
      <c r="BI100" s="29">
        <f t="shared" si="28"/>
        <v>2249.9390843686219</v>
      </c>
      <c r="BJ100" s="29"/>
      <c r="BK100" s="29">
        <f t="shared" si="31"/>
        <v>2249.9390843686219</v>
      </c>
      <c r="BM100" s="17">
        <f>求节点($C$4:$C$12,D$4:D$12,基础状态预期!K112)</f>
        <v>0</v>
      </c>
      <c r="BN100" s="17">
        <f>求节点($C$4:$C$12,E$4:E$12,基础状态预期!L112)</f>
        <v>0</v>
      </c>
      <c r="BO100" s="17">
        <f>求节点($C$4:$C$12,F$4:F$12,基础状态预期!M112)</f>
        <v>0</v>
      </c>
      <c r="BP100" s="17">
        <f>求节点($C$4:$C$12,G$4:G$12,基础状态预期!N112)</f>
        <v>0</v>
      </c>
      <c r="BQ100" s="17">
        <f>求节点($C$4:$C$12,H$4:H$12,基础状态预期!O112)</f>
        <v>0</v>
      </c>
    </row>
    <row r="101" spans="2:69" x14ac:dyDescent="0.15">
      <c r="B101" s="184"/>
      <c r="C101" s="29"/>
      <c r="D101" s="29"/>
      <c r="M101" s="16">
        <v>10</v>
      </c>
      <c r="N101" s="29">
        <f>基础状态预期!D113</f>
        <v>49.18886033229559</v>
      </c>
      <c r="O101" s="29">
        <f>IF(基础状态预期!U113="",0,MIN(求节点($C$16:$C$24,D$16:D$24,基础状态预期!K113),求节点($C$28:$C$48,D$28:D$48,基础状态预期!U113)))</f>
        <v>0</v>
      </c>
      <c r="P101" s="29">
        <f>IF(基础状态预期!V113="",0,MIN(求节点($C$16:$C$24,E$16:E$24,基础状态预期!L113),求节点($C$28:$C$48,E$28:E$48,基础状态预期!V113)))</f>
        <v>0</v>
      </c>
      <c r="Q101" s="29">
        <f>IF(基础状态预期!W113="",0,MIN(求节点($C$16:$C$24,F$16:F$24,基础状态预期!M113),求节点($C$28:$C$48,F$28:F$48,基础状态预期!W113)))</f>
        <v>0</v>
      </c>
      <c r="R101" s="29">
        <f>IF(基础状态预期!X113="",0,MIN(求节点($C$16:$C$24,G$16:G$24,基础状态预期!N113),求节点($C$28:$C$48,G$28:G$48,基础状态预期!X113)))</f>
        <v>0</v>
      </c>
      <c r="S101" s="29">
        <f>IF(基础状态预期!Y113="",0,MIN(求节点($C$16:$C$24,H$16:H$24,基础状态预期!O113),求节点($C$28:$C$48,H$28:H$48,基础状态预期!Y113)))</f>
        <v>0</v>
      </c>
      <c r="T101" s="29">
        <f>MAX(SUMPRODUCT(O101:S101,基础状态预期!$F113:$J113)/SUM(基础状态预期!$F113:$J113),T100)</f>
        <v>0</v>
      </c>
      <c r="V101" s="17">
        <v>97</v>
      </c>
      <c r="W101" s="17">
        <f t="shared" si="21"/>
        <v>0.1900798220241563</v>
      </c>
      <c r="X101" s="17">
        <f t="shared" si="22"/>
        <v>0.45</v>
      </c>
      <c r="Y101" s="17">
        <f t="shared" si="23"/>
        <v>0.45</v>
      </c>
      <c r="Z101" s="17">
        <f t="shared" si="24"/>
        <v>0.45</v>
      </c>
      <c r="AA101" s="17">
        <f t="shared" si="25"/>
        <v>0.45</v>
      </c>
      <c r="AE101" s="29">
        <v>70</v>
      </c>
      <c r="AF101" s="29"/>
      <c r="AG101" s="29">
        <f t="shared" si="29"/>
        <v>0.11475923698292854</v>
      </c>
      <c r="AH101" s="29"/>
      <c r="AI101" s="29">
        <f>(AG101-AG100)*INDEX([2]中r将兵属性验证!$AX$7:$AX$166,$AE101,1)+AI100</f>
        <v>1039389702.7006667</v>
      </c>
      <c r="AJ101" s="14">
        <f t="shared" si="32"/>
        <v>1039389702.7006667</v>
      </c>
      <c r="AO101" s="29">
        <f t="shared" si="30"/>
        <v>49.18886033229559</v>
      </c>
      <c r="AP101" s="14">
        <f>MAX(求节点($C$74:$C$79,D$74:D$79,求节点($C$4:$C$12,D$4:D$12,基础状态预期!K113)),AP100)</f>
        <v>0</v>
      </c>
      <c r="AQ101" s="14">
        <f>MAX(求节点($C$74:$C$79,E$74:E$79,求节点($C$4:$C$12,E$4:E$12,基础状态预期!L113)),AQ100)</f>
        <v>0</v>
      </c>
      <c r="AR101" s="14">
        <f>MAX(求节点($C$74:$C$79,F$74:F$79,求节点($C$4:$C$12,F$4:F$12,基础状态预期!M113)),AR100)</f>
        <v>0</v>
      </c>
      <c r="AS101" s="14">
        <f>MAX(求节点($C$74:$C$79,G$74:G$79,求节点($C$4:$C$12,G$4:G$12,基础状态预期!N113)),AS100)</f>
        <v>0.25869097205305547</v>
      </c>
      <c r="AT101" s="14">
        <f>MAX(求节点($C$74:$C$79,H$74:H$79,求节点($C$4:$C$12,H$4:H$12,基础状态预期!O113)),AT100)</f>
        <v>0</v>
      </c>
      <c r="AU101" s="14">
        <f>MAX(求节点($C$81:$C$86,D$81:D$86,求节点($C$4:$C$12,D$4:D$12,基础状态预期!K113)),AU100)</f>
        <v>0</v>
      </c>
      <c r="AV101" s="14">
        <f>MAX(求节点($C$81:$C$86,E$81:E$86,求节点($C$4:$C$12,E$4:E$12,基础状态预期!L113)),AV100)</f>
        <v>0</v>
      </c>
      <c r="AW101" s="14">
        <f>MAX(求节点($C$81:$C$86,F$81:F$86,求节点($C$4:$C$12,F$4:F$12,基础状态预期!M113)),AW100)</f>
        <v>0</v>
      </c>
      <c r="AX101" s="14">
        <f>MAX(求节点($C$81:$C$86,G$81:G$86,求节点($C$4:$C$12,G$4:G$12,基础状态预期!N113)),AX100)</f>
        <v>0</v>
      </c>
      <c r="AY101" s="14">
        <f>MAX(求节点($C$81:$C$86,H$81:H$86,求节点($C$4:$C$12,H$4:H$12,基础状态预期!O113)),AY100)</f>
        <v>0</v>
      </c>
      <c r="AZ101" s="14">
        <f>MAX(求节点($C$88:$C$93,D$88:D$93,求节点($C$4:$C$12,D$4:D$12,基础状态预期!K113)),AZ100)</f>
        <v>0</v>
      </c>
      <c r="BA101" s="14">
        <f>MAX(求节点($C$88:$C$93,E$88:E$93,求节点($C$4:$C$12,E$4:E$12,基础状态预期!L113)),BA100)</f>
        <v>0</v>
      </c>
      <c r="BB101" s="14">
        <f>MAX(求节点($C$88:$C$93,F$88:F$93,求节点($C$4:$C$12,F$4:F$12,基础状态预期!M113)),BB100)</f>
        <v>0</v>
      </c>
      <c r="BC101" s="14">
        <f>MAX(求节点($C$88:$C$93,G$88:G$93,求节点($C$4:$C$12,G$4:G$12,基础状态预期!N113)),BC100)</f>
        <v>0</v>
      </c>
      <c r="BD101" s="14">
        <f>MAX(求节点($C$88:$C$93,H$88:H$93,求节点($C$4:$C$12,H$4:H$12,基础状态预期!O113)),BD100)</f>
        <v>0</v>
      </c>
      <c r="BE101" s="14">
        <f t="shared" si="27"/>
        <v>258.69097205305548</v>
      </c>
      <c r="BH101" s="29">
        <v>70</v>
      </c>
      <c r="BI101" s="29">
        <f t="shared" si="28"/>
        <v>6499.7419974247823</v>
      </c>
      <c r="BJ101" s="29"/>
      <c r="BK101" s="29">
        <f t="shared" si="31"/>
        <v>6499.7419974247823</v>
      </c>
      <c r="BM101" s="17">
        <f>求节点($C$4:$C$12,D$4:D$12,基础状态预期!K113)</f>
        <v>0</v>
      </c>
      <c r="BN101" s="17">
        <f>求节点($C$4:$C$12,E$4:E$12,基础状态预期!L113)</f>
        <v>0</v>
      </c>
      <c r="BO101" s="17">
        <f>求节点($C$4:$C$12,F$4:F$12,基础状态预期!M113)</f>
        <v>0</v>
      </c>
      <c r="BP101" s="17">
        <f>求节点($C$4:$C$12,G$4:G$12,基础状态预期!N113)</f>
        <v>0.25869097205305547</v>
      </c>
      <c r="BQ101" s="17">
        <f>求节点($C$4:$C$12,H$4:H$12,基础状态预期!O113)</f>
        <v>0</v>
      </c>
    </row>
    <row r="102" spans="2:69" x14ac:dyDescent="0.15">
      <c r="B102" s="184"/>
      <c r="C102" s="29"/>
      <c r="D102" s="29"/>
      <c r="M102" s="16">
        <v>11</v>
      </c>
      <c r="N102" s="29">
        <f>基础状态预期!D114</f>
        <v>53.212684955585161</v>
      </c>
      <c r="O102" s="29">
        <f>IF(基础状态预期!U114="",0,MIN(求节点($C$16:$C$24,D$16:D$24,基础状态预期!K114),求节点($C$28:$C$48,D$28:D$48,基础状态预期!U114)))</f>
        <v>0</v>
      </c>
      <c r="P102" s="29">
        <f>IF(基础状态预期!V114="",0,MIN(求节点($C$16:$C$24,E$16:E$24,基础状态预期!L114),求节点($C$28:$C$48,E$28:E$48,基础状态预期!V114)))</f>
        <v>0</v>
      </c>
      <c r="Q102" s="29">
        <f>IF(基础状态预期!W114="",0,MIN(求节点($C$16:$C$24,F$16:F$24,基础状态预期!M114),求节点($C$28:$C$48,F$28:F$48,基础状态预期!W114)))</f>
        <v>0</v>
      </c>
      <c r="R102" s="29">
        <f>IF(基础状态预期!X114="",0,MIN(求节点($C$16:$C$24,G$16:G$24,基础状态预期!N114),求节点($C$28:$C$48,G$28:G$48,基础状态预期!X114)))</f>
        <v>0</v>
      </c>
      <c r="S102" s="29">
        <f>IF(基础状态预期!Y114="",0,MIN(求节点($C$16:$C$24,H$16:H$24,基础状态预期!O114),求节点($C$28:$C$48,H$28:H$48,基础状态预期!Y114)))</f>
        <v>0</v>
      </c>
      <c r="T102" s="29">
        <f>MAX(SUMPRODUCT(O102:S102,基础状态预期!$F114:$J114)/SUM(基础状态预期!$F114:$J114),T101)</f>
        <v>0</v>
      </c>
      <c r="V102" s="17">
        <v>98</v>
      </c>
      <c r="W102" s="17">
        <f t="shared" si="21"/>
        <v>0.24232419747831294</v>
      </c>
      <c r="X102" s="17">
        <f t="shared" si="22"/>
        <v>0.45</v>
      </c>
      <c r="Y102" s="17">
        <f t="shared" si="23"/>
        <v>0.45</v>
      </c>
      <c r="Z102" s="17">
        <f t="shared" si="24"/>
        <v>0.45</v>
      </c>
      <c r="AA102" s="17">
        <f t="shared" si="25"/>
        <v>0.45</v>
      </c>
      <c r="AE102" s="29">
        <v>80</v>
      </c>
      <c r="AF102" s="29"/>
      <c r="AG102" s="29">
        <f t="shared" si="29"/>
        <v>0.18000000000000002</v>
      </c>
      <c r="AH102" s="29"/>
      <c r="AI102" s="29">
        <f>(AG102-AG101)*INDEX([2]中r将兵属性验证!$AX$7:$AX$166,$AE102,1)+AI101</f>
        <v>3314195055.9825859</v>
      </c>
      <c r="AJ102" s="14">
        <f t="shared" si="32"/>
        <v>3314195055.9825859</v>
      </c>
      <c r="AO102" s="29">
        <f t="shared" si="30"/>
        <v>53.212684955585161</v>
      </c>
      <c r="AP102" s="14">
        <f>MAX(求节点($C$74:$C$79,D$74:D$79,求节点($C$4:$C$12,D$4:D$12,基础状态预期!K114)),AP101)</f>
        <v>0</v>
      </c>
      <c r="AQ102" s="14">
        <f>MAX(求节点($C$74:$C$79,E$74:E$79,求节点($C$4:$C$12,E$4:E$12,基础状态预期!L114)),AQ101)</f>
        <v>0</v>
      </c>
      <c r="AR102" s="14">
        <f>MAX(求节点($C$74:$C$79,F$74:F$79,求节点($C$4:$C$12,F$4:F$12,基础状态预期!M114)),AR101)</f>
        <v>0</v>
      </c>
      <c r="AS102" s="14">
        <f>MAX(求节点($C$74:$C$79,G$74:G$79,求节点($C$4:$C$12,G$4:G$12,基础状态预期!N114)),AS101)</f>
        <v>0.72544803302674365</v>
      </c>
      <c r="AT102" s="14">
        <f>MAX(求节点($C$74:$C$79,H$74:H$79,求节点($C$4:$C$12,H$4:H$12,基础状态预期!O114)),AT101)</f>
        <v>0</v>
      </c>
      <c r="AU102" s="14">
        <f>MAX(求节点($C$81:$C$86,D$81:D$86,求节点($C$4:$C$12,D$4:D$12,基础状态预期!K114)),AU101)</f>
        <v>0</v>
      </c>
      <c r="AV102" s="14">
        <f>MAX(求节点($C$81:$C$86,E$81:E$86,求节点($C$4:$C$12,E$4:E$12,基础状态预期!L114)),AV101)</f>
        <v>0</v>
      </c>
      <c r="AW102" s="14">
        <f>MAX(求节点($C$81:$C$86,F$81:F$86,求节点($C$4:$C$12,F$4:F$12,基础状态预期!M114)),AW101)</f>
        <v>0</v>
      </c>
      <c r="AX102" s="14">
        <f>MAX(求节点($C$81:$C$86,G$81:G$86,求节点($C$4:$C$12,G$4:G$12,基础状态预期!N114)),AX101)</f>
        <v>0</v>
      </c>
      <c r="AY102" s="14">
        <f>MAX(求节点($C$81:$C$86,H$81:H$86,求节点($C$4:$C$12,H$4:H$12,基础状态预期!O114)),AY101)</f>
        <v>0</v>
      </c>
      <c r="AZ102" s="14">
        <f>MAX(求节点($C$88:$C$93,D$88:D$93,求节点($C$4:$C$12,D$4:D$12,基础状态预期!K114)),AZ101)</f>
        <v>0</v>
      </c>
      <c r="BA102" s="14">
        <f>MAX(求节点($C$88:$C$93,E$88:E$93,求节点($C$4:$C$12,E$4:E$12,基础状态预期!L114)),BA101)</f>
        <v>0</v>
      </c>
      <c r="BB102" s="14">
        <f>MAX(求节点($C$88:$C$93,F$88:F$93,求节点($C$4:$C$12,F$4:F$12,基础状态预期!M114)),BB101)</f>
        <v>0</v>
      </c>
      <c r="BC102" s="14">
        <f>MAX(求节点($C$88:$C$93,G$88:G$93,求节点($C$4:$C$12,G$4:G$12,基础状态预期!N114)),BC101)</f>
        <v>0</v>
      </c>
      <c r="BD102" s="14">
        <f>MAX(求节点($C$88:$C$93,H$88:H$93,求节点($C$4:$C$12,H$4:H$12,基础状态预期!O114)),BD101)</f>
        <v>0</v>
      </c>
      <c r="BE102" s="14">
        <f t="shared" si="27"/>
        <v>725.4480330267437</v>
      </c>
      <c r="BH102" s="29">
        <v>80</v>
      </c>
      <c r="BI102" s="29">
        <f t="shared" si="28"/>
        <v>11000</v>
      </c>
      <c r="BJ102" s="29"/>
      <c r="BK102" s="29">
        <f t="shared" si="31"/>
        <v>11000</v>
      </c>
      <c r="BM102" s="17">
        <f>求节点($C$4:$C$12,D$4:D$12,基础状态预期!K114)</f>
        <v>0</v>
      </c>
      <c r="BN102" s="17">
        <f>求节点($C$4:$C$12,E$4:E$12,基础状态预期!L114)</f>
        <v>0</v>
      </c>
      <c r="BO102" s="17">
        <f>求节点($C$4:$C$12,F$4:F$12,基础状态预期!M114)</f>
        <v>0</v>
      </c>
      <c r="BP102" s="17">
        <f>求节点($C$4:$C$12,G$4:G$12,基础状态预期!N114)</f>
        <v>0.72544803302674365</v>
      </c>
      <c r="BQ102" s="17">
        <f>求节点($C$4:$C$12,H$4:H$12,基础状态预期!O114)</f>
        <v>0</v>
      </c>
    </row>
    <row r="103" spans="2:69" x14ac:dyDescent="0.15">
      <c r="M103" s="16">
        <v>12</v>
      </c>
      <c r="N103" s="29">
        <f>基础状态预期!D115</f>
        <v>59.09095196730258</v>
      </c>
      <c r="O103" s="29">
        <f>IF(基础状态预期!U115="",0,MIN(求节点($C$16:$C$24,D$16:D$24,基础状态预期!K115),求节点($C$28:$C$48,D$28:D$48,基础状态预期!U115)))</f>
        <v>0</v>
      </c>
      <c r="P103" s="29">
        <f>IF(基础状态预期!V115="",0,MIN(求节点($C$16:$C$24,E$16:E$24,基础状态预期!L115),求节点($C$28:$C$48,E$28:E$48,基础状态预期!V115)))</f>
        <v>0</v>
      </c>
      <c r="Q103" s="29">
        <f>IF(基础状态预期!W115="",0,MIN(求节点($C$16:$C$24,F$16:F$24,基础状态预期!M115),求节点($C$28:$C$48,F$28:F$48,基础状态预期!W115)))</f>
        <v>0</v>
      </c>
      <c r="R103" s="29">
        <f>IF(基础状态预期!X115="",0,MIN(求节点($C$16:$C$24,G$16:G$24,基础状态预期!N115),求节点($C$28:$C$48,G$28:G$48,基础状态预期!X115)))</f>
        <v>4.7728559019077396E-2</v>
      </c>
      <c r="S103" s="29">
        <f>IF(基础状态预期!Y115="",0,MIN(求节点($C$16:$C$24,H$16:H$24,基础状态预期!O115),求节点($C$28:$C$48,H$28:H$48,基础状态预期!Y115)))</f>
        <v>4.9880391027217162E-2</v>
      </c>
      <c r="T103" s="29">
        <f>MAX(SUMPRODUCT(O103:S103,基础状态预期!$F115:$J115)/SUM(基础状态预期!$F115:$J115),T102)</f>
        <v>4.8445836355123985E-2</v>
      </c>
      <c r="V103" s="17">
        <v>99</v>
      </c>
      <c r="W103" s="17">
        <f t="shared" si="21"/>
        <v>0.29456857293246957</v>
      </c>
      <c r="X103" s="17">
        <f t="shared" si="22"/>
        <v>0.45</v>
      </c>
      <c r="Y103" s="17">
        <f t="shared" si="23"/>
        <v>0.45</v>
      </c>
      <c r="Z103" s="17">
        <f t="shared" si="24"/>
        <v>0.45</v>
      </c>
      <c r="AA103" s="17">
        <f t="shared" si="25"/>
        <v>0.45</v>
      </c>
      <c r="AE103" s="29">
        <v>90</v>
      </c>
      <c r="AF103" s="29"/>
      <c r="AG103" s="29">
        <f t="shared" si="29"/>
        <v>0.43888220037597131</v>
      </c>
      <c r="AH103" s="29"/>
      <c r="AI103" s="29">
        <f>(AG103-AG102)*INDEX([2]中r将兵属性验证!$AX$7:$AX$166,$AE103,1)+AI102</f>
        <v>26895106170.666821</v>
      </c>
      <c r="AJ103" s="14">
        <f t="shared" si="32"/>
        <v>26895106170.666821</v>
      </c>
      <c r="AO103" s="29">
        <f t="shared" si="30"/>
        <v>59.09095196730258</v>
      </c>
      <c r="AP103" s="14">
        <f>MAX(求节点($C$74:$C$79,D$74:D$79,求节点($C$4:$C$12,D$4:D$12,基础状态预期!K115)),AP102)</f>
        <v>0</v>
      </c>
      <c r="AQ103" s="14">
        <f>MAX(求节点($C$74:$C$79,E$74:E$79,求节点($C$4:$C$12,E$4:E$12,基础状态预期!L115)),AQ102)</f>
        <v>0</v>
      </c>
      <c r="AR103" s="14">
        <f>MAX(求节点($C$74:$C$79,F$74:F$79,求节点($C$4:$C$12,F$4:F$12,基础状态预期!M115)),AR102)</f>
        <v>0</v>
      </c>
      <c r="AS103" s="14">
        <f>MAX(求节点($C$74:$C$79,G$74:G$79,求节点($C$4:$C$12,G$4:G$12,基础状态预期!N115)),AS102)</f>
        <v>1</v>
      </c>
      <c r="AT103" s="14">
        <f>MAX(求节点($C$74:$C$79,H$74:H$79,求节点($C$4:$C$12,H$4:H$12,基础状态预期!O115)),AT102)</f>
        <v>1.1084531339381591</v>
      </c>
      <c r="AU103" s="14">
        <f>MAX(求节点($C$81:$C$86,D$81:D$86,求节点($C$4:$C$12,D$4:D$12,基础状态预期!K115)),AU102)</f>
        <v>0</v>
      </c>
      <c r="AV103" s="14">
        <f>MAX(求节点($C$81:$C$86,E$81:E$86,求节点($C$4:$C$12,E$4:E$12,基础状态预期!L115)),AV102)</f>
        <v>0</v>
      </c>
      <c r="AW103" s="14">
        <f>MAX(求节点($C$81:$C$86,F$81:F$86,求节点($C$4:$C$12,F$4:F$12,基础状态预期!M115)),AW102)</f>
        <v>0</v>
      </c>
      <c r="AX103" s="14">
        <f>MAX(求节点($C$81:$C$86,G$81:G$86,求节点($C$4:$C$12,G$4:G$12,基础状态预期!N115)),AX102)</f>
        <v>0</v>
      </c>
      <c r="AY103" s="14">
        <f>MAX(求节点($C$81:$C$86,H$81:H$86,求节点($C$4:$C$12,H$4:H$12,基础状态预期!O115)),AY102)</f>
        <v>0</v>
      </c>
      <c r="AZ103" s="14">
        <f>MAX(求节点($C$88:$C$93,D$88:D$93,求节点($C$4:$C$12,D$4:D$12,基础状态预期!K115)),AZ102)</f>
        <v>0</v>
      </c>
      <c r="BA103" s="14">
        <f>MAX(求节点($C$88:$C$93,E$88:E$93,求节点($C$4:$C$12,E$4:E$12,基础状态预期!L115)),BA102)</f>
        <v>0</v>
      </c>
      <c r="BB103" s="14">
        <f>MAX(求节点($C$88:$C$93,F$88:F$93,求节点($C$4:$C$12,F$4:F$12,基础状态预期!M115)),BB102)</f>
        <v>0</v>
      </c>
      <c r="BC103" s="14">
        <f>MAX(求节点($C$88:$C$93,G$88:G$93,求节点($C$4:$C$12,G$4:G$12,基础状态预期!N115)),BC102)</f>
        <v>0</v>
      </c>
      <c r="BD103" s="14">
        <f>MAX(求节点($C$88:$C$93,H$88:H$93,求节点($C$4:$C$12,H$4:H$12,基础状态预期!O115)),BD102)</f>
        <v>0</v>
      </c>
      <c r="BE103" s="14">
        <f t="shared" si="27"/>
        <v>2108.4531339381592</v>
      </c>
      <c r="BH103" s="29">
        <v>90</v>
      </c>
      <c r="BI103" s="29">
        <f t="shared" si="28"/>
        <v>372723.03138257127</v>
      </c>
      <c r="BJ103" s="29"/>
      <c r="BK103" s="29">
        <f t="shared" si="31"/>
        <v>372723.03138257127</v>
      </c>
      <c r="BM103" s="17">
        <f>求节点($C$4:$C$12,D$4:D$12,基础状态预期!K115)</f>
        <v>0</v>
      </c>
      <c r="BN103" s="17">
        <f>求节点($C$4:$C$12,E$4:E$12,基础状态预期!L115)</f>
        <v>0</v>
      </c>
      <c r="BO103" s="17">
        <f>求节点($C$4:$C$12,F$4:F$12,基础状态预期!M115)</f>
        <v>0</v>
      </c>
      <c r="BP103" s="17">
        <f>求节点($C$4:$C$12,G$4:G$12,基础状态预期!N115)</f>
        <v>1</v>
      </c>
      <c r="BQ103" s="17">
        <f>求节点($C$4:$C$12,H$4:H$12,基础状态预期!O115)</f>
        <v>0.55422656696907957</v>
      </c>
    </row>
    <row r="104" spans="2:69" x14ac:dyDescent="0.15">
      <c r="M104" s="16">
        <v>13</v>
      </c>
      <c r="N104" s="29">
        <f>基础状态预期!D116</f>
        <v>64.819145630244321</v>
      </c>
      <c r="O104" s="29">
        <f>IF(基础状态预期!U116="",0,MIN(求节点($C$16:$C$24,D$16:D$24,基础状态预期!K116),求节点($C$28:$C$48,D$28:D$48,基础状态预期!U116)))</f>
        <v>0</v>
      </c>
      <c r="P104" s="29">
        <f>IF(基础状态预期!V116="",0,MIN(求节点($C$16:$C$24,E$16:E$24,基础状态预期!L116),求节点($C$28:$C$48,E$28:E$48,基础状态预期!V116)))</f>
        <v>0</v>
      </c>
      <c r="Q104" s="29">
        <f>IF(基础状态预期!W116="",0,MIN(求节点($C$16:$C$24,F$16:F$24,基础状态预期!M116),求节点($C$28:$C$48,F$28:F$48,基础状态预期!W116)))</f>
        <v>0</v>
      </c>
      <c r="R104" s="29">
        <f>IF(基础状态预期!X116="",0,MIN(求节点($C$16:$C$24,G$16:G$24,基础状态预期!N116),求节点($C$28:$C$48,G$28:G$48,基础状态预期!X116)))</f>
        <v>7.4999999999999997E-2</v>
      </c>
      <c r="S104" s="29">
        <f>IF(基础状态预期!Y116="",0,MIN(求节点($C$16:$C$24,H$16:H$24,基础状态预期!O116),求节点($C$28:$C$48,H$28:H$48,基础状态预期!Y116)))</f>
        <v>0.09</v>
      </c>
      <c r="T104" s="29">
        <f>MAX(SUMPRODUCT(O104:S104,基础状态预期!$F116:$J116)/SUM(基础状态预期!$F116:$J116),T103)</f>
        <v>8.2500000000000004E-2</v>
      </c>
      <c r="V104" s="17">
        <v>100</v>
      </c>
      <c r="W104" s="17">
        <f t="shared" si="21"/>
        <v>0.34681294838662624</v>
      </c>
      <c r="X104" s="17">
        <f t="shared" si="22"/>
        <v>0.45</v>
      </c>
      <c r="Y104" s="17">
        <f t="shared" si="23"/>
        <v>0.45</v>
      </c>
      <c r="Z104" s="17">
        <f t="shared" si="24"/>
        <v>0.45</v>
      </c>
      <c r="AA104" s="17">
        <f t="shared" si="25"/>
        <v>0.45</v>
      </c>
      <c r="AE104" s="29">
        <v>100</v>
      </c>
      <c r="AF104" s="29"/>
      <c r="AG104" s="29">
        <f t="shared" si="29"/>
        <v>0.45</v>
      </c>
      <c r="AH104" s="29"/>
      <c r="AI104" s="29">
        <f>(AG104-AG103)*INDEX([2]中r将兵属性验证!$AX$7:$AX$166,$AE104,1)+AI103</f>
        <v>29055766211.381588</v>
      </c>
      <c r="AJ104" s="14">
        <f t="shared" si="32"/>
        <v>29055766211.381588</v>
      </c>
      <c r="AO104" s="29">
        <f t="shared" si="30"/>
        <v>64.819145630244321</v>
      </c>
      <c r="AP104" s="14">
        <f>MAX(求节点($C$74:$C$79,D$74:D$79,求节点($C$4:$C$12,D$4:D$12,基础状态预期!K116)),AP103)</f>
        <v>0</v>
      </c>
      <c r="AQ104" s="14">
        <f>MAX(求节点($C$74:$C$79,E$74:E$79,求节点($C$4:$C$12,E$4:E$12,基础状态预期!L116)),AQ103)</f>
        <v>0</v>
      </c>
      <c r="AR104" s="14">
        <f>MAX(求节点($C$74:$C$79,F$74:F$79,求节点($C$4:$C$12,F$4:F$12,基础状态预期!M116)),AR103)</f>
        <v>0</v>
      </c>
      <c r="AS104" s="14">
        <f>MAX(求节点($C$74:$C$79,G$74:G$79,求节点($C$4:$C$12,G$4:G$12,基础状态预期!N116)),AS103)</f>
        <v>1</v>
      </c>
      <c r="AT104" s="14">
        <f>MAX(求节点($C$74:$C$79,H$74:H$79,求节点($C$4:$C$12,H$4:H$12,基础状态预期!O116)),AT103)</f>
        <v>2</v>
      </c>
      <c r="AU104" s="14">
        <f>MAX(求节点($C$81:$C$86,D$81:D$86,求节点($C$4:$C$12,D$4:D$12,基础状态预期!K116)),AU103)</f>
        <v>0</v>
      </c>
      <c r="AV104" s="14">
        <f>MAX(求节点($C$81:$C$86,E$81:E$86,求节点($C$4:$C$12,E$4:E$12,基础状态预期!L116)),AV103)</f>
        <v>0</v>
      </c>
      <c r="AW104" s="14">
        <f>MAX(求节点($C$81:$C$86,F$81:F$86,求节点($C$4:$C$12,F$4:F$12,基础状态预期!M116)),AW103)</f>
        <v>0</v>
      </c>
      <c r="AX104" s="14">
        <f>MAX(求节点($C$81:$C$86,G$81:G$86,求节点($C$4:$C$12,G$4:G$12,基础状态预期!N116)),AX103)</f>
        <v>0</v>
      </c>
      <c r="AY104" s="14">
        <f>MAX(求节点($C$81:$C$86,H$81:H$86,求节点($C$4:$C$12,H$4:H$12,基础状态预期!O116)),AY103)</f>
        <v>0</v>
      </c>
      <c r="AZ104" s="14">
        <f>MAX(求节点($C$88:$C$93,D$88:D$93,求节点($C$4:$C$12,D$4:D$12,基础状态预期!K116)),AZ103)</f>
        <v>0</v>
      </c>
      <c r="BA104" s="14">
        <f>MAX(求节点($C$88:$C$93,E$88:E$93,求节点($C$4:$C$12,E$4:E$12,基础状态预期!L116)),BA103)</f>
        <v>0</v>
      </c>
      <c r="BB104" s="14">
        <f>MAX(求节点($C$88:$C$93,F$88:F$93,求节点($C$4:$C$12,F$4:F$12,基础状态预期!M116)),BB103)</f>
        <v>0</v>
      </c>
      <c r="BC104" s="14">
        <f>MAX(求节点($C$88:$C$93,G$88:G$93,求节点($C$4:$C$12,G$4:G$12,基础状态预期!N116)),BC103)</f>
        <v>0</v>
      </c>
      <c r="BD104" s="14">
        <f>MAX(求节点($C$88:$C$93,H$88:H$93,求节点($C$4:$C$12,H$4:H$12,基础状态预期!O116)),BD103)</f>
        <v>0</v>
      </c>
      <c r="BE104" s="14">
        <f t="shared" si="27"/>
        <v>3000</v>
      </c>
      <c r="BH104" s="29">
        <v>100</v>
      </c>
      <c r="BI104" s="29">
        <f t="shared" si="28"/>
        <v>395000</v>
      </c>
      <c r="BJ104" s="29"/>
      <c r="BK104" s="29">
        <f t="shared" si="31"/>
        <v>395000</v>
      </c>
      <c r="BM104" s="17">
        <f>求节点($C$4:$C$12,D$4:D$12,基础状态预期!K116)</f>
        <v>0</v>
      </c>
      <c r="BN104" s="17">
        <f>求节点($C$4:$C$12,E$4:E$12,基础状态预期!L116)</f>
        <v>0</v>
      </c>
      <c r="BO104" s="17">
        <f>求节点($C$4:$C$12,F$4:F$12,基础状态预期!M116)</f>
        <v>0</v>
      </c>
      <c r="BP104" s="17">
        <f>求节点($C$4:$C$12,G$4:G$12,基础状态预期!N116)</f>
        <v>1</v>
      </c>
      <c r="BQ104" s="17">
        <f>求节点($C$4:$C$12,H$4:H$12,基础状态预期!O116)</f>
        <v>1</v>
      </c>
    </row>
    <row r="105" spans="2:69" x14ac:dyDescent="0.15">
      <c r="M105" s="16">
        <v>14</v>
      </c>
      <c r="N105" s="29">
        <f>基础状态预期!D117</f>
        <v>69.01697485309198</v>
      </c>
      <c r="O105" s="29">
        <f>IF(基础状态预期!U117="",0,MIN(求节点($C$16:$C$24,D$16:D$24,基础状态预期!K117),求节点($C$28:$C$48,D$28:D$48,基础状态预期!U117)))</f>
        <v>0</v>
      </c>
      <c r="P105" s="29">
        <f>IF(基础状态预期!V117="",0,MIN(求节点($C$16:$C$24,E$16:E$24,基础状态预期!L117),求节点($C$28:$C$48,E$28:E$48,基础状态预期!V117)))</f>
        <v>0</v>
      </c>
      <c r="Q105" s="29">
        <f>IF(基础状态预期!W117="",0,MIN(求节点($C$16:$C$24,F$16:F$24,基础状态预期!M117),求节点($C$28:$C$48,F$28:F$48,基础状态预期!W117)))</f>
        <v>0</v>
      </c>
      <c r="R105" s="29">
        <f>IF(基础状态预期!X117="",0,MIN(求节点($C$16:$C$24,G$16:G$24,基础状态预期!N117),求节点($C$28:$C$48,G$28:G$48,基础状态预期!X117)))</f>
        <v>7.4999999999999997E-2</v>
      </c>
      <c r="S105" s="29">
        <f>IF(基础状态预期!Y117="",0,MIN(求节点($C$16:$C$24,H$16:H$24,基础状态预期!O117),求节点($C$28:$C$48,H$28:H$48,基础状态预期!Y117)))</f>
        <v>0.12297663900943229</v>
      </c>
      <c r="T105" s="29">
        <f>MAX(SUMPRODUCT(O105:S105,基础状态预期!$F117:$J117)/SUM(基础状态预期!$F117:$J117),T104)</f>
        <v>0.1069844260062882</v>
      </c>
      <c r="V105" s="17">
        <v>101</v>
      </c>
      <c r="W105" s="17">
        <f t="shared" si="21"/>
        <v>0.38372588580046174</v>
      </c>
      <c r="X105" s="17">
        <f t="shared" si="22"/>
        <v>0.45</v>
      </c>
      <c r="Y105" s="17">
        <f t="shared" si="23"/>
        <v>0.45</v>
      </c>
      <c r="Z105" s="17">
        <f t="shared" si="24"/>
        <v>0.45</v>
      </c>
      <c r="AA105" s="17">
        <f t="shared" si="25"/>
        <v>0.45</v>
      </c>
      <c r="AE105" s="29">
        <v>110</v>
      </c>
      <c r="AF105" s="29"/>
      <c r="AG105" s="29">
        <f t="shared" si="29"/>
        <v>0.45</v>
      </c>
      <c r="AH105" s="29"/>
      <c r="AI105" s="29">
        <f>(AG105-AG104)*INDEX([2]中r将兵属性验证!$AX$7:$AX$166,$AE105,1)+AI104</f>
        <v>29055766211.381588</v>
      </c>
      <c r="AJ105" s="14">
        <f t="shared" si="32"/>
        <v>29055766211.381588</v>
      </c>
      <c r="AO105" s="29">
        <f t="shared" si="30"/>
        <v>69.01697485309198</v>
      </c>
      <c r="AP105" s="14">
        <f>MAX(求节点($C$74:$C$79,D$74:D$79,求节点($C$4:$C$12,D$4:D$12,基础状态预期!K117)),AP104)</f>
        <v>0</v>
      </c>
      <c r="AQ105" s="14">
        <f>MAX(求节点($C$74:$C$79,E$74:E$79,求节点($C$4:$C$12,E$4:E$12,基础状态预期!L117)),AQ104)</f>
        <v>0</v>
      </c>
      <c r="AR105" s="14">
        <f>MAX(求节点($C$74:$C$79,F$74:F$79,求节点($C$4:$C$12,F$4:F$12,基础状态预期!M117)),AR104)</f>
        <v>0</v>
      </c>
      <c r="AS105" s="14">
        <f>MAX(求节点($C$74:$C$79,G$74:G$79,求节点($C$4:$C$12,G$4:G$12,基础状态预期!N117)),AS104)</f>
        <v>1</v>
      </c>
      <c r="AT105" s="14">
        <f>MAX(求节点($C$74:$C$79,H$74:H$79,求节点($C$4:$C$12,H$4:H$12,基础状态预期!O117)),AT104)</f>
        <v>2</v>
      </c>
      <c r="AU105" s="14">
        <f>MAX(求节点($C$81:$C$86,D$81:D$86,求节点($C$4:$C$12,D$4:D$12,基础状态预期!K117)),AU104)</f>
        <v>0</v>
      </c>
      <c r="AV105" s="14">
        <f>MAX(求节点($C$81:$C$86,E$81:E$86,求节点($C$4:$C$12,E$4:E$12,基础状态预期!L117)),AV104)</f>
        <v>0</v>
      </c>
      <c r="AW105" s="14">
        <f>MAX(求节点($C$81:$C$86,F$81:F$86,求节点($C$4:$C$12,F$4:F$12,基础状态预期!M117)),AW104)</f>
        <v>0</v>
      </c>
      <c r="AX105" s="14">
        <f>MAX(求节点($C$81:$C$86,G$81:G$86,求节点($C$4:$C$12,G$4:G$12,基础状态预期!N117)),AX104)</f>
        <v>0</v>
      </c>
      <c r="AY105" s="14">
        <f>MAX(求节点($C$81:$C$86,H$81:H$86,求节点($C$4:$C$12,H$4:H$12,基础状态预期!O117)),AY104)</f>
        <v>1.4656284004192131</v>
      </c>
      <c r="AZ105" s="14">
        <f>MAX(求节点($C$88:$C$93,D$88:D$93,求节点($C$4:$C$12,D$4:D$12,基础状态预期!K117)),AZ104)</f>
        <v>0</v>
      </c>
      <c r="BA105" s="14">
        <f>MAX(求节点($C$88:$C$93,E$88:E$93,求节点($C$4:$C$12,E$4:E$12,基础状态预期!L117)),BA104)</f>
        <v>0</v>
      </c>
      <c r="BB105" s="14">
        <f>MAX(求节点($C$88:$C$93,F$88:F$93,求节点($C$4:$C$12,F$4:F$12,基础状态预期!M117)),BB104)</f>
        <v>0</v>
      </c>
      <c r="BC105" s="14">
        <f>MAX(求节点($C$88:$C$93,G$88:G$93,求节点($C$4:$C$12,G$4:G$12,基础状态预期!N117)),BC104)</f>
        <v>0</v>
      </c>
      <c r="BD105" s="14">
        <f>MAX(求节点($C$88:$C$93,H$88:H$93,求节点($C$4:$C$12,H$4:H$12,基础状态预期!O117)),BD104)</f>
        <v>0</v>
      </c>
      <c r="BE105" s="14">
        <f t="shared" si="27"/>
        <v>5931.256800838426</v>
      </c>
      <c r="BH105" s="29">
        <v>110</v>
      </c>
      <c r="BI105" s="29">
        <f t="shared" si="28"/>
        <v>395000</v>
      </c>
      <c r="BJ105" s="29"/>
      <c r="BK105" s="29">
        <f t="shared" ref="BK105:BK110" si="33">SUM(BI105:BJ105)</f>
        <v>395000</v>
      </c>
      <c r="BM105" s="17">
        <f>求节点($C$4:$C$12,D$4:D$12,基础状态预期!K117)</f>
        <v>0</v>
      </c>
      <c r="BN105" s="17">
        <f>求节点($C$4:$C$12,E$4:E$12,基础状态预期!L117)</f>
        <v>0</v>
      </c>
      <c r="BO105" s="17">
        <f>求节点($C$4:$C$12,F$4:F$12,基础状态预期!M117)</f>
        <v>0</v>
      </c>
      <c r="BP105" s="17">
        <f>求节点($C$4:$C$12,G$4:G$12,基础状态预期!N117)</f>
        <v>1</v>
      </c>
      <c r="BQ105" s="17">
        <f>求节点($C$4:$C$12,H$4:H$12,基础状态预期!O117)</f>
        <v>1.3664071001048033</v>
      </c>
    </row>
    <row r="106" spans="2:69" x14ac:dyDescent="0.15">
      <c r="M106" s="16">
        <v>15</v>
      </c>
      <c r="N106" s="29">
        <f>基础状态预期!D118</f>
        <v>72.23150684883845</v>
      </c>
      <c r="O106" s="29">
        <f>IF(基础状态预期!U118="",0,MIN(求节点($C$16:$C$24,D$16:D$24,基础状态预期!K118),求节点($C$28:$C$48,D$28:D$48,基础状态预期!U118)))</f>
        <v>0</v>
      </c>
      <c r="P106" s="29">
        <f>IF(基础状态预期!V118="",0,MIN(求节点($C$16:$C$24,E$16:E$24,基础状态预期!L118),求节点($C$28:$C$48,E$28:E$48,基础状态预期!V118)))</f>
        <v>0</v>
      </c>
      <c r="Q106" s="29">
        <f>IF(基础状态预期!W118="",0,MIN(求节点($C$16:$C$24,F$16:F$24,基础状态预期!M118),求节点($C$28:$C$48,F$28:F$48,基础状态预期!W118)))</f>
        <v>0</v>
      </c>
      <c r="R106" s="29">
        <f>IF(基础状态预期!X118="",0,MIN(求节点($C$16:$C$24,G$16:G$24,基础状态预期!N118),求节点($C$28:$C$48,G$28:G$48,基础状态预期!X118)))</f>
        <v>7.4999999999999997E-2</v>
      </c>
      <c r="S106" s="29">
        <f>IF(基础状态预期!Y118="",0,MIN(求节点($C$16:$C$24,H$16:H$24,基础状态预期!O118),求节点($C$28:$C$48,H$28:H$48,基础状态预期!Y118)))</f>
        <v>0.14389004688809473</v>
      </c>
      <c r="T106" s="29">
        <f>MAX(SUMPRODUCT(O106:S106,基础状态预期!$F118:$J118)/SUM(基础状态预期!$F118:$J118),T105)</f>
        <v>0.13240837240674561</v>
      </c>
      <c r="V106" s="17">
        <v>102</v>
      </c>
      <c r="W106" s="17">
        <f t="shared" si="21"/>
        <v>0.40509567303319238</v>
      </c>
      <c r="X106" s="17">
        <f t="shared" si="22"/>
        <v>0.45</v>
      </c>
      <c r="Y106" s="17">
        <f t="shared" si="23"/>
        <v>0.45</v>
      </c>
      <c r="Z106" s="17">
        <f t="shared" si="24"/>
        <v>0.45</v>
      </c>
      <c r="AA106" s="17">
        <f t="shared" si="25"/>
        <v>0.45</v>
      </c>
      <c r="AE106" s="29">
        <v>120</v>
      </c>
      <c r="AF106" s="29"/>
      <c r="AG106" s="29">
        <f t="shared" si="29"/>
        <v>0.45</v>
      </c>
      <c r="AH106" s="29"/>
      <c r="AI106" s="29">
        <f>(AG106-AG105)*INDEX([2]中r将兵属性验证!$AX$7:$AX$166,$AE106,1)+AI105</f>
        <v>29055766211.381588</v>
      </c>
      <c r="AJ106" s="14">
        <f t="shared" si="32"/>
        <v>29055766211.381588</v>
      </c>
      <c r="AO106" s="29">
        <f t="shared" si="30"/>
        <v>72.23150684883845</v>
      </c>
      <c r="AP106" s="14">
        <f>MAX(求节点($C$74:$C$79,D$74:D$79,求节点($C$4:$C$12,D$4:D$12,基础状态预期!K118)),AP105)</f>
        <v>0</v>
      </c>
      <c r="AQ106" s="14">
        <f>MAX(求节点($C$74:$C$79,E$74:E$79,求节点($C$4:$C$12,E$4:E$12,基础状态预期!L118)),AQ105)</f>
        <v>0</v>
      </c>
      <c r="AR106" s="14">
        <f>MAX(求节点($C$74:$C$79,F$74:F$79,求节点($C$4:$C$12,F$4:F$12,基础状态预期!M118)),AR105)</f>
        <v>0</v>
      </c>
      <c r="AS106" s="14">
        <f>MAX(求节点($C$74:$C$79,G$74:G$79,求节点($C$4:$C$12,G$4:G$12,基础状态预期!N118)),AS105)</f>
        <v>1</v>
      </c>
      <c r="AT106" s="14">
        <f>MAX(求节点($C$74:$C$79,H$74:H$79,求节点($C$4:$C$12,H$4:H$12,基础状态预期!O118)),AT105)</f>
        <v>2</v>
      </c>
      <c r="AU106" s="14">
        <f>MAX(求节点($C$81:$C$86,D$81:D$86,求节点($C$4:$C$12,D$4:D$12,基础状态预期!K118)),AU105)</f>
        <v>0</v>
      </c>
      <c r="AV106" s="14">
        <f>MAX(求节点($C$81:$C$86,E$81:E$86,求节点($C$4:$C$12,E$4:E$12,基础状态预期!L118)),AV105)</f>
        <v>0</v>
      </c>
      <c r="AW106" s="14">
        <f>MAX(求节点($C$81:$C$86,F$81:F$86,求节点($C$4:$C$12,F$4:F$12,基础状态预期!M118)),AW105)</f>
        <v>0</v>
      </c>
      <c r="AX106" s="14">
        <f>MAX(求节点($C$81:$C$86,G$81:G$86,求节点($C$4:$C$12,G$4:G$12,基础状态预期!N118)),AX105)</f>
        <v>0</v>
      </c>
      <c r="AY106" s="14">
        <f>MAX(求节点($C$81:$C$86,H$81:H$86,求节点($C$4:$C$12,H$4:H$12,基础状态预期!O118)),AY105)</f>
        <v>2.3951131950264326</v>
      </c>
      <c r="AZ106" s="14">
        <f>MAX(求节点($C$88:$C$93,D$88:D$93,求节点($C$4:$C$12,D$4:D$12,基础状态预期!K118)),AZ105)</f>
        <v>0</v>
      </c>
      <c r="BA106" s="14">
        <f>MAX(求节点($C$88:$C$93,E$88:E$93,求节点($C$4:$C$12,E$4:E$12,基础状态预期!L118)),BA105)</f>
        <v>0</v>
      </c>
      <c r="BB106" s="14">
        <f>MAX(求节点($C$88:$C$93,F$88:F$93,求节点($C$4:$C$12,F$4:F$12,基础状态预期!M118)),BB105)</f>
        <v>0</v>
      </c>
      <c r="BC106" s="14">
        <f>MAX(求节点($C$88:$C$93,G$88:G$93,求节点($C$4:$C$12,G$4:G$12,基础状态预期!N118)),BC105)</f>
        <v>0</v>
      </c>
      <c r="BD106" s="14">
        <f>MAX(求节点($C$88:$C$93,H$88:H$93,求节点($C$4:$C$12,H$4:H$12,基础状态预期!O118)),BD105)</f>
        <v>0</v>
      </c>
      <c r="BE106" s="14">
        <f t="shared" si="27"/>
        <v>7790.2263900528651</v>
      </c>
      <c r="BH106" s="29">
        <v>120</v>
      </c>
      <c r="BI106" s="29">
        <f t="shared" si="28"/>
        <v>395000</v>
      </c>
      <c r="BJ106" s="29"/>
      <c r="BK106" s="29">
        <f t="shared" si="33"/>
        <v>395000</v>
      </c>
      <c r="BM106" s="17">
        <f>求节点($C$4:$C$12,D$4:D$12,基础状态预期!K118)</f>
        <v>0</v>
      </c>
      <c r="BN106" s="17">
        <f>求节点($C$4:$C$12,E$4:E$12,基础状态预期!L118)</f>
        <v>0</v>
      </c>
      <c r="BO106" s="17">
        <f>求节点($C$4:$C$12,F$4:F$12,基础状态预期!M118)</f>
        <v>0</v>
      </c>
      <c r="BP106" s="17">
        <f>求节点($C$4:$C$12,G$4:G$12,基础状态预期!N118)</f>
        <v>1</v>
      </c>
      <c r="BQ106" s="17">
        <f>求节点($C$4:$C$12,H$4:H$12,基础状态预期!O118)</f>
        <v>1.5987782987566082</v>
      </c>
    </row>
    <row r="107" spans="2:69" x14ac:dyDescent="0.15">
      <c r="M107" s="16">
        <v>16</v>
      </c>
      <c r="N107" s="29">
        <f>基础状态预期!D119</f>
        <v>74.840792411391348</v>
      </c>
      <c r="O107" s="29">
        <f>IF(基础状态预期!U119="",0,MIN(求节点($C$16:$C$24,D$16:D$24,基础状态预期!K119),求节点($C$28:$C$48,D$28:D$48,基础状态预期!U119)))</f>
        <v>0</v>
      </c>
      <c r="P107" s="29">
        <f>IF(基础状态预期!V119="",0,MIN(求节点($C$16:$C$24,E$16:E$24,基础状态预期!L119),求节点($C$28:$C$48,E$28:E$48,基础状态预期!V119)))</f>
        <v>0</v>
      </c>
      <c r="Q107" s="29">
        <f>IF(基础状态预期!W119="",0,MIN(求节点($C$16:$C$24,F$16:F$24,基础状态预期!M119),求节点($C$28:$C$48,F$28:F$48,基础状态预期!W119)))</f>
        <v>0</v>
      </c>
      <c r="R107" s="29">
        <f>IF(基础状态预期!X119="",0,MIN(求节点($C$16:$C$24,G$16:G$24,基础状态预期!N119),求节点($C$28:$C$48,G$28:G$48,基础状态预期!X119)))</f>
        <v>7.4999999999999997E-2</v>
      </c>
      <c r="S107" s="29">
        <f>IF(基础状态预期!Y119="",0,MIN(求节点($C$16:$C$24,H$16:H$24,基础状态预期!O119),求节点($C$28:$C$48,H$28:H$48,基础状态预期!Y119)))</f>
        <v>0.18</v>
      </c>
      <c r="T107" s="29">
        <f>MAX(SUMPRODUCT(O107:S107,基础状态预期!$F119:$J119)/SUM(基础状态预期!$F119:$J119),T106)</f>
        <v>0.17125000000000001</v>
      </c>
      <c r="V107" s="17">
        <v>103</v>
      </c>
      <c r="W107" s="17">
        <f t="shared" si="21"/>
        <v>0.42646546026592297</v>
      </c>
      <c r="X107" s="17">
        <f t="shared" si="22"/>
        <v>0.45</v>
      </c>
      <c r="Y107" s="17">
        <f t="shared" si="23"/>
        <v>0.45</v>
      </c>
      <c r="Z107" s="17">
        <f t="shared" si="24"/>
        <v>0.45</v>
      </c>
      <c r="AA107" s="17">
        <f t="shared" si="25"/>
        <v>0.45</v>
      </c>
      <c r="AE107" s="29">
        <v>130</v>
      </c>
      <c r="AF107" s="29"/>
      <c r="AG107" s="29">
        <f t="shared" si="29"/>
        <v>0.45</v>
      </c>
      <c r="AH107" s="29"/>
      <c r="AI107" s="29">
        <f>(AG107-AG106)*INDEX([2]中r将兵属性验证!$AX$7:$AX$166,$AE107,1)+AI106</f>
        <v>29055766211.381588</v>
      </c>
      <c r="AJ107" s="14">
        <f t="shared" si="32"/>
        <v>29055766211.381588</v>
      </c>
      <c r="AO107" s="29">
        <f t="shared" si="30"/>
        <v>74.840792411391348</v>
      </c>
      <c r="AP107" s="14">
        <f>MAX(求节点($C$74:$C$79,D$74:D$79,求节点($C$4:$C$12,D$4:D$12,基础状态预期!K119)),AP106)</f>
        <v>0</v>
      </c>
      <c r="AQ107" s="14">
        <f>MAX(求节点($C$74:$C$79,E$74:E$79,求节点($C$4:$C$12,E$4:E$12,基础状态预期!L119)),AQ106)</f>
        <v>0</v>
      </c>
      <c r="AR107" s="14">
        <f>MAX(求节点($C$74:$C$79,F$74:F$79,求节点($C$4:$C$12,F$4:F$12,基础状态预期!M119)),AR106)</f>
        <v>0</v>
      </c>
      <c r="AS107" s="14">
        <f>MAX(求节点($C$74:$C$79,G$74:G$79,求节点($C$4:$C$12,G$4:G$12,基础状态预期!N119)),AS106)</f>
        <v>1</v>
      </c>
      <c r="AT107" s="14">
        <f>MAX(求节点($C$74:$C$79,H$74:H$79,求节点($C$4:$C$12,H$4:H$12,基础状态预期!O119)),AT106)</f>
        <v>2</v>
      </c>
      <c r="AU107" s="14">
        <f>MAX(求节点($C$81:$C$86,D$81:D$86,求节点($C$4:$C$12,D$4:D$12,基础状态预期!K119)),AU106)</f>
        <v>0</v>
      </c>
      <c r="AV107" s="14">
        <f>MAX(求节点($C$81:$C$86,E$81:E$86,求节点($C$4:$C$12,E$4:E$12,基础状态预期!L119)),AV106)</f>
        <v>0</v>
      </c>
      <c r="AW107" s="14">
        <f>MAX(求节点($C$81:$C$86,F$81:F$86,求节点($C$4:$C$12,F$4:F$12,基础状态预期!M119)),AW106)</f>
        <v>0</v>
      </c>
      <c r="AX107" s="14">
        <f>MAX(求节点($C$81:$C$86,G$81:G$86,求节点($C$4:$C$12,G$4:G$12,基础状态预期!N119)),AX106)</f>
        <v>0</v>
      </c>
      <c r="AY107" s="14">
        <f>MAX(求节点($C$81:$C$86,H$81:H$86,求节点($C$4:$C$12,H$4:H$12,基础状态预期!O119)),AY106)</f>
        <v>4</v>
      </c>
      <c r="AZ107" s="14">
        <f>MAX(求节点($C$88:$C$93,D$88:D$93,求节点($C$4:$C$12,D$4:D$12,基础状态预期!K119)),AZ106)</f>
        <v>0</v>
      </c>
      <c r="BA107" s="14">
        <f>MAX(求节点($C$88:$C$93,E$88:E$93,求节点($C$4:$C$12,E$4:E$12,基础状态预期!L119)),BA106)</f>
        <v>0</v>
      </c>
      <c r="BB107" s="14">
        <f>MAX(求节点($C$88:$C$93,F$88:F$93,求节点($C$4:$C$12,F$4:F$12,基础状态预期!M119)),BB106)</f>
        <v>0</v>
      </c>
      <c r="BC107" s="14">
        <f>MAX(求节点($C$88:$C$93,G$88:G$93,求节点($C$4:$C$12,G$4:G$12,基础状态预期!N119)),BC106)</f>
        <v>0</v>
      </c>
      <c r="BD107" s="14">
        <f>MAX(求节点($C$88:$C$93,H$88:H$93,求节点($C$4:$C$12,H$4:H$12,基础状态预期!O119)),BD106)</f>
        <v>0</v>
      </c>
      <c r="BE107" s="14">
        <f t="shared" si="27"/>
        <v>11000</v>
      </c>
      <c r="BH107" s="29">
        <v>130</v>
      </c>
      <c r="BI107" s="29">
        <f t="shared" si="28"/>
        <v>395000</v>
      </c>
      <c r="BJ107" s="29"/>
      <c r="BK107" s="29">
        <f t="shared" si="33"/>
        <v>395000</v>
      </c>
      <c r="BM107" s="17">
        <f>求节点($C$4:$C$12,D$4:D$12,基础状态预期!K119)</f>
        <v>0</v>
      </c>
      <c r="BN107" s="17">
        <f>求节点($C$4:$C$12,E$4:E$12,基础状态预期!L119)</f>
        <v>0</v>
      </c>
      <c r="BO107" s="17">
        <f>求节点($C$4:$C$12,F$4:F$12,基础状态预期!M119)</f>
        <v>0</v>
      </c>
      <c r="BP107" s="17">
        <f>求节点($C$4:$C$12,G$4:G$12,基础状态预期!N119)</f>
        <v>1</v>
      </c>
      <c r="BQ107" s="17">
        <f>求节点($C$4:$C$12,H$4:H$12,基础状态预期!O119)</f>
        <v>2</v>
      </c>
    </row>
    <row r="108" spans="2:69" x14ac:dyDescent="0.15">
      <c r="M108" s="16">
        <v>17</v>
      </c>
      <c r="N108" s="29">
        <f>基础状态预期!D120</f>
        <v>77.697893604818219</v>
      </c>
      <c r="O108" s="29">
        <f>IF(基础状态预期!U120="",0,MIN(求节点($C$16:$C$24,D$16:D$24,基础状态预期!K120),求节点($C$28:$C$48,D$28:D$48,基础状态预期!U120)))</f>
        <v>0</v>
      </c>
      <c r="P108" s="29">
        <f>IF(基础状态预期!V120="",0,MIN(求节点($C$16:$C$24,E$16:E$24,基础状态预期!L120),求节点($C$28:$C$48,E$28:E$48,基础状态预期!V120)))</f>
        <v>0</v>
      </c>
      <c r="Q108" s="29">
        <f>IF(基础状态预期!W120="",0,MIN(求节点($C$16:$C$24,F$16:F$24,基础状态预期!M120),求节点($C$28:$C$48,F$28:F$48,基础状态预期!W120)))</f>
        <v>0</v>
      </c>
      <c r="R108" s="29">
        <f>IF(基础状态预期!X120="",0,MIN(求节点($C$16:$C$24,G$16:G$24,基础状态预期!N120),求节点($C$28:$C$48,G$28:G$48,基础状态预期!X120)))</f>
        <v>0</v>
      </c>
      <c r="S108" s="29">
        <f>IF(基础状态预期!Y120="",0,MIN(求节点($C$16:$C$24,H$16:H$24,基础状态预期!O120),求节点($C$28:$C$48,H$28:H$48,基础状态预期!Y120)))</f>
        <v>0.18</v>
      </c>
      <c r="T108" s="29">
        <f>MAX(SUMPRODUCT(O108:S108,基础状态预期!$F120:$J120)/SUM(基础状态预期!$F120:$J120),T107)</f>
        <v>0.18000000000000002</v>
      </c>
      <c r="V108" s="17">
        <v>104</v>
      </c>
      <c r="W108" s="17">
        <f t="shared" si="21"/>
        <v>0.44783524749865361</v>
      </c>
      <c r="X108" s="17">
        <f t="shared" si="22"/>
        <v>0.45</v>
      </c>
      <c r="Y108" s="17">
        <f t="shared" si="23"/>
        <v>0.45</v>
      </c>
      <c r="Z108" s="17">
        <f t="shared" si="24"/>
        <v>0.45</v>
      </c>
      <c r="AA108" s="17">
        <f t="shared" si="25"/>
        <v>0.45</v>
      </c>
      <c r="AE108" s="29">
        <v>140</v>
      </c>
      <c r="AF108" s="29"/>
      <c r="AG108" s="29">
        <f t="shared" si="29"/>
        <v>0.45</v>
      </c>
      <c r="AH108" s="29"/>
      <c r="AI108" s="29">
        <f>(AG108-AG107)*INDEX([2]中r将兵属性验证!$AX$7:$AX$166,$AE108,1)+AI107</f>
        <v>29055766211.381588</v>
      </c>
      <c r="AJ108" s="14">
        <f t="shared" si="32"/>
        <v>29055766211.381588</v>
      </c>
      <c r="AO108" s="29">
        <f t="shared" si="30"/>
        <v>77.697893604818219</v>
      </c>
      <c r="AP108" s="14">
        <f>MAX(求节点($C$74:$C$79,D$74:D$79,求节点($C$4:$C$12,D$4:D$12,基础状态预期!K120)),AP107)</f>
        <v>0</v>
      </c>
      <c r="AQ108" s="14">
        <f>MAX(求节点($C$74:$C$79,E$74:E$79,求节点($C$4:$C$12,E$4:E$12,基础状态预期!L120)),AQ107)</f>
        <v>0</v>
      </c>
      <c r="AR108" s="14">
        <f>MAX(求节点($C$74:$C$79,F$74:F$79,求节点($C$4:$C$12,F$4:F$12,基础状态预期!M120)),AR107)</f>
        <v>0</v>
      </c>
      <c r="AS108" s="14">
        <f>MAX(求节点($C$74:$C$79,G$74:G$79,求节点($C$4:$C$12,G$4:G$12,基础状态预期!N120)),AS107)</f>
        <v>1</v>
      </c>
      <c r="AT108" s="14">
        <f>MAX(求节点($C$74:$C$79,H$74:H$79,求节点($C$4:$C$12,H$4:H$12,基础状态预期!O120)),AT107)</f>
        <v>2</v>
      </c>
      <c r="AU108" s="14">
        <f>MAX(求节点($C$81:$C$86,D$81:D$86,求节点($C$4:$C$12,D$4:D$12,基础状态预期!K120)),AU107)</f>
        <v>0</v>
      </c>
      <c r="AV108" s="14">
        <f>MAX(求节点($C$81:$C$86,E$81:E$86,求节点($C$4:$C$12,E$4:E$12,基础状态预期!L120)),AV107)</f>
        <v>0</v>
      </c>
      <c r="AW108" s="14">
        <f>MAX(求节点($C$81:$C$86,F$81:F$86,求节点($C$4:$C$12,F$4:F$12,基础状态预期!M120)),AW107)</f>
        <v>0</v>
      </c>
      <c r="AX108" s="14">
        <f>MAX(求节点($C$81:$C$86,G$81:G$86,求节点($C$4:$C$12,G$4:G$12,基础状态预期!N120)),AX107)</f>
        <v>0</v>
      </c>
      <c r="AY108" s="14">
        <f>MAX(求节点($C$81:$C$86,H$81:H$86,求节点($C$4:$C$12,H$4:H$12,基础状态预期!O120)),AY107)</f>
        <v>4</v>
      </c>
      <c r="AZ108" s="14">
        <f>MAX(求节点($C$88:$C$93,D$88:D$93,求节点($C$4:$C$12,D$4:D$12,基础状态预期!K120)),AZ107)</f>
        <v>0</v>
      </c>
      <c r="BA108" s="14">
        <f>MAX(求节点($C$88:$C$93,E$88:E$93,求节点($C$4:$C$12,E$4:E$12,基础状态预期!L120)),BA107)</f>
        <v>0</v>
      </c>
      <c r="BB108" s="14">
        <f>MAX(求节点($C$88:$C$93,F$88:F$93,求节点($C$4:$C$12,F$4:F$12,基础状态预期!M120)),BB107)</f>
        <v>0</v>
      </c>
      <c r="BC108" s="14">
        <f>MAX(求节点($C$88:$C$93,G$88:G$93,求节点($C$4:$C$12,G$4:G$12,基础状态预期!N120)),BC107)</f>
        <v>0</v>
      </c>
      <c r="BD108" s="14">
        <f>MAX(求节点($C$88:$C$93,H$88:H$93,求节点($C$4:$C$12,H$4:H$12,基础状态预期!O120)),BD107)</f>
        <v>0</v>
      </c>
      <c r="BE108" s="14">
        <f t="shared" si="27"/>
        <v>11000</v>
      </c>
      <c r="BH108" s="29">
        <v>140</v>
      </c>
      <c r="BI108" s="29">
        <f t="shared" si="28"/>
        <v>395000</v>
      </c>
      <c r="BJ108" s="29"/>
      <c r="BK108" s="29">
        <f t="shared" si="33"/>
        <v>395000</v>
      </c>
      <c r="BM108" s="17">
        <f>求节点($C$4:$C$12,D$4:D$12,基础状态预期!K120)</f>
        <v>0</v>
      </c>
      <c r="BN108" s="17">
        <f>求节点($C$4:$C$12,E$4:E$12,基础状态预期!L120)</f>
        <v>0</v>
      </c>
      <c r="BO108" s="17">
        <f>求节点($C$4:$C$12,F$4:F$12,基础状态预期!M120)</f>
        <v>0</v>
      </c>
      <c r="BP108" s="17">
        <f>求节点($C$4:$C$12,G$4:G$12,基础状态预期!N120)</f>
        <v>0</v>
      </c>
      <c r="BQ108" s="17">
        <f>求节点($C$4:$C$12,H$4:H$12,基础状态预期!O120)</f>
        <v>2</v>
      </c>
    </row>
    <row r="109" spans="2:69" x14ac:dyDescent="0.15">
      <c r="M109" s="16">
        <v>18</v>
      </c>
      <c r="N109" s="29">
        <f>基础状态预期!D121</f>
        <v>80.134867890916794</v>
      </c>
      <c r="O109" s="29">
        <f>IF(基础状态预期!U121="",0,MIN(求节点($C$16:$C$24,D$16:D$24,基础状态预期!K121),求节点($C$28:$C$48,D$28:D$48,基础状态预期!U121)))</f>
        <v>0</v>
      </c>
      <c r="P109" s="29">
        <f>IF(基础状态预期!V121="",0,MIN(求节点($C$16:$C$24,E$16:E$24,基础状态预期!L121),求节点($C$28:$C$48,E$28:E$48,基础状态预期!V121)))</f>
        <v>0</v>
      </c>
      <c r="Q109" s="29">
        <f>IF(基础状态预期!W121="",0,MIN(求节点($C$16:$C$24,F$16:F$24,基础状态预期!M121),求节点($C$28:$C$48,F$28:F$48,基础状态预期!W121)))</f>
        <v>0</v>
      </c>
      <c r="R109" s="29">
        <f>IF(基础状态预期!X121="",0,MIN(求节点($C$16:$C$24,G$16:G$24,基础状态预期!N121),求节点($C$28:$C$48,G$28:G$48,基础状态预期!X121)))</f>
        <v>0</v>
      </c>
      <c r="S109" s="29">
        <f>IF(基础状态预期!Y121="",0,MIN(求节点($C$16:$C$24,H$16:H$24,基础状态预期!O121),求节点($C$28:$C$48,H$28:H$48,基础状态预期!Y121)))</f>
        <v>0.18</v>
      </c>
      <c r="T109" s="29">
        <f>MAX(SUMPRODUCT(O109:S109,基础状态预期!$F121:$J121)/SUM(基础状态预期!$F121:$J121),T108)</f>
        <v>0.18000000000000002</v>
      </c>
      <c r="V109" s="17">
        <v>105</v>
      </c>
      <c r="W109" s="17">
        <f t="shared" si="21"/>
        <v>0.45</v>
      </c>
      <c r="X109" s="17">
        <f t="shared" si="22"/>
        <v>0.45</v>
      </c>
      <c r="Y109" s="17">
        <f t="shared" si="23"/>
        <v>0.45</v>
      </c>
      <c r="Z109" s="17">
        <f t="shared" si="24"/>
        <v>0.45</v>
      </c>
      <c r="AA109" s="17">
        <f t="shared" si="25"/>
        <v>0.45</v>
      </c>
      <c r="AE109" s="29">
        <v>150</v>
      </c>
      <c r="AF109" s="29"/>
      <c r="AG109" s="29">
        <f t="shared" si="29"/>
        <v>0.45</v>
      </c>
      <c r="AH109" s="29"/>
      <c r="AI109" s="29">
        <f>(AG109-AG108)*INDEX([2]中r将兵属性验证!$AX$7:$AX$166,$AE109,1)+AI108</f>
        <v>29055766211.381588</v>
      </c>
      <c r="AJ109" s="14">
        <f t="shared" si="32"/>
        <v>29055766211.381588</v>
      </c>
      <c r="AO109" s="29">
        <f t="shared" si="30"/>
        <v>80.134867890916794</v>
      </c>
      <c r="AP109" s="14">
        <f>MAX(求节点($C$74:$C$79,D$74:D$79,求节点($C$4:$C$12,D$4:D$12,基础状态预期!K121)),AP108)</f>
        <v>0</v>
      </c>
      <c r="AQ109" s="14">
        <f>MAX(求节点($C$74:$C$79,E$74:E$79,求节点($C$4:$C$12,E$4:E$12,基础状态预期!L121)),AQ108)</f>
        <v>0</v>
      </c>
      <c r="AR109" s="14">
        <f>MAX(求节点($C$74:$C$79,F$74:F$79,求节点($C$4:$C$12,F$4:F$12,基础状态预期!M121)),AR108)</f>
        <v>0</v>
      </c>
      <c r="AS109" s="14">
        <f>MAX(求节点($C$74:$C$79,G$74:G$79,求节点($C$4:$C$12,G$4:G$12,基础状态预期!N121)),AS108)</f>
        <v>1</v>
      </c>
      <c r="AT109" s="14">
        <f>MAX(求节点($C$74:$C$79,H$74:H$79,求节点($C$4:$C$12,H$4:H$12,基础状态预期!O121)),AT108)</f>
        <v>2</v>
      </c>
      <c r="AU109" s="14">
        <f>MAX(求节点($C$81:$C$86,D$81:D$86,求节点($C$4:$C$12,D$4:D$12,基础状态预期!K121)),AU108)</f>
        <v>0</v>
      </c>
      <c r="AV109" s="14">
        <f>MAX(求节点($C$81:$C$86,E$81:E$86,求节点($C$4:$C$12,E$4:E$12,基础状态预期!L121)),AV108)</f>
        <v>0</v>
      </c>
      <c r="AW109" s="14">
        <f>MAX(求节点($C$81:$C$86,F$81:F$86,求节点($C$4:$C$12,F$4:F$12,基础状态预期!M121)),AW108)</f>
        <v>0</v>
      </c>
      <c r="AX109" s="14">
        <f>MAX(求节点($C$81:$C$86,G$81:G$86,求节点($C$4:$C$12,G$4:G$12,基础状态预期!N121)),AX108)</f>
        <v>0</v>
      </c>
      <c r="AY109" s="14">
        <f>MAX(求节点($C$81:$C$86,H$81:H$86,求节点($C$4:$C$12,H$4:H$12,基础状态预期!O121)),AY108)</f>
        <v>4</v>
      </c>
      <c r="AZ109" s="14">
        <f>MAX(求节点($C$88:$C$93,D$88:D$93,求节点($C$4:$C$12,D$4:D$12,基础状态预期!K121)),AZ108)</f>
        <v>0</v>
      </c>
      <c r="BA109" s="14">
        <f>MAX(求节点($C$88:$C$93,E$88:E$93,求节点($C$4:$C$12,E$4:E$12,基础状态预期!L121)),BA108)</f>
        <v>0</v>
      </c>
      <c r="BB109" s="14">
        <f>MAX(求节点($C$88:$C$93,F$88:F$93,求节点($C$4:$C$12,F$4:F$12,基础状态预期!M121)),BB108)</f>
        <v>0</v>
      </c>
      <c r="BC109" s="14">
        <f>MAX(求节点($C$88:$C$93,G$88:G$93,求节点($C$4:$C$12,G$4:G$12,基础状态预期!N121)),BC108)</f>
        <v>0</v>
      </c>
      <c r="BD109" s="14">
        <f>MAX(求节点($C$88:$C$93,H$88:H$93,求节点($C$4:$C$12,H$4:H$12,基础状态预期!O121)),BD108)</f>
        <v>0</v>
      </c>
      <c r="BE109" s="14">
        <f t="shared" si="27"/>
        <v>11000</v>
      </c>
      <c r="BH109" s="29">
        <v>150</v>
      </c>
      <c r="BI109" s="29">
        <f t="shared" si="28"/>
        <v>395000</v>
      </c>
      <c r="BJ109" s="29"/>
      <c r="BK109" s="29">
        <f t="shared" si="33"/>
        <v>395000</v>
      </c>
      <c r="BM109" s="17">
        <f>求节点($C$4:$C$12,D$4:D$12,基础状态预期!K121)</f>
        <v>0</v>
      </c>
      <c r="BN109" s="17">
        <f>求节点($C$4:$C$12,E$4:E$12,基础状态预期!L121)</f>
        <v>0</v>
      </c>
      <c r="BO109" s="17">
        <f>求节点($C$4:$C$12,F$4:F$12,基础状态预期!M121)</f>
        <v>0</v>
      </c>
      <c r="BP109" s="17">
        <f>求节点($C$4:$C$12,G$4:G$12,基础状态预期!N121)</f>
        <v>0</v>
      </c>
      <c r="BQ109" s="17">
        <f>求节点($C$4:$C$12,H$4:H$12,基础状态预期!O121)</f>
        <v>2</v>
      </c>
    </row>
    <row r="110" spans="2:69" x14ac:dyDescent="0.15">
      <c r="M110" s="16">
        <v>19</v>
      </c>
      <c r="N110" s="29">
        <f>基础状态预期!D122</f>
        <v>82.238672852681816</v>
      </c>
      <c r="O110" s="29">
        <f>IF(基础状态预期!U122="",0,MIN(求节点($C$16:$C$24,D$16:D$24,基础状态预期!K122),求节点($C$28:$C$48,D$28:D$48,基础状态预期!U122)))</f>
        <v>0</v>
      </c>
      <c r="P110" s="29">
        <f>IF(基础状态预期!V122="",0,MIN(求节点($C$16:$C$24,E$16:E$24,基础状态预期!L122),求节点($C$28:$C$48,E$28:E$48,基础状态预期!V122)))</f>
        <v>0</v>
      </c>
      <c r="Q110" s="29">
        <f>IF(基础状态预期!W122="",0,MIN(求节点($C$16:$C$24,F$16:F$24,基础状态预期!M122),求节点($C$28:$C$48,F$28:F$48,基础状态预期!W122)))</f>
        <v>0</v>
      </c>
      <c r="R110" s="29">
        <f>IF(基础状态预期!X122="",0,MIN(求节点($C$16:$C$24,G$16:G$24,基础状态预期!N122),求节点($C$28:$C$48,G$28:G$48,基础状态预期!X122)))</f>
        <v>0</v>
      </c>
      <c r="S110" s="29">
        <f>IF(基础状态预期!Y122="",0,MIN(求节点($C$16:$C$24,H$16:H$24,基础状态预期!O122),求节点($C$28:$C$48,H$28:H$48,基础状态预期!Y122)))</f>
        <v>0.18</v>
      </c>
      <c r="T110" s="29">
        <f>MAX(SUMPRODUCT(O110:S110,基础状态预期!$F122:$J122)/SUM(基础状态预期!$F122:$J122),T109)</f>
        <v>0.18000000000000002</v>
      </c>
      <c r="V110" s="17">
        <v>106</v>
      </c>
      <c r="W110" s="17">
        <f t="shared" si="21"/>
        <v>0.45</v>
      </c>
      <c r="X110" s="17">
        <f t="shared" si="22"/>
        <v>0.45</v>
      </c>
      <c r="Y110" s="17">
        <f t="shared" si="23"/>
        <v>0.45</v>
      </c>
      <c r="Z110" s="17">
        <f t="shared" si="24"/>
        <v>0.45</v>
      </c>
      <c r="AA110" s="17">
        <f t="shared" si="25"/>
        <v>0.45</v>
      </c>
      <c r="AE110" s="29">
        <v>160</v>
      </c>
      <c r="AF110" s="29"/>
      <c r="AG110" s="29">
        <f t="shared" si="29"/>
        <v>0.45</v>
      </c>
      <c r="AH110" s="29"/>
      <c r="AI110" s="29">
        <f>(AG110-AG109)*INDEX([2]中r将兵属性验证!$AX$7:$AX$166,$AE110,1)+AI109</f>
        <v>29055766211.381588</v>
      </c>
      <c r="AJ110" s="14">
        <f t="shared" si="32"/>
        <v>29055766211.381588</v>
      </c>
      <c r="AO110" s="29">
        <f t="shared" si="30"/>
        <v>82.238672852681816</v>
      </c>
      <c r="AP110" s="14">
        <f>MAX(求节点($C$74:$C$79,D$74:D$79,求节点($C$4:$C$12,D$4:D$12,基础状态预期!K122)),AP109)</f>
        <v>0</v>
      </c>
      <c r="AQ110" s="14">
        <f>MAX(求节点($C$74:$C$79,E$74:E$79,求节点($C$4:$C$12,E$4:E$12,基础状态预期!L122)),AQ109)</f>
        <v>0</v>
      </c>
      <c r="AR110" s="14">
        <f>MAX(求节点($C$74:$C$79,F$74:F$79,求节点($C$4:$C$12,F$4:F$12,基础状态预期!M122)),AR109)</f>
        <v>0</v>
      </c>
      <c r="AS110" s="14">
        <f>MAX(求节点($C$74:$C$79,G$74:G$79,求节点($C$4:$C$12,G$4:G$12,基础状态预期!N122)),AS109)</f>
        <v>1</v>
      </c>
      <c r="AT110" s="14">
        <f>MAX(求节点($C$74:$C$79,H$74:H$79,求节点($C$4:$C$12,H$4:H$12,基础状态预期!O122)),AT109)</f>
        <v>2</v>
      </c>
      <c r="AU110" s="14">
        <f>MAX(求节点($C$81:$C$86,D$81:D$86,求节点($C$4:$C$12,D$4:D$12,基础状态预期!K122)),AU109)</f>
        <v>0</v>
      </c>
      <c r="AV110" s="14">
        <f>MAX(求节点($C$81:$C$86,E$81:E$86,求节点($C$4:$C$12,E$4:E$12,基础状态预期!L122)),AV109)</f>
        <v>0</v>
      </c>
      <c r="AW110" s="14">
        <f>MAX(求节点($C$81:$C$86,F$81:F$86,求节点($C$4:$C$12,F$4:F$12,基础状态预期!M122)),AW109)</f>
        <v>0</v>
      </c>
      <c r="AX110" s="14">
        <f>MAX(求节点($C$81:$C$86,G$81:G$86,求节点($C$4:$C$12,G$4:G$12,基础状态预期!N122)),AX109)</f>
        <v>0</v>
      </c>
      <c r="AY110" s="14">
        <f>MAX(求节点($C$81:$C$86,H$81:H$86,求节点($C$4:$C$12,H$4:H$12,基础状态预期!O122)),AY109)</f>
        <v>4</v>
      </c>
      <c r="AZ110" s="14">
        <f>MAX(求节点($C$88:$C$93,D$88:D$93,求节点($C$4:$C$12,D$4:D$12,基础状态预期!K122)),AZ109)</f>
        <v>0</v>
      </c>
      <c r="BA110" s="14">
        <f>MAX(求节点($C$88:$C$93,E$88:E$93,求节点($C$4:$C$12,E$4:E$12,基础状态预期!L122)),BA109)</f>
        <v>0</v>
      </c>
      <c r="BB110" s="14">
        <f>MAX(求节点($C$88:$C$93,F$88:F$93,求节点($C$4:$C$12,F$4:F$12,基础状态预期!M122)),BB109)</f>
        <v>0</v>
      </c>
      <c r="BC110" s="14">
        <f>MAX(求节点($C$88:$C$93,G$88:G$93,求节点($C$4:$C$12,G$4:G$12,基础状态预期!N122)),BC109)</f>
        <v>0</v>
      </c>
      <c r="BD110" s="14">
        <f>MAX(求节点($C$88:$C$93,H$88:H$93,求节点($C$4:$C$12,H$4:H$12,基础状态预期!O122)),BD109)</f>
        <v>0</v>
      </c>
      <c r="BE110" s="14">
        <f t="shared" si="27"/>
        <v>11000</v>
      </c>
      <c r="BH110" s="29">
        <v>160</v>
      </c>
      <c r="BI110" s="29">
        <f t="shared" si="28"/>
        <v>395000</v>
      </c>
      <c r="BJ110" s="29"/>
      <c r="BK110" s="29">
        <f t="shared" si="33"/>
        <v>395000</v>
      </c>
      <c r="BM110" s="17">
        <f>求节点($C$4:$C$12,D$4:D$12,基础状态预期!K122)</f>
        <v>0</v>
      </c>
      <c r="BN110" s="17">
        <f>求节点($C$4:$C$12,E$4:E$12,基础状态预期!L122)</f>
        <v>0</v>
      </c>
      <c r="BO110" s="17">
        <f>求节点($C$4:$C$12,F$4:F$12,基础状态预期!M122)</f>
        <v>0</v>
      </c>
      <c r="BP110" s="17">
        <f>求节点($C$4:$C$12,G$4:G$12,基础状态预期!N122)</f>
        <v>0</v>
      </c>
      <c r="BQ110" s="17">
        <f>求节点($C$4:$C$12,H$4:H$12,基础状态预期!O122)</f>
        <v>2</v>
      </c>
    </row>
    <row r="111" spans="2:69" x14ac:dyDescent="0.15">
      <c r="M111" s="16">
        <v>20</v>
      </c>
      <c r="N111" s="29">
        <f>基础状态预期!D123</f>
        <v>84.043767921022209</v>
      </c>
      <c r="O111" s="29">
        <f>IF(基础状态预期!U123="",0,MIN(求节点($C$16:$C$24,D$16:D$24,基础状态预期!K123),求节点($C$28:$C$48,D$28:D$48,基础状态预期!U123)))</f>
        <v>0</v>
      </c>
      <c r="P111" s="29">
        <f>IF(基础状态预期!V123="",0,MIN(求节点($C$16:$C$24,E$16:E$24,基础状态预期!L123),求节点($C$28:$C$48,E$28:E$48,基础状态预期!V123)))</f>
        <v>0</v>
      </c>
      <c r="Q111" s="29">
        <f>IF(基础状态预期!W123="",0,MIN(求节点($C$16:$C$24,F$16:F$24,基础状态预期!M123),求节点($C$28:$C$48,F$28:F$48,基础状态预期!W123)))</f>
        <v>0</v>
      </c>
      <c r="R111" s="29">
        <f>IF(基础状态预期!X123="",0,MIN(求节点($C$16:$C$24,G$16:G$24,基础状态预期!N123),求节点($C$28:$C$48,G$28:G$48,基础状态预期!X123)))</f>
        <v>0</v>
      </c>
      <c r="S111" s="29">
        <f>IF(基础状态预期!Y123="",0,MIN(求节点($C$16:$C$24,H$16:H$24,基础状态预期!O123),求节点($C$28:$C$48,H$28:H$48,基础状态预期!Y123)))</f>
        <v>0.18367818872797495</v>
      </c>
      <c r="T111" s="29">
        <f>MAX(SUMPRODUCT(O111:S111,基础状态预期!$F123:$J123)/SUM(基础状态预期!$F123:$J123),T110)</f>
        <v>0.18367818872797495</v>
      </c>
      <c r="V111" s="17">
        <v>107</v>
      </c>
      <c r="W111" s="17">
        <f t="shared" si="21"/>
        <v>0.45</v>
      </c>
      <c r="X111" s="17">
        <f t="shared" si="22"/>
        <v>0.45</v>
      </c>
      <c r="Y111" s="17">
        <f t="shared" si="23"/>
        <v>0.45</v>
      </c>
      <c r="Z111" s="17">
        <f t="shared" si="24"/>
        <v>0.45</v>
      </c>
      <c r="AA111" s="17">
        <f t="shared" si="25"/>
        <v>0.45</v>
      </c>
      <c r="AO111" s="29">
        <f t="shared" si="30"/>
        <v>84.043767921022209</v>
      </c>
      <c r="AP111" s="14">
        <f>MAX(求节点($C$74:$C$79,D$74:D$79,求节点($C$4:$C$12,D$4:D$12,基础状态预期!K123)),AP110)</f>
        <v>0</v>
      </c>
      <c r="AQ111" s="14">
        <f>MAX(求节点($C$74:$C$79,E$74:E$79,求节点($C$4:$C$12,E$4:E$12,基础状态预期!L123)),AQ110)</f>
        <v>0</v>
      </c>
      <c r="AR111" s="14">
        <f>MAX(求节点($C$74:$C$79,F$74:F$79,求节点($C$4:$C$12,F$4:F$12,基础状态预期!M123)),AR110)</f>
        <v>0</v>
      </c>
      <c r="AS111" s="14">
        <f>MAX(求节点($C$74:$C$79,G$74:G$79,求节点($C$4:$C$12,G$4:G$12,基础状态预期!N123)),AS110)</f>
        <v>1</v>
      </c>
      <c r="AT111" s="14">
        <f>MAX(求节点($C$74:$C$79,H$74:H$79,求节点($C$4:$C$12,H$4:H$12,基础状态预期!O123)),AT110)</f>
        <v>2</v>
      </c>
      <c r="AU111" s="14">
        <f>MAX(求节点($C$81:$C$86,D$81:D$86,求节点($C$4:$C$12,D$4:D$12,基础状态预期!K123)),AU110)</f>
        <v>0</v>
      </c>
      <c r="AV111" s="14">
        <f>MAX(求节点($C$81:$C$86,E$81:E$86,求节点($C$4:$C$12,E$4:E$12,基础状态预期!L123)),AV110)</f>
        <v>0</v>
      </c>
      <c r="AW111" s="14">
        <f>MAX(求节点($C$81:$C$86,F$81:F$86,求节点($C$4:$C$12,F$4:F$12,基础状态预期!M123)),AW110)</f>
        <v>0</v>
      </c>
      <c r="AX111" s="14">
        <f>MAX(求节点($C$81:$C$86,G$81:G$86,求节点($C$4:$C$12,G$4:G$12,基础状态预期!N123)),AX110)</f>
        <v>0</v>
      </c>
      <c r="AY111" s="14">
        <f>MAX(求节点($C$81:$C$86,H$81:H$86,求节点($C$4:$C$12,H$4:H$12,基础状态预期!O123)),AY110)</f>
        <v>4</v>
      </c>
      <c r="AZ111" s="14">
        <f>MAX(求节点($C$88:$C$93,D$88:D$93,求节点($C$4:$C$12,D$4:D$12,基础状态预期!K123)),AZ110)</f>
        <v>0</v>
      </c>
      <c r="BA111" s="14">
        <f>MAX(求节点($C$88:$C$93,E$88:E$93,求节点($C$4:$C$12,E$4:E$12,基础状态预期!L123)),BA110)</f>
        <v>0</v>
      </c>
      <c r="BB111" s="14">
        <f>MAX(求节点($C$88:$C$93,F$88:F$93,求节点($C$4:$C$12,F$4:F$12,基础状态预期!M123)),BB110)</f>
        <v>0</v>
      </c>
      <c r="BC111" s="14">
        <f>MAX(求节点($C$88:$C$93,G$88:G$93,求节点($C$4:$C$12,G$4:G$12,基础状态预期!N123)),BC110)</f>
        <v>0</v>
      </c>
      <c r="BD111" s="14">
        <f>MAX(求节点($C$88:$C$93,H$88:H$93,求节点($C$4:$C$12,H$4:H$12,基础状态预期!O123)),BD110)</f>
        <v>0.32695010915333</v>
      </c>
      <c r="BE111" s="14">
        <f t="shared" si="27"/>
        <v>13615.60087322664</v>
      </c>
      <c r="BM111" s="17">
        <f>求节点($C$4:$C$12,D$4:D$12,基础状态预期!K123)</f>
        <v>0</v>
      </c>
      <c r="BN111" s="17">
        <f>求节点($C$4:$C$12,E$4:E$12,基础状态预期!L123)</f>
        <v>0</v>
      </c>
      <c r="BO111" s="17">
        <f>求节点($C$4:$C$12,F$4:F$12,基础状态预期!M123)</f>
        <v>0</v>
      </c>
      <c r="BP111" s="17">
        <f>求节点($C$4:$C$12,G$4:G$12,基础状态预期!N123)</f>
        <v>0</v>
      </c>
      <c r="BQ111" s="17">
        <f>求节点($C$4:$C$12,H$4:H$12,基础状态预期!O123)</f>
        <v>2.0408687636441663</v>
      </c>
    </row>
    <row r="112" spans="2:69" x14ac:dyDescent="0.15">
      <c r="M112" s="16">
        <v>21</v>
      </c>
      <c r="N112" s="29">
        <f>基础状态预期!D124</f>
        <v>86.385105215793828</v>
      </c>
      <c r="O112" s="29">
        <f>IF(基础状态预期!U124="",0,MIN(求节点($C$16:$C$24,D$16:D$24,基础状态预期!K124),求节点($C$28:$C$48,D$28:D$48,基础状态预期!U124)))</f>
        <v>0</v>
      </c>
      <c r="P112" s="29">
        <f>IF(基础状态预期!V124="",0,MIN(求节点($C$16:$C$24,E$16:E$24,基础状态预期!L124),求节点($C$28:$C$48,E$28:E$48,基础状态预期!V124)))</f>
        <v>0</v>
      </c>
      <c r="Q112" s="29">
        <f>IF(基础状态预期!W124="",0,MIN(求节点($C$16:$C$24,F$16:F$24,基础状态预期!M124),求节点($C$28:$C$48,F$28:F$48,基础状态预期!W124)))</f>
        <v>0</v>
      </c>
      <c r="R112" s="29">
        <f>IF(基础状态预期!X124="",0,MIN(求节点($C$16:$C$24,G$16:G$24,基础状态预期!N124),求节点($C$28:$C$48,G$28:G$48,基础状态预期!X124)))</f>
        <v>0</v>
      </c>
      <c r="S112" s="29">
        <f>IF(基础状态预期!Y124="",0,MIN(求节点($C$16:$C$24,H$16:H$24,基础状态预期!O124),求节点($C$28:$C$48,H$28:H$48,基础状态预期!Y124)))</f>
        <v>0.33993958013361331</v>
      </c>
      <c r="T112" s="29">
        <f>MAX(SUMPRODUCT(O112:S112,基础状态预期!$F124:$J124)/SUM(基础状态预期!$F124:$J124),T111)</f>
        <v>0.33993958013361331</v>
      </c>
      <c r="V112" s="17">
        <v>108</v>
      </c>
      <c r="W112" s="17">
        <f t="shared" si="21"/>
        <v>0.45</v>
      </c>
      <c r="X112" s="17">
        <f t="shared" si="22"/>
        <v>0.45</v>
      </c>
      <c r="Y112" s="17">
        <f t="shared" si="23"/>
        <v>0.45</v>
      </c>
      <c r="Z112" s="17">
        <f t="shared" si="24"/>
        <v>0.45</v>
      </c>
      <c r="AA112" s="17">
        <f t="shared" si="25"/>
        <v>0.45</v>
      </c>
      <c r="AO112" s="29">
        <f t="shared" si="30"/>
        <v>86.385105215793828</v>
      </c>
      <c r="AP112" s="14">
        <f>MAX(求节点($C$74:$C$79,D$74:D$79,求节点($C$4:$C$12,D$4:D$12,基础状态预期!K124)),AP111)</f>
        <v>0</v>
      </c>
      <c r="AQ112" s="14">
        <f>MAX(求节点($C$74:$C$79,E$74:E$79,求节点($C$4:$C$12,E$4:E$12,基础状态预期!L124)),AQ111)</f>
        <v>0</v>
      </c>
      <c r="AR112" s="14">
        <f>MAX(求节点($C$74:$C$79,F$74:F$79,求节点($C$4:$C$12,F$4:F$12,基础状态预期!M124)),AR111)</f>
        <v>0</v>
      </c>
      <c r="AS112" s="14">
        <f>MAX(求节点($C$74:$C$79,G$74:G$79,求节点($C$4:$C$12,G$4:G$12,基础状态预期!N124)),AS111)</f>
        <v>1</v>
      </c>
      <c r="AT112" s="14">
        <f>MAX(求节点($C$74:$C$79,H$74:H$79,求节点($C$4:$C$12,H$4:H$12,基础状态预期!O124)),AT111)</f>
        <v>2</v>
      </c>
      <c r="AU112" s="14">
        <f>MAX(求节点($C$81:$C$86,D$81:D$86,求节点($C$4:$C$12,D$4:D$12,基础状态预期!K124)),AU111)</f>
        <v>0</v>
      </c>
      <c r="AV112" s="14">
        <f>MAX(求节点($C$81:$C$86,E$81:E$86,求节点($C$4:$C$12,E$4:E$12,基础状态预期!L124)),AV111)</f>
        <v>0</v>
      </c>
      <c r="AW112" s="14">
        <f>MAX(求节点($C$81:$C$86,F$81:F$86,求节点($C$4:$C$12,F$4:F$12,基础状态预期!M124)),AW111)</f>
        <v>0</v>
      </c>
      <c r="AX112" s="14">
        <f>MAX(求节点($C$81:$C$86,G$81:G$86,求节点($C$4:$C$12,G$4:G$12,基础状态预期!N124)),AX111)</f>
        <v>0</v>
      </c>
      <c r="AY112" s="14">
        <f>MAX(求节点($C$81:$C$86,H$81:H$86,求节点($C$4:$C$12,H$4:H$12,基础状态预期!O124)),AY111)</f>
        <v>4</v>
      </c>
      <c r="AZ112" s="14">
        <f>MAX(求节点($C$88:$C$93,D$88:D$93,求节点($C$4:$C$12,D$4:D$12,基础状态预期!K124)),AZ111)</f>
        <v>0</v>
      </c>
      <c r="BA112" s="14">
        <f>MAX(求节点($C$88:$C$93,E$88:E$93,求节点($C$4:$C$12,E$4:E$12,基础状态预期!L124)),BA111)</f>
        <v>0</v>
      </c>
      <c r="BB112" s="14">
        <f>MAX(求节点($C$88:$C$93,F$88:F$93,求节点($C$4:$C$12,F$4:F$12,基础状态预期!M124)),BB111)</f>
        <v>0</v>
      </c>
      <c r="BC112" s="14">
        <f>MAX(求节点($C$88:$C$93,G$88:G$93,求节点($C$4:$C$12,G$4:G$12,基础状态预期!N124)),BC111)</f>
        <v>0</v>
      </c>
      <c r="BD112" s="14">
        <f>MAX(求节点($C$88:$C$93,H$88:H$93,求节点($C$4:$C$12,H$4:H$12,基础状态预期!O124)),BD111)</f>
        <v>20.433703134864587</v>
      </c>
      <c r="BE112" s="14">
        <f t="shared" si="27"/>
        <v>174469.6250789167</v>
      </c>
      <c r="BM112" s="17">
        <f>求节点($C$4:$C$12,D$4:D$12,基础状态预期!K124)</f>
        <v>0</v>
      </c>
      <c r="BN112" s="17">
        <f>求节点($C$4:$C$12,E$4:E$12,基础状态预期!L124)</f>
        <v>0</v>
      </c>
      <c r="BO112" s="17">
        <f>求节点($C$4:$C$12,F$4:F$12,基础状态预期!M124)</f>
        <v>0</v>
      </c>
      <c r="BP112" s="17">
        <f>求节点($C$4:$C$12,G$4:G$12,基础状态预期!N124)</f>
        <v>0</v>
      </c>
      <c r="BQ112" s="17">
        <f>求节点($C$4:$C$12,H$4:H$12,基础状态预期!O124)</f>
        <v>3.7771064459290367</v>
      </c>
    </row>
    <row r="113" spans="13:69" x14ac:dyDescent="0.15">
      <c r="M113" s="16">
        <v>22</v>
      </c>
      <c r="N113" s="29">
        <f>基础状态预期!D125</f>
        <v>90.406191748048585</v>
      </c>
      <c r="O113" s="29">
        <f>IF(基础状态预期!U125="",0,MIN(求节点($C$16:$C$24,D$16:D$24,基础状态预期!K125),求节点($C$28:$C$48,D$28:D$48,基础状态预期!U125)))</f>
        <v>0</v>
      </c>
      <c r="P113" s="29">
        <f>IF(基础状态预期!V125="",0,MIN(求节点($C$16:$C$24,E$16:E$24,基础状态预期!L125),求节点($C$28:$C$48,E$28:E$48,基础状态预期!V125)))</f>
        <v>0</v>
      </c>
      <c r="Q113" s="29">
        <f>IF(基础状态预期!W125="",0,MIN(求节点($C$16:$C$24,F$16:F$24,基础状态预期!M125),求节点($C$28:$C$48,F$28:F$48,基础状态预期!W125)))</f>
        <v>0</v>
      </c>
      <c r="R113" s="29">
        <f>IF(基础状态预期!X125="",0,MIN(求节点($C$16:$C$24,G$16:G$24,基础状态预期!N125),求节点($C$28:$C$48,G$28:G$48,基础状态预期!X125)))</f>
        <v>0</v>
      </c>
      <c r="S113" s="29">
        <f>IF(基础状态预期!Y125="",0,MIN(求节点($C$16:$C$24,H$16:H$24,基础状态预期!O125),求节点($C$28:$C$48,H$28:H$48,基础状态预期!Y125)))</f>
        <v>0.45</v>
      </c>
      <c r="T113" s="29">
        <f>MAX(SUMPRODUCT(O113:S113,基础状态预期!$F125:$J125)/SUM(基础状态预期!$F125:$J125),T112)</f>
        <v>0.45</v>
      </c>
      <c r="V113" s="17">
        <v>109</v>
      </c>
      <c r="W113" s="17">
        <f t="shared" si="21"/>
        <v>0.45</v>
      </c>
      <c r="X113" s="17">
        <f t="shared" si="22"/>
        <v>0.45</v>
      </c>
      <c r="Y113" s="17">
        <f t="shared" si="23"/>
        <v>0.45</v>
      </c>
      <c r="Z113" s="17">
        <f t="shared" si="24"/>
        <v>0.45</v>
      </c>
      <c r="AA113" s="17">
        <f t="shared" si="25"/>
        <v>0.45</v>
      </c>
      <c r="AO113" s="29">
        <f t="shared" si="30"/>
        <v>90.406191748048585</v>
      </c>
      <c r="AP113" s="14">
        <f>MAX(求节点($C$74:$C$79,D$74:D$79,求节点($C$4:$C$12,D$4:D$12,基础状态预期!K125)),AP112)</f>
        <v>0</v>
      </c>
      <c r="AQ113" s="14">
        <f>MAX(求节点($C$74:$C$79,E$74:E$79,求节点($C$4:$C$12,E$4:E$12,基础状态预期!L125)),AQ112)</f>
        <v>0</v>
      </c>
      <c r="AR113" s="14">
        <f>MAX(求节点($C$74:$C$79,F$74:F$79,求节点($C$4:$C$12,F$4:F$12,基础状态预期!M125)),AR112)</f>
        <v>0</v>
      </c>
      <c r="AS113" s="14">
        <f>MAX(求节点($C$74:$C$79,G$74:G$79,求节点($C$4:$C$12,G$4:G$12,基础状态预期!N125)),AS112)</f>
        <v>1</v>
      </c>
      <c r="AT113" s="14">
        <f>MAX(求节点($C$74:$C$79,H$74:H$79,求节点($C$4:$C$12,H$4:H$12,基础状态预期!O125)),AT112)</f>
        <v>2</v>
      </c>
      <c r="AU113" s="14">
        <f>MAX(求节点($C$81:$C$86,D$81:D$86,求节点($C$4:$C$12,D$4:D$12,基础状态预期!K125)),AU112)</f>
        <v>0</v>
      </c>
      <c r="AV113" s="14">
        <f>MAX(求节点($C$81:$C$86,E$81:E$86,求节点($C$4:$C$12,E$4:E$12,基础状态预期!L125)),AV112)</f>
        <v>0</v>
      </c>
      <c r="AW113" s="14">
        <f>MAX(求节点($C$81:$C$86,F$81:F$86,求节点($C$4:$C$12,F$4:F$12,基础状态预期!M125)),AW112)</f>
        <v>0</v>
      </c>
      <c r="AX113" s="14">
        <f>MAX(求节点($C$81:$C$86,G$81:G$86,求节点($C$4:$C$12,G$4:G$12,基础状态预期!N125)),AX112)</f>
        <v>0</v>
      </c>
      <c r="AY113" s="14">
        <f>MAX(求节点($C$81:$C$86,H$81:H$86,求节点($C$4:$C$12,H$4:H$12,基础状态预期!O125)),AY112)</f>
        <v>4</v>
      </c>
      <c r="AZ113" s="14">
        <f>MAX(求节点($C$88:$C$93,D$88:D$93,求节点($C$4:$C$12,D$4:D$12,基础状态预期!K125)),AZ112)</f>
        <v>0</v>
      </c>
      <c r="BA113" s="14">
        <f>MAX(求节点($C$88:$C$93,E$88:E$93,求节点($C$4:$C$12,E$4:E$12,基础状态预期!L125)),BA112)</f>
        <v>0</v>
      </c>
      <c r="BB113" s="14">
        <f>MAX(求节点($C$88:$C$93,F$88:F$93,求节点($C$4:$C$12,F$4:F$12,基础状态预期!M125)),BB112)</f>
        <v>0</v>
      </c>
      <c r="BC113" s="14">
        <f>MAX(求节点($C$88:$C$93,G$88:G$93,求节点($C$4:$C$12,G$4:G$12,基础状态预期!N125)),BC112)</f>
        <v>0</v>
      </c>
      <c r="BD113" s="14">
        <f>MAX(求节点($C$88:$C$93,H$88:H$93,求节点($C$4:$C$12,H$4:H$12,基础状态预期!O125)),BD112)</f>
        <v>48</v>
      </c>
      <c r="BE113" s="14">
        <f t="shared" si="27"/>
        <v>395000</v>
      </c>
      <c r="BM113" s="17">
        <f>求节点($C$4:$C$12,D$4:D$12,基础状态预期!K125)</f>
        <v>0</v>
      </c>
      <c r="BN113" s="17">
        <f>求节点($C$4:$C$12,E$4:E$12,基础状态预期!L125)</f>
        <v>0</v>
      </c>
      <c r="BO113" s="17">
        <f>求节点($C$4:$C$12,F$4:F$12,基础状态预期!M125)</f>
        <v>0</v>
      </c>
      <c r="BP113" s="17">
        <f>求节点($C$4:$C$12,G$4:G$12,基础状态预期!N125)</f>
        <v>0</v>
      </c>
      <c r="BQ113" s="17">
        <f>求节点($C$4:$C$12,H$4:H$12,基础状态预期!O125)</f>
        <v>5</v>
      </c>
    </row>
    <row r="114" spans="13:69" x14ac:dyDescent="0.15">
      <c r="M114" s="16">
        <v>23</v>
      </c>
      <c r="N114" s="29">
        <f>基础状态预期!D126</f>
        <v>93.471491811086082</v>
      </c>
      <c r="O114" s="29">
        <f>IF(基础状态预期!U126="",0,MIN(求节点($C$16:$C$24,D$16:D$24,基础状态预期!K126),求节点($C$28:$C$48,D$28:D$48,基础状态预期!U126)))</f>
        <v>0</v>
      </c>
      <c r="P114" s="29">
        <f>IF(基础状态预期!V126="",0,MIN(求节点($C$16:$C$24,E$16:E$24,基础状态预期!L126),求节点($C$28:$C$48,E$28:E$48,基础状态预期!V126)))</f>
        <v>0</v>
      </c>
      <c r="Q114" s="29">
        <f>IF(基础状态预期!W126="",0,MIN(求节点($C$16:$C$24,F$16:F$24,基础状态预期!M126),求节点($C$28:$C$48,F$28:F$48,基础状态预期!W126)))</f>
        <v>0</v>
      </c>
      <c r="R114" s="29">
        <f>IF(基础状态预期!X126="",0,MIN(求节点($C$16:$C$24,G$16:G$24,基础状态预期!N126),求节点($C$28:$C$48,G$28:G$48,基础状态预期!X126)))</f>
        <v>0</v>
      </c>
      <c r="S114" s="29">
        <f>IF(基础状态预期!Y126="",0,MIN(求节点($C$16:$C$24,H$16:H$24,基础状态预期!O126),求节点($C$28:$C$48,H$28:H$48,基础状态预期!Y126)))</f>
        <v>0.45</v>
      </c>
      <c r="T114" s="29">
        <f>MAX(SUMPRODUCT(O114:S114,基础状态预期!$F126:$J126)/SUM(基础状态预期!$F126:$J126),T113)</f>
        <v>0.45</v>
      </c>
      <c r="V114" s="17">
        <v>110</v>
      </c>
      <c r="W114" s="17">
        <f t="shared" si="21"/>
        <v>0.45</v>
      </c>
      <c r="X114" s="17">
        <f t="shared" si="22"/>
        <v>0.45</v>
      </c>
      <c r="Y114" s="17">
        <f t="shared" si="23"/>
        <v>0.45</v>
      </c>
      <c r="Z114" s="17">
        <f t="shared" si="24"/>
        <v>0.45</v>
      </c>
      <c r="AA114" s="17">
        <f t="shared" si="25"/>
        <v>0.45</v>
      </c>
      <c r="AO114" s="29">
        <f t="shared" si="30"/>
        <v>93.471491811086082</v>
      </c>
      <c r="AP114" s="14">
        <f>MAX(求节点($C$74:$C$79,D$74:D$79,求节点($C$4:$C$12,D$4:D$12,基础状态预期!K126)),AP113)</f>
        <v>0</v>
      </c>
      <c r="AQ114" s="14">
        <f>MAX(求节点($C$74:$C$79,E$74:E$79,求节点($C$4:$C$12,E$4:E$12,基础状态预期!L126)),AQ113)</f>
        <v>0</v>
      </c>
      <c r="AR114" s="14">
        <f>MAX(求节点($C$74:$C$79,F$74:F$79,求节点($C$4:$C$12,F$4:F$12,基础状态预期!M126)),AR113)</f>
        <v>0</v>
      </c>
      <c r="AS114" s="14">
        <f>MAX(求节点($C$74:$C$79,G$74:G$79,求节点($C$4:$C$12,G$4:G$12,基础状态预期!N126)),AS113)</f>
        <v>1</v>
      </c>
      <c r="AT114" s="14">
        <f>MAX(求节点($C$74:$C$79,H$74:H$79,求节点($C$4:$C$12,H$4:H$12,基础状态预期!O126)),AT113)</f>
        <v>2</v>
      </c>
      <c r="AU114" s="14">
        <f>MAX(求节点($C$81:$C$86,D$81:D$86,求节点($C$4:$C$12,D$4:D$12,基础状态预期!K126)),AU113)</f>
        <v>0</v>
      </c>
      <c r="AV114" s="14">
        <f>MAX(求节点($C$81:$C$86,E$81:E$86,求节点($C$4:$C$12,E$4:E$12,基础状态预期!L126)),AV113)</f>
        <v>0</v>
      </c>
      <c r="AW114" s="14">
        <f>MAX(求节点($C$81:$C$86,F$81:F$86,求节点($C$4:$C$12,F$4:F$12,基础状态预期!M126)),AW113)</f>
        <v>0</v>
      </c>
      <c r="AX114" s="14">
        <f>MAX(求节点($C$81:$C$86,G$81:G$86,求节点($C$4:$C$12,G$4:G$12,基础状态预期!N126)),AX113)</f>
        <v>0</v>
      </c>
      <c r="AY114" s="14">
        <f>MAX(求节点($C$81:$C$86,H$81:H$86,求节点($C$4:$C$12,H$4:H$12,基础状态预期!O126)),AY113)</f>
        <v>4</v>
      </c>
      <c r="AZ114" s="14">
        <f>MAX(求节点($C$88:$C$93,D$88:D$93,求节点($C$4:$C$12,D$4:D$12,基础状态预期!K126)),AZ113)</f>
        <v>0</v>
      </c>
      <c r="BA114" s="14">
        <f>MAX(求节点($C$88:$C$93,E$88:E$93,求节点($C$4:$C$12,E$4:E$12,基础状态预期!L126)),BA113)</f>
        <v>0</v>
      </c>
      <c r="BB114" s="14">
        <f>MAX(求节点($C$88:$C$93,F$88:F$93,求节点($C$4:$C$12,F$4:F$12,基础状态预期!M126)),BB113)</f>
        <v>0</v>
      </c>
      <c r="BC114" s="14">
        <f>MAX(求节点($C$88:$C$93,G$88:G$93,求节点($C$4:$C$12,G$4:G$12,基础状态预期!N126)),BC113)</f>
        <v>0</v>
      </c>
      <c r="BD114" s="14">
        <f>MAX(求节点($C$88:$C$93,H$88:H$93,求节点($C$4:$C$12,H$4:H$12,基础状态预期!O126)),BD113)</f>
        <v>48</v>
      </c>
      <c r="BE114" s="14">
        <f t="shared" si="27"/>
        <v>395000</v>
      </c>
      <c r="BM114" s="17">
        <f>求节点($C$4:$C$12,D$4:D$12,基础状态预期!K126)</f>
        <v>0</v>
      </c>
      <c r="BN114" s="17">
        <f>求节点($C$4:$C$12,E$4:E$12,基础状态预期!L126)</f>
        <v>0</v>
      </c>
      <c r="BO114" s="17">
        <f>求节点($C$4:$C$12,F$4:F$12,基础状态预期!M126)</f>
        <v>0</v>
      </c>
      <c r="BP114" s="17">
        <f>求节点($C$4:$C$12,G$4:G$12,基础状态预期!N126)</f>
        <v>0</v>
      </c>
      <c r="BQ114" s="17">
        <f>求节点($C$4:$C$12,H$4:H$12,基础状态预期!O126)</f>
        <v>5</v>
      </c>
    </row>
    <row r="115" spans="13:69" x14ac:dyDescent="0.15">
      <c r="M115" s="16">
        <v>24</v>
      </c>
      <c r="N115" s="29">
        <f>基础状态预期!D127</f>
        <v>97.107381566993553</v>
      </c>
      <c r="O115" s="29">
        <f>IF(基础状态预期!U127="",0,MIN(求节点($C$16:$C$24,D$16:D$24,基础状态预期!K127),求节点($C$28:$C$48,D$28:D$48,基础状态预期!U127)))</f>
        <v>0</v>
      </c>
      <c r="P115" s="29">
        <f>IF(基础状态预期!V127="",0,MIN(求节点($C$16:$C$24,E$16:E$24,基础状态预期!L127),求节点($C$28:$C$48,E$28:E$48,基础状态预期!V127)))</f>
        <v>0</v>
      </c>
      <c r="Q115" s="29">
        <f>IF(基础状态预期!W127="",0,MIN(求节点($C$16:$C$24,F$16:F$24,基础状态预期!M127),求节点($C$28:$C$48,F$28:F$48,基础状态预期!W127)))</f>
        <v>0</v>
      </c>
      <c r="R115" s="29">
        <f>IF(基础状态预期!X127="",0,MIN(求节点($C$16:$C$24,G$16:G$24,基础状态预期!N127),求节点($C$28:$C$48,G$28:G$48,基础状态预期!X127)))</f>
        <v>0</v>
      </c>
      <c r="S115" s="29">
        <f>IF(基础状态预期!Y127="",0,MIN(求节点($C$16:$C$24,H$16:H$24,基础状态预期!O127),求节点($C$28:$C$48,H$28:H$48,基础状态预期!Y127)))</f>
        <v>0.45</v>
      </c>
      <c r="T115" s="29">
        <f>MAX(SUMPRODUCT(O115:S115,基础状态预期!$F127:$J127)/SUM(基础状态预期!$F127:$J127),T114)</f>
        <v>0.45</v>
      </c>
      <c r="V115" s="17">
        <v>111</v>
      </c>
      <c r="W115" s="17">
        <f t="shared" si="21"/>
        <v>0.45</v>
      </c>
      <c r="X115" s="17">
        <f t="shared" si="22"/>
        <v>0.45</v>
      </c>
      <c r="Y115" s="17">
        <f t="shared" si="23"/>
        <v>0.45</v>
      </c>
      <c r="Z115" s="17">
        <f t="shared" si="24"/>
        <v>0.45</v>
      </c>
      <c r="AA115" s="17">
        <f t="shared" si="25"/>
        <v>0.45</v>
      </c>
      <c r="AO115" s="29">
        <f t="shared" si="30"/>
        <v>97.107381566993553</v>
      </c>
      <c r="AP115" s="14">
        <f>MAX(求节点($C$74:$C$79,D$74:D$79,求节点($C$4:$C$12,D$4:D$12,基础状态预期!K127)),AP114)</f>
        <v>0</v>
      </c>
      <c r="AQ115" s="14">
        <f>MAX(求节点($C$74:$C$79,E$74:E$79,求节点($C$4:$C$12,E$4:E$12,基础状态预期!L127)),AQ114)</f>
        <v>0</v>
      </c>
      <c r="AR115" s="14">
        <f>MAX(求节点($C$74:$C$79,F$74:F$79,求节点($C$4:$C$12,F$4:F$12,基础状态预期!M127)),AR114)</f>
        <v>0</v>
      </c>
      <c r="AS115" s="14">
        <f>MAX(求节点($C$74:$C$79,G$74:G$79,求节点($C$4:$C$12,G$4:G$12,基础状态预期!N127)),AS114)</f>
        <v>1</v>
      </c>
      <c r="AT115" s="14">
        <f>MAX(求节点($C$74:$C$79,H$74:H$79,求节点($C$4:$C$12,H$4:H$12,基础状态预期!O127)),AT114)</f>
        <v>2</v>
      </c>
      <c r="AU115" s="14">
        <f>MAX(求节点($C$81:$C$86,D$81:D$86,求节点($C$4:$C$12,D$4:D$12,基础状态预期!K127)),AU114)</f>
        <v>0</v>
      </c>
      <c r="AV115" s="14">
        <f>MAX(求节点($C$81:$C$86,E$81:E$86,求节点($C$4:$C$12,E$4:E$12,基础状态预期!L127)),AV114)</f>
        <v>0</v>
      </c>
      <c r="AW115" s="14">
        <f>MAX(求节点($C$81:$C$86,F$81:F$86,求节点($C$4:$C$12,F$4:F$12,基础状态预期!M127)),AW114)</f>
        <v>0</v>
      </c>
      <c r="AX115" s="14">
        <f>MAX(求节点($C$81:$C$86,G$81:G$86,求节点($C$4:$C$12,G$4:G$12,基础状态预期!N127)),AX114)</f>
        <v>0</v>
      </c>
      <c r="AY115" s="14">
        <f>MAX(求节点($C$81:$C$86,H$81:H$86,求节点($C$4:$C$12,H$4:H$12,基础状态预期!O127)),AY114)</f>
        <v>4</v>
      </c>
      <c r="AZ115" s="14">
        <f>MAX(求节点($C$88:$C$93,D$88:D$93,求节点($C$4:$C$12,D$4:D$12,基础状态预期!K127)),AZ114)</f>
        <v>0</v>
      </c>
      <c r="BA115" s="14">
        <f>MAX(求节点($C$88:$C$93,E$88:E$93,求节点($C$4:$C$12,E$4:E$12,基础状态预期!L127)),BA114)</f>
        <v>0</v>
      </c>
      <c r="BB115" s="14">
        <f>MAX(求节点($C$88:$C$93,F$88:F$93,求节点($C$4:$C$12,F$4:F$12,基础状态预期!M127)),BB114)</f>
        <v>0</v>
      </c>
      <c r="BC115" s="14">
        <f>MAX(求节点($C$88:$C$93,G$88:G$93,求节点($C$4:$C$12,G$4:G$12,基础状态预期!N127)),BC114)</f>
        <v>0</v>
      </c>
      <c r="BD115" s="14">
        <f>MAX(求节点($C$88:$C$93,H$88:H$93,求节点($C$4:$C$12,H$4:H$12,基础状态预期!O127)),BD114)</f>
        <v>48</v>
      </c>
      <c r="BE115" s="14">
        <f t="shared" si="27"/>
        <v>395000</v>
      </c>
      <c r="BM115" s="17">
        <f>求节点($C$4:$C$12,D$4:D$12,基础状态预期!K127)</f>
        <v>0</v>
      </c>
      <c r="BN115" s="17">
        <f>求节点($C$4:$C$12,E$4:E$12,基础状态预期!L127)</f>
        <v>0</v>
      </c>
      <c r="BO115" s="17">
        <f>求节点($C$4:$C$12,F$4:F$12,基础状态预期!M127)</f>
        <v>0</v>
      </c>
      <c r="BP115" s="17">
        <f>求节点($C$4:$C$12,G$4:G$12,基础状态预期!N127)</f>
        <v>0</v>
      </c>
      <c r="BQ115" s="17">
        <f>求节点($C$4:$C$12,H$4:H$12,基础状态预期!O127)</f>
        <v>5</v>
      </c>
    </row>
    <row r="116" spans="13:69" x14ac:dyDescent="0.15">
      <c r="M116" s="16">
        <v>25</v>
      </c>
      <c r="N116" s="29">
        <f>基础状态预期!D128</f>
        <v>100.71243145193914</v>
      </c>
      <c r="O116" s="29">
        <f>IF(基础状态预期!U128="",0,MIN(求节点($C$16:$C$24,D$16:D$24,基础状态预期!K128),求节点($C$28:$C$48,D$28:D$48,基础状态预期!U128)))</f>
        <v>0</v>
      </c>
      <c r="P116" s="29">
        <f>IF(基础状态预期!V128="",0,MIN(求节点($C$16:$C$24,E$16:E$24,基础状态预期!L128),求节点($C$28:$C$48,E$28:E$48,基础状态预期!V128)))</f>
        <v>0</v>
      </c>
      <c r="Q116" s="29">
        <f>IF(基础状态预期!W128="",0,MIN(求节点($C$16:$C$24,F$16:F$24,基础状态预期!M128),求节点($C$28:$C$48,F$28:F$48,基础状态预期!W128)))</f>
        <v>0</v>
      </c>
      <c r="R116" s="29">
        <f>IF(基础状态预期!X128="",0,MIN(求节点($C$16:$C$24,G$16:G$24,基础状态预期!N128),求节点($C$28:$C$48,G$28:G$48,基础状态预期!X128)))</f>
        <v>0</v>
      </c>
      <c r="S116" s="29">
        <f>IF(基础状态预期!Y128="",0,MIN(求节点($C$16:$C$24,H$16:H$24,基础状态预期!O128),求节点($C$28:$C$48,H$28:H$48,基础状态预期!Y128)))</f>
        <v>0.45</v>
      </c>
      <c r="T116" s="29">
        <f>MAX(SUMPRODUCT(O116:S116,基础状态预期!$F128:$J128)/SUM(基础状态预期!$F128:$J128),T115)</f>
        <v>0.45</v>
      </c>
      <c r="V116" s="17">
        <v>112</v>
      </c>
      <c r="W116" s="17">
        <f t="shared" si="21"/>
        <v>0.45</v>
      </c>
      <c r="X116" s="17">
        <f t="shared" si="22"/>
        <v>0.45</v>
      </c>
      <c r="Y116" s="17">
        <f t="shared" si="23"/>
        <v>0.45</v>
      </c>
      <c r="Z116" s="17">
        <f t="shared" si="24"/>
        <v>0.45</v>
      </c>
      <c r="AA116" s="17">
        <f t="shared" si="25"/>
        <v>0.45</v>
      </c>
      <c r="AO116" s="29">
        <f t="shared" si="30"/>
        <v>100.71243145193914</v>
      </c>
      <c r="AP116" s="14">
        <f>MAX(求节点($C$74:$C$79,D$74:D$79,求节点($C$4:$C$12,D$4:D$12,基础状态预期!K128)),AP115)</f>
        <v>0</v>
      </c>
      <c r="AQ116" s="14">
        <f>MAX(求节点($C$74:$C$79,E$74:E$79,求节点($C$4:$C$12,E$4:E$12,基础状态预期!L128)),AQ115)</f>
        <v>0</v>
      </c>
      <c r="AR116" s="14">
        <f>MAX(求节点($C$74:$C$79,F$74:F$79,求节点($C$4:$C$12,F$4:F$12,基础状态预期!M128)),AR115)</f>
        <v>0</v>
      </c>
      <c r="AS116" s="14">
        <f>MAX(求节点($C$74:$C$79,G$74:G$79,求节点($C$4:$C$12,G$4:G$12,基础状态预期!N128)),AS115)</f>
        <v>1</v>
      </c>
      <c r="AT116" s="14">
        <f>MAX(求节点($C$74:$C$79,H$74:H$79,求节点($C$4:$C$12,H$4:H$12,基础状态预期!O128)),AT115)</f>
        <v>2</v>
      </c>
      <c r="AU116" s="14">
        <f>MAX(求节点($C$81:$C$86,D$81:D$86,求节点($C$4:$C$12,D$4:D$12,基础状态预期!K128)),AU115)</f>
        <v>0</v>
      </c>
      <c r="AV116" s="14">
        <f>MAX(求节点($C$81:$C$86,E$81:E$86,求节点($C$4:$C$12,E$4:E$12,基础状态预期!L128)),AV115)</f>
        <v>0</v>
      </c>
      <c r="AW116" s="14">
        <f>MAX(求节点($C$81:$C$86,F$81:F$86,求节点($C$4:$C$12,F$4:F$12,基础状态预期!M128)),AW115)</f>
        <v>0</v>
      </c>
      <c r="AX116" s="14">
        <f>MAX(求节点($C$81:$C$86,G$81:G$86,求节点($C$4:$C$12,G$4:G$12,基础状态预期!N128)),AX115)</f>
        <v>0</v>
      </c>
      <c r="AY116" s="14">
        <f>MAX(求节点($C$81:$C$86,H$81:H$86,求节点($C$4:$C$12,H$4:H$12,基础状态预期!O128)),AY115)</f>
        <v>4</v>
      </c>
      <c r="AZ116" s="14">
        <f>MAX(求节点($C$88:$C$93,D$88:D$93,求节点($C$4:$C$12,D$4:D$12,基础状态预期!K128)),AZ115)</f>
        <v>0</v>
      </c>
      <c r="BA116" s="14">
        <f>MAX(求节点($C$88:$C$93,E$88:E$93,求节点($C$4:$C$12,E$4:E$12,基础状态预期!L128)),BA115)</f>
        <v>0</v>
      </c>
      <c r="BB116" s="14">
        <f>MAX(求节点($C$88:$C$93,F$88:F$93,求节点($C$4:$C$12,F$4:F$12,基础状态预期!M128)),BB115)</f>
        <v>0</v>
      </c>
      <c r="BC116" s="14">
        <f>MAX(求节点($C$88:$C$93,G$88:G$93,求节点($C$4:$C$12,G$4:G$12,基础状态预期!N128)),BC115)</f>
        <v>0</v>
      </c>
      <c r="BD116" s="14">
        <f>MAX(求节点($C$88:$C$93,H$88:H$93,求节点($C$4:$C$12,H$4:H$12,基础状态预期!O128)),BD115)</f>
        <v>48</v>
      </c>
      <c r="BE116" s="14">
        <f t="shared" si="27"/>
        <v>395000</v>
      </c>
      <c r="BM116" s="17">
        <f>求节点($C$4:$C$12,D$4:D$12,基础状态预期!K128)</f>
        <v>0</v>
      </c>
      <c r="BN116" s="17">
        <f>求节点($C$4:$C$12,E$4:E$12,基础状态预期!L128)</f>
        <v>0</v>
      </c>
      <c r="BO116" s="17">
        <f>求节点($C$4:$C$12,F$4:F$12,基础状态预期!M128)</f>
        <v>0</v>
      </c>
      <c r="BP116" s="17">
        <f>求节点($C$4:$C$12,G$4:G$12,基础状态预期!N128)</f>
        <v>0</v>
      </c>
      <c r="BQ116" s="17">
        <f>求节点($C$4:$C$12,H$4:H$12,基础状态预期!O128)</f>
        <v>5</v>
      </c>
    </row>
    <row r="117" spans="13:69" x14ac:dyDescent="0.15">
      <c r="M117" s="16">
        <v>26</v>
      </c>
      <c r="N117" s="29">
        <f>基础状态预期!D129</f>
        <v>104.39233713204413</v>
      </c>
      <c r="O117" s="29">
        <f>IF(基础状态预期!U129="",0,MIN(求节点($C$16:$C$24,D$16:D$24,基础状态预期!K129),求节点($C$28:$C$48,D$28:D$48,基础状态预期!U129)))</f>
        <v>0</v>
      </c>
      <c r="P117" s="29">
        <f>IF(基础状态预期!V129="",0,MIN(求节点($C$16:$C$24,E$16:E$24,基础状态预期!L129),求节点($C$28:$C$48,E$28:E$48,基础状态预期!V129)))</f>
        <v>0</v>
      </c>
      <c r="Q117" s="29">
        <f>IF(基础状态预期!W129="",0,MIN(求节点($C$16:$C$24,F$16:F$24,基础状态预期!M129),求节点($C$28:$C$48,F$28:F$48,基础状态预期!W129)))</f>
        <v>0</v>
      </c>
      <c r="R117" s="29">
        <f>IF(基础状态预期!X129="",0,MIN(求节点($C$16:$C$24,G$16:G$24,基础状态预期!N129),求节点($C$28:$C$48,G$28:G$48,基础状态预期!X129)))</f>
        <v>0</v>
      </c>
      <c r="S117" s="29">
        <f>IF(基础状态预期!Y129="",0,MIN(求节点($C$16:$C$24,H$16:H$24,基础状态预期!O129),求节点($C$28:$C$48,H$28:H$48,基础状态预期!Y129)))</f>
        <v>0.45</v>
      </c>
      <c r="T117" s="29">
        <f>MAX(SUMPRODUCT(O117:S117,基础状态预期!$F129:$J129)/SUM(基础状态预期!$F129:$J129),T116)</f>
        <v>0.45</v>
      </c>
      <c r="V117" s="17">
        <v>113</v>
      </c>
      <c r="W117" s="17">
        <f t="shared" si="21"/>
        <v>0.45</v>
      </c>
      <c r="X117" s="17">
        <f t="shared" si="22"/>
        <v>0.45</v>
      </c>
      <c r="Y117" s="17">
        <f t="shared" si="23"/>
        <v>0.45</v>
      </c>
      <c r="Z117" s="17">
        <f t="shared" si="24"/>
        <v>0.45</v>
      </c>
      <c r="AA117" s="17">
        <f t="shared" si="25"/>
        <v>0.45</v>
      </c>
      <c r="AO117" s="29">
        <f t="shared" si="30"/>
        <v>104.39233713204413</v>
      </c>
      <c r="AP117" s="14">
        <f>MAX(求节点($C$74:$C$79,D$74:D$79,求节点($C$4:$C$12,D$4:D$12,基础状态预期!K129)),AP116)</f>
        <v>0</v>
      </c>
      <c r="AQ117" s="14">
        <f>MAX(求节点($C$74:$C$79,E$74:E$79,求节点($C$4:$C$12,E$4:E$12,基础状态预期!L129)),AQ116)</f>
        <v>0</v>
      </c>
      <c r="AR117" s="14">
        <f>MAX(求节点($C$74:$C$79,F$74:F$79,求节点($C$4:$C$12,F$4:F$12,基础状态预期!M129)),AR116)</f>
        <v>0</v>
      </c>
      <c r="AS117" s="14">
        <f>MAX(求节点($C$74:$C$79,G$74:G$79,求节点($C$4:$C$12,G$4:G$12,基础状态预期!N129)),AS116)</f>
        <v>1</v>
      </c>
      <c r="AT117" s="14">
        <f>MAX(求节点($C$74:$C$79,H$74:H$79,求节点($C$4:$C$12,H$4:H$12,基础状态预期!O129)),AT116)</f>
        <v>2</v>
      </c>
      <c r="AU117" s="14">
        <f>MAX(求节点($C$81:$C$86,D$81:D$86,求节点($C$4:$C$12,D$4:D$12,基础状态预期!K129)),AU116)</f>
        <v>0</v>
      </c>
      <c r="AV117" s="14">
        <f>MAX(求节点($C$81:$C$86,E$81:E$86,求节点($C$4:$C$12,E$4:E$12,基础状态预期!L129)),AV116)</f>
        <v>0</v>
      </c>
      <c r="AW117" s="14">
        <f>MAX(求节点($C$81:$C$86,F$81:F$86,求节点($C$4:$C$12,F$4:F$12,基础状态预期!M129)),AW116)</f>
        <v>0</v>
      </c>
      <c r="AX117" s="14">
        <f>MAX(求节点($C$81:$C$86,G$81:G$86,求节点($C$4:$C$12,G$4:G$12,基础状态预期!N129)),AX116)</f>
        <v>0</v>
      </c>
      <c r="AY117" s="14">
        <f>MAX(求节点($C$81:$C$86,H$81:H$86,求节点($C$4:$C$12,H$4:H$12,基础状态预期!O129)),AY116)</f>
        <v>4</v>
      </c>
      <c r="AZ117" s="14">
        <f>MAX(求节点($C$88:$C$93,D$88:D$93,求节点($C$4:$C$12,D$4:D$12,基础状态预期!K129)),AZ116)</f>
        <v>0</v>
      </c>
      <c r="BA117" s="14">
        <f>MAX(求节点($C$88:$C$93,E$88:E$93,求节点($C$4:$C$12,E$4:E$12,基础状态预期!L129)),BA116)</f>
        <v>0</v>
      </c>
      <c r="BB117" s="14">
        <f>MAX(求节点($C$88:$C$93,F$88:F$93,求节点($C$4:$C$12,F$4:F$12,基础状态预期!M129)),BB116)</f>
        <v>0</v>
      </c>
      <c r="BC117" s="14">
        <f>MAX(求节点($C$88:$C$93,G$88:G$93,求节点($C$4:$C$12,G$4:G$12,基础状态预期!N129)),BC116)</f>
        <v>0</v>
      </c>
      <c r="BD117" s="14">
        <f>MAX(求节点($C$88:$C$93,H$88:H$93,求节点($C$4:$C$12,H$4:H$12,基础状态预期!O129)),BD116)</f>
        <v>48</v>
      </c>
      <c r="BE117" s="14">
        <f t="shared" si="27"/>
        <v>395000</v>
      </c>
      <c r="BM117" s="17">
        <f>求节点($C$4:$C$12,D$4:D$12,基础状态预期!K129)</f>
        <v>0</v>
      </c>
      <c r="BN117" s="17">
        <f>求节点($C$4:$C$12,E$4:E$12,基础状态预期!L129)</f>
        <v>0</v>
      </c>
      <c r="BO117" s="17">
        <f>求节点($C$4:$C$12,F$4:F$12,基础状态预期!M129)</f>
        <v>0</v>
      </c>
      <c r="BP117" s="17">
        <f>求节点($C$4:$C$12,G$4:G$12,基础状态预期!N129)</f>
        <v>0</v>
      </c>
      <c r="BQ117" s="17">
        <f>求节点($C$4:$C$12,H$4:H$12,基础状态预期!O129)</f>
        <v>5</v>
      </c>
    </row>
    <row r="118" spans="13:69" x14ac:dyDescent="0.15">
      <c r="M118" s="16">
        <v>27</v>
      </c>
      <c r="N118" s="29">
        <f>基础状态预期!D130</f>
        <v>107.81562240612369</v>
      </c>
      <c r="O118" s="29">
        <f>IF(基础状态预期!U130="",0,MIN(求节点($C$16:$C$24,D$16:D$24,基础状态预期!K130),求节点($C$28:$C$48,D$28:D$48,基础状态预期!U130)))</f>
        <v>0</v>
      </c>
      <c r="P118" s="29">
        <f>IF(基础状态预期!V130="",0,MIN(求节点($C$16:$C$24,E$16:E$24,基础状态预期!L130),求节点($C$28:$C$48,E$28:E$48,基础状态预期!V130)))</f>
        <v>0</v>
      </c>
      <c r="Q118" s="29">
        <f>IF(基础状态预期!W130="",0,MIN(求节点($C$16:$C$24,F$16:F$24,基础状态预期!M130),求节点($C$28:$C$48,F$28:F$48,基础状态预期!W130)))</f>
        <v>0</v>
      </c>
      <c r="R118" s="29">
        <f>IF(基础状态预期!X130="",0,MIN(求节点($C$16:$C$24,G$16:G$24,基础状态预期!N130),求节点($C$28:$C$48,G$28:G$48,基础状态预期!X130)))</f>
        <v>0</v>
      </c>
      <c r="S118" s="29">
        <f>IF(基础状态预期!Y130="",0,MIN(求节点($C$16:$C$24,H$16:H$24,基础状态预期!O130),求节点($C$28:$C$48,H$28:H$48,基础状态预期!Y130)))</f>
        <v>0.45</v>
      </c>
      <c r="T118" s="29">
        <f>MAX(SUMPRODUCT(O118:S118,基础状态预期!$F130:$J130)/SUM(基础状态预期!$F130:$J130),T117)</f>
        <v>0.45</v>
      </c>
      <c r="V118" s="17">
        <v>114</v>
      </c>
      <c r="W118" s="17">
        <f t="shared" si="21"/>
        <v>0.45</v>
      </c>
      <c r="X118" s="17">
        <f t="shared" si="22"/>
        <v>0.45</v>
      </c>
      <c r="Y118" s="17">
        <f t="shared" si="23"/>
        <v>0.45</v>
      </c>
      <c r="Z118" s="17">
        <f t="shared" si="24"/>
        <v>0.45</v>
      </c>
      <c r="AA118" s="17">
        <f t="shared" si="25"/>
        <v>0.45</v>
      </c>
      <c r="AO118" s="29">
        <f t="shared" si="30"/>
        <v>107.81562240612369</v>
      </c>
      <c r="AP118" s="14">
        <f>MAX(求节点($C$74:$C$79,D$74:D$79,求节点($C$4:$C$12,D$4:D$12,基础状态预期!K130)),AP117)</f>
        <v>0</v>
      </c>
      <c r="AQ118" s="14">
        <f>MAX(求节点($C$74:$C$79,E$74:E$79,求节点($C$4:$C$12,E$4:E$12,基础状态预期!L130)),AQ117)</f>
        <v>0</v>
      </c>
      <c r="AR118" s="14">
        <f>MAX(求节点($C$74:$C$79,F$74:F$79,求节点($C$4:$C$12,F$4:F$12,基础状态预期!M130)),AR117)</f>
        <v>0</v>
      </c>
      <c r="AS118" s="14">
        <f>MAX(求节点($C$74:$C$79,G$74:G$79,求节点($C$4:$C$12,G$4:G$12,基础状态预期!N130)),AS117)</f>
        <v>1</v>
      </c>
      <c r="AT118" s="14">
        <f>MAX(求节点($C$74:$C$79,H$74:H$79,求节点($C$4:$C$12,H$4:H$12,基础状态预期!O130)),AT117)</f>
        <v>2</v>
      </c>
      <c r="AU118" s="14">
        <f>MAX(求节点($C$81:$C$86,D$81:D$86,求节点($C$4:$C$12,D$4:D$12,基础状态预期!K130)),AU117)</f>
        <v>0</v>
      </c>
      <c r="AV118" s="14">
        <f>MAX(求节点($C$81:$C$86,E$81:E$86,求节点($C$4:$C$12,E$4:E$12,基础状态预期!L130)),AV117)</f>
        <v>0</v>
      </c>
      <c r="AW118" s="14">
        <f>MAX(求节点($C$81:$C$86,F$81:F$86,求节点($C$4:$C$12,F$4:F$12,基础状态预期!M130)),AW117)</f>
        <v>0</v>
      </c>
      <c r="AX118" s="14">
        <f>MAX(求节点($C$81:$C$86,G$81:G$86,求节点($C$4:$C$12,G$4:G$12,基础状态预期!N130)),AX117)</f>
        <v>0</v>
      </c>
      <c r="AY118" s="14">
        <f>MAX(求节点($C$81:$C$86,H$81:H$86,求节点($C$4:$C$12,H$4:H$12,基础状态预期!O130)),AY117)</f>
        <v>4</v>
      </c>
      <c r="AZ118" s="14">
        <f>MAX(求节点($C$88:$C$93,D$88:D$93,求节点($C$4:$C$12,D$4:D$12,基础状态预期!K130)),AZ117)</f>
        <v>0</v>
      </c>
      <c r="BA118" s="14">
        <f>MAX(求节点($C$88:$C$93,E$88:E$93,求节点($C$4:$C$12,E$4:E$12,基础状态预期!L130)),BA117)</f>
        <v>0</v>
      </c>
      <c r="BB118" s="14">
        <f>MAX(求节点($C$88:$C$93,F$88:F$93,求节点($C$4:$C$12,F$4:F$12,基础状态预期!M130)),BB117)</f>
        <v>0</v>
      </c>
      <c r="BC118" s="14">
        <f>MAX(求节点($C$88:$C$93,G$88:G$93,求节点($C$4:$C$12,G$4:G$12,基础状态预期!N130)),BC117)</f>
        <v>0</v>
      </c>
      <c r="BD118" s="14">
        <f>MAX(求节点($C$88:$C$93,H$88:H$93,求节点($C$4:$C$12,H$4:H$12,基础状态预期!O130)),BD117)</f>
        <v>48</v>
      </c>
      <c r="BE118" s="14">
        <f t="shared" si="27"/>
        <v>395000</v>
      </c>
      <c r="BM118" s="17">
        <f>求节点($C$4:$C$12,D$4:D$12,基础状态预期!K130)</f>
        <v>0</v>
      </c>
      <c r="BN118" s="17">
        <f>求节点($C$4:$C$12,E$4:E$12,基础状态预期!L130)</f>
        <v>0</v>
      </c>
      <c r="BO118" s="17">
        <f>求节点($C$4:$C$12,F$4:F$12,基础状态预期!M130)</f>
        <v>0</v>
      </c>
      <c r="BP118" s="17">
        <f>求节点($C$4:$C$12,G$4:G$12,基础状态预期!N130)</f>
        <v>0</v>
      </c>
      <c r="BQ118" s="17">
        <f>求节点($C$4:$C$12,H$4:H$12,基础状态预期!O130)</f>
        <v>5</v>
      </c>
    </row>
    <row r="119" spans="13:69" x14ac:dyDescent="0.15">
      <c r="M119" s="16">
        <v>28</v>
      </c>
      <c r="N119" s="29">
        <f>基础状态预期!D131</f>
        <v>111.36292001894914</v>
      </c>
      <c r="O119" s="29">
        <f>IF(基础状态预期!U131="",0,MIN(求节点($C$16:$C$24,D$16:D$24,基础状态预期!K131),求节点($C$28:$C$48,D$28:D$48,基础状态预期!U131)))</f>
        <v>0</v>
      </c>
      <c r="P119" s="29">
        <f>IF(基础状态预期!V131="",0,MIN(求节点($C$16:$C$24,E$16:E$24,基础状态预期!L131),求节点($C$28:$C$48,E$28:E$48,基础状态预期!V131)))</f>
        <v>0</v>
      </c>
      <c r="Q119" s="29">
        <f>IF(基础状态预期!W131="",0,MIN(求节点($C$16:$C$24,F$16:F$24,基础状态预期!M131),求节点($C$28:$C$48,F$28:F$48,基础状态预期!W131)))</f>
        <v>0</v>
      </c>
      <c r="R119" s="29">
        <f>IF(基础状态预期!X131="",0,MIN(求节点($C$16:$C$24,G$16:G$24,基础状态预期!N131),求节点($C$28:$C$48,G$28:G$48,基础状态预期!X131)))</f>
        <v>0</v>
      </c>
      <c r="S119" s="29">
        <f>IF(基础状态预期!Y131="",0,MIN(求节点($C$16:$C$24,H$16:H$24,基础状态预期!O131),求节点($C$28:$C$48,H$28:H$48,基础状态预期!Y131)))</f>
        <v>0.45</v>
      </c>
      <c r="T119" s="29">
        <f>MAX(SUMPRODUCT(O119:S119,基础状态预期!$F131:$J131)/SUM(基础状态预期!$F131:$J131),T118)</f>
        <v>0.45</v>
      </c>
      <c r="V119" s="17">
        <v>115</v>
      </c>
      <c r="W119" s="17">
        <f t="shared" si="21"/>
        <v>0.45</v>
      </c>
      <c r="X119" s="17">
        <f t="shared" si="22"/>
        <v>0.45</v>
      </c>
      <c r="Y119" s="17">
        <f t="shared" si="23"/>
        <v>0.45</v>
      </c>
      <c r="Z119" s="17">
        <f t="shared" si="24"/>
        <v>0.45</v>
      </c>
      <c r="AA119" s="17">
        <f t="shared" si="25"/>
        <v>0.45</v>
      </c>
      <c r="AO119" s="29">
        <f t="shared" si="30"/>
        <v>111.36292001894914</v>
      </c>
      <c r="AP119" s="14">
        <f>MAX(求节点($C$74:$C$79,D$74:D$79,求节点($C$4:$C$12,D$4:D$12,基础状态预期!K131)),AP118)</f>
        <v>0</v>
      </c>
      <c r="AQ119" s="14">
        <f>MAX(求节点($C$74:$C$79,E$74:E$79,求节点($C$4:$C$12,E$4:E$12,基础状态预期!L131)),AQ118)</f>
        <v>0</v>
      </c>
      <c r="AR119" s="14">
        <f>MAX(求节点($C$74:$C$79,F$74:F$79,求节点($C$4:$C$12,F$4:F$12,基础状态预期!M131)),AR118)</f>
        <v>0</v>
      </c>
      <c r="AS119" s="14">
        <f>MAX(求节点($C$74:$C$79,G$74:G$79,求节点($C$4:$C$12,G$4:G$12,基础状态预期!N131)),AS118)</f>
        <v>1</v>
      </c>
      <c r="AT119" s="14">
        <f>MAX(求节点($C$74:$C$79,H$74:H$79,求节点($C$4:$C$12,H$4:H$12,基础状态预期!O131)),AT118)</f>
        <v>2</v>
      </c>
      <c r="AU119" s="14">
        <f>MAX(求节点($C$81:$C$86,D$81:D$86,求节点($C$4:$C$12,D$4:D$12,基础状态预期!K131)),AU118)</f>
        <v>0</v>
      </c>
      <c r="AV119" s="14">
        <f>MAX(求节点($C$81:$C$86,E$81:E$86,求节点($C$4:$C$12,E$4:E$12,基础状态预期!L131)),AV118)</f>
        <v>0</v>
      </c>
      <c r="AW119" s="14">
        <f>MAX(求节点($C$81:$C$86,F$81:F$86,求节点($C$4:$C$12,F$4:F$12,基础状态预期!M131)),AW118)</f>
        <v>0</v>
      </c>
      <c r="AX119" s="14">
        <f>MAX(求节点($C$81:$C$86,G$81:G$86,求节点($C$4:$C$12,G$4:G$12,基础状态预期!N131)),AX118)</f>
        <v>0</v>
      </c>
      <c r="AY119" s="14">
        <f>MAX(求节点($C$81:$C$86,H$81:H$86,求节点($C$4:$C$12,H$4:H$12,基础状态预期!O131)),AY118)</f>
        <v>4</v>
      </c>
      <c r="AZ119" s="14">
        <f>MAX(求节点($C$88:$C$93,D$88:D$93,求节点($C$4:$C$12,D$4:D$12,基础状态预期!K131)),AZ118)</f>
        <v>0</v>
      </c>
      <c r="BA119" s="14">
        <f>MAX(求节点($C$88:$C$93,E$88:E$93,求节点($C$4:$C$12,E$4:E$12,基础状态预期!L131)),BA118)</f>
        <v>0</v>
      </c>
      <c r="BB119" s="14">
        <f>MAX(求节点($C$88:$C$93,F$88:F$93,求节点($C$4:$C$12,F$4:F$12,基础状态预期!M131)),BB118)</f>
        <v>0</v>
      </c>
      <c r="BC119" s="14">
        <f>MAX(求节点($C$88:$C$93,G$88:G$93,求节点($C$4:$C$12,G$4:G$12,基础状态预期!N131)),BC118)</f>
        <v>0</v>
      </c>
      <c r="BD119" s="14">
        <f>MAX(求节点($C$88:$C$93,H$88:H$93,求节点($C$4:$C$12,H$4:H$12,基础状态预期!O131)),BD118)</f>
        <v>48</v>
      </c>
      <c r="BE119" s="14">
        <f t="shared" si="27"/>
        <v>395000</v>
      </c>
      <c r="BM119" s="17">
        <f>求节点($C$4:$C$12,D$4:D$12,基础状态预期!K131)</f>
        <v>0</v>
      </c>
      <c r="BN119" s="17">
        <f>求节点($C$4:$C$12,E$4:E$12,基础状态预期!L131)</f>
        <v>0</v>
      </c>
      <c r="BO119" s="17">
        <f>求节点($C$4:$C$12,F$4:F$12,基础状态预期!M131)</f>
        <v>0</v>
      </c>
      <c r="BP119" s="17">
        <f>求节点($C$4:$C$12,G$4:G$12,基础状态预期!N131)</f>
        <v>0</v>
      </c>
      <c r="BQ119" s="17">
        <f>求节点($C$4:$C$12,H$4:H$12,基础状态预期!O131)</f>
        <v>5</v>
      </c>
    </row>
    <row r="120" spans="13:69" x14ac:dyDescent="0.15">
      <c r="M120" s="16">
        <v>29</v>
      </c>
      <c r="N120" s="29">
        <f>基础状态预期!D132</f>
        <v>114.91934497223426</v>
      </c>
      <c r="O120" s="29">
        <f>IF(基础状态预期!U132="",0,MIN(求节点($C$16:$C$24,D$16:D$24,基础状态预期!K132),求节点($C$28:$C$48,D$28:D$48,基础状态预期!U132)))</f>
        <v>0</v>
      </c>
      <c r="P120" s="29">
        <f>IF(基础状态预期!V132="",0,MIN(求节点($C$16:$C$24,E$16:E$24,基础状态预期!L132),求节点($C$28:$C$48,E$28:E$48,基础状态预期!V132)))</f>
        <v>0</v>
      </c>
      <c r="Q120" s="29">
        <f>IF(基础状态预期!W132="",0,MIN(求节点($C$16:$C$24,F$16:F$24,基础状态预期!M132),求节点($C$28:$C$48,F$28:F$48,基础状态预期!W132)))</f>
        <v>0</v>
      </c>
      <c r="R120" s="29">
        <f>IF(基础状态预期!X132="",0,MIN(求节点($C$16:$C$24,G$16:G$24,基础状态预期!N132),求节点($C$28:$C$48,G$28:G$48,基础状态预期!X132)))</f>
        <v>0</v>
      </c>
      <c r="S120" s="29">
        <f>IF(基础状态预期!Y132="",0,MIN(求节点($C$16:$C$24,H$16:H$24,基础状态预期!O132),求节点($C$28:$C$48,H$28:H$48,基础状态预期!Y132)))</f>
        <v>0.45</v>
      </c>
      <c r="T120" s="29">
        <f>MAX(SUMPRODUCT(O120:S120,基础状态预期!$F132:$J132)/SUM(基础状态预期!$F132:$J132),T119)</f>
        <v>0.45</v>
      </c>
      <c r="V120" s="17">
        <v>116</v>
      </c>
      <c r="W120" s="17">
        <f t="shared" si="21"/>
        <v>0.45</v>
      </c>
      <c r="X120" s="17">
        <f t="shared" si="22"/>
        <v>0.45</v>
      </c>
      <c r="Y120" s="17">
        <f t="shared" si="23"/>
        <v>0.45</v>
      </c>
      <c r="Z120" s="17">
        <f t="shared" si="24"/>
        <v>0.45</v>
      </c>
      <c r="AA120" s="17">
        <f t="shared" si="25"/>
        <v>0.45</v>
      </c>
      <c r="AO120" s="29">
        <f t="shared" si="30"/>
        <v>114.91934497223426</v>
      </c>
      <c r="AP120" s="14">
        <f>MAX(求节点($C$74:$C$79,D$74:D$79,求节点($C$4:$C$12,D$4:D$12,基础状态预期!K132)),AP119)</f>
        <v>0</v>
      </c>
      <c r="AQ120" s="14">
        <f>MAX(求节点($C$74:$C$79,E$74:E$79,求节点($C$4:$C$12,E$4:E$12,基础状态预期!L132)),AQ119)</f>
        <v>0</v>
      </c>
      <c r="AR120" s="14">
        <f>MAX(求节点($C$74:$C$79,F$74:F$79,求节点($C$4:$C$12,F$4:F$12,基础状态预期!M132)),AR119)</f>
        <v>0</v>
      </c>
      <c r="AS120" s="14">
        <f>MAX(求节点($C$74:$C$79,G$74:G$79,求节点($C$4:$C$12,G$4:G$12,基础状态预期!N132)),AS119)</f>
        <v>1</v>
      </c>
      <c r="AT120" s="14">
        <f>MAX(求节点($C$74:$C$79,H$74:H$79,求节点($C$4:$C$12,H$4:H$12,基础状态预期!O132)),AT119)</f>
        <v>2</v>
      </c>
      <c r="AU120" s="14">
        <f>MAX(求节点($C$81:$C$86,D$81:D$86,求节点($C$4:$C$12,D$4:D$12,基础状态预期!K132)),AU119)</f>
        <v>0</v>
      </c>
      <c r="AV120" s="14">
        <f>MAX(求节点($C$81:$C$86,E$81:E$86,求节点($C$4:$C$12,E$4:E$12,基础状态预期!L132)),AV119)</f>
        <v>0</v>
      </c>
      <c r="AW120" s="14">
        <f>MAX(求节点($C$81:$C$86,F$81:F$86,求节点($C$4:$C$12,F$4:F$12,基础状态预期!M132)),AW119)</f>
        <v>0</v>
      </c>
      <c r="AX120" s="14">
        <f>MAX(求节点($C$81:$C$86,G$81:G$86,求节点($C$4:$C$12,G$4:G$12,基础状态预期!N132)),AX119)</f>
        <v>0</v>
      </c>
      <c r="AY120" s="14">
        <f>MAX(求节点($C$81:$C$86,H$81:H$86,求节点($C$4:$C$12,H$4:H$12,基础状态预期!O132)),AY119)</f>
        <v>4</v>
      </c>
      <c r="AZ120" s="14">
        <f>MAX(求节点($C$88:$C$93,D$88:D$93,求节点($C$4:$C$12,D$4:D$12,基础状态预期!K132)),AZ119)</f>
        <v>0</v>
      </c>
      <c r="BA120" s="14">
        <f>MAX(求节点($C$88:$C$93,E$88:E$93,求节点($C$4:$C$12,E$4:E$12,基础状态预期!L132)),BA119)</f>
        <v>0</v>
      </c>
      <c r="BB120" s="14">
        <f>MAX(求节点($C$88:$C$93,F$88:F$93,求节点($C$4:$C$12,F$4:F$12,基础状态预期!M132)),BB119)</f>
        <v>0</v>
      </c>
      <c r="BC120" s="14">
        <f>MAX(求节点($C$88:$C$93,G$88:G$93,求节点($C$4:$C$12,G$4:G$12,基础状态预期!N132)),BC119)</f>
        <v>0</v>
      </c>
      <c r="BD120" s="14">
        <f>MAX(求节点($C$88:$C$93,H$88:H$93,求节点($C$4:$C$12,H$4:H$12,基础状态预期!O132)),BD119)</f>
        <v>48</v>
      </c>
      <c r="BE120" s="14">
        <f t="shared" si="27"/>
        <v>395000</v>
      </c>
      <c r="BM120" s="17">
        <f>求节点($C$4:$C$12,D$4:D$12,基础状态预期!K132)</f>
        <v>0</v>
      </c>
      <c r="BN120" s="17">
        <f>求节点($C$4:$C$12,E$4:E$12,基础状态预期!L132)</f>
        <v>0</v>
      </c>
      <c r="BO120" s="17">
        <f>求节点($C$4:$C$12,F$4:F$12,基础状态预期!M132)</f>
        <v>0</v>
      </c>
      <c r="BP120" s="17">
        <f>求节点($C$4:$C$12,G$4:G$12,基础状态预期!N132)</f>
        <v>0</v>
      </c>
      <c r="BQ120" s="17">
        <f>求节点($C$4:$C$12,H$4:H$12,基础状态预期!O132)</f>
        <v>5</v>
      </c>
    </row>
    <row r="121" spans="13:69" x14ac:dyDescent="0.15">
      <c r="M121" s="16">
        <v>30</v>
      </c>
      <c r="N121" s="29">
        <f>基础状态预期!D133</f>
        <v>118.44741987029688</v>
      </c>
      <c r="O121" s="29">
        <f>IF(基础状态预期!U133="",0,MIN(求节点($C$16:$C$24,D$16:D$24,基础状态预期!K133),求节点($C$28:$C$48,D$28:D$48,基础状态预期!U133)))</f>
        <v>0</v>
      </c>
      <c r="P121" s="29">
        <f>IF(基础状态预期!V133="",0,MIN(求节点($C$16:$C$24,E$16:E$24,基础状态预期!L133),求节点($C$28:$C$48,E$28:E$48,基础状态预期!V133)))</f>
        <v>0</v>
      </c>
      <c r="Q121" s="29">
        <f>IF(基础状态预期!W133="",0,MIN(求节点($C$16:$C$24,F$16:F$24,基础状态预期!M133),求节点($C$28:$C$48,F$28:F$48,基础状态预期!W133)))</f>
        <v>0</v>
      </c>
      <c r="R121" s="29">
        <f>IF(基础状态预期!X133="",0,MIN(求节点($C$16:$C$24,G$16:G$24,基础状态预期!N133),求节点($C$28:$C$48,G$28:G$48,基础状态预期!X133)))</f>
        <v>0</v>
      </c>
      <c r="S121" s="29">
        <f>IF(基础状态预期!Y133="",0,MIN(求节点($C$16:$C$24,H$16:H$24,基础状态预期!O133),求节点($C$28:$C$48,H$28:H$48,基础状态预期!Y133)))</f>
        <v>0.45</v>
      </c>
      <c r="T121" s="29">
        <f>MAX(SUMPRODUCT(O121:S121,基础状态预期!$F133:$J133)/SUM(基础状态预期!$F133:$J133),T120)</f>
        <v>0.45</v>
      </c>
      <c r="V121" s="17">
        <v>117</v>
      </c>
      <c r="W121" s="17">
        <f t="shared" si="21"/>
        <v>0.45</v>
      </c>
      <c r="X121" s="17">
        <f t="shared" si="22"/>
        <v>0.45</v>
      </c>
      <c r="Y121" s="17">
        <f t="shared" si="23"/>
        <v>0.45</v>
      </c>
      <c r="Z121" s="17">
        <f t="shared" si="24"/>
        <v>0.45</v>
      </c>
      <c r="AA121" s="17">
        <f t="shared" si="25"/>
        <v>0.45</v>
      </c>
      <c r="AO121" s="29">
        <f t="shared" si="30"/>
        <v>118.44741987029688</v>
      </c>
      <c r="AP121" s="14">
        <f>MAX(求节点($C$74:$C$79,D$74:D$79,求节点($C$4:$C$12,D$4:D$12,基础状态预期!K133)),AP120)</f>
        <v>0</v>
      </c>
      <c r="AQ121" s="14">
        <f>MAX(求节点($C$74:$C$79,E$74:E$79,求节点($C$4:$C$12,E$4:E$12,基础状态预期!L133)),AQ120)</f>
        <v>0</v>
      </c>
      <c r="AR121" s="14">
        <f>MAX(求节点($C$74:$C$79,F$74:F$79,求节点($C$4:$C$12,F$4:F$12,基础状态预期!M133)),AR120)</f>
        <v>0</v>
      </c>
      <c r="AS121" s="14">
        <f>MAX(求节点($C$74:$C$79,G$74:G$79,求节点($C$4:$C$12,G$4:G$12,基础状态预期!N133)),AS120)</f>
        <v>1</v>
      </c>
      <c r="AT121" s="14">
        <f>MAX(求节点($C$74:$C$79,H$74:H$79,求节点($C$4:$C$12,H$4:H$12,基础状态预期!O133)),AT120)</f>
        <v>2</v>
      </c>
      <c r="AU121" s="14">
        <f>MAX(求节点($C$81:$C$86,D$81:D$86,求节点($C$4:$C$12,D$4:D$12,基础状态预期!K133)),AU120)</f>
        <v>0</v>
      </c>
      <c r="AV121" s="14">
        <f>MAX(求节点($C$81:$C$86,E$81:E$86,求节点($C$4:$C$12,E$4:E$12,基础状态预期!L133)),AV120)</f>
        <v>0</v>
      </c>
      <c r="AW121" s="14">
        <f>MAX(求节点($C$81:$C$86,F$81:F$86,求节点($C$4:$C$12,F$4:F$12,基础状态预期!M133)),AW120)</f>
        <v>0</v>
      </c>
      <c r="AX121" s="14">
        <f>MAX(求节点($C$81:$C$86,G$81:G$86,求节点($C$4:$C$12,G$4:G$12,基础状态预期!N133)),AX120)</f>
        <v>0</v>
      </c>
      <c r="AY121" s="14">
        <f>MAX(求节点($C$81:$C$86,H$81:H$86,求节点($C$4:$C$12,H$4:H$12,基础状态预期!O133)),AY120)</f>
        <v>4</v>
      </c>
      <c r="AZ121" s="14">
        <f>MAX(求节点($C$88:$C$93,D$88:D$93,求节点($C$4:$C$12,D$4:D$12,基础状态预期!K133)),AZ120)</f>
        <v>0</v>
      </c>
      <c r="BA121" s="14">
        <f>MAX(求节点($C$88:$C$93,E$88:E$93,求节点($C$4:$C$12,E$4:E$12,基础状态预期!L133)),BA120)</f>
        <v>0</v>
      </c>
      <c r="BB121" s="14">
        <f>MAX(求节点($C$88:$C$93,F$88:F$93,求节点($C$4:$C$12,F$4:F$12,基础状态预期!M133)),BB120)</f>
        <v>0</v>
      </c>
      <c r="BC121" s="14">
        <f>MAX(求节点($C$88:$C$93,G$88:G$93,求节点($C$4:$C$12,G$4:G$12,基础状态预期!N133)),BC120)</f>
        <v>0</v>
      </c>
      <c r="BD121" s="14">
        <f>MAX(求节点($C$88:$C$93,H$88:H$93,求节点($C$4:$C$12,H$4:H$12,基础状态预期!O133)),BD120)</f>
        <v>48</v>
      </c>
      <c r="BE121" s="14">
        <f t="shared" si="27"/>
        <v>395000</v>
      </c>
      <c r="BM121" s="17">
        <f>求节点($C$4:$C$12,D$4:D$12,基础状态预期!K133)</f>
        <v>0</v>
      </c>
      <c r="BN121" s="17">
        <f>求节点($C$4:$C$12,E$4:E$12,基础状态预期!L133)</f>
        <v>0</v>
      </c>
      <c r="BO121" s="17">
        <f>求节点($C$4:$C$12,F$4:F$12,基础状态预期!M133)</f>
        <v>0</v>
      </c>
      <c r="BP121" s="17">
        <f>求节点($C$4:$C$12,G$4:G$12,基础状态预期!N133)</f>
        <v>0</v>
      </c>
      <c r="BQ121" s="17">
        <f>求节点($C$4:$C$12,H$4:H$12,基础状态预期!O133)</f>
        <v>5</v>
      </c>
    </row>
    <row r="122" spans="13:69" x14ac:dyDescent="0.15">
      <c r="M122" s="16">
        <v>31</v>
      </c>
      <c r="N122" s="29">
        <f>基础状态预期!D134</f>
        <v>121.97211685892326</v>
      </c>
      <c r="O122" s="29">
        <f>IF(基础状态预期!U134="",0,MIN(求节点($C$16:$C$24,D$16:D$24,基础状态预期!K134),求节点($C$28:$C$48,D$28:D$48,基础状态预期!U134)))</f>
        <v>0</v>
      </c>
      <c r="P122" s="29">
        <f>IF(基础状态预期!V134="",0,MIN(求节点($C$16:$C$24,E$16:E$24,基础状态预期!L134),求节点($C$28:$C$48,E$28:E$48,基础状态预期!V134)))</f>
        <v>0</v>
      </c>
      <c r="Q122" s="29">
        <f>IF(基础状态预期!W134="",0,MIN(求节点($C$16:$C$24,F$16:F$24,基础状态预期!M134),求节点($C$28:$C$48,F$28:F$48,基础状态预期!W134)))</f>
        <v>0</v>
      </c>
      <c r="R122" s="29">
        <f>IF(基础状态预期!X134="",0,MIN(求节点($C$16:$C$24,G$16:G$24,基础状态预期!N134),求节点($C$28:$C$48,G$28:G$48,基础状态预期!X134)))</f>
        <v>0</v>
      </c>
      <c r="S122" s="29">
        <f>IF(基础状态预期!Y134="",0,MIN(求节点($C$16:$C$24,H$16:H$24,基础状态预期!O134),求节点($C$28:$C$48,H$28:H$48,基础状态预期!Y134)))</f>
        <v>0.45</v>
      </c>
      <c r="T122" s="29">
        <f>MAX(SUMPRODUCT(O122:S122,基础状态预期!$F134:$J134)/SUM(基础状态预期!$F134:$J134),T121)</f>
        <v>0.45</v>
      </c>
      <c r="V122" s="17">
        <v>118</v>
      </c>
      <c r="W122" s="17">
        <f t="shared" si="21"/>
        <v>0.45</v>
      </c>
      <c r="X122" s="17">
        <f t="shared" si="22"/>
        <v>0.45</v>
      </c>
      <c r="Y122" s="17">
        <f t="shared" si="23"/>
        <v>0.45</v>
      </c>
      <c r="Z122" s="17">
        <f t="shared" si="24"/>
        <v>0.45</v>
      </c>
      <c r="AA122" s="17">
        <f t="shared" si="25"/>
        <v>0.45</v>
      </c>
      <c r="AO122" s="29">
        <f t="shared" si="30"/>
        <v>121.97211685892326</v>
      </c>
      <c r="AP122" s="14">
        <f>MAX(求节点($C$74:$C$79,D$74:D$79,求节点($C$4:$C$12,D$4:D$12,基础状态预期!K134)),AP121)</f>
        <v>0</v>
      </c>
      <c r="AQ122" s="14">
        <f>MAX(求节点($C$74:$C$79,E$74:E$79,求节点($C$4:$C$12,E$4:E$12,基础状态预期!L134)),AQ121)</f>
        <v>0</v>
      </c>
      <c r="AR122" s="14">
        <f>MAX(求节点($C$74:$C$79,F$74:F$79,求节点($C$4:$C$12,F$4:F$12,基础状态预期!M134)),AR121)</f>
        <v>0</v>
      </c>
      <c r="AS122" s="14">
        <f>MAX(求节点($C$74:$C$79,G$74:G$79,求节点($C$4:$C$12,G$4:G$12,基础状态预期!N134)),AS121)</f>
        <v>1</v>
      </c>
      <c r="AT122" s="14">
        <f>MAX(求节点($C$74:$C$79,H$74:H$79,求节点($C$4:$C$12,H$4:H$12,基础状态预期!O134)),AT121)</f>
        <v>2</v>
      </c>
      <c r="AU122" s="14">
        <f>MAX(求节点($C$81:$C$86,D$81:D$86,求节点($C$4:$C$12,D$4:D$12,基础状态预期!K134)),AU121)</f>
        <v>0</v>
      </c>
      <c r="AV122" s="14">
        <f>MAX(求节点($C$81:$C$86,E$81:E$86,求节点($C$4:$C$12,E$4:E$12,基础状态预期!L134)),AV121)</f>
        <v>0</v>
      </c>
      <c r="AW122" s="14">
        <f>MAX(求节点($C$81:$C$86,F$81:F$86,求节点($C$4:$C$12,F$4:F$12,基础状态预期!M134)),AW121)</f>
        <v>0</v>
      </c>
      <c r="AX122" s="14">
        <f>MAX(求节点($C$81:$C$86,G$81:G$86,求节点($C$4:$C$12,G$4:G$12,基础状态预期!N134)),AX121)</f>
        <v>0</v>
      </c>
      <c r="AY122" s="14">
        <f>MAX(求节点($C$81:$C$86,H$81:H$86,求节点($C$4:$C$12,H$4:H$12,基础状态预期!O134)),AY121)</f>
        <v>4</v>
      </c>
      <c r="AZ122" s="14">
        <f>MAX(求节点($C$88:$C$93,D$88:D$93,求节点($C$4:$C$12,D$4:D$12,基础状态预期!K134)),AZ121)</f>
        <v>0</v>
      </c>
      <c r="BA122" s="14">
        <f>MAX(求节点($C$88:$C$93,E$88:E$93,求节点($C$4:$C$12,E$4:E$12,基础状态预期!L134)),BA121)</f>
        <v>0</v>
      </c>
      <c r="BB122" s="14">
        <f>MAX(求节点($C$88:$C$93,F$88:F$93,求节点($C$4:$C$12,F$4:F$12,基础状态预期!M134)),BB121)</f>
        <v>0</v>
      </c>
      <c r="BC122" s="14">
        <f>MAX(求节点($C$88:$C$93,G$88:G$93,求节点($C$4:$C$12,G$4:G$12,基础状态预期!N134)),BC121)</f>
        <v>0</v>
      </c>
      <c r="BD122" s="14">
        <f>MAX(求节点($C$88:$C$93,H$88:H$93,求节点($C$4:$C$12,H$4:H$12,基础状态预期!O134)),BD121)</f>
        <v>48</v>
      </c>
      <c r="BE122" s="14">
        <f t="shared" si="27"/>
        <v>395000</v>
      </c>
      <c r="BM122" s="17">
        <f>求节点($C$4:$C$12,D$4:D$12,基础状态预期!K134)</f>
        <v>0</v>
      </c>
      <c r="BN122" s="17">
        <f>求节点($C$4:$C$12,E$4:E$12,基础状态预期!L134)</f>
        <v>0</v>
      </c>
      <c r="BO122" s="17">
        <f>求节点($C$4:$C$12,F$4:F$12,基础状态预期!M134)</f>
        <v>0</v>
      </c>
      <c r="BP122" s="17">
        <f>求节点($C$4:$C$12,G$4:G$12,基础状态预期!N134)</f>
        <v>0</v>
      </c>
      <c r="BQ122" s="17">
        <f>求节点($C$4:$C$12,H$4:H$12,基础状态预期!O134)</f>
        <v>5</v>
      </c>
    </row>
    <row r="123" spans="13:69" x14ac:dyDescent="0.15">
      <c r="M123" s="16">
        <v>32</v>
      </c>
      <c r="N123" s="29">
        <f>基础状态预期!D135</f>
        <v>125.41953077529134</v>
      </c>
      <c r="O123" s="29">
        <f>IF(基础状态预期!U135="",0,MIN(求节点($C$16:$C$24,D$16:D$24,基础状态预期!K135),求节点($C$28:$C$48,D$28:D$48,基础状态预期!U135)))</f>
        <v>0</v>
      </c>
      <c r="P123" s="29">
        <f>IF(基础状态预期!V135="",0,MIN(求节点($C$16:$C$24,E$16:E$24,基础状态预期!L135),求节点($C$28:$C$48,E$28:E$48,基础状态预期!V135)))</f>
        <v>0</v>
      </c>
      <c r="Q123" s="29">
        <f>IF(基础状态预期!W135="",0,MIN(求节点($C$16:$C$24,F$16:F$24,基础状态预期!M135),求节点($C$28:$C$48,F$28:F$48,基础状态预期!W135)))</f>
        <v>0</v>
      </c>
      <c r="R123" s="29">
        <f>IF(基础状态预期!X135="",0,MIN(求节点($C$16:$C$24,G$16:G$24,基础状态预期!N135),求节点($C$28:$C$48,G$28:G$48,基础状态预期!X135)))</f>
        <v>0</v>
      </c>
      <c r="S123" s="29">
        <f>IF(基础状态预期!Y135="",0,MIN(求节点($C$16:$C$24,H$16:H$24,基础状态预期!O135),求节点($C$28:$C$48,H$28:H$48,基础状态预期!Y135)))</f>
        <v>0.45</v>
      </c>
      <c r="T123" s="29">
        <f>MAX(SUMPRODUCT(O123:S123,基础状态预期!$F135:$J135)/SUM(基础状态预期!$F135:$J135),T122)</f>
        <v>0.45</v>
      </c>
      <c r="V123" s="17">
        <v>119</v>
      </c>
      <c r="W123" s="17">
        <f t="shared" si="21"/>
        <v>0.45</v>
      </c>
      <c r="X123" s="17">
        <f t="shared" si="22"/>
        <v>0.45</v>
      </c>
      <c r="Y123" s="17">
        <f t="shared" si="23"/>
        <v>0.45</v>
      </c>
      <c r="Z123" s="17">
        <f t="shared" si="24"/>
        <v>0.45</v>
      </c>
      <c r="AA123" s="17">
        <f t="shared" si="25"/>
        <v>0.45</v>
      </c>
      <c r="AO123" s="29">
        <f t="shared" si="30"/>
        <v>125.41953077529134</v>
      </c>
      <c r="AP123" s="14">
        <f>MAX(求节点($C$74:$C$79,D$74:D$79,求节点($C$4:$C$12,D$4:D$12,基础状态预期!K135)),AP122)</f>
        <v>0</v>
      </c>
      <c r="AQ123" s="14">
        <f>MAX(求节点($C$74:$C$79,E$74:E$79,求节点($C$4:$C$12,E$4:E$12,基础状态预期!L135)),AQ122)</f>
        <v>0</v>
      </c>
      <c r="AR123" s="14">
        <f>MAX(求节点($C$74:$C$79,F$74:F$79,求节点($C$4:$C$12,F$4:F$12,基础状态预期!M135)),AR122)</f>
        <v>0</v>
      </c>
      <c r="AS123" s="14">
        <f>MAX(求节点($C$74:$C$79,G$74:G$79,求节点($C$4:$C$12,G$4:G$12,基础状态预期!N135)),AS122)</f>
        <v>1</v>
      </c>
      <c r="AT123" s="14">
        <f>MAX(求节点($C$74:$C$79,H$74:H$79,求节点($C$4:$C$12,H$4:H$12,基础状态预期!O135)),AT122)</f>
        <v>2</v>
      </c>
      <c r="AU123" s="14">
        <f>MAX(求节点($C$81:$C$86,D$81:D$86,求节点($C$4:$C$12,D$4:D$12,基础状态预期!K135)),AU122)</f>
        <v>0</v>
      </c>
      <c r="AV123" s="14">
        <f>MAX(求节点($C$81:$C$86,E$81:E$86,求节点($C$4:$C$12,E$4:E$12,基础状态预期!L135)),AV122)</f>
        <v>0</v>
      </c>
      <c r="AW123" s="14">
        <f>MAX(求节点($C$81:$C$86,F$81:F$86,求节点($C$4:$C$12,F$4:F$12,基础状态预期!M135)),AW122)</f>
        <v>0</v>
      </c>
      <c r="AX123" s="14">
        <f>MAX(求节点($C$81:$C$86,G$81:G$86,求节点($C$4:$C$12,G$4:G$12,基础状态预期!N135)),AX122)</f>
        <v>0</v>
      </c>
      <c r="AY123" s="14">
        <f>MAX(求节点($C$81:$C$86,H$81:H$86,求节点($C$4:$C$12,H$4:H$12,基础状态预期!O135)),AY122)</f>
        <v>4</v>
      </c>
      <c r="AZ123" s="14">
        <f>MAX(求节点($C$88:$C$93,D$88:D$93,求节点($C$4:$C$12,D$4:D$12,基础状态预期!K135)),AZ122)</f>
        <v>0</v>
      </c>
      <c r="BA123" s="14">
        <f>MAX(求节点($C$88:$C$93,E$88:E$93,求节点($C$4:$C$12,E$4:E$12,基础状态预期!L135)),BA122)</f>
        <v>0</v>
      </c>
      <c r="BB123" s="14">
        <f>MAX(求节点($C$88:$C$93,F$88:F$93,求节点($C$4:$C$12,F$4:F$12,基础状态预期!M135)),BB122)</f>
        <v>0</v>
      </c>
      <c r="BC123" s="14">
        <f>MAX(求节点($C$88:$C$93,G$88:G$93,求节点($C$4:$C$12,G$4:G$12,基础状态预期!N135)),BC122)</f>
        <v>0</v>
      </c>
      <c r="BD123" s="14">
        <f>MAX(求节点($C$88:$C$93,H$88:H$93,求节点($C$4:$C$12,H$4:H$12,基础状态预期!O135)),BD122)</f>
        <v>48</v>
      </c>
      <c r="BE123" s="14">
        <f t="shared" si="27"/>
        <v>395000</v>
      </c>
      <c r="BM123" s="17">
        <f>求节点($C$4:$C$12,D$4:D$12,基础状态预期!K135)</f>
        <v>0</v>
      </c>
      <c r="BN123" s="17">
        <f>求节点($C$4:$C$12,E$4:E$12,基础状态预期!L135)</f>
        <v>0</v>
      </c>
      <c r="BO123" s="17">
        <f>求节点($C$4:$C$12,F$4:F$12,基础状态预期!M135)</f>
        <v>0</v>
      </c>
      <c r="BP123" s="17">
        <f>求节点($C$4:$C$12,G$4:G$12,基础状态预期!N135)</f>
        <v>0</v>
      </c>
      <c r="BQ123" s="17">
        <f>求节点($C$4:$C$12,H$4:H$12,基础状态预期!O135)</f>
        <v>5</v>
      </c>
    </row>
    <row r="124" spans="13:69" x14ac:dyDescent="0.15">
      <c r="M124" s="16">
        <v>33</v>
      </c>
      <c r="N124" s="29">
        <f>基础状态预期!D136</f>
        <v>129.09045404756728</v>
      </c>
      <c r="O124" s="29">
        <f>IF(基础状态预期!U136="",0,MIN(求节点($C$16:$C$24,D$16:D$24,基础状态预期!K136),求节点($C$28:$C$48,D$28:D$48,基础状态预期!U136)))</f>
        <v>0</v>
      </c>
      <c r="P124" s="29">
        <f>IF(基础状态预期!V136="",0,MIN(求节点($C$16:$C$24,E$16:E$24,基础状态预期!L136),求节点($C$28:$C$48,E$28:E$48,基础状态预期!V136)))</f>
        <v>0</v>
      </c>
      <c r="Q124" s="29">
        <f>IF(基础状态预期!W136="",0,MIN(求节点($C$16:$C$24,F$16:F$24,基础状态预期!M136),求节点($C$28:$C$48,F$28:F$48,基础状态预期!W136)))</f>
        <v>0</v>
      </c>
      <c r="R124" s="29">
        <f>IF(基础状态预期!X136="",0,MIN(求节点($C$16:$C$24,G$16:G$24,基础状态预期!N136),求节点($C$28:$C$48,G$28:G$48,基础状态预期!X136)))</f>
        <v>0</v>
      </c>
      <c r="S124" s="29">
        <f>IF(基础状态预期!Y136="",0,MIN(求节点($C$16:$C$24,H$16:H$24,基础状态预期!O136),求节点($C$28:$C$48,H$28:H$48,基础状态预期!Y136)))</f>
        <v>0.45</v>
      </c>
      <c r="T124" s="29">
        <f>MAX(SUMPRODUCT(O124:S124,基础状态预期!$F136:$J136)/SUM(基础状态预期!$F136:$J136),T123)</f>
        <v>0.45</v>
      </c>
      <c r="V124" s="17">
        <v>120</v>
      </c>
      <c r="W124" s="17">
        <f t="shared" si="21"/>
        <v>0.45</v>
      </c>
      <c r="X124" s="17">
        <f t="shared" si="22"/>
        <v>0.45</v>
      </c>
      <c r="Y124" s="17">
        <f t="shared" si="23"/>
        <v>0.45</v>
      </c>
      <c r="Z124" s="17">
        <f t="shared" si="24"/>
        <v>0.45</v>
      </c>
      <c r="AA124" s="17">
        <f t="shared" si="25"/>
        <v>0.45</v>
      </c>
      <c r="AO124" s="29">
        <f t="shared" si="30"/>
        <v>129.09045404756728</v>
      </c>
      <c r="AP124" s="14">
        <f>MAX(求节点($C$74:$C$79,D$74:D$79,求节点($C$4:$C$12,D$4:D$12,基础状态预期!K136)),AP123)</f>
        <v>0</v>
      </c>
      <c r="AQ124" s="14">
        <f>MAX(求节点($C$74:$C$79,E$74:E$79,求节点($C$4:$C$12,E$4:E$12,基础状态预期!L136)),AQ123)</f>
        <v>0</v>
      </c>
      <c r="AR124" s="14">
        <f>MAX(求节点($C$74:$C$79,F$74:F$79,求节点($C$4:$C$12,F$4:F$12,基础状态预期!M136)),AR123)</f>
        <v>0</v>
      </c>
      <c r="AS124" s="14">
        <f>MAX(求节点($C$74:$C$79,G$74:G$79,求节点($C$4:$C$12,G$4:G$12,基础状态预期!N136)),AS123)</f>
        <v>1</v>
      </c>
      <c r="AT124" s="14">
        <f>MAX(求节点($C$74:$C$79,H$74:H$79,求节点($C$4:$C$12,H$4:H$12,基础状态预期!O136)),AT123)</f>
        <v>2</v>
      </c>
      <c r="AU124" s="14">
        <f>MAX(求节点($C$81:$C$86,D$81:D$86,求节点($C$4:$C$12,D$4:D$12,基础状态预期!K136)),AU123)</f>
        <v>0</v>
      </c>
      <c r="AV124" s="14">
        <f>MAX(求节点($C$81:$C$86,E$81:E$86,求节点($C$4:$C$12,E$4:E$12,基础状态预期!L136)),AV123)</f>
        <v>0</v>
      </c>
      <c r="AW124" s="14">
        <f>MAX(求节点($C$81:$C$86,F$81:F$86,求节点($C$4:$C$12,F$4:F$12,基础状态预期!M136)),AW123)</f>
        <v>0</v>
      </c>
      <c r="AX124" s="14">
        <f>MAX(求节点($C$81:$C$86,G$81:G$86,求节点($C$4:$C$12,G$4:G$12,基础状态预期!N136)),AX123)</f>
        <v>0</v>
      </c>
      <c r="AY124" s="14">
        <f>MAX(求节点($C$81:$C$86,H$81:H$86,求节点($C$4:$C$12,H$4:H$12,基础状态预期!O136)),AY123)</f>
        <v>4</v>
      </c>
      <c r="AZ124" s="14">
        <f>MAX(求节点($C$88:$C$93,D$88:D$93,求节点($C$4:$C$12,D$4:D$12,基础状态预期!K136)),AZ123)</f>
        <v>0</v>
      </c>
      <c r="BA124" s="14">
        <f>MAX(求节点($C$88:$C$93,E$88:E$93,求节点($C$4:$C$12,E$4:E$12,基础状态预期!L136)),BA123)</f>
        <v>0</v>
      </c>
      <c r="BB124" s="14">
        <f>MAX(求节点($C$88:$C$93,F$88:F$93,求节点($C$4:$C$12,F$4:F$12,基础状态预期!M136)),BB123)</f>
        <v>0</v>
      </c>
      <c r="BC124" s="14">
        <f>MAX(求节点($C$88:$C$93,G$88:G$93,求节点($C$4:$C$12,G$4:G$12,基础状态预期!N136)),BC123)</f>
        <v>0</v>
      </c>
      <c r="BD124" s="14">
        <f>MAX(求节点($C$88:$C$93,H$88:H$93,求节点($C$4:$C$12,H$4:H$12,基础状态预期!O136)),BD123)</f>
        <v>48</v>
      </c>
      <c r="BE124" s="14">
        <f t="shared" si="27"/>
        <v>395000</v>
      </c>
      <c r="BM124" s="17">
        <f>求节点($C$4:$C$12,D$4:D$12,基础状态预期!K136)</f>
        <v>0</v>
      </c>
      <c r="BN124" s="17">
        <f>求节点($C$4:$C$12,E$4:E$12,基础状态预期!L136)</f>
        <v>0</v>
      </c>
      <c r="BO124" s="17">
        <f>求节点($C$4:$C$12,F$4:F$12,基础状态预期!M136)</f>
        <v>0</v>
      </c>
      <c r="BP124" s="17">
        <f>求节点($C$4:$C$12,G$4:G$12,基础状态预期!N136)</f>
        <v>0</v>
      </c>
      <c r="BQ124" s="17">
        <f>求节点($C$4:$C$12,H$4:H$12,基础状态预期!O136)</f>
        <v>5</v>
      </c>
    </row>
    <row r="125" spans="13:69" x14ac:dyDescent="0.15">
      <c r="M125" s="16">
        <v>34</v>
      </c>
      <c r="N125" s="29">
        <f>基础状态预期!D137</f>
        <v>132.53488795708068</v>
      </c>
      <c r="O125" s="29">
        <f>IF(基础状态预期!U137="",0,MIN(求节点($C$16:$C$24,D$16:D$24,基础状态预期!K137),求节点($C$28:$C$48,D$28:D$48,基础状态预期!U137)))</f>
        <v>0</v>
      </c>
      <c r="P125" s="29">
        <f>IF(基础状态预期!V137="",0,MIN(求节点($C$16:$C$24,E$16:E$24,基础状态预期!L137),求节点($C$28:$C$48,E$28:E$48,基础状态预期!V137)))</f>
        <v>0</v>
      </c>
      <c r="Q125" s="29">
        <f>IF(基础状态预期!W137="",0,MIN(求节点($C$16:$C$24,F$16:F$24,基础状态预期!M137),求节点($C$28:$C$48,F$28:F$48,基础状态预期!W137)))</f>
        <v>0</v>
      </c>
      <c r="R125" s="29">
        <f>IF(基础状态预期!X137="",0,MIN(求节点($C$16:$C$24,G$16:G$24,基础状态预期!N137),求节点($C$28:$C$48,G$28:G$48,基础状态预期!X137)))</f>
        <v>0</v>
      </c>
      <c r="S125" s="29">
        <f>IF(基础状态预期!Y137="",0,MIN(求节点($C$16:$C$24,H$16:H$24,基础状态预期!O137),求节点($C$28:$C$48,H$28:H$48,基础状态预期!Y137)))</f>
        <v>0.45</v>
      </c>
      <c r="T125" s="29">
        <f>MAX(SUMPRODUCT(O125:S125,基础状态预期!$F137:$J137)/SUM(基础状态预期!$F137:$J137),T124)</f>
        <v>0.45</v>
      </c>
      <c r="V125" s="17">
        <v>121</v>
      </c>
      <c r="W125" s="17">
        <f t="shared" si="21"/>
        <v>0.45</v>
      </c>
      <c r="X125" s="17">
        <f t="shared" si="22"/>
        <v>0.45</v>
      </c>
      <c r="Y125" s="17">
        <f t="shared" si="23"/>
        <v>0.45</v>
      </c>
      <c r="Z125" s="17">
        <f t="shared" si="24"/>
        <v>0.45</v>
      </c>
      <c r="AA125" s="17">
        <f t="shared" si="25"/>
        <v>0.45</v>
      </c>
      <c r="AO125" s="29">
        <f t="shared" si="30"/>
        <v>132.53488795708068</v>
      </c>
      <c r="AP125" s="14">
        <f>MAX(求节点($C$74:$C$79,D$74:D$79,求节点($C$4:$C$12,D$4:D$12,基础状态预期!K137)),AP124)</f>
        <v>0</v>
      </c>
      <c r="AQ125" s="14">
        <f>MAX(求节点($C$74:$C$79,E$74:E$79,求节点($C$4:$C$12,E$4:E$12,基础状态预期!L137)),AQ124)</f>
        <v>0</v>
      </c>
      <c r="AR125" s="14">
        <f>MAX(求节点($C$74:$C$79,F$74:F$79,求节点($C$4:$C$12,F$4:F$12,基础状态预期!M137)),AR124)</f>
        <v>0</v>
      </c>
      <c r="AS125" s="14">
        <f>MAX(求节点($C$74:$C$79,G$74:G$79,求节点($C$4:$C$12,G$4:G$12,基础状态预期!N137)),AS124)</f>
        <v>1</v>
      </c>
      <c r="AT125" s="14">
        <f>MAX(求节点($C$74:$C$79,H$74:H$79,求节点($C$4:$C$12,H$4:H$12,基础状态预期!O137)),AT124)</f>
        <v>2</v>
      </c>
      <c r="AU125" s="14">
        <f>MAX(求节点($C$81:$C$86,D$81:D$86,求节点($C$4:$C$12,D$4:D$12,基础状态预期!K137)),AU124)</f>
        <v>0</v>
      </c>
      <c r="AV125" s="14">
        <f>MAX(求节点($C$81:$C$86,E$81:E$86,求节点($C$4:$C$12,E$4:E$12,基础状态预期!L137)),AV124)</f>
        <v>0</v>
      </c>
      <c r="AW125" s="14">
        <f>MAX(求节点($C$81:$C$86,F$81:F$86,求节点($C$4:$C$12,F$4:F$12,基础状态预期!M137)),AW124)</f>
        <v>0</v>
      </c>
      <c r="AX125" s="14">
        <f>MAX(求节点($C$81:$C$86,G$81:G$86,求节点($C$4:$C$12,G$4:G$12,基础状态预期!N137)),AX124)</f>
        <v>0</v>
      </c>
      <c r="AY125" s="14">
        <f>MAX(求节点($C$81:$C$86,H$81:H$86,求节点($C$4:$C$12,H$4:H$12,基础状态预期!O137)),AY124)</f>
        <v>4</v>
      </c>
      <c r="AZ125" s="14">
        <f>MAX(求节点($C$88:$C$93,D$88:D$93,求节点($C$4:$C$12,D$4:D$12,基础状态预期!K137)),AZ124)</f>
        <v>0</v>
      </c>
      <c r="BA125" s="14">
        <f>MAX(求节点($C$88:$C$93,E$88:E$93,求节点($C$4:$C$12,E$4:E$12,基础状态预期!L137)),BA124)</f>
        <v>0</v>
      </c>
      <c r="BB125" s="14">
        <f>MAX(求节点($C$88:$C$93,F$88:F$93,求节点($C$4:$C$12,F$4:F$12,基础状态预期!M137)),BB124)</f>
        <v>0</v>
      </c>
      <c r="BC125" s="14">
        <f>MAX(求节点($C$88:$C$93,G$88:G$93,求节点($C$4:$C$12,G$4:G$12,基础状态预期!N137)),BC124)</f>
        <v>0</v>
      </c>
      <c r="BD125" s="14">
        <f>MAX(求节点($C$88:$C$93,H$88:H$93,求节点($C$4:$C$12,H$4:H$12,基础状态预期!O137)),BD124)</f>
        <v>48</v>
      </c>
      <c r="BE125" s="14">
        <f t="shared" si="27"/>
        <v>395000</v>
      </c>
      <c r="BM125" s="17">
        <f>求节点($C$4:$C$12,D$4:D$12,基础状态预期!K137)</f>
        <v>0</v>
      </c>
      <c r="BN125" s="17">
        <f>求节点($C$4:$C$12,E$4:E$12,基础状态预期!L137)</f>
        <v>0</v>
      </c>
      <c r="BO125" s="17">
        <f>求节点($C$4:$C$12,F$4:F$12,基础状态预期!M137)</f>
        <v>0</v>
      </c>
      <c r="BP125" s="17">
        <f>求节点($C$4:$C$12,G$4:G$12,基础状态预期!N137)</f>
        <v>0</v>
      </c>
      <c r="BQ125" s="17">
        <f>求节点($C$4:$C$12,H$4:H$12,基础状态预期!O137)</f>
        <v>5</v>
      </c>
    </row>
    <row r="126" spans="13:69" x14ac:dyDescent="0.15">
      <c r="M126" s="16">
        <v>35</v>
      </c>
      <c r="N126" s="29">
        <f>基础状态预期!D138</f>
        <v>136.07141427598387</v>
      </c>
      <c r="O126" s="29">
        <f>IF(基础状态预期!U138="",0,MIN(求节点($C$16:$C$24,D$16:D$24,基础状态预期!K138),求节点($C$28:$C$48,D$28:D$48,基础状态预期!U138)))</f>
        <v>0</v>
      </c>
      <c r="P126" s="29">
        <f>IF(基础状态预期!V138="",0,MIN(求节点($C$16:$C$24,E$16:E$24,基础状态预期!L138),求节点($C$28:$C$48,E$28:E$48,基础状态预期!V138)))</f>
        <v>0</v>
      </c>
      <c r="Q126" s="29">
        <f>IF(基础状态预期!W138="",0,MIN(求节点($C$16:$C$24,F$16:F$24,基础状态预期!M138),求节点($C$28:$C$48,F$28:F$48,基础状态预期!W138)))</f>
        <v>0</v>
      </c>
      <c r="R126" s="29">
        <f>IF(基础状态预期!X138="",0,MIN(求节点($C$16:$C$24,G$16:G$24,基础状态预期!N138),求节点($C$28:$C$48,G$28:G$48,基础状态预期!X138)))</f>
        <v>0</v>
      </c>
      <c r="S126" s="29">
        <f>IF(基础状态预期!Y138="",0,MIN(求节点($C$16:$C$24,H$16:H$24,基础状态预期!O138),求节点($C$28:$C$48,H$28:H$48,基础状态预期!Y138)))</f>
        <v>0.45</v>
      </c>
      <c r="T126" s="29">
        <f>MAX(SUMPRODUCT(O126:S126,基础状态预期!$F138:$J138)/SUM(基础状态预期!$F138:$J138),T125)</f>
        <v>0.45</v>
      </c>
      <c r="V126" s="17">
        <v>122</v>
      </c>
      <c r="W126" s="17">
        <f t="shared" si="21"/>
        <v>0.45</v>
      </c>
      <c r="X126" s="17">
        <f t="shared" si="22"/>
        <v>0.45</v>
      </c>
      <c r="Y126" s="17">
        <f t="shared" si="23"/>
        <v>0.45</v>
      </c>
      <c r="Z126" s="17">
        <f t="shared" si="24"/>
        <v>0.45</v>
      </c>
      <c r="AA126" s="17">
        <f t="shared" si="25"/>
        <v>0.45</v>
      </c>
      <c r="AO126" s="29">
        <f t="shared" si="30"/>
        <v>136.07141427598387</v>
      </c>
      <c r="AP126" s="14">
        <f>MAX(求节点($C$74:$C$79,D$74:D$79,求节点($C$4:$C$12,D$4:D$12,基础状态预期!K138)),AP125)</f>
        <v>0</v>
      </c>
      <c r="AQ126" s="14">
        <f>MAX(求节点($C$74:$C$79,E$74:E$79,求节点($C$4:$C$12,E$4:E$12,基础状态预期!L138)),AQ125)</f>
        <v>0</v>
      </c>
      <c r="AR126" s="14">
        <f>MAX(求节点($C$74:$C$79,F$74:F$79,求节点($C$4:$C$12,F$4:F$12,基础状态预期!M138)),AR125)</f>
        <v>0</v>
      </c>
      <c r="AS126" s="14">
        <f>MAX(求节点($C$74:$C$79,G$74:G$79,求节点($C$4:$C$12,G$4:G$12,基础状态预期!N138)),AS125)</f>
        <v>1</v>
      </c>
      <c r="AT126" s="14">
        <f>MAX(求节点($C$74:$C$79,H$74:H$79,求节点($C$4:$C$12,H$4:H$12,基础状态预期!O138)),AT125)</f>
        <v>2</v>
      </c>
      <c r="AU126" s="14">
        <f>MAX(求节点($C$81:$C$86,D$81:D$86,求节点($C$4:$C$12,D$4:D$12,基础状态预期!K138)),AU125)</f>
        <v>0</v>
      </c>
      <c r="AV126" s="14">
        <f>MAX(求节点($C$81:$C$86,E$81:E$86,求节点($C$4:$C$12,E$4:E$12,基础状态预期!L138)),AV125)</f>
        <v>0</v>
      </c>
      <c r="AW126" s="14">
        <f>MAX(求节点($C$81:$C$86,F$81:F$86,求节点($C$4:$C$12,F$4:F$12,基础状态预期!M138)),AW125)</f>
        <v>0</v>
      </c>
      <c r="AX126" s="14">
        <f>MAX(求节点($C$81:$C$86,G$81:G$86,求节点($C$4:$C$12,G$4:G$12,基础状态预期!N138)),AX125)</f>
        <v>0</v>
      </c>
      <c r="AY126" s="14">
        <f>MAX(求节点($C$81:$C$86,H$81:H$86,求节点($C$4:$C$12,H$4:H$12,基础状态预期!O138)),AY125)</f>
        <v>4</v>
      </c>
      <c r="AZ126" s="14">
        <f>MAX(求节点($C$88:$C$93,D$88:D$93,求节点($C$4:$C$12,D$4:D$12,基础状态预期!K138)),AZ125)</f>
        <v>0</v>
      </c>
      <c r="BA126" s="14">
        <f>MAX(求节点($C$88:$C$93,E$88:E$93,求节点($C$4:$C$12,E$4:E$12,基础状态预期!L138)),BA125)</f>
        <v>0</v>
      </c>
      <c r="BB126" s="14">
        <f>MAX(求节点($C$88:$C$93,F$88:F$93,求节点($C$4:$C$12,F$4:F$12,基础状态预期!M138)),BB125)</f>
        <v>0</v>
      </c>
      <c r="BC126" s="14">
        <f>MAX(求节点($C$88:$C$93,G$88:G$93,求节点($C$4:$C$12,G$4:G$12,基础状态预期!N138)),BC125)</f>
        <v>0</v>
      </c>
      <c r="BD126" s="14">
        <f>MAX(求节点($C$88:$C$93,H$88:H$93,求节点($C$4:$C$12,H$4:H$12,基础状态预期!O138)),BD125)</f>
        <v>48</v>
      </c>
      <c r="BE126" s="14">
        <f t="shared" si="27"/>
        <v>395000</v>
      </c>
      <c r="BM126" s="17">
        <f>求节点($C$4:$C$12,D$4:D$12,基础状态预期!K138)</f>
        <v>0</v>
      </c>
      <c r="BN126" s="17">
        <f>求节点($C$4:$C$12,E$4:E$12,基础状态预期!L138)</f>
        <v>0</v>
      </c>
      <c r="BO126" s="17">
        <f>求节点($C$4:$C$12,F$4:F$12,基础状态预期!M138)</f>
        <v>0</v>
      </c>
      <c r="BP126" s="17">
        <f>求节点($C$4:$C$12,G$4:G$12,基础状态预期!N138)</f>
        <v>0</v>
      </c>
      <c r="BQ126" s="17">
        <f>求节点($C$4:$C$12,H$4:H$12,基础状态预期!O138)</f>
        <v>5</v>
      </c>
    </row>
    <row r="127" spans="13:69" x14ac:dyDescent="0.15">
      <c r="M127" s="16">
        <v>36</v>
      </c>
      <c r="N127" s="29">
        <f>基础状态预期!D139</f>
        <v>139.56936219880694</v>
      </c>
      <c r="O127" s="29">
        <f>IF(基础状态预期!U139="",0,MIN(求节点($C$16:$C$24,D$16:D$24,基础状态预期!K139),求节点($C$28:$C$48,D$28:D$48,基础状态预期!U139)))</f>
        <v>0</v>
      </c>
      <c r="P127" s="29">
        <f>IF(基础状态预期!V139="",0,MIN(求节点($C$16:$C$24,E$16:E$24,基础状态预期!L139),求节点($C$28:$C$48,E$28:E$48,基础状态预期!V139)))</f>
        <v>0</v>
      </c>
      <c r="Q127" s="29">
        <f>IF(基础状态预期!W139="",0,MIN(求节点($C$16:$C$24,F$16:F$24,基础状态预期!M139),求节点($C$28:$C$48,F$28:F$48,基础状态预期!W139)))</f>
        <v>0</v>
      </c>
      <c r="R127" s="29">
        <f>IF(基础状态预期!X139="",0,MIN(求节点($C$16:$C$24,G$16:G$24,基础状态预期!N139),求节点($C$28:$C$48,G$28:G$48,基础状态预期!X139)))</f>
        <v>0</v>
      </c>
      <c r="S127" s="29">
        <f>IF(基础状态预期!Y139="",0,MIN(求节点($C$16:$C$24,H$16:H$24,基础状态预期!O139),求节点($C$28:$C$48,H$28:H$48,基础状态预期!Y139)))</f>
        <v>0.45</v>
      </c>
      <c r="T127" s="29">
        <f>MAX(SUMPRODUCT(O127:S127,基础状态预期!$F139:$J139)/SUM(基础状态预期!$F139:$J139),T126)</f>
        <v>0.45</v>
      </c>
      <c r="V127" s="17">
        <v>123</v>
      </c>
      <c r="W127" s="17">
        <f t="shared" si="21"/>
        <v>0.45</v>
      </c>
      <c r="X127" s="17">
        <f t="shared" si="22"/>
        <v>0.45</v>
      </c>
      <c r="Y127" s="17">
        <f t="shared" si="23"/>
        <v>0.45</v>
      </c>
      <c r="Z127" s="17">
        <f t="shared" si="24"/>
        <v>0.45</v>
      </c>
      <c r="AA127" s="17">
        <f t="shared" si="25"/>
        <v>0.45</v>
      </c>
      <c r="AO127" s="29">
        <f t="shared" si="30"/>
        <v>139.56936219880694</v>
      </c>
      <c r="AP127" s="14">
        <f>MAX(求节点($C$74:$C$79,D$74:D$79,求节点($C$4:$C$12,D$4:D$12,基础状态预期!K139)),AP126)</f>
        <v>0</v>
      </c>
      <c r="AQ127" s="14">
        <f>MAX(求节点($C$74:$C$79,E$74:E$79,求节点($C$4:$C$12,E$4:E$12,基础状态预期!L139)),AQ126)</f>
        <v>0</v>
      </c>
      <c r="AR127" s="14">
        <f>MAX(求节点($C$74:$C$79,F$74:F$79,求节点($C$4:$C$12,F$4:F$12,基础状态预期!M139)),AR126)</f>
        <v>0</v>
      </c>
      <c r="AS127" s="14">
        <f>MAX(求节点($C$74:$C$79,G$74:G$79,求节点($C$4:$C$12,G$4:G$12,基础状态预期!N139)),AS126)</f>
        <v>1</v>
      </c>
      <c r="AT127" s="14">
        <f>MAX(求节点($C$74:$C$79,H$74:H$79,求节点($C$4:$C$12,H$4:H$12,基础状态预期!O139)),AT126)</f>
        <v>2</v>
      </c>
      <c r="AU127" s="14">
        <f>MAX(求节点($C$81:$C$86,D$81:D$86,求节点($C$4:$C$12,D$4:D$12,基础状态预期!K139)),AU126)</f>
        <v>0</v>
      </c>
      <c r="AV127" s="14">
        <f>MAX(求节点($C$81:$C$86,E$81:E$86,求节点($C$4:$C$12,E$4:E$12,基础状态预期!L139)),AV126)</f>
        <v>0</v>
      </c>
      <c r="AW127" s="14">
        <f>MAX(求节点($C$81:$C$86,F$81:F$86,求节点($C$4:$C$12,F$4:F$12,基础状态预期!M139)),AW126)</f>
        <v>0</v>
      </c>
      <c r="AX127" s="14">
        <f>MAX(求节点($C$81:$C$86,G$81:G$86,求节点($C$4:$C$12,G$4:G$12,基础状态预期!N139)),AX126)</f>
        <v>0</v>
      </c>
      <c r="AY127" s="14">
        <f>MAX(求节点($C$81:$C$86,H$81:H$86,求节点($C$4:$C$12,H$4:H$12,基础状态预期!O139)),AY126)</f>
        <v>4</v>
      </c>
      <c r="AZ127" s="14">
        <f>MAX(求节点($C$88:$C$93,D$88:D$93,求节点($C$4:$C$12,D$4:D$12,基础状态预期!K139)),AZ126)</f>
        <v>0</v>
      </c>
      <c r="BA127" s="14">
        <f>MAX(求节点($C$88:$C$93,E$88:E$93,求节点($C$4:$C$12,E$4:E$12,基础状态预期!L139)),BA126)</f>
        <v>0</v>
      </c>
      <c r="BB127" s="14">
        <f>MAX(求节点($C$88:$C$93,F$88:F$93,求节点($C$4:$C$12,F$4:F$12,基础状态预期!M139)),BB126)</f>
        <v>0</v>
      </c>
      <c r="BC127" s="14">
        <f>MAX(求节点($C$88:$C$93,G$88:G$93,求节点($C$4:$C$12,G$4:G$12,基础状态预期!N139)),BC126)</f>
        <v>0</v>
      </c>
      <c r="BD127" s="14">
        <f>MAX(求节点($C$88:$C$93,H$88:H$93,求节点($C$4:$C$12,H$4:H$12,基础状态预期!O139)),BD126)</f>
        <v>48</v>
      </c>
      <c r="BE127" s="14">
        <f t="shared" si="27"/>
        <v>395000</v>
      </c>
      <c r="BM127" s="17">
        <f>求节点($C$4:$C$12,D$4:D$12,基础状态预期!K139)</f>
        <v>0</v>
      </c>
      <c r="BN127" s="17">
        <f>求节点($C$4:$C$12,E$4:E$12,基础状态预期!L139)</f>
        <v>0</v>
      </c>
      <c r="BO127" s="17">
        <f>求节点($C$4:$C$12,F$4:F$12,基础状态预期!M139)</f>
        <v>0</v>
      </c>
      <c r="BP127" s="17">
        <f>求节点($C$4:$C$12,G$4:G$12,基础状态预期!N139)</f>
        <v>0</v>
      </c>
      <c r="BQ127" s="17">
        <f>求节点($C$4:$C$12,H$4:H$12,基础状态预期!O139)</f>
        <v>5</v>
      </c>
    </row>
    <row r="128" spans="13:69" x14ac:dyDescent="0.15">
      <c r="M128" s="16">
        <v>37</v>
      </c>
      <c r="N128" s="29">
        <f>基础状态预期!D140</f>
        <v>143.08413721822018</v>
      </c>
      <c r="O128" s="29">
        <f>IF(基础状态预期!U140="",0,MIN(求节点($C$16:$C$24,D$16:D$24,基础状态预期!K140),求节点($C$28:$C$48,D$28:D$48,基础状态预期!U140)))</f>
        <v>0</v>
      </c>
      <c r="P128" s="29">
        <f>IF(基础状态预期!V140="",0,MIN(求节点($C$16:$C$24,E$16:E$24,基础状态预期!L140),求节点($C$28:$C$48,E$28:E$48,基础状态预期!V140)))</f>
        <v>0</v>
      </c>
      <c r="Q128" s="29">
        <f>IF(基础状态预期!W140="",0,MIN(求节点($C$16:$C$24,F$16:F$24,基础状态预期!M140),求节点($C$28:$C$48,F$28:F$48,基础状态预期!W140)))</f>
        <v>0</v>
      </c>
      <c r="R128" s="29">
        <f>IF(基础状态预期!X140="",0,MIN(求节点($C$16:$C$24,G$16:G$24,基础状态预期!N140),求节点($C$28:$C$48,G$28:G$48,基础状态预期!X140)))</f>
        <v>0</v>
      </c>
      <c r="S128" s="29">
        <f>IF(基础状态预期!Y140="",0,MIN(求节点($C$16:$C$24,H$16:H$24,基础状态预期!O140),求节点($C$28:$C$48,H$28:H$48,基础状态预期!Y140)))</f>
        <v>0.45</v>
      </c>
      <c r="T128" s="29">
        <f>MAX(SUMPRODUCT(O128:S128,基础状态预期!$F140:$J140)/SUM(基础状态预期!$F140:$J140),T127)</f>
        <v>0.45</v>
      </c>
      <c r="V128" s="17">
        <v>124</v>
      </c>
      <c r="W128" s="17">
        <f t="shared" si="21"/>
        <v>0.45</v>
      </c>
      <c r="X128" s="17">
        <f t="shared" si="22"/>
        <v>0.45</v>
      </c>
      <c r="Y128" s="17">
        <f t="shared" si="23"/>
        <v>0.45</v>
      </c>
      <c r="Z128" s="17">
        <f t="shared" si="24"/>
        <v>0.45</v>
      </c>
      <c r="AA128" s="17">
        <f t="shared" si="25"/>
        <v>0.45</v>
      </c>
      <c r="AO128" s="29">
        <f t="shared" si="30"/>
        <v>143.08413721822018</v>
      </c>
      <c r="AP128" s="14">
        <f>MAX(求节点($C$74:$C$79,D$74:D$79,求节点($C$4:$C$12,D$4:D$12,基础状态预期!K140)),AP127)</f>
        <v>0</v>
      </c>
      <c r="AQ128" s="14">
        <f>MAX(求节点($C$74:$C$79,E$74:E$79,求节点($C$4:$C$12,E$4:E$12,基础状态预期!L140)),AQ127)</f>
        <v>0</v>
      </c>
      <c r="AR128" s="14">
        <f>MAX(求节点($C$74:$C$79,F$74:F$79,求节点($C$4:$C$12,F$4:F$12,基础状态预期!M140)),AR127)</f>
        <v>0</v>
      </c>
      <c r="AS128" s="14">
        <f>MAX(求节点($C$74:$C$79,G$74:G$79,求节点($C$4:$C$12,G$4:G$12,基础状态预期!N140)),AS127)</f>
        <v>1</v>
      </c>
      <c r="AT128" s="14">
        <f>MAX(求节点($C$74:$C$79,H$74:H$79,求节点($C$4:$C$12,H$4:H$12,基础状态预期!O140)),AT127)</f>
        <v>2</v>
      </c>
      <c r="AU128" s="14">
        <f>MAX(求节点($C$81:$C$86,D$81:D$86,求节点($C$4:$C$12,D$4:D$12,基础状态预期!K140)),AU127)</f>
        <v>0</v>
      </c>
      <c r="AV128" s="14">
        <f>MAX(求节点($C$81:$C$86,E$81:E$86,求节点($C$4:$C$12,E$4:E$12,基础状态预期!L140)),AV127)</f>
        <v>0</v>
      </c>
      <c r="AW128" s="14">
        <f>MAX(求节点($C$81:$C$86,F$81:F$86,求节点($C$4:$C$12,F$4:F$12,基础状态预期!M140)),AW127)</f>
        <v>0</v>
      </c>
      <c r="AX128" s="14">
        <f>MAX(求节点($C$81:$C$86,G$81:G$86,求节点($C$4:$C$12,G$4:G$12,基础状态预期!N140)),AX127)</f>
        <v>0</v>
      </c>
      <c r="AY128" s="14">
        <f>MAX(求节点($C$81:$C$86,H$81:H$86,求节点($C$4:$C$12,H$4:H$12,基础状态预期!O140)),AY127)</f>
        <v>4</v>
      </c>
      <c r="AZ128" s="14">
        <f>MAX(求节点($C$88:$C$93,D$88:D$93,求节点($C$4:$C$12,D$4:D$12,基础状态预期!K140)),AZ127)</f>
        <v>0</v>
      </c>
      <c r="BA128" s="14">
        <f>MAX(求节点($C$88:$C$93,E$88:E$93,求节点($C$4:$C$12,E$4:E$12,基础状态预期!L140)),BA127)</f>
        <v>0</v>
      </c>
      <c r="BB128" s="14">
        <f>MAX(求节点($C$88:$C$93,F$88:F$93,求节点($C$4:$C$12,F$4:F$12,基础状态预期!M140)),BB127)</f>
        <v>0</v>
      </c>
      <c r="BC128" s="14">
        <f>MAX(求节点($C$88:$C$93,G$88:G$93,求节点($C$4:$C$12,G$4:G$12,基础状态预期!N140)),BC127)</f>
        <v>0</v>
      </c>
      <c r="BD128" s="14">
        <f>MAX(求节点($C$88:$C$93,H$88:H$93,求节点($C$4:$C$12,H$4:H$12,基础状态预期!O140)),BD127)</f>
        <v>48</v>
      </c>
      <c r="BE128" s="14">
        <f t="shared" si="27"/>
        <v>395000</v>
      </c>
      <c r="BM128" s="17">
        <f>求节点($C$4:$C$12,D$4:D$12,基础状态预期!K140)</f>
        <v>0</v>
      </c>
      <c r="BN128" s="17">
        <f>求节点($C$4:$C$12,E$4:E$12,基础状态预期!L140)</f>
        <v>0</v>
      </c>
      <c r="BO128" s="17">
        <f>求节点($C$4:$C$12,F$4:F$12,基础状态预期!M140)</f>
        <v>0</v>
      </c>
      <c r="BP128" s="17">
        <f>求节点($C$4:$C$12,G$4:G$12,基础状态预期!N140)</f>
        <v>0</v>
      </c>
      <c r="BQ128" s="17">
        <f>求节点($C$4:$C$12,H$4:H$12,基础状态预期!O140)</f>
        <v>5</v>
      </c>
    </row>
    <row r="129" spans="13:69" x14ac:dyDescent="0.15">
      <c r="M129" s="16">
        <v>38</v>
      </c>
      <c r="N129" s="29">
        <f>基础状态预期!D141</f>
        <v>146.62302564097175</v>
      </c>
      <c r="O129" s="29">
        <f>IF(基础状态预期!U141="",0,MIN(求节点($C$16:$C$24,D$16:D$24,基础状态预期!K141),求节点($C$28:$C$48,D$28:D$48,基础状态预期!U141)))</f>
        <v>0</v>
      </c>
      <c r="P129" s="29">
        <f>IF(基础状态预期!V141="",0,MIN(求节点($C$16:$C$24,E$16:E$24,基础状态预期!L141),求节点($C$28:$C$48,E$28:E$48,基础状态预期!V141)))</f>
        <v>0</v>
      </c>
      <c r="Q129" s="29">
        <f>IF(基础状态预期!W141="",0,MIN(求节点($C$16:$C$24,F$16:F$24,基础状态预期!M141),求节点($C$28:$C$48,F$28:F$48,基础状态预期!W141)))</f>
        <v>0</v>
      </c>
      <c r="R129" s="29">
        <f>IF(基础状态预期!X141="",0,MIN(求节点($C$16:$C$24,G$16:G$24,基础状态预期!N141),求节点($C$28:$C$48,G$28:G$48,基础状态预期!X141)))</f>
        <v>0</v>
      </c>
      <c r="S129" s="29">
        <f>IF(基础状态预期!Y141="",0,MIN(求节点($C$16:$C$24,H$16:H$24,基础状态预期!O141),求节点($C$28:$C$48,H$28:H$48,基础状态预期!Y141)))</f>
        <v>0.45</v>
      </c>
      <c r="T129" s="29">
        <f>MAX(SUMPRODUCT(O129:S129,基础状态预期!$F141:$J141)/SUM(基础状态预期!$F141:$J141),T128)</f>
        <v>0.45</v>
      </c>
      <c r="V129" s="17">
        <v>125</v>
      </c>
      <c r="W129" s="17">
        <f t="shared" si="21"/>
        <v>0.45</v>
      </c>
      <c r="X129" s="17">
        <f t="shared" si="22"/>
        <v>0.45</v>
      </c>
      <c r="Y129" s="17">
        <f t="shared" si="23"/>
        <v>0.45</v>
      </c>
      <c r="Z129" s="17">
        <f t="shared" si="24"/>
        <v>0.45</v>
      </c>
      <c r="AA129" s="17">
        <f t="shared" si="25"/>
        <v>0.45</v>
      </c>
      <c r="AO129" s="29">
        <f t="shared" si="30"/>
        <v>146.62302564097175</v>
      </c>
      <c r="AP129" s="14">
        <f>MAX(求节点($C$74:$C$79,D$74:D$79,求节点($C$4:$C$12,D$4:D$12,基础状态预期!K141)),AP128)</f>
        <v>0</v>
      </c>
      <c r="AQ129" s="14">
        <f>MAX(求节点($C$74:$C$79,E$74:E$79,求节点($C$4:$C$12,E$4:E$12,基础状态预期!L141)),AQ128)</f>
        <v>0</v>
      </c>
      <c r="AR129" s="14">
        <f>MAX(求节点($C$74:$C$79,F$74:F$79,求节点($C$4:$C$12,F$4:F$12,基础状态预期!M141)),AR128)</f>
        <v>0</v>
      </c>
      <c r="AS129" s="14">
        <f>MAX(求节点($C$74:$C$79,G$74:G$79,求节点($C$4:$C$12,G$4:G$12,基础状态预期!N141)),AS128)</f>
        <v>1</v>
      </c>
      <c r="AT129" s="14">
        <f>MAX(求节点($C$74:$C$79,H$74:H$79,求节点($C$4:$C$12,H$4:H$12,基础状态预期!O141)),AT128)</f>
        <v>2</v>
      </c>
      <c r="AU129" s="14">
        <f>MAX(求节点($C$81:$C$86,D$81:D$86,求节点($C$4:$C$12,D$4:D$12,基础状态预期!K141)),AU128)</f>
        <v>0</v>
      </c>
      <c r="AV129" s="14">
        <f>MAX(求节点($C$81:$C$86,E$81:E$86,求节点($C$4:$C$12,E$4:E$12,基础状态预期!L141)),AV128)</f>
        <v>0</v>
      </c>
      <c r="AW129" s="14">
        <f>MAX(求节点($C$81:$C$86,F$81:F$86,求节点($C$4:$C$12,F$4:F$12,基础状态预期!M141)),AW128)</f>
        <v>0</v>
      </c>
      <c r="AX129" s="14">
        <f>MAX(求节点($C$81:$C$86,G$81:G$86,求节点($C$4:$C$12,G$4:G$12,基础状态预期!N141)),AX128)</f>
        <v>0</v>
      </c>
      <c r="AY129" s="14">
        <f>MAX(求节点($C$81:$C$86,H$81:H$86,求节点($C$4:$C$12,H$4:H$12,基础状态预期!O141)),AY128)</f>
        <v>4</v>
      </c>
      <c r="AZ129" s="14">
        <f>MAX(求节点($C$88:$C$93,D$88:D$93,求节点($C$4:$C$12,D$4:D$12,基础状态预期!K141)),AZ128)</f>
        <v>0</v>
      </c>
      <c r="BA129" s="14">
        <f>MAX(求节点($C$88:$C$93,E$88:E$93,求节点($C$4:$C$12,E$4:E$12,基础状态预期!L141)),BA128)</f>
        <v>0</v>
      </c>
      <c r="BB129" s="14">
        <f>MAX(求节点($C$88:$C$93,F$88:F$93,求节点($C$4:$C$12,F$4:F$12,基础状态预期!M141)),BB128)</f>
        <v>0</v>
      </c>
      <c r="BC129" s="14">
        <f>MAX(求节点($C$88:$C$93,G$88:G$93,求节点($C$4:$C$12,G$4:G$12,基础状态预期!N141)),BC128)</f>
        <v>0</v>
      </c>
      <c r="BD129" s="14">
        <f>MAX(求节点($C$88:$C$93,H$88:H$93,求节点($C$4:$C$12,H$4:H$12,基础状态预期!O141)),BD128)</f>
        <v>48</v>
      </c>
      <c r="BE129" s="14">
        <f t="shared" si="27"/>
        <v>395000</v>
      </c>
      <c r="BM129" s="17">
        <f>求节点($C$4:$C$12,D$4:D$12,基础状态预期!K141)</f>
        <v>0</v>
      </c>
      <c r="BN129" s="17">
        <f>求节点($C$4:$C$12,E$4:E$12,基础状态预期!L141)</f>
        <v>0</v>
      </c>
      <c r="BO129" s="17">
        <f>求节点($C$4:$C$12,F$4:F$12,基础状态预期!M141)</f>
        <v>0</v>
      </c>
      <c r="BP129" s="17">
        <f>求节点($C$4:$C$12,G$4:G$12,基础状态预期!N141)</f>
        <v>0</v>
      </c>
      <c r="BQ129" s="17">
        <f>求节点($C$4:$C$12,H$4:H$12,基础状态预期!O141)</f>
        <v>5</v>
      </c>
    </row>
    <row r="130" spans="13:69" x14ac:dyDescent="0.15">
      <c r="M130" s="16">
        <v>39</v>
      </c>
      <c r="N130" s="29">
        <f>基础状态预期!D142</f>
        <v>150.12999034316616</v>
      </c>
      <c r="O130" s="29">
        <f>IF(基础状态预期!U142="",0,MIN(求节点($C$16:$C$24,D$16:D$24,基础状态预期!K142),求节点($C$28:$C$48,D$28:D$48,基础状态预期!U142)))</f>
        <v>0</v>
      </c>
      <c r="P130" s="29">
        <f>IF(基础状态预期!V142="",0,MIN(求节点($C$16:$C$24,E$16:E$24,基础状态预期!L142),求节点($C$28:$C$48,E$28:E$48,基础状态预期!V142)))</f>
        <v>0</v>
      </c>
      <c r="Q130" s="29">
        <f>IF(基础状态预期!W142="",0,MIN(求节点($C$16:$C$24,F$16:F$24,基础状态预期!M142),求节点($C$28:$C$48,F$28:F$48,基础状态预期!W142)))</f>
        <v>0</v>
      </c>
      <c r="R130" s="29">
        <f>IF(基础状态预期!X142="",0,MIN(求节点($C$16:$C$24,G$16:G$24,基础状态预期!N142),求节点($C$28:$C$48,G$28:G$48,基础状态预期!X142)))</f>
        <v>0</v>
      </c>
      <c r="S130" s="29">
        <f>IF(基础状态预期!Y142="",0,MIN(求节点($C$16:$C$24,H$16:H$24,基础状态预期!O142),求节点($C$28:$C$48,H$28:H$48,基础状态预期!Y142)))</f>
        <v>0.45</v>
      </c>
      <c r="T130" s="29">
        <f>MAX(SUMPRODUCT(O130:S130,基础状态预期!$F142:$J142)/SUM(基础状态预期!$F142:$J142),T129)</f>
        <v>0.45</v>
      </c>
      <c r="V130" s="17">
        <v>126</v>
      </c>
      <c r="W130" s="17">
        <f t="shared" si="21"/>
        <v>0.45</v>
      </c>
      <c r="X130" s="17">
        <f t="shared" si="22"/>
        <v>0.45</v>
      </c>
      <c r="Y130" s="17">
        <f t="shared" si="23"/>
        <v>0.45</v>
      </c>
      <c r="Z130" s="17">
        <f t="shared" si="24"/>
        <v>0.45</v>
      </c>
      <c r="AA130" s="17">
        <f t="shared" si="25"/>
        <v>0.45</v>
      </c>
      <c r="AO130" s="29">
        <f t="shared" si="30"/>
        <v>150.12999034316616</v>
      </c>
      <c r="AP130" s="14">
        <f>MAX(求节点($C$74:$C$79,D$74:D$79,求节点($C$4:$C$12,D$4:D$12,基础状态预期!K142)),AP129)</f>
        <v>0</v>
      </c>
      <c r="AQ130" s="14">
        <f>MAX(求节点($C$74:$C$79,E$74:E$79,求节点($C$4:$C$12,E$4:E$12,基础状态预期!L142)),AQ129)</f>
        <v>0</v>
      </c>
      <c r="AR130" s="14">
        <f>MAX(求节点($C$74:$C$79,F$74:F$79,求节点($C$4:$C$12,F$4:F$12,基础状态预期!M142)),AR129)</f>
        <v>0</v>
      </c>
      <c r="AS130" s="14">
        <f>MAX(求节点($C$74:$C$79,G$74:G$79,求节点($C$4:$C$12,G$4:G$12,基础状态预期!N142)),AS129)</f>
        <v>1</v>
      </c>
      <c r="AT130" s="14">
        <f>MAX(求节点($C$74:$C$79,H$74:H$79,求节点($C$4:$C$12,H$4:H$12,基础状态预期!O142)),AT129)</f>
        <v>2</v>
      </c>
      <c r="AU130" s="14">
        <f>MAX(求节点($C$81:$C$86,D$81:D$86,求节点($C$4:$C$12,D$4:D$12,基础状态预期!K142)),AU129)</f>
        <v>0</v>
      </c>
      <c r="AV130" s="14">
        <f>MAX(求节点($C$81:$C$86,E$81:E$86,求节点($C$4:$C$12,E$4:E$12,基础状态预期!L142)),AV129)</f>
        <v>0</v>
      </c>
      <c r="AW130" s="14">
        <f>MAX(求节点($C$81:$C$86,F$81:F$86,求节点($C$4:$C$12,F$4:F$12,基础状态预期!M142)),AW129)</f>
        <v>0</v>
      </c>
      <c r="AX130" s="14">
        <f>MAX(求节点($C$81:$C$86,G$81:G$86,求节点($C$4:$C$12,G$4:G$12,基础状态预期!N142)),AX129)</f>
        <v>0</v>
      </c>
      <c r="AY130" s="14">
        <f>MAX(求节点($C$81:$C$86,H$81:H$86,求节点($C$4:$C$12,H$4:H$12,基础状态预期!O142)),AY129)</f>
        <v>4</v>
      </c>
      <c r="AZ130" s="14">
        <f>MAX(求节点($C$88:$C$93,D$88:D$93,求节点($C$4:$C$12,D$4:D$12,基础状态预期!K142)),AZ129)</f>
        <v>0</v>
      </c>
      <c r="BA130" s="14">
        <f>MAX(求节点($C$88:$C$93,E$88:E$93,求节点($C$4:$C$12,E$4:E$12,基础状态预期!L142)),BA129)</f>
        <v>0</v>
      </c>
      <c r="BB130" s="14">
        <f>MAX(求节点($C$88:$C$93,F$88:F$93,求节点($C$4:$C$12,F$4:F$12,基础状态预期!M142)),BB129)</f>
        <v>0</v>
      </c>
      <c r="BC130" s="14">
        <f>MAX(求节点($C$88:$C$93,G$88:G$93,求节点($C$4:$C$12,G$4:G$12,基础状态预期!N142)),BC129)</f>
        <v>0</v>
      </c>
      <c r="BD130" s="14">
        <f>MAX(求节点($C$88:$C$93,H$88:H$93,求节点($C$4:$C$12,H$4:H$12,基础状态预期!O142)),BD129)</f>
        <v>48</v>
      </c>
      <c r="BE130" s="14">
        <f t="shared" si="27"/>
        <v>395000</v>
      </c>
      <c r="BM130" s="17">
        <f>求节点($C$4:$C$12,D$4:D$12,基础状态预期!K142)</f>
        <v>0</v>
      </c>
      <c r="BN130" s="17">
        <f>求节点($C$4:$C$12,E$4:E$12,基础状态预期!L142)</f>
        <v>0</v>
      </c>
      <c r="BO130" s="17">
        <f>求节点($C$4:$C$12,F$4:F$12,基础状态预期!M142)</f>
        <v>0</v>
      </c>
      <c r="BP130" s="17">
        <f>求节点($C$4:$C$12,G$4:G$12,基础状态预期!N142)</f>
        <v>0</v>
      </c>
      <c r="BQ130" s="17">
        <f>求节点($C$4:$C$12,H$4:H$12,基础状态预期!O142)</f>
        <v>5</v>
      </c>
    </row>
    <row r="131" spans="13:69" x14ac:dyDescent="0.15">
      <c r="M131" s="16">
        <v>40</v>
      </c>
      <c r="N131" s="29">
        <f>基础状态预期!D143</f>
        <v>153.11600330857166</v>
      </c>
      <c r="O131" s="29">
        <f>IF(基础状态预期!U143="",0,MIN(求节点($C$16:$C$24,D$16:D$24,基础状态预期!K143),求节点($C$28:$C$48,D$28:D$48,基础状态预期!U143)))</f>
        <v>0</v>
      </c>
      <c r="P131" s="29">
        <f>IF(基础状态预期!V143="",0,MIN(求节点($C$16:$C$24,E$16:E$24,基础状态预期!L143),求节点($C$28:$C$48,E$28:E$48,基础状态预期!V143)))</f>
        <v>0</v>
      </c>
      <c r="Q131" s="29">
        <f>IF(基础状态预期!W143="",0,MIN(求节点($C$16:$C$24,F$16:F$24,基础状态预期!M143),求节点($C$28:$C$48,F$28:F$48,基础状态预期!W143)))</f>
        <v>0</v>
      </c>
      <c r="R131" s="29">
        <f>IF(基础状态预期!X143="",0,MIN(求节点($C$16:$C$24,G$16:G$24,基础状态预期!N143),求节点($C$28:$C$48,G$28:G$48,基础状态预期!X143)))</f>
        <v>0</v>
      </c>
      <c r="S131" s="29">
        <f>IF(基础状态预期!Y143="",0,MIN(求节点($C$16:$C$24,H$16:H$24,基础状态预期!O143),求节点($C$28:$C$48,H$28:H$48,基础状态预期!Y143)))</f>
        <v>0.45</v>
      </c>
      <c r="T131" s="29">
        <f>MAX(SUMPRODUCT(O131:S131,基础状态预期!$F143:$J143)/SUM(基础状态预期!$F143:$J143),T130)</f>
        <v>0.45</v>
      </c>
      <c r="V131" s="17">
        <v>127</v>
      </c>
      <c r="W131" s="17">
        <f t="shared" si="21"/>
        <v>0.45</v>
      </c>
      <c r="X131" s="17">
        <f t="shared" si="22"/>
        <v>0.45</v>
      </c>
      <c r="Y131" s="17">
        <f t="shared" si="23"/>
        <v>0.45</v>
      </c>
      <c r="Z131" s="17">
        <f t="shared" si="24"/>
        <v>0.45</v>
      </c>
      <c r="AA131" s="17">
        <f t="shared" si="25"/>
        <v>0.45</v>
      </c>
      <c r="AO131" s="29">
        <f t="shared" si="30"/>
        <v>153.11600330857166</v>
      </c>
      <c r="AP131" s="14">
        <f>MAX(求节点($C$74:$C$79,D$74:D$79,求节点($C$4:$C$12,D$4:D$12,基础状态预期!K143)),AP130)</f>
        <v>0</v>
      </c>
      <c r="AQ131" s="14">
        <f>MAX(求节点($C$74:$C$79,E$74:E$79,求节点($C$4:$C$12,E$4:E$12,基础状态预期!L143)),AQ130)</f>
        <v>0</v>
      </c>
      <c r="AR131" s="14">
        <f>MAX(求节点($C$74:$C$79,F$74:F$79,求节点($C$4:$C$12,F$4:F$12,基础状态预期!M143)),AR130)</f>
        <v>0</v>
      </c>
      <c r="AS131" s="14">
        <f>MAX(求节点($C$74:$C$79,G$74:G$79,求节点($C$4:$C$12,G$4:G$12,基础状态预期!N143)),AS130)</f>
        <v>1</v>
      </c>
      <c r="AT131" s="14">
        <f>MAX(求节点($C$74:$C$79,H$74:H$79,求节点($C$4:$C$12,H$4:H$12,基础状态预期!O143)),AT130)</f>
        <v>2</v>
      </c>
      <c r="AU131" s="14">
        <f>MAX(求节点($C$81:$C$86,D$81:D$86,求节点($C$4:$C$12,D$4:D$12,基础状态预期!K143)),AU130)</f>
        <v>0</v>
      </c>
      <c r="AV131" s="14">
        <f>MAX(求节点($C$81:$C$86,E$81:E$86,求节点($C$4:$C$12,E$4:E$12,基础状态预期!L143)),AV130)</f>
        <v>0</v>
      </c>
      <c r="AW131" s="14">
        <f>MAX(求节点($C$81:$C$86,F$81:F$86,求节点($C$4:$C$12,F$4:F$12,基础状态预期!M143)),AW130)</f>
        <v>0</v>
      </c>
      <c r="AX131" s="14">
        <f>MAX(求节点($C$81:$C$86,G$81:G$86,求节点($C$4:$C$12,G$4:G$12,基础状态预期!N143)),AX130)</f>
        <v>0</v>
      </c>
      <c r="AY131" s="14">
        <f>MAX(求节点($C$81:$C$86,H$81:H$86,求节点($C$4:$C$12,H$4:H$12,基础状态预期!O143)),AY130)</f>
        <v>4</v>
      </c>
      <c r="AZ131" s="14">
        <f>MAX(求节点($C$88:$C$93,D$88:D$93,求节点($C$4:$C$12,D$4:D$12,基础状态预期!K143)),AZ130)</f>
        <v>0</v>
      </c>
      <c r="BA131" s="14">
        <f>MAX(求节点($C$88:$C$93,E$88:E$93,求节点($C$4:$C$12,E$4:E$12,基础状态预期!L143)),BA130)</f>
        <v>0</v>
      </c>
      <c r="BB131" s="14">
        <f>MAX(求节点($C$88:$C$93,F$88:F$93,求节点($C$4:$C$12,F$4:F$12,基础状态预期!M143)),BB130)</f>
        <v>0</v>
      </c>
      <c r="BC131" s="14">
        <f>MAX(求节点($C$88:$C$93,G$88:G$93,求节点($C$4:$C$12,G$4:G$12,基础状态预期!N143)),BC130)</f>
        <v>0</v>
      </c>
      <c r="BD131" s="14">
        <f>MAX(求节点($C$88:$C$93,H$88:H$93,求节点($C$4:$C$12,H$4:H$12,基础状态预期!O143)),BD130)</f>
        <v>48</v>
      </c>
      <c r="BE131" s="14">
        <f t="shared" si="27"/>
        <v>395000</v>
      </c>
      <c r="BM131" s="17">
        <f>求节点($C$4:$C$12,D$4:D$12,基础状态预期!K143)</f>
        <v>0</v>
      </c>
      <c r="BN131" s="17">
        <f>求节点($C$4:$C$12,E$4:E$12,基础状态预期!L143)</f>
        <v>0</v>
      </c>
      <c r="BO131" s="17">
        <f>求节点($C$4:$C$12,F$4:F$12,基础状态预期!M143)</f>
        <v>0</v>
      </c>
      <c r="BP131" s="17">
        <f>求节点($C$4:$C$12,G$4:G$12,基础状态预期!N143)</f>
        <v>0</v>
      </c>
      <c r="BQ131" s="17">
        <f>求节点($C$4:$C$12,H$4:H$12,基础状态预期!O143)</f>
        <v>5</v>
      </c>
    </row>
    <row r="132" spans="13:69" x14ac:dyDescent="0.15">
      <c r="M132" s="16">
        <v>41</v>
      </c>
      <c r="N132" s="29">
        <f>基础状态预期!D144</f>
        <v>154.20294442048996</v>
      </c>
      <c r="O132" s="29">
        <f>IF(基础状态预期!U144="",0,MIN(求节点($C$16:$C$24,D$16:D$24,基础状态预期!K144),求节点($C$28:$C$48,D$28:D$48,基础状态预期!U144)))</f>
        <v>0</v>
      </c>
      <c r="P132" s="29">
        <f>IF(基础状态预期!V144="",0,MIN(求节点($C$16:$C$24,E$16:E$24,基础状态预期!L144),求节点($C$28:$C$48,E$28:E$48,基础状态预期!V144)))</f>
        <v>0</v>
      </c>
      <c r="Q132" s="29">
        <f>IF(基础状态预期!W144="",0,MIN(求节点($C$16:$C$24,F$16:F$24,基础状态预期!M144),求节点($C$28:$C$48,F$28:F$48,基础状态预期!W144)))</f>
        <v>0</v>
      </c>
      <c r="R132" s="29">
        <f>IF(基础状态预期!X144="",0,MIN(求节点($C$16:$C$24,G$16:G$24,基础状态预期!N144),求节点($C$28:$C$48,G$28:G$48,基础状态预期!X144)))</f>
        <v>0</v>
      </c>
      <c r="S132" s="29">
        <f>IF(基础状态预期!Y144="",0,MIN(求节点($C$16:$C$24,H$16:H$24,基础状态预期!O144),求节点($C$28:$C$48,H$28:H$48,基础状态预期!Y144)))</f>
        <v>0.45</v>
      </c>
      <c r="T132" s="29">
        <f>MAX(SUMPRODUCT(O132:S132,基础状态预期!$F144:$J144)/SUM(基础状态预期!$F144:$J144),T131)</f>
        <v>0.45</v>
      </c>
      <c r="V132" s="17">
        <v>128</v>
      </c>
      <c r="W132" s="17">
        <f t="shared" si="21"/>
        <v>0.45</v>
      </c>
      <c r="X132" s="17">
        <f t="shared" si="22"/>
        <v>0.45</v>
      </c>
      <c r="Y132" s="17">
        <f t="shared" si="23"/>
        <v>0.45</v>
      </c>
      <c r="Z132" s="17">
        <f t="shared" si="24"/>
        <v>0.45</v>
      </c>
      <c r="AA132" s="17">
        <f t="shared" si="25"/>
        <v>0.45</v>
      </c>
      <c r="AO132" s="29">
        <f t="shared" si="30"/>
        <v>154.20294442048996</v>
      </c>
      <c r="AP132" s="14">
        <f>MAX(求节点($C$74:$C$79,D$74:D$79,求节点($C$4:$C$12,D$4:D$12,基础状态预期!K144)),AP131)</f>
        <v>0</v>
      </c>
      <c r="AQ132" s="14">
        <f>MAX(求节点($C$74:$C$79,E$74:E$79,求节点($C$4:$C$12,E$4:E$12,基础状态预期!L144)),AQ131)</f>
        <v>0</v>
      </c>
      <c r="AR132" s="14">
        <f>MAX(求节点($C$74:$C$79,F$74:F$79,求节点($C$4:$C$12,F$4:F$12,基础状态预期!M144)),AR131)</f>
        <v>0</v>
      </c>
      <c r="AS132" s="14">
        <f>MAX(求节点($C$74:$C$79,G$74:G$79,求节点($C$4:$C$12,G$4:G$12,基础状态预期!N144)),AS131)</f>
        <v>1</v>
      </c>
      <c r="AT132" s="14">
        <f>MAX(求节点($C$74:$C$79,H$74:H$79,求节点($C$4:$C$12,H$4:H$12,基础状态预期!O144)),AT131)</f>
        <v>2</v>
      </c>
      <c r="AU132" s="14">
        <f>MAX(求节点($C$81:$C$86,D$81:D$86,求节点($C$4:$C$12,D$4:D$12,基础状态预期!K144)),AU131)</f>
        <v>0</v>
      </c>
      <c r="AV132" s="14">
        <f>MAX(求节点($C$81:$C$86,E$81:E$86,求节点($C$4:$C$12,E$4:E$12,基础状态预期!L144)),AV131)</f>
        <v>0</v>
      </c>
      <c r="AW132" s="14">
        <f>MAX(求节点($C$81:$C$86,F$81:F$86,求节点($C$4:$C$12,F$4:F$12,基础状态预期!M144)),AW131)</f>
        <v>0</v>
      </c>
      <c r="AX132" s="14">
        <f>MAX(求节点($C$81:$C$86,G$81:G$86,求节点($C$4:$C$12,G$4:G$12,基础状态预期!N144)),AX131)</f>
        <v>0</v>
      </c>
      <c r="AY132" s="14">
        <f>MAX(求节点($C$81:$C$86,H$81:H$86,求节点($C$4:$C$12,H$4:H$12,基础状态预期!O144)),AY131)</f>
        <v>4</v>
      </c>
      <c r="AZ132" s="14">
        <f>MAX(求节点($C$88:$C$93,D$88:D$93,求节点($C$4:$C$12,D$4:D$12,基础状态预期!K144)),AZ131)</f>
        <v>0</v>
      </c>
      <c r="BA132" s="14">
        <f>MAX(求节点($C$88:$C$93,E$88:E$93,求节点($C$4:$C$12,E$4:E$12,基础状态预期!L144)),BA131)</f>
        <v>0</v>
      </c>
      <c r="BB132" s="14">
        <f>MAX(求节点($C$88:$C$93,F$88:F$93,求节点($C$4:$C$12,F$4:F$12,基础状态预期!M144)),BB131)</f>
        <v>0</v>
      </c>
      <c r="BC132" s="14">
        <f>MAX(求节点($C$88:$C$93,G$88:G$93,求节点($C$4:$C$12,G$4:G$12,基础状态预期!N144)),BC131)</f>
        <v>0</v>
      </c>
      <c r="BD132" s="14">
        <f>MAX(求节点($C$88:$C$93,H$88:H$93,求节点($C$4:$C$12,H$4:H$12,基础状态预期!O144)),BD131)</f>
        <v>48</v>
      </c>
      <c r="BE132" s="14">
        <f t="shared" si="27"/>
        <v>395000</v>
      </c>
      <c r="BM132" s="17">
        <f>求节点($C$4:$C$12,D$4:D$12,基础状态预期!K144)</f>
        <v>0</v>
      </c>
      <c r="BN132" s="17">
        <f>求节点($C$4:$C$12,E$4:E$12,基础状态预期!L144)</f>
        <v>0</v>
      </c>
      <c r="BO132" s="17">
        <f>求节点($C$4:$C$12,F$4:F$12,基础状态预期!M144)</f>
        <v>0</v>
      </c>
      <c r="BP132" s="17">
        <f>求节点($C$4:$C$12,G$4:G$12,基础状态预期!N144)</f>
        <v>0</v>
      </c>
      <c r="BQ132" s="17">
        <f>求节点($C$4:$C$12,H$4:H$12,基础状态预期!O144)</f>
        <v>5</v>
      </c>
    </row>
    <row r="133" spans="13:69" x14ac:dyDescent="0.15">
      <c r="M133" s="16">
        <v>42</v>
      </c>
      <c r="N133" s="29">
        <f>基础状态预期!D145</f>
        <v>155.2512378743358</v>
      </c>
      <c r="O133" s="29">
        <f>IF(基础状态预期!U145="",0,MIN(求节点($C$16:$C$24,D$16:D$24,基础状态预期!K145),求节点($C$28:$C$48,D$28:D$48,基础状态预期!U145)))</f>
        <v>0</v>
      </c>
      <c r="P133" s="29">
        <f>IF(基础状态预期!V145="",0,MIN(求节点($C$16:$C$24,E$16:E$24,基础状态预期!L145),求节点($C$28:$C$48,E$28:E$48,基础状态预期!V145)))</f>
        <v>0</v>
      </c>
      <c r="Q133" s="29">
        <f>IF(基础状态预期!W145="",0,MIN(求节点($C$16:$C$24,F$16:F$24,基础状态预期!M145),求节点($C$28:$C$48,F$28:F$48,基础状态预期!W145)))</f>
        <v>0</v>
      </c>
      <c r="R133" s="29">
        <f>IF(基础状态预期!X145="",0,MIN(求节点($C$16:$C$24,G$16:G$24,基础状态预期!N145),求节点($C$28:$C$48,G$28:G$48,基础状态预期!X145)))</f>
        <v>0</v>
      </c>
      <c r="S133" s="29">
        <f>IF(基础状态预期!Y145="",0,MIN(求节点($C$16:$C$24,H$16:H$24,基础状态预期!O145),求节点($C$28:$C$48,H$28:H$48,基础状态预期!Y145)))</f>
        <v>0.45</v>
      </c>
      <c r="T133" s="29">
        <f>MAX(SUMPRODUCT(O133:S133,基础状态预期!$F145:$J145)/SUM(基础状态预期!$F145:$J145),T132)</f>
        <v>0.45</v>
      </c>
      <c r="V133" s="17">
        <v>129</v>
      </c>
      <c r="W133" s="17">
        <f t="shared" si="21"/>
        <v>0.45</v>
      </c>
      <c r="X133" s="17">
        <f t="shared" si="22"/>
        <v>0.45</v>
      </c>
      <c r="Y133" s="17">
        <f t="shared" si="23"/>
        <v>0.45</v>
      </c>
      <c r="Z133" s="17">
        <f t="shared" si="24"/>
        <v>0.45</v>
      </c>
      <c r="AA133" s="17">
        <f t="shared" si="25"/>
        <v>0.45</v>
      </c>
      <c r="AO133" s="29">
        <f t="shared" si="30"/>
        <v>155.2512378743358</v>
      </c>
      <c r="AP133" s="14">
        <f>MAX(求节点($C$74:$C$79,D$74:D$79,求节点($C$4:$C$12,D$4:D$12,基础状态预期!K145)),AP132)</f>
        <v>0</v>
      </c>
      <c r="AQ133" s="14">
        <f>MAX(求节点($C$74:$C$79,E$74:E$79,求节点($C$4:$C$12,E$4:E$12,基础状态预期!L145)),AQ132)</f>
        <v>0</v>
      </c>
      <c r="AR133" s="14">
        <f>MAX(求节点($C$74:$C$79,F$74:F$79,求节点($C$4:$C$12,F$4:F$12,基础状态预期!M145)),AR132)</f>
        <v>0</v>
      </c>
      <c r="AS133" s="14">
        <f>MAX(求节点($C$74:$C$79,G$74:G$79,求节点($C$4:$C$12,G$4:G$12,基础状态预期!N145)),AS132)</f>
        <v>1</v>
      </c>
      <c r="AT133" s="14">
        <f>MAX(求节点($C$74:$C$79,H$74:H$79,求节点($C$4:$C$12,H$4:H$12,基础状态预期!O145)),AT132)</f>
        <v>2</v>
      </c>
      <c r="AU133" s="14">
        <f>MAX(求节点($C$81:$C$86,D$81:D$86,求节点($C$4:$C$12,D$4:D$12,基础状态预期!K145)),AU132)</f>
        <v>0</v>
      </c>
      <c r="AV133" s="14">
        <f>MAX(求节点($C$81:$C$86,E$81:E$86,求节点($C$4:$C$12,E$4:E$12,基础状态预期!L145)),AV132)</f>
        <v>0</v>
      </c>
      <c r="AW133" s="14">
        <f>MAX(求节点($C$81:$C$86,F$81:F$86,求节点($C$4:$C$12,F$4:F$12,基础状态预期!M145)),AW132)</f>
        <v>0</v>
      </c>
      <c r="AX133" s="14">
        <f>MAX(求节点($C$81:$C$86,G$81:G$86,求节点($C$4:$C$12,G$4:G$12,基础状态预期!N145)),AX132)</f>
        <v>0</v>
      </c>
      <c r="AY133" s="14">
        <f>MAX(求节点($C$81:$C$86,H$81:H$86,求节点($C$4:$C$12,H$4:H$12,基础状态预期!O145)),AY132)</f>
        <v>4</v>
      </c>
      <c r="AZ133" s="14">
        <f>MAX(求节点($C$88:$C$93,D$88:D$93,求节点($C$4:$C$12,D$4:D$12,基础状态预期!K145)),AZ132)</f>
        <v>0</v>
      </c>
      <c r="BA133" s="14">
        <f>MAX(求节点($C$88:$C$93,E$88:E$93,求节点($C$4:$C$12,E$4:E$12,基础状态预期!L145)),BA132)</f>
        <v>0</v>
      </c>
      <c r="BB133" s="14">
        <f>MAX(求节点($C$88:$C$93,F$88:F$93,求节点($C$4:$C$12,F$4:F$12,基础状态预期!M145)),BB132)</f>
        <v>0</v>
      </c>
      <c r="BC133" s="14">
        <f>MAX(求节点($C$88:$C$93,G$88:G$93,求节点($C$4:$C$12,G$4:G$12,基础状态预期!N145)),BC132)</f>
        <v>0</v>
      </c>
      <c r="BD133" s="14">
        <f>MAX(求节点($C$88:$C$93,H$88:H$93,求节点($C$4:$C$12,H$4:H$12,基础状态预期!O145)),BD132)</f>
        <v>48</v>
      </c>
      <c r="BE133" s="14">
        <f t="shared" si="27"/>
        <v>395000</v>
      </c>
      <c r="BM133" s="17">
        <f>求节点($C$4:$C$12,D$4:D$12,基础状态预期!K145)</f>
        <v>0</v>
      </c>
      <c r="BN133" s="17">
        <f>求节点($C$4:$C$12,E$4:E$12,基础状态预期!L145)</f>
        <v>0</v>
      </c>
      <c r="BO133" s="17">
        <f>求节点($C$4:$C$12,F$4:F$12,基础状态预期!M145)</f>
        <v>0</v>
      </c>
      <c r="BP133" s="17">
        <f>求节点($C$4:$C$12,G$4:G$12,基础状态预期!N145)</f>
        <v>0</v>
      </c>
      <c r="BQ133" s="17">
        <f>求节点($C$4:$C$12,H$4:H$12,基础状态预期!O145)</f>
        <v>5</v>
      </c>
    </row>
    <row r="134" spans="13:69" x14ac:dyDescent="0.15">
      <c r="M134" s="16">
        <v>43</v>
      </c>
      <c r="V134" s="17">
        <v>130</v>
      </c>
      <c r="W134" s="17">
        <f t="shared" ref="W134:W164" si="34">求节点($N$5:$N$43,$T$5:$T$43,$V134)</f>
        <v>0.45</v>
      </c>
      <c r="X134" s="17">
        <f t="shared" ref="X134:X164" si="35">求节点($N$50:$N$88,$T$50:$T$88,$V134)</f>
        <v>0.45</v>
      </c>
      <c r="Y134" s="17">
        <f t="shared" ref="Y134:Y164" si="36">求节点($N$95:$N$133,$T$95:$T$133,$V134)</f>
        <v>0.45</v>
      </c>
      <c r="Z134" s="17">
        <f t="shared" ref="Z134:Z164" si="37">求节点($N$140:$N$178,$T$140:$T$178,$V134)</f>
        <v>0.45</v>
      </c>
      <c r="AA134" s="17">
        <f t="shared" ref="AA134:AA164" si="38">求节点($N$185:$N$223,$T$185:$T$223,$V134)</f>
        <v>0.45</v>
      </c>
    </row>
    <row r="135" spans="13:69" x14ac:dyDescent="0.15">
      <c r="M135" s="16">
        <v>44</v>
      </c>
      <c r="V135" s="17">
        <v>131</v>
      </c>
      <c r="W135" s="17">
        <f t="shared" si="34"/>
        <v>0.45</v>
      </c>
      <c r="X135" s="17">
        <f t="shared" si="35"/>
        <v>0.45</v>
      </c>
      <c r="Y135" s="17">
        <f t="shared" si="36"/>
        <v>0.45</v>
      </c>
      <c r="Z135" s="17">
        <f t="shared" si="37"/>
        <v>0.45</v>
      </c>
      <c r="AA135" s="17">
        <f t="shared" si="38"/>
        <v>0.45</v>
      </c>
    </row>
    <row r="136" spans="13:69" x14ac:dyDescent="0.15">
      <c r="M136" s="16">
        <v>45</v>
      </c>
      <c r="V136" s="17">
        <v>132</v>
      </c>
      <c r="W136" s="17">
        <f t="shared" si="34"/>
        <v>0.45</v>
      </c>
      <c r="X136" s="17">
        <f t="shared" si="35"/>
        <v>0.45</v>
      </c>
      <c r="Y136" s="17">
        <f t="shared" si="36"/>
        <v>0.45</v>
      </c>
      <c r="Z136" s="17">
        <f t="shared" si="37"/>
        <v>0.45</v>
      </c>
      <c r="AA136" s="17">
        <f t="shared" si="38"/>
        <v>0.45</v>
      </c>
    </row>
    <row r="137" spans="13:69" x14ac:dyDescent="0.15">
      <c r="M137" s="16">
        <v>1</v>
      </c>
      <c r="V137" s="17">
        <v>133</v>
      </c>
      <c r="W137" s="17">
        <f t="shared" si="34"/>
        <v>0.45</v>
      </c>
      <c r="X137" s="17">
        <f t="shared" si="35"/>
        <v>0.45</v>
      </c>
      <c r="Y137" s="17">
        <f t="shared" si="36"/>
        <v>0.45</v>
      </c>
      <c r="Z137" s="17">
        <f t="shared" si="37"/>
        <v>0.45</v>
      </c>
      <c r="AA137" s="17">
        <f t="shared" si="38"/>
        <v>0.45</v>
      </c>
    </row>
    <row r="138" spans="13:69" x14ac:dyDescent="0.15">
      <c r="M138" s="16">
        <v>2</v>
      </c>
      <c r="N138" s="14" t="s">
        <v>78</v>
      </c>
      <c r="O138" s="161" t="s">
        <v>197</v>
      </c>
      <c r="P138" s="162"/>
      <c r="Q138" s="162"/>
      <c r="R138" s="162"/>
      <c r="S138" s="162"/>
      <c r="T138" s="163"/>
      <c r="V138" s="17">
        <v>134</v>
      </c>
      <c r="W138" s="17">
        <f t="shared" si="34"/>
        <v>0.45</v>
      </c>
      <c r="X138" s="17">
        <f t="shared" si="35"/>
        <v>0.45</v>
      </c>
      <c r="Y138" s="17">
        <f t="shared" si="36"/>
        <v>0.45</v>
      </c>
      <c r="Z138" s="17">
        <f t="shared" si="37"/>
        <v>0.45</v>
      </c>
      <c r="AA138" s="17">
        <f t="shared" si="38"/>
        <v>0.45</v>
      </c>
      <c r="AE138" s="29" t="s">
        <v>78</v>
      </c>
      <c r="AF138" s="14" t="s">
        <v>55</v>
      </c>
      <c r="AG138" s="14"/>
      <c r="AH138" s="160" t="s">
        <v>342</v>
      </c>
      <c r="AI138" s="160"/>
      <c r="AJ138" s="160"/>
      <c r="AO138" s="14" t="s">
        <v>78</v>
      </c>
      <c r="AP138" s="165" t="s">
        <v>677</v>
      </c>
      <c r="AQ138" s="172"/>
      <c r="AR138" s="172"/>
      <c r="AS138" s="172"/>
      <c r="AT138" s="166"/>
      <c r="AU138" s="165" t="s">
        <v>678</v>
      </c>
      <c r="AV138" s="172"/>
      <c r="AW138" s="172"/>
      <c r="AX138" s="172"/>
      <c r="AY138" s="166"/>
      <c r="AZ138" s="165" t="s">
        <v>679</v>
      </c>
      <c r="BA138" s="172"/>
      <c r="BB138" s="172"/>
      <c r="BC138" s="172"/>
      <c r="BD138" s="166"/>
      <c r="BE138" s="185" t="s">
        <v>673</v>
      </c>
      <c r="BH138" s="29" t="s">
        <v>78</v>
      </c>
      <c r="BI138" s="164" t="s">
        <v>332</v>
      </c>
      <c r="BJ138" s="164"/>
      <c r="BK138" s="164"/>
    </row>
    <row r="139" spans="13:69" x14ac:dyDescent="0.15">
      <c r="M139" s="16">
        <v>3</v>
      </c>
      <c r="N139" s="29" t="s">
        <v>478</v>
      </c>
      <c r="O139" s="29" t="s">
        <v>3</v>
      </c>
      <c r="P139" s="29" t="s">
        <v>1</v>
      </c>
      <c r="Q139" s="29" t="s">
        <v>2</v>
      </c>
      <c r="R139" s="29" t="s">
        <v>0</v>
      </c>
      <c r="S139" s="29" t="s">
        <v>545</v>
      </c>
      <c r="T139" s="29" t="s">
        <v>228</v>
      </c>
      <c r="V139" s="17">
        <v>135</v>
      </c>
      <c r="W139" s="17">
        <f t="shared" si="34"/>
        <v>0.45</v>
      </c>
      <c r="X139" s="17">
        <f t="shared" si="35"/>
        <v>0.45</v>
      </c>
      <c r="Y139" s="17">
        <f t="shared" si="36"/>
        <v>0.45</v>
      </c>
      <c r="Z139" s="17">
        <f t="shared" si="37"/>
        <v>0.45</v>
      </c>
      <c r="AA139" s="17">
        <f t="shared" si="38"/>
        <v>0.45</v>
      </c>
      <c r="AE139" s="29" t="s">
        <v>478</v>
      </c>
      <c r="AF139" s="29"/>
      <c r="AG139" s="29" t="s">
        <v>197</v>
      </c>
      <c r="AH139" s="29"/>
      <c r="AI139" s="29" t="s">
        <v>197</v>
      </c>
      <c r="AJ139" s="14" t="s">
        <v>343</v>
      </c>
      <c r="AO139" s="29" t="s">
        <v>478</v>
      </c>
      <c r="AP139" s="29" t="s">
        <v>3</v>
      </c>
      <c r="AQ139" s="29" t="s">
        <v>80</v>
      </c>
      <c r="AR139" s="29" t="s">
        <v>81</v>
      </c>
      <c r="AS139" s="29" t="s">
        <v>82</v>
      </c>
      <c r="AT139" s="29" t="s">
        <v>545</v>
      </c>
      <c r="AU139" s="29" t="s">
        <v>3</v>
      </c>
      <c r="AV139" s="29" t="s">
        <v>80</v>
      </c>
      <c r="AW139" s="29" t="s">
        <v>81</v>
      </c>
      <c r="AX139" s="29" t="s">
        <v>82</v>
      </c>
      <c r="AY139" s="29" t="s">
        <v>545</v>
      </c>
      <c r="AZ139" s="29" t="s">
        <v>3</v>
      </c>
      <c r="BA139" s="29" t="s">
        <v>80</v>
      </c>
      <c r="BB139" s="29" t="s">
        <v>81</v>
      </c>
      <c r="BC139" s="29" t="s">
        <v>82</v>
      </c>
      <c r="BD139" s="29" t="s">
        <v>545</v>
      </c>
      <c r="BE139" s="186"/>
      <c r="BH139" s="29" t="s">
        <v>478</v>
      </c>
      <c r="BI139" s="29" t="s">
        <v>675</v>
      </c>
      <c r="BJ139" s="29"/>
      <c r="BK139" s="29" t="s">
        <v>203</v>
      </c>
    </row>
    <row r="140" spans="13:69" x14ac:dyDescent="0.15">
      <c r="M140" s="16">
        <v>4</v>
      </c>
      <c r="N140" s="29">
        <f>基础状态预期!D152</f>
        <v>10.00263241450434</v>
      </c>
      <c r="O140" s="29">
        <f>IF(基础状态预期!U152="",0,MIN(求节点($C$16:$C$24,D$16:D$24,基础状态预期!K152),求节点($C$28:$C$48,D$28:D$48,基础状态预期!U152)))</f>
        <v>0</v>
      </c>
      <c r="P140" s="29">
        <f>IF(基础状态预期!V152="",0,MIN(求节点($C$16:$C$24,E$16:E$24,基础状态预期!L152),求节点($C$28:$C$48,E$28:E$48,基础状态预期!V152)))</f>
        <v>0</v>
      </c>
      <c r="Q140" s="29">
        <f>IF(基础状态预期!W152="",0,MIN(求节点($C$16:$C$24,F$16:F$24,基础状态预期!M152),求节点($C$28:$C$48,F$28:F$48,基础状态预期!W152)))</f>
        <v>0</v>
      </c>
      <c r="R140" s="29">
        <f>IF(基础状态预期!X152="",0,MIN(求节点($C$16:$C$24,G$16:G$24,基础状态预期!N152),求节点($C$28:$C$48,G$28:G$48,基础状态预期!X152)))</f>
        <v>0</v>
      </c>
      <c r="S140" s="29">
        <f>IF(基础状态预期!Y152="",0,MIN(求节点($C$16:$C$24,H$16:H$24,基础状态预期!O152),求节点($C$28:$C$48,H$28:H$48,基础状态预期!Y152)))</f>
        <v>0</v>
      </c>
      <c r="T140" s="29">
        <f>MAX(SUMPRODUCT(O140:S140,基础状态预期!$F152:$J152)/SUM(基础状态预期!$F152:$J152),T139)</f>
        <v>0</v>
      </c>
      <c r="V140" s="17">
        <v>136</v>
      </c>
      <c r="W140" s="17">
        <f t="shared" si="34"/>
        <v>0.45</v>
      </c>
      <c r="X140" s="17">
        <f t="shared" si="35"/>
        <v>0.45</v>
      </c>
      <c r="Y140" s="17">
        <f t="shared" si="36"/>
        <v>0.45</v>
      </c>
      <c r="Z140" s="17">
        <f t="shared" si="37"/>
        <v>0.45</v>
      </c>
      <c r="AA140" s="17">
        <f t="shared" si="38"/>
        <v>0.45</v>
      </c>
      <c r="AE140" s="29">
        <v>10</v>
      </c>
      <c r="AF140" s="29"/>
      <c r="AG140" s="29">
        <f>求节点($N$140:$N$178,$T$140:$T$178,$AE140)</f>
        <v>0</v>
      </c>
      <c r="AH140" s="29"/>
      <c r="AI140" s="41">
        <f>AG140*INDEX([2]大r将兵属性验证!$AX$7:$AX$166,$AE140,1)</f>
        <v>0</v>
      </c>
      <c r="AJ140" s="14">
        <f t="shared" ref="AJ140:AJ141" si="39">SUM(AH140:AI140)</f>
        <v>0</v>
      </c>
      <c r="AO140" s="29">
        <f>$N140</f>
        <v>10.00263241450434</v>
      </c>
      <c r="AP140" s="14">
        <f>MAX(求节点($C$74:$C$79,D$74:D$79,求节点($C$4:$C$12,D$4:D$12,基础状态预期!K152)),AP139)</f>
        <v>0</v>
      </c>
      <c r="AQ140" s="14">
        <f>MAX(求节点($C$74:$C$79,E$74:E$79,求节点($C$4:$C$12,E$4:E$12,基础状态预期!L152)),AQ139)</f>
        <v>0</v>
      </c>
      <c r="AR140" s="14">
        <f>MAX(求节点($C$74:$C$79,F$74:F$79,求节点($C$4:$C$12,F$4:F$12,基础状态预期!M152)),AR139)</f>
        <v>0</v>
      </c>
      <c r="AS140" s="14">
        <f>MAX(求节点($C$74:$C$79,G$74:G$79,求节点($C$4:$C$12,G$4:G$12,基础状态预期!N152)),AS139)</f>
        <v>0</v>
      </c>
      <c r="AT140" s="14">
        <f>MAX(求节点($C$74:$C$79,H$74:H$79,求节点($C$4:$C$12,H$4:H$12,基础状态预期!O152)),AT139)</f>
        <v>0</v>
      </c>
      <c r="AU140" s="14">
        <f>MAX(求节点($C$81:$C$86,D$81:D$86,求节点($C$4:$C$12,D$4:D$12,基础状态预期!K152)),AU139)</f>
        <v>0</v>
      </c>
      <c r="AV140" s="14">
        <f>MAX(求节点($C$81:$C$86,E$81:E$86,求节点($C$4:$C$12,E$4:E$12,基础状态预期!L152)),AV139)</f>
        <v>0</v>
      </c>
      <c r="AW140" s="14">
        <f>MAX(求节点($C$81:$C$86,F$81:F$86,求节点($C$4:$C$12,F$4:F$12,基础状态预期!M152)),AW139)</f>
        <v>0</v>
      </c>
      <c r="AX140" s="14">
        <f>MAX(求节点($C$81:$C$86,G$81:G$86,求节点($C$4:$C$12,G$4:G$12,基础状态预期!N152)),AX139)</f>
        <v>0</v>
      </c>
      <c r="AY140" s="14">
        <f>MAX(求节点($C$81:$C$86,H$81:H$86,求节点($C$4:$C$12,H$4:H$12,基础状态预期!O152)),AY139)</f>
        <v>0</v>
      </c>
      <c r="AZ140" s="14">
        <f>MAX(求节点($C$88:$C$93,D$88:D$93,求节点($C$4:$C$12,D$4:D$12,基础状态预期!K152)),AZ139)</f>
        <v>0</v>
      </c>
      <c r="BA140" s="14">
        <f>MAX(求节点($C$88:$C$93,E$88:E$93,求节点($C$4:$C$12,E$4:E$12,基础状态预期!L152)),BA139)</f>
        <v>0</v>
      </c>
      <c r="BB140" s="14">
        <f>MAX(求节点($C$88:$C$93,F$88:F$93,求节点($C$4:$C$12,F$4:F$12,基础状态预期!M152)),BB139)</f>
        <v>0</v>
      </c>
      <c r="BC140" s="14">
        <f>MAX(求节点($C$88:$C$93,G$88:G$93,求节点($C$4:$C$12,G$4:G$12,基础状态预期!N152)),BC139)</f>
        <v>0</v>
      </c>
      <c r="BD140" s="14">
        <f>MAX(求节点($C$88:$C$93,H$88:H$93,求节点($C$4:$C$12,H$4:H$12,基础状态预期!O152)),BD139)</f>
        <v>0</v>
      </c>
      <c r="BE140" s="14">
        <f t="shared" ref="BE140:BE178" si="40">SUM(AP140:AT140)*$D$97+
SUM(AU140:AY140)*$D$98+
SUM(AZ140:BD140)*$D$99</f>
        <v>0</v>
      </c>
      <c r="BH140" s="29">
        <v>10</v>
      </c>
      <c r="BI140" s="29">
        <f t="shared" ref="BI140:BI155" si="41">求节点($AO$140:$AO$178,$BE$140:$BE$178,$BH140)</f>
        <v>0</v>
      </c>
      <c r="BJ140" s="29"/>
      <c r="BK140" s="29">
        <f>SUM(BI140:BJ140)</f>
        <v>0</v>
      </c>
    </row>
    <row r="141" spans="13:69" x14ac:dyDescent="0.15">
      <c r="M141" s="16">
        <v>5</v>
      </c>
      <c r="N141" s="29">
        <f>基础状态预期!D153</f>
        <v>19.43005414991557</v>
      </c>
      <c r="O141" s="29">
        <f>IF(基础状态预期!U153="",0,MIN(求节点($C$16:$C$24,D$16:D$24,基础状态预期!K153),求节点($C$28:$C$48,D$28:D$48,基础状态预期!U153)))</f>
        <v>0</v>
      </c>
      <c r="P141" s="29">
        <f>IF(基础状态预期!V153="",0,MIN(求节点($C$16:$C$24,E$16:E$24,基础状态预期!L153),求节点($C$28:$C$48,E$28:E$48,基础状态预期!V153)))</f>
        <v>0</v>
      </c>
      <c r="Q141" s="29">
        <f>IF(基础状态预期!W153="",0,MIN(求节点($C$16:$C$24,F$16:F$24,基础状态预期!M153),求节点($C$28:$C$48,F$28:F$48,基础状态预期!W153)))</f>
        <v>0</v>
      </c>
      <c r="R141" s="29">
        <f>IF(基础状态预期!X153="",0,MIN(求节点($C$16:$C$24,G$16:G$24,基础状态预期!N153),求节点($C$28:$C$48,G$28:G$48,基础状态预期!X153)))</f>
        <v>0</v>
      </c>
      <c r="S141" s="29">
        <f>IF(基础状态预期!Y153="",0,MIN(求节点($C$16:$C$24,H$16:H$24,基础状态预期!O153),求节点($C$28:$C$48,H$28:H$48,基础状态预期!Y153)))</f>
        <v>0</v>
      </c>
      <c r="T141" s="29">
        <f>MAX(SUMPRODUCT(O141:S141,基础状态预期!$F153:$J153)/SUM(基础状态预期!$F153:$J153),T140)</f>
        <v>0</v>
      </c>
      <c r="V141" s="17">
        <v>137</v>
      </c>
      <c r="W141" s="17">
        <f t="shared" si="34"/>
        <v>0.45</v>
      </c>
      <c r="X141" s="17">
        <f t="shared" si="35"/>
        <v>0.45</v>
      </c>
      <c r="Y141" s="17">
        <f t="shared" si="36"/>
        <v>0.45</v>
      </c>
      <c r="Z141" s="17">
        <f t="shared" si="37"/>
        <v>0.45</v>
      </c>
      <c r="AA141" s="17">
        <f t="shared" si="38"/>
        <v>0.45</v>
      </c>
      <c r="AE141" s="29">
        <v>20</v>
      </c>
      <c r="AF141" s="29"/>
      <c r="AG141" s="29">
        <f t="shared" ref="AG141:AG155" si="42">求节点($N$140:$N$178,$T$140:$T$178,$AE141)</f>
        <v>0</v>
      </c>
      <c r="AH141" s="29"/>
      <c r="AI141" s="29">
        <f>(AG141-AG140)*INDEX([2]大r将兵属性验证!$AX$7:$AX$166,$AE141,1)+AI140</f>
        <v>0</v>
      </c>
      <c r="AJ141" s="14">
        <f t="shared" si="39"/>
        <v>0</v>
      </c>
      <c r="AO141" s="29">
        <f t="shared" ref="AO141:AO178" si="43">$N141</f>
        <v>19.43005414991557</v>
      </c>
      <c r="AP141" s="14">
        <f>MAX(求节点($C$74:$C$79,D$74:D$79,求节点($C$4:$C$12,D$4:D$12,基础状态预期!K153)),AP140)</f>
        <v>0</v>
      </c>
      <c r="AQ141" s="14">
        <f>MAX(求节点($C$74:$C$79,E$74:E$79,求节点($C$4:$C$12,E$4:E$12,基础状态预期!L153)),AQ140)</f>
        <v>0</v>
      </c>
      <c r="AR141" s="14">
        <f>MAX(求节点($C$74:$C$79,F$74:F$79,求节点($C$4:$C$12,F$4:F$12,基础状态预期!M153)),AR140)</f>
        <v>0</v>
      </c>
      <c r="AS141" s="14">
        <f>MAX(求节点($C$74:$C$79,G$74:G$79,求节点($C$4:$C$12,G$4:G$12,基础状态预期!N153)),AS140)</f>
        <v>0</v>
      </c>
      <c r="AT141" s="14">
        <f>MAX(求节点($C$74:$C$79,H$74:H$79,求节点($C$4:$C$12,H$4:H$12,基础状态预期!O153)),AT140)</f>
        <v>0</v>
      </c>
      <c r="AU141" s="14">
        <f>MAX(求节点($C$81:$C$86,D$81:D$86,求节点($C$4:$C$12,D$4:D$12,基础状态预期!K153)),AU140)</f>
        <v>0</v>
      </c>
      <c r="AV141" s="14">
        <f>MAX(求节点($C$81:$C$86,E$81:E$86,求节点($C$4:$C$12,E$4:E$12,基础状态预期!L153)),AV140)</f>
        <v>0</v>
      </c>
      <c r="AW141" s="14">
        <f>MAX(求节点($C$81:$C$86,F$81:F$86,求节点($C$4:$C$12,F$4:F$12,基础状态预期!M153)),AW140)</f>
        <v>0</v>
      </c>
      <c r="AX141" s="14">
        <f>MAX(求节点($C$81:$C$86,G$81:G$86,求节点($C$4:$C$12,G$4:G$12,基础状态预期!N153)),AX140)</f>
        <v>0</v>
      </c>
      <c r="AY141" s="14">
        <f>MAX(求节点($C$81:$C$86,H$81:H$86,求节点($C$4:$C$12,H$4:H$12,基础状态预期!O153)),AY140)</f>
        <v>0</v>
      </c>
      <c r="AZ141" s="14">
        <f>MAX(求节点($C$88:$C$93,D$88:D$93,求节点($C$4:$C$12,D$4:D$12,基础状态预期!K153)),AZ140)</f>
        <v>0</v>
      </c>
      <c r="BA141" s="14">
        <f>MAX(求节点($C$88:$C$93,E$88:E$93,求节点($C$4:$C$12,E$4:E$12,基础状态预期!L153)),BA140)</f>
        <v>0</v>
      </c>
      <c r="BB141" s="14">
        <f>MAX(求节点($C$88:$C$93,F$88:F$93,求节点($C$4:$C$12,F$4:F$12,基础状态预期!M153)),BB140)</f>
        <v>0</v>
      </c>
      <c r="BC141" s="14">
        <f>MAX(求节点($C$88:$C$93,G$88:G$93,求节点($C$4:$C$12,G$4:G$12,基础状态预期!N153)),BC140)</f>
        <v>0</v>
      </c>
      <c r="BD141" s="14">
        <f>MAX(求节点($C$88:$C$93,H$88:H$93,求节点($C$4:$C$12,H$4:H$12,基础状态预期!O153)),BD140)</f>
        <v>0</v>
      </c>
      <c r="BE141" s="14">
        <f t="shared" si="40"/>
        <v>0</v>
      </c>
      <c r="BH141" s="29">
        <v>20</v>
      </c>
      <c r="BI141" s="29">
        <f t="shared" si="41"/>
        <v>0</v>
      </c>
      <c r="BJ141" s="29"/>
      <c r="BK141" s="29">
        <f t="shared" ref="BK141:BK149" si="44">SUM(BI141:BJ141)</f>
        <v>0</v>
      </c>
    </row>
    <row r="142" spans="13:69" x14ac:dyDescent="0.15">
      <c r="M142" s="16">
        <v>6</v>
      </c>
      <c r="N142" s="29">
        <f>基础状态预期!D154</f>
        <v>27.324610510337703</v>
      </c>
      <c r="O142" s="29">
        <f>IF(基础状态预期!U154="",0,MIN(求节点($C$16:$C$24,D$16:D$24,基础状态预期!K154),求节点($C$28:$C$48,D$28:D$48,基础状态预期!U154)))</f>
        <v>0</v>
      </c>
      <c r="P142" s="29">
        <f>IF(基础状态预期!V154="",0,MIN(求节点($C$16:$C$24,E$16:E$24,基础状态预期!L154),求节点($C$28:$C$48,E$28:E$48,基础状态预期!V154)))</f>
        <v>0</v>
      </c>
      <c r="Q142" s="29">
        <f>IF(基础状态预期!W154="",0,MIN(求节点($C$16:$C$24,F$16:F$24,基础状态预期!M154),求节点($C$28:$C$48,F$28:F$48,基础状态预期!W154)))</f>
        <v>0</v>
      </c>
      <c r="R142" s="29">
        <f>IF(基础状态预期!X154="",0,MIN(求节点($C$16:$C$24,G$16:G$24,基础状态预期!N154),求节点($C$28:$C$48,G$28:G$48,基础状态预期!X154)))</f>
        <v>0</v>
      </c>
      <c r="S142" s="29">
        <f>IF(基础状态预期!Y154="",0,MIN(求节点($C$16:$C$24,H$16:H$24,基础状态预期!O154),求节点($C$28:$C$48,H$28:H$48,基础状态预期!Y154)))</f>
        <v>0</v>
      </c>
      <c r="T142" s="29">
        <f>MAX(SUMPRODUCT(O142:S142,基础状态预期!$F154:$J154)/SUM(基础状态预期!$F154:$J154),T141)</f>
        <v>0</v>
      </c>
      <c r="V142" s="17">
        <v>138</v>
      </c>
      <c r="W142" s="17">
        <f t="shared" si="34"/>
        <v>0.45</v>
      </c>
      <c r="X142" s="17">
        <f t="shared" si="35"/>
        <v>0.45</v>
      </c>
      <c r="Y142" s="17">
        <f t="shared" si="36"/>
        <v>0.45</v>
      </c>
      <c r="Z142" s="17">
        <f t="shared" si="37"/>
        <v>0.45</v>
      </c>
      <c r="AA142" s="17">
        <f t="shared" si="38"/>
        <v>0.45</v>
      </c>
      <c r="AE142" s="29">
        <v>30</v>
      </c>
      <c r="AF142" s="29"/>
      <c r="AG142" s="29">
        <f t="shared" si="42"/>
        <v>0</v>
      </c>
      <c r="AH142" s="29"/>
      <c r="AI142" s="29">
        <f>(AG142-AG141)*INDEX([2]大r将兵属性验证!$AX$7:$AX$166,$AE142,1)+AI141</f>
        <v>0</v>
      </c>
      <c r="AJ142" s="14">
        <f t="shared" ref="AJ142:AJ155" si="45">SUM(AH142:AI142)</f>
        <v>0</v>
      </c>
      <c r="AO142" s="29">
        <f t="shared" si="43"/>
        <v>27.324610510337703</v>
      </c>
      <c r="AP142" s="14">
        <f>MAX(求节点($C$74:$C$79,D$74:D$79,求节点($C$4:$C$12,D$4:D$12,基础状态预期!K154)),AP141)</f>
        <v>0</v>
      </c>
      <c r="AQ142" s="14">
        <f>MAX(求节点($C$74:$C$79,E$74:E$79,求节点($C$4:$C$12,E$4:E$12,基础状态预期!L154)),AQ141)</f>
        <v>0</v>
      </c>
      <c r="AR142" s="14">
        <f>MAX(求节点($C$74:$C$79,F$74:F$79,求节点($C$4:$C$12,F$4:F$12,基础状态预期!M154)),AR141)</f>
        <v>0</v>
      </c>
      <c r="AS142" s="14">
        <f>MAX(求节点($C$74:$C$79,G$74:G$79,求节点($C$4:$C$12,G$4:G$12,基础状态预期!N154)),AS141)</f>
        <v>0</v>
      </c>
      <c r="AT142" s="14">
        <f>MAX(求节点($C$74:$C$79,H$74:H$79,求节点($C$4:$C$12,H$4:H$12,基础状态预期!O154)),AT141)</f>
        <v>0</v>
      </c>
      <c r="AU142" s="14">
        <f>MAX(求节点($C$81:$C$86,D$81:D$86,求节点($C$4:$C$12,D$4:D$12,基础状态预期!K154)),AU141)</f>
        <v>0</v>
      </c>
      <c r="AV142" s="14">
        <f>MAX(求节点($C$81:$C$86,E$81:E$86,求节点($C$4:$C$12,E$4:E$12,基础状态预期!L154)),AV141)</f>
        <v>0</v>
      </c>
      <c r="AW142" s="14">
        <f>MAX(求节点($C$81:$C$86,F$81:F$86,求节点($C$4:$C$12,F$4:F$12,基础状态预期!M154)),AW141)</f>
        <v>0</v>
      </c>
      <c r="AX142" s="14">
        <f>MAX(求节点($C$81:$C$86,G$81:G$86,求节点($C$4:$C$12,G$4:G$12,基础状态预期!N154)),AX141)</f>
        <v>0</v>
      </c>
      <c r="AY142" s="14">
        <f>MAX(求节点($C$81:$C$86,H$81:H$86,求节点($C$4:$C$12,H$4:H$12,基础状态预期!O154)),AY141)</f>
        <v>0</v>
      </c>
      <c r="AZ142" s="14">
        <f>MAX(求节点($C$88:$C$93,D$88:D$93,求节点($C$4:$C$12,D$4:D$12,基础状态预期!K154)),AZ141)</f>
        <v>0</v>
      </c>
      <c r="BA142" s="14">
        <f>MAX(求节点($C$88:$C$93,E$88:E$93,求节点($C$4:$C$12,E$4:E$12,基础状态预期!L154)),BA141)</f>
        <v>0</v>
      </c>
      <c r="BB142" s="14">
        <f>MAX(求节点($C$88:$C$93,F$88:F$93,求节点($C$4:$C$12,F$4:F$12,基础状态预期!M154)),BB141)</f>
        <v>0</v>
      </c>
      <c r="BC142" s="14">
        <f>MAX(求节点($C$88:$C$93,G$88:G$93,求节点($C$4:$C$12,G$4:G$12,基础状态预期!N154)),BC141)</f>
        <v>0</v>
      </c>
      <c r="BD142" s="14">
        <f>MAX(求节点($C$88:$C$93,H$88:H$93,求节点($C$4:$C$12,H$4:H$12,基础状态预期!O154)),BD141)</f>
        <v>0</v>
      </c>
      <c r="BE142" s="14">
        <f t="shared" si="40"/>
        <v>0</v>
      </c>
      <c r="BH142" s="29">
        <v>30</v>
      </c>
      <c r="BI142" s="29">
        <f t="shared" si="41"/>
        <v>0</v>
      </c>
      <c r="BJ142" s="29"/>
      <c r="BK142" s="29">
        <f t="shared" si="44"/>
        <v>0</v>
      </c>
    </row>
    <row r="143" spans="13:69" x14ac:dyDescent="0.15">
      <c r="M143" s="16">
        <v>7</v>
      </c>
      <c r="N143" s="29">
        <f>基础状态预期!D155</f>
        <v>33.672145166817529</v>
      </c>
      <c r="O143" s="29">
        <f>IF(基础状态预期!U155="",0,MIN(求节点($C$16:$C$24,D$16:D$24,基础状态预期!K155),求节点($C$28:$C$48,D$28:D$48,基础状态预期!U155)))</f>
        <v>0</v>
      </c>
      <c r="P143" s="29">
        <f>IF(基础状态预期!V155="",0,MIN(求节点($C$16:$C$24,E$16:E$24,基础状态预期!L155),求节点($C$28:$C$48,E$28:E$48,基础状态预期!V155)))</f>
        <v>0</v>
      </c>
      <c r="Q143" s="29">
        <f>IF(基础状态预期!W155="",0,MIN(求节点($C$16:$C$24,F$16:F$24,基础状态预期!M155),求节点($C$28:$C$48,F$28:F$48,基础状态预期!W155)))</f>
        <v>0</v>
      </c>
      <c r="R143" s="29">
        <f>IF(基础状态预期!X155="",0,MIN(求节点($C$16:$C$24,G$16:G$24,基础状态预期!N155),求节点($C$28:$C$48,G$28:G$48,基础状态预期!X155)))</f>
        <v>0</v>
      </c>
      <c r="S143" s="29">
        <f>IF(基础状态预期!Y155="",0,MIN(求节点($C$16:$C$24,H$16:H$24,基础状态预期!O155),求节点($C$28:$C$48,H$28:H$48,基础状态预期!Y155)))</f>
        <v>0</v>
      </c>
      <c r="T143" s="29">
        <f>MAX(SUMPRODUCT(O143:S143,基础状态预期!$F155:$J155)/SUM(基础状态预期!$F155:$J155),T142)</f>
        <v>0</v>
      </c>
      <c r="V143" s="17">
        <v>139</v>
      </c>
      <c r="W143" s="17">
        <f t="shared" si="34"/>
        <v>0.45</v>
      </c>
      <c r="X143" s="17">
        <f t="shared" si="35"/>
        <v>0.45</v>
      </c>
      <c r="Y143" s="17">
        <f t="shared" si="36"/>
        <v>0.45</v>
      </c>
      <c r="Z143" s="17">
        <f t="shared" si="37"/>
        <v>0.45</v>
      </c>
      <c r="AA143" s="17">
        <f t="shared" si="38"/>
        <v>0.45</v>
      </c>
      <c r="AE143" s="29">
        <v>40</v>
      </c>
      <c r="AF143" s="29"/>
      <c r="AG143" s="29">
        <f t="shared" si="42"/>
        <v>0</v>
      </c>
      <c r="AH143" s="29"/>
      <c r="AI143" s="29">
        <f>(AG143-AG142)*INDEX([2]大r将兵属性验证!$AX$7:$AX$166,$AE143,1)+AI142</f>
        <v>0</v>
      </c>
      <c r="AJ143" s="14">
        <f t="shared" si="45"/>
        <v>0</v>
      </c>
      <c r="AO143" s="29">
        <f t="shared" si="43"/>
        <v>33.672145166817529</v>
      </c>
      <c r="AP143" s="14">
        <f>MAX(求节点($C$74:$C$79,D$74:D$79,求节点($C$4:$C$12,D$4:D$12,基础状态预期!K155)),AP142)</f>
        <v>0</v>
      </c>
      <c r="AQ143" s="14">
        <f>MAX(求节点($C$74:$C$79,E$74:E$79,求节点($C$4:$C$12,E$4:E$12,基础状态预期!L155)),AQ142)</f>
        <v>0</v>
      </c>
      <c r="AR143" s="14">
        <f>MAX(求节点($C$74:$C$79,F$74:F$79,求节点($C$4:$C$12,F$4:F$12,基础状态预期!M155)),AR142)</f>
        <v>0</v>
      </c>
      <c r="AS143" s="14">
        <f>MAX(求节点($C$74:$C$79,G$74:G$79,求节点($C$4:$C$12,G$4:G$12,基础状态预期!N155)),AS142)</f>
        <v>0</v>
      </c>
      <c r="AT143" s="14">
        <f>MAX(求节点($C$74:$C$79,H$74:H$79,求节点($C$4:$C$12,H$4:H$12,基础状态预期!O155)),AT142)</f>
        <v>0</v>
      </c>
      <c r="AU143" s="14">
        <f>MAX(求节点($C$81:$C$86,D$81:D$86,求节点($C$4:$C$12,D$4:D$12,基础状态预期!K155)),AU142)</f>
        <v>0</v>
      </c>
      <c r="AV143" s="14">
        <f>MAX(求节点($C$81:$C$86,E$81:E$86,求节点($C$4:$C$12,E$4:E$12,基础状态预期!L155)),AV142)</f>
        <v>0</v>
      </c>
      <c r="AW143" s="14">
        <f>MAX(求节点($C$81:$C$86,F$81:F$86,求节点($C$4:$C$12,F$4:F$12,基础状态预期!M155)),AW142)</f>
        <v>0</v>
      </c>
      <c r="AX143" s="14">
        <f>MAX(求节点($C$81:$C$86,G$81:G$86,求节点($C$4:$C$12,G$4:G$12,基础状态预期!N155)),AX142)</f>
        <v>0</v>
      </c>
      <c r="AY143" s="14">
        <f>MAX(求节点($C$81:$C$86,H$81:H$86,求节点($C$4:$C$12,H$4:H$12,基础状态预期!O155)),AY142)</f>
        <v>0</v>
      </c>
      <c r="AZ143" s="14">
        <f>MAX(求节点($C$88:$C$93,D$88:D$93,求节点($C$4:$C$12,D$4:D$12,基础状态预期!K155)),AZ142)</f>
        <v>0</v>
      </c>
      <c r="BA143" s="14">
        <f>MAX(求节点($C$88:$C$93,E$88:E$93,求节点($C$4:$C$12,E$4:E$12,基础状态预期!L155)),BA142)</f>
        <v>0</v>
      </c>
      <c r="BB143" s="14">
        <f>MAX(求节点($C$88:$C$93,F$88:F$93,求节点($C$4:$C$12,F$4:F$12,基础状态预期!M155)),BB142)</f>
        <v>0</v>
      </c>
      <c r="BC143" s="14">
        <f>MAX(求节点($C$88:$C$93,G$88:G$93,求节点($C$4:$C$12,G$4:G$12,基础状态预期!N155)),BC142)</f>
        <v>0</v>
      </c>
      <c r="BD143" s="14">
        <f>MAX(求节点($C$88:$C$93,H$88:H$93,求节点($C$4:$C$12,H$4:H$12,基础状态预期!O155)),BD142)</f>
        <v>0</v>
      </c>
      <c r="BE143" s="14">
        <f t="shared" si="40"/>
        <v>0</v>
      </c>
      <c r="BH143" s="29">
        <v>40</v>
      </c>
      <c r="BI143" s="29">
        <f t="shared" si="41"/>
        <v>378.74404102940628</v>
      </c>
      <c r="BJ143" s="29"/>
      <c r="BK143" s="29">
        <f t="shared" si="44"/>
        <v>378.74404102940628</v>
      </c>
    </row>
    <row r="144" spans="13:69" x14ac:dyDescent="0.15">
      <c r="M144" s="16">
        <v>8</v>
      </c>
      <c r="N144" s="29">
        <f>基础状态预期!D156</f>
        <v>39.138098927718012</v>
      </c>
      <c r="O144" s="29">
        <f>IF(基础状态预期!U156="",0,MIN(求节点($C$16:$C$24,D$16:D$24,基础状态预期!K156),求节点($C$28:$C$48,D$28:D$48,基础状态预期!U156)))</f>
        <v>0</v>
      </c>
      <c r="P144" s="29">
        <f>IF(基础状态预期!V156="",0,MIN(求节点($C$16:$C$24,E$16:E$24,基础状态预期!L156),求节点($C$28:$C$48,E$28:E$48,基础状态预期!V156)))</f>
        <v>0</v>
      </c>
      <c r="Q144" s="29">
        <f>IF(基础状态预期!W156="",0,MIN(求节点($C$16:$C$24,F$16:F$24,基础状态预期!M156),求节点($C$28:$C$48,F$28:F$48,基础状态预期!W156)))</f>
        <v>0</v>
      </c>
      <c r="R144" s="29">
        <f>IF(基础状态预期!X156="",0,MIN(求节点($C$16:$C$24,G$16:G$24,基础状态预期!N156),求节点($C$28:$C$48,G$28:G$48,基础状态预期!X156)))</f>
        <v>0</v>
      </c>
      <c r="S144" s="29">
        <f>IF(基础状态预期!Y156="",0,MIN(求节点($C$16:$C$24,H$16:H$24,基础状态预期!O156),求节点($C$28:$C$48,H$28:H$48,基础状态预期!Y156)))</f>
        <v>0</v>
      </c>
      <c r="T144" s="29">
        <f>MAX(SUMPRODUCT(O144:S144,基础状态预期!$F156:$J156)/SUM(基础状态预期!$F156:$J156),T143)</f>
        <v>0</v>
      </c>
      <c r="V144" s="17">
        <v>140</v>
      </c>
      <c r="W144" s="17">
        <f t="shared" si="34"/>
        <v>0.45</v>
      </c>
      <c r="X144" s="17">
        <f t="shared" si="35"/>
        <v>0.45</v>
      </c>
      <c r="Y144" s="17">
        <f t="shared" si="36"/>
        <v>0.45</v>
      </c>
      <c r="Z144" s="17">
        <f t="shared" si="37"/>
        <v>0.45</v>
      </c>
      <c r="AA144" s="17">
        <f t="shared" si="38"/>
        <v>0.45</v>
      </c>
      <c r="AE144" s="29">
        <v>50</v>
      </c>
      <c r="AF144" s="29"/>
      <c r="AG144" s="29">
        <f t="shared" si="42"/>
        <v>0</v>
      </c>
      <c r="AH144" s="29"/>
      <c r="AI144" s="29">
        <f>(AG144-AG143)*INDEX([2]大r将兵属性验证!$AX$7:$AX$166,$AE144,1)+AI143</f>
        <v>0</v>
      </c>
      <c r="AJ144" s="14">
        <f t="shared" si="45"/>
        <v>0</v>
      </c>
      <c r="AO144" s="29">
        <f t="shared" si="43"/>
        <v>39.138098927718012</v>
      </c>
      <c r="AP144" s="14">
        <f>MAX(求节点($C$74:$C$79,D$74:D$79,求节点($C$4:$C$12,D$4:D$12,基础状态预期!K156)),AP143)</f>
        <v>0</v>
      </c>
      <c r="AQ144" s="14">
        <f>MAX(求节点($C$74:$C$79,E$74:E$79,求节点($C$4:$C$12,E$4:E$12,基础状态预期!L156)),AQ143)</f>
        <v>0</v>
      </c>
      <c r="AR144" s="14">
        <f>MAX(求节点($C$74:$C$79,F$74:F$79,求节点($C$4:$C$12,F$4:F$12,基础状态预期!M156)),AR143)</f>
        <v>0</v>
      </c>
      <c r="AS144" s="14">
        <f>MAX(求节点($C$74:$C$79,G$74:G$79,求节点($C$4:$C$12,G$4:G$12,基础状态预期!N156)),AS143)</f>
        <v>0.24655206810968711</v>
      </c>
      <c r="AT144" s="14">
        <f>MAX(求节点($C$74:$C$79,H$74:H$79,求节点($C$4:$C$12,H$4:H$12,基础状态预期!O156)),AT143)</f>
        <v>0</v>
      </c>
      <c r="AU144" s="14">
        <f>MAX(求节点($C$81:$C$86,D$81:D$86,求节点($C$4:$C$12,D$4:D$12,基础状态预期!K156)),AU143)</f>
        <v>0</v>
      </c>
      <c r="AV144" s="14">
        <f>MAX(求节点($C$81:$C$86,E$81:E$86,求节点($C$4:$C$12,E$4:E$12,基础状态预期!L156)),AV143)</f>
        <v>0</v>
      </c>
      <c r="AW144" s="14">
        <f>MAX(求节点($C$81:$C$86,F$81:F$86,求节点($C$4:$C$12,F$4:F$12,基础状态预期!M156)),AW143)</f>
        <v>0</v>
      </c>
      <c r="AX144" s="14">
        <f>MAX(求节点($C$81:$C$86,G$81:G$86,求节点($C$4:$C$12,G$4:G$12,基础状态预期!N156)),AX143)</f>
        <v>0</v>
      </c>
      <c r="AY144" s="14">
        <f>MAX(求节点($C$81:$C$86,H$81:H$86,求节点($C$4:$C$12,H$4:H$12,基础状态预期!O156)),AY143)</f>
        <v>0</v>
      </c>
      <c r="AZ144" s="14">
        <f>MAX(求节点($C$88:$C$93,D$88:D$93,求节点($C$4:$C$12,D$4:D$12,基础状态预期!K156)),AZ143)</f>
        <v>0</v>
      </c>
      <c r="BA144" s="14">
        <f>MAX(求节点($C$88:$C$93,E$88:E$93,求节点($C$4:$C$12,E$4:E$12,基础状态预期!L156)),BA143)</f>
        <v>0</v>
      </c>
      <c r="BB144" s="14">
        <f>MAX(求节点($C$88:$C$93,F$88:F$93,求节点($C$4:$C$12,F$4:F$12,基础状态预期!M156)),BB143)</f>
        <v>0</v>
      </c>
      <c r="BC144" s="14">
        <f>MAX(求节点($C$88:$C$93,G$88:G$93,求节点($C$4:$C$12,G$4:G$12,基础状态预期!N156)),BC143)</f>
        <v>0</v>
      </c>
      <c r="BD144" s="14">
        <f>MAX(求节点($C$88:$C$93,H$88:H$93,求节点($C$4:$C$12,H$4:H$12,基础状态预期!O156)),BD143)</f>
        <v>0</v>
      </c>
      <c r="BE144" s="14">
        <f t="shared" si="40"/>
        <v>246.5520681096871</v>
      </c>
      <c r="BH144" s="29">
        <v>50</v>
      </c>
      <c r="BI144" s="29">
        <f t="shared" si="41"/>
        <v>1000</v>
      </c>
      <c r="BJ144" s="29"/>
      <c r="BK144" s="29">
        <f t="shared" si="44"/>
        <v>1000</v>
      </c>
    </row>
    <row r="145" spans="13:63" x14ac:dyDescent="0.15">
      <c r="M145" s="16">
        <v>9</v>
      </c>
      <c r="N145" s="29">
        <f>基础状态预期!D157</f>
        <v>42.970748198558951</v>
      </c>
      <c r="O145" s="29">
        <f>IF(基础状态预期!U157="",0,MIN(求节点($C$16:$C$24,D$16:D$24,基础状态预期!K157),求节点($C$28:$C$48,D$28:D$48,基础状态预期!U157)))</f>
        <v>0</v>
      </c>
      <c r="P145" s="29">
        <f>IF(基础状态预期!V157="",0,MIN(求节点($C$16:$C$24,E$16:E$24,基础状态预期!L157),求节点($C$28:$C$48,E$28:E$48,基础状态预期!V157)))</f>
        <v>0</v>
      </c>
      <c r="Q145" s="29">
        <f>IF(基础状态预期!W157="",0,MIN(求节点($C$16:$C$24,F$16:F$24,基础状态预期!M157),求节点($C$28:$C$48,F$28:F$48,基础状态预期!W157)))</f>
        <v>0</v>
      </c>
      <c r="R145" s="29">
        <f>IF(基础状态预期!X157="",0,MIN(求节点($C$16:$C$24,G$16:G$24,基础状态预期!N157),求节点($C$28:$C$48,G$28:G$48,基础状态预期!X157)))</f>
        <v>0</v>
      </c>
      <c r="S145" s="29">
        <f>IF(基础状态预期!Y157="",0,MIN(求节点($C$16:$C$24,H$16:H$24,基础状态预期!O157),求节点($C$28:$C$48,H$28:H$48,基础状态预期!Y157)))</f>
        <v>0</v>
      </c>
      <c r="T145" s="29">
        <f>MAX(SUMPRODUCT(O145:S145,基础状态预期!$F157:$J157)/SUM(基础状态预期!$F157:$J157),T144)</f>
        <v>0</v>
      </c>
      <c r="V145" s="17">
        <v>141</v>
      </c>
      <c r="W145" s="17">
        <f t="shared" si="34"/>
        <v>0.45</v>
      </c>
      <c r="X145" s="17">
        <f t="shared" si="35"/>
        <v>0.45</v>
      </c>
      <c r="Y145" s="17">
        <f t="shared" si="36"/>
        <v>0.45</v>
      </c>
      <c r="Z145" s="17">
        <f t="shared" si="37"/>
        <v>0.45</v>
      </c>
      <c r="AA145" s="17">
        <f t="shared" si="38"/>
        <v>0.45</v>
      </c>
      <c r="AE145" s="29">
        <v>60</v>
      </c>
      <c r="AF145" s="29"/>
      <c r="AG145" s="29">
        <f t="shared" si="42"/>
        <v>4.8486738657614048E-2</v>
      </c>
      <c r="AH145" s="29"/>
      <c r="AI145" s="29">
        <f>(AG145-AG144)*INDEX([2]大r将兵属性验证!$AX$7:$AX$166,$AE145,1)+AI144</f>
        <v>271460755.94841772</v>
      </c>
      <c r="AJ145" s="14">
        <f t="shared" si="45"/>
        <v>271460755.94841772</v>
      </c>
      <c r="AO145" s="29">
        <f t="shared" si="43"/>
        <v>42.970748198558951</v>
      </c>
      <c r="AP145" s="14">
        <f>MAX(求节点($C$74:$C$79,D$74:D$79,求节点($C$4:$C$12,D$4:D$12,基础状态预期!K157)),AP144)</f>
        <v>0</v>
      </c>
      <c r="AQ145" s="14">
        <f>MAX(求节点($C$74:$C$79,E$74:E$79,求节点($C$4:$C$12,E$4:E$12,基础状态预期!L157)),AQ144)</f>
        <v>0</v>
      </c>
      <c r="AR145" s="14">
        <f>MAX(求节点($C$74:$C$79,F$74:F$79,求节点($C$4:$C$12,F$4:F$12,基础状态预期!M157)),AR144)</f>
        <v>0</v>
      </c>
      <c r="AS145" s="14">
        <f>MAX(求节点($C$74:$C$79,G$74:G$79,求节点($C$4:$C$12,G$4:G$12,基础状态预期!N157)),AS144)</f>
        <v>0.83437529390099652</v>
      </c>
      <c r="AT145" s="14">
        <f>MAX(求节点($C$74:$C$79,H$74:H$79,求节点($C$4:$C$12,H$4:H$12,基础状态预期!O157)),AT144)</f>
        <v>0</v>
      </c>
      <c r="AU145" s="14">
        <f>MAX(求节点($C$81:$C$86,D$81:D$86,求节点($C$4:$C$12,D$4:D$12,基础状态预期!K157)),AU144)</f>
        <v>0</v>
      </c>
      <c r="AV145" s="14">
        <f>MAX(求节点($C$81:$C$86,E$81:E$86,求节点($C$4:$C$12,E$4:E$12,基础状态预期!L157)),AV144)</f>
        <v>0</v>
      </c>
      <c r="AW145" s="14">
        <f>MAX(求节点($C$81:$C$86,F$81:F$86,求节点($C$4:$C$12,F$4:F$12,基础状态预期!M157)),AW144)</f>
        <v>0</v>
      </c>
      <c r="AX145" s="14">
        <f>MAX(求节点($C$81:$C$86,G$81:G$86,求节点($C$4:$C$12,G$4:G$12,基础状态预期!N157)),AX144)</f>
        <v>0</v>
      </c>
      <c r="AY145" s="14">
        <f>MAX(求节点($C$81:$C$86,H$81:H$86,求节点($C$4:$C$12,H$4:H$12,基础状态预期!O157)),AY144)</f>
        <v>0</v>
      </c>
      <c r="AZ145" s="14">
        <f>MAX(求节点($C$88:$C$93,D$88:D$93,求节点($C$4:$C$12,D$4:D$12,基础状态预期!K157)),AZ144)</f>
        <v>0</v>
      </c>
      <c r="BA145" s="14">
        <f>MAX(求节点($C$88:$C$93,E$88:E$93,求节点($C$4:$C$12,E$4:E$12,基础状态预期!L157)),BA144)</f>
        <v>0</v>
      </c>
      <c r="BB145" s="14">
        <f>MAX(求节点($C$88:$C$93,F$88:F$93,求节点($C$4:$C$12,F$4:F$12,基础状态预期!M157)),BB144)</f>
        <v>0</v>
      </c>
      <c r="BC145" s="14">
        <f>MAX(求节点($C$88:$C$93,G$88:G$93,求节点($C$4:$C$12,G$4:G$12,基础状态预期!N157)),BC144)</f>
        <v>0</v>
      </c>
      <c r="BD145" s="14">
        <f>MAX(求节点($C$88:$C$93,H$88:H$93,求节点($C$4:$C$12,H$4:H$12,基础状态预期!O157)),BD144)</f>
        <v>0</v>
      </c>
      <c r="BE145" s="14">
        <f t="shared" si="40"/>
        <v>834.37529390099655</v>
      </c>
      <c r="BH145" s="29">
        <v>60</v>
      </c>
      <c r="BI145" s="29">
        <f t="shared" si="41"/>
        <v>4823.3095162059917</v>
      </c>
      <c r="BJ145" s="29"/>
      <c r="BK145" s="29">
        <f t="shared" si="44"/>
        <v>4823.3095162059917</v>
      </c>
    </row>
    <row r="146" spans="13:63" x14ac:dyDescent="0.15">
      <c r="M146" s="16">
        <v>10</v>
      </c>
      <c r="N146" s="29">
        <f>基础状态预期!D158</f>
        <v>48.731413734867289</v>
      </c>
      <c r="O146" s="29">
        <f>IF(基础状态预期!U158="",0,MIN(求节点($C$16:$C$24,D$16:D$24,基础状态预期!K158),求节点($C$28:$C$48,D$28:D$48,基础状态预期!U158)))</f>
        <v>0</v>
      </c>
      <c r="P146" s="29">
        <f>IF(基础状态预期!V158="",0,MIN(求节点($C$16:$C$24,E$16:E$24,基础状态预期!L158),求节点($C$28:$C$48,E$28:E$48,基础状态预期!V158)))</f>
        <v>0</v>
      </c>
      <c r="Q146" s="29">
        <f>IF(基础状态预期!W158="",0,MIN(求节点($C$16:$C$24,F$16:F$24,基础状态预期!M158),求节点($C$28:$C$48,F$28:F$48,基础状态预期!W158)))</f>
        <v>0</v>
      </c>
      <c r="R146" s="29">
        <f>IF(基础状态预期!X158="",0,MIN(求节点($C$16:$C$24,G$16:G$24,基础状态预期!N158),求节点($C$28:$C$48,G$28:G$48,基础状态预期!X158)))</f>
        <v>0</v>
      </c>
      <c r="S146" s="29">
        <f>IF(基础状态预期!Y158="",0,MIN(求节点($C$16:$C$24,H$16:H$24,基础状态预期!O158),求节点($C$28:$C$48,H$28:H$48,基础状态预期!Y158)))</f>
        <v>0</v>
      </c>
      <c r="T146" s="29">
        <f>MAX(SUMPRODUCT(O146:S146,基础状态预期!$F158:$J158)/SUM(基础状态预期!$F158:$J158),T145)</f>
        <v>0</v>
      </c>
      <c r="V146" s="17">
        <v>142</v>
      </c>
      <c r="W146" s="17">
        <f t="shared" si="34"/>
        <v>0.45</v>
      </c>
      <c r="X146" s="17">
        <f t="shared" si="35"/>
        <v>0.45</v>
      </c>
      <c r="Y146" s="17">
        <f t="shared" si="36"/>
        <v>0.45</v>
      </c>
      <c r="Z146" s="17">
        <f t="shared" si="37"/>
        <v>0.45</v>
      </c>
      <c r="AA146" s="17">
        <f t="shared" si="38"/>
        <v>0.45</v>
      </c>
      <c r="AE146" s="29">
        <v>70</v>
      </c>
      <c r="AF146" s="29"/>
      <c r="AG146" s="29">
        <f t="shared" si="42"/>
        <v>0.15237990055636463</v>
      </c>
      <c r="AH146" s="29"/>
      <c r="AI146" s="29">
        <f>(AG146-AG145)*INDEX([2]大r将兵属性验证!$AX$7:$AX$166,$AE146,1)+AI145</f>
        <v>2105346860.3487291</v>
      </c>
      <c r="AJ146" s="14">
        <f t="shared" si="45"/>
        <v>2105346860.3487291</v>
      </c>
      <c r="AO146" s="29">
        <f t="shared" si="43"/>
        <v>48.731413734867289</v>
      </c>
      <c r="AP146" s="14">
        <f>MAX(求节点($C$74:$C$79,D$74:D$79,求节点($C$4:$C$12,D$4:D$12,基础状态预期!K158)),AP145)</f>
        <v>0</v>
      </c>
      <c r="AQ146" s="14">
        <f>MAX(求节点($C$74:$C$79,E$74:E$79,求节点($C$4:$C$12,E$4:E$12,基础状态预期!L158)),AQ145)</f>
        <v>0</v>
      </c>
      <c r="AR146" s="14">
        <f>MAX(求节点($C$74:$C$79,F$74:F$79,求节点($C$4:$C$12,F$4:F$12,基础状态预期!M158)),AR145)</f>
        <v>0</v>
      </c>
      <c r="AS146" s="14">
        <f>MAX(求节点($C$74:$C$79,G$74:G$79,求节点($C$4:$C$12,G$4:G$12,基础状态预期!N158)),AS145)</f>
        <v>1</v>
      </c>
      <c r="AT146" s="14">
        <f>MAX(求节点($C$74:$C$79,H$74:H$79,求节点($C$4:$C$12,H$4:H$12,基础状态预期!O158)),AT145)</f>
        <v>0</v>
      </c>
      <c r="AU146" s="14">
        <f>MAX(求节点($C$81:$C$86,D$81:D$86,求节点($C$4:$C$12,D$4:D$12,基础状态预期!K158)),AU145)</f>
        <v>0</v>
      </c>
      <c r="AV146" s="14">
        <f>MAX(求节点($C$81:$C$86,E$81:E$86,求节点($C$4:$C$12,E$4:E$12,基础状态预期!L158)),AV145)</f>
        <v>0</v>
      </c>
      <c r="AW146" s="14">
        <f>MAX(求节点($C$81:$C$86,F$81:F$86,求节点($C$4:$C$12,F$4:F$12,基础状态预期!M158)),AW145)</f>
        <v>0</v>
      </c>
      <c r="AX146" s="14">
        <f>MAX(求节点($C$81:$C$86,G$81:G$86,求节点($C$4:$C$12,G$4:G$12,基础状态预期!N158)),AX145)</f>
        <v>0</v>
      </c>
      <c r="AY146" s="14">
        <f>MAX(求节点($C$81:$C$86,H$81:H$86,求节点($C$4:$C$12,H$4:H$12,基础状态预期!O158)),AY145)</f>
        <v>0</v>
      </c>
      <c r="AZ146" s="14">
        <f>MAX(求节点($C$88:$C$93,D$88:D$93,求节点($C$4:$C$12,D$4:D$12,基础状态预期!K158)),AZ145)</f>
        <v>0</v>
      </c>
      <c r="BA146" s="14">
        <f>MAX(求节点($C$88:$C$93,E$88:E$93,求节点($C$4:$C$12,E$4:E$12,基础状态预期!L158)),BA145)</f>
        <v>0</v>
      </c>
      <c r="BB146" s="14">
        <f>MAX(求节点($C$88:$C$93,F$88:F$93,求节点($C$4:$C$12,F$4:F$12,基础状态预期!M158)),BB145)</f>
        <v>0</v>
      </c>
      <c r="BC146" s="14">
        <f>MAX(求节点($C$88:$C$93,G$88:G$93,求节点($C$4:$C$12,G$4:G$12,基础状态预期!N158)),BC145)</f>
        <v>0</v>
      </c>
      <c r="BD146" s="14">
        <f>MAX(求节点($C$88:$C$93,H$88:H$93,求节点($C$4:$C$12,H$4:H$12,基础状态预期!O158)),BD145)</f>
        <v>0</v>
      </c>
      <c r="BE146" s="14">
        <f t="shared" si="40"/>
        <v>1000</v>
      </c>
      <c r="BH146" s="29">
        <v>70</v>
      </c>
      <c r="BI146" s="29">
        <f t="shared" si="41"/>
        <v>13307.553560040846</v>
      </c>
      <c r="BJ146" s="29"/>
      <c r="BK146" s="29">
        <f t="shared" si="44"/>
        <v>13307.553560040846</v>
      </c>
    </row>
    <row r="147" spans="13:63" x14ac:dyDescent="0.15">
      <c r="M147" s="16">
        <v>11</v>
      </c>
      <c r="N147" s="29">
        <f>基础状态预期!D159</f>
        <v>52.769987980532711</v>
      </c>
      <c r="O147" s="29">
        <f>IF(基础状态预期!U159="",0,MIN(求节点($C$16:$C$24,D$16:D$24,基础状态预期!K159),求节点($C$28:$C$48,D$28:D$48,基础状态预期!U159)))</f>
        <v>0</v>
      </c>
      <c r="P147" s="29">
        <f>IF(基础状态预期!V159="",0,MIN(求节点($C$16:$C$24,E$16:E$24,基础状态预期!L159),求节点($C$28:$C$48,E$28:E$48,基础状态预期!V159)))</f>
        <v>0</v>
      </c>
      <c r="Q147" s="29">
        <f>IF(基础状态预期!W159="",0,MIN(求节点($C$16:$C$24,F$16:F$24,基础状态预期!M159),求节点($C$28:$C$48,F$28:F$48,基础状态预期!W159)))</f>
        <v>0</v>
      </c>
      <c r="R147" s="29">
        <f>IF(基础状态预期!X159="",0,MIN(求节点($C$16:$C$24,G$16:G$24,基础状态预期!N159),求节点($C$28:$C$48,G$28:G$48,基础状态预期!X159)))</f>
        <v>0</v>
      </c>
      <c r="S147" s="29">
        <f>IF(基础状态预期!Y159="",0,MIN(求节点($C$16:$C$24,H$16:H$24,基础状态预期!O159),求节点($C$28:$C$48,H$28:H$48,基础状态预期!Y159)))</f>
        <v>0</v>
      </c>
      <c r="T147" s="29">
        <f>MAX(SUMPRODUCT(O147:S147,基础状态预期!$F159:$J159)/SUM(基础状态预期!$F159:$J159),T146)</f>
        <v>0</v>
      </c>
      <c r="V147" s="17">
        <v>143</v>
      </c>
      <c r="W147" s="17">
        <f t="shared" si="34"/>
        <v>0.45</v>
      </c>
      <c r="X147" s="17">
        <f t="shared" si="35"/>
        <v>0.45</v>
      </c>
      <c r="Y147" s="17">
        <f t="shared" si="36"/>
        <v>0.45</v>
      </c>
      <c r="Z147" s="17">
        <f t="shared" si="37"/>
        <v>0.45</v>
      </c>
      <c r="AA147" s="17">
        <f t="shared" si="38"/>
        <v>0.45</v>
      </c>
      <c r="AE147" s="29">
        <v>80</v>
      </c>
      <c r="AF147" s="29"/>
      <c r="AG147" s="29">
        <f t="shared" si="42"/>
        <v>0.44814488622475174</v>
      </c>
      <c r="AH147" s="29"/>
      <c r="AI147" s="29">
        <f>(AG147-AG146)*INDEX([2]大r将兵属性验证!$AX$7:$AX$166,$AE147,1)+AI146</f>
        <v>16522917024.950912</v>
      </c>
      <c r="AJ147" s="14">
        <f t="shared" si="45"/>
        <v>16522917024.950912</v>
      </c>
      <c r="AO147" s="29">
        <f t="shared" si="43"/>
        <v>52.769987980532711</v>
      </c>
      <c r="AP147" s="14">
        <f>MAX(求节点($C$74:$C$79,D$74:D$79,求节点($C$4:$C$12,D$4:D$12,基础状态预期!K159)),AP146)</f>
        <v>0</v>
      </c>
      <c r="AQ147" s="14">
        <f>MAX(求节点($C$74:$C$79,E$74:E$79,求节点($C$4:$C$12,E$4:E$12,基础状态预期!L159)),AQ146)</f>
        <v>0</v>
      </c>
      <c r="AR147" s="14">
        <f>MAX(求节点($C$74:$C$79,F$74:F$79,求节点($C$4:$C$12,F$4:F$12,基础状态预期!M159)),AR146)</f>
        <v>0</v>
      </c>
      <c r="AS147" s="14">
        <f>MAX(求节点($C$74:$C$79,G$74:G$79,求节点($C$4:$C$12,G$4:G$12,基础状态预期!N159)),AS146)</f>
        <v>1</v>
      </c>
      <c r="AT147" s="14">
        <f>MAX(求节点($C$74:$C$79,H$74:H$79,求节点($C$4:$C$12,H$4:H$12,基础状态预期!O159)),AT146)</f>
        <v>0</v>
      </c>
      <c r="AU147" s="14">
        <f>MAX(求节点($C$81:$C$86,D$81:D$86,求节点($C$4:$C$12,D$4:D$12,基础状态预期!K159)),AU146)</f>
        <v>0</v>
      </c>
      <c r="AV147" s="14">
        <f>MAX(求节点($C$81:$C$86,E$81:E$86,求节点($C$4:$C$12,E$4:E$12,基础状态预期!L159)),AV146)</f>
        <v>0</v>
      </c>
      <c r="AW147" s="14">
        <f>MAX(求节点($C$81:$C$86,F$81:F$86,求节点($C$4:$C$12,F$4:F$12,基础状态预期!M159)),AW146)</f>
        <v>0</v>
      </c>
      <c r="AX147" s="14">
        <f>MAX(求节点($C$81:$C$86,G$81:G$86,求节点($C$4:$C$12,G$4:G$12,基础状态预期!N159)),AX146)</f>
        <v>0</v>
      </c>
      <c r="AY147" s="14">
        <f>MAX(求节点($C$81:$C$86,H$81:H$86,求节点($C$4:$C$12,H$4:H$12,基础状态预期!O159)),AY146)</f>
        <v>0</v>
      </c>
      <c r="AZ147" s="14">
        <f>MAX(求节点($C$88:$C$93,D$88:D$93,求节点($C$4:$C$12,D$4:D$12,基础状态预期!K159)),AZ146)</f>
        <v>0</v>
      </c>
      <c r="BA147" s="14">
        <f>MAX(求节点($C$88:$C$93,E$88:E$93,求节点($C$4:$C$12,E$4:E$12,基础状态预期!L159)),BA146)</f>
        <v>0</v>
      </c>
      <c r="BB147" s="14">
        <f>MAX(求节点($C$88:$C$93,F$88:F$93,求节点($C$4:$C$12,F$4:F$12,基础状态预期!M159)),BB146)</f>
        <v>0</v>
      </c>
      <c r="BC147" s="14">
        <f>MAX(求节点($C$88:$C$93,G$88:G$93,求节点($C$4:$C$12,G$4:G$12,基础状态预期!N159)),BC146)</f>
        <v>0</v>
      </c>
      <c r="BD147" s="14">
        <f>MAX(求节点($C$88:$C$93,H$88:H$93,求节点($C$4:$C$12,H$4:H$12,基础状态预期!O159)),BD146)</f>
        <v>0</v>
      </c>
      <c r="BE147" s="14">
        <f t="shared" si="40"/>
        <v>1000</v>
      </c>
      <c r="BH147" s="29">
        <v>80</v>
      </c>
      <c r="BI147" s="29">
        <f t="shared" si="41"/>
        <v>425310.5118138931</v>
      </c>
      <c r="BJ147" s="29"/>
      <c r="BK147" s="29">
        <f t="shared" si="44"/>
        <v>425310.5118138931</v>
      </c>
    </row>
    <row r="148" spans="13:63" x14ac:dyDescent="0.15">
      <c r="M148" s="16">
        <v>12</v>
      </c>
      <c r="N148" s="29">
        <f>基础状态预期!D160</f>
        <v>58.701446767877648</v>
      </c>
      <c r="O148" s="29">
        <f>IF(基础状态预期!U160="",0,MIN(求节点($C$16:$C$24,D$16:D$24,基础状态预期!K160),求节点($C$28:$C$48,D$28:D$48,基础状态预期!U160)))</f>
        <v>0</v>
      </c>
      <c r="P148" s="29">
        <f>IF(基础状态预期!V160="",0,MIN(求节点($C$16:$C$24,E$16:E$24,基础状态预期!L160),求节点($C$28:$C$48,E$28:E$48,基础状态预期!V160)))</f>
        <v>0</v>
      </c>
      <c r="Q148" s="29">
        <f>IF(基础状态预期!W160="",0,MIN(求节点($C$16:$C$24,F$16:F$24,基础状态预期!M160),求节点($C$28:$C$48,F$28:F$48,基础状态预期!W160)))</f>
        <v>0</v>
      </c>
      <c r="R148" s="29">
        <f>IF(基础状态预期!X160="",0,MIN(求节点($C$16:$C$24,G$16:G$24,基础状态预期!N160),求节点($C$28:$C$48,G$28:G$48,基础状态预期!X160)))</f>
        <v>3.6043403036329448E-2</v>
      </c>
      <c r="S148" s="29">
        <f>IF(基础状态预期!Y160="",0,MIN(求节点($C$16:$C$24,H$16:H$24,基础状态预期!O160),求节点($C$28:$C$48,H$28:H$48,基础状态预期!Y160)))</f>
        <v>4.325208364359534E-2</v>
      </c>
      <c r="T148" s="29">
        <f>MAX(SUMPRODUCT(O148:S148,基础状态预期!$F160:$J160)/SUM(基础状态预期!$F160:$J160),T147)</f>
        <v>3.8446296572084745E-2</v>
      </c>
      <c r="V148" s="17">
        <v>144</v>
      </c>
      <c r="W148" s="17">
        <f t="shared" si="34"/>
        <v>0.45</v>
      </c>
      <c r="X148" s="17">
        <f t="shared" si="35"/>
        <v>0.45</v>
      </c>
      <c r="Y148" s="17">
        <f t="shared" si="36"/>
        <v>0.45</v>
      </c>
      <c r="Z148" s="17">
        <f t="shared" si="37"/>
        <v>0.45</v>
      </c>
      <c r="AA148" s="17">
        <f t="shared" si="38"/>
        <v>0.45</v>
      </c>
      <c r="AE148" s="29">
        <v>90</v>
      </c>
      <c r="AF148" s="29"/>
      <c r="AG148" s="29">
        <f t="shared" si="42"/>
        <v>0.45</v>
      </c>
      <c r="AH148" s="29"/>
      <c r="AI148" s="29">
        <f>(AG148-AG147)*INDEX([2]大r将兵属性验证!$AX$7:$AX$166,$AE148,1)+AI147</f>
        <v>16756059139.173347</v>
      </c>
      <c r="AJ148" s="14">
        <f t="shared" si="45"/>
        <v>16756059139.173347</v>
      </c>
      <c r="AO148" s="29">
        <f t="shared" si="43"/>
        <v>58.701446767877648</v>
      </c>
      <c r="AP148" s="14">
        <f>MAX(求节点($C$74:$C$79,D$74:D$79,求节点($C$4:$C$12,D$4:D$12,基础状态预期!K160)),AP147)</f>
        <v>0</v>
      </c>
      <c r="AQ148" s="14">
        <f>MAX(求节点($C$74:$C$79,E$74:E$79,求节点($C$4:$C$12,E$4:E$12,基础状态预期!L160)),AQ147)</f>
        <v>0</v>
      </c>
      <c r="AR148" s="14">
        <f>MAX(求节点($C$74:$C$79,F$74:F$79,求节点($C$4:$C$12,F$4:F$12,基础状态预期!M160)),AR147)</f>
        <v>0</v>
      </c>
      <c r="AS148" s="14">
        <f>MAX(求节点($C$74:$C$79,G$74:G$79,求节点($C$4:$C$12,G$4:G$12,基础状态预期!N160)),AS147)</f>
        <v>1</v>
      </c>
      <c r="AT148" s="14">
        <f>MAX(求节点($C$74:$C$79,H$74:H$79,求节点($C$4:$C$12,H$4:H$12,基础状态预期!O160)),AT147)</f>
        <v>2</v>
      </c>
      <c r="AU148" s="14">
        <f>MAX(求节点($C$81:$C$86,D$81:D$86,求节点($C$4:$C$12,D$4:D$12,基础状态预期!K160)),AU147)</f>
        <v>0</v>
      </c>
      <c r="AV148" s="14">
        <f>MAX(求节点($C$81:$C$86,E$81:E$86,求节点($C$4:$C$12,E$4:E$12,基础状态预期!L160)),AV147)</f>
        <v>0</v>
      </c>
      <c r="AW148" s="14">
        <f>MAX(求节点($C$81:$C$86,F$81:F$86,求节点($C$4:$C$12,F$4:F$12,基础状态预期!M160)),AW147)</f>
        <v>0</v>
      </c>
      <c r="AX148" s="14">
        <f>MAX(求节点($C$81:$C$86,G$81:G$86,求节点($C$4:$C$12,G$4:G$12,基础状态预期!N160)),AX147)</f>
        <v>0</v>
      </c>
      <c r="AY148" s="14">
        <f>MAX(求节点($C$81:$C$86,H$81:H$86,求节点($C$4:$C$12,H$4:H$12,基础状态预期!O160)),AY147)</f>
        <v>0</v>
      </c>
      <c r="AZ148" s="14">
        <f>MAX(求节点($C$88:$C$93,D$88:D$93,求节点($C$4:$C$12,D$4:D$12,基础状态预期!K160)),AZ147)</f>
        <v>0</v>
      </c>
      <c r="BA148" s="14">
        <f>MAX(求节点($C$88:$C$93,E$88:E$93,求节点($C$4:$C$12,E$4:E$12,基础状态预期!L160)),BA147)</f>
        <v>0</v>
      </c>
      <c r="BB148" s="14">
        <f>MAX(求节点($C$88:$C$93,F$88:F$93,求节点($C$4:$C$12,F$4:F$12,基础状态预期!M160)),BB147)</f>
        <v>0</v>
      </c>
      <c r="BC148" s="14">
        <f>MAX(求节点($C$88:$C$93,G$88:G$93,求节点($C$4:$C$12,G$4:G$12,基础状态预期!N160)),BC147)</f>
        <v>0</v>
      </c>
      <c r="BD148" s="14">
        <f>MAX(求节点($C$88:$C$93,H$88:H$93,求节点($C$4:$C$12,H$4:H$12,基础状态预期!O160)),BD147)</f>
        <v>0</v>
      </c>
      <c r="BE148" s="14">
        <f t="shared" si="40"/>
        <v>3000</v>
      </c>
      <c r="BH148" s="29">
        <v>90</v>
      </c>
      <c r="BI148" s="29">
        <f t="shared" si="41"/>
        <v>429268.08786775597</v>
      </c>
      <c r="BJ148" s="29"/>
      <c r="BK148" s="29">
        <f t="shared" si="44"/>
        <v>429268.08786775597</v>
      </c>
    </row>
    <row r="149" spans="13:63" x14ac:dyDescent="0.15">
      <c r="M149" s="16">
        <v>13</v>
      </c>
      <c r="N149" s="29">
        <f>基础状态预期!D161</f>
        <v>64.399012521055653</v>
      </c>
      <c r="O149" s="29">
        <f>IF(基础状态预期!U161="",0,MIN(求节点($C$16:$C$24,D$16:D$24,基础状态预期!K161),求节点($C$28:$C$48,D$28:D$48,基础状态预期!U161)))</f>
        <v>0</v>
      </c>
      <c r="P149" s="29">
        <f>IF(基础状态预期!V161="",0,MIN(求节点($C$16:$C$24,E$16:E$24,基础状态预期!L161),求节点($C$28:$C$48,E$28:E$48,基础状态预期!V161)))</f>
        <v>0</v>
      </c>
      <c r="Q149" s="29">
        <f>IF(基础状态预期!W161="",0,MIN(求节点($C$16:$C$24,F$16:F$24,基础状态预期!M161),求节点($C$28:$C$48,F$28:F$48,基础状态预期!W161)))</f>
        <v>0</v>
      </c>
      <c r="R149" s="29">
        <f>IF(基础状态预期!X161="",0,MIN(求节点($C$16:$C$24,G$16:G$24,基础状态预期!N161),求节点($C$28:$C$48,G$28:G$48,基础状态预期!X161)))</f>
        <v>7.4999999999999997E-2</v>
      </c>
      <c r="S149" s="29">
        <f>IF(基础状态预期!Y161="",0,MIN(求节点($C$16:$C$24,H$16:H$24,基础状态预期!O161),求节点($C$28:$C$48,H$28:H$48,基础状态预期!Y161)))</f>
        <v>0.09</v>
      </c>
      <c r="T149" s="29">
        <f>MAX(SUMPRODUCT(O149:S149,基础状态预期!$F161:$J161)/SUM(基础状态预期!$F161:$J161),T148)</f>
        <v>8.2500000000000004E-2</v>
      </c>
      <c r="V149" s="17">
        <v>145</v>
      </c>
      <c r="W149" s="17">
        <f t="shared" si="34"/>
        <v>0.45</v>
      </c>
      <c r="X149" s="17">
        <f t="shared" si="35"/>
        <v>0.45</v>
      </c>
      <c r="Y149" s="17">
        <f t="shared" si="36"/>
        <v>0.45</v>
      </c>
      <c r="Z149" s="17">
        <f t="shared" si="37"/>
        <v>0.45</v>
      </c>
      <c r="AA149" s="17">
        <f t="shared" si="38"/>
        <v>0.45</v>
      </c>
      <c r="AE149" s="29">
        <v>100</v>
      </c>
      <c r="AF149" s="29"/>
      <c r="AG149" s="29">
        <f t="shared" si="42"/>
        <v>0.45</v>
      </c>
      <c r="AH149" s="29"/>
      <c r="AI149" s="29">
        <f>(AG149-AG148)*INDEX([2]大r将兵属性验证!$AX$7:$AX$166,$AE149,1)+AI148</f>
        <v>16756059139.173347</v>
      </c>
      <c r="AJ149" s="14">
        <f t="shared" si="45"/>
        <v>16756059139.173347</v>
      </c>
      <c r="AO149" s="29">
        <f t="shared" si="43"/>
        <v>64.399012521055653</v>
      </c>
      <c r="AP149" s="14">
        <f>MAX(求节点($C$74:$C$79,D$74:D$79,求节点($C$4:$C$12,D$4:D$12,基础状态预期!K161)),AP148)</f>
        <v>0</v>
      </c>
      <c r="AQ149" s="14">
        <f>MAX(求节点($C$74:$C$79,E$74:E$79,求节点($C$4:$C$12,E$4:E$12,基础状态预期!L161)),AQ148)</f>
        <v>0</v>
      </c>
      <c r="AR149" s="14">
        <f>MAX(求节点($C$74:$C$79,F$74:F$79,求节点($C$4:$C$12,F$4:F$12,基础状态预期!M161)),AR148)</f>
        <v>0</v>
      </c>
      <c r="AS149" s="14">
        <f>MAX(求节点($C$74:$C$79,G$74:G$79,求节点($C$4:$C$12,G$4:G$12,基础状态预期!N161)),AS148)</f>
        <v>1</v>
      </c>
      <c r="AT149" s="14">
        <f>MAX(求节点($C$74:$C$79,H$74:H$79,求节点($C$4:$C$12,H$4:H$12,基础状态预期!O161)),AT148)</f>
        <v>2</v>
      </c>
      <c r="AU149" s="14">
        <f>MAX(求节点($C$81:$C$86,D$81:D$86,求节点($C$4:$C$12,D$4:D$12,基础状态预期!K161)),AU148)</f>
        <v>0</v>
      </c>
      <c r="AV149" s="14">
        <f>MAX(求节点($C$81:$C$86,E$81:E$86,求节点($C$4:$C$12,E$4:E$12,基础状态预期!L161)),AV148)</f>
        <v>0</v>
      </c>
      <c r="AW149" s="14">
        <f>MAX(求节点($C$81:$C$86,F$81:F$86,求节点($C$4:$C$12,F$4:F$12,基础状态预期!M161)),AW148)</f>
        <v>0</v>
      </c>
      <c r="AX149" s="14">
        <f>MAX(求节点($C$81:$C$86,G$81:G$86,求节点($C$4:$C$12,G$4:G$12,基础状态预期!N161)),AX148)</f>
        <v>0</v>
      </c>
      <c r="AY149" s="14">
        <f>MAX(求节点($C$81:$C$86,H$81:H$86,求节点($C$4:$C$12,H$4:H$12,基础状态预期!O161)),AY148)</f>
        <v>4</v>
      </c>
      <c r="AZ149" s="14">
        <f>MAX(求节点($C$88:$C$93,D$88:D$93,求节点($C$4:$C$12,D$4:D$12,基础状态预期!K161)),AZ148)</f>
        <v>0</v>
      </c>
      <c r="BA149" s="14">
        <f>MAX(求节点($C$88:$C$93,E$88:E$93,求节点($C$4:$C$12,E$4:E$12,基础状态预期!L161)),BA148)</f>
        <v>0</v>
      </c>
      <c r="BB149" s="14">
        <f>MAX(求节点($C$88:$C$93,F$88:F$93,求节点($C$4:$C$12,F$4:F$12,基础状态预期!M161)),BB148)</f>
        <v>0</v>
      </c>
      <c r="BC149" s="14">
        <f>MAX(求节点($C$88:$C$93,G$88:G$93,求节点($C$4:$C$12,G$4:G$12,基础状态预期!N161)),BC148)</f>
        <v>0</v>
      </c>
      <c r="BD149" s="14">
        <f>MAX(求节点($C$88:$C$93,H$88:H$93,求节点($C$4:$C$12,H$4:H$12,基础状态预期!O161)),BD148)</f>
        <v>0</v>
      </c>
      <c r="BE149" s="14">
        <f t="shared" si="40"/>
        <v>11000</v>
      </c>
      <c r="BH149" s="29">
        <v>100</v>
      </c>
      <c r="BI149" s="29">
        <f t="shared" si="41"/>
        <v>429268.08786775597</v>
      </c>
      <c r="BJ149" s="29"/>
      <c r="BK149" s="29">
        <f t="shared" si="44"/>
        <v>429268.08786775597</v>
      </c>
    </row>
    <row r="150" spans="13:63" x14ac:dyDescent="0.15">
      <c r="M150" s="16">
        <v>14</v>
      </c>
      <c r="N150" s="29">
        <f>基础状态预期!D162</f>
        <v>68.627579426319684</v>
      </c>
      <c r="O150" s="29">
        <f>IF(基础状态预期!U162="",0,MIN(求节点($C$16:$C$24,D$16:D$24,基础状态预期!K162),求节点($C$28:$C$48,D$28:D$48,基础状态预期!U162)))</f>
        <v>0</v>
      </c>
      <c r="P150" s="29">
        <f>IF(基础状态预期!V162="",0,MIN(求节点($C$16:$C$24,E$16:E$24,基础状态预期!L162),求节点($C$28:$C$48,E$28:E$48,基础状态预期!V162)))</f>
        <v>0</v>
      </c>
      <c r="Q150" s="29">
        <f>IF(基础状态预期!W162="",0,MIN(求节点($C$16:$C$24,F$16:F$24,基础状态预期!M162),求节点($C$28:$C$48,F$28:F$48,基础状态预期!W162)))</f>
        <v>0</v>
      </c>
      <c r="R150" s="29">
        <f>IF(基础状态预期!X162="",0,MIN(求节点($C$16:$C$24,G$16:G$24,基础状态预期!N162),求节点($C$28:$C$48,G$28:G$48,基础状态预期!X162)))</f>
        <v>7.4999999999999997E-2</v>
      </c>
      <c r="S150" s="29">
        <f>IF(基础状态预期!Y162="",0,MIN(求节点($C$16:$C$24,H$16:H$24,基础状态预期!O162),求节点($C$28:$C$48,H$28:H$48,基础状态预期!Y162)))</f>
        <v>0.18</v>
      </c>
      <c r="T150" s="29">
        <f>MAX(SUMPRODUCT(O150:S150,基础状态预期!$F162:$J162)/SUM(基础状态预期!$F162:$J162),T149)</f>
        <v>0.14499999999999999</v>
      </c>
      <c r="V150" s="17">
        <v>146</v>
      </c>
      <c r="W150" s="17">
        <f t="shared" si="34"/>
        <v>0.45</v>
      </c>
      <c r="X150" s="17">
        <f t="shared" si="35"/>
        <v>0.45</v>
      </c>
      <c r="Y150" s="17">
        <f t="shared" si="36"/>
        <v>0.45</v>
      </c>
      <c r="Z150" s="17">
        <f t="shared" si="37"/>
        <v>0.45</v>
      </c>
      <c r="AA150" s="17">
        <f t="shared" si="38"/>
        <v>0.45</v>
      </c>
      <c r="AE150" s="29">
        <v>110</v>
      </c>
      <c r="AF150" s="29"/>
      <c r="AG150" s="29">
        <f t="shared" si="42"/>
        <v>0.45</v>
      </c>
      <c r="AH150" s="29"/>
      <c r="AI150" s="29">
        <f>(AG150-AG149)*INDEX([2]大r将兵属性验证!$AX$7:$AX$166,$AE150,1)+AI149</f>
        <v>16756059139.173347</v>
      </c>
      <c r="AJ150" s="14">
        <f t="shared" si="45"/>
        <v>16756059139.173347</v>
      </c>
      <c r="AO150" s="29">
        <f t="shared" si="43"/>
        <v>68.627579426319684</v>
      </c>
      <c r="AP150" s="14">
        <f>MAX(求节点($C$74:$C$79,D$74:D$79,求节点($C$4:$C$12,D$4:D$12,基础状态预期!K162)),AP149)</f>
        <v>0</v>
      </c>
      <c r="AQ150" s="14">
        <f>MAX(求节点($C$74:$C$79,E$74:E$79,求节点($C$4:$C$12,E$4:E$12,基础状态预期!L162)),AQ149)</f>
        <v>0</v>
      </c>
      <c r="AR150" s="14">
        <f>MAX(求节点($C$74:$C$79,F$74:F$79,求节点($C$4:$C$12,F$4:F$12,基础状态预期!M162)),AR149)</f>
        <v>0</v>
      </c>
      <c r="AS150" s="14">
        <f>MAX(求节点($C$74:$C$79,G$74:G$79,求节点($C$4:$C$12,G$4:G$12,基础状态预期!N162)),AS149)</f>
        <v>1</v>
      </c>
      <c r="AT150" s="14">
        <f>MAX(求节点($C$74:$C$79,H$74:H$79,求节点($C$4:$C$12,H$4:H$12,基础状态预期!O162)),AT149)</f>
        <v>2</v>
      </c>
      <c r="AU150" s="14">
        <f>MAX(求节点($C$81:$C$86,D$81:D$86,求节点($C$4:$C$12,D$4:D$12,基础状态预期!K162)),AU149)</f>
        <v>0</v>
      </c>
      <c r="AV150" s="14">
        <f>MAX(求节点($C$81:$C$86,E$81:E$86,求节点($C$4:$C$12,E$4:E$12,基础状态预期!L162)),AV149)</f>
        <v>0</v>
      </c>
      <c r="AW150" s="14">
        <f>MAX(求节点($C$81:$C$86,F$81:F$86,求节点($C$4:$C$12,F$4:F$12,基础状态预期!M162)),AW149)</f>
        <v>0</v>
      </c>
      <c r="AX150" s="14">
        <f>MAX(求节点($C$81:$C$86,G$81:G$86,求节点($C$4:$C$12,G$4:G$12,基础状态预期!N162)),AX149)</f>
        <v>0.56984090253963871</v>
      </c>
      <c r="AY150" s="14">
        <f>MAX(求节点($C$81:$C$86,H$81:H$86,求节点($C$4:$C$12,H$4:H$12,基础状态预期!O162)),AY149)</f>
        <v>4</v>
      </c>
      <c r="AZ150" s="14">
        <f>MAX(求节点($C$88:$C$93,D$88:D$93,求节点($C$4:$C$12,D$4:D$12,基础状态预期!K162)),AZ149)</f>
        <v>0</v>
      </c>
      <c r="BA150" s="14">
        <f>MAX(求节点($C$88:$C$93,E$88:E$93,求节点($C$4:$C$12,E$4:E$12,基础状态预期!L162)),BA149)</f>
        <v>0</v>
      </c>
      <c r="BB150" s="14">
        <f>MAX(求节点($C$88:$C$93,F$88:F$93,求节点($C$4:$C$12,F$4:F$12,基础状态预期!M162)),BB149)</f>
        <v>0</v>
      </c>
      <c r="BC150" s="14">
        <f>MAX(求节点($C$88:$C$93,G$88:G$93,求节点($C$4:$C$12,G$4:G$12,基础状态预期!N162)),BC149)</f>
        <v>0</v>
      </c>
      <c r="BD150" s="14">
        <f>MAX(求节点($C$88:$C$93,H$88:H$93,求节点($C$4:$C$12,H$4:H$12,基础状态预期!O162)),BD149)</f>
        <v>0</v>
      </c>
      <c r="BE150" s="14">
        <f t="shared" si="40"/>
        <v>12139.681805079277</v>
      </c>
      <c r="BH150" s="29">
        <v>110</v>
      </c>
      <c r="BI150" s="29">
        <f t="shared" si="41"/>
        <v>429268.08786775597</v>
      </c>
      <c r="BJ150" s="29"/>
      <c r="BK150" s="29">
        <f t="shared" ref="BK150:BK155" si="46">SUM(BI150:BJ150)</f>
        <v>429268.08786775597</v>
      </c>
    </row>
    <row r="151" spans="13:63" x14ac:dyDescent="0.15">
      <c r="M151" s="16">
        <v>15</v>
      </c>
      <c r="N151" s="29">
        <f>基础状态预期!D163</f>
        <v>71.882008108111634</v>
      </c>
      <c r="O151" s="29">
        <f>IF(基础状态预期!U163="",0,MIN(求节点($C$16:$C$24,D$16:D$24,基础状态预期!K163),求节点($C$28:$C$48,D$28:D$48,基础状态预期!U163)))</f>
        <v>0</v>
      </c>
      <c r="P151" s="29">
        <f>IF(基础状态预期!V163="",0,MIN(求节点($C$16:$C$24,E$16:E$24,基础状态预期!L163),求节点($C$28:$C$48,E$28:E$48,基础状态预期!V163)))</f>
        <v>0</v>
      </c>
      <c r="Q151" s="29">
        <f>IF(基础状态预期!W163="",0,MIN(求节点($C$16:$C$24,F$16:F$24,基础状态预期!M163),求节点($C$28:$C$48,F$28:F$48,基础状态预期!W163)))</f>
        <v>0</v>
      </c>
      <c r="R151" s="29">
        <f>IF(基础状态预期!X163="",0,MIN(求节点($C$16:$C$24,G$16:G$24,基础状态预期!N163),求节点($C$28:$C$48,G$28:G$48,基础状态预期!X163)))</f>
        <v>7.4999999999999997E-2</v>
      </c>
      <c r="S151" s="29">
        <f>IF(基础状态预期!Y163="",0,MIN(求节点($C$16:$C$24,H$16:H$24,基础状态预期!O163),求节点($C$28:$C$48,H$28:H$48,基础状态预期!Y163)))</f>
        <v>0.18</v>
      </c>
      <c r="T151" s="29">
        <f>MAX(SUMPRODUCT(O151:S151,基础状态预期!$F163:$J163)/SUM(基础状态预期!$F163:$J163),T150)</f>
        <v>0.16249999999999998</v>
      </c>
      <c r="V151" s="17">
        <v>147</v>
      </c>
      <c r="W151" s="17">
        <f t="shared" si="34"/>
        <v>0.45</v>
      </c>
      <c r="X151" s="17">
        <f t="shared" si="35"/>
        <v>0.45</v>
      </c>
      <c r="Y151" s="17">
        <f t="shared" si="36"/>
        <v>0.45</v>
      </c>
      <c r="Z151" s="17">
        <f t="shared" si="37"/>
        <v>0.45</v>
      </c>
      <c r="AA151" s="17">
        <f t="shared" si="38"/>
        <v>0.45</v>
      </c>
      <c r="AE151" s="29">
        <v>120</v>
      </c>
      <c r="AF151" s="29"/>
      <c r="AG151" s="29">
        <f t="shared" si="42"/>
        <v>0.45</v>
      </c>
      <c r="AH151" s="29"/>
      <c r="AI151" s="29">
        <f>(AG151-AG150)*INDEX([2]大r将兵属性验证!$AX$7:$AX$166,$AE151,1)+AI150</f>
        <v>16756059139.173347</v>
      </c>
      <c r="AJ151" s="14">
        <f t="shared" si="45"/>
        <v>16756059139.173347</v>
      </c>
      <c r="AO151" s="29">
        <f t="shared" si="43"/>
        <v>71.882008108111634</v>
      </c>
      <c r="AP151" s="14">
        <f>MAX(求节点($C$74:$C$79,D$74:D$79,求节点($C$4:$C$12,D$4:D$12,基础状态预期!K163)),AP150)</f>
        <v>0</v>
      </c>
      <c r="AQ151" s="14">
        <f>MAX(求节点($C$74:$C$79,E$74:E$79,求节点($C$4:$C$12,E$4:E$12,基础状态预期!L163)),AQ150)</f>
        <v>0</v>
      </c>
      <c r="AR151" s="14">
        <f>MAX(求节点($C$74:$C$79,F$74:F$79,求节点($C$4:$C$12,F$4:F$12,基础状态预期!M163)),AR150)</f>
        <v>0</v>
      </c>
      <c r="AS151" s="14">
        <f>MAX(求节点($C$74:$C$79,G$74:G$79,求节点($C$4:$C$12,G$4:G$12,基础状态预期!N163)),AS150)</f>
        <v>1</v>
      </c>
      <c r="AT151" s="14">
        <f>MAX(求节点($C$74:$C$79,H$74:H$79,求节点($C$4:$C$12,H$4:H$12,基础状态预期!O163)),AT150)</f>
        <v>2</v>
      </c>
      <c r="AU151" s="14">
        <f>MAX(求节点($C$81:$C$86,D$81:D$86,求节点($C$4:$C$12,D$4:D$12,基础状态预期!K163)),AU150)</f>
        <v>0</v>
      </c>
      <c r="AV151" s="14">
        <f>MAX(求节点($C$81:$C$86,E$81:E$86,求节点($C$4:$C$12,E$4:E$12,基础状态预期!L163)),AV150)</f>
        <v>0</v>
      </c>
      <c r="AW151" s="14">
        <f>MAX(求节点($C$81:$C$86,F$81:F$86,求节点($C$4:$C$12,F$4:F$12,基础状态预期!M163)),AW150)</f>
        <v>0</v>
      </c>
      <c r="AX151" s="14">
        <f>MAX(求节点($C$81:$C$86,G$81:G$86,求节点($C$4:$C$12,G$4:G$12,基础状态预期!N163)),AX150)</f>
        <v>1.954531357087923</v>
      </c>
      <c r="AY151" s="14">
        <f>MAX(求节点($C$81:$C$86,H$81:H$86,求节点($C$4:$C$12,H$4:H$12,基础状态预期!O163)),AY150)</f>
        <v>4</v>
      </c>
      <c r="AZ151" s="14">
        <f>MAX(求节点($C$88:$C$93,D$88:D$93,求节点($C$4:$C$12,D$4:D$12,基础状态预期!K163)),AZ150)</f>
        <v>0</v>
      </c>
      <c r="BA151" s="14">
        <f>MAX(求节点($C$88:$C$93,E$88:E$93,求节点($C$4:$C$12,E$4:E$12,基础状态预期!L163)),BA150)</f>
        <v>0</v>
      </c>
      <c r="BB151" s="14">
        <f>MAX(求节点($C$88:$C$93,F$88:F$93,求节点($C$4:$C$12,F$4:F$12,基础状态预期!M163)),BB150)</f>
        <v>0</v>
      </c>
      <c r="BC151" s="14">
        <f>MAX(求节点($C$88:$C$93,G$88:G$93,求节点($C$4:$C$12,G$4:G$12,基础状态预期!N163)),BC150)</f>
        <v>0</v>
      </c>
      <c r="BD151" s="14">
        <f>MAX(求节点($C$88:$C$93,H$88:H$93,求节点($C$4:$C$12,H$4:H$12,基础状态预期!O163)),BD150)</f>
        <v>0</v>
      </c>
      <c r="BE151" s="14">
        <f t="shared" si="40"/>
        <v>14909.062714175847</v>
      </c>
      <c r="BH151" s="29">
        <v>120</v>
      </c>
      <c r="BI151" s="29">
        <f t="shared" si="41"/>
        <v>429268.08786775597</v>
      </c>
      <c r="BJ151" s="29"/>
      <c r="BK151" s="29">
        <f t="shared" si="46"/>
        <v>429268.08786775597</v>
      </c>
    </row>
    <row r="152" spans="13:63" x14ac:dyDescent="0.15">
      <c r="M152" s="16">
        <v>16</v>
      </c>
      <c r="N152" s="29">
        <f>基础状态预期!D164</f>
        <v>74.493385467679886</v>
      </c>
      <c r="O152" s="29">
        <f>IF(基础状态预期!U164="",0,MIN(求节点($C$16:$C$24,D$16:D$24,基础状态预期!K164),求节点($C$28:$C$48,D$28:D$48,基础状态预期!U164)))</f>
        <v>0</v>
      </c>
      <c r="P152" s="29">
        <f>IF(基础状态预期!V164="",0,MIN(求节点($C$16:$C$24,E$16:E$24,基础状态预期!L164),求节点($C$28:$C$48,E$28:E$48,基础状态预期!V164)))</f>
        <v>0</v>
      </c>
      <c r="Q152" s="29">
        <f>IF(基础状态预期!W164="",0,MIN(求节点($C$16:$C$24,F$16:F$24,基础状态预期!M164),求节点($C$28:$C$48,F$28:F$48,基础状态预期!W164)))</f>
        <v>0</v>
      </c>
      <c r="R152" s="29">
        <f>IF(基础状态预期!X164="",0,MIN(求节点($C$16:$C$24,G$16:G$24,基础状态预期!N164),求节点($C$28:$C$48,G$28:G$48,基础状态预期!X164)))</f>
        <v>0.19460312806079316</v>
      </c>
      <c r="S152" s="29">
        <f>IF(基础状态预期!Y164="",0,MIN(求节点($C$16:$C$24,H$16:H$24,基础状态预期!O164),求节点($C$28:$C$48,H$28:H$48,基础状态预期!Y164)))</f>
        <v>0.18</v>
      </c>
      <c r="T152" s="29">
        <f>MAX(SUMPRODUCT(O152:S152,基础状态预期!$F164:$J164)/SUM(基础状态预期!$F164:$J164),T151)</f>
        <v>0.18121692733839945</v>
      </c>
      <c r="V152" s="17">
        <v>148</v>
      </c>
      <c r="W152" s="17">
        <f t="shared" si="34"/>
        <v>0.45</v>
      </c>
      <c r="X152" s="17">
        <f t="shared" si="35"/>
        <v>0.45</v>
      </c>
      <c r="Y152" s="17">
        <f t="shared" si="36"/>
        <v>0.45</v>
      </c>
      <c r="Z152" s="17">
        <f t="shared" si="37"/>
        <v>0.45</v>
      </c>
      <c r="AA152" s="17">
        <f t="shared" si="38"/>
        <v>0.45</v>
      </c>
      <c r="AE152" s="29">
        <v>130</v>
      </c>
      <c r="AF152" s="29"/>
      <c r="AG152" s="29">
        <f t="shared" si="42"/>
        <v>0.45</v>
      </c>
      <c r="AH152" s="29"/>
      <c r="AI152" s="29">
        <f>(AG152-AG151)*INDEX([2]大r将兵属性验证!$AX$7:$AX$166,$AE152,1)+AI151</f>
        <v>16756059139.173347</v>
      </c>
      <c r="AJ152" s="14">
        <f t="shared" si="45"/>
        <v>16756059139.173347</v>
      </c>
      <c r="AO152" s="29">
        <f t="shared" si="43"/>
        <v>74.493385467679886</v>
      </c>
      <c r="AP152" s="14">
        <f>MAX(求节点($C$74:$C$79,D$74:D$79,求节点($C$4:$C$12,D$4:D$12,基础状态预期!K164)),AP151)</f>
        <v>0</v>
      </c>
      <c r="AQ152" s="14">
        <f>MAX(求节点($C$74:$C$79,E$74:E$79,求节点($C$4:$C$12,E$4:E$12,基础状态预期!L164)),AQ151)</f>
        <v>0</v>
      </c>
      <c r="AR152" s="14">
        <f>MAX(求节点($C$74:$C$79,F$74:F$79,求节点($C$4:$C$12,F$4:F$12,基础状态预期!M164)),AR151)</f>
        <v>0</v>
      </c>
      <c r="AS152" s="14">
        <f>MAX(求节点($C$74:$C$79,G$74:G$79,求节点($C$4:$C$12,G$4:G$12,基础状态预期!N164)),AS151)</f>
        <v>1</v>
      </c>
      <c r="AT152" s="14">
        <f>MAX(求节点($C$74:$C$79,H$74:H$79,求节点($C$4:$C$12,H$4:H$12,基础状态预期!O164)),AT151)</f>
        <v>2</v>
      </c>
      <c r="AU152" s="14">
        <f>MAX(求节点($C$81:$C$86,D$81:D$86,求节点($C$4:$C$12,D$4:D$12,基础状态预期!K164)),AU151)</f>
        <v>0</v>
      </c>
      <c r="AV152" s="14">
        <f>MAX(求节点($C$81:$C$86,E$81:E$86,求节点($C$4:$C$12,E$4:E$12,基础状态预期!L164)),AV151)</f>
        <v>0</v>
      </c>
      <c r="AW152" s="14">
        <f>MAX(求节点($C$81:$C$86,F$81:F$86,求节点($C$4:$C$12,F$4:F$12,基础状态预期!M164)),AW151)</f>
        <v>0</v>
      </c>
      <c r="AX152" s="14">
        <f>MAX(求节点($C$81:$C$86,G$81:G$86,求节点($C$4:$C$12,G$4:G$12,基础状态预期!N164)),AX151)</f>
        <v>2</v>
      </c>
      <c r="AY152" s="14">
        <f>MAX(求节点($C$81:$C$86,H$81:H$86,求节点($C$4:$C$12,H$4:H$12,基础状态预期!O164)),AY151)</f>
        <v>4</v>
      </c>
      <c r="AZ152" s="14">
        <f>MAX(求节点($C$88:$C$93,D$88:D$93,求节点($C$4:$C$12,D$4:D$12,基础状态预期!K164)),AZ151)</f>
        <v>0</v>
      </c>
      <c r="BA152" s="14">
        <f>MAX(求节点($C$88:$C$93,E$88:E$93,求节点($C$4:$C$12,E$4:E$12,基础状态预期!L164)),BA151)</f>
        <v>0</v>
      </c>
      <c r="BB152" s="14">
        <f>MAX(求节点($C$88:$C$93,F$88:F$93,求节点($C$4:$C$12,F$4:F$12,基础状态预期!M164)),BB151)</f>
        <v>0</v>
      </c>
      <c r="BC152" s="14">
        <f>MAX(求节点($C$88:$C$93,G$88:G$93,求节点($C$4:$C$12,G$4:G$12,基础状态预期!N164)),BC151)</f>
        <v>3.7835109834694975</v>
      </c>
      <c r="BD152" s="14">
        <f>MAX(求节点($C$88:$C$93,H$88:H$93,求节点($C$4:$C$12,H$4:H$12,基础状态预期!O164)),BD151)</f>
        <v>0</v>
      </c>
      <c r="BE152" s="14">
        <f t="shared" si="40"/>
        <v>45268.087867755981</v>
      </c>
      <c r="BH152" s="29">
        <v>130</v>
      </c>
      <c r="BI152" s="29">
        <f t="shared" si="41"/>
        <v>429268.08786775597</v>
      </c>
      <c r="BJ152" s="29"/>
      <c r="BK152" s="29">
        <f t="shared" si="46"/>
        <v>429268.08786775597</v>
      </c>
    </row>
    <row r="153" spans="13:63" x14ac:dyDescent="0.15">
      <c r="M153" s="16">
        <v>17</v>
      </c>
      <c r="N153" s="29">
        <f>基础状态预期!D165</f>
        <v>77.332919927503724</v>
      </c>
      <c r="O153" s="29">
        <f>IF(基础状态预期!U165="",0,MIN(求节点($C$16:$C$24,D$16:D$24,基础状态预期!K165),求节点($C$28:$C$48,D$28:D$48,基础状态预期!U165)))</f>
        <v>0</v>
      </c>
      <c r="P153" s="29">
        <f>IF(基础状态预期!V165="",0,MIN(求节点($C$16:$C$24,E$16:E$24,基础状态预期!L165),求节点($C$28:$C$48,E$28:E$48,基础状态预期!V165)))</f>
        <v>0</v>
      </c>
      <c r="Q153" s="29">
        <f>IF(基础状态预期!W165="",0,MIN(求节点($C$16:$C$24,F$16:F$24,基础状态预期!M165),求节点($C$28:$C$48,F$28:F$48,基础状态预期!W165)))</f>
        <v>0</v>
      </c>
      <c r="R153" s="29">
        <f>IF(基础状态预期!X165="",0,MIN(求节点($C$16:$C$24,G$16:G$24,基础状态预期!N165),求节点($C$28:$C$48,G$28:G$48,基础状态预期!X165)))</f>
        <v>0</v>
      </c>
      <c r="S153" s="29">
        <f>IF(基础状态预期!Y165="",0,MIN(求节点($C$16:$C$24,H$16:H$24,基础状态预期!O165),求节点($C$28:$C$48,H$28:H$48,基础状态预期!Y165)))</f>
        <v>0.25164747317921571</v>
      </c>
      <c r="T153" s="29">
        <f>MAX(SUMPRODUCT(O153:S153,基础状态预期!$F165:$J165)/SUM(基础状态预期!$F165:$J165),T152)</f>
        <v>0.25164747317921571</v>
      </c>
      <c r="V153" s="17">
        <v>149</v>
      </c>
      <c r="W153" s="17">
        <f t="shared" si="34"/>
        <v>0.45</v>
      </c>
      <c r="X153" s="17">
        <f t="shared" si="35"/>
        <v>0.45</v>
      </c>
      <c r="Y153" s="17">
        <f t="shared" si="36"/>
        <v>0.45</v>
      </c>
      <c r="Z153" s="17">
        <f t="shared" si="37"/>
        <v>0.45</v>
      </c>
      <c r="AA153" s="17">
        <f t="shared" si="38"/>
        <v>0.45</v>
      </c>
      <c r="AE153" s="29">
        <v>140</v>
      </c>
      <c r="AF153" s="29"/>
      <c r="AG153" s="29">
        <f t="shared" si="42"/>
        <v>0.45</v>
      </c>
      <c r="AH153" s="29"/>
      <c r="AI153" s="29">
        <f>(AG153-AG152)*INDEX([2]大r将兵属性验证!$AX$7:$AX$166,$AE153,1)+AI152</f>
        <v>16756059139.173347</v>
      </c>
      <c r="AJ153" s="14">
        <f t="shared" si="45"/>
        <v>16756059139.173347</v>
      </c>
      <c r="AO153" s="29">
        <f t="shared" si="43"/>
        <v>77.332919927503724</v>
      </c>
      <c r="AP153" s="14">
        <f>MAX(求节点($C$74:$C$79,D$74:D$79,求节点($C$4:$C$12,D$4:D$12,基础状态预期!K165)),AP152)</f>
        <v>0</v>
      </c>
      <c r="AQ153" s="14">
        <f>MAX(求节点($C$74:$C$79,E$74:E$79,求节点($C$4:$C$12,E$4:E$12,基础状态预期!L165)),AQ152)</f>
        <v>0</v>
      </c>
      <c r="AR153" s="14">
        <f>MAX(求节点($C$74:$C$79,F$74:F$79,求节点($C$4:$C$12,F$4:F$12,基础状态预期!M165)),AR152)</f>
        <v>0</v>
      </c>
      <c r="AS153" s="14">
        <f>MAX(求节点($C$74:$C$79,G$74:G$79,求节点($C$4:$C$12,G$4:G$12,基础状态预期!N165)),AS152)</f>
        <v>1</v>
      </c>
      <c r="AT153" s="14">
        <f>MAX(求节点($C$74:$C$79,H$74:H$79,求节点($C$4:$C$12,H$4:H$12,基础状态预期!O165)),AT152)</f>
        <v>2</v>
      </c>
      <c r="AU153" s="14">
        <f>MAX(求节点($C$81:$C$86,D$81:D$86,求节点($C$4:$C$12,D$4:D$12,基础状态预期!K165)),AU152)</f>
        <v>0</v>
      </c>
      <c r="AV153" s="14">
        <f>MAX(求节点($C$81:$C$86,E$81:E$86,求节点($C$4:$C$12,E$4:E$12,基础状态预期!L165)),AV152)</f>
        <v>0</v>
      </c>
      <c r="AW153" s="14">
        <f>MAX(求节点($C$81:$C$86,F$81:F$86,求节点($C$4:$C$12,F$4:F$12,基础状态预期!M165)),AW152)</f>
        <v>0</v>
      </c>
      <c r="AX153" s="14">
        <f>MAX(求节点($C$81:$C$86,G$81:G$86,求节点($C$4:$C$12,G$4:G$12,基础状态预期!N165)),AX152)</f>
        <v>2</v>
      </c>
      <c r="AY153" s="14">
        <f>MAX(求节点($C$81:$C$86,H$81:H$86,求节点($C$4:$C$12,H$4:H$12,基础状态预期!O165)),AY152)</f>
        <v>4</v>
      </c>
      <c r="AZ153" s="14">
        <f>MAX(求节点($C$88:$C$93,D$88:D$93,求节点($C$4:$C$12,D$4:D$12,基础状态预期!K165)),AZ152)</f>
        <v>0</v>
      </c>
      <c r="BA153" s="14">
        <f>MAX(求节点($C$88:$C$93,E$88:E$93,求节点($C$4:$C$12,E$4:E$12,基础状态预期!L165)),BA152)</f>
        <v>0</v>
      </c>
      <c r="BB153" s="14">
        <f>MAX(求节点($C$88:$C$93,F$88:F$93,求节点($C$4:$C$12,F$4:F$12,基础状态预期!M165)),BB152)</f>
        <v>0</v>
      </c>
      <c r="BC153" s="14">
        <f>MAX(求节点($C$88:$C$93,G$88:G$93,求节点($C$4:$C$12,G$4:G$12,基础状态预期!N165)),BC152)</f>
        <v>3.7835109834694975</v>
      </c>
      <c r="BD153" s="14">
        <f>MAX(求节点($C$88:$C$93,H$88:H$93,求节点($C$4:$C$12,H$4:H$12,基础状态预期!O165)),BD152)</f>
        <v>6.3686642825969528</v>
      </c>
      <c r="BE153" s="14">
        <f t="shared" si="40"/>
        <v>96217.402128531598</v>
      </c>
      <c r="BH153" s="29">
        <v>140</v>
      </c>
      <c r="BI153" s="29">
        <f t="shared" si="41"/>
        <v>429268.08786775597</v>
      </c>
      <c r="BJ153" s="29"/>
      <c r="BK153" s="29">
        <f t="shared" si="46"/>
        <v>429268.08786775597</v>
      </c>
    </row>
    <row r="154" spans="13:63" x14ac:dyDescent="0.15">
      <c r="M154" s="16">
        <v>18</v>
      </c>
      <c r="N154" s="29">
        <f>基础状态预期!D166</f>
        <v>79.813360188853366</v>
      </c>
      <c r="O154" s="29">
        <f>IF(基础状态预期!U166="",0,MIN(求节点($C$16:$C$24,D$16:D$24,基础状态预期!K166),求节点($C$28:$C$48,D$28:D$48,基础状态预期!U166)))</f>
        <v>0</v>
      </c>
      <c r="P154" s="29">
        <f>IF(基础状态预期!V166="",0,MIN(求节点($C$16:$C$24,E$16:E$24,基础状态预期!L166),求节点($C$28:$C$48,E$28:E$48,基础状态预期!V166)))</f>
        <v>0</v>
      </c>
      <c r="Q154" s="29">
        <f>IF(基础状态预期!W166="",0,MIN(求节点($C$16:$C$24,F$16:F$24,基础状态预期!M166),求节点($C$28:$C$48,F$28:F$48,基础状态预期!W166)))</f>
        <v>0</v>
      </c>
      <c r="R154" s="29">
        <f>IF(基础状态预期!X166="",0,MIN(求节点($C$16:$C$24,G$16:G$24,基础状态预期!N166),求节点($C$28:$C$48,G$28:G$48,基础状态预期!X166)))</f>
        <v>0</v>
      </c>
      <c r="S154" s="29">
        <f>IF(基础状态预期!Y166="",0,MIN(求节点($C$16:$C$24,H$16:H$24,基础状态预期!O166),求节点($C$28:$C$48,H$28:H$48,基础状态预期!Y166)))</f>
        <v>0.44796447898272557</v>
      </c>
      <c r="T154" s="29">
        <f>MAX(SUMPRODUCT(O154:S154,基础状态预期!$F166:$J166)/SUM(基础状态预期!$F166:$J166),T153)</f>
        <v>0.44796447898272557</v>
      </c>
      <c r="V154" s="17">
        <v>150</v>
      </c>
      <c r="W154" s="17">
        <f t="shared" si="34"/>
        <v>0.45</v>
      </c>
      <c r="X154" s="17">
        <f t="shared" si="35"/>
        <v>0.45</v>
      </c>
      <c r="Y154" s="17">
        <f t="shared" si="36"/>
        <v>0.45</v>
      </c>
      <c r="Z154" s="17">
        <f t="shared" si="37"/>
        <v>0.45</v>
      </c>
      <c r="AA154" s="17">
        <f t="shared" si="38"/>
        <v>0.45</v>
      </c>
      <c r="AE154" s="29">
        <v>150</v>
      </c>
      <c r="AF154" s="29"/>
      <c r="AG154" s="29">
        <f t="shared" si="42"/>
        <v>0.45</v>
      </c>
      <c r="AH154" s="29"/>
      <c r="AI154" s="29">
        <f>(AG154-AG153)*INDEX([2]大r将兵属性验证!$AX$7:$AX$166,$AE154,1)+AI153</f>
        <v>16756059139.173347</v>
      </c>
      <c r="AJ154" s="14">
        <f t="shared" si="45"/>
        <v>16756059139.173347</v>
      </c>
      <c r="AO154" s="29">
        <f t="shared" si="43"/>
        <v>79.813360188853366</v>
      </c>
      <c r="AP154" s="14">
        <f>MAX(求节点($C$74:$C$79,D$74:D$79,求节点($C$4:$C$12,D$4:D$12,基础状态预期!K166)),AP153)</f>
        <v>0</v>
      </c>
      <c r="AQ154" s="14">
        <f>MAX(求节点($C$74:$C$79,E$74:E$79,求节点($C$4:$C$12,E$4:E$12,基础状态预期!L166)),AQ153)</f>
        <v>0</v>
      </c>
      <c r="AR154" s="14">
        <f>MAX(求节点($C$74:$C$79,F$74:F$79,求节点($C$4:$C$12,F$4:F$12,基础状态预期!M166)),AR153)</f>
        <v>0</v>
      </c>
      <c r="AS154" s="14">
        <f>MAX(求节点($C$74:$C$79,G$74:G$79,求节点($C$4:$C$12,G$4:G$12,基础状态预期!N166)),AS153)</f>
        <v>1</v>
      </c>
      <c r="AT154" s="14">
        <f>MAX(求节点($C$74:$C$79,H$74:H$79,求节点($C$4:$C$12,H$4:H$12,基础状态预期!O166)),AT153)</f>
        <v>2</v>
      </c>
      <c r="AU154" s="14">
        <f>MAX(求节点($C$81:$C$86,D$81:D$86,求节点($C$4:$C$12,D$4:D$12,基础状态预期!K166)),AU153)</f>
        <v>0</v>
      </c>
      <c r="AV154" s="14">
        <f>MAX(求节点($C$81:$C$86,E$81:E$86,求节点($C$4:$C$12,E$4:E$12,基础状态预期!L166)),AV153)</f>
        <v>0</v>
      </c>
      <c r="AW154" s="14">
        <f>MAX(求节点($C$81:$C$86,F$81:F$86,求节点($C$4:$C$12,F$4:F$12,基础状态预期!M166)),AW153)</f>
        <v>0</v>
      </c>
      <c r="AX154" s="14">
        <f>MAX(求节点($C$81:$C$86,G$81:G$86,求节点($C$4:$C$12,G$4:G$12,基础状态预期!N166)),AX153)</f>
        <v>2</v>
      </c>
      <c r="AY154" s="14">
        <f>MAX(求节点($C$81:$C$86,H$81:H$86,求节点($C$4:$C$12,H$4:H$12,基础状态预期!O166)),AY153)</f>
        <v>4</v>
      </c>
      <c r="AZ154" s="14">
        <f>MAX(求节点($C$88:$C$93,D$88:D$93,求节点($C$4:$C$12,D$4:D$12,基础状态预期!K166)),AZ153)</f>
        <v>0</v>
      </c>
      <c r="BA154" s="14">
        <f>MAX(求节点($C$88:$C$93,E$88:E$93,求节点($C$4:$C$12,E$4:E$12,基础状态预期!L166)),BA153)</f>
        <v>0</v>
      </c>
      <c r="BB154" s="14">
        <f>MAX(求节点($C$88:$C$93,F$88:F$93,求节点($C$4:$C$12,F$4:F$12,基础状态预期!M166)),BB153)</f>
        <v>0</v>
      </c>
      <c r="BC154" s="14">
        <f>MAX(求节点($C$88:$C$93,G$88:G$93,求节点($C$4:$C$12,G$4:G$12,基础状态预期!N166)),BC153)</f>
        <v>3.7835109834694975</v>
      </c>
      <c r="BD154" s="14">
        <f>MAX(求节点($C$88:$C$93,H$88:H$93,求节点($C$4:$C$12,H$4:H$12,基础状态预期!O166)),BD153)</f>
        <v>47.457194395393486</v>
      </c>
      <c r="BE154" s="14">
        <f t="shared" si="40"/>
        <v>424925.64303090388</v>
      </c>
      <c r="BH154" s="29">
        <v>150</v>
      </c>
      <c r="BI154" s="29">
        <f t="shared" si="41"/>
        <v>429268.08786775597</v>
      </c>
      <c r="BJ154" s="29"/>
      <c r="BK154" s="29">
        <f t="shared" si="46"/>
        <v>429268.08786775597</v>
      </c>
    </row>
    <row r="155" spans="13:63" x14ac:dyDescent="0.15">
      <c r="M155" s="16">
        <v>19</v>
      </c>
      <c r="N155" s="29">
        <f>基础状态预期!D167</f>
        <v>81.919202803497143</v>
      </c>
      <c r="O155" s="29">
        <f>IF(基础状态预期!U167="",0,MIN(求节点($C$16:$C$24,D$16:D$24,基础状态预期!K167),求节点($C$28:$C$48,D$28:D$48,基础状态预期!U167)))</f>
        <v>0</v>
      </c>
      <c r="P155" s="29">
        <f>IF(基础状态预期!V167="",0,MIN(求节点($C$16:$C$24,E$16:E$24,基础状态预期!L167),求节点($C$28:$C$48,E$28:E$48,基础状态预期!V167)))</f>
        <v>0</v>
      </c>
      <c r="Q155" s="29">
        <f>IF(基础状态预期!W167="",0,MIN(求节点($C$16:$C$24,F$16:F$24,基础状态预期!M167),求节点($C$28:$C$48,F$28:F$48,基础状态预期!W167)))</f>
        <v>0</v>
      </c>
      <c r="R155" s="29">
        <f>IF(基础状态预期!X167="",0,MIN(求节点($C$16:$C$24,G$16:G$24,基础状态预期!N167),求节点($C$28:$C$48,G$28:G$48,基础状态预期!X167)))</f>
        <v>0</v>
      </c>
      <c r="S155" s="29">
        <f>IF(基础状态预期!Y167="",0,MIN(求节点($C$16:$C$24,H$16:H$24,基础状态预期!O167),求节点($C$28:$C$48,H$28:H$48,基础状态预期!Y167)))</f>
        <v>0.45</v>
      </c>
      <c r="T155" s="29">
        <f>MAX(SUMPRODUCT(O155:S155,基础状态预期!$F167:$J167)/SUM(基础状态预期!$F167:$J167),T154)</f>
        <v>0.45</v>
      </c>
      <c r="V155" s="17">
        <v>151</v>
      </c>
      <c r="W155" s="17">
        <f t="shared" si="34"/>
        <v>0.45</v>
      </c>
      <c r="X155" s="17">
        <f t="shared" si="35"/>
        <v>0.45</v>
      </c>
      <c r="Y155" s="17">
        <f t="shared" si="36"/>
        <v>0.45</v>
      </c>
      <c r="Z155" s="17">
        <f t="shared" si="37"/>
        <v>0.45</v>
      </c>
      <c r="AA155" s="17">
        <f t="shared" si="38"/>
        <v>0.45</v>
      </c>
      <c r="AE155" s="29">
        <v>160</v>
      </c>
      <c r="AF155" s="29"/>
      <c r="AG155" s="29">
        <f t="shared" si="42"/>
        <v>0.45</v>
      </c>
      <c r="AH155" s="29"/>
      <c r="AI155" s="29">
        <f>(AG155-AG154)*INDEX([2]大r将兵属性验证!$AX$7:$AX$166,$AE155,1)+AI154</f>
        <v>16756059139.173347</v>
      </c>
      <c r="AJ155" s="14">
        <f t="shared" si="45"/>
        <v>16756059139.173347</v>
      </c>
      <c r="AO155" s="29">
        <f t="shared" si="43"/>
        <v>81.919202803497143</v>
      </c>
      <c r="AP155" s="14">
        <f>MAX(求节点($C$74:$C$79,D$74:D$79,求节点($C$4:$C$12,D$4:D$12,基础状态预期!K167)),AP154)</f>
        <v>0</v>
      </c>
      <c r="AQ155" s="14">
        <f>MAX(求节点($C$74:$C$79,E$74:E$79,求节点($C$4:$C$12,E$4:E$12,基础状态预期!L167)),AQ154)</f>
        <v>0</v>
      </c>
      <c r="AR155" s="14">
        <f>MAX(求节点($C$74:$C$79,F$74:F$79,求节点($C$4:$C$12,F$4:F$12,基础状态预期!M167)),AR154)</f>
        <v>0</v>
      </c>
      <c r="AS155" s="14">
        <f>MAX(求节点($C$74:$C$79,G$74:G$79,求节点($C$4:$C$12,G$4:G$12,基础状态预期!N167)),AS154)</f>
        <v>1</v>
      </c>
      <c r="AT155" s="14">
        <f>MAX(求节点($C$74:$C$79,H$74:H$79,求节点($C$4:$C$12,H$4:H$12,基础状态预期!O167)),AT154)</f>
        <v>2</v>
      </c>
      <c r="AU155" s="14">
        <f>MAX(求节点($C$81:$C$86,D$81:D$86,求节点($C$4:$C$12,D$4:D$12,基础状态预期!K167)),AU154)</f>
        <v>0</v>
      </c>
      <c r="AV155" s="14">
        <f>MAX(求节点($C$81:$C$86,E$81:E$86,求节点($C$4:$C$12,E$4:E$12,基础状态预期!L167)),AV154)</f>
        <v>0</v>
      </c>
      <c r="AW155" s="14">
        <f>MAX(求节点($C$81:$C$86,F$81:F$86,求节点($C$4:$C$12,F$4:F$12,基础状态预期!M167)),AW154)</f>
        <v>0</v>
      </c>
      <c r="AX155" s="14">
        <f>MAX(求节点($C$81:$C$86,G$81:G$86,求节点($C$4:$C$12,G$4:G$12,基础状态预期!N167)),AX154)</f>
        <v>2</v>
      </c>
      <c r="AY155" s="14">
        <f>MAX(求节点($C$81:$C$86,H$81:H$86,求节点($C$4:$C$12,H$4:H$12,基础状态预期!O167)),AY154)</f>
        <v>4</v>
      </c>
      <c r="AZ155" s="14">
        <f>MAX(求节点($C$88:$C$93,D$88:D$93,求节点($C$4:$C$12,D$4:D$12,基础状态预期!K167)),AZ154)</f>
        <v>0</v>
      </c>
      <c r="BA155" s="14">
        <f>MAX(求节点($C$88:$C$93,E$88:E$93,求节点($C$4:$C$12,E$4:E$12,基础状态预期!L167)),BA154)</f>
        <v>0</v>
      </c>
      <c r="BB155" s="14">
        <f>MAX(求节点($C$88:$C$93,F$88:F$93,求节点($C$4:$C$12,F$4:F$12,基础状态预期!M167)),BB154)</f>
        <v>0</v>
      </c>
      <c r="BC155" s="14">
        <f>MAX(求节点($C$88:$C$93,G$88:G$93,求节点($C$4:$C$12,G$4:G$12,基础状态预期!N167)),BC154)</f>
        <v>3.7835109834694975</v>
      </c>
      <c r="BD155" s="14">
        <f>MAX(求节点($C$88:$C$93,H$88:H$93,求节点($C$4:$C$12,H$4:H$12,基础状态预期!O167)),BD154)</f>
        <v>48</v>
      </c>
      <c r="BE155" s="14">
        <f t="shared" si="40"/>
        <v>429268.08786775597</v>
      </c>
      <c r="BH155" s="29">
        <v>160</v>
      </c>
      <c r="BI155" s="29">
        <f t="shared" si="41"/>
        <v>429268.08786775597</v>
      </c>
      <c r="BJ155" s="29"/>
      <c r="BK155" s="29">
        <f t="shared" si="46"/>
        <v>429268.08786775597</v>
      </c>
    </row>
    <row r="156" spans="13:63" x14ac:dyDescent="0.15">
      <c r="M156" s="16">
        <v>20</v>
      </c>
      <c r="N156" s="29">
        <f>基础状态预期!D168</f>
        <v>83.738783536778797</v>
      </c>
      <c r="O156" s="29">
        <f>IF(基础状态预期!U168="",0,MIN(求节点($C$16:$C$24,D$16:D$24,基础状态预期!K168),求节点($C$28:$C$48,D$28:D$48,基础状态预期!U168)))</f>
        <v>0</v>
      </c>
      <c r="P156" s="29">
        <f>IF(基础状态预期!V168="",0,MIN(求节点($C$16:$C$24,E$16:E$24,基础状态预期!L168),求节点($C$28:$C$48,E$28:E$48,基础状态预期!V168)))</f>
        <v>0</v>
      </c>
      <c r="Q156" s="29">
        <f>IF(基础状态预期!W168="",0,MIN(求节点($C$16:$C$24,F$16:F$24,基础状态预期!M168),求节点($C$28:$C$48,F$28:F$48,基础状态预期!W168)))</f>
        <v>0</v>
      </c>
      <c r="R156" s="29">
        <f>IF(基础状态预期!X168="",0,MIN(求节点($C$16:$C$24,G$16:G$24,基础状态预期!N168),求节点($C$28:$C$48,G$28:G$48,基础状态预期!X168)))</f>
        <v>0</v>
      </c>
      <c r="S156" s="29">
        <f>IF(基础状态预期!Y168="",0,MIN(求节点($C$16:$C$24,H$16:H$24,基础状态预期!O168),求节点($C$28:$C$48,H$28:H$48,基础状态预期!Y168)))</f>
        <v>0.45</v>
      </c>
      <c r="T156" s="29">
        <f>MAX(SUMPRODUCT(O156:S156,基础状态预期!$F168:$J168)/SUM(基础状态预期!$F168:$J168),T155)</f>
        <v>0.45</v>
      </c>
      <c r="V156" s="17">
        <v>152</v>
      </c>
      <c r="W156" s="17">
        <f t="shared" si="34"/>
        <v>0.45</v>
      </c>
      <c r="X156" s="17">
        <f t="shared" si="35"/>
        <v>0.45</v>
      </c>
      <c r="Y156" s="17">
        <f t="shared" si="36"/>
        <v>0.45</v>
      </c>
      <c r="Z156" s="17">
        <f t="shared" si="37"/>
        <v>0.45</v>
      </c>
      <c r="AA156" s="17">
        <f t="shared" si="38"/>
        <v>0.45</v>
      </c>
      <c r="AO156" s="29">
        <f t="shared" si="43"/>
        <v>83.738783536778797</v>
      </c>
      <c r="AP156" s="14">
        <f>MAX(求节点($C$74:$C$79,D$74:D$79,求节点($C$4:$C$12,D$4:D$12,基础状态预期!K168)),AP155)</f>
        <v>0</v>
      </c>
      <c r="AQ156" s="14">
        <f>MAX(求节点($C$74:$C$79,E$74:E$79,求节点($C$4:$C$12,E$4:E$12,基础状态预期!L168)),AQ155)</f>
        <v>0</v>
      </c>
      <c r="AR156" s="14">
        <f>MAX(求节点($C$74:$C$79,F$74:F$79,求节点($C$4:$C$12,F$4:F$12,基础状态预期!M168)),AR155)</f>
        <v>0</v>
      </c>
      <c r="AS156" s="14">
        <f>MAX(求节点($C$74:$C$79,G$74:G$79,求节点($C$4:$C$12,G$4:G$12,基础状态预期!N168)),AS155)</f>
        <v>1</v>
      </c>
      <c r="AT156" s="14">
        <f>MAX(求节点($C$74:$C$79,H$74:H$79,求节点($C$4:$C$12,H$4:H$12,基础状态预期!O168)),AT155)</f>
        <v>2</v>
      </c>
      <c r="AU156" s="14">
        <f>MAX(求节点($C$81:$C$86,D$81:D$86,求节点($C$4:$C$12,D$4:D$12,基础状态预期!K168)),AU155)</f>
        <v>0</v>
      </c>
      <c r="AV156" s="14">
        <f>MAX(求节点($C$81:$C$86,E$81:E$86,求节点($C$4:$C$12,E$4:E$12,基础状态预期!L168)),AV155)</f>
        <v>0</v>
      </c>
      <c r="AW156" s="14">
        <f>MAX(求节点($C$81:$C$86,F$81:F$86,求节点($C$4:$C$12,F$4:F$12,基础状态预期!M168)),AW155)</f>
        <v>0</v>
      </c>
      <c r="AX156" s="14">
        <f>MAX(求节点($C$81:$C$86,G$81:G$86,求节点($C$4:$C$12,G$4:G$12,基础状态预期!N168)),AX155)</f>
        <v>2</v>
      </c>
      <c r="AY156" s="14">
        <f>MAX(求节点($C$81:$C$86,H$81:H$86,求节点($C$4:$C$12,H$4:H$12,基础状态预期!O168)),AY155)</f>
        <v>4</v>
      </c>
      <c r="AZ156" s="14">
        <f>MAX(求节点($C$88:$C$93,D$88:D$93,求节点($C$4:$C$12,D$4:D$12,基础状态预期!K168)),AZ155)</f>
        <v>0</v>
      </c>
      <c r="BA156" s="14">
        <f>MAX(求节点($C$88:$C$93,E$88:E$93,求节点($C$4:$C$12,E$4:E$12,基础状态预期!L168)),BA155)</f>
        <v>0</v>
      </c>
      <c r="BB156" s="14">
        <f>MAX(求节点($C$88:$C$93,F$88:F$93,求节点($C$4:$C$12,F$4:F$12,基础状态预期!M168)),BB155)</f>
        <v>0</v>
      </c>
      <c r="BC156" s="14">
        <f>MAX(求节点($C$88:$C$93,G$88:G$93,求节点($C$4:$C$12,G$4:G$12,基础状态预期!N168)),BC155)</f>
        <v>3.7835109834694975</v>
      </c>
      <c r="BD156" s="14">
        <f>MAX(求节点($C$88:$C$93,H$88:H$93,求节点($C$4:$C$12,H$4:H$12,基础状态预期!O168)),BD155)</f>
        <v>48</v>
      </c>
      <c r="BE156" s="14">
        <f t="shared" si="40"/>
        <v>429268.08786775597</v>
      </c>
    </row>
    <row r="157" spans="13:63" x14ac:dyDescent="0.15">
      <c r="M157" s="16">
        <v>21</v>
      </c>
      <c r="N157" s="29">
        <f>基础状态预期!D169</f>
        <v>86.045919706798657</v>
      </c>
      <c r="O157" s="29">
        <f>IF(基础状态预期!U169="",0,MIN(求节点($C$16:$C$24,D$16:D$24,基础状态预期!K169),求节点($C$28:$C$48,D$28:D$48,基础状态预期!U169)))</f>
        <v>0</v>
      </c>
      <c r="P157" s="29">
        <f>IF(基础状态预期!V169="",0,MIN(求节点($C$16:$C$24,E$16:E$24,基础状态预期!L169),求节点($C$28:$C$48,E$28:E$48,基础状态预期!V169)))</f>
        <v>0</v>
      </c>
      <c r="Q157" s="29">
        <f>IF(基础状态预期!W169="",0,MIN(求节点($C$16:$C$24,F$16:F$24,基础状态预期!M169),求节点($C$28:$C$48,F$28:F$48,基础状态预期!W169)))</f>
        <v>0</v>
      </c>
      <c r="R157" s="29">
        <f>IF(基础状态预期!X169="",0,MIN(求节点($C$16:$C$24,G$16:G$24,基础状态预期!N169),求节点($C$28:$C$48,G$28:G$48,基础状态预期!X169)))</f>
        <v>0</v>
      </c>
      <c r="S157" s="29">
        <f>IF(基础状态预期!Y169="",0,MIN(求节点($C$16:$C$24,H$16:H$24,基础状态预期!O169),求节点($C$28:$C$48,H$28:H$48,基础状态预期!Y169)))</f>
        <v>0.45</v>
      </c>
      <c r="T157" s="29">
        <f>MAX(SUMPRODUCT(O157:S157,基础状态预期!$F169:$J169)/SUM(基础状态预期!$F169:$J169),T156)</f>
        <v>0.45</v>
      </c>
      <c r="V157" s="17">
        <v>153</v>
      </c>
      <c r="W157" s="17">
        <f t="shared" si="34"/>
        <v>0.45</v>
      </c>
      <c r="X157" s="17">
        <f t="shared" si="35"/>
        <v>0.45</v>
      </c>
      <c r="Y157" s="17">
        <f t="shared" si="36"/>
        <v>0.45</v>
      </c>
      <c r="Z157" s="17">
        <f t="shared" si="37"/>
        <v>0.45</v>
      </c>
      <c r="AA157" s="17">
        <f t="shared" si="38"/>
        <v>0.45</v>
      </c>
      <c r="AO157" s="29">
        <f t="shared" si="43"/>
        <v>86.045919706798657</v>
      </c>
      <c r="AP157" s="14">
        <f>MAX(求节点($C$74:$C$79,D$74:D$79,求节点($C$4:$C$12,D$4:D$12,基础状态预期!K169)),AP156)</f>
        <v>0</v>
      </c>
      <c r="AQ157" s="14">
        <f>MAX(求节点($C$74:$C$79,E$74:E$79,求节点($C$4:$C$12,E$4:E$12,基础状态预期!L169)),AQ156)</f>
        <v>0</v>
      </c>
      <c r="AR157" s="14">
        <f>MAX(求节点($C$74:$C$79,F$74:F$79,求节点($C$4:$C$12,F$4:F$12,基础状态预期!M169)),AR156)</f>
        <v>0</v>
      </c>
      <c r="AS157" s="14">
        <f>MAX(求节点($C$74:$C$79,G$74:G$79,求节点($C$4:$C$12,G$4:G$12,基础状态预期!N169)),AS156)</f>
        <v>1</v>
      </c>
      <c r="AT157" s="14">
        <f>MAX(求节点($C$74:$C$79,H$74:H$79,求节点($C$4:$C$12,H$4:H$12,基础状态预期!O169)),AT156)</f>
        <v>2</v>
      </c>
      <c r="AU157" s="14">
        <f>MAX(求节点($C$81:$C$86,D$81:D$86,求节点($C$4:$C$12,D$4:D$12,基础状态预期!K169)),AU156)</f>
        <v>0</v>
      </c>
      <c r="AV157" s="14">
        <f>MAX(求节点($C$81:$C$86,E$81:E$86,求节点($C$4:$C$12,E$4:E$12,基础状态预期!L169)),AV156)</f>
        <v>0</v>
      </c>
      <c r="AW157" s="14">
        <f>MAX(求节点($C$81:$C$86,F$81:F$86,求节点($C$4:$C$12,F$4:F$12,基础状态预期!M169)),AW156)</f>
        <v>0</v>
      </c>
      <c r="AX157" s="14">
        <f>MAX(求节点($C$81:$C$86,G$81:G$86,求节点($C$4:$C$12,G$4:G$12,基础状态预期!N169)),AX156)</f>
        <v>2</v>
      </c>
      <c r="AY157" s="14">
        <f>MAX(求节点($C$81:$C$86,H$81:H$86,求节点($C$4:$C$12,H$4:H$12,基础状态预期!O169)),AY156)</f>
        <v>4</v>
      </c>
      <c r="AZ157" s="14">
        <f>MAX(求节点($C$88:$C$93,D$88:D$93,求节点($C$4:$C$12,D$4:D$12,基础状态预期!K169)),AZ156)</f>
        <v>0</v>
      </c>
      <c r="BA157" s="14">
        <f>MAX(求节点($C$88:$C$93,E$88:E$93,求节点($C$4:$C$12,E$4:E$12,基础状态预期!L169)),BA156)</f>
        <v>0</v>
      </c>
      <c r="BB157" s="14">
        <f>MAX(求节点($C$88:$C$93,F$88:F$93,求节点($C$4:$C$12,F$4:F$12,基础状态预期!M169)),BB156)</f>
        <v>0</v>
      </c>
      <c r="BC157" s="14">
        <f>MAX(求节点($C$88:$C$93,G$88:G$93,求节点($C$4:$C$12,G$4:G$12,基础状态预期!N169)),BC156)</f>
        <v>3.7835109834694975</v>
      </c>
      <c r="BD157" s="14">
        <f>MAX(求节点($C$88:$C$93,H$88:H$93,求节点($C$4:$C$12,H$4:H$12,基础状态预期!O169)),BD156)</f>
        <v>48</v>
      </c>
      <c r="BE157" s="14">
        <f t="shared" si="40"/>
        <v>429268.08786775597</v>
      </c>
    </row>
    <row r="158" spans="13:63" x14ac:dyDescent="0.15">
      <c r="M158" s="16">
        <v>22</v>
      </c>
      <c r="N158" s="29">
        <f>基础状态预期!D170</f>
        <v>90.288435080379244</v>
      </c>
      <c r="O158" s="29">
        <f>IF(基础状态预期!U170="",0,MIN(求节点($C$16:$C$24,D$16:D$24,基础状态预期!K170),求节点($C$28:$C$48,D$28:D$48,基础状态预期!U170)))</f>
        <v>0</v>
      </c>
      <c r="P158" s="29">
        <f>IF(基础状态预期!V170="",0,MIN(求节点($C$16:$C$24,E$16:E$24,基础状态预期!L170),求节点($C$28:$C$48,E$28:E$48,基础状态预期!V170)))</f>
        <v>0</v>
      </c>
      <c r="Q158" s="29">
        <f>IF(基础状态预期!W170="",0,MIN(求节点($C$16:$C$24,F$16:F$24,基础状态预期!M170),求节点($C$28:$C$48,F$28:F$48,基础状态预期!W170)))</f>
        <v>0</v>
      </c>
      <c r="R158" s="29">
        <f>IF(基础状态预期!X170="",0,MIN(求节点($C$16:$C$24,G$16:G$24,基础状态预期!N170),求节点($C$28:$C$48,G$28:G$48,基础状态预期!X170)))</f>
        <v>0</v>
      </c>
      <c r="S158" s="29">
        <f>IF(基础状态预期!Y170="",0,MIN(求节点($C$16:$C$24,H$16:H$24,基础状态预期!O170),求节点($C$28:$C$48,H$28:H$48,基础状态预期!Y170)))</f>
        <v>0.45</v>
      </c>
      <c r="T158" s="29">
        <f>MAX(SUMPRODUCT(O158:S158,基础状态预期!$F170:$J170)/SUM(基础状态预期!$F170:$J170),T157)</f>
        <v>0.45</v>
      </c>
      <c r="V158" s="17">
        <v>154</v>
      </c>
      <c r="W158" s="17">
        <f t="shared" si="34"/>
        <v>0.45</v>
      </c>
      <c r="X158" s="17">
        <f t="shared" si="35"/>
        <v>0.45</v>
      </c>
      <c r="Y158" s="17">
        <f t="shared" si="36"/>
        <v>0.45</v>
      </c>
      <c r="Z158" s="17">
        <f t="shared" si="37"/>
        <v>0.45</v>
      </c>
      <c r="AA158" s="17">
        <f t="shared" si="38"/>
        <v>0.45</v>
      </c>
      <c r="AO158" s="29">
        <f t="shared" si="43"/>
        <v>90.288435080379244</v>
      </c>
      <c r="AP158" s="14">
        <f>MAX(求节点($C$74:$C$79,D$74:D$79,求节点($C$4:$C$12,D$4:D$12,基础状态预期!K170)),AP157)</f>
        <v>0</v>
      </c>
      <c r="AQ158" s="14">
        <f>MAX(求节点($C$74:$C$79,E$74:E$79,求节点($C$4:$C$12,E$4:E$12,基础状态预期!L170)),AQ157)</f>
        <v>0</v>
      </c>
      <c r="AR158" s="14">
        <f>MAX(求节点($C$74:$C$79,F$74:F$79,求节点($C$4:$C$12,F$4:F$12,基础状态预期!M170)),AR157)</f>
        <v>0</v>
      </c>
      <c r="AS158" s="14">
        <f>MAX(求节点($C$74:$C$79,G$74:G$79,求节点($C$4:$C$12,G$4:G$12,基础状态预期!N170)),AS157)</f>
        <v>1</v>
      </c>
      <c r="AT158" s="14">
        <f>MAX(求节点($C$74:$C$79,H$74:H$79,求节点($C$4:$C$12,H$4:H$12,基础状态预期!O170)),AT157)</f>
        <v>2</v>
      </c>
      <c r="AU158" s="14">
        <f>MAX(求节点($C$81:$C$86,D$81:D$86,求节点($C$4:$C$12,D$4:D$12,基础状态预期!K170)),AU157)</f>
        <v>0</v>
      </c>
      <c r="AV158" s="14">
        <f>MAX(求节点($C$81:$C$86,E$81:E$86,求节点($C$4:$C$12,E$4:E$12,基础状态预期!L170)),AV157)</f>
        <v>0</v>
      </c>
      <c r="AW158" s="14">
        <f>MAX(求节点($C$81:$C$86,F$81:F$86,求节点($C$4:$C$12,F$4:F$12,基础状态预期!M170)),AW157)</f>
        <v>0</v>
      </c>
      <c r="AX158" s="14">
        <f>MAX(求节点($C$81:$C$86,G$81:G$86,求节点($C$4:$C$12,G$4:G$12,基础状态预期!N170)),AX157)</f>
        <v>2</v>
      </c>
      <c r="AY158" s="14">
        <f>MAX(求节点($C$81:$C$86,H$81:H$86,求节点($C$4:$C$12,H$4:H$12,基础状态预期!O170)),AY157)</f>
        <v>4</v>
      </c>
      <c r="AZ158" s="14">
        <f>MAX(求节点($C$88:$C$93,D$88:D$93,求节点($C$4:$C$12,D$4:D$12,基础状态预期!K170)),AZ157)</f>
        <v>0</v>
      </c>
      <c r="BA158" s="14">
        <f>MAX(求节点($C$88:$C$93,E$88:E$93,求节点($C$4:$C$12,E$4:E$12,基础状态预期!L170)),BA157)</f>
        <v>0</v>
      </c>
      <c r="BB158" s="14">
        <f>MAX(求节点($C$88:$C$93,F$88:F$93,求节点($C$4:$C$12,F$4:F$12,基础状态预期!M170)),BB157)</f>
        <v>0</v>
      </c>
      <c r="BC158" s="14">
        <f>MAX(求节点($C$88:$C$93,G$88:G$93,求节点($C$4:$C$12,G$4:G$12,基础状态预期!N170)),BC157)</f>
        <v>3.7835109834694975</v>
      </c>
      <c r="BD158" s="14">
        <f>MAX(求节点($C$88:$C$93,H$88:H$93,求节点($C$4:$C$12,H$4:H$12,基础状态预期!O170)),BD157)</f>
        <v>48</v>
      </c>
      <c r="BE158" s="14">
        <f t="shared" si="40"/>
        <v>429268.08786775597</v>
      </c>
    </row>
    <row r="159" spans="13:63" x14ac:dyDescent="0.15">
      <c r="M159" s="16">
        <v>23</v>
      </c>
      <c r="N159" s="29">
        <f>基础状态预期!D171</f>
        <v>93.400072017025948</v>
      </c>
      <c r="O159" s="29">
        <f>IF(基础状态预期!U171="",0,MIN(求节点($C$16:$C$24,D$16:D$24,基础状态预期!K171),求节点($C$28:$C$48,D$28:D$48,基础状态预期!U171)))</f>
        <v>0</v>
      </c>
      <c r="P159" s="29">
        <f>IF(基础状态预期!V171="",0,MIN(求节点($C$16:$C$24,E$16:E$24,基础状态预期!L171),求节点($C$28:$C$48,E$28:E$48,基础状态预期!V171)))</f>
        <v>0</v>
      </c>
      <c r="Q159" s="29">
        <f>IF(基础状态预期!W171="",0,MIN(求节点($C$16:$C$24,F$16:F$24,基础状态预期!M171),求节点($C$28:$C$48,F$28:F$48,基础状态预期!W171)))</f>
        <v>0</v>
      </c>
      <c r="R159" s="29">
        <f>IF(基础状态预期!X171="",0,MIN(求节点($C$16:$C$24,G$16:G$24,基础状态预期!N171),求节点($C$28:$C$48,G$28:G$48,基础状态预期!X171)))</f>
        <v>0</v>
      </c>
      <c r="S159" s="29">
        <f>IF(基础状态预期!Y171="",0,MIN(求节点($C$16:$C$24,H$16:H$24,基础状态预期!O171),求节点($C$28:$C$48,H$28:H$48,基础状态预期!Y171)))</f>
        <v>0.45</v>
      </c>
      <c r="T159" s="29">
        <f>MAX(SUMPRODUCT(O159:S159,基础状态预期!$F171:$J171)/SUM(基础状态预期!$F171:$J171),T158)</f>
        <v>0.45</v>
      </c>
      <c r="V159" s="17">
        <v>155</v>
      </c>
      <c r="W159" s="17">
        <f t="shared" si="34"/>
        <v>0.45</v>
      </c>
      <c r="X159" s="17">
        <f t="shared" si="35"/>
        <v>0.45</v>
      </c>
      <c r="Y159" s="17">
        <f t="shared" si="36"/>
        <v>0.45</v>
      </c>
      <c r="Z159" s="17">
        <f t="shared" si="37"/>
        <v>0.45</v>
      </c>
      <c r="AA159" s="17">
        <f t="shared" si="38"/>
        <v>0.45</v>
      </c>
      <c r="AO159" s="29">
        <f t="shared" si="43"/>
        <v>93.400072017025948</v>
      </c>
      <c r="AP159" s="14">
        <f>MAX(求节点($C$74:$C$79,D$74:D$79,求节点($C$4:$C$12,D$4:D$12,基础状态预期!K171)),AP158)</f>
        <v>0</v>
      </c>
      <c r="AQ159" s="14">
        <f>MAX(求节点($C$74:$C$79,E$74:E$79,求节点($C$4:$C$12,E$4:E$12,基础状态预期!L171)),AQ158)</f>
        <v>0</v>
      </c>
      <c r="AR159" s="14">
        <f>MAX(求节点($C$74:$C$79,F$74:F$79,求节点($C$4:$C$12,F$4:F$12,基础状态预期!M171)),AR158)</f>
        <v>0</v>
      </c>
      <c r="AS159" s="14">
        <f>MAX(求节点($C$74:$C$79,G$74:G$79,求节点($C$4:$C$12,G$4:G$12,基础状态预期!N171)),AS158)</f>
        <v>1</v>
      </c>
      <c r="AT159" s="14">
        <f>MAX(求节点($C$74:$C$79,H$74:H$79,求节点($C$4:$C$12,H$4:H$12,基础状态预期!O171)),AT158)</f>
        <v>2</v>
      </c>
      <c r="AU159" s="14">
        <f>MAX(求节点($C$81:$C$86,D$81:D$86,求节点($C$4:$C$12,D$4:D$12,基础状态预期!K171)),AU158)</f>
        <v>0</v>
      </c>
      <c r="AV159" s="14">
        <f>MAX(求节点($C$81:$C$86,E$81:E$86,求节点($C$4:$C$12,E$4:E$12,基础状态预期!L171)),AV158)</f>
        <v>0</v>
      </c>
      <c r="AW159" s="14">
        <f>MAX(求节点($C$81:$C$86,F$81:F$86,求节点($C$4:$C$12,F$4:F$12,基础状态预期!M171)),AW158)</f>
        <v>0</v>
      </c>
      <c r="AX159" s="14">
        <f>MAX(求节点($C$81:$C$86,G$81:G$86,求节点($C$4:$C$12,G$4:G$12,基础状态预期!N171)),AX158)</f>
        <v>2</v>
      </c>
      <c r="AY159" s="14">
        <f>MAX(求节点($C$81:$C$86,H$81:H$86,求节点($C$4:$C$12,H$4:H$12,基础状态预期!O171)),AY158)</f>
        <v>4</v>
      </c>
      <c r="AZ159" s="14">
        <f>MAX(求节点($C$88:$C$93,D$88:D$93,求节点($C$4:$C$12,D$4:D$12,基础状态预期!K171)),AZ158)</f>
        <v>0</v>
      </c>
      <c r="BA159" s="14">
        <f>MAX(求节点($C$88:$C$93,E$88:E$93,求节点($C$4:$C$12,E$4:E$12,基础状态预期!L171)),BA158)</f>
        <v>0</v>
      </c>
      <c r="BB159" s="14">
        <f>MAX(求节点($C$88:$C$93,F$88:F$93,求节点($C$4:$C$12,F$4:F$12,基础状态预期!M171)),BB158)</f>
        <v>0</v>
      </c>
      <c r="BC159" s="14">
        <f>MAX(求节点($C$88:$C$93,G$88:G$93,求节点($C$4:$C$12,G$4:G$12,基础状态预期!N171)),BC158)</f>
        <v>3.7835109834694975</v>
      </c>
      <c r="BD159" s="14">
        <f>MAX(求节点($C$88:$C$93,H$88:H$93,求节点($C$4:$C$12,H$4:H$12,基础状态预期!O171)),BD158)</f>
        <v>48</v>
      </c>
      <c r="BE159" s="14">
        <f t="shared" si="40"/>
        <v>429268.08786775597</v>
      </c>
    </row>
    <row r="160" spans="13:63" x14ac:dyDescent="0.15">
      <c r="M160" s="16">
        <v>24</v>
      </c>
      <c r="N160" s="29">
        <f>基础状态预期!D172</f>
        <v>97.006001686863456</v>
      </c>
      <c r="O160" s="29">
        <f>IF(基础状态预期!U172="",0,MIN(求节点($C$16:$C$24,D$16:D$24,基础状态预期!K172),求节点($C$28:$C$48,D$28:D$48,基础状态预期!U172)))</f>
        <v>0</v>
      </c>
      <c r="P160" s="29">
        <f>IF(基础状态预期!V172="",0,MIN(求节点($C$16:$C$24,E$16:E$24,基础状态预期!L172),求节点($C$28:$C$48,E$28:E$48,基础状态预期!V172)))</f>
        <v>0</v>
      </c>
      <c r="Q160" s="29">
        <f>IF(基础状态预期!W172="",0,MIN(求节点($C$16:$C$24,F$16:F$24,基础状态预期!M172),求节点($C$28:$C$48,F$28:F$48,基础状态预期!W172)))</f>
        <v>0</v>
      </c>
      <c r="R160" s="29">
        <f>IF(基础状态预期!X172="",0,MIN(求节点($C$16:$C$24,G$16:G$24,基础状态预期!N172),求节点($C$28:$C$48,G$28:G$48,基础状态预期!X172)))</f>
        <v>0</v>
      </c>
      <c r="S160" s="29">
        <f>IF(基础状态预期!Y172="",0,MIN(求节点($C$16:$C$24,H$16:H$24,基础状态预期!O172),求节点($C$28:$C$48,H$28:H$48,基础状态预期!Y172)))</f>
        <v>0.45</v>
      </c>
      <c r="T160" s="29">
        <f>MAX(SUMPRODUCT(O160:S160,基础状态预期!$F172:$J172)/SUM(基础状态预期!$F172:$J172),T159)</f>
        <v>0.45</v>
      </c>
      <c r="V160" s="17">
        <v>156</v>
      </c>
      <c r="W160" s="17">
        <f t="shared" si="34"/>
        <v>0.45</v>
      </c>
      <c r="X160" s="17">
        <f t="shared" si="35"/>
        <v>0.45</v>
      </c>
      <c r="Y160" s="17">
        <f t="shared" si="36"/>
        <v>0.45</v>
      </c>
      <c r="Z160" s="17">
        <f t="shared" si="37"/>
        <v>0.45</v>
      </c>
      <c r="AA160" s="17">
        <f t="shared" si="38"/>
        <v>0.45</v>
      </c>
      <c r="AO160" s="29">
        <f t="shared" si="43"/>
        <v>97.006001686863456</v>
      </c>
      <c r="AP160" s="14">
        <f>MAX(求节点($C$74:$C$79,D$74:D$79,求节点($C$4:$C$12,D$4:D$12,基础状态预期!K172)),AP159)</f>
        <v>0</v>
      </c>
      <c r="AQ160" s="14">
        <f>MAX(求节点($C$74:$C$79,E$74:E$79,求节点($C$4:$C$12,E$4:E$12,基础状态预期!L172)),AQ159)</f>
        <v>0</v>
      </c>
      <c r="AR160" s="14">
        <f>MAX(求节点($C$74:$C$79,F$74:F$79,求节点($C$4:$C$12,F$4:F$12,基础状态预期!M172)),AR159)</f>
        <v>0</v>
      </c>
      <c r="AS160" s="14">
        <f>MAX(求节点($C$74:$C$79,G$74:G$79,求节点($C$4:$C$12,G$4:G$12,基础状态预期!N172)),AS159)</f>
        <v>1</v>
      </c>
      <c r="AT160" s="14">
        <f>MAX(求节点($C$74:$C$79,H$74:H$79,求节点($C$4:$C$12,H$4:H$12,基础状态预期!O172)),AT159)</f>
        <v>2</v>
      </c>
      <c r="AU160" s="14">
        <f>MAX(求节点($C$81:$C$86,D$81:D$86,求节点($C$4:$C$12,D$4:D$12,基础状态预期!K172)),AU159)</f>
        <v>0</v>
      </c>
      <c r="AV160" s="14">
        <f>MAX(求节点($C$81:$C$86,E$81:E$86,求节点($C$4:$C$12,E$4:E$12,基础状态预期!L172)),AV159)</f>
        <v>0</v>
      </c>
      <c r="AW160" s="14">
        <f>MAX(求节点($C$81:$C$86,F$81:F$86,求节点($C$4:$C$12,F$4:F$12,基础状态预期!M172)),AW159)</f>
        <v>0</v>
      </c>
      <c r="AX160" s="14">
        <f>MAX(求节点($C$81:$C$86,G$81:G$86,求节点($C$4:$C$12,G$4:G$12,基础状态预期!N172)),AX159)</f>
        <v>2</v>
      </c>
      <c r="AY160" s="14">
        <f>MAX(求节点($C$81:$C$86,H$81:H$86,求节点($C$4:$C$12,H$4:H$12,基础状态预期!O172)),AY159)</f>
        <v>4</v>
      </c>
      <c r="AZ160" s="14">
        <f>MAX(求节点($C$88:$C$93,D$88:D$93,求节点($C$4:$C$12,D$4:D$12,基础状态预期!K172)),AZ159)</f>
        <v>0</v>
      </c>
      <c r="BA160" s="14">
        <f>MAX(求节点($C$88:$C$93,E$88:E$93,求节点($C$4:$C$12,E$4:E$12,基础状态预期!L172)),BA159)</f>
        <v>0</v>
      </c>
      <c r="BB160" s="14">
        <f>MAX(求节点($C$88:$C$93,F$88:F$93,求节点($C$4:$C$12,F$4:F$12,基础状态预期!M172)),BB159)</f>
        <v>0</v>
      </c>
      <c r="BC160" s="14">
        <f>MAX(求节点($C$88:$C$93,G$88:G$93,求节点($C$4:$C$12,G$4:G$12,基础状态预期!N172)),BC159)</f>
        <v>3.7835109834694975</v>
      </c>
      <c r="BD160" s="14">
        <f>MAX(求节点($C$88:$C$93,H$88:H$93,求节点($C$4:$C$12,H$4:H$12,基础状态预期!O172)),BD159)</f>
        <v>48</v>
      </c>
      <c r="BE160" s="14">
        <f t="shared" si="40"/>
        <v>429268.08786775597</v>
      </c>
    </row>
    <row r="161" spans="13:57" x14ac:dyDescent="0.15">
      <c r="M161" s="16">
        <v>25</v>
      </c>
      <c r="N161" s="29">
        <f>基础状态预期!D173</f>
        <v>100.64473135315967</v>
      </c>
      <c r="O161" s="29">
        <f>IF(基础状态预期!U173="",0,MIN(求节点($C$16:$C$24,D$16:D$24,基础状态预期!K173),求节点($C$28:$C$48,D$28:D$48,基础状态预期!U173)))</f>
        <v>0</v>
      </c>
      <c r="P161" s="29">
        <f>IF(基础状态预期!V173="",0,MIN(求节点($C$16:$C$24,E$16:E$24,基础状态预期!L173),求节点($C$28:$C$48,E$28:E$48,基础状态预期!V173)))</f>
        <v>0</v>
      </c>
      <c r="Q161" s="29">
        <f>IF(基础状态预期!W173="",0,MIN(求节点($C$16:$C$24,F$16:F$24,基础状态预期!M173),求节点($C$28:$C$48,F$28:F$48,基础状态预期!W173)))</f>
        <v>0</v>
      </c>
      <c r="R161" s="29">
        <f>IF(基础状态预期!X173="",0,MIN(求节点($C$16:$C$24,G$16:G$24,基础状态预期!N173),求节点($C$28:$C$48,G$28:G$48,基础状态预期!X173)))</f>
        <v>0</v>
      </c>
      <c r="S161" s="29">
        <f>IF(基础状态预期!Y173="",0,MIN(求节点($C$16:$C$24,H$16:H$24,基础状态预期!O173),求节点($C$28:$C$48,H$28:H$48,基础状态预期!Y173)))</f>
        <v>0.45</v>
      </c>
      <c r="T161" s="29">
        <f>MAX(SUMPRODUCT(O161:S161,基础状态预期!$F173:$J173)/SUM(基础状态预期!$F173:$J173),T160)</f>
        <v>0.45</v>
      </c>
      <c r="V161" s="17">
        <v>157</v>
      </c>
      <c r="W161" s="17">
        <f t="shared" si="34"/>
        <v>0.45</v>
      </c>
      <c r="X161" s="17">
        <f t="shared" si="35"/>
        <v>0.45</v>
      </c>
      <c r="Y161" s="17">
        <f t="shared" si="36"/>
        <v>0.45</v>
      </c>
      <c r="Z161" s="17">
        <f t="shared" si="37"/>
        <v>0.45</v>
      </c>
      <c r="AA161" s="17">
        <f t="shared" si="38"/>
        <v>0.45</v>
      </c>
      <c r="AO161" s="29">
        <f t="shared" si="43"/>
        <v>100.64473135315967</v>
      </c>
      <c r="AP161" s="14">
        <f>MAX(求节点($C$74:$C$79,D$74:D$79,求节点($C$4:$C$12,D$4:D$12,基础状态预期!K173)),AP160)</f>
        <v>0</v>
      </c>
      <c r="AQ161" s="14">
        <f>MAX(求节点($C$74:$C$79,E$74:E$79,求节点($C$4:$C$12,E$4:E$12,基础状态预期!L173)),AQ160)</f>
        <v>0</v>
      </c>
      <c r="AR161" s="14">
        <f>MAX(求节点($C$74:$C$79,F$74:F$79,求节点($C$4:$C$12,F$4:F$12,基础状态预期!M173)),AR160)</f>
        <v>0</v>
      </c>
      <c r="AS161" s="14">
        <f>MAX(求节点($C$74:$C$79,G$74:G$79,求节点($C$4:$C$12,G$4:G$12,基础状态预期!N173)),AS160)</f>
        <v>1</v>
      </c>
      <c r="AT161" s="14">
        <f>MAX(求节点($C$74:$C$79,H$74:H$79,求节点($C$4:$C$12,H$4:H$12,基础状态预期!O173)),AT160)</f>
        <v>2</v>
      </c>
      <c r="AU161" s="14">
        <f>MAX(求节点($C$81:$C$86,D$81:D$86,求节点($C$4:$C$12,D$4:D$12,基础状态预期!K173)),AU160)</f>
        <v>0</v>
      </c>
      <c r="AV161" s="14">
        <f>MAX(求节点($C$81:$C$86,E$81:E$86,求节点($C$4:$C$12,E$4:E$12,基础状态预期!L173)),AV160)</f>
        <v>0</v>
      </c>
      <c r="AW161" s="14">
        <f>MAX(求节点($C$81:$C$86,F$81:F$86,求节点($C$4:$C$12,F$4:F$12,基础状态预期!M173)),AW160)</f>
        <v>0</v>
      </c>
      <c r="AX161" s="14">
        <f>MAX(求节点($C$81:$C$86,G$81:G$86,求节点($C$4:$C$12,G$4:G$12,基础状态预期!N173)),AX160)</f>
        <v>2</v>
      </c>
      <c r="AY161" s="14">
        <f>MAX(求节点($C$81:$C$86,H$81:H$86,求节点($C$4:$C$12,H$4:H$12,基础状态预期!O173)),AY160)</f>
        <v>4</v>
      </c>
      <c r="AZ161" s="14">
        <f>MAX(求节点($C$88:$C$93,D$88:D$93,求节点($C$4:$C$12,D$4:D$12,基础状态预期!K173)),AZ160)</f>
        <v>0</v>
      </c>
      <c r="BA161" s="14">
        <f>MAX(求节点($C$88:$C$93,E$88:E$93,求节点($C$4:$C$12,E$4:E$12,基础状态预期!L173)),BA160)</f>
        <v>0</v>
      </c>
      <c r="BB161" s="14">
        <f>MAX(求节点($C$88:$C$93,F$88:F$93,求节点($C$4:$C$12,F$4:F$12,基础状态预期!M173)),BB160)</f>
        <v>0</v>
      </c>
      <c r="BC161" s="14">
        <f>MAX(求节点($C$88:$C$93,G$88:G$93,求节点($C$4:$C$12,G$4:G$12,基础状态预期!N173)),BC160)</f>
        <v>3.7835109834694975</v>
      </c>
      <c r="BD161" s="14">
        <f>MAX(求节点($C$88:$C$93,H$88:H$93,求节点($C$4:$C$12,H$4:H$12,基础状态预期!O173)),BD160)</f>
        <v>48</v>
      </c>
      <c r="BE161" s="14">
        <f t="shared" si="40"/>
        <v>429268.08786775597</v>
      </c>
    </row>
    <row r="162" spans="13:57" x14ac:dyDescent="0.15">
      <c r="M162" s="16">
        <v>26</v>
      </c>
      <c r="N162" s="29">
        <f>基础状态预期!D174</f>
        <v>104.30731379164318</v>
      </c>
      <c r="O162" s="29">
        <f>IF(基础状态预期!U174="",0,MIN(求节点($C$16:$C$24,D$16:D$24,基础状态预期!K174),求节点($C$28:$C$48,D$28:D$48,基础状态预期!U174)))</f>
        <v>0</v>
      </c>
      <c r="P162" s="29">
        <f>IF(基础状态预期!V174="",0,MIN(求节点($C$16:$C$24,E$16:E$24,基础状态预期!L174),求节点($C$28:$C$48,E$28:E$48,基础状态预期!V174)))</f>
        <v>0</v>
      </c>
      <c r="Q162" s="29">
        <f>IF(基础状态预期!W174="",0,MIN(求节点($C$16:$C$24,F$16:F$24,基础状态预期!M174),求节点($C$28:$C$48,F$28:F$48,基础状态预期!W174)))</f>
        <v>0</v>
      </c>
      <c r="R162" s="29">
        <f>IF(基础状态预期!X174="",0,MIN(求节点($C$16:$C$24,G$16:G$24,基础状态预期!N174),求节点($C$28:$C$48,G$28:G$48,基础状态预期!X174)))</f>
        <v>0</v>
      </c>
      <c r="S162" s="29">
        <f>IF(基础状态预期!Y174="",0,MIN(求节点($C$16:$C$24,H$16:H$24,基础状态预期!O174),求节点($C$28:$C$48,H$28:H$48,基础状态预期!Y174)))</f>
        <v>0.45</v>
      </c>
      <c r="T162" s="29">
        <f>MAX(SUMPRODUCT(O162:S162,基础状态预期!$F174:$J174)/SUM(基础状态预期!$F174:$J174),T161)</f>
        <v>0.45</v>
      </c>
      <c r="V162" s="17">
        <v>158</v>
      </c>
      <c r="W162" s="17">
        <f t="shared" si="34"/>
        <v>0.45</v>
      </c>
      <c r="X162" s="17">
        <f t="shared" si="35"/>
        <v>0.45</v>
      </c>
      <c r="Y162" s="17">
        <f t="shared" si="36"/>
        <v>0.45</v>
      </c>
      <c r="Z162" s="17">
        <f t="shared" si="37"/>
        <v>0.45</v>
      </c>
      <c r="AA162" s="17">
        <f t="shared" si="38"/>
        <v>0.45</v>
      </c>
      <c r="AO162" s="29">
        <f t="shared" si="43"/>
        <v>104.30731379164318</v>
      </c>
      <c r="AP162" s="14">
        <f>MAX(求节点($C$74:$C$79,D$74:D$79,求节点($C$4:$C$12,D$4:D$12,基础状态预期!K174)),AP161)</f>
        <v>0</v>
      </c>
      <c r="AQ162" s="14">
        <f>MAX(求节点($C$74:$C$79,E$74:E$79,求节点($C$4:$C$12,E$4:E$12,基础状态预期!L174)),AQ161)</f>
        <v>0</v>
      </c>
      <c r="AR162" s="14">
        <f>MAX(求节点($C$74:$C$79,F$74:F$79,求节点($C$4:$C$12,F$4:F$12,基础状态预期!M174)),AR161)</f>
        <v>0</v>
      </c>
      <c r="AS162" s="14">
        <f>MAX(求节点($C$74:$C$79,G$74:G$79,求节点($C$4:$C$12,G$4:G$12,基础状态预期!N174)),AS161)</f>
        <v>1</v>
      </c>
      <c r="AT162" s="14">
        <f>MAX(求节点($C$74:$C$79,H$74:H$79,求节点($C$4:$C$12,H$4:H$12,基础状态预期!O174)),AT161)</f>
        <v>2</v>
      </c>
      <c r="AU162" s="14">
        <f>MAX(求节点($C$81:$C$86,D$81:D$86,求节点($C$4:$C$12,D$4:D$12,基础状态预期!K174)),AU161)</f>
        <v>0</v>
      </c>
      <c r="AV162" s="14">
        <f>MAX(求节点($C$81:$C$86,E$81:E$86,求节点($C$4:$C$12,E$4:E$12,基础状态预期!L174)),AV161)</f>
        <v>0</v>
      </c>
      <c r="AW162" s="14">
        <f>MAX(求节点($C$81:$C$86,F$81:F$86,求节点($C$4:$C$12,F$4:F$12,基础状态预期!M174)),AW161)</f>
        <v>0</v>
      </c>
      <c r="AX162" s="14">
        <f>MAX(求节点($C$81:$C$86,G$81:G$86,求节点($C$4:$C$12,G$4:G$12,基础状态预期!N174)),AX161)</f>
        <v>2</v>
      </c>
      <c r="AY162" s="14">
        <f>MAX(求节点($C$81:$C$86,H$81:H$86,求节点($C$4:$C$12,H$4:H$12,基础状态预期!O174)),AY161)</f>
        <v>4</v>
      </c>
      <c r="AZ162" s="14">
        <f>MAX(求节点($C$88:$C$93,D$88:D$93,求节点($C$4:$C$12,D$4:D$12,基础状态预期!K174)),AZ161)</f>
        <v>0</v>
      </c>
      <c r="BA162" s="14">
        <f>MAX(求节点($C$88:$C$93,E$88:E$93,求节点($C$4:$C$12,E$4:E$12,基础状态预期!L174)),BA161)</f>
        <v>0</v>
      </c>
      <c r="BB162" s="14">
        <f>MAX(求节点($C$88:$C$93,F$88:F$93,求节点($C$4:$C$12,F$4:F$12,基础状态预期!M174)),BB161)</f>
        <v>0</v>
      </c>
      <c r="BC162" s="14">
        <f>MAX(求节点($C$88:$C$93,G$88:G$93,求节点($C$4:$C$12,G$4:G$12,基础状态预期!N174)),BC161)</f>
        <v>3.7835109834694975</v>
      </c>
      <c r="BD162" s="14">
        <f>MAX(求节点($C$88:$C$93,H$88:H$93,求节点($C$4:$C$12,H$4:H$12,基础状态预期!O174)),BD161)</f>
        <v>48</v>
      </c>
      <c r="BE162" s="14">
        <f t="shared" si="40"/>
        <v>429268.08786775597</v>
      </c>
    </row>
    <row r="163" spans="13:57" x14ac:dyDescent="0.15">
      <c r="M163" s="16">
        <v>27</v>
      </c>
      <c r="N163" s="29">
        <f>基础状态预期!D175</f>
        <v>107.78950972208385</v>
      </c>
      <c r="O163" s="29">
        <f>IF(基础状态预期!U175="",0,MIN(求节点($C$16:$C$24,D$16:D$24,基础状态预期!K175),求节点($C$28:$C$48,D$28:D$48,基础状态预期!U175)))</f>
        <v>0</v>
      </c>
      <c r="P163" s="29">
        <f>IF(基础状态预期!V175="",0,MIN(求节点($C$16:$C$24,E$16:E$24,基础状态预期!L175),求节点($C$28:$C$48,E$28:E$48,基础状态预期!V175)))</f>
        <v>0</v>
      </c>
      <c r="Q163" s="29">
        <f>IF(基础状态预期!W175="",0,MIN(求节点($C$16:$C$24,F$16:F$24,基础状态预期!M175),求节点($C$28:$C$48,F$28:F$48,基础状态预期!W175)))</f>
        <v>0</v>
      </c>
      <c r="R163" s="29">
        <f>IF(基础状态预期!X175="",0,MIN(求节点($C$16:$C$24,G$16:G$24,基础状态预期!N175),求节点($C$28:$C$48,G$28:G$48,基础状态预期!X175)))</f>
        <v>0</v>
      </c>
      <c r="S163" s="29">
        <f>IF(基础状态预期!Y175="",0,MIN(求节点($C$16:$C$24,H$16:H$24,基础状态预期!O175),求节点($C$28:$C$48,H$28:H$48,基础状态预期!Y175)))</f>
        <v>0.45</v>
      </c>
      <c r="T163" s="29">
        <f>MAX(SUMPRODUCT(O163:S163,基础状态预期!$F175:$J175)/SUM(基础状态预期!$F175:$J175),T162)</f>
        <v>0.45</v>
      </c>
      <c r="V163" s="17">
        <v>159</v>
      </c>
      <c r="W163" s="17">
        <f t="shared" si="34"/>
        <v>0.45</v>
      </c>
      <c r="X163" s="17">
        <f t="shared" si="35"/>
        <v>0.45</v>
      </c>
      <c r="Y163" s="17">
        <f t="shared" si="36"/>
        <v>0.45</v>
      </c>
      <c r="Z163" s="17">
        <f t="shared" si="37"/>
        <v>0.45</v>
      </c>
      <c r="AA163" s="17">
        <f t="shared" si="38"/>
        <v>0.45</v>
      </c>
      <c r="AO163" s="29">
        <f t="shared" si="43"/>
        <v>107.78950972208385</v>
      </c>
      <c r="AP163" s="14">
        <f>MAX(求节点($C$74:$C$79,D$74:D$79,求节点($C$4:$C$12,D$4:D$12,基础状态预期!K175)),AP162)</f>
        <v>0</v>
      </c>
      <c r="AQ163" s="14">
        <f>MAX(求节点($C$74:$C$79,E$74:E$79,求节点($C$4:$C$12,E$4:E$12,基础状态预期!L175)),AQ162)</f>
        <v>0</v>
      </c>
      <c r="AR163" s="14">
        <f>MAX(求节点($C$74:$C$79,F$74:F$79,求节点($C$4:$C$12,F$4:F$12,基础状态预期!M175)),AR162)</f>
        <v>0</v>
      </c>
      <c r="AS163" s="14">
        <f>MAX(求节点($C$74:$C$79,G$74:G$79,求节点($C$4:$C$12,G$4:G$12,基础状态预期!N175)),AS162)</f>
        <v>1</v>
      </c>
      <c r="AT163" s="14">
        <f>MAX(求节点($C$74:$C$79,H$74:H$79,求节点($C$4:$C$12,H$4:H$12,基础状态预期!O175)),AT162)</f>
        <v>2</v>
      </c>
      <c r="AU163" s="14">
        <f>MAX(求节点($C$81:$C$86,D$81:D$86,求节点($C$4:$C$12,D$4:D$12,基础状态预期!K175)),AU162)</f>
        <v>0</v>
      </c>
      <c r="AV163" s="14">
        <f>MAX(求节点($C$81:$C$86,E$81:E$86,求节点($C$4:$C$12,E$4:E$12,基础状态预期!L175)),AV162)</f>
        <v>0</v>
      </c>
      <c r="AW163" s="14">
        <f>MAX(求节点($C$81:$C$86,F$81:F$86,求节点($C$4:$C$12,F$4:F$12,基础状态预期!M175)),AW162)</f>
        <v>0</v>
      </c>
      <c r="AX163" s="14">
        <f>MAX(求节点($C$81:$C$86,G$81:G$86,求节点($C$4:$C$12,G$4:G$12,基础状态预期!N175)),AX162)</f>
        <v>2</v>
      </c>
      <c r="AY163" s="14">
        <f>MAX(求节点($C$81:$C$86,H$81:H$86,求节点($C$4:$C$12,H$4:H$12,基础状态预期!O175)),AY162)</f>
        <v>4</v>
      </c>
      <c r="AZ163" s="14">
        <f>MAX(求节点($C$88:$C$93,D$88:D$93,求节点($C$4:$C$12,D$4:D$12,基础状态预期!K175)),AZ162)</f>
        <v>0</v>
      </c>
      <c r="BA163" s="14">
        <f>MAX(求节点($C$88:$C$93,E$88:E$93,求节点($C$4:$C$12,E$4:E$12,基础状态预期!L175)),BA162)</f>
        <v>0</v>
      </c>
      <c r="BB163" s="14">
        <f>MAX(求节点($C$88:$C$93,F$88:F$93,求节点($C$4:$C$12,F$4:F$12,基础状态预期!M175)),BB162)</f>
        <v>0</v>
      </c>
      <c r="BC163" s="14">
        <f>MAX(求节点($C$88:$C$93,G$88:G$93,求节点($C$4:$C$12,G$4:G$12,基础状态预期!N175)),BC162)</f>
        <v>3.7835109834694975</v>
      </c>
      <c r="BD163" s="14">
        <f>MAX(求节点($C$88:$C$93,H$88:H$93,求节点($C$4:$C$12,H$4:H$12,基础状态预期!O175)),BD162)</f>
        <v>48</v>
      </c>
      <c r="BE163" s="14">
        <f t="shared" si="40"/>
        <v>429268.08786775597</v>
      </c>
    </row>
    <row r="164" spans="13:57" x14ac:dyDescent="0.15">
      <c r="M164" s="16">
        <v>28</v>
      </c>
      <c r="N164" s="29">
        <f>基础状态预期!D176</f>
        <v>111.29737083030383</v>
      </c>
      <c r="O164" s="29">
        <f>IF(基础状态预期!U176="",0,MIN(求节点($C$16:$C$24,D$16:D$24,基础状态预期!K176),求节点($C$28:$C$48,D$28:D$48,基础状态预期!U176)))</f>
        <v>0</v>
      </c>
      <c r="P164" s="29">
        <f>IF(基础状态预期!V176="",0,MIN(求节点($C$16:$C$24,E$16:E$24,基础状态预期!L176),求节点($C$28:$C$48,E$28:E$48,基础状态预期!V176)))</f>
        <v>0</v>
      </c>
      <c r="Q164" s="29">
        <f>IF(基础状态预期!W176="",0,MIN(求节点($C$16:$C$24,F$16:F$24,基础状态预期!M176),求节点($C$28:$C$48,F$28:F$48,基础状态预期!W176)))</f>
        <v>0</v>
      </c>
      <c r="R164" s="29">
        <f>IF(基础状态预期!X176="",0,MIN(求节点($C$16:$C$24,G$16:G$24,基础状态预期!N176),求节点($C$28:$C$48,G$28:G$48,基础状态预期!X176)))</f>
        <v>0</v>
      </c>
      <c r="S164" s="29">
        <f>IF(基础状态预期!Y176="",0,MIN(求节点($C$16:$C$24,H$16:H$24,基础状态预期!O176),求节点($C$28:$C$48,H$28:H$48,基础状态预期!Y176)))</f>
        <v>0.45</v>
      </c>
      <c r="T164" s="29">
        <f>MAX(SUMPRODUCT(O164:S164,基础状态预期!$F176:$J176)/SUM(基础状态预期!$F176:$J176),T163)</f>
        <v>0.45</v>
      </c>
      <c r="V164" s="17">
        <v>160</v>
      </c>
      <c r="W164" s="17">
        <f t="shared" si="34"/>
        <v>0.45</v>
      </c>
      <c r="X164" s="17">
        <f t="shared" si="35"/>
        <v>0.45</v>
      </c>
      <c r="Y164" s="17">
        <f t="shared" si="36"/>
        <v>0.45</v>
      </c>
      <c r="Z164" s="17">
        <f t="shared" si="37"/>
        <v>0.45</v>
      </c>
      <c r="AA164" s="17">
        <f t="shared" si="38"/>
        <v>0.45</v>
      </c>
      <c r="AO164" s="29">
        <f t="shared" si="43"/>
        <v>111.29737083030383</v>
      </c>
      <c r="AP164" s="14">
        <f>MAX(求节点($C$74:$C$79,D$74:D$79,求节点($C$4:$C$12,D$4:D$12,基础状态预期!K176)),AP163)</f>
        <v>0</v>
      </c>
      <c r="AQ164" s="14">
        <f>MAX(求节点($C$74:$C$79,E$74:E$79,求节点($C$4:$C$12,E$4:E$12,基础状态预期!L176)),AQ163)</f>
        <v>0</v>
      </c>
      <c r="AR164" s="14">
        <f>MAX(求节点($C$74:$C$79,F$74:F$79,求节点($C$4:$C$12,F$4:F$12,基础状态预期!M176)),AR163)</f>
        <v>0</v>
      </c>
      <c r="AS164" s="14">
        <f>MAX(求节点($C$74:$C$79,G$74:G$79,求节点($C$4:$C$12,G$4:G$12,基础状态预期!N176)),AS163)</f>
        <v>1</v>
      </c>
      <c r="AT164" s="14">
        <f>MAX(求节点($C$74:$C$79,H$74:H$79,求节点($C$4:$C$12,H$4:H$12,基础状态预期!O176)),AT163)</f>
        <v>2</v>
      </c>
      <c r="AU164" s="14">
        <f>MAX(求节点($C$81:$C$86,D$81:D$86,求节点($C$4:$C$12,D$4:D$12,基础状态预期!K176)),AU163)</f>
        <v>0</v>
      </c>
      <c r="AV164" s="14">
        <f>MAX(求节点($C$81:$C$86,E$81:E$86,求节点($C$4:$C$12,E$4:E$12,基础状态预期!L176)),AV163)</f>
        <v>0</v>
      </c>
      <c r="AW164" s="14">
        <f>MAX(求节点($C$81:$C$86,F$81:F$86,求节点($C$4:$C$12,F$4:F$12,基础状态预期!M176)),AW163)</f>
        <v>0</v>
      </c>
      <c r="AX164" s="14">
        <f>MAX(求节点($C$81:$C$86,G$81:G$86,求节点($C$4:$C$12,G$4:G$12,基础状态预期!N176)),AX163)</f>
        <v>2</v>
      </c>
      <c r="AY164" s="14">
        <f>MAX(求节点($C$81:$C$86,H$81:H$86,求节点($C$4:$C$12,H$4:H$12,基础状态预期!O176)),AY163)</f>
        <v>4</v>
      </c>
      <c r="AZ164" s="14">
        <f>MAX(求节点($C$88:$C$93,D$88:D$93,求节点($C$4:$C$12,D$4:D$12,基础状态预期!K176)),AZ163)</f>
        <v>0</v>
      </c>
      <c r="BA164" s="14">
        <f>MAX(求节点($C$88:$C$93,E$88:E$93,求节点($C$4:$C$12,E$4:E$12,基础状态预期!L176)),BA163)</f>
        <v>0</v>
      </c>
      <c r="BB164" s="14">
        <f>MAX(求节点($C$88:$C$93,F$88:F$93,求节点($C$4:$C$12,F$4:F$12,基础状态预期!M176)),BB163)</f>
        <v>0</v>
      </c>
      <c r="BC164" s="14">
        <f>MAX(求节点($C$88:$C$93,G$88:G$93,求节点($C$4:$C$12,G$4:G$12,基础状态预期!N176)),BC163)</f>
        <v>3.7835109834694975</v>
      </c>
      <c r="BD164" s="14">
        <f>MAX(求节点($C$88:$C$93,H$88:H$93,求节点($C$4:$C$12,H$4:H$12,基础状态预期!O176)),BD163)</f>
        <v>48</v>
      </c>
      <c r="BE164" s="14">
        <f t="shared" si="40"/>
        <v>429268.08786775597</v>
      </c>
    </row>
    <row r="165" spans="13:57" x14ac:dyDescent="0.15">
      <c r="M165" s="16">
        <v>29</v>
      </c>
      <c r="N165" s="29">
        <f>基础状态预期!D177</f>
        <v>114.91888401282834</v>
      </c>
      <c r="O165" s="29">
        <f>IF(基础状态预期!U177="",0,MIN(求节点($C$16:$C$24,D$16:D$24,基础状态预期!K177),求节点($C$28:$C$48,D$28:D$48,基础状态预期!U177)))</f>
        <v>0</v>
      </c>
      <c r="P165" s="29">
        <f>IF(基础状态预期!V177="",0,MIN(求节点($C$16:$C$24,E$16:E$24,基础状态预期!L177),求节点($C$28:$C$48,E$28:E$48,基础状态预期!V177)))</f>
        <v>0</v>
      </c>
      <c r="Q165" s="29">
        <f>IF(基础状态预期!W177="",0,MIN(求节点($C$16:$C$24,F$16:F$24,基础状态预期!M177),求节点($C$28:$C$48,F$28:F$48,基础状态预期!W177)))</f>
        <v>0</v>
      </c>
      <c r="R165" s="29">
        <f>IF(基础状态预期!X177="",0,MIN(求节点($C$16:$C$24,G$16:G$24,基础状态预期!N177),求节点($C$28:$C$48,G$28:G$48,基础状态预期!X177)))</f>
        <v>0</v>
      </c>
      <c r="S165" s="29">
        <f>IF(基础状态预期!Y177="",0,MIN(求节点($C$16:$C$24,H$16:H$24,基础状态预期!O177),求节点($C$28:$C$48,H$28:H$48,基础状态预期!Y177)))</f>
        <v>0.45</v>
      </c>
      <c r="T165" s="29">
        <f>MAX(SUMPRODUCT(O165:S165,基础状态预期!$F177:$J177)/SUM(基础状态预期!$F177:$J177),T164)</f>
        <v>0.45</v>
      </c>
      <c r="AO165" s="29">
        <f t="shared" si="43"/>
        <v>114.91888401282834</v>
      </c>
      <c r="AP165" s="14">
        <f>MAX(求节点($C$74:$C$79,D$74:D$79,求节点($C$4:$C$12,D$4:D$12,基础状态预期!K177)),AP164)</f>
        <v>0</v>
      </c>
      <c r="AQ165" s="14">
        <f>MAX(求节点($C$74:$C$79,E$74:E$79,求节点($C$4:$C$12,E$4:E$12,基础状态预期!L177)),AQ164)</f>
        <v>0</v>
      </c>
      <c r="AR165" s="14">
        <f>MAX(求节点($C$74:$C$79,F$74:F$79,求节点($C$4:$C$12,F$4:F$12,基础状态预期!M177)),AR164)</f>
        <v>0</v>
      </c>
      <c r="AS165" s="14">
        <f>MAX(求节点($C$74:$C$79,G$74:G$79,求节点($C$4:$C$12,G$4:G$12,基础状态预期!N177)),AS164)</f>
        <v>1</v>
      </c>
      <c r="AT165" s="14">
        <f>MAX(求节点($C$74:$C$79,H$74:H$79,求节点($C$4:$C$12,H$4:H$12,基础状态预期!O177)),AT164)</f>
        <v>2</v>
      </c>
      <c r="AU165" s="14">
        <f>MAX(求节点($C$81:$C$86,D$81:D$86,求节点($C$4:$C$12,D$4:D$12,基础状态预期!K177)),AU164)</f>
        <v>0</v>
      </c>
      <c r="AV165" s="14">
        <f>MAX(求节点($C$81:$C$86,E$81:E$86,求节点($C$4:$C$12,E$4:E$12,基础状态预期!L177)),AV164)</f>
        <v>0</v>
      </c>
      <c r="AW165" s="14">
        <f>MAX(求节点($C$81:$C$86,F$81:F$86,求节点($C$4:$C$12,F$4:F$12,基础状态预期!M177)),AW164)</f>
        <v>0</v>
      </c>
      <c r="AX165" s="14">
        <f>MAX(求节点($C$81:$C$86,G$81:G$86,求节点($C$4:$C$12,G$4:G$12,基础状态预期!N177)),AX164)</f>
        <v>2</v>
      </c>
      <c r="AY165" s="14">
        <f>MAX(求节点($C$81:$C$86,H$81:H$86,求节点($C$4:$C$12,H$4:H$12,基础状态预期!O177)),AY164)</f>
        <v>4</v>
      </c>
      <c r="AZ165" s="14">
        <f>MAX(求节点($C$88:$C$93,D$88:D$93,求节点($C$4:$C$12,D$4:D$12,基础状态预期!K177)),AZ164)</f>
        <v>0</v>
      </c>
      <c r="BA165" s="14">
        <f>MAX(求节点($C$88:$C$93,E$88:E$93,求节点($C$4:$C$12,E$4:E$12,基础状态预期!L177)),BA164)</f>
        <v>0</v>
      </c>
      <c r="BB165" s="14">
        <f>MAX(求节点($C$88:$C$93,F$88:F$93,求节点($C$4:$C$12,F$4:F$12,基础状态预期!M177)),BB164)</f>
        <v>0</v>
      </c>
      <c r="BC165" s="14">
        <f>MAX(求节点($C$88:$C$93,G$88:G$93,求节点($C$4:$C$12,G$4:G$12,基础状态预期!N177)),BC164)</f>
        <v>3.7835109834694975</v>
      </c>
      <c r="BD165" s="14">
        <f>MAX(求节点($C$88:$C$93,H$88:H$93,求节点($C$4:$C$12,H$4:H$12,基础状态预期!O177)),BD164)</f>
        <v>48</v>
      </c>
      <c r="BE165" s="14">
        <f t="shared" si="40"/>
        <v>429268.08786775597</v>
      </c>
    </row>
    <row r="166" spans="13:57" x14ac:dyDescent="0.15">
      <c r="M166" s="16">
        <v>30</v>
      </c>
      <c r="N166" s="29">
        <f>基础状态预期!D178</f>
        <v>118.4172728380062</v>
      </c>
      <c r="O166" s="29">
        <f>IF(基础状态预期!U178="",0,MIN(求节点($C$16:$C$24,D$16:D$24,基础状态预期!K178),求节点($C$28:$C$48,D$28:D$48,基础状态预期!U178)))</f>
        <v>0</v>
      </c>
      <c r="P166" s="29">
        <f>IF(基础状态预期!V178="",0,MIN(求节点($C$16:$C$24,E$16:E$24,基础状态预期!L178),求节点($C$28:$C$48,E$28:E$48,基础状态预期!V178)))</f>
        <v>0</v>
      </c>
      <c r="Q166" s="29">
        <f>IF(基础状态预期!W178="",0,MIN(求节点($C$16:$C$24,F$16:F$24,基础状态预期!M178),求节点($C$28:$C$48,F$28:F$48,基础状态预期!W178)))</f>
        <v>0</v>
      </c>
      <c r="R166" s="29">
        <f>IF(基础状态预期!X178="",0,MIN(求节点($C$16:$C$24,G$16:G$24,基础状态预期!N178),求节点($C$28:$C$48,G$28:G$48,基础状态预期!X178)))</f>
        <v>0</v>
      </c>
      <c r="S166" s="29">
        <f>IF(基础状态预期!Y178="",0,MIN(求节点($C$16:$C$24,H$16:H$24,基础状态预期!O178),求节点($C$28:$C$48,H$28:H$48,基础状态预期!Y178)))</f>
        <v>0.45</v>
      </c>
      <c r="T166" s="29">
        <f>MAX(SUMPRODUCT(O166:S166,基础状态预期!$F178:$J178)/SUM(基础状态预期!$F178:$J178),T165)</f>
        <v>0.45</v>
      </c>
      <c r="AO166" s="29">
        <f t="shared" si="43"/>
        <v>118.4172728380062</v>
      </c>
      <c r="AP166" s="14">
        <f>MAX(求节点($C$74:$C$79,D$74:D$79,求节点($C$4:$C$12,D$4:D$12,基础状态预期!K178)),AP165)</f>
        <v>0</v>
      </c>
      <c r="AQ166" s="14">
        <f>MAX(求节点($C$74:$C$79,E$74:E$79,求节点($C$4:$C$12,E$4:E$12,基础状态预期!L178)),AQ165)</f>
        <v>0</v>
      </c>
      <c r="AR166" s="14">
        <f>MAX(求节点($C$74:$C$79,F$74:F$79,求节点($C$4:$C$12,F$4:F$12,基础状态预期!M178)),AR165)</f>
        <v>0</v>
      </c>
      <c r="AS166" s="14">
        <f>MAX(求节点($C$74:$C$79,G$74:G$79,求节点($C$4:$C$12,G$4:G$12,基础状态预期!N178)),AS165)</f>
        <v>1</v>
      </c>
      <c r="AT166" s="14">
        <f>MAX(求节点($C$74:$C$79,H$74:H$79,求节点($C$4:$C$12,H$4:H$12,基础状态预期!O178)),AT165)</f>
        <v>2</v>
      </c>
      <c r="AU166" s="14">
        <f>MAX(求节点($C$81:$C$86,D$81:D$86,求节点($C$4:$C$12,D$4:D$12,基础状态预期!K178)),AU165)</f>
        <v>0</v>
      </c>
      <c r="AV166" s="14">
        <f>MAX(求节点($C$81:$C$86,E$81:E$86,求节点($C$4:$C$12,E$4:E$12,基础状态预期!L178)),AV165)</f>
        <v>0</v>
      </c>
      <c r="AW166" s="14">
        <f>MAX(求节点($C$81:$C$86,F$81:F$86,求节点($C$4:$C$12,F$4:F$12,基础状态预期!M178)),AW165)</f>
        <v>0</v>
      </c>
      <c r="AX166" s="14">
        <f>MAX(求节点($C$81:$C$86,G$81:G$86,求节点($C$4:$C$12,G$4:G$12,基础状态预期!N178)),AX165)</f>
        <v>2</v>
      </c>
      <c r="AY166" s="14">
        <f>MAX(求节点($C$81:$C$86,H$81:H$86,求节点($C$4:$C$12,H$4:H$12,基础状态预期!O178)),AY165)</f>
        <v>4</v>
      </c>
      <c r="AZ166" s="14">
        <f>MAX(求节点($C$88:$C$93,D$88:D$93,求节点($C$4:$C$12,D$4:D$12,基础状态预期!K178)),AZ165)</f>
        <v>0</v>
      </c>
      <c r="BA166" s="14">
        <f>MAX(求节点($C$88:$C$93,E$88:E$93,求节点($C$4:$C$12,E$4:E$12,基础状态预期!L178)),BA165)</f>
        <v>0</v>
      </c>
      <c r="BB166" s="14">
        <f>MAX(求节点($C$88:$C$93,F$88:F$93,求节点($C$4:$C$12,F$4:F$12,基础状态预期!M178)),BB165)</f>
        <v>0</v>
      </c>
      <c r="BC166" s="14">
        <f>MAX(求节点($C$88:$C$93,G$88:G$93,求节点($C$4:$C$12,G$4:G$12,基础状态预期!N178)),BC165)</f>
        <v>3.7835109834694975</v>
      </c>
      <c r="BD166" s="14">
        <f>MAX(求节点($C$88:$C$93,H$88:H$93,求节点($C$4:$C$12,H$4:H$12,基础状态预期!O178)),BD165)</f>
        <v>48</v>
      </c>
      <c r="BE166" s="14">
        <f t="shared" si="40"/>
        <v>429268.08786775597</v>
      </c>
    </row>
    <row r="167" spans="13:57" x14ac:dyDescent="0.15">
      <c r="M167" s="16">
        <v>31</v>
      </c>
      <c r="N167" s="29">
        <f>基础状态预期!D179</f>
        <v>121.99245722798884</v>
      </c>
      <c r="O167" s="29">
        <f>IF(基础状态预期!U179="",0,MIN(求节点($C$16:$C$24,D$16:D$24,基础状态预期!K179),求节点($C$28:$C$48,D$28:D$48,基础状态预期!U179)))</f>
        <v>0</v>
      </c>
      <c r="P167" s="29">
        <f>IF(基础状态预期!V179="",0,MIN(求节点($C$16:$C$24,E$16:E$24,基础状态预期!L179),求节点($C$28:$C$48,E$28:E$48,基础状态预期!V179)))</f>
        <v>0</v>
      </c>
      <c r="Q167" s="29">
        <f>IF(基础状态预期!W179="",0,MIN(求节点($C$16:$C$24,F$16:F$24,基础状态预期!M179),求节点($C$28:$C$48,F$28:F$48,基础状态预期!W179)))</f>
        <v>0</v>
      </c>
      <c r="R167" s="29">
        <f>IF(基础状态预期!X179="",0,MIN(求节点($C$16:$C$24,G$16:G$24,基础状态预期!N179),求节点($C$28:$C$48,G$28:G$48,基础状态预期!X179)))</f>
        <v>0</v>
      </c>
      <c r="S167" s="29">
        <f>IF(基础状态预期!Y179="",0,MIN(求节点($C$16:$C$24,H$16:H$24,基础状态预期!O179),求节点($C$28:$C$48,H$28:H$48,基础状态预期!Y179)))</f>
        <v>0.45</v>
      </c>
      <c r="T167" s="29">
        <f>MAX(SUMPRODUCT(O167:S167,基础状态预期!$F179:$J179)/SUM(基础状态预期!$F179:$J179),T166)</f>
        <v>0.45</v>
      </c>
      <c r="AO167" s="29">
        <f t="shared" si="43"/>
        <v>121.99245722798884</v>
      </c>
      <c r="AP167" s="14">
        <f>MAX(求节点($C$74:$C$79,D$74:D$79,求节点($C$4:$C$12,D$4:D$12,基础状态预期!K179)),AP166)</f>
        <v>0</v>
      </c>
      <c r="AQ167" s="14">
        <f>MAX(求节点($C$74:$C$79,E$74:E$79,求节点($C$4:$C$12,E$4:E$12,基础状态预期!L179)),AQ166)</f>
        <v>0</v>
      </c>
      <c r="AR167" s="14">
        <f>MAX(求节点($C$74:$C$79,F$74:F$79,求节点($C$4:$C$12,F$4:F$12,基础状态预期!M179)),AR166)</f>
        <v>0</v>
      </c>
      <c r="AS167" s="14">
        <f>MAX(求节点($C$74:$C$79,G$74:G$79,求节点($C$4:$C$12,G$4:G$12,基础状态预期!N179)),AS166)</f>
        <v>1</v>
      </c>
      <c r="AT167" s="14">
        <f>MAX(求节点($C$74:$C$79,H$74:H$79,求节点($C$4:$C$12,H$4:H$12,基础状态预期!O179)),AT166)</f>
        <v>2</v>
      </c>
      <c r="AU167" s="14">
        <f>MAX(求节点($C$81:$C$86,D$81:D$86,求节点($C$4:$C$12,D$4:D$12,基础状态预期!K179)),AU166)</f>
        <v>0</v>
      </c>
      <c r="AV167" s="14">
        <f>MAX(求节点($C$81:$C$86,E$81:E$86,求节点($C$4:$C$12,E$4:E$12,基础状态预期!L179)),AV166)</f>
        <v>0</v>
      </c>
      <c r="AW167" s="14">
        <f>MAX(求节点($C$81:$C$86,F$81:F$86,求节点($C$4:$C$12,F$4:F$12,基础状态预期!M179)),AW166)</f>
        <v>0</v>
      </c>
      <c r="AX167" s="14">
        <f>MAX(求节点($C$81:$C$86,G$81:G$86,求节点($C$4:$C$12,G$4:G$12,基础状态预期!N179)),AX166)</f>
        <v>2</v>
      </c>
      <c r="AY167" s="14">
        <f>MAX(求节点($C$81:$C$86,H$81:H$86,求节点($C$4:$C$12,H$4:H$12,基础状态预期!O179)),AY166)</f>
        <v>4</v>
      </c>
      <c r="AZ167" s="14">
        <f>MAX(求节点($C$88:$C$93,D$88:D$93,求节点($C$4:$C$12,D$4:D$12,基础状态预期!K179)),AZ166)</f>
        <v>0</v>
      </c>
      <c r="BA167" s="14">
        <f>MAX(求节点($C$88:$C$93,E$88:E$93,求节点($C$4:$C$12,E$4:E$12,基础状态预期!L179)),BA166)</f>
        <v>0</v>
      </c>
      <c r="BB167" s="14">
        <f>MAX(求节点($C$88:$C$93,F$88:F$93,求节点($C$4:$C$12,F$4:F$12,基础状态预期!M179)),BB166)</f>
        <v>0</v>
      </c>
      <c r="BC167" s="14">
        <f>MAX(求节点($C$88:$C$93,G$88:G$93,求节点($C$4:$C$12,G$4:G$12,基础状态预期!N179)),BC166)</f>
        <v>3.7835109834694975</v>
      </c>
      <c r="BD167" s="14">
        <f>MAX(求节点($C$88:$C$93,H$88:H$93,求节点($C$4:$C$12,H$4:H$12,基础状态预期!O179)),BD166)</f>
        <v>48</v>
      </c>
      <c r="BE167" s="14">
        <f t="shared" si="40"/>
        <v>429268.08786775597</v>
      </c>
    </row>
    <row r="168" spans="13:57" x14ac:dyDescent="0.15">
      <c r="M168" s="16">
        <v>32</v>
      </c>
      <c r="N168" s="29">
        <f>基础状态预期!D180</f>
        <v>125.43876546297123</v>
      </c>
      <c r="O168" s="29">
        <f>IF(基础状态预期!U180="",0,MIN(求节点($C$16:$C$24,D$16:D$24,基础状态预期!K180),求节点($C$28:$C$48,D$28:D$48,基础状态预期!U180)))</f>
        <v>0</v>
      </c>
      <c r="P168" s="29">
        <f>IF(基础状态预期!V180="",0,MIN(求节点($C$16:$C$24,E$16:E$24,基础状态预期!L180),求节点($C$28:$C$48,E$28:E$48,基础状态预期!V180)))</f>
        <v>0</v>
      </c>
      <c r="Q168" s="29">
        <f>IF(基础状态预期!W180="",0,MIN(求节点($C$16:$C$24,F$16:F$24,基础状态预期!M180),求节点($C$28:$C$48,F$28:F$48,基础状态预期!W180)))</f>
        <v>0</v>
      </c>
      <c r="R168" s="29">
        <f>IF(基础状态预期!X180="",0,MIN(求节点($C$16:$C$24,G$16:G$24,基础状态预期!N180),求节点($C$28:$C$48,G$28:G$48,基础状态预期!X180)))</f>
        <v>0</v>
      </c>
      <c r="S168" s="29">
        <f>IF(基础状态预期!Y180="",0,MIN(求节点($C$16:$C$24,H$16:H$24,基础状态预期!O180),求节点($C$28:$C$48,H$28:H$48,基础状态预期!Y180)))</f>
        <v>0.45</v>
      </c>
      <c r="T168" s="29">
        <f>MAX(SUMPRODUCT(O168:S168,基础状态预期!$F180:$J180)/SUM(基础状态预期!$F180:$J180),T167)</f>
        <v>0.45</v>
      </c>
      <c r="AO168" s="29">
        <f t="shared" si="43"/>
        <v>125.43876546297123</v>
      </c>
      <c r="AP168" s="14">
        <f>MAX(求节点($C$74:$C$79,D$74:D$79,求节点($C$4:$C$12,D$4:D$12,基础状态预期!K180)),AP167)</f>
        <v>0</v>
      </c>
      <c r="AQ168" s="14">
        <f>MAX(求节点($C$74:$C$79,E$74:E$79,求节点($C$4:$C$12,E$4:E$12,基础状态预期!L180)),AQ167)</f>
        <v>0</v>
      </c>
      <c r="AR168" s="14">
        <f>MAX(求节点($C$74:$C$79,F$74:F$79,求节点($C$4:$C$12,F$4:F$12,基础状态预期!M180)),AR167)</f>
        <v>0</v>
      </c>
      <c r="AS168" s="14">
        <f>MAX(求节点($C$74:$C$79,G$74:G$79,求节点($C$4:$C$12,G$4:G$12,基础状态预期!N180)),AS167)</f>
        <v>1</v>
      </c>
      <c r="AT168" s="14">
        <f>MAX(求节点($C$74:$C$79,H$74:H$79,求节点($C$4:$C$12,H$4:H$12,基础状态预期!O180)),AT167)</f>
        <v>2</v>
      </c>
      <c r="AU168" s="14">
        <f>MAX(求节点($C$81:$C$86,D$81:D$86,求节点($C$4:$C$12,D$4:D$12,基础状态预期!K180)),AU167)</f>
        <v>0</v>
      </c>
      <c r="AV168" s="14">
        <f>MAX(求节点($C$81:$C$86,E$81:E$86,求节点($C$4:$C$12,E$4:E$12,基础状态预期!L180)),AV167)</f>
        <v>0</v>
      </c>
      <c r="AW168" s="14">
        <f>MAX(求节点($C$81:$C$86,F$81:F$86,求节点($C$4:$C$12,F$4:F$12,基础状态预期!M180)),AW167)</f>
        <v>0</v>
      </c>
      <c r="AX168" s="14">
        <f>MAX(求节点($C$81:$C$86,G$81:G$86,求节点($C$4:$C$12,G$4:G$12,基础状态预期!N180)),AX167)</f>
        <v>2</v>
      </c>
      <c r="AY168" s="14">
        <f>MAX(求节点($C$81:$C$86,H$81:H$86,求节点($C$4:$C$12,H$4:H$12,基础状态预期!O180)),AY167)</f>
        <v>4</v>
      </c>
      <c r="AZ168" s="14">
        <f>MAX(求节点($C$88:$C$93,D$88:D$93,求节点($C$4:$C$12,D$4:D$12,基础状态预期!K180)),AZ167)</f>
        <v>0</v>
      </c>
      <c r="BA168" s="14">
        <f>MAX(求节点($C$88:$C$93,E$88:E$93,求节点($C$4:$C$12,E$4:E$12,基础状态预期!L180)),BA167)</f>
        <v>0</v>
      </c>
      <c r="BB168" s="14">
        <f>MAX(求节点($C$88:$C$93,F$88:F$93,求节点($C$4:$C$12,F$4:F$12,基础状态预期!M180)),BB167)</f>
        <v>0</v>
      </c>
      <c r="BC168" s="14">
        <f>MAX(求节点($C$88:$C$93,G$88:G$93,求节点($C$4:$C$12,G$4:G$12,基础状态预期!N180)),BC167)</f>
        <v>3.7835109834694975</v>
      </c>
      <c r="BD168" s="14">
        <f>MAX(求节点($C$88:$C$93,H$88:H$93,求节点($C$4:$C$12,H$4:H$12,基础状态预期!O180)),BD167)</f>
        <v>48</v>
      </c>
      <c r="BE168" s="14">
        <f t="shared" si="40"/>
        <v>429268.08786775597</v>
      </c>
    </row>
    <row r="169" spans="13:57" x14ac:dyDescent="0.15">
      <c r="M169" s="16">
        <v>33</v>
      </c>
      <c r="N169" s="29">
        <f>基础状态预期!D181</f>
        <v>129.12105302323599</v>
      </c>
      <c r="O169" s="29">
        <f>IF(基础状态预期!U181="",0,MIN(求节点($C$16:$C$24,D$16:D$24,基础状态预期!K181),求节点($C$28:$C$48,D$28:D$48,基础状态预期!U181)))</f>
        <v>0</v>
      </c>
      <c r="P169" s="29">
        <f>IF(基础状态预期!V181="",0,MIN(求节点($C$16:$C$24,E$16:E$24,基础状态预期!L181),求节点($C$28:$C$48,E$28:E$48,基础状态预期!V181)))</f>
        <v>0</v>
      </c>
      <c r="Q169" s="29">
        <f>IF(基础状态预期!W181="",0,MIN(求节点($C$16:$C$24,F$16:F$24,基础状态预期!M181),求节点($C$28:$C$48,F$28:F$48,基础状态预期!W181)))</f>
        <v>0</v>
      </c>
      <c r="R169" s="29">
        <f>IF(基础状态预期!X181="",0,MIN(求节点($C$16:$C$24,G$16:G$24,基础状态预期!N181),求节点($C$28:$C$48,G$28:G$48,基础状态预期!X181)))</f>
        <v>0</v>
      </c>
      <c r="S169" s="29">
        <f>IF(基础状态预期!Y181="",0,MIN(求节点($C$16:$C$24,H$16:H$24,基础状态预期!O181),求节点($C$28:$C$48,H$28:H$48,基础状态预期!Y181)))</f>
        <v>0.45</v>
      </c>
      <c r="T169" s="29">
        <f>MAX(SUMPRODUCT(O169:S169,基础状态预期!$F181:$J181)/SUM(基础状态预期!$F181:$J181),T168)</f>
        <v>0.45</v>
      </c>
      <c r="AO169" s="29">
        <f t="shared" si="43"/>
        <v>129.12105302323599</v>
      </c>
      <c r="AP169" s="14">
        <f>MAX(求节点($C$74:$C$79,D$74:D$79,求节点($C$4:$C$12,D$4:D$12,基础状态预期!K181)),AP168)</f>
        <v>0</v>
      </c>
      <c r="AQ169" s="14">
        <f>MAX(求节点($C$74:$C$79,E$74:E$79,求节点($C$4:$C$12,E$4:E$12,基础状态预期!L181)),AQ168)</f>
        <v>0</v>
      </c>
      <c r="AR169" s="14">
        <f>MAX(求节点($C$74:$C$79,F$74:F$79,求节点($C$4:$C$12,F$4:F$12,基础状态预期!M181)),AR168)</f>
        <v>0</v>
      </c>
      <c r="AS169" s="14">
        <f>MAX(求节点($C$74:$C$79,G$74:G$79,求节点($C$4:$C$12,G$4:G$12,基础状态预期!N181)),AS168)</f>
        <v>1</v>
      </c>
      <c r="AT169" s="14">
        <f>MAX(求节点($C$74:$C$79,H$74:H$79,求节点($C$4:$C$12,H$4:H$12,基础状态预期!O181)),AT168)</f>
        <v>2</v>
      </c>
      <c r="AU169" s="14">
        <f>MAX(求节点($C$81:$C$86,D$81:D$86,求节点($C$4:$C$12,D$4:D$12,基础状态预期!K181)),AU168)</f>
        <v>0</v>
      </c>
      <c r="AV169" s="14">
        <f>MAX(求节点($C$81:$C$86,E$81:E$86,求节点($C$4:$C$12,E$4:E$12,基础状态预期!L181)),AV168)</f>
        <v>0</v>
      </c>
      <c r="AW169" s="14">
        <f>MAX(求节点($C$81:$C$86,F$81:F$86,求节点($C$4:$C$12,F$4:F$12,基础状态预期!M181)),AW168)</f>
        <v>0</v>
      </c>
      <c r="AX169" s="14">
        <f>MAX(求节点($C$81:$C$86,G$81:G$86,求节点($C$4:$C$12,G$4:G$12,基础状态预期!N181)),AX168)</f>
        <v>2</v>
      </c>
      <c r="AY169" s="14">
        <f>MAX(求节点($C$81:$C$86,H$81:H$86,求节点($C$4:$C$12,H$4:H$12,基础状态预期!O181)),AY168)</f>
        <v>4</v>
      </c>
      <c r="AZ169" s="14">
        <f>MAX(求节点($C$88:$C$93,D$88:D$93,求节点($C$4:$C$12,D$4:D$12,基础状态预期!K181)),AZ168)</f>
        <v>0</v>
      </c>
      <c r="BA169" s="14">
        <f>MAX(求节点($C$88:$C$93,E$88:E$93,求节点($C$4:$C$12,E$4:E$12,基础状态预期!L181)),BA168)</f>
        <v>0</v>
      </c>
      <c r="BB169" s="14">
        <f>MAX(求节点($C$88:$C$93,F$88:F$93,求节点($C$4:$C$12,F$4:F$12,基础状态预期!M181)),BB168)</f>
        <v>0</v>
      </c>
      <c r="BC169" s="14">
        <f>MAX(求节点($C$88:$C$93,G$88:G$93,求节点($C$4:$C$12,G$4:G$12,基础状态预期!N181)),BC168)</f>
        <v>3.7835109834694975</v>
      </c>
      <c r="BD169" s="14">
        <f>MAX(求节点($C$88:$C$93,H$88:H$93,求节点($C$4:$C$12,H$4:H$12,基础状态预期!O181)),BD168)</f>
        <v>48</v>
      </c>
      <c r="BE169" s="14">
        <f t="shared" si="40"/>
        <v>429268.08786775597</v>
      </c>
    </row>
    <row r="170" spans="13:57" x14ac:dyDescent="0.15">
      <c r="M170" s="16">
        <v>34</v>
      </c>
      <c r="N170" s="29">
        <f>基础状态预期!D182</f>
        <v>132.61179169042359</v>
      </c>
      <c r="O170" s="29">
        <f>IF(基础状态预期!U182="",0,MIN(求节点($C$16:$C$24,D$16:D$24,基础状态预期!K182),求节点($C$28:$C$48,D$28:D$48,基础状态预期!U182)))</f>
        <v>0</v>
      </c>
      <c r="P170" s="29">
        <f>IF(基础状态预期!V182="",0,MIN(求节点($C$16:$C$24,E$16:E$24,基础状态预期!L182),求节点($C$28:$C$48,E$28:E$48,基础状态预期!V182)))</f>
        <v>0</v>
      </c>
      <c r="Q170" s="29">
        <f>IF(基础状态预期!W182="",0,MIN(求节点($C$16:$C$24,F$16:F$24,基础状态预期!M182),求节点($C$28:$C$48,F$28:F$48,基础状态预期!W182)))</f>
        <v>0</v>
      </c>
      <c r="R170" s="29">
        <f>IF(基础状态预期!X182="",0,MIN(求节点($C$16:$C$24,G$16:G$24,基础状态预期!N182),求节点($C$28:$C$48,G$28:G$48,基础状态预期!X182)))</f>
        <v>0</v>
      </c>
      <c r="S170" s="29">
        <f>IF(基础状态预期!Y182="",0,MIN(求节点($C$16:$C$24,H$16:H$24,基础状态预期!O182),求节点($C$28:$C$48,H$28:H$48,基础状态预期!Y182)))</f>
        <v>0.45</v>
      </c>
      <c r="T170" s="29">
        <f>MAX(SUMPRODUCT(O170:S170,基础状态预期!$F182:$J182)/SUM(基础状态预期!$F182:$J182),T169)</f>
        <v>0.45</v>
      </c>
      <c r="AO170" s="29">
        <f t="shared" si="43"/>
        <v>132.61179169042359</v>
      </c>
      <c r="AP170" s="14">
        <f>MAX(求节点($C$74:$C$79,D$74:D$79,求节点($C$4:$C$12,D$4:D$12,基础状态预期!K182)),AP169)</f>
        <v>0</v>
      </c>
      <c r="AQ170" s="14">
        <f>MAX(求节点($C$74:$C$79,E$74:E$79,求节点($C$4:$C$12,E$4:E$12,基础状态预期!L182)),AQ169)</f>
        <v>0</v>
      </c>
      <c r="AR170" s="14">
        <f>MAX(求节点($C$74:$C$79,F$74:F$79,求节点($C$4:$C$12,F$4:F$12,基础状态预期!M182)),AR169)</f>
        <v>0</v>
      </c>
      <c r="AS170" s="14">
        <f>MAX(求节点($C$74:$C$79,G$74:G$79,求节点($C$4:$C$12,G$4:G$12,基础状态预期!N182)),AS169)</f>
        <v>1</v>
      </c>
      <c r="AT170" s="14">
        <f>MAX(求节点($C$74:$C$79,H$74:H$79,求节点($C$4:$C$12,H$4:H$12,基础状态预期!O182)),AT169)</f>
        <v>2</v>
      </c>
      <c r="AU170" s="14">
        <f>MAX(求节点($C$81:$C$86,D$81:D$86,求节点($C$4:$C$12,D$4:D$12,基础状态预期!K182)),AU169)</f>
        <v>0</v>
      </c>
      <c r="AV170" s="14">
        <f>MAX(求节点($C$81:$C$86,E$81:E$86,求节点($C$4:$C$12,E$4:E$12,基础状态预期!L182)),AV169)</f>
        <v>0</v>
      </c>
      <c r="AW170" s="14">
        <f>MAX(求节点($C$81:$C$86,F$81:F$86,求节点($C$4:$C$12,F$4:F$12,基础状态预期!M182)),AW169)</f>
        <v>0</v>
      </c>
      <c r="AX170" s="14">
        <f>MAX(求节点($C$81:$C$86,G$81:G$86,求节点($C$4:$C$12,G$4:G$12,基础状态预期!N182)),AX169)</f>
        <v>2</v>
      </c>
      <c r="AY170" s="14">
        <f>MAX(求节点($C$81:$C$86,H$81:H$86,求节点($C$4:$C$12,H$4:H$12,基础状态预期!O182)),AY169)</f>
        <v>4</v>
      </c>
      <c r="AZ170" s="14">
        <f>MAX(求节点($C$88:$C$93,D$88:D$93,求节点($C$4:$C$12,D$4:D$12,基础状态预期!K182)),AZ169)</f>
        <v>0</v>
      </c>
      <c r="BA170" s="14">
        <f>MAX(求节点($C$88:$C$93,E$88:E$93,求节点($C$4:$C$12,E$4:E$12,基础状态预期!L182)),BA169)</f>
        <v>0</v>
      </c>
      <c r="BB170" s="14">
        <f>MAX(求节点($C$88:$C$93,F$88:F$93,求节点($C$4:$C$12,F$4:F$12,基础状态预期!M182)),BB169)</f>
        <v>0</v>
      </c>
      <c r="BC170" s="14">
        <f>MAX(求节点($C$88:$C$93,G$88:G$93,求节点($C$4:$C$12,G$4:G$12,基础状态预期!N182)),BC169)</f>
        <v>3.7835109834694975</v>
      </c>
      <c r="BD170" s="14">
        <f>MAX(求节点($C$88:$C$93,H$88:H$93,求节点($C$4:$C$12,H$4:H$12,基础状态预期!O182)),BD169)</f>
        <v>48</v>
      </c>
      <c r="BE170" s="14">
        <f t="shared" si="40"/>
        <v>429268.08786775597</v>
      </c>
    </row>
    <row r="171" spans="13:57" x14ac:dyDescent="0.15">
      <c r="M171" s="16">
        <v>35</v>
      </c>
      <c r="N171" s="29">
        <f>基础状态预期!D183</f>
        <v>136.12035534953262</v>
      </c>
      <c r="O171" s="29">
        <f>IF(基础状态预期!U183="",0,MIN(求节点($C$16:$C$24,D$16:D$24,基础状态预期!K183),求节点($C$28:$C$48,D$28:D$48,基础状态预期!U183)))</f>
        <v>0</v>
      </c>
      <c r="P171" s="29">
        <f>IF(基础状态预期!V183="",0,MIN(求节点($C$16:$C$24,E$16:E$24,基础状态预期!L183),求节点($C$28:$C$48,E$28:E$48,基础状态预期!V183)))</f>
        <v>0</v>
      </c>
      <c r="Q171" s="29">
        <f>IF(基础状态预期!W183="",0,MIN(求节点($C$16:$C$24,F$16:F$24,基础状态预期!M183),求节点($C$28:$C$48,F$28:F$48,基础状态预期!W183)))</f>
        <v>0</v>
      </c>
      <c r="R171" s="29">
        <f>IF(基础状态预期!X183="",0,MIN(求节点($C$16:$C$24,G$16:G$24,基础状态预期!N183),求节点($C$28:$C$48,G$28:G$48,基础状态预期!X183)))</f>
        <v>0</v>
      </c>
      <c r="S171" s="29">
        <f>IF(基础状态预期!Y183="",0,MIN(求节点($C$16:$C$24,H$16:H$24,基础状态预期!O183),求节点($C$28:$C$48,H$28:H$48,基础状态预期!Y183)))</f>
        <v>0.45</v>
      </c>
      <c r="T171" s="29">
        <f>MAX(SUMPRODUCT(O171:S171,基础状态预期!$F183:$J183)/SUM(基础状态预期!$F183:$J183),T170)</f>
        <v>0.45</v>
      </c>
      <c r="AO171" s="29">
        <f t="shared" si="43"/>
        <v>136.12035534953262</v>
      </c>
      <c r="AP171" s="14">
        <f>MAX(求节点($C$74:$C$79,D$74:D$79,求节点($C$4:$C$12,D$4:D$12,基础状态预期!K183)),AP170)</f>
        <v>0</v>
      </c>
      <c r="AQ171" s="14">
        <f>MAX(求节点($C$74:$C$79,E$74:E$79,求节点($C$4:$C$12,E$4:E$12,基础状态预期!L183)),AQ170)</f>
        <v>0</v>
      </c>
      <c r="AR171" s="14">
        <f>MAX(求节点($C$74:$C$79,F$74:F$79,求节点($C$4:$C$12,F$4:F$12,基础状态预期!M183)),AR170)</f>
        <v>0</v>
      </c>
      <c r="AS171" s="14">
        <f>MAX(求节点($C$74:$C$79,G$74:G$79,求节点($C$4:$C$12,G$4:G$12,基础状态预期!N183)),AS170)</f>
        <v>1</v>
      </c>
      <c r="AT171" s="14">
        <f>MAX(求节点($C$74:$C$79,H$74:H$79,求节点($C$4:$C$12,H$4:H$12,基础状态预期!O183)),AT170)</f>
        <v>2</v>
      </c>
      <c r="AU171" s="14">
        <f>MAX(求节点($C$81:$C$86,D$81:D$86,求节点($C$4:$C$12,D$4:D$12,基础状态预期!K183)),AU170)</f>
        <v>0</v>
      </c>
      <c r="AV171" s="14">
        <f>MAX(求节点($C$81:$C$86,E$81:E$86,求节点($C$4:$C$12,E$4:E$12,基础状态预期!L183)),AV170)</f>
        <v>0</v>
      </c>
      <c r="AW171" s="14">
        <f>MAX(求节点($C$81:$C$86,F$81:F$86,求节点($C$4:$C$12,F$4:F$12,基础状态预期!M183)),AW170)</f>
        <v>0</v>
      </c>
      <c r="AX171" s="14">
        <f>MAX(求节点($C$81:$C$86,G$81:G$86,求节点($C$4:$C$12,G$4:G$12,基础状态预期!N183)),AX170)</f>
        <v>2</v>
      </c>
      <c r="AY171" s="14">
        <f>MAX(求节点($C$81:$C$86,H$81:H$86,求节点($C$4:$C$12,H$4:H$12,基础状态预期!O183)),AY170)</f>
        <v>4</v>
      </c>
      <c r="AZ171" s="14">
        <f>MAX(求节点($C$88:$C$93,D$88:D$93,求节点($C$4:$C$12,D$4:D$12,基础状态预期!K183)),AZ170)</f>
        <v>0</v>
      </c>
      <c r="BA171" s="14">
        <f>MAX(求节点($C$88:$C$93,E$88:E$93,求节点($C$4:$C$12,E$4:E$12,基础状态预期!L183)),BA170)</f>
        <v>0</v>
      </c>
      <c r="BB171" s="14">
        <f>MAX(求节点($C$88:$C$93,F$88:F$93,求节点($C$4:$C$12,F$4:F$12,基础状态预期!M183)),BB170)</f>
        <v>0</v>
      </c>
      <c r="BC171" s="14">
        <f>MAX(求节点($C$88:$C$93,G$88:G$93,求节点($C$4:$C$12,G$4:G$12,基础状态预期!N183)),BC170)</f>
        <v>3.7835109834694975</v>
      </c>
      <c r="BD171" s="14">
        <f>MAX(求节点($C$88:$C$93,H$88:H$93,求节点($C$4:$C$12,H$4:H$12,基础状态预期!O183)),BD170)</f>
        <v>48</v>
      </c>
      <c r="BE171" s="14">
        <f t="shared" si="40"/>
        <v>429268.08786775597</v>
      </c>
    </row>
    <row r="172" spans="13:57" x14ac:dyDescent="0.15">
      <c r="M172" s="16">
        <v>36</v>
      </c>
      <c r="N172" s="29">
        <f>基础状态预期!D184</f>
        <v>139.6793621861803</v>
      </c>
      <c r="O172" s="29">
        <f>IF(基础状态预期!U184="",0,MIN(求节点($C$16:$C$24,D$16:D$24,基础状态预期!K184),求节点($C$28:$C$48,D$28:D$48,基础状态预期!U184)))</f>
        <v>0</v>
      </c>
      <c r="P172" s="29">
        <f>IF(基础状态预期!V184="",0,MIN(求节点($C$16:$C$24,E$16:E$24,基础状态预期!L184),求节点($C$28:$C$48,E$28:E$48,基础状态预期!V184)))</f>
        <v>0</v>
      </c>
      <c r="Q172" s="29">
        <f>IF(基础状态预期!W184="",0,MIN(求节点($C$16:$C$24,F$16:F$24,基础状态预期!M184),求节点($C$28:$C$48,F$28:F$48,基础状态预期!W184)))</f>
        <v>0</v>
      </c>
      <c r="R172" s="29">
        <f>IF(基础状态预期!X184="",0,MIN(求节点($C$16:$C$24,G$16:G$24,基础状态预期!N184),求节点($C$28:$C$48,G$28:G$48,基础状态预期!X184)))</f>
        <v>0</v>
      </c>
      <c r="S172" s="29">
        <f>IF(基础状态预期!Y184="",0,MIN(求节点($C$16:$C$24,H$16:H$24,基础状态预期!O184),求节点($C$28:$C$48,H$28:H$48,基础状态预期!Y184)))</f>
        <v>0.45</v>
      </c>
      <c r="T172" s="29">
        <f>MAX(SUMPRODUCT(O172:S172,基础状态预期!$F184:$J184)/SUM(基础状态预期!$F184:$J184),T171)</f>
        <v>0.45</v>
      </c>
      <c r="AO172" s="29">
        <f t="shared" si="43"/>
        <v>139.6793621861803</v>
      </c>
      <c r="AP172" s="14">
        <f>MAX(求节点($C$74:$C$79,D$74:D$79,求节点($C$4:$C$12,D$4:D$12,基础状态预期!K184)),AP171)</f>
        <v>0</v>
      </c>
      <c r="AQ172" s="14">
        <f>MAX(求节点($C$74:$C$79,E$74:E$79,求节点($C$4:$C$12,E$4:E$12,基础状态预期!L184)),AQ171)</f>
        <v>0</v>
      </c>
      <c r="AR172" s="14">
        <f>MAX(求节点($C$74:$C$79,F$74:F$79,求节点($C$4:$C$12,F$4:F$12,基础状态预期!M184)),AR171)</f>
        <v>0</v>
      </c>
      <c r="AS172" s="14">
        <f>MAX(求节点($C$74:$C$79,G$74:G$79,求节点($C$4:$C$12,G$4:G$12,基础状态预期!N184)),AS171)</f>
        <v>1</v>
      </c>
      <c r="AT172" s="14">
        <f>MAX(求节点($C$74:$C$79,H$74:H$79,求节点($C$4:$C$12,H$4:H$12,基础状态预期!O184)),AT171)</f>
        <v>2</v>
      </c>
      <c r="AU172" s="14">
        <f>MAX(求节点($C$81:$C$86,D$81:D$86,求节点($C$4:$C$12,D$4:D$12,基础状态预期!K184)),AU171)</f>
        <v>0</v>
      </c>
      <c r="AV172" s="14">
        <f>MAX(求节点($C$81:$C$86,E$81:E$86,求节点($C$4:$C$12,E$4:E$12,基础状态预期!L184)),AV171)</f>
        <v>0</v>
      </c>
      <c r="AW172" s="14">
        <f>MAX(求节点($C$81:$C$86,F$81:F$86,求节点($C$4:$C$12,F$4:F$12,基础状态预期!M184)),AW171)</f>
        <v>0</v>
      </c>
      <c r="AX172" s="14">
        <f>MAX(求节点($C$81:$C$86,G$81:G$86,求节点($C$4:$C$12,G$4:G$12,基础状态预期!N184)),AX171)</f>
        <v>2</v>
      </c>
      <c r="AY172" s="14">
        <f>MAX(求节点($C$81:$C$86,H$81:H$86,求节点($C$4:$C$12,H$4:H$12,基础状态预期!O184)),AY171)</f>
        <v>4</v>
      </c>
      <c r="AZ172" s="14">
        <f>MAX(求节点($C$88:$C$93,D$88:D$93,求节点($C$4:$C$12,D$4:D$12,基础状态预期!K184)),AZ171)</f>
        <v>0</v>
      </c>
      <c r="BA172" s="14">
        <f>MAX(求节点($C$88:$C$93,E$88:E$93,求节点($C$4:$C$12,E$4:E$12,基础状态预期!L184)),BA171)</f>
        <v>0</v>
      </c>
      <c r="BB172" s="14">
        <f>MAX(求节点($C$88:$C$93,F$88:F$93,求节点($C$4:$C$12,F$4:F$12,基础状态预期!M184)),BB171)</f>
        <v>0</v>
      </c>
      <c r="BC172" s="14">
        <f>MAX(求节点($C$88:$C$93,G$88:G$93,求节点($C$4:$C$12,G$4:G$12,基础状态预期!N184)),BC171)</f>
        <v>3.7835109834694975</v>
      </c>
      <c r="BD172" s="14">
        <f>MAX(求节点($C$88:$C$93,H$88:H$93,求节点($C$4:$C$12,H$4:H$12,基础状态预期!O184)),BD171)</f>
        <v>48</v>
      </c>
      <c r="BE172" s="14">
        <f t="shared" si="40"/>
        <v>429268.08786775597</v>
      </c>
    </row>
    <row r="173" spans="13:57" x14ac:dyDescent="0.15">
      <c r="M173" s="16">
        <v>37</v>
      </c>
      <c r="N173" s="29">
        <f>基础状态预期!D185</f>
        <v>143.14123736077869</v>
      </c>
      <c r="O173" s="29">
        <f>IF(基础状态预期!U185="",0,MIN(求节点($C$16:$C$24,D$16:D$24,基础状态预期!K185),求节点($C$28:$C$48,D$28:D$48,基础状态预期!U185)))</f>
        <v>0</v>
      </c>
      <c r="P173" s="29">
        <f>IF(基础状态预期!V185="",0,MIN(求节点($C$16:$C$24,E$16:E$24,基础状态预期!L185),求节点($C$28:$C$48,E$28:E$48,基础状态预期!V185)))</f>
        <v>0</v>
      </c>
      <c r="Q173" s="29">
        <f>IF(基础状态预期!W185="",0,MIN(求节点($C$16:$C$24,F$16:F$24,基础状态预期!M185),求节点($C$28:$C$48,F$28:F$48,基础状态预期!W185)))</f>
        <v>0</v>
      </c>
      <c r="R173" s="29">
        <f>IF(基础状态预期!X185="",0,MIN(求节点($C$16:$C$24,G$16:G$24,基础状态预期!N185),求节点($C$28:$C$48,G$28:G$48,基础状态预期!X185)))</f>
        <v>0</v>
      </c>
      <c r="S173" s="29">
        <f>IF(基础状态预期!Y185="",0,MIN(求节点($C$16:$C$24,H$16:H$24,基础状态预期!O185),求节点($C$28:$C$48,H$28:H$48,基础状态预期!Y185)))</f>
        <v>0.45</v>
      </c>
      <c r="T173" s="29">
        <f>MAX(SUMPRODUCT(O173:S173,基础状态预期!$F185:$J185)/SUM(基础状态预期!$F185:$J185),T172)</f>
        <v>0.45</v>
      </c>
      <c r="AO173" s="29">
        <f t="shared" si="43"/>
        <v>143.14123736077869</v>
      </c>
      <c r="AP173" s="14">
        <f>MAX(求节点($C$74:$C$79,D$74:D$79,求节点($C$4:$C$12,D$4:D$12,基础状态预期!K185)),AP172)</f>
        <v>0</v>
      </c>
      <c r="AQ173" s="14">
        <f>MAX(求节点($C$74:$C$79,E$74:E$79,求节点($C$4:$C$12,E$4:E$12,基础状态预期!L185)),AQ172)</f>
        <v>0</v>
      </c>
      <c r="AR173" s="14">
        <f>MAX(求节点($C$74:$C$79,F$74:F$79,求节点($C$4:$C$12,F$4:F$12,基础状态预期!M185)),AR172)</f>
        <v>0</v>
      </c>
      <c r="AS173" s="14">
        <f>MAX(求节点($C$74:$C$79,G$74:G$79,求节点($C$4:$C$12,G$4:G$12,基础状态预期!N185)),AS172)</f>
        <v>1</v>
      </c>
      <c r="AT173" s="14">
        <f>MAX(求节点($C$74:$C$79,H$74:H$79,求节点($C$4:$C$12,H$4:H$12,基础状态预期!O185)),AT172)</f>
        <v>2</v>
      </c>
      <c r="AU173" s="14">
        <f>MAX(求节点($C$81:$C$86,D$81:D$86,求节点($C$4:$C$12,D$4:D$12,基础状态预期!K185)),AU172)</f>
        <v>0</v>
      </c>
      <c r="AV173" s="14">
        <f>MAX(求节点($C$81:$C$86,E$81:E$86,求节点($C$4:$C$12,E$4:E$12,基础状态预期!L185)),AV172)</f>
        <v>0</v>
      </c>
      <c r="AW173" s="14">
        <f>MAX(求节点($C$81:$C$86,F$81:F$86,求节点($C$4:$C$12,F$4:F$12,基础状态预期!M185)),AW172)</f>
        <v>0</v>
      </c>
      <c r="AX173" s="14">
        <f>MAX(求节点($C$81:$C$86,G$81:G$86,求节点($C$4:$C$12,G$4:G$12,基础状态预期!N185)),AX172)</f>
        <v>2</v>
      </c>
      <c r="AY173" s="14">
        <f>MAX(求节点($C$81:$C$86,H$81:H$86,求节点($C$4:$C$12,H$4:H$12,基础状态预期!O185)),AY172)</f>
        <v>4</v>
      </c>
      <c r="AZ173" s="14">
        <f>MAX(求节点($C$88:$C$93,D$88:D$93,求节点($C$4:$C$12,D$4:D$12,基础状态预期!K185)),AZ172)</f>
        <v>0</v>
      </c>
      <c r="BA173" s="14">
        <f>MAX(求节点($C$88:$C$93,E$88:E$93,求节点($C$4:$C$12,E$4:E$12,基础状态预期!L185)),BA172)</f>
        <v>0</v>
      </c>
      <c r="BB173" s="14">
        <f>MAX(求节点($C$88:$C$93,F$88:F$93,求节点($C$4:$C$12,F$4:F$12,基础状态预期!M185)),BB172)</f>
        <v>0</v>
      </c>
      <c r="BC173" s="14">
        <f>MAX(求节点($C$88:$C$93,G$88:G$93,求节点($C$4:$C$12,G$4:G$12,基础状态预期!N185)),BC172)</f>
        <v>3.7835109834694975</v>
      </c>
      <c r="BD173" s="14">
        <f>MAX(求节点($C$88:$C$93,H$88:H$93,求节点($C$4:$C$12,H$4:H$12,基础状态预期!O185)),BD172)</f>
        <v>48</v>
      </c>
      <c r="BE173" s="14">
        <f t="shared" si="40"/>
        <v>429268.08786775597</v>
      </c>
    </row>
    <row r="174" spans="13:57" x14ac:dyDescent="0.15">
      <c r="M174" s="16">
        <v>38</v>
      </c>
      <c r="N174" s="29">
        <f>基础状态预期!D186</f>
        <v>146.75578521325724</v>
      </c>
      <c r="O174" s="29">
        <f>IF(基础状态预期!U186="",0,MIN(求节点($C$16:$C$24,D$16:D$24,基础状态预期!K186),求节点($C$28:$C$48,D$28:D$48,基础状态预期!U186)))</f>
        <v>0</v>
      </c>
      <c r="P174" s="29">
        <f>IF(基础状态预期!V186="",0,MIN(求节点($C$16:$C$24,E$16:E$24,基础状态预期!L186),求节点($C$28:$C$48,E$28:E$48,基础状态预期!V186)))</f>
        <v>0</v>
      </c>
      <c r="Q174" s="29">
        <f>IF(基础状态预期!W186="",0,MIN(求节点($C$16:$C$24,F$16:F$24,基础状态预期!M186),求节点($C$28:$C$48,F$28:F$48,基础状态预期!W186)))</f>
        <v>0</v>
      </c>
      <c r="R174" s="29">
        <f>IF(基础状态预期!X186="",0,MIN(求节点($C$16:$C$24,G$16:G$24,基础状态预期!N186),求节点($C$28:$C$48,G$28:G$48,基础状态预期!X186)))</f>
        <v>0</v>
      </c>
      <c r="S174" s="29">
        <f>IF(基础状态预期!Y186="",0,MIN(求节点($C$16:$C$24,H$16:H$24,基础状态预期!O186),求节点($C$28:$C$48,H$28:H$48,基础状态预期!Y186)))</f>
        <v>0.45</v>
      </c>
      <c r="T174" s="29">
        <f>MAX(SUMPRODUCT(O174:S174,基础状态预期!$F186:$J186)/SUM(基础状态预期!$F186:$J186),T173)</f>
        <v>0.45</v>
      </c>
      <c r="AO174" s="29">
        <f t="shared" si="43"/>
        <v>146.75578521325724</v>
      </c>
      <c r="AP174" s="14">
        <f>MAX(求节点($C$74:$C$79,D$74:D$79,求节点($C$4:$C$12,D$4:D$12,基础状态预期!K186)),AP173)</f>
        <v>0</v>
      </c>
      <c r="AQ174" s="14">
        <f>MAX(求节点($C$74:$C$79,E$74:E$79,求节点($C$4:$C$12,E$4:E$12,基础状态预期!L186)),AQ173)</f>
        <v>0</v>
      </c>
      <c r="AR174" s="14">
        <f>MAX(求节点($C$74:$C$79,F$74:F$79,求节点($C$4:$C$12,F$4:F$12,基础状态预期!M186)),AR173)</f>
        <v>0</v>
      </c>
      <c r="AS174" s="14">
        <f>MAX(求节点($C$74:$C$79,G$74:G$79,求节点($C$4:$C$12,G$4:G$12,基础状态预期!N186)),AS173)</f>
        <v>1</v>
      </c>
      <c r="AT174" s="14">
        <f>MAX(求节点($C$74:$C$79,H$74:H$79,求节点($C$4:$C$12,H$4:H$12,基础状态预期!O186)),AT173)</f>
        <v>2</v>
      </c>
      <c r="AU174" s="14">
        <f>MAX(求节点($C$81:$C$86,D$81:D$86,求节点($C$4:$C$12,D$4:D$12,基础状态预期!K186)),AU173)</f>
        <v>0</v>
      </c>
      <c r="AV174" s="14">
        <f>MAX(求节点($C$81:$C$86,E$81:E$86,求节点($C$4:$C$12,E$4:E$12,基础状态预期!L186)),AV173)</f>
        <v>0</v>
      </c>
      <c r="AW174" s="14">
        <f>MAX(求节点($C$81:$C$86,F$81:F$86,求节点($C$4:$C$12,F$4:F$12,基础状态预期!M186)),AW173)</f>
        <v>0</v>
      </c>
      <c r="AX174" s="14">
        <f>MAX(求节点($C$81:$C$86,G$81:G$86,求节点($C$4:$C$12,G$4:G$12,基础状态预期!N186)),AX173)</f>
        <v>2</v>
      </c>
      <c r="AY174" s="14">
        <f>MAX(求节点($C$81:$C$86,H$81:H$86,求节点($C$4:$C$12,H$4:H$12,基础状态预期!O186)),AY173)</f>
        <v>4</v>
      </c>
      <c r="AZ174" s="14">
        <f>MAX(求节点($C$88:$C$93,D$88:D$93,求节点($C$4:$C$12,D$4:D$12,基础状态预期!K186)),AZ173)</f>
        <v>0</v>
      </c>
      <c r="BA174" s="14">
        <f>MAX(求节点($C$88:$C$93,E$88:E$93,求节点($C$4:$C$12,E$4:E$12,基础状态预期!L186)),BA173)</f>
        <v>0</v>
      </c>
      <c r="BB174" s="14">
        <f>MAX(求节点($C$88:$C$93,F$88:F$93,求节点($C$4:$C$12,F$4:F$12,基础状态预期!M186)),BB173)</f>
        <v>0</v>
      </c>
      <c r="BC174" s="14">
        <f>MAX(求节点($C$88:$C$93,G$88:G$93,求节点($C$4:$C$12,G$4:G$12,基础状态预期!N186)),BC173)</f>
        <v>3.7835109834694975</v>
      </c>
      <c r="BD174" s="14">
        <f>MAX(求节点($C$88:$C$93,H$88:H$93,求节点($C$4:$C$12,H$4:H$12,基础状态预期!O186)),BD173)</f>
        <v>48</v>
      </c>
      <c r="BE174" s="14">
        <f t="shared" si="40"/>
        <v>429268.08786775597</v>
      </c>
    </row>
    <row r="175" spans="13:57" x14ac:dyDescent="0.15">
      <c r="M175" s="16">
        <v>39</v>
      </c>
      <c r="N175" s="29">
        <f>基础状态预期!D187</f>
        <v>150.21349802228445</v>
      </c>
      <c r="O175" s="29">
        <f>IF(基础状态预期!U187="",0,MIN(求节点($C$16:$C$24,D$16:D$24,基础状态预期!K187),求节点($C$28:$C$48,D$28:D$48,基础状态预期!U187)))</f>
        <v>0</v>
      </c>
      <c r="P175" s="29">
        <f>IF(基础状态预期!V187="",0,MIN(求节点($C$16:$C$24,E$16:E$24,基础状态预期!L187),求节点($C$28:$C$48,E$28:E$48,基础状态预期!V187)))</f>
        <v>0</v>
      </c>
      <c r="Q175" s="29">
        <f>IF(基础状态预期!W187="",0,MIN(求节点($C$16:$C$24,F$16:F$24,基础状态预期!M187),求节点($C$28:$C$48,F$28:F$48,基础状态预期!W187)))</f>
        <v>0</v>
      </c>
      <c r="R175" s="29">
        <f>IF(基础状态预期!X187="",0,MIN(求节点($C$16:$C$24,G$16:G$24,基础状态预期!N187),求节点($C$28:$C$48,G$28:G$48,基础状态预期!X187)))</f>
        <v>0</v>
      </c>
      <c r="S175" s="29">
        <f>IF(基础状态预期!Y187="",0,MIN(求节点($C$16:$C$24,H$16:H$24,基础状态预期!O187),求节点($C$28:$C$48,H$28:H$48,基础状态预期!Y187)))</f>
        <v>0.45</v>
      </c>
      <c r="T175" s="29">
        <f>MAX(SUMPRODUCT(O175:S175,基础状态预期!$F187:$J187)/SUM(基础状态预期!$F187:$J187),T174)</f>
        <v>0.45</v>
      </c>
      <c r="AO175" s="29">
        <f t="shared" si="43"/>
        <v>150.21349802228445</v>
      </c>
      <c r="AP175" s="14">
        <f>MAX(求节点($C$74:$C$79,D$74:D$79,求节点($C$4:$C$12,D$4:D$12,基础状态预期!K187)),AP174)</f>
        <v>0</v>
      </c>
      <c r="AQ175" s="14">
        <f>MAX(求节点($C$74:$C$79,E$74:E$79,求节点($C$4:$C$12,E$4:E$12,基础状态预期!L187)),AQ174)</f>
        <v>0</v>
      </c>
      <c r="AR175" s="14">
        <f>MAX(求节点($C$74:$C$79,F$74:F$79,求节点($C$4:$C$12,F$4:F$12,基础状态预期!M187)),AR174)</f>
        <v>0</v>
      </c>
      <c r="AS175" s="14">
        <f>MAX(求节点($C$74:$C$79,G$74:G$79,求节点($C$4:$C$12,G$4:G$12,基础状态预期!N187)),AS174)</f>
        <v>1</v>
      </c>
      <c r="AT175" s="14">
        <f>MAX(求节点($C$74:$C$79,H$74:H$79,求节点($C$4:$C$12,H$4:H$12,基础状态预期!O187)),AT174)</f>
        <v>2</v>
      </c>
      <c r="AU175" s="14">
        <f>MAX(求节点($C$81:$C$86,D$81:D$86,求节点($C$4:$C$12,D$4:D$12,基础状态预期!K187)),AU174)</f>
        <v>0</v>
      </c>
      <c r="AV175" s="14">
        <f>MAX(求节点($C$81:$C$86,E$81:E$86,求节点($C$4:$C$12,E$4:E$12,基础状态预期!L187)),AV174)</f>
        <v>0</v>
      </c>
      <c r="AW175" s="14">
        <f>MAX(求节点($C$81:$C$86,F$81:F$86,求节点($C$4:$C$12,F$4:F$12,基础状态预期!M187)),AW174)</f>
        <v>0</v>
      </c>
      <c r="AX175" s="14">
        <f>MAX(求节点($C$81:$C$86,G$81:G$86,求节点($C$4:$C$12,G$4:G$12,基础状态预期!N187)),AX174)</f>
        <v>2</v>
      </c>
      <c r="AY175" s="14">
        <f>MAX(求节点($C$81:$C$86,H$81:H$86,求节点($C$4:$C$12,H$4:H$12,基础状态预期!O187)),AY174)</f>
        <v>4</v>
      </c>
      <c r="AZ175" s="14">
        <f>MAX(求节点($C$88:$C$93,D$88:D$93,求节点($C$4:$C$12,D$4:D$12,基础状态预期!K187)),AZ174)</f>
        <v>0</v>
      </c>
      <c r="BA175" s="14">
        <f>MAX(求节点($C$88:$C$93,E$88:E$93,求节点($C$4:$C$12,E$4:E$12,基础状态预期!L187)),BA174)</f>
        <v>0</v>
      </c>
      <c r="BB175" s="14">
        <f>MAX(求节点($C$88:$C$93,F$88:F$93,求节点($C$4:$C$12,F$4:F$12,基础状态预期!M187)),BB174)</f>
        <v>0</v>
      </c>
      <c r="BC175" s="14">
        <f>MAX(求节点($C$88:$C$93,G$88:G$93,求节点($C$4:$C$12,G$4:G$12,基础状态预期!N187)),BC174)</f>
        <v>3.7835109834694975</v>
      </c>
      <c r="BD175" s="14">
        <f>MAX(求节点($C$88:$C$93,H$88:H$93,求节点($C$4:$C$12,H$4:H$12,基础状态预期!O187)),BD174)</f>
        <v>48</v>
      </c>
      <c r="BE175" s="14">
        <f t="shared" si="40"/>
        <v>429268.08786775597</v>
      </c>
    </row>
    <row r="176" spans="13:57" x14ac:dyDescent="0.15">
      <c r="M176" s="16">
        <v>40</v>
      </c>
      <c r="N176" s="29">
        <f>基础状态预期!D188</f>
        <v>152.32856849044819</v>
      </c>
      <c r="O176" s="29">
        <f>IF(基础状态预期!U188="",0,MIN(求节点($C$16:$C$24,D$16:D$24,基础状态预期!K188),求节点($C$28:$C$48,D$28:D$48,基础状态预期!U188)))</f>
        <v>0</v>
      </c>
      <c r="P176" s="29">
        <f>IF(基础状态预期!V188="",0,MIN(求节点($C$16:$C$24,E$16:E$24,基础状态预期!L188),求节点($C$28:$C$48,E$28:E$48,基础状态预期!V188)))</f>
        <v>0</v>
      </c>
      <c r="Q176" s="29">
        <f>IF(基础状态预期!W188="",0,MIN(求节点($C$16:$C$24,F$16:F$24,基础状态预期!M188),求节点($C$28:$C$48,F$28:F$48,基础状态预期!W188)))</f>
        <v>0</v>
      </c>
      <c r="R176" s="29">
        <f>IF(基础状态预期!X188="",0,MIN(求节点($C$16:$C$24,G$16:G$24,基础状态预期!N188),求节点($C$28:$C$48,G$28:G$48,基础状态预期!X188)))</f>
        <v>0</v>
      </c>
      <c r="S176" s="29">
        <f>IF(基础状态预期!Y188="",0,MIN(求节点($C$16:$C$24,H$16:H$24,基础状态预期!O188),求节点($C$28:$C$48,H$28:H$48,基础状态预期!Y188)))</f>
        <v>0.45</v>
      </c>
      <c r="T176" s="29">
        <f>MAX(SUMPRODUCT(O176:S176,基础状态预期!$F188:$J188)/SUM(基础状态预期!$F188:$J188),T175)</f>
        <v>0.45</v>
      </c>
      <c r="AO176" s="29">
        <f t="shared" si="43"/>
        <v>152.32856849044819</v>
      </c>
      <c r="AP176" s="14">
        <f>MAX(求节点($C$74:$C$79,D$74:D$79,求节点($C$4:$C$12,D$4:D$12,基础状态预期!K188)),AP175)</f>
        <v>0</v>
      </c>
      <c r="AQ176" s="14">
        <f>MAX(求节点($C$74:$C$79,E$74:E$79,求节点($C$4:$C$12,E$4:E$12,基础状态预期!L188)),AQ175)</f>
        <v>0</v>
      </c>
      <c r="AR176" s="14">
        <f>MAX(求节点($C$74:$C$79,F$74:F$79,求节点($C$4:$C$12,F$4:F$12,基础状态预期!M188)),AR175)</f>
        <v>0</v>
      </c>
      <c r="AS176" s="14">
        <f>MAX(求节点($C$74:$C$79,G$74:G$79,求节点($C$4:$C$12,G$4:G$12,基础状态预期!N188)),AS175)</f>
        <v>1</v>
      </c>
      <c r="AT176" s="14">
        <f>MAX(求节点($C$74:$C$79,H$74:H$79,求节点($C$4:$C$12,H$4:H$12,基础状态预期!O188)),AT175)</f>
        <v>2</v>
      </c>
      <c r="AU176" s="14">
        <f>MAX(求节点($C$81:$C$86,D$81:D$86,求节点($C$4:$C$12,D$4:D$12,基础状态预期!K188)),AU175)</f>
        <v>0</v>
      </c>
      <c r="AV176" s="14">
        <f>MAX(求节点($C$81:$C$86,E$81:E$86,求节点($C$4:$C$12,E$4:E$12,基础状态预期!L188)),AV175)</f>
        <v>0</v>
      </c>
      <c r="AW176" s="14">
        <f>MAX(求节点($C$81:$C$86,F$81:F$86,求节点($C$4:$C$12,F$4:F$12,基础状态预期!M188)),AW175)</f>
        <v>0</v>
      </c>
      <c r="AX176" s="14">
        <f>MAX(求节点($C$81:$C$86,G$81:G$86,求节点($C$4:$C$12,G$4:G$12,基础状态预期!N188)),AX175)</f>
        <v>2</v>
      </c>
      <c r="AY176" s="14">
        <f>MAX(求节点($C$81:$C$86,H$81:H$86,求节点($C$4:$C$12,H$4:H$12,基础状态预期!O188)),AY175)</f>
        <v>4</v>
      </c>
      <c r="AZ176" s="14">
        <f>MAX(求节点($C$88:$C$93,D$88:D$93,求节点($C$4:$C$12,D$4:D$12,基础状态预期!K188)),AZ175)</f>
        <v>0</v>
      </c>
      <c r="BA176" s="14">
        <f>MAX(求节点($C$88:$C$93,E$88:E$93,求节点($C$4:$C$12,E$4:E$12,基础状态预期!L188)),BA175)</f>
        <v>0</v>
      </c>
      <c r="BB176" s="14">
        <f>MAX(求节点($C$88:$C$93,F$88:F$93,求节点($C$4:$C$12,F$4:F$12,基础状态预期!M188)),BB175)</f>
        <v>0</v>
      </c>
      <c r="BC176" s="14">
        <f>MAX(求节点($C$88:$C$93,G$88:G$93,求节点($C$4:$C$12,G$4:G$12,基础状态预期!N188)),BC175)</f>
        <v>3.7835109834694975</v>
      </c>
      <c r="BD176" s="14">
        <f>MAX(求节点($C$88:$C$93,H$88:H$93,求节点($C$4:$C$12,H$4:H$12,基础状态预期!O188)),BD175)</f>
        <v>48</v>
      </c>
      <c r="BE176" s="14">
        <f t="shared" si="40"/>
        <v>429268.08786775597</v>
      </c>
    </row>
    <row r="177" spans="13:63" x14ac:dyDescent="0.15">
      <c r="M177" s="16">
        <v>41</v>
      </c>
      <c r="N177" s="29">
        <f>基础状态预期!D189</f>
        <v>153.15627769682186</v>
      </c>
      <c r="O177" s="29">
        <f>IF(基础状态预期!U189="",0,MIN(求节点($C$16:$C$24,D$16:D$24,基础状态预期!K189),求节点($C$28:$C$48,D$28:D$48,基础状态预期!U189)))</f>
        <v>0</v>
      </c>
      <c r="P177" s="29">
        <f>IF(基础状态预期!V189="",0,MIN(求节点($C$16:$C$24,E$16:E$24,基础状态预期!L189),求节点($C$28:$C$48,E$28:E$48,基础状态预期!V189)))</f>
        <v>0</v>
      </c>
      <c r="Q177" s="29">
        <f>IF(基础状态预期!W189="",0,MIN(求节点($C$16:$C$24,F$16:F$24,基础状态预期!M189),求节点($C$28:$C$48,F$28:F$48,基础状态预期!W189)))</f>
        <v>0</v>
      </c>
      <c r="R177" s="29">
        <f>IF(基础状态预期!X189="",0,MIN(求节点($C$16:$C$24,G$16:G$24,基础状态预期!N189),求节点($C$28:$C$48,G$28:G$48,基础状态预期!X189)))</f>
        <v>0</v>
      </c>
      <c r="S177" s="29">
        <f>IF(基础状态预期!Y189="",0,MIN(求节点($C$16:$C$24,H$16:H$24,基础状态预期!O189),求节点($C$28:$C$48,H$28:H$48,基础状态预期!Y189)))</f>
        <v>0.45</v>
      </c>
      <c r="T177" s="29">
        <f>MAX(SUMPRODUCT(O177:S177,基础状态预期!$F189:$J189)/SUM(基础状态预期!$F189:$J189),T176)</f>
        <v>0.45</v>
      </c>
      <c r="AO177" s="29">
        <f t="shared" si="43"/>
        <v>153.15627769682186</v>
      </c>
      <c r="AP177" s="14">
        <f>MAX(求节点($C$74:$C$79,D$74:D$79,求节点($C$4:$C$12,D$4:D$12,基础状态预期!K189)),AP176)</f>
        <v>0</v>
      </c>
      <c r="AQ177" s="14">
        <f>MAX(求节点($C$74:$C$79,E$74:E$79,求节点($C$4:$C$12,E$4:E$12,基础状态预期!L189)),AQ176)</f>
        <v>0</v>
      </c>
      <c r="AR177" s="14">
        <f>MAX(求节点($C$74:$C$79,F$74:F$79,求节点($C$4:$C$12,F$4:F$12,基础状态预期!M189)),AR176)</f>
        <v>0</v>
      </c>
      <c r="AS177" s="14">
        <f>MAX(求节点($C$74:$C$79,G$74:G$79,求节点($C$4:$C$12,G$4:G$12,基础状态预期!N189)),AS176)</f>
        <v>1</v>
      </c>
      <c r="AT177" s="14">
        <f>MAX(求节点($C$74:$C$79,H$74:H$79,求节点($C$4:$C$12,H$4:H$12,基础状态预期!O189)),AT176)</f>
        <v>2</v>
      </c>
      <c r="AU177" s="14">
        <f>MAX(求节点($C$81:$C$86,D$81:D$86,求节点($C$4:$C$12,D$4:D$12,基础状态预期!K189)),AU176)</f>
        <v>0</v>
      </c>
      <c r="AV177" s="14">
        <f>MAX(求节点($C$81:$C$86,E$81:E$86,求节点($C$4:$C$12,E$4:E$12,基础状态预期!L189)),AV176)</f>
        <v>0</v>
      </c>
      <c r="AW177" s="14">
        <f>MAX(求节点($C$81:$C$86,F$81:F$86,求节点($C$4:$C$12,F$4:F$12,基础状态预期!M189)),AW176)</f>
        <v>0</v>
      </c>
      <c r="AX177" s="14">
        <f>MAX(求节点($C$81:$C$86,G$81:G$86,求节点($C$4:$C$12,G$4:G$12,基础状态预期!N189)),AX176)</f>
        <v>2</v>
      </c>
      <c r="AY177" s="14">
        <f>MAX(求节点($C$81:$C$86,H$81:H$86,求节点($C$4:$C$12,H$4:H$12,基础状态预期!O189)),AY176)</f>
        <v>4</v>
      </c>
      <c r="AZ177" s="14">
        <f>MAX(求节点($C$88:$C$93,D$88:D$93,求节点($C$4:$C$12,D$4:D$12,基础状态预期!K189)),AZ176)</f>
        <v>0</v>
      </c>
      <c r="BA177" s="14">
        <f>MAX(求节点($C$88:$C$93,E$88:E$93,求节点($C$4:$C$12,E$4:E$12,基础状态预期!L189)),BA176)</f>
        <v>0</v>
      </c>
      <c r="BB177" s="14">
        <f>MAX(求节点($C$88:$C$93,F$88:F$93,求节点($C$4:$C$12,F$4:F$12,基础状态预期!M189)),BB176)</f>
        <v>0</v>
      </c>
      <c r="BC177" s="14">
        <f>MAX(求节点($C$88:$C$93,G$88:G$93,求节点($C$4:$C$12,G$4:G$12,基础状态预期!N189)),BC176)</f>
        <v>3.7835109834694975</v>
      </c>
      <c r="BD177" s="14">
        <f>MAX(求节点($C$88:$C$93,H$88:H$93,求节点($C$4:$C$12,H$4:H$12,基础状态预期!O189)),BD176)</f>
        <v>48</v>
      </c>
      <c r="BE177" s="14">
        <f t="shared" si="40"/>
        <v>429268.08786775597</v>
      </c>
    </row>
    <row r="178" spans="13:63" x14ac:dyDescent="0.15">
      <c r="M178" s="16">
        <v>42</v>
      </c>
      <c r="N178" s="29">
        <f>基础状态预期!D190</f>
        <v>153.85863088955028</v>
      </c>
      <c r="O178" s="29">
        <f>IF(基础状态预期!U190="",0,MIN(求节点($C$16:$C$24,D$16:D$24,基础状态预期!K190),求节点($C$28:$C$48,D$28:D$48,基础状态预期!U190)))</f>
        <v>0</v>
      </c>
      <c r="P178" s="29">
        <f>IF(基础状态预期!V190="",0,MIN(求节点($C$16:$C$24,E$16:E$24,基础状态预期!L190),求节点($C$28:$C$48,E$28:E$48,基础状态预期!V190)))</f>
        <v>0</v>
      </c>
      <c r="Q178" s="29">
        <f>IF(基础状态预期!W190="",0,MIN(求节点($C$16:$C$24,F$16:F$24,基础状态预期!M190),求节点($C$28:$C$48,F$28:F$48,基础状态预期!W190)))</f>
        <v>0</v>
      </c>
      <c r="R178" s="29">
        <f>IF(基础状态预期!X190="",0,MIN(求节点($C$16:$C$24,G$16:G$24,基础状态预期!N190),求节点($C$28:$C$48,G$28:G$48,基础状态预期!X190)))</f>
        <v>0</v>
      </c>
      <c r="S178" s="29">
        <f>IF(基础状态预期!Y190="",0,MIN(求节点($C$16:$C$24,H$16:H$24,基础状态预期!O190),求节点($C$28:$C$48,H$28:H$48,基础状态预期!Y190)))</f>
        <v>0.45</v>
      </c>
      <c r="T178" s="29">
        <f>MAX(SUMPRODUCT(O178:S178,基础状态预期!$F190:$J190)/SUM(基础状态预期!$F190:$J190),T177)</f>
        <v>0.45</v>
      </c>
      <c r="AO178" s="29">
        <f t="shared" si="43"/>
        <v>153.85863088955028</v>
      </c>
      <c r="AP178" s="14">
        <f>MAX(求节点($C$74:$C$79,D$74:D$79,求节点($C$4:$C$12,D$4:D$12,基础状态预期!K190)),AP177)</f>
        <v>0</v>
      </c>
      <c r="AQ178" s="14">
        <f>MAX(求节点($C$74:$C$79,E$74:E$79,求节点($C$4:$C$12,E$4:E$12,基础状态预期!L190)),AQ177)</f>
        <v>0</v>
      </c>
      <c r="AR178" s="14">
        <f>MAX(求节点($C$74:$C$79,F$74:F$79,求节点($C$4:$C$12,F$4:F$12,基础状态预期!M190)),AR177)</f>
        <v>0</v>
      </c>
      <c r="AS178" s="14">
        <f>MAX(求节点($C$74:$C$79,G$74:G$79,求节点($C$4:$C$12,G$4:G$12,基础状态预期!N190)),AS177)</f>
        <v>1</v>
      </c>
      <c r="AT178" s="14">
        <f>MAX(求节点($C$74:$C$79,H$74:H$79,求节点($C$4:$C$12,H$4:H$12,基础状态预期!O190)),AT177)</f>
        <v>2</v>
      </c>
      <c r="AU178" s="14">
        <f>MAX(求节点($C$81:$C$86,D$81:D$86,求节点($C$4:$C$12,D$4:D$12,基础状态预期!K190)),AU177)</f>
        <v>0</v>
      </c>
      <c r="AV178" s="14">
        <f>MAX(求节点($C$81:$C$86,E$81:E$86,求节点($C$4:$C$12,E$4:E$12,基础状态预期!L190)),AV177)</f>
        <v>0</v>
      </c>
      <c r="AW178" s="14">
        <f>MAX(求节点($C$81:$C$86,F$81:F$86,求节点($C$4:$C$12,F$4:F$12,基础状态预期!M190)),AW177)</f>
        <v>0</v>
      </c>
      <c r="AX178" s="14">
        <f>MAX(求节点($C$81:$C$86,G$81:G$86,求节点($C$4:$C$12,G$4:G$12,基础状态预期!N190)),AX177)</f>
        <v>2</v>
      </c>
      <c r="AY178" s="14">
        <f>MAX(求节点($C$81:$C$86,H$81:H$86,求节点($C$4:$C$12,H$4:H$12,基础状态预期!O190)),AY177)</f>
        <v>4</v>
      </c>
      <c r="AZ178" s="14">
        <f>MAX(求节点($C$88:$C$93,D$88:D$93,求节点($C$4:$C$12,D$4:D$12,基础状态预期!K190)),AZ177)</f>
        <v>0</v>
      </c>
      <c r="BA178" s="14">
        <f>MAX(求节点($C$88:$C$93,E$88:E$93,求节点($C$4:$C$12,E$4:E$12,基础状态预期!L190)),BA177)</f>
        <v>0</v>
      </c>
      <c r="BB178" s="14">
        <f>MAX(求节点($C$88:$C$93,F$88:F$93,求节点($C$4:$C$12,F$4:F$12,基础状态预期!M190)),BB177)</f>
        <v>0</v>
      </c>
      <c r="BC178" s="14">
        <f>MAX(求节点($C$88:$C$93,G$88:G$93,求节点($C$4:$C$12,G$4:G$12,基础状态预期!N190)),BC177)</f>
        <v>3.7835109834694975</v>
      </c>
      <c r="BD178" s="14">
        <f>MAX(求节点($C$88:$C$93,H$88:H$93,求节点($C$4:$C$12,H$4:H$12,基础状态预期!O190)),BD177)</f>
        <v>48</v>
      </c>
      <c r="BE178" s="14">
        <f t="shared" si="40"/>
        <v>429268.08786775597</v>
      </c>
    </row>
    <row r="179" spans="13:63" x14ac:dyDescent="0.15">
      <c r="M179" s="16">
        <v>43</v>
      </c>
    </row>
    <row r="180" spans="13:63" x14ac:dyDescent="0.15">
      <c r="M180" s="16">
        <v>44</v>
      </c>
    </row>
    <row r="181" spans="13:63" x14ac:dyDescent="0.15">
      <c r="M181" s="16">
        <v>45</v>
      </c>
    </row>
    <row r="182" spans="13:63" x14ac:dyDescent="0.15">
      <c r="M182" s="16">
        <v>1</v>
      </c>
    </row>
    <row r="183" spans="13:63" x14ac:dyDescent="0.15">
      <c r="M183" s="16">
        <v>2</v>
      </c>
      <c r="N183" s="14" t="s">
        <v>79</v>
      </c>
      <c r="O183" s="161" t="s">
        <v>197</v>
      </c>
      <c r="P183" s="162"/>
      <c r="Q183" s="162"/>
      <c r="R183" s="162"/>
      <c r="S183" s="162"/>
      <c r="T183" s="163"/>
      <c r="AE183" s="29" t="s">
        <v>79</v>
      </c>
      <c r="AF183" s="14" t="s">
        <v>55</v>
      </c>
      <c r="AG183" s="14"/>
      <c r="AH183" s="160" t="s">
        <v>342</v>
      </c>
      <c r="AI183" s="160"/>
      <c r="AJ183" s="160"/>
      <c r="AO183" s="14" t="s">
        <v>79</v>
      </c>
      <c r="AP183" s="165" t="s">
        <v>677</v>
      </c>
      <c r="AQ183" s="172"/>
      <c r="AR183" s="172"/>
      <c r="AS183" s="172"/>
      <c r="AT183" s="166"/>
      <c r="AU183" s="165" t="s">
        <v>678</v>
      </c>
      <c r="AV183" s="172"/>
      <c r="AW183" s="172"/>
      <c r="AX183" s="172"/>
      <c r="AY183" s="166"/>
      <c r="AZ183" s="165" t="s">
        <v>679</v>
      </c>
      <c r="BA183" s="172"/>
      <c r="BB183" s="172"/>
      <c r="BC183" s="172"/>
      <c r="BD183" s="166"/>
      <c r="BE183" s="185" t="s">
        <v>673</v>
      </c>
      <c r="BH183" s="29" t="s">
        <v>79</v>
      </c>
      <c r="BI183" s="164" t="s">
        <v>332</v>
      </c>
      <c r="BJ183" s="164"/>
      <c r="BK183" s="164"/>
    </row>
    <row r="184" spans="13:63" x14ac:dyDescent="0.15">
      <c r="M184" s="16">
        <v>3</v>
      </c>
      <c r="N184" s="29" t="s">
        <v>478</v>
      </c>
      <c r="O184" s="29" t="s">
        <v>3</v>
      </c>
      <c r="P184" s="29" t="s">
        <v>1</v>
      </c>
      <c r="Q184" s="29" t="s">
        <v>2</v>
      </c>
      <c r="R184" s="29" t="s">
        <v>0</v>
      </c>
      <c r="S184" s="29" t="s">
        <v>545</v>
      </c>
      <c r="T184" s="29" t="s">
        <v>228</v>
      </c>
      <c r="AE184" s="29" t="s">
        <v>478</v>
      </c>
      <c r="AF184" s="29"/>
      <c r="AG184" s="29" t="s">
        <v>197</v>
      </c>
      <c r="AH184" s="29"/>
      <c r="AI184" s="29" t="s">
        <v>197</v>
      </c>
      <c r="AJ184" s="14" t="s">
        <v>343</v>
      </c>
      <c r="AO184" s="29" t="s">
        <v>478</v>
      </c>
      <c r="AP184" s="29" t="s">
        <v>3</v>
      </c>
      <c r="AQ184" s="29" t="s">
        <v>80</v>
      </c>
      <c r="AR184" s="29" t="s">
        <v>81</v>
      </c>
      <c r="AS184" s="29" t="s">
        <v>82</v>
      </c>
      <c r="AT184" s="29" t="s">
        <v>545</v>
      </c>
      <c r="AU184" s="29" t="s">
        <v>3</v>
      </c>
      <c r="AV184" s="29" t="s">
        <v>80</v>
      </c>
      <c r="AW184" s="29" t="s">
        <v>81</v>
      </c>
      <c r="AX184" s="29" t="s">
        <v>82</v>
      </c>
      <c r="AY184" s="29" t="s">
        <v>545</v>
      </c>
      <c r="AZ184" s="29" t="s">
        <v>3</v>
      </c>
      <c r="BA184" s="29" t="s">
        <v>80</v>
      </c>
      <c r="BB184" s="29" t="s">
        <v>81</v>
      </c>
      <c r="BC184" s="29" t="s">
        <v>82</v>
      </c>
      <c r="BD184" s="29" t="s">
        <v>545</v>
      </c>
      <c r="BE184" s="186"/>
      <c r="BH184" s="29" t="s">
        <v>478</v>
      </c>
      <c r="BI184" s="29" t="s">
        <v>675</v>
      </c>
      <c r="BJ184" s="29"/>
      <c r="BK184" s="29" t="s">
        <v>203</v>
      </c>
    </row>
    <row r="185" spans="13:63" x14ac:dyDescent="0.15">
      <c r="M185" s="16">
        <v>4</v>
      </c>
      <c r="N185" s="29">
        <f>基础状态预期!D197</f>
        <v>10.040470049930473</v>
      </c>
      <c r="O185" s="29">
        <f>IF(基础状态预期!U197="",0,MIN(求节点($C$16:$C$24,D$16:D$24,基础状态预期!K197),求节点($C$28:$C$48,D$28:D$48,基础状态预期!U197)))</f>
        <v>0</v>
      </c>
      <c r="P185" s="29">
        <f>IF(基础状态预期!V197="",0,MIN(求节点($C$16:$C$24,E$16:E$24,基础状态预期!L197),求节点($C$28:$C$48,E$28:E$48,基础状态预期!V197)))</f>
        <v>0</v>
      </c>
      <c r="Q185" s="29">
        <f>IF(基础状态预期!W197="",0,MIN(求节点($C$16:$C$24,F$16:F$24,基础状态预期!M197),求节点($C$28:$C$48,F$28:F$48,基础状态预期!W197)))</f>
        <v>0</v>
      </c>
      <c r="R185" s="29">
        <f>IF(基础状态预期!X197="",0,MIN(求节点($C$16:$C$24,G$16:G$24,基础状态预期!N197),求节点($C$28:$C$48,G$28:G$48,基础状态预期!X197)))</f>
        <v>0</v>
      </c>
      <c r="S185" s="29">
        <f>IF(基础状态预期!Y197="",0,MIN(求节点($C$16:$C$24,H$16:H$24,基础状态预期!O197),求节点($C$28:$C$48,H$28:H$48,基础状态预期!Y197)))</f>
        <v>0</v>
      </c>
      <c r="T185" s="29">
        <f>MAX(SUMPRODUCT(O185:S185,基础状态预期!$F197:$J197)/SUM(基础状态预期!$F197:$J197),T184)</f>
        <v>0</v>
      </c>
      <c r="AE185" s="29">
        <v>10</v>
      </c>
      <c r="AF185" s="29"/>
      <c r="AG185" s="29">
        <f>求节点($N$185:$N$223,$T$185:$T$223,$AE185)</f>
        <v>0</v>
      </c>
      <c r="AH185" s="29"/>
      <c r="AI185" s="41">
        <f>AG185*INDEX([2]超r将兵属性验证!$AX$7:$AX$166,$AE185,1)</f>
        <v>0</v>
      </c>
      <c r="AJ185" s="14">
        <f t="shared" ref="AJ185:AJ186" si="47">SUM(AH185:AI185)</f>
        <v>0</v>
      </c>
      <c r="AO185" s="29">
        <f>$N185</f>
        <v>10.040470049930473</v>
      </c>
      <c r="AP185" s="14">
        <f>MAX(求节点($C$74:$C$79,D$74:D$79,求节点($C$4:$C$12,D$4:D$12,基础状态预期!K197)),AP184)</f>
        <v>0</v>
      </c>
      <c r="AQ185" s="14">
        <f>MAX(求节点($C$74:$C$79,E$74:E$79,求节点($C$4:$C$12,E$4:E$12,基础状态预期!L197)),AQ184)</f>
        <v>0</v>
      </c>
      <c r="AR185" s="14">
        <f>MAX(求节点($C$74:$C$79,F$74:F$79,求节点($C$4:$C$12,F$4:F$12,基础状态预期!M197)),AR184)</f>
        <v>0</v>
      </c>
      <c r="AS185" s="14">
        <f>MAX(求节点($C$74:$C$79,G$74:G$79,求节点($C$4:$C$12,G$4:G$12,基础状态预期!N197)),AS184)</f>
        <v>0</v>
      </c>
      <c r="AT185" s="14">
        <f>MAX(求节点($C$74:$C$79,H$74:H$79,求节点($C$4:$C$12,H$4:H$12,基础状态预期!O197)),AT184)</f>
        <v>0</v>
      </c>
      <c r="AU185" s="14">
        <f>MAX(求节点($C$81:$C$86,D$81:D$86,求节点($C$4:$C$12,D$4:D$12,基础状态预期!K197)),AU184)</f>
        <v>0</v>
      </c>
      <c r="AV185" s="14">
        <f>MAX(求节点($C$81:$C$86,E$81:E$86,求节点($C$4:$C$12,E$4:E$12,基础状态预期!L197)),AV184)</f>
        <v>0</v>
      </c>
      <c r="AW185" s="14">
        <f>MAX(求节点($C$81:$C$86,F$81:F$86,求节点($C$4:$C$12,F$4:F$12,基础状态预期!M197)),AW184)</f>
        <v>0</v>
      </c>
      <c r="AX185" s="14">
        <f>MAX(求节点($C$81:$C$86,G$81:G$86,求节点($C$4:$C$12,G$4:G$12,基础状态预期!N197)),AX184)</f>
        <v>0</v>
      </c>
      <c r="AY185" s="14">
        <f>MAX(求节点($C$81:$C$86,H$81:H$86,求节点($C$4:$C$12,H$4:H$12,基础状态预期!O197)),AY184)</f>
        <v>0</v>
      </c>
      <c r="AZ185" s="14">
        <f>MAX(求节点($C$88:$C$93,D$88:D$93,求节点($C$4:$C$12,D$4:D$12,基础状态预期!K197)),AZ184)</f>
        <v>0</v>
      </c>
      <c r="BA185" s="14">
        <f>MAX(求节点($C$88:$C$93,E$88:E$93,求节点($C$4:$C$12,E$4:E$12,基础状态预期!L197)),BA184)</f>
        <v>0</v>
      </c>
      <c r="BB185" s="14">
        <f>MAX(求节点($C$88:$C$93,F$88:F$93,求节点($C$4:$C$12,F$4:F$12,基础状态预期!M197)),BB184)</f>
        <v>0</v>
      </c>
      <c r="BC185" s="14">
        <f>MAX(求节点($C$88:$C$93,G$88:G$93,求节点($C$4:$C$12,G$4:G$12,基础状态预期!N197)),BC184)</f>
        <v>0</v>
      </c>
      <c r="BD185" s="14">
        <f>MAX(求节点($C$88:$C$93,H$88:H$93,求节点($C$4:$C$12,H$4:H$12,基础状态预期!O197)),BD184)</f>
        <v>0</v>
      </c>
      <c r="BE185" s="14">
        <f t="shared" ref="BE185:BE223" si="48">SUM(AP185:AT185)*$D$97+
SUM(AU185:AY185)*$D$98+
SUM(AZ185:BD185)*$D$99</f>
        <v>0</v>
      </c>
      <c r="BH185" s="29">
        <v>10</v>
      </c>
      <c r="BI185" s="29">
        <f t="shared" ref="BI185:BI200" si="49">求节点($AO$185:$AO$223,$BE$185:$BE$223,$BH185)</f>
        <v>0</v>
      </c>
      <c r="BJ185" s="29"/>
      <c r="BK185" s="29">
        <f>SUM(BI185:BJ185)</f>
        <v>0</v>
      </c>
    </row>
    <row r="186" spans="13:63" x14ac:dyDescent="0.15">
      <c r="M186" s="16">
        <v>5</v>
      </c>
      <c r="N186" s="29">
        <f>基础状态预期!D198</f>
        <v>19.288856680060892</v>
      </c>
      <c r="O186" s="29">
        <f>IF(基础状态预期!U198="",0,MIN(求节点($C$16:$C$24,D$16:D$24,基础状态预期!K198),求节点($C$28:$C$48,D$28:D$48,基础状态预期!U198)))</f>
        <v>0</v>
      </c>
      <c r="P186" s="29">
        <f>IF(基础状态预期!V198="",0,MIN(求节点($C$16:$C$24,E$16:E$24,基础状态预期!L198),求节点($C$28:$C$48,E$28:E$48,基础状态预期!V198)))</f>
        <v>0</v>
      </c>
      <c r="Q186" s="29">
        <f>IF(基础状态预期!W198="",0,MIN(求节点($C$16:$C$24,F$16:F$24,基础状态预期!M198),求节点($C$28:$C$48,F$28:F$48,基础状态预期!W198)))</f>
        <v>0</v>
      </c>
      <c r="R186" s="29">
        <f>IF(基础状态预期!X198="",0,MIN(求节点($C$16:$C$24,G$16:G$24,基础状态预期!N198),求节点($C$28:$C$48,G$28:G$48,基础状态预期!X198)))</f>
        <v>0</v>
      </c>
      <c r="S186" s="29">
        <f>IF(基础状态预期!Y198="",0,MIN(求节点($C$16:$C$24,H$16:H$24,基础状态预期!O198),求节点($C$28:$C$48,H$28:H$48,基础状态预期!Y198)))</f>
        <v>0</v>
      </c>
      <c r="T186" s="29">
        <f>MAX(SUMPRODUCT(O186:S186,基础状态预期!$F198:$J198)/SUM(基础状态预期!$F198:$J198),T185)</f>
        <v>0</v>
      </c>
      <c r="AE186" s="29">
        <v>20</v>
      </c>
      <c r="AF186" s="29"/>
      <c r="AG186" s="29">
        <f t="shared" ref="AG186:AG200" si="50">求节点($N$185:$N$223,$T$185:$T$223,$AE186)</f>
        <v>0</v>
      </c>
      <c r="AH186" s="29"/>
      <c r="AI186" s="29">
        <f>(AG186-AG185)*INDEX([2]超r将兵属性验证!$AX$7:$AX$166,$AE186,1)+AI185</f>
        <v>0</v>
      </c>
      <c r="AJ186" s="14">
        <f t="shared" si="47"/>
        <v>0</v>
      </c>
      <c r="AO186" s="29">
        <f t="shared" ref="AO186:AO223" si="51">$N186</f>
        <v>19.288856680060892</v>
      </c>
      <c r="AP186" s="14">
        <f>MAX(求节点($C$74:$C$79,D$74:D$79,求节点($C$4:$C$12,D$4:D$12,基础状态预期!K198)),AP185)</f>
        <v>0</v>
      </c>
      <c r="AQ186" s="14">
        <f>MAX(求节点($C$74:$C$79,E$74:E$79,求节点($C$4:$C$12,E$4:E$12,基础状态预期!L198)),AQ185)</f>
        <v>0</v>
      </c>
      <c r="AR186" s="14">
        <f>MAX(求节点($C$74:$C$79,F$74:F$79,求节点($C$4:$C$12,F$4:F$12,基础状态预期!M198)),AR185)</f>
        <v>0</v>
      </c>
      <c r="AS186" s="14">
        <f>MAX(求节点($C$74:$C$79,G$74:G$79,求节点($C$4:$C$12,G$4:G$12,基础状态预期!N198)),AS185)</f>
        <v>0</v>
      </c>
      <c r="AT186" s="14">
        <f>MAX(求节点($C$74:$C$79,H$74:H$79,求节点($C$4:$C$12,H$4:H$12,基础状态预期!O198)),AT185)</f>
        <v>0</v>
      </c>
      <c r="AU186" s="14">
        <f>MAX(求节点($C$81:$C$86,D$81:D$86,求节点($C$4:$C$12,D$4:D$12,基础状态预期!K198)),AU185)</f>
        <v>0</v>
      </c>
      <c r="AV186" s="14">
        <f>MAX(求节点($C$81:$C$86,E$81:E$86,求节点($C$4:$C$12,E$4:E$12,基础状态预期!L198)),AV185)</f>
        <v>0</v>
      </c>
      <c r="AW186" s="14">
        <f>MAX(求节点($C$81:$C$86,F$81:F$86,求节点($C$4:$C$12,F$4:F$12,基础状态预期!M198)),AW185)</f>
        <v>0</v>
      </c>
      <c r="AX186" s="14">
        <f>MAX(求节点($C$81:$C$86,G$81:G$86,求节点($C$4:$C$12,G$4:G$12,基础状态预期!N198)),AX185)</f>
        <v>0</v>
      </c>
      <c r="AY186" s="14">
        <f>MAX(求节点($C$81:$C$86,H$81:H$86,求节点($C$4:$C$12,H$4:H$12,基础状态预期!O198)),AY185)</f>
        <v>0</v>
      </c>
      <c r="AZ186" s="14">
        <f>MAX(求节点($C$88:$C$93,D$88:D$93,求节点($C$4:$C$12,D$4:D$12,基础状态预期!K198)),AZ185)</f>
        <v>0</v>
      </c>
      <c r="BA186" s="14">
        <f>MAX(求节点($C$88:$C$93,E$88:E$93,求节点($C$4:$C$12,E$4:E$12,基础状态预期!L198)),BA185)</f>
        <v>0</v>
      </c>
      <c r="BB186" s="14">
        <f>MAX(求节点($C$88:$C$93,F$88:F$93,求节点($C$4:$C$12,F$4:F$12,基础状态预期!M198)),BB185)</f>
        <v>0</v>
      </c>
      <c r="BC186" s="14">
        <f>MAX(求节点($C$88:$C$93,G$88:G$93,求节点($C$4:$C$12,G$4:G$12,基础状态预期!N198)),BC185)</f>
        <v>0</v>
      </c>
      <c r="BD186" s="14">
        <f>MAX(求节点($C$88:$C$93,H$88:H$93,求节点($C$4:$C$12,H$4:H$12,基础状态预期!O198)),BD185)</f>
        <v>0</v>
      </c>
      <c r="BE186" s="14">
        <f t="shared" si="48"/>
        <v>0</v>
      </c>
      <c r="BH186" s="29">
        <v>20</v>
      </c>
      <c r="BI186" s="29">
        <f t="shared" si="49"/>
        <v>0</v>
      </c>
      <c r="BJ186" s="29"/>
      <c r="BK186" s="29">
        <f t="shared" ref="BK186:BK194" si="52">SUM(BI186:BJ186)</f>
        <v>0</v>
      </c>
    </row>
    <row r="187" spans="13:63" x14ac:dyDescent="0.15">
      <c r="M187" s="16">
        <v>6</v>
      </c>
      <c r="N187" s="29">
        <f>基础状态预期!D199</f>
        <v>27.144641112884834</v>
      </c>
      <c r="O187" s="29">
        <f>IF(基础状态预期!U199="",0,MIN(求节点($C$16:$C$24,D$16:D$24,基础状态预期!K199),求节点($C$28:$C$48,D$28:D$48,基础状态预期!U199)))</f>
        <v>0</v>
      </c>
      <c r="P187" s="29">
        <f>IF(基础状态预期!V199="",0,MIN(求节点($C$16:$C$24,E$16:E$24,基础状态预期!L199),求节点($C$28:$C$48,E$28:E$48,基础状态预期!V199)))</f>
        <v>0</v>
      </c>
      <c r="Q187" s="29">
        <f>IF(基础状态预期!W199="",0,MIN(求节点($C$16:$C$24,F$16:F$24,基础状态预期!M199),求节点($C$28:$C$48,F$28:F$48,基础状态预期!W199)))</f>
        <v>0</v>
      </c>
      <c r="R187" s="29">
        <f>IF(基础状态预期!X199="",0,MIN(求节点($C$16:$C$24,G$16:G$24,基础状态预期!N199),求节点($C$28:$C$48,G$28:G$48,基础状态预期!X199)))</f>
        <v>0</v>
      </c>
      <c r="S187" s="29">
        <f>IF(基础状态预期!Y199="",0,MIN(求节点($C$16:$C$24,H$16:H$24,基础状态预期!O199),求节点($C$28:$C$48,H$28:H$48,基础状态预期!Y199)))</f>
        <v>0</v>
      </c>
      <c r="T187" s="29">
        <f>MAX(SUMPRODUCT(O187:S187,基础状态预期!$F199:$J199)/SUM(基础状态预期!$F199:$J199),T186)</f>
        <v>0</v>
      </c>
      <c r="AE187" s="29">
        <v>30</v>
      </c>
      <c r="AF187" s="29"/>
      <c r="AG187" s="29">
        <f t="shared" si="50"/>
        <v>0</v>
      </c>
      <c r="AH187" s="29"/>
      <c r="AI187" s="29">
        <f>(AG187-AG186)*INDEX([2]超r将兵属性验证!$AX$7:$AX$166,$AE187,1)+AI186</f>
        <v>0</v>
      </c>
      <c r="AJ187" s="14">
        <f t="shared" ref="AJ187:AJ200" si="53">SUM(AH187:AI187)</f>
        <v>0</v>
      </c>
      <c r="AO187" s="29">
        <f t="shared" si="51"/>
        <v>27.144641112884834</v>
      </c>
      <c r="AP187" s="14">
        <f>MAX(求节点($C$74:$C$79,D$74:D$79,求节点($C$4:$C$12,D$4:D$12,基础状态预期!K199)),AP186)</f>
        <v>0</v>
      </c>
      <c r="AQ187" s="14">
        <f>MAX(求节点($C$74:$C$79,E$74:E$79,求节点($C$4:$C$12,E$4:E$12,基础状态预期!L199)),AQ186)</f>
        <v>0</v>
      </c>
      <c r="AR187" s="14">
        <f>MAX(求节点($C$74:$C$79,F$74:F$79,求节点($C$4:$C$12,F$4:F$12,基础状态预期!M199)),AR186)</f>
        <v>0</v>
      </c>
      <c r="AS187" s="14">
        <f>MAX(求节点($C$74:$C$79,G$74:G$79,求节点($C$4:$C$12,G$4:G$12,基础状态预期!N199)),AS186)</f>
        <v>0</v>
      </c>
      <c r="AT187" s="14">
        <f>MAX(求节点($C$74:$C$79,H$74:H$79,求节点($C$4:$C$12,H$4:H$12,基础状态预期!O199)),AT186)</f>
        <v>0</v>
      </c>
      <c r="AU187" s="14">
        <f>MAX(求节点($C$81:$C$86,D$81:D$86,求节点($C$4:$C$12,D$4:D$12,基础状态预期!K199)),AU186)</f>
        <v>0</v>
      </c>
      <c r="AV187" s="14">
        <f>MAX(求节点($C$81:$C$86,E$81:E$86,求节点($C$4:$C$12,E$4:E$12,基础状态预期!L199)),AV186)</f>
        <v>0</v>
      </c>
      <c r="AW187" s="14">
        <f>MAX(求节点($C$81:$C$86,F$81:F$86,求节点($C$4:$C$12,F$4:F$12,基础状态预期!M199)),AW186)</f>
        <v>0</v>
      </c>
      <c r="AX187" s="14">
        <f>MAX(求节点($C$81:$C$86,G$81:G$86,求节点($C$4:$C$12,G$4:G$12,基础状态预期!N199)),AX186)</f>
        <v>0</v>
      </c>
      <c r="AY187" s="14">
        <f>MAX(求节点($C$81:$C$86,H$81:H$86,求节点($C$4:$C$12,H$4:H$12,基础状态预期!O199)),AY186)</f>
        <v>0</v>
      </c>
      <c r="AZ187" s="14">
        <f>MAX(求节点($C$88:$C$93,D$88:D$93,求节点($C$4:$C$12,D$4:D$12,基础状态预期!K199)),AZ186)</f>
        <v>0</v>
      </c>
      <c r="BA187" s="14">
        <f>MAX(求节点($C$88:$C$93,E$88:E$93,求节点($C$4:$C$12,E$4:E$12,基础状态预期!L199)),BA186)</f>
        <v>0</v>
      </c>
      <c r="BB187" s="14">
        <f>MAX(求节点($C$88:$C$93,F$88:F$93,求节点($C$4:$C$12,F$4:F$12,基础状态预期!M199)),BB186)</f>
        <v>0</v>
      </c>
      <c r="BC187" s="14">
        <f>MAX(求节点($C$88:$C$93,G$88:G$93,求节点($C$4:$C$12,G$4:G$12,基础状态预期!N199)),BC186)</f>
        <v>0</v>
      </c>
      <c r="BD187" s="14">
        <f>MAX(求节点($C$88:$C$93,H$88:H$93,求节点($C$4:$C$12,H$4:H$12,基础状态预期!O199)),BD186)</f>
        <v>0</v>
      </c>
      <c r="BE187" s="14">
        <f t="shared" si="48"/>
        <v>0</v>
      </c>
      <c r="BH187" s="29">
        <v>30</v>
      </c>
      <c r="BI187" s="29">
        <f t="shared" si="49"/>
        <v>0</v>
      </c>
      <c r="BJ187" s="29"/>
      <c r="BK187" s="29">
        <f t="shared" si="52"/>
        <v>0</v>
      </c>
    </row>
    <row r="188" spans="13:63" x14ac:dyDescent="0.15">
      <c r="M188" s="16">
        <v>7</v>
      </c>
      <c r="N188" s="29">
        <f>基础状态预期!D200</f>
        <v>33.399598377161809</v>
      </c>
      <c r="O188" s="29">
        <f>IF(基础状态预期!U200="",0,MIN(求节点($C$16:$C$24,D$16:D$24,基础状态预期!K200),求节点($C$28:$C$48,D$28:D$48,基础状态预期!U200)))</f>
        <v>0</v>
      </c>
      <c r="P188" s="29">
        <f>IF(基础状态预期!V200="",0,MIN(求节点($C$16:$C$24,E$16:E$24,基础状态预期!L200),求节点($C$28:$C$48,E$28:E$48,基础状态预期!V200)))</f>
        <v>0</v>
      </c>
      <c r="Q188" s="29">
        <f>IF(基础状态预期!W200="",0,MIN(求节点($C$16:$C$24,F$16:F$24,基础状态预期!M200),求节点($C$28:$C$48,F$28:F$48,基础状态预期!W200)))</f>
        <v>0</v>
      </c>
      <c r="R188" s="29">
        <f>IF(基础状态预期!X200="",0,MIN(求节点($C$16:$C$24,G$16:G$24,基础状态预期!N200),求节点($C$28:$C$48,G$28:G$48,基础状态预期!X200)))</f>
        <v>0</v>
      </c>
      <c r="S188" s="29">
        <f>IF(基础状态预期!Y200="",0,MIN(求节点($C$16:$C$24,H$16:H$24,基础状态预期!O200),求节点($C$28:$C$48,H$28:H$48,基础状态预期!Y200)))</f>
        <v>0</v>
      </c>
      <c r="T188" s="29">
        <f>MAX(SUMPRODUCT(O188:S188,基础状态预期!$F200:$J200)/SUM(基础状态预期!$F200:$J200),T187)</f>
        <v>0</v>
      </c>
      <c r="AE188" s="29">
        <v>40</v>
      </c>
      <c r="AF188" s="29"/>
      <c r="AG188" s="29">
        <f t="shared" si="50"/>
        <v>0</v>
      </c>
      <c r="AH188" s="29"/>
      <c r="AI188" s="29">
        <f>(AG188-AG187)*INDEX([2]超r将兵属性验证!$AX$7:$AX$166,$AE188,1)+AI187</f>
        <v>0</v>
      </c>
      <c r="AJ188" s="14">
        <f t="shared" si="53"/>
        <v>0</v>
      </c>
      <c r="AO188" s="29">
        <f t="shared" si="51"/>
        <v>33.399598377161809</v>
      </c>
      <c r="AP188" s="14">
        <f>MAX(求节点($C$74:$C$79,D$74:D$79,求节点($C$4:$C$12,D$4:D$12,基础状态预期!K200)),AP187)</f>
        <v>0</v>
      </c>
      <c r="AQ188" s="14">
        <f>MAX(求节点($C$74:$C$79,E$74:E$79,求节点($C$4:$C$12,E$4:E$12,基础状态预期!L200)),AQ187)</f>
        <v>0</v>
      </c>
      <c r="AR188" s="14">
        <f>MAX(求节点($C$74:$C$79,F$74:F$79,求节点($C$4:$C$12,F$4:F$12,基础状态预期!M200)),AR187)</f>
        <v>0</v>
      </c>
      <c r="AS188" s="14">
        <f>MAX(求节点($C$74:$C$79,G$74:G$79,求节点($C$4:$C$12,G$4:G$12,基础状态预期!N200)),AS187)</f>
        <v>0</v>
      </c>
      <c r="AT188" s="14">
        <f>MAX(求节点($C$74:$C$79,H$74:H$79,求节点($C$4:$C$12,H$4:H$12,基础状态预期!O200)),AT187)</f>
        <v>0</v>
      </c>
      <c r="AU188" s="14">
        <f>MAX(求节点($C$81:$C$86,D$81:D$86,求节点($C$4:$C$12,D$4:D$12,基础状态预期!K200)),AU187)</f>
        <v>0</v>
      </c>
      <c r="AV188" s="14">
        <f>MAX(求节点($C$81:$C$86,E$81:E$86,求节点($C$4:$C$12,E$4:E$12,基础状态预期!L200)),AV187)</f>
        <v>0</v>
      </c>
      <c r="AW188" s="14">
        <f>MAX(求节点($C$81:$C$86,F$81:F$86,求节点($C$4:$C$12,F$4:F$12,基础状态预期!M200)),AW187)</f>
        <v>0</v>
      </c>
      <c r="AX188" s="14">
        <f>MAX(求节点($C$81:$C$86,G$81:G$86,求节点($C$4:$C$12,G$4:G$12,基础状态预期!N200)),AX187)</f>
        <v>0</v>
      </c>
      <c r="AY188" s="14">
        <f>MAX(求节点($C$81:$C$86,H$81:H$86,求节点($C$4:$C$12,H$4:H$12,基础状态预期!O200)),AY187)</f>
        <v>0</v>
      </c>
      <c r="AZ188" s="14">
        <f>MAX(求节点($C$88:$C$93,D$88:D$93,求节点($C$4:$C$12,D$4:D$12,基础状态预期!K200)),AZ187)</f>
        <v>0</v>
      </c>
      <c r="BA188" s="14">
        <f>MAX(求节点($C$88:$C$93,E$88:E$93,求节点($C$4:$C$12,E$4:E$12,基础状态预期!L200)),BA187)</f>
        <v>0</v>
      </c>
      <c r="BB188" s="14">
        <f>MAX(求节点($C$88:$C$93,F$88:F$93,求节点($C$4:$C$12,F$4:F$12,基础状态预期!M200)),BB187)</f>
        <v>0</v>
      </c>
      <c r="BC188" s="14">
        <f>MAX(求节点($C$88:$C$93,G$88:G$93,求节点($C$4:$C$12,G$4:G$12,基础状态预期!N200)),BC187)</f>
        <v>0</v>
      </c>
      <c r="BD188" s="14">
        <f>MAX(求节点($C$88:$C$93,H$88:H$93,求节点($C$4:$C$12,H$4:H$12,基础状态预期!O200)),BD187)</f>
        <v>0</v>
      </c>
      <c r="BE188" s="14">
        <f t="shared" si="48"/>
        <v>0</v>
      </c>
      <c r="BH188" s="29">
        <v>40</v>
      </c>
      <c r="BI188" s="29">
        <f t="shared" si="49"/>
        <v>462.92377388014654</v>
      </c>
      <c r="BJ188" s="29"/>
      <c r="BK188" s="29">
        <f t="shared" si="52"/>
        <v>462.92377388014654</v>
      </c>
    </row>
    <row r="189" spans="13:63" x14ac:dyDescent="0.15">
      <c r="M189" s="16">
        <v>8</v>
      </c>
      <c r="N189" s="29">
        <f>基础状态预期!D201</f>
        <v>38.848984787984186</v>
      </c>
      <c r="O189" s="29">
        <f>IF(基础状态预期!U201="",0,MIN(求节点($C$16:$C$24,D$16:D$24,基础状态预期!K201),求节点($C$28:$C$48,D$28:D$48,基础状态预期!U201)))</f>
        <v>0</v>
      </c>
      <c r="P189" s="29">
        <f>IF(基础状态预期!V201="",0,MIN(求节点($C$16:$C$24,E$16:E$24,基础状态预期!L201),求节点($C$28:$C$48,E$28:E$48,基础状态预期!V201)))</f>
        <v>0</v>
      </c>
      <c r="Q189" s="29">
        <f>IF(基础状态预期!W201="",0,MIN(求节点($C$16:$C$24,F$16:F$24,基础状态预期!M201),求节点($C$28:$C$48,F$28:F$48,基础状态预期!W201)))</f>
        <v>0</v>
      </c>
      <c r="R189" s="29">
        <f>IF(基础状态预期!X201="",0,MIN(求节点($C$16:$C$24,G$16:G$24,基础状态预期!N201),求节点($C$28:$C$48,G$28:G$48,基础状态预期!X201)))</f>
        <v>0</v>
      </c>
      <c r="S189" s="29">
        <f>IF(基础状态预期!Y201="",0,MIN(求节点($C$16:$C$24,H$16:H$24,基础状态预期!O201),求节点($C$28:$C$48,H$28:H$48,基础状态预期!Y201)))</f>
        <v>0</v>
      </c>
      <c r="T189" s="29">
        <f>MAX(SUMPRODUCT(O189:S189,基础状态预期!$F201:$J201)/SUM(基础状态预期!$F201:$J201),T188)</f>
        <v>0</v>
      </c>
      <c r="AE189" s="29">
        <v>50</v>
      </c>
      <c r="AF189" s="29"/>
      <c r="AG189" s="29">
        <f t="shared" si="50"/>
        <v>0</v>
      </c>
      <c r="AH189" s="29"/>
      <c r="AI189" s="29">
        <f>(AG189-AG188)*INDEX([2]超r将兵属性验证!$AX$7:$AX$166,$AE189,1)+AI188</f>
        <v>0</v>
      </c>
      <c r="AJ189" s="14">
        <f t="shared" si="53"/>
        <v>0</v>
      </c>
      <c r="AO189" s="29">
        <f t="shared" si="51"/>
        <v>38.848984787984186</v>
      </c>
      <c r="AP189" s="14">
        <f>MAX(求节点($C$74:$C$79,D$74:D$79,求节点($C$4:$C$12,D$4:D$12,基础状态预期!K201)),AP188)</f>
        <v>0</v>
      </c>
      <c r="AQ189" s="14">
        <f>MAX(求节点($C$74:$C$79,E$74:E$79,求节点($C$4:$C$12,E$4:E$12,基础状态预期!L201)),AQ188)</f>
        <v>0</v>
      </c>
      <c r="AR189" s="14">
        <f>MAX(求节点($C$74:$C$79,F$74:F$79,求节点($C$4:$C$12,F$4:F$12,基础状态预期!M201)),AR188)</f>
        <v>0</v>
      </c>
      <c r="AS189" s="14">
        <f>MAX(求节点($C$74:$C$79,G$74:G$79,求节点($C$4:$C$12,G$4:G$12,基础状态预期!N201)),AS188)</f>
        <v>0.28593395374692587</v>
      </c>
      <c r="AT189" s="14">
        <f>MAX(求节点($C$74:$C$79,H$74:H$79,求节点($C$4:$C$12,H$4:H$12,基础状态预期!O201)),AT188)</f>
        <v>0</v>
      </c>
      <c r="AU189" s="14">
        <f>MAX(求节点($C$81:$C$86,D$81:D$86,求节点($C$4:$C$12,D$4:D$12,基础状态预期!K201)),AU188)</f>
        <v>0</v>
      </c>
      <c r="AV189" s="14">
        <f>MAX(求节点($C$81:$C$86,E$81:E$86,求节点($C$4:$C$12,E$4:E$12,基础状态预期!L201)),AV188)</f>
        <v>0</v>
      </c>
      <c r="AW189" s="14">
        <f>MAX(求节点($C$81:$C$86,F$81:F$86,求节点($C$4:$C$12,F$4:F$12,基础状态预期!M201)),AW188)</f>
        <v>0</v>
      </c>
      <c r="AX189" s="14">
        <f>MAX(求节点($C$81:$C$86,G$81:G$86,求节点($C$4:$C$12,G$4:G$12,基础状态预期!N201)),AX188)</f>
        <v>0</v>
      </c>
      <c r="AY189" s="14">
        <f>MAX(求节点($C$81:$C$86,H$81:H$86,求节点($C$4:$C$12,H$4:H$12,基础状态预期!O201)),AY188)</f>
        <v>0</v>
      </c>
      <c r="AZ189" s="14">
        <f>MAX(求节点($C$88:$C$93,D$88:D$93,求节点($C$4:$C$12,D$4:D$12,基础状态预期!K201)),AZ188)</f>
        <v>0</v>
      </c>
      <c r="BA189" s="14">
        <f>MAX(求节点($C$88:$C$93,E$88:E$93,求节点($C$4:$C$12,E$4:E$12,基础状态预期!L201)),BA188)</f>
        <v>0</v>
      </c>
      <c r="BB189" s="14">
        <f>MAX(求节点($C$88:$C$93,F$88:F$93,求节点($C$4:$C$12,F$4:F$12,基础状态预期!M201)),BB188)</f>
        <v>0</v>
      </c>
      <c r="BC189" s="14">
        <f>MAX(求节点($C$88:$C$93,G$88:G$93,求节点($C$4:$C$12,G$4:G$12,基础状态预期!N201)),BC188)</f>
        <v>0</v>
      </c>
      <c r="BD189" s="14">
        <f>MAX(求节点($C$88:$C$93,H$88:H$93,求节点($C$4:$C$12,H$4:H$12,基础状态预期!O201)),BD188)</f>
        <v>0</v>
      </c>
      <c r="BE189" s="14">
        <f t="shared" si="48"/>
        <v>285.93395374692585</v>
      </c>
      <c r="BH189" s="29">
        <v>50</v>
      </c>
      <c r="BI189" s="29">
        <f t="shared" si="49"/>
        <v>1127.8104448774081</v>
      </c>
      <c r="BJ189" s="29"/>
      <c r="BK189" s="29">
        <f t="shared" si="52"/>
        <v>1127.8104448774081</v>
      </c>
    </row>
    <row r="190" spans="13:63" x14ac:dyDescent="0.15">
      <c r="M190" s="16">
        <v>9</v>
      </c>
      <c r="N190" s="29">
        <f>基础状态预期!D202</f>
        <v>42.643360270022924</v>
      </c>
      <c r="O190" s="29">
        <f>IF(基础状态预期!U202="",0,MIN(求节点($C$16:$C$24,D$16:D$24,基础状态预期!K202),求节点($C$28:$C$48,D$28:D$48,基础状态预期!U202)))</f>
        <v>0</v>
      </c>
      <c r="P190" s="29">
        <f>IF(基础状态预期!V202="",0,MIN(求节点($C$16:$C$24,E$16:E$24,基础状态预期!L202),求节点($C$28:$C$48,E$28:E$48,基础状态预期!V202)))</f>
        <v>0</v>
      </c>
      <c r="Q190" s="29">
        <f>IF(基础状态预期!W202="",0,MIN(求节点($C$16:$C$24,F$16:F$24,基础状态预期!M202),求节点($C$28:$C$48,F$28:F$48,基础状态预期!W202)))</f>
        <v>0</v>
      </c>
      <c r="R190" s="29">
        <f>IF(基础状态预期!X202="",0,MIN(求节点($C$16:$C$24,G$16:G$24,基础状态预期!N202),求节点($C$28:$C$48,G$28:G$48,基础状态预期!X202)))</f>
        <v>0</v>
      </c>
      <c r="S190" s="29">
        <f>IF(基础状态预期!Y202="",0,MIN(求节点($C$16:$C$24,H$16:H$24,基础状态预期!O202),求节点($C$28:$C$48,H$28:H$48,基础状态预期!Y202)))</f>
        <v>0</v>
      </c>
      <c r="T190" s="29">
        <f>MAX(SUMPRODUCT(O190:S190,基础状态预期!$F202:$J202)/SUM(基础状态预期!$F202:$J202),T189)</f>
        <v>0</v>
      </c>
      <c r="AE190" s="29">
        <v>60</v>
      </c>
      <c r="AF190" s="29"/>
      <c r="AG190" s="29">
        <f t="shared" si="50"/>
        <v>4.6238033769000507E-2</v>
      </c>
      <c r="AH190" s="29"/>
      <c r="AI190" s="29">
        <f>(AG190-AG189)*INDEX([2]超r将兵属性验证!$AX$7:$AX$166,$AE190,1)+AI189</f>
        <v>309027861.45292544</v>
      </c>
      <c r="AJ190" s="14">
        <f t="shared" si="53"/>
        <v>309027861.45292544</v>
      </c>
      <c r="AO190" s="29">
        <f t="shared" si="51"/>
        <v>42.643360270022924</v>
      </c>
      <c r="AP190" s="14">
        <f>MAX(求节点($C$74:$C$79,D$74:D$79,求节点($C$4:$C$12,D$4:D$12,基础状态预期!K202)),AP189)</f>
        <v>0</v>
      </c>
      <c r="AQ190" s="14">
        <f>MAX(求节点($C$74:$C$79,E$74:E$79,求节点($C$4:$C$12,E$4:E$12,基础状态预期!L202)),AQ189)</f>
        <v>0</v>
      </c>
      <c r="AR190" s="14">
        <f>MAX(求节点($C$74:$C$79,F$74:F$79,求节点($C$4:$C$12,F$4:F$12,基础状态预期!M202)),AR189)</f>
        <v>0</v>
      </c>
      <c r="AS190" s="14">
        <f>MAX(求节点($C$74:$C$79,G$74:G$79,求节点($C$4:$C$12,G$4:G$12,基础状态预期!N202)),AS189)</f>
        <v>0.86938917403702209</v>
      </c>
      <c r="AT190" s="14">
        <f>MAX(求节点($C$74:$C$79,H$74:H$79,求节点($C$4:$C$12,H$4:H$12,基础状态预期!O202)),AT189)</f>
        <v>0</v>
      </c>
      <c r="AU190" s="14">
        <f>MAX(求节点($C$81:$C$86,D$81:D$86,求节点($C$4:$C$12,D$4:D$12,基础状态预期!K202)),AU189)</f>
        <v>0</v>
      </c>
      <c r="AV190" s="14">
        <f>MAX(求节点($C$81:$C$86,E$81:E$86,求节点($C$4:$C$12,E$4:E$12,基础状态预期!L202)),AV189)</f>
        <v>0</v>
      </c>
      <c r="AW190" s="14">
        <f>MAX(求节点($C$81:$C$86,F$81:F$86,求节点($C$4:$C$12,F$4:F$12,基础状态预期!M202)),AW189)</f>
        <v>0</v>
      </c>
      <c r="AX190" s="14">
        <f>MAX(求节点($C$81:$C$86,G$81:G$86,求节点($C$4:$C$12,G$4:G$12,基础状态预期!N202)),AX189)</f>
        <v>0</v>
      </c>
      <c r="AY190" s="14">
        <f>MAX(求节点($C$81:$C$86,H$81:H$86,求节点($C$4:$C$12,H$4:H$12,基础状态预期!O202)),AY189)</f>
        <v>0</v>
      </c>
      <c r="AZ190" s="14">
        <f>MAX(求节点($C$88:$C$93,D$88:D$93,求节点($C$4:$C$12,D$4:D$12,基础状态预期!K202)),AZ189)</f>
        <v>0</v>
      </c>
      <c r="BA190" s="14">
        <f>MAX(求节点($C$88:$C$93,E$88:E$93,求节点($C$4:$C$12,E$4:E$12,基础状态预期!L202)),BA189)</f>
        <v>0</v>
      </c>
      <c r="BB190" s="14">
        <f>MAX(求节点($C$88:$C$93,F$88:F$93,求节点($C$4:$C$12,F$4:F$12,基础状态预期!M202)),BB189)</f>
        <v>0</v>
      </c>
      <c r="BC190" s="14">
        <f>MAX(求节点($C$88:$C$93,G$88:G$93,求节点($C$4:$C$12,G$4:G$12,基础状态预期!N202)),BC189)</f>
        <v>0</v>
      </c>
      <c r="BD190" s="14">
        <f>MAX(求节点($C$88:$C$93,H$88:H$93,求节点($C$4:$C$12,H$4:H$12,基础状态预期!O202)),BD189)</f>
        <v>0</v>
      </c>
      <c r="BE190" s="14">
        <f t="shared" si="48"/>
        <v>869.38917403702214</v>
      </c>
      <c r="BH190" s="29">
        <v>60</v>
      </c>
      <c r="BI190" s="29">
        <f t="shared" si="49"/>
        <v>5312.8866839803886</v>
      </c>
      <c r="BJ190" s="29"/>
      <c r="BK190" s="29">
        <f t="shared" si="52"/>
        <v>5312.8866839803886</v>
      </c>
    </row>
    <row r="191" spans="13:63" x14ac:dyDescent="0.15">
      <c r="M191" s="16">
        <v>10</v>
      </c>
      <c r="N191" s="29">
        <f>基础状态预期!D203</f>
        <v>48.493134765265182</v>
      </c>
      <c r="O191" s="29">
        <f>IF(基础状态预期!U203="",0,MIN(求节点($C$16:$C$24,D$16:D$24,基础状态预期!K203),求节点($C$28:$C$48,D$28:D$48,基础状态预期!U203)))</f>
        <v>0</v>
      </c>
      <c r="P191" s="29">
        <f>IF(基础状态预期!V203="",0,MIN(求节点($C$16:$C$24,E$16:E$24,基础状态预期!L203),求节点($C$28:$C$48,E$28:E$48,基础状态预期!V203)))</f>
        <v>0</v>
      </c>
      <c r="Q191" s="29">
        <f>IF(基础状态预期!W203="",0,MIN(求节点($C$16:$C$24,F$16:F$24,基础状态预期!M203),求节点($C$28:$C$48,F$28:F$48,基础状态预期!W203)))</f>
        <v>0</v>
      </c>
      <c r="R191" s="29">
        <f>IF(基础状态预期!X203="",0,MIN(求节点($C$16:$C$24,G$16:G$24,基础状态预期!N203),求节点($C$28:$C$48,G$28:G$48,基础状态预期!X203)))</f>
        <v>0</v>
      </c>
      <c r="S191" s="29">
        <f>IF(基础状态预期!Y203="",0,MIN(求节点($C$16:$C$24,H$16:H$24,基础状态预期!O203),求节点($C$28:$C$48,H$28:H$48,基础状态预期!Y203)))</f>
        <v>0</v>
      </c>
      <c r="T191" s="29">
        <f>MAX(SUMPRODUCT(O191:S191,基础状态预期!$F203:$J203)/SUM(基础状态预期!$F203:$J203),T190)</f>
        <v>0</v>
      </c>
      <c r="AE191" s="29">
        <v>70</v>
      </c>
      <c r="AF191" s="29"/>
      <c r="AG191" s="29">
        <f t="shared" si="50"/>
        <v>0.15298267327189169</v>
      </c>
      <c r="AH191" s="29"/>
      <c r="AI191" s="29">
        <f>(AG191-AG190)*INDEX([2]超r将兵属性验证!$AX$7:$AX$166,$AE191,1)+AI190</f>
        <v>2441197202.0307693</v>
      </c>
      <c r="AJ191" s="14">
        <f t="shared" si="53"/>
        <v>2441197202.0307693</v>
      </c>
      <c r="AO191" s="29">
        <f t="shared" si="51"/>
        <v>48.493134765265182</v>
      </c>
      <c r="AP191" s="14">
        <f>MAX(求节点($C$74:$C$79,D$74:D$79,求节点($C$4:$C$12,D$4:D$12,基础状态预期!K203)),AP190)</f>
        <v>0</v>
      </c>
      <c r="AQ191" s="14">
        <f>MAX(求节点($C$74:$C$79,E$74:E$79,求节点($C$4:$C$12,E$4:E$12,基础状态预期!L203)),AQ190)</f>
        <v>0</v>
      </c>
      <c r="AR191" s="14">
        <f>MAX(求节点($C$74:$C$79,F$74:F$79,求节点($C$4:$C$12,F$4:F$12,基础状态预期!M203)),AR190)</f>
        <v>0</v>
      </c>
      <c r="AS191" s="14">
        <f>MAX(求节点($C$74:$C$79,G$74:G$79,求节点($C$4:$C$12,G$4:G$12,基础状态预期!N203)),AS190)</f>
        <v>1</v>
      </c>
      <c r="AT191" s="14">
        <f>MAX(求节点($C$74:$C$79,H$74:H$79,求节点($C$4:$C$12,H$4:H$12,基础状态预期!O203)),AT190)</f>
        <v>0</v>
      </c>
      <c r="AU191" s="14">
        <f>MAX(求节点($C$81:$C$86,D$81:D$86,求节点($C$4:$C$12,D$4:D$12,基础状态预期!K203)),AU190)</f>
        <v>0</v>
      </c>
      <c r="AV191" s="14">
        <f>MAX(求节点($C$81:$C$86,E$81:E$86,求节点($C$4:$C$12,E$4:E$12,基础状态预期!L203)),AV190)</f>
        <v>0</v>
      </c>
      <c r="AW191" s="14">
        <f>MAX(求节点($C$81:$C$86,F$81:F$86,求节点($C$4:$C$12,F$4:F$12,基础状态预期!M203)),AW190)</f>
        <v>0</v>
      </c>
      <c r="AX191" s="14">
        <f>MAX(求节点($C$81:$C$86,G$81:G$86,求节点($C$4:$C$12,G$4:G$12,基础状态预期!N203)),AX190)</f>
        <v>0</v>
      </c>
      <c r="AY191" s="14">
        <f>MAX(求节点($C$81:$C$86,H$81:H$86,求节点($C$4:$C$12,H$4:H$12,基础状态预期!O203)),AY190)</f>
        <v>0</v>
      </c>
      <c r="AZ191" s="14">
        <f>MAX(求节点($C$88:$C$93,D$88:D$93,求节点($C$4:$C$12,D$4:D$12,基础状态预期!K203)),AZ190)</f>
        <v>0</v>
      </c>
      <c r="BA191" s="14">
        <f>MAX(求节点($C$88:$C$93,E$88:E$93,求节点($C$4:$C$12,E$4:E$12,基础状态预期!L203)),BA190)</f>
        <v>0</v>
      </c>
      <c r="BB191" s="14">
        <f>MAX(求节点($C$88:$C$93,F$88:F$93,求节点($C$4:$C$12,F$4:F$12,基础状态预期!M203)),BB190)</f>
        <v>0</v>
      </c>
      <c r="BC191" s="14">
        <f>MAX(求节点($C$88:$C$93,G$88:G$93,求节点($C$4:$C$12,G$4:G$12,基础状态预期!N203)),BC190)</f>
        <v>0</v>
      </c>
      <c r="BD191" s="14">
        <f>MAX(求节点($C$88:$C$93,H$88:H$93,求节点($C$4:$C$12,H$4:H$12,基础状态预期!O203)),BD190)</f>
        <v>0</v>
      </c>
      <c r="BE191" s="14">
        <f t="shared" si="48"/>
        <v>1000</v>
      </c>
      <c r="BH191" s="29">
        <v>70</v>
      </c>
      <c r="BI191" s="29">
        <f t="shared" si="49"/>
        <v>39749.985320091248</v>
      </c>
      <c r="BJ191" s="29"/>
      <c r="BK191" s="29">
        <f t="shared" si="52"/>
        <v>39749.985320091248</v>
      </c>
    </row>
    <row r="192" spans="13:63" x14ac:dyDescent="0.15">
      <c r="M192" s="16">
        <v>11</v>
      </c>
      <c r="N192" s="29">
        <f>基础状态预期!D204</f>
        <v>52.559419343629337</v>
      </c>
      <c r="O192" s="29">
        <f>IF(基础状态预期!U204="",0,MIN(求节点($C$16:$C$24,D$16:D$24,基础状态预期!K204),求节点($C$28:$C$48,D$28:D$48,基础状态预期!U204)))</f>
        <v>0</v>
      </c>
      <c r="P192" s="29">
        <f>IF(基础状态预期!V204="",0,MIN(求节点($C$16:$C$24,E$16:E$24,基础状态预期!L204),求节点($C$28:$C$48,E$28:E$48,基础状态预期!V204)))</f>
        <v>0</v>
      </c>
      <c r="Q192" s="29">
        <f>IF(基础状态预期!W204="",0,MIN(求节点($C$16:$C$24,F$16:F$24,基础状态预期!M204),求节点($C$28:$C$48,F$28:F$48,基础状态预期!W204)))</f>
        <v>0</v>
      </c>
      <c r="R192" s="29">
        <f>IF(基础状态预期!X204="",0,MIN(求节点($C$16:$C$24,G$16:G$24,基础状态预期!N204),求节点($C$28:$C$48,G$28:G$48,基础状态预期!X204)))</f>
        <v>0</v>
      </c>
      <c r="S192" s="29">
        <f>IF(基础状态预期!Y204="",0,MIN(求节点($C$16:$C$24,H$16:H$24,基础状态预期!O204),求节点($C$28:$C$48,H$28:H$48,基础状态预期!Y204)))</f>
        <v>0</v>
      </c>
      <c r="T192" s="29">
        <f>MAX(SUMPRODUCT(O192:S192,基础状态预期!$F204:$J204)/SUM(基础状态预期!$F204:$J204),T191)</f>
        <v>0</v>
      </c>
      <c r="AE192" s="29">
        <v>80</v>
      </c>
      <c r="AF192" s="29"/>
      <c r="AG192" s="29">
        <f t="shared" si="50"/>
        <v>0.45</v>
      </c>
      <c r="AH192" s="29"/>
      <c r="AI192" s="29">
        <f>(AG192-AG191)*INDEX([2]超r将兵属性验证!$AX$7:$AX$166,$AE192,1)+AI191</f>
        <v>19590881695.501144</v>
      </c>
      <c r="AJ192" s="14">
        <f t="shared" si="53"/>
        <v>19590881695.501144</v>
      </c>
      <c r="AO192" s="29">
        <f t="shared" si="51"/>
        <v>52.559419343629337</v>
      </c>
      <c r="AP192" s="14">
        <f>MAX(求节点($C$74:$C$79,D$74:D$79,求节点($C$4:$C$12,D$4:D$12,基础状态预期!K204)),AP191)</f>
        <v>0</v>
      </c>
      <c r="AQ192" s="14">
        <f>MAX(求节点($C$74:$C$79,E$74:E$79,求节点($C$4:$C$12,E$4:E$12,基础状态预期!L204)),AQ191)</f>
        <v>0</v>
      </c>
      <c r="AR192" s="14">
        <f>MAX(求节点($C$74:$C$79,F$74:F$79,求节点($C$4:$C$12,F$4:F$12,基础状态预期!M204)),AR191)</f>
        <v>0</v>
      </c>
      <c r="AS192" s="14">
        <f>MAX(求节点($C$74:$C$79,G$74:G$79,求节点($C$4:$C$12,G$4:G$12,基础状态预期!N204)),AS191)</f>
        <v>1</v>
      </c>
      <c r="AT192" s="14">
        <f>MAX(求节点($C$74:$C$79,H$74:H$79,求节点($C$4:$C$12,H$4:H$12,基础状态预期!O204)),AT191)</f>
        <v>0.34489722702397252</v>
      </c>
      <c r="AU192" s="14">
        <f>MAX(求节点($C$81:$C$86,D$81:D$86,求节点($C$4:$C$12,D$4:D$12,基础状态预期!K204)),AU191)</f>
        <v>0</v>
      </c>
      <c r="AV192" s="14">
        <f>MAX(求节点($C$81:$C$86,E$81:E$86,求节点($C$4:$C$12,E$4:E$12,基础状态预期!L204)),AV191)</f>
        <v>0</v>
      </c>
      <c r="AW192" s="14">
        <f>MAX(求节点($C$81:$C$86,F$81:F$86,求节点($C$4:$C$12,F$4:F$12,基础状态预期!M204)),AW191)</f>
        <v>0</v>
      </c>
      <c r="AX192" s="14">
        <f>MAX(求节点($C$81:$C$86,G$81:G$86,求节点($C$4:$C$12,G$4:G$12,基础状态预期!N204)),AX191)</f>
        <v>0</v>
      </c>
      <c r="AY192" s="14">
        <f>MAX(求节点($C$81:$C$86,H$81:H$86,求节点($C$4:$C$12,H$4:H$12,基础状态预期!O204)),AY191)</f>
        <v>0</v>
      </c>
      <c r="AZ192" s="14">
        <f>MAX(求节点($C$88:$C$93,D$88:D$93,求节点($C$4:$C$12,D$4:D$12,基础状态预期!K204)),AZ191)</f>
        <v>0</v>
      </c>
      <c r="BA192" s="14">
        <f>MAX(求节点($C$88:$C$93,E$88:E$93,求节点($C$4:$C$12,E$4:E$12,基础状态预期!L204)),BA191)</f>
        <v>0</v>
      </c>
      <c r="BB192" s="14">
        <f>MAX(求节点($C$88:$C$93,F$88:F$93,求节点($C$4:$C$12,F$4:F$12,基础状态预期!M204)),BB191)</f>
        <v>0</v>
      </c>
      <c r="BC192" s="14">
        <f>MAX(求节点($C$88:$C$93,G$88:G$93,求节点($C$4:$C$12,G$4:G$12,基础状态预期!N204)),BC191)</f>
        <v>0</v>
      </c>
      <c r="BD192" s="14">
        <f>MAX(求节点($C$88:$C$93,H$88:H$93,求节点($C$4:$C$12,H$4:H$12,基础状态预期!O204)),BD191)</f>
        <v>0</v>
      </c>
      <c r="BE192" s="14">
        <f t="shared" si="48"/>
        <v>1344.8972270239726</v>
      </c>
      <c r="BH192" s="29">
        <v>80</v>
      </c>
      <c r="BI192" s="29">
        <f t="shared" si="49"/>
        <v>447000</v>
      </c>
      <c r="BJ192" s="29"/>
      <c r="BK192" s="29">
        <f t="shared" si="52"/>
        <v>447000</v>
      </c>
    </row>
    <row r="193" spans="13:63" x14ac:dyDescent="0.15">
      <c r="M193" s="16">
        <v>12</v>
      </c>
      <c r="N193" s="29">
        <f>基础状态预期!D205</f>
        <v>58.560986008166232</v>
      </c>
      <c r="O193" s="29">
        <f>IF(基础状态预期!U205="",0,MIN(求节点($C$16:$C$24,D$16:D$24,基础状态预期!K205),求节点($C$28:$C$48,D$28:D$48,基础状态预期!U205)))</f>
        <v>0</v>
      </c>
      <c r="P193" s="29">
        <f>IF(基础状态预期!V205="",0,MIN(求节点($C$16:$C$24,E$16:E$24,基础状态预期!L205),求节点($C$28:$C$48,E$28:E$48,基础状态预期!V205)))</f>
        <v>0</v>
      </c>
      <c r="Q193" s="29">
        <f>IF(基础状态预期!W205="",0,MIN(求节点($C$16:$C$24,F$16:F$24,基础状态预期!M205),求节点($C$28:$C$48,F$28:F$48,基础状态预期!W205)))</f>
        <v>0</v>
      </c>
      <c r="R193" s="29">
        <f>IF(基础状态预期!X205="",0,MIN(求节点($C$16:$C$24,G$16:G$24,基础状态预期!N205),求节点($C$28:$C$48,G$28:G$48,基础状态预期!X205)))</f>
        <v>3.1829580244986957E-2</v>
      </c>
      <c r="S193" s="29">
        <f>IF(基础状态预期!Y205="",0,MIN(求节点($C$16:$C$24,H$16:H$24,基础状态预期!O205),求节点($C$28:$C$48,H$28:H$48,基础状态预期!Y205)))</f>
        <v>3.8195496293984346E-2</v>
      </c>
      <c r="T193" s="29">
        <f>MAX(SUMPRODUCT(O193:S193,基础状态预期!$F205:$J205)/SUM(基础状态预期!$F205:$J205),T192)</f>
        <v>3.395155226131942E-2</v>
      </c>
      <c r="AE193" s="29">
        <v>90</v>
      </c>
      <c r="AF193" s="29"/>
      <c r="AG193" s="29">
        <f t="shared" si="50"/>
        <v>0.45</v>
      </c>
      <c r="AH193" s="29"/>
      <c r="AI193" s="29">
        <f>(AG193-AG192)*INDEX([2]超r将兵属性验证!$AX$7:$AX$166,$AE193,1)+AI192</f>
        <v>19590881695.501144</v>
      </c>
      <c r="AJ193" s="14">
        <f t="shared" si="53"/>
        <v>19590881695.501144</v>
      </c>
      <c r="AO193" s="29">
        <f t="shared" si="51"/>
        <v>58.560986008166232</v>
      </c>
      <c r="AP193" s="14">
        <f>MAX(求节点($C$74:$C$79,D$74:D$79,求节点($C$4:$C$12,D$4:D$12,基础状态预期!K205)),AP192)</f>
        <v>0</v>
      </c>
      <c r="AQ193" s="14">
        <f>MAX(求节点($C$74:$C$79,E$74:E$79,求节点($C$4:$C$12,E$4:E$12,基础状态预期!L205)),AQ192)</f>
        <v>0</v>
      </c>
      <c r="AR193" s="14">
        <f>MAX(求节点($C$74:$C$79,F$74:F$79,求节点($C$4:$C$12,F$4:F$12,基础状态预期!M205)),AR192)</f>
        <v>0</v>
      </c>
      <c r="AS193" s="14">
        <f>MAX(求节点($C$74:$C$79,G$74:G$79,求节点($C$4:$C$12,G$4:G$12,基础状态预期!N205)),AS192)</f>
        <v>1</v>
      </c>
      <c r="AT193" s="14">
        <f>MAX(求节点($C$74:$C$79,H$74:H$79,求节点($C$4:$C$12,H$4:H$12,基础状态预期!O205)),AT192)</f>
        <v>2</v>
      </c>
      <c r="AU193" s="14">
        <f>MAX(求节点($C$81:$C$86,D$81:D$86,求节点($C$4:$C$12,D$4:D$12,基础状态预期!K205)),AU192)</f>
        <v>0</v>
      </c>
      <c r="AV193" s="14">
        <f>MAX(求节点($C$81:$C$86,E$81:E$86,求节点($C$4:$C$12,E$4:E$12,基础状态预期!L205)),AV192)</f>
        <v>0</v>
      </c>
      <c r="AW193" s="14">
        <f>MAX(求节点($C$81:$C$86,F$81:F$86,求节点($C$4:$C$12,F$4:F$12,基础状态预期!M205)),AW192)</f>
        <v>0</v>
      </c>
      <c r="AX193" s="14">
        <f>MAX(求节点($C$81:$C$86,G$81:G$86,求节点($C$4:$C$12,G$4:G$12,基础状态预期!N205)),AX192)</f>
        <v>0</v>
      </c>
      <c r="AY193" s="14">
        <f>MAX(求节点($C$81:$C$86,H$81:H$86,求节点($C$4:$C$12,H$4:H$12,基础状态预期!O205)),AY192)</f>
        <v>0</v>
      </c>
      <c r="AZ193" s="14">
        <f>MAX(求节点($C$88:$C$93,D$88:D$93,求节点($C$4:$C$12,D$4:D$12,基础状态预期!K205)),AZ192)</f>
        <v>0</v>
      </c>
      <c r="BA193" s="14">
        <f>MAX(求节点($C$88:$C$93,E$88:E$93,求节点($C$4:$C$12,E$4:E$12,基础状态预期!L205)),BA192)</f>
        <v>0</v>
      </c>
      <c r="BB193" s="14">
        <f>MAX(求节点($C$88:$C$93,F$88:F$93,求节点($C$4:$C$12,F$4:F$12,基础状态预期!M205)),BB192)</f>
        <v>0</v>
      </c>
      <c r="BC193" s="14">
        <f>MAX(求节点($C$88:$C$93,G$88:G$93,求节点($C$4:$C$12,G$4:G$12,基础状态预期!N205)),BC192)</f>
        <v>0</v>
      </c>
      <c r="BD193" s="14">
        <f>MAX(求节点($C$88:$C$93,H$88:H$93,求节点($C$4:$C$12,H$4:H$12,基础状态预期!O205)),BD192)</f>
        <v>0</v>
      </c>
      <c r="BE193" s="14">
        <f t="shared" si="48"/>
        <v>3000</v>
      </c>
      <c r="BH193" s="29">
        <v>90</v>
      </c>
      <c r="BI193" s="29">
        <f t="shared" si="49"/>
        <v>447000</v>
      </c>
      <c r="BJ193" s="29"/>
      <c r="BK193" s="29">
        <f t="shared" si="52"/>
        <v>447000</v>
      </c>
    </row>
    <row r="194" spans="13:63" x14ac:dyDescent="0.15">
      <c r="M194" s="16">
        <v>13</v>
      </c>
      <c r="N194" s="29">
        <f>基础状态预期!D206</f>
        <v>64.247064283227857</v>
      </c>
      <c r="O194" s="29">
        <f>IF(基础状态预期!U206="",0,MIN(求节点($C$16:$C$24,D$16:D$24,基础状态预期!K206),求节点($C$28:$C$48,D$28:D$48,基础状态预期!U206)))</f>
        <v>0</v>
      </c>
      <c r="P194" s="29">
        <f>IF(基础状态预期!V206="",0,MIN(求节点($C$16:$C$24,E$16:E$24,基础状态预期!L206),求节点($C$28:$C$48,E$28:E$48,基础状态预期!V206)))</f>
        <v>0</v>
      </c>
      <c r="Q194" s="29">
        <f>IF(基础状态预期!W206="",0,MIN(求节点($C$16:$C$24,F$16:F$24,基础状态预期!M206),求节点($C$28:$C$48,F$28:F$48,基础状态预期!W206)))</f>
        <v>0</v>
      </c>
      <c r="R194" s="29">
        <f>IF(基础状态预期!X206="",0,MIN(求节点($C$16:$C$24,G$16:G$24,基础状态预期!N206),求节点($C$28:$C$48,G$28:G$48,基础状态预期!X206)))</f>
        <v>7.4999999999999997E-2</v>
      </c>
      <c r="S194" s="29">
        <f>IF(基础状态预期!Y206="",0,MIN(求节点($C$16:$C$24,H$16:H$24,基础状态预期!O206),求节点($C$28:$C$48,H$28:H$48,基础状态预期!Y206)))</f>
        <v>0.09</v>
      </c>
      <c r="T194" s="29">
        <f>MAX(SUMPRODUCT(O194:S194,基础状态预期!$F206:$J206)/SUM(基础状态预期!$F206:$J206),T193)</f>
        <v>8.2500000000000004E-2</v>
      </c>
      <c r="AE194" s="29">
        <v>100</v>
      </c>
      <c r="AF194" s="29"/>
      <c r="AG194" s="29">
        <f t="shared" si="50"/>
        <v>0.45</v>
      </c>
      <c r="AH194" s="29"/>
      <c r="AI194" s="29">
        <f>(AG194-AG193)*INDEX([2]超r将兵属性验证!$AX$7:$AX$166,$AE194,1)+AI193</f>
        <v>19590881695.501144</v>
      </c>
      <c r="AJ194" s="14">
        <f t="shared" si="53"/>
        <v>19590881695.501144</v>
      </c>
      <c r="AO194" s="29">
        <f t="shared" si="51"/>
        <v>64.247064283227857</v>
      </c>
      <c r="AP194" s="14">
        <f>MAX(求节点($C$74:$C$79,D$74:D$79,求节点($C$4:$C$12,D$4:D$12,基础状态预期!K206)),AP193)</f>
        <v>0</v>
      </c>
      <c r="AQ194" s="14">
        <f>MAX(求节点($C$74:$C$79,E$74:E$79,求节点($C$4:$C$12,E$4:E$12,基础状态预期!L206)),AQ193)</f>
        <v>0</v>
      </c>
      <c r="AR194" s="14">
        <f>MAX(求节点($C$74:$C$79,F$74:F$79,求节点($C$4:$C$12,F$4:F$12,基础状态预期!M206)),AR193)</f>
        <v>0</v>
      </c>
      <c r="AS194" s="14">
        <f>MAX(求节点($C$74:$C$79,G$74:G$79,求节点($C$4:$C$12,G$4:G$12,基础状态预期!N206)),AS193)</f>
        <v>1</v>
      </c>
      <c r="AT194" s="14">
        <f>MAX(求节点($C$74:$C$79,H$74:H$79,求节点($C$4:$C$12,H$4:H$12,基础状态预期!O206)),AT193)</f>
        <v>2</v>
      </c>
      <c r="AU194" s="14">
        <f>MAX(求节点($C$81:$C$86,D$81:D$86,求节点($C$4:$C$12,D$4:D$12,基础状态预期!K206)),AU193)</f>
        <v>0</v>
      </c>
      <c r="AV194" s="14">
        <f>MAX(求节点($C$81:$C$86,E$81:E$86,求节点($C$4:$C$12,E$4:E$12,基础状态预期!L206)),AV193)</f>
        <v>0</v>
      </c>
      <c r="AW194" s="14">
        <f>MAX(求节点($C$81:$C$86,F$81:F$86,求节点($C$4:$C$12,F$4:F$12,基础状态预期!M206)),AW193)</f>
        <v>0</v>
      </c>
      <c r="AX194" s="14">
        <f>MAX(求节点($C$81:$C$86,G$81:G$86,求节点($C$4:$C$12,G$4:G$12,基础状态预期!N206)),AX193)</f>
        <v>0.56953678042465228</v>
      </c>
      <c r="AY194" s="14">
        <f>MAX(求节点($C$81:$C$86,H$81:H$86,求节点($C$4:$C$12,H$4:H$12,基础状态预期!O206)),AY193)</f>
        <v>4</v>
      </c>
      <c r="AZ194" s="14">
        <f>MAX(求节点($C$88:$C$93,D$88:D$93,求节点($C$4:$C$12,D$4:D$12,基础状态预期!K206)),AZ193)</f>
        <v>0</v>
      </c>
      <c r="BA194" s="14">
        <f>MAX(求节点($C$88:$C$93,E$88:E$93,求节点($C$4:$C$12,E$4:E$12,基础状态预期!L206)),BA193)</f>
        <v>0</v>
      </c>
      <c r="BB194" s="14">
        <f>MAX(求节点($C$88:$C$93,F$88:F$93,求节点($C$4:$C$12,F$4:F$12,基础状态预期!M206)),BB193)</f>
        <v>0</v>
      </c>
      <c r="BC194" s="14">
        <f>MAX(求节点($C$88:$C$93,G$88:G$93,求节点($C$4:$C$12,G$4:G$12,基础状态预期!N206)),BC193)</f>
        <v>0</v>
      </c>
      <c r="BD194" s="14">
        <f>MAX(求节点($C$88:$C$93,H$88:H$93,求节点($C$4:$C$12,H$4:H$12,基础状态预期!O206)),BD193)</f>
        <v>0</v>
      </c>
      <c r="BE194" s="14">
        <f t="shared" si="48"/>
        <v>12139.073560849305</v>
      </c>
      <c r="BH194" s="29">
        <v>100</v>
      </c>
      <c r="BI194" s="29">
        <f t="shared" si="49"/>
        <v>447000</v>
      </c>
      <c r="BJ194" s="29"/>
      <c r="BK194" s="29">
        <f t="shared" si="52"/>
        <v>447000</v>
      </c>
    </row>
    <row r="195" spans="13:63" x14ac:dyDescent="0.15">
      <c r="M195" s="16">
        <v>14</v>
      </c>
      <c r="N195" s="29">
        <f>基础状态预期!D207</f>
        <v>68.518369035696878</v>
      </c>
      <c r="O195" s="29">
        <f>IF(基础状态预期!U207="",0,MIN(求节点($C$16:$C$24,D$16:D$24,基础状态预期!K207),求节点($C$28:$C$48,D$28:D$48,基础状态预期!U207)))</f>
        <v>0</v>
      </c>
      <c r="P195" s="29">
        <f>IF(基础状态预期!V207="",0,MIN(求节点($C$16:$C$24,E$16:E$24,基础状态预期!L207),求节点($C$28:$C$48,E$28:E$48,基础状态预期!V207)))</f>
        <v>0</v>
      </c>
      <c r="Q195" s="29">
        <f>IF(基础状态预期!W207="",0,MIN(求节点($C$16:$C$24,F$16:F$24,基础状态预期!M207),求节点($C$28:$C$48,F$28:F$48,基础状态预期!W207)))</f>
        <v>0</v>
      </c>
      <c r="R195" s="29">
        <f>IF(基础状态预期!X207="",0,MIN(求节点($C$16:$C$24,G$16:G$24,基础状态预期!N207),求节点($C$28:$C$48,G$28:G$48,基础状态预期!X207)))</f>
        <v>7.4999999999999997E-2</v>
      </c>
      <c r="S195" s="29">
        <f>IF(基础状态预期!Y207="",0,MIN(求节点($C$16:$C$24,H$16:H$24,基础状态预期!O207),求节点($C$28:$C$48,H$28:H$48,基础状态预期!Y207)))</f>
        <v>0.18</v>
      </c>
      <c r="T195" s="29">
        <f>MAX(SUMPRODUCT(O195:S195,基础状态预期!$F207:$J207)/SUM(基础状态预期!$F207:$J207),T194)</f>
        <v>0.14499999999999999</v>
      </c>
      <c r="AE195" s="29">
        <v>110</v>
      </c>
      <c r="AF195" s="29"/>
      <c r="AG195" s="29">
        <f t="shared" si="50"/>
        <v>0.45</v>
      </c>
      <c r="AH195" s="29"/>
      <c r="AI195" s="29">
        <f>(AG195-AG194)*INDEX([2]超r将兵属性验证!$AX$7:$AX$166,$AE195,1)+AI194</f>
        <v>19590881695.501144</v>
      </c>
      <c r="AJ195" s="14">
        <f t="shared" si="53"/>
        <v>19590881695.501144</v>
      </c>
      <c r="AO195" s="29">
        <f t="shared" si="51"/>
        <v>68.518369035696878</v>
      </c>
      <c r="AP195" s="14">
        <f>MAX(求节点($C$74:$C$79,D$74:D$79,求节点($C$4:$C$12,D$4:D$12,基础状态预期!K207)),AP194)</f>
        <v>0</v>
      </c>
      <c r="AQ195" s="14">
        <f>MAX(求节点($C$74:$C$79,E$74:E$79,求节点($C$4:$C$12,E$4:E$12,基础状态预期!L207)),AQ194)</f>
        <v>0</v>
      </c>
      <c r="AR195" s="14">
        <f>MAX(求节点($C$74:$C$79,F$74:F$79,求节点($C$4:$C$12,F$4:F$12,基础状态预期!M207)),AR194)</f>
        <v>0</v>
      </c>
      <c r="AS195" s="14">
        <f>MAX(求节点($C$74:$C$79,G$74:G$79,求节点($C$4:$C$12,G$4:G$12,基础状态预期!N207)),AS194)</f>
        <v>1</v>
      </c>
      <c r="AT195" s="14">
        <f>MAX(求节点($C$74:$C$79,H$74:H$79,求节点($C$4:$C$12,H$4:H$12,基础状态预期!O207)),AT194)</f>
        <v>2</v>
      </c>
      <c r="AU195" s="14">
        <f>MAX(求节点($C$81:$C$86,D$81:D$86,求节点($C$4:$C$12,D$4:D$12,基础状态预期!K207)),AU194)</f>
        <v>0</v>
      </c>
      <c r="AV195" s="14">
        <f>MAX(求节点($C$81:$C$86,E$81:E$86,求节点($C$4:$C$12,E$4:E$12,基础状态预期!L207)),AV194)</f>
        <v>0</v>
      </c>
      <c r="AW195" s="14">
        <f>MAX(求节点($C$81:$C$86,F$81:F$86,求节点($C$4:$C$12,F$4:F$12,基础状态预期!M207)),AW194)</f>
        <v>0</v>
      </c>
      <c r="AX195" s="14">
        <f>MAX(求节点($C$81:$C$86,G$81:G$86,求节点($C$4:$C$12,G$4:G$12,基础状态预期!N207)),AX194)</f>
        <v>2</v>
      </c>
      <c r="AY195" s="14">
        <f>MAX(求节点($C$81:$C$86,H$81:H$86,求节点($C$4:$C$12,H$4:H$12,基础状态预期!O207)),AY194)</f>
        <v>4</v>
      </c>
      <c r="AZ195" s="14">
        <f>MAX(求节点($C$88:$C$93,D$88:D$93,求节点($C$4:$C$12,D$4:D$12,基础状态预期!K207)),AZ194)</f>
        <v>0</v>
      </c>
      <c r="BA195" s="14">
        <f>MAX(求节点($C$88:$C$93,E$88:E$93,求节点($C$4:$C$12,E$4:E$12,基础状态预期!L207)),BA194)</f>
        <v>0</v>
      </c>
      <c r="BB195" s="14">
        <f>MAX(求节点($C$88:$C$93,F$88:F$93,求节点($C$4:$C$12,F$4:F$12,基础状态预期!M207)),BB194)</f>
        <v>0</v>
      </c>
      <c r="BC195" s="14">
        <f>MAX(求节点($C$88:$C$93,G$88:G$93,求节点($C$4:$C$12,G$4:G$12,基础状态预期!N207)),BC194)</f>
        <v>0.76496959544993004</v>
      </c>
      <c r="BD195" s="14">
        <f>MAX(求节点($C$88:$C$93,H$88:H$93,求节点($C$4:$C$12,H$4:H$12,基础状态预期!O207)),BD194)</f>
        <v>0</v>
      </c>
      <c r="BE195" s="14">
        <f t="shared" si="48"/>
        <v>21119.756763599442</v>
      </c>
      <c r="BH195" s="29">
        <v>110</v>
      </c>
      <c r="BI195" s="29">
        <f t="shared" si="49"/>
        <v>447000</v>
      </c>
      <c r="BJ195" s="29"/>
      <c r="BK195" s="29">
        <f t="shared" ref="BK195:BK200" si="54">SUM(BI195:BJ195)</f>
        <v>447000</v>
      </c>
    </row>
    <row r="196" spans="13:63" x14ac:dyDescent="0.15">
      <c r="M196" s="16">
        <v>15</v>
      </c>
      <c r="N196" s="29">
        <f>基础状态预期!D208</f>
        <v>71.7664716439551</v>
      </c>
      <c r="O196" s="29">
        <f>IF(基础状态预期!U208="",0,MIN(求节点($C$16:$C$24,D$16:D$24,基础状态预期!K208),求节点($C$28:$C$48,D$28:D$48,基础状态预期!U208)))</f>
        <v>0</v>
      </c>
      <c r="P196" s="29">
        <f>IF(基础状态预期!V208="",0,MIN(求节点($C$16:$C$24,E$16:E$24,基础状态预期!L208),求节点($C$28:$C$48,E$28:E$48,基础状态预期!V208)))</f>
        <v>0</v>
      </c>
      <c r="Q196" s="29">
        <f>IF(基础状态预期!W208="",0,MIN(求节点($C$16:$C$24,F$16:F$24,基础状态预期!M208),求节点($C$28:$C$48,F$28:F$48,基础状态预期!W208)))</f>
        <v>0</v>
      </c>
      <c r="R196" s="29">
        <f>IF(基础状态预期!X208="",0,MIN(求节点($C$16:$C$24,G$16:G$24,基础状态预期!N208),求节点($C$28:$C$48,G$28:G$48,基础状态预期!X208)))</f>
        <v>7.4999999999999997E-2</v>
      </c>
      <c r="S196" s="29">
        <f>IF(基础状态预期!Y208="",0,MIN(求节点($C$16:$C$24,H$16:H$24,基础状态预期!O208),求节点($C$28:$C$48,H$28:H$48,基础状态预期!Y208)))</f>
        <v>0.18</v>
      </c>
      <c r="T196" s="29">
        <f>MAX(SUMPRODUCT(O196:S196,基础状态预期!$F208:$J208)/SUM(基础状态预期!$F208:$J208),T195)</f>
        <v>0.16249999999999998</v>
      </c>
      <c r="AE196" s="29">
        <v>120</v>
      </c>
      <c r="AF196" s="29"/>
      <c r="AG196" s="29">
        <f t="shared" si="50"/>
        <v>0.45</v>
      </c>
      <c r="AH196" s="29"/>
      <c r="AI196" s="29">
        <f>(AG196-AG195)*INDEX([2]超r将兵属性验证!$AX$7:$AX$166,$AE196,1)+AI195</f>
        <v>19590881695.501144</v>
      </c>
      <c r="AJ196" s="14">
        <f t="shared" si="53"/>
        <v>19590881695.501144</v>
      </c>
      <c r="AO196" s="29">
        <f t="shared" si="51"/>
        <v>71.7664716439551</v>
      </c>
      <c r="AP196" s="14">
        <f>MAX(求节点($C$74:$C$79,D$74:D$79,求节点($C$4:$C$12,D$4:D$12,基础状态预期!K208)),AP195)</f>
        <v>0</v>
      </c>
      <c r="AQ196" s="14">
        <f>MAX(求节点($C$74:$C$79,E$74:E$79,求节点($C$4:$C$12,E$4:E$12,基础状态预期!L208)),AQ195)</f>
        <v>0</v>
      </c>
      <c r="AR196" s="14">
        <f>MAX(求节点($C$74:$C$79,F$74:F$79,求节点($C$4:$C$12,F$4:F$12,基础状态预期!M208)),AR195)</f>
        <v>0</v>
      </c>
      <c r="AS196" s="14">
        <f>MAX(求节点($C$74:$C$79,G$74:G$79,求节点($C$4:$C$12,G$4:G$12,基础状态预期!N208)),AS195)</f>
        <v>1</v>
      </c>
      <c r="AT196" s="14">
        <f>MAX(求节点($C$74:$C$79,H$74:H$79,求节点($C$4:$C$12,H$4:H$12,基础状态预期!O208)),AT195)</f>
        <v>2</v>
      </c>
      <c r="AU196" s="14">
        <f>MAX(求节点($C$81:$C$86,D$81:D$86,求节点($C$4:$C$12,D$4:D$12,基础状态预期!K208)),AU195)</f>
        <v>0</v>
      </c>
      <c r="AV196" s="14">
        <f>MAX(求节点($C$81:$C$86,E$81:E$86,求节点($C$4:$C$12,E$4:E$12,基础状态预期!L208)),AV195)</f>
        <v>0</v>
      </c>
      <c r="AW196" s="14">
        <f>MAX(求节点($C$81:$C$86,F$81:F$86,求节点($C$4:$C$12,F$4:F$12,基础状态预期!M208)),AW195)</f>
        <v>0</v>
      </c>
      <c r="AX196" s="14">
        <f>MAX(求节点($C$81:$C$86,G$81:G$86,求节点($C$4:$C$12,G$4:G$12,基础状态预期!N208)),AX195)</f>
        <v>2</v>
      </c>
      <c r="AY196" s="14">
        <f>MAX(求节点($C$81:$C$86,H$81:H$86,求节点($C$4:$C$12,H$4:H$12,基础状态预期!O208)),AY195)</f>
        <v>4</v>
      </c>
      <c r="AZ196" s="14">
        <f>MAX(求节点($C$88:$C$93,D$88:D$93,求节点($C$4:$C$12,D$4:D$12,基础状态预期!K208)),AZ195)</f>
        <v>0</v>
      </c>
      <c r="BA196" s="14">
        <f>MAX(求节点($C$88:$C$93,E$88:E$93,求节点($C$4:$C$12,E$4:E$12,基础状态预期!L208)),BA195)</f>
        <v>0</v>
      </c>
      <c r="BB196" s="14">
        <f>MAX(求节点($C$88:$C$93,F$88:F$93,求节点($C$4:$C$12,F$4:F$12,基础状态预期!M208)),BB195)</f>
        <v>0</v>
      </c>
      <c r="BC196" s="14">
        <f>MAX(求节点($C$88:$C$93,G$88:G$93,求节点($C$4:$C$12,G$4:G$12,基础状态预期!N208)),BC195)</f>
        <v>5.8702298985148182</v>
      </c>
      <c r="BD196" s="14">
        <f>MAX(求节点($C$88:$C$93,H$88:H$93,求节点($C$4:$C$12,H$4:H$12,基础状态预期!O208)),BD195)</f>
        <v>0</v>
      </c>
      <c r="BE196" s="14">
        <f t="shared" si="48"/>
        <v>61961.839188118545</v>
      </c>
      <c r="BH196" s="29">
        <v>120</v>
      </c>
      <c r="BI196" s="29">
        <f t="shared" si="49"/>
        <v>447000</v>
      </c>
      <c r="BJ196" s="29"/>
      <c r="BK196" s="29">
        <f t="shared" si="54"/>
        <v>447000</v>
      </c>
    </row>
    <row r="197" spans="13:63" x14ac:dyDescent="0.15">
      <c r="M197" s="16">
        <v>16</v>
      </c>
      <c r="N197" s="29">
        <f>基础状态预期!D209</f>
        <v>74.370993278111257</v>
      </c>
      <c r="O197" s="29">
        <f>IF(基础状态预期!U209="",0,MIN(求节点($C$16:$C$24,D$16:D$24,基础状态预期!K209),求节点($C$28:$C$48,D$28:D$48,基础状态预期!U209)))</f>
        <v>0</v>
      </c>
      <c r="P197" s="29">
        <f>IF(基础状态预期!V209="",0,MIN(求节点($C$16:$C$24,E$16:E$24,基础状态预期!L209),求节点($C$28:$C$48,E$28:E$48,基础状态预期!V209)))</f>
        <v>0</v>
      </c>
      <c r="Q197" s="29">
        <f>IF(基础状态预期!W209="",0,MIN(求节点($C$16:$C$24,F$16:F$24,基础状态预期!M209),求节点($C$28:$C$48,F$28:F$48,基础状态预期!W209)))</f>
        <v>0</v>
      </c>
      <c r="R197" s="29">
        <f>IF(基础状态预期!X209="",0,MIN(求节点($C$16:$C$24,G$16:G$24,基础状态预期!N209),求节点($C$28:$C$48,G$28:G$48,基础状态预期!X209)))</f>
        <v>0.18725959668667544</v>
      </c>
      <c r="S197" s="29">
        <f>IF(基础状态预期!Y209="",0,MIN(求节点($C$16:$C$24,H$16:H$24,基础状态预期!O209),求节点($C$28:$C$48,H$28:H$48,基础状态预期!Y209)))</f>
        <v>0.18</v>
      </c>
      <c r="T197" s="29">
        <f>MAX(SUMPRODUCT(O197:S197,基础状态预期!$F209:$J209)/SUM(基础状态预期!$F209:$J209),T196)</f>
        <v>0.18060496639055626</v>
      </c>
      <c r="AE197" s="29">
        <v>130</v>
      </c>
      <c r="AF197" s="29"/>
      <c r="AG197" s="29">
        <f t="shared" si="50"/>
        <v>0.45</v>
      </c>
      <c r="AH197" s="29"/>
      <c r="AI197" s="29">
        <f>(AG197-AG196)*INDEX([2]超r将兵属性验证!$AX$7:$AX$166,$AE197,1)+AI196</f>
        <v>19590881695.501144</v>
      </c>
      <c r="AJ197" s="14">
        <f t="shared" si="53"/>
        <v>19590881695.501144</v>
      </c>
      <c r="AO197" s="29">
        <f t="shared" si="51"/>
        <v>74.370993278111257</v>
      </c>
      <c r="AP197" s="14">
        <f>MAX(求节点($C$74:$C$79,D$74:D$79,求节点($C$4:$C$12,D$4:D$12,基础状态预期!K209)),AP196)</f>
        <v>0</v>
      </c>
      <c r="AQ197" s="14">
        <f>MAX(求节点($C$74:$C$79,E$74:E$79,求节点($C$4:$C$12,E$4:E$12,基础状态预期!L209)),AQ196)</f>
        <v>0</v>
      </c>
      <c r="AR197" s="14">
        <f>MAX(求节点($C$74:$C$79,F$74:F$79,求节点($C$4:$C$12,F$4:F$12,基础状态预期!M209)),AR196)</f>
        <v>0</v>
      </c>
      <c r="AS197" s="14">
        <f>MAX(求节点($C$74:$C$79,G$74:G$79,求节点($C$4:$C$12,G$4:G$12,基础状态预期!N209)),AS196)</f>
        <v>1</v>
      </c>
      <c r="AT197" s="14">
        <f>MAX(求节点($C$74:$C$79,H$74:H$79,求节点($C$4:$C$12,H$4:H$12,基础状态预期!O209)),AT196)</f>
        <v>2</v>
      </c>
      <c r="AU197" s="14">
        <f>MAX(求节点($C$81:$C$86,D$81:D$86,求节点($C$4:$C$12,D$4:D$12,基础状态预期!K209)),AU196)</f>
        <v>0</v>
      </c>
      <c r="AV197" s="14">
        <f>MAX(求节点($C$81:$C$86,E$81:E$86,求节点($C$4:$C$12,E$4:E$12,基础状态预期!L209)),AV196)</f>
        <v>0</v>
      </c>
      <c r="AW197" s="14">
        <f>MAX(求节点($C$81:$C$86,F$81:F$86,求节点($C$4:$C$12,F$4:F$12,基础状态预期!M209)),AW196)</f>
        <v>0</v>
      </c>
      <c r="AX197" s="14">
        <f>MAX(求节点($C$81:$C$86,G$81:G$86,求节点($C$4:$C$12,G$4:G$12,基础状态预期!N209)),AX196)</f>
        <v>2</v>
      </c>
      <c r="AY197" s="14">
        <f>MAX(求节点($C$81:$C$86,H$81:H$86,求节点($C$4:$C$12,H$4:H$12,基础状态预期!O209)),AY196)</f>
        <v>4</v>
      </c>
      <c r="AZ197" s="14">
        <f>MAX(求节点($C$88:$C$93,D$88:D$93,求节点($C$4:$C$12,D$4:D$12,基础状态预期!K209)),AZ196)</f>
        <v>0</v>
      </c>
      <c r="BA197" s="14">
        <f>MAX(求节点($C$88:$C$93,E$88:E$93,求节点($C$4:$C$12,E$4:E$12,基础状态预期!L209)),BA196)</f>
        <v>0</v>
      </c>
      <c r="BB197" s="14">
        <f>MAX(求节点($C$88:$C$93,F$88:F$93,求节点($C$4:$C$12,F$4:F$12,基础状态预期!M209)),BB196)</f>
        <v>0</v>
      </c>
      <c r="BC197" s="14">
        <f>MAX(求节点($C$88:$C$93,G$88:G$93,求节点($C$4:$C$12,G$4:G$12,基础状态预期!N209)),BC196)</f>
        <v>6</v>
      </c>
      <c r="BD197" s="14">
        <f>MAX(求节点($C$88:$C$93,H$88:H$93,求节点($C$4:$C$12,H$4:H$12,基础状态预期!O209)),BD196)</f>
        <v>0</v>
      </c>
      <c r="BE197" s="14">
        <f t="shared" si="48"/>
        <v>63000</v>
      </c>
      <c r="BH197" s="29">
        <v>130</v>
      </c>
      <c r="BI197" s="29">
        <f t="shared" si="49"/>
        <v>447000</v>
      </c>
      <c r="BJ197" s="29"/>
      <c r="BK197" s="29">
        <f t="shared" si="54"/>
        <v>447000</v>
      </c>
    </row>
    <row r="198" spans="13:63" x14ac:dyDescent="0.15">
      <c r="M198" s="16">
        <v>17</v>
      </c>
      <c r="N198" s="29">
        <f>基础状态预期!D210</f>
        <v>77.234275947206214</v>
      </c>
      <c r="O198" s="29">
        <f>IF(基础状态预期!U210="",0,MIN(求节点($C$16:$C$24,D$16:D$24,基础状态预期!K210),求节点($C$28:$C$48,D$28:D$48,基础状态预期!U210)))</f>
        <v>0</v>
      </c>
      <c r="P198" s="29">
        <f>IF(基础状态预期!V210="",0,MIN(求节点($C$16:$C$24,E$16:E$24,基础状态预期!L210),求节点($C$28:$C$48,E$28:E$48,基础状态预期!V210)))</f>
        <v>0</v>
      </c>
      <c r="Q198" s="29">
        <f>IF(基础状态预期!W210="",0,MIN(求节点($C$16:$C$24,F$16:F$24,基础状态预期!M210),求节点($C$28:$C$48,F$28:F$48,基础状态预期!W210)))</f>
        <v>0</v>
      </c>
      <c r="R198" s="29">
        <f>IF(基础状态预期!X210="",0,MIN(求节点($C$16:$C$24,G$16:G$24,基础状态预期!N210),求节点($C$28:$C$48,G$28:G$48,基础状态预期!X210)))</f>
        <v>0</v>
      </c>
      <c r="S198" s="29">
        <f>IF(基础状态预期!Y210="",0,MIN(求节点($C$16:$C$24,H$16:H$24,基础状态预期!O210),求节点($C$28:$C$48,H$28:H$48,基础状态预期!Y210)))</f>
        <v>0.28595217775918075</v>
      </c>
      <c r="T198" s="29">
        <f>MAX(SUMPRODUCT(O198:S198,基础状态预期!$F210:$J210)/SUM(基础状态预期!$F210:$J210),T197)</f>
        <v>0.28595217775918075</v>
      </c>
      <c r="AE198" s="29">
        <v>140</v>
      </c>
      <c r="AF198" s="29"/>
      <c r="AG198" s="29">
        <f t="shared" si="50"/>
        <v>0.45</v>
      </c>
      <c r="AH198" s="29"/>
      <c r="AI198" s="29">
        <f>(AG198-AG197)*INDEX([2]超r将兵属性验证!$AX$7:$AX$166,$AE198,1)+AI197</f>
        <v>19590881695.501144</v>
      </c>
      <c r="AJ198" s="14">
        <f t="shared" si="53"/>
        <v>19590881695.501144</v>
      </c>
      <c r="AO198" s="29">
        <f t="shared" si="51"/>
        <v>77.234275947206214</v>
      </c>
      <c r="AP198" s="14">
        <f>MAX(求节点($C$74:$C$79,D$74:D$79,求节点($C$4:$C$12,D$4:D$12,基础状态预期!K210)),AP197)</f>
        <v>0</v>
      </c>
      <c r="AQ198" s="14">
        <f>MAX(求节点($C$74:$C$79,E$74:E$79,求节点($C$4:$C$12,E$4:E$12,基础状态预期!L210)),AQ197)</f>
        <v>0</v>
      </c>
      <c r="AR198" s="14">
        <f>MAX(求节点($C$74:$C$79,F$74:F$79,求节点($C$4:$C$12,F$4:F$12,基础状态预期!M210)),AR197)</f>
        <v>0</v>
      </c>
      <c r="AS198" s="14">
        <f>MAX(求节点($C$74:$C$79,G$74:G$79,求节点($C$4:$C$12,G$4:G$12,基础状态预期!N210)),AS197)</f>
        <v>1</v>
      </c>
      <c r="AT198" s="14">
        <f>MAX(求节点($C$74:$C$79,H$74:H$79,求节点($C$4:$C$12,H$4:H$12,基础状态预期!O210)),AT197)</f>
        <v>2</v>
      </c>
      <c r="AU198" s="14">
        <f>MAX(求节点($C$81:$C$86,D$81:D$86,求节点($C$4:$C$12,D$4:D$12,基础状态预期!K210)),AU197)</f>
        <v>0</v>
      </c>
      <c r="AV198" s="14">
        <f>MAX(求节点($C$81:$C$86,E$81:E$86,求节点($C$4:$C$12,E$4:E$12,基础状态预期!L210)),AV197)</f>
        <v>0</v>
      </c>
      <c r="AW198" s="14">
        <f>MAX(求节点($C$81:$C$86,F$81:F$86,求节点($C$4:$C$12,F$4:F$12,基础状态预期!M210)),AW197)</f>
        <v>0</v>
      </c>
      <c r="AX198" s="14">
        <f>MAX(求节点($C$81:$C$86,G$81:G$86,求节点($C$4:$C$12,G$4:G$12,基础状态预期!N210)),AX197)</f>
        <v>2</v>
      </c>
      <c r="AY198" s="14">
        <f>MAX(求节点($C$81:$C$86,H$81:H$86,求节点($C$4:$C$12,H$4:H$12,基础状态预期!O210)),AY197)</f>
        <v>4</v>
      </c>
      <c r="AZ198" s="14">
        <f>MAX(求节点($C$88:$C$93,D$88:D$93,求节点($C$4:$C$12,D$4:D$12,基础状态预期!K210)),AZ197)</f>
        <v>0</v>
      </c>
      <c r="BA198" s="14">
        <f>MAX(求节点($C$88:$C$93,E$88:E$93,求节点($C$4:$C$12,E$4:E$12,基础状态预期!L210)),BA197)</f>
        <v>0</v>
      </c>
      <c r="BB198" s="14">
        <f>MAX(求节点($C$88:$C$93,F$88:F$93,求节点($C$4:$C$12,F$4:F$12,基础状态预期!M210)),BB197)</f>
        <v>0</v>
      </c>
      <c r="BC198" s="14">
        <f>MAX(求节点($C$88:$C$93,G$88:G$93,求节点($C$4:$C$12,G$4:G$12,基础状态预期!N210)),BC197)</f>
        <v>6</v>
      </c>
      <c r="BD198" s="14">
        <f>MAX(求节点($C$88:$C$93,H$88:H$93,求节点($C$4:$C$12,H$4:H$12,基础状态预期!O210)),BD197)</f>
        <v>10.835942712743247</v>
      </c>
      <c r="BE198" s="14">
        <f t="shared" si="48"/>
        <v>149687.54170194597</v>
      </c>
      <c r="BH198" s="29">
        <v>140</v>
      </c>
      <c r="BI198" s="29">
        <f t="shared" si="49"/>
        <v>447000</v>
      </c>
      <c r="BJ198" s="29"/>
      <c r="BK198" s="29">
        <f t="shared" si="54"/>
        <v>447000</v>
      </c>
    </row>
    <row r="199" spans="13:63" x14ac:dyDescent="0.15">
      <c r="M199" s="16">
        <v>18</v>
      </c>
      <c r="N199" s="29">
        <f>基础状态预期!D211</f>
        <v>79.725666247801229</v>
      </c>
      <c r="O199" s="29">
        <f>IF(基础状态预期!U211="",0,MIN(求节点($C$16:$C$24,D$16:D$24,基础状态预期!K211),求节点($C$28:$C$48,D$28:D$48,基础状态预期!U211)))</f>
        <v>0</v>
      </c>
      <c r="P199" s="29">
        <f>IF(基础状态预期!V211="",0,MIN(求节点($C$16:$C$24,E$16:E$24,基础状态预期!L211),求节点($C$28:$C$48,E$28:E$48,基础状态预期!V211)))</f>
        <v>0</v>
      </c>
      <c r="Q199" s="29">
        <f>IF(基础状态预期!W211="",0,MIN(求节点($C$16:$C$24,F$16:F$24,基础状态预期!M211),求节点($C$28:$C$48,F$28:F$48,基础状态预期!W211)))</f>
        <v>0</v>
      </c>
      <c r="R199" s="29">
        <f>IF(基础状态预期!X211="",0,MIN(求节点($C$16:$C$24,G$16:G$24,基础状态预期!N211),求节点($C$28:$C$48,G$28:G$48,基础状态预期!X211)))</f>
        <v>0</v>
      </c>
      <c r="S199" s="29">
        <f>IF(基础状态预期!Y211="",0,MIN(求节点($C$16:$C$24,H$16:H$24,基础状态预期!O211),求节点($C$28:$C$48,H$28:H$48,基础状态预期!Y211)))</f>
        <v>0.45</v>
      </c>
      <c r="T199" s="29">
        <f>MAX(SUMPRODUCT(O199:S199,基础状态预期!$F211:$J211)/SUM(基础状态预期!$F211:$J211),T198)</f>
        <v>0.45</v>
      </c>
      <c r="AE199" s="29">
        <v>150</v>
      </c>
      <c r="AF199" s="29"/>
      <c r="AG199" s="29">
        <f t="shared" si="50"/>
        <v>0.45</v>
      </c>
      <c r="AH199" s="29"/>
      <c r="AI199" s="29">
        <f>(AG199-AG198)*INDEX([2]超r将兵属性验证!$AX$7:$AX$166,$AE199,1)+AI198</f>
        <v>19590881695.501144</v>
      </c>
      <c r="AJ199" s="14">
        <f t="shared" si="53"/>
        <v>19590881695.501144</v>
      </c>
      <c r="AO199" s="29">
        <f t="shared" si="51"/>
        <v>79.725666247801229</v>
      </c>
      <c r="AP199" s="14">
        <f>MAX(求节点($C$74:$C$79,D$74:D$79,求节点($C$4:$C$12,D$4:D$12,基础状态预期!K211)),AP198)</f>
        <v>0</v>
      </c>
      <c r="AQ199" s="14">
        <f>MAX(求节点($C$74:$C$79,E$74:E$79,求节点($C$4:$C$12,E$4:E$12,基础状态预期!L211)),AQ198)</f>
        <v>0</v>
      </c>
      <c r="AR199" s="14">
        <f>MAX(求节点($C$74:$C$79,F$74:F$79,求节点($C$4:$C$12,F$4:F$12,基础状态预期!M211)),AR198)</f>
        <v>0</v>
      </c>
      <c r="AS199" s="14">
        <f>MAX(求节点($C$74:$C$79,G$74:G$79,求节点($C$4:$C$12,G$4:G$12,基础状态预期!N211)),AS198)</f>
        <v>1</v>
      </c>
      <c r="AT199" s="14">
        <f>MAX(求节点($C$74:$C$79,H$74:H$79,求节点($C$4:$C$12,H$4:H$12,基础状态预期!O211)),AT198)</f>
        <v>2</v>
      </c>
      <c r="AU199" s="14">
        <f>MAX(求节点($C$81:$C$86,D$81:D$86,求节点($C$4:$C$12,D$4:D$12,基础状态预期!K211)),AU198)</f>
        <v>0</v>
      </c>
      <c r="AV199" s="14">
        <f>MAX(求节点($C$81:$C$86,E$81:E$86,求节点($C$4:$C$12,E$4:E$12,基础状态预期!L211)),AV198)</f>
        <v>0</v>
      </c>
      <c r="AW199" s="14">
        <f>MAX(求节点($C$81:$C$86,F$81:F$86,求节点($C$4:$C$12,F$4:F$12,基础状态预期!M211)),AW198)</f>
        <v>0</v>
      </c>
      <c r="AX199" s="14">
        <f>MAX(求节点($C$81:$C$86,G$81:G$86,求节点($C$4:$C$12,G$4:G$12,基础状态预期!N211)),AX198)</f>
        <v>2</v>
      </c>
      <c r="AY199" s="14">
        <f>MAX(求节点($C$81:$C$86,H$81:H$86,求节点($C$4:$C$12,H$4:H$12,基础状态预期!O211)),AY198)</f>
        <v>4</v>
      </c>
      <c r="AZ199" s="14">
        <f>MAX(求节点($C$88:$C$93,D$88:D$93,求节点($C$4:$C$12,D$4:D$12,基础状态预期!K211)),AZ198)</f>
        <v>0</v>
      </c>
      <c r="BA199" s="14">
        <f>MAX(求节点($C$88:$C$93,E$88:E$93,求节点($C$4:$C$12,E$4:E$12,基础状态预期!L211)),BA198)</f>
        <v>0</v>
      </c>
      <c r="BB199" s="14">
        <f>MAX(求节点($C$88:$C$93,F$88:F$93,求节点($C$4:$C$12,F$4:F$12,基础状态预期!M211)),BB198)</f>
        <v>0</v>
      </c>
      <c r="BC199" s="14">
        <f>MAX(求节点($C$88:$C$93,G$88:G$93,求节点($C$4:$C$12,G$4:G$12,基础状态预期!N211)),BC198)</f>
        <v>6</v>
      </c>
      <c r="BD199" s="14">
        <f>MAX(求节点($C$88:$C$93,H$88:H$93,求节点($C$4:$C$12,H$4:H$12,基础状态预期!O211)),BD198)</f>
        <v>48</v>
      </c>
      <c r="BE199" s="14">
        <f t="shared" si="48"/>
        <v>447000</v>
      </c>
      <c r="BH199" s="29">
        <v>150</v>
      </c>
      <c r="BI199" s="29">
        <f t="shared" si="49"/>
        <v>447000</v>
      </c>
      <c r="BJ199" s="29"/>
      <c r="BK199" s="29">
        <f t="shared" si="54"/>
        <v>447000</v>
      </c>
    </row>
    <row r="200" spans="13:63" x14ac:dyDescent="0.15">
      <c r="M200" s="16">
        <v>19</v>
      </c>
      <c r="N200" s="29">
        <f>基础状态预期!D212</f>
        <v>81.863982387630472</v>
      </c>
      <c r="O200" s="29">
        <f>IF(基础状态预期!U212="",0,MIN(求节点($C$16:$C$24,D$16:D$24,基础状态预期!K212),求节点($C$28:$C$48,D$28:D$48,基础状态预期!U212)))</f>
        <v>0</v>
      </c>
      <c r="P200" s="29">
        <f>IF(基础状态预期!V212="",0,MIN(求节点($C$16:$C$24,E$16:E$24,基础状态预期!L212),求节点($C$28:$C$48,E$28:E$48,基础状态预期!V212)))</f>
        <v>0</v>
      </c>
      <c r="Q200" s="29">
        <f>IF(基础状态预期!W212="",0,MIN(求节点($C$16:$C$24,F$16:F$24,基础状态预期!M212),求节点($C$28:$C$48,F$28:F$48,基础状态预期!W212)))</f>
        <v>0</v>
      </c>
      <c r="R200" s="29">
        <f>IF(基础状态预期!X212="",0,MIN(求节点($C$16:$C$24,G$16:G$24,基础状态预期!N212),求节点($C$28:$C$48,G$28:G$48,基础状态预期!X212)))</f>
        <v>0</v>
      </c>
      <c r="S200" s="29">
        <f>IF(基础状态预期!Y212="",0,MIN(求节点($C$16:$C$24,H$16:H$24,基础状态预期!O212),求节点($C$28:$C$48,H$28:H$48,基础状态预期!Y212)))</f>
        <v>0.45</v>
      </c>
      <c r="T200" s="29">
        <f>MAX(SUMPRODUCT(O200:S200,基础状态预期!$F212:$J212)/SUM(基础状态预期!$F212:$J212),T199)</f>
        <v>0.45</v>
      </c>
      <c r="AE200" s="29">
        <v>160</v>
      </c>
      <c r="AF200" s="29"/>
      <c r="AG200" s="29">
        <f t="shared" si="50"/>
        <v>0.45</v>
      </c>
      <c r="AH200" s="29"/>
      <c r="AI200" s="29">
        <f>(AG200-AG199)*INDEX([2]超r将兵属性验证!$AX$7:$AX$166,$AE200,1)+AI199</f>
        <v>19590881695.501144</v>
      </c>
      <c r="AJ200" s="14">
        <f t="shared" si="53"/>
        <v>19590881695.501144</v>
      </c>
      <c r="AO200" s="29">
        <f t="shared" si="51"/>
        <v>81.863982387630472</v>
      </c>
      <c r="AP200" s="14">
        <f>MAX(求节点($C$74:$C$79,D$74:D$79,求节点($C$4:$C$12,D$4:D$12,基础状态预期!K212)),AP199)</f>
        <v>0</v>
      </c>
      <c r="AQ200" s="14">
        <f>MAX(求节点($C$74:$C$79,E$74:E$79,求节点($C$4:$C$12,E$4:E$12,基础状态预期!L212)),AQ199)</f>
        <v>0</v>
      </c>
      <c r="AR200" s="14">
        <f>MAX(求节点($C$74:$C$79,F$74:F$79,求节点($C$4:$C$12,F$4:F$12,基础状态预期!M212)),AR199)</f>
        <v>0</v>
      </c>
      <c r="AS200" s="14">
        <f>MAX(求节点($C$74:$C$79,G$74:G$79,求节点($C$4:$C$12,G$4:G$12,基础状态预期!N212)),AS199)</f>
        <v>1</v>
      </c>
      <c r="AT200" s="14">
        <f>MAX(求节点($C$74:$C$79,H$74:H$79,求节点($C$4:$C$12,H$4:H$12,基础状态预期!O212)),AT199)</f>
        <v>2</v>
      </c>
      <c r="AU200" s="14">
        <f>MAX(求节点($C$81:$C$86,D$81:D$86,求节点($C$4:$C$12,D$4:D$12,基础状态预期!K212)),AU199)</f>
        <v>0</v>
      </c>
      <c r="AV200" s="14">
        <f>MAX(求节点($C$81:$C$86,E$81:E$86,求节点($C$4:$C$12,E$4:E$12,基础状态预期!L212)),AV199)</f>
        <v>0</v>
      </c>
      <c r="AW200" s="14">
        <f>MAX(求节点($C$81:$C$86,F$81:F$86,求节点($C$4:$C$12,F$4:F$12,基础状态预期!M212)),AW199)</f>
        <v>0</v>
      </c>
      <c r="AX200" s="14">
        <f>MAX(求节点($C$81:$C$86,G$81:G$86,求节点($C$4:$C$12,G$4:G$12,基础状态预期!N212)),AX199)</f>
        <v>2</v>
      </c>
      <c r="AY200" s="14">
        <f>MAX(求节点($C$81:$C$86,H$81:H$86,求节点($C$4:$C$12,H$4:H$12,基础状态预期!O212)),AY199)</f>
        <v>4</v>
      </c>
      <c r="AZ200" s="14">
        <f>MAX(求节点($C$88:$C$93,D$88:D$93,求节点($C$4:$C$12,D$4:D$12,基础状态预期!K212)),AZ199)</f>
        <v>0</v>
      </c>
      <c r="BA200" s="14">
        <f>MAX(求节点($C$88:$C$93,E$88:E$93,求节点($C$4:$C$12,E$4:E$12,基础状态预期!L212)),BA199)</f>
        <v>0</v>
      </c>
      <c r="BB200" s="14">
        <f>MAX(求节点($C$88:$C$93,F$88:F$93,求节点($C$4:$C$12,F$4:F$12,基础状态预期!M212)),BB199)</f>
        <v>0</v>
      </c>
      <c r="BC200" s="14">
        <f>MAX(求节点($C$88:$C$93,G$88:G$93,求节点($C$4:$C$12,G$4:G$12,基础状态预期!N212)),BC199)</f>
        <v>6</v>
      </c>
      <c r="BD200" s="14">
        <f>MAX(求节点($C$88:$C$93,H$88:H$93,求节点($C$4:$C$12,H$4:H$12,基础状态预期!O212)),BD199)</f>
        <v>48</v>
      </c>
      <c r="BE200" s="14">
        <f t="shared" si="48"/>
        <v>447000</v>
      </c>
      <c r="BH200" s="29">
        <v>160</v>
      </c>
      <c r="BI200" s="29">
        <f t="shared" si="49"/>
        <v>447000</v>
      </c>
      <c r="BJ200" s="29"/>
      <c r="BK200" s="29">
        <f t="shared" si="54"/>
        <v>447000</v>
      </c>
    </row>
    <row r="201" spans="13:63" x14ac:dyDescent="0.15">
      <c r="M201" s="16">
        <v>20</v>
      </c>
      <c r="N201" s="29">
        <f>基础状态预期!D213</f>
        <v>83.667042947574714</v>
      </c>
      <c r="O201" s="29">
        <f>IF(基础状态预期!U213="",0,MIN(求节点($C$16:$C$24,D$16:D$24,基础状态预期!K213),求节点($C$28:$C$48,D$28:D$48,基础状态预期!U213)))</f>
        <v>0</v>
      </c>
      <c r="P201" s="29">
        <f>IF(基础状态预期!V213="",0,MIN(求节点($C$16:$C$24,E$16:E$24,基础状态预期!L213),求节点($C$28:$C$48,E$28:E$48,基础状态预期!V213)))</f>
        <v>0</v>
      </c>
      <c r="Q201" s="29">
        <f>IF(基础状态预期!W213="",0,MIN(求节点($C$16:$C$24,F$16:F$24,基础状态预期!M213),求节点($C$28:$C$48,F$28:F$48,基础状态预期!W213)))</f>
        <v>0</v>
      </c>
      <c r="R201" s="29">
        <f>IF(基础状态预期!X213="",0,MIN(求节点($C$16:$C$24,G$16:G$24,基础状态预期!N213),求节点($C$28:$C$48,G$28:G$48,基础状态预期!X213)))</f>
        <v>0</v>
      </c>
      <c r="S201" s="29">
        <f>IF(基础状态预期!Y213="",0,MIN(求节点($C$16:$C$24,H$16:H$24,基础状态预期!O213),求节点($C$28:$C$48,H$28:H$48,基础状态预期!Y213)))</f>
        <v>0.45</v>
      </c>
      <c r="T201" s="29">
        <f>MAX(SUMPRODUCT(O201:S201,基础状态预期!$F213:$J213)/SUM(基础状态预期!$F213:$J213),T200)</f>
        <v>0.45</v>
      </c>
      <c r="AO201" s="29">
        <f t="shared" si="51"/>
        <v>83.667042947574714</v>
      </c>
      <c r="AP201" s="14">
        <f>MAX(求节点($C$74:$C$79,D$74:D$79,求节点($C$4:$C$12,D$4:D$12,基础状态预期!K213)),AP200)</f>
        <v>0</v>
      </c>
      <c r="AQ201" s="14">
        <f>MAX(求节点($C$74:$C$79,E$74:E$79,求节点($C$4:$C$12,E$4:E$12,基础状态预期!L213)),AQ200)</f>
        <v>0</v>
      </c>
      <c r="AR201" s="14">
        <f>MAX(求节点($C$74:$C$79,F$74:F$79,求节点($C$4:$C$12,F$4:F$12,基础状态预期!M213)),AR200)</f>
        <v>0</v>
      </c>
      <c r="AS201" s="14">
        <f>MAX(求节点($C$74:$C$79,G$74:G$79,求节点($C$4:$C$12,G$4:G$12,基础状态预期!N213)),AS200)</f>
        <v>1</v>
      </c>
      <c r="AT201" s="14">
        <f>MAX(求节点($C$74:$C$79,H$74:H$79,求节点($C$4:$C$12,H$4:H$12,基础状态预期!O213)),AT200)</f>
        <v>2</v>
      </c>
      <c r="AU201" s="14">
        <f>MAX(求节点($C$81:$C$86,D$81:D$86,求节点($C$4:$C$12,D$4:D$12,基础状态预期!K213)),AU200)</f>
        <v>0</v>
      </c>
      <c r="AV201" s="14">
        <f>MAX(求节点($C$81:$C$86,E$81:E$86,求节点($C$4:$C$12,E$4:E$12,基础状态预期!L213)),AV200)</f>
        <v>0</v>
      </c>
      <c r="AW201" s="14">
        <f>MAX(求节点($C$81:$C$86,F$81:F$86,求节点($C$4:$C$12,F$4:F$12,基础状态预期!M213)),AW200)</f>
        <v>0</v>
      </c>
      <c r="AX201" s="14">
        <f>MAX(求节点($C$81:$C$86,G$81:G$86,求节点($C$4:$C$12,G$4:G$12,基础状态预期!N213)),AX200)</f>
        <v>2</v>
      </c>
      <c r="AY201" s="14">
        <f>MAX(求节点($C$81:$C$86,H$81:H$86,求节点($C$4:$C$12,H$4:H$12,基础状态预期!O213)),AY200)</f>
        <v>4</v>
      </c>
      <c r="AZ201" s="14">
        <f>MAX(求节点($C$88:$C$93,D$88:D$93,求节点($C$4:$C$12,D$4:D$12,基础状态预期!K213)),AZ200)</f>
        <v>0</v>
      </c>
      <c r="BA201" s="14">
        <f>MAX(求节点($C$88:$C$93,E$88:E$93,求节点($C$4:$C$12,E$4:E$12,基础状态预期!L213)),BA200)</f>
        <v>0</v>
      </c>
      <c r="BB201" s="14">
        <f>MAX(求节点($C$88:$C$93,F$88:F$93,求节点($C$4:$C$12,F$4:F$12,基础状态预期!M213)),BB200)</f>
        <v>0</v>
      </c>
      <c r="BC201" s="14">
        <f>MAX(求节点($C$88:$C$93,G$88:G$93,求节点($C$4:$C$12,G$4:G$12,基础状态预期!N213)),BC200)</f>
        <v>6</v>
      </c>
      <c r="BD201" s="14">
        <f>MAX(求节点($C$88:$C$93,H$88:H$93,求节点($C$4:$C$12,H$4:H$12,基础状态预期!O213)),BD200)</f>
        <v>48</v>
      </c>
      <c r="BE201" s="14">
        <f t="shared" si="48"/>
        <v>447000</v>
      </c>
    </row>
    <row r="202" spans="13:63" x14ac:dyDescent="0.15">
      <c r="M202" s="16">
        <v>21</v>
      </c>
      <c r="N202" s="29">
        <f>基础状态预期!D214</f>
        <v>86.154780808490059</v>
      </c>
      <c r="O202" s="29">
        <f>IF(基础状态预期!U214="",0,MIN(求节点($C$16:$C$24,D$16:D$24,基础状态预期!K214),求节点($C$28:$C$48,D$28:D$48,基础状态预期!U214)))</f>
        <v>0</v>
      </c>
      <c r="P202" s="29">
        <f>IF(基础状态预期!V214="",0,MIN(求节点($C$16:$C$24,E$16:E$24,基础状态预期!L214),求节点($C$28:$C$48,E$28:E$48,基础状态预期!V214)))</f>
        <v>0</v>
      </c>
      <c r="Q202" s="29">
        <f>IF(基础状态预期!W214="",0,MIN(求节点($C$16:$C$24,F$16:F$24,基础状态预期!M214),求节点($C$28:$C$48,F$28:F$48,基础状态预期!W214)))</f>
        <v>0</v>
      </c>
      <c r="R202" s="29">
        <f>IF(基础状态预期!X214="",0,MIN(求节点($C$16:$C$24,G$16:G$24,基础状态预期!N214),求节点($C$28:$C$48,G$28:G$48,基础状态预期!X214)))</f>
        <v>0</v>
      </c>
      <c r="S202" s="29">
        <f>IF(基础状态预期!Y214="",0,MIN(求节点($C$16:$C$24,H$16:H$24,基础状态预期!O214),求节点($C$28:$C$48,H$28:H$48,基础状态预期!Y214)))</f>
        <v>0.45</v>
      </c>
      <c r="T202" s="29">
        <f>MAX(SUMPRODUCT(O202:S202,基础状态预期!$F214:$J214)/SUM(基础状态预期!$F214:$J214),T201)</f>
        <v>0.45</v>
      </c>
      <c r="AO202" s="29">
        <f t="shared" si="51"/>
        <v>86.154780808490059</v>
      </c>
      <c r="AP202" s="14">
        <f>MAX(求节点($C$74:$C$79,D$74:D$79,求节点($C$4:$C$12,D$4:D$12,基础状态预期!K214)),AP201)</f>
        <v>0</v>
      </c>
      <c r="AQ202" s="14">
        <f>MAX(求节点($C$74:$C$79,E$74:E$79,求节点($C$4:$C$12,E$4:E$12,基础状态预期!L214)),AQ201)</f>
        <v>0</v>
      </c>
      <c r="AR202" s="14">
        <f>MAX(求节点($C$74:$C$79,F$74:F$79,求节点($C$4:$C$12,F$4:F$12,基础状态预期!M214)),AR201)</f>
        <v>0</v>
      </c>
      <c r="AS202" s="14">
        <f>MAX(求节点($C$74:$C$79,G$74:G$79,求节点($C$4:$C$12,G$4:G$12,基础状态预期!N214)),AS201)</f>
        <v>1</v>
      </c>
      <c r="AT202" s="14">
        <f>MAX(求节点($C$74:$C$79,H$74:H$79,求节点($C$4:$C$12,H$4:H$12,基础状态预期!O214)),AT201)</f>
        <v>2</v>
      </c>
      <c r="AU202" s="14">
        <f>MAX(求节点($C$81:$C$86,D$81:D$86,求节点($C$4:$C$12,D$4:D$12,基础状态预期!K214)),AU201)</f>
        <v>0</v>
      </c>
      <c r="AV202" s="14">
        <f>MAX(求节点($C$81:$C$86,E$81:E$86,求节点($C$4:$C$12,E$4:E$12,基础状态预期!L214)),AV201)</f>
        <v>0</v>
      </c>
      <c r="AW202" s="14">
        <f>MAX(求节点($C$81:$C$86,F$81:F$86,求节点($C$4:$C$12,F$4:F$12,基础状态预期!M214)),AW201)</f>
        <v>0</v>
      </c>
      <c r="AX202" s="14">
        <f>MAX(求节点($C$81:$C$86,G$81:G$86,求节点($C$4:$C$12,G$4:G$12,基础状态预期!N214)),AX201)</f>
        <v>2</v>
      </c>
      <c r="AY202" s="14">
        <f>MAX(求节点($C$81:$C$86,H$81:H$86,求节点($C$4:$C$12,H$4:H$12,基础状态预期!O214)),AY201)</f>
        <v>4</v>
      </c>
      <c r="AZ202" s="14">
        <f>MAX(求节点($C$88:$C$93,D$88:D$93,求节点($C$4:$C$12,D$4:D$12,基础状态预期!K214)),AZ201)</f>
        <v>0</v>
      </c>
      <c r="BA202" s="14">
        <f>MAX(求节点($C$88:$C$93,E$88:E$93,求节点($C$4:$C$12,E$4:E$12,基础状态预期!L214)),BA201)</f>
        <v>0</v>
      </c>
      <c r="BB202" s="14">
        <f>MAX(求节点($C$88:$C$93,F$88:F$93,求节点($C$4:$C$12,F$4:F$12,基础状态预期!M214)),BB201)</f>
        <v>0</v>
      </c>
      <c r="BC202" s="14">
        <f>MAX(求节点($C$88:$C$93,G$88:G$93,求节点($C$4:$C$12,G$4:G$12,基础状态预期!N214)),BC201)</f>
        <v>6</v>
      </c>
      <c r="BD202" s="14">
        <f>MAX(求节点($C$88:$C$93,H$88:H$93,求节点($C$4:$C$12,H$4:H$12,基础状态预期!O214)),BD201)</f>
        <v>48</v>
      </c>
      <c r="BE202" s="14">
        <f t="shared" si="48"/>
        <v>447000</v>
      </c>
    </row>
    <row r="203" spans="13:63" x14ac:dyDescent="0.15">
      <c r="M203" s="16">
        <v>22</v>
      </c>
      <c r="N203" s="29">
        <f>基础状态预期!D215</f>
        <v>90.480184629206022</v>
      </c>
      <c r="O203" s="29">
        <f>IF(基础状态预期!U215="",0,MIN(求节点($C$16:$C$24,D$16:D$24,基础状态预期!K215),求节点($C$28:$C$48,D$28:D$48,基础状态预期!U215)))</f>
        <v>0</v>
      </c>
      <c r="P203" s="29">
        <f>IF(基础状态预期!V215="",0,MIN(求节点($C$16:$C$24,E$16:E$24,基础状态预期!L215),求节点($C$28:$C$48,E$28:E$48,基础状态预期!V215)))</f>
        <v>0</v>
      </c>
      <c r="Q203" s="29">
        <f>IF(基础状态预期!W215="",0,MIN(求节点($C$16:$C$24,F$16:F$24,基础状态预期!M215),求节点($C$28:$C$48,F$28:F$48,基础状态预期!W215)))</f>
        <v>0</v>
      </c>
      <c r="R203" s="29">
        <f>IF(基础状态预期!X215="",0,MIN(求节点($C$16:$C$24,G$16:G$24,基础状态预期!N215),求节点($C$28:$C$48,G$28:G$48,基础状态预期!X215)))</f>
        <v>0</v>
      </c>
      <c r="S203" s="29">
        <f>IF(基础状态预期!Y215="",0,MIN(求节点($C$16:$C$24,H$16:H$24,基础状态预期!O215),求节点($C$28:$C$48,H$28:H$48,基础状态预期!Y215)))</f>
        <v>0.45</v>
      </c>
      <c r="T203" s="29">
        <f>MAX(SUMPRODUCT(O203:S203,基础状态预期!$F215:$J215)/SUM(基础状态预期!$F215:$J215),T202)</f>
        <v>0.45</v>
      </c>
      <c r="AO203" s="29">
        <f t="shared" si="51"/>
        <v>90.480184629206022</v>
      </c>
      <c r="AP203" s="14">
        <f>MAX(求节点($C$74:$C$79,D$74:D$79,求节点($C$4:$C$12,D$4:D$12,基础状态预期!K215)),AP202)</f>
        <v>0</v>
      </c>
      <c r="AQ203" s="14">
        <f>MAX(求节点($C$74:$C$79,E$74:E$79,求节点($C$4:$C$12,E$4:E$12,基础状态预期!L215)),AQ202)</f>
        <v>0</v>
      </c>
      <c r="AR203" s="14">
        <f>MAX(求节点($C$74:$C$79,F$74:F$79,求节点($C$4:$C$12,F$4:F$12,基础状态预期!M215)),AR202)</f>
        <v>0</v>
      </c>
      <c r="AS203" s="14">
        <f>MAX(求节点($C$74:$C$79,G$74:G$79,求节点($C$4:$C$12,G$4:G$12,基础状态预期!N215)),AS202)</f>
        <v>1</v>
      </c>
      <c r="AT203" s="14">
        <f>MAX(求节点($C$74:$C$79,H$74:H$79,求节点($C$4:$C$12,H$4:H$12,基础状态预期!O215)),AT202)</f>
        <v>2</v>
      </c>
      <c r="AU203" s="14">
        <f>MAX(求节点($C$81:$C$86,D$81:D$86,求节点($C$4:$C$12,D$4:D$12,基础状态预期!K215)),AU202)</f>
        <v>0</v>
      </c>
      <c r="AV203" s="14">
        <f>MAX(求节点($C$81:$C$86,E$81:E$86,求节点($C$4:$C$12,E$4:E$12,基础状态预期!L215)),AV202)</f>
        <v>0</v>
      </c>
      <c r="AW203" s="14">
        <f>MAX(求节点($C$81:$C$86,F$81:F$86,求节点($C$4:$C$12,F$4:F$12,基础状态预期!M215)),AW202)</f>
        <v>0</v>
      </c>
      <c r="AX203" s="14">
        <f>MAX(求节点($C$81:$C$86,G$81:G$86,求节点($C$4:$C$12,G$4:G$12,基础状态预期!N215)),AX202)</f>
        <v>2</v>
      </c>
      <c r="AY203" s="14">
        <f>MAX(求节点($C$81:$C$86,H$81:H$86,求节点($C$4:$C$12,H$4:H$12,基础状态预期!O215)),AY202)</f>
        <v>4</v>
      </c>
      <c r="AZ203" s="14">
        <f>MAX(求节点($C$88:$C$93,D$88:D$93,求节点($C$4:$C$12,D$4:D$12,基础状态预期!K215)),AZ202)</f>
        <v>0</v>
      </c>
      <c r="BA203" s="14">
        <f>MAX(求节点($C$88:$C$93,E$88:E$93,求节点($C$4:$C$12,E$4:E$12,基础状态预期!L215)),BA202)</f>
        <v>0</v>
      </c>
      <c r="BB203" s="14">
        <f>MAX(求节点($C$88:$C$93,F$88:F$93,求节点($C$4:$C$12,F$4:F$12,基础状态预期!M215)),BB202)</f>
        <v>0</v>
      </c>
      <c r="BC203" s="14">
        <f>MAX(求节点($C$88:$C$93,G$88:G$93,求节点($C$4:$C$12,G$4:G$12,基础状态预期!N215)),BC202)</f>
        <v>6</v>
      </c>
      <c r="BD203" s="14">
        <f>MAX(求节点($C$88:$C$93,H$88:H$93,求节点($C$4:$C$12,H$4:H$12,基础状态预期!O215)),BD202)</f>
        <v>48</v>
      </c>
      <c r="BE203" s="14">
        <f t="shared" si="48"/>
        <v>447000</v>
      </c>
    </row>
    <row r="204" spans="13:63" x14ac:dyDescent="0.15">
      <c r="M204" s="16">
        <v>23</v>
      </c>
      <c r="N204" s="29">
        <f>基础状态预期!D216</f>
        <v>93.6774218048877</v>
      </c>
      <c r="O204" s="29">
        <f>IF(基础状态预期!U216="",0,MIN(求节点($C$16:$C$24,D$16:D$24,基础状态预期!K216),求节点($C$28:$C$48,D$28:D$48,基础状态预期!U216)))</f>
        <v>0</v>
      </c>
      <c r="P204" s="29">
        <f>IF(基础状态预期!V216="",0,MIN(求节点($C$16:$C$24,E$16:E$24,基础状态预期!L216),求节点($C$28:$C$48,E$28:E$48,基础状态预期!V216)))</f>
        <v>0</v>
      </c>
      <c r="Q204" s="29">
        <f>IF(基础状态预期!W216="",0,MIN(求节点($C$16:$C$24,F$16:F$24,基础状态预期!M216),求节点($C$28:$C$48,F$28:F$48,基础状态预期!W216)))</f>
        <v>0</v>
      </c>
      <c r="R204" s="29">
        <f>IF(基础状态预期!X216="",0,MIN(求节点($C$16:$C$24,G$16:G$24,基础状态预期!N216),求节点($C$28:$C$48,G$28:G$48,基础状态预期!X216)))</f>
        <v>0</v>
      </c>
      <c r="S204" s="29">
        <f>IF(基础状态预期!Y216="",0,MIN(求节点($C$16:$C$24,H$16:H$24,基础状态预期!O216),求节点($C$28:$C$48,H$28:H$48,基础状态预期!Y216)))</f>
        <v>0.45</v>
      </c>
      <c r="T204" s="29">
        <f>MAX(SUMPRODUCT(O204:S204,基础状态预期!$F216:$J216)/SUM(基础状态预期!$F216:$J216),T203)</f>
        <v>0.45</v>
      </c>
      <c r="AO204" s="29">
        <f t="shared" si="51"/>
        <v>93.6774218048877</v>
      </c>
      <c r="AP204" s="14">
        <f>MAX(求节点($C$74:$C$79,D$74:D$79,求节点($C$4:$C$12,D$4:D$12,基础状态预期!K216)),AP203)</f>
        <v>0</v>
      </c>
      <c r="AQ204" s="14">
        <f>MAX(求节点($C$74:$C$79,E$74:E$79,求节点($C$4:$C$12,E$4:E$12,基础状态预期!L216)),AQ203)</f>
        <v>0</v>
      </c>
      <c r="AR204" s="14">
        <f>MAX(求节点($C$74:$C$79,F$74:F$79,求节点($C$4:$C$12,F$4:F$12,基础状态预期!M216)),AR203)</f>
        <v>0</v>
      </c>
      <c r="AS204" s="14">
        <f>MAX(求节点($C$74:$C$79,G$74:G$79,求节点($C$4:$C$12,G$4:G$12,基础状态预期!N216)),AS203)</f>
        <v>1</v>
      </c>
      <c r="AT204" s="14">
        <f>MAX(求节点($C$74:$C$79,H$74:H$79,求节点($C$4:$C$12,H$4:H$12,基础状态预期!O216)),AT203)</f>
        <v>2</v>
      </c>
      <c r="AU204" s="14">
        <f>MAX(求节点($C$81:$C$86,D$81:D$86,求节点($C$4:$C$12,D$4:D$12,基础状态预期!K216)),AU203)</f>
        <v>0</v>
      </c>
      <c r="AV204" s="14">
        <f>MAX(求节点($C$81:$C$86,E$81:E$86,求节点($C$4:$C$12,E$4:E$12,基础状态预期!L216)),AV203)</f>
        <v>0</v>
      </c>
      <c r="AW204" s="14">
        <f>MAX(求节点($C$81:$C$86,F$81:F$86,求节点($C$4:$C$12,F$4:F$12,基础状态预期!M216)),AW203)</f>
        <v>0</v>
      </c>
      <c r="AX204" s="14">
        <f>MAX(求节点($C$81:$C$86,G$81:G$86,求节点($C$4:$C$12,G$4:G$12,基础状态预期!N216)),AX203)</f>
        <v>2</v>
      </c>
      <c r="AY204" s="14">
        <f>MAX(求节点($C$81:$C$86,H$81:H$86,求节点($C$4:$C$12,H$4:H$12,基础状态预期!O216)),AY203)</f>
        <v>4</v>
      </c>
      <c r="AZ204" s="14">
        <f>MAX(求节点($C$88:$C$93,D$88:D$93,求节点($C$4:$C$12,D$4:D$12,基础状态预期!K216)),AZ203)</f>
        <v>0</v>
      </c>
      <c r="BA204" s="14">
        <f>MAX(求节点($C$88:$C$93,E$88:E$93,求节点($C$4:$C$12,E$4:E$12,基础状态预期!L216)),BA203)</f>
        <v>0</v>
      </c>
      <c r="BB204" s="14">
        <f>MAX(求节点($C$88:$C$93,F$88:F$93,求节点($C$4:$C$12,F$4:F$12,基础状态预期!M216)),BB203)</f>
        <v>0</v>
      </c>
      <c r="BC204" s="14">
        <f>MAX(求节点($C$88:$C$93,G$88:G$93,求节点($C$4:$C$12,G$4:G$12,基础状态预期!N216)),BC203)</f>
        <v>6</v>
      </c>
      <c r="BD204" s="14">
        <f>MAX(求节点($C$88:$C$93,H$88:H$93,求节点($C$4:$C$12,H$4:H$12,基础状态预期!O216)),BD203)</f>
        <v>48</v>
      </c>
      <c r="BE204" s="14">
        <f t="shared" si="48"/>
        <v>447000</v>
      </c>
    </row>
    <row r="205" spans="13:63" x14ac:dyDescent="0.15">
      <c r="M205" s="16">
        <v>24</v>
      </c>
      <c r="N205" s="29">
        <f>基础状态预期!D217</f>
        <v>97.125654465362558</v>
      </c>
      <c r="O205" s="29">
        <f>IF(基础状态预期!U217="",0,MIN(求节点($C$16:$C$24,D$16:D$24,基础状态预期!K217),求节点($C$28:$C$48,D$28:D$48,基础状态预期!U217)))</f>
        <v>0</v>
      </c>
      <c r="P205" s="29">
        <f>IF(基础状态预期!V217="",0,MIN(求节点($C$16:$C$24,E$16:E$24,基础状态预期!L217),求节点($C$28:$C$48,E$28:E$48,基础状态预期!V217)))</f>
        <v>0</v>
      </c>
      <c r="Q205" s="29">
        <f>IF(基础状态预期!W217="",0,MIN(求节点($C$16:$C$24,F$16:F$24,基础状态预期!M217),求节点($C$28:$C$48,F$28:F$48,基础状态预期!W217)))</f>
        <v>0</v>
      </c>
      <c r="R205" s="29">
        <f>IF(基础状态预期!X217="",0,MIN(求节点($C$16:$C$24,G$16:G$24,基础状态预期!N217),求节点($C$28:$C$48,G$28:G$48,基础状态预期!X217)))</f>
        <v>0</v>
      </c>
      <c r="S205" s="29">
        <f>IF(基础状态预期!Y217="",0,MIN(求节点($C$16:$C$24,H$16:H$24,基础状态预期!O217),求节点($C$28:$C$48,H$28:H$48,基础状态预期!Y217)))</f>
        <v>0.45</v>
      </c>
      <c r="T205" s="29">
        <f>MAX(SUMPRODUCT(O205:S205,基础状态预期!$F217:$J217)/SUM(基础状态预期!$F217:$J217),T204)</f>
        <v>0.45</v>
      </c>
      <c r="AO205" s="29">
        <f t="shared" si="51"/>
        <v>97.125654465362558</v>
      </c>
      <c r="AP205" s="14">
        <f>MAX(求节点($C$74:$C$79,D$74:D$79,求节点($C$4:$C$12,D$4:D$12,基础状态预期!K217)),AP204)</f>
        <v>0</v>
      </c>
      <c r="AQ205" s="14">
        <f>MAX(求节点($C$74:$C$79,E$74:E$79,求节点($C$4:$C$12,E$4:E$12,基础状态预期!L217)),AQ204)</f>
        <v>0</v>
      </c>
      <c r="AR205" s="14">
        <f>MAX(求节点($C$74:$C$79,F$74:F$79,求节点($C$4:$C$12,F$4:F$12,基础状态预期!M217)),AR204)</f>
        <v>0</v>
      </c>
      <c r="AS205" s="14">
        <f>MAX(求节点($C$74:$C$79,G$74:G$79,求节点($C$4:$C$12,G$4:G$12,基础状态预期!N217)),AS204)</f>
        <v>1</v>
      </c>
      <c r="AT205" s="14">
        <f>MAX(求节点($C$74:$C$79,H$74:H$79,求节点($C$4:$C$12,H$4:H$12,基础状态预期!O217)),AT204)</f>
        <v>2</v>
      </c>
      <c r="AU205" s="14">
        <f>MAX(求节点($C$81:$C$86,D$81:D$86,求节点($C$4:$C$12,D$4:D$12,基础状态预期!K217)),AU204)</f>
        <v>0</v>
      </c>
      <c r="AV205" s="14">
        <f>MAX(求节点($C$81:$C$86,E$81:E$86,求节点($C$4:$C$12,E$4:E$12,基础状态预期!L217)),AV204)</f>
        <v>0</v>
      </c>
      <c r="AW205" s="14">
        <f>MAX(求节点($C$81:$C$86,F$81:F$86,求节点($C$4:$C$12,F$4:F$12,基础状态预期!M217)),AW204)</f>
        <v>0</v>
      </c>
      <c r="AX205" s="14">
        <f>MAX(求节点($C$81:$C$86,G$81:G$86,求节点($C$4:$C$12,G$4:G$12,基础状态预期!N217)),AX204)</f>
        <v>2</v>
      </c>
      <c r="AY205" s="14">
        <f>MAX(求节点($C$81:$C$86,H$81:H$86,求节点($C$4:$C$12,H$4:H$12,基础状态预期!O217)),AY204)</f>
        <v>4</v>
      </c>
      <c r="AZ205" s="14">
        <f>MAX(求节点($C$88:$C$93,D$88:D$93,求节点($C$4:$C$12,D$4:D$12,基础状态预期!K217)),AZ204)</f>
        <v>0</v>
      </c>
      <c r="BA205" s="14">
        <f>MAX(求节点($C$88:$C$93,E$88:E$93,求节点($C$4:$C$12,E$4:E$12,基础状态预期!L217)),BA204)</f>
        <v>0</v>
      </c>
      <c r="BB205" s="14">
        <f>MAX(求节点($C$88:$C$93,F$88:F$93,求节点($C$4:$C$12,F$4:F$12,基础状态预期!M217)),BB204)</f>
        <v>0</v>
      </c>
      <c r="BC205" s="14">
        <f>MAX(求节点($C$88:$C$93,G$88:G$93,求节点($C$4:$C$12,G$4:G$12,基础状态预期!N217)),BC204)</f>
        <v>6</v>
      </c>
      <c r="BD205" s="14">
        <f>MAX(求节点($C$88:$C$93,H$88:H$93,求节点($C$4:$C$12,H$4:H$12,基础状态预期!O217)),BD204)</f>
        <v>48</v>
      </c>
      <c r="BE205" s="14">
        <f t="shared" si="48"/>
        <v>447000</v>
      </c>
    </row>
    <row r="206" spans="13:63" x14ac:dyDescent="0.15">
      <c r="M206" s="16">
        <v>25</v>
      </c>
      <c r="N206" s="29">
        <f>基础状态预期!D218</f>
        <v>100.89689545435591</v>
      </c>
      <c r="O206" s="29">
        <f>IF(基础状态预期!U218="",0,MIN(求节点($C$16:$C$24,D$16:D$24,基础状态预期!K218),求节点($C$28:$C$48,D$28:D$48,基础状态预期!U218)))</f>
        <v>0</v>
      </c>
      <c r="P206" s="29">
        <f>IF(基础状态预期!V218="",0,MIN(求节点($C$16:$C$24,E$16:E$24,基础状态预期!L218),求节点($C$28:$C$48,E$28:E$48,基础状态预期!V218)))</f>
        <v>0</v>
      </c>
      <c r="Q206" s="29">
        <f>IF(基础状态预期!W218="",0,MIN(求节点($C$16:$C$24,F$16:F$24,基础状态预期!M218),求节点($C$28:$C$48,F$28:F$48,基础状态预期!W218)))</f>
        <v>0</v>
      </c>
      <c r="R206" s="29">
        <f>IF(基础状态预期!X218="",0,MIN(求节点($C$16:$C$24,G$16:G$24,基础状态预期!N218),求节点($C$28:$C$48,G$28:G$48,基础状态预期!X218)))</f>
        <v>0</v>
      </c>
      <c r="S206" s="29">
        <f>IF(基础状态预期!Y218="",0,MIN(求节点($C$16:$C$24,H$16:H$24,基础状态预期!O218),求节点($C$28:$C$48,H$28:H$48,基础状态预期!Y218)))</f>
        <v>0.45</v>
      </c>
      <c r="T206" s="29">
        <f>MAX(SUMPRODUCT(O206:S206,基础状态预期!$F218:$J218)/SUM(基础状态预期!$F218:$J218),T205)</f>
        <v>0.45</v>
      </c>
      <c r="AO206" s="29">
        <f t="shared" si="51"/>
        <v>100.89689545435591</v>
      </c>
      <c r="AP206" s="14">
        <f>MAX(求节点($C$74:$C$79,D$74:D$79,求节点($C$4:$C$12,D$4:D$12,基础状态预期!K218)),AP205)</f>
        <v>0</v>
      </c>
      <c r="AQ206" s="14">
        <f>MAX(求节点($C$74:$C$79,E$74:E$79,求节点($C$4:$C$12,E$4:E$12,基础状态预期!L218)),AQ205)</f>
        <v>0</v>
      </c>
      <c r="AR206" s="14">
        <f>MAX(求节点($C$74:$C$79,F$74:F$79,求节点($C$4:$C$12,F$4:F$12,基础状态预期!M218)),AR205)</f>
        <v>0</v>
      </c>
      <c r="AS206" s="14">
        <f>MAX(求节点($C$74:$C$79,G$74:G$79,求节点($C$4:$C$12,G$4:G$12,基础状态预期!N218)),AS205)</f>
        <v>1</v>
      </c>
      <c r="AT206" s="14">
        <f>MAX(求节点($C$74:$C$79,H$74:H$79,求节点($C$4:$C$12,H$4:H$12,基础状态预期!O218)),AT205)</f>
        <v>2</v>
      </c>
      <c r="AU206" s="14">
        <f>MAX(求节点($C$81:$C$86,D$81:D$86,求节点($C$4:$C$12,D$4:D$12,基础状态预期!K218)),AU205)</f>
        <v>0</v>
      </c>
      <c r="AV206" s="14">
        <f>MAX(求节点($C$81:$C$86,E$81:E$86,求节点($C$4:$C$12,E$4:E$12,基础状态预期!L218)),AV205)</f>
        <v>0</v>
      </c>
      <c r="AW206" s="14">
        <f>MAX(求节点($C$81:$C$86,F$81:F$86,求节点($C$4:$C$12,F$4:F$12,基础状态预期!M218)),AW205)</f>
        <v>0</v>
      </c>
      <c r="AX206" s="14">
        <f>MAX(求节点($C$81:$C$86,G$81:G$86,求节点($C$4:$C$12,G$4:G$12,基础状态预期!N218)),AX205)</f>
        <v>2</v>
      </c>
      <c r="AY206" s="14">
        <f>MAX(求节点($C$81:$C$86,H$81:H$86,求节点($C$4:$C$12,H$4:H$12,基础状态预期!O218)),AY205)</f>
        <v>4</v>
      </c>
      <c r="AZ206" s="14">
        <f>MAX(求节点($C$88:$C$93,D$88:D$93,求节点($C$4:$C$12,D$4:D$12,基础状态预期!K218)),AZ205)</f>
        <v>0</v>
      </c>
      <c r="BA206" s="14">
        <f>MAX(求节点($C$88:$C$93,E$88:E$93,求节点($C$4:$C$12,E$4:E$12,基础状态预期!L218)),BA205)</f>
        <v>0</v>
      </c>
      <c r="BB206" s="14">
        <f>MAX(求节点($C$88:$C$93,F$88:F$93,求节点($C$4:$C$12,F$4:F$12,基础状态预期!M218)),BB205)</f>
        <v>0</v>
      </c>
      <c r="BC206" s="14">
        <f>MAX(求节点($C$88:$C$93,G$88:G$93,求节点($C$4:$C$12,G$4:G$12,基础状态预期!N218)),BC205)</f>
        <v>6</v>
      </c>
      <c r="BD206" s="14">
        <f>MAX(求节点($C$88:$C$93,H$88:H$93,求节点($C$4:$C$12,H$4:H$12,基础状态预期!O218)),BD205)</f>
        <v>48</v>
      </c>
      <c r="BE206" s="14">
        <f t="shared" si="48"/>
        <v>447000</v>
      </c>
    </row>
    <row r="207" spans="13:63" x14ac:dyDescent="0.15">
      <c r="M207" s="16">
        <v>26</v>
      </c>
      <c r="N207" s="29">
        <f>基础状态预期!D219</f>
        <v>104.52148587104635</v>
      </c>
      <c r="O207" s="29">
        <f>IF(基础状态预期!U219="",0,MIN(求节点($C$16:$C$24,D$16:D$24,基础状态预期!K219),求节点($C$28:$C$48,D$28:D$48,基础状态预期!U219)))</f>
        <v>0</v>
      </c>
      <c r="P207" s="29">
        <f>IF(基础状态预期!V219="",0,MIN(求节点($C$16:$C$24,E$16:E$24,基础状态预期!L219),求节点($C$28:$C$48,E$28:E$48,基础状态预期!V219)))</f>
        <v>0</v>
      </c>
      <c r="Q207" s="29">
        <f>IF(基础状态预期!W219="",0,MIN(求节点($C$16:$C$24,F$16:F$24,基础状态预期!M219),求节点($C$28:$C$48,F$28:F$48,基础状态预期!W219)))</f>
        <v>0</v>
      </c>
      <c r="R207" s="29">
        <f>IF(基础状态预期!X219="",0,MIN(求节点($C$16:$C$24,G$16:G$24,基础状态预期!N219),求节点($C$28:$C$48,G$28:G$48,基础状态预期!X219)))</f>
        <v>0</v>
      </c>
      <c r="S207" s="29">
        <f>IF(基础状态预期!Y219="",0,MIN(求节点($C$16:$C$24,H$16:H$24,基础状态预期!O219),求节点($C$28:$C$48,H$28:H$48,基础状态预期!Y219)))</f>
        <v>0.45</v>
      </c>
      <c r="T207" s="29">
        <f>MAX(SUMPRODUCT(O207:S207,基础状态预期!$F219:$J219)/SUM(基础状态预期!$F219:$J219),T206)</f>
        <v>0.45</v>
      </c>
      <c r="AO207" s="29">
        <f t="shared" si="51"/>
        <v>104.52148587104635</v>
      </c>
      <c r="AP207" s="14">
        <f>MAX(求节点($C$74:$C$79,D$74:D$79,求节点($C$4:$C$12,D$4:D$12,基础状态预期!K219)),AP206)</f>
        <v>0</v>
      </c>
      <c r="AQ207" s="14">
        <f>MAX(求节点($C$74:$C$79,E$74:E$79,求节点($C$4:$C$12,E$4:E$12,基础状态预期!L219)),AQ206)</f>
        <v>0</v>
      </c>
      <c r="AR207" s="14">
        <f>MAX(求节点($C$74:$C$79,F$74:F$79,求节点($C$4:$C$12,F$4:F$12,基础状态预期!M219)),AR206)</f>
        <v>0</v>
      </c>
      <c r="AS207" s="14">
        <f>MAX(求节点($C$74:$C$79,G$74:G$79,求节点($C$4:$C$12,G$4:G$12,基础状态预期!N219)),AS206)</f>
        <v>1</v>
      </c>
      <c r="AT207" s="14">
        <f>MAX(求节点($C$74:$C$79,H$74:H$79,求节点($C$4:$C$12,H$4:H$12,基础状态预期!O219)),AT206)</f>
        <v>2</v>
      </c>
      <c r="AU207" s="14">
        <f>MAX(求节点($C$81:$C$86,D$81:D$86,求节点($C$4:$C$12,D$4:D$12,基础状态预期!K219)),AU206)</f>
        <v>0</v>
      </c>
      <c r="AV207" s="14">
        <f>MAX(求节点($C$81:$C$86,E$81:E$86,求节点($C$4:$C$12,E$4:E$12,基础状态预期!L219)),AV206)</f>
        <v>0</v>
      </c>
      <c r="AW207" s="14">
        <f>MAX(求节点($C$81:$C$86,F$81:F$86,求节点($C$4:$C$12,F$4:F$12,基础状态预期!M219)),AW206)</f>
        <v>0</v>
      </c>
      <c r="AX207" s="14">
        <f>MAX(求节点($C$81:$C$86,G$81:G$86,求节点($C$4:$C$12,G$4:G$12,基础状态预期!N219)),AX206)</f>
        <v>2</v>
      </c>
      <c r="AY207" s="14">
        <f>MAX(求节点($C$81:$C$86,H$81:H$86,求节点($C$4:$C$12,H$4:H$12,基础状态预期!O219)),AY206)</f>
        <v>4</v>
      </c>
      <c r="AZ207" s="14">
        <f>MAX(求节点($C$88:$C$93,D$88:D$93,求节点($C$4:$C$12,D$4:D$12,基础状态预期!K219)),AZ206)</f>
        <v>0</v>
      </c>
      <c r="BA207" s="14">
        <f>MAX(求节点($C$88:$C$93,E$88:E$93,求节点($C$4:$C$12,E$4:E$12,基础状态预期!L219)),BA206)</f>
        <v>0</v>
      </c>
      <c r="BB207" s="14">
        <f>MAX(求节点($C$88:$C$93,F$88:F$93,求节点($C$4:$C$12,F$4:F$12,基础状态预期!M219)),BB206)</f>
        <v>0</v>
      </c>
      <c r="BC207" s="14">
        <f>MAX(求节点($C$88:$C$93,G$88:G$93,求节点($C$4:$C$12,G$4:G$12,基础状态预期!N219)),BC206)</f>
        <v>6</v>
      </c>
      <c r="BD207" s="14">
        <f>MAX(求节点($C$88:$C$93,H$88:H$93,求节点($C$4:$C$12,H$4:H$12,基础状态预期!O219)),BD206)</f>
        <v>48</v>
      </c>
      <c r="BE207" s="14">
        <f t="shared" si="48"/>
        <v>447000</v>
      </c>
    </row>
    <row r="208" spans="13:63" x14ac:dyDescent="0.15">
      <c r="M208" s="16">
        <v>27</v>
      </c>
      <c r="N208" s="29">
        <f>基础状态预期!D220</f>
        <v>108.05586950728798</v>
      </c>
      <c r="O208" s="29">
        <f>IF(基础状态预期!U220="",0,MIN(求节点($C$16:$C$24,D$16:D$24,基础状态预期!K220),求节点($C$28:$C$48,D$28:D$48,基础状态预期!U220)))</f>
        <v>0</v>
      </c>
      <c r="P208" s="29">
        <f>IF(基础状态预期!V220="",0,MIN(求节点($C$16:$C$24,E$16:E$24,基础状态预期!L220),求节点($C$28:$C$48,E$28:E$48,基础状态预期!V220)))</f>
        <v>0</v>
      </c>
      <c r="Q208" s="29">
        <f>IF(基础状态预期!W220="",0,MIN(求节点($C$16:$C$24,F$16:F$24,基础状态预期!M220),求节点($C$28:$C$48,F$28:F$48,基础状态预期!W220)))</f>
        <v>0</v>
      </c>
      <c r="R208" s="29">
        <f>IF(基础状态预期!X220="",0,MIN(求节点($C$16:$C$24,G$16:G$24,基础状态预期!N220),求节点($C$28:$C$48,G$28:G$48,基础状态预期!X220)))</f>
        <v>0</v>
      </c>
      <c r="S208" s="29">
        <f>IF(基础状态预期!Y220="",0,MIN(求节点($C$16:$C$24,H$16:H$24,基础状态预期!O220),求节点($C$28:$C$48,H$28:H$48,基础状态预期!Y220)))</f>
        <v>0.45</v>
      </c>
      <c r="T208" s="29">
        <f>MAX(SUMPRODUCT(O208:S208,基础状态预期!$F220:$J220)/SUM(基础状态预期!$F220:$J220),T207)</f>
        <v>0.45</v>
      </c>
      <c r="AO208" s="29">
        <f t="shared" si="51"/>
        <v>108.05586950728798</v>
      </c>
      <c r="AP208" s="14">
        <f>MAX(求节点($C$74:$C$79,D$74:D$79,求节点($C$4:$C$12,D$4:D$12,基础状态预期!K220)),AP207)</f>
        <v>0</v>
      </c>
      <c r="AQ208" s="14">
        <f>MAX(求节点($C$74:$C$79,E$74:E$79,求节点($C$4:$C$12,E$4:E$12,基础状态预期!L220)),AQ207)</f>
        <v>0</v>
      </c>
      <c r="AR208" s="14">
        <f>MAX(求节点($C$74:$C$79,F$74:F$79,求节点($C$4:$C$12,F$4:F$12,基础状态预期!M220)),AR207)</f>
        <v>0</v>
      </c>
      <c r="AS208" s="14">
        <f>MAX(求节点($C$74:$C$79,G$74:G$79,求节点($C$4:$C$12,G$4:G$12,基础状态预期!N220)),AS207)</f>
        <v>1</v>
      </c>
      <c r="AT208" s="14">
        <f>MAX(求节点($C$74:$C$79,H$74:H$79,求节点($C$4:$C$12,H$4:H$12,基础状态预期!O220)),AT207)</f>
        <v>2</v>
      </c>
      <c r="AU208" s="14">
        <f>MAX(求节点($C$81:$C$86,D$81:D$86,求节点($C$4:$C$12,D$4:D$12,基础状态预期!K220)),AU207)</f>
        <v>0</v>
      </c>
      <c r="AV208" s="14">
        <f>MAX(求节点($C$81:$C$86,E$81:E$86,求节点($C$4:$C$12,E$4:E$12,基础状态预期!L220)),AV207)</f>
        <v>0</v>
      </c>
      <c r="AW208" s="14">
        <f>MAX(求节点($C$81:$C$86,F$81:F$86,求节点($C$4:$C$12,F$4:F$12,基础状态预期!M220)),AW207)</f>
        <v>0</v>
      </c>
      <c r="AX208" s="14">
        <f>MAX(求节点($C$81:$C$86,G$81:G$86,求节点($C$4:$C$12,G$4:G$12,基础状态预期!N220)),AX207)</f>
        <v>2</v>
      </c>
      <c r="AY208" s="14">
        <f>MAX(求节点($C$81:$C$86,H$81:H$86,求节点($C$4:$C$12,H$4:H$12,基础状态预期!O220)),AY207)</f>
        <v>4</v>
      </c>
      <c r="AZ208" s="14">
        <f>MAX(求节点($C$88:$C$93,D$88:D$93,求节点($C$4:$C$12,D$4:D$12,基础状态预期!K220)),AZ207)</f>
        <v>0</v>
      </c>
      <c r="BA208" s="14">
        <f>MAX(求节点($C$88:$C$93,E$88:E$93,求节点($C$4:$C$12,E$4:E$12,基础状态预期!L220)),BA207)</f>
        <v>0</v>
      </c>
      <c r="BB208" s="14">
        <f>MAX(求节点($C$88:$C$93,F$88:F$93,求节点($C$4:$C$12,F$4:F$12,基础状态预期!M220)),BB207)</f>
        <v>0</v>
      </c>
      <c r="BC208" s="14">
        <f>MAX(求节点($C$88:$C$93,G$88:G$93,求节点($C$4:$C$12,G$4:G$12,基础状态预期!N220)),BC207)</f>
        <v>6</v>
      </c>
      <c r="BD208" s="14">
        <f>MAX(求节点($C$88:$C$93,H$88:H$93,求节点($C$4:$C$12,H$4:H$12,基础状态预期!O220)),BD207)</f>
        <v>48</v>
      </c>
      <c r="BE208" s="14">
        <f t="shared" si="48"/>
        <v>447000</v>
      </c>
    </row>
    <row r="209" spans="13:57" x14ac:dyDescent="0.15">
      <c r="M209" s="16">
        <v>28</v>
      </c>
      <c r="N209" s="29">
        <f>基础状态预期!D221</f>
        <v>111.54601176466306</v>
      </c>
      <c r="O209" s="29">
        <f>IF(基础状态预期!U221="",0,MIN(求节点($C$16:$C$24,D$16:D$24,基础状态预期!K221),求节点($C$28:$C$48,D$28:D$48,基础状态预期!U221)))</f>
        <v>0</v>
      </c>
      <c r="P209" s="29">
        <f>IF(基础状态预期!V221="",0,MIN(求节点($C$16:$C$24,E$16:E$24,基础状态预期!L221),求节点($C$28:$C$48,E$28:E$48,基础状态预期!V221)))</f>
        <v>0</v>
      </c>
      <c r="Q209" s="29">
        <f>IF(基础状态预期!W221="",0,MIN(求节点($C$16:$C$24,F$16:F$24,基础状态预期!M221),求节点($C$28:$C$48,F$28:F$48,基础状态预期!W221)))</f>
        <v>0</v>
      </c>
      <c r="R209" s="29">
        <f>IF(基础状态预期!X221="",0,MIN(求节点($C$16:$C$24,G$16:G$24,基础状态预期!N221),求节点($C$28:$C$48,G$28:G$48,基础状态预期!X221)))</f>
        <v>0</v>
      </c>
      <c r="S209" s="29">
        <f>IF(基础状态预期!Y221="",0,MIN(求节点($C$16:$C$24,H$16:H$24,基础状态预期!O221),求节点($C$28:$C$48,H$28:H$48,基础状态预期!Y221)))</f>
        <v>0.45</v>
      </c>
      <c r="T209" s="29">
        <f>MAX(SUMPRODUCT(O209:S209,基础状态预期!$F221:$J221)/SUM(基础状态预期!$F221:$J221),T208)</f>
        <v>0.45</v>
      </c>
      <c r="AO209" s="29">
        <f t="shared" si="51"/>
        <v>111.54601176466306</v>
      </c>
      <c r="AP209" s="14">
        <f>MAX(求节点($C$74:$C$79,D$74:D$79,求节点($C$4:$C$12,D$4:D$12,基础状态预期!K221)),AP208)</f>
        <v>0</v>
      </c>
      <c r="AQ209" s="14">
        <f>MAX(求节点($C$74:$C$79,E$74:E$79,求节点($C$4:$C$12,E$4:E$12,基础状态预期!L221)),AQ208)</f>
        <v>0</v>
      </c>
      <c r="AR209" s="14">
        <f>MAX(求节点($C$74:$C$79,F$74:F$79,求节点($C$4:$C$12,F$4:F$12,基础状态预期!M221)),AR208)</f>
        <v>0</v>
      </c>
      <c r="AS209" s="14">
        <f>MAX(求节点($C$74:$C$79,G$74:G$79,求节点($C$4:$C$12,G$4:G$12,基础状态预期!N221)),AS208)</f>
        <v>1</v>
      </c>
      <c r="AT209" s="14">
        <f>MAX(求节点($C$74:$C$79,H$74:H$79,求节点($C$4:$C$12,H$4:H$12,基础状态预期!O221)),AT208)</f>
        <v>2</v>
      </c>
      <c r="AU209" s="14">
        <f>MAX(求节点($C$81:$C$86,D$81:D$86,求节点($C$4:$C$12,D$4:D$12,基础状态预期!K221)),AU208)</f>
        <v>0</v>
      </c>
      <c r="AV209" s="14">
        <f>MAX(求节点($C$81:$C$86,E$81:E$86,求节点($C$4:$C$12,E$4:E$12,基础状态预期!L221)),AV208)</f>
        <v>0</v>
      </c>
      <c r="AW209" s="14">
        <f>MAX(求节点($C$81:$C$86,F$81:F$86,求节点($C$4:$C$12,F$4:F$12,基础状态预期!M221)),AW208)</f>
        <v>0</v>
      </c>
      <c r="AX209" s="14">
        <f>MAX(求节点($C$81:$C$86,G$81:G$86,求节点($C$4:$C$12,G$4:G$12,基础状态预期!N221)),AX208)</f>
        <v>2</v>
      </c>
      <c r="AY209" s="14">
        <f>MAX(求节点($C$81:$C$86,H$81:H$86,求节点($C$4:$C$12,H$4:H$12,基础状态预期!O221)),AY208)</f>
        <v>4</v>
      </c>
      <c r="AZ209" s="14">
        <f>MAX(求节点($C$88:$C$93,D$88:D$93,求节点($C$4:$C$12,D$4:D$12,基础状态预期!K221)),AZ208)</f>
        <v>0</v>
      </c>
      <c r="BA209" s="14">
        <f>MAX(求节点($C$88:$C$93,E$88:E$93,求节点($C$4:$C$12,E$4:E$12,基础状态预期!L221)),BA208)</f>
        <v>0</v>
      </c>
      <c r="BB209" s="14">
        <f>MAX(求节点($C$88:$C$93,F$88:F$93,求节点($C$4:$C$12,F$4:F$12,基础状态预期!M221)),BB208)</f>
        <v>0</v>
      </c>
      <c r="BC209" s="14">
        <f>MAX(求节点($C$88:$C$93,G$88:G$93,求节点($C$4:$C$12,G$4:G$12,基础状态预期!N221)),BC208)</f>
        <v>6</v>
      </c>
      <c r="BD209" s="14">
        <f>MAX(求节点($C$88:$C$93,H$88:H$93,求节点($C$4:$C$12,H$4:H$12,基础状态预期!O221)),BD208)</f>
        <v>48</v>
      </c>
      <c r="BE209" s="14">
        <f t="shared" si="48"/>
        <v>447000</v>
      </c>
    </row>
    <row r="210" spans="13:57" x14ac:dyDescent="0.15">
      <c r="M210" s="16">
        <v>29</v>
      </c>
      <c r="N210" s="29">
        <f>基础状态预期!D222</f>
        <v>115.20444967370992</v>
      </c>
      <c r="O210" s="29">
        <f>IF(基础状态预期!U222="",0,MIN(求节点($C$16:$C$24,D$16:D$24,基础状态预期!K222),求节点($C$28:$C$48,D$28:D$48,基础状态预期!U222)))</f>
        <v>0</v>
      </c>
      <c r="P210" s="29">
        <f>IF(基础状态预期!V222="",0,MIN(求节点($C$16:$C$24,E$16:E$24,基础状态预期!L222),求节点($C$28:$C$48,E$28:E$48,基础状态预期!V222)))</f>
        <v>0</v>
      </c>
      <c r="Q210" s="29">
        <f>IF(基础状态预期!W222="",0,MIN(求节点($C$16:$C$24,F$16:F$24,基础状态预期!M222),求节点($C$28:$C$48,F$28:F$48,基础状态预期!W222)))</f>
        <v>0</v>
      </c>
      <c r="R210" s="29">
        <f>IF(基础状态预期!X222="",0,MIN(求节点($C$16:$C$24,G$16:G$24,基础状态预期!N222),求节点($C$28:$C$48,G$28:G$48,基础状态预期!X222)))</f>
        <v>0</v>
      </c>
      <c r="S210" s="29">
        <f>IF(基础状态预期!Y222="",0,MIN(求节点($C$16:$C$24,H$16:H$24,基础状态预期!O222),求节点($C$28:$C$48,H$28:H$48,基础状态预期!Y222)))</f>
        <v>0.45</v>
      </c>
      <c r="T210" s="29">
        <f>MAX(SUMPRODUCT(O210:S210,基础状态预期!$F222:$J222)/SUM(基础状态预期!$F222:$J222),T209)</f>
        <v>0.45</v>
      </c>
      <c r="AO210" s="29">
        <f t="shared" si="51"/>
        <v>115.20444967370992</v>
      </c>
      <c r="AP210" s="14">
        <f>MAX(求节点($C$74:$C$79,D$74:D$79,求节点($C$4:$C$12,D$4:D$12,基础状态预期!K222)),AP209)</f>
        <v>0</v>
      </c>
      <c r="AQ210" s="14">
        <f>MAX(求节点($C$74:$C$79,E$74:E$79,求节点($C$4:$C$12,E$4:E$12,基础状态预期!L222)),AQ209)</f>
        <v>0</v>
      </c>
      <c r="AR210" s="14">
        <f>MAX(求节点($C$74:$C$79,F$74:F$79,求节点($C$4:$C$12,F$4:F$12,基础状态预期!M222)),AR209)</f>
        <v>0</v>
      </c>
      <c r="AS210" s="14">
        <f>MAX(求节点($C$74:$C$79,G$74:G$79,求节点($C$4:$C$12,G$4:G$12,基础状态预期!N222)),AS209)</f>
        <v>1</v>
      </c>
      <c r="AT210" s="14">
        <f>MAX(求节点($C$74:$C$79,H$74:H$79,求节点($C$4:$C$12,H$4:H$12,基础状态预期!O222)),AT209)</f>
        <v>2</v>
      </c>
      <c r="AU210" s="14">
        <f>MAX(求节点($C$81:$C$86,D$81:D$86,求节点($C$4:$C$12,D$4:D$12,基础状态预期!K222)),AU209)</f>
        <v>0</v>
      </c>
      <c r="AV210" s="14">
        <f>MAX(求节点($C$81:$C$86,E$81:E$86,求节点($C$4:$C$12,E$4:E$12,基础状态预期!L222)),AV209)</f>
        <v>0</v>
      </c>
      <c r="AW210" s="14">
        <f>MAX(求节点($C$81:$C$86,F$81:F$86,求节点($C$4:$C$12,F$4:F$12,基础状态预期!M222)),AW209)</f>
        <v>0</v>
      </c>
      <c r="AX210" s="14">
        <f>MAX(求节点($C$81:$C$86,G$81:G$86,求节点($C$4:$C$12,G$4:G$12,基础状态预期!N222)),AX209)</f>
        <v>2</v>
      </c>
      <c r="AY210" s="14">
        <f>MAX(求节点($C$81:$C$86,H$81:H$86,求节点($C$4:$C$12,H$4:H$12,基础状态预期!O222)),AY209)</f>
        <v>4</v>
      </c>
      <c r="AZ210" s="14">
        <f>MAX(求节点($C$88:$C$93,D$88:D$93,求节点($C$4:$C$12,D$4:D$12,基础状态预期!K222)),AZ209)</f>
        <v>0</v>
      </c>
      <c r="BA210" s="14">
        <f>MAX(求节点($C$88:$C$93,E$88:E$93,求节点($C$4:$C$12,E$4:E$12,基础状态预期!L222)),BA209)</f>
        <v>0</v>
      </c>
      <c r="BB210" s="14">
        <f>MAX(求节点($C$88:$C$93,F$88:F$93,求节点($C$4:$C$12,F$4:F$12,基础状态预期!M222)),BB209)</f>
        <v>0</v>
      </c>
      <c r="BC210" s="14">
        <f>MAX(求节点($C$88:$C$93,G$88:G$93,求节点($C$4:$C$12,G$4:G$12,基础状态预期!N222)),BC209)</f>
        <v>6</v>
      </c>
      <c r="BD210" s="14">
        <f>MAX(求节点($C$88:$C$93,H$88:H$93,求节点($C$4:$C$12,H$4:H$12,基础状态预期!O222)),BD209)</f>
        <v>48</v>
      </c>
      <c r="BE210" s="14">
        <f t="shared" si="48"/>
        <v>447000</v>
      </c>
    </row>
    <row r="211" spans="13:57" x14ac:dyDescent="0.15">
      <c r="M211" s="16">
        <v>30</v>
      </c>
      <c r="N211" s="29">
        <f>基础状态预期!D223</f>
        <v>118.75432507225094</v>
      </c>
      <c r="O211" s="29">
        <f>IF(基础状态预期!U223="",0,MIN(求节点($C$16:$C$24,D$16:D$24,基础状态预期!K223),求节点($C$28:$C$48,D$28:D$48,基础状态预期!U223)))</f>
        <v>0</v>
      </c>
      <c r="P211" s="29">
        <f>IF(基础状态预期!V223="",0,MIN(求节点($C$16:$C$24,E$16:E$24,基础状态预期!L223),求节点($C$28:$C$48,E$28:E$48,基础状态预期!V223)))</f>
        <v>0</v>
      </c>
      <c r="Q211" s="29">
        <f>IF(基础状态预期!W223="",0,MIN(求节点($C$16:$C$24,F$16:F$24,基础状态预期!M223),求节点($C$28:$C$48,F$28:F$48,基础状态预期!W223)))</f>
        <v>0</v>
      </c>
      <c r="R211" s="29">
        <f>IF(基础状态预期!X223="",0,MIN(求节点($C$16:$C$24,G$16:G$24,基础状态预期!N223),求节点($C$28:$C$48,G$28:G$48,基础状态预期!X223)))</f>
        <v>0</v>
      </c>
      <c r="S211" s="29">
        <f>IF(基础状态预期!Y223="",0,MIN(求节点($C$16:$C$24,H$16:H$24,基础状态预期!O223),求节点($C$28:$C$48,H$28:H$48,基础状态预期!Y223)))</f>
        <v>0.45</v>
      </c>
      <c r="T211" s="29">
        <f>MAX(SUMPRODUCT(O211:S211,基础状态预期!$F223:$J223)/SUM(基础状态预期!$F223:$J223),T210)</f>
        <v>0.45</v>
      </c>
      <c r="AO211" s="29">
        <f t="shared" si="51"/>
        <v>118.75432507225094</v>
      </c>
      <c r="AP211" s="14">
        <f>MAX(求节点($C$74:$C$79,D$74:D$79,求节点($C$4:$C$12,D$4:D$12,基础状态预期!K223)),AP210)</f>
        <v>0</v>
      </c>
      <c r="AQ211" s="14">
        <f>MAX(求节点($C$74:$C$79,E$74:E$79,求节点($C$4:$C$12,E$4:E$12,基础状态预期!L223)),AQ210)</f>
        <v>0</v>
      </c>
      <c r="AR211" s="14">
        <f>MAX(求节点($C$74:$C$79,F$74:F$79,求节点($C$4:$C$12,F$4:F$12,基础状态预期!M223)),AR210)</f>
        <v>0</v>
      </c>
      <c r="AS211" s="14">
        <f>MAX(求节点($C$74:$C$79,G$74:G$79,求节点($C$4:$C$12,G$4:G$12,基础状态预期!N223)),AS210)</f>
        <v>1</v>
      </c>
      <c r="AT211" s="14">
        <f>MAX(求节点($C$74:$C$79,H$74:H$79,求节点($C$4:$C$12,H$4:H$12,基础状态预期!O223)),AT210)</f>
        <v>2</v>
      </c>
      <c r="AU211" s="14">
        <f>MAX(求节点($C$81:$C$86,D$81:D$86,求节点($C$4:$C$12,D$4:D$12,基础状态预期!K223)),AU210)</f>
        <v>0</v>
      </c>
      <c r="AV211" s="14">
        <f>MAX(求节点($C$81:$C$86,E$81:E$86,求节点($C$4:$C$12,E$4:E$12,基础状态预期!L223)),AV210)</f>
        <v>0</v>
      </c>
      <c r="AW211" s="14">
        <f>MAX(求节点($C$81:$C$86,F$81:F$86,求节点($C$4:$C$12,F$4:F$12,基础状态预期!M223)),AW210)</f>
        <v>0</v>
      </c>
      <c r="AX211" s="14">
        <f>MAX(求节点($C$81:$C$86,G$81:G$86,求节点($C$4:$C$12,G$4:G$12,基础状态预期!N223)),AX210)</f>
        <v>2</v>
      </c>
      <c r="AY211" s="14">
        <f>MAX(求节点($C$81:$C$86,H$81:H$86,求节点($C$4:$C$12,H$4:H$12,基础状态预期!O223)),AY210)</f>
        <v>4</v>
      </c>
      <c r="AZ211" s="14">
        <f>MAX(求节点($C$88:$C$93,D$88:D$93,求节点($C$4:$C$12,D$4:D$12,基础状态预期!K223)),AZ210)</f>
        <v>0</v>
      </c>
      <c r="BA211" s="14">
        <f>MAX(求节点($C$88:$C$93,E$88:E$93,求节点($C$4:$C$12,E$4:E$12,基础状态预期!L223)),BA210)</f>
        <v>0</v>
      </c>
      <c r="BB211" s="14">
        <f>MAX(求节点($C$88:$C$93,F$88:F$93,求节点($C$4:$C$12,F$4:F$12,基础状态预期!M223)),BB210)</f>
        <v>0</v>
      </c>
      <c r="BC211" s="14">
        <f>MAX(求节点($C$88:$C$93,G$88:G$93,求节点($C$4:$C$12,G$4:G$12,基础状态预期!N223)),BC210)</f>
        <v>6</v>
      </c>
      <c r="BD211" s="14">
        <f>MAX(求节点($C$88:$C$93,H$88:H$93,求节点($C$4:$C$12,H$4:H$12,基础状态预期!O223)),BD210)</f>
        <v>48</v>
      </c>
      <c r="BE211" s="14">
        <f t="shared" si="48"/>
        <v>447000</v>
      </c>
    </row>
    <row r="212" spans="13:57" x14ac:dyDescent="0.15">
      <c r="M212" s="16">
        <v>31</v>
      </c>
      <c r="N212" s="29">
        <f>基础状态预期!D224</f>
        <v>122.26514676047371</v>
      </c>
      <c r="O212" s="29">
        <f>IF(基础状态预期!U224="",0,MIN(求节点($C$16:$C$24,D$16:D$24,基础状态预期!K224),求节点($C$28:$C$48,D$28:D$48,基础状态预期!U224)))</f>
        <v>0</v>
      </c>
      <c r="P212" s="29">
        <f>IF(基础状态预期!V224="",0,MIN(求节点($C$16:$C$24,E$16:E$24,基础状态预期!L224),求节点($C$28:$C$48,E$28:E$48,基础状态预期!V224)))</f>
        <v>0</v>
      </c>
      <c r="Q212" s="29">
        <f>IF(基础状态预期!W224="",0,MIN(求节点($C$16:$C$24,F$16:F$24,基础状态预期!M224),求节点($C$28:$C$48,F$28:F$48,基础状态预期!W224)))</f>
        <v>0</v>
      </c>
      <c r="R212" s="29">
        <f>IF(基础状态预期!X224="",0,MIN(求节点($C$16:$C$24,G$16:G$24,基础状态预期!N224),求节点($C$28:$C$48,G$28:G$48,基础状态预期!X224)))</f>
        <v>0</v>
      </c>
      <c r="S212" s="29">
        <f>IF(基础状态预期!Y224="",0,MIN(求节点($C$16:$C$24,H$16:H$24,基础状态预期!O224),求节点($C$28:$C$48,H$28:H$48,基础状态预期!Y224)))</f>
        <v>0.45</v>
      </c>
      <c r="T212" s="29">
        <f>MAX(SUMPRODUCT(O212:S212,基础状态预期!$F224:$J224)/SUM(基础状态预期!$F224:$J224),T211)</f>
        <v>0.45</v>
      </c>
      <c r="AO212" s="29">
        <f t="shared" si="51"/>
        <v>122.26514676047371</v>
      </c>
      <c r="AP212" s="14">
        <f>MAX(求节点($C$74:$C$79,D$74:D$79,求节点($C$4:$C$12,D$4:D$12,基础状态预期!K224)),AP211)</f>
        <v>0</v>
      </c>
      <c r="AQ212" s="14">
        <f>MAX(求节点($C$74:$C$79,E$74:E$79,求节点($C$4:$C$12,E$4:E$12,基础状态预期!L224)),AQ211)</f>
        <v>0</v>
      </c>
      <c r="AR212" s="14">
        <f>MAX(求节点($C$74:$C$79,F$74:F$79,求节点($C$4:$C$12,F$4:F$12,基础状态预期!M224)),AR211)</f>
        <v>0</v>
      </c>
      <c r="AS212" s="14">
        <f>MAX(求节点($C$74:$C$79,G$74:G$79,求节点($C$4:$C$12,G$4:G$12,基础状态预期!N224)),AS211)</f>
        <v>1</v>
      </c>
      <c r="AT212" s="14">
        <f>MAX(求节点($C$74:$C$79,H$74:H$79,求节点($C$4:$C$12,H$4:H$12,基础状态预期!O224)),AT211)</f>
        <v>2</v>
      </c>
      <c r="AU212" s="14">
        <f>MAX(求节点($C$81:$C$86,D$81:D$86,求节点($C$4:$C$12,D$4:D$12,基础状态预期!K224)),AU211)</f>
        <v>0</v>
      </c>
      <c r="AV212" s="14">
        <f>MAX(求节点($C$81:$C$86,E$81:E$86,求节点($C$4:$C$12,E$4:E$12,基础状态预期!L224)),AV211)</f>
        <v>0</v>
      </c>
      <c r="AW212" s="14">
        <f>MAX(求节点($C$81:$C$86,F$81:F$86,求节点($C$4:$C$12,F$4:F$12,基础状态预期!M224)),AW211)</f>
        <v>0</v>
      </c>
      <c r="AX212" s="14">
        <f>MAX(求节点($C$81:$C$86,G$81:G$86,求节点($C$4:$C$12,G$4:G$12,基础状态预期!N224)),AX211)</f>
        <v>2</v>
      </c>
      <c r="AY212" s="14">
        <f>MAX(求节点($C$81:$C$86,H$81:H$86,求节点($C$4:$C$12,H$4:H$12,基础状态预期!O224)),AY211)</f>
        <v>4</v>
      </c>
      <c r="AZ212" s="14">
        <f>MAX(求节点($C$88:$C$93,D$88:D$93,求节点($C$4:$C$12,D$4:D$12,基础状态预期!K224)),AZ211)</f>
        <v>0</v>
      </c>
      <c r="BA212" s="14">
        <f>MAX(求节点($C$88:$C$93,E$88:E$93,求节点($C$4:$C$12,E$4:E$12,基础状态预期!L224)),BA211)</f>
        <v>0</v>
      </c>
      <c r="BB212" s="14">
        <f>MAX(求节点($C$88:$C$93,F$88:F$93,求节点($C$4:$C$12,F$4:F$12,基础状态预期!M224)),BB211)</f>
        <v>0</v>
      </c>
      <c r="BC212" s="14">
        <f>MAX(求节点($C$88:$C$93,G$88:G$93,求节点($C$4:$C$12,G$4:G$12,基础状态预期!N224)),BC211)</f>
        <v>6</v>
      </c>
      <c r="BD212" s="14">
        <f>MAX(求节点($C$88:$C$93,H$88:H$93,求节点($C$4:$C$12,H$4:H$12,基础状态预期!O224)),BD211)</f>
        <v>48</v>
      </c>
      <c r="BE212" s="14">
        <f t="shared" si="48"/>
        <v>447000</v>
      </c>
    </row>
    <row r="213" spans="13:57" x14ac:dyDescent="0.15">
      <c r="M213" s="16">
        <v>32</v>
      </c>
      <c r="N213" s="29">
        <f>基础状态预期!D225</f>
        <v>125.84855083483956</v>
      </c>
      <c r="O213" s="29">
        <f>IF(基础状态预期!U225="",0,MIN(求节点($C$16:$C$24,D$16:D$24,基础状态预期!K225),求节点($C$28:$C$48,D$28:D$48,基础状态预期!U225)))</f>
        <v>0</v>
      </c>
      <c r="P213" s="29">
        <f>IF(基础状态预期!V225="",0,MIN(求节点($C$16:$C$24,E$16:E$24,基础状态预期!L225),求节点($C$28:$C$48,E$28:E$48,基础状态预期!V225)))</f>
        <v>0</v>
      </c>
      <c r="Q213" s="29">
        <f>IF(基础状态预期!W225="",0,MIN(求节点($C$16:$C$24,F$16:F$24,基础状态预期!M225),求节点($C$28:$C$48,F$28:F$48,基础状态预期!W225)))</f>
        <v>0</v>
      </c>
      <c r="R213" s="29">
        <f>IF(基础状态预期!X225="",0,MIN(求节点($C$16:$C$24,G$16:G$24,基础状态预期!N225),求节点($C$28:$C$48,G$28:G$48,基础状态预期!X225)))</f>
        <v>0</v>
      </c>
      <c r="S213" s="29">
        <f>IF(基础状态预期!Y225="",0,MIN(求节点($C$16:$C$24,H$16:H$24,基础状态预期!O225),求节点($C$28:$C$48,H$28:H$48,基础状态预期!Y225)))</f>
        <v>0.45</v>
      </c>
      <c r="T213" s="29">
        <f>MAX(SUMPRODUCT(O213:S213,基础状态预期!$F225:$J225)/SUM(基础状态预期!$F225:$J225),T212)</f>
        <v>0.45</v>
      </c>
      <c r="AO213" s="29">
        <f t="shared" si="51"/>
        <v>125.84855083483956</v>
      </c>
      <c r="AP213" s="14">
        <f>MAX(求节点($C$74:$C$79,D$74:D$79,求节点($C$4:$C$12,D$4:D$12,基础状态预期!K225)),AP212)</f>
        <v>0</v>
      </c>
      <c r="AQ213" s="14">
        <f>MAX(求节点($C$74:$C$79,E$74:E$79,求节点($C$4:$C$12,E$4:E$12,基础状态预期!L225)),AQ212)</f>
        <v>0</v>
      </c>
      <c r="AR213" s="14">
        <f>MAX(求节点($C$74:$C$79,F$74:F$79,求节点($C$4:$C$12,F$4:F$12,基础状态预期!M225)),AR212)</f>
        <v>0</v>
      </c>
      <c r="AS213" s="14">
        <f>MAX(求节点($C$74:$C$79,G$74:G$79,求节点($C$4:$C$12,G$4:G$12,基础状态预期!N225)),AS212)</f>
        <v>1</v>
      </c>
      <c r="AT213" s="14">
        <f>MAX(求节点($C$74:$C$79,H$74:H$79,求节点($C$4:$C$12,H$4:H$12,基础状态预期!O225)),AT212)</f>
        <v>2</v>
      </c>
      <c r="AU213" s="14">
        <f>MAX(求节点($C$81:$C$86,D$81:D$86,求节点($C$4:$C$12,D$4:D$12,基础状态预期!K225)),AU212)</f>
        <v>0</v>
      </c>
      <c r="AV213" s="14">
        <f>MAX(求节点($C$81:$C$86,E$81:E$86,求节点($C$4:$C$12,E$4:E$12,基础状态预期!L225)),AV212)</f>
        <v>0</v>
      </c>
      <c r="AW213" s="14">
        <f>MAX(求节点($C$81:$C$86,F$81:F$86,求节点($C$4:$C$12,F$4:F$12,基础状态预期!M225)),AW212)</f>
        <v>0</v>
      </c>
      <c r="AX213" s="14">
        <f>MAX(求节点($C$81:$C$86,G$81:G$86,求节点($C$4:$C$12,G$4:G$12,基础状态预期!N225)),AX212)</f>
        <v>2</v>
      </c>
      <c r="AY213" s="14">
        <f>MAX(求节点($C$81:$C$86,H$81:H$86,求节点($C$4:$C$12,H$4:H$12,基础状态预期!O225)),AY212)</f>
        <v>4</v>
      </c>
      <c r="AZ213" s="14">
        <f>MAX(求节点($C$88:$C$93,D$88:D$93,求节点($C$4:$C$12,D$4:D$12,基础状态预期!K225)),AZ212)</f>
        <v>0</v>
      </c>
      <c r="BA213" s="14">
        <f>MAX(求节点($C$88:$C$93,E$88:E$93,求节点($C$4:$C$12,E$4:E$12,基础状态预期!L225)),BA212)</f>
        <v>0</v>
      </c>
      <c r="BB213" s="14">
        <f>MAX(求节点($C$88:$C$93,F$88:F$93,求节点($C$4:$C$12,F$4:F$12,基础状态预期!M225)),BB212)</f>
        <v>0</v>
      </c>
      <c r="BC213" s="14">
        <f>MAX(求节点($C$88:$C$93,G$88:G$93,求节点($C$4:$C$12,G$4:G$12,基础状态预期!N225)),BC212)</f>
        <v>6</v>
      </c>
      <c r="BD213" s="14">
        <f>MAX(求节点($C$88:$C$93,H$88:H$93,求节点($C$4:$C$12,H$4:H$12,基础状态预期!O225)),BD212)</f>
        <v>48</v>
      </c>
      <c r="BE213" s="14">
        <f t="shared" si="48"/>
        <v>447000</v>
      </c>
    </row>
    <row r="214" spans="13:57" x14ac:dyDescent="0.15">
      <c r="M214" s="16">
        <v>33</v>
      </c>
      <c r="N214" s="29">
        <f>基础状态预期!D226</f>
        <v>129.43528964176323</v>
      </c>
      <c r="O214" s="29">
        <f>IF(基础状态预期!U226="",0,MIN(求节点($C$16:$C$24,D$16:D$24,基础状态预期!K226),求节点($C$28:$C$48,D$28:D$48,基础状态预期!U226)))</f>
        <v>0</v>
      </c>
      <c r="P214" s="29">
        <f>IF(基础状态预期!V226="",0,MIN(求节点($C$16:$C$24,E$16:E$24,基础状态预期!L226),求节点($C$28:$C$48,E$28:E$48,基础状态预期!V226)))</f>
        <v>0</v>
      </c>
      <c r="Q214" s="29">
        <f>IF(基础状态预期!W226="",0,MIN(求节点($C$16:$C$24,F$16:F$24,基础状态预期!M226),求节点($C$28:$C$48,F$28:F$48,基础状态预期!W226)))</f>
        <v>0</v>
      </c>
      <c r="R214" s="29">
        <f>IF(基础状态预期!X226="",0,MIN(求节点($C$16:$C$24,G$16:G$24,基础状态预期!N226),求节点($C$28:$C$48,G$28:G$48,基础状态预期!X226)))</f>
        <v>0</v>
      </c>
      <c r="S214" s="29">
        <f>IF(基础状态预期!Y226="",0,MIN(求节点($C$16:$C$24,H$16:H$24,基础状态预期!O226),求节点($C$28:$C$48,H$28:H$48,基础状态预期!Y226)))</f>
        <v>0.45</v>
      </c>
      <c r="T214" s="29">
        <f>MAX(SUMPRODUCT(O214:S214,基础状态预期!$F226:$J226)/SUM(基础状态预期!$F226:$J226),T213)</f>
        <v>0.45</v>
      </c>
      <c r="AO214" s="29">
        <f t="shared" si="51"/>
        <v>129.43528964176323</v>
      </c>
      <c r="AP214" s="14">
        <f>MAX(求节点($C$74:$C$79,D$74:D$79,求节点($C$4:$C$12,D$4:D$12,基础状态预期!K226)),AP213)</f>
        <v>0</v>
      </c>
      <c r="AQ214" s="14">
        <f>MAX(求节点($C$74:$C$79,E$74:E$79,求节点($C$4:$C$12,E$4:E$12,基础状态预期!L226)),AQ213)</f>
        <v>0</v>
      </c>
      <c r="AR214" s="14">
        <f>MAX(求节点($C$74:$C$79,F$74:F$79,求节点($C$4:$C$12,F$4:F$12,基础状态预期!M226)),AR213)</f>
        <v>0</v>
      </c>
      <c r="AS214" s="14">
        <f>MAX(求节点($C$74:$C$79,G$74:G$79,求节点($C$4:$C$12,G$4:G$12,基础状态预期!N226)),AS213)</f>
        <v>1</v>
      </c>
      <c r="AT214" s="14">
        <f>MAX(求节点($C$74:$C$79,H$74:H$79,求节点($C$4:$C$12,H$4:H$12,基础状态预期!O226)),AT213)</f>
        <v>2</v>
      </c>
      <c r="AU214" s="14">
        <f>MAX(求节点($C$81:$C$86,D$81:D$86,求节点($C$4:$C$12,D$4:D$12,基础状态预期!K226)),AU213)</f>
        <v>0</v>
      </c>
      <c r="AV214" s="14">
        <f>MAX(求节点($C$81:$C$86,E$81:E$86,求节点($C$4:$C$12,E$4:E$12,基础状态预期!L226)),AV213)</f>
        <v>0</v>
      </c>
      <c r="AW214" s="14">
        <f>MAX(求节点($C$81:$C$86,F$81:F$86,求节点($C$4:$C$12,F$4:F$12,基础状态预期!M226)),AW213)</f>
        <v>0</v>
      </c>
      <c r="AX214" s="14">
        <f>MAX(求节点($C$81:$C$86,G$81:G$86,求节点($C$4:$C$12,G$4:G$12,基础状态预期!N226)),AX213)</f>
        <v>2</v>
      </c>
      <c r="AY214" s="14">
        <f>MAX(求节点($C$81:$C$86,H$81:H$86,求节点($C$4:$C$12,H$4:H$12,基础状态预期!O226)),AY213)</f>
        <v>4</v>
      </c>
      <c r="AZ214" s="14">
        <f>MAX(求节点($C$88:$C$93,D$88:D$93,求节点($C$4:$C$12,D$4:D$12,基础状态预期!K226)),AZ213)</f>
        <v>0</v>
      </c>
      <c r="BA214" s="14">
        <f>MAX(求节点($C$88:$C$93,E$88:E$93,求节点($C$4:$C$12,E$4:E$12,基础状态预期!L226)),BA213)</f>
        <v>0</v>
      </c>
      <c r="BB214" s="14">
        <f>MAX(求节点($C$88:$C$93,F$88:F$93,求节点($C$4:$C$12,F$4:F$12,基础状态预期!M226)),BB213)</f>
        <v>0</v>
      </c>
      <c r="BC214" s="14">
        <f>MAX(求节点($C$88:$C$93,G$88:G$93,求节点($C$4:$C$12,G$4:G$12,基础状态预期!N226)),BC213)</f>
        <v>6</v>
      </c>
      <c r="BD214" s="14">
        <f>MAX(求节点($C$88:$C$93,H$88:H$93,求节点($C$4:$C$12,H$4:H$12,基础状态预期!O226)),BD213)</f>
        <v>48</v>
      </c>
      <c r="BE214" s="14">
        <f t="shared" si="48"/>
        <v>447000</v>
      </c>
    </row>
    <row r="215" spans="13:57" x14ac:dyDescent="0.15">
      <c r="M215" s="16">
        <v>34</v>
      </c>
      <c r="N215" s="29">
        <f>基础状态预期!D227</f>
        <v>133.03192104200832</v>
      </c>
      <c r="O215" s="29">
        <f>IF(基础状态预期!U227="",0,MIN(求节点($C$16:$C$24,D$16:D$24,基础状态预期!K227),求节点($C$28:$C$48,D$28:D$48,基础状态预期!U227)))</f>
        <v>0</v>
      </c>
      <c r="P215" s="29">
        <f>IF(基础状态预期!V227="",0,MIN(求节点($C$16:$C$24,E$16:E$24,基础状态预期!L227),求节点($C$28:$C$48,E$28:E$48,基础状态预期!V227)))</f>
        <v>0</v>
      </c>
      <c r="Q215" s="29">
        <f>IF(基础状态预期!W227="",0,MIN(求节点($C$16:$C$24,F$16:F$24,基础状态预期!M227),求节点($C$28:$C$48,F$28:F$48,基础状态预期!W227)))</f>
        <v>0</v>
      </c>
      <c r="R215" s="29">
        <f>IF(基础状态预期!X227="",0,MIN(求节点($C$16:$C$24,G$16:G$24,基础状态预期!N227),求节点($C$28:$C$48,G$28:G$48,基础状态预期!X227)))</f>
        <v>0</v>
      </c>
      <c r="S215" s="29">
        <f>IF(基础状态预期!Y227="",0,MIN(求节点($C$16:$C$24,H$16:H$24,基础状态预期!O227),求节点($C$28:$C$48,H$28:H$48,基础状态预期!Y227)))</f>
        <v>0.45</v>
      </c>
      <c r="T215" s="29">
        <f>MAX(SUMPRODUCT(O215:S215,基础状态预期!$F227:$J227)/SUM(基础状态预期!$F227:$J227),T214)</f>
        <v>0.45</v>
      </c>
      <c r="AO215" s="29">
        <f t="shared" si="51"/>
        <v>133.03192104200832</v>
      </c>
      <c r="AP215" s="14">
        <f>MAX(求节点($C$74:$C$79,D$74:D$79,求节点($C$4:$C$12,D$4:D$12,基础状态预期!K227)),AP214)</f>
        <v>0</v>
      </c>
      <c r="AQ215" s="14">
        <f>MAX(求节点($C$74:$C$79,E$74:E$79,求节点($C$4:$C$12,E$4:E$12,基础状态预期!L227)),AQ214)</f>
        <v>0</v>
      </c>
      <c r="AR215" s="14">
        <f>MAX(求节点($C$74:$C$79,F$74:F$79,求节点($C$4:$C$12,F$4:F$12,基础状态预期!M227)),AR214)</f>
        <v>0</v>
      </c>
      <c r="AS215" s="14">
        <f>MAX(求节点($C$74:$C$79,G$74:G$79,求节点($C$4:$C$12,G$4:G$12,基础状态预期!N227)),AS214)</f>
        <v>1</v>
      </c>
      <c r="AT215" s="14">
        <f>MAX(求节点($C$74:$C$79,H$74:H$79,求节点($C$4:$C$12,H$4:H$12,基础状态预期!O227)),AT214)</f>
        <v>2</v>
      </c>
      <c r="AU215" s="14">
        <f>MAX(求节点($C$81:$C$86,D$81:D$86,求节点($C$4:$C$12,D$4:D$12,基础状态预期!K227)),AU214)</f>
        <v>0</v>
      </c>
      <c r="AV215" s="14">
        <f>MAX(求节点($C$81:$C$86,E$81:E$86,求节点($C$4:$C$12,E$4:E$12,基础状态预期!L227)),AV214)</f>
        <v>0</v>
      </c>
      <c r="AW215" s="14">
        <f>MAX(求节点($C$81:$C$86,F$81:F$86,求节点($C$4:$C$12,F$4:F$12,基础状态预期!M227)),AW214)</f>
        <v>0</v>
      </c>
      <c r="AX215" s="14">
        <f>MAX(求节点($C$81:$C$86,G$81:G$86,求节点($C$4:$C$12,G$4:G$12,基础状态预期!N227)),AX214)</f>
        <v>2</v>
      </c>
      <c r="AY215" s="14">
        <f>MAX(求节点($C$81:$C$86,H$81:H$86,求节点($C$4:$C$12,H$4:H$12,基础状态预期!O227)),AY214)</f>
        <v>4</v>
      </c>
      <c r="AZ215" s="14">
        <f>MAX(求节点($C$88:$C$93,D$88:D$93,求节点($C$4:$C$12,D$4:D$12,基础状态预期!K227)),AZ214)</f>
        <v>0</v>
      </c>
      <c r="BA215" s="14">
        <f>MAX(求节点($C$88:$C$93,E$88:E$93,求节点($C$4:$C$12,E$4:E$12,基础状态预期!L227)),BA214)</f>
        <v>0</v>
      </c>
      <c r="BB215" s="14">
        <f>MAX(求节点($C$88:$C$93,F$88:F$93,求节点($C$4:$C$12,F$4:F$12,基础状态预期!M227)),BB214)</f>
        <v>0</v>
      </c>
      <c r="BC215" s="14">
        <f>MAX(求节点($C$88:$C$93,G$88:G$93,求节点($C$4:$C$12,G$4:G$12,基础状态预期!N227)),BC214)</f>
        <v>6</v>
      </c>
      <c r="BD215" s="14">
        <f>MAX(求节点($C$88:$C$93,H$88:H$93,求节点($C$4:$C$12,H$4:H$12,基础状态预期!O227)),BD214)</f>
        <v>48</v>
      </c>
      <c r="BE215" s="14">
        <f t="shared" si="48"/>
        <v>447000</v>
      </c>
    </row>
    <row r="216" spans="13:57" x14ac:dyDescent="0.15">
      <c r="M216" s="16">
        <v>35</v>
      </c>
      <c r="N216" s="29">
        <f>基础状态预期!D228</f>
        <v>136.45508882162355</v>
      </c>
      <c r="O216" s="29">
        <f>IF(基础状态预期!U228="",0,MIN(求节点($C$16:$C$24,D$16:D$24,基础状态预期!K228),求节点($C$28:$C$48,D$28:D$48,基础状态预期!U228)))</f>
        <v>0</v>
      </c>
      <c r="P216" s="29">
        <f>IF(基础状态预期!V228="",0,MIN(求节点($C$16:$C$24,E$16:E$24,基础状态预期!L228),求节点($C$28:$C$48,E$28:E$48,基础状态预期!V228)))</f>
        <v>0</v>
      </c>
      <c r="Q216" s="29">
        <f>IF(基础状态预期!W228="",0,MIN(求节点($C$16:$C$24,F$16:F$24,基础状态预期!M228),求节点($C$28:$C$48,F$28:F$48,基础状态预期!W228)))</f>
        <v>0</v>
      </c>
      <c r="R216" s="29">
        <f>IF(基础状态预期!X228="",0,MIN(求节点($C$16:$C$24,G$16:G$24,基础状态预期!N228),求节点($C$28:$C$48,G$28:G$48,基础状态预期!X228)))</f>
        <v>0</v>
      </c>
      <c r="S216" s="29">
        <f>IF(基础状态预期!Y228="",0,MIN(求节点($C$16:$C$24,H$16:H$24,基础状态预期!O228),求节点($C$28:$C$48,H$28:H$48,基础状态预期!Y228)))</f>
        <v>0.45</v>
      </c>
      <c r="T216" s="29">
        <f>MAX(SUMPRODUCT(O216:S216,基础状态预期!$F228:$J228)/SUM(基础状态预期!$F228:$J228),T215)</f>
        <v>0.45</v>
      </c>
      <c r="AO216" s="29">
        <f t="shared" si="51"/>
        <v>136.45508882162355</v>
      </c>
      <c r="AP216" s="14">
        <f>MAX(求节点($C$74:$C$79,D$74:D$79,求节点($C$4:$C$12,D$4:D$12,基础状态预期!K228)),AP215)</f>
        <v>0</v>
      </c>
      <c r="AQ216" s="14">
        <f>MAX(求节点($C$74:$C$79,E$74:E$79,求节点($C$4:$C$12,E$4:E$12,基础状态预期!L228)),AQ215)</f>
        <v>0</v>
      </c>
      <c r="AR216" s="14">
        <f>MAX(求节点($C$74:$C$79,F$74:F$79,求节点($C$4:$C$12,F$4:F$12,基础状态预期!M228)),AR215)</f>
        <v>0</v>
      </c>
      <c r="AS216" s="14">
        <f>MAX(求节点($C$74:$C$79,G$74:G$79,求节点($C$4:$C$12,G$4:G$12,基础状态预期!N228)),AS215)</f>
        <v>1</v>
      </c>
      <c r="AT216" s="14">
        <f>MAX(求节点($C$74:$C$79,H$74:H$79,求节点($C$4:$C$12,H$4:H$12,基础状态预期!O228)),AT215)</f>
        <v>2</v>
      </c>
      <c r="AU216" s="14">
        <f>MAX(求节点($C$81:$C$86,D$81:D$86,求节点($C$4:$C$12,D$4:D$12,基础状态预期!K228)),AU215)</f>
        <v>0</v>
      </c>
      <c r="AV216" s="14">
        <f>MAX(求节点($C$81:$C$86,E$81:E$86,求节点($C$4:$C$12,E$4:E$12,基础状态预期!L228)),AV215)</f>
        <v>0</v>
      </c>
      <c r="AW216" s="14">
        <f>MAX(求节点($C$81:$C$86,F$81:F$86,求节点($C$4:$C$12,F$4:F$12,基础状态预期!M228)),AW215)</f>
        <v>0</v>
      </c>
      <c r="AX216" s="14">
        <f>MAX(求节点($C$81:$C$86,G$81:G$86,求节点($C$4:$C$12,G$4:G$12,基础状态预期!N228)),AX215)</f>
        <v>2</v>
      </c>
      <c r="AY216" s="14">
        <f>MAX(求节点($C$81:$C$86,H$81:H$86,求节点($C$4:$C$12,H$4:H$12,基础状态预期!O228)),AY215)</f>
        <v>4</v>
      </c>
      <c r="AZ216" s="14">
        <f>MAX(求节点($C$88:$C$93,D$88:D$93,求节点($C$4:$C$12,D$4:D$12,基础状态预期!K228)),AZ215)</f>
        <v>0</v>
      </c>
      <c r="BA216" s="14">
        <f>MAX(求节点($C$88:$C$93,E$88:E$93,求节点($C$4:$C$12,E$4:E$12,基础状态预期!L228)),BA215)</f>
        <v>0</v>
      </c>
      <c r="BB216" s="14">
        <f>MAX(求节点($C$88:$C$93,F$88:F$93,求节点($C$4:$C$12,F$4:F$12,基础状态预期!M228)),BB215)</f>
        <v>0</v>
      </c>
      <c r="BC216" s="14">
        <f>MAX(求节点($C$88:$C$93,G$88:G$93,求节点($C$4:$C$12,G$4:G$12,基础状态预期!N228)),BC215)</f>
        <v>6</v>
      </c>
      <c r="BD216" s="14">
        <f>MAX(求节点($C$88:$C$93,H$88:H$93,求节点($C$4:$C$12,H$4:H$12,基础状态预期!O228)),BD215)</f>
        <v>48</v>
      </c>
      <c r="BE216" s="14">
        <f t="shared" si="48"/>
        <v>447000</v>
      </c>
    </row>
    <row r="217" spans="13:57" x14ac:dyDescent="0.15">
      <c r="M217" s="16">
        <v>36</v>
      </c>
      <c r="N217" s="29">
        <f>基础状态预期!D229</f>
        <v>140.08772492574531</v>
      </c>
      <c r="O217" s="29">
        <f>IF(基础状态预期!U229="",0,MIN(求节点($C$16:$C$24,D$16:D$24,基础状态预期!K229),求节点($C$28:$C$48,D$28:D$48,基础状态预期!U229)))</f>
        <v>0</v>
      </c>
      <c r="P217" s="29">
        <f>IF(基础状态预期!V229="",0,MIN(求节点($C$16:$C$24,E$16:E$24,基础状态预期!L229),求节点($C$28:$C$48,E$28:E$48,基础状态预期!V229)))</f>
        <v>0</v>
      </c>
      <c r="Q217" s="29">
        <f>IF(基础状态预期!W229="",0,MIN(求节点($C$16:$C$24,F$16:F$24,基础状态预期!M229),求节点($C$28:$C$48,F$28:F$48,基础状态预期!W229)))</f>
        <v>0</v>
      </c>
      <c r="R217" s="29">
        <f>IF(基础状态预期!X229="",0,MIN(求节点($C$16:$C$24,G$16:G$24,基础状态预期!N229),求节点($C$28:$C$48,G$28:G$48,基础状态预期!X229)))</f>
        <v>0</v>
      </c>
      <c r="S217" s="29">
        <f>IF(基础状态预期!Y229="",0,MIN(求节点($C$16:$C$24,H$16:H$24,基础状态预期!O229),求节点($C$28:$C$48,H$28:H$48,基础状态预期!Y229)))</f>
        <v>0.45</v>
      </c>
      <c r="T217" s="29">
        <f>MAX(SUMPRODUCT(O217:S217,基础状态预期!$F229:$J229)/SUM(基础状态预期!$F229:$J229),T216)</f>
        <v>0.45</v>
      </c>
      <c r="AO217" s="29">
        <f t="shared" si="51"/>
        <v>140.08772492574531</v>
      </c>
      <c r="AP217" s="14">
        <f>MAX(求节点($C$74:$C$79,D$74:D$79,求节点($C$4:$C$12,D$4:D$12,基础状态预期!K229)),AP216)</f>
        <v>0</v>
      </c>
      <c r="AQ217" s="14">
        <f>MAX(求节点($C$74:$C$79,E$74:E$79,求节点($C$4:$C$12,E$4:E$12,基础状态预期!L229)),AQ216)</f>
        <v>0</v>
      </c>
      <c r="AR217" s="14">
        <f>MAX(求节点($C$74:$C$79,F$74:F$79,求节点($C$4:$C$12,F$4:F$12,基础状态预期!M229)),AR216)</f>
        <v>0</v>
      </c>
      <c r="AS217" s="14">
        <f>MAX(求节点($C$74:$C$79,G$74:G$79,求节点($C$4:$C$12,G$4:G$12,基础状态预期!N229)),AS216)</f>
        <v>1</v>
      </c>
      <c r="AT217" s="14">
        <f>MAX(求节点($C$74:$C$79,H$74:H$79,求节点($C$4:$C$12,H$4:H$12,基础状态预期!O229)),AT216)</f>
        <v>2</v>
      </c>
      <c r="AU217" s="14">
        <f>MAX(求节点($C$81:$C$86,D$81:D$86,求节点($C$4:$C$12,D$4:D$12,基础状态预期!K229)),AU216)</f>
        <v>0</v>
      </c>
      <c r="AV217" s="14">
        <f>MAX(求节点($C$81:$C$86,E$81:E$86,求节点($C$4:$C$12,E$4:E$12,基础状态预期!L229)),AV216)</f>
        <v>0</v>
      </c>
      <c r="AW217" s="14">
        <f>MAX(求节点($C$81:$C$86,F$81:F$86,求节点($C$4:$C$12,F$4:F$12,基础状态预期!M229)),AW216)</f>
        <v>0</v>
      </c>
      <c r="AX217" s="14">
        <f>MAX(求节点($C$81:$C$86,G$81:G$86,求节点($C$4:$C$12,G$4:G$12,基础状态预期!N229)),AX216)</f>
        <v>2</v>
      </c>
      <c r="AY217" s="14">
        <f>MAX(求节点($C$81:$C$86,H$81:H$86,求节点($C$4:$C$12,H$4:H$12,基础状态预期!O229)),AY216)</f>
        <v>4</v>
      </c>
      <c r="AZ217" s="14">
        <f>MAX(求节点($C$88:$C$93,D$88:D$93,求节点($C$4:$C$12,D$4:D$12,基础状态预期!K229)),AZ216)</f>
        <v>0</v>
      </c>
      <c r="BA217" s="14">
        <f>MAX(求节点($C$88:$C$93,E$88:E$93,求节点($C$4:$C$12,E$4:E$12,基础状态预期!L229)),BA216)</f>
        <v>0</v>
      </c>
      <c r="BB217" s="14">
        <f>MAX(求节点($C$88:$C$93,F$88:F$93,求节点($C$4:$C$12,F$4:F$12,基础状态预期!M229)),BB216)</f>
        <v>0</v>
      </c>
      <c r="BC217" s="14">
        <f>MAX(求节点($C$88:$C$93,G$88:G$93,求节点($C$4:$C$12,G$4:G$12,基础状态预期!N229)),BC216)</f>
        <v>6</v>
      </c>
      <c r="BD217" s="14">
        <f>MAX(求节点($C$88:$C$93,H$88:H$93,求节点($C$4:$C$12,H$4:H$12,基础状态预期!O229)),BD216)</f>
        <v>48</v>
      </c>
      <c r="BE217" s="14">
        <f t="shared" si="48"/>
        <v>447000</v>
      </c>
    </row>
    <row r="218" spans="13:57" x14ac:dyDescent="0.15">
      <c r="M218" s="16">
        <v>37</v>
      </c>
      <c r="N218" s="29">
        <f>基础状态预期!D230</f>
        <v>143.51956656528549</v>
      </c>
      <c r="O218" s="29">
        <f>IF(基础状态预期!U230="",0,MIN(求节点($C$16:$C$24,D$16:D$24,基础状态预期!K230),求节点($C$28:$C$48,D$28:D$48,基础状态预期!U230)))</f>
        <v>0</v>
      </c>
      <c r="P218" s="29">
        <f>IF(基础状态预期!V230="",0,MIN(求节点($C$16:$C$24,E$16:E$24,基础状态预期!L230),求节点($C$28:$C$48,E$28:E$48,基础状态预期!V230)))</f>
        <v>0</v>
      </c>
      <c r="Q218" s="29">
        <f>IF(基础状态预期!W230="",0,MIN(求节点($C$16:$C$24,F$16:F$24,基础状态预期!M230),求节点($C$28:$C$48,F$28:F$48,基础状态预期!W230)))</f>
        <v>0</v>
      </c>
      <c r="R218" s="29">
        <f>IF(基础状态预期!X230="",0,MIN(求节点($C$16:$C$24,G$16:G$24,基础状态预期!N230),求节点($C$28:$C$48,G$28:G$48,基础状态预期!X230)))</f>
        <v>0</v>
      </c>
      <c r="S218" s="29">
        <f>IF(基础状态预期!Y230="",0,MIN(求节点($C$16:$C$24,H$16:H$24,基础状态预期!O230),求节点($C$28:$C$48,H$28:H$48,基础状态预期!Y230)))</f>
        <v>0.45</v>
      </c>
      <c r="T218" s="29">
        <f>MAX(SUMPRODUCT(O218:S218,基础状态预期!$F230:$J230)/SUM(基础状态预期!$F230:$J230),T217)</f>
        <v>0.45</v>
      </c>
      <c r="AO218" s="29">
        <f t="shared" si="51"/>
        <v>143.51956656528549</v>
      </c>
      <c r="AP218" s="14">
        <f>MAX(求节点($C$74:$C$79,D$74:D$79,求节点($C$4:$C$12,D$4:D$12,基础状态预期!K230)),AP217)</f>
        <v>0</v>
      </c>
      <c r="AQ218" s="14">
        <f>MAX(求节点($C$74:$C$79,E$74:E$79,求节点($C$4:$C$12,E$4:E$12,基础状态预期!L230)),AQ217)</f>
        <v>0</v>
      </c>
      <c r="AR218" s="14">
        <f>MAX(求节点($C$74:$C$79,F$74:F$79,求节点($C$4:$C$12,F$4:F$12,基础状态预期!M230)),AR217)</f>
        <v>0</v>
      </c>
      <c r="AS218" s="14">
        <f>MAX(求节点($C$74:$C$79,G$74:G$79,求节点($C$4:$C$12,G$4:G$12,基础状态预期!N230)),AS217)</f>
        <v>1</v>
      </c>
      <c r="AT218" s="14">
        <f>MAX(求节点($C$74:$C$79,H$74:H$79,求节点($C$4:$C$12,H$4:H$12,基础状态预期!O230)),AT217)</f>
        <v>2</v>
      </c>
      <c r="AU218" s="14">
        <f>MAX(求节点($C$81:$C$86,D$81:D$86,求节点($C$4:$C$12,D$4:D$12,基础状态预期!K230)),AU217)</f>
        <v>0</v>
      </c>
      <c r="AV218" s="14">
        <f>MAX(求节点($C$81:$C$86,E$81:E$86,求节点($C$4:$C$12,E$4:E$12,基础状态预期!L230)),AV217)</f>
        <v>0</v>
      </c>
      <c r="AW218" s="14">
        <f>MAX(求节点($C$81:$C$86,F$81:F$86,求节点($C$4:$C$12,F$4:F$12,基础状态预期!M230)),AW217)</f>
        <v>0</v>
      </c>
      <c r="AX218" s="14">
        <f>MAX(求节点($C$81:$C$86,G$81:G$86,求节点($C$4:$C$12,G$4:G$12,基础状态预期!N230)),AX217)</f>
        <v>2</v>
      </c>
      <c r="AY218" s="14">
        <f>MAX(求节点($C$81:$C$86,H$81:H$86,求节点($C$4:$C$12,H$4:H$12,基础状态预期!O230)),AY217)</f>
        <v>4</v>
      </c>
      <c r="AZ218" s="14">
        <f>MAX(求节点($C$88:$C$93,D$88:D$93,求节点($C$4:$C$12,D$4:D$12,基础状态预期!K230)),AZ217)</f>
        <v>0</v>
      </c>
      <c r="BA218" s="14">
        <f>MAX(求节点($C$88:$C$93,E$88:E$93,求节点($C$4:$C$12,E$4:E$12,基础状态预期!L230)),BA217)</f>
        <v>0</v>
      </c>
      <c r="BB218" s="14">
        <f>MAX(求节点($C$88:$C$93,F$88:F$93,求节点($C$4:$C$12,F$4:F$12,基础状态预期!M230)),BB217)</f>
        <v>0</v>
      </c>
      <c r="BC218" s="14">
        <f>MAX(求节点($C$88:$C$93,G$88:G$93,求节点($C$4:$C$12,G$4:G$12,基础状态预期!N230)),BC217)</f>
        <v>6</v>
      </c>
      <c r="BD218" s="14">
        <f>MAX(求节点($C$88:$C$93,H$88:H$93,求节点($C$4:$C$12,H$4:H$12,基础状态预期!O230)),BD217)</f>
        <v>48</v>
      </c>
      <c r="BE218" s="14">
        <f t="shared" si="48"/>
        <v>447000</v>
      </c>
    </row>
    <row r="219" spans="13:57" x14ac:dyDescent="0.15">
      <c r="M219" s="16">
        <v>38</v>
      </c>
      <c r="N219" s="29">
        <f>基础状态预期!D231</f>
        <v>147.17868266109423</v>
      </c>
      <c r="O219" s="29">
        <f>IF(基础状态预期!U231="",0,MIN(求节点($C$16:$C$24,D$16:D$24,基础状态预期!K231),求节点($C$28:$C$48,D$28:D$48,基础状态预期!U231)))</f>
        <v>0</v>
      </c>
      <c r="P219" s="29">
        <f>IF(基础状态预期!V231="",0,MIN(求节点($C$16:$C$24,E$16:E$24,基础状态预期!L231),求节点($C$28:$C$48,E$28:E$48,基础状态预期!V231)))</f>
        <v>0</v>
      </c>
      <c r="Q219" s="29">
        <f>IF(基础状态预期!W231="",0,MIN(求节点($C$16:$C$24,F$16:F$24,基础状态预期!M231),求节点($C$28:$C$48,F$28:F$48,基础状态预期!W231)))</f>
        <v>0</v>
      </c>
      <c r="R219" s="29">
        <f>IF(基础状态预期!X231="",0,MIN(求节点($C$16:$C$24,G$16:G$24,基础状态预期!N231),求节点($C$28:$C$48,G$28:G$48,基础状态预期!X231)))</f>
        <v>0</v>
      </c>
      <c r="S219" s="29">
        <f>IF(基础状态预期!Y231="",0,MIN(求节点($C$16:$C$24,H$16:H$24,基础状态预期!O231),求节点($C$28:$C$48,H$28:H$48,基础状态预期!Y231)))</f>
        <v>0.45</v>
      </c>
      <c r="T219" s="29">
        <f>MAX(SUMPRODUCT(O219:S219,基础状态预期!$F231:$J231)/SUM(基础状态预期!$F231:$J231),T218)</f>
        <v>0.45</v>
      </c>
      <c r="AO219" s="29">
        <f t="shared" si="51"/>
        <v>147.17868266109423</v>
      </c>
      <c r="AP219" s="14">
        <f>MAX(求节点($C$74:$C$79,D$74:D$79,求节点($C$4:$C$12,D$4:D$12,基础状态预期!K231)),AP218)</f>
        <v>0</v>
      </c>
      <c r="AQ219" s="14">
        <f>MAX(求节点($C$74:$C$79,E$74:E$79,求节点($C$4:$C$12,E$4:E$12,基础状态预期!L231)),AQ218)</f>
        <v>0</v>
      </c>
      <c r="AR219" s="14">
        <f>MAX(求节点($C$74:$C$79,F$74:F$79,求节点($C$4:$C$12,F$4:F$12,基础状态预期!M231)),AR218)</f>
        <v>0</v>
      </c>
      <c r="AS219" s="14">
        <f>MAX(求节点($C$74:$C$79,G$74:G$79,求节点($C$4:$C$12,G$4:G$12,基础状态预期!N231)),AS218)</f>
        <v>1</v>
      </c>
      <c r="AT219" s="14">
        <f>MAX(求节点($C$74:$C$79,H$74:H$79,求节点($C$4:$C$12,H$4:H$12,基础状态预期!O231)),AT218)</f>
        <v>2</v>
      </c>
      <c r="AU219" s="14">
        <f>MAX(求节点($C$81:$C$86,D$81:D$86,求节点($C$4:$C$12,D$4:D$12,基础状态预期!K231)),AU218)</f>
        <v>0</v>
      </c>
      <c r="AV219" s="14">
        <f>MAX(求节点($C$81:$C$86,E$81:E$86,求节点($C$4:$C$12,E$4:E$12,基础状态预期!L231)),AV218)</f>
        <v>0</v>
      </c>
      <c r="AW219" s="14">
        <f>MAX(求节点($C$81:$C$86,F$81:F$86,求节点($C$4:$C$12,F$4:F$12,基础状态预期!M231)),AW218)</f>
        <v>0</v>
      </c>
      <c r="AX219" s="14">
        <f>MAX(求节点($C$81:$C$86,G$81:G$86,求节点($C$4:$C$12,G$4:G$12,基础状态预期!N231)),AX218)</f>
        <v>2</v>
      </c>
      <c r="AY219" s="14">
        <f>MAX(求节点($C$81:$C$86,H$81:H$86,求节点($C$4:$C$12,H$4:H$12,基础状态预期!O231)),AY218)</f>
        <v>4</v>
      </c>
      <c r="AZ219" s="14">
        <f>MAX(求节点($C$88:$C$93,D$88:D$93,求节点($C$4:$C$12,D$4:D$12,基础状态预期!K231)),AZ218)</f>
        <v>0</v>
      </c>
      <c r="BA219" s="14">
        <f>MAX(求节点($C$88:$C$93,E$88:E$93,求节点($C$4:$C$12,E$4:E$12,基础状态预期!L231)),BA218)</f>
        <v>0</v>
      </c>
      <c r="BB219" s="14">
        <f>MAX(求节点($C$88:$C$93,F$88:F$93,求节点($C$4:$C$12,F$4:F$12,基础状态预期!M231)),BB218)</f>
        <v>0</v>
      </c>
      <c r="BC219" s="14">
        <f>MAX(求节点($C$88:$C$93,G$88:G$93,求节点($C$4:$C$12,G$4:G$12,基础状态预期!N231)),BC218)</f>
        <v>6</v>
      </c>
      <c r="BD219" s="14">
        <f>MAX(求节点($C$88:$C$93,H$88:H$93,求节点($C$4:$C$12,H$4:H$12,基础状态预期!O231)),BD218)</f>
        <v>48</v>
      </c>
      <c r="BE219" s="14">
        <f t="shared" si="48"/>
        <v>447000</v>
      </c>
    </row>
    <row r="220" spans="13:57" x14ac:dyDescent="0.15">
      <c r="M220" s="16">
        <v>39</v>
      </c>
      <c r="N220" s="29">
        <f>基础状态预期!D232</f>
        <v>150.49637054967232</v>
      </c>
      <c r="O220" s="29">
        <f>IF(基础状态预期!U232="",0,MIN(求节点($C$16:$C$24,D$16:D$24,基础状态预期!K232),求节点($C$28:$C$48,D$28:D$48,基础状态预期!U232)))</f>
        <v>0</v>
      </c>
      <c r="P220" s="29">
        <f>IF(基础状态预期!V232="",0,MIN(求节点($C$16:$C$24,E$16:E$24,基础状态预期!L232),求节点($C$28:$C$48,E$28:E$48,基础状态预期!V232)))</f>
        <v>0</v>
      </c>
      <c r="Q220" s="29">
        <f>IF(基础状态预期!W232="",0,MIN(求节点($C$16:$C$24,F$16:F$24,基础状态预期!M232),求节点($C$28:$C$48,F$28:F$48,基础状态预期!W232)))</f>
        <v>0</v>
      </c>
      <c r="R220" s="29">
        <f>IF(基础状态预期!X232="",0,MIN(求节点($C$16:$C$24,G$16:G$24,基础状态预期!N232),求节点($C$28:$C$48,G$28:G$48,基础状态预期!X232)))</f>
        <v>0</v>
      </c>
      <c r="S220" s="29">
        <f>IF(基础状态预期!Y232="",0,MIN(求节点($C$16:$C$24,H$16:H$24,基础状态预期!O232),求节点($C$28:$C$48,H$28:H$48,基础状态预期!Y232)))</f>
        <v>0.45</v>
      </c>
      <c r="T220" s="29">
        <f>MAX(SUMPRODUCT(O220:S220,基础状态预期!$F232:$J232)/SUM(基础状态预期!$F232:$J232),T219)</f>
        <v>0.45</v>
      </c>
      <c r="AO220" s="29">
        <f t="shared" si="51"/>
        <v>150.49637054967232</v>
      </c>
      <c r="AP220" s="14">
        <f>MAX(求节点($C$74:$C$79,D$74:D$79,求节点($C$4:$C$12,D$4:D$12,基础状态预期!K232)),AP219)</f>
        <v>0</v>
      </c>
      <c r="AQ220" s="14">
        <f>MAX(求节点($C$74:$C$79,E$74:E$79,求节点($C$4:$C$12,E$4:E$12,基础状态预期!L232)),AQ219)</f>
        <v>0</v>
      </c>
      <c r="AR220" s="14">
        <f>MAX(求节点($C$74:$C$79,F$74:F$79,求节点($C$4:$C$12,F$4:F$12,基础状态预期!M232)),AR219)</f>
        <v>0</v>
      </c>
      <c r="AS220" s="14">
        <f>MAX(求节点($C$74:$C$79,G$74:G$79,求节点($C$4:$C$12,G$4:G$12,基础状态预期!N232)),AS219)</f>
        <v>1</v>
      </c>
      <c r="AT220" s="14">
        <f>MAX(求节点($C$74:$C$79,H$74:H$79,求节点($C$4:$C$12,H$4:H$12,基础状态预期!O232)),AT219)</f>
        <v>2</v>
      </c>
      <c r="AU220" s="14">
        <f>MAX(求节点($C$81:$C$86,D$81:D$86,求节点($C$4:$C$12,D$4:D$12,基础状态预期!K232)),AU219)</f>
        <v>0</v>
      </c>
      <c r="AV220" s="14">
        <f>MAX(求节点($C$81:$C$86,E$81:E$86,求节点($C$4:$C$12,E$4:E$12,基础状态预期!L232)),AV219)</f>
        <v>0</v>
      </c>
      <c r="AW220" s="14">
        <f>MAX(求节点($C$81:$C$86,F$81:F$86,求节点($C$4:$C$12,F$4:F$12,基础状态预期!M232)),AW219)</f>
        <v>0</v>
      </c>
      <c r="AX220" s="14">
        <f>MAX(求节点($C$81:$C$86,G$81:G$86,求节点($C$4:$C$12,G$4:G$12,基础状态预期!N232)),AX219)</f>
        <v>2</v>
      </c>
      <c r="AY220" s="14">
        <f>MAX(求节点($C$81:$C$86,H$81:H$86,求节点($C$4:$C$12,H$4:H$12,基础状态预期!O232)),AY219)</f>
        <v>4</v>
      </c>
      <c r="AZ220" s="14">
        <f>MAX(求节点($C$88:$C$93,D$88:D$93,求节点($C$4:$C$12,D$4:D$12,基础状态预期!K232)),AZ219)</f>
        <v>0</v>
      </c>
      <c r="BA220" s="14">
        <f>MAX(求节点($C$88:$C$93,E$88:E$93,求节点($C$4:$C$12,E$4:E$12,基础状态预期!L232)),BA219)</f>
        <v>0</v>
      </c>
      <c r="BB220" s="14">
        <f>MAX(求节点($C$88:$C$93,F$88:F$93,求节点($C$4:$C$12,F$4:F$12,基础状态预期!M232)),BB219)</f>
        <v>0</v>
      </c>
      <c r="BC220" s="14">
        <f>MAX(求节点($C$88:$C$93,G$88:G$93,求节点($C$4:$C$12,G$4:G$12,基础状态预期!N232)),BC219)</f>
        <v>6</v>
      </c>
      <c r="BD220" s="14">
        <f>MAX(求节点($C$88:$C$93,H$88:H$93,求节点($C$4:$C$12,H$4:H$12,基础状态预期!O232)),BD219)</f>
        <v>48</v>
      </c>
      <c r="BE220" s="14">
        <f t="shared" si="48"/>
        <v>447000</v>
      </c>
    </row>
    <row r="221" spans="13:57" x14ac:dyDescent="0.15">
      <c r="M221" s="16">
        <v>40</v>
      </c>
      <c r="N221" s="29">
        <f>基础状态预期!D233</f>
        <v>151.40240982411487</v>
      </c>
      <c r="O221" s="29">
        <f>IF(基础状态预期!U233="",0,MIN(求节点($C$16:$C$24,D$16:D$24,基础状态预期!K233),求节点($C$28:$C$48,D$28:D$48,基础状态预期!U233)))</f>
        <v>0</v>
      </c>
      <c r="P221" s="29">
        <f>IF(基础状态预期!V233="",0,MIN(求节点($C$16:$C$24,E$16:E$24,基础状态预期!L233),求节点($C$28:$C$48,E$28:E$48,基础状态预期!V233)))</f>
        <v>0</v>
      </c>
      <c r="Q221" s="29">
        <f>IF(基础状态预期!W233="",0,MIN(求节点($C$16:$C$24,F$16:F$24,基础状态预期!M233),求节点($C$28:$C$48,F$28:F$48,基础状态预期!W233)))</f>
        <v>0</v>
      </c>
      <c r="R221" s="29">
        <f>IF(基础状态预期!X233="",0,MIN(求节点($C$16:$C$24,G$16:G$24,基础状态预期!N233),求节点($C$28:$C$48,G$28:G$48,基础状态预期!X233)))</f>
        <v>0</v>
      </c>
      <c r="S221" s="29">
        <f>IF(基础状态预期!Y233="",0,MIN(求节点($C$16:$C$24,H$16:H$24,基础状态预期!O233),求节点($C$28:$C$48,H$28:H$48,基础状态预期!Y233)))</f>
        <v>0.45</v>
      </c>
      <c r="T221" s="29">
        <f>MAX(SUMPRODUCT(O221:S221,基础状态预期!$F233:$J233)/SUM(基础状态预期!$F233:$J233),T220)</f>
        <v>0.45</v>
      </c>
      <c r="AO221" s="29">
        <f t="shared" si="51"/>
        <v>151.40240982411487</v>
      </c>
      <c r="AP221" s="14">
        <f>MAX(求节点($C$74:$C$79,D$74:D$79,求节点($C$4:$C$12,D$4:D$12,基础状态预期!K233)),AP220)</f>
        <v>0</v>
      </c>
      <c r="AQ221" s="14">
        <f>MAX(求节点($C$74:$C$79,E$74:E$79,求节点($C$4:$C$12,E$4:E$12,基础状态预期!L233)),AQ220)</f>
        <v>0</v>
      </c>
      <c r="AR221" s="14">
        <f>MAX(求节点($C$74:$C$79,F$74:F$79,求节点($C$4:$C$12,F$4:F$12,基础状态预期!M233)),AR220)</f>
        <v>0</v>
      </c>
      <c r="AS221" s="14">
        <f>MAX(求节点($C$74:$C$79,G$74:G$79,求节点($C$4:$C$12,G$4:G$12,基础状态预期!N233)),AS220)</f>
        <v>1</v>
      </c>
      <c r="AT221" s="14">
        <f>MAX(求节点($C$74:$C$79,H$74:H$79,求节点($C$4:$C$12,H$4:H$12,基础状态预期!O233)),AT220)</f>
        <v>2</v>
      </c>
      <c r="AU221" s="14">
        <f>MAX(求节点($C$81:$C$86,D$81:D$86,求节点($C$4:$C$12,D$4:D$12,基础状态预期!K233)),AU220)</f>
        <v>0</v>
      </c>
      <c r="AV221" s="14">
        <f>MAX(求节点($C$81:$C$86,E$81:E$86,求节点($C$4:$C$12,E$4:E$12,基础状态预期!L233)),AV220)</f>
        <v>0</v>
      </c>
      <c r="AW221" s="14">
        <f>MAX(求节点($C$81:$C$86,F$81:F$86,求节点($C$4:$C$12,F$4:F$12,基础状态预期!M233)),AW220)</f>
        <v>0</v>
      </c>
      <c r="AX221" s="14">
        <f>MAX(求节点($C$81:$C$86,G$81:G$86,求节点($C$4:$C$12,G$4:G$12,基础状态预期!N233)),AX220)</f>
        <v>2</v>
      </c>
      <c r="AY221" s="14">
        <f>MAX(求节点($C$81:$C$86,H$81:H$86,求节点($C$4:$C$12,H$4:H$12,基础状态预期!O233)),AY220)</f>
        <v>4</v>
      </c>
      <c r="AZ221" s="14">
        <f>MAX(求节点($C$88:$C$93,D$88:D$93,求节点($C$4:$C$12,D$4:D$12,基础状态预期!K233)),AZ220)</f>
        <v>0</v>
      </c>
      <c r="BA221" s="14">
        <f>MAX(求节点($C$88:$C$93,E$88:E$93,求节点($C$4:$C$12,E$4:E$12,基础状态预期!L233)),BA220)</f>
        <v>0</v>
      </c>
      <c r="BB221" s="14">
        <f>MAX(求节点($C$88:$C$93,F$88:F$93,求节点($C$4:$C$12,F$4:F$12,基础状态预期!M233)),BB220)</f>
        <v>0</v>
      </c>
      <c r="BC221" s="14">
        <f>MAX(求节点($C$88:$C$93,G$88:G$93,求节点($C$4:$C$12,G$4:G$12,基础状态预期!N233)),BC220)</f>
        <v>6</v>
      </c>
      <c r="BD221" s="14">
        <f>MAX(求节点($C$88:$C$93,H$88:H$93,求节点($C$4:$C$12,H$4:H$12,基础状态预期!O233)),BD220)</f>
        <v>48</v>
      </c>
      <c r="BE221" s="14">
        <f t="shared" si="48"/>
        <v>447000</v>
      </c>
    </row>
    <row r="222" spans="13:57" x14ac:dyDescent="0.15">
      <c r="M222" s="16">
        <v>41</v>
      </c>
      <c r="N222" s="29">
        <f>基础状态预期!D234</f>
        <v>152.00526961196863</v>
      </c>
      <c r="O222" s="29">
        <f>IF(基础状态预期!U234="",0,MIN(求节点($C$16:$C$24,D$16:D$24,基础状态预期!K234),求节点($C$28:$C$48,D$28:D$48,基础状态预期!U234)))</f>
        <v>0</v>
      </c>
      <c r="P222" s="29">
        <f>IF(基础状态预期!V234="",0,MIN(求节点($C$16:$C$24,E$16:E$24,基础状态预期!L234),求节点($C$28:$C$48,E$28:E$48,基础状态预期!V234)))</f>
        <v>0</v>
      </c>
      <c r="Q222" s="29">
        <f>IF(基础状态预期!W234="",0,MIN(求节点($C$16:$C$24,F$16:F$24,基础状态预期!M234),求节点($C$28:$C$48,F$28:F$48,基础状态预期!W234)))</f>
        <v>0</v>
      </c>
      <c r="R222" s="29">
        <f>IF(基础状态预期!X234="",0,MIN(求节点($C$16:$C$24,G$16:G$24,基础状态预期!N234),求节点($C$28:$C$48,G$28:G$48,基础状态预期!X234)))</f>
        <v>0</v>
      </c>
      <c r="S222" s="29">
        <f>IF(基础状态预期!Y234="",0,MIN(求节点($C$16:$C$24,H$16:H$24,基础状态预期!O234),求节点($C$28:$C$48,H$28:H$48,基础状态预期!Y234)))</f>
        <v>0.45</v>
      </c>
      <c r="T222" s="29">
        <f>MAX(SUMPRODUCT(O222:S222,基础状态预期!$F234:$J234)/SUM(基础状态预期!$F234:$J234),T221)</f>
        <v>0.45</v>
      </c>
      <c r="AO222" s="29">
        <f t="shared" si="51"/>
        <v>152.00526961196863</v>
      </c>
      <c r="AP222" s="14">
        <f>MAX(求节点($C$74:$C$79,D$74:D$79,求节点($C$4:$C$12,D$4:D$12,基础状态预期!K234)),AP221)</f>
        <v>0</v>
      </c>
      <c r="AQ222" s="14">
        <f>MAX(求节点($C$74:$C$79,E$74:E$79,求节点($C$4:$C$12,E$4:E$12,基础状态预期!L234)),AQ221)</f>
        <v>0</v>
      </c>
      <c r="AR222" s="14">
        <f>MAX(求节点($C$74:$C$79,F$74:F$79,求节点($C$4:$C$12,F$4:F$12,基础状态预期!M234)),AR221)</f>
        <v>0</v>
      </c>
      <c r="AS222" s="14">
        <f>MAX(求节点($C$74:$C$79,G$74:G$79,求节点($C$4:$C$12,G$4:G$12,基础状态预期!N234)),AS221)</f>
        <v>1</v>
      </c>
      <c r="AT222" s="14">
        <f>MAX(求节点($C$74:$C$79,H$74:H$79,求节点($C$4:$C$12,H$4:H$12,基础状态预期!O234)),AT221)</f>
        <v>2</v>
      </c>
      <c r="AU222" s="14">
        <f>MAX(求节点($C$81:$C$86,D$81:D$86,求节点($C$4:$C$12,D$4:D$12,基础状态预期!K234)),AU221)</f>
        <v>0</v>
      </c>
      <c r="AV222" s="14">
        <f>MAX(求节点($C$81:$C$86,E$81:E$86,求节点($C$4:$C$12,E$4:E$12,基础状态预期!L234)),AV221)</f>
        <v>0</v>
      </c>
      <c r="AW222" s="14">
        <f>MAX(求节点($C$81:$C$86,F$81:F$86,求节点($C$4:$C$12,F$4:F$12,基础状态预期!M234)),AW221)</f>
        <v>0</v>
      </c>
      <c r="AX222" s="14">
        <f>MAX(求节点($C$81:$C$86,G$81:G$86,求节点($C$4:$C$12,G$4:G$12,基础状态预期!N234)),AX221)</f>
        <v>2</v>
      </c>
      <c r="AY222" s="14">
        <f>MAX(求节点($C$81:$C$86,H$81:H$86,求节点($C$4:$C$12,H$4:H$12,基础状态预期!O234)),AY221)</f>
        <v>4</v>
      </c>
      <c r="AZ222" s="14">
        <f>MAX(求节点($C$88:$C$93,D$88:D$93,求节点($C$4:$C$12,D$4:D$12,基础状态预期!K234)),AZ221)</f>
        <v>0</v>
      </c>
      <c r="BA222" s="14">
        <f>MAX(求节点($C$88:$C$93,E$88:E$93,求节点($C$4:$C$12,E$4:E$12,基础状态预期!L234)),BA221)</f>
        <v>0</v>
      </c>
      <c r="BB222" s="14">
        <f>MAX(求节点($C$88:$C$93,F$88:F$93,求节点($C$4:$C$12,F$4:F$12,基础状态预期!M234)),BB221)</f>
        <v>0</v>
      </c>
      <c r="BC222" s="14">
        <f>MAX(求节点($C$88:$C$93,G$88:G$93,求节点($C$4:$C$12,G$4:G$12,基础状态预期!N234)),BC221)</f>
        <v>6</v>
      </c>
      <c r="BD222" s="14">
        <f>MAX(求节点($C$88:$C$93,H$88:H$93,求节点($C$4:$C$12,H$4:H$12,基础状态预期!O234)),BD221)</f>
        <v>48</v>
      </c>
      <c r="BE222" s="14">
        <f t="shared" si="48"/>
        <v>447000</v>
      </c>
    </row>
    <row r="223" spans="13:57" x14ac:dyDescent="0.15">
      <c r="M223" s="16">
        <v>42</v>
      </c>
      <c r="N223" s="29">
        <f>基础状态预期!D235</f>
        <v>152.38629594951036</v>
      </c>
      <c r="O223" s="29">
        <f>IF(基础状态预期!U235="",0,MIN(求节点($C$16:$C$24,D$16:D$24,基础状态预期!K235),求节点($C$28:$C$48,D$28:D$48,基础状态预期!U235)))</f>
        <v>0</v>
      </c>
      <c r="P223" s="29">
        <f>IF(基础状态预期!V235="",0,MIN(求节点($C$16:$C$24,E$16:E$24,基础状态预期!L235),求节点($C$28:$C$48,E$28:E$48,基础状态预期!V235)))</f>
        <v>0</v>
      </c>
      <c r="Q223" s="29">
        <f>IF(基础状态预期!W235="",0,MIN(求节点($C$16:$C$24,F$16:F$24,基础状态预期!M235),求节点($C$28:$C$48,F$28:F$48,基础状态预期!W235)))</f>
        <v>0</v>
      </c>
      <c r="R223" s="29">
        <f>IF(基础状态预期!X235="",0,MIN(求节点($C$16:$C$24,G$16:G$24,基础状态预期!N235),求节点($C$28:$C$48,G$28:G$48,基础状态预期!X235)))</f>
        <v>0</v>
      </c>
      <c r="S223" s="29">
        <f>IF(基础状态预期!Y235="",0,MIN(求节点($C$16:$C$24,H$16:H$24,基础状态预期!O235),求节点($C$28:$C$48,H$28:H$48,基础状态预期!Y235)))</f>
        <v>0.45</v>
      </c>
      <c r="T223" s="29">
        <f>MAX(SUMPRODUCT(O223:S223,基础状态预期!$F235:$J235)/SUM(基础状态预期!$F235:$J235),T222)</f>
        <v>0.45</v>
      </c>
      <c r="AO223" s="29">
        <f t="shared" si="51"/>
        <v>152.38629594951036</v>
      </c>
      <c r="AP223" s="14">
        <f>MAX(求节点($C$74:$C$79,D$74:D$79,求节点($C$4:$C$12,D$4:D$12,基础状态预期!K235)),AP222)</f>
        <v>0</v>
      </c>
      <c r="AQ223" s="14">
        <f>MAX(求节点($C$74:$C$79,E$74:E$79,求节点($C$4:$C$12,E$4:E$12,基础状态预期!L235)),AQ222)</f>
        <v>0</v>
      </c>
      <c r="AR223" s="14">
        <f>MAX(求节点($C$74:$C$79,F$74:F$79,求节点($C$4:$C$12,F$4:F$12,基础状态预期!M235)),AR222)</f>
        <v>0</v>
      </c>
      <c r="AS223" s="14">
        <f>MAX(求节点($C$74:$C$79,G$74:G$79,求节点($C$4:$C$12,G$4:G$12,基础状态预期!N235)),AS222)</f>
        <v>1</v>
      </c>
      <c r="AT223" s="14">
        <f>MAX(求节点($C$74:$C$79,H$74:H$79,求节点($C$4:$C$12,H$4:H$12,基础状态预期!O235)),AT222)</f>
        <v>2</v>
      </c>
      <c r="AU223" s="14">
        <f>MAX(求节点($C$81:$C$86,D$81:D$86,求节点($C$4:$C$12,D$4:D$12,基础状态预期!K235)),AU222)</f>
        <v>0</v>
      </c>
      <c r="AV223" s="14">
        <f>MAX(求节点($C$81:$C$86,E$81:E$86,求节点($C$4:$C$12,E$4:E$12,基础状态预期!L235)),AV222)</f>
        <v>0</v>
      </c>
      <c r="AW223" s="14">
        <f>MAX(求节点($C$81:$C$86,F$81:F$86,求节点($C$4:$C$12,F$4:F$12,基础状态预期!M235)),AW222)</f>
        <v>0</v>
      </c>
      <c r="AX223" s="14">
        <f>MAX(求节点($C$81:$C$86,G$81:G$86,求节点($C$4:$C$12,G$4:G$12,基础状态预期!N235)),AX222)</f>
        <v>2</v>
      </c>
      <c r="AY223" s="14">
        <f>MAX(求节点($C$81:$C$86,H$81:H$86,求节点($C$4:$C$12,H$4:H$12,基础状态预期!O235)),AY222)</f>
        <v>4</v>
      </c>
      <c r="AZ223" s="14">
        <f>MAX(求节点($C$88:$C$93,D$88:D$93,求节点($C$4:$C$12,D$4:D$12,基础状态预期!K235)),AZ222)</f>
        <v>0</v>
      </c>
      <c r="BA223" s="14">
        <f>MAX(求节点($C$88:$C$93,E$88:E$93,求节点($C$4:$C$12,E$4:E$12,基础状态预期!L235)),BA222)</f>
        <v>0</v>
      </c>
      <c r="BB223" s="14">
        <f>MAX(求节点($C$88:$C$93,F$88:F$93,求节点($C$4:$C$12,F$4:F$12,基础状态预期!M235)),BB222)</f>
        <v>0</v>
      </c>
      <c r="BC223" s="14">
        <f>MAX(求节点($C$88:$C$93,G$88:G$93,求节点($C$4:$C$12,G$4:G$12,基础状态预期!N235)),BC222)</f>
        <v>6</v>
      </c>
      <c r="BD223" s="14">
        <f>MAX(求节点($C$88:$C$93,H$88:H$93,求节点($C$4:$C$12,H$4:H$12,基础状态预期!O235)),BD222)</f>
        <v>48</v>
      </c>
      <c r="BE223" s="14">
        <f t="shared" si="48"/>
        <v>447000</v>
      </c>
    </row>
    <row r="224" spans="13:57" x14ac:dyDescent="0.15">
      <c r="M224" s="16">
        <v>43</v>
      </c>
    </row>
    <row r="225" spans="13:13" x14ac:dyDescent="0.15">
      <c r="M225" s="16">
        <v>44</v>
      </c>
    </row>
    <row r="226" spans="13:13" x14ac:dyDescent="0.15">
      <c r="M226" s="16">
        <v>45</v>
      </c>
    </row>
  </sheetData>
  <mergeCells count="47">
    <mergeCell ref="W3:AA3"/>
    <mergeCell ref="B15:B24"/>
    <mergeCell ref="BI48:BK48"/>
    <mergeCell ref="BI93:BK93"/>
    <mergeCell ref="AP48:AT48"/>
    <mergeCell ref="AU48:AY48"/>
    <mergeCell ref="AZ48:BD48"/>
    <mergeCell ref="BE48:BE49"/>
    <mergeCell ref="BI3:BK3"/>
    <mergeCell ref="AP3:AT3"/>
    <mergeCell ref="AU3:AY3"/>
    <mergeCell ref="AZ3:BD3"/>
    <mergeCell ref="AF3:AG3"/>
    <mergeCell ref="AH3:AJ3"/>
    <mergeCell ref="BE3:BE4"/>
    <mergeCell ref="O3:T3"/>
    <mergeCell ref="O93:T93"/>
    <mergeCell ref="BI138:BK138"/>
    <mergeCell ref="BI183:BK183"/>
    <mergeCell ref="AP93:AT93"/>
    <mergeCell ref="AU93:AY93"/>
    <mergeCell ref="AZ93:BD93"/>
    <mergeCell ref="BE93:BE94"/>
    <mergeCell ref="AP138:AT138"/>
    <mergeCell ref="AU138:AY138"/>
    <mergeCell ref="AZ138:BD138"/>
    <mergeCell ref="BE138:BE139"/>
    <mergeCell ref="AU183:AY183"/>
    <mergeCell ref="AZ183:BD183"/>
    <mergeCell ref="BE183:BE184"/>
    <mergeCell ref="AP183:AT183"/>
    <mergeCell ref="B3:B12"/>
    <mergeCell ref="B96:B102"/>
    <mergeCell ref="B80:B86"/>
    <mergeCell ref="AH183:AJ183"/>
    <mergeCell ref="AH48:AJ48"/>
    <mergeCell ref="AH93:AJ93"/>
    <mergeCell ref="AH138:AJ138"/>
    <mergeCell ref="B51:B57"/>
    <mergeCell ref="B58:B64"/>
    <mergeCell ref="B65:B71"/>
    <mergeCell ref="O138:T138"/>
    <mergeCell ref="O183:T183"/>
    <mergeCell ref="B73:B79"/>
    <mergeCell ref="B27:B48"/>
    <mergeCell ref="B87:B93"/>
    <mergeCell ref="O48:T48"/>
  </mergeCells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A1:BC228"/>
  <sheetViews>
    <sheetView workbookViewId="0">
      <selection activeCell="F5" sqref="F5"/>
    </sheetView>
  </sheetViews>
  <sheetFormatPr defaultRowHeight="11.25" x14ac:dyDescent="0.15"/>
  <cols>
    <col min="1" max="1" width="10.5" style="5" bestFit="1" customWidth="1"/>
    <col min="2" max="7" width="6.25" style="5" customWidth="1"/>
    <col min="8" max="8" width="4.5" style="36" customWidth="1"/>
    <col min="9" max="9" width="16.375" style="17" customWidth="1"/>
    <col min="10" max="13" width="7.5" style="17" customWidth="1"/>
    <col min="14" max="14" width="6.625" style="7"/>
    <col min="15" max="15" width="6.625" style="36"/>
    <col min="16" max="16" width="6.625" style="5"/>
    <col min="17" max="17" width="12.25" style="7" bestFit="1" customWidth="1"/>
    <col min="18" max="18" width="9" style="7"/>
    <col min="19" max="23" width="6.625" style="7"/>
    <col min="24" max="24" width="10.25" style="7" customWidth="1"/>
    <col min="25" max="25" width="9" style="5"/>
    <col min="26" max="26" width="9.125" style="5" customWidth="1"/>
    <col min="27" max="31" width="9" style="7"/>
    <col min="32" max="32" width="10.875" style="7" customWidth="1"/>
    <col min="33" max="33" width="9" style="5"/>
    <col min="34" max="34" width="11.375" style="5" bestFit="1" customWidth="1"/>
    <col min="35" max="35" width="9" style="4"/>
    <col min="36" max="36" width="9" style="98"/>
    <col min="37" max="38" width="9" style="5"/>
    <col min="39" max="39" width="6.625" style="36" customWidth="1"/>
    <col min="40" max="50" width="9" style="5"/>
    <col min="51" max="51" width="5.875" style="18" customWidth="1"/>
    <col min="52" max="52" width="6.25" style="5"/>
    <col min="53" max="53" width="6.375" style="5" bestFit="1" customWidth="1"/>
    <col min="54" max="54" width="6.75" style="5" bestFit="1" customWidth="1"/>
    <col min="55" max="55" width="9.75" style="5" bestFit="1" customWidth="1"/>
    <col min="56" max="16384" width="9" style="5"/>
  </cols>
  <sheetData>
    <row r="1" spans="1:55" x14ac:dyDescent="0.15">
      <c r="I1" s="28" t="str">
        <f>IF(武将数量星级阶位验证!A2="","",武将数量星级阶位验证!A2)</f>
        <v>10连价格</v>
      </c>
      <c r="J1" s="17">
        <f>IF(武将数量星级阶位验证!B2="","",武将数量星级阶位验证!B2)</f>
        <v>2300</v>
      </c>
      <c r="K1" s="28" t="str">
        <f>IF(武将数量星级阶位验证!C2="","",武将数量星级阶位验证!C2)</f>
        <v/>
      </c>
      <c r="L1" s="28" t="str">
        <f>IF(武将数量星级阶位验证!D2="","",武将数量星级阶位验证!D2)</f>
        <v>10连非角色部分价值</v>
      </c>
      <c r="M1" s="28">
        <f>IF(武将数量星级阶位验证!E2="","",武将数量星级阶位验证!E2)</f>
        <v>500</v>
      </c>
      <c r="AA1" s="1"/>
      <c r="AB1" s="1"/>
      <c r="AC1" s="1"/>
    </row>
    <row r="2" spans="1:55" x14ac:dyDescent="0.15">
      <c r="I2" s="17" t="str">
        <f>IF(武将数量星级阶位验证!A3="","",武将数量星级阶位验证!A3)</f>
        <v>限时抽10连</v>
      </c>
      <c r="J2" s="17">
        <f>IF(武将数量星级阶位验证!B3="","",武将数量星级阶位验证!B3)</f>
        <v>2650.6666666666665</v>
      </c>
      <c r="K2" s="17" t="str">
        <f>IF(武将数量星级阶位验证!C3="","",武将数量星级阶位验证!C3)</f>
        <v/>
      </c>
      <c r="L2" s="17" t="str">
        <f>IF(武将数量星级阶位验证!D3="","",武将数量星级阶位验证!D3)</f>
        <v>10连额外价值</v>
      </c>
      <c r="M2" s="17">
        <f>IF(武将数量星级阶位验证!E3="","",武将数量星级阶位验证!E3)</f>
        <v>300</v>
      </c>
      <c r="U2" s="5"/>
      <c r="V2" s="5"/>
      <c r="W2" s="5"/>
      <c r="AA2" s="1"/>
      <c r="AB2" s="4"/>
      <c r="AC2" s="1"/>
      <c r="AD2" s="5"/>
    </row>
    <row r="3" spans="1:55" x14ac:dyDescent="0.15">
      <c r="B3" s="35" t="s">
        <v>352</v>
      </c>
      <c r="C3" s="35" t="s">
        <v>80</v>
      </c>
      <c r="D3" s="35" t="s">
        <v>81</v>
      </c>
      <c r="E3" s="35" t="s">
        <v>82</v>
      </c>
      <c r="F3" s="35" t="s">
        <v>545</v>
      </c>
      <c r="G3" s="35" t="s">
        <v>30</v>
      </c>
      <c r="I3" s="17" t="str">
        <f>IF(武将数量星级阶位验证!A4="","",武将数量星级阶位验证!A4)</f>
        <v/>
      </c>
      <c r="J3" s="17" t="str">
        <f>IF(武将数量星级阶位验证!B4="","",武将数量星级阶位验证!B4)</f>
        <v/>
      </c>
      <c r="K3" s="17">
        <f>IF(武将数量星级阶位验证!C4="","",武将数量星级阶位验证!C4)</f>
        <v>5</v>
      </c>
      <c r="L3" s="17">
        <f>IF(武将数量星级阶位验证!D4="","",武将数量星级阶位验证!D4)</f>
        <v>5</v>
      </c>
      <c r="M3" s="17">
        <f>IF(武将数量星级阶位验证!H6="","",武将数量星级阶位验证!H6)</f>
        <v>3</v>
      </c>
      <c r="U3" s="1"/>
      <c r="V3" s="1"/>
      <c r="W3" s="1"/>
      <c r="AA3" s="1"/>
      <c r="AB3" s="1"/>
      <c r="AC3" s="1"/>
      <c r="AD3" s="5"/>
      <c r="AK3" s="4"/>
      <c r="AL3" s="4"/>
    </row>
    <row r="4" spans="1:55" x14ac:dyDescent="0.15">
      <c r="A4" s="10" t="s">
        <v>350</v>
      </c>
      <c r="B4" s="8">
        <v>6</v>
      </c>
      <c r="C4" s="8">
        <v>6</v>
      </c>
      <c r="D4" s="8">
        <v>6</v>
      </c>
      <c r="E4" s="8">
        <v>6</v>
      </c>
      <c r="F4" s="8">
        <v>6</v>
      </c>
      <c r="G4" s="8">
        <v>6</v>
      </c>
      <c r="I4" s="35" t="str">
        <f>IF(武将数量星级阶位验证!A5="","",武将数量星级阶位验证!A5)</f>
        <v>卡牌品质</v>
      </c>
      <c r="J4" s="35" t="str">
        <f>IF(武将数量星级阶位验证!B5="","",武将数量星级阶位验证!B5)</f>
        <v>蓝</v>
      </c>
      <c r="K4" s="35" t="str">
        <f>IF(武将数量星级阶位验证!C5="","",武将数量星级阶位验证!C5)</f>
        <v>紫</v>
      </c>
      <c r="L4" s="35" t="str">
        <f>IF(武将数量星级阶位验证!D5="","",武将数量星级阶位验证!D5)</f>
        <v>橙</v>
      </c>
      <c r="M4" s="35" t="str">
        <f>IF(武将数量星级阶位验证!E5="","",武将数量星级阶位验证!E5)</f>
        <v>橙+</v>
      </c>
      <c r="Q4" s="5"/>
      <c r="AA4" s="13"/>
      <c r="AB4" s="13"/>
      <c r="AC4" s="1"/>
      <c r="AD4" s="5"/>
      <c r="AI4" s="4" t="s">
        <v>478</v>
      </c>
      <c r="AJ4" s="98" t="s">
        <v>364</v>
      </c>
      <c r="AK4" s="5" t="s">
        <v>359</v>
      </c>
      <c r="AL4" s="17"/>
      <c r="AO4" s="5">
        <v>1</v>
      </c>
    </row>
    <row r="5" spans="1:55" ht="11.25" customHeight="1" x14ac:dyDescent="0.15">
      <c r="A5" s="8" t="s">
        <v>360</v>
      </c>
      <c r="B5" s="8">
        <v>1</v>
      </c>
      <c r="C5" s="8">
        <v>1</v>
      </c>
      <c r="D5" s="8">
        <v>1</v>
      </c>
      <c r="E5" s="8">
        <v>1</v>
      </c>
      <c r="F5" s="8">
        <v>1</v>
      </c>
      <c r="G5" s="8">
        <v>1</v>
      </c>
      <c r="I5" s="29" t="str">
        <f>IF(武将数量星级阶位验证!A6="","",武将数量星级阶位验证!A6)</f>
        <v>种类数</v>
      </c>
      <c r="J5" s="29">
        <f>IF(武将数量星级阶位验证!B6="","",武将数量星级阶位验证!B6)</f>
        <v>6</v>
      </c>
      <c r="K5" s="29">
        <f>IF(武将数量星级阶位验证!C6="","",武将数量星级阶位验证!C6)</f>
        <v>10</v>
      </c>
      <c r="L5" s="29">
        <f>IF(武将数量星级阶位验证!D6="","",武将数量星级阶位验证!D6)</f>
        <v>25</v>
      </c>
      <c r="M5" s="29">
        <f>IF(武将数量星级阶位验证!E6="","",武将数量星级阶位验证!E6)</f>
        <v>1</v>
      </c>
      <c r="Q5" s="17"/>
      <c r="R5" s="17"/>
      <c r="AI5" s="4">
        <v>1</v>
      </c>
      <c r="AJ5" s="98">
        <f>MIN(AK5^LOG(3.5,6)/20000*1.2,$M$47)</f>
        <v>1.6595838122021541E-3</v>
      </c>
      <c r="AK5" s="5">
        <f>'[1]资源-钻石'!$N4*求节点(武将数量星级阶位验证!$CP$41:$CP$72,武将数量星级阶位验证!$CS$41:$CS$72,节奏总纲!R4)</f>
        <v>115.39780012540855</v>
      </c>
      <c r="AL5" s="48"/>
      <c r="AO5" s="5">
        <v>2</v>
      </c>
      <c r="AP5" s="8" t="s">
        <v>75</v>
      </c>
      <c r="AQ5" s="46"/>
      <c r="AR5" s="188" t="s">
        <v>361</v>
      </c>
      <c r="AS5" s="174"/>
      <c r="AT5" s="174"/>
      <c r="AU5" s="174"/>
      <c r="AV5" s="174"/>
      <c r="AW5" s="175"/>
      <c r="BA5" s="35" t="s">
        <v>96</v>
      </c>
      <c r="BB5" s="29" t="s">
        <v>367</v>
      </c>
      <c r="BC5" s="51"/>
    </row>
    <row r="6" spans="1:55" x14ac:dyDescent="0.15">
      <c r="I6" s="29" t="str">
        <f>IF(武将数量星级阶位验证!A7="","",武将数量星级阶位验证!A7)</f>
        <v>钻石价值(宝箱)</v>
      </c>
      <c r="J6" s="29">
        <f>IF(武将数量星级阶位验证!B7="","",武将数量星级阶位验证!B7)</f>
        <v>40</v>
      </c>
      <c r="K6" s="29">
        <f>IF(武将数量星级阶位验证!C7="","",武将数量星级阶位验证!C7)</f>
        <v>200</v>
      </c>
      <c r="L6" s="29">
        <f>IF(武将数量星级阶位验证!D7="","",武将数量星级阶位验证!D7)</f>
        <v>1000</v>
      </c>
      <c r="M6" s="29">
        <f>IF(武将数量星级阶位验证!E7="","",武将数量星级阶位验证!E7)</f>
        <v>3000</v>
      </c>
      <c r="Q6" s="5"/>
      <c r="R6" s="5"/>
      <c r="S6" s="5"/>
      <c r="T6" s="5"/>
      <c r="U6" s="5"/>
      <c r="V6" s="5"/>
      <c r="W6" s="5"/>
      <c r="X6" s="5"/>
      <c r="AA6" s="5"/>
      <c r="AB6" s="5"/>
      <c r="AC6" s="5"/>
      <c r="AD6" s="5"/>
      <c r="AE6" s="5"/>
      <c r="AF6" s="5"/>
      <c r="AH6" s="87"/>
      <c r="AI6" s="4">
        <v>2</v>
      </c>
      <c r="AJ6" s="98">
        <f t="shared" ref="AJ6:AJ69" si="0">MIN(AK6^LOG(3.5,6)/20000*1.2,$M$47)</f>
        <v>4.7244890343591259E-3</v>
      </c>
      <c r="AK6" s="5">
        <f>'[1]资源-钻石'!$N5*求节点(武将数量星级阶位验证!$CP$41:$CP$72,武将数量星级阶位验证!$CS$41:$CS$72,节奏总纲!R5)</f>
        <v>515.27370093036075</v>
      </c>
      <c r="AL6" s="48"/>
      <c r="AO6" s="5">
        <v>3</v>
      </c>
      <c r="AP6" s="8" t="s">
        <v>478</v>
      </c>
      <c r="AQ6" s="50"/>
      <c r="AR6" s="19" t="s">
        <v>3</v>
      </c>
      <c r="AS6" s="19" t="s">
        <v>1</v>
      </c>
      <c r="AT6" s="19" t="s">
        <v>2</v>
      </c>
      <c r="AU6" s="19" t="s">
        <v>0</v>
      </c>
      <c r="AV6" s="19" t="s">
        <v>545</v>
      </c>
      <c r="AW6" s="8" t="s">
        <v>228</v>
      </c>
      <c r="BA6" s="32" t="s">
        <v>478</v>
      </c>
      <c r="BB6" s="29" t="s">
        <v>368</v>
      </c>
      <c r="BC6" s="29" t="s">
        <v>369</v>
      </c>
    </row>
    <row r="7" spans="1:55" x14ac:dyDescent="0.15">
      <c r="I7" s="29" t="str">
        <f>IF(武将数量星级阶位验证!A8="","",武将数量星级阶位验证!A8)</f>
        <v>钻石价值(指定品质)</v>
      </c>
      <c r="J7" s="29">
        <f>IF(武将数量星级阶位验证!B8="","",武将数量星级阶位验证!B8)</f>
        <v>25</v>
      </c>
      <c r="K7" s="29">
        <f>IF(武将数量星级阶位验证!C8="","",武将数量星级阶位验证!C8)</f>
        <v>360</v>
      </c>
      <c r="L7" s="29">
        <f>IF(武将数量星级阶位验证!D8="","",武将数量星级阶位验证!D8)</f>
        <v>1800</v>
      </c>
      <c r="M7" s="29" t="str">
        <f>IF(武将数量星级阶位验证!E8="","",武将数量星级阶位验证!E8)</f>
        <v/>
      </c>
      <c r="Q7" s="5"/>
      <c r="R7" s="5"/>
      <c r="S7" s="5"/>
      <c r="T7" s="5"/>
      <c r="U7" s="5"/>
      <c r="V7" s="5"/>
      <c r="W7" s="5"/>
      <c r="AA7" s="5"/>
      <c r="AB7" s="5"/>
      <c r="AC7" s="5"/>
      <c r="AD7" s="5"/>
      <c r="AE7" s="5"/>
      <c r="AF7" s="5"/>
      <c r="AH7" s="87"/>
      <c r="AI7" s="4">
        <v>3</v>
      </c>
      <c r="AJ7" s="98">
        <f t="shared" si="0"/>
        <v>8.9562639031230962E-3</v>
      </c>
      <c r="AK7" s="5">
        <f>'[1]资源-钻石'!$N6*求节点(武将数量星级阶位验证!$CP$41:$CP$72,武将数量星级阶位验证!$CS$41:$CS$72,节奏总纲!R6)</f>
        <v>1286.2351553581977</v>
      </c>
      <c r="AL7" s="48"/>
      <c r="AO7" s="5">
        <v>4</v>
      </c>
      <c r="AP7" s="14">
        <f>基础状态预期!D17</f>
        <v>10</v>
      </c>
      <c r="AQ7" s="14">
        <f>(求节点(其他调用!$B$4:$B$163,其他调用!$C$4:$C$163,$AP7))*求节点(武将数量星级阶位验证!$CP$41:$CP$72,武将数量星级阶位验证!$CQ$41:$CQ$72,武将数量星级阶位验证!AS7)</f>
        <v>8607.1755649351089</v>
      </c>
      <c r="AR7" s="14">
        <f>IF(武将升级!Y4="",0,求节点($AK$5:$AK$164,$AJ$5:$AJ$164,AQ$7)*B$5*武将升级!Y4)</f>
        <v>0</v>
      </c>
      <c r="AS7" s="14">
        <f>IF(武将升级!Z4="",0,求节点($AK$5:$AK$164,$AJ$5:$AJ$164,$AQ7)*C$5*武将升级!Z4)</f>
        <v>0</v>
      </c>
      <c r="AT7" s="14">
        <f>IF(武将升级!AA4="",0,求节点($AK$5:$AK$164,$AJ$5:$AJ$164,$AQ7)*D$5*武将升级!AA4)</f>
        <v>46.318959137321308</v>
      </c>
      <c r="AU7" s="14">
        <f>IF(武将升级!AB4="",0,求节点($AK$5:$AK$164,$AJ$5:$AJ$164,$AQ7)*E$5*武将升级!AB4)</f>
        <v>46.318959137321308</v>
      </c>
      <c r="AV7" s="14">
        <f>IF(武将升级!AC4="",0,求节点($AK$5:$AK$164,$AJ$5:$AJ$164,$AQ7)*F$5*武将升级!AC4)</f>
        <v>0</v>
      </c>
      <c r="AW7" s="8">
        <f>SUMPRODUCT(AR7:AV7,基础状态预期!F17:J17)/SUM(基础状态预期!F17:J17)</f>
        <v>46.318959137321308</v>
      </c>
      <c r="BA7" s="29">
        <v>10</v>
      </c>
      <c r="BB7" s="29">
        <f t="shared" ref="BB7:BB8" si="1">求节点($AP$7:$AP$45,$AW$7:$AW$45,BA7)</f>
        <v>46.318959137321308</v>
      </c>
      <c r="BC7" s="55">
        <f>BB7*INDEX([2]非r将兵属性验证!$W$7:$W$166+[2]非r将兵属性验证!$X$7:$X$166,BA7,1)</f>
        <v>737530.01190146012</v>
      </c>
    </row>
    <row r="8" spans="1:55" x14ac:dyDescent="0.15">
      <c r="A8" s="35" t="s">
        <v>358</v>
      </c>
      <c r="B8" s="19" t="s">
        <v>3</v>
      </c>
      <c r="C8" s="19" t="s">
        <v>1</v>
      </c>
      <c r="D8" s="19" t="s">
        <v>2</v>
      </c>
      <c r="E8" s="19" t="s">
        <v>0</v>
      </c>
      <c r="F8" s="19" t="s">
        <v>545</v>
      </c>
      <c r="G8" s="19" t="s">
        <v>30</v>
      </c>
      <c r="I8" s="29" t="str">
        <f>IF(武将数量星级阶位验证!A9="","",武将数量星级阶位验证!A9)</f>
        <v>钻石价值(指定卡)</v>
      </c>
      <c r="J8" s="29">
        <f>IF(武将数量星级阶位验证!B9="","",武将数量星级阶位验证!B9)</f>
        <v>25</v>
      </c>
      <c r="K8" s="29">
        <f>IF(武将数量星级阶位验证!C9="","",武将数量星级阶位验证!C9)</f>
        <v>540</v>
      </c>
      <c r="L8" s="29">
        <f>IF(武将数量星级阶位验证!D9="","",武将数量星级阶位验证!D9)</f>
        <v>4800</v>
      </c>
      <c r="M8" s="29" t="str">
        <f>IF(武将数量星级阶位验证!E9="","",武将数量星级阶位验证!E9)</f>
        <v/>
      </c>
      <c r="Q8" s="5"/>
      <c r="R8" s="5"/>
      <c r="S8" s="189" t="s">
        <v>541</v>
      </c>
      <c r="T8" s="189"/>
      <c r="U8" s="189"/>
      <c r="V8" s="189"/>
      <c r="W8" s="189"/>
      <c r="X8" s="189"/>
      <c r="AA8" s="189" t="s">
        <v>542</v>
      </c>
      <c r="AB8" s="189"/>
      <c r="AC8" s="189"/>
      <c r="AD8" s="189"/>
      <c r="AE8" s="189"/>
      <c r="AF8" s="189"/>
      <c r="AH8" s="87"/>
      <c r="AI8" s="4">
        <v>4</v>
      </c>
      <c r="AJ8" s="98">
        <f t="shared" si="0"/>
        <v>1.4294592029837962E-2</v>
      </c>
      <c r="AK8" s="5">
        <f>'[1]资源-钻石'!$N7*求节点(武将数量星级阶位验证!$CP$41:$CP$72,武将数量星级阶位验证!$CS$41:$CS$72,节奏总纲!R7)</f>
        <v>2510.2937631622617</v>
      </c>
      <c r="AL8" s="48"/>
      <c r="AO8" s="5">
        <v>5</v>
      </c>
      <c r="AP8" s="14">
        <f>基础状态预期!D18</f>
        <v>20</v>
      </c>
      <c r="AQ8" s="14">
        <f>(求节点(其他调用!$B$4:$B$163,其他调用!$C$4:$C$163,$AP8))*求节点(武将数量星级阶位验证!$CP$41:$CP$72,武将数量星级阶位验证!$CQ$41:$CQ$72,武将数量星级阶位验证!AS8)</f>
        <v>17084.437155530599</v>
      </c>
      <c r="AR8" s="14">
        <f>IF(武将升级!Y5="",0,求节点($AK$5:$AK$164,$AJ$5:$AJ$164,AQ$7)*B$5*武将升级!Y5)</f>
        <v>0</v>
      </c>
      <c r="AS8" s="14">
        <f>IF(武将升级!Z5="",0,求节点($AK$5:$AK$164,$AJ$5:$AJ$164,$AQ8)*C$5*武将升级!Z5)</f>
        <v>0</v>
      </c>
      <c r="AT8" s="14">
        <f>IF(武将升级!AA5="",0,求节点($AK$5:$AK$164,$AJ$5:$AJ$164,$AQ8)*D$5*武将升级!AA5)</f>
        <v>0</v>
      </c>
      <c r="AU8" s="14">
        <f>IF(武将升级!AB5="",0,求节点($AK$5:$AK$164,$AJ$5:$AJ$164,$AQ8)*E$5*武将升级!AB5)</f>
        <v>107.62065329750109</v>
      </c>
      <c r="AV8" s="14">
        <f>IF(武将升级!AC5="",0,求节点($AK$5:$AK$164,$AJ$5:$AJ$164,$AQ8)*F$5*武将升级!AC5)</f>
        <v>0</v>
      </c>
      <c r="AW8" s="8">
        <f>SUMPRODUCT(AR8:AV8,基础状态预期!F18:J18)/SUM(基础状态预期!F18:J18)</f>
        <v>107.62065329750108</v>
      </c>
      <c r="BA8" s="29">
        <v>20</v>
      </c>
      <c r="BB8" s="29">
        <f t="shared" si="1"/>
        <v>107.62065329750108</v>
      </c>
      <c r="BC8" s="56">
        <f>(BB8-BB7)*INDEX([2]非r将兵属性验证!$W$7:$W$166+[2]非r将兵属性验证!$X$7:$X$166,BA8,1)+BC7</f>
        <v>3619701.7174966233</v>
      </c>
    </row>
    <row r="9" spans="1:55" x14ac:dyDescent="0.15">
      <c r="A9" s="35" t="s">
        <v>356</v>
      </c>
      <c r="B9" s="35">
        <f t="array" ref="B9">MIN(IF($R$10:$R$99=B$8,$X$10:$X$99))</f>
        <v>0</v>
      </c>
      <c r="C9" s="35">
        <f t="array" ref="C9">MIN(IF($R$10:$R$99=C$8,$X$10:$X$99))</f>
        <v>51111.111111111117</v>
      </c>
      <c r="D9" s="35">
        <f t="array" ref="D9">MIN(IF($R$10:$R$99=D$8,$X$10:$X$99))</f>
        <v>0</v>
      </c>
      <c r="E9" s="35">
        <f t="array" ref="E9">MIN(IF($R$10:$R$99=E$8,$X$10:$X$99))</f>
        <v>0</v>
      </c>
      <c r="F9" s="35">
        <f t="array" ref="F9">MIN(IF($R$10:$R$99=F$8,$X$10:$X$99))</f>
        <v>0</v>
      </c>
      <c r="G9" s="35"/>
      <c r="I9" s="17" t="str">
        <f>IF(武将数量星级阶位验证!A10="","",武将数量星级阶位验证!A10)</f>
        <v/>
      </c>
      <c r="J9" s="17" t="str">
        <f>IF(武将数量星级阶位验证!B10="","",武将数量星级阶位验证!B10)</f>
        <v/>
      </c>
      <c r="K9" s="17" t="str">
        <f>IF(武将数量星级阶位验证!C10="","",武将数量星级阶位验证!C10)</f>
        <v/>
      </c>
      <c r="L9" s="17" t="str">
        <f>IF(武将数量星级阶位验证!D10="","",武将数量星级阶位验证!D10)</f>
        <v/>
      </c>
      <c r="M9" s="17" t="str">
        <f>IF(武将数量星级阶位验证!E10="","",武将数量星级阶位验证!E10)</f>
        <v/>
      </c>
      <c r="P9" s="5" t="s">
        <v>540</v>
      </c>
      <c r="Q9" s="29" t="s">
        <v>349</v>
      </c>
      <c r="R9" s="29" t="s">
        <v>351</v>
      </c>
      <c r="S9" s="29" t="s">
        <v>3</v>
      </c>
      <c r="T9" s="29" t="s">
        <v>1</v>
      </c>
      <c r="U9" s="29" t="s">
        <v>2</v>
      </c>
      <c r="V9" s="29" t="s">
        <v>0</v>
      </c>
      <c r="W9" s="29" t="s">
        <v>545</v>
      </c>
      <c r="X9" s="29" t="s">
        <v>354</v>
      </c>
      <c r="Y9" s="49" t="s">
        <v>362</v>
      </c>
      <c r="AA9" s="29" t="s">
        <v>3</v>
      </c>
      <c r="AB9" s="29" t="s">
        <v>1</v>
      </c>
      <c r="AC9" s="29" t="s">
        <v>2</v>
      </c>
      <c r="AD9" s="29" t="s">
        <v>0</v>
      </c>
      <c r="AE9" s="29" t="s">
        <v>545</v>
      </c>
      <c r="AF9" s="29" t="s">
        <v>355</v>
      </c>
      <c r="AG9" s="49" t="s">
        <v>363</v>
      </c>
      <c r="AH9" s="87"/>
      <c r="AI9" s="4">
        <v>5</v>
      </c>
      <c r="AJ9" s="98">
        <f t="shared" si="0"/>
        <v>2.0584382523028483E-2</v>
      </c>
      <c r="AK9" s="5">
        <f>'[1]资源-钻石'!$N8*求节点(武将数量星级阶位验证!$CP$41:$CP$72,武将数量星级阶位验证!$CS$41:$CS$72,节奏总纲!R8)</f>
        <v>4228.8962332922783</v>
      </c>
      <c r="AL9" s="48"/>
      <c r="AO9" s="5">
        <v>6</v>
      </c>
      <c r="AP9" s="14">
        <f>基础状态预期!D19</f>
        <v>28.071211008105138</v>
      </c>
      <c r="AQ9" s="14">
        <f>(求节点(其他调用!$B$4:$B$163,其他调用!$C$4:$C$163,$AP9))*求节点(武将数量星级阶位验证!$CP$41:$CP$72,武将数量星级阶位验证!$CQ$41:$CQ$72,武将数量星级阶位验证!AS9)</f>
        <v>28656.284573350418</v>
      </c>
      <c r="AR9" s="14">
        <f>IF(武将升级!Y6="",0,求节点($AK$5:$AK$164,$AJ$5:$AJ$164,AQ$7)*B$5*武将升级!Y6)</f>
        <v>0</v>
      </c>
      <c r="AS9" s="14">
        <f>IF(武将升级!Z6="",0,求节点($AK$5:$AK$164,$AJ$5:$AJ$164,$AQ9)*C$5*武将升级!Z6)</f>
        <v>0</v>
      </c>
      <c r="AT9" s="14">
        <f>IF(武将升级!AA6="",0,求节点($AK$5:$AK$164,$AJ$5:$AJ$164,$AQ9)*D$5*武将升级!AA6)</f>
        <v>0</v>
      </c>
      <c r="AU9" s="14">
        <f>IF(武将升级!AB6="",0,求节点($AK$5:$AK$164,$AJ$5:$AJ$164,$AQ9)*E$5*武将升级!AB6)</f>
        <v>192.51362716062505</v>
      </c>
      <c r="AV9" s="14">
        <f>IF(武将升级!AC6="",0,求节点($AK$5:$AK$164,$AJ$5:$AJ$164,$AQ9)*F$5*武将升级!AC6)</f>
        <v>0</v>
      </c>
      <c r="AW9" s="8">
        <f>SUMPRODUCT(AR9:AV9,基础状态预期!F19:J19)/SUM(基础状态预期!F19:J19)</f>
        <v>192.51362716062508</v>
      </c>
      <c r="BA9" s="29">
        <v>30</v>
      </c>
      <c r="BB9" s="29">
        <f t="shared" ref="BB9:BB22" si="2">求节点($AP$7:$AP$45,$AW$7:$AW$45,BA9)</f>
        <v>217.57324995911452</v>
      </c>
      <c r="BC9" s="56">
        <f>(BB9-BB8)*INDEX([2]非r将兵属性验证!$W$7:$W$166+[2]非r将兵属性验证!$X$7:$X$166,BA9,1)+BC8</f>
        <v>13855051.634723634</v>
      </c>
    </row>
    <row r="10" spans="1:55" x14ac:dyDescent="0.15">
      <c r="A10" s="8" t="s">
        <v>357</v>
      </c>
      <c r="B10" s="35">
        <f t="array" ref="B10">MAX(IF($R$10:$R$99=B$8,$X$10:$X$99))</f>
        <v>0</v>
      </c>
      <c r="C10" s="35">
        <f t="array" ref="C10">MAX(IF($R$10:$R$99=C$8,$X$10:$X$99))</f>
        <v>55370.370370370372</v>
      </c>
      <c r="D10" s="35">
        <f t="array" ref="D10">MAX(IF($R$10:$R$99=D$8,$X$10:$X$99))</f>
        <v>59629.629629629642</v>
      </c>
      <c r="E10" s="35">
        <f t="array" ref="E10">MAX(IF($R$10:$R$99=E$8,$X$10:$X$99))</f>
        <v>85185.185185185182</v>
      </c>
      <c r="F10" s="35">
        <f t="array" ref="F10">MAX(IF($R$10:$R$99=F$8,$X$10:$X$99))</f>
        <v>97962.962962962964</v>
      </c>
      <c r="G10" s="35"/>
      <c r="I10" s="35" t="str">
        <f>IF(武将数量星级阶位验证!A11="","",武将数量星级阶位验证!A11)</f>
        <v>高级抽</v>
      </c>
      <c r="J10" s="35" t="str">
        <f>IF(武将数量星级阶位验证!B11="","",武将数量星级阶位验证!B11)</f>
        <v>蓝</v>
      </c>
      <c r="K10" s="35" t="str">
        <f>IF(武将数量星级阶位验证!C11="","",武将数量星级阶位验证!C11)</f>
        <v>紫</v>
      </c>
      <c r="L10" s="35" t="str">
        <f>IF(武将数量星级阶位验证!D11="","",武将数量星级阶位验证!D11)</f>
        <v>橙</v>
      </c>
      <c r="M10" s="35" t="str">
        <f>IF(武将数量星级阶位验证!E11="","",武将数量星级阶位验证!E11)</f>
        <v>橙+</v>
      </c>
      <c r="P10" s="14" t="e">
        <f>8-COUNTIF([3]羁绊设计!$AD9:$AK9,"&amp;")</f>
        <v>#VALUE!</v>
      </c>
      <c r="Q10" s="29" t="str">
        <f>[3]羁绊解锁统计!$B9</f>
        <v>骊姬</v>
      </c>
      <c r="R10" s="29" t="str">
        <f>IF([3]羁绊设计!$F9="红","橙+",[3]羁绊设计!$F9)</f>
        <v>橙</v>
      </c>
      <c r="S10" s="14">
        <f>IF([3]羁绊解锁统计!C9="",0,[3]羁绊解锁统计!C9-IF($R10=S$9,1,0))</f>
        <v>0</v>
      </c>
      <c r="T10" s="14">
        <f>IF([3]羁绊解锁统计!D9="",0,[3]羁绊解锁统计!D9-IF($R10=T$9,1,0))</f>
        <v>0</v>
      </c>
      <c r="U10" s="14">
        <f>IF([3]羁绊解锁统计!E9="",0,[3]羁绊解锁统计!E9-IF($R10=U$9,1,0))</f>
        <v>0</v>
      </c>
      <c r="V10" s="14">
        <f>IF([3]羁绊解锁统计!F9="",0,[3]羁绊解锁统计!F9-IF($R10=V$9,1,0))</f>
        <v>3</v>
      </c>
      <c r="W10" s="14">
        <f>IF([3]羁绊解锁统计!G9="",0,[3]羁绊解锁统计!G9-IF($R10=W$9,1,0))</f>
        <v>0</v>
      </c>
      <c r="X10" s="29">
        <f>MAX(IF(T10=0,0,$J$42*(1+J$43*(T10-1))),IF(U10=0,0,$K$42*(1+K$43*(U10-1))),IF(V10=0,0,$L$42*(1+L$43*(V10-1))),IF(W10=0,0,$M$42*(1+M$43*(W10-1))))</f>
        <v>59629.629629629642</v>
      </c>
      <c r="Y10" s="10">
        <f>AG10/3.5</f>
        <v>0.13092644438936596</v>
      </c>
      <c r="AA10" s="14">
        <f t="shared" ref="AA10" si="3">S10*INDEX($B$4:$G$4,1,MATCH($R10,$B$3:$G$3,0))</f>
        <v>0</v>
      </c>
      <c r="AB10" s="14">
        <f>T10*INDEX($B$4:$G$4,1,MATCH($R10,$B$3:$G$3,0))</f>
        <v>0</v>
      </c>
      <c r="AC10" s="14">
        <f>U10*INDEX($B$4:$G$4,1,MATCH($R10,$B$3:$G$3,0))</f>
        <v>0</v>
      </c>
      <c r="AD10" s="14">
        <f>V10*INDEX($B$4:$G$4,1,MATCH($R10,$B$3:$G$3,0))</f>
        <v>18</v>
      </c>
      <c r="AE10" s="14">
        <f>W10*INDEX($B$4:$G$4,1,MATCH($R10,$B$3:$G$3,0))</f>
        <v>0</v>
      </c>
      <c r="AF10" s="29">
        <f>X10*INDEX($B$4:$G$4,1,MATCH(R10,$B$3:$G$3,0))</f>
        <v>357777.77777777787</v>
      </c>
      <c r="AG10" s="10">
        <f t="shared" ref="AG10:AG73" si="4">MAX(求节点($AK$5:$AK$104,$AJ$5:$AJ$104,IF(AF10=0,2000,AF10))*INDEX($B$5:$G$5,1,MATCH(R10,$B$14:$G$14,0),1),0.05)</f>
        <v>0.45824255536278086</v>
      </c>
      <c r="AH10" s="87"/>
      <c r="AI10" s="4">
        <v>6</v>
      </c>
      <c r="AJ10" s="98">
        <f t="shared" si="0"/>
        <v>2.8005307541257813E-2</v>
      </c>
      <c r="AK10" s="5">
        <f>'[1]资源-钻石'!$N9*求节点(武将数量星级阶位验证!$CP$41:$CP$72,武将数量星级阶位验证!$CS$41:$CS$72,节奏总纲!R9)</f>
        <v>6568.3233459401172</v>
      </c>
      <c r="AL10" s="48"/>
      <c r="AO10" s="5">
        <v>7</v>
      </c>
      <c r="AP10" s="14">
        <f>基础状态预期!D20</f>
        <v>34.585942742481357</v>
      </c>
      <c r="AQ10" s="14">
        <f>(求节点(其他调用!$B$4:$B$163,其他调用!$C$4:$C$163,$AP10))*求节点(武将数量星级阶位验证!$CP$41:$CP$72,武将数量星级阶位验证!$CQ$41:$CQ$72,武将数量星级阶位验证!AS10)</f>
        <v>39065.46160974542</v>
      </c>
      <c r="AR10" s="14">
        <f>IF(武将升级!Y7="",0,求节点($AK$5:$AK$164,$AJ$5:$AJ$164,AQ$7)*B$5*武将升级!Y7)</f>
        <v>0</v>
      </c>
      <c r="AS10" s="14">
        <f>IF(武将升级!Z7="",0,求节点($AK$5:$AK$164,$AJ$5:$AJ$164,$AQ10)*C$5*武将升级!Z7)</f>
        <v>0</v>
      </c>
      <c r="AT10" s="14">
        <f>IF(武将升级!AA7="",0,求节点($AK$5:$AK$164,$AJ$5:$AJ$164,$AQ10)*D$5*武将升级!AA7)</f>
        <v>0</v>
      </c>
      <c r="AU10" s="14">
        <f>IF(武将升级!AB7="",0,求节点($AK$5:$AK$164,$AJ$5:$AJ$164,$AQ10)*E$5*武将升级!AB7)</f>
        <v>277.15571117440408</v>
      </c>
      <c r="AV10" s="14">
        <f>IF(武将升级!AC7="",0,求节点($AK$5:$AK$164,$AJ$5:$AJ$164,$AQ10)*F$5*武将升级!AC7)</f>
        <v>0</v>
      </c>
      <c r="AW10" s="8">
        <f>SUMPRODUCT(AR10:AV10,基础状态预期!F20:J20)/SUM(基础状态预期!F20:J20)</f>
        <v>277.15571117440408</v>
      </c>
      <c r="BA10" s="29">
        <v>40</v>
      </c>
      <c r="BB10" s="29">
        <f t="shared" si="2"/>
        <v>366.2240032300802</v>
      </c>
      <c r="BC10" s="56">
        <f>(BB10-BB9)*INDEX([2]非r将兵属性验证!$W$7:$W$166+[2]非r将兵属性验证!$X$7:$X$166,BA10,1)+BC9</f>
        <v>49778188.198535979</v>
      </c>
    </row>
    <row r="11" spans="1:55" x14ac:dyDescent="0.15">
      <c r="I11" s="35" t="str">
        <f>IF(武将数量星级阶位验证!A12="","",武将数量星级阶位验证!A12)</f>
        <v>概率</v>
      </c>
      <c r="J11" s="44">
        <f>IF(武将数量星级阶位验证!B12="","",武将数量星级阶位验证!B12)</f>
        <v>0.65833333333333333</v>
      </c>
      <c r="K11" s="12">
        <f>IF(武将数量星级阶位验证!C12="","",武将数量星级阶位验证!C12)</f>
        <v>0.26666666666666666</v>
      </c>
      <c r="L11" s="43">
        <f>IF(武将数量星级阶位验证!D12="","",武将数量星级阶位验证!D12)</f>
        <v>7.4999999999999997E-2</v>
      </c>
      <c r="M11" s="12">
        <f>IF(武将数量星级阶位验证!E12="","",武将数量星级阶位验证!E12)</f>
        <v>0</v>
      </c>
      <c r="P11" s="14" t="e">
        <f>8-COUNTIF([3]羁绊设计!$AD10:$AK10,"&amp;")</f>
        <v>#VALUE!</v>
      </c>
      <c r="Q11" s="29" t="str">
        <f>[3]羁绊解锁统计!$B10</f>
        <v>王翦</v>
      </c>
      <c r="R11" s="29" t="str">
        <f>IF([3]羁绊设计!$F10="红","橙+",[3]羁绊设计!$F10)</f>
        <v>橙+</v>
      </c>
      <c r="S11" s="14">
        <f>IF([3]羁绊解锁统计!C10="",0,[3]羁绊解锁统计!C10-IF($R11=S$9,1,0))</f>
        <v>0</v>
      </c>
      <c r="T11" s="14">
        <f>IF([3]羁绊解锁统计!D10="",0,[3]羁绊解锁统计!D10-IF($R11=T$9,1,0))</f>
        <v>0</v>
      </c>
      <c r="U11" s="14">
        <f>IF([3]羁绊解锁统计!E10="",0,[3]羁绊解锁统计!E10-IF($R11=U$9,1,0))</f>
        <v>0</v>
      </c>
      <c r="V11" s="14">
        <f>IF([3]羁绊解锁统计!F10="",0,[3]羁绊解锁统计!F10-IF($R11=V$9,1,0))</f>
        <v>0</v>
      </c>
      <c r="W11" s="14">
        <f>IF([3]羁绊解锁统计!G10="",0,[3]羁绊解锁统计!G10-IF($R11=W$9,1,0))</f>
        <v>0</v>
      </c>
      <c r="X11" s="29">
        <f t="shared" ref="X11:X74" si="5">MAX(IF(T11=0,0,$J$42*(1+J$43*(T11-1))),IF(U11=0,0,$K$42*(1+K$43*(U11-1))),IF(V11=0,0,$L$42*(1+L$43*(V11-1))),IF(W11=0,0,$M$42*(1+M$43*(W11-1))))</f>
        <v>0</v>
      </c>
      <c r="Y11" s="10">
        <f t="shared" ref="Y11:Y73" si="6">AG11/3.5</f>
        <v>1.4285714285714287E-2</v>
      </c>
      <c r="AA11" s="14">
        <f t="shared" ref="AA11:AA74" si="7">S11*INDEX($B$4:$G$4,1,MATCH($R11,$B$3:$G$3,0))</f>
        <v>0</v>
      </c>
      <c r="AB11" s="14">
        <f t="shared" ref="AB11:AB74" si="8">T11*INDEX($B$4:$G$4,1,MATCH($R11,$B$3:$G$3,0))</f>
        <v>0</v>
      </c>
      <c r="AC11" s="14">
        <f t="shared" ref="AC11:AC74" si="9">U11*INDEX($B$4:$G$4,1,MATCH($R11,$B$3:$G$3,0))</f>
        <v>0</v>
      </c>
      <c r="AD11" s="14">
        <f t="shared" ref="AD11:AD74" si="10">V11*INDEX($B$4:$G$4,1,MATCH($R11,$B$3:$G$3,0))</f>
        <v>0</v>
      </c>
      <c r="AE11" s="14">
        <f t="shared" ref="AE11:AE74" si="11">W11*INDEX($B$4:$G$4,1,MATCH($R11,$B$3:$G$3,0))</f>
        <v>0</v>
      </c>
      <c r="AF11" s="29">
        <f t="shared" ref="AF11:AF74" si="12">X11*INDEX($B$4:$G$4,1,MATCH(R11,$B$3:$G$3,0))</f>
        <v>0</v>
      </c>
      <c r="AG11" s="10">
        <f t="shared" si="4"/>
        <v>0.05</v>
      </c>
      <c r="AH11" s="87"/>
      <c r="AI11" s="4">
        <v>7</v>
      </c>
      <c r="AJ11" s="98">
        <f t="shared" si="0"/>
        <v>3.2162305744780684E-2</v>
      </c>
      <c r="AK11" s="5">
        <f>'[1]资源-钻石'!$N10*求节点(武将数量星级阶位验证!$CP$41:$CP$72,武将数量星级阶位验证!$CS$41:$CS$72,节奏总纲!R10)</f>
        <v>8006.1198828636188</v>
      </c>
      <c r="AL11" s="48"/>
      <c r="AO11" s="5">
        <v>8</v>
      </c>
      <c r="AP11" s="14">
        <f>基础状态预期!D21</f>
        <v>40</v>
      </c>
      <c r="AQ11" s="14">
        <f>(求节点(其他调用!$B$4:$B$163,其他调用!$C$4:$C$163,$AP11))*求节点(武将数量星级阶位验证!$CP$41:$CP$72,武将数量星级阶位验证!$CQ$41:$CQ$72,武将数量星级阶位验证!AS11)</f>
        <v>49858.684349958014</v>
      </c>
      <c r="AR11" s="14">
        <f>IF(武将升级!Y8="",0,求节点($AK$5:$AK$164,$AJ$5:$AJ$164,AQ$7)*B$5*武将升级!Y8)</f>
        <v>0</v>
      </c>
      <c r="AS11" s="14">
        <f>IF(武将升级!Z8="",0,求节点($AK$5:$AK$164,$AJ$5:$AJ$164,$AQ11)*C$5*武将升级!Z8)</f>
        <v>0</v>
      </c>
      <c r="AT11" s="14">
        <f>IF(武将升级!AA8="",0,求节点($AK$5:$AK$164,$AJ$5:$AJ$164,$AQ11)*D$5*武将升级!AA8)</f>
        <v>0</v>
      </c>
      <c r="AU11" s="14">
        <f>IF(武将升级!AB8="",0,求节点($AK$5:$AK$164,$AJ$5:$AJ$164,$AQ11)*E$5*武将升级!AB8)</f>
        <v>366.2240032300802</v>
      </c>
      <c r="AV11" s="14">
        <f>IF(武将升级!AC8="",0,求节点($AK$5:$AK$164,$AJ$5:$AJ$164,$AQ11)*F$5*武将升级!AC8)</f>
        <v>0</v>
      </c>
      <c r="AW11" s="8">
        <f>SUMPRODUCT(AR11:AV11,基础状态预期!F21:J21)/SUM(基础状态预期!F21:J21)</f>
        <v>366.2240032300802</v>
      </c>
      <c r="BA11" s="29">
        <v>50</v>
      </c>
      <c r="BB11" s="29">
        <f t="shared" si="2"/>
        <v>620.23643752241594</v>
      </c>
      <c r="BC11" s="56">
        <f>(BB11-BB10)*INDEX([2]非r将兵属性验证!$W$7:$W$166+[2]非r将兵属性验证!$X$7:$X$166,BA11,1)+BC10</f>
        <v>152217101.54805857</v>
      </c>
    </row>
    <row r="12" spans="1:55" x14ac:dyDescent="0.15">
      <c r="I12" s="35" t="str">
        <f>IF(武将数量星级阶位验证!A13="","",武将数量星级阶位验证!A13)</f>
        <v>抽取个数</v>
      </c>
      <c r="J12" s="29">
        <f>IF(武将数量星级阶位验证!B13="","",武将数量星级阶位验证!B13)</f>
        <v>1</v>
      </c>
      <c r="K12" s="29">
        <f>IF(武将数量星级阶位验证!C13="","",武将数量星级阶位验证!C13)</f>
        <v>1</v>
      </c>
      <c r="L12" s="29">
        <f>IF(武将数量星级阶位验证!D13="","",武将数量星级阶位验证!D13)</f>
        <v>1</v>
      </c>
      <c r="M12" s="29">
        <f>IF(武将数量星级阶位验证!E13="","",武将数量星级阶位验证!E13)</f>
        <v>3.3333333333333333E-2</v>
      </c>
      <c r="P12" s="14" t="e">
        <f>8-COUNTIF([3]羁绊设计!$AD11:$AK11,"&amp;")</f>
        <v>#VALUE!</v>
      </c>
      <c r="Q12" s="29" t="str">
        <f>[3]羁绊解锁统计!$B11</f>
        <v>义渠骇</v>
      </c>
      <c r="R12" s="29" t="str">
        <f>IF([3]羁绊设计!$F11="红","橙+",[3]羁绊设计!$F11)</f>
        <v>橙</v>
      </c>
      <c r="S12" s="14">
        <f>IF([3]羁绊解锁统计!C11="",0,[3]羁绊解锁统计!C11-IF($R12=S$9,1,0))</f>
        <v>0</v>
      </c>
      <c r="T12" s="14">
        <f>IF([3]羁绊解锁统计!D11="",0,[3]羁绊解锁统计!D11-IF($R12=T$9,1,0))</f>
        <v>0</v>
      </c>
      <c r="U12" s="14">
        <f>IF([3]羁绊解锁统计!E11="",0,[3]羁绊解锁统计!E11-IF($R12=U$9,1,0))</f>
        <v>2</v>
      </c>
      <c r="V12" s="14">
        <f>IF([3]羁绊解锁统计!F11="",0,[3]羁绊解锁统计!F11-IF($R12=V$9,1,0))</f>
        <v>8</v>
      </c>
      <c r="W12" s="14">
        <f>IF([3]羁绊解锁统计!G11="",0,[3]羁绊解锁统计!G11-IF($R12=W$9,1,0))</f>
        <v>1</v>
      </c>
      <c r="X12" s="29">
        <f t="shared" si="5"/>
        <v>80925.925925925927</v>
      </c>
      <c r="Y12" s="10">
        <f t="shared" si="6"/>
        <v>0.16209362499883187</v>
      </c>
      <c r="AA12" s="14">
        <f t="shared" si="7"/>
        <v>0</v>
      </c>
      <c r="AB12" s="14">
        <f t="shared" si="8"/>
        <v>0</v>
      </c>
      <c r="AC12" s="14">
        <f t="shared" si="9"/>
        <v>12</v>
      </c>
      <c r="AD12" s="14">
        <f t="shared" si="10"/>
        <v>48</v>
      </c>
      <c r="AE12" s="14">
        <f t="shared" si="11"/>
        <v>6</v>
      </c>
      <c r="AF12" s="29">
        <f t="shared" si="12"/>
        <v>485555.55555555556</v>
      </c>
      <c r="AG12" s="10">
        <f t="shared" si="4"/>
        <v>0.56732768749591156</v>
      </c>
      <c r="AH12" s="87">
        <v>4.0000000000000001E-3</v>
      </c>
      <c r="AI12" s="4">
        <v>8</v>
      </c>
      <c r="AJ12" s="98">
        <f t="shared" si="0"/>
        <v>3.597169061591312E-2</v>
      </c>
      <c r="AK12" s="5">
        <f>'[1]资源-钻石'!$N11*求节点(武将数量星级阶位验证!$CP$41:$CP$72,武将数量星级阶位验证!$CS$41:$CS$72,节奏总纲!R11)</f>
        <v>9396.186109496457</v>
      </c>
      <c r="AL12" s="48"/>
      <c r="AO12" s="5">
        <v>9</v>
      </c>
      <c r="AP12" s="14">
        <f>基础状态预期!D22</f>
        <v>43.920692243099523</v>
      </c>
      <c r="AQ12" s="14">
        <f>(求节点(其他调用!$B$4:$B$163,其他调用!$C$4:$C$163,$AP12))*求节点(武将数量星级阶位验证!$CP$41:$CP$72,武将数量星级阶位验证!$CQ$41:$CQ$72,武将数量星级阶位验证!AS12)</f>
        <v>60234.08756397562</v>
      </c>
      <c r="AR12" s="14">
        <f>IF(武将升级!Y9="",0,求节点($AK$5:$AK$164,$AJ$5:$AJ$164,AQ$7)*B$5*武将升级!Y9)</f>
        <v>0</v>
      </c>
      <c r="AS12" s="14">
        <f>IF(武将升级!Z9="",0,求节点($AK$5:$AK$164,$AJ$5:$AJ$164,$AQ12)*C$5*武将升级!Z9)</f>
        <v>0</v>
      </c>
      <c r="AT12" s="14">
        <f>IF(武将升级!AA9="",0,求节点($AK$5:$AK$164,$AJ$5:$AJ$164,$AQ12)*D$5*武将升级!AA9)</f>
        <v>0</v>
      </c>
      <c r="AU12" s="14">
        <f>IF(武将升级!AB9="",0,求节点($AK$5:$AK$164,$AJ$5:$AJ$164,$AQ12)*E$5*武将升级!AB9)</f>
        <v>448.98630698384983</v>
      </c>
      <c r="AV12" s="14">
        <f>IF(武将升级!AC9="",0,求节点($AK$5:$AK$164,$AJ$5:$AJ$164,$AQ12)*F$5*武将升级!AC9)</f>
        <v>0</v>
      </c>
      <c r="AW12" s="8">
        <f>SUMPRODUCT(AR12:AV12,基础状态预期!F22:J22)/SUM(基础状态预期!F22:J22)</f>
        <v>448.98630698384983</v>
      </c>
      <c r="BA12" s="29">
        <v>60</v>
      </c>
      <c r="BB12" s="29">
        <f t="shared" si="2"/>
        <v>1065.2382877034192</v>
      </c>
      <c r="BC12" s="56">
        <f>(BB12-BB11)*INDEX([2]非r将兵属性验证!$W$7:$W$166+[2]非r将兵属性验证!$X$7:$X$166,BA12,1)+BC11</f>
        <v>514851332.76196003</v>
      </c>
    </row>
    <row r="13" spans="1:55" x14ac:dyDescent="0.15">
      <c r="I13" s="17" t="str">
        <f>IF(武将数量星级阶位验证!A14="","",武将数量星级阶位验证!A14)</f>
        <v/>
      </c>
      <c r="J13" s="17" t="str">
        <f>IF(武将数量星级阶位验证!B14="","",武将数量星级阶位验证!B14)</f>
        <v/>
      </c>
      <c r="K13" s="17" t="str">
        <f>IF(武将数量星级阶位验证!C14="","",武将数量星级阶位验证!C14)</f>
        <v/>
      </c>
      <c r="L13" s="17" t="str">
        <f>IF(武将数量星级阶位验证!D14="","",武将数量星级阶位验证!D14)</f>
        <v/>
      </c>
      <c r="M13" s="17" t="str">
        <f>IF(武将数量星级阶位验证!E14="","",武将数量星级阶位验证!E14)</f>
        <v/>
      </c>
      <c r="P13" s="14" t="e">
        <f>8-COUNTIF([3]羁绊设计!$AD12:$AK12,"&amp;")</f>
        <v>#VALUE!</v>
      </c>
      <c r="Q13" s="29" t="str">
        <f>[3]羁绊解锁统计!$B12</f>
        <v>白起</v>
      </c>
      <c r="R13" s="59" t="s">
        <v>30</v>
      </c>
      <c r="S13" s="14">
        <f>IF([3]羁绊解锁统计!C12="",0,[3]羁绊解锁统计!C12-IF($R13=S$9,1,0))</f>
        <v>0</v>
      </c>
      <c r="T13" s="14">
        <f>IF([3]羁绊解锁统计!D12="",0,[3]羁绊解锁统计!D12-IF($R13=T$9,1,0))</f>
        <v>0</v>
      </c>
      <c r="U13" s="14">
        <f>IF([3]羁绊解锁统计!E12="",0,[3]羁绊解锁统计!E12-IF($R13=U$9,1,0))</f>
        <v>0</v>
      </c>
      <c r="V13" s="14">
        <f>IF([3]羁绊解锁统计!F12="",0,[3]羁绊解锁统计!F12-IF($R13=V$9,1,0))</f>
        <v>5</v>
      </c>
      <c r="W13" s="14">
        <f>IF([3]羁绊解锁统计!G12="",0,[3]羁绊解锁统计!G12-IF($R13=W$9,1,0))</f>
        <v>1</v>
      </c>
      <c r="X13" s="29">
        <f t="shared" si="5"/>
        <v>68148.148148148146</v>
      </c>
      <c r="Y13" s="10">
        <f t="shared" si="6"/>
        <v>0.14374973105394928</v>
      </c>
      <c r="AA13" s="14">
        <f t="shared" si="7"/>
        <v>0</v>
      </c>
      <c r="AB13" s="14">
        <f t="shared" si="8"/>
        <v>0</v>
      </c>
      <c r="AC13" s="14">
        <f t="shared" si="9"/>
        <v>0</v>
      </c>
      <c r="AD13" s="14">
        <f t="shared" si="10"/>
        <v>30</v>
      </c>
      <c r="AE13" s="14">
        <f t="shared" si="11"/>
        <v>6</v>
      </c>
      <c r="AF13" s="29">
        <f t="shared" si="12"/>
        <v>408888.88888888888</v>
      </c>
      <c r="AG13" s="10">
        <f t="shared" si="4"/>
        <v>0.50312405868882248</v>
      </c>
      <c r="AH13" s="87">
        <v>4.4999999999999997E-3</v>
      </c>
      <c r="AI13" s="4">
        <v>9</v>
      </c>
      <c r="AJ13" s="98">
        <f t="shared" si="0"/>
        <v>4.0210860426179856E-2</v>
      </c>
      <c r="AK13" s="5">
        <f>'[1]资源-钻石'!$N12*求节点(武将数量星级阶位验证!$CP$41:$CP$72,武将数量星级阶位验证!$CS$41:$CS$72,节奏总纲!R12)</f>
        <v>11019.211544143345</v>
      </c>
      <c r="AL13" s="48"/>
      <c r="AO13" s="5">
        <v>10</v>
      </c>
      <c r="AP13" s="14">
        <f>基础状态预期!D23</f>
        <v>49.533352307096472</v>
      </c>
      <c r="AQ13" s="14">
        <f>(求节点(其他调用!$B$4:$B$163,其他调用!$C$4:$C$163,$AP13))*求节点(武将数量星级阶位验证!$CP$41:$CP$72,武将数量星级阶位验证!$CQ$41:$CQ$72,武将数量星级阶位验证!AS13)</f>
        <v>80299.658435207617</v>
      </c>
      <c r="AR13" s="14">
        <f>IF(武将升级!Y10="",0,求节点($AK$5:$AK$164,$AJ$5:$AJ$164,AQ$7)*B$5*武将升级!Y10)</f>
        <v>0</v>
      </c>
      <c r="AS13" s="14">
        <f>IF(武将升级!Z10="",0,求节点($AK$5:$AK$164,$AJ$5:$AJ$164,$AQ13)*C$5*武将升级!Z10)</f>
        <v>0</v>
      </c>
      <c r="AT13" s="14">
        <f>IF(武将升级!AA10="",0,求节点($AK$5:$AK$164,$AJ$5:$AJ$164,$AQ13)*D$5*武将升级!AA10)</f>
        <v>0</v>
      </c>
      <c r="AU13" s="14">
        <f>IF(武将升级!AB10="",0,求节点($AK$5:$AK$164,$AJ$5:$AJ$164,$AQ13)*E$5*武将升级!AB10)</f>
        <v>603.28637688019046</v>
      </c>
      <c r="AV13" s="14">
        <f>IF(武将升级!AC10="",0,求节点($AK$5:$AK$164,$AJ$5:$AJ$164,$AQ13)*F$5*武将升级!AC10)</f>
        <v>0</v>
      </c>
      <c r="AW13" s="8">
        <f>SUMPRODUCT(AR13:AV13,基础状态预期!F23:J23)/SUM(基础状态预期!F23:J23)</f>
        <v>603.28637688019046</v>
      </c>
      <c r="BA13" s="29">
        <v>70</v>
      </c>
      <c r="BB13" s="29">
        <f t="shared" si="2"/>
        <v>1703.4939980028657</v>
      </c>
      <c r="BC13" s="56">
        <f>(BB13-BB12)*INDEX([2]非r将兵属性验证!$W$7:$W$166+[2]非r将兵属性验证!$X$7:$X$166,BA13,1)+BC12</f>
        <v>1615783055.4739838</v>
      </c>
    </row>
    <row r="14" spans="1:55" x14ac:dyDescent="0.15">
      <c r="A14" s="35" t="s">
        <v>365</v>
      </c>
      <c r="B14" s="19" t="s">
        <v>3</v>
      </c>
      <c r="C14" s="19" t="s">
        <v>1</v>
      </c>
      <c r="D14" s="19" t="s">
        <v>2</v>
      </c>
      <c r="E14" s="19" t="s">
        <v>0</v>
      </c>
      <c r="F14" s="19" t="s">
        <v>545</v>
      </c>
      <c r="G14" s="19" t="s">
        <v>30</v>
      </c>
      <c r="I14" s="35" t="str">
        <f>IF(武将数量星级阶位验证!A15="","",武将数量星级阶位验证!A15)</f>
        <v>活动抽</v>
      </c>
      <c r="J14" s="35" t="str">
        <f>IF(武将数量星级阶位验证!B15="","",武将数量星级阶位验证!B15)</f>
        <v>蓝</v>
      </c>
      <c r="K14" s="35" t="str">
        <f>IF(武将数量星级阶位验证!C15="","",武将数量星级阶位验证!C15)</f>
        <v>紫</v>
      </c>
      <c r="L14" s="35" t="str">
        <f>IF(武将数量星级阶位验证!D15="","",武将数量星级阶位验证!D15)</f>
        <v>橙</v>
      </c>
      <c r="M14" s="35" t="str">
        <f>IF(武将数量星级阶位验证!E15="","",武将数量星级阶位验证!E15)</f>
        <v>橙+</v>
      </c>
      <c r="P14" s="14" t="e">
        <f>8-COUNTIF([3]羁绊设计!$AD13:$AK13,"&amp;")</f>
        <v>#VALUE!</v>
      </c>
      <c r="Q14" s="29" t="str">
        <f>[3]羁绊解锁统计!$B13</f>
        <v>廉颇</v>
      </c>
      <c r="R14" s="29" t="str">
        <f>IF([3]羁绊设计!$F13="红","橙+",[3]羁绊设计!$F13)</f>
        <v>橙+</v>
      </c>
      <c r="S14" s="14">
        <f>IF([3]羁绊解锁统计!C13="",0,[3]羁绊解锁统计!C13-IF($R14=S$9,1,0))</f>
        <v>0</v>
      </c>
      <c r="T14" s="14">
        <f>IF([3]羁绊解锁统计!D13="",0,[3]羁绊解锁统计!D13-IF($R14=T$9,1,0))</f>
        <v>0</v>
      </c>
      <c r="U14" s="14">
        <f>IF([3]羁绊解锁统计!E13="",0,[3]羁绊解锁统计!E13-IF($R14=U$9,1,0))</f>
        <v>0</v>
      </c>
      <c r="V14" s="14">
        <f>IF([3]羁绊解锁统计!F13="",0,[3]羁绊解锁统计!F13-IF($R14=V$9,1,0))</f>
        <v>10</v>
      </c>
      <c r="W14" s="14">
        <f>IF([3]羁绊解锁统计!G13="",0,[3]羁绊解锁统计!G13-IF($R14=W$9,1,0))</f>
        <v>1</v>
      </c>
      <c r="X14" s="29">
        <f t="shared" si="5"/>
        <v>89444.444444444453</v>
      </c>
      <c r="Y14" s="10">
        <f>AG14/3.5</f>
        <v>0.17384054253539014</v>
      </c>
      <c r="AA14" s="14">
        <f t="shared" si="7"/>
        <v>0</v>
      </c>
      <c r="AB14" s="14">
        <f t="shared" si="8"/>
        <v>0</v>
      </c>
      <c r="AC14" s="14">
        <f t="shared" si="9"/>
        <v>0</v>
      </c>
      <c r="AD14" s="14">
        <f t="shared" si="10"/>
        <v>60</v>
      </c>
      <c r="AE14" s="14">
        <f t="shared" si="11"/>
        <v>6</v>
      </c>
      <c r="AF14" s="29">
        <f t="shared" si="12"/>
        <v>536666.66666666674</v>
      </c>
      <c r="AG14" s="10">
        <f t="shared" si="4"/>
        <v>0.60844189887386546</v>
      </c>
      <c r="AH14" s="87">
        <v>5.0000000000000001E-3</v>
      </c>
      <c r="AI14" s="4">
        <v>10</v>
      </c>
      <c r="AJ14" s="98">
        <f t="shared" si="0"/>
        <v>4.4690629641268714E-2</v>
      </c>
      <c r="AK14" s="5">
        <f>'[1]资源-钻石'!$N13*求节点(武将数量星级阶位验证!$CP$41:$CP$72,武将数量星级阶位验证!$CS$41:$CS$72,节奏总纲!R13)</f>
        <v>12816.231920718306</v>
      </c>
      <c r="AL14" s="48"/>
      <c r="AO14" s="5">
        <v>11</v>
      </c>
      <c r="AP14" s="14">
        <f>基础状态预期!D24</f>
        <v>53.567039423670657</v>
      </c>
      <c r="AQ14" s="14">
        <f>(求节点(其他调用!$B$4:$B$163,其他调用!$C$4:$C$163,$AP14))*求节点(武将数量星级阶位验证!$CP$41:$CP$72,武将数量星级阶位验证!$CQ$41:$CQ$72,武将数量星级阶位验证!AS14)</f>
        <v>100197.4575578401</v>
      </c>
      <c r="AR14" s="14">
        <f>IF(武将升级!Y11="",0,求节点($AK$5:$AK$164,$AJ$5:$AJ$164,AQ$7)*B$5*武将升级!Y11)</f>
        <v>0</v>
      </c>
      <c r="AS14" s="14">
        <f>IF(武将升级!Z11="",0,求节点($AK$5:$AK$164,$AJ$5:$AJ$164,$AQ14)*C$5*武将升级!Z11)</f>
        <v>0</v>
      </c>
      <c r="AT14" s="14">
        <f>IF(武将升级!AA11="",0,求节点($AK$5:$AK$164,$AJ$5:$AJ$164,$AQ14)*D$5*武将升级!AA11)</f>
        <v>0</v>
      </c>
      <c r="AU14" s="14">
        <f>IF(武将升级!AB11="",0,求节点($AK$5:$AK$164,$AJ$5:$AJ$164,$AQ14)*E$5*武将升级!AB11)</f>
        <v>749.80213657951151</v>
      </c>
      <c r="AV14" s="14">
        <f>IF(武将升级!AC11="",0,求节点($AK$5:$AK$164,$AJ$5:$AJ$164,$AQ14)*F$5*武将升级!AC11)</f>
        <v>749.80213657951151</v>
      </c>
      <c r="AW14" s="8">
        <f>SUMPRODUCT(AR14:AV14,基础状态预期!F24:J24)/SUM(基础状态预期!F24:J24)</f>
        <v>749.80213657951151</v>
      </c>
      <c r="BA14" s="29">
        <v>80</v>
      </c>
      <c r="BB14" s="29">
        <f t="shared" si="2"/>
        <v>2593.6827644177788</v>
      </c>
      <c r="BC14" s="56">
        <f>(BB14-BB13)*INDEX([2]非r将兵属性验证!$W$7:$W$166+[2]非r将兵属性验证!$X$7:$X$166,BA14,1)+BC13</f>
        <v>4640879100.0190144</v>
      </c>
    </row>
    <row r="15" spans="1:55" x14ac:dyDescent="0.15">
      <c r="A15" s="35" t="s">
        <v>356</v>
      </c>
      <c r="B15" s="35">
        <f t="array" ref="B15">MIN(IF($R$10:$R$99=B$14,$AF$10:$AF$99))</f>
        <v>0</v>
      </c>
      <c r="C15" s="35">
        <f t="array" ref="C15">MIN(IF($R$10:$R$99=C$14,$AF$10:$AF$99))</f>
        <v>306666.66666666669</v>
      </c>
      <c r="D15" s="35">
        <f t="array" ref="D15">MIN(IF($R$10:$R$99=D$14,$AF$10:$AF$99))</f>
        <v>0</v>
      </c>
      <c r="E15" s="35">
        <f t="array" ref="E15">MIN(IF($R$10:$R$99=E$14,$AF$10:$AF$99))</f>
        <v>0</v>
      </c>
      <c r="F15" s="35">
        <f t="array" ref="F15">MIN(IF($R$10:$R$99=F$14,$AF$10:$AF$99))</f>
        <v>0</v>
      </c>
      <c r="G15" s="35"/>
      <c r="I15" s="35" t="str">
        <f>IF(武将数量星级阶位验证!A16="","",武将数量星级阶位验证!A16)</f>
        <v>概率</v>
      </c>
      <c r="J15" s="40">
        <f>IF(武将数量星级阶位验证!B16="","",武将数量星级阶位验证!B16)</f>
        <v>0.4933333333333334</v>
      </c>
      <c r="K15" s="12">
        <f>IF(武将数量星级阶位验证!C16="","",武将数量星级阶位验证!C16)</f>
        <v>0.26666666666666666</v>
      </c>
      <c r="L15" s="12">
        <f>IF(武将数量星级阶位验证!D16="","",武将数量星级阶位验证!D16)</f>
        <v>0.04</v>
      </c>
      <c r="M15" s="12">
        <f>IF(武将数量星级阶位验证!E16="","",武将数量星级阶位验证!E16)</f>
        <v>0.2</v>
      </c>
      <c r="P15" s="14" t="e">
        <f>8-COUNTIF([3]羁绊设计!$AD14:$AK14,"&amp;")</f>
        <v>#VALUE!</v>
      </c>
      <c r="Q15" s="29" t="str">
        <f>[3]羁绊解锁统计!$B14</f>
        <v>信陵君</v>
      </c>
      <c r="R15" s="29" t="str">
        <f>IF([3]羁绊设计!$F14="红","橙+",[3]羁绊设计!$F14)</f>
        <v>橙</v>
      </c>
      <c r="S15" s="14">
        <f>IF([3]羁绊解锁统计!C14="",0,[3]羁绊解锁统计!C14-IF($R15=S$9,1,0))</f>
        <v>0</v>
      </c>
      <c r="T15" s="14">
        <f>IF([3]羁绊解锁统计!D14="",0,[3]羁绊解锁统计!D14-IF($R15=T$9,1,0))</f>
        <v>0</v>
      </c>
      <c r="U15" s="14">
        <f>IF([3]羁绊解锁统计!E14="",0,[3]羁绊解锁统计!E14-IF($R15=U$9,1,0))</f>
        <v>1</v>
      </c>
      <c r="V15" s="14">
        <f>IF([3]羁绊解锁统计!F14="",0,[3]羁绊解锁统计!F14-IF($R15=V$9,1,0))</f>
        <v>9</v>
      </c>
      <c r="W15" s="14">
        <f>IF([3]羁绊解锁统计!G14="",0,[3]羁绊解锁统计!G14-IF($R15=W$9,1,0))</f>
        <v>0</v>
      </c>
      <c r="X15" s="29">
        <f t="shared" si="5"/>
        <v>85185.185185185182</v>
      </c>
      <c r="Y15" s="10">
        <f t="shared" si="6"/>
        <v>0.1680096518804009</v>
      </c>
      <c r="AA15" s="14">
        <f t="shared" si="7"/>
        <v>0</v>
      </c>
      <c r="AB15" s="14">
        <f t="shared" si="8"/>
        <v>0</v>
      </c>
      <c r="AC15" s="14">
        <f t="shared" si="9"/>
        <v>6</v>
      </c>
      <c r="AD15" s="14">
        <f t="shared" si="10"/>
        <v>54</v>
      </c>
      <c r="AE15" s="14">
        <f t="shared" si="11"/>
        <v>0</v>
      </c>
      <c r="AF15" s="29">
        <f t="shared" si="12"/>
        <v>511111.11111111112</v>
      </c>
      <c r="AG15" s="10">
        <f t="shared" si="4"/>
        <v>0.58803378158140318</v>
      </c>
      <c r="AH15" s="87">
        <v>5.4999999999999997E-3</v>
      </c>
      <c r="AI15" s="4">
        <v>11</v>
      </c>
      <c r="AJ15" s="98">
        <f t="shared" si="0"/>
        <v>4.9348240093666333E-2</v>
      </c>
      <c r="AK15" s="5">
        <f>'[1]资源-钻石'!$N14*求节点(武将数量星级阶位验证!$CP$41:$CP$72,武将数量星级阶位验证!$CS$41:$CS$72,节奏总纲!R14)</f>
        <v>14768.619024260504</v>
      </c>
      <c r="AL15" s="48"/>
      <c r="AO15" s="5">
        <v>12</v>
      </c>
      <c r="AP15" s="14">
        <f>基础状态预期!D25</f>
        <v>59.300028460644697</v>
      </c>
      <c r="AQ15" s="14">
        <f>(求节点(其他调用!$B$4:$B$163,其他调用!$C$4:$C$163,$AP15))*求节点(武将数量星级阶位验证!$CP$41:$CP$72,武将数量星级阶位验证!$CQ$41:$CQ$72,武将数量星级阶位验证!AS15)</f>
        <v>138391.52811456218</v>
      </c>
      <c r="AR15" s="14">
        <f>IF(武将升级!Y12="",0,求节点($AK$5:$AK$164,$AJ$5:$AJ$164,AQ$7)*B$5*武将升级!Y12)</f>
        <v>0</v>
      </c>
      <c r="AS15" s="14">
        <f>IF(武将升级!Z12="",0,求节点($AK$5:$AK$164,$AJ$5:$AJ$164,$AQ15)*C$5*武将升级!Z12)</f>
        <v>0</v>
      </c>
      <c r="AT15" s="14">
        <f>IF(武将升级!AA12="",0,求节点($AK$5:$AK$164,$AJ$5:$AJ$164,$AQ15)*D$5*武将升级!AA12)</f>
        <v>0</v>
      </c>
      <c r="AU15" s="14">
        <f>IF(武将升级!AB12="",0,求节点($AK$5:$AK$164,$AJ$5:$AJ$164,$AQ15)*E$5*武将升级!AB12)</f>
        <v>1020.8882113633558</v>
      </c>
      <c r="AV15" s="14">
        <f>IF(武将升级!AC12="",0,求节点($AK$5:$AK$164,$AJ$5:$AJ$164,$AQ15)*F$5*武将升级!AC12)</f>
        <v>1020.8882113633558</v>
      </c>
      <c r="AW15" s="8">
        <f>SUMPRODUCT(AR15:AV15,基础状态预期!F25:J25)/SUM(基础状态预期!F25:J25)</f>
        <v>1020.8882113633558</v>
      </c>
      <c r="BA15" s="29">
        <v>90</v>
      </c>
      <c r="BB15" s="29">
        <f t="shared" si="2"/>
        <v>3862.0823472338834</v>
      </c>
      <c r="BC15" s="56">
        <f>(BB15-BB14)*INDEX([2]非r将兵属性验证!$W$7:$W$166+[2]非r将兵属性验证!$X$7:$X$166,BA15,1)+BC14</f>
        <v>12766794008.001087</v>
      </c>
    </row>
    <row r="16" spans="1:55" x14ac:dyDescent="0.15">
      <c r="A16" s="8" t="s">
        <v>357</v>
      </c>
      <c r="B16" s="35">
        <f>MAX(IF($R$10:$R$99=B$14,$AF$10:$AF$99))</f>
        <v>0</v>
      </c>
      <c r="C16" s="35">
        <f t="array" ref="C16">MAX(IF($R$10:$R$99=C$14,$AF$10:$AF$99))</f>
        <v>332222.22222222225</v>
      </c>
      <c r="D16" s="35">
        <f t="array" ref="D16">MAX(IF($R$10:$R$99=D$14,$AF$10:$AF$99))</f>
        <v>357777.77777777787</v>
      </c>
      <c r="E16" s="35">
        <f t="array" ref="E16">MAX(IF($R$10:$R$99=E$14,$AF$10:$AF$99))</f>
        <v>511111.11111111112</v>
      </c>
      <c r="F16" s="35">
        <f t="array" ref="F16">MAX(IF($R$10:$R$99=F$14,$AF$10:$AF$99))</f>
        <v>587777.77777777775</v>
      </c>
      <c r="G16" s="35"/>
      <c r="I16" s="35" t="str">
        <f>IF(武将数量星级阶位验证!A17="","",武将数量星级阶位验证!A17)</f>
        <v>抽取个数</v>
      </c>
      <c r="J16" s="29">
        <f>IF(武将数量星级阶位验证!B17="","",武将数量星级阶位验证!B17)</f>
        <v>1</v>
      </c>
      <c r="K16" s="29">
        <f>IF(武将数量星级阶位验证!C17="","",武将数量星级阶位验证!C17)</f>
        <v>1</v>
      </c>
      <c r="L16" s="29">
        <f>IF(武将数量星级阶位验证!D17="","",武将数量星级阶位验证!D17)</f>
        <v>1</v>
      </c>
      <c r="M16" s="29">
        <f>IF(武将数量星级阶位验证!E17="","",武将数量星级阶位验证!E17)</f>
        <v>0.04</v>
      </c>
      <c r="P16" s="14" t="e">
        <f>8-COUNTIF([3]羁绊设计!$AD15:$AK15,"&amp;")</f>
        <v>#VALUE!</v>
      </c>
      <c r="Q16" s="29" t="str">
        <f>[3]羁绊解锁统计!$B15</f>
        <v>西施</v>
      </c>
      <c r="R16" s="29" t="str">
        <f>IF([3]羁绊设计!$F15="红","橙+",[3]羁绊设计!$F15)</f>
        <v>橙</v>
      </c>
      <c r="S16" s="14">
        <f>IF([3]羁绊解锁统计!C15="",0,[3]羁绊解锁统计!C15-IF($R16=S$9,1,0))</f>
        <v>0</v>
      </c>
      <c r="T16" s="14">
        <f>IF([3]羁绊解锁统计!D15="",0,[3]羁绊解锁统计!D15-IF($R16=T$9,1,0))</f>
        <v>0</v>
      </c>
      <c r="U16" s="14">
        <f>IF([3]羁绊解锁统计!E15="",0,[3]羁绊解锁统计!E15-IF($R16=U$9,1,0))</f>
        <v>1</v>
      </c>
      <c r="V16" s="14">
        <f>IF([3]羁绊解锁统计!F15="",0,[3]羁绊解锁统计!F15-IF($R16=V$9,1,0))</f>
        <v>5</v>
      </c>
      <c r="W16" s="14">
        <f>IF([3]羁绊解锁统计!G15="",0,[3]羁绊解锁统计!G15-IF($R16=W$9,1,0))</f>
        <v>0</v>
      </c>
      <c r="X16" s="29">
        <f t="shared" si="5"/>
        <v>68148.148148148146</v>
      </c>
      <c r="Y16" s="10">
        <f t="shared" si="6"/>
        <v>0.14374973105394928</v>
      </c>
      <c r="AA16" s="14">
        <f t="shared" si="7"/>
        <v>0</v>
      </c>
      <c r="AB16" s="14">
        <f t="shared" si="8"/>
        <v>0</v>
      </c>
      <c r="AC16" s="14">
        <f t="shared" si="9"/>
        <v>6</v>
      </c>
      <c r="AD16" s="14">
        <f t="shared" si="10"/>
        <v>30</v>
      </c>
      <c r="AE16" s="14">
        <f t="shared" si="11"/>
        <v>0</v>
      </c>
      <c r="AF16" s="29">
        <f t="shared" si="12"/>
        <v>408888.88888888888</v>
      </c>
      <c r="AG16" s="10">
        <f t="shared" si="4"/>
        <v>0.50312405868882248</v>
      </c>
      <c r="AH16" s="87">
        <v>6.0000000000000001E-3</v>
      </c>
      <c r="AI16" s="4">
        <v>12</v>
      </c>
      <c r="AJ16" s="98">
        <f t="shared" si="0"/>
        <v>5.3970912318740523E-2</v>
      </c>
      <c r="AK16" s="5">
        <f>'[1]资源-钻石'!$N15*求节点(武将数量星级阶位验证!$CP$41:$CP$72,武将数量星级阶位验证!$CS$41:$CS$72,节奏总纲!R15)</f>
        <v>16786.472012884245</v>
      </c>
      <c r="AL16" s="48"/>
      <c r="AO16" s="5">
        <v>13</v>
      </c>
      <c r="AP16" s="14">
        <f>基础状态预期!D26</f>
        <v>65.075479910097457</v>
      </c>
      <c r="AQ16" s="14">
        <f>(求节点(其他调用!$B$4:$B$163,其他调用!$C$4:$C$163,$AP16))*求节点(武将数量星级阶位验证!$CP$41:$CP$72,武将数量星级阶位验证!$CQ$41:$CQ$72,武将数量星级阶位验证!AS16)</f>
        <v>192115.4879125728</v>
      </c>
      <c r="AR16" s="14">
        <f>IF(武将升级!Y13="",0,求节点($AK$5:$AK$164,$AJ$5:$AJ$164,AQ$7)*B$5*武将升级!Y13)</f>
        <v>0</v>
      </c>
      <c r="AS16" s="14">
        <f>IF(武将升级!Z13="",0,求节点($AK$5:$AK$164,$AJ$5:$AJ$164,$AQ16)*C$5*武将升级!Z13)</f>
        <v>0</v>
      </c>
      <c r="AT16" s="14">
        <f>IF(武将升级!AA13="",0,求节点($AK$5:$AK$164,$AJ$5:$AJ$164,$AQ16)*D$5*武将升级!AA13)</f>
        <v>0</v>
      </c>
      <c r="AU16" s="14">
        <f>IF(武将升级!AB13="",0,求节点($AK$5:$AK$164,$AJ$5:$AJ$164,$AQ16)*E$5*武将升级!AB13)</f>
        <v>1386.8198218363686</v>
      </c>
      <c r="AV16" s="14">
        <f>IF(武将升级!AC13="",0,求节点($AK$5:$AK$164,$AJ$5:$AJ$164,$AQ16)*F$5*武将升级!AC13)</f>
        <v>1386.8198218363686</v>
      </c>
      <c r="AW16" s="8">
        <f>SUMPRODUCT(AR16:AV16,基础状态预期!F26:J26)/SUM(基础状态预期!F26:J26)</f>
        <v>1386.8198218363686</v>
      </c>
      <c r="BA16" s="29">
        <v>100</v>
      </c>
      <c r="BB16" s="29">
        <f t="shared" si="2"/>
        <v>4265.1000000000004</v>
      </c>
      <c r="BC16" s="56">
        <f>(BB16-BB15)*INDEX([2]非r将兵属性验证!$W$7:$W$166+[2]非r将兵属性验证!$X$7:$X$166,BA16,1)+BC15</f>
        <v>17369648148.483414</v>
      </c>
    </row>
    <row r="17" spans="1:55" x14ac:dyDescent="0.15">
      <c r="I17" s="29" t="str">
        <f>IF(武将数量星级阶位验证!A18="","",武将数量星级阶位验证!A18)</f>
        <v>非r返还比例</v>
      </c>
      <c r="J17" s="29" t="str">
        <f>IF(武将数量星级阶位验证!B18="","",武将数量星级阶位验证!B18)</f>
        <v/>
      </c>
      <c r="K17" s="29" t="str">
        <f>IF(武将数量星级阶位验证!C18="","",武将数量星级阶位验证!C18)</f>
        <v/>
      </c>
      <c r="L17" s="29" t="str">
        <f>IF(武将数量星级阶位验证!D18="","",武将数量星级阶位验证!D18)</f>
        <v/>
      </c>
      <c r="M17" s="29">
        <f>IF(武将数量星级阶位验证!E18="","",武将数量星级阶位验证!E18)</f>
        <v>0.02</v>
      </c>
      <c r="P17" s="14" t="e">
        <f>8-COUNTIF([3]羁绊设计!$AD16:$AK16,"&amp;")</f>
        <v>#VALUE!</v>
      </c>
      <c r="Q17" s="29" t="str">
        <f>[3]羁绊解锁统计!$B16</f>
        <v>李牧</v>
      </c>
      <c r="R17" s="29" t="str">
        <f>IF([3]羁绊设计!$F16="红","橙+",[3]羁绊设计!$F16)</f>
        <v>橙+</v>
      </c>
      <c r="S17" s="14">
        <f>IF([3]羁绊解锁统计!C16="",0,[3]羁绊解锁统计!C16-IF($R17=S$9,1,0))</f>
        <v>0</v>
      </c>
      <c r="T17" s="14">
        <f>IF([3]羁绊解锁统计!D16="",0,[3]羁绊解锁统计!D16-IF($R17=T$9,1,0))</f>
        <v>0</v>
      </c>
      <c r="U17" s="14">
        <f>IF([3]羁绊解锁统计!E16="",0,[3]羁绊解锁统计!E16-IF($R17=U$9,1,0))</f>
        <v>0</v>
      </c>
      <c r="V17" s="14">
        <f>IF([3]羁绊解锁统计!F16="",0,[3]羁绊解锁统计!F16-IF($R17=V$9,1,0))</f>
        <v>0</v>
      </c>
      <c r="W17" s="14">
        <f>IF([3]羁绊解锁统计!G16="",0,[3]羁绊解锁统计!G16-IF($R17=W$9,1,0))</f>
        <v>0</v>
      </c>
      <c r="X17" s="29">
        <f t="shared" si="5"/>
        <v>0</v>
      </c>
      <c r="Y17" s="10">
        <f t="shared" si="6"/>
        <v>1.4285714285714287E-2</v>
      </c>
      <c r="AA17" s="14">
        <f t="shared" si="7"/>
        <v>0</v>
      </c>
      <c r="AB17" s="14">
        <f t="shared" si="8"/>
        <v>0</v>
      </c>
      <c r="AC17" s="14">
        <f t="shared" si="9"/>
        <v>0</v>
      </c>
      <c r="AD17" s="14">
        <f t="shared" si="10"/>
        <v>0</v>
      </c>
      <c r="AE17" s="14">
        <f t="shared" si="11"/>
        <v>0</v>
      </c>
      <c r="AF17" s="29">
        <f t="shared" si="12"/>
        <v>0</v>
      </c>
      <c r="AG17" s="10">
        <f t="shared" si="4"/>
        <v>0.05</v>
      </c>
      <c r="AH17" s="87">
        <v>6.4999999999999997E-3</v>
      </c>
      <c r="AI17" s="4">
        <v>13</v>
      </c>
      <c r="AJ17" s="98">
        <f t="shared" si="0"/>
        <v>5.8203289203881528E-2</v>
      </c>
      <c r="AK17" s="5">
        <f>'[1]资源-钻石'!$N16*求节点(武将数量星级阶位验证!$CP$41:$CP$72,武将数量星级阶位验证!$CS$41:$CS$72,节奏总纲!R16)</f>
        <v>18700.534187978486</v>
      </c>
      <c r="AL17" s="48"/>
      <c r="AO17" s="5">
        <v>14</v>
      </c>
      <c r="AP17" s="14">
        <f>基础状态预期!D27</f>
        <v>69.18336653741882</v>
      </c>
      <c r="AQ17" s="14">
        <f>(求节点(其他调用!$B$4:$B$163,其他调用!$C$4:$C$163,$AP17))*求节点(武将数量星级阶位验证!$CP$41:$CP$72,武将数量星级阶位验证!$CQ$41:$CQ$72,武将数量星级阶位验证!AS17)</f>
        <v>227374.75663799231</v>
      </c>
      <c r="AR17" s="14">
        <f>IF(武将升级!Y14="",0,求节点($AK$5:$AK$164,$AJ$5:$AJ$164,AQ$7)*B$5*武将升级!Y14)</f>
        <v>0</v>
      </c>
      <c r="AS17" s="14">
        <f>IF(武将升级!Z14="",0,求节点($AK$5:$AK$164,$AJ$5:$AJ$164,$AQ17)*C$5*武将升级!Z14)</f>
        <v>0</v>
      </c>
      <c r="AT17" s="14">
        <f>IF(武将升级!AA14="",0,求节点($AK$5:$AK$164,$AJ$5:$AJ$164,$AQ17)*D$5*武将升级!AA14)</f>
        <v>0</v>
      </c>
      <c r="AU17" s="14">
        <f>IF(武将升级!AB14="",0,求节点($AK$5:$AK$164,$AJ$5:$AJ$164,$AQ17)*E$5*武将升级!AB14)</f>
        <v>1642.4844614705657</v>
      </c>
      <c r="AV17" s="14">
        <f>IF(武将升级!AC14="",0,求节点($AK$5:$AK$164,$AJ$5:$AJ$164,$AQ17)*F$5*武将升级!AC14)</f>
        <v>1642.4844614705657</v>
      </c>
      <c r="AW17" s="8">
        <f>SUMPRODUCT(AR17:AV17,基础状态预期!F27:J27)/SUM(基础状态预期!F27:J27)</f>
        <v>1642.484461470566</v>
      </c>
      <c r="BA17" s="29">
        <v>110</v>
      </c>
      <c r="BB17" s="29">
        <f t="shared" si="2"/>
        <v>4643.1000000000004</v>
      </c>
      <c r="BC17" s="56">
        <f>(BB17-BB16)*INDEX([2]非r将兵属性验证!$W$7:$W$166+[2]非r将兵属性验证!$X$7:$X$166,BA17,1)+BC16</f>
        <v>24376946676.452286</v>
      </c>
    </row>
    <row r="18" spans="1:55" x14ac:dyDescent="0.15">
      <c r="I18" s="29" t="str">
        <f>IF(武将数量星级阶位验证!A19="","",武将数量星级阶位验证!A19)</f>
        <v>小r返还比例</v>
      </c>
      <c r="J18" s="29" t="str">
        <f>IF(武将数量星级阶位验证!B19="","",武将数量星级阶位验证!B19)</f>
        <v/>
      </c>
      <c r="K18" s="29" t="str">
        <f>IF(武将数量星级阶位验证!C19="","",武将数量星级阶位验证!C19)</f>
        <v/>
      </c>
      <c r="L18" s="29" t="str">
        <f>IF(武将数量星级阶位验证!D19="","",武将数量星级阶位验证!D19)</f>
        <v/>
      </c>
      <c r="M18" s="29">
        <f>IF(武将数量星级阶位验证!E19="","",武将数量星级阶位验证!E19)</f>
        <v>0.02</v>
      </c>
      <c r="P18" s="14" t="e">
        <f>8-COUNTIF([3]羁绊设计!$AD17:$AK17,"&amp;")</f>
        <v>#VALUE!</v>
      </c>
      <c r="Q18" s="29" t="str">
        <f>[3]羁绊解锁统计!$B17</f>
        <v>吴起</v>
      </c>
      <c r="R18" s="29" t="str">
        <f>IF([3]羁绊设计!$F17="红","橙+",[3]羁绊设计!$F17)</f>
        <v>橙+</v>
      </c>
      <c r="S18" s="14">
        <f>IF([3]羁绊解锁统计!C17="",0,[3]羁绊解锁统计!C17-IF($R18=S$9,1,0))</f>
        <v>0</v>
      </c>
      <c r="T18" s="14">
        <f>IF([3]羁绊解锁统计!D17="",0,[3]羁绊解锁统计!D17-IF($R18=T$9,1,0))</f>
        <v>0</v>
      </c>
      <c r="U18" s="14">
        <f>IF([3]羁绊解锁统计!E17="",0,[3]羁绊解锁统计!E17-IF($R18=U$9,1,0))</f>
        <v>0</v>
      </c>
      <c r="V18" s="14">
        <f>IF([3]羁绊解锁统计!F17="",0,[3]羁绊解锁统计!F17-IF($R18=V$9,1,0))</f>
        <v>12</v>
      </c>
      <c r="W18" s="14">
        <f>IF([3]羁绊解锁统计!G17="",0,[3]羁绊解锁统计!G17-IF($R18=W$9,1,0))</f>
        <v>0</v>
      </c>
      <c r="X18" s="29">
        <f t="shared" si="5"/>
        <v>97962.962962962964</v>
      </c>
      <c r="Y18" s="10">
        <f t="shared" si="6"/>
        <v>0.18</v>
      </c>
      <c r="AA18" s="14">
        <f t="shared" si="7"/>
        <v>0</v>
      </c>
      <c r="AB18" s="14">
        <f t="shared" si="8"/>
        <v>0</v>
      </c>
      <c r="AC18" s="14">
        <f t="shared" si="9"/>
        <v>0</v>
      </c>
      <c r="AD18" s="14">
        <f t="shared" si="10"/>
        <v>72</v>
      </c>
      <c r="AE18" s="14">
        <f t="shared" si="11"/>
        <v>0</v>
      </c>
      <c r="AF18" s="29">
        <f t="shared" si="12"/>
        <v>587777.77777777775</v>
      </c>
      <c r="AG18" s="10">
        <f t="shared" si="4"/>
        <v>0.63</v>
      </c>
      <c r="AH18" s="87">
        <v>7.0000000000000001E-3</v>
      </c>
      <c r="AI18" s="4">
        <v>14</v>
      </c>
      <c r="AJ18" s="98">
        <f t="shared" si="0"/>
        <v>6.0679323841542815E-2</v>
      </c>
      <c r="AK18" s="5">
        <f>'[1]资源-钻石'!$N17*求节点(武将数量星级阶位验证!$CP$41:$CP$72,武将数量星级阶位验证!$CS$41:$CS$72,节奏总纲!R17)</f>
        <v>19848.685445444677</v>
      </c>
      <c r="AL18" s="48"/>
      <c r="AO18" s="5">
        <v>15</v>
      </c>
      <c r="AP18" s="14">
        <f>基础状态预期!D28</f>
        <v>72.375871759353331</v>
      </c>
      <c r="AQ18" s="14">
        <f>(求节点(其他调用!$B$4:$B$163,其他调用!$C$4:$C$163,$AP18))*求节点(武将数量星级阶位验证!$CP$41:$CP$72,武将数量星级阶位验证!$CQ$41:$CQ$72,武将数量星级阶位验证!AS18)</f>
        <v>261350.6390768796</v>
      </c>
      <c r="AR18" s="14">
        <f>IF(武将升级!Y15="",0,求节点($AK$5:$AK$164,$AJ$5:$AJ$164,AQ$7)*B$5*武将升级!Y15)</f>
        <v>0</v>
      </c>
      <c r="AS18" s="14">
        <f>IF(武将升级!Z15="",0,求节点($AK$5:$AK$164,$AJ$5:$AJ$164,$AQ18)*C$5*武将升级!Z15)</f>
        <v>0</v>
      </c>
      <c r="AT18" s="14">
        <f>IF(武将升级!AA15="",0,求节点($AK$5:$AK$164,$AJ$5:$AJ$164,$AQ18)*D$5*武将升级!AA15)</f>
        <v>0</v>
      </c>
      <c r="AU18" s="14">
        <f>IF(武将升级!AB15="",0,求节点($AK$5:$AK$164,$AJ$5:$AJ$164,$AQ18)*E$5*武将升级!AB15)</f>
        <v>1880.9920329721556</v>
      </c>
      <c r="AV18" s="14">
        <f>IF(武将升级!AC15="",0,求节点($AK$5:$AK$164,$AJ$5:$AJ$164,$AQ18)*F$5*武将升级!AC15)</f>
        <v>1880.9920329721556</v>
      </c>
      <c r="AW18" s="8">
        <f>SUMPRODUCT(AR18:AV18,基础状态预期!F28:J28)/SUM(基础状态预期!F28:J28)</f>
        <v>1880.9920329721556</v>
      </c>
      <c r="BA18" s="29">
        <v>120</v>
      </c>
      <c r="BB18" s="29">
        <f t="shared" si="2"/>
        <v>5021.0999999999995</v>
      </c>
      <c r="BC18" s="56">
        <f>(BB18-BB17)*INDEX([2]非r将兵属性验证!$W$7:$W$166+[2]非r将兵属性验证!$X$7:$X$166,BA18,1)+BC17</f>
        <v>34035124114.439072</v>
      </c>
    </row>
    <row r="19" spans="1:55" x14ac:dyDescent="0.15">
      <c r="I19" s="29" t="str">
        <f>IF(武将数量星级阶位验证!A20="","",武将数量星级阶位验证!A20)</f>
        <v>中r返还比例</v>
      </c>
      <c r="J19" s="29" t="str">
        <f>IF(武将数量星级阶位验证!B20="","",武将数量星级阶位验证!B20)</f>
        <v/>
      </c>
      <c r="K19" s="29" t="str">
        <f>IF(武将数量星级阶位验证!C20="","",武将数量星级阶位验证!C20)</f>
        <v/>
      </c>
      <c r="L19" s="29" t="str">
        <f>IF(武将数量星级阶位验证!D20="","",武将数量星级阶位验证!D20)</f>
        <v/>
      </c>
      <c r="M19" s="29">
        <f>IF(武将数量星级阶位验证!E20="","",武将数量星级阶位验证!E20)</f>
        <v>1.6E-2</v>
      </c>
      <c r="P19" s="14" t="e">
        <f>8-COUNTIF([3]羁绊设计!$AD18:$AK18,"&amp;")</f>
        <v>#VALUE!</v>
      </c>
      <c r="Q19" s="29" t="str">
        <f>[3]羁绊解锁统计!$B18</f>
        <v>聂荌</v>
      </c>
      <c r="R19" s="29" t="str">
        <f>IF([3]羁绊设计!$F18="红","橙+",[3]羁绊设计!$F18)</f>
        <v>紫</v>
      </c>
      <c r="S19" s="14">
        <f>IF([3]羁绊解锁统计!C18="",0,[3]羁绊解锁统计!C18-IF($R19=S$9,1,0))</f>
        <v>0</v>
      </c>
      <c r="T19" s="14">
        <f>IF([3]羁绊解锁统计!D18="",0,[3]羁绊解锁统计!D18-IF($R19=T$9,1,0))</f>
        <v>0</v>
      </c>
      <c r="U19" s="14">
        <f>IF([3]羁绊解锁统计!E18="",0,[3]羁绊解锁统计!E18-IF($R19=U$9,1,0))</f>
        <v>3</v>
      </c>
      <c r="V19" s="14">
        <f>IF([3]羁绊解锁统计!F18="",0,[3]羁绊解锁统计!F18-IF($R19=V$9,1,0))</f>
        <v>1</v>
      </c>
      <c r="W19" s="14">
        <f>IF([3]羁绊解锁统计!G18="",0,[3]羁绊解锁统计!G18-IF($R19=W$9,1,0))</f>
        <v>0</v>
      </c>
      <c r="X19" s="29">
        <f t="shared" si="5"/>
        <v>51111.111111111117</v>
      </c>
      <c r="Y19" s="10">
        <f t="shared" si="6"/>
        <v>0.1175552379919582</v>
      </c>
      <c r="AA19" s="14">
        <f t="shared" si="7"/>
        <v>0</v>
      </c>
      <c r="AB19" s="14">
        <f t="shared" si="8"/>
        <v>0</v>
      </c>
      <c r="AC19" s="14">
        <f t="shared" si="9"/>
        <v>18</v>
      </c>
      <c r="AD19" s="14">
        <f t="shared" si="10"/>
        <v>6</v>
      </c>
      <c r="AE19" s="14">
        <f t="shared" si="11"/>
        <v>0</v>
      </c>
      <c r="AF19" s="29">
        <f t="shared" si="12"/>
        <v>306666.66666666669</v>
      </c>
      <c r="AG19" s="10">
        <f t="shared" si="4"/>
        <v>0.4114433329718537</v>
      </c>
      <c r="AH19" s="87">
        <v>7.4999999999999997E-3</v>
      </c>
      <c r="AI19" s="4">
        <v>15</v>
      </c>
      <c r="AJ19" s="98">
        <f t="shared" si="0"/>
        <v>6.3321058383781589E-2</v>
      </c>
      <c r="AK19" s="5">
        <f>'[1]资源-钻石'!$N18*求节点(武将数量星级阶位验证!$CP$41:$CP$72,武将数量星级阶位验证!$CS$41:$CS$72,节奏总纲!R18)</f>
        <v>21096.088284124144</v>
      </c>
      <c r="AL19" s="48"/>
      <c r="AO19" s="5">
        <v>16</v>
      </c>
      <c r="AP19" s="14">
        <f>基础状态预期!D29</f>
        <v>74.998404927577795</v>
      </c>
      <c r="AQ19" s="14">
        <f>(求节点(其他调用!$B$4:$B$163,其他调用!$C$4:$C$163,$AP19))*求节点(武将数量星级阶位验证!$CP$41:$CP$72,武将数量星级阶位验证!$CQ$41:$CQ$72,武将数量星级阶位验证!AS19)</f>
        <v>295152.35582575615</v>
      </c>
      <c r="AR19" s="14">
        <f>IF(武将升级!Y16="",0,求节点($AK$5:$AK$164,$AJ$5:$AJ$164,AQ$7)*B$5*武将升级!Y16)</f>
        <v>0</v>
      </c>
      <c r="AS19" s="14">
        <f>IF(武将升级!Z16="",0,求节点($AK$5:$AK$164,$AJ$5:$AJ$164,$AQ19)*C$5*武将升级!Z16)</f>
        <v>0</v>
      </c>
      <c r="AT19" s="14">
        <f>IF(武将升级!AA16="",0,求节点($AK$5:$AK$164,$AJ$5:$AJ$164,$AQ19)*D$5*武将升级!AA16)</f>
        <v>0</v>
      </c>
      <c r="AU19" s="14">
        <f>IF(武将升级!AB16="",0,求节点($AK$5:$AK$164,$AJ$5:$AJ$164,$AQ19)*E$5*武将升级!AB16)</f>
        <v>2110.9092589437269</v>
      </c>
      <c r="AV19" s="14">
        <f>IF(武将升级!AC16="",0,求节点($AK$5:$AK$164,$AJ$5:$AJ$164,$AQ19)*F$5*武将升级!AC16)</f>
        <v>2110.9092589437269</v>
      </c>
      <c r="AW19" s="8">
        <f>SUMPRODUCT(AR19:AV19,基础状态预期!F29:J29)/SUM(基础状态预期!F29:J29)</f>
        <v>2110.9092589437269</v>
      </c>
      <c r="BA19" s="29">
        <v>130</v>
      </c>
      <c r="BB19" s="29">
        <f t="shared" si="2"/>
        <v>5399.0999999999995</v>
      </c>
      <c r="BC19" s="56">
        <f>(BB19-BB18)*INDEX([2]非r将兵属性验证!$W$7:$W$166+[2]非r将兵属性验证!$X$7:$X$166,BA19,1)+BC18</f>
        <v>46260435859.365715</v>
      </c>
    </row>
    <row r="20" spans="1:55" x14ac:dyDescent="0.15">
      <c r="I20" s="29" t="str">
        <f>IF(武将数量星级阶位验证!A21="","",武将数量星级阶位验证!A21)</f>
        <v>大r返还比例</v>
      </c>
      <c r="J20" s="29" t="str">
        <f>IF(武将数量星级阶位验证!B21="","",武将数量星级阶位验证!B21)</f>
        <v/>
      </c>
      <c r="K20" s="29" t="str">
        <f>IF(武将数量星级阶位验证!C21="","",武将数量星级阶位验证!C21)</f>
        <v/>
      </c>
      <c r="L20" s="29" t="str">
        <f>IF(武将数量星级阶位验证!D21="","",武将数量星级阶位验证!D21)</f>
        <v/>
      </c>
      <c r="M20" s="29">
        <f>IF(武将数量星级阶位验证!E21="","",武将数量星级阶位验证!E21)</f>
        <v>1.2E-2</v>
      </c>
      <c r="P20" s="14" t="e">
        <f>8-COUNTIF([3]羁绊设计!$AD19:$AK19,"&amp;")</f>
        <v>#VALUE!</v>
      </c>
      <c r="Q20" s="29" t="str">
        <f>[3]羁绊解锁统计!$B19</f>
        <v>专诸</v>
      </c>
      <c r="R20" s="29" t="str">
        <f>IF([3]羁绊设计!$F19="红","橙+",[3]羁绊设计!$F19)</f>
        <v>紫</v>
      </c>
      <c r="S20" s="14">
        <f>IF([3]羁绊解锁统计!C19="",0,[3]羁绊解锁统计!C19-IF($R20=S$9,1,0))</f>
        <v>0</v>
      </c>
      <c r="T20" s="14">
        <f>IF([3]羁绊解锁统计!D19="",0,[3]羁绊解锁统计!D19-IF($R20=T$9,1,0))</f>
        <v>1</v>
      </c>
      <c r="U20" s="14">
        <f>IF([3]羁绊解锁统计!E19="",0,[3]羁绊解锁统计!E19-IF($R20=U$9,1,0))</f>
        <v>2</v>
      </c>
      <c r="V20" s="14">
        <f>IF([3]羁绊解锁统计!F19="",0,[3]羁绊解锁统计!F19-IF($R20=V$9,1,0))</f>
        <v>3</v>
      </c>
      <c r="W20" s="14">
        <f>IF([3]羁绊解锁统计!G19="",0,[3]羁绊解锁统计!G19-IF($R20=W$9,1,0))</f>
        <v>0</v>
      </c>
      <c r="X20" s="29">
        <f t="shared" si="5"/>
        <v>59629.629629629642</v>
      </c>
      <c r="Y20" s="10">
        <f t="shared" si="6"/>
        <v>0.13092644438936596</v>
      </c>
      <c r="AA20" s="14">
        <f t="shared" si="7"/>
        <v>0</v>
      </c>
      <c r="AB20" s="14">
        <f t="shared" si="8"/>
        <v>6</v>
      </c>
      <c r="AC20" s="14">
        <f t="shared" si="9"/>
        <v>12</v>
      </c>
      <c r="AD20" s="14">
        <f t="shared" si="10"/>
        <v>18</v>
      </c>
      <c r="AE20" s="14">
        <f t="shared" si="11"/>
        <v>0</v>
      </c>
      <c r="AF20" s="29">
        <f t="shared" si="12"/>
        <v>357777.77777777787</v>
      </c>
      <c r="AG20" s="10">
        <f t="shared" si="4"/>
        <v>0.45824255536278086</v>
      </c>
      <c r="AH20" s="87">
        <v>8.0000000000000002E-3</v>
      </c>
      <c r="AI20" s="4">
        <v>16</v>
      </c>
      <c r="AJ20" s="98">
        <f t="shared" si="0"/>
        <v>6.6022907764165611E-2</v>
      </c>
      <c r="AK20" s="5">
        <f>'[1]资源-钻石'!$N19*求节点(武将数量星级阶位验证!$CP$41:$CP$72,武将数量星级阶位验证!$CS$41:$CS$72,节奏总纲!R19)</f>
        <v>22395.247757599362</v>
      </c>
      <c r="AL20" s="48"/>
      <c r="AO20" s="5">
        <v>17</v>
      </c>
      <c r="AP20" s="14">
        <f>基础状态预期!D30</f>
        <v>77.875308029777003</v>
      </c>
      <c r="AQ20" s="14">
        <f>(求节点(其他调用!$B$4:$B$163,其他调用!$C$4:$C$163,$AP20))*求节点(武将数量星级阶位验证!$CP$41:$CP$72,武将数量星级阶位验证!$CQ$41:$CQ$72,武将数量星级阶位验证!AS20)</f>
        <v>332442.51852694975</v>
      </c>
      <c r="AR20" s="14">
        <f>IF(武将升级!Y17="",0,求节点($AK$5:$AK$164,$AJ$5:$AJ$164,AQ$7)*B$5*武将升级!Y17)</f>
        <v>0</v>
      </c>
      <c r="AS20" s="14">
        <f>IF(武将升级!Z17="",0,求节点($AK$5:$AK$164,$AJ$5:$AJ$164,$AQ20)*C$5*武将升级!Z17)</f>
        <v>0</v>
      </c>
      <c r="AT20" s="14">
        <f>IF(武将升级!AA17="",0,求节点($AK$5:$AK$164,$AJ$5:$AJ$164,$AQ20)*D$5*武将升级!AA17)</f>
        <v>0</v>
      </c>
      <c r="AU20" s="14">
        <f>IF(武将升级!AB17="",0,求节点($AK$5:$AK$164,$AJ$5:$AJ$164,$AQ20)*E$5*武将升级!AB17)</f>
        <v>0</v>
      </c>
      <c r="AV20" s="14">
        <f>IF(武将升级!AC17="",0,求节点($AK$5:$AK$164,$AJ$5:$AJ$164,$AQ20)*F$5*武将升级!AC17)</f>
        <v>2369.1631225434489</v>
      </c>
      <c r="AW20" s="8">
        <f>SUMPRODUCT(AR20:AV20,基础状态预期!F30:J30)/SUM(基础状态预期!F30:J30)</f>
        <v>2369.1631225434489</v>
      </c>
      <c r="BA20" s="29">
        <v>140</v>
      </c>
      <c r="BB20" s="29">
        <f t="shared" si="2"/>
        <v>5777.1</v>
      </c>
      <c r="BC20" s="56">
        <f>(BB20-BB19)*INDEX([2]非r将兵属性验证!$W$7:$W$166+[2]非r将兵属性验证!$X$7:$X$166,BA20,1)+BC19</f>
        <v>61047193080.628265</v>
      </c>
    </row>
    <row r="21" spans="1:55" x14ac:dyDescent="0.15">
      <c r="I21" s="29" t="str">
        <f>IF(武将数量星级阶位验证!A22="","",武将数量星级阶位验证!A22)</f>
        <v>超r返还比例</v>
      </c>
      <c r="J21" s="29" t="str">
        <f>IF(武将数量星级阶位验证!B22="","",武将数量星级阶位验证!B22)</f>
        <v/>
      </c>
      <c r="K21" s="29" t="str">
        <f>IF(武将数量星级阶位验证!C22="","",武将数量星级阶位验证!C22)</f>
        <v/>
      </c>
      <c r="L21" s="29" t="str">
        <f>IF(武将数量星级阶位验证!D22="","",武将数量星级阶位验证!D22)</f>
        <v/>
      </c>
      <c r="M21" s="29">
        <f>IF(武将数量星级阶位验证!E22="","",武将数量星级阶位验证!E22)</f>
        <v>8.0000000000000002E-3</v>
      </c>
      <c r="P21" s="14" t="e">
        <f>8-COUNTIF([3]羁绊设计!$AD20:$AK20,"&amp;")</f>
        <v>#VALUE!</v>
      </c>
      <c r="Q21" s="29" t="str">
        <f>[3]羁绊解锁统计!$B20</f>
        <v>吕雉</v>
      </c>
      <c r="R21" s="29" t="str">
        <f>IF([3]羁绊设计!$F20="红","橙+",[3]羁绊设计!$F20)</f>
        <v>橙+</v>
      </c>
      <c r="S21" s="14">
        <f>IF([3]羁绊解锁统计!C20="",0,[3]羁绊解锁统计!C20-IF($R21=S$9,1,0))</f>
        <v>0</v>
      </c>
      <c r="T21" s="14">
        <f>IF([3]羁绊解锁统计!D20="",0,[3]羁绊解锁统计!D20-IF($R21=T$9,1,0))</f>
        <v>0</v>
      </c>
      <c r="U21" s="14">
        <f>IF([3]羁绊解锁统计!E20="",0,[3]羁绊解锁统计!E20-IF($R21=U$9,1,0))</f>
        <v>1</v>
      </c>
      <c r="V21" s="14">
        <f>IF([3]羁绊解锁统计!F20="",0,[3]羁绊解锁统计!F20-IF($R21=V$9,1,0))</f>
        <v>8</v>
      </c>
      <c r="W21" s="14">
        <f>IF([3]羁绊解锁统计!G20="",0,[3]羁绊解锁统计!G20-IF($R21=W$9,1,0))</f>
        <v>0</v>
      </c>
      <c r="X21" s="29">
        <f t="shared" si="5"/>
        <v>80925.925925925927</v>
      </c>
      <c r="Y21" s="10">
        <f t="shared" si="6"/>
        <v>0.16209362499883187</v>
      </c>
      <c r="AA21" s="14">
        <f t="shared" si="7"/>
        <v>0</v>
      </c>
      <c r="AB21" s="14">
        <f t="shared" si="8"/>
        <v>0</v>
      </c>
      <c r="AC21" s="14">
        <f t="shared" si="9"/>
        <v>6</v>
      </c>
      <c r="AD21" s="14">
        <f t="shared" si="10"/>
        <v>48</v>
      </c>
      <c r="AE21" s="14">
        <f t="shared" si="11"/>
        <v>0</v>
      </c>
      <c r="AF21" s="29">
        <f t="shared" si="12"/>
        <v>485555.55555555556</v>
      </c>
      <c r="AG21" s="10">
        <f t="shared" si="4"/>
        <v>0.56732768749591156</v>
      </c>
      <c r="AH21" s="87">
        <v>8.5000000000000006E-3</v>
      </c>
      <c r="AI21" s="4">
        <v>17</v>
      </c>
      <c r="AJ21" s="98">
        <f t="shared" si="0"/>
        <v>6.8696624558387778E-2</v>
      </c>
      <c r="AK21" s="5">
        <f>'[1]资源-钻石'!$N20*求节点(武将数量星级阶位验证!$CP$41:$CP$72,武将数量星级阶位验证!$CS$41:$CS$72,节奏总纲!R20)</f>
        <v>23703.604358630648</v>
      </c>
      <c r="AL21" s="48"/>
      <c r="AO21" s="5">
        <v>18</v>
      </c>
      <c r="AP21" s="14">
        <f>基础状态预期!D31</f>
        <v>80.272123558064706</v>
      </c>
      <c r="AQ21" s="14">
        <f>(求节点(其他调用!$B$4:$B$163,其他调用!$C$4:$C$163,$AP21))*求节点(武将数量星级阶位验证!$CP$41:$CP$72,武将数量星级阶位验证!$CQ$41:$CQ$72,武将数量星级阶位验证!AS21)</f>
        <v>370332.87436236645</v>
      </c>
      <c r="AR21" s="14">
        <f>IF(武将升级!Y18="",0,求节点($AK$5:$AK$164,$AJ$5:$AJ$164,AQ$7)*B$5*武将升级!Y18)</f>
        <v>0</v>
      </c>
      <c r="AS21" s="14">
        <f>IF(武将升级!Z18="",0,求节点($AK$5:$AK$164,$AJ$5:$AJ$164,$AQ21)*C$5*武将升级!Z18)</f>
        <v>0</v>
      </c>
      <c r="AT21" s="14">
        <f>IF(武将升级!AA18="",0,求节点($AK$5:$AK$164,$AJ$5:$AJ$164,$AQ21)*D$5*武将升级!AA18)</f>
        <v>0</v>
      </c>
      <c r="AU21" s="14">
        <f>IF(武将升级!AB18="",0,求节点($AK$5:$AK$164,$AJ$5:$AJ$164,$AQ21)*E$5*武将升级!AB18)</f>
        <v>0</v>
      </c>
      <c r="AV21" s="14">
        <f>IF(武将升级!AC18="",0,求节点($AK$5:$AK$164,$AJ$5:$AJ$164,$AQ21)*F$5*武将升级!AC18)</f>
        <v>2622.4385015592165</v>
      </c>
      <c r="AW21" s="8">
        <f>SUMPRODUCT(AR21:AV21,基础状态预期!F31:J31)/SUM(基础状态预期!F31:J31)</f>
        <v>2622.4385015592165</v>
      </c>
      <c r="BA21" s="29">
        <v>150</v>
      </c>
      <c r="BB21" s="29">
        <f t="shared" si="2"/>
        <v>6139.5201032191417</v>
      </c>
      <c r="BC21" s="56">
        <f>(BB21-BB20)*INDEX([2]非r将兵属性验证!$W$7:$W$166+[2]非r将兵属性验证!$X$7:$X$166,BA21,1)+BC20</f>
        <v>77993948524.43689</v>
      </c>
    </row>
    <row r="22" spans="1:55" x14ac:dyDescent="0.15">
      <c r="A22" s="14" t="s">
        <v>709</v>
      </c>
      <c r="B22" s="29" t="s">
        <v>3</v>
      </c>
      <c r="C22" s="29" t="s">
        <v>80</v>
      </c>
      <c r="D22" s="29" t="s">
        <v>81</v>
      </c>
      <c r="E22" s="29" t="s">
        <v>82</v>
      </c>
      <c r="F22" s="29" t="s">
        <v>545</v>
      </c>
      <c r="G22" s="19" t="s">
        <v>30</v>
      </c>
      <c r="I22" s="17" t="str">
        <f>IF(武将数量星级阶位验证!A23="","",武将数量星级阶位验证!A23)</f>
        <v/>
      </c>
      <c r="J22" s="17" t="str">
        <f>IF(武将数量星级阶位验证!B23="","",武将数量星级阶位验证!B23)</f>
        <v/>
      </c>
      <c r="K22" s="17" t="str">
        <f>IF(武将数量星级阶位验证!C23="","",武将数量星级阶位验证!C23)</f>
        <v/>
      </c>
      <c r="L22" s="17" t="str">
        <f>IF(武将数量星级阶位验证!D23="","",武将数量星级阶位验证!D23)</f>
        <v/>
      </c>
      <c r="M22" s="17" t="str">
        <f>IF(武将数量星级阶位验证!E23="","",武将数量星级阶位验证!E23)</f>
        <v/>
      </c>
      <c r="P22" s="14" t="e">
        <f>8-COUNTIF([3]羁绊设计!$AD21:$AK21,"&amp;")</f>
        <v>#VALUE!</v>
      </c>
      <c r="Q22" s="29" t="str">
        <f>[3]羁绊解锁统计!$B21</f>
        <v>养由基</v>
      </c>
      <c r="R22" s="29" t="str">
        <f>IF([3]羁绊设计!$F21="红","橙+",[3]羁绊设计!$F21)</f>
        <v>橙+</v>
      </c>
      <c r="S22" s="14">
        <f>IF([3]羁绊解锁统计!C21="",0,[3]羁绊解锁统计!C21-IF($R22=S$9,1,0))</f>
        <v>0</v>
      </c>
      <c r="T22" s="14">
        <f>IF([3]羁绊解锁统计!D21="",0,[3]羁绊解锁统计!D21-IF($R22=T$9,1,0))</f>
        <v>0</v>
      </c>
      <c r="U22" s="14">
        <f>IF([3]羁绊解锁统计!E21="",0,[3]羁绊解锁统计!E21-IF($R22=U$9,1,0))</f>
        <v>0</v>
      </c>
      <c r="V22" s="14">
        <f>IF([3]羁绊解锁统计!F21="",0,[3]羁绊解锁统计!F21-IF($R22=V$9,1,0))</f>
        <v>3</v>
      </c>
      <c r="W22" s="14">
        <f>IF([3]羁绊解锁统计!G21="",0,[3]羁绊解锁统计!G21-IF($R22=W$9,1,0))</f>
        <v>0</v>
      </c>
      <c r="X22" s="29">
        <f t="shared" si="5"/>
        <v>59629.629629629642</v>
      </c>
      <c r="Y22" s="10">
        <f t="shared" si="6"/>
        <v>0.13092644438936596</v>
      </c>
      <c r="AA22" s="14">
        <f t="shared" si="7"/>
        <v>0</v>
      </c>
      <c r="AB22" s="14">
        <f t="shared" si="8"/>
        <v>0</v>
      </c>
      <c r="AC22" s="14">
        <f t="shared" si="9"/>
        <v>0</v>
      </c>
      <c r="AD22" s="14">
        <f t="shared" si="10"/>
        <v>18</v>
      </c>
      <c r="AE22" s="14">
        <f t="shared" si="11"/>
        <v>0</v>
      </c>
      <c r="AF22" s="29">
        <f t="shared" si="12"/>
        <v>357777.77777777787</v>
      </c>
      <c r="AG22" s="10">
        <f t="shared" si="4"/>
        <v>0.45824255536278086</v>
      </c>
      <c r="AH22" s="87">
        <v>8.9999999999999993E-3</v>
      </c>
      <c r="AI22" s="4">
        <v>18</v>
      </c>
      <c r="AJ22" s="98">
        <f t="shared" si="0"/>
        <v>7.1902130443760343E-2</v>
      </c>
      <c r="AK22" s="5">
        <f>'[1]资源-钻石'!$N21*求节点(武将数量星级阶位验证!$CP$41:$CP$72,武将数量星级阶位验证!$CS$41:$CS$72,节奏总纲!R21)</f>
        <v>25301.272325995214</v>
      </c>
      <c r="AL22" s="48"/>
      <c r="AO22" s="5">
        <v>19</v>
      </c>
      <c r="AP22" s="14">
        <f>基础状态预期!D32</f>
        <v>82.328492296001457</v>
      </c>
      <c r="AQ22" s="14">
        <f>(求节点(其他调用!$B$4:$B$163,其他调用!$C$4:$C$163,$AP22))*求节点(武将数量星级阶位验证!$CP$41:$CP$72,武将数量星级阶位验证!$CQ$41:$CQ$72,武将数量星级阶位验证!AS22)</f>
        <v>406058.23512062535</v>
      </c>
      <c r="AR22" s="14">
        <f>IF(武将升级!Y19="",0,求节点($AK$5:$AK$164,$AJ$5:$AJ$164,AQ$7)*B$5*武将升级!Y19)</f>
        <v>0</v>
      </c>
      <c r="AS22" s="14">
        <f>IF(武将升级!Z19="",0,求节点($AK$5:$AK$164,$AJ$5:$AJ$164,$AQ22)*C$5*武将升级!Z19)</f>
        <v>0</v>
      </c>
      <c r="AT22" s="14">
        <f>IF(武将升级!AA19="",0,求节点($AK$5:$AK$164,$AJ$5:$AJ$164,$AQ22)*D$5*武将升级!AA19)</f>
        <v>0</v>
      </c>
      <c r="AU22" s="14">
        <f>IF(武将升级!AB19="",0,求节点($AK$5:$AK$164,$AJ$5:$AJ$164,$AQ22)*E$5*武将升级!AB19)</f>
        <v>0</v>
      </c>
      <c r="AV22" s="14">
        <f>IF(武将升级!AC19="",0,求节点($AK$5:$AK$164,$AJ$5:$AJ$164,$AQ22)*F$5*武将升级!AC19)</f>
        <v>2858.6656633111129</v>
      </c>
      <c r="AW22" s="8">
        <f>SUMPRODUCT(AR22:AV22,基础状态预期!F32:J32)/SUM(基础状态预期!F32:J32)</f>
        <v>2858.6656633111129</v>
      </c>
      <c r="BA22" s="29">
        <v>160</v>
      </c>
      <c r="BB22" s="29">
        <f t="shared" si="2"/>
        <v>6155.1000000000013</v>
      </c>
      <c r="BC22" s="56">
        <f>(BB22-BB21)*INDEX([2]非r将兵属性验证!$W$7:$W$166+[2]非r将兵属性验证!$X$7:$X$166,BA22,1)+BC21</f>
        <v>78834641422.542267</v>
      </c>
    </row>
    <row r="23" spans="1:55" x14ac:dyDescent="0.15">
      <c r="A23" s="14">
        <v>1</v>
      </c>
      <c r="B23" s="14">
        <v>1</v>
      </c>
      <c r="C23" s="14">
        <v>1</v>
      </c>
      <c r="D23" s="14">
        <v>1</v>
      </c>
      <c r="E23" s="14">
        <v>1</v>
      </c>
      <c r="F23" s="14">
        <v>1</v>
      </c>
      <c r="G23" s="14">
        <v>2</v>
      </c>
      <c r="I23" s="17" t="str">
        <f>IF(武将数量星级阶位验证!A24="","",武将数量星级阶位验证!A24)</f>
        <v/>
      </c>
      <c r="J23" s="35" t="str">
        <f>IF(武将数量星级阶位验证!B24="","",武将数量星级阶位验证!B24)</f>
        <v>蓝</v>
      </c>
      <c r="K23" s="35" t="str">
        <f>IF(武将数量星级阶位验证!C24="","",武将数量星级阶位验证!C24)</f>
        <v>紫</v>
      </c>
      <c r="L23" s="35" t="str">
        <f>IF(武将数量星级阶位验证!D24="","",武将数量星级阶位验证!D24)</f>
        <v>橙</v>
      </c>
      <c r="M23" s="35" t="str">
        <f>IF(武将数量星级阶位验证!E24="","",武将数量星级阶位验证!E24)</f>
        <v>橙+</v>
      </c>
      <c r="P23" s="14" t="e">
        <f>8-COUNTIF([3]羁绊设计!$AD22:$AK22,"&amp;")</f>
        <v>#VALUE!</v>
      </c>
      <c r="Q23" s="29" t="str">
        <f>[3]羁绊解锁统计!$B22</f>
        <v>李广</v>
      </c>
      <c r="R23" s="29" t="str">
        <f>IF([3]羁绊设计!$F22="红","橙+",[3]羁绊设计!$F22)</f>
        <v>橙+</v>
      </c>
      <c r="S23" s="14">
        <f>IF([3]羁绊解锁统计!C22="",0,[3]羁绊解锁统计!C22-IF($R23=S$9,1,0))</f>
        <v>0</v>
      </c>
      <c r="T23" s="14">
        <f>IF([3]羁绊解锁统计!D22="",0,[3]羁绊解锁统计!D22-IF($R23=T$9,1,0))</f>
        <v>0</v>
      </c>
      <c r="U23" s="14">
        <f>IF([3]羁绊解锁统计!E22="",0,[3]羁绊解锁统计!E22-IF($R23=U$9,1,0))</f>
        <v>0</v>
      </c>
      <c r="V23" s="14">
        <f>IF([3]羁绊解锁统计!F22="",0,[3]羁绊解锁统计!F22-IF($R23=V$9,1,0))</f>
        <v>1</v>
      </c>
      <c r="W23" s="14">
        <f>IF([3]羁绊解锁统计!G22="",0,[3]羁绊解锁统计!G22-IF($R23=W$9,1,0))</f>
        <v>0</v>
      </c>
      <c r="X23" s="29">
        <f t="shared" si="5"/>
        <v>51111.111111111117</v>
      </c>
      <c r="Y23" s="10">
        <f t="shared" si="6"/>
        <v>0.1175552379919582</v>
      </c>
      <c r="AA23" s="14">
        <f t="shared" si="7"/>
        <v>0</v>
      </c>
      <c r="AB23" s="14">
        <f t="shared" si="8"/>
        <v>0</v>
      </c>
      <c r="AC23" s="14">
        <f t="shared" si="9"/>
        <v>0</v>
      </c>
      <c r="AD23" s="14">
        <f t="shared" si="10"/>
        <v>6</v>
      </c>
      <c r="AE23" s="14">
        <f t="shared" si="11"/>
        <v>0</v>
      </c>
      <c r="AF23" s="29">
        <f t="shared" si="12"/>
        <v>306666.66666666669</v>
      </c>
      <c r="AG23" s="10">
        <f t="shared" si="4"/>
        <v>0.4114433329718537</v>
      </c>
      <c r="AH23" s="87">
        <v>9.4999999999999998E-3</v>
      </c>
      <c r="AI23" s="4">
        <v>19</v>
      </c>
      <c r="AJ23" s="98">
        <f t="shared" si="0"/>
        <v>7.5051644600781439E-2</v>
      </c>
      <c r="AK23" s="5">
        <f>'[1]资源-钻石'!$N22*求节点(武将数量星级阶位验证!$CP$41:$CP$72,武将数量星级阶位验证!$CS$41:$CS$72,节奏总纲!R22)</f>
        <v>26901.180292192425</v>
      </c>
      <c r="AL23" s="48"/>
      <c r="AO23" s="5">
        <v>20</v>
      </c>
      <c r="AP23" s="14">
        <f>基础状态预期!D33</f>
        <v>84.132234338875293</v>
      </c>
      <c r="AQ23" s="14">
        <f>(求节点(其他调用!$B$4:$B$163,其他调用!$C$4:$C$163,$AP23))*求节点(武将数量星级阶位验证!$CP$41:$CP$72,武将数量星级阶位验证!$CQ$41:$CQ$72,武将数量星级阶位验证!AS23)</f>
        <v>441971.97739459481</v>
      </c>
      <c r="AR23" s="14">
        <f>IF(武将升级!Y20="",0,求节点($AK$5:$AK$164,$AJ$5:$AJ$164,AQ$7)*B$5*武将升级!Y20)</f>
        <v>0</v>
      </c>
      <c r="AS23" s="14">
        <f>IF(武将升级!Z20="",0,求节点($AK$5:$AK$164,$AJ$5:$AJ$164,$AQ23)*C$5*武将升级!Z20)</f>
        <v>0</v>
      </c>
      <c r="AT23" s="14">
        <f>IF(武将升级!AA20="",0,求节点($AK$5:$AK$164,$AJ$5:$AJ$164,$AQ23)*D$5*武将升级!AA20)</f>
        <v>0</v>
      </c>
      <c r="AU23" s="14">
        <f>IF(武将升级!AB20="",0,求节点($AK$5:$AK$164,$AJ$5:$AJ$164,$AQ23)*E$5*武将升级!AB20)</f>
        <v>0</v>
      </c>
      <c r="AV23" s="14">
        <f>IF(武将升级!AC20="",0,求节点($AK$5:$AK$164,$AJ$5:$AJ$164,$AQ23)*F$5*武将升级!AC20)</f>
        <v>3090.610626505837</v>
      </c>
      <c r="AW23" s="8">
        <f>SUMPRODUCT(AR23:AV23,基础状态预期!F33:J33)/SUM(基础状态预期!F33:J33)</f>
        <v>3090.610626505837</v>
      </c>
    </row>
    <row r="24" spans="1:55" x14ac:dyDescent="0.15">
      <c r="A24" s="14">
        <v>2</v>
      </c>
      <c r="B24" s="14">
        <v>1</v>
      </c>
      <c r="C24" s="14">
        <v>1</v>
      </c>
      <c r="D24" s="14">
        <v>1</v>
      </c>
      <c r="E24" s="14">
        <v>1</v>
      </c>
      <c r="F24" s="14">
        <v>1</v>
      </c>
      <c r="G24" s="14">
        <v>2</v>
      </c>
      <c r="I24" s="29" t="str">
        <f>IF(武将数量星级阶位验证!A25="","",武将数量星级阶位验证!A25)</f>
        <v>非r</v>
      </c>
      <c r="J24" s="29">
        <f>IF(武将数量星级阶位验证!B25="","",武将数量星级阶位验证!B25)</f>
        <v>0.4933333333333334</v>
      </c>
      <c r="K24" s="29">
        <f>IF(武将数量星级阶位验证!C25="","",武将数量星级阶位验证!C25)</f>
        <v>0.26666666666666666</v>
      </c>
      <c r="L24" s="29">
        <f>IF(武将数量星级阶位验证!D25="","",武将数量星级阶位验证!D25)</f>
        <v>0.04</v>
      </c>
      <c r="M24" s="29">
        <f>IF(武将数量星级阶位验证!E25="","",武将数量星级阶位验证!E25)</f>
        <v>2.8000000000000001E-2</v>
      </c>
      <c r="P24" s="14" t="e">
        <f>8-COUNTIF([3]羁绊设计!$AD23:$AK23,"&amp;")</f>
        <v>#VALUE!</v>
      </c>
      <c r="Q24" s="29" t="str">
        <f>[3]羁绊解锁统计!$B23</f>
        <v>楚庄王</v>
      </c>
      <c r="R24" s="29" t="str">
        <f>IF([3]羁绊设计!$F23="红","橙+",[3]羁绊设计!$F23)</f>
        <v>橙</v>
      </c>
      <c r="S24" s="14">
        <f>IF([3]羁绊解锁统计!C23="",0,[3]羁绊解锁统计!C23-IF($R24=S$9,1,0))</f>
        <v>0</v>
      </c>
      <c r="T24" s="14">
        <f>IF([3]羁绊解锁统计!D23="",0,[3]羁绊解锁统计!D23-IF($R24=T$9,1,0))</f>
        <v>0</v>
      </c>
      <c r="U24" s="14">
        <f>IF([3]羁绊解锁统计!E23="",0,[3]羁绊解锁统计!E23-IF($R24=U$9,1,0))</f>
        <v>1</v>
      </c>
      <c r="V24" s="14">
        <f>IF([3]羁绊解锁统计!F23="",0,[3]羁绊解锁统计!F23-IF($R24=V$9,1,0))</f>
        <v>5</v>
      </c>
      <c r="W24" s="14">
        <f>IF([3]羁绊解锁统计!G23="",0,[3]羁绊解锁统计!G23-IF($R24=W$9,1,0))</f>
        <v>2</v>
      </c>
      <c r="X24" s="29">
        <f t="shared" si="5"/>
        <v>68148.148148148146</v>
      </c>
      <c r="Y24" s="10">
        <f t="shared" si="6"/>
        <v>0.14374973105394928</v>
      </c>
      <c r="AA24" s="14">
        <f t="shared" si="7"/>
        <v>0</v>
      </c>
      <c r="AB24" s="14">
        <f t="shared" si="8"/>
        <v>0</v>
      </c>
      <c r="AC24" s="14">
        <f t="shared" si="9"/>
        <v>6</v>
      </c>
      <c r="AD24" s="14">
        <f t="shared" si="10"/>
        <v>30</v>
      </c>
      <c r="AE24" s="14">
        <f t="shared" si="11"/>
        <v>12</v>
      </c>
      <c r="AF24" s="29">
        <f t="shared" si="12"/>
        <v>408888.88888888888</v>
      </c>
      <c r="AG24" s="10">
        <f t="shared" si="4"/>
        <v>0.50312405868882248</v>
      </c>
      <c r="AH24" s="87">
        <v>9.9999999999999898E-3</v>
      </c>
      <c r="AI24" s="4">
        <v>20</v>
      </c>
      <c r="AJ24" s="98">
        <f t="shared" si="0"/>
        <v>7.816049647277927E-2</v>
      </c>
      <c r="AK24" s="5">
        <f>'[1]资源-钻石'!$N23*求节点(武将数量星级阶位验证!$CP$41:$CP$72,武将数量星级阶位验证!$CS$41:$CS$72,节奏总纲!R23)</f>
        <v>28509.028761363505</v>
      </c>
      <c r="AL24" s="48"/>
      <c r="AO24" s="5">
        <v>21</v>
      </c>
      <c r="AP24" s="14">
        <f>基础状态预期!D34</f>
        <v>86.465948248806328</v>
      </c>
      <c r="AQ24" s="14">
        <f>(求节点(其他调用!$B$4:$B$163,其他调用!$C$4:$C$163,$AP24))*求节点(武将数量星级阶位验证!$CP$41:$CP$72,武将数量星级阶位验证!$CQ$41:$CQ$72,武将数量星级阶位验证!AS24)</f>
        <v>490435.23442412872</v>
      </c>
      <c r="AR24" s="14">
        <f>IF(武将升级!Y21="",0,求节点($AK$5:$AK$164,$AJ$5:$AJ$164,AQ$7)*B$5*武将升级!Y21)</f>
        <v>0</v>
      </c>
      <c r="AS24" s="14">
        <f>IF(武将升级!Z21="",0,求节点($AK$5:$AK$164,$AJ$5:$AJ$164,$AQ24)*C$5*武将升级!Z21)</f>
        <v>0</v>
      </c>
      <c r="AT24" s="14">
        <f>IF(武将升级!AA21="",0,求节点($AK$5:$AK$164,$AJ$5:$AJ$164,$AQ24)*D$5*武将升级!AA21)</f>
        <v>0</v>
      </c>
      <c r="AU24" s="14">
        <f>IF(武将升级!AB21="",0,求节点($AK$5:$AK$164,$AJ$5:$AJ$164,$AQ24)*E$5*武将升级!AB21)</f>
        <v>0</v>
      </c>
      <c r="AV24" s="14">
        <f>IF(武将升级!AC21="",0,求节点($AK$5:$AK$164,$AJ$5:$AJ$164,$AQ24)*F$5*武将升级!AC21)</f>
        <v>3403.8302966350193</v>
      </c>
      <c r="AW24" s="8">
        <f>SUMPRODUCT(AR24:AV24,基础状态预期!F34:J34)/SUM(基础状态预期!F34:J34)</f>
        <v>3403.8302966350188</v>
      </c>
    </row>
    <row r="25" spans="1:55" x14ac:dyDescent="0.15">
      <c r="A25" s="14">
        <v>3</v>
      </c>
      <c r="B25" s="14">
        <v>1</v>
      </c>
      <c r="C25" s="14">
        <v>1</v>
      </c>
      <c r="D25" s="14">
        <v>1</v>
      </c>
      <c r="E25" s="14">
        <v>1</v>
      </c>
      <c r="F25" s="14">
        <v>2</v>
      </c>
      <c r="G25" s="14">
        <v>3</v>
      </c>
      <c r="I25" s="29" t="str">
        <f>IF(武将数量星级阶位验证!A26="","",武将数量星级阶位验证!A26)</f>
        <v>小r</v>
      </c>
      <c r="J25" s="29">
        <f>IF(武将数量星级阶位验证!B26="","",武将数量星级阶位验证!B26)</f>
        <v>0.4933333333333334</v>
      </c>
      <c r="K25" s="29">
        <f>IF(武将数量星级阶位验证!C26="","",武将数量星级阶位验证!C26)</f>
        <v>0.26666666666666666</v>
      </c>
      <c r="L25" s="29">
        <f>IF(武将数量星级阶位验证!D26="","",武将数量星级阶位验证!D26)</f>
        <v>0.04</v>
      </c>
      <c r="M25" s="29">
        <f>IF(武将数量星级阶位验证!E26="","",武将数量星级阶位验证!E26)</f>
        <v>2.8000000000000001E-2</v>
      </c>
      <c r="P25" s="14" t="e">
        <f>8-COUNTIF([3]羁绊设计!$AD24:$AK24,"&amp;")</f>
        <v>#VALUE!</v>
      </c>
      <c r="Q25" s="29" t="str">
        <f>[3]羁绊解锁统计!$B24</f>
        <v>田单</v>
      </c>
      <c r="R25" s="29" t="str">
        <f>IF([3]羁绊设计!$F24="红","橙+",[3]羁绊设计!$F24)</f>
        <v>橙</v>
      </c>
      <c r="S25" s="14">
        <f>IF([3]羁绊解锁统计!C24="",0,[3]羁绊解锁统计!C24-IF($R25=S$9,1,0))</f>
        <v>0</v>
      </c>
      <c r="T25" s="14">
        <f>IF([3]羁绊解锁统计!D24="",0,[3]羁绊解锁统计!D24-IF($R25=T$9,1,0))</f>
        <v>0</v>
      </c>
      <c r="U25" s="14">
        <f>IF([3]羁绊解锁统计!E24="",0,[3]羁绊解锁统计!E24-IF($R25=U$9,1,0))</f>
        <v>1</v>
      </c>
      <c r="V25" s="14">
        <f>IF([3]羁绊解锁统计!F24="",0,[3]羁绊解锁统计!F24-IF($R25=V$9,1,0))</f>
        <v>9</v>
      </c>
      <c r="W25" s="14">
        <f>IF([3]羁绊解锁统计!G24="",0,[3]羁绊解锁统计!G24-IF($R25=W$9,1,0))</f>
        <v>0</v>
      </c>
      <c r="X25" s="29">
        <f t="shared" si="5"/>
        <v>85185.185185185182</v>
      </c>
      <c r="Y25" s="10">
        <f t="shared" si="6"/>
        <v>0.1680096518804009</v>
      </c>
      <c r="AA25" s="14">
        <f t="shared" si="7"/>
        <v>0</v>
      </c>
      <c r="AB25" s="14">
        <f t="shared" si="8"/>
        <v>0</v>
      </c>
      <c r="AC25" s="14">
        <f t="shared" si="9"/>
        <v>6</v>
      </c>
      <c r="AD25" s="14">
        <f t="shared" si="10"/>
        <v>54</v>
      </c>
      <c r="AE25" s="14">
        <f t="shared" si="11"/>
        <v>0</v>
      </c>
      <c r="AF25" s="29">
        <f t="shared" si="12"/>
        <v>511111.11111111112</v>
      </c>
      <c r="AG25" s="10">
        <f t="shared" si="4"/>
        <v>0.58803378158140318</v>
      </c>
      <c r="AH25" s="87">
        <v>1.0500000000000001E-2</v>
      </c>
      <c r="AI25" s="4">
        <v>21</v>
      </c>
      <c r="AJ25" s="98">
        <f t="shared" si="0"/>
        <v>8.1528904604427258E-2</v>
      </c>
      <c r="AK25" s="5">
        <f>'[1]资源-钻石'!$N24*求节点(武将数量星级阶位验证!$CP$41:$CP$72,武将数量星级阶位验证!$CS$41:$CS$72,节奏总纲!R24)</f>
        <v>30282.427043569747</v>
      </c>
      <c r="AL25" s="48"/>
      <c r="AO25" s="5">
        <v>22</v>
      </c>
      <c r="AP25" s="14">
        <f>基础状态预期!D35</f>
        <v>90.244911202258237</v>
      </c>
      <c r="AQ25" s="14">
        <f>(求节点(其他调用!$B$4:$B$163,其他调用!$C$4:$C$163,$AP25))*求节点(武将数量星级阶位验证!$CP$41:$CP$72,武将数量星级阶位验证!$CQ$41:$CQ$72,武将数量星级阶位验证!AS25)</f>
        <v>581033.16248285398</v>
      </c>
      <c r="AR25" s="14">
        <f>IF(武将升级!Y22="",0,求节点($AK$5:$AK$164,$AJ$5:$AJ$164,AQ$7)*B$5*武将升级!Y22)</f>
        <v>0</v>
      </c>
      <c r="AS25" s="14">
        <f>IF(武将升级!Z22="",0,求节点($AK$5:$AK$164,$AJ$5:$AJ$164,$AQ25)*C$5*武将升级!Z22)</f>
        <v>0</v>
      </c>
      <c r="AT25" s="14">
        <f>IF(武将升级!AA22="",0,求节点($AK$5:$AK$164,$AJ$5:$AJ$164,$AQ25)*D$5*武将升级!AA22)</f>
        <v>0</v>
      </c>
      <c r="AU25" s="14">
        <f>IF(武将升级!AB22="",0,求节点($AK$5:$AK$164,$AJ$5:$AJ$164,$AQ25)*E$5*武将升级!AB22)</f>
        <v>0</v>
      </c>
      <c r="AV25" s="14">
        <f>IF(武将升级!AC22="",0,求节点($AK$5:$AK$164,$AJ$5:$AJ$164,$AQ25)*F$5*武将升级!AC22)</f>
        <v>3893.8393979368229</v>
      </c>
      <c r="AW25" s="8">
        <f>SUMPRODUCT(AR25:AV25,基础状态预期!F35:J35)/SUM(基础状态预期!F35:J35)</f>
        <v>3893.8393979368229</v>
      </c>
    </row>
    <row r="26" spans="1:55" x14ac:dyDescent="0.15">
      <c r="A26" s="14">
        <v>4</v>
      </c>
      <c r="B26" s="14">
        <v>1</v>
      </c>
      <c r="C26" s="14">
        <v>1</v>
      </c>
      <c r="D26" s="14">
        <v>1</v>
      </c>
      <c r="E26" s="14">
        <v>1</v>
      </c>
      <c r="F26" s="14">
        <v>2</v>
      </c>
      <c r="G26" s="14">
        <v>3</v>
      </c>
      <c r="I26" s="29" t="str">
        <f>IF(武将数量星级阶位验证!A27="","",武将数量星级阶位验证!A27)</f>
        <v>中r</v>
      </c>
      <c r="J26" s="29">
        <f>IF(武将数量星级阶位验证!B27="","",武将数量星级阶位验证!B27)</f>
        <v>0.4933333333333334</v>
      </c>
      <c r="K26" s="29">
        <f>IF(武将数量星级阶位验证!C27="","",武将数量星级阶位验证!C27)</f>
        <v>0.26666666666666666</v>
      </c>
      <c r="L26" s="29">
        <f>IF(武将数量星级阶位验证!D27="","",武将数量星级阶位验证!D27)</f>
        <v>0.04</v>
      </c>
      <c r="M26" s="29">
        <f>IF(武将数量星级阶位验证!E27="","",武将数量星级阶位验证!E27)</f>
        <v>2.4E-2</v>
      </c>
      <c r="P26" s="14" t="e">
        <f>8-COUNTIF([3]羁绊设计!$AD25:$AK25,"&amp;")</f>
        <v>#VALUE!</v>
      </c>
      <c r="Q26" s="29" t="str">
        <f>[3]羁绊解锁统计!$B25</f>
        <v>司马错</v>
      </c>
      <c r="R26" s="29" t="str">
        <f>IF([3]羁绊设计!$F25="红","橙+",[3]羁绊设计!$F25)</f>
        <v>橙</v>
      </c>
      <c r="S26" s="14">
        <f>IF([3]羁绊解锁统计!C25="",0,[3]羁绊解锁统计!C25-IF($R26=S$9,1,0))</f>
        <v>0</v>
      </c>
      <c r="T26" s="14">
        <f>IF([3]羁绊解锁统计!D25="",0,[3]羁绊解锁统计!D25-IF($R26=T$9,1,0))</f>
        <v>0</v>
      </c>
      <c r="U26" s="14">
        <f>IF([3]羁绊解锁统计!E25="",0,[3]羁绊解锁统计!E25-IF($R26=U$9,1,0))</f>
        <v>1</v>
      </c>
      <c r="V26" s="14">
        <f>IF([3]羁绊解锁统计!F25="",0,[3]羁绊解锁统计!F25-IF($R26=V$9,1,0))</f>
        <v>9</v>
      </c>
      <c r="W26" s="14">
        <f>IF([3]羁绊解锁统计!G25="",0,[3]羁绊解锁统计!G25-IF($R26=W$9,1,0))</f>
        <v>0</v>
      </c>
      <c r="X26" s="29">
        <f t="shared" si="5"/>
        <v>85185.185185185182</v>
      </c>
      <c r="Y26" s="10">
        <f t="shared" si="6"/>
        <v>0.1680096518804009</v>
      </c>
      <c r="AA26" s="14">
        <f t="shared" si="7"/>
        <v>0</v>
      </c>
      <c r="AB26" s="14">
        <f t="shared" si="8"/>
        <v>0</v>
      </c>
      <c r="AC26" s="14">
        <f t="shared" si="9"/>
        <v>6</v>
      </c>
      <c r="AD26" s="14">
        <f t="shared" si="10"/>
        <v>54</v>
      </c>
      <c r="AE26" s="14">
        <f t="shared" si="11"/>
        <v>0</v>
      </c>
      <c r="AF26" s="29">
        <f t="shared" si="12"/>
        <v>511111.11111111112</v>
      </c>
      <c r="AG26" s="10">
        <f t="shared" si="4"/>
        <v>0.58803378158140318</v>
      </c>
      <c r="AH26" s="87">
        <v>1.0999999999999999E-2</v>
      </c>
      <c r="AI26" s="4">
        <v>22</v>
      </c>
      <c r="AJ26" s="98">
        <f t="shared" si="0"/>
        <v>8.5054430990148103E-2</v>
      </c>
      <c r="AK26" s="5">
        <f>'[1]资源-钻石'!$N25*求节点(武将数量星级阶位验证!$CP$41:$CP$72,武将数量星级阶位验证!$CS$41:$CS$72,节奏总纲!R25)</f>
        <v>32172.605725260892</v>
      </c>
      <c r="AL26" s="48"/>
      <c r="AO26" s="5">
        <v>23</v>
      </c>
      <c r="AP26" s="14">
        <f>基础状态预期!D36</f>
        <v>93.235489905456092</v>
      </c>
      <c r="AQ26" s="14">
        <f>(求节点(其他调用!$B$4:$B$163,其他调用!$C$4:$C$163,$AP26))*求节点(武将数量星级阶位验证!$CP$41:$CP$72,武将数量星级阶位验证!$CQ$41:$CQ$72,武将数量星级阶位验证!AS26)</f>
        <v>667260.83351341588</v>
      </c>
      <c r="AR26" s="14">
        <f>IF(武将升级!Y23="",0,求节点($AK$5:$AK$164,$AJ$5:$AJ$164,AQ$7)*B$5*武将升级!Y23)</f>
        <v>0</v>
      </c>
      <c r="AS26" s="14">
        <f>IF(武将升级!Z23="",0,求节点($AK$5:$AK$164,$AJ$5:$AJ$164,$AQ26)*C$5*武将升级!Z23)</f>
        <v>0</v>
      </c>
      <c r="AT26" s="14">
        <f>IF(武将升级!AA23="",0,求节点($AK$5:$AK$164,$AJ$5:$AJ$164,$AQ26)*D$5*武将升级!AA23)</f>
        <v>0</v>
      </c>
      <c r="AU26" s="14">
        <f>IF(武将升级!AB23="",0,求节点($AK$5:$AK$164,$AJ$5:$AJ$164,$AQ26)*E$5*武将升级!AB23)</f>
        <v>0</v>
      </c>
      <c r="AV26" s="14">
        <f>IF(武将升级!AC23="",0,求节点($AK$5:$AK$164,$AJ$5:$AJ$164,$AQ26)*F$5*武将升级!AC23)</f>
        <v>4009.4015184262407</v>
      </c>
      <c r="AW26" s="8">
        <f>SUMPRODUCT(AR26:AV26,基础状态预期!F36:J36)/SUM(基础状态预期!F36:J36)</f>
        <v>4009.4015184262407</v>
      </c>
    </row>
    <row r="27" spans="1:55" x14ac:dyDescent="0.15">
      <c r="A27" s="14">
        <v>5</v>
      </c>
      <c r="B27" s="14">
        <v>1</v>
      </c>
      <c r="C27" s="14">
        <v>1</v>
      </c>
      <c r="D27" s="14">
        <v>1</v>
      </c>
      <c r="E27" s="14">
        <v>1</v>
      </c>
      <c r="F27" s="14">
        <v>3</v>
      </c>
      <c r="G27" s="14">
        <v>4</v>
      </c>
      <c r="I27" s="29" t="str">
        <f>IF(武将数量星级阶位验证!A28="","",武将数量星级阶位验证!A28)</f>
        <v>大r</v>
      </c>
      <c r="J27" s="29">
        <f>IF(武将数量星级阶位验证!B28="","",武将数量星级阶位验证!B28)</f>
        <v>0.4933333333333334</v>
      </c>
      <c r="K27" s="29">
        <f>IF(武将数量星级阶位验证!C28="","",武将数量星级阶位验证!C28)</f>
        <v>0.26666666666666666</v>
      </c>
      <c r="L27" s="29">
        <f>IF(武将数量星级阶位验证!D28="","",武将数量星级阶位验证!D28)</f>
        <v>0.04</v>
      </c>
      <c r="M27" s="29">
        <f>IF(武将数量星级阶位验证!E28="","",武将数量星级阶位验证!E28)</f>
        <v>0.02</v>
      </c>
      <c r="P27" s="14" t="e">
        <f>8-COUNTIF([3]羁绊设计!$AD26:$AK26,"&amp;")</f>
        <v>#VALUE!</v>
      </c>
      <c r="Q27" s="29" t="str">
        <f>[3]羁绊解锁统计!$B26</f>
        <v>吕不韦</v>
      </c>
      <c r="R27" s="29" t="str">
        <f>IF([3]羁绊设计!$F26="红","橙+",[3]羁绊设计!$F26)</f>
        <v>橙</v>
      </c>
      <c r="S27" s="14">
        <f>IF([3]羁绊解锁统计!C26="",0,[3]羁绊解锁统计!C26-IF($R27=S$9,1,0))</f>
        <v>0</v>
      </c>
      <c r="T27" s="14">
        <f>IF([3]羁绊解锁统计!D26="",0,[3]羁绊解锁统计!D26-IF($R27=T$9,1,0))</f>
        <v>1</v>
      </c>
      <c r="U27" s="14">
        <f>IF([3]羁绊解锁统计!E26="",0,[3]羁绊解锁统计!E26-IF($R27=U$9,1,0))</f>
        <v>0</v>
      </c>
      <c r="V27" s="14">
        <f>IF([3]羁绊解锁统计!F26="",0,[3]羁绊解锁统计!F26-IF($R27=V$9,1,0))</f>
        <v>9</v>
      </c>
      <c r="W27" s="14">
        <f>IF([3]羁绊解锁统计!G26="",0,[3]羁绊解锁统计!G26-IF($R27=W$9,1,0))</f>
        <v>0</v>
      </c>
      <c r="X27" s="29">
        <f t="shared" si="5"/>
        <v>85185.185185185182</v>
      </c>
      <c r="Y27" s="10">
        <f t="shared" si="6"/>
        <v>0.1680096518804009</v>
      </c>
      <c r="AA27" s="14">
        <f t="shared" si="7"/>
        <v>0</v>
      </c>
      <c r="AB27" s="14">
        <f t="shared" si="8"/>
        <v>6</v>
      </c>
      <c r="AC27" s="14">
        <f t="shared" si="9"/>
        <v>0</v>
      </c>
      <c r="AD27" s="14">
        <f t="shared" si="10"/>
        <v>54</v>
      </c>
      <c r="AE27" s="14">
        <f t="shared" si="11"/>
        <v>0</v>
      </c>
      <c r="AF27" s="29">
        <f t="shared" si="12"/>
        <v>511111.11111111112</v>
      </c>
      <c r="AG27" s="10">
        <f t="shared" si="4"/>
        <v>0.58803378158140318</v>
      </c>
      <c r="AH27" s="87">
        <v>1.15E-2</v>
      </c>
      <c r="AI27" s="4">
        <v>23</v>
      </c>
      <c r="AJ27" s="98">
        <f t="shared" si="0"/>
        <v>8.866173580445097E-2</v>
      </c>
      <c r="AK27" s="5">
        <f>'[1]资源-钻石'!$N26*求节点(武将数量星级阶位验证!$CP$41:$CP$72,武将数量星级阶位验证!$CS$41:$CS$72,节奏总纲!R26)</f>
        <v>34141.834830072563</v>
      </c>
      <c r="AL27" s="48"/>
      <c r="AO27" s="5">
        <v>24</v>
      </c>
      <c r="AP27" s="14">
        <f>基础状态预期!D37</f>
        <v>96.807063977001675</v>
      </c>
      <c r="AQ27" s="14">
        <f>(求节点(其他调用!$B$4:$B$163,其他调用!$C$4:$C$163,$AP27))*求节点(武将数量星级阶位验证!$CP$41:$CP$72,武将数量星级阶位验证!$CQ$41:$CQ$72,武将数量星级阶位验证!AS27)</f>
        <v>787969.54410231474</v>
      </c>
      <c r="AR27" s="14">
        <f>IF(武将升级!Y24="",0,求节点($AK$5:$AK$164,$AJ$5:$AJ$164,AQ$7)*B$5*武将升级!Y24)</f>
        <v>0</v>
      </c>
      <c r="AS27" s="14">
        <f>IF(武将升级!Z24="",0,求节点($AK$5:$AK$164,$AJ$5:$AJ$164,$AQ27)*C$5*武将升级!Z24)</f>
        <v>0</v>
      </c>
      <c r="AT27" s="14">
        <f>IF(武将升级!AA24="",0,求节点($AK$5:$AK$164,$AJ$5:$AJ$164,$AQ27)*D$5*武将升级!AA24)</f>
        <v>0</v>
      </c>
      <c r="AU27" s="14">
        <f>IF(武将升级!AB24="",0,求节点($AK$5:$AK$164,$AJ$5:$AJ$164,$AQ27)*E$5*武将升级!AB24)</f>
        <v>0</v>
      </c>
      <c r="AV27" s="14">
        <f>IF(武将升级!AC24="",0,求节点($AK$5:$AK$164,$AJ$5:$AJ$164,$AQ27)*F$5*武将升级!AC24)</f>
        <v>4144.407018330663</v>
      </c>
      <c r="AW27" s="8">
        <f>SUMPRODUCT(AR27:AV27,基础状态预期!F37:J37)/SUM(基础状态预期!F37:J37)</f>
        <v>4144.407018330663</v>
      </c>
    </row>
    <row r="28" spans="1:55" x14ac:dyDescent="0.15">
      <c r="A28" s="14">
        <v>6</v>
      </c>
      <c r="B28" s="14">
        <v>1</v>
      </c>
      <c r="C28" s="14">
        <v>1</v>
      </c>
      <c r="D28" s="14">
        <v>1</v>
      </c>
      <c r="E28" s="14">
        <v>1</v>
      </c>
      <c r="F28" s="14">
        <v>3</v>
      </c>
      <c r="G28" s="14">
        <v>4</v>
      </c>
      <c r="I28" s="29" t="str">
        <f>IF(武将数量星级阶位验证!A29="","",武将数量星级阶位验证!A29)</f>
        <v>超r</v>
      </c>
      <c r="J28" s="29">
        <f>IF(武将数量星级阶位验证!B29="","",武将数量星级阶位验证!B29)</f>
        <v>0.4933333333333334</v>
      </c>
      <c r="K28" s="29">
        <f>IF(武将数量星级阶位验证!C29="","",武将数量星级阶位验证!C29)</f>
        <v>0.26666666666666666</v>
      </c>
      <c r="L28" s="29">
        <f>IF(武将数量星级阶位验证!D29="","",武将数量星级阶位验证!D29)</f>
        <v>0.04</v>
      </c>
      <c r="M28" s="29">
        <f>IF(武将数量星级阶位验证!E29="","",武将数量星级阶位验证!E29)</f>
        <v>1.6E-2</v>
      </c>
      <c r="P28" s="14" t="e">
        <f>8-COUNTIF([3]羁绊设计!$AD27:$AK27,"&amp;")</f>
        <v>#VALUE!</v>
      </c>
      <c r="Q28" s="29" t="str">
        <f>[3]羁绊解锁统计!$B27</f>
        <v>荀彧</v>
      </c>
      <c r="R28" s="29" t="str">
        <f>IF([3]羁绊设计!$F27="红","橙+",[3]羁绊设计!$F27)</f>
        <v>橙+</v>
      </c>
      <c r="S28" s="14">
        <f>IF([3]羁绊解锁统计!C27="",0,[3]羁绊解锁统计!C27-IF($R28=S$9,1,0))</f>
        <v>0</v>
      </c>
      <c r="T28" s="14">
        <f>IF([3]羁绊解锁统计!D27="",0,[3]羁绊解锁统计!D27-IF($R28=T$9,1,0))</f>
        <v>0</v>
      </c>
      <c r="U28" s="14">
        <f>IF([3]羁绊解锁统计!E27="",0,[3]羁绊解锁统计!E27-IF($R28=U$9,1,0))</f>
        <v>0</v>
      </c>
      <c r="V28" s="14">
        <f>IF([3]羁绊解锁统计!F27="",0,[3]羁绊解锁统计!F27-IF($R28=V$9,1,0))</f>
        <v>3</v>
      </c>
      <c r="W28" s="14">
        <f>IF([3]羁绊解锁统计!G27="",0,[3]羁绊解锁统计!G27-IF($R28=W$9,1,0))</f>
        <v>0</v>
      </c>
      <c r="X28" s="29">
        <f t="shared" si="5"/>
        <v>59629.629629629642</v>
      </c>
      <c r="Y28" s="10">
        <f t="shared" si="6"/>
        <v>0.13092644438936596</v>
      </c>
      <c r="AA28" s="14">
        <f t="shared" si="7"/>
        <v>0</v>
      </c>
      <c r="AB28" s="14">
        <f t="shared" si="8"/>
        <v>0</v>
      </c>
      <c r="AC28" s="14">
        <f t="shared" si="9"/>
        <v>0</v>
      </c>
      <c r="AD28" s="14">
        <f t="shared" si="10"/>
        <v>18</v>
      </c>
      <c r="AE28" s="14">
        <f t="shared" si="11"/>
        <v>0</v>
      </c>
      <c r="AF28" s="29">
        <f t="shared" si="12"/>
        <v>357777.77777777787</v>
      </c>
      <c r="AG28" s="10">
        <f t="shared" si="4"/>
        <v>0.45824255536278086</v>
      </c>
      <c r="AH28" s="87">
        <v>1.2E-2</v>
      </c>
      <c r="AI28" s="4">
        <v>24</v>
      </c>
      <c r="AJ28" s="98">
        <f t="shared" si="0"/>
        <v>9.2649719797974137E-2</v>
      </c>
      <c r="AK28" s="5">
        <f>'[1]资源-钻石'!$N27*求节点(武将数量星级阶位验证!$CP$41:$CP$72,武将数量星级阶位验证!$CS$41:$CS$72,节奏总纲!R27)</f>
        <v>36359.326547369004</v>
      </c>
      <c r="AL28" s="48"/>
      <c r="AO28" s="5">
        <v>25</v>
      </c>
      <c r="AP28" s="14">
        <f>基础状态预期!D38</f>
        <v>100.50342858241972</v>
      </c>
      <c r="AQ28" s="14">
        <f>(求节点(其他调用!$B$4:$B$163,其他调用!$C$4:$C$163,$AP28))*求节点(武将数量星级阶位验证!$CP$41:$CP$72,武将数量星级阶位验证!$CQ$41:$CQ$72,武将数量星级阶位验证!AS28)</f>
        <v>955649.48541760352</v>
      </c>
      <c r="AR28" s="14">
        <f>IF(武将升级!Y25="",0,求节点($AK$5:$AK$164,$AJ$5:$AJ$164,AQ$7)*B$5*武将升级!Y25)</f>
        <v>0</v>
      </c>
      <c r="AS28" s="14">
        <f>IF(武将升级!Z25="",0,求节点($AK$5:$AK$164,$AJ$5:$AJ$164,$AQ28)*C$5*武将升级!Z25)</f>
        <v>0</v>
      </c>
      <c r="AT28" s="14">
        <f>IF(武将升级!AA25="",0,求节点($AK$5:$AK$164,$AJ$5:$AJ$164,$AQ28)*D$5*武将升级!AA25)</f>
        <v>0</v>
      </c>
      <c r="AU28" s="14">
        <f>IF(武将升级!AB25="",0,求节点($AK$5:$AK$164,$AJ$5:$AJ$164,$AQ28)*E$5*武将升级!AB25)</f>
        <v>0</v>
      </c>
      <c r="AV28" s="14">
        <f>IF(武将升级!AC25="",0,求节点($AK$5:$AK$164,$AJ$5:$AJ$164,$AQ28)*F$5*武将升级!AC25)</f>
        <v>4284.1296004154656</v>
      </c>
      <c r="AW28" s="8">
        <f>SUMPRODUCT(AR28:AV28,基础状态预期!F38:J38)/SUM(基础状态预期!F38:J38)</f>
        <v>4284.1296004154656</v>
      </c>
    </row>
    <row r="29" spans="1:55" x14ac:dyDescent="0.15">
      <c r="I29" s="17" t="str">
        <f>IF(武将数量星级阶位验证!A30="","",武将数量星级阶位验证!A30)</f>
        <v/>
      </c>
      <c r="J29" s="17" t="str">
        <f>IF(武将数量星级阶位验证!B30="","",武将数量星级阶位验证!B30)</f>
        <v/>
      </c>
      <c r="K29" s="17" t="str">
        <f>IF(武将数量星级阶位验证!C30="","",武将数量星级阶位验证!C30)</f>
        <v/>
      </c>
      <c r="L29" s="17" t="str">
        <f>IF(武将数量星级阶位验证!D30="","",武将数量星级阶位验证!D30)</f>
        <v/>
      </c>
      <c r="M29" s="17" t="str">
        <f>IF(武将数量星级阶位验证!E30="","",武将数量星级阶位验证!E30)</f>
        <v/>
      </c>
      <c r="P29" s="14" t="e">
        <f>8-COUNTIF([3]羁绊设计!$AD28:$AK28,"&amp;")</f>
        <v>#VALUE!</v>
      </c>
      <c r="Q29" s="29" t="str">
        <f>[3]羁绊解锁统计!$B28</f>
        <v>秦武王</v>
      </c>
      <c r="R29" s="29" t="str">
        <f>IF([3]羁绊设计!$F28="红","橙+",[3]羁绊设计!$F28)</f>
        <v>橙</v>
      </c>
      <c r="S29" s="14">
        <f>IF([3]羁绊解锁统计!C28="",0,[3]羁绊解锁统计!C28-IF($R29=S$9,1,0))</f>
        <v>0</v>
      </c>
      <c r="T29" s="14">
        <f>IF([3]羁绊解锁统计!D28="",0,[3]羁绊解锁统计!D28-IF($R29=T$9,1,0))</f>
        <v>0</v>
      </c>
      <c r="U29" s="14">
        <f>IF([3]羁绊解锁统计!E28="",0,[3]羁绊解锁统计!E28-IF($R29=U$9,1,0))</f>
        <v>1</v>
      </c>
      <c r="V29" s="14">
        <f>IF([3]羁绊解锁统计!F28="",0,[3]羁绊解锁统计!F28-IF($R29=V$9,1,0))</f>
        <v>6</v>
      </c>
      <c r="W29" s="14">
        <f>IF([3]羁绊解锁统计!G28="",0,[3]羁绊解锁统计!G28-IF($R29=W$9,1,0))</f>
        <v>0</v>
      </c>
      <c r="X29" s="29">
        <f t="shared" si="5"/>
        <v>72407.407407407401</v>
      </c>
      <c r="Y29" s="10">
        <f t="shared" si="6"/>
        <v>0.14997311908169933</v>
      </c>
      <c r="AA29" s="14">
        <f t="shared" si="7"/>
        <v>0</v>
      </c>
      <c r="AB29" s="14">
        <f t="shared" si="8"/>
        <v>0</v>
      </c>
      <c r="AC29" s="14">
        <f t="shared" si="9"/>
        <v>6</v>
      </c>
      <c r="AD29" s="14">
        <f t="shared" si="10"/>
        <v>36</v>
      </c>
      <c r="AE29" s="14">
        <f t="shared" si="11"/>
        <v>0</v>
      </c>
      <c r="AF29" s="29">
        <f t="shared" si="12"/>
        <v>434444.44444444438</v>
      </c>
      <c r="AG29" s="10">
        <f t="shared" si="4"/>
        <v>0.52490591678594767</v>
      </c>
      <c r="AH29" s="87">
        <v>1.2500000000000001E-2</v>
      </c>
      <c r="AI29" s="4">
        <v>25</v>
      </c>
      <c r="AJ29" s="98">
        <f t="shared" si="0"/>
        <v>9.6654284968607049E-2</v>
      </c>
      <c r="AK29" s="5">
        <f>'[1]资源-钻石'!$N28*求节点(武将数量星级阶位验证!$CP$41:$CP$72,武将数量星级阶位验证!$CS$41:$CS$72,节奏总纲!R28)</f>
        <v>38627.754977342891</v>
      </c>
      <c r="AL29" s="48"/>
      <c r="AO29" s="5">
        <v>26</v>
      </c>
      <c r="AP29" s="14">
        <f>基础状态预期!D39</f>
        <v>104.10129967499306</v>
      </c>
      <c r="AQ29" s="14">
        <f>(求节点(其他调用!$B$4:$B$163,其他调用!$C$4:$C$163,$AP29))*求节点(武将数量星级阶位验证!$CP$41:$CP$72,武将数量星级阶位验证!$CQ$41:$CQ$72,武将数量星级阶位验证!AS29)</f>
        <v>1170694.706949919</v>
      </c>
      <c r="AR29" s="14">
        <f>IF(武将升级!Y26="",0,求节点($AK$5:$AK$164,$AJ$5:$AJ$164,AQ$7)*B$5*武将升级!Y26)</f>
        <v>0</v>
      </c>
      <c r="AS29" s="14">
        <f>IF(武将升级!Z26="",0,求节点($AK$5:$AK$164,$AJ$5:$AJ$164,$AQ29)*C$5*武将升级!Z26)</f>
        <v>0</v>
      </c>
      <c r="AT29" s="14">
        <f>IF(武将升级!AA26="",0,求节点($AK$5:$AK$164,$AJ$5:$AJ$164,$AQ29)*D$5*武将升级!AA26)</f>
        <v>0</v>
      </c>
      <c r="AU29" s="14">
        <f>IF(武将升级!AB26="",0,求节点($AK$5:$AK$164,$AJ$5:$AJ$164,$AQ29)*E$5*武将升级!AB26)</f>
        <v>0</v>
      </c>
      <c r="AV29" s="14">
        <f>IF(武将升级!AC26="",0,求节点($AK$5:$AK$164,$AJ$5:$AJ$164,$AQ29)*F$5*武将升级!AC26)</f>
        <v>4420.1291277147375</v>
      </c>
      <c r="AW29" s="8">
        <f>SUMPRODUCT(AR29:AV29,基础状态预期!F39:J39)/SUM(基础状态预期!F39:J39)</f>
        <v>4420.1291277147375</v>
      </c>
    </row>
    <row r="30" spans="1:55" x14ac:dyDescent="0.15">
      <c r="I30" s="17" t="str">
        <f>IF(武将数量星级阶位验证!A31="","",武将数量星级阶位验证!A31)</f>
        <v/>
      </c>
      <c r="J30" s="17">
        <f>IF(武将数量星级阶位验证!B31="","",武将数量星级阶位验证!B31)</f>
        <v>26.333333333333332</v>
      </c>
      <c r="K30" s="17">
        <f>IF(武将数量星级阶位验证!C31="","",武将数量星级阶位验证!C31)</f>
        <v>53.333333333333336</v>
      </c>
      <c r="L30" s="17">
        <f>IF(武将数量星级阶位验证!D31="","",武将数量星级阶位验证!D31)</f>
        <v>75</v>
      </c>
      <c r="M30" s="17">
        <f>IF(武将数量星级阶位验证!E31="","",武将数量星级阶位验证!E31)</f>
        <v>0</v>
      </c>
      <c r="P30" s="14" t="e">
        <f>8-COUNTIF([3]羁绊设计!$AD29:$AK29,"&amp;")</f>
        <v>#VALUE!</v>
      </c>
      <c r="Q30" s="29" t="str">
        <f>[3]羁绊解锁统计!$B29</f>
        <v>嫪毐</v>
      </c>
      <c r="R30" s="29" t="str">
        <f>IF([3]羁绊设计!$F29="红","橙+",[3]羁绊设计!$F29)</f>
        <v>蓝</v>
      </c>
      <c r="S30" s="14">
        <f>IF([3]羁绊解锁统计!C29="",0,[3]羁绊解锁统计!C29-IF($R30=S$9,1,0))</f>
        <v>0</v>
      </c>
      <c r="T30" s="14">
        <f>IF([3]羁绊解锁统计!D29="",0,[3]羁绊解锁统计!D29-IF($R30=T$9,1,0))</f>
        <v>0</v>
      </c>
      <c r="U30" s="14">
        <f>IF([3]羁绊解锁统计!E29="",0,[3]羁绊解锁统计!E29-IF($R30=U$9,1,0))</f>
        <v>0</v>
      </c>
      <c r="V30" s="14">
        <f>IF([3]羁绊解锁统计!F29="",0,[3]羁绊解锁统计!F29-IF($R30=V$9,1,0))</f>
        <v>1</v>
      </c>
      <c r="W30" s="14">
        <f>IF([3]羁绊解锁统计!G29="",0,[3]羁绊解锁统计!G29-IF($R30=W$9,1,0))</f>
        <v>0</v>
      </c>
      <c r="X30" s="29">
        <f t="shared" si="5"/>
        <v>51111.111111111117</v>
      </c>
      <c r="Y30" s="10">
        <f t="shared" si="6"/>
        <v>0.1175552379919582</v>
      </c>
      <c r="AA30" s="14">
        <f t="shared" si="7"/>
        <v>0</v>
      </c>
      <c r="AB30" s="14">
        <f t="shared" si="8"/>
        <v>0</v>
      </c>
      <c r="AC30" s="14">
        <f t="shared" si="9"/>
        <v>0</v>
      </c>
      <c r="AD30" s="14">
        <f t="shared" si="10"/>
        <v>6</v>
      </c>
      <c r="AE30" s="14">
        <f t="shared" si="11"/>
        <v>0</v>
      </c>
      <c r="AF30" s="29">
        <f t="shared" si="12"/>
        <v>306666.66666666669</v>
      </c>
      <c r="AG30" s="10">
        <f t="shared" si="4"/>
        <v>0.4114433329718537</v>
      </c>
      <c r="AH30" s="87">
        <v>1.2999999999999999E-2</v>
      </c>
      <c r="AI30" s="4">
        <v>26</v>
      </c>
      <c r="AJ30" s="98">
        <f t="shared" si="0"/>
        <v>0.10076042046526434</v>
      </c>
      <c r="AK30" s="5">
        <f>'[1]资源-钻石'!$N29*求节点(武将数量星级阶位验证!$CP$41:$CP$72,武将数量星级阶位验证!$CS$41:$CS$72,节奏总纲!R29)</f>
        <v>40996.084954871149</v>
      </c>
      <c r="AL30" s="48"/>
      <c r="AO30" s="5">
        <v>27</v>
      </c>
      <c r="AP30" s="14">
        <f>基础状态预期!D40</f>
        <v>107.48165553683219</v>
      </c>
      <c r="AQ30" s="14">
        <f>(求节点(其他调用!$B$4:$B$163,其他调用!$C$4:$C$163,$AP30))*求节点(武将数量星级阶位验证!$CP$41:$CP$72,武将数量星级阶位验证!$CQ$41:$CQ$72,武将数量星级阶位验证!AS30)</f>
        <v>1412804.7321833472</v>
      </c>
      <c r="AR30" s="14">
        <f>IF(武将升级!Y27="",0,求节点($AK$5:$AK$164,$AJ$5:$AJ$164,AQ$7)*B$5*武将升级!Y27)</f>
        <v>0</v>
      </c>
      <c r="AS30" s="14">
        <f>IF(武将升级!Z27="",0,求节点($AK$5:$AK$164,$AJ$5:$AJ$164,$AQ30)*C$5*武将升级!Z27)</f>
        <v>0</v>
      </c>
      <c r="AT30" s="14">
        <f>IF(武将升级!AA27="",0,求节点($AK$5:$AK$164,$AJ$5:$AJ$164,$AQ30)*D$5*武将升级!AA27)</f>
        <v>0</v>
      </c>
      <c r="AU30" s="14">
        <f>IF(武将升级!AB27="",0,求节点($AK$5:$AK$164,$AJ$5:$AJ$164,$AQ30)*E$5*武将升级!AB27)</f>
        <v>0</v>
      </c>
      <c r="AV30" s="14">
        <f>IF(武将升级!AC27="",0,求节点($AK$5:$AK$164,$AJ$5:$AJ$164,$AQ30)*F$5*武将升级!AC27)</f>
        <v>4547.9065792922565</v>
      </c>
      <c r="AW30" s="8">
        <f>SUMPRODUCT(AR30:AV30,基础状态预期!F40:J40)/SUM(基础状态预期!F40:J40)</f>
        <v>4547.9065792922565</v>
      </c>
    </row>
    <row r="31" spans="1:55" x14ac:dyDescent="0.15">
      <c r="I31" s="17" t="str">
        <f>IF(武将数量星级阶位验证!A32="","",武将数量星级阶位验证!A32)</f>
        <v/>
      </c>
      <c r="J31" s="17" t="str">
        <f>IF(武将数量星级阶位验证!B32="","",武将数量星级阶位验证!B32)</f>
        <v/>
      </c>
      <c r="K31" s="17" t="str">
        <f>IF(武将数量星级阶位验证!C32="","",武将数量星级阶位验证!C32)</f>
        <v/>
      </c>
      <c r="L31" s="39" t="str">
        <f>IF(武将数量星级阶位验证!D32="","",武将数量星级阶位验证!D32)</f>
        <v/>
      </c>
      <c r="M31" s="39" t="str">
        <f>IF(武将数量星级阶位验证!E32="","",武将数量星级阶位验证!E32)</f>
        <v/>
      </c>
      <c r="P31" s="14" t="e">
        <f>8-COUNTIF([3]羁绊设计!$AD30:$AK30,"&amp;")</f>
        <v>#VALUE!</v>
      </c>
      <c r="Q31" s="29" t="str">
        <f>[3]羁绊解锁统计!$B30</f>
        <v>范增</v>
      </c>
      <c r="R31" s="29" t="str">
        <f>IF([3]羁绊设计!$F30="红","橙+",[3]羁绊设计!$F30)</f>
        <v>橙</v>
      </c>
      <c r="S31" s="14">
        <f>IF([3]羁绊解锁统计!C30="",0,[3]羁绊解锁统计!C30-IF($R31=S$9,1,0))</f>
        <v>0</v>
      </c>
      <c r="T31" s="14">
        <f>IF([3]羁绊解锁统计!D30="",0,[3]羁绊解锁统计!D30-IF($R31=T$9,1,0))</f>
        <v>0</v>
      </c>
      <c r="U31" s="14">
        <f>IF([3]羁绊解锁统计!E30="",0,[3]羁绊解锁统计!E30-IF($R31=U$9,1,0))</f>
        <v>0</v>
      </c>
      <c r="V31" s="14">
        <f>IF([3]羁绊解锁统计!F30="",0,[3]羁绊解锁统计!F30-IF($R31=V$9,1,0))</f>
        <v>4</v>
      </c>
      <c r="W31" s="14">
        <f>IF([3]羁绊解锁统计!G30="",0,[3]羁绊解锁统计!G30-IF($R31=W$9,1,0))</f>
        <v>0</v>
      </c>
      <c r="X31" s="29">
        <f t="shared" si="5"/>
        <v>63888.888888888898</v>
      </c>
      <c r="Y31" s="10">
        <f t="shared" si="6"/>
        <v>0.13740340360056111</v>
      </c>
      <c r="AA31" s="14">
        <f t="shared" si="7"/>
        <v>0</v>
      </c>
      <c r="AB31" s="14">
        <f t="shared" si="8"/>
        <v>0</v>
      </c>
      <c r="AC31" s="14">
        <f t="shared" si="9"/>
        <v>0</v>
      </c>
      <c r="AD31" s="14">
        <f t="shared" si="10"/>
        <v>24</v>
      </c>
      <c r="AE31" s="14">
        <f t="shared" si="11"/>
        <v>0</v>
      </c>
      <c r="AF31" s="29">
        <f t="shared" si="12"/>
        <v>383333.33333333337</v>
      </c>
      <c r="AG31" s="10">
        <f t="shared" si="4"/>
        <v>0.48091191260196386</v>
      </c>
      <c r="AH31" s="87">
        <v>1.35E-2</v>
      </c>
      <c r="AI31" s="4">
        <v>27</v>
      </c>
      <c r="AJ31" s="98">
        <f t="shared" si="0"/>
        <v>0.10496848921979957</v>
      </c>
      <c r="AK31" s="5">
        <f>'[1]资源-钻石'!$N30*求节点(武将数量星级阶位验证!$CP$41:$CP$72,武将数量星级阶位验证!$CS$41:$CS$72,节奏总纲!R30)</f>
        <v>43466.672403376011</v>
      </c>
      <c r="AL31" s="48"/>
      <c r="AO31" s="5">
        <v>28</v>
      </c>
      <c r="AP31" s="14">
        <f>基础状态预期!D41</f>
        <v>111.03813549320469</v>
      </c>
      <c r="AQ31" s="14">
        <f>(求节点(其他调用!$B$4:$B$163,其他调用!$C$4:$C$163,$AP31))*求节点(武将数量星级阶位验证!$CP$41:$CP$72,武将数量星级阶位验证!$CQ$41:$CQ$72,武将数量星级阶位验证!AS31)</f>
        <v>1729435.1857416078</v>
      </c>
      <c r="AR31" s="14">
        <f>IF(武将升级!Y28="",0,求节点($AK$5:$AK$164,$AJ$5:$AJ$164,AQ$7)*B$5*武将升级!Y28)</f>
        <v>0</v>
      </c>
      <c r="AS31" s="14">
        <f>IF(武将升级!Z28="",0,求节点($AK$5:$AK$164,$AJ$5:$AJ$164,$AQ31)*C$5*武将升级!Z28)</f>
        <v>0</v>
      </c>
      <c r="AT31" s="14">
        <f>IF(武将升级!AA28="",0,求节点($AK$5:$AK$164,$AJ$5:$AJ$164,$AQ31)*D$5*武将升级!AA28)</f>
        <v>0</v>
      </c>
      <c r="AU31" s="14">
        <f>IF(武将升级!AB28="",0,求节点($AK$5:$AK$164,$AJ$5:$AJ$164,$AQ31)*E$5*武将升级!AB28)</f>
        <v>0</v>
      </c>
      <c r="AV31" s="14">
        <f>IF(武将升级!AC28="",0,求节点($AK$5:$AK$164,$AJ$5:$AJ$164,$AQ31)*F$5*武将升级!AC28)</f>
        <v>4682.3415216431376</v>
      </c>
      <c r="AW31" s="8">
        <f>SUMPRODUCT(AR31:AV31,基础状态预期!F41:J41)/SUM(基础状态预期!F41:J41)</f>
        <v>4682.3415216431376</v>
      </c>
    </row>
    <row r="32" spans="1:55" x14ac:dyDescent="0.15">
      <c r="I32" s="17" t="str">
        <f>IF(武将数量星级阶位验证!A33="","",武将数量星级阶位验证!A33)</f>
        <v/>
      </c>
      <c r="J32" s="17" t="str">
        <f>IF(武将数量星级阶位验证!B33="","",武将数量星级阶位验证!B33)</f>
        <v>橙+卡</v>
      </c>
      <c r="K32" s="17" t="str">
        <f>IF(武将数量星级阶位验证!C33="","",武将数量星级阶位验证!C33)</f>
        <v>单卖</v>
      </c>
      <c r="L32" s="39" t="str">
        <f>IF(武将数量星级阶位验证!D33="","",武将数量星级阶位验证!D33)</f>
        <v>参考</v>
      </c>
      <c r="M32" s="17" t="str">
        <f>IF(武将数量星级阶位验证!E33="","",武将数量星级阶位验证!E33)</f>
        <v/>
      </c>
      <c r="P32" s="14" t="e">
        <f>8-COUNTIF([3]羁绊设计!$AD31:$AK31,"&amp;")</f>
        <v>#VALUE!</v>
      </c>
      <c r="Q32" s="29" t="str">
        <f>[3]羁绊解锁统计!$B31</f>
        <v>陈阿娇</v>
      </c>
      <c r="R32" s="29" t="str">
        <f>IF([3]羁绊设计!$F31="红","橙+",[3]羁绊设计!$F31)</f>
        <v>橙+</v>
      </c>
      <c r="S32" s="14">
        <f>IF([3]羁绊解锁统计!C31="",0,[3]羁绊解锁统计!C31-IF($R32=S$9,1,0))</f>
        <v>0</v>
      </c>
      <c r="T32" s="14">
        <f>IF([3]羁绊解锁统计!D31="",0,[3]羁绊解锁统计!D31-IF($R32=T$9,1,0))</f>
        <v>0</v>
      </c>
      <c r="U32" s="14">
        <f>IF([3]羁绊解锁统计!E31="",0,[3]羁绊解锁统计!E31-IF($R32=U$9,1,0))</f>
        <v>0</v>
      </c>
      <c r="V32" s="14">
        <f>IF([3]羁绊解锁统计!F31="",0,[3]羁绊解锁统计!F31-IF($R32=V$9,1,0))</f>
        <v>3</v>
      </c>
      <c r="W32" s="14">
        <f>IF([3]羁绊解锁统计!G31="",0,[3]羁绊解锁统计!G31-IF($R32=W$9,1,0))</f>
        <v>0</v>
      </c>
      <c r="X32" s="29">
        <f t="shared" si="5"/>
        <v>59629.629629629642</v>
      </c>
      <c r="Y32" s="10">
        <f t="shared" si="6"/>
        <v>0.13092644438936596</v>
      </c>
      <c r="AA32" s="14">
        <f t="shared" si="7"/>
        <v>0</v>
      </c>
      <c r="AB32" s="14">
        <f t="shared" si="8"/>
        <v>0</v>
      </c>
      <c r="AC32" s="14">
        <f t="shared" si="9"/>
        <v>0</v>
      </c>
      <c r="AD32" s="14">
        <f t="shared" si="10"/>
        <v>18</v>
      </c>
      <c r="AE32" s="14">
        <f t="shared" si="11"/>
        <v>0</v>
      </c>
      <c r="AF32" s="29">
        <f t="shared" si="12"/>
        <v>357777.77777777787</v>
      </c>
      <c r="AG32" s="10">
        <f t="shared" si="4"/>
        <v>0.45824255536278086</v>
      </c>
      <c r="AH32" s="87">
        <v>1.4E-2</v>
      </c>
      <c r="AI32" s="4">
        <v>28</v>
      </c>
      <c r="AJ32" s="98">
        <f t="shared" si="0"/>
        <v>0.10935798376472339</v>
      </c>
      <c r="AK32" s="5">
        <f>'[1]资源-钻石'!$N31*求节点(武将数量星级阶位验证!$CP$41:$CP$72,武将数量星级阶位验证!$CS$41:$CS$72,节奏总纲!R31)</f>
        <v>46089.573337593662</v>
      </c>
      <c r="AL32" s="48"/>
      <c r="AO32" s="5">
        <v>29</v>
      </c>
      <c r="AP32" s="14">
        <f>基础状态预期!D42</f>
        <v>114.50860608277577</v>
      </c>
      <c r="AQ32" s="14">
        <f>(求节点(其他调用!$B$4:$B$163,其他调用!$C$4:$C$163,$AP32))*求节点(武将数量星级阶位验证!$CP$41:$CP$72,武将数量星级阶位验证!$CQ$41:$CQ$72,武将数量星级阶位验证!AS32)</f>
        <v>2119002.4984323294</v>
      </c>
      <c r="AR32" s="14">
        <f>IF(武将升级!Y29="",0,求节点($AK$5:$AK$164,$AJ$5:$AJ$164,AQ$7)*B$5*武将升级!Y29)</f>
        <v>0</v>
      </c>
      <c r="AS32" s="14">
        <f>IF(武将升级!Z29="",0,求节点($AK$5:$AK$164,$AJ$5:$AJ$164,$AQ32)*C$5*武将升级!Z29)</f>
        <v>0</v>
      </c>
      <c r="AT32" s="14">
        <f>IF(武将升级!AA29="",0,求节点($AK$5:$AK$164,$AJ$5:$AJ$164,$AQ32)*D$5*武将升级!AA29)</f>
        <v>0</v>
      </c>
      <c r="AU32" s="14">
        <f>IF(武将升级!AB29="",0,求节点($AK$5:$AK$164,$AJ$5:$AJ$164,$AQ32)*E$5*武将升级!AB29)</f>
        <v>0</v>
      </c>
      <c r="AV32" s="14">
        <f>IF(武将升级!AC29="",0,求节点($AK$5:$AK$164,$AJ$5:$AJ$164,$AQ32)*F$5*武将升级!AC29)</f>
        <v>4813.5253099289239</v>
      </c>
      <c r="AW32" s="8">
        <f>SUMPRODUCT(AR32:AV32,基础状态预期!F42:J42)/SUM(基础状态预期!F42:J42)</f>
        <v>4813.5253099289239</v>
      </c>
    </row>
    <row r="33" spans="9:54" x14ac:dyDescent="0.15">
      <c r="I33" s="17" t="str">
        <f>IF(武将数量星级阶位验证!A34="","",武将数量星级阶位验证!A34)</f>
        <v/>
      </c>
      <c r="J33" s="29" t="str">
        <f>IF(武将数量星级阶位验证!B34="","",武将数量星级阶位验证!B34)</f>
        <v>非r</v>
      </c>
      <c r="K33" s="29">
        <f>IF(武将数量星级阶位验证!C34="","",武将数量星级阶位验证!C34)</f>
        <v>6626.6666666666661</v>
      </c>
      <c r="L33" s="29">
        <f>IF(武将数量星级阶位验证!D34="","",武将数量星级阶位验证!D34)</f>
        <v>9466.6666666666661</v>
      </c>
      <c r="M33" s="17">
        <f>IF(武将数量星级阶位验证!E34="","",武将数量星级阶位验证!E34)</f>
        <v>0.7</v>
      </c>
      <c r="P33" s="14" t="e">
        <f>8-COUNTIF([3]羁绊设计!$AD32:$AK32,"&amp;")</f>
        <v>#VALUE!</v>
      </c>
      <c r="Q33" s="29" t="str">
        <f>[3]羁绊解锁统计!$B32</f>
        <v>范雎</v>
      </c>
      <c r="R33" s="29" t="str">
        <f>IF([3]羁绊设计!$F32="红","橙+",[3]羁绊设计!$F32)</f>
        <v>橙</v>
      </c>
      <c r="S33" s="14">
        <f>IF([3]羁绊解锁统计!C32="",0,[3]羁绊解锁统计!C32-IF($R33=S$9,1,0))</f>
        <v>0</v>
      </c>
      <c r="T33" s="14">
        <f>IF([3]羁绊解锁统计!D32="",0,[3]羁绊解锁统计!D32-IF($R33=T$9,1,0))</f>
        <v>0</v>
      </c>
      <c r="U33" s="14">
        <f>IF([3]羁绊解锁统计!E32="",0,[3]羁绊解锁统计!E32-IF($R33=U$9,1,0))</f>
        <v>0</v>
      </c>
      <c r="V33" s="14">
        <f>IF([3]羁绊解锁统计!F32="",0,[3]羁绊解锁统计!F32-IF($R33=V$9,1,0))</f>
        <v>7</v>
      </c>
      <c r="W33" s="14">
        <f>IF([3]羁绊解锁统计!G32="",0,[3]羁绊解锁统计!G32-IF($R33=W$9,1,0))</f>
        <v>0</v>
      </c>
      <c r="X33" s="29">
        <f t="shared" si="5"/>
        <v>76666.666666666672</v>
      </c>
      <c r="Y33" s="10">
        <f t="shared" si="6"/>
        <v>0.15608274416223611</v>
      </c>
      <c r="AA33" s="14">
        <f t="shared" si="7"/>
        <v>0</v>
      </c>
      <c r="AB33" s="14">
        <f t="shared" si="8"/>
        <v>0</v>
      </c>
      <c r="AC33" s="14">
        <f t="shared" si="9"/>
        <v>0</v>
      </c>
      <c r="AD33" s="14">
        <f t="shared" si="10"/>
        <v>42</v>
      </c>
      <c r="AE33" s="14">
        <f t="shared" si="11"/>
        <v>0</v>
      </c>
      <c r="AF33" s="29">
        <f t="shared" si="12"/>
        <v>460000</v>
      </c>
      <c r="AG33" s="10">
        <f t="shared" si="4"/>
        <v>0.54628960456782638</v>
      </c>
      <c r="AH33" s="87">
        <v>1.4500000000000001E-2</v>
      </c>
      <c r="AI33" s="4">
        <v>29</v>
      </c>
      <c r="AJ33" s="98">
        <f t="shared" si="0"/>
        <v>0.11432356284319663</v>
      </c>
      <c r="AK33" s="5">
        <f>'[1]资源-钻石'!$N32*求节点(武将数量星级阶位验证!$CP$41:$CP$72,武将数量星级阶位验证!$CS$41:$CS$72,节奏总纲!R32)</f>
        <v>49111.743467508029</v>
      </c>
      <c r="AL33" s="48"/>
      <c r="AO33" s="5">
        <v>30</v>
      </c>
      <c r="AP33" s="14">
        <f>基础状态预期!D43</f>
        <v>118.05948896247369</v>
      </c>
      <c r="AQ33" s="14">
        <f>(求节点(其他调用!$B$4:$B$163,其他调用!$C$4:$C$163,$AP33))*求节点(武将数量星级阶位验证!$CP$41:$CP$72,武将数量星级阶位验证!$CQ$41:$CQ$72,武将数量星级阶位验证!AS33)</f>
        <v>2596224.5853803358</v>
      </c>
      <c r="AR33" s="14">
        <f>IF(武将升级!Y30="",0,求节点($AK$5:$AK$164,$AJ$5:$AJ$164,AQ$7)*B$5*武将升级!Y30)</f>
        <v>0</v>
      </c>
      <c r="AS33" s="14">
        <f>IF(武将升级!Z30="",0,求节点($AK$5:$AK$164,$AJ$5:$AJ$164,$AQ33)*C$5*武将升级!Z30)</f>
        <v>0</v>
      </c>
      <c r="AT33" s="14">
        <f>IF(武将升级!AA30="",0,求节点($AK$5:$AK$164,$AJ$5:$AJ$164,$AQ33)*D$5*武将升级!AA30)</f>
        <v>0</v>
      </c>
      <c r="AU33" s="14">
        <f>IF(武将升级!AB30="",0,求节点($AK$5:$AK$164,$AJ$5:$AJ$164,$AQ33)*E$5*武将升级!AB30)</f>
        <v>0</v>
      </c>
      <c r="AV33" s="14">
        <f>IF(武将升级!AC30="",0,求节点($AK$5:$AK$164,$AJ$5:$AJ$164,$AQ33)*F$5*武将升级!AC30)</f>
        <v>4947.7486827815055</v>
      </c>
      <c r="AW33" s="8">
        <f>SUMPRODUCT(AR33:AV33,基础状态预期!F43:J43)/SUM(基础状态预期!F43:J43)</f>
        <v>4947.7486827815055</v>
      </c>
    </row>
    <row r="34" spans="9:54" x14ac:dyDescent="0.15">
      <c r="I34" s="17" t="str">
        <f>IF(武将数量星级阶位验证!A35="","",武将数量星级阶位验证!A35)</f>
        <v/>
      </c>
      <c r="J34" s="29" t="str">
        <f>IF(武将数量星级阶位验证!B35="","",武将数量星级阶位验证!B35)</f>
        <v>小r</v>
      </c>
      <c r="K34" s="29">
        <f>IF(武将数量星级阶位验证!C35="","",武将数量星级阶位验证!C35)</f>
        <v>6910.6666666666661</v>
      </c>
      <c r="L34" s="29">
        <f>IF(武将数量星级阶位验证!D35="","",武将数量星级阶位验证!D35)</f>
        <v>9466.6666666666661</v>
      </c>
      <c r="M34" s="17">
        <f>IF(武将数量星级阶位验证!E35="","",武将数量星级阶位验证!E35)</f>
        <v>0.73</v>
      </c>
      <c r="P34" s="14" t="e">
        <f>8-COUNTIF([3]羁绊设计!$AD33:$AK33,"&amp;")</f>
        <v>#VALUE!</v>
      </c>
      <c r="Q34" s="29" t="str">
        <f>[3]羁绊解锁统计!$B33</f>
        <v>秦始皇</v>
      </c>
      <c r="R34" s="29" t="str">
        <f>IF([3]羁绊设计!$F33="红","橙+",[3]羁绊设计!$F33)</f>
        <v>橙+</v>
      </c>
      <c r="S34" s="14">
        <f>IF([3]羁绊解锁统计!C33="",0,[3]羁绊解锁统计!C33-IF($R34=S$9,1,0))</f>
        <v>0</v>
      </c>
      <c r="T34" s="14">
        <f>IF([3]羁绊解锁统计!D33="",0,[3]羁绊解锁统计!D33-IF($R34=T$9,1,0))</f>
        <v>0</v>
      </c>
      <c r="U34" s="14">
        <f>IF([3]羁绊解锁统计!E33="",0,[3]羁绊解锁统计!E33-IF($R34=U$9,1,0))</f>
        <v>0</v>
      </c>
      <c r="V34" s="14">
        <f>IF([3]羁绊解锁统计!F33="",0,[3]羁绊解锁统计!F33-IF($R34=V$9,1,0))</f>
        <v>0</v>
      </c>
      <c r="W34" s="14">
        <f>IF([3]羁绊解锁统计!G33="",0,[3]羁绊解锁统计!G33-IF($R34=W$9,1,0))</f>
        <v>0</v>
      </c>
      <c r="X34" s="29">
        <f t="shared" si="5"/>
        <v>0</v>
      </c>
      <c r="Y34" s="10">
        <f t="shared" si="6"/>
        <v>1.4285714285714287E-2</v>
      </c>
      <c r="AA34" s="14">
        <f t="shared" si="7"/>
        <v>0</v>
      </c>
      <c r="AB34" s="14">
        <f t="shared" si="8"/>
        <v>0</v>
      </c>
      <c r="AC34" s="14">
        <f t="shared" si="9"/>
        <v>0</v>
      </c>
      <c r="AD34" s="14">
        <f t="shared" si="10"/>
        <v>0</v>
      </c>
      <c r="AE34" s="14">
        <f t="shared" si="11"/>
        <v>0</v>
      </c>
      <c r="AF34" s="29">
        <f t="shared" si="12"/>
        <v>0</v>
      </c>
      <c r="AG34" s="10">
        <f t="shared" si="4"/>
        <v>0.05</v>
      </c>
      <c r="AH34" s="87">
        <v>1.4999999999999999E-2</v>
      </c>
      <c r="AI34" s="4">
        <v>30</v>
      </c>
      <c r="AJ34" s="98">
        <f t="shared" si="0"/>
        <v>0.11929859551154028</v>
      </c>
      <c r="AK34" s="5">
        <f>'[1]资源-钻石'!$N33*求节点(武将数量星级阶位验证!$CP$41:$CP$72,武将数量星级阶位验证!$CS$41:$CS$72,节奏总纲!R33)</f>
        <v>52196.85135720134</v>
      </c>
      <c r="AL34" s="48"/>
      <c r="AO34" s="5">
        <v>31</v>
      </c>
      <c r="AP34" s="14">
        <f>基础状态预期!D44</f>
        <v>121.47928719052189</v>
      </c>
      <c r="AQ34" s="14">
        <f>(求节点(其他调用!$B$4:$B$163,其他调用!$C$4:$C$163,$AP34))*求节点(武将数量星级阶位验证!$CP$41:$CP$72,武将数量星级阶位验证!$CQ$41:$CQ$72,武将数量星级阶位验证!AS34)</f>
        <v>3175608.9739598311</v>
      </c>
      <c r="AR34" s="14">
        <f>IF(武将升级!Y31="",0,求节点($AK$5:$AK$164,$AJ$5:$AJ$164,AQ$7)*B$5*武将升级!Y31)</f>
        <v>0</v>
      </c>
      <c r="AS34" s="14">
        <f>IF(武将升级!Z31="",0,求节点($AK$5:$AK$164,$AJ$5:$AJ$164,$AQ34)*C$5*武将升级!Z31)</f>
        <v>0</v>
      </c>
      <c r="AT34" s="14">
        <f>IF(武将升级!AA31="",0,求节点($AK$5:$AK$164,$AJ$5:$AJ$164,$AQ34)*D$5*武将升级!AA31)</f>
        <v>0</v>
      </c>
      <c r="AU34" s="14">
        <f>IF(武将升级!AB31="",0,求节点($AK$5:$AK$164,$AJ$5:$AJ$164,$AQ34)*E$5*武将升级!AB31)</f>
        <v>0</v>
      </c>
      <c r="AV34" s="14">
        <f>IF(武将升级!AC31="",0,求节点($AK$5:$AK$164,$AJ$5:$AJ$164,$AQ34)*F$5*武将升级!AC31)</f>
        <v>5077.0170558017271</v>
      </c>
      <c r="AW34" s="8">
        <f>SUMPRODUCT(AR34:AV34,基础状态预期!F44:J44)/SUM(基础状态预期!F44:J44)</f>
        <v>5077.0170558017271</v>
      </c>
    </row>
    <row r="35" spans="9:54" x14ac:dyDescent="0.15">
      <c r="I35" s="17" t="str">
        <f>IF(武将数量星级阶位验证!A36="","",武将数量星级阶位验证!A36)</f>
        <v/>
      </c>
      <c r="J35" s="29" t="str">
        <f>IF(武将数量星级阶位验证!B36="","",武将数量星级阶位验证!B36)</f>
        <v>中r</v>
      </c>
      <c r="K35" s="29">
        <f>IF(武将数量星级阶位验证!C36="","",武将数量星级阶位验证!C36)</f>
        <v>8614.6666666666661</v>
      </c>
      <c r="L35" s="29">
        <f>IF(武将数量星级阶位验证!D36="","",武将数量星级阶位验证!D36)</f>
        <v>11044.444444444443</v>
      </c>
      <c r="M35" s="17">
        <f>IF(武将数量星级阶位验证!E36="","",武将数量星级阶位验证!E36)</f>
        <v>0.78</v>
      </c>
      <c r="P35" s="14" t="e">
        <f>8-COUNTIF([3]羁绊设计!$AD34:$AK34,"&amp;")</f>
        <v>#VALUE!</v>
      </c>
      <c r="Q35" s="29" t="str">
        <f>[3]羁绊解锁统计!$B34</f>
        <v>李斯</v>
      </c>
      <c r="R35" s="29" t="str">
        <f>IF([3]羁绊设计!$F34="红","橙+",[3]羁绊设计!$F34)</f>
        <v>橙</v>
      </c>
      <c r="S35" s="14">
        <f>IF([3]羁绊解锁统计!C34="",0,[3]羁绊解锁统计!C34-IF($R35=S$9,1,0))</f>
        <v>0</v>
      </c>
      <c r="T35" s="14">
        <f>IF([3]羁绊解锁统计!D34="",0,[3]羁绊解锁统计!D34-IF($R35=T$9,1,0))</f>
        <v>0</v>
      </c>
      <c r="U35" s="14">
        <f>IF([3]羁绊解锁统计!E34="",0,[3]羁绊解锁统计!E34-IF($R35=U$9,1,0))</f>
        <v>0</v>
      </c>
      <c r="V35" s="14">
        <f>IF([3]羁绊解锁统计!F34="",0,[3]羁绊解锁统计!F34-IF($R35=V$9,1,0))</f>
        <v>6</v>
      </c>
      <c r="W35" s="14">
        <f>IF([3]羁绊解锁统计!G34="",0,[3]羁绊解锁统计!G34-IF($R35=W$9,1,0))</f>
        <v>0</v>
      </c>
      <c r="X35" s="29">
        <f t="shared" si="5"/>
        <v>72407.407407407401</v>
      </c>
      <c r="Y35" s="10">
        <f t="shared" si="6"/>
        <v>0.14997311908169933</v>
      </c>
      <c r="AA35" s="14">
        <f t="shared" si="7"/>
        <v>0</v>
      </c>
      <c r="AB35" s="14">
        <f t="shared" si="8"/>
        <v>0</v>
      </c>
      <c r="AC35" s="14">
        <f t="shared" si="9"/>
        <v>0</v>
      </c>
      <c r="AD35" s="14">
        <f t="shared" si="10"/>
        <v>36</v>
      </c>
      <c r="AE35" s="14">
        <f t="shared" si="11"/>
        <v>0</v>
      </c>
      <c r="AF35" s="29">
        <f t="shared" si="12"/>
        <v>434444.44444444438</v>
      </c>
      <c r="AG35" s="10">
        <f t="shared" si="4"/>
        <v>0.52490591678594767</v>
      </c>
      <c r="AH35" s="87">
        <v>1.4E-2</v>
      </c>
      <c r="AI35" s="4">
        <v>31</v>
      </c>
      <c r="AJ35" s="98">
        <f t="shared" si="0"/>
        <v>0.12445088186019684</v>
      </c>
      <c r="AK35" s="5">
        <f>'[1]资源-钻石'!$N34*求节点(武将数量星级阶位验证!$CP$41:$CP$72,武将数量星级阶位验证!$CS$41:$CS$72,节奏总纲!R34)</f>
        <v>55450.748508146549</v>
      </c>
      <c r="AL35" s="48"/>
      <c r="AO35" s="5">
        <v>32</v>
      </c>
      <c r="AP35" s="14">
        <f>基础状态预期!D45</f>
        <v>125.02015904129435</v>
      </c>
      <c r="AQ35" s="14">
        <f>(求节点(其他调用!$B$4:$B$163,其他调用!$C$4:$C$163,$AP35))*求节点(武将数量星级阶位验证!$CP$41:$CP$72,武将数量星级阶位验证!$CQ$41:$CQ$72,武将数量星级阶位验证!AS35)</f>
        <v>3924994.2856482151</v>
      </c>
      <c r="AR35" s="14">
        <f>IF(武将升级!Y32="",0,求节点($AK$5:$AK$164,$AJ$5:$AJ$164,AQ$7)*B$5*武将升级!Y32)</f>
        <v>0</v>
      </c>
      <c r="AS35" s="14">
        <f>IF(武将升级!Z32="",0,求节点($AK$5:$AK$164,$AJ$5:$AJ$164,$AQ35)*C$5*武将升级!Z32)</f>
        <v>0</v>
      </c>
      <c r="AT35" s="14">
        <f>IF(武将升级!AA32="",0,求节点($AK$5:$AK$164,$AJ$5:$AJ$164,$AQ35)*D$5*武将升级!AA32)</f>
        <v>0</v>
      </c>
      <c r="AU35" s="14">
        <f>IF(武将升级!AB32="",0,求节点($AK$5:$AK$164,$AJ$5:$AJ$164,$AQ35)*E$5*武将升级!AB32)</f>
        <v>0</v>
      </c>
      <c r="AV35" s="14">
        <f>IF(武将升级!AC32="",0,求节点($AK$5:$AK$164,$AJ$5:$AJ$164,$AQ35)*F$5*武将升级!AC32)</f>
        <v>5210.8620117609262</v>
      </c>
      <c r="AW35" s="8">
        <f>SUMPRODUCT(AR35:AV35,基础状态预期!F45:J45)/SUM(基础状态预期!F45:J45)</f>
        <v>5210.8620117609262</v>
      </c>
    </row>
    <row r="36" spans="9:54" x14ac:dyDescent="0.15">
      <c r="I36" s="17" t="str">
        <f>IF(武将数量星级阶位验证!A37="","",武将数量星级阶位验证!A37)</f>
        <v/>
      </c>
      <c r="J36" s="29" t="str">
        <f>IF(武将数量星级阶位验证!B37="","",武将数量星级阶位验证!B37)</f>
        <v>大r</v>
      </c>
      <c r="K36" s="29">
        <f>IF(武将数量星级阶位验证!C37="","",武将数量星级阶位验证!C37)</f>
        <v>11265.333333333334</v>
      </c>
      <c r="L36" s="29">
        <f>IF(武将数量星级阶位验证!D37="","",武将数量星级阶位验证!D37)</f>
        <v>13253.333333333332</v>
      </c>
      <c r="M36" s="17">
        <f>IF(武将数量星级阶位验证!E37="","",武将数量星级阶位验证!E37)</f>
        <v>0.85000000000000009</v>
      </c>
      <c r="P36" s="14" t="e">
        <f>8-COUNTIF([3]羁绊设计!$AD35:$AK35,"&amp;")</f>
        <v>#VALUE!</v>
      </c>
      <c r="Q36" s="29" t="str">
        <f>[3]羁绊解锁统计!$B35</f>
        <v>樗里疾</v>
      </c>
      <c r="R36" s="29" t="str">
        <f>IF([3]羁绊设计!$F35="红","橙+",[3]羁绊设计!$F35)</f>
        <v>橙</v>
      </c>
      <c r="S36" s="14">
        <f>IF([3]羁绊解锁统计!C35="",0,[3]羁绊解锁统计!C35-IF($R36=S$9,1,0))</f>
        <v>0</v>
      </c>
      <c r="T36" s="14">
        <f>IF([3]羁绊解锁统计!D35="",0,[3]羁绊解锁统计!D35-IF($R36=T$9,1,0))</f>
        <v>0</v>
      </c>
      <c r="U36" s="14">
        <f>IF([3]羁绊解锁统计!E35="",0,[3]羁绊解锁统计!E35-IF($R36=U$9,1,0))</f>
        <v>1</v>
      </c>
      <c r="V36" s="14">
        <f>IF([3]羁绊解锁统计!F35="",0,[3]羁绊解锁统计!F35-IF($R36=V$9,1,0))</f>
        <v>8</v>
      </c>
      <c r="W36" s="14">
        <f>IF([3]羁绊解锁统计!G35="",0,[3]羁绊解锁统计!G35-IF($R36=W$9,1,0))</f>
        <v>0</v>
      </c>
      <c r="X36" s="29">
        <f t="shared" si="5"/>
        <v>80925.925925925927</v>
      </c>
      <c r="Y36" s="10">
        <f t="shared" si="6"/>
        <v>0.16209362499883187</v>
      </c>
      <c r="AA36" s="14">
        <f t="shared" si="7"/>
        <v>0</v>
      </c>
      <c r="AB36" s="14">
        <f t="shared" si="8"/>
        <v>0</v>
      </c>
      <c r="AC36" s="14">
        <f t="shared" si="9"/>
        <v>6</v>
      </c>
      <c r="AD36" s="14">
        <f t="shared" si="10"/>
        <v>48</v>
      </c>
      <c r="AE36" s="14">
        <f t="shared" si="11"/>
        <v>0</v>
      </c>
      <c r="AF36" s="29">
        <f t="shared" si="12"/>
        <v>485555.55555555556</v>
      </c>
      <c r="AG36" s="10">
        <f t="shared" si="4"/>
        <v>0.56732768749591156</v>
      </c>
      <c r="AH36" s="87">
        <v>1.2999999999999999E-2</v>
      </c>
      <c r="AI36" s="4">
        <v>32</v>
      </c>
      <c r="AJ36" s="98">
        <f t="shared" si="0"/>
        <v>0.12965543393531301</v>
      </c>
      <c r="AK36" s="5">
        <f>'[1]资源-钻石'!$N35*求节点(武将数量星级阶位验证!$CP$41:$CP$72,武将数量星级阶位验证!$CS$41:$CS$72,节奏总纲!R35)</f>
        <v>58797.033928991295</v>
      </c>
      <c r="AL36" s="48"/>
      <c r="AO36" s="5">
        <v>33</v>
      </c>
      <c r="AP36" s="14">
        <f>基础状态预期!D46</f>
        <v>128.56549059889721</v>
      </c>
      <c r="AQ36" s="14">
        <f>(求节点(其他调用!$B$4:$B$163,其他调用!$C$4:$C$163,$AP36))*求节点(武将数量星级阶位验证!$CP$41:$CP$72,武将数量星级阶位验证!$CQ$41:$CQ$72,武将数量星级阶位验证!AS36)</f>
        <v>4837930.1157455351</v>
      </c>
      <c r="AR36" s="14">
        <f>IF(武将升级!Y33="",0,求节点($AK$5:$AK$164,$AJ$5:$AJ$164,AQ$7)*B$5*武将升级!Y33)</f>
        <v>0</v>
      </c>
      <c r="AS36" s="14">
        <f>IF(武将升级!Z33="",0,求节点($AK$5:$AK$164,$AJ$5:$AJ$164,$AQ36)*C$5*武将升级!Z33)</f>
        <v>0</v>
      </c>
      <c r="AT36" s="14">
        <f>IF(武将升级!AA33="",0,求节点($AK$5:$AK$164,$AJ$5:$AJ$164,$AQ36)*D$5*武将升级!AA33)</f>
        <v>0</v>
      </c>
      <c r="AU36" s="14">
        <f>IF(武将升级!AB33="",0,求节点($AK$5:$AK$164,$AJ$5:$AJ$164,$AQ36)*E$5*武将升级!AB33)</f>
        <v>0</v>
      </c>
      <c r="AV36" s="14">
        <f>IF(武将升级!AC33="",0,求节点($AK$5:$AK$164,$AJ$5:$AJ$164,$AQ36)*F$5*武将升级!AC33)</f>
        <v>5344.8755446383148</v>
      </c>
      <c r="AW36" s="8">
        <f>SUMPRODUCT(AR36:AV36,基础状态预期!F46:J46)/SUM(基础状态预期!F46:J46)</f>
        <v>5344.8755446383148</v>
      </c>
    </row>
    <row r="37" spans="9:54" x14ac:dyDescent="0.15">
      <c r="I37" s="17" t="str">
        <f>IF(武将数量星级阶位验证!A38="","",武将数量星级阶位验证!A38)</f>
        <v/>
      </c>
      <c r="J37" s="29" t="str">
        <f>IF(武将数量星级阶位验证!B38="","",武将数量星级阶位验证!B38)</f>
        <v>超r</v>
      </c>
      <c r="K37" s="29">
        <f>IF(武将数量星级阶位验证!C38="","",武将数量星级阶位验证!C38)</f>
        <v>15572.666666666668</v>
      </c>
      <c r="L37" s="29">
        <f>IF(武将数量星级阶位验证!D38="","",武将数量星级阶位验证!D38)</f>
        <v>16566.666666666668</v>
      </c>
      <c r="M37" s="17">
        <f>IF(武将数量星级阶位验证!E38="","",武将数量星级阶位验证!E38)</f>
        <v>0.94000000000000006</v>
      </c>
      <c r="P37" s="14" t="e">
        <f>8-COUNTIF([3]羁绊设计!$AD36:$AK36,"&amp;")</f>
        <v>#VALUE!</v>
      </c>
      <c r="Q37" s="29" t="str">
        <f>[3]羁绊解锁统计!$B36</f>
        <v>伯乐</v>
      </c>
      <c r="R37" s="29" t="str">
        <f>IF([3]羁绊设计!$F36="红","橙+",[3]羁绊设计!$F36)</f>
        <v>橙</v>
      </c>
      <c r="S37" s="14">
        <f>IF([3]羁绊解锁统计!C36="",0,[3]羁绊解锁统计!C36-IF($R37=S$9,1,0))</f>
        <v>0</v>
      </c>
      <c r="T37" s="14">
        <f>IF([3]羁绊解锁统计!D36="",0,[3]羁绊解锁统计!D36-IF($R37=T$9,1,0))</f>
        <v>0</v>
      </c>
      <c r="U37" s="14">
        <f>IF([3]羁绊解锁统计!E36="",0,[3]羁绊解锁统计!E36-IF($R37=U$9,1,0))</f>
        <v>0</v>
      </c>
      <c r="V37" s="14">
        <f>IF([3]羁绊解锁统计!F36="",0,[3]羁绊解锁统计!F36-IF($R37=V$9,1,0))</f>
        <v>8</v>
      </c>
      <c r="W37" s="14">
        <f>IF([3]羁绊解锁统计!G36="",0,[3]羁绊解锁统计!G36-IF($R37=W$9,1,0))</f>
        <v>0</v>
      </c>
      <c r="X37" s="29">
        <f t="shared" si="5"/>
        <v>80925.925925925927</v>
      </c>
      <c r="Y37" s="10">
        <f t="shared" si="6"/>
        <v>0.16209362499883187</v>
      </c>
      <c r="AA37" s="14">
        <f t="shared" si="7"/>
        <v>0</v>
      </c>
      <c r="AB37" s="14">
        <f t="shared" si="8"/>
        <v>0</v>
      </c>
      <c r="AC37" s="14">
        <f t="shared" si="9"/>
        <v>0</v>
      </c>
      <c r="AD37" s="14">
        <f t="shared" si="10"/>
        <v>48</v>
      </c>
      <c r="AE37" s="14">
        <f t="shared" si="11"/>
        <v>0</v>
      </c>
      <c r="AF37" s="29">
        <f t="shared" si="12"/>
        <v>485555.55555555556</v>
      </c>
      <c r="AG37" s="10">
        <f t="shared" si="4"/>
        <v>0.56732768749591156</v>
      </c>
      <c r="AH37" s="87">
        <v>1.2E-2</v>
      </c>
      <c r="AI37" s="4">
        <v>33</v>
      </c>
      <c r="AJ37" s="98">
        <f t="shared" si="0"/>
        <v>0.1350587600387935</v>
      </c>
      <c r="AK37" s="5">
        <f>'[1]资源-钻石'!$N36*求节点(武将数量星级阶位验证!$CP$41:$CP$72,武将数量星级阶位验证!$CS$41:$CS$72,节奏总纲!R36)</f>
        <v>62332.793994142747</v>
      </c>
      <c r="AL37" s="48"/>
      <c r="AO37" s="5">
        <v>34</v>
      </c>
      <c r="AP37" s="14">
        <f>基础状态预期!D47</f>
        <v>132.07530828871487</v>
      </c>
      <c r="AQ37" s="14">
        <f>(求节点(其他调用!$B$4:$B$163,其他调用!$C$4:$C$163,$AP37))*求节点(武将数量星级阶位验证!$CP$41:$CP$72,武将数量星级阶位验证!$CQ$41:$CQ$72,武将数量星级阶位验证!AS37)</f>
        <v>5973306.713787064</v>
      </c>
      <c r="AR37" s="14">
        <f>IF(武将升级!Y34="",0,求节点($AK$5:$AK$164,$AJ$5:$AJ$164,AQ$7)*B$5*武将升级!Y34)</f>
        <v>0</v>
      </c>
      <c r="AS37" s="14">
        <f>IF(武将升级!Z34="",0,求节点($AK$5:$AK$164,$AJ$5:$AJ$164,$AQ37)*C$5*武将升级!Z34)</f>
        <v>0</v>
      </c>
      <c r="AT37" s="14">
        <f>IF(武将升级!AA34="",0,求节点($AK$5:$AK$164,$AJ$5:$AJ$164,$AQ37)*D$5*武将升级!AA34)</f>
        <v>0</v>
      </c>
      <c r="AU37" s="14">
        <f>IF(武将升级!AB34="",0,求节点($AK$5:$AK$164,$AJ$5:$AJ$164,$AQ37)*E$5*武将升级!AB34)</f>
        <v>0</v>
      </c>
      <c r="AV37" s="14">
        <f>IF(武将升级!AC34="",0,求节点($AK$5:$AK$164,$AJ$5:$AJ$164,$AQ37)*F$5*武将升级!AC34)</f>
        <v>5477.5466533134213</v>
      </c>
      <c r="AW37" s="8">
        <f>SUMPRODUCT(AR37:AV37,基础状态预期!F47:J47)/SUM(基础状态预期!F47:J47)</f>
        <v>5477.5466533134213</v>
      </c>
    </row>
    <row r="38" spans="9:54" x14ac:dyDescent="0.15">
      <c r="I38" s="17" t="str">
        <f>IF(武将数量星级阶位验证!A39="","",武将数量星级阶位验证!A39)</f>
        <v/>
      </c>
      <c r="J38" s="17" t="str">
        <f>IF(武将数量星级阶位验证!B39="","",武将数量星级阶位验证!B39)</f>
        <v>橙+将不在限时抽卡中的定价为14400钻</v>
      </c>
      <c r="K38" s="17" t="str">
        <f>IF(武将数量星级阶位验证!C39="","",武将数量星级阶位验证!C39)</f>
        <v/>
      </c>
      <c r="L38" s="17" t="str">
        <f>IF(武将数量星级阶位验证!D39="","",武将数量星级阶位验证!D39)</f>
        <v/>
      </c>
      <c r="M38" s="17" t="str">
        <f>IF(武将数量星级阶位验证!E39="","",武将数量星级阶位验证!E39)</f>
        <v/>
      </c>
      <c r="P38" s="14" t="e">
        <f>8-COUNTIF([3]羁绊设计!$AD37:$AK37,"&amp;")</f>
        <v>#VALUE!</v>
      </c>
      <c r="Q38" s="29" t="str">
        <f>[3]羁绊解锁统计!$B37</f>
        <v>钟无艳</v>
      </c>
      <c r="R38" s="29" t="str">
        <f>IF([3]羁绊设计!$F37="红","橙+",[3]羁绊设计!$F37)</f>
        <v>紫</v>
      </c>
      <c r="S38" s="14">
        <f>IF([3]羁绊解锁统计!C37="",0,[3]羁绊解锁统计!C37-IF($R38=S$9,1,0))</f>
        <v>0</v>
      </c>
      <c r="T38" s="14">
        <f>IF([3]羁绊解锁统计!D37="",0,[3]羁绊解锁统计!D37-IF($R38=T$9,1,0))</f>
        <v>0</v>
      </c>
      <c r="U38" s="14">
        <f>IF([3]羁绊解锁统计!E37="",0,[3]羁绊解锁统计!E37-IF($R38=U$9,1,0))</f>
        <v>2</v>
      </c>
      <c r="V38" s="14">
        <f>IF([3]羁绊解锁统计!F37="",0,[3]羁绊解锁统计!F37-IF($R38=V$9,1,0))</f>
        <v>2</v>
      </c>
      <c r="W38" s="14">
        <f>IF([3]羁绊解锁统计!G37="",0,[3]羁绊解锁统计!G37-IF($R38=W$9,1,0))</f>
        <v>0</v>
      </c>
      <c r="X38" s="29">
        <f t="shared" si="5"/>
        <v>55370.370370370372</v>
      </c>
      <c r="Y38" s="10">
        <f t="shared" si="6"/>
        <v>0.12431584111409054</v>
      </c>
      <c r="AA38" s="14">
        <f t="shared" si="7"/>
        <v>0</v>
      </c>
      <c r="AB38" s="14">
        <f t="shared" si="8"/>
        <v>0</v>
      </c>
      <c r="AC38" s="14">
        <f t="shared" si="9"/>
        <v>12</v>
      </c>
      <c r="AD38" s="14">
        <f t="shared" si="10"/>
        <v>12</v>
      </c>
      <c r="AE38" s="14">
        <f t="shared" si="11"/>
        <v>0</v>
      </c>
      <c r="AF38" s="29">
        <f t="shared" si="12"/>
        <v>332222.22222222225</v>
      </c>
      <c r="AG38" s="10">
        <f t="shared" si="4"/>
        <v>0.43510544389931688</v>
      </c>
      <c r="AH38" s="87">
        <v>1.0999999999999999E-2</v>
      </c>
      <c r="AI38" s="4">
        <v>34</v>
      </c>
      <c r="AJ38" s="98">
        <f t="shared" si="0"/>
        <v>0.14107429843874758</v>
      </c>
      <c r="AK38" s="5">
        <f>'[1]资源-钻石'!$N37*求节点(武将数量星级阶位验证!$CP$41:$CP$72,武将数量星级阶位验证!$CS$41:$CS$72,节奏总纲!R37)</f>
        <v>66341.334745712709</v>
      </c>
      <c r="AL38" s="48"/>
      <c r="AO38" s="5">
        <v>35</v>
      </c>
      <c r="AP38" s="14">
        <f>基础状态预期!D48</f>
        <v>135.54811255008914</v>
      </c>
      <c r="AQ38" s="14">
        <f>(求节点(其他调用!$B$4:$B$163,其他调用!$C$4:$C$163,$AP38))*求节点(武将数量星级阶位验证!$CP$41:$CP$72,武将数量星级阶位验证!$CQ$41:$CQ$72,武将数量星级阶位验证!AS38)</f>
        <v>7388306.5037284158</v>
      </c>
      <c r="AR38" s="14">
        <f>IF(武将升级!Y35="",0,求节点($AK$5:$AK$164,$AJ$5:$AJ$164,AQ$7)*B$5*武将升级!Y35)</f>
        <v>0</v>
      </c>
      <c r="AS38" s="14">
        <f>IF(武将升级!Z35="",0,求节点($AK$5:$AK$164,$AJ$5:$AJ$164,$AQ38)*C$5*武将升级!Z35)</f>
        <v>0</v>
      </c>
      <c r="AT38" s="14">
        <f>IF(武将升级!AA35="",0,求节点($AK$5:$AK$164,$AJ$5:$AJ$164,$AQ38)*D$5*武将升级!AA35)</f>
        <v>0</v>
      </c>
      <c r="AU38" s="14">
        <f>IF(武将升级!AB35="",0,求节点($AK$5:$AK$164,$AJ$5:$AJ$164,$AQ38)*E$5*武将升级!AB35)</f>
        <v>0</v>
      </c>
      <c r="AV38" s="14">
        <f>IF(武将升级!AC35="",0,求节点($AK$5:$AK$164,$AJ$5:$AJ$164,$AQ38)*F$5*武将升级!AC35)</f>
        <v>5608.8186543933698</v>
      </c>
      <c r="AW38" s="8">
        <f>SUMPRODUCT(AR38:AV38,基础状态预期!F48:J48)/SUM(基础状态预期!F48:J48)</f>
        <v>5608.8186543933698</v>
      </c>
    </row>
    <row r="39" spans="9:54" x14ac:dyDescent="0.15">
      <c r="P39" s="14" t="e">
        <f>8-COUNTIF([3]羁绊设计!$AD38:$AK38,"&amp;")</f>
        <v>#VALUE!</v>
      </c>
      <c r="Q39" s="29" t="str">
        <f>[3]羁绊解锁统计!$B38</f>
        <v>孟尝君</v>
      </c>
      <c r="R39" s="29" t="str">
        <f>IF([3]羁绊设计!$F38="红","橙+",[3]羁绊设计!$F38)</f>
        <v>橙</v>
      </c>
      <c r="S39" s="14">
        <f>IF([3]羁绊解锁统计!C38="",0,[3]羁绊解锁统计!C38-IF($R39=S$9,1,0))</f>
        <v>0</v>
      </c>
      <c r="T39" s="14">
        <f>IF([3]羁绊解锁统计!D38="",0,[3]羁绊解锁统计!D38-IF($R39=T$9,1,0))</f>
        <v>0</v>
      </c>
      <c r="U39" s="14">
        <f>IF([3]羁绊解锁统计!E38="",0,[3]羁绊解锁统计!E38-IF($R39=U$9,1,0))</f>
        <v>0</v>
      </c>
      <c r="V39" s="14">
        <f>IF([3]羁绊解锁统计!F38="",0,[3]羁绊解锁统计!F38-IF($R39=V$9,1,0))</f>
        <v>5</v>
      </c>
      <c r="W39" s="14">
        <f>IF([3]羁绊解锁统计!G38="",0,[3]羁绊解锁统计!G38-IF($R39=W$9,1,0))</f>
        <v>0</v>
      </c>
      <c r="X39" s="29">
        <f t="shared" si="5"/>
        <v>68148.148148148146</v>
      </c>
      <c r="Y39" s="10">
        <f t="shared" si="6"/>
        <v>0.14374973105394928</v>
      </c>
      <c r="AA39" s="14">
        <f t="shared" si="7"/>
        <v>0</v>
      </c>
      <c r="AB39" s="14">
        <f t="shared" si="8"/>
        <v>0</v>
      </c>
      <c r="AC39" s="14">
        <f t="shared" si="9"/>
        <v>0</v>
      </c>
      <c r="AD39" s="14">
        <f t="shared" si="10"/>
        <v>30</v>
      </c>
      <c r="AE39" s="14">
        <f t="shared" si="11"/>
        <v>0</v>
      </c>
      <c r="AF39" s="29">
        <f t="shared" si="12"/>
        <v>408888.88888888888</v>
      </c>
      <c r="AG39" s="10">
        <f t="shared" si="4"/>
        <v>0.50312405868882248</v>
      </c>
      <c r="AH39" s="87">
        <v>0.01</v>
      </c>
      <c r="AI39" s="4">
        <v>35</v>
      </c>
      <c r="AJ39" s="98">
        <f t="shared" si="0"/>
        <v>0.1460498549532106</v>
      </c>
      <c r="AK39" s="5">
        <f>'[1]资源-钻石'!$N38*求节点(武将数量星级阶位验证!$CP$41:$CP$72,武将数量星级阶位验证!$CS$41:$CS$72,节奏总纲!R38)</f>
        <v>69713.041524101049</v>
      </c>
      <c r="AL39" s="48"/>
      <c r="AO39" s="5">
        <v>36</v>
      </c>
      <c r="AP39" s="14">
        <f>基础状态预期!D49</f>
        <v>139.0493876099641</v>
      </c>
      <c r="AQ39" s="14">
        <f>(求节点(其他调用!$B$4:$B$163,其他调用!$C$4:$C$163,$AP39))*求节点(武将数量星级阶位验证!$CP$41:$CP$72,武将数量星级阶位验证!$CQ$41:$CQ$72,武将数量星级阶位验证!AS39)</f>
        <v>9126266.9086843487</v>
      </c>
      <c r="AR39" s="14">
        <f>IF(武将升级!Y36="",0,求节点($AK$5:$AK$164,$AJ$5:$AJ$164,AQ$7)*B$5*武将升级!Y36)</f>
        <v>0</v>
      </c>
      <c r="AS39" s="14">
        <f>IF(武将升级!Z36="",0,求节点($AK$5:$AK$164,$AJ$5:$AJ$164,$AQ39)*C$5*武将升级!Z36)</f>
        <v>0</v>
      </c>
      <c r="AT39" s="14">
        <f>IF(武将升级!AA36="",0,求节点($AK$5:$AK$164,$AJ$5:$AJ$164,$AQ39)*D$5*武将升级!AA36)</f>
        <v>0</v>
      </c>
      <c r="AU39" s="14">
        <f>IF(武将升级!AB36="",0,求节点($AK$5:$AK$164,$AJ$5:$AJ$164,$AQ39)*E$5*武将升级!AB36)</f>
        <v>0</v>
      </c>
      <c r="AV39" s="14">
        <f>IF(武将升级!AC36="",0,求节点($AK$5:$AK$164,$AJ$5:$AJ$164,$AQ39)*F$5*武将升级!AC36)</f>
        <v>5741.1668516566433</v>
      </c>
      <c r="AW39" s="8">
        <f>SUMPRODUCT(AR39:AV39,基础状态预期!F49:J49)/SUM(基础状态预期!F49:J49)</f>
        <v>5741.1668516566433</v>
      </c>
    </row>
    <row r="40" spans="9:54" x14ac:dyDescent="0.15">
      <c r="P40" s="14" t="e">
        <f>8-COUNTIF([3]羁绊设计!$AD39:$AK39,"&amp;")</f>
        <v>#VALUE!</v>
      </c>
      <c r="Q40" s="29" t="str">
        <f>[3]羁绊解锁统计!$B39</f>
        <v>邹衍</v>
      </c>
      <c r="R40" s="29" t="str">
        <f>IF([3]羁绊设计!$F39="红","橙+",[3]羁绊设计!$F39)</f>
        <v>橙+</v>
      </c>
      <c r="S40" s="14">
        <f>IF([3]羁绊解锁统计!C39="",0,[3]羁绊解锁统计!C39-IF($R40=S$9,1,0))</f>
        <v>0</v>
      </c>
      <c r="T40" s="14">
        <f>IF([3]羁绊解锁统计!D39="",0,[3]羁绊解锁统计!D39-IF($R40=T$9,1,0))</f>
        <v>0</v>
      </c>
      <c r="U40" s="14">
        <f>IF([3]羁绊解锁统计!E39="",0,[3]羁绊解锁统计!E39-IF($R40=U$9,1,0))</f>
        <v>0</v>
      </c>
      <c r="V40" s="14">
        <f>IF([3]羁绊解锁统计!F39="",0,[3]羁绊解锁统计!F39-IF($R40=V$9,1,0))</f>
        <v>3</v>
      </c>
      <c r="W40" s="14">
        <f>IF([3]羁绊解锁统计!G39="",0,[3]羁绊解锁统计!G39-IF($R40=W$9,1,0))</f>
        <v>0</v>
      </c>
      <c r="X40" s="29">
        <f t="shared" si="5"/>
        <v>59629.629629629642</v>
      </c>
      <c r="Y40" s="10">
        <f t="shared" si="6"/>
        <v>0.13092644438936596</v>
      </c>
      <c r="AA40" s="14">
        <f t="shared" si="7"/>
        <v>0</v>
      </c>
      <c r="AB40" s="14">
        <f t="shared" si="8"/>
        <v>0</v>
      </c>
      <c r="AC40" s="14">
        <f t="shared" si="9"/>
        <v>0</v>
      </c>
      <c r="AD40" s="14">
        <f t="shared" si="10"/>
        <v>18</v>
      </c>
      <c r="AE40" s="14">
        <f t="shared" si="11"/>
        <v>0</v>
      </c>
      <c r="AF40" s="29">
        <f t="shared" si="12"/>
        <v>357777.77777777787</v>
      </c>
      <c r="AG40" s="10">
        <f t="shared" si="4"/>
        <v>0.45824255536278086</v>
      </c>
      <c r="AH40" s="87">
        <v>9.0000000000000097E-3</v>
      </c>
      <c r="AI40" s="4">
        <v>36</v>
      </c>
      <c r="AJ40" s="98">
        <f t="shared" si="0"/>
        <v>0.15073558017621344</v>
      </c>
      <c r="AK40" s="5">
        <f>'[1]资源-钻石'!$N39*求节点(武将数量星级阶位验证!$CP$41:$CP$72,武将数量星级阶位验证!$CS$41:$CS$72,节奏总纲!R39)</f>
        <v>72933.885780861325</v>
      </c>
      <c r="AL40" s="48"/>
      <c r="AO40" s="5">
        <v>37</v>
      </c>
      <c r="AP40" s="14">
        <f>基础状态预期!D50</f>
        <v>142.53355653582128</v>
      </c>
      <c r="AQ40" s="14">
        <f>(求节点(其他调用!$B$4:$B$163,其他调用!$C$4:$C$163,$AP40))*求节点(武将数量星级阶位验证!$CP$41:$CP$72,武将数量星级阶位验证!$CQ$41:$CQ$72,武将数量星级阶位验证!AS40)</f>
        <v>11302782.99998552</v>
      </c>
      <c r="AR40" s="14">
        <f>IF(武将升级!Y37="",0,求节点($AK$5:$AK$164,$AJ$5:$AJ$164,AQ$7)*B$5*武将升级!Y37)</f>
        <v>0</v>
      </c>
      <c r="AS40" s="14">
        <f>IF(武将升级!Z37="",0,求节点($AK$5:$AK$164,$AJ$5:$AJ$164,$AQ40)*C$5*武将升级!Z37)</f>
        <v>0</v>
      </c>
      <c r="AT40" s="14">
        <f>IF(武将升级!AA37="",0,求节点($AK$5:$AK$164,$AJ$5:$AJ$164,$AQ40)*D$5*武将升级!AA37)</f>
        <v>0</v>
      </c>
      <c r="AU40" s="14">
        <f>IF(武将升级!AB37="",0,求节点($AK$5:$AK$164,$AJ$5:$AJ$164,$AQ40)*E$5*武将升级!AB37)</f>
        <v>0</v>
      </c>
      <c r="AV40" s="14">
        <f>IF(武将升级!AC37="",0,求节点($AK$5:$AK$164,$AJ$5:$AJ$164,$AQ40)*F$5*武将升级!AC37)</f>
        <v>5872.8684370540441</v>
      </c>
      <c r="AW40" s="8">
        <f>SUMPRODUCT(AR40:AV40,基础状态预期!F50:J50)/SUM(基础状态预期!F50:J50)</f>
        <v>5872.8684370540441</v>
      </c>
    </row>
    <row r="41" spans="9:54" x14ac:dyDescent="0.15">
      <c r="J41" s="29" t="s">
        <v>80</v>
      </c>
      <c r="K41" s="29" t="s">
        <v>81</v>
      </c>
      <c r="L41" s="29" t="s">
        <v>82</v>
      </c>
      <c r="M41" s="29" t="s">
        <v>545</v>
      </c>
      <c r="P41" s="14" t="e">
        <f>8-COUNTIF([3]羁绊设计!$AD40:$AK40,"&amp;")</f>
        <v>#VALUE!</v>
      </c>
      <c r="Q41" s="29" t="str">
        <f>[3]羁绊解锁统计!$B40</f>
        <v>扁鹊</v>
      </c>
      <c r="R41" s="29" t="str">
        <f>IF([3]羁绊设计!$F40="红","橙+",[3]羁绊设计!$F40)</f>
        <v>橙</v>
      </c>
      <c r="S41" s="14">
        <f>IF([3]羁绊解锁统计!C40="",0,[3]羁绊解锁统计!C40-IF($R41=S$9,1,0))</f>
        <v>0</v>
      </c>
      <c r="T41" s="14">
        <f>IF([3]羁绊解锁统计!D40="",0,[3]羁绊解锁统计!D40-IF($R41=T$9,1,0))</f>
        <v>0</v>
      </c>
      <c r="U41" s="14">
        <f>IF([3]羁绊解锁统计!E40="",0,[3]羁绊解锁统计!E40-IF($R41=U$9,1,0))</f>
        <v>0</v>
      </c>
      <c r="V41" s="14">
        <f>IF([3]羁绊解锁统计!F40="",0,[3]羁绊解锁统计!F40-IF($R41=V$9,1,0))</f>
        <v>7</v>
      </c>
      <c r="W41" s="14">
        <f>IF([3]羁绊解锁统计!G40="",0,[3]羁绊解锁统计!G40-IF($R41=W$9,1,0))</f>
        <v>0</v>
      </c>
      <c r="X41" s="29">
        <f t="shared" si="5"/>
        <v>76666.666666666672</v>
      </c>
      <c r="Y41" s="10">
        <f t="shared" si="6"/>
        <v>0.15608274416223611</v>
      </c>
      <c r="AA41" s="14">
        <f t="shared" si="7"/>
        <v>0</v>
      </c>
      <c r="AB41" s="14">
        <f t="shared" si="8"/>
        <v>0</v>
      </c>
      <c r="AC41" s="14">
        <f t="shared" si="9"/>
        <v>0</v>
      </c>
      <c r="AD41" s="14">
        <f t="shared" si="10"/>
        <v>42</v>
      </c>
      <c r="AE41" s="14">
        <f t="shared" si="11"/>
        <v>0</v>
      </c>
      <c r="AF41" s="29">
        <f t="shared" si="12"/>
        <v>460000</v>
      </c>
      <c r="AG41" s="10">
        <f t="shared" si="4"/>
        <v>0.54628960456782638</v>
      </c>
      <c r="AH41" s="87">
        <v>8.0000000000000106E-3</v>
      </c>
      <c r="AI41" s="4">
        <v>37</v>
      </c>
      <c r="AJ41" s="98">
        <f t="shared" si="0"/>
        <v>0.15556323419057014</v>
      </c>
      <c r="AK41" s="5">
        <f>'[1]资源-钻石'!$N40*求节点(武将数量星级阶位验证!$CP$41:$CP$72,武将数量星级阶位验证!$CS$41:$CS$72,节奏总纲!R40)</f>
        <v>76297.642736289476</v>
      </c>
      <c r="AL41" s="48"/>
      <c r="AO41" s="5">
        <v>38</v>
      </c>
      <c r="AP41" s="14">
        <f>基础状态预期!D51</f>
        <v>146.02664953963369</v>
      </c>
      <c r="AQ41" s="14">
        <f>(求节点(其他调用!$B$4:$B$163,其他调用!$C$4:$C$163,$AP41))*求节点(武将数量星级阶位验证!$CP$41:$CP$72,武将数量星级阶位验证!$CQ$41:$CQ$72,武将数量星级阶位验证!AS41)</f>
        <v>14028342.48351345</v>
      </c>
      <c r="AR41" s="14">
        <f>IF(武将升级!Y38="",0,求节点($AK$5:$AK$164,$AJ$5:$AJ$164,AQ$7)*B$5*武将升级!Y38)</f>
        <v>0</v>
      </c>
      <c r="AS41" s="14">
        <f>IF(武将升级!Z38="",0,求节点($AK$5:$AK$164,$AJ$5:$AJ$164,$AQ41)*C$5*武将升级!Z38)</f>
        <v>0</v>
      </c>
      <c r="AT41" s="14">
        <f>IF(武将升级!AA38="",0,求节点($AK$5:$AK$164,$AJ$5:$AJ$164,$AQ41)*D$5*武将升级!AA38)</f>
        <v>0</v>
      </c>
      <c r="AU41" s="14">
        <f>IF(武将升级!AB38="",0,求节点($AK$5:$AK$164,$AJ$5:$AJ$164,$AQ41)*E$5*武将升级!AB38)</f>
        <v>0</v>
      </c>
      <c r="AV41" s="14">
        <f>IF(武将升级!AC38="",0,求节点($AK$5:$AK$164,$AJ$5:$AJ$164,$AQ41)*F$5*武将升级!AC38)</f>
        <v>6004.9073525981539</v>
      </c>
      <c r="AW41" s="8">
        <f>SUMPRODUCT(AR41:AV41,基础状态预期!F51:J51)/SUM(基础状态预期!F51:J51)</f>
        <v>6004.9073525981539</v>
      </c>
    </row>
    <row r="42" spans="9:54" x14ac:dyDescent="0.15">
      <c r="I42" s="91" t="s">
        <v>530</v>
      </c>
      <c r="J42" s="29">
        <f>J5*$J$1/10/J11/1.5</f>
        <v>1397.4683544303798</v>
      </c>
      <c r="K42" s="29">
        <f>K5*$J$1/10/K11/1.5</f>
        <v>5750</v>
      </c>
      <c r="L42" s="29">
        <f>L5*$J$1/10/L11/1.5</f>
        <v>51111.111111111117</v>
      </c>
      <c r="M42" s="29">
        <f>K35</f>
        <v>8614.6666666666661</v>
      </c>
      <c r="P42" s="14" t="e">
        <f>8-COUNTIF([3]羁绊设计!$AD41:$AK41,"&amp;")</f>
        <v>#VALUE!</v>
      </c>
      <c r="Q42" s="29" t="str">
        <f>[3]羁绊解锁统计!$B41</f>
        <v>田忌</v>
      </c>
      <c r="R42" s="29" t="str">
        <f>IF([3]羁绊设计!$F41="红","橙+",[3]羁绊设计!$F41)</f>
        <v>紫</v>
      </c>
      <c r="S42" s="14">
        <f>IF([3]羁绊解锁统计!C41="",0,[3]羁绊解锁统计!C41-IF($R42=S$9,1,0))</f>
        <v>0</v>
      </c>
      <c r="T42" s="14">
        <f>IF([3]羁绊解锁统计!D41="",0,[3]羁绊解锁统计!D41-IF($R42=T$9,1,0))</f>
        <v>0</v>
      </c>
      <c r="U42" s="14">
        <f>IF([3]羁绊解锁统计!E41="",0,[3]羁绊解锁统计!E41-IF($R42=U$9,1,0))</f>
        <v>0</v>
      </c>
      <c r="V42" s="14">
        <f>IF([3]羁绊解锁统计!F41="",0,[3]羁绊解锁统计!F41-IF($R42=V$9,1,0))</f>
        <v>2</v>
      </c>
      <c r="W42" s="14">
        <f>IF([3]羁绊解锁统计!G41="",0,[3]羁绊解锁统计!G41-IF($R42=W$9,1,0))</f>
        <v>0</v>
      </c>
      <c r="X42" s="29">
        <f t="shared" si="5"/>
        <v>55370.370370370372</v>
      </c>
      <c r="Y42" s="10">
        <f t="shared" si="6"/>
        <v>0.12431584111409054</v>
      </c>
      <c r="AA42" s="14">
        <f t="shared" si="7"/>
        <v>0</v>
      </c>
      <c r="AB42" s="14">
        <f t="shared" si="8"/>
        <v>0</v>
      </c>
      <c r="AC42" s="14">
        <f t="shared" si="9"/>
        <v>0</v>
      </c>
      <c r="AD42" s="14">
        <f t="shared" si="10"/>
        <v>12</v>
      </c>
      <c r="AE42" s="14">
        <f t="shared" si="11"/>
        <v>0</v>
      </c>
      <c r="AF42" s="29">
        <f t="shared" si="12"/>
        <v>332222.22222222225</v>
      </c>
      <c r="AG42" s="10">
        <f t="shared" si="4"/>
        <v>0.43510544389931688</v>
      </c>
      <c r="AH42" s="87">
        <v>7.0000000000000097E-3</v>
      </c>
      <c r="AI42" s="4">
        <v>38</v>
      </c>
      <c r="AJ42" s="98">
        <f t="shared" si="0"/>
        <v>0.16057170507871635</v>
      </c>
      <c r="AK42" s="5">
        <f>'[1]资源-钻石'!$N41*求节点(武将数量星级阶位验证!$CP$41:$CP$72,武将数量星级阶位验证!$CS$41:$CS$72,节奏总纲!R41)</f>
        <v>79835.168784789857</v>
      </c>
      <c r="AL42" s="48"/>
      <c r="AO42" s="5">
        <v>39</v>
      </c>
      <c r="AP42" s="14">
        <f>基础状态预期!D52</f>
        <v>149.52287096243165</v>
      </c>
      <c r="AQ42" s="14">
        <f>(求节点(其他调用!$B$4:$B$163,其他调用!$C$4:$C$163,$AP42))*求节点(武将数量星级阶位验证!$CP$41:$CP$72,武将数量星级阶位验证!$CQ$41:$CQ$72,武将数量星级阶位验证!AS42)</f>
        <v>17449695.02446156</v>
      </c>
      <c r="AR42" s="14">
        <f>IF(武将升级!Y39="",0,求节点($AK$5:$AK$164,$AJ$5:$AJ$164,AQ$7)*B$5*武将升级!Y39)</f>
        <v>0</v>
      </c>
      <c r="AS42" s="14">
        <f>IF(武将升级!Z39="",0,求节点($AK$5:$AK$164,$AJ$5:$AJ$164,$AQ42)*C$5*武将升级!Z39)</f>
        <v>0</v>
      </c>
      <c r="AT42" s="14">
        <f>IF(武将升级!AA39="",0,求节点($AK$5:$AK$164,$AJ$5:$AJ$164,$AQ42)*D$5*武将升级!AA39)</f>
        <v>0</v>
      </c>
      <c r="AU42" s="14">
        <f>IF(武将升级!AB39="",0,求节点($AK$5:$AK$164,$AJ$5:$AJ$164,$AQ42)*E$5*武将升级!AB39)</f>
        <v>0</v>
      </c>
      <c r="AV42" s="14">
        <f>IF(武将升级!AC39="",0,求节点($AK$5:$AK$164,$AJ$5:$AJ$164,$AQ42)*F$5*武将升级!AC39)</f>
        <v>6137.0645223799165</v>
      </c>
      <c r="AW42" s="8">
        <f>SUMPRODUCT(AR42:AV42,基础状态预期!F52:J52)/SUM(基础状态预期!F52:J52)</f>
        <v>6137.0645223799174</v>
      </c>
    </row>
    <row r="43" spans="9:54" x14ac:dyDescent="0.15">
      <c r="I43" s="17" t="s">
        <v>531</v>
      </c>
      <c r="J43" s="29">
        <f>50%/6</f>
        <v>8.3333333333333329E-2</v>
      </c>
      <c r="K43" s="29">
        <f t="shared" ref="K43:L43" si="13">50%/6</f>
        <v>8.3333333333333329E-2</v>
      </c>
      <c r="L43" s="29">
        <f t="shared" si="13"/>
        <v>8.3333333333333329E-2</v>
      </c>
      <c r="M43" s="29">
        <v>1</v>
      </c>
      <c r="P43" s="14" t="e">
        <f>8-COUNTIF([3]羁绊设计!$AD42:$AK42,"&amp;")</f>
        <v>#VALUE!</v>
      </c>
      <c r="Q43" s="29" t="str">
        <f>[3]羁绊解锁统计!$B42</f>
        <v>司马穰苴</v>
      </c>
      <c r="R43" s="29" t="str">
        <f>IF([3]羁绊设计!$F42="红","橙+",[3]羁绊设计!$F42)</f>
        <v>橙</v>
      </c>
      <c r="S43" s="14">
        <f>IF([3]羁绊解锁统计!C42="",0,[3]羁绊解锁统计!C42-IF($R43=S$9,1,0))</f>
        <v>0</v>
      </c>
      <c r="T43" s="14">
        <f>IF([3]羁绊解锁统计!D42="",0,[3]羁绊解锁统计!D42-IF($R43=T$9,1,0))</f>
        <v>0</v>
      </c>
      <c r="U43" s="14">
        <f>IF([3]羁绊解锁统计!E42="",0,[3]羁绊解锁统计!E42-IF($R43=U$9,1,0))</f>
        <v>1</v>
      </c>
      <c r="V43" s="14">
        <f>IF([3]羁绊解锁统计!F42="",0,[3]羁绊解锁统计!F42-IF($R43=V$9,1,0))</f>
        <v>9</v>
      </c>
      <c r="W43" s="14">
        <f>IF([3]羁绊解锁统计!G42="",0,[3]羁绊解锁统计!G42-IF($R43=W$9,1,0))</f>
        <v>0</v>
      </c>
      <c r="X43" s="29">
        <f t="shared" si="5"/>
        <v>85185.185185185182</v>
      </c>
      <c r="Y43" s="10">
        <f t="shared" si="6"/>
        <v>0.1680096518804009</v>
      </c>
      <c r="AA43" s="14">
        <f t="shared" si="7"/>
        <v>0</v>
      </c>
      <c r="AB43" s="14">
        <f t="shared" si="8"/>
        <v>0</v>
      </c>
      <c r="AC43" s="14">
        <f t="shared" si="9"/>
        <v>6</v>
      </c>
      <c r="AD43" s="14">
        <f t="shared" si="10"/>
        <v>54</v>
      </c>
      <c r="AE43" s="14">
        <f t="shared" si="11"/>
        <v>0</v>
      </c>
      <c r="AF43" s="29">
        <f t="shared" si="12"/>
        <v>511111.11111111112</v>
      </c>
      <c r="AG43" s="10">
        <f t="shared" si="4"/>
        <v>0.58803378158140318</v>
      </c>
      <c r="AH43" s="87">
        <v>6.0000000000000097E-3</v>
      </c>
      <c r="AI43" s="4">
        <v>39</v>
      </c>
      <c r="AJ43" s="98">
        <f t="shared" si="0"/>
        <v>0.16594682180786091</v>
      </c>
      <c r="AK43" s="5">
        <f>'[1]资源-钻石'!$N42*求节点(武将数量星级阶位验证!$CP$41:$CP$72,武将数量星级阶位验证!$CS$41:$CS$72,节奏总纲!R42)</f>
        <v>83684.81381686739</v>
      </c>
      <c r="AL43" s="48"/>
      <c r="AO43" s="5">
        <v>40</v>
      </c>
      <c r="AP43" s="14">
        <f>基础状态预期!D53</f>
        <v>153.02723536432757</v>
      </c>
      <c r="AQ43" s="14">
        <f>(求节点(其他调用!$B$4:$B$163,其他调用!$C$4:$C$163,$AP43))*求节点(武将数量星级阶位验证!$CP$41:$CP$72,武将数量星级阶位验证!$CQ$41:$CQ$72,武将数量星级阶位验证!AS43)</f>
        <v>21779769.32451367</v>
      </c>
      <c r="AR43" s="14">
        <f>IF(武将升级!Y40="",0,求节点($AK$5:$AK$164,$AJ$5:$AJ$164,AQ$7)*B$5*武将升级!Y40)</f>
        <v>0</v>
      </c>
      <c r="AS43" s="14">
        <f>IF(武将升级!Z40="",0,求节点($AK$5:$AK$164,$AJ$5:$AJ$164,$AQ43)*C$5*武将升级!Z40)</f>
        <v>0</v>
      </c>
      <c r="AT43" s="14">
        <f>IF(武将升级!AA40="",0,求节点($AK$5:$AK$164,$AJ$5:$AJ$164,$AQ43)*D$5*武将升级!AA40)</f>
        <v>0</v>
      </c>
      <c r="AU43" s="14">
        <f>IF(武将升级!AB40="",0,求节点($AK$5:$AK$164,$AJ$5:$AJ$164,$AQ43)*E$5*武将升级!AB40)</f>
        <v>0</v>
      </c>
      <c r="AV43" s="14">
        <f>IF(武将升级!AC40="",0,求节点($AK$5:$AK$164,$AJ$5:$AJ$164,$AQ43)*F$5*武将升级!AC40)</f>
        <v>6155.1</v>
      </c>
      <c r="AW43" s="8">
        <f>SUMPRODUCT(AR43:AV43,基础状态预期!F53:J53)/SUM(基础状态预期!F53:J53)</f>
        <v>6155.1000000000013</v>
      </c>
    </row>
    <row r="44" spans="9:54" x14ac:dyDescent="0.15">
      <c r="I44" s="17" t="s">
        <v>532</v>
      </c>
      <c r="J44" s="29">
        <f>J$42*(1+(3-1)*J$43)*C$4</f>
        <v>9782.2784810126595</v>
      </c>
      <c r="K44" s="29">
        <f>K$42*(1+(3-1)*K$43)*D$4</f>
        <v>40250</v>
      </c>
      <c r="L44" s="29">
        <f t="shared" ref="L44:M44" si="14">L$42*(1+(3-1)*L$43)*E$4</f>
        <v>357777.77777777787</v>
      </c>
      <c r="M44" s="29">
        <f t="shared" si="14"/>
        <v>155064</v>
      </c>
      <c r="P44" s="14" t="e">
        <f>8-COUNTIF([3]羁绊设计!$AD43:$AK43,"&amp;")</f>
        <v>#VALUE!</v>
      </c>
      <c r="Q44" s="29" t="str">
        <f>[3]羁绊解锁统计!$B43</f>
        <v>鲍叔牙</v>
      </c>
      <c r="R44" s="29" t="str">
        <f>IF([3]羁绊设计!$F43="红","橙+",[3]羁绊设计!$F43)</f>
        <v>橙</v>
      </c>
      <c r="S44" s="14">
        <f>IF([3]羁绊解锁统计!C43="",0,[3]羁绊解锁统计!C43-IF($R44=S$9,1,0))</f>
        <v>0</v>
      </c>
      <c r="T44" s="14">
        <f>IF([3]羁绊解锁统计!D43="",0,[3]羁绊解锁统计!D43-IF($R44=T$9,1,0))</f>
        <v>0</v>
      </c>
      <c r="U44" s="14">
        <f>IF([3]羁绊解锁统计!E43="",0,[3]羁绊解锁统计!E43-IF($R44=U$9,1,0))</f>
        <v>0</v>
      </c>
      <c r="V44" s="14">
        <f>IF([3]羁绊解锁统计!F43="",0,[3]羁绊解锁统计!F43-IF($R44=V$9,1,0))</f>
        <v>0</v>
      </c>
      <c r="W44" s="14">
        <f>IF([3]羁绊解锁统计!G43="",0,[3]羁绊解锁统计!G43-IF($R44=W$9,1,0))</f>
        <v>0</v>
      </c>
      <c r="X44" s="29">
        <f t="shared" si="5"/>
        <v>0</v>
      </c>
      <c r="Y44" s="10">
        <f t="shared" si="6"/>
        <v>1.4285714285714287E-2</v>
      </c>
      <c r="AA44" s="14">
        <f t="shared" si="7"/>
        <v>0</v>
      </c>
      <c r="AB44" s="14">
        <f t="shared" si="8"/>
        <v>0</v>
      </c>
      <c r="AC44" s="14">
        <f t="shared" si="9"/>
        <v>0</v>
      </c>
      <c r="AD44" s="14">
        <f t="shared" si="10"/>
        <v>0</v>
      </c>
      <c r="AE44" s="14">
        <f t="shared" si="11"/>
        <v>0</v>
      </c>
      <c r="AF44" s="29">
        <f t="shared" si="12"/>
        <v>0</v>
      </c>
      <c r="AG44" s="10">
        <f t="shared" si="4"/>
        <v>0.05</v>
      </c>
      <c r="AH44" s="87">
        <v>5.0000000000000096E-3</v>
      </c>
      <c r="AI44" s="4">
        <v>40</v>
      </c>
      <c r="AJ44" s="98">
        <f t="shared" si="0"/>
        <v>0.17165619590784106</v>
      </c>
      <c r="AK44" s="5">
        <f>'[1]资源-钻石'!$N43*求节点(武将数量星级阶位验证!$CP$41:$CP$72,武将数量星级阶位验证!$CS$41:$CS$72,节奏总纲!R43)</f>
        <v>87833.006689635993</v>
      </c>
      <c r="AL44" s="48"/>
      <c r="AO44" s="5">
        <v>41</v>
      </c>
      <c r="AP44" s="14">
        <f>基础状态预期!D54</f>
        <v>156.52008914974525</v>
      </c>
      <c r="AQ44" s="14">
        <f>(求节点(其他调用!$B$4:$B$163,其他调用!$C$4:$C$163,$AP44))*求节点(武将数量星级阶位验证!$CP$41:$CP$72,武将数量星级阶位验证!$CQ$41:$CQ$72,武将数量星级阶位验证!AS44)</f>
        <v>27173353.020325709</v>
      </c>
      <c r="AR44" s="14">
        <f>IF(武将升级!Y41="",0,求节点($AK$5:$AK$164,$AJ$5:$AJ$164,AQ$7)*B$5*武将升级!Y41)</f>
        <v>0</v>
      </c>
      <c r="AS44" s="14">
        <f>IF(武将升级!Z41="",0,求节点($AK$5:$AK$164,$AJ$5:$AJ$164,$AQ44)*C$5*武将升级!Z41)</f>
        <v>0</v>
      </c>
      <c r="AT44" s="14">
        <f>IF(武将升级!AA41="",0,求节点($AK$5:$AK$164,$AJ$5:$AJ$164,$AQ44)*D$5*武将升级!AA41)</f>
        <v>0</v>
      </c>
      <c r="AU44" s="14">
        <f>IF(武将升级!AB41="",0,求节点($AK$5:$AK$164,$AJ$5:$AJ$164,$AQ44)*E$5*武将升级!AB41)</f>
        <v>0</v>
      </c>
      <c r="AV44" s="14">
        <f>IF(武将升级!AC41="",0,求节点($AK$5:$AK$164,$AJ$5:$AJ$164,$AQ44)*F$5*武将升级!AC41)</f>
        <v>6155.1</v>
      </c>
      <c r="AW44" s="8">
        <f>SUMPRODUCT(AR44:AV44,基础状态预期!F54:J54)/SUM(基础状态预期!F54:J54)</f>
        <v>6155.1000000000013</v>
      </c>
    </row>
    <row r="45" spans="9:54" x14ac:dyDescent="0.15">
      <c r="I45" s="17" t="s">
        <v>533</v>
      </c>
      <c r="J45" s="29">
        <f t="shared" ref="J45:K45" si="15">J$42*(1+(9-1)*J$43)*C$4</f>
        <v>13974.683544303796</v>
      </c>
      <c r="K45" s="29">
        <f t="shared" si="15"/>
        <v>57499.999999999993</v>
      </c>
      <c r="L45" s="29">
        <f>L$42*(1+(9-1)*L$43)*E$4</f>
        <v>511111.11111111112</v>
      </c>
      <c r="M45" s="29">
        <f>M$42*(1+(9-1)*M$43)*F$4</f>
        <v>465192</v>
      </c>
      <c r="P45" s="14" t="e">
        <f>8-COUNTIF([3]羁绊设计!$AD44:$AK44,"&amp;")</f>
        <v>#VALUE!</v>
      </c>
      <c r="Q45" s="29" t="str">
        <f>[3]羁绊解锁统计!$B44</f>
        <v>孙膑</v>
      </c>
      <c r="R45" s="29" t="str">
        <f>IF([3]羁绊设计!$F44="红","橙+",[3]羁绊设计!$F44)</f>
        <v>橙</v>
      </c>
      <c r="S45" s="14">
        <f>IF([3]羁绊解锁统计!C44="",0,[3]羁绊解锁统计!C44-IF($R45=S$9,1,0))</f>
        <v>0</v>
      </c>
      <c r="T45" s="14">
        <f>IF([3]羁绊解锁统计!D44="",0,[3]羁绊解锁统计!D44-IF($R45=T$9,1,0))</f>
        <v>0</v>
      </c>
      <c r="U45" s="14">
        <f>IF([3]羁绊解锁统计!E44="",0,[3]羁绊解锁统计!E44-IF($R45=U$9,1,0))</f>
        <v>2</v>
      </c>
      <c r="V45" s="14">
        <f>IF([3]羁绊解锁统计!F44="",0,[3]羁绊解锁统计!F44-IF($R45=V$9,1,0))</f>
        <v>8</v>
      </c>
      <c r="W45" s="14">
        <f>IF([3]羁绊解锁统计!G44="",0,[3]羁绊解锁统计!G44-IF($R45=W$9,1,0))</f>
        <v>0</v>
      </c>
      <c r="X45" s="29">
        <f t="shared" si="5"/>
        <v>80925.925925925927</v>
      </c>
      <c r="Y45" s="10">
        <f t="shared" si="6"/>
        <v>0.16209362499883187</v>
      </c>
      <c r="AA45" s="14">
        <f t="shared" si="7"/>
        <v>0</v>
      </c>
      <c r="AB45" s="14">
        <f t="shared" si="8"/>
        <v>0</v>
      </c>
      <c r="AC45" s="14">
        <f t="shared" si="9"/>
        <v>12</v>
      </c>
      <c r="AD45" s="14">
        <f t="shared" si="10"/>
        <v>48</v>
      </c>
      <c r="AE45" s="14">
        <f t="shared" si="11"/>
        <v>0</v>
      </c>
      <c r="AF45" s="29">
        <f t="shared" si="12"/>
        <v>485555.55555555556</v>
      </c>
      <c r="AG45" s="10">
        <f t="shared" si="4"/>
        <v>0.56732768749591156</v>
      </c>
      <c r="AH45" s="87">
        <v>5.0000000000000096E-3</v>
      </c>
      <c r="AI45" s="4">
        <v>41</v>
      </c>
      <c r="AJ45" s="98">
        <f t="shared" si="0"/>
        <v>0.17769008421541663</v>
      </c>
      <c r="AK45" s="5">
        <f>'[1]资源-钻石'!$N44*求节点(武将数量星级阶位验证!$CP$41:$CP$72,武将数量星级阶位验证!$CS$41:$CS$72,节奏总纲!R44)</f>
        <v>92281.946803443279</v>
      </c>
      <c r="AL45" s="48"/>
      <c r="AO45" s="5">
        <v>42</v>
      </c>
      <c r="AP45" s="14">
        <f>基础状态预期!D55</f>
        <v>159.99202506384199</v>
      </c>
      <c r="AQ45" s="14">
        <f>(求节点(其他调用!$B$4:$B$163,其他调用!$C$4:$C$163,$AP45))*求节点(武将数量星级阶位验证!$CP$41:$CP$72,武将数量星级阶位验证!$CQ$41:$CQ$72,武将数量星级阶位验证!AS45)</f>
        <v>33761229.313039802</v>
      </c>
      <c r="AR45" s="14">
        <f>IF(武将升级!Y42="",0,求节点($AK$5:$AK$164,$AJ$5:$AJ$164,AQ$7)*B$5*武将升级!Y42)</f>
        <v>0</v>
      </c>
      <c r="AS45" s="14">
        <f>IF(武将升级!Z42="",0,求节点($AK$5:$AK$164,$AJ$5:$AJ$164,$AQ45)*C$5*武将升级!Z42)</f>
        <v>0</v>
      </c>
      <c r="AT45" s="14">
        <f>IF(武将升级!AA42="",0,求节点($AK$5:$AK$164,$AJ$5:$AJ$164,$AQ45)*D$5*武将升级!AA42)</f>
        <v>0</v>
      </c>
      <c r="AU45" s="14">
        <f>IF(武将升级!AB42="",0,求节点($AK$5:$AK$164,$AJ$5:$AJ$164,$AQ45)*E$5*武将升级!AB42)</f>
        <v>0</v>
      </c>
      <c r="AV45" s="14">
        <f>IF(武将升级!AC42="",0,求节点($AK$5:$AK$164,$AJ$5:$AJ$164,$AQ45)*F$5*武将升级!AC42)</f>
        <v>6155.1</v>
      </c>
      <c r="AW45" s="8">
        <f>SUMPRODUCT(AR45:AV45,基础状态预期!F55:J55)/SUM(基础状态预期!F55:J55)</f>
        <v>6155.1000000000013</v>
      </c>
    </row>
    <row r="46" spans="9:54" x14ac:dyDescent="0.15">
      <c r="I46" s="17" t="s">
        <v>534</v>
      </c>
      <c r="J46" s="29">
        <f>4%*3.5*2/2</f>
        <v>0.14000000000000001</v>
      </c>
      <c r="K46" s="29">
        <f>4%*3.5*3/2</f>
        <v>0.21000000000000002</v>
      </c>
      <c r="L46" s="29">
        <f>10%*3.5*3/2</f>
        <v>0.52500000000000002</v>
      </c>
      <c r="M46" s="29">
        <f>12%*3.5*3/2</f>
        <v>0.63</v>
      </c>
      <c r="P46" s="14" t="e">
        <f>8-COUNTIF([3]羁绊设计!$AD45:$AK45,"&amp;")</f>
        <v>#VALUE!</v>
      </c>
      <c r="Q46" s="29" t="str">
        <f>[3]羁绊解锁统计!$B45</f>
        <v>孟子</v>
      </c>
      <c r="R46" s="29" t="str">
        <f>IF([3]羁绊设计!$F45="红","橙+",[3]羁绊设计!$F45)</f>
        <v>橙+</v>
      </c>
      <c r="S46" s="14">
        <f>IF([3]羁绊解锁统计!C45="",0,[3]羁绊解锁统计!C45-IF($R46=S$9,1,0))</f>
        <v>0</v>
      </c>
      <c r="T46" s="14">
        <f>IF([3]羁绊解锁统计!D45="",0,[3]羁绊解锁统计!D45-IF($R46=T$9,1,0))</f>
        <v>0</v>
      </c>
      <c r="U46" s="14">
        <f>IF([3]羁绊解锁统计!E45="",0,[3]羁绊解锁统计!E45-IF($R46=U$9,1,0))</f>
        <v>0</v>
      </c>
      <c r="V46" s="14">
        <f>IF([3]羁绊解锁统计!F45="",0,[3]羁绊解锁统计!F45-IF($R46=V$9,1,0))</f>
        <v>0</v>
      </c>
      <c r="W46" s="14">
        <f>IF([3]羁绊解锁统计!G45="",0,[3]羁绊解锁统计!G45-IF($R46=W$9,1,0))</f>
        <v>0</v>
      </c>
      <c r="X46" s="29">
        <f t="shared" si="5"/>
        <v>0</v>
      </c>
      <c r="Y46" s="10">
        <f t="shared" si="6"/>
        <v>1.4285714285714287E-2</v>
      </c>
      <c r="AA46" s="14">
        <f t="shared" si="7"/>
        <v>0</v>
      </c>
      <c r="AB46" s="14">
        <f t="shared" si="8"/>
        <v>0</v>
      </c>
      <c r="AC46" s="14">
        <f t="shared" si="9"/>
        <v>0</v>
      </c>
      <c r="AD46" s="14">
        <f t="shared" si="10"/>
        <v>0</v>
      </c>
      <c r="AE46" s="14">
        <f t="shared" si="11"/>
        <v>0</v>
      </c>
      <c r="AF46" s="29">
        <f t="shared" si="12"/>
        <v>0</v>
      </c>
      <c r="AG46" s="10">
        <f t="shared" si="4"/>
        <v>0.05</v>
      </c>
      <c r="AH46" s="87">
        <v>5.0000000000000096E-3</v>
      </c>
      <c r="AI46" s="4">
        <v>42</v>
      </c>
      <c r="AJ46" s="98">
        <f t="shared" si="0"/>
        <v>0.1840792136716751</v>
      </c>
      <c r="AK46" s="5">
        <f>'[1]资源-钻石'!$N45*求节点(武将数量星级阶位验证!$CP$41:$CP$72,武将数量星级阶位验证!$CS$41:$CS$72,节奏总纲!R45)</f>
        <v>97064.171491134723</v>
      </c>
      <c r="AL46" s="48"/>
      <c r="AO46" s="5">
        <v>43</v>
      </c>
      <c r="AP46" s="16"/>
      <c r="AQ46" s="16"/>
      <c r="AR46" s="16"/>
      <c r="AS46" s="16"/>
      <c r="AT46" s="16"/>
      <c r="AU46" s="16"/>
      <c r="AV46" s="16"/>
      <c r="BA46" s="17"/>
      <c r="BB46" s="17"/>
    </row>
    <row r="47" spans="9:54" x14ac:dyDescent="0.15">
      <c r="I47" s="17" t="s">
        <v>535</v>
      </c>
      <c r="J47" s="29">
        <f>4%*3.5*2/2</f>
        <v>0.14000000000000001</v>
      </c>
      <c r="K47" s="29">
        <f>4%*3.5*3/2</f>
        <v>0.21000000000000002</v>
      </c>
      <c r="L47" s="29">
        <f>10%*3.5*3/2</f>
        <v>0.52500000000000002</v>
      </c>
      <c r="M47" s="29">
        <f>12%*3.5*3/2</f>
        <v>0.63</v>
      </c>
      <c r="P47" s="14" t="e">
        <f>8-COUNTIF([3]羁绊设计!$AD46:$AK46,"&amp;")</f>
        <v>#VALUE!</v>
      </c>
      <c r="Q47" s="29" t="str">
        <f>[3]羁绊解锁统计!$B46</f>
        <v>齐桓公</v>
      </c>
      <c r="R47" s="29" t="str">
        <f>IF([3]羁绊设计!$F46="红","橙+",[3]羁绊设计!$F46)</f>
        <v>橙+</v>
      </c>
      <c r="S47" s="14">
        <f>IF([3]羁绊解锁统计!C46="",0,[3]羁绊解锁统计!C46-IF($R47=S$9,1,0))</f>
        <v>0</v>
      </c>
      <c r="T47" s="14">
        <f>IF([3]羁绊解锁统计!D46="",0,[3]羁绊解锁统计!D46-IF($R47=T$9,1,0))</f>
        <v>0</v>
      </c>
      <c r="U47" s="14">
        <f>IF([3]羁绊解锁统计!E46="",0,[3]羁绊解锁统计!E46-IF($R47=U$9,1,0))</f>
        <v>0</v>
      </c>
      <c r="V47" s="14">
        <f>IF([3]羁绊解锁统计!F46="",0,[3]羁绊解锁统计!F46-IF($R47=V$9,1,0))</f>
        <v>7</v>
      </c>
      <c r="W47" s="14">
        <f>IF([3]羁绊解锁统计!G46="",0,[3]羁绊解锁统计!G46-IF($R47=W$9,1,0))</f>
        <v>0</v>
      </c>
      <c r="X47" s="29">
        <f t="shared" si="5"/>
        <v>76666.666666666672</v>
      </c>
      <c r="Y47" s="10">
        <f t="shared" si="6"/>
        <v>0.15608274416223611</v>
      </c>
      <c r="AA47" s="14">
        <f t="shared" si="7"/>
        <v>0</v>
      </c>
      <c r="AB47" s="14">
        <f t="shared" si="8"/>
        <v>0</v>
      </c>
      <c r="AC47" s="14">
        <f t="shared" si="9"/>
        <v>0</v>
      </c>
      <c r="AD47" s="14">
        <f t="shared" si="10"/>
        <v>42</v>
      </c>
      <c r="AE47" s="14">
        <f t="shared" si="11"/>
        <v>0</v>
      </c>
      <c r="AF47" s="29">
        <f t="shared" si="12"/>
        <v>460000</v>
      </c>
      <c r="AG47" s="10">
        <f t="shared" si="4"/>
        <v>0.54628960456782638</v>
      </c>
      <c r="AH47" s="87">
        <v>5.0000000000000096E-3</v>
      </c>
      <c r="AI47" s="4">
        <v>43</v>
      </c>
      <c r="AJ47" s="98">
        <f t="shared" si="0"/>
        <v>0.19067720929964901</v>
      </c>
      <c r="AK47" s="5">
        <f>'[1]资源-钻石'!$N46*求节点(武将数量星级阶位验证!$CP$41:$CP$72,武将数量星级阶位验证!$CS$41:$CS$72,节奏总纲!R46)</f>
        <v>102078.24377446479</v>
      </c>
      <c r="AL47" s="48"/>
      <c r="AO47" s="5">
        <v>44</v>
      </c>
      <c r="AP47" s="16"/>
      <c r="AQ47" s="16"/>
      <c r="AR47" s="16"/>
      <c r="AS47" s="16"/>
      <c r="AT47" s="16"/>
      <c r="AU47" s="16"/>
      <c r="AV47" s="16"/>
      <c r="BA47" s="17"/>
      <c r="BB47" s="17"/>
    </row>
    <row r="48" spans="9:54" x14ac:dyDescent="0.15">
      <c r="P48" s="14" t="e">
        <f>8-COUNTIF([3]羁绊设计!$AD47:$AK47,"&amp;")</f>
        <v>#VALUE!</v>
      </c>
      <c r="Q48" s="29" t="str">
        <f>[3]羁绊解锁统计!$B47</f>
        <v>管仲</v>
      </c>
      <c r="R48" s="29" t="str">
        <f>IF([3]羁绊设计!$F47="红","橙+",[3]羁绊设计!$F47)</f>
        <v>橙</v>
      </c>
      <c r="S48" s="14">
        <f>IF([3]羁绊解锁统计!C47="",0,[3]羁绊解锁统计!C47-IF($R48=S$9,1,0))</f>
        <v>0</v>
      </c>
      <c r="T48" s="14">
        <f>IF([3]羁绊解锁统计!D47="",0,[3]羁绊解锁统计!D47-IF($R48=T$9,1,0))</f>
        <v>0</v>
      </c>
      <c r="U48" s="14">
        <f>IF([3]羁绊解锁统计!E47="",0,[3]羁绊解锁统计!E47-IF($R48=U$9,1,0))</f>
        <v>0</v>
      </c>
      <c r="V48" s="14">
        <f>IF([3]羁绊解锁统计!F47="",0,[3]羁绊解锁统计!F47-IF($R48=V$9,1,0))</f>
        <v>0</v>
      </c>
      <c r="W48" s="14">
        <f>IF([3]羁绊解锁统计!G47="",0,[3]羁绊解锁统计!G47-IF($R48=W$9,1,0))</f>
        <v>0</v>
      </c>
      <c r="X48" s="29">
        <f t="shared" si="5"/>
        <v>0</v>
      </c>
      <c r="Y48" s="10">
        <f t="shared" si="6"/>
        <v>1.4285714285714287E-2</v>
      </c>
      <c r="AA48" s="14">
        <f t="shared" si="7"/>
        <v>0</v>
      </c>
      <c r="AB48" s="14">
        <f t="shared" si="8"/>
        <v>0</v>
      </c>
      <c r="AC48" s="14">
        <f t="shared" si="9"/>
        <v>0</v>
      </c>
      <c r="AD48" s="14">
        <f t="shared" si="10"/>
        <v>0</v>
      </c>
      <c r="AE48" s="14">
        <f t="shared" si="11"/>
        <v>0</v>
      </c>
      <c r="AF48" s="29">
        <f t="shared" si="12"/>
        <v>0</v>
      </c>
      <c r="AG48" s="10">
        <f t="shared" si="4"/>
        <v>0.05</v>
      </c>
      <c r="AH48" s="87">
        <v>5.0000000000000096E-3</v>
      </c>
      <c r="AI48" s="4">
        <v>44</v>
      </c>
      <c r="AJ48" s="98">
        <f t="shared" si="0"/>
        <v>0.19738993770473445</v>
      </c>
      <c r="AK48" s="5">
        <f>'[1]资源-钻石'!$N47*求节点(武将数量星级阶位验证!$CP$41:$CP$72,武将数量星级阶位验证!$CS$41:$CS$72,节奏总纲!R47)</f>
        <v>107256.68935635476</v>
      </c>
      <c r="AL48" s="48"/>
      <c r="AO48" s="5">
        <v>45</v>
      </c>
    </row>
    <row r="49" spans="9:55" x14ac:dyDescent="0.15">
      <c r="I49" s="17" t="s">
        <v>536</v>
      </c>
      <c r="J49" s="27" t="s">
        <v>537</v>
      </c>
      <c r="P49" s="14" t="e">
        <f>8-COUNTIF([3]羁绊设计!$AD48:$AK48,"&amp;")</f>
        <v>#VALUE!</v>
      </c>
      <c r="Q49" s="29" t="str">
        <f>[3]羁绊解锁统计!$B48</f>
        <v>屈原</v>
      </c>
      <c r="R49" s="29" t="str">
        <f>IF([3]羁绊设计!$F48="红","橙+",[3]羁绊设计!$F48)</f>
        <v>橙</v>
      </c>
      <c r="S49" s="14">
        <f>IF([3]羁绊解锁统计!C48="",0,[3]羁绊解锁统计!C48-IF($R49=S$9,1,0))</f>
        <v>0</v>
      </c>
      <c r="T49" s="14">
        <f>IF([3]羁绊解锁统计!D48="",0,[3]羁绊解锁统计!D48-IF($R49=T$9,1,0))</f>
        <v>0</v>
      </c>
      <c r="U49" s="14">
        <f>IF([3]羁绊解锁统计!E48="",0,[3]羁绊解锁统计!E48-IF($R49=U$9,1,0))</f>
        <v>0</v>
      </c>
      <c r="V49" s="14">
        <f>IF([3]羁绊解锁统计!F48="",0,[3]羁绊解锁统计!F48-IF($R49=V$9,1,0))</f>
        <v>8</v>
      </c>
      <c r="W49" s="14">
        <f>IF([3]羁绊解锁统计!G48="",0,[3]羁绊解锁统计!G48-IF($R49=W$9,1,0))</f>
        <v>0</v>
      </c>
      <c r="X49" s="29">
        <f t="shared" si="5"/>
        <v>80925.925925925927</v>
      </c>
      <c r="Y49" s="10">
        <f t="shared" si="6"/>
        <v>0.16209362499883187</v>
      </c>
      <c r="AA49" s="14">
        <f t="shared" si="7"/>
        <v>0</v>
      </c>
      <c r="AB49" s="14">
        <f t="shared" si="8"/>
        <v>0</v>
      </c>
      <c r="AC49" s="14">
        <f t="shared" si="9"/>
        <v>0</v>
      </c>
      <c r="AD49" s="14">
        <f t="shared" si="10"/>
        <v>48</v>
      </c>
      <c r="AE49" s="14">
        <f t="shared" si="11"/>
        <v>0</v>
      </c>
      <c r="AF49" s="29">
        <f t="shared" si="12"/>
        <v>485555.55555555556</v>
      </c>
      <c r="AG49" s="10">
        <f t="shared" si="4"/>
        <v>0.56732768749591156</v>
      </c>
      <c r="AH49" s="87">
        <v>5.0000000000000096E-3</v>
      </c>
      <c r="AI49" s="4">
        <v>45</v>
      </c>
      <c r="AJ49" s="98">
        <f t="shared" si="0"/>
        <v>0.20408247654873629</v>
      </c>
      <c r="AK49" s="5">
        <f>'[1]资源-钻石'!$N48*求节点(武将数量星级阶位验证!$CP$41:$CP$72,武将数量星级阶位验证!$CS$41:$CS$72,节奏总纲!R48)</f>
        <v>112495.55485320048</v>
      </c>
      <c r="AL49" s="48"/>
      <c r="AO49" s="5">
        <v>1</v>
      </c>
    </row>
    <row r="50" spans="9:55" x14ac:dyDescent="0.15">
      <c r="J50" s="27" t="s">
        <v>538</v>
      </c>
      <c r="P50" s="14" t="e">
        <f>8-COUNTIF([3]羁绊设计!$AD49:$AK49,"&amp;")</f>
        <v>#VALUE!</v>
      </c>
      <c r="Q50" s="29" t="str">
        <f>[3]羁绊解锁统计!$B49</f>
        <v>项燕</v>
      </c>
      <c r="R50" s="29" t="str">
        <f>IF([3]羁绊设计!$F49="红","橙+",[3]羁绊设计!$F49)</f>
        <v>橙</v>
      </c>
      <c r="S50" s="14">
        <f>IF([3]羁绊解锁统计!C49="",0,[3]羁绊解锁统计!C49-IF($R50=S$9,1,0))</f>
        <v>0</v>
      </c>
      <c r="T50" s="14">
        <f>IF([3]羁绊解锁统计!D49="",0,[3]羁绊解锁统计!D49-IF($R50=T$9,1,0))</f>
        <v>0</v>
      </c>
      <c r="U50" s="14">
        <f>IF([3]羁绊解锁统计!E49="",0,[3]羁绊解锁统计!E49-IF($R50=U$9,1,0))</f>
        <v>1</v>
      </c>
      <c r="V50" s="14">
        <f>IF([3]羁绊解锁统计!F49="",0,[3]羁绊解锁统计!F49-IF($R50=V$9,1,0))</f>
        <v>9</v>
      </c>
      <c r="W50" s="14">
        <f>IF([3]羁绊解锁统计!G49="",0,[3]羁绊解锁统计!G49-IF($R50=W$9,1,0))</f>
        <v>0</v>
      </c>
      <c r="X50" s="29">
        <f t="shared" si="5"/>
        <v>85185.185185185182</v>
      </c>
      <c r="Y50" s="10">
        <f t="shared" si="6"/>
        <v>0.1680096518804009</v>
      </c>
      <c r="AA50" s="14">
        <f t="shared" si="7"/>
        <v>0</v>
      </c>
      <c r="AB50" s="14">
        <f t="shared" si="8"/>
        <v>0</v>
      </c>
      <c r="AC50" s="14">
        <f t="shared" si="9"/>
        <v>6</v>
      </c>
      <c r="AD50" s="14">
        <f t="shared" si="10"/>
        <v>54</v>
      </c>
      <c r="AE50" s="14">
        <f t="shared" si="11"/>
        <v>0</v>
      </c>
      <c r="AF50" s="29">
        <f t="shared" si="12"/>
        <v>511111.11111111112</v>
      </c>
      <c r="AG50" s="10">
        <f t="shared" si="4"/>
        <v>0.58803378158140318</v>
      </c>
      <c r="AH50" s="87">
        <v>5.0000000000000096E-3</v>
      </c>
      <c r="AI50" s="4">
        <v>46</v>
      </c>
      <c r="AJ50" s="98">
        <f t="shared" si="0"/>
        <v>0.21095414681098837</v>
      </c>
      <c r="AK50" s="5">
        <f>'[1]资源-钻石'!$N49*求节点(武将数量星级阶位验证!$CP$41:$CP$72,武将数量星级阶位验证!$CS$41:$CS$72,节奏总纲!R49)</f>
        <v>117952.09663509188</v>
      </c>
      <c r="AL50" s="48"/>
      <c r="AO50" s="5">
        <v>2</v>
      </c>
      <c r="AP50" s="8" t="s">
        <v>76</v>
      </c>
      <c r="AQ50" s="8"/>
      <c r="AR50" s="173" t="s">
        <v>286</v>
      </c>
      <c r="AS50" s="173"/>
      <c r="AT50" s="173"/>
      <c r="AU50" s="173"/>
      <c r="AV50" s="173"/>
      <c r="AW50" s="173"/>
      <c r="BA50" s="35" t="s">
        <v>76</v>
      </c>
      <c r="BB50" s="29" t="s">
        <v>367</v>
      </c>
      <c r="BC50" s="51"/>
    </row>
    <row r="51" spans="9:55" x14ac:dyDescent="0.15">
      <c r="J51" s="27" t="s">
        <v>539</v>
      </c>
      <c r="P51" s="14" t="e">
        <f>8-COUNTIF([3]羁绊设计!$AD50:$AK50,"&amp;")</f>
        <v>#VALUE!</v>
      </c>
      <c r="Q51" s="29" t="str">
        <f>[3]羁绊解锁统计!$B50</f>
        <v>春申君</v>
      </c>
      <c r="R51" s="29" t="str">
        <f>IF([3]羁绊设计!$F50="红","橙+",[3]羁绊设计!$F50)</f>
        <v>紫</v>
      </c>
      <c r="S51" s="14">
        <f>IF([3]羁绊解锁统计!C50="",0,[3]羁绊解锁统计!C50-IF($R51=S$9,1,0))</f>
        <v>0</v>
      </c>
      <c r="T51" s="14">
        <f>IF([3]羁绊解锁统计!D50="",0,[3]羁绊解锁统计!D50-IF($R51=T$9,1,0))</f>
        <v>0</v>
      </c>
      <c r="U51" s="14">
        <f>IF([3]羁绊解锁统计!E50="",0,[3]羁绊解锁统计!E50-IF($R51=U$9,1,0))</f>
        <v>1</v>
      </c>
      <c r="V51" s="14">
        <f>IF([3]羁绊解锁统计!F50="",0,[3]羁绊解锁统计!F50-IF($R51=V$9,1,0))</f>
        <v>2</v>
      </c>
      <c r="W51" s="14">
        <f>IF([3]羁绊解锁统计!G50="",0,[3]羁绊解锁统计!G50-IF($R51=W$9,1,0))</f>
        <v>0</v>
      </c>
      <c r="X51" s="29">
        <f t="shared" si="5"/>
        <v>55370.370370370372</v>
      </c>
      <c r="Y51" s="10">
        <f t="shared" si="6"/>
        <v>0.12431584111409054</v>
      </c>
      <c r="AA51" s="14">
        <f t="shared" si="7"/>
        <v>0</v>
      </c>
      <c r="AB51" s="14">
        <f t="shared" si="8"/>
        <v>0</v>
      </c>
      <c r="AC51" s="14">
        <f t="shared" si="9"/>
        <v>6</v>
      </c>
      <c r="AD51" s="14">
        <f t="shared" si="10"/>
        <v>12</v>
      </c>
      <c r="AE51" s="14">
        <f t="shared" si="11"/>
        <v>0</v>
      </c>
      <c r="AF51" s="29">
        <f t="shared" si="12"/>
        <v>332222.22222222225</v>
      </c>
      <c r="AG51" s="10">
        <f t="shared" si="4"/>
        <v>0.43510544389931688</v>
      </c>
      <c r="AH51" s="87">
        <v>5.0000000000000096E-3</v>
      </c>
      <c r="AI51" s="4">
        <v>47</v>
      </c>
      <c r="AJ51" s="98">
        <f t="shared" si="0"/>
        <v>0.21806359455043725</v>
      </c>
      <c r="AK51" s="5">
        <f>'[1]资源-钻石'!$N50*求节点(武将数量星级阶位验证!$CP$41:$CP$72,武将数量星级阶位验证!$CS$41:$CS$72,节奏总纲!R50)</f>
        <v>123678.49781695963</v>
      </c>
      <c r="AL51" s="48"/>
      <c r="AO51" s="5">
        <v>3</v>
      </c>
      <c r="AP51" s="8" t="s">
        <v>478</v>
      </c>
      <c r="AQ51" s="50"/>
      <c r="AR51" s="19" t="s">
        <v>3</v>
      </c>
      <c r="AS51" s="19" t="s">
        <v>1</v>
      </c>
      <c r="AT51" s="19" t="s">
        <v>2</v>
      </c>
      <c r="AU51" s="19" t="s">
        <v>0</v>
      </c>
      <c r="AV51" s="19" t="s">
        <v>545</v>
      </c>
      <c r="AW51" s="8" t="s">
        <v>228</v>
      </c>
      <c r="BA51" s="32" t="s">
        <v>478</v>
      </c>
      <c r="BB51" s="29" t="s">
        <v>368</v>
      </c>
      <c r="BC51" s="29" t="s">
        <v>369</v>
      </c>
    </row>
    <row r="52" spans="9:55" x14ac:dyDescent="0.15">
      <c r="P52" s="14" t="e">
        <f>8-COUNTIF([3]羁绊设计!$AD51:$AK51,"&amp;")</f>
        <v>#VALUE!</v>
      </c>
      <c r="Q52" s="29" t="str">
        <f>[3]羁绊解锁统计!$B51</f>
        <v>莫邪</v>
      </c>
      <c r="R52" s="29" t="str">
        <f>IF([3]羁绊设计!$F51="红","橙+",[3]羁绊设计!$F51)</f>
        <v>紫</v>
      </c>
      <c r="S52" s="14">
        <f>IF([3]羁绊解锁统计!C51="",0,[3]羁绊解锁统计!C51-IF($R52=S$9,1,0))</f>
        <v>0</v>
      </c>
      <c r="T52" s="14">
        <f>IF([3]羁绊解锁统计!D51="",0,[3]羁绊解锁统计!D51-IF($R52=T$9,1,0))</f>
        <v>0</v>
      </c>
      <c r="U52" s="14">
        <f>IF([3]羁绊解锁统计!E51="",0,[3]羁绊解锁统计!E51-IF($R52=U$9,1,0))</f>
        <v>3</v>
      </c>
      <c r="V52" s="14">
        <f>IF([3]羁绊解锁统计!F51="",0,[3]羁绊解锁统计!F51-IF($R52=V$9,1,0))</f>
        <v>2</v>
      </c>
      <c r="W52" s="14">
        <f>IF([3]羁绊解锁统计!G51="",0,[3]羁绊解锁统计!G51-IF($R52=W$9,1,0))</f>
        <v>0</v>
      </c>
      <c r="X52" s="29">
        <f t="shared" si="5"/>
        <v>55370.370370370372</v>
      </c>
      <c r="Y52" s="10">
        <f t="shared" si="6"/>
        <v>0.12431584111409054</v>
      </c>
      <c r="AA52" s="14">
        <f t="shared" si="7"/>
        <v>0</v>
      </c>
      <c r="AB52" s="14">
        <f t="shared" si="8"/>
        <v>0</v>
      </c>
      <c r="AC52" s="14">
        <f t="shared" si="9"/>
        <v>18</v>
      </c>
      <c r="AD52" s="14">
        <f t="shared" si="10"/>
        <v>12</v>
      </c>
      <c r="AE52" s="14">
        <f t="shared" si="11"/>
        <v>0</v>
      </c>
      <c r="AF52" s="29">
        <f t="shared" si="12"/>
        <v>332222.22222222225</v>
      </c>
      <c r="AG52" s="10">
        <f t="shared" si="4"/>
        <v>0.43510544389931688</v>
      </c>
      <c r="AH52" s="87">
        <v>5.0000000000000096E-3</v>
      </c>
      <c r="AI52" s="4">
        <v>48</v>
      </c>
      <c r="AJ52" s="98">
        <f t="shared" si="0"/>
        <v>0.22557721592010216</v>
      </c>
      <c r="AK52" s="5">
        <f>'[1]资源-钻石'!$N51*求节点(武将数量星级阶位验证!$CP$41:$CP$72,武将数量星级阶位验证!$CS$41:$CS$72,节奏总纲!R51)</f>
        <v>129818.34779529263</v>
      </c>
      <c r="AL52" s="48"/>
      <c r="AO52" s="5">
        <v>4</v>
      </c>
      <c r="AP52" s="14">
        <f>基础状态预期!D62</f>
        <v>9.9592453074578113</v>
      </c>
      <c r="AQ52" s="14">
        <f>(求节点(其他调用!$B$4:$B$163,其他调用!$D$4:$D$163,$AP52))*求节点(武将数量星级阶位验证!$CP$41:$CP$72,武将数量星级阶位验证!$CR$41:$CR$72,武将数量星级阶位验证!AS52)</f>
        <v>9949.7615454312108</v>
      </c>
      <c r="AR52" s="14">
        <f>IF(武将升级!Y49="",0,求节点($AK$5:$AK$164,$AJ$5:$AJ$164,AQ$7)*B$5*武将升级!Y49)</f>
        <v>0</v>
      </c>
      <c r="AS52" s="14">
        <f>IF(武将升级!Z49="",0,求节点($AK$5:$AK$164,$AJ$5:$AJ$164,$AQ52)*C$5*武将升级!Z49)</f>
        <v>0</v>
      </c>
      <c r="AT52" s="14">
        <f>IF(武将升级!AA49="",0,求节点($AK$5:$AK$164,$AJ$5:$AJ$164,$AQ52)*D$5*武将升级!AA49)</f>
        <v>51.170575467938001</v>
      </c>
      <c r="AU52" s="14">
        <f>IF(武将升级!AB49="",0,求节点($AK$5:$AK$164,$AJ$5:$AJ$164,$AQ52)*E$5*武将升级!AB49)</f>
        <v>51.170575467938001</v>
      </c>
      <c r="AV52" s="14">
        <f>IF(武将升级!AC49="",0,求节点($AK$5:$AK$164,$AJ$5:$AJ$164,$AQ52)*F$5*武将升级!AC49)</f>
        <v>0</v>
      </c>
      <c r="AW52" s="8">
        <f>SUMPRODUCT(AR52:AV52,基础状态预期!F62:J62)/SUM(基础状态预期!F62:J62)</f>
        <v>51.170575467938001</v>
      </c>
      <c r="BA52" s="29">
        <v>10</v>
      </c>
      <c r="BB52" s="29">
        <f t="shared" ref="BB52:BB53" si="16">求节点($AP$52:$AP$90,$AW$52:$AW$90,BA52)</f>
        <v>51.459960989695844</v>
      </c>
      <c r="BC52" s="55">
        <f>BB52*INDEX([2]小r将兵属性验证!$W$7:$W$166+[2]小r将兵属性验证!$X$7:$X$166,BA52,1)</f>
        <v>855108.22979280353</v>
      </c>
    </row>
    <row r="53" spans="9:55" x14ac:dyDescent="0.15">
      <c r="P53" s="14" t="e">
        <f>8-COUNTIF([3]羁绊设计!$AD52:$AK52,"&amp;")</f>
        <v>#VALUE!</v>
      </c>
      <c r="Q53" s="29" t="str">
        <f>[3]羁绊解锁统计!$B52</f>
        <v>干将</v>
      </c>
      <c r="R53" s="29" t="str">
        <f>IF([3]羁绊设计!$F52="红","橙+",[3]羁绊设计!$F52)</f>
        <v>紫</v>
      </c>
      <c r="S53" s="14">
        <f>IF([3]羁绊解锁统计!C52="",0,[3]羁绊解锁统计!C52-IF($R53=S$9,1,0))</f>
        <v>0</v>
      </c>
      <c r="T53" s="14">
        <f>IF([3]羁绊解锁统计!D52="",0,[3]羁绊解锁统计!D52-IF($R53=T$9,1,0))</f>
        <v>0</v>
      </c>
      <c r="U53" s="14">
        <f>IF([3]羁绊解锁统计!E52="",0,[3]羁绊解锁统计!E52-IF($R53=U$9,1,0))</f>
        <v>0</v>
      </c>
      <c r="V53" s="14">
        <f>IF([3]羁绊解锁统计!F52="",0,[3]羁绊解锁统计!F52-IF($R53=V$9,1,0))</f>
        <v>0</v>
      </c>
      <c r="W53" s="14">
        <f>IF([3]羁绊解锁统计!G52="",0,[3]羁绊解锁统计!G52-IF($R53=W$9,1,0))</f>
        <v>0</v>
      </c>
      <c r="X53" s="29">
        <f t="shared" si="5"/>
        <v>0</v>
      </c>
      <c r="Y53" s="10">
        <f t="shared" si="6"/>
        <v>1.4285714285714287E-2</v>
      </c>
      <c r="AA53" s="14">
        <f t="shared" si="7"/>
        <v>0</v>
      </c>
      <c r="AB53" s="14">
        <f t="shared" si="8"/>
        <v>0</v>
      </c>
      <c r="AC53" s="14">
        <f t="shared" si="9"/>
        <v>0</v>
      </c>
      <c r="AD53" s="14">
        <f t="shared" si="10"/>
        <v>0</v>
      </c>
      <c r="AE53" s="14">
        <f t="shared" si="11"/>
        <v>0</v>
      </c>
      <c r="AF53" s="29">
        <f t="shared" si="12"/>
        <v>0</v>
      </c>
      <c r="AG53" s="10">
        <f t="shared" si="4"/>
        <v>0.05</v>
      </c>
      <c r="AH53" s="87">
        <v>5.0000000000000096E-3</v>
      </c>
      <c r="AI53" s="4">
        <v>49</v>
      </c>
      <c r="AJ53" s="98">
        <f t="shared" si="0"/>
        <v>0.23350852357967503</v>
      </c>
      <c r="AK53" s="5">
        <f>'[1]资源-钻石'!$N52*求节点(武将数量星级阶位验证!$CP$41:$CP$72,武将数量星级阶位验证!$CS$41:$CS$72,节奏总纲!R52)</f>
        <v>136395.64546583904</v>
      </c>
      <c r="AL53" s="48"/>
      <c r="AO53" s="5">
        <v>5</v>
      </c>
      <c r="AP53" s="14">
        <f>基础状态预期!D63</f>
        <v>19.766822802328868</v>
      </c>
      <c r="AQ53" s="14">
        <f>(求节点(其他调用!$B$4:$B$163,其他调用!$D$4:$D$163,$AP53))*求节点(武将数量星级阶位验证!$CP$41:$CP$72,武将数量星级阶位验证!$CR$41:$CR$72,武将数量星级阶位验证!AS53)</f>
        <v>20360.84989482423</v>
      </c>
      <c r="AR53" s="14">
        <f>IF(武将升级!Y50="",0,求节点($AK$5:$AK$164,$AJ$5:$AJ$164,AQ$7)*B$5*武将升级!Y50)</f>
        <v>0</v>
      </c>
      <c r="AS53" s="14">
        <f>IF(武将升级!Z50="",0,求节点($AK$5:$AK$164,$AJ$5:$AJ$164,$AQ53)*C$5*武将升级!Z50)</f>
        <v>0</v>
      </c>
      <c r="AT53" s="14">
        <f>IF(武将升级!AA50="",0,求节点($AK$5:$AK$164,$AJ$5:$AJ$164,$AQ53)*D$5*武将升级!AA50)</f>
        <v>0</v>
      </c>
      <c r="AU53" s="14">
        <f>IF(武将升级!AB50="",0,求节点($AK$5:$AK$164,$AJ$5:$AJ$164,$AQ53)*E$5*武将升级!AB50)</f>
        <v>120.8109224683656</v>
      </c>
      <c r="AV53" s="14">
        <f>IF(武将升级!AC50="",0,求节点($AK$5:$AK$164,$AJ$5:$AJ$164,$AQ53)*F$5*武将升级!AC50)</f>
        <v>0</v>
      </c>
      <c r="AW53" s="8">
        <f>SUMPRODUCT(AR53:AV53,基础状态预期!F63:J63)/SUM(基础状态预期!F63:J63)</f>
        <v>120.8109224683656</v>
      </c>
      <c r="BA53" s="29">
        <v>20</v>
      </c>
      <c r="BB53" s="29">
        <f t="shared" si="16"/>
        <v>123.52871537448731</v>
      </c>
      <c r="BC53" s="56">
        <f>(BB53-BB52)*INDEX([2]小r将兵属性验证!$W$7:$W$166+[2]小r将兵属性验证!$X$7:$X$166,BA53,1)+BC52</f>
        <v>4381646.8246460436</v>
      </c>
    </row>
    <row r="54" spans="9:55" x14ac:dyDescent="0.15">
      <c r="P54" s="14" t="e">
        <f>8-COUNTIF([3]羁绊设计!$AD53:$AK53,"&amp;")</f>
        <v>#VALUE!</v>
      </c>
      <c r="Q54" s="29" t="str">
        <f>[3]羁绊解锁统计!$B53</f>
        <v>孙叔敖</v>
      </c>
      <c r="R54" s="29" t="str">
        <f>IF([3]羁绊设计!$F53="红","橙+",[3]羁绊设计!$F53)</f>
        <v>紫</v>
      </c>
      <c r="S54" s="14">
        <f>IF([3]羁绊解锁统计!C53="",0,[3]羁绊解锁统计!C53-IF($R54=S$9,1,0))</f>
        <v>0</v>
      </c>
      <c r="T54" s="14">
        <f>IF([3]羁绊解锁统计!D53="",0,[3]羁绊解锁统计!D53-IF($R54=T$9,1,0))</f>
        <v>0</v>
      </c>
      <c r="U54" s="14">
        <f>IF([3]羁绊解锁统计!E53="",0,[3]羁绊解锁统计!E53-IF($R54=U$9,1,0))</f>
        <v>1</v>
      </c>
      <c r="V54" s="14">
        <f>IF([3]羁绊解锁统计!F53="",0,[3]羁绊解锁统计!F53-IF($R54=V$9,1,0))</f>
        <v>2</v>
      </c>
      <c r="W54" s="14">
        <f>IF([3]羁绊解锁统计!G53="",0,[3]羁绊解锁统计!G53-IF($R54=W$9,1,0))</f>
        <v>0</v>
      </c>
      <c r="X54" s="29">
        <f t="shared" si="5"/>
        <v>55370.370370370372</v>
      </c>
      <c r="Y54" s="10">
        <f t="shared" si="6"/>
        <v>0.12431584111409054</v>
      </c>
      <c r="AA54" s="14">
        <f t="shared" si="7"/>
        <v>0</v>
      </c>
      <c r="AB54" s="14">
        <f t="shared" si="8"/>
        <v>0</v>
      </c>
      <c r="AC54" s="14">
        <f t="shared" si="9"/>
        <v>6</v>
      </c>
      <c r="AD54" s="14">
        <f t="shared" si="10"/>
        <v>12</v>
      </c>
      <c r="AE54" s="14">
        <f t="shared" si="11"/>
        <v>0</v>
      </c>
      <c r="AF54" s="29">
        <f t="shared" si="12"/>
        <v>332222.22222222225</v>
      </c>
      <c r="AG54" s="10">
        <f t="shared" si="4"/>
        <v>0.43510544389931688</v>
      </c>
      <c r="AH54" s="87">
        <v>5.0000000000000096E-3</v>
      </c>
      <c r="AI54" s="4">
        <v>50</v>
      </c>
      <c r="AJ54" s="98">
        <f t="shared" si="0"/>
        <v>0.2416976501406326</v>
      </c>
      <c r="AK54" s="5">
        <f>'[1]资源-钻石'!$N53*求节点(武将数量星级阶位验证!$CP$41:$CP$72,武将数量星级阶位验证!$CS$41:$CS$72,节奏总纲!R53)</f>
        <v>143288.33880988747</v>
      </c>
      <c r="AL54" s="48"/>
      <c r="AO54" s="5">
        <v>6</v>
      </c>
      <c r="AP54" s="14">
        <f>基础状态预期!D64</f>
        <v>27.773265580596355</v>
      </c>
      <c r="AQ54" s="14">
        <f>(求节点(其他调用!$B$4:$B$163,其他调用!$D$4:$D$163,$AP54))*求节点(武将数量星级阶位验证!$CP$41:$CP$72,武将数量星级阶位验证!$CR$41:$CR$72,武将数量星级阶位验证!AS54)</f>
        <v>33719.4332656228</v>
      </c>
      <c r="AR54" s="14">
        <f>IF(武将升级!Y51="",0,求节点($AK$5:$AK$164,$AJ$5:$AJ$164,AQ$7)*B$5*武将升级!Y51)</f>
        <v>0</v>
      </c>
      <c r="AS54" s="14">
        <f>IF(武将升级!Z51="",0,求节点($AK$5:$AK$164,$AJ$5:$AJ$164,$AQ54)*C$5*武将升级!Z51)</f>
        <v>0</v>
      </c>
      <c r="AT54" s="14">
        <f>IF(武将升级!AA51="",0,求节点($AK$5:$AK$164,$AJ$5:$AJ$164,$AQ54)*D$5*武将升级!AA51)</f>
        <v>0</v>
      </c>
      <c r="AU54" s="14">
        <f>IF(武将升级!AB51="",0,求节点($AK$5:$AK$164,$AJ$5:$AJ$164,$AQ54)*E$5*武将升级!AB51)</f>
        <v>214.12988162634585</v>
      </c>
      <c r="AV54" s="14">
        <f>IF(武将升级!AC51="",0,求节点($AK$5:$AK$164,$AJ$5:$AJ$164,$AQ54)*F$5*武将升级!AC51)</f>
        <v>0</v>
      </c>
      <c r="AW54" s="8">
        <f>SUMPRODUCT(AR54:AV54,基础状态预期!F64:J64)/SUM(基础状态预期!F64:J64)</f>
        <v>214.12988162634585</v>
      </c>
      <c r="BA54" s="29">
        <v>30</v>
      </c>
      <c r="BB54" s="29">
        <f t="shared" ref="BB54:BB67" si="17">求节点($AP$52:$AP$90,$AW$52:$AW$90,BA54)</f>
        <v>249.58598029696151</v>
      </c>
      <c r="BC54" s="56">
        <f>(BB54-BB53)*INDEX([2]小r将兵属性验证!$W$7:$W$166+[2]小r将兵属性验证!$X$7:$X$166,BA54,1)+BC53</f>
        <v>17290459.121546332</v>
      </c>
    </row>
    <row r="55" spans="9:55" x14ac:dyDescent="0.15">
      <c r="P55" s="14" t="e">
        <f>8-COUNTIF([3]羁绊设计!$AD54:$AK54,"&amp;")</f>
        <v>#VALUE!</v>
      </c>
      <c r="Q55" s="29" t="str">
        <f>[3]羁绊解锁统计!$B54</f>
        <v>平原君</v>
      </c>
      <c r="R55" s="29" t="str">
        <f>IF([3]羁绊设计!$F54="红","橙+",[3]羁绊设计!$F54)</f>
        <v>紫</v>
      </c>
      <c r="S55" s="14">
        <f>IF([3]羁绊解锁统计!C54="",0,[3]羁绊解锁统计!C54-IF($R55=S$9,1,0))</f>
        <v>0</v>
      </c>
      <c r="T55" s="14">
        <f>IF([3]羁绊解锁统计!D54="",0,[3]羁绊解锁统计!D54-IF($R55=T$9,1,0))</f>
        <v>0</v>
      </c>
      <c r="U55" s="14">
        <f>IF([3]羁绊解锁统计!E54="",0,[3]羁绊解锁统计!E54-IF($R55=U$9,1,0))</f>
        <v>0</v>
      </c>
      <c r="V55" s="14">
        <f>IF([3]羁绊解锁统计!F54="",0,[3]羁绊解锁统计!F54-IF($R55=V$9,1,0))</f>
        <v>0</v>
      </c>
      <c r="W55" s="14">
        <f>IF([3]羁绊解锁统计!G54="",0,[3]羁绊解锁统计!G54-IF($R55=W$9,1,0))</f>
        <v>0</v>
      </c>
      <c r="X55" s="29">
        <f t="shared" si="5"/>
        <v>0</v>
      </c>
      <c r="Y55" s="10">
        <f t="shared" si="6"/>
        <v>1.4285714285714287E-2</v>
      </c>
      <c r="AA55" s="14">
        <f t="shared" si="7"/>
        <v>0</v>
      </c>
      <c r="AB55" s="14">
        <f t="shared" si="8"/>
        <v>0</v>
      </c>
      <c r="AC55" s="14">
        <f t="shared" si="9"/>
        <v>0</v>
      </c>
      <c r="AD55" s="14">
        <f t="shared" si="10"/>
        <v>0</v>
      </c>
      <c r="AE55" s="14">
        <f t="shared" si="11"/>
        <v>0</v>
      </c>
      <c r="AF55" s="29">
        <f t="shared" si="12"/>
        <v>0</v>
      </c>
      <c r="AG55" s="10">
        <f t="shared" si="4"/>
        <v>0.05</v>
      </c>
      <c r="AH55" s="87">
        <v>5.0000000000000096E-3</v>
      </c>
      <c r="AI55" s="4">
        <v>51</v>
      </c>
      <c r="AJ55" s="98">
        <f t="shared" si="0"/>
        <v>0.25008586335338406</v>
      </c>
      <c r="AK55" s="5">
        <f>'[1]资源-钻石'!$N54*求节点(武将数量星级阶位验证!$CP$41:$CP$72,武将数量星级阶位验证!$CS$41:$CS$72,节奏总纲!R54)</f>
        <v>150453.53558272214</v>
      </c>
      <c r="AL55" s="48"/>
      <c r="AO55" s="5">
        <v>7</v>
      </c>
      <c r="AP55" s="14">
        <f>基础状态预期!D65</f>
        <v>34.250806171891597</v>
      </c>
      <c r="AQ55" s="14">
        <f>(求节点(其他调用!$B$4:$B$163,其他调用!$D$4:$D$163,$AP55))*求节点(武将数量星级阶位验证!$CP$41:$CP$72,武将数量星级阶位验证!$CR$41:$CR$72,武将数量星级阶位验证!AS55)</f>
        <v>47884.089862921937</v>
      </c>
      <c r="AR55" s="14">
        <f>IF(武将升级!Y52="",0,求节点($AK$5:$AK$164,$AJ$5:$AJ$164,AQ$7)*B$5*武将升级!Y52)</f>
        <v>0</v>
      </c>
      <c r="AS55" s="14">
        <f>IF(武将升级!Z52="",0,求节点($AK$5:$AK$164,$AJ$5:$AJ$164,$AQ55)*C$5*武将升级!Z52)</f>
        <v>0</v>
      </c>
      <c r="AT55" s="14">
        <f>IF(武将升级!AA52="",0,求节点($AK$5:$AK$164,$AJ$5:$AJ$164,$AQ55)*D$5*武将升级!AA52)</f>
        <v>0</v>
      </c>
      <c r="AU55" s="14">
        <f>IF(武将升级!AB52="",0,求节点($AK$5:$AK$164,$AJ$5:$AJ$164,$AQ55)*E$5*武将升级!AB52)</f>
        <v>317.2711976030356</v>
      </c>
      <c r="AV55" s="14">
        <f>IF(武将升级!AC52="",0,求节点($AK$5:$AK$164,$AJ$5:$AJ$164,$AQ55)*F$5*武将升级!AC52)</f>
        <v>0</v>
      </c>
      <c r="AW55" s="8">
        <f>SUMPRODUCT(AR55:AV55,基础状态预期!F65:J65)/SUM(基础状态预期!F65:J65)</f>
        <v>317.2711976030356</v>
      </c>
      <c r="BA55" s="29">
        <v>40</v>
      </c>
      <c r="BB55" s="29">
        <f t="shared" si="17"/>
        <v>427.82265966912388</v>
      </c>
      <c r="BC55" s="56">
        <f>(BB55-BB54)*INDEX([2]小r将兵属性验证!$W$7:$W$166+[2]小r将兵属性验证!$X$7:$X$166,BA55,1)+BC54</f>
        <v>63799422.357750744</v>
      </c>
    </row>
    <row r="56" spans="9:55" x14ac:dyDescent="0.15">
      <c r="P56" s="14" t="e">
        <f>8-COUNTIF([3]羁绊设计!$AD55:$AK55,"&amp;")</f>
        <v>#VALUE!</v>
      </c>
      <c r="Q56" s="29" t="str">
        <f>[3]羁绊解锁统计!$B55</f>
        <v>蔺相如</v>
      </c>
      <c r="R56" s="29" t="str">
        <f>IF([3]羁绊设计!$F55="红","橙+",[3]羁绊设计!$F55)</f>
        <v>橙+</v>
      </c>
      <c r="S56" s="14">
        <f>IF([3]羁绊解锁统计!C55="",0,[3]羁绊解锁统计!C55-IF($R56=S$9,1,0))</f>
        <v>0</v>
      </c>
      <c r="T56" s="14">
        <f>IF([3]羁绊解锁统计!D55="",0,[3]羁绊解锁统计!D55-IF($R56=T$9,1,0))</f>
        <v>0</v>
      </c>
      <c r="U56" s="14">
        <f>IF([3]羁绊解锁统计!E55="",0,[3]羁绊解锁统计!E55-IF($R56=U$9,1,0))</f>
        <v>0</v>
      </c>
      <c r="V56" s="14">
        <f>IF([3]羁绊解锁统计!F55="",0,[3]羁绊解锁统计!F55-IF($R56=V$9,1,0))</f>
        <v>10</v>
      </c>
      <c r="W56" s="14">
        <f>IF([3]羁绊解锁统计!G55="",0,[3]羁绊解锁统计!G55-IF($R56=W$9,1,0))</f>
        <v>0</v>
      </c>
      <c r="X56" s="29">
        <f t="shared" si="5"/>
        <v>89444.444444444453</v>
      </c>
      <c r="Y56" s="10">
        <f t="shared" si="6"/>
        <v>0.17384054253539014</v>
      </c>
      <c r="AA56" s="14">
        <f t="shared" si="7"/>
        <v>0</v>
      </c>
      <c r="AB56" s="14">
        <f t="shared" si="8"/>
        <v>0</v>
      </c>
      <c r="AC56" s="14">
        <f t="shared" si="9"/>
        <v>0</v>
      </c>
      <c r="AD56" s="14">
        <f t="shared" si="10"/>
        <v>60</v>
      </c>
      <c r="AE56" s="14">
        <f t="shared" si="11"/>
        <v>0</v>
      </c>
      <c r="AF56" s="29">
        <f t="shared" si="12"/>
        <v>536666.66666666674</v>
      </c>
      <c r="AG56" s="10">
        <f t="shared" si="4"/>
        <v>0.60844189887386546</v>
      </c>
      <c r="AH56" s="87">
        <v>5.0000000000000096E-3</v>
      </c>
      <c r="AI56" s="4">
        <v>52</v>
      </c>
      <c r="AJ56" s="98">
        <f t="shared" si="0"/>
        <v>0.25939280337410142</v>
      </c>
      <c r="AK56" s="5">
        <f>'[1]资源-钻石'!$N55*求节点(武将数量星级阶位验证!$CP$41:$CP$72,武将数量星级阶位验证!$CS$41:$CS$72,节奏总纲!R55)</f>
        <v>158525.32778089243</v>
      </c>
      <c r="AL56" s="48"/>
      <c r="AO56" s="5">
        <v>8</v>
      </c>
      <c r="AP56" s="14">
        <f>基础状态预期!D66</f>
        <v>39.661158518499626</v>
      </c>
      <c r="AQ56" s="14">
        <f>(求节点(其他调用!$B$4:$B$163,其他调用!$D$4:$D$163,$AP56))*求节点(武将数量星级阶位验证!$CP$41:$CP$72,武将数量星级阶位验证!$CR$41:$CR$72,武将数量星级阶位验证!AS56)</f>
        <v>61123.61155311051</v>
      </c>
      <c r="AR56" s="14">
        <f>IF(武将升级!Y53="",0,求节点($AK$5:$AK$164,$AJ$5:$AJ$164,AQ$7)*B$5*武将升级!Y53)</f>
        <v>0</v>
      </c>
      <c r="AS56" s="14">
        <f>IF(武将升级!Z53="",0,求节点($AK$5:$AK$164,$AJ$5:$AJ$164,$AQ56)*C$5*武将升级!Z53)</f>
        <v>0</v>
      </c>
      <c r="AT56" s="14">
        <f>IF(武将升级!AA53="",0,求节点($AK$5:$AK$164,$AJ$5:$AJ$164,$AQ56)*D$5*武将升级!AA53)</f>
        <v>0</v>
      </c>
      <c r="AU56" s="14">
        <f>IF(武将升级!AB53="",0,求节点($AK$5:$AK$164,$AJ$5:$AJ$164,$AQ56)*E$5*武将升级!AB53)</f>
        <v>419.5702948520497</v>
      </c>
      <c r="AV56" s="14">
        <f>IF(武将升级!AC53="",0,求节点($AK$5:$AK$164,$AJ$5:$AJ$164,$AQ56)*F$5*武将升级!AC53)</f>
        <v>0</v>
      </c>
      <c r="AW56" s="8">
        <f>SUMPRODUCT(AR56:AV56,基础状态预期!F66:J66)/SUM(基础状态预期!F66:J66)</f>
        <v>419.5702948520497</v>
      </c>
      <c r="BA56" s="29">
        <v>50</v>
      </c>
      <c r="BB56" s="29">
        <f t="shared" si="17"/>
        <v>720.9220376451791</v>
      </c>
      <c r="BC56" s="56">
        <f>(BB56-BB55)*INDEX([2]小r将兵属性验证!$W$7:$W$166+[2]小r将兵属性验证!$X$7:$X$166,BA56,1)+BC55</f>
        <v>191255951.57456082</v>
      </c>
    </row>
    <row r="57" spans="9:55" x14ac:dyDescent="0.15">
      <c r="P57" s="14" t="e">
        <f>8-COUNTIF([3]羁绊设计!$AD56:$AK56,"&amp;")</f>
        <v>#VALUE!</v>
      </c>
      <c r="Q57" s="29" t="str">
        <f>[3]羁绊解锁统计!$B56</f>
        <v>赵奢</v>
      </c>
      <c r="R57" s="29" t="str">
        <f>IF([3]羁绊设计!$F56="红","橙+",[3]羁绊设计!$F56)</f>
        <v>橙</v>
      </c>
      <c r="S57" s="14">
        <f>IF([3]羁绊解锁统计!C56="",0,[3]羁绊解锁统计!C56-IF($R57=S$9,1,0))</f>
        <v>0</v>
      </c>
      <c r="T57" s="14">
        <f>IF([3]羁绊解锁统计!D56="",0,[3]羁绊解锁统计!D56-IF($R57=T$9,1,0))</f>
        <v>0</v>
      </c>
      <c r="U57" s="14">
        <f>IF([3]羁绊解锁统计!E56="",0,[3]羁绊解锁统计!E56-IF($R57=U$9,1,0))</f>
        <v>0</v>
      </c>
      <c r="V57" s="14">
        <f>IF([3]羁绊解锁统计!F56="",0,[3]羁绊解锁统计!F56-IF($R57=V$9,1,0))</f>
        <v>4</v>
      </c>
      <c r="W57" s="14">
        <f>IF([3]羁绊解锁统计!G56="",0,[3]羁绊解锁统计!G56-IF($R57=W$9,1,0))</f>
        <v>0</v>
      </c>
      <c r="X57" s="29">
        <f t="shared" si="5"/>
        <v>63888.888888888898</v>
      </c>
      <c r="Y57" s="10">
        <f t="shared" si="6"/>
        <v>0.13740340360056111</v>
      </c>
      <c r="AA57" s="14">
        <f t="shared" si="7"/>
        <v>0</v>
      </c>
      <c r="AB57" s="14">
        <f t="shared" si="8"/>
        <v>0</v>
      </c>
      <c r="AC57" s="14">
        <f t="shared" si="9"/>
        <v>0</v>
      </c>
      <c r="AD57" s="14">
        <f t="shared" si="10"/>
        <v>24</v>
      </c>
      <c r="AE57" s="14">
        <f t="shared" si="11"/>
        <v>0</v>
      </c>
      <c r="AF57" s="29">
        <f t="shared" si="12"/>
        <v>383333.33333333337</v>
      </c>
      <c r="AG57" s="10">
        <f t="shared" si="4"/>
        <v>0.48091191260196386</v>
      </c>
      <c r="AH57" s="87">
        <v>5.0000000000000096E-3</v>
      </c>
      <c r="AI57" s="4">
        <v>53</v>
      </c>
      <c r="AJ57" s="98">
        <f t="shared" si="0"/>
        <v>0.26923658365949388</v>
      </c>
      <c r="AK57" s="5">
        <f>'[1]资源-钻石'!$N56*求节点(武将数量星级阶位验证!$CP$41:$CP$72,武将数量星级阶位验证!$CS$41:$CS$72,节奏总纲!R56)</f>
        <v>167199.3306521826</v>
      </c>
      <c r="AL57" s="48"/>
      <c r="AO57" s="5">
        <v>9</v>
      </c>
      <c r="AP57" s="14">
        <f>基础状态预期!D67</f>
        <v>43.535389560453282</v>
      </c>
      <c r="AQ57" s="14">
        <f>(求节点(其他调用!$B$4:$B$163,其他调用!$D$4:$D$163,$AP57))*求节点(武将数量星级阶位验证!$CP$41:$CP$72,武将数量星级阶位验证!$CR$41:$CR$72,武将数量星级阶位验证!AS57)</f>
        <v>73782.564311210692</v>
      </c>
      <c r="AR57" s="14">
        <f>IF(武将升级!Y54="",0,求节点($AK$5:$AK$164,$AJ$5:$AJ$164,AQ$7)*B$5*武将升级!Y54)</f>
        <v>0</v>
      </c>
      <c r="AS57" s="14">
        <f>IF(武将升级!Z54="",0,求节点($AK$5:$AK$164,$AJ$5:$AJ$164,$AQ57)*C$5*武将升级!Z54)</f>
        <v>0</v>
      </c>
      <c r="AT57" s="14">
        <f>IF(武将升级!AA54="",0,求节点($AK$5:$AK$164,$AJ$5:$AJ$164,$AQ57)*D$5*武将升级!AA54)</f>
        <v>0</v>
      </c>
      <c r="AU57" s="14">
        <f>IF(武将升级!AB54="",0,求节点($AK$5:$AK$164,$AJ$5:$AJ$164,$AQ57)*E$5*武将升级!AB54)</f>
        <v>513.92582594660871</v>
      </c>
      <c r="AV57" s="14">
        <f>IF(武将升级!AC54="",0,求节点($AK$5:$AK$164,$AJ$5:$AJ$164,$AQ57)*F$5*武将升级!AC54)</f>
        <v>0</v>
      </c>
      <c r="AW57" s="8">
        <f>SUMPRODUCT(AR57:AV57,基础状态预期!F67:J67)/SUM(基础状态预期!F67:J67)</f>
        <v>513.92582594660871</v>
      </c>
      <c r="BA57" s="29">
        <v>60</v>
      </c>
      <c r="BB57" s="29">
        <f t="shared" si="17"/>
        <v>1230.5709728609127</v>
      </c>
      <c r="BC57" s="56">
        <f>(BB57-BB56)*INDEX([2]小r将兵属性验证!$W$7:$W$166+[2]小r将兵属性验证!$X$7:$X$166,BA57,1)+BC56</f>
        <v>642769620.92222619</v>
      </c>
    </row>
    <row r="58" spans="9:55" x14ac:dyDescent="0.15">
      <c r="P58" s="14" t="e">
        <f>8-COUNTIF([3]羁绊设计!$AD57:$AK57,"&amp;")</f>
        <v>#VALUE!</v>
      </c>
      <c r="Q58" s="29" t="str">
        <f>[3]羁绊解锁统计!$B57</f>
        <v>庞涓</v>
      </c>
      <c r="R58" s="29" t="str">
        <f>IF([3]羁绊设计!$F57="红","橙+",[3]羁绊设计!$F57)</f>
        <v>紫</v>
      </c>
      <c r="S58" s="14">
        <f>IF([3]羁绊解锁统计!C57="",0,[3]羁绊解锁统计!C57-IF($R58=S$9,1,0))</f>
        <v>0</v>
      </c>
      <c r="T58" s="14">
        <f>IF([3]羁绊解锁统计!D57="",0,[3]羁绊解锁统计!D57-IF($R58=T$9,1,0))</f>
        <v>0</v>
      </c>
      <c r="U58" s="14">
        <f>IF([3]羁绊解锁统计!E57="",0,[3]羁绊解锁统计!E57-IF($R58=U$9,1,0))</f>
        <v>1</v>
      </c>
      <c r="V58" s="14">
        <f>IF([3]羁绊解锁统计!F57="",0,[3]羁绊解锁统计!F57-IF($R58=V$9,1,0))</f>
        <v>2</v>
      </c>
      <c r="W58" s="14">
        <f>IF([3]羁绊解锁统计!G57="",0,[3]羁绊解锁统计!G57-IF($R58=W$9,1,0))</f>
        <v>0</v>
      </c>
      <c r="X58" s="29">
        <f t="shared" si="5"/>
        <v>55370.370370370372</v>
      </c>
      <c r="Y58" s="10">
        <f t="shared" si="6"/>
        <v>0.12431584111409054</v>
      </c>
      <c r="AA58" s="14">
        <f t="shared" si="7"/>
        <v>0</v>
      </c>
      <c r="AB58" s="14">
        <f t="shared" si="8"/>
        <v>0</v>
      </c>
      <c r="AC58" s="14">
        <f t="shared" si="9"/>
        <v>6</v>
      </c>
      <c r="AD58" s="14">
        <f t="shared" si="10"/>
        <v>12</v>
      </c>
      <c r="AE58" s="14">
        <f t="shared" si="11"/>
        <v>0</v>
      </c>
      <c r="AF58" s="29">
        <f t="shared" si="12"/>
        <v>332222.22222222225</v>
      </c>
      <c r="AG58" s="10">
        <f t="shared" si="4"/>
        <v>0.43510544389931688</v>
      </c>
      <c r="AH58" s="87">
        <v>5.0000000000000096E-3</v>
      </c>
      <c r="AI58" s="4">
        <v>54</v>
      </c>
      <c r="AJ58" s="98">
        <f t="shared" si="0"/>
        <v>0.27921515843826483</v>
      </c>
      <c r="AK58" s="5">
        <f>'[1]资源-钻石'!$N57*求节点(武将数量星级阶位验证!$CP$41:$CP$72,武将数量星级阶位验证!$CS$41:$CS$72,节奏总纲!R57)</f>
        <v>176132.48508603027</v>
      </c>
      <c r="AL58" s="48"/>
      <c r="AO58" s="5">
        <v>10</v>
      </c>
      <c r="AP58" s="14">
        <f>基础状态预期!D68</f>
        <v>49.178590903134719</v>
      </c>
      <c r="AQ58" s="14">
        <f>(求节点(其他调用!$B$4:$B$163,其他调用!$D$4:$D$163,$AP58))*求节点(武将数量星级阶位验证!$CP$41:$CP$72,武将数量星级阶位验证!$CR$41:$CR$72,武将数量星级阶位验证!AS58)</f>
        <v>97606.499278601448</v>
      </c>
      <c r="AR58" s="14">
        <f>IF(武将升级!Y55="",0,求节点($AK$5:$AK$164,$AJ$5:$AJ$164,AQ$7)*B$5*武将升级!Y55)</f>
        <v>0</v>
      </c>
      <c r="AS58" s="14">
        <f>IF(武将升级!Z55="",0,求节点($AK$5:$AK$164,$AJ$5:$AJ$164,$AQ58)*C$5*武将升级!Z55)</f>
        <v>0</v>
      </c>
      <c r="AT58" s="14">
        <f>IF(武将升级!AA55="",0,求节点($AK$5:$AK$164,$AJ$5:$AJ$164,$AQ58)*D$5*武将升级!AA55)</f>
        <v>0</v>
      </c>
      <c r="AU58" s="14">
        <f>IF(武将升级!AB55="",0,求节点($AK$5:$AK$164,$AJ$5:$AJ$164,$AQ58)*E$5*武将升级!AB55)</f>
        <v>687.56165158072383</v>
      </c>
      <c r="AV58" s="14">
        <f>IF(武将升级!AC55="",0,求节点($AK$5:$AK$164,$AJ$5:$AJ$164,$AQ58)*F$5*武将升级!AC55)</f>
        <v>0</v>
      </c>
      <c r="AW58" s="8">
        <f>SUMPRODUCT(AR58:AV58,基础状态预期!F68:J68)/SUM(基础状态预期!F68:J68)</f>
        <v>687.56165158072383</v>
      </c>
      <c r="BA58" s="29">
        <v>70</v>
      </c>
      <c r="BB58" s="29">
        <f t="shared" si="17"/>
        <v>2022.1544892119737</v>
      </c>
      <c r="BC58" s="56">
        <f>(BB58-BB57)*INDEX([2]小r将兵属性验证!$W$7:$W$166+[2]小r将兵属性验证!$X$7:$X$166,BA58,1)+BC57</f>
        <v>2257146930.9005675</v>
      </c>
    </row>
    <row r="59" spans="9:55" x14ac:dyDescent="0.15">
      <c r="P59" s="14" t="e">
        <f>8-COUNTIF([3]羁绊设计!$AD58:$AK58,"&amp;")</f>
        <v>#VALUE!</v>
      </c>
      <c r="Q59" s="29" t="str">
        <f>[3]羁绊解锁统计!$B58</f>
        <v>朱亥</v>
      </c>
      <c r="R59" s="29" t="str">
        <f>IF([3]羁绊设计!$F58="红","橙+",[3]羁绊设计!$F58)</f>
        <v>蓝</v>
      </c>
      <c r="S59" s="14">
        <f>IF([3]羁绊解锁统计!C58="",0,[3]羁绊解锁统计!C58-IF($R59=S$9,1,0))</f>
        <v>0</v>
      </c>
      <c r="T59" s="14">
        <f>IF([3]羁绊解锁统计!D58="",0,[3]羁绊解锁统计!D58-IF($R59=T$9,1,0))</f>
        <v>0</v>
      </c>
      <c r="U59" s="14">
        <f>IF([3]羁绊解锁统计!E58="",0,[3]羁绊解锁统计!E58-IF($R59=U$9,1,0))</f>
        <v>1</v>
      </c>
      <c r="V59" s="14">
        <f>IF([3]羁绊解锁统计!F58="",0,[3]羁绊解锁统计!F58-IF($R59=V$9,1,0))</f>
        <v>2</v>
      </c>
      <c r="W59" s="14">
        <f>IF([3]羁绊解锁统计!G58="",0,[3]羁绊解锁统计!G58-IF($R59=W$9,1,0))</f>
        <v>0</v>
      </c>
      <c r="X59" s="29">
        <f t="shared" si="5"/>
        <v>55370.370370370372</v>
      </c>
      <c r="Y59" s="10">
        <f t="shared" si="6"/>
        <v>0.12431584111409054</v>
      </c>
      <c r="AA59" s="14">
        <f t="shared" si="7"/>
        <v>0</v>
      </c>
      <c r="AB59" s="14">
        <f t="shared" si="8"/>
        <v>0</v>
      </c>
      <c r="AC59" s="14">
        <f t="shared" si="9"/>
        <v>6</v>
      </c>
      <c r="AD59" s="14">
        <f t="shared" si="10"/>
        <v>12</v>
      </c>
      <c r="AE59" s="14">
        <f t="shared" si="11"/>
        <v>0</v>
      </c>
      <c r="AF59" s="29">
        <f t="shared" si="12"/>
        <v>332222.22222222225</v>
      </c>
      <c r="AG59" s="10">
        <f t="shared" si="4"/>
        <v>0.43510544389931688</v>
      </c>
      <c r="AH59" s="87">
        <v>5.0000000000000096E-3</v>
      </c>
      <c r="AI59" s="4">
        <v>55</v>
      </c>
      <c r="AJ59" s="98">
        <f t="shared" si="0"/>
        <v>0.28990078434706068</v>
      </c>
      <c r="AK59" s="5">
        <f>'[1]资源-钻石'!$N58*求节点(武将数量星级阶位验证!$CP$41:$CP$72,武将数量星级阶位验证!$CS$41:$CS$72,节奏总纲!R58)</f>
        <v>185852.04647381121</v>
      </c>
      <c r="AL59" s="48"/>
      <c r="AO59" s="5">
        <v>11</v>
      </c>
      <c r="AP59" s="14">
        <f>基础状态预期!D69</f>
        <v>53.226994578658328</v>
      </c>
      <c r="AQ59" s="14">
        <f>(求节点(其他调用!$B$4:$B$163,其他调用!$D$4:$D$163,$AP59))*求节点(武将数量星级阶位验证!$CP$41:$CP$72,武将数量星级阶位验证!$CR$41:$CR$72,武将数量星级阶位验证!AS59)</f>
        <v>121170.99235004446</v>
      </c>
      <c r="AR59" s="14">
        <f>IF(武将升级!Y56="",0,求节点($AK$5:$AK$164,$AJ$5:$AJ$164,AQ$7)*B$5*武将升级!Y56)</f>
        <v>0</v>
      </c>
      <c r="AS59" s="14">
        <f>IF(武将升级!Z56="",0,求节点($AK$5:$AK$164,$AJ$5:$AJ$164,$AQ59)*C$5*武将升级!Z56)</f>
        <v>0</v>
      </c>
      <c r="AT59" s="14">
        <f>IF(武将升级!AA56="",0,求节点($AK$5:$AK$164,$AJ$5:$AJ$164,$AQ59)*D$5*武将升级!AA56)</f>
        <v>0</v>
      </c>
      <c r="AU59" s="14">
        <f>IF(武将升级!AB56="",0,求节点($AK$5:$AK$164,$AJ$5:$AJ$164,$AQ59)*E$5*武将升级!AB56)</f>
        <v>851.98192653949752</v>
      </c>
      <c r="AV59" s="14">
        <f>IF(武将升级!AC56="",0,求节点($AK$5:$AK$164,$AJ$5:$AJ$164,$AQ59)*F$5*武将升级!AC56)</f>
        <v>851.98192653949752</v>
      </c>
      <c r="AW59" s="8">
        <f>SUMPRODUCT(AR59:AV59,基础状态预期!F69:J69)/SUM(基础状态预期!F69:J69)</f>
        <v>851.98192653949752</v>
      </c>
      <c r="BA59" s="29">
        <v>80</v>
      </c>
      <c r="BB59" s="29">
        <f t="shared" si="17"/>
        <v>3134.3746867322029</v>
      </c>
      <c r="BC59" s="56">
        <f>(BB59-BB58)*INDEX([2]小r将兵属性验证!$W$7:$W$166+[2]小r将兵属性验证!$X$7:$X$166,BA59,1)+BC58</f>
        <v>6733397544.4495678</v>
      </c>
    </row>
    <row r="60" spans="9:55" x14ac:dyDescent="0.15">
      <c r="P60" s="14" t="e">
        <f>8-COUNTIF([3]羁绊设计!$AD59:$AK59,"&amp;")</f>
        <v>#VALUE!</v>
      </c>
      <c r="Q60" s="29" t="str">
        <f>[3]羁绊解锁统计!$B59</f>
        <v>西门豹</v>
      </c>
      <c r="R60" s="29" t="str">
        <f>IF([3]羁绊设计!$F59="红","橙+",[3]羁绊设计!$F59)</f>
        <v>紫</v>
      </c>
      <c r="S60" s="14">
        <f>IF([3]羁绊解锁统计!C59="",0,[3]羁绊解锁统计!C59-IF($R60=S$9,1,0))</f>
        <v>0</v>
      </c>
      <c r="T60" s="14">
        <f>IF([3]羁绊解锁统计!D59="",0,[3]羁绊解锁统计!D59-IF($R60=T$9,1,0))</f>
        <v>0</v>
      </c>
      <c r="U60" s="14">
        <f>IF([3]羁绊解锁统计!E59="",0,[3]羁绊解锁统计!E59-IF($R60=U$9,1,0))</f>
        <v>1</v>
      </c>
      <c r="V60" s="14">
        <f>IF([3]羁绊解锁统计!F59="",0,[3]羁绊解锁统计!F59-IF($R60=V$9,1,0))</f>
        <v>2</v>
      </c>
      <c r="W60" s="14">
        <f>IF([3]羁绊解锁统计!G59="",0,[3]羁绊解锁统计!G59-IF($R60=W$9,1,0))</f>
        <v>0</v>
      </c>
      <c r="X60" s="29">
        <f t="shared" si="5"/>
        <v>55370.370370370372</v>
      </c>
      <c r="Y60" s="10">
        <f t="shared" si="6"/>
        <v>0.12431584111409054</v>
      </c>
      <c r="AA60" s="14">
        <f t="shared" si="7"/>
        <v>0</v>
      </c>
      <c r="AB60" s="14">
        <f t="shared" si="8"/>
        <v>0</v>
      </c>
      <c r="AC60" s="14">
        <f t="shared" si="9"/>
        <v>6</v>
      </c>
      <c r="AD60" s="14">
        <f t="shared" si="10"/>
        <v>12</v>
      </c>
      <c r="AE60" s="14">
        <f t="shared" si="11"/>
        <v>0</v>
      </c>
      <c r="AF60" s="29">
        <f t="shared" si="12"/>
        <v>332222.22222222225</v>
      </c>
      <c r="AG60" s="10">
        <f t="shared" si="4"/>
        <v>0.43510544389931688</v>
      </c>
      <c r="AH60" s="87">
        <v>5.0000000000000096E-3</v>
      </c>
      <c r="AI60" s="4">
        <v>56</v>
      </c>
      <c r="AJ60" s="98">
        <f t="shared" si="0"/>
        <v>0.30110666890031557</v>
      </c>
      <c r="AK60" s="5">
        <f>'[1]资源-钻石'!$N59*求节点(武将数量星级阶位验证!$CP$41:$CP$72,武将数量星级阶位验证!$CS$41:$CS$72,节奏总纲!R59)</f>
        <v>196211.7041661971</v>
      </c>
      <c r="AL60" s="48"/>
      <c r="AO60" s="5">
        <v>12</v>
      </c>
      <c r="AP60" s="14">
        <f>基础状态预期!D70</f>
        <v>59.016342740868758</v>
      </c>
      <c r="AQ60" s="14">
        <f>(求节点(其他调用!$B$4:$B$163,其他调用!$D$4:$D$163,$AP60))*求节点(武将数量星级阶位验证!$CP$41:$CP$72,武将数量星级阶位验证!$CR$41:$CR$72,武将数量星级阶位验证!AS60)</f>
        <v>166997.40254179854</v>
      </c>
      <c r="AR60" s="14">
        <f>IF(武将升级!Y57="",0,求节点($AK$5:$AK$164,$AJ$5:$AJ$164,AQ$7)*B$5*武将升级!Y57)</f>
        <v>0</v>
      </c>
      <c r="AS60" s="14">
        <f>IF(武将升级!Z57="",0,求节点($AK$5:$AK$164,$AJ$5:$AJ$164,$AQ60)*C$5*武将升级!Z57)</f>
        <v>0</v>
      </c>
      <c r="AT60" s="14">
        <f>IF(武将升级!AA57="",0,求节点($AK$5:$AK$164,$AJ$5:$AJ$164,$AQ60)*D$5*武将升级!AA57)</f>
        <v>0</v>
      </c>
      <c r="AU60" s="14">
        <f>IF(武将升级!AB57="",0,求节点($AK$5:$AK$164,$AJ$5:$AJ$164,$AQ60)*E$5*武将升级!AB57)</f>
        <v>1159.685774366739</v>
      </c>
      <c r="AV60" s="14">
        <f>IF(武将升级!AC57="",0,求节点($AK$5:$AK$164,$AJ$5:$AJ$164,$AQ60)*F$5*武将升级!AC57)</f>
        <v>1159.685774366739</v>
      </c>
      <c r="AW60" s="8">
        <f>SUMPRODUCT(AR60:AV60,基础状态预期!F70:J70)/SUM(基础状态预期!F70:J70)</f>
        <v>1159.685774366739</v>
      </c>
      <c r="BA60" s="29">
        <v>90</v>
      </c>
      <c r="BB60" s="29">
        <f t="shared" si="17"/>
        <v>3887.1</v>
      </c>
      <c r="BC60" s="56">
        <f>(BB60-BB59)*INDEX([2]小r将兵属性验证!$W$7:$W$166+[2]小r将兵属性验证!$X$7:$X$166,BA60,1)+BC59</f>
        <v>12848766751.532932</v>
      </c>
    </row>
    <row r="61" spans="9:55" x14ac:dyDescent="0.15">
      <c r="P61" s="14" t="e">
        <f>8-COUNTIF([3]羁绊设计!$AD60:$AK60,"&amp;")</f>
        <v>#VALUE!</v>
      </c>
      <c r="Q61" s="29" t="str">
        <f>[3]羁绊解锁统计!$B60</f>
        <v>韩非子</v>
      </c>
      <c r="R61" s="29" t="str">
        <f>IF([3]羁绊设计!$F60="红","橙+",[3]羁绊设计!$F60)</f>
        <v>橙</v>
      </c>
      <c r="S61" s="14">
        <f>IF([3]羁绊解锁统计!C60="",0,[3]羁绊解锁统计!C60-IF($R61=S$9,1,0))</f>
        <v>0</v>
      </c>
      <c r="T61" s="14">
        <f>IF([3]羁绊解锁统计!D60="",0,[3]羁绊解锁统计!D60-IF($R61=T$9,1,0))</f>
        <v>0</v>
      </c>
      <c r="U61" s="14">
        <f>IF([3]羁绊解锁统计!E60="",0,[3]羁绊解锁统计!E60-IF($R61=U$9,1,0))</f>
        <v>0</v>
      </c>
      <c r="V61" s="14">
        <f>IF([3]羁绊解锁统计!F60="",0,[3]羁绊解锁统计!F60-IF($R61=V$9,1,0))</f>
        <v>7</v>
      </c>
      <c r="W61" s="14">
        <f>IF([3]羁绊解锁统计!G60="",0,[3]羁绊解锁统计!G60-IF($R61=W$9,1,0))</f>
        <v>0</v>
      </c>
      <c r="X61" s="29">
        <f t="shared" si="5"/>
        <v>76666.666666666672</v>
      </c>
      <c r="Y61" s="10">
        <f t="shared" si="6"/>
        <v>0.15608274416223611</v>
      </c>
      <c r="AA61" s="14">
        <f t="shared" si="7"/>
        <v>0</v>
      </c>
      <c r="AB61" s="14">
        <f t="shared" si="8"/>
        <v>0</v>
      </c>
      <c r="AC61" s="14">
        <f t="shared" si="9"/>
        <v>0</v>
      </c>
      <c r="AD61" s="14">
        <f t="shared" si="10"/>
        <v>42</v>
      </c>
      <c r="AE61" s="14">
        <f t="shared" si="11"/>
        <v>0</v>
      </c>
      <c r="AF61" s="29">
        <f t="shared" si="12"/>
        <v>460000</v>
      </c>
      <c r="AG61" s="10">
        <f t="shared" si="4"/>
        <v>0.54628960456782638</v>
      </c>
      <c r="AH61" s="87">
        <v>5.0000000000000096E-3</v>
      </c>
      <c r="AI61" s="4">
        <v>57</v>
      </c>
      <c r="AJ61" s="98">
        <f t="shared" si="0"/>
        <v>0.3127365932829701</v>
      </c>
      <c r="AK61" s="5">
        <f>'[1]资源-钻石'!$N60*求节点(武将数量星级阶位验证!$CP$41:$CP$72,武将数量星级阶位验证!$CS$41:$CS$72,节奏总纲!R60)</f>
        <v>207140.18930643212</v>
      </c>
      <c r="AL61" s="48"/>
      <c r="AO61" s="5">
        <v>13</v>
      </c>
      <c r="AP61" s="14">
        <f>基础状态预期!D71</f>
        <v>64.781009552500748</v>
      </c>
      <c r="AQ61" s="14">
        <f>(求节点(其他调用!$B$4:$B$163,其他调用!$D$4:$D$163,$AP61))*求节点(武将数量星级阶位验证!$CP$41:$CP$72,武将数量星级阶位验证!$CR$41:$CR$72,武将数量星级阶位验证!AS61)</f>
        <v>231712.35433150904</v>
      </c>
      <c r="AR61" s="14">
        <f>IF(武将升级!Y58="",0,求节点($AK$5:$AK$164,$AJ$5:$AJ$164,AQ$7)*B$5*武将升级!Y58)</f>
        <v>0</v>
      </c>
      <c r="AS61" s="14">
        <f>IF(武将升级!Z58="",0,求节点($AK$5:$AK$164,$AJ$5:$AJ$164,$AQ61)*C$5*武将升级!Z58)</f>
        <v>0</v>
      </c>
      <c r="AT61" s="14">
        <f>IF(武将升级!AA58="",0,求节点($AK$5:$AK$164,$AJ$5:$AJ$164,$AQ61)*D$5*武将升级!AA58)</f>
        <v>0</v>
      </c>
      <c r="AU61" s="14">
        <f>IF(武将升级!AB58="",0,求节点($AK$5:$AK$164,$AJ$5:$AJ$164,$AQ61)*E$5*武将升级!AB58)</f>
        <v>1575.1044045878057</v>
      </c>
      <c r="AV61" s="14">
        <f>IF(武将升级!AC58="",0,求节点($AK$5:$AK$164,$AJ$5:$AJ$164,$AQ61)*F$5*武将升级!AC58)</f>
        <v>1575.1044045878057</v>
      </c>
      <c r="AW61" s="8">
        <f>SUMPRODUCT(AR61:AV61,基础状态预期!F71:J71)/SUM(基础状态预期!F71:J71)</f>
        <v>1575.1044045878054</v>
      </c>
      <c r="BA61" s="29">
        <v>100</v>
      </c>
      <c r="BB61" s="29">
        <f t="shared" si="17"/>
        <v>4265.1000000000004</v>
      </c>
      <c r="BC61" s="56">
        <f>(BB61-BB60)*INDEX([2]小r将兵属性验证!$W$7:$W$166+[2]小r将兵属性验证!$X$7:$X$166,BA61,1)+BC60</f>
        <v>18336466225.404144</v>
      </c>
    </row>
    <row r="62" spans="9:55" x14ac:dyDescent="0.15">
      <c r="P62" s="14" t="e">
        <f>8-COUNTIF([3]羁绊设计!$AD61:$AK61,"&amp;")</f>
        <v>#VALUE!</v>
      </c>
      <c r="Q62" s="29" t="str">
        <f>[3]羁绊解锁统计!$B61</f>
        <v>暴鸢</v>
      </c>
      <c r="R62" s="29" t="str">
        <f>IF([3]羁绊设计!$F61="红","橙+",[3]羁绊设计!$F61)</f>
        <v>紫</v>
      </c>
      <c r="S62" s="14">
        <f>IF([3]羁绊解锁统计!C61="",0,[3]羁绊解锁统计!C61-IF($R62=S$9,1,0))</f>
        <v>0</v>
      </c>
      <c r="T62" s="14">
        <f>IF([3]羁绊解锁统计!D61="",0,[3]羁绊解锁统计!D61-IF($R62=T$9,1,0))</f>
        <v>0</v>
      </c>
      <c r="U62" s="14">
        <f>IF([3]羁绊解锁统计!E61="",0,[3]羁绊解锁统计!E61-IF($R62=U$9,1,0))</f>
        <v>0</v>
      </c>
      <c r="V62" s="14">
        <f>IF([3]羁绊解锁统计!F61="",0,[3]羁绊解锁统计!F61-IF($R62=V$9,1,0))</f>
        <v>2</v>
      </c>
      <c r="W62" s="14">
        <f>IF([3]羁绊解锁统计!G61="",0,[3]羁绊解锁统计!G61-IF($R62=W$9,1,0))</f>
        <v>0</v>
      </c>
      <c r="X62" s="29">
        <f t="shared" si="5"/>
        <v>55370.370370370372</v>
      </c>
      <c r="Y62" s="10">
        <f t="shared" si="6"/>
        <v>0.12431584111409054</v>
      </c>
      <c r="AA62" s="14">
        <f t="shared" si="7"/>
        <v>0</v>
      </c>
      <c r="AB62" s="14">
        <f t="shared" si="8"/>
        <v>0</v>
      </c>
      <c r="AC62" s="14">
        <f t="shared" si="9"/>
        <v>0</v>
      </c>
      <c r="AD62" s="14">
        <f t="shared" si="10"/>
        <v>12</v>
      </c>
      <c r="AE62" s="14">
        <f t="shared" si="11"/>
        <v>0</v>
      </c>
      <c r="AF62" s="29">
        <f t="shared" si="12"/>
        <v>332222.22222222225</v>
      </c>
      <c r="AG62" s="10">
        <f t="shared" si="4"/>
        <v>0.43510544389931688</v>
      </c>
      <c r="AH62" s="87">
        <v>5.0000000000000096E-3</v>
      </c>
      <c r="AI62" s="4">
        <v>58</v>
      </c>
      <c r="AJ62" s="98">
        <f t="shared" si="0"/>
        <v>0.32477817395204495</v>
      </c>
      <c r="AK62" s="5">
        <f>'[1]资源-钻石'!$N61*求节点(武将数量星级阶位验证!$CP$41:$CP$72,武将数量星级阶位验证!$CS$41:$CS$72,节奏总纲!R61)</f>
        <v>218641.21951198258</v>
      </c>
      <c r="AL62" s="48"/>
      <c r="AO62" s="5">
        <v>14</v>
      </c>
      <c r="AP62" s="14">
        <f>基础状态预期!D72</f>
        <v>68.923431594456531</v>
      </c>
      <c r="AQ62" s="14">
        <f>(求节点(其他调用!$B$4:$B$163,其他调用!$D$4:$D$163,$AP62))*求节点(武将数量星级阶位验证!$CP$41:$CP$72,武将数量星级阶位验证!$CR$41:$CR$72,武将数量星级阶位验证!AS62)</f>
        <v>286453.05606281431</v>
      </c>
      <c r="AR62" s="14">
        <f>IF(武将升级!Y59="",0,求节点($AK$5:$AK$164,$AJ$5:$AJ$164,AQ$7)*B$5*武将升级!Y59)</f>
        <v>0</v>
      </c>
      <c r="AS62" s="14">
        <f>IF(武将升级!Z59="",0,求节点($AK$5:$AK$164,$AJ$5:$AJ$164,$AQ62)*C$5*武将升级!Z59)</f>
        <v>0</v>
      </c>
      <c r="AT62" s="14">
        <f>IF(武将升级!AA59="",0,求节点($AK$5:$AK$164,$AJ$5:$AJ$164,$AQ62)*D$5*武将升级!AA59)</f>
        <v>0</v>
      </c>
      <c r="AU62" s="14">
        <f>IF(武将升级!AB59="",0,求节点($AK$5:$AK$164,$AJ$5:$AJ$164,$AQ62)*E$5*武将升级!AB59)</f>
        <v>1924.2663534400845</v>
      </c>
      <c r="AV62" s="14">
        <f>IF(武将升级!AC59="",0,求节点($AK$5:$AK$164,$AJ$5:$AJ$164,$AQ62)*F$5*武将升级!AC59)</f>
        <v>1924.2663534400845</v>
      </c>
      <c r="AW62" s="8">
        <f>SUMPRODUCT(AR62:AV62,基础状态预期!F72:J72)/SUM(基础状态预期!F72:J72)</f>
        <v>1924.2663534400845</v>
      </c>
      <c r="BA62" s="29">
        <v>110</v>
      </c>
      <c r="BB62" s="29">
        <f t="shared" si="17"/>
        <v>4643.1000000000004</v>
      </c>
      <c r="BC62" s="56">
        <f>(BB62-BB61)*INDEX([2]小r将兵属性验证!$W$7:$W$166+[2]小r将兵属性验证!$X$7:$X$166,BA62,1)+BC61</f>
        <v>26581370500.015087</v>
      </c>
    </row>
    <row r="63" spans="9:55" x14ac:dyDescent="0.15">
      <c r="P63" s="14" t="e">
        <f>8-COUNTIF([3]羁绊设计!$AD62:$AK62,"&amp;")</f>
        <v>#VALUE!</v>
      </c>
      <c r="Q63" s="29" t="str">
        <f>[3]羁绊解锁统计!$B62</f>
        <v>申不害</v>
      </c>
      <c r="R63" s="29" t="str">
        <f>IF([3]羁绊设计!$F62="红","橙+",[3]羁绊设计!$F62)</f>
        <v>橙</v>
      </c>
      <c r="S63" s="14">
        <f>IF([3]羁绊解锁统计!C62="",0,[3]羁绊解锁统计!C62-IF($R63=S$9,1,0))</f>
        <v>0</v>
      </c>
      <c r="T63" s="14">
        <f>IF([3]羁绊解锁统计!D62="",0,[3]羁绊解锁统计!D62-IF($R63=T$9,1,0))</f>
        <v>0</v>
      </c>
      <c r="U63" s="14">
        <f>IF([3]羁绊解锁统计!E62="",0,[3]羁绊解锁统计!E62-IF($R63=U$9,1,0))</f>
        <v>1</v>
      </c>
      <c r="V63" s="14">
        <f>IF([3]羁绊解锁统计!F62="",0,[3]羁绊解锁统计!F62-IF($R63=V$9,1,0))</f>
        <v>9</v>
      </c>
      <c r="W63" s="14">
        <f>IF([3]羁绊解锁统计!G62="",0,[3]羁绊解锁统计!G62-IF($R63=W$9,1,0))</f>
        <v>0</v>
      </c>
      <c r="X63" s="29">
        <f t="shared" si="5"/>
        <v>85185.185185185182</v>
      </c>
      <c r="Y63" s="10">
        <f t="shared" si="6"/>
        <v>0.1680096518804009</v>
      </c>
      <c r="AA63" s="14">
        <f t="shared" si="7"/>
        <v>0</v>
      </c>
      <c r="AB63" s="14">
        <f t="shared" si="8"/>
        <v>0</v>
      </c>
      <c r="AC63" s="14">
        <f t="shared" si="9"/>
        <v>6</v>
      </c>
      <c r="AD63" s="14">
        <f t="shared" si="10"/>
        <v>54</v>
      </c>
      <c r="AE63" s="14">
        <f t="shared" si="11"/>
        <v>0</v>
      </c>
      <c r="AF63" s="29">
        <f t="shared" si="12"/>
        <v>511111.11111111112</v>
      </c>
      <c r="AG63" s="10">
        <f t="shared" si="4"/>
        <v>0.58803378158140318</v>
      </c>
      <c r="AH63" s="87">
        <v>5.0000000000000096E-3</v>
      </c>
      <c r="AI63" s="4">
        <v>59</v>
      </c>
      <c r="AJ63" s="98">
        <f t="shared" si="0"/>
        <v>0.33804316478191226</v>
      </c>
      <c r="AK63" s="5">
        <f>'[1]资源-钻石'!$N62*求节点(武将数量星级阶位验证!$CP$41:$CP$72,武将数量星级阶位验证!$CS$41:$CS$72,节奏总纲!R62)</f>
        <v>231524.70179307257</v>
      </c>
      <c r="AL63" s="48"/>
      <c r="AO63" s="5">
        <v>15</v>
      </c>
      <c r="AP63" s="14">
        <f>基础状态预期!D73</f>
        <v>72.103942950990486</v>
      </c>
      <c r="AQ63" s="14">
        <f>(求节点(其他调用!$B$4:$B$163,其他调用!$D$4:$D$163,$AP63))*求节点(武将数量星级阶位验证!$CP$41:$CP$72,武将数量星级阶位验证!$CR$41:$CR$72,武将数量星级阶位验证!AS63)</f>
        <v>331374.15085536259</v>
      </c>
      <c r="AR63" s="14">
        <f>IF(武将升级!Y60="",0,求节点($AK$5:$AK$164,$AJ$5:$AJ$164,AQ$7)*B$5*武将升级!Y60)</f>
        <v>0</v>
      </c>
      <c r="AS63" s="14">
        <f>IF(武将升级!Z60="",0,求节点($AK$5:$AK$164,$AJ$5:$AJ$164,$AQ63)*C$5*武将升级!Z60)</f>
        <v>0</v>
      </c>
      <c r="AT63" s="14">
        <f>IF(武将升级!AA60="",0,求节点($AK$5:$AK$164,$AJ$5:$AJ$164,$AQ63)*D$5*武将升级!AA60)</f>
        <v>0</v>
      </c>
      <c r="AU63" s="14">
        <f>IF(武将升级!AB60="",0,求节点($AK$5:$AK$164,$AJ$5:$AJ$164,$AQ63)*E$5*武将升级!AB60)</f>
        <v>2213.457756317327</v>
      </c>
      <c r="AV63" s="14">
        <f>IF(武将升级!AC60="",0,求节点($AK$5:$AK$164,$AJ$5:$AJ$164,$AQ63)*F$5*武将升级!AC60)</f>
        <v>2213.457756317327</v>
      </c>
      <c r="AW63" s="8">
        <f>SUMPRODUCT(AR63:AV63,基础状态预期!F73:J73)/SUM(基础状态预期!F73:J73)</f>
        <v>2213.4577563173266</v>
      </c>
      <c r="BA63" s="29">
        <v>120</v>
      </c>
      <c r="BB63" s="29">
        <f t="shared" si="17"/>
        <v>5021.1000000000004</v>
      </c>
      <c r="BC63" s="56">
        <f>(BB63-BB62)*INDEX([2]小r将兵属性验证!$W$7:$W$166+[2]小r将兵属性验证!$X$7:$X$166,BA63,1)+BC62</f>
        <v>37134520681.057632</v>
      </c>
    </row>
    <row r="64" spans="9:55" x14ac:dyDescent="0.15">
      <c r="P64" s="14" t="e">
        <f>8-COUNTIF([3]羁绊设计!$AD63:$AK63,"&amp;")</f>
        <v>#VALUE!</v>
      </c>
      <c r="Q64" s="29" t="str">
        <f>[3]羁绊解锁统计!$B63</f>
        <v>乐毅</v>
      </c>
      <c r="R64" s="29" t="str">
        <f>IF([3]羁绊设计!$F63="红","橙+",[3]羁绊设计!$F63)</f>
        <v>橙</v>
      </c>
      <c r="S64" s="14">
        <f>IF([3]羁绊解锁统计!C63="",0,[3]羁绊解锁统计!C63-IF($R64=S$9,1,0))</f>
        <v>0</v>
      </c>
      <c r="T64" s="14">
        <f>IF([3]羁绊解锁统计!D63="",0,[3]羁绊解锁统计!D63-IF($R64=T$9,1,0))</f>
        <v>0</v>
      </c>
      <c r="U64" s="14">
        <f>IF([3]羁绊解锁统计!E63="",0,[3]羁绊解锁统计!E63-IF($R64=U$9,1,0))</f>
        <v>0</v>
      </c>
      <c r="V64" s="14">
        <f>IF([3]羁绊解锁统计!F63="",0,[3]羁绊解锁统计!F63-IF($R64=V$9,1,0))</f>
        <v>8</v>
      </c>
      <c r="W64" s="14">
        <f>IF([3]羁绊解锁统计!G63="",0,[3]羁绊解锁统计!G63-IF($R64=W$9,1,0))</f>
        <v>1</v>
      </c>
      <c r="X64" s="29">
        <f t="shared" si="5"/>
        <v>80925.925925925927</v>
      </c>
      <c r="Y64" s="10">
        <f t="shared" si="6"/>
        <v>0.16209362499883187</v>
      </c>
      <c r="AA64" s="14">
        <f t="shared" si="7"/>
        <v>0</v>
      </c>
      <c r="AB64" s="14">
        <f t="shared" si="8"/>
        <v>0</v>
      </c>
      <c r="AC64" s="14">
        <f t="shared" si="9"/>
        <v>0</v>
      </c>
      <c r="AD64" s="14">
        <f t="shared" si="10"/>
        <v>48</v>
      </c>
      <c r="AE64" s="14">
        <f t="shared" si="11"/>
        <v>6</v>
      </c>
      <c r="AF64" s="29">
        <f t="shared" si="12"/>
        <v>485555.55555555556</v>
      </c>
      <c r="AG64" s="10">
        <f t="shared" si="4"/>
        <v>0.56732768749591156</v>
      </c>
      <c r="AH64" s="87">
        <v>5.0000000000000096E-3</v>
      </c>
      <c r="AI64" s="4">
        <v>60</v>
      </c>
      <c r="AJ64" s="98">
        <f t="shared" si="0"/>
        <v>0.35160718545377934</v>
      </c>
      <c r="AK64" s="5">
        <f>'[1]资源-钻石'!$N63*求节点(武将数量星级阶位验证!$CP$41:$CP$72,武将数量星级阶位验证!$CS$41:$CS$72,节奏总纲!R63)</f>
        <v>244925.45487423855</v>
      </c>
      <c r="AL64" s="48"/>
      <c r="AO64" s="5">
        <v>16</v>
      </c>
      <c r="AP64" s="14">
        <f>基础状态预期!D74</f>
        <v>74.74003809013405</v>
      </c>
      <c r="AQ64" s="14">
        <f>(求节点(其他调用!$B$4:$B$163,其他调用!$D$4:$D$163,$AP64))*求节点(武将数量星级阶位验证!$CP$41:$CP$72,武将数量星级阶位验证!$CR$41:$CR$72,武将数量星级阶位验证!AS64)</f>
        <v>374266.0966639283</v>
      </c>
      <c r="AR64" s="14">
        <f>IF(武将升级!Y61="",0,求节点($AK$5:$AK$164,$AJ$5:$AJ$164,AQ$7)*B$5*武将升级!Y61)</f>
        <v>0</v>
      </c>
      <c r="AS64" s="14">
        <f>IF(武将升级!Z61="",0,求节点($AK$5:$AK$164,$AJ$5:$AJ$164,$AQ64)*C$5*武将升级!Z61)</f>
        <v>0</v>
      </c>
      <c r="AT64" s="14">
        <f>IF(武将升级!AA61="",0,求节点($AK$5:$AK$164,$AJ$5:$AJ$164,$AQ64)*D$5*武将升级!AA61)</f>
        <v>0</v>
      </c>
      <c r="AU64" s="14">
        <f>IF(武将升级!AB61="",0,求节点($AK$5:$AK$164,$AJ$5:$AJ$164,$AQ64)*E$5*武将升级!AB61)</f>
        <v>2484.8588044351559</v>
      </c>
      <c r="AV64" s="14">
        <f>IF(武将升级!AC61="",0,求节点($AK$5:$AK$164,$AJ$5:$AJ$164,$AQ64)*F$5*武将升级!AC61)</f>
        <v>2484.8588044351559</v>
      </c>
      <c r="AW64" s="8">
        <f>SUMPRODUCT(AR64:AV64,基础状态预期!F74:J74)/SUM(基础状态预期!F74:J74)</f>
        <v>2484.8588044351559</v>
      </c>
      <c r="BA64" s="29">
        <v>130</v>
      </c>
      <c r="BB64" s="29">
        <f t="shared" si="17"/>
        <v>5399.1</v>
      </c>
      <c r="BC64" s="56">
        <f>(BB64-BB63)*INDEX([2]小r将兵属性验证!$W$7:$W$166+[2]小r将兵属性验证!$X$7:$X$166,BA64,1)+BC63</f>
        <v>50388814417.505318</v>
      </c>
    </row>
    <row r="65" spans="16:55" x14ac:dyDescent="0.15">
      <c r="P65" s="14" t="e">
        <f>8-COUNTIF([3]羁绊设计!$AD64:$AK64,"&amp;")</f>
        <v>#VALUE!</v>
      </c>
      <c r="Q65" s="29" t="str">
        <f>[3]羁绊解锁统计!$B64</f>
        <v>荆轲</v>
      </c>
      <c r="R65" s="29" t="str">
        <f>IF([3]羁绊设计!$F64="红","橙+",[3]羁绊设计!$F64)</f>
        <v>橙</v>
      </c>
      <c r="S65" s="14">
        <f>IF([3]羁绊解锁统计!C64="",0,[3]羁绊解锁统计!C64-IF($R65=S$9,1,0))</f>
        <v>0</v>
      </c>
      <c r="T65" s="14">
        <f>IF([3]羁绊解锁统计!D64="",0,[3]羁绊解锁统计!D64-IF($R65=T$9,1,0))</f>
        <v>1</v>
      </c>
      <c r="U65" s="14">
        <f>IF([3]羁绊解锁统计!E64="",0,[3]羁绊解锁统计!E64-IF($R65=U$9,1,0))</f>
        <v>3</v>
      </c>
      <c r="V65" s="14">
        <f>IF([3]羁绊解锁统计!F64="",0,[3]羁绊解锁统计!F64-IF($R65=V$9,1,0))</f>
        <v>6</v>
      </c>
      <c r="W65" s="14">
        <f>IF([3]羁绊解锁统计!G64="",0,[3]羁绊解锁统计!G64-IF($R65=W$9,1,0))</f>
        <v>0</v>
      </c>
      <c r="X65" s="29">
        <f t="shared" si="5"/>
        <v>72407.407407407401</v>
      </c>
      <c r="Y65" s="10">
        <f t="shared" si="6"/>
        <v>0.14997311908169933</v>
      </c>
      <c r="AA65" s="14">
        <f t="shared" si="7"/>
        <v>0</v>
      </c>
      <c r="AB65" s="14">
        <f t="shared" si="8"/>
        <v>6</v>
      </c>
      <c r="AC65" s="14">
        <f t="shared" si="9"/>
        <v>18</v>
      </c>
      <c r="AD65" s="14">
        <f t="shared" si="10"/>
        <v>36</v>
      </c>
      <c r="AE65" s="14">
        <f t="shared" si="11"/>
        <v>0</v>
      </c>
      <c r="AF65" s="29">
        <f t="shared" si="12"/>
        <v>434444.44444444438</v>
      </c>
      <c r="AG65" s="10">
        <f t="shared" si="4"/>
        <v>0.52490591678594767</v>
      </c>
      <c r="AH65" s="87">
        <v>5.0000000000000096E-3</v>
      </c>
      <c r="AI65" s="4">
        <v>61</v>
      </c>
      <c r="AJ65" s="98">
        <f t="shared" si="0"/>
        <v>0.36582277247298833</v>
      </c>
      <c r="AK65" s="5">
        <f>'[1]资源-钻石'!$N64*求节点(武将数量星级阶位验证!$CP$41:$CP$72,武将数量星级阶位验证!$CS$41:$CS$72,节奏总纲!R64)</f>
        <v>259210.59204333797</v>
      </c>
      <c r="AL65" s="48"/>
      <c r="AO65" s="5">
        <v>17</v>
      </c>
      <c r="AP65" s="14">
        <f>基础状态预期!D75</f>
        <v>77.609642525433856</v>
      </c>
      <c r="AQ65" s="14">
        <f>(求节点(其他调用!$B$4:$B$163,其他调用!$D$4:$D$163,$AP65))*求节点(武将数量星级阶位验证!$CP$41:$CP$72,武将数量星级阶位验证!$CR$41:$CR$72,武将数量星级阶位验证!AS65)</f>
        <v>430681.59155211033</v>
      </c>
      <c r="AR65" s="14">
        <f>IF(武将升级!Y62="",0,求节点($AK$5:$AK$164,$AJ$5:$AJ$164,AQ$7)*B$5*武将升级!Y62)</f>
        <v>0</v>
      </c>
      <c r="AS65" s="14">
        <f>IF(武将升级!Z62="",0,求节点($AK$5:$AK$164,$AJ$5:$AJ$164,$AQ65)*C$5*武将升级!Z62)</f>
        <v>0</v>
      </c>
      <c r="AT65" s="14">
        <f>IF(武将升级!AA62="",0,求节点($AK$5:$AK$164,$AJ$5:$AJ$164,$AQ65)*D$5*武将升级!AA62)</f>
        <v>0</v>
      </c>
      <c r="AU65" s="14">
        <f>IF(武将升级!AB62="",0,求节点($AK$5:$AK$164,$AJ$5:$AJ$164,$AQ65)*E$5*武将升级!AB62)</f>
        <v>0</v>
      </c>
      <c r="AV65" s="14">
        <f>IF(武将升级!AC62="",0,求节点($AK$5:$AK$164,$AJ$5:$AJ$164,$AQ65)*F$5*武将升级!AC62)</f>
        <v>2831.071196688888</v>
      </c>
      <c r="AW65" s="8">
        <f>SUMPRODUCT(AR65:AV65,基础状态预期!F75:J75)/SUM(基础状态预期!F75:J75)</f>
        <v>2831.071196688888</v>
      </c>
      <c r="BA65" s="29">
        <v>140</v>
      </c>
      <c r="BB65" s="29">
        <f t="shared" si="17"/>
        <v>5777.0999999999995</v>
      </c>
      <c r="BC65" s="56">
        <f>(BB65-BB64)*INDEX([2]小r将兵属性验证!$W$7:$W$166+[2]小r将兵属性验证!$X$7:$X$166,BA65,1)+BC64</f>
        <v>66305611430.950439</v>
      </c>
    </row>
    <row r="66" spans="16:55" x14ac:dyDescent="0.15">
      <c r="P66" s="14" t="e">
        <f>8-COUNTIF([3]羁绊设计!$AD65:$AK65,"&amp;")</f>
        <v>#VALUE!</v>
      </c>
      <c r="Q66" s="29" t="str">
        <f>[3]羁绊解锁统计!$B65</f>
        <v>苏秦</v>
      </c>
      <c r="R66" s="29" t="str">
        <f>IF([3]羁绊设计!$F65="红","橙+",[3]羁绊设计!$F65)</f>
        <v>橙</v>
      </c>
      <c r="S66" s="14">
        <f>IF([3]羁绊解锁统计!C65="",0,[3]羁绊解锁统计!C65-IF($R66=S$9,1,0))</f>
        <v>0</v>
      </c>
      <c r="T66" s="14">
        <f>IF([3]羁绊解锁统计!D65="",0,[3]羁绊解锁统计!D65-IF($R66=T$9,1,0))</f>
        <v>0</v>
      </c>
      <c r="U66" s="14">
        <f>IF([3]羁绊解锁统计!E65="",0,[3]羁绊解锁统计!E65-IF($R66=U$9,1,0))</f>
        <v>0</v>
      </c>
      <c r="V66" s="14">
        <f>IF([3]羁绊解锁统计!F65="",0,[3]羁绊解锁统计!F65-IF($R66=V$9,1,0))</f>
        <v>9</v>
      </c>
      <c r="W66" s="14">
        <f>IF([3]羁绊解锁统计!G65="",0,[3]羁绊解锁统计!G65-IF($R66=W$9,1,0))</f>
        <v>0</v>
      </c>
      <c r="X66" s="29">
        <f t="shared" si="5"/>
        <v>85185.185185185182</v>
      </c>
      <c r="Y66" s="10">
        <f t="shared" si="6"/>
        <v>0.1680096518804009</v>
      </c>
      <c r="AA66" s="14">
        <f t="shared" si="7"/>
        <v>0</v>
      </c>
      <c r="AB66" s="14">
        <f t="shared" si="8"/>
        <v>0</v>
      </c>
      <c r="AC66" s="14">
        <f t="shared" si="9"/>
        <v>0</v>
      </c>
      <c r="AD66" s="14">
        <f t="shared" si="10"/>
        <v>54</v>
      </c>
      <c r="AE66" s="14">
        <f t="shared" si="11"/>
        <v>0</v>
      </c>
      <c r="AF66" s="29">
        <f t="shared" si="12"/>
        <v>511111.11111111112</v>
      </c>
      <c r="AG66" s="10">
        <f t="shared" si="4"/>
        <v>0.58803378158140318</v>
      </c>
      <c r="AH66" s="87">
        <v>5.0000000000000096E-3</v>
      </c>
      <c r="AI66" s="4">
        <v>62</v>
      </c>
      <c r="AJ66" s="98">
        <f t="shared" si="0"/>
        <v>0.38057536716443136</v>
      </c>
      <c r="AK66" s="5">
        <f>'[1]资源-钻石'!$N65*求节点(武将数量星级阶位验证!$CP$41:$CP$72,武将数量星级阶位验证!$CS$41:$CS$72,节奏总纲!R65)</f>
        <v>274290.00526185217</v>
      </c>
      <c r="AL66" s="48"/>
      <c r="AO66" s="5">
        <v>18</v>
      </c>
      <c r="AP66" s="14">
        <f>基础状态预期!D76</f>
        <v>79.994335665275713</v>
      </c>
      <c r="AQ66" s="14">
        <f>(求节点(其他调用!$B$4:$B$163,其他调用!$D$4:$D$163,$AP66))*求节点(武将数量星级阶位验证!$CP$41:$CP$72,武将数量星级阶位验证!$CR$41:$CR$72,武将数量星级阶位验证!AS66)</f>
        <v>479775.78532066062</v>
      </c>
      <c r="AR66" s="14">
        <f>IF(武将升级!Y63="",0,求节点($AK$5:$AK$164,$AJ$5:$AJ$164,AQ$7)*B$5*武将升级!Y63)</f>
        <v>0</v>
      </c>
      <c r="AS66" s="14">
        <f>IF(武将升级!Z63="",0,求节点($AK$5:$AK$164,$AJ$5:$AJ$164,$AQ66)*C$5*武将升级!Z63)</f>
        <v>0</v>
      </c>
      <c r="AT66" s="14">
        <f>IF(武将升级!AA63="",0,求节点($AK$5:$AK$164,$AJ$5:$AJ$164,$AQ66)*D$5*武将升级!AA63)</f>
        <v>0</v>
      </c>
      <c r="AU66" s="14">
        <f>IF(武将升级!AB63="",0,求节点($AK$5:$AK$164,$AJ$5:$AJ$164,$AQ66)*E$5*武将升级!AB63)</f>
        <v>0</v>
      </c>
      <c r="AV66" s="14">
        <f>IF(武将升级!AC63="",0,求节点($AK$5:$AK$164,$AJ$5:$AJ$164,$AQ66)*F$5*武将升级!AC63)</f>
        <v>3133.562134114396</v>
      </c>
      <c r="AW66" s="8">
        <f>SUMPRODUCT(AR66:AV66,基础状态预期!F76:J76)/SUM(基础状态预期!F76:J76)</f>
        <v>3133.562134114396</v>
      </c>
      <c r="BA66" s="29">
        <v>150</v>
      </c>
      <c r="BB66" s="29">
        <f t="shared" si="17"/>
        <v>6142.2571409379125</v>
      </c>
      <c r="BC66" s="56">
        <f>(BB66-BB65)*INDEX([2]小r将兵属性验证!$W$7:$W$166+[2]小r将兵属性验证!$X$7:$X$166,BA66,1)+BC65</f>
        <v>85050726325.404755</v>
      </c>
    </row>
    <row r="67" spans="16:55" x14ac:dyDescent="0.15">
      <c r="P67" s="14" t="e">
        <f>8-COUNTIF([3]羁绊设计!$AD66:$AK66,"&amp;")</f>
        <v>#VALUE!</v>
      </c>
      <c r="Q67" s="29" t="str">
        <f>[3]羁绊解锁统计!$B66</f>
        <v>秦开</v>
      </c>
      <c r="R67" s="29" t="str">
        <f>IF([3]羁绊设计!$F66="红","橙+",[3]羁绊设计!$F66)</f>
        <v>紫</v>
      </c>
      <c r="S67" s="14">
        <f>IF([3]羁绊解锁统计!C66="",0,[3]羁绊解锁统计!C66-IF($R67=S$9,1,0))</f>
        <v>0</v>
      </c>
      <c r="T67" s="14">
        <f>IF([3]羁绊解锁统计!D66="",0,[3]羁绊解锁统计!D66-IF($R67=T$9,1,0))</f>
        <v>0</v>
      </c>
      <c r="U67" s="14">
        <f>IF([3]羁绊解锁统计!E66="",0,[3]羁绊解锁统计!E66-IF($R67=U$9,1,0))</f>
        <v>0</v>
      </c>
      <c r="V67" s="14">
        <f>IF([3]羁绊解锁统计!F66="",0,[3]羁绊解锁统计!F66-IF($R67=V$9,1,0))</f>
        <v>2</v>
      </c>
      <c r="W67" s="14">
        <f>IF([3]羁绊解锁统计!G66="",0,[3]羁绊解锁统计!G66-IF($R67=W$9,1,0))</f>
        <v>0</v>
      </c>
      <c r="X67" s="29">
        <f t="shared" si="5"/>
        <v>55370.370370370372</v>
      </c>
      <c r="Y67" s="10">
        <f t="shared" si="6"/>
        <v>0.12431584111409054</v>
      </c>
      <c r="AA67" s="14">
        <f t="shared" si="7"/>
        <v>0</v>
      </c>
      <c r="AB67" s="14">
        <f t="shared" si="8"/>
        <v>0</v>
      </c>
      <c r="AC67" s="14">
        <f t="shared" si="9"/>
        <v>0</v>
      </c>
      <c r="AD67" s="14">
        <f t="shared" si="10"/>
        <v>12</v>
      </c>
      <c r="AE67" s="14">
        <f t="shared" si="11"/>
        <v>0</v>
      </c>
      <c r="AF67" s="29">
        <f t="shared" si="12"/>
        <v>332222.22222222225</v>
      </c>
      <c r="AG67" s="10">
        <f t="shared" si="4"/>
        <v>0.43510544389931688</v>
      </c>
      <c r="AH67" s="87">
        <v>5.0000000000000096E-3</v>
      </c>
      <c r="AI67" s="4">
        <v>63</v>
      </c>
      <c r="AJ67" s="98">
        <f t="shared" si="0"/>
        <v>0.39584012628913023</v>
      </c>
      <c r="AK67" s="5">
        <f>'[1]资源-钻石'!$N66*求节点(武将数量星级阶位验证!$CP$41:$CP$72,武将数量星级阶位验证!$CS$41:$CS$72,节奏总纲!R66)</f>
        <v>290159.87796445919</v>
      </c>
      <c r="AL67" s="48"/>
      <c r="AO67" s="5">
        <v>19</v>
      </c>
      <c r="AP67" s="14">
        <f>基础状态预期!D77</f>
        <v>82.100546804797787</v>
      </c>
      <c r="AQ67" s="14">
        <f>(求节点(其他调用!$B$4:$B$163,其他调用!$D$4:$D$163,$AP67))*求节点(武将数量星级阶位验证!$CP$41:$CP$72,武将数量星级阶位验证!$CR$41:$CR$72,武将数量星级阶位验证!AS67)</f>
        <v>530009.65288276621</v>
      </c>
      <c r="AR67" s="14">
        <f>IF(武将升级!Y64="",0,求节点($AK$5:$AK$164,$AJ$5:$AJ$164,AQ$7)*B$5*武将升级!Y64)</f>
        <v>0</v>
      </c>
      <c r="AS67" s="14">
        <f>IF(武将升级!Z64="",0,求节点($AK$5:$AK$164,$AJ$5:$AJ$164,$AQ67)*C$5*武将升级!Z64)</f>
        <v>0</v>
      </c>
      <c r="AT67" s="14">
        <f>IF(武将升级!AA64="",0,求节点($AK$5:$AK$164,$AJ$5:$AJ$164,$AQ67)*D$5*武将升级!AA64)</f>
        <v>0</v>
      </c>
      <c r="AU67" s="14">
        <f>IF(武将升级!AB64="",0,求节点($AK$5:$AK$164,$AJ$5:$AJ$164,$AQ67)*E$5*武将升级!AB64)</f>
        <v>0</v>
      </c>
      <c r="AV67" s="14">
        <f>IF(武将升级!AC64="",0,求节点($AK$5:$AK$164,$AJ$5:$AJ$164,$AQ67)*F$5*武将升级!AC64)</f>
        <v>3435.6995356586795</v>
      </c>
      <c r="AW67" s="8">
        <f>SUMPRODUCT(AR67:AV67,基础状态预期!F77:J77)/SUM(基础状态预期!F77:J77)</f>
        <v>3435.6995356586795</v>
      </c>
      <c r="BA67" s="29">
        <v>160</v>
      </c>
      <c r="BB67" s="29">
        <f t="shared" si="17"/>
        <v>6155.1000000000013</v>
      </c>
      <c r="BC67" s="56">
        <f>(BB67-BB66)*INDEX([2]小r将兵属性验证!$W$7:$W$166+[2]小r将兵属性验证!$X$7:$X$166,BA67,1)+BC66</f>
        <v>85801284409.11908</v>
      </c>
    </row>
    <row r="68" spans="16:55" x14ac:dyDescent="0.15">
      <c r="P68" s="14" t="e">
        <f>8-COUNTIF([3]羁绊设计!$AD67:$AK67,"&amp;")</f>
        <v>#VALUE!</v>
      </c>
      <c r="Q68" s="29" t="str">
        <f>[3]羁绊解锁统计!$B67</f>
        <v>墨子</v>
      </c>
      <c r="R68" s="29" t="str">
        <f>IF([3]羁绊设计!$F67="红","橙+",[3]羁绊设计!$F67)</f>
        <v>橙+</v>
      </c>
      <c r="S68" s="14">
        <f>IF([3]羁绊解锁统计!C67="",0,[3]羁绊解锁统计!C67-IF($R68=S$9,1,0))</f>
        <v>0</v>
      </c>
      <c r="T68" s="14">
        <f>IF([3]羁绊解锁统计!D67="",0,[3]羁绊解锁统计!D67-IF($R68=T$9,1,0))</f>
        <v>0</v>
      </c>
      <c r="U68" s="14">
        <f>IF([3]羁绊解锁统计!E67="",0,[3]羁绊解锁统计!E67-IF($R68=U$9,1,0))</f>
        <v>0</v>
      </c>
      <c r="V68" s="14">
        <f>IF([3]羁绊解锁统计!F67="",0,[3]羁绊解锁统计!F67-IF($R68=V$9,1,0))</f>
        <v>9</v>
      </c>
      <c r="W68" s="14">
        <f>IF([3]羁绊解锁统计!G67="",0,[3]羁绊解锁统计!G67-IF($R68=W$9,1,0))</f>
        <v>0</v>
      </c>
      <c r="X68" s="29">
        <f t="shared" si="5"/>
        <v>85185.185185185182</v>
      </c>
      <c r="Y68" s="10">
        <f t="shared" si="6"/>
        <v>0.1680096518804009</v>
      </c>
      <c r="AA68" s="14">
        <f t="shared" si="7"/>
        <v>0</v>
      </c>
      <c r="AB68" s="14">
        <f t="shared" si="8"/>
        <v>0</v>
      </c>
      <c r="AC68" s="14">
        <f t="shared" si="9"/>
        <v>0</v>
      </c>
      <c r="AD68" s="14">
        <f t="shared" si="10"/>
        <v>54</v>
      </c>
      <c r="AE68" s="14">
        <f t="shared" si="11"/>
        <v>0</v>
      </c>
      <c r="AF68" s="29">
        <f t="shared" si="12"/>
        <v>511111.11111111112</v>
      </c>
      <c r="AG68" s="10">
        <f t="shared" si="4"/>
        <v>0.58803378158140318</v>
      </c>
      <c r="AH68" s="87">
        <v>5.0000000000000096E-3</v>
      </c>
      <c r="AI68" s="4">
        <v>64</v>
      </c>
      <c r="AJ68" s="98">
        <f t="shared" si="0"/>
        <v>0.41265912310930897</v>
      </c>
      <c r="AK68" s="5">
        <f>'[1]资源-钻石'!$N67*求节点(武将数量星级阶位验证!$CP$41:$CP$72,武将数量星级阶位验证!$CS$41:$CS$72,节奏总纲!R67)</f>
        <v>307952.86323595414</v>
      </c>
      <c r="AL68" s="48"/>
      <c r="AO68" s="5">
        <v>20</v>
      </c>
      <c r="AP68" s="14">
        <f>基础状态预期!D78</f>
        <v>83.885420957389968</v>
      </c>
      <c r="AQ68" s="14">
        <f>(求节点(其他调用!$B$4:$B$163,其他调用!$D$4:$D$163,$AP68))*求节点(武将数量星级阶位验证!$CP$41:$CP$72,武将数量星级阶位验证!$CR$41:$CR$72,武将数量星级阶位验证!AS68)</f>
        <v>577753.7443620211</v>
      </c>
      <c r="AR68" s="14">
        <f>IF(武将升级!Y65="",0,求节点($AK$5:$AK$164,$AJ$5:$AJ$164,AQ$7)*B$5*武将升级!Y65)</f>
        <v>0</v>
      </c>
      <c r="AS68" s="14">
        <f>IF(武将升级!Z65="",0,求节点($AK$5:$AK$164,$AJ$5:$AJ$164,$AQ68)*C$5*武将升级!Z65)</f>
        <v>0</v>
      </c>
      <c r="AT68" s="14">
        <f>IF(武将升级!AA65="",0,求节点($AK$5:$AK$164,$AJ$5:$AJ$164,$AQ68)*D$5*武将升级!AA65)</f>
        <v>0</v>
      </c>
      <c r="AU68" s="14">
        <f>IF(武将升级!AB65="",0,求节点($AK$5:$AK$164,$AJ$5:$AJ$164,$AQ68)*E$5*武将升级!AB65)</f>
        <v>0</v>
      </c>
      <c r="AV68" s="14">
        <f>IF(武将升级!AC65="",0,求节点($AK$5:$AK$164,$AJ$5:$AJ$164,$AQ68)*F$5*武将升级!AC65)</f>
        <v>3648.3366433888305</v>
      </c>
      <c r="AW68" s="8">
        <f>SUMPRODUCT(AR68:AV68,基础状态预期!F78:J78)/SUM(基础状态预期!F78:J78)</f>
        <v>3648.3366433888309</v>
      </c>
    </row>
    <row r="69" spans="16:55" x14ac:dyDescent="0.15">
      <c r="P69" s="14" t="e">
        <f>8-COUNTIF([3]羁绊设计!$AD68:$AK68,"&amp;")</f>
        <v>#VALUE!</v>
      </c>
      <c r="Q69" s="29" t="str">
        <f>[3]羁绊解锁统计!$B68</f>
        <v>褒姒</v>
      </c>
      <c r="R69" s="29" t="str">
        <f>IF([3]羁绊设计!$F68="红","橙+",[3]羁绊设计!$F68)</f>
        <v>橙+</v>
      </c>
      <c r="S69" s="14">
        <f>IF([3]羁绊解锁统计!C68="",0,[3]羁绊解锁统计!C68-IF($R69=S$9,1,0))</f>
        <v>0</v>
      </c>
      <c r="T69" s="14">
        <f>IF([3]羁绊解锁统计!D68="",0,[3]羁绊解锁统计!D68-IF($R69=T$9,1,0))</f>
        <v>0</v>
      </c>
      <c r="U69" s="14">
        <f>IF([3]羁绊解锁统计!E68="",0,[3]羁绊解锁统计!E68-IF($R69=U$9,1,0))</f>
        <v>0</v>
      </c>
      <c r="V69" s="14">
        <f>IF([3]羁绊解锁统计!F68="",0,[3]羁绊解锁统计!F68-IF($R69=V$9,1,0))</f>
        <v>8</v>
      </c>
      <c r="W69" s="14">
        <f>IF([3]羁绊解锁统计!G68="",0,[3]羁绊解锁统计!G68-IF($R69=W$9,1,0))</f>
        <v>0</v>
      </c>
      <c r="X69" s="29">
        <f t="shared" si="5"/>
        <v>80925.925925925927</v>
      </c>
      <c r="Y69" s="10">
        <f t="shared" si="6"/>
        <v>0.16209362499883187</v>
      </c>
      <c r="AA69" s="14">
        <f t="shared" si="7"/>
        <v>0</v>
      </c>
      <c r="AB69" s="14">
        <f t="shared" si="8"/>
        <v>0</v>
      </c>
      <c r="AC69" s="14">
        <f t="shared" si="9"/>
        <v>0</v>
      </c>
      <c r="AD69" s="14">
        <f t="shared" si="10"/>
        <v>48</v>
      </c>
      <c r="AE69" s="14">
        <f t="shared" si="11"/>
        <v>0</v>
      </c>
      <c r="AF69" s="29">
        <f t="shared" si="12"/>
        <v>485555.55555555556</v>
      </c>
      <c r="AG69" s="10">
        <f t="shared" si="4"/>
        <v>0.56732768749591156</v>
      </c>
      <c r="AH69" s="87">
        <v>5.0000000000000096E-3</v>
      </c>
      <c r="AI69" s="4">
        <v>65</v>
      </c>
      <c r="AJ69" s="98">
        <f t="shared" si="0"/>
        <v>0.43021736140608863</v>
      </c>
      <c r="AK69" s="5">
        <f>'[1]资源-钻石'!$N68*求节点(武将数量星级阶位验证!$CP$41:$CP$72,武将数量星级阶位验证!$CS$41:$CS$72,节奏总纲!R68)</f>
        <v>326863.68306425505</v>
      </c>
      <c r="AL69" s="48"/>
      <c r="AO69" s="5">
        <v>21</v>
      </c>
      <c r="AP69" s="14">
        <f>基础状态预期!D79</f>
        <v>86.247032860782397</v>
      </c>
      <c r="AQ69" s="14">
        <f>(求节点(其他调用!$B$4:$B$163,其他调用!$D$4:$D$163,$AP69))*求节点(武将数量星级阶位验证!$CP$41:$CP$72,武将数量星级阶位验证!$CR$41:$CR$72,武将数量星级阶位验证!AS69)</f>
        <v>648291.2091193723</v>
      </c>
      <c r="AR69" s="14">
        <f>IF(武将升级!Y66="",0,求节点($AK$5:$AK$164,$AJ$5:$AJ$164,AQ$7)*B$5*武将升级!Y66)</f>
        <v>0</v>
      </c>
      <c r="AS69" s="14">
        <f>IF(武将升级!Z66="",0,求节点($AK$5:$AK$164,$AJ$5:$AJ$164,$AQ69)*C$5*武将升级!Z66)</f>
        <v>0</v>
      </c>
      <c r="AT69" s="14">
        <f>IF(武将升级!AA66="",0,求节点($AK$5:$AK$164,$AJ$5:$AJ$164,$AQ69)*D$5*武将升级!AA66)</f>
        <v>0</v>
      </c>
      <c r="AU69" s="14">
        <f>IF(武将升级!AB66="",0,求节点($AK$5:$AK$164,$AJ$5:$AJ$164,$AQ69)*E$5*武将升级!AB66)</f>
        <v>0</v>
      </c>
      <c r="AV69" s="14">
        <f>IF(武将升级!AC66="",0,求节点($AK$5:$AK$164,$AJ$5:$AJ$164,$AQ69)*F$5*武将升级!AC66)</f>
        <v>3745.2378421375747</v>
      </c>
      <c r="AW69" s="8">
        <f>SUMPRODUCT(AR69:AV69,基础状态预期!F79:J79)/SUM(基础状态预期!F79:J79)</f>
        <v>3745.2378421375747</v>
      </c>
    </row>
    <row r="70" spans="16:55" x14ac:dyDescent="0.15">
      <c r="P70" s="14" t="e">
        <f>8-COUNTIF([3]羁绊设计!$AD69:$AK69,"&amp;")</f>
        <v>#VALUE!</v>
      </c>
      <c r="Q70" s="29" t="str">
        <f>[3]羁绊解锁统计!$B69</f>
        <v>鲁班</v>
      </c>
      <c r="R70" s="29" t="str">
        <f>IF([3]羁绊设计!$F69="红","橙+",[3]羁绊设计!$F69)</f>
        <v>橙</v>
      </c>
      <c r="S70" s="14">
        <f>IF([3]羁绊解锁统计!C69="",0,[3]羁绊解锁统计!C69-IF($R70=S$9,1,0))</f>
        <v>0</v>
      </c>
      <c r="T70" s="14">
        <f>IF([3]羁绊解锁统计!D69="",0,[3]羁绊解锁统计!D69-IF($R70=T$9,1,0))</f>
        <v>0</v>
      </c>
      <c r="U70" s="14">
        <f>IF([3]羁绊解锁统计!E69="",0,[3]羁绊解锁统计!E69-IF($R70=U$9,1,0))</f>
        <v>0</v>
      </c>
      <c r="V70" s="14">
        <f>IF([3]羁绊解锁统计!F69="",0,[3]羁绊解锁统计!F69-IF($R70=V$9,1,0))</f>
        <v>4</v>
      </c>
      <c r="W70" s="14">
        <f>IF([3]羁绊解锁统计!G69="",0,[3]羁绊解锁统计!G69-IF($R70=W$9,1,0))</f>
        <v>0</v>
      </c>
      <c r="X70" s="29">
        <f t="shared" si="5"/>
        <v>63888.888888888898</v>
      </c>
      <c r="Y70" s="10">
        <f t="shared" si="6"/>
        <v>0.13740340360056111</v>
      </c>
      <c r="AA70" s="14">
        <f t="shared" si="7"/>
        <v>0</v>
      </c>
      <c r="AB70" s="14">
        <f t="shared" si="8"/>
        <v>0</v>
      </c>
      <c r="AC70" s="14">
        <f t="shared" si="9"/>
        <v>0</v>
      </c>
      <c r="AD70" s="14">
        <f t="shared" si="10"/>
        <v>24</v>
      </c>
      <c r="AE70" s="14">
        <f t="shared" si="11"/>
        <v>0</v>
      </c>
      <c r="AF70" s="29">
        <f t="shared" si="12"/>
        <v>383333.33333333337</v>
      </c>
      <c r="AG70" s="10">
        <f t="shared" si="4"/>
        <v>0.48091191260196386</v>
      </c>
      <c r="AH70" s="87">
        <v>5.0000000000000096E-3</v>
      </c>
      <c r="AI70" s="4">
        <v>66</v>
      </c>
      <c r="AJ70" s="98">
        <f t="shared" ref="AJ70:AJ114" si="18">MIN(AK70^LOG(3.5,6)/20000*1.2,$M$47)</f>
        <v>0.44801544049253611</v>
      </c>
      <c r="AK70" s="5">
        <f>'[1]资源-钻石'!$N69*求节点(武将数量星级阶位验证!$CP$41:$CP$72,武将数量星级阶位验证!$CS$41:$CS$72,节奏总纲!R69)</f>
        <v>346374.74979716103</v>
      </c>
      <c r="AL70" s="48"/>
      <c r="AO70" s="5">
        <v>22</v>
      </c>
      <c r="AP70" s="14">
        <f>基础状态预期!D80</f>
        <v>90.122782504866933</v>
      </c>
      <c r="AQ70" s="14">
        <f>(求节点(其他调用!$B$4:$B$163,其他调用!$D$4:$D$163,$AP70))*求节点(武将数量星级阶位验证!$CP$41:$CP$72,武将数量星级阶位验证!$CR$41:$CR$72,武将数量星级阶位验证!AS70)</f>
        <v>774555.52775168174</v>
      </c>
      <c r="AR70" s="14">
        <f>IF(武将升级!Y67="",0,求节点($AK$5:$AK$164,$AJ$5:$AJ$164,AQ$7)*B$5*武将升级!Y67)</f>
        <v>0</v>
      </c>
      <c r="AS70" s="14">
        <f>IF(武将升级!Z67="",0,求节点($AK$5:$AK$164,$AJ$5:$AJ$164,$AQ70)*C$5*武将升级!Z67)</f>
        <v>0</v>
      </c>
      <c r="AT70" s="14">
        <f>IF(武将升级!AA67="",0,求节点($AK$5:$AK$164,$AJ$5:$AJ$164,$AQ70)*D$5*武将升级!AA67)</f>
        <v>0</v>
      </c>
      <c r="AU70" s="14">
        <f>IF(武将升级!AB67="",0,求节点($AK$5:$AK$164,$AJ$5:$AJ$164,$AQ70)*E$5*武将升级!AB67)</f>
        <v>0</v>
      </c>
      <c r="AV70" s="14">
        <f>IF(武将升级!AC67="",0,求节点($AK$5:$AK$164,$AJ$5:$AJ$164,$AQ70)*F$5*武将升级!AC67)</f>
        <v>3891.7411786839698</v>
      </c>
      <c r="AW70" s="8">
        <f>SUMPRODUCT(AR70:AV70,基础状态预期!F80:J80)/SUM(基础状态预期!F80:J80)</f>
        <v>3891.7411786839698</v>
      </c>
    </row>
    <row r="71" spans="16:55" x14ac:dyDescent="0.15">
      <c r="P71" s="14" t="e">
        <f>8-COUNTIF([3]羁绊设计!$AD70:$AK70,"&amp;")</f>
        <v>#VALUE!</v>
      </c>
      <c r="Q71" s="29" t="str">
        <f>[3]羁绊解锁统计!$B70</f>
        <v>伍子胥</v>
      </c>
      <c r="R71" s="29" t="str">
        <f>IF([3]羁绊设计!$F70="红","橙+",[3]羁绊设计!$F70)</f>
        <v>橙</v>
      </c>
      <c r="S71" s="14">
        <f>IF([3]羁绊解锁统计!C70="",0,[3]羁绊解锁统计!C70-IF($R71=S$9,1,0))</f>
        <v>0</v>
      </c>
      <c r="T71" s="14">
        <f>IF([3]羁绊解锁统计!D70="",0,[3]羁绊解锁统计!D70-IF($R71=T$9,1,0))</f>
        <v>0</v>
      </c>
      <c r="U71" s="14">
        <f>IF([3]羁绊解锁统计!E70="",0,[3]羁绊解锁统计!E70-IF($R71=U$9,1,0))</f>
        <v>2</v>
      </c>
      <c r="V71" s="14">
        <f>IF([3]羁绊解锁统计!F70="",0,[3]羁绊解锁统计!F70-IF($R71=V$9,1,0))</f>
        <v>9</v>
      </c>
      <c r="W71" s="14">
        <f>IF([3]羁绊解锁统计!G70="",0,[3]羁绊解锁统计!G70-IF($R71=W$9,1,0))</f>
        <v>0</v>
      </c>
      <c r="X71" s="29">
        <f t="shared" si="5"/>
        <v>85185.185185185182</v>
      </c>
      <c r="Y71" s="10">
        <f t="shared" si="6"/>
        <v>0.1680096518804009</v>
      </c>
      <c r="AA71" s="14">
        <f t="shared" si="7"/>
        <v>0</v>
      </c>
      <c r="AB71" s="14">
        <f t="shared" si="8"/>
        <v>0</v>
      </c>
      <c r="AC71" s="14">
        <f t="shared" si="9"/>
        <v>12</v>
      </c>
      <c r="AD71" s="14">
        <f t="shared" si="10"/>
        <v>54</v>
      </c>
      <c r="AE71" s="14">
        <f t="shared" si="11"/>
        <v>0</v>
      </c>
      <c r="AF71" s="29">
        <f t="shared" si="12"/>
        <v>511111.11111111112</v>
      </c>
      <c r="AG71" s="10">
        <f t="shared" si="4"/>
        <v>0.58803378158140318</v>
      </c>
      <c r="AH71" s="87">
        <v>5.0000000000000096E-3</v>
      </c>
      <c r="AI71" s="4">
        <v>67</v>
      </c>
      <c r="AJ71" s="98">
        <f t="shared" si="18"/>
        <v>0.46549260413895988</v>
      </c>
      <c r="AK71" s="5">
        <f>'[1]资源-钻石'!$N70*求节点(武将数量星级阶位验证!$CP$41:$CP$72,武将数量星级阶位验证!$CS$41:$CS$72,节奏总纲!R70)</f>
        <v>365861.43676709244</v>
      </c>
      <c r="AL71" s="48"/>
      <c r="AO71" s="5">
        <v>23</v>
      </c>
      <c r="AP71" s="14">
        <f>基础状态预期!D81</f>
        <v>93.149045658279036</v>
      </c>
      <c r="AQ71" s="14">
        <f>(求节点(其他调用!$B$4:$B$163,其他调用!$D$4:$D$163,$AP71))*求节点(武将数量星级阶位验证!$CP$41:$CP$72,武将数量星级阶位验证!$CR$41:$CR$72,武将数量星级阶位验证!AS71)</f>
        <v>897844.98170292808</v>
      </c>
      <c r="AR71" s="14">
        <f>IF(武将升级!Y68="",0,求节点($AK$5:$AK$164,$AJ$5:$AJ$164,AQ$7)*B$5*武将升级!Y68)</f>
        <v>0</v>
      </c>
      <c r="AS71" s="14">
        <f>IF(武将升级!Z68="",0,求节点($AK$5:$AK$164,$AJ$5:$AJ$164,$AQ71)*C$5*武将升级!Z68)</f>
        <v>0</v>
      </c>
      <c r="AT71" s="14">
        <f>IF(武将升级!AA68="",0,求节点($AK$5:$AK$164,$AJ$5:$AJ$164,$AQ71)*D$5*武将升级!AA68)</f>
        <v>0</v>
      </c>
      <c r="AU71" s="14">
        <f>IF(武将升级!AB68="",0,求节点($AK$5:$AK$164,$AJ$5:$AJ$164,$AQ71)*E$5*武将升级!AB68)</f>
        <v>0</v>
      </c>
      <c r="AV71" s="14">
        <f>IF(武将升级!AC68="",0,求节点($AK$5:$AK$164,$AJ$5:$AJ$164,$AQ71)*F$5*武将升级!AC68)</f>
        <v>4006.1339258829476</v>
      </c>
      <c r="AW71" s="8">
        <f>SUMPRODUCT(AR71:AV71,基础状态预期!F81:J81)/SUM(基础状态预期!F81:J81)</f>
        <v>4006.133925882948</v>
      </c>
    </row>
    <row r="72" spans="16:55" x14ac:dyDescent="0.15">
      <c r="P72" s="14" t="e">
        <f>8-COUNTIF([3]羁绊设计!$AD71:$AK71,"&amp;")</f>
        <v>#VALUE!</v>
      </c>
      <c r="Q72" s="29" t="str">
        <f>[3]羁绊解锁统计!$B71</f>
        <v>欧冶子</v>
      </c>
      <c r="R72" s="29" t="str">
        <f>IF([3]羁绊设计!$F71="红","橙+",[3]羁绊设计!$F71)</f>
        <v>橙</v>
      </c>
      <c r="S72" s="14">
        <f>IF([3]羁绊解锁统计!C71="",0,[3]羁绊解锁统计!C71-IF($R72=S$9,1,0))</f>
        <v>0</v>
      </c>
      <c r="T72" s="14">
        <f>IF([3]羁绊解锁统计!D71="",0,[3]羁绊解锁统计!D71-IF($R72=T$9,1,0))</f>
        <v>0</v>
      </c>
      <c r="U72" s="14">
        <f>IF([3]羁绊解锁统计!E71="",0,[3]羁绊解锁统计!E71-IF($R72=U$9,1,0))</f>
        <v>1</v>
      </c>
      <c r="V72" s="14">
        <f>IF([3]羁绊解锁统计!F71="",0,[3]羁绊解锁统计!F71-IF($R72=V$9,1,0))</f>
        <v>4</v>
      </c>
      <c r="W72" s="14">
        <f>IF([3]羁绊解锁统计!G71="",0,[3]羁绊解锁统计!G71-IF($R72=W$9,1,0))</f>
        <v>0</v>
      </c>
      <c r="X72" s="29">
        <f t="shared" si="5"/>
        <v>63888.888888888898</v>
      </c>
      <c r="Y72" s="10">
        <f t="shared" si="6"/>
        <v>0.13740340360056111</v>
      </c>
      <c r="AA72" s="14">
        <f t="shared" si="7"/>
        <v>0</v>
      </c>
      <c r="AB72" s="14">
        <f t="shared" si="8"/>
        <v>0</v>
      </c>
      <c r="AC72" s="14">
        <f t="shared" si="9"/>
        <v>6</v>
      </c>
      <c r="AD72" s="14">
        <f t="shared" si="10"/>
        <v>24</v>
      </c>
      <c r="AE72" s="14">
        <f t="shared" si="11"/>
        <v>0</v>
      </c>
      <c r="AF72" s="29">
        <f t="shared" si="12"/>
        <v>383333.33333333337</v>
      </c>
      <c r="AG72" s="10">
        <f t="shared" si="4"/>
        <v>0.48091191260196386</v>
      </c>
      <c r="AH72" s="87">
        <v>5.0000000000000096E-3</v>
      </c>
      <c r="AI72" s="4">
        <v>68</v>
      </c>
      <c r="AJ72" s="98">
        <f t="shared" si="18"/>
        <v>0.48292539865898454</v>
      </c>
      <c r="AK72" s="5">
        <f>'[1]资源-钻石'!$N71*求节点(武将数量星级阶位验证!$CP$41:$CP$72,武将数量星级阶位验证!$CS$41:$CS$72,节奏总纲!R71)</f>
        <v>385614.85070554499</v>
      </c>
      <c r="AL72" s="48"/>
      <c r="AO72" s="5">
        <v>24</v>
      </c>
      <c r="AP72" s="14">
        <f>基础状态预期!D82</f>
        <v>96.770480813454071</v>
      </c>
      <c r="AQ72" s="14">
        <f>(求节点(其他调用!$B$4:$B$163,其他调用!$D$4:$D$163,$AP72))*求节点(武将数量星级阶位验证!$CP$41:$CP$72,武将数量星级阶位验证!$CR$41:$CR$72,武将数量星级阶位验证!AS72)</f>
        <v>1073548.0469514059</v>
      </c>
      <c r="AR72" s="14">
        <f>IF(武将升级!Y69="",0,求节点($AK$5:$AK$164,$AJ$5:$AJ$164,AQ$7)*B$5*武将升级!Y69)</f>
        <v>0</v>
      </c>
      <c r="AS72" s="14">
        <f>IF(武将升级!Z69="",0,求节点($AK$5:$AK$164,$AJ$5:$AJ$164,$AQ72)*C$5*武将升级!Z69)</f>
        <v>0</v>
      </c>
      <c r="AT72" s="14">
        <f>IF(武将升级!AA69="",0,求节点($AK$5:$AK$164,$AJ$5:$AJ$164,$AQ72)*D$5*武将升级!AA69)</f>
        <v>0</v>
      </c>
      <c r="AU72" s="14">
        <f>IF(武将升级!AB69="",0,求节点($AK$5:$AK$164,$AJ$5:$AJ$164,$AQ72)*E$5*武将升级!AB69)</f>
        <v>0</v>
      </c>
      <c r="AV72" s="14">
        <f>IF(武将升级!AC69="",0,求节点($AK$5:$AK$164,$AJ$5:$AJ$164,$AQ72)*F$5*武将升级!AC69)</f>
        <v>4143.0241747485643</v>
      </c>
      <c r="AW72" s="8">
        <f>SUMPRODUCT(AR72:AV72,基础状态预期!F82:J82)/SUM(基础状态预期!F82:J82)</f>
        <v>4143.0241747485643</v>
      </c>
    </row>
    <row r="73" spans="16:55" x14ac:dyDescent="0.15">
      <c r="P73" s="14" t="e">
        <f>8-COUNTIF([3]羁绊设计!$AD72:$AK72,"&amp;")</f>
        <v>#VALUE!</v>
      </c>
      <c r="Q73" s="29" t="str">
        <f>[3]羁绊解锁统计!$B72</f>
        <v>勾践</v>
      </c>
      <c r="R73" s="29" t="str">
        <f>IF([3]羁绊设计!$F72="红","橙+",[3]羁绊设计!$F72)</f>
        <v>橙</v>
      </c>
      <c r="S73" s="14">
        <f>IF([3]羁绊解锁统计!C72="",0,[3]羁绊解锁统计!C72-IF($R73=S$9,1,0))</f>
        <v>0</v>
      </c>
      <c r="T73" s="14">
        <f>IF([3]羁绊解锁统计!D72="",0,[3]羁绊解锁统计!D72-IF($R73=T$9,1,0))</f>
        <v>0</v>
      </c>
      <c r="U73" s="14">
        <f>IF([3]羁绊解锁统计!E72="",0,[3]羁绊解锁统计!E72-IF($R73=U$9,1,0))</f>
        <v>1</v>
      </c>
      <c r="V73" s="14">
        <f>IF([3]羁绊解锁统计!F72="",0,[3]羁绊解锁统计!F72-IF($R73=V$9,1,0))</f>
        <v>3</v>
      </c>
      <c r="W73" s="14">
        <f>IF([3]羁绊解锁统计!G72="",0,[3]羁绊解锁统计!G72-IF($R73=W$9,1,0))</f>
        <v>0</v>
      </c>
      <c r="X73" s="29">
        <f t="shared" si="5"/>
        <v>59629.629629629642</v>
      </c>
      <c r="Y73" s="10">
        <f t="shared" si="6"/>
        <v>0.13092644438936596</v>
      </c>
      <c r="AA73" s="14">
        <f t="shared" si="7"/>
        <v>0</v>
      </c>
      <c r="AB73" s="14">
        <f t="shared" si="8"/>
        <v>0</v>
      </c>
      <c r="AC73" s="14">
        <f t="shared" si="9"/>
        <v>6</v>
      </c>
      <c r="AD73" s="14">
        <f t="shared" si="10"/>
        <v>18</v>
      </c>
      <c r="AE73" s="14">
        <f t="shared" si="11"/>
        <v>0</v>
      </c>
      <c r="AF73" s="29">
        <f t="shared" si="12"/>
        <v>357777.77777777787</v>
      </c>
      <c r="AG73" s="10">
        <f t="shared" si="4"/>
        <v>0.45824255536278086</v>
      </c>
      <c r="AH73" s="87">
        <v>5.0000000000000096E-3</v>
      </c>
      <c r="AI73" s="4">
        <v>69</v>
      </c>
      <c r="AJ73" s="98">
        <f t="shared" si="18"/>
        <v>0.50314942773876736</v>
      </c>
      <c r="AK73" s="5">
        <f>'[1]资源-钻石'!$N72*求节点(武将数量星级阶位验证!$CP$41:$CP$72,武将数量星级阶位验证!$CS$41:$CS$72,节奏总纲!R72)</f>
        <v>408918.12054268277</v>
      </c>
      <c r="AL73" s="48"/>
      <c r="AO73" s="5">
        <v>25</v>
      </c>
      <c r="AP73" s="14">
        <f>基础状态预期!D83</f>
        <v>100.40175326279811</v>
      </c>
      <c r="AQ73" s="14">
        <f>(求节点(其他调用!$B$4:$B$163,其他调用!$D$4:$D$163,$AP73))*求节点(武将数量星级阶位验证!$CP$41:$CP$72,武将数量星级阶位验证!$CR$41:$CR$72,武将数量星级阶位验证!AS73)</f>
        <v>1287046.3959285037</v>
      </c>
      <c r="AR73" s="14">
        <f>IF(武将升级!Y70="",0,求节点($AK$5:$AK$164,$AJ$5:$AJ$164,AQ$7)*B$5*武将升级!Y70)</f>
        <v>0</v>
      </c>
      <c r="AS73" s="14">
        <f>IF(武将升级!Z70="",0,求节点($AK$5:$AK$164,$AJ$5:$AJ$164,$AQ73)*C$5*武将升级!Z70)</f>
        <v>0</v>
      </c>
      <c r="AT73" s="14">
        <f>IF(武将升级!AA70="",0,求节点($AK$5:$AK$164,$AJ$5:$AJ$164,$AQ73)*D$5*武将升级!AA70)</f>
        <v>0</v>
      </c>
      <c r="AU73" s="14">
        <f>IF(武将升级!AB70="",0,求节点($AK$5:$AK$164,$AJ$5:$AJ$164,$AQ73)*E$5*武将升级!AB70)</f>
        <v>0</v>
      </c>
      <c r="AV73" s="14">
        <f>IF(武将升级!AC70="",0,求节点($AK$5:$AK$164,$AJ$5:$AJ$164,$AQ73)*F$5*武将升级!AC70)</f>
        <v>4280.2862733337688</v>
      </c>
      <c r="AW73" s="8">
        <f>SUMPRODUCT(AR73:AV73,基础状态预期!F83:J83)/SUM(基础状态预期!F83:J83)</f>
        <v>4280.2862733337688</v>
      </c>
    </row>
    <row r="74" spans="16:55" x14ac:dyDescent="0.15">
      <c r="P74" s="14" t="e">
        <f>8-COUNTIF([3]羁绊设计!$AD73:$AK73,"&amp;")</f>
        <v>#VALUE!</v>
      </c>
      <c r="Q74" s="29" t="str">
        <f>[3]羁绊解锁统计!$B73</f>
        <v>晋文公</v>
      </c>
      <c r="R74" s="29" t="str">
        <f>IF([3]羁绊设计!$F73="红","橙+",[3]羁绊设计!$F73)</f>
        <v>橙+</v>
      </c>
      <c r="S74" s="14">
        <f>IF([3]羁绊解锁统计!C73="",0,[3]羁绊解锁统计!C73-IF($R74=S$9,1,0))</f>
        <v>0</v>
      </c>
      <c r="T74" s="14">
        <f>IF([3]羁绊解锁统计!D73="",0,[3]羁绊解锁统计!D73-IF($R74=T$9,1,0))</f>
        <v>0</v>
      </c>
      <c r="U74" s="14">
        <f>IF([3]羁绊解锁统计!E73="",0,[3]羁绊解锁统计!E73-IF($R74=U$9,1,0))</f>
        <v>0</v>
      </c>
      <c r="V74" s="14">
        <f>IF([3]羁绊解锁统计!F73="",0,[3]羁绊解锁统计!F73-IF($R74=V$9,1,0))</f>
        <v>11</v>
      </c>
      <c r="W74" s="14">
        <f>IF([3]羁绊解锁统计!G73="",0,[3]羁绊解锁统计!G73-IF($R74=W$9,1,0))</f>
        <v>0</v>
      </c>
      <c r="X74" s="29">
        <f t="shared" si="5"/>
        <v>93703.703703703708</v>
      </c>
      <c r="Y74" s="104">
        <v>0.16200000000000001</v>
      </c>
      <c r="AA74" s="14">
        <f t="shared" si="7"/>
        <v>0</v>
      </c>
      <c r="AB74" s="14">
        <f t="shared" si="8"/>
        <v>0</v>
      </c>
      <c r="AC74" s="14">
        <f t="shared" si="9"/>
        <v>0</v>
      </c>
      <c r="AD74" s="14">
        <f t="shared" si="10"/>
        <v>66</v>
      </c>
      <c r="AE74" s="14">
        <f t="shared" si="11"/>
        <v>0</v>
      </c>
      <c r="AF74" s="29">
        <f t="shared" si="12"/>
        <v>562222.22222222225</v>
      </c>
      <c r="AG74" s="10">
        <f t="shared" ref="AG74:AG83" si="19">MAX(求节点($AK$5:$AK$104,$AJ$5:$AJ$104,IF(AF74=0,2000,AF74))*INDEX($B$5:$G$5,1,MATCH(R74,$B$14:$G$14,0),1),0.05)</f>
        <v>0.62438433454172615</v>
      </c>
      <c r="AH74" s="87">
        <v>5.0000000000000096E-3</v>
      </c>
      <c r="AI74" s="4">
        <v>70</v>
      </c>
      <c r="AJ74" s="98">
        <f t="shared" si="18"/>
        <v>0.52448226942580745</v>
      </c>
      <c r="AK74" s="5">
        <f>'[1]资源-钻石'!$N73*求节点(武将数量星级阶位验证!$CP$41:$CP$72,武将数量星级阶位验证!$CS$41:$CS$72,节奏总纲!R73)</f>
        <v>433939.48569099541</v>
      </c>
      <c r="AL74" s="48"/>
      <c r="AO74" s="5">
        <v>26</v>
      </c>
      <c r="AP74" s="14">
        <f>基础状态预期!D84</f>
        <v>104.06236366727887</v>
      </c>
      <c r="AQ74" s="14">
        <f>(求节点(其他调用!$B$4:$B$163,其他调用!$D$4:$D$163,$AP74))*求节点(武将数量星级阶位验证!$CP$41:$CP$72,武将数量星级阶位验证!$CR$41:$CR$72,武将数量星级阶位验证!AS74)</f>
        <v>1586214.2598748459</v>
      </c>
      <c r="AR74" s="14">
        <f>IF(武将升级!Y71="",0,求节点($AK$5:$AK$164,$AJ$5:$AJ$164,AQ$7)*B$5*武将升级!Y71)</f>
        <v>0</v>
      </c>
      <c r="AS74" s="14">
        <f>IF(武将升级!Z71="",0,求节点($AK$5:$AK$164,$AJ$5:$AJ$164,$AQ74)*C$5*武将升级!Z71)</f>
        <v>0</v>
      </c>
      <c r="AT74" s="14">
        <f>IF(武将升级!AA71="",0,求节点($AK$5:$AK$164,$AJ$5:$AJ$164,$AQ74)*D$5*武将升级!AA71)</f>
        <v>0</v>
      </c>
      <c r="AU74" s="14">
        <f>IF(武将升级!AB71="",0,求节点($AK$5:$AK$164,$AJ$5:$AJ$164,$AQ74)*E$5*武将升级!AB71)</f>
        <v>0</v>
      </c>
      <c r="AV74" s="14">
        <f>IF(武将升级!AC71="",0,求节点($AK$5:$AK$164,$AJ$5:$AJ$164,$AQ74)*F$5*武将升级!AC71)</f>
        <v>4418.6573466231412</v>
      </c>
      <c r="AW74" s="8">
        <f>SUMPRODUCT(AR74:AV74,基础状态预期!F84:J84)/SUM(基础状态预期!F84:J84)</f>
        <v>4418.6573466231412</v>
      </c>
    </row>
    <row r="75" spans="16:55" x14ac:dyDescent="0.15">
      <c r="P75" s="14" t="e">
        <f>8-COUNTIF([3]羁绊设计!$AD74:$AK74,"&amp;")</f>
        <v>#VALUE!</v>
      </c>
      <c r="Q75" s="29" t="str">
        <f>[3]羁绊解锁统计!$B74</f>
        <v>范蠡</v>
      </c>
      <c r="R75" s="29" t="str">
        <f>IF([3]羁绊设计!$F74="红","橙+",[3]羁绊设计!$F74)</f>
        <v>橙</v>
      </c>
      <c r="S75" s="14">
        <f>IF([3]羁绊解锁统计!C74="",0,[3]羁绊解锁统计!C74-IF($R75=S$9,1,0))</f>
        <v>0</v>
      </c>
      <c r="T75" s="14">
        <f>IF([3]羁绊解锁统计!D74="",0,[3]羁绊解锁统计!D74-IF($R75=T$9,1,0))</f>
        <v>0</v>
      </c>
      <c r="U75" s="14">
        <f>IF([3]羁绊解锁统计!E74="",0,[3]羁绊解锁统计!E74-IF($R75=U$9,1,0))</f>
        <v>0</v>
      </c>
      <c r="V75" s="14">
        <f>IF([3]羁绊解锁统计!F74="",0,[3]羁绊解锁统计!F74-IF($R75=V$9,1,0))</f>
        <v>0</v>
      </c>
      <c r="W75" s="14">
        <f>IF([3]羁绊解锁统计!G74="",0,[3]羁绊解锁统计!G74-IF($R75=W$9,1,0))</f>
        <v>0</v>
      </c>
      <c r="X75" s="29">
        <f t="shared" ref="X75:X79" si="20">MAX(IF(T75=0,0,$J$42*(1+J$43*(T75-1))),IF(U75=0,0,$K$42*(1+K$43*(U75-1))),IF(V75=0,0,$L$42*(1+L$43*(V75-1))),IF(W75=0,0,$M$42*(1+M$43*(W75-1))))</f>
        <v>0</v>
      </c>
      <c r="Y75" s="10">
        <f t="shared" ref="Y75:Y79" si="21">AG75/3.5</f>
        <v>1.4285714285714287E-2</v>
      </c>
      <c r="AA75" s="14">
        <f t="shared" ref="AA75:AA83" si="22">S75*INDEX($B$4:$G$4,1,MATCH($R75,$B$3:$G$3,0))</f>
        <v>0</v>
      </c>
      <c r="AB75" s="14">
        <f t="shared" ref="AB75:AB83" si="23">T75*INDEX($B$4:$G$4,1,MATCH($R75,$B$3:$G$3,0))</f>
        <v>0</v>
      </c>
      <c r="AC75" s="14">
        <f t="shared" ref="AC75:AC83" si="24">U75*INDEX($B$4:$G$4,1,MATCH($R75,$B$3:$G$3,0))</f>
        <v>0</v>
      </c>
      <c r="AD75" s="14">
        <f t="shared" ref="AD75:AD83" si="25">V75*INDEX($B$4:$G$4,1,MATCH($R75,$B$3:$G$3,0))</f>
        <v>0</v>
      </c>
      <c r="AE75" s="14">
        <f t="shared" ref="AE75:AE83" si="26">W75*INDEX($B$4:$G$4,1,MATCH($R75,$B$3:$G$3,0))</f>
        <v>0</v>
      </c>
      <c r="AF75" s="29">
        <f t="shared" ref="AF75:AF83" si="27">X75*INDEX($B$4:$G$4,1,MATCH(R75,$B$3:$G$3,0))</f>
        <v>0</v>
      </c>
      <c r="AG75" s="10">
        <f t="shared" si="19"/>
        <v>0.05</v>
      </c>
      <c r="AH75" s="87">
        <v>5.0000000000000096E-3</v>
      </c>
      <c r="AI75" s="4">
        <v>71</v>
      </c>
      <c r="AJ75" s="98">
        <f t="shared" si="18"/>
        <v>0.54229969933472255</v>
      </c>
      <c r="AK75" s="5">
        <f>'[1]资源-钻石'!$N74*求节点(武将数量星级阶位验证!$CP$41:$CP$72,武将数量星级阶位验证!$CS$41:$CS$72,节奏总纲!R74)</f>
        <v>455176.64669559395</v>
      </c>
      <c r="AL75" s="48"/>
      <c r="AO75" s="5">
        <v>27</v>
      </c>
      <c r="AP75" s="14">
        <f>基础状态预期!D85</f>
        <v>107.42257994053838</v>
      </c>
      <c r="AQ75" s="14">
        <f>(求节点(其他调用!$B$4:$B$163,其他调用!$D$4:$D$163,$AP75))*求节点(武将数量星级阶位验证!$CP$41:$CP$72,武将数量星级阶位验证!$CR$41:$CR$72,武将数量星级阶位验证!AS75)</f>
        <v>1939166.4726871557</v>
      </c>
      <c r="AR75" s="14">
        <f>IF(武将升级!Y72="",0,求节点($AK$5:$AK$164,$AJ$5:$AJ$164,AQ$7)*B$5*武将升级!Y72)</f>
        <v>0</v>
      </c>
      <c r="AS75" s="14">
        <f>IF(武将升级!Z72="",0,求节点($AK$5:$AK$164,$AJ$5:$AJ$164,$AQ75)*C$5*武将升级!Z72)</f>
        <v>0</v>
      </c>
      <c r="AT75" s="14">
        <f>IF(武将升级!AA72="",0,求节点($AK$5:$AK$164,$AJ$5:$AJ$164,$AQ75)*D$5*武将升级!AA72)</f>
        <v>0</v>
      </c>
      <c r="AU75" s="14">
        <f>IF(武将升级!AB72="",0,求节点($AK$5:$AK$164,$AJ$5:$AJ$164,$AQ75)*E$5*武将升级!AB72)</f>
        <v>0</v>
      </c>
      <c r="AV75" s="14">
        <f>IF(武将升级!AC72="",0,求节点($AK$5:$AK$164,$AJ$5:$AJ$164,$AQ75)*F$5*武将升级!AC72)</f>
        <v>4545.673521752351</v>
      </c>
      <c r="AW75" s="8">
        <f>SUMPRODUCT(AR75:AV75,基础状态预期!F85:J85)/SUM(基础状态预期!F85:J85)</f>
        <v>4545.673521752351</v>
      </c>
    </row>
    <row r="76" spans="16:55" x14ac:dyDescent="0.15">
      <c r="P76" s="14" t="e">
        <f>8-COUNTIF([3]羁绊设计!$AD75:$AK75,"&amp;")</f>
        <v>#VALUE!</v>
      </c>
      <c r="Q76" s="29" t="str">
        <f>[3]羁绊解锁统计!$B75</f>
        <v>孙武</v>
      </c>
      <c r="R76" s="29" t="str">
        <f>IF([3]羁绊设计!$F75="红","橙+",[3]羁绊设计!$F75)</f>
        <v>橙+</v>
      </c>
      <c r="S76" s="14">
        <f>IF([3]羁绊解锁统计!C75="",0,[3]羁绊解锁统计!C75-IF($R76=S$9,1,0))</f>
        <v>0</v>
      </c>
      <c r="T76" s="14">
        <f>IF([3]羁绊解锁统计!D75="",0,[3]羁绊解锁统计!D75-IF($R76=T$9,1,0))</f>
        <v>0</v>
      </c>
      <c r="U76" s="14">
        <f>IF([3]羁绊解锁统计!E75="",0,[3]羁绊解锁统计!E75-IF($R76=U$9,1,0))</f>
        <v>0</v>
      </c>
      <c r="V76" s="14">
        <f>IF([3]羁绊解锁统计!F75="",0,[3]羁绊解锁统计!F75-IF($R76=V$9,1,0))</f>
        <v>0</v>
      </c>
      <c r="W76" s="14">
        <f>IF([3]羁绊解锁统计!G75="",0,[3]羁绊解锁统计!G75-IF($R76=W$9,1,0))</f>
        <v>0</v>
      </c>
      <c r="X76" s="29">
        <f t="shared" si="20"/>
        <v>0</v>
      </c>
      <c r="Y76" s="10">
        <f t="shared" si="21"/>
        <v>1.4285714285714287E-2</v>
      </c>
      <c r="AA76" s="14">
        <f t="shared" si="22"/>
        <v>0</v>
      </c>
      <c r="AB76" s="14">
        <f t="shared" si="23"/>
        <v>0</v>
      </c>
      <c r="AC76" s="14">
        <f t="shared" si="24"/>
        <v>0</v>
      </c>
      <c r="AD76" s="14">
        <f t="shared" si="25"/>
        <v>0</v>
      </c>
      <c r="AE76" s="14">
        <f t="shared" si="26"/>
        <v>0</v>
      </c>
      <c r="AF76" s="29">
        <f t="shared" si="27"/>
        <v>0</v>
      </c>
      <c r="AG76" s="10">
        <f t="shared" si="19"/>
        <v>0.05</v>
      </c>
      <c r="AH76" s="87">
        <v>5.0000000000000096E-3</v>
      </c>
      <c r="AI76" s="4">
        <v>72</v>
      </c>
      <c r="AJ76" s="98">
        <f t="shared" si="18"/>
        <v>0.56008809253701319</v>
      </c>
      <c r="AK76" s="5">
        <f>'[1]资源-钻石'!$N75*求节点(武将数量星级阶位验证!$CP$41:$CP$72,武将数量星级阶位验证!$CS$41:$CS$72,节奏总纲!R75)</f>
        <v>476680.84294077585</v>
      </c>
      <c r="AL76" s="48"/>
      <c r="AO76" s="5">
        <v>28</v>
      </c>
      <c r="AP76" s="14">
        <f>基础状态预期!D86</f>
        <v>111.00691759243479</v>
      </c>
      <c r="AQ76" s="14">
        <f>(求节点(其他调用!$B$4:$B$163,其他调用!$D$4:$D$163,$AP76))*求节点(武将数量星级阶位验证!$CP$41:$CP$72,武将数量星级阶位验证!$CR$41:$CR$72,武将数量星级阶位验证!AS76)</f>
        <v>2385569.2597987759</v>
      </c>
      <c r="AR76" s="14">
        <f>IF(武将升级!Y73="",0,求节点($AK$5:$AK$164,$AJ$5:$AJ$164,AQ$7)*B$5*武将升级!Y73)</f>
        <v>0</v>
      </c>
      <c r="AS76" s="14">
        <f>IF(武将升级!Z73="",0,求节点($AK$5:$AK$164,$AJ$5:$AJ$164,$AQ76)*C$5*武将升级!Z73)</f>
        <v>0</v>
      </c>
      <c r="AT76" s="14">
        <f>IF(武将升级!AA73="",0,求节点($AK$5:$AK$164,$AJ$5:$AJ$164,$AQ76)*D$5*武将升级!AA73)</f>
        <v>0</v>
      </c>
      <c r="AU76" s="14">
        <f>IF(武将升级!AB73="",0,求节点($AK$5:$AK$164,$AJ$5:$AJ$164,$AQ76)*E$5*武将升级!AB73)</f>
        <v>0</v>
      </c>
      <c r="AV76" s="14">
        <f>IF(武将升级!AC73="",0,求节点($AK$5:$AK$164,$AJ$5:$AJ$164,$AQ76)*F$5*武将升级!AC73)</f>
        <v>4681.1614849940352</v>
      </c>
      <c r="AW76" s="8">
        <f>SUMPRODUCT(AR76:AV76,基础状态预期!F86:J86)/SUM(基础状态预期!F86:J86)</f>
        <v>4681.1614849940352</v>
      </c>
    </row>
    <row r="77" spans="16:55" x14ac:dyDescent="0.15">
      <c r="P77" s="14" t="e">
        <f>8-COUNTIF([3]羁绊设计!$AD76:$AK76,"&amp;")</f>
        <v>#VALUE!</v>
      </c>
      <c r="Q77" s="29" t="str">
        <f>[3]羁绊解锁统计!$B76</f>
        <v>鬼谷子</v>
      </c>
      <c r="R77" s="29" t="str">
        <f>IF([3]羁绊设计!$F76="红","橙+",[3]羁绊设计!$F76)</f>
        <v>橙+</v>
      </c>
      <c r="S77" s="14">
        <f>IF([3]羁绊解锁统计!C76="",0,[3]羁绊解锁统计!C76-IF($R77=S$9,1,0))</f>
        <v>0</v>
      </c>
      <c r="T77" s="14">
        <f>IF([3]羁绊解锁统计!D76="",0,[3]羁绊解锁统计!D76-IF($R77=T$9,1,0))</f>
        <v>0</v>
      </c>
      <c r="U77" s="14">
        <f>IF([3]羁绊解锁统计!E76="",0,[3]羁绊解锁统计!E76-IF($R77=U$9,1,0))</f>
        <v>0</v>
      </c>
      <c r="V77" s="14">
        <f>IF([3]羁绊解锁统计!F76="",0,[3]羁绊解锁统计!F76-IF($R77=V$9,1,0))</f>
        <v>0</v>
      </c>
      <c r="W77" s="14">
        <f>IF([3]羁绊解锁统计!G76="",0,[3]羁绊解锁统计!G76-IF($R77=W$9,1,0))</f>
        <v>0</v>
      </c>
      <c r="X77" s="29">
        <f t="shared" si="20"/>
        <v>0</v>
      </c>
      <c r="Y77" s="10">
        <f t="shared" si="21"/>
        <v>1.4285714285714287E-2</v>
      </c>
      <c r="AA77" s="14">
        <f t="shared" si="22"/>
        <v>0</v>
      </c>
      <c r="AB77" s="14">
        <f t="shared" si="23"/>
        <v>0</v>
      </c>
      <c r="AC77" s="14">
        <f t="shared" si="24"/>
        <v>0</v>
      </c>
      <c r="AD77" s="14">
        <f t="shared" si="25"/>
        <v>0</v>
      </c>
      <c r="AE77" s="14">
        <f t="shared" si="26"/>
        <v>0</v>
      </c>
      <c r="AF77" s="29">
        <f t="shared" si="27"/>
        <v>0</v>
      </c>
      <c r="AG77" s="10">
        <f t="shared" si="19"/>
        <v>0.05</v>
      </c>
      <c r="AH77" s="87">
        <v>5.0000000000000096E-3</v>
      </c>
      <c r="AI77" s="4">
        <v>73</v>
      </c>
      <c r="AJ77" s="98">
        <f t="shared" si="18"/>
        <v>0.57859924077175484</v>
      </c>
      <c r="AK77" s="5">
        <f>'[1]资源-钻石'!$N76*求节点(武将数量星级阶位验证!$CP$41:$CP$72,武将数量星级阶位验证!$CS$41:$CS$72,节奏总纲!R76)</f>
        <v>499372.87497925293</v>
      </c>
      <c r="AL77" s="48"/>
      <c r="AO77" s="5">
        <v>29</v>
      </c>
      <c r="AP77" s="14">
        <f>基础状态预期!D87</f>
        <v>114.47614359759058</v>
      </c>
      <c r="AQ77" s="14">
        <f>(求节点(其他调用!$B$4:$B$163,其他调用!$D$4:$D$163,$AP77))*求节点(武将数量星级阶位验证!$CP$41:$CP$72,武将数量星级阶位验证!$CR$41:$CR$72,武将数量星级阶位验证!AS77)</f>
        <v>2936122.8138748417</v>
      </c>
      <c r="AR77" s="14">
        <f>IF(武将升级!Y74="",0,求节点($AK$5:$AK$164,$AJ$5:$AJ$164,AQ$7)*B$5*武将升级!Y74)</f>
        <v>0</v>
      </c>
      <c r="AS77" s="14">
        <f>IF(武将升级!Z74="",0,求节点($AK$5:$AK$164,$AJ$5:$AJ$164,$AQ77)*C$5*武将升级!Z74)</f>
        <v>0</v>
      </c>
      <c r="AT77" s="14">
        <f>IF(武将升级!AA74="",0,求节点($AK$5:$AK$164,$AJ$5:$AJ$164,$AQ77)*D$5*武将升级!AA74)</f>
        <v>0</v>
      </c>
      <c r="AU77" s="14">
        <f>IF(武将升级!AB74="",0,求节点($AK$5:$AK$164,$AJ$5:$AJ$164,$AQ77)*E$5*武将升级!AB74)</f>
        <v>0</v>
      </c>
      <c r="AV77" s="14">
        <f>IF(武将升级!AC74="",0,求节点($AK$5:$AK$164,$AJ$5:$AJ$164,$AQ77)*F$5*武将升级!AC74)</f>
        <v>4812.2982279889238</v>
      </c>
      <c r="AW77" s="8">
        <f>SUMPRODUCT(AR77:AV77,基础状态预期!F87:J87)/SUM(基础状态预期!F87:J87)</f>
        <v>4812.2982279889238</v>
      </c>
    </row>
    <row r="78" spans="16:55" x14ac:dyDescent="0.15">
      <c r="P78" s="14" t="e">
        <f>8-COUNTIF([3]羁绊设计!$AD77:$AK77,"&amp;")</f>
        <v>#VALUE!</v>
      </c>
      <c r="Q78" s="29" t="str">
        <f>[3]羁绊解锁统计!$B77</f>
        <v>孔丘</v>
      </c>
      <c r="R78" s="29" t="str">
        <f>IF([3]羁绊设计!$F77="红","橙+",[3]羁绊设计!$F77)</f>
        <v>橙+</v>
      </c>
      <c r="S78" s="14">
        <f>IF([3]羁绊解锁统计!C77="",0,[3]羁绊解锁统计!C77-IF($R78=S$9,1,0))</f>
        <v>0</v>
      </c>
      <c r="T78" s="14">
        <f>IF([3]羁绊解锁统计!D77="",0,[3]羁绊解锁统计!D77-IF($R78=T$9,1,0))</f>
        <v>0</v>
      </c>
      <c r="U78" s="14">
        <f>IF([3]羁绊解锁统计!E77="",0,[3]羁绊解锁统计!E77-IF($R78=U$9,1,0))</f>
        <v>0</v>
      </c>
      <c r="V78" s="14">
        <f>IF([3]羁绊解锁统计!F77="",0,[3]羁绊解锁统计!F77-IF($R78=V$9,1,0))</f>
        <v>0</v>
      </c>
      <c r="W78" s="14">
        <f>IF([3]羁绊解锁统计!G77="",0,[3]羁绊解锁统计!G77-IF($R78=W$9,1,0))</f>
        <v>0</v>
      </c>
      <c r="X78" s="29">
        <f t="shared" si="20"/>
        <v>0</v>
      </c>
      <c r="Y78" s="10">
        <f t="shared" si="21"/>
        <v>1.4285714285714287E-2</v>
      </c>
      <c r="AA78" s="14">
        <f t="shared" si="22"/>
        <v>0</v>
      </c>
      <c r="AB78" s="14">
        <f t="shared" si="23"/>
        <v>0</v>
      </c>
      <c r="AC78" s="14">
        <f t="shared" si="24"/>
        <v>0</v>
      </c>
      <c r="AD78" s="14">
        <f t="shared" si="25"/>
        <v>0</v>
      </c>
      <c r="AE78" s="14">
        <f t="shared" si="26"/>
        <v>0</v>
      </c>
      <c r="AF78" s="29">
        <f t="shared" si="27"/>
        <v>0</v>
      </c>
      <c r="AG78" s="10">
        <f t="shared" si="19"/>
        <v>0.05</v>
      </c>
      <c r="AH78" s="87">
        <v>5.0000000000000096E-3</v>
      </c>
      <c r="AI78" s="4">
        <v>74</v>
      </c>
      <c r="AJ78" s="98">
        <f t="shared" si="18"/>
        <v>0.60003800986007128</v>
      </c>
      <c r="AK78" s="5">
        <f>'[1]资源-钻石'!$N77*求节点(武将数量星级阶位验证!$CP$41:$CP$72,武将数量星级阶位验证!$CS$41:$CS$72,节奏总纲!R77)</f>
        <v>526046.49259482208</v>
      </c>
      <c r="AL78" s="48"/>
      <c r="AO78" s="5">
        <v>30</v>
      </c>
      <c r="AP78" s="14">
        <f>基础状态预期!D88</f>
        <v>118.05724034557241</v>
      </c>
      <c r="AQ78" s="14">
        <f>(求节点(其他调用!$B$4:$B$163,其他调用!$D$4:$D$163,$AP78))*求节点(武将数量星级阶位验证!$CP$41:$CP$72,武将数量星级阶位验证!$CR$41:$CR$72,武将数量星级阶位验证!AS78)</f>
        <v>3639736.2457615328</v>
      </c>
      <c r="AR78" s="14">
        <f>IF(武将升级!Y75="",0,求节点($AK$5:$AK$164,$AJ$5:$AJ$164,AQ$7)*B$5*武将升级!Y75)</f>
        <v>0</v>
      </c>
      <c r="AS78" s="14">
        <f>IF(武将升级!Z75="",0,求节点($AK$5:$AK$164,$AJ$5:$AJ$164,$AQ78)*C$5*武将升级!Z75)</f>
        <v>0</v>
      </c>
      <c r="AT78" s="14">
        <f>IF(武将升级!AA75="",0,求节点($AK$5:$AK$164,$AJ$5:$AJ$164,$AQ78)*D$5*武将升级!AA75)</f>
        <v>0</v>
      </c>
      <c r="AU78" s="14">
        <f>IF(武将升级!AB75="",0,求节点($AK$5:$AK$164,$AJ$5:$AJ$164,$AQ78)*E$5*武将升级!AB75)</f>
        <v>0</v>
      </c>
      <c r="AV78" s="14">
        <f>IF(武将升级!AC75="",0,求节点($AK$5:$AK$164,$AJ$5:$AJ$164,$AQ78)*F$5*武将升级!AC75)</f>
        <v>4947.6636850626373</v>
      </c>
      <c r="AW78" s="8">
        <f>SUMPRODUCT(AR78:AV78,基础状态预期!F88:J88)/SUM(基础状态预期!F88:J88)</f>
        <v>4947.6636850626373</v>
      </c>
    </row>
    <row r="79" spans="16:55" x14ac:dyDescent="0.15">
      <c r="P79" s="14" t="e">
        <f>8-COUNTIF([3]羁绊设计!$AD78:$AK78,"&amp;")</f>
        <v>#VALUE!</v>
      </c>
      <c r="Q79" s="29" t="str">
        <f>[3]羁绊解锁统计!$B78</f>
        <v>老子</v>
      </c>
      <c r="R79" s="29" t="str">
        <f>IF([3]羁绊设计!$F78="红","橙+",[3]羁绊设计!$F78)</f>
        <v>橙+</v>
      </c>
      <c r="S79" s="14">
        <f>IF([3]羁绊解锁统计!C78="",0,[3]羁绊解锁统计!C78-IF($R79=S$9,1,0))</f>
        <v>0</v>
      </c>
      <c r="T79" s="14">
        <f>IF([3]羁绊解锁统计!D78="",0,[3]羁绊解锁统计!D78-IF($R79=T$9,1,0))</f>
        <v>0</v>
      </c>
      <c r="U79" s="14">
        <f>IF([3]羁绊解锁统计!E78="",0,[3]羁绊解锁统计!E78-IF($R79=U$9,1,0))</f>
        <v>0</v>
      </c>
      <c r="V79" s="14">
        <f>IF([3]羁绊解锁统计!F78="",0,[3]羁绊解锁统计!F78-IF($R79=V$9,1,0))</f>
        <v>0</v>
      </c>
      <c r="W79" s="14">
        <f>IF([3]羁绊解锁统计!G78="",0,[3]羁绊解锁统计!G78-IF($R79=W$9,1,0))</f>
        <v>0</v>
      </c>
      <c r="X79" s="29">
        <f t="shared" si="20"/>
        <v>0</v>
      </c>
      <c r="Y79" s="10">
        <f t="shared" si="21"/>
        <v>1.4285714285714287E-2</v>
      </c>
      <c r="AA79" s="14">
        <f t="shared" si="22"/>
        <v>0</v>
      </c>
      <c r="AB79" s="14">
        <f t="shared" si="23"/>
        <v>0</v>
      </c>
      <c r="AC79" s="14">
        <f t="shared" si="24"/>
        <v>0</v>
      </c>
      <c r="AD79" s="14">
        <f t="shared" si="25"/>
        <v>0</v>
      </c>
      <c r="AE79" s="14">
        <f t="shared" si="26"/>
        <v>0</v>
      </c>
      <c r="AF79" s="29">
        <f t="shared" si="27"/>
        <v>0</v>
      </c>
      <c r="AG79" s="10">
        <f t="shared" si="19"/>
        <v>0.05</v>
      </c>
      <c r="AH79" s="87">
        <v>5.0000000000000096E-3</v>
      </c>
      <c r="AI79" s="4">
        <v>75</v>
      </c>
      <c r="AJ79" s="98">
        <f t="shared" si="18"/>
        <v>0.62208064630756243</v>
      </c>
      <c r="AK79" s="5">
        <f>'[1]资源-钻石'!$N78*求节点(武将数量星级阶位验证!$CP$41:$CP$72,武将数量星级阶位验证!$CS$41:$CS$72,节奏总纲!R78)</f>
        <v>553902.24315155798</v>
      </c>
      <c r="AL79" s="48"/>
      <c r="AO79" s="5">
        <v>31</v>
      </c>
      <c r="AP79" s="14">
        <f>基础状态预期!D89</f>
        <v>121.49411884885473</v>
      </c>
      <c r="AQ79" s="14">
        <f>(求节点(其他调用!$B$4:$B$163,其他调用!$D$4:$D$163,$AP79))*求节点(武将数量星级阶位验证!$CP$41:$CP$72,武将数量星级阶位验证!$CR$41:$CR$72,武将数量星级阶位验证!AS79)</f>
        <v>4470683.4424668774</v>
      </c>
      <c r="AR79" s="14">
        <f>IF(武将升级!Y76="",0,求节点($AK$5:$AK$164,$AJ$5:$AJ$164,AQ$7)*B$5*武将升级!Y76)</f>
        <v>0</v>
      </c>
      <c r="AS79" s="14">
        <f>IF(武将升级!Z76="",0,求节点($AK$5:$AK$164,$AJ$5:$AJ$164,$AQ79)*C$5*武将升级!Z76)</f>
        <v>0</v>
      </c>
      <c r="AT79" s="14">
        <f>IF(武将升级!AA76="",0,求节点($AK$5:$AK$164,$AJ$5:$AJ$164,$AQ79)*D$5*武将升级!AA76)</f>
        <v>0</v>
      </c>
      <c r="AU79" s="14">
        <f>IF(武将升级!AB76="",0,求节点($AK$5:$AK$164,$AJ$5:$AJ$164,$AQ79)*E$5*武将升级!AB76)</f>
        <v>0</v>
      </c>
      <c r="AV79" s="14">
        <f>IF(武将升级!AC76="",0,求节点($AK$5:$AK$164,$AJ$5:$AJ$164,$AQ79)*F$5*武将升级!AC76)</f>
        <v>5077.5776924867087</v>
      </c>
      <c r="AW79" s="8">
        <f>SUMPRODUCT(AR79:AV79,基础状态预期!F89:J89)/SUM(基础状态预期!F89:J89)</f>
        <v>5077.5776924867087</v>
      </c>
    </row>
    <row r="80" spans="16:55" x14ac:dyDescent="0.15">
      <c r="P80" s="14" t="e">
        <f>8-COUNTIF([3]羁绊设计!$AD79:$AK79,"&amp;")</f>
        <v>#VALUE!</v>
      </c>
      <c r="Q80" s="29" t="str">
        <f>[3]羁绊解锁统计!$B79</f>
        <v>赵括</v>
      </c>
      <c r="R80" s="29" t="str">
        <f>IF([3]羁绊设计!$F79="红","橙+",[3]羁绊设计!$F79)</f>
        <v>橙</v>
      </c>
      <c r="S80" s="14">
        <f>IF([3]羁绊解锁统计!C79="",0,[3]羁绊解锁统计!C79-IF($R80=S$9,1,0))</f>
        <v>0</v>
      </c>
      <c r="T80" s="14">
        <f>IF([3]羁绊解锁统计!D79="",0,[3]羁绊解锁统计!D79-IF($R80=T$9,1,0))</f>
        <v>1</v>
      </c>
      <c r="U80" s="14">
        <f>IF([3]羁绊解锁统计!E79="",0,[3]羁绊解锁统计!E79-IF($R80=U$9,1,0))</f>
        <v>1</v>
      </c>
      <c r="V80" s="14">
        <f>IF([3]羁绊解锁统计!F79="",0,[3]羁绊解锁统计!F79-IF($R80=V$9,1,0))</f>
        <v>8</v>
      </c>
      <c r="W80" s="14">
        <f>IF([3]羁绊解锁统计!G79="",0,[3]羁绊解锁统计!G79-IF($R80=W$9,1,0))</f>
        <v>0</v>
      </c>
      <c r="X80" s="29">
        <f t="shared" ref="X80" si="28">MAX(IF(T80=0,0,$J$42*(1+J$43*(T80-1))),IF(U80=0,0,$K$42*(1+K$43*(U80-1))),IF(V80=0,0,$L$42*(1+L$43*(V80-1))),IF(W80=0,0,$M$42*(1+M$43*(W80-1))))</f>
        <v>80925.925925925927</v>
      </c>
      <c r="Y80" s="10">
        <f t="shared" ref="Y80" si="29">AG80/3.5</f>
        <v>0.16209362499883187</v>
      </c>
      <c r="AA80" s="14">
        <f t="shared" si="22"/>
        <v>0</v>
      </c>
      <c r="AB80" s="14">
        <f t="shared" si="23"/>
        <v>6</v>
      </c>
      <c r="AC80" s="14">
        <f t="shared" si="24"/>
        <v>6</v>
      </c>
      <c r="AD80" s="14">
        <f t="shared" si="25"/>
        <v>48</v>
      </c>
      <c r="AE80" s="14">
        <f t="shared" si="26"/>
        <v>0</v>
      </c>
      <c r="AF80" s="29">
        <f t="shared" si="27"/>
        <v>485555.55555555556</v>
      </c>
      <c r="AG80" s="10">
        <f t="shared" si="19"/>
        <v>0.56732768749591156</v>
      </c>
      <c r="AH80" s="87">
        <v>5.0000000000000096E-3</v>
      </c>
      <c r="AI80" s="4">
        <v>76</v>
      </c>
      <c r="AJ80" s="98">
        <f t="shared" si="18"/>
        <v>0.63</v>
      </c>
      <c r="AK80" s="5">
        <f>'[1]资源-钻石'!$N79*求节点(武将数量星级阶位验证!$CP$41:$CP$72,武将数量星级阶位验证!$CS$41:$CS$72,节奏总纲!R79)</f>
        <v>582503.70753251761</v>
      </c>
      <c r="AL80" s="48"/>
      <c r="AO80" s="5">
        <v>32</v>
      </c>
      <c r="AP80" s="14">
        <f>基础状态预期!D90</f>
        <v>125.03100311549058</v>
      </c>
      <c r="AQ80" s="14">
        <f>(求节点(其他调用!$B$4:$B$163,其他调用!$D$4:$D$163,$AP80))*求节点(武将数量星级阶位验证!$CP$41:$CP$72,武将数量星级阶位验证!$CR$41:$CR$72,武将数量星级阶位验证!AS80)</f>
        <v>5543498.9092702549</v>
      </c>
      <c r="AR80" s="14">
        <f>IF(武将升级!Y77="",0,求节点($AK$5:$AK$164,$AJ$5:$AJ$164,AQ$7)*B$5*武将升级!Y77)</f>
        <v>0</v>
      </c>
      <c r="AS80" s="14">
        <f>IF(武将升级!Z77="",0,求节点($AK$5:$AK$164,$AJ$5:$AJ$164,$AQ80)*C$5*武将升级!Z77)</f>
        <v>0</v>
      </c>
      <c r="AT80" s="14">
        <f>IF(武将升级!AA77="",0,求节点($AK$5:$AK$164,$AJ$5:$AJ$164,$AQ80)*D$5*武将升级!AA77)</f>
        <v>0</v>
      </c>
      <c r="AU80" s="14">
        <f>IF(武将升级!AB77="",0,求节点($AK$5:$AK$164,$AJ$5:$AJ$164,$AQ80)*E$5*武将升级!AB77)</f>
        <v>0</v>
      </c>
      <c r="AV80" s="14">
        <f>IF(武将升级!AC77="",0,求节点($AK$5:$AK$164,$AJ$5:$AJ$164,$AQ80)*F$5*武将升级!AC77)</f>
        <v>5211.2719177655435</v>
      </c>
      <c r="AW80" s="8">
        <f>SUMPRODUCT(AR80:AV80,基础状态预期!F90:J90)/SUM(基础状态预期!F90:J90)</f>
        <v>5211.2719177655435</v>
      </c>
    </row>
    <row r="81" spans="16:55" x14ac:dyDescent="0.15">
      <c r="P81" s="14" t="e">
        <f>8-COUNTIF([3]羁绊设计!$AD80:$AK80,"&amp;")</f>
        <v>#VALUE!</v>
      </c>
      <c r="Q81" s="29" t="str">
        <f>[3]羁绊解锁统计!$B80</f>
        <v>典藏吕不韦</v>
      </c>
      <c r="R81" s="29" t="str">
        <f>IF([3]羁绊设计!$F80="红","橙+",[3]羁绊设计!$F80)</f>
        <v>橙+</v>
      </c>
      <c r="S81" s="14">
        <f>IF([3]羁绊解锁统计!C80="",0,[3]羁绊解锁统计!C80-IF($R81=S$9,1,0))</f>
        <v>0</v>
      </c>
      <c r="T81" s="14">
        <f>IF([3]羁绊解锁统计!D80="",0,[3]羁绊解锁统计!D80-IF($R81=T$9,1,0))</f>
        <v>0</v>
      </c>
      <c r="U81" s="14">
        <f>IF([3]羁绊解锁统计!E80="",0,[3]羁绊解锁统计!E80-IF($R81=U$9,1,0))</f>
        <v>0</v>
      </c>
      <c r="V81" s="14">
        <f>IF([3]羁绊解锁统计!F80="",0,[3]羁绊解锁统计!F80-IF($R81=V$9,1,0))</f>
        <v>9</v>
      </c>
      <c r="W81" s="14">
        <f>IF([3]羁绊解锁统计!G80="",0,[3]羁绊解锁统计!G80-IF($R81=W$9,1,0))</f>
        <v>0</v>
      </c>
      <c r="X81" s="29">
        <f t="shared" ref="X81" si="30">MAX(IF(T81=0,0,$J$42*(1+J$43*(T81-1))),IF(U81=0,0,$K$42*(1+K$43*(U81-1))),IF(V81=0,0,$L$42*(1+L$43*(V81-1))),IF(W81=0,0,$M$42*(1+M$43*(W81-1))))</f>
        <v>85185.185185185182</v>
      </c>
      <c r="Y81" s="10">
        <f t="shared" ref="Y81" si="31">AG81/3.5</f>
        <v>0.1680096518804009</v>
      </c>
      <c r="AA81" s="14">
        <f t="shared" si="22"/>
        <v>0</v>
      </c>
      <c r="AB81" s="14">
        <f t="shared" si="23"/>
        <v>0</v>
      </c>
      <c r="AC81" s="14">
        <f t="shared" si="24"/>
        <v>0</v>
      </c>
      <c r="AD81" s="14">
        <f t="shared" si="25"/>
        <v>54</v>
      </c>
      <c r="AE81" s="14">
        <f t="shared" si="26"/>
        <v>0</v>
      </c>
      <c r="AF81" s="29">
        <f t="shared" si="27"/>
        <v>511111.11111111112</v>
      </c>
      <c r="AG81" s="10">
        <f t="shared" si="19"/>
        <v>0.58803378158140318</v>
      </c>
      <c r="AH81" s="87">
        <v>5.0000000000000096E-3</v>
      </c>
      <c r="AI81" s="4">
        <v>77</v>
      </c>
      <c r="AJ81" s="98">
        <f t="shared" si="18"/>
        <v>0.63</v>
      </c>
      <c r="AK81" s="5">
        <f>'[1]资源-钻石'!$N80*求节点(武将数量星级阶位验证!$CP$41:$CP$72,武将数量星级阶位验证!$CS$41:$CS$72,节奏总纲!R80)</f>
        <v>613007.63673842244</v>
      </c>
      <c r="AL81" s="48"/>
      <c r="AO81" s="5">
        <v>33</v>
      </c>
      <c r="AP81" s="14">
        <f>基础状态预期!D91</f>
        <v>128.62542789463421</v>
      </c>
      <c r="AQ81" s="14">
        <f>(求节点(其他调用!$B$4:$B$163,其他调用!$D$4:$D$163,$AP81))*求节点(武将数量星级阶位验证!$CP$41:$CP$72,武将数量星级阶位验证!$CR$41:$CR$72,武将数量星级阶位验证!AS81)</f>
        <v>6899901.8063622881</v>
      </c>
      <c r="AR81" s="14">
        <f>IF(武将升级!Y78="",0,求节点($AK$5:$AK$164,$AJ$5:$AJ$164,AQ$7)*B$5*武将升级!Y78)</f>
        <v>0</v>
      </c>
      <c r="AS81" s="14">
        <f>IF(武将升级!Z78="",0,求节点($AK$5:$AK$164,$AJ$5:$AJ$164,$AQ81)*C$5*武将升级!Z78)</f>
        <v>0</v>
      </c>
      <c r="AT81" s="14">
        <f>IF(武将升级!AA78="",0,求节点($AK$5:$AK$164,$AJ$5:$AJ$164,$AQ81)*D$5*武将升级!AA78)</f>
        <v>0</v>
      </c>
      <c r="AU81" s="14">
        <f>IF(武将升级!AB78="",0,求节点($AK$5:$AK$164,$AJ$5:$AJ$164,$AQ81)*E$5*武将升级!AB78)</f>
        <v>0</v>
      </c>
      <c r="AV81" s="14">
        <f>IF(武将升级!AC78="",0,求节点($AK$5:$AK$164,$AJ$5:$AJ$164,$AQ81)*F$5*武将升级!AC78)</f>
        <v>5347.1411744171737</v>
      </c>
      <c r="AW81" s="8">
        <f>SUMPRODUCT(AR81:AV81,基础状态预期!F91:J91)/SUM(基础状态预期!F91:J91)</f>
        <v>5347.1411744171737</v>
      </c>
    </row>
    <row r="82" spans="16:55" x14ac:dyDescent="0.15">
      <c r="P82" s="14" t="e">
        <f>8-COUNTIF([3]羁绊设计!$AD81:$AK81,"&amp;")</f>
        <v>#VALUE!</v>
      </c>
      <c r="Q82" s="29" t="str">
        <f>[3]羁绊解锁统计!$B81</f>
        <v>嬴政</v>
      </c>
      <c r="R82" s="29" t="str">
        <f>IF([3]羁绊设计!$F81="红","橙+",[3]羁绊设计!$F81)</f>
        <v>橙+</v>
      </c>
      <c r="S82" s="14">
        <f>IF([3]羁绊解锁统计!C81="",0,[3]羁绊解锁统计!C81-IF($R82=S$9,1,0))</f>
        <v>0</v>
      </c>
      <c r="T82" s="14">
        <f>IF([3]羁绊解锁统计!D81="",0,[3]羁绊解锁统计!D81-IF($R82=T$9,1,0))</f>
        <v>0</v>
      </c>
      <c r="U82" s="14">
        <f>IF([3]羁绊解锁统计!E81="",0,[3]羁绊解锁统计!E81-IF($R82=U$9,1,0))</f>
        <v>0</v>
      </c>
      <c r="V82" s="14">
        <f>IF([3]羁绊解锁统计!F81="",0,[3]羁绊解锁统计!F81-IF($R82=V$9,1,0))</f>
        <v>10</v>
      </c>
      <c r="W82" s="14">
        <f>IF([3]羁绊解锁统计!G81="",0,[3]羁绊解锁统计!G81-IF($R82=W$9,1,0))</f>
        <v>0</v>
      </c>
      <c r="X82" s="29">
        <f t="shared" ref="X82" si="32">MAX(IF(T82=0,0,$J$42*(1+J$43*(T82-1))),IF(U82=0,0,$K$42*(1+K$43*(U82-1))),IF(V82=0,0,$L$42*(1+L$43*(V82-1))),IF(W82=0,0,$M$42*(1+M$43*(W82-1))))</f>
        <v>89444.444444444453</v>
      </c>
      <c r="Y82" s="10">
        <f t="shared" ref="Y82" si="33">AG82/3.5</f>
        <v>0.17384054253539014</v>
      </c>
      <c r="AA82" s="14">
        <f t="shared" si="22"/>
        <v>0</v>
      </c>
      <c r="AB82" s="14">
        <f t="shared" si="23"/>
        <v>0</v>
      </c>
      <c r="AC82" s="14">
        <f t="shared" si="24"/>
        <v>0</v>
      </c>
      <c r="AD82" s="14">
        <f t="shared" si="25"/>
        <v>60</v>
      </c>
      <c r="AE82" s="14">
        <f t="shared" si="26"/>
        <v>0</v>
      </c>
      <c r="AF82" s="29">
        <f t="shared" si="27"/>
        <v>536666.66666666674</v>
      </c>
      <c r="AG82" s="10">
        <f t="shared" si="19"/>
        <v>0.60844189887386546</v>
      </c>
      <c r="AH82" s="87">
        <v>5.0000000000000096E-3</v>
      </c>
      <c r="AI82" s="4">
        <v>78</v>
      </c>
      <c r="AJ82" s="98">
        <f t="shared" si="18"/>
        <v>0.63</v>
      </c>
      <c r="AK82" s="5">
        <f>'[1]资源-钻石'!$N81*求节点(武将数量星级阶位验证!$CP$41:$CP$72,武将数量星级阶位验证!$CS$41:$CS$72,节奏总纲!R81)</f>
        <v>644989.52926866221</v>
      </c>
      <c r="AL82" s="48"/>
      <c r="AO82" s="5">
        <v>34</v>
      </c>
      <c r="AP82" s="14">
        <f>基础状态预期!D92</f>
        <v>132.09902390525281</v>
      </c>
      <c r="AQ82" s="14">
        <f>(求节点(其他调用!$B$4:$B$163,其他调用!$D$4:$D$163,$AP82))*求节点(武将数量星级阶位验证!$CP$41:$CP$72,武将数量星级阶位验证!$CR$41:$CR$72,武将数量星级阶位验证!AS82)</f>
        <v>8555383.3037106134</v>
      </c>
      <c r="AR82" s="14">
        <f>IF(武将升级!Y79="",0,求节点($AK$5:$AK$164,$AJ$5:$AJ$164,AQ$7)*B$5*武将升级!Y79)</f>
        <v>0</v>
      </c>
      <c r="AS82" s="14">
        <f>IF(武将升级!Z79="",0,求节点($AK$5:$AK$164,$AJ$5:$AJ$164,$AQ82)*C$5*武将升级!Z79)</f>
        <v>0</v>
      </c>
      <c r="AT82" s="14">
        <f>IF(武将升级!AA79="",0,求节点($AK$5:$AK$164,$AJ$5:$AJ$164,$AQ82)*D$5*武将升级!AA79)</f>
        <v>0</v>
      </c>
      <c r="AU82" s="14">
        <f>IF(武将升级!AB79="",0,求节点($AK$5:$AK$164,$AJ$5:$AJ$164,$AQ82)*E$5*武将升级!AB79)</f>
        <v>0</v>
      </c>
      <c r="AV82" s="14">
        <f>IF(武将升级!AC79="",0,求节点($AK$5:$AK$164,$AJ$5:$AJ$164,$AQ82)*F$5*武将升级!AC79)</f>
        <v>5478.443103618557</v>
      </c>
      <c r="AW82" s="8">
        <f>SUMPRODUCT(AR82:AV82,基础状态预期!F92:J92)/SUM(基础状态预期!F92:J92)</f>
        <v>5478.443103618557</v>
      </c>
    </row>
    <row r="83" spans="16:55" x14ac:dyDescent="0.15">
      <c r="P83" s="14" t="e">
        <f>8-COUNTIF([3]羁绊设计!$AD82:$AK82,"&amp;")</f>
        <v>#VALUE!</v>
      </c>
      <c r="Q83" s="29" t="str">
        <f>[3]羁绊解锁统计!$B82</f>
        <v>蒙恬</v>
      </c>
      <c r="R83" s="29" t="str">
        <f>IF([3]羁绊设计!$F82="红","橙+",[3]羁绊设计!$F82)</f>
        <v>橙+</v>
      </c>
      <c r="S83" s="14">
        <f>IF([3]羁绊解锁统计!C82="",0,[3]羁绊解锁统计!C82-IF($R83=S$9,1,0))</f>
        <v>0</v>
      </c>
      <c r="T83" s="14">
        <f>IF([3]羁绊解锁统计!D82="",0,[3]羁绊解锁统计!D82-IF($R83=T$9,1,0))</f>
        <v>0</v>
      </c>
      <c r="U83" s="14">
        <f>IF([3]羁绊解锁统计!E82="",0,[3]羁绊解锁统计!E82-IF($R83=U$9,1,0))</f>
        <v>0</v>
      </c>
      <c r="V83" s="14">
        <f>IF([3]羁绊解锁统计!F82="",0,[3]羁绊解锁统计!F82-IF($R83=V$9,1,0))</f>
        <v>9</v>
      </c>
      <c r="W83" s="14">
        <f>IF([3]羁绊解锁统计!G82="",0,[3]羁绊解锁统计!G82-IF($R83=W$9,1,0))</f>
        <v>0</v>
      </c>
      <c r="X83" s="29">
        <f t="shared" ref="X83:X84" si="34">MAX(IF(T83=0,0,$J$42*(1+J$43*(T83-1))),IF(U83=0,0,$K$42*(1+K$43*(U83-1))),IF(V83=0,0,$L$42*(1+L$43*(V83-1))),IF(W83=0,0,$M$42*(1+M$43*(W83-1))))</f>
        <v>85185.185185185182</v>
      </c>
      <c r="Y83" s="10">
        <f t="shared" ref="Y83:Y84" si="35">AG83/3.5</f>
        <v>0.1680096518804009</v>
      </c>
      <c r="AA83" s="14">
        <f t="shared" si="22"/>
        <v>0</v>
      </c>
      <c r="AB83" s="14">
        <f t="shared" si="23"/>
        <v>0</v>
      </c>
      <c r="AC83" s="14">
        <f t="shared" si="24"/>
        <v>0</v>
      </c>
      <c r="AD83" s="14">
        <f t="shared" si="25"/>
        <v>54</v>
      </c>
      <c r="AE83" s="14">
        <f t="shared" si="26"/>
        <v>0</v>
      </c>
      <c r="AF83" s="29">
        <f t="shared" si="27"/>
        <v>511111.11111111112</v>
      </c>
      <c r="AG83" s="10">
        <f t="shared" si="19"/>
        <v>0.58803378158140318</v>
      </c>
      <c r="AH83" s="87">
        <v>5.0000000000000096E-3</v>
      </c>
      <c r="AI83" s="4">
        <v>79</v>
      </c>
      <c r="AJ83" s="98">
        <f t="shared" si="18"/>
        <v>0.63</v>
      </c>
      <c r="AK83" s="5">
        <f>'[1]资源-钻石'!$N82*求节点(武将数量星级阶位验证!$CP$41:$CP$72,武将数量星级阶位验证!$CS$41:$CS$72,节奏总纲!R82)</f>
        <v>680922.82613925415</v>
      </c>
      <c r="AL83" s="48"/>
      <c r="AO83" s="5">
        <v>35</v>
      </c>
      <c r="AP83" s="14">
        <f>基础状态预期!D93</f>
        <v>135.61521761503846</v>
      </c>
      <c r="AQ83" s="14">
        <f>(求节点(其他调用!$B$4:$B$163,其他调用!$D$4:$D$163,$AP83))*求节点(武将数量星级阶位验证!$CP$41:$CP$72,武将数量星级阶位验证!$CR$41:$CR$72,武将数量星级阶位验证!AS83)</f>
        <v>10615085.996777587</v>
      </c>
      <c r="AR83" s="14">
        <f>IF(武将升级!Y80="",0,求节点($AK$5:$AK$164,$AJ$5:$AJ$164,AQ$7)*B$5*武将升级!Y80)</f>
        <v>0</v>
      </c>
      <c r="AS83" s="14">
        <f>IF(武将升级!Z80="",0,求节点($AK$5:$AK$164,$AJ$5:$AJ$164,$AQ83)*C$5*武将升级!Z80)</f>
        <v>0</v>
      </c>
      <c r="AT83" s="14">
        <f>IF(武将升级!AA80="",0,求节点($AK$5:$AK$164,$AJ$5:$AJ$164,$AQ83)*D$5*武将升级!AA80)</f>
        <v>0</v>
      </c>
      <c r="AU83" s="14">
        <f>IF(武将升级!AB80="",0,求节点($AK$5:$AK$164,$AJ$5:$AJ$164,$AQ83)*E$5*武将升级!AB80)</f>
        <v>0</v>
      </c>
      <c r="AV83" s="14">
        <f>IF(武将升级!AC80="",0,求节点($AK$5:$AK$164,$AJ$5:$AJ$164,$AQ83)*F$5*武将升级!AC80)</f>
        <v>5611.3552258484533</v>
      </c>
      <c r="AW83" s="8">
        <f>SUMPRODUCT(AR83:AV83,基础状态预期!F93:J93)/SUM(基础状态预期!F93:J93)</f>
        <v>5611.3552258484533</v>
      </c>
    </row>
    <row r="84" spans="16:55" x14ac:dyDescent="0.15">
      <c r="P84" s="14" t="e">
        <f>8-COUNTIF([3]羁绊设计!$AD83:$AK83,"&amp;")</f>
        <v>#VALUE!</v>
      </c>
      <c r="Q84" s="29" t="str">
        <f>[3]羁绊解锁统计!$B83</f>
        <v>弄玉</v>
      </c>
      <c r="R84" s="29" t="str">
        <f>IF([3]羁绊设计!$F83="红","橙+",[3]羁绊设计!$F83)</f>
        <v>橙+</v>
      </c>
      <c r="S84" s="14">
        <f>IF([3]羁绊解锁统计!C83="",0,[3]羁绊解锁统计!C83-IF($R84=S$9,1,0))</f>
        <v>0</v>
      </c>
      <c r="T84" s="14">
        <f>IF([3]羁绊解锁统计!D83="",0,[3]羁绊解锁统计!D83-IF($R84=T$9,1,0))</f>
        <v>0</v>
      </c>
      <c r="U84" s="14">
        <f>IF([3]羁绊解锁统计!E83="",0,[3]羁绊解锁统计!E83-IF($R84=U$9,1,0))</f>
        <v>0</v>
      </c>
      <c r="V84" s="14">
        <f>IF([3]羁绊解锁统计!F83="",0,[3]羁绊解锁统计!F83-IF($R84=V$9,1,0))</f>
        <v>6</v>
      </c>
      <c r="W84" s="14">
        <f>IF([3]羁绊解锁统计!G83="",0,[3]羁绊解锁统计!G83-IF($R84=W$9,1,0))</f>
        <v>0</v>
      </c>
      <c r="X84" s="29">
        <f t="shared" si="34"/>
        <v>72407.407407407401</v>
      </c>
      <c r="Y84" s="10">
        <f t="shared" si="35"/>
        <v>0.14997311908169933</v>
      </c>
      <c r="AA84" s="14">
        <f t="shared" ref="AA84:AA87" si="36">S84*INDEX($B$4:$G$4,1,MATCH($R84,$B$3:$G$3,0))</f>
        <v>0</v>
      </c>
      <c r="AB84" s="14">
        <f t="shared" ref="AB84:AB87" si="37">T84*INDEX($B$4:$G$4,1,MATCH($R84,$B$3:$G$3,0))</f>
        <v>0</v>
      </c>
      <c r="AC84" s="14">
        <f t="shared" ref="AC84:AC87" si="38">U84*INDEX($B$4:$G$4,1,MATCH($R84,$B$3:$G$3,0))</f>
        <v>0</v>
      </c>
      <c r="AD84" s="14">
        <f t="shared" ref="AD84:AD87" si="39">V84*INDEX($B$4:$G$4,1,MATCH($R84,$B$3:$G$3,0))</f>
        <v>36</v>
      </c>
      <c r="AE84" s="14">
        <f t="shared" ref="AE84:AE87" si="40">W84*INDEX($B$4:$G$4,1,MATCH($R84,$B$3:$G$3,0))</f>
        <v>0</v>
      </c>
      <c r="AF84" s="29">
        <f t="shared" ref="AF84:AF87" si="41">X84*INDEX($B$4:$G$4,1,MATCH(R84,$B$3:$G$3,0))</f>
        <v>434444.44444444438</v>
      </c>
      <c r="AG84" s="10">
        <f t="shared" ref="AG84:AG87" si="42">MAX(求节点($AK$5:$AK$104,$AJ$5:$AJ$104,IF(AF84=0,2000,AF84))*INDEX($B$5:$G$5,1,MATCH(R84,$B$14:$G$14,0),1),0.05)</f>
        <v>0.52490591678594767</v>
      </c>
      <c r="AH84" s="87">
        <v>5.0000000000000096E-3</v>
      </c>
      <c r="AI84" s="4">
        <v>80</v>
      </c>
      <c r="AJ84" s="98">
        <f t="shared" si="18"/>
        <v>0.63</v>
      </c>
      <c r="AK84" s="5">
        <f>'[1]资源-钻石'!$N83*求节点(武将数量星级阶位验证!$CP$41:$CP$72,武将数量星级阶位验证!$CS$41:$CS$72,节奏总纲!R83)</f>
        <v>716300.54346507066</v>
      </c>
      <c r="AL84" s="48"/>
      <c r="AO84" s="5">
        <v>36</v>
      </c>
      <c r="AP84" s="14">
        <f>基础状态预期!D94</f>
        <v>139.08794136138388</v>
      </c>
      <c r="AQ84" s="14">
        <f>(求节点(其他调用!$B$4:$B$163,其他调用!$D$4:$D$163,$AP84))*求节点(武将数量星级阶位验证!$CP$41:$CP$72,武将数量星级阶位验证!$CR$41:$CR$72,武将数量星级阶位验证!AS84)</f>
        <v>13196640.519289119</v>
      </c>
      <c r="AR84" s="14">
        <f>IF(武将升级!Y81="",0,求节点($AK$5:$AK$164,$AJ$5:$AJ$164,AQ$7)*B$5*武将升级!Y81)</f>
        <v>0</v>
      </c>
      <c r="AS84" s="14">
        <f>IF(武将升级!Z81="",0,求节点($AK$5:$AK$164,$AJ$5:$AJ$164,$AQ84)*C$5*武将升级!Z81)</f>
        <v>0</v>
      </c>
      <c r="AT84" s="14">
        <f>IF(武将升级!AA81="",0,求节点($AK$5:$AK$164,$AJ$5:$AJ$164,$AQ84)*D$5*武将升级!AA81)</f>
        <v>0</v>
      </c>
      <c r="AU84" s="14">
        <f>IF(武将升级!AB81="",0,求节点($AK$5:$AK$164,$AJ$5:$AJ$164,$AQ84)*E$5*武将升级!AB81)</f>
        <v>0</v>
      </c>
      <c r="AV84" s="14">
        <f>IF(武将升级!AC81="",0,求节点($AK$5:$AK$164,$AJ$5:$AJ$164,$AQ84)*F$5*武将升级!AC81)</f>
        <v>5742.6241834603106</v>
      </c>
      <c r="AW84" s="8">
        <f>SUMPRODUCT(AR84:AV84,基础状态预期!F94:J94)/SUM(基础状态预期!F94:J94)</f>
        <v>5742.6241834603106</v>
      </c>
    </row>
    <row r="85" spans="16:55" x14ac:dyDescent="0.15">
      <c r="P85" s="14" t="e">
        <f>8-COUNTIF([3]羁绊设计!$AD84:$AK84,"&amp;")</f>
        <v>#VALUE!</v>
      </c>
      <c r="Q85" s="29" t="str">
        <f>[3]羁绊解锁统计!$B84</f>
        <v>越女</v>
      </c>
      <c r="R85" s="29" t="str">
        <f>IF([3]羁绊设计!$F84="红","橙+",[3]羁绊设计!$F84)</f>
        <v>橙+</v>
      </c>
      <c r="S85" s="14">
        <f>IF([3]羁绊解锁统计!C84="",0,[3]羁绊解锁统计!C84-IF($R85=S$9,1,0))</f>
        <v>0</v>
      </c>
      <c r="T85" s="14">
        <f>IF([3]羁绊解锁统计!D84="",0,[3]羁绊解锁统计!D84-IF($R85=T$9,1,0))</f>
        <v>0</v>
      </c>
      <c r="U85" s="14">
        <f>IF([3]羁绊解锁统计!E84="",0,[3]羁绊解锁统计!E84-IF($R85=U$9,1,0))</f>
        <v>0</v>
      </c>
      <c r="V85" s="14">
        <f>IF([3]羁绊解锁统计!F84="",0,[3]羁绊解锁统计!F84-IF($R85=V$9,1,0))</f>
        <v>7</v>
      </c>
      <c r="W85" s="14">
        <f>IF([3]羁绊解锁统计!G84="",0,[3]羁绊解锁统计!G84-IF($R85=W$9,1,0))</f>
        <v>0</v>
      </c>
      <c r="X85" s="29">
        <f t="shared" ref="X85:X87" si="43">MAX(IF(T85=0,0,$J$42*(1+J$43*(T85-1))),IF(U85=0,0,$K$42*(1+K$43*(U85-1))),IF(V85=0,0,$L$42*(1+L$43*(V85-1))),IF(W85=0,0,$M$42*(1+M$43*(W85-1))))</f>
        <v>76666.666666666672</v>
      </c>
      <c r="Y85" s="10">
        <f t="shared" ref="Y85:Y87" si="44">AG85/3.5</f>
        <v>0.15608274416223611</v>
      </c>
      <c r="AA85" s="14">
        <f t="shared" si="36"/>
        <v>0</v>
      </c>
      <c r="AB85" s="14">
        <f t="shared" si="37"/>
        <v>0</v>
      </c>
      <c r="AC85" s="14">
        <f t="shared" si="38"/>
        <v>0</v>
      </c>
      <c r="AD85" s="14">
        <f t="shared" si="39"/>
        <v>42</v>
      </c>
      <c r="AE85" s="14">
        <f t="shared" si="40"/>
        <v>0</v>
      </c>
      <c r="AF85" s="29">
        <f t="shared" si="41"/>
        <v>460000</v>
      </c>
      <c r="AG85" s="10">
        <f t="shared" si="42"/>
        <v>0.54628960456782638</v>
      </c>
      <c r="AH85" s="87">
        <v>5.0000000000000096E-3</v>
      </c>
      <c r="AI85" s="4">
        <v>81</v>
      </c>
      <c r="AJ85" s="98">
        <f t="shared" si="18"/>
        <v>0.63</v>
      </c>
      <c r="AK85" s="5">
        <f>'[1]资源-钻石'!$N84*求节点(武将数量星级阶位验证!$CP$41:$CP$72,武将数量星级阶位验证!$CS$41:$CS$72,节奏总纲!R84)</f>
        <v>751038.99185571924</v>
      </c>
      <c r="AL85" s="48"/>
      <c r="AO85" s="5">
        <v>37</v>
      </c>
      <c r="AP85" s="14">
        <f>基础状态预期!D95</f>
        <v>142.60670974426387</v>
      </c>
      <c r="AQ85" s="14">
        <f>(求节点(其他调用!$B$4:$B$163,其他调用!$D$4:$D$163,$AP85))*求节点(武将数量星级阶位验证!$CP$41:$CP$72,武将数量星级阶位验证!$CR$41:$CR$72,武将数量星级阶位验证!AS85)</f>
        <v>16412002.460094672</v>
      </c>
      <c r="AR85" s="14">
        <f>IF(武将升级!Y82="",0,求节点($AK$5:$AK$164,$AJ$5:$AJ$164,AQ$7)*B$5*武将升级!Y82)</f>
        <v>0</v>
      </c>
      <c r="AS85" s="14">
        <f>IF(武将升级!Z82="",0,求节点($AK$5:$AK$164,$AJ$5:$AJ$164,$AQ85)*C$5*武将升级!Z82)</f>
        <v>0</v>
      </c>
      <c r="AT85" s="14">
        <f>IF(武将升级!AA82="",0,求节点($AK$5:$AK$164,$AJ$5:$AJ$164,$AQ85)*D$5*武将升级!AA82)</f>
        <v>0</v>
      </c>
      <c r="AU85" s="14">
        <f>IF(武将升级!AB82="",0,求节点($AK$5:$AK$164,$AJ$5:$AJ$164,$AQ85)*E$5*武将升级!AB82)</f>
        <v>0</v>
      </c>
      <c r="AV85" s="14">
        <f>IF(武将升级!AC82="",0,求节点($AK$5:$AK$164,$AJ$5:$AJ$164,$AQ85)*F$5*武将升级!AC82)</f>
        <v>5875.6336283331748</v>
      </c>
      <c r="AW85" s="8">
        <f>SUMPRODUCT(AR85:AV85,基础状态预期!F95:J95)/SUM(基础状态预期!F95:J95)</f>
        <v>5875.6336283331739</v>
      </c>
    </row>
    <row r="86" spans="16:55" x14ac:dyDescent="0.15">
      <c r="P86" s="14" t="e">
        <f>8-COUNTIF([3]羁绊设计!$AD85:$AK85,"&amp;")</f>
        <v>#VALUE!</v>
      </c>
      <c r="Q86" s="29" t="str">
        <f>[3]羁绊解锁统计!$B85</f>
        <v>虞姬</v>
      </c>
      <c r="R86" s="29" t="str">
        <f>IF([3]羁绊设计!$F85="红","橙+",[3]羁绊设计!$F85)</f>
        <v>橙+</v>
      </c>
      <c r="S86" s="14">
        <f>IF([3]羁绊解锁统计!C85="",0,[3]羁绊解锁统计!C85-IF($R86=S$9,1,0))</f>
        <v>0</v>
      </c>
      <c r="T86" s="14">
        <f>IF([3]羁绊解锁统计!D85="",0,[3]羁绊解锁统计!D85-IF($R86=T$9,1,0))</f>
        <v>0</v>
      </c>
      <c r="U86" s="14">
        <f>IF([3]羁绊解锁统计!E85="",0,[3]羁绊解锁统计!E85-IF($R86=U$9,1,0))</f>
        <v>0</v>
      </c>
      <c r="V86" s="14">
        <f>IF([3]羁绊解锁统计!F85="",0,[3]羁绊解锁统计!F85-IF($R86=V$9,1,0))</f>
        <v>4</v>
      </c>
      <c r="W86" s="14">
        <f>IF([3]羁绊解锁统计!G85="",0,[3]羁绊解锁统计!G85-IF($R86=W$9,1,0))</f>
        <v>0</v>
      </c>
      <c r="X86" s="29">
        <f t="shared" si="43"/>
        <v>63888.888888888898</v>
      </c>
      <c r="Y86" s="10">
        <f t="shared" si="44"/>
        <v>0.13740340360056111</v>
      </c>
      <c r="AA86" s="14">
        <f t="shared" si="36"/>
        <v>0</v>
      </c>
      <c r="AB86" s="14">
        <f t="shared" si="37"/>
        <v>0</v>
      </c>
      <c r="AC86" s="14">
        <f t="shared" si="38"/>
        <v>0</v>
      </c>
      <c r="AD86" s="14">
        <f t="shared" si="39"/>
        <v>24</v>
      </c>
      <c r="AE86" s="14">
        <f t="shared" si="40"/>
        <v>0</v>
      </c>
      <c r="AF86" s="29">
        <f t="shared" si="41"/>
        <v>383333.33333333337</v>
      </c>
      <c r="AG86" s="10">
        <f t="shared" si="42"/>
        <v>0.48091191260196386</v>
      </c>
      <c r="AH86" s="87">
        <v>5.0000000000000096E-3</v>
      </c>
      <c r="AI86" s="4">
        <v>82</v>
      </c>
      <c r="AJ86" s="98">
        <f t="shared" si="18"/>
        <v>0.63</v>
      </c>
      <c r="AK86" s="5">
        <f>'[1]资源-钻石'!$N85*求节点(武将数量星级阶位验证!$CP$41:$CP$72,武将数量星级阶位验证!$CS$41:$CS$72,节奏总纲!R85)</f>
        <v>788600.10652072076</v>
      </c>
      <c r="AL86" s="48"/>
      <c r="AO86" s="5">
        <v>38</v>
      </c>
      <c r="AP86" s="14">
        <f>基础状态预期!D96</f>
        <v>146.07830147206653</v>
      </c>
      <c r="AQ86" s="14">
        <f>(求节点(其他调用!$B$4:$B$163,其他调用!$D$4:$D$163,$AP86))*求节点(武将数量星级阶位验证!$CP$41:$CP$72,武将数量星级阶位验证!$CR$41:$CR$72,武将数量星级阶位验证!AS86)</f>
        <v>20431570.19715615</v>
      </c>
      <c r="AR86" s="14">
        <f>IF(武将升级!Y83="",0,求节点($AK$5:$AK$164,$AJ$5:$AJ$164,AQ$7)*B$5*武将升级!Y83)</f>
        <v>0</v>
      </c>
      <c r="AS86" s="14">
        <f>IF(武将升级!Z83="",0,求节点($AK$5:$AK$164,$AJ$5:$AJ$164,$AQ86)*C$5*武将升级!Z83)</f>
        <v>0</v>
      </c>
      <c r="AT86" s="14">
        <f>IF(武将升级!AA83="",0,求节点($AK$5:$AK$164,$AJ$5:$AJ$164,$AQ86)*D$5*武将升级!AA83)</f>
        <v>0</v>
      </c>
      <c r="AU86" s="14">
        <f>IF(武将升级!AB83="",0,求节点($AK$5:$AK$164,$AJ$5:$AJ$164,$AQ86)*E$5*武将升级!AB83)</f>
        <v>0</v>
      </c>
      <c r="AV86" s="14">
        <f>IF(武将升级!AC83="",0,求节点($AK$5:$AK$164,$AJ$5:$AJ$164,$AQ86)*F$5*武将升级!AC83)</f>
        <v>6006.8597956441154</v>
      </c>
      <c r="AW86" s="8">
        <f>SUMPRODUCT(AR86:AV86,基础状态预期!F96:J96)/SUM(基础状态预期!F96:J96)</f>
        <v>6006.8597956441154</v>
      </c>
    </row>
    <row r="87" spans="16:55" x14ac:dyDescent="0.15">
      <c r="P87" s="14" t="e">
        <f>8-COUNTIF([3]羁绊设计!$AD86:$AK86,"&amp;")</f>
        <v>#VALUE!</v>
      </c>
      <c r="Q87" s="29" t="str">
        <f>[3]羁绊解锁统计!$B86</f>
        <v>项羽</v>
      </c>
      <c r="R87" s="29" t="str">
        <f>IF([3]羁绊设计!$F86="红","橙+",[3]羁绊设计!$F86)</f>
        <v>橙+</v>
      </c>
      <c r="S87" s="14">
        <f>IF([3]羁绊解锁统计!C86="",0,[3]羁绊解锁统计!C86-IF($R87=S$9,1,0))</f>
        <v>0</v>
      </c>
      <c r="T87" s="14">
        <f>IF([3]羁绊解锁统计!D86="",0,[3]羁绊解锁统计!D86-IF($R87=T$9,1,0))</f>
        <v>0</v>
      </c>
      <c r="U87" s="14">
        <f>IF([3]羁绊解锁统计!E86="",0,[3]羁绊解锁统计!E86-IF($R87=U$9,1,0))</f>
        <v>0</v>
      </c>
      <c r="V87" s="14">
        <f>IF([3]羁绊解锁统计!F86="",0,[3]羁绊解锁统计!F86-IF($R87=V$9,1,0))</f>
        <v>3</v>
      </c>
      <c r="W87" s="14">
        <f>IF([3]羁绊解锁统计!G86="",0,[3]羁绊解锁统计!G86-IF($R87=W$9,1,0))</f>
        <v>0</v>
      </c>
      <c r="X87" s="29">
        <f t="shared" si="43"/>
        <v>59629.629629629642</v>
      </c>
      <c r="Y87" s="10">
        <f t="shared" si="44"/>
        <v>0.13092644438936596</v>
      </c>
      <c r="AA87" s="14">
        <f t="shared" si="36"/>
        <v>0</v>
      </c>
      <c r="AB87" s="14">
        <f t="shared" si="37"/>
        <v>0</v>
      </c>
      <c r="AC87" s="14">
        <f t="shared" si="38"/>
        <v>0</v>
      </c>
      <c r="AD87" s="14">
        <f t="shared" si="39"/>
        <v>18</v>
      </c>
      <c r="AE87" s="14">
        <f t="shared" si="40"/>
        <v>0</v>
      </c>
      <c r="AF87" s="29">
        <f t="shared" si="41"/>
        <v>357777.77777777787</v>
      </c>
      <c r="AG87" s="10">
        <f t="shared" si="42"/>
        <v>0.45824255536278086</v>
      </c>
      <c r="AH87" s="87">
        <v>5.0000000000000096E-3</v>
      </c>
      <c r="AI87" s="4">
        <v>83</v>
      </c>
      <c r="AJ87" s="98">
        <f t="shared" si="18"/>
        <v>0.63</v>
      </c>
      <c r="AK87" s="5">
        <f>'[1]资源-钻石'!$N86*求节点(武将数量星级阶位验证!$CP$41:$CP$72,武将数量星级阶位验证!$CS$41:$CS$72,节奏总纲!R86)</f>
        <v>829045.80881511664</v>
      </c>
      <c r="AL87" s="48"/>
      <c r="AO87" s="5">
        <v>39</v>
      </c>
      <c r="AP87" s="14">
        <f>基础状态预期!D97</f>
        <v>149.61701338734093</v>
      </c>
      <c r="AQ87" s="14">
        <f>(求节点(其他调用!$B$4:$B$163,其他调用!$D$4:$D$163,$AP87))*求节点(武将数量星级阶位验证!$CP$41:$CP$72,武将数量星级阶位验证!$CR$41:$CR$72,武将数量星级阶位验证!AS87)</f>
        <v>25455664.938876912</v>
      </c>
      <c r="AR87" s="14">
        <f>IF(武将升级!Y84="",0,求节点($AK$5:$AK$164,$AJ$5:$AJ$164,AQ$7)*B$5*武将升级!Y84)</f>
        <v>0</v>
      </c>
      <c r="AS87" s="14">
        <f>IF(武将升级!Z84="",0,求节点($AK$5:$AK$164,$AJ$5:$AJ$164,$AQ87)*C$5*武将升级!Z84)</f>
        <v>0</v>
      </c>
      <c r="AT87" s="14">
        <f>IF(武将升级!AA84="",0,求节点($AK$5:$AK$164,$AJ$5:$AJ$164,$AQ87)*D$5*武将升级!AA84)</f>
        <v>0</v>
      </c>
      <c r="AU87" s="14">
        <f>IF(武将升级!AB84="",0,求节点($AK$5:$AK$164,$AJ$5:$AJ$164,$AQ87)*E$5*武将升级!AB84)</f>
        <v>0</v>
      </c>
      <c r="AV87" s="14">
        <f>IF(武将升级!AC84="",0,求节点($AK$5:$AK$164,$AJ$5:$AJ$164,$AQ87)*F$5*武将升级!AC84)</f>
        <v>6140.6231060414866</v>
      </c>
      <c r="AW87" s="8">
        <f>SUMPRODUCT(AR87:AV87,基础状态预期!F97:J97)/SUM(基础状态预期!F97:J97)</f>
        <v>6140.6231060414866</v>
      </c>
    </row>
    <row r="88" spans="16:55" x14ac:dyDescent="0.15">
      <c r="P88" s="14" t="e">
        <f>8-COUNTIF([3]羁绊设计!$AD87:$AK87,"&amp;")</f>
        <v>#VALUE!</v>
      </c>
      <c r="Q88" s="29" t="str">
        <f>[3]羁绊解锁统计!$B87</f>
        <v>刘邦</v>
      </c>
      <c r="R88" s="29" t="str">
        <f>IF([3]羁绊设计!$F87="红","橙+",[3]羁绊设计!$F87)</f>
        <v>橙+</v>
      </c>
      <c r="S88" s="14">
        <f>IF([3]羁绊解锁统计!C87="",0,[3]羁绊解锁统计!C87-IF($R88=S$9,1,0))</f>
        <v>0</v>
      </c>
      <c r="T88" s="14">
        <f>IF([3]羁绊解锁统计!D87="",0,[3]羁绊解锁统计!D87-IF($R88=T$9,1,0))</f>
        <v>0</v>
      </c>
      <c r="U88" s="14">
        <f>IF([3]羁绊解锁统计!E87="",0,[3]羁绊解锁统计!E87-IF($R88=U$9,1,0))</f>
        <v>0</v>
      </c>
      <c r="V88" s="14">
        <f>IF([3]羁绊解锁统计!F87="",0,[3]羁绊解锁统计!F87-IF($R88=V$9,1,0))</f>
        <v>1</v>
      </c>
      <c r="W88" s="14">
        <f>IF([3]羁绊解锁统计!G87="",0,[3]羁绊解锁统计!G87-IF($R88=W$9,1,0))</f>
        <v>0</v>
      </c>
      <c r="X88" s="29">
        <f t="shared" ref="X88:X89" si="45">MAX(IF(T88=0,0,$J$42*(1+J$43*(T88-1))),IF(U88=0,0,$K$42*(1+K$43*(U88-1))),IF(V88=0,0,$L$42*(1+L$43*(V88-1))),IF(W88=0,0,$M$42*(1+M$43*(W88-1))))</f>
        <v>51111.111111111117</v>
      </c>
      <c r="Y88" s="10">
        <f t="shared" ref="Y88:Y89" si="46">AG88/3.5</f>
        <v>0.1175552379919582</v>
      </c>
      <c r="AA88" s="14">
        <f t="shared" ref="AA88:AA89" si="47">S88*INDEX($B$4:$G$4,1,MATCH($R88,$B$3:$G$3,0))</f>
        <v>0</v>
      </c>
      <c r="AB88" s="14">
        <f t="shared" ref="AB88:AB89" si="48">T88*INDEX($B$4:$G$4,1,MATCH($R88,$B$3:$G$3,0))</f>
        <v>0</v>
      </c>
      <c r="AC88" s="14">
        <f t="shared" ref="AC88:AC89" si="49">U88*INDEX($B$4:$G$4,1,MATCH($R88,$B$3:$G$3,0))</f>
        <v>0</v>
      </c>
      <c r="AD88" s="14">
        <f t="shared" ref="AD88:AD89" si="50">V88*INDEX($B$4:$G$4,1,MATCH($R88,$B$3:$G$3,0))</f>
        <v>6</v>
      </c>
      <c r="AE88" s="14">
        <f t="shared" ref="AE88:AE89" si="51">W88*INDEX($B$4:$G$4,1,MATCH($R88,$B$3:$G$3,0))</f>
        <v>0</v>
      </c>
      <c r="AF88" s="29">
        <f t="shared" ref="AF88:AF89" si="52">X88*INDEX($B$4:$G$4,1,MATCH(R88,$B$3:$G$3,0))</f>
        <v>306666.66666666669</v>
      </c>
      <c r="AG88" s="10">
        <f t="shared" ref="AG88:AG89" si="53">MAX(求节点($AK$5:$AK$104,$AJ$5:$AJ$104,IF(AF88=0,2000,AF88))*INDEX($B$5:$G$5,1,MATCH(R88,$B$14:$G$14,0),1),0.05)</f>
        <v>0.4114433329718537</v>
      </c>
      <c r="AH88" s="87">
        <v>5.0000000000000096E-3</v>
      </c>
      <c r="AI88" s="4">
        <v>84</v>
      </c>
      <c r="AJ88" s="98">
        <f t="shared" si="18"/>
        <v>0.63</v>
      </c>
      <c r="AK88" s="5">
        <f>'[1]资源-钻石'!$N87*求节点(武将数量星级阶位验证!$CP$41:$CP$72,武将数量星级阶位验证!$CS$41:$CS$72,节奏总纲!R87)</f>
        <v>873046.91146002081</v>
      </c>
      <c r="AL88" s="48"/>
      <c r="AO88" s="5">
        <v>40</v>
      </c>
      <c r="AP88" s="14">
        <f>基础状态预期!D98</f>
        <v>153.01012120353457</v>
      </c>
      <c r="AQ88" s="14">
        <f>(求节点(其他调用!$B$4:$B$163,其他调用!$D$4:$D$163,$AP88))*求节点(武将数量星级阶位验证!$CP$41:$CP$72,武将数量星级阶位验证!$CR$41:$CR$72,武将数量星级阶位验证!AS88)</f>
        <v>31872524.357988026</v>
      </c>
      <c r="AR88" s="14">
        <f>IF(武将升级!Y85="",0,求节点($AK$5:$AK$164,$AJ$5:$AJ$164,AQ$7)*B$5*武将升级!Y85)</f>
        <v>0</v>
      </c>
      <c r="AS88" s="14">
        <f>IF(武将升级!Z85="",0,求节点($AK$5:$AK$164,$AJ$5:$AJ$164,$AQ88)*C$5*武将升级!Z85)</f>
        <v>0</v>
      </c>
      <c r="AT88" s="14">
        <f>IF(武将升级!AA85="",0,求节点($AK$5:$AK$164,$AJ$5:$AJ$164,$AQ88)*D$5*武将升级!AA85)</f>
        <v>0</v>
      </c>
      <c r="AU88" s="14">
        <f>IF(武将升级!AB85="",0,求节点($AK$5:$AK$164,$AJ$5:$AJ$164,$AQ88)*E$5*武将升级!AB85)</f>
        <v>0</v>
      </c>
      <c r="AV88" s="14">
        <f>IF(武将升级!AC85="",0,求节点($AK$5:$AK$164,$AJ$5:$AJ$164,$AQ88)*F$5*武将升级!AC85)</f>
        <v>6155.1</v>
      </c>
      <c r="AW88" s="8">
        <f>SUMPRODUCT(AR88:AV88,基础状态预期!F98:J98)/SUM(基础状态预期!F98:J98)</f>
        <v>6155.1000000000013</v>
      </c>
    </row>
    <row r="89" spans="16:55" x14ac:dyDescent="0.15">
      <c r="P89" s="14" t="e">
        <f>8-COUNTIF([3]羁绊设计!$AD88:$AK88,"&amp;")</f>
        <v>#VALUE!</v>
      </c>
      <c r="Q89" s="29" t="str">
        <f>[3]羁绊解锁统计!$B88</f>
        <v>韩信</v>
      </c>
      <c r="R89" s="29" t="str">
        <f>IF([3]羁绊设计!$F88="红","橙+",[3]羁绊设计!$F88)</f>
        <v>橙+</v>
      </c>
      <c r="S89" s="14">
        <f>IF([3]羁绊解锁统计!C88="",0,[3]羁绊解锁统计!C88-IF($R89=S$9,1,0))</f>
        <v>0</v>
      </c>
      <c r="T89" s="14">
        <f>IF([3]羁绊解锁统计!D88="",0,[3]羁绊解锁统计!D88-IF($R89=T$9,1,0))</f>
        <v>0</v>
      </c>
      <c r="U89" s="14">
        <f>IF([3]羁绊解锁统计!E88="",0,[3]羁绊解锁统计!E88-IF($R89=U$9,1,0))</f>
        <v>0</v>
      </c>
      <c r="V89" s="14">
        <f>IF([3]羁绊解锁统计!F88="",0,[3]羁绊解锁统计!F88-IF($R89=V$9,1,0))</f>
        <v>2</v>
      </c>
      <c r="W89" s="14">
        <f>IF([3]羁绊解锁统计!G88="",0,[3]羁绊解锁统计!G88-IF($R89=W$9,1,0))</f>
        <v>1</v>
      </c>
      <c r="X89" s="29">
        <f t="shared" si="45"/>
        <v>55370.370370370372</v>
      </c>
      <c r="Y89" s="10">
        <f t="shared" si="46"/>
        <v>0.12431584111409054</v>
      </c>
      <c r="AA89" s="14">
        <f t="shared" si="47"/>
        <v>0</v>
      </c>
      <c r="AB89" s="14">
        <f t="shared" si="48"/>
        <v>0</v>
      </c>
      <c r="AC89" s="14">
        <f t="shared" si="49"/>
        <v>0</v>
      </c>
      <c r="AD89" s="14">
        <f t="shared" si="50"/>
        <v>12</v>
      </c>
      <c r="AE89" s="14">
        <f t="shared" si="51"/>
        <v>6</v>
      </c>
      <c r="AF89" s="29">
        <f t="shared" si="52"/>
        <v>332222.22222222225</v>
      </c>
      <c r="AG89" s="10">
        <f t="shared" si="53"/>
        <v>0.43510544389931688</v>
      </c>
      <c r="AH89" s="87">
        <v>5.0000000000000096E-3</v>
      </c>
      <c r="AI89" s="4">
        <v>85</v>
      </c>
      <c r="AJ89" s="98">
        <f t="shared" si="18"/>
        <v>0.63</v>
      </c>
      <c r="AK89" s="5">
        <f>'[1]资源-钻石'!$N88*求节点(武将数量星级阶位验证!$CP$41:$CP$72,武将数量星级阶位验证!$CS$41:$CS$72,节奏总纲!R88)</f>
        <v>918576.67140612041</v>
      </c>
      <c r="AL89" s="48"/>
      <c r="AO89" s="5">
        <v>41</v>
      </c>
      <c r="AP89" s="14">
        <f>基础状态预期!D99</f>
        <v>154.95970315183646</v>
      </c>
      <c r="AQ89" s="14">
        <f>(求节点(其他调用!$B$4:$B$163,其他调用!$D$4:$D$163,$AP89))*求节点(武将数量星级阶位验证!$CP$41:$CP$72,武将数量星级阶位验证!$CR$41:$CR$72,武将数量星级阶位验证!AS89)</f>
        <v>39913890.02860292</v>
      </c>
      <c r="AR89" s="14">
        <f>IF(武将升级!Y86="",0,求节点($AK$5:$AK$164,$AJ$5:$AJ$164,AQ$7)*B$5*武将升级!Y86)</f>
        <v>0</v>
      </c>
      <c r="AS89" s="14">
        <f>IF(武将升级!Z86="",0,求节点($AK$5:$AK$164,$AJ$5:$AJ$164,$AQ89)*C$5*武将升级!Z86)</f>
        <v>0</v>
      </c>
      <c r="AT89" s="14">
        <f>IF(武将升级!AA86="",0,求节点($AK$5:$AK$164,$AJ$5:$AJ$164,$AQ89)*D$5*武将升级!AA86)</f>
        <v>0</v>
      </c>
      <c r="AU89" s="14">
        <f>IF(武将升级!AB86="",0,求节点($AK$5:$AK$164,$AJ$5:$AJ$164,$AQ89)*E$5*武将升级!AB86)</f>
        <v>0</v>
      </c>
      <c r="AV89" s="14">
        <f>IF(武将升级!AC86="",0,求节点($AK$5:$AK$164,$AJ$5:$AJ$164,$AQ89)*F$5*武将升级!AC86)</f>
        <v>6155.1</v>
      </c>
      <c r="AW89" s="8">
        <f>SUMPRODUCT(AR89:AV89,基础状态预期!F99:J99)/SUM(基础状态预期!F99:J99)</f>
        <v>6155.1000000000013</v>
      </c>
    </row>
    <row r="90" spans="16:55" x14ac:dyDescent="0.15">
      <c r="P90" s="14" t="e">
        <f>8-COUNTIF([3]羁绊设计!$AD89:$AK89,"&amp;")</f>
        <v>#VALUE!</v>
      </c>
      <c r="Q90" s="29" t="str">
        <f>[3]羁绊解锁统计!$B89</f>
        <v>彭越</v>
      </c>
      <c r="R90" s="29" t="str">
        <f>IF([3]羁绊设计!$F89="红","橙+",[3]羁绊设计!$F89)</f>
        <v>橙</v>
      </c>
      <c r="S90" s="14">
        <f>IF([3]羁绊解锁统计!C89="",0,[3]羁绊解锁统计!C89-IF($R90=S$9,1,0))</f>
        <v>0</v>
      </c>
      <c r="T90" s="14">
        <f>IF([3]羁绊解锁统计!D89="",0,[3]羁绊解锁统计!D89-IF($R90=T$9,1,0))</f>
        <v>0</v>
      </c>
      <c r="U90" s="14">
        <f>IF([3]羁绊解锁统计!E89="",0,[3]羁绊解锁统计!E89-IF($R90=U$9,1,0))</f>
        <v>0</v>
      </c>
      <c r="V90" s="14">
        <f>IF([3]羁绊解锁统计!F89="",0,[3]羁绊解锁统计!F89-IF($R90=V$9,1,0))</f>
        <v>4</v>
      </c>
      <c r="W90" s="14">
        <f>IF([3]羁绊解锁统计!G89="",0,[3]羁绊解锁统计!G89-IF($R90=W$9,1,0))</f>
        <v>1</v>
      </c>
      <c r="X90" s="29">
        <f t="shared" ref="X90:X91" si="54">MAX(IF(T90=0,0,$J$42*(1+J$43*(T90-1))),IF(U90=0,0,$K$42*(1+K$43*(U90-1))),IF(V90=0,0,$L$42*(1+L$43*(V90-1))),IF(W90=0,0,$M$42*(1+M$43*(W90-1))))</f>
        <v>63888.888888888898</v>
      </c>
      <c r="Y90" s="10">
        <f>AG90/3.5</f>
        <v>0.13740340360056111</v>
      </c>
      <c r="AA90" s="14">
        <f t="shared" ref="AA90:AA91" si="55">S90*INDEX($B$4:$G$4,1,MATCH($R90,$B$3:$G$3,0))</f>
        <v>0</v>
      </c>
      <c r="AB90" s="14">
        <f t="shared" ref="AB90:AB91" si="56">T90*INDEX($B$4:$G$4,1,MATCH($R90,$B$3:$G$3,0))</f>
        <v>0</v>
      </c>
      <c r="AC90" s="14">
        <f t="shared" ref="AC90:AC91" si="57">U90*INDEX($B$4:$G$4,1,MATCH($R90,$B$3:$G$3,0))</f>
        <v>0</v>
      </c>
      <c r="AD90" s="14">
        <f t="shared" ref="AD90:AD91" si="58">V90*INDEX($B$4:$G$4,1,MATCH($R90,$B$3:$G$3,0))</f>
        <v>24</v>
      </c>
      <c r="AE90" s="14">
        <f t="shared" ref="AE90:AE91" si="59">W90*INDEX($B$4:$G$4,1,MATCH($R90,$B$3:$G$3,0))</f>
        <v>6</v>
      </c>
      <c r="AF90" s="29">
        <f t="shared" ref="AF90:AF91" si="60">X90*INDEX($B$4:$G$4,1,MATCH(R90,$B$3:$G$3,0))</f>
        <v>383333.33333333337</v>
      </c>
      <c r="AG90" s="10">
        <f t="shared" ref="AG90:AG91" si="61">MAX(求节点($AK$5:$AK$104,$AJ$5:$AJ$104,IF(AF90=0,2000,AF90))*INDEX($B$5:$G$5,1,MATCH(R90,$B$14:$G$14,0),1),0.05)</f>
        <v>0.48091191260196386</v>
      </c>
      <c r="AH90" s="87">
        <v>5.0000000000000096E-3</v>
      </c>
      <c r="AI90" s="4">
        <v>86</v>
      </c>
      <c r="AJ90" s="98">
        <f t="shared" si="18"/>
        <v>0.63</v>
      </c>
      <c r="AK90" s="5">
        <f>'[1]资源-钻石'!$N89*求节点(武将数量星级阶位验证!$CP$41:$CP$72,武将数量星级阶位验证!$CS$41:$CS$72,节奏总纲!R89)</f>
        <v>967385.59594537329</v>
      </c>
      <c r="AL90" s="48"/>
      <c r="AO90" s="5">
        <v>42</v>
      </c>
      <c r="AP90" s="14">
        <f>基础状态预期!D100</f>
        <v>157.63974470288184</v>
      </c>
      <c r="AQ90" s="14">
        <f>(求节点(其他调用!$B$4:$B$163,其他调用!$D$4:$D$163,$AP90))*求节点(武将数量星级阶位验证!$CP$41:$CP$72,武将数量星级阶位验证!$CR$41:$CR$72,武将数量星级阶位验证!AS90)</f>
        <v>49840322.291426554</v>
      </c>
      <c r="AR90" s="14">
        <f>IF(武将升级!Y87="",0,求节点($AK$5:$AK$164,$AJ$5:$AJ$164,AQ$7)*B$5*武将升级!Y87)</f>
        <v>0</v>
      </c>
      <c r="AS90" s="14">
        <f>IF(武将升级!Z87="",0,求节点($AK$5:$AK$164,$AJ$5:$AJ$164,$AQ90)*C$5*武将升级!Z87)</f>
        <v>0</v>
      </c>
      <c r="AT90" s="14">
        <f>IF(武将升级!AA87="",0,求节点($AK$5:$AK$164,$AJ$5:$AJ$164,$AQ90)*D$5*武将升级!AA87)</f>
        <v>0</v>
      </c>
      <c r="AU90" s="14">
        <f>IF(武将升级!AB87="",0,求节点($AK$5:$AK$164,$AJ$5:$AJ$164,$AQ90)*E$5*武将升级!AB87)</f>
        <v>0</v>
      </c>
      <c r="AV90" s="14">
        <f>IF(武将升级!AC87="",0,求节点($AK$5:$AK$164,$AJ$5:$AJ$164,$AQ90)*F$5*武将升级!AC87)</f>
        <v>6155.1</v>
      </c>
      <c r="AW90" s="8">
        <f>SUMPRODUCT(AR90:AV90,基础状态预期!F100:J100)/SUM(基础状态预期!F100:J100)</f>
        <v>6155.1000000000013</v>
      </c>
    </row>
    <row r="91" spans="16:55" x14ac:dyDescent="0.15">
      <c r="P91" s="14" t="e">
        <f>8-COUNTIF([3]羁绊设计!$AD90:$AK90,"&amp;")</f>
        <v>#VALUE!</v>
      </c>
      <c r="Q91" s="29" t="str">
        <f>[3]羁绊解锁统计!$B90</f>
        <v>卫青</v>
      </c>
      <c r="R91" s="29" t="str">
        <f>IF([3]羁绊设计!$F90="红","橙+",[3]羁绊设计!$F90)</f>
        <v>橙+</v>
      </c>
      <c r="S91" s="14">
        <f>IF([3]羁绊解锁统计!C90="",0,[3]羁绊解锁统计!C90-IF($R91=S$9,1,0))</f>
        <v>0</v>
      </c>
      <c r="T91" s="14">
        <f>IF([3]羁绊解锁统计!D90="",0,[3]羁绊解锁统计!D90-IF($R91=T$9,1,0))</f>
        <v>0</v>
      </c>
      <c r="U91" s="14">
        <f>IF([3]羁绊解锁统计!E90="",0,[3]羁绊解锁统计!E90-IF($R91=U$9,1,0))</f>
        <v>0</v>
      </c>
      <c r="V91" s="14">
        <f>IF([3]羁绊解锁统计!F90="",0,[3]羁绊解锁统计!F90-IF($R91=V$9,1,0))</f>
        <v>0</v>
      </c>
      <c r="W91" s="14">
        <f>IF([3]羁绊解锁统计!G90="",0,[3]羁绊解锁统计!G90-IF($R91=W$9,1,0))</f>
        <v>0</v>
      </c>
      <c r="X91" s="29">
        <f t="shared" si="54"/>
        <v>0</v>
      </c>
      <c r="Y91" s="10">
        <f t="shared" ref="Y91" si="62">AG91/3.5</f>
        <v>1.4285714285714287E-2</v>
      </c>
      <c r="AA91" s="14">
        <f t="shared" si="55"/>
        <v>0</v>
      </c>
      <c r="AB91" s="14">
        <f t="shared" si="56"/>
        <v>0</v>
      </c>
      <c r="AC91" s="14">
        <f t="shared" si="57"/>
        <v>0</v>
      </c>
      <c r="AD91" s="14">
        <f t="shared" si="58"/>
        <v>0</v>
      </c>
      <c r="AE91" s="14">
        <f t="shared" si="59"/>
        <v>0</v>
      </c>
      <c r="AF91" s="29">
        <f t="shared" si="60"/>
        <v>0</v>
      </c>
      <c r="AG91" s="10">
        <f t="shared" si="61"/>
        <v>0.05</v>
      </c>
      <c r="AH91" s="87">
        <v>5.0000000000000096E-3</v>
      </c>
      <c r="AI91" s="4">
        <v>87</v>
      </c>
      <c r="AJ91" s="98">
        <f t="shared" si="18"/>
        <v>0.63</v>
      </c>
      <c r="AK91" s="5">
        <f>'[1]资源-钻石'!$N90*求节点(武将数量星级阶位验证!$CP$41:$CP$72,武将数量星级阶位验证!$CS$41:$CS$72,节奏总纲!R90)</f>
        <v>1019591.6849306144</v>
      </c>
      <c r="AL91" s="48"/>
      <c r="AO91" s="5">
        <v>43</v>
      </c>
    </row>
    <row r="92" spans="16:55" x14ac:dyDescent="0.15">
      <c r="P92" s="14" t="e">
        <f>8-COUNTIF([3]羁绊设计!$AD91:$AK91,"&amp;")</f>
        <v>#VALUE!</v>
      </c>
      <c r="Q92" s="29" t="str">
        <f>[3]羁绊解锁统计!$B91</f>
        <v>霍去病</v>
      </c>
      <c r="R92" s="29" t="str">
        <f>IF([3]羁绊设计!$F91="红","橙+",[3]羁绊设计!$F91)</f>
        <v>橙+</v>
      </c>
      <c r="S92" s="14">
        <f>IF([3]羁绊解锁统计!C91="",0,[3]羁绊解锁统计!C91-IF($R92=S$9,1,0))</f>
        <v>0</v>
      </c>
      <c r="T92" s="14">
        <f>IF([3]羁绊解锁统计!D91="",0,[3]羁绊解锁统计!D91-IF($R92=T$9,1,0))</f>
        <v>0</v>
      </c>
      <c r="U92" s="14">
        <f>IF([3]羁绊解锁统计!E91="",0,[3]羁绊解锁统计!E91-IF($R92=U$9,1,0))</f>
        <v>0</v>
      </c>
      <c r="V92" s="14">
        <f>IF([3]羁绊解锁统计!F91="",0,[3]羁绊解锁统计!F91-IF($R92=V$9,1,0))</f>
        <v>0</v>
      </c>
      <c r="W92" s="14">
        <f>IF([3]羁绊解锁统计!G91="",0,[3]羁绊解锁统计!G91-IF($R92=W$9,1,0))</f>
        <v>0</v>
      </c>
      <c r="X92" s="29">
        <f t="shared" ref="X92:X105" si="63">MAX(IF(T92=0,0,$J$42*(1+J$43*(T92-1))),IF(U92=0,0,$K$42*(1+K$43*(U92-1))),IF(V92=0,0,$L$42*(1+L$43*(V92-1))),IF(W92=0,0,$M$42*(1+M$43*(W92-1))))</f>
        <v>0</v>
      </c>
      <c r="Y92" s="10">
        <f t="shared" ref="Y92:Y105" si="64">AG92/3.5</f>
        <v>1.4285714285714287E-2</v>
      </c>
      <c r="AA92" s="14">
        <f t="shared" ref="AA92:AA105" si="65">S92*INDEX($B$4:$G$4,1,MATCH($R92,$B$3:$G$3,0))</f>
        <v>0</v>
      </c>
      <c r="AB92" s="14">
        <f t="shared" ref="AB92:AB105" si="66">T92*INDEX($B$4:$G$4,1,MATCH($R92,$B$3:$G$3,0))</f>
        <v>0</v>
      </c>
      <c r="AC92" s="14">
        <f t="shared" ref="AC92:AC105" si="67">U92*INDEX($B$4:$G$4,1,MATCH($R92,$B$3:$G$3,0))</f>
        <v>0</v>
      </c>
      <c r="AD92" s="14">
        <f t="shared" ref="AD92:AD105" si="68">V92*INDEX($B$4:$G$4,1,MATCH($R92,$B$3:$G$3,0))</f>
        <v>0</v>
      </c>
      <c r="AE92" s="14">
        <f t="shared" ref="AE92:AE105" si="69">W92*INDEX($B$4:$G$4,1,MATCH($R92,$B$3:$G$3,0))</f>
        <v>0</v>
      </c>
      <c r="AF92" s="29">
        <f t="shared" ref="AF92:AF105" si="70">X92*INDEX($B$4:$G$4,1,MATCH(R92,$B$3:$G$3,0))</f>
        <v>0</v>
      </c>
      <c r="AG92" s="10">
        <f t="shared" ref="AG92:AG105" si="71">MAX(求节点($AK$5:$AK$104,$AJ$5:$AJ$104,IF(AF92=0,2000,AF92))*INDEX($B$5:$G$5,1,MATCH(R92,$B$14:$G$14,0),1),0.05)</f>
        <v>0.05</v>
      </c>
      <c r="AH92" s="87">
        <v>5.0000000000000096E-3</v>
      </c>
      <c r="AI92" s="4">
        <v>88</v>
      </c>
      <c r="AJ92" s="98">
        <f t="shared" si="18"/>
        <v>0.63</v>
      </c>
      <c r="AK92" s="5">
        <f>'[1]资源-钻石'!$N91*求节点(武将数量星级阶位验证!$CP$41:$CP$72,武将数量星级阶位验证!$CS$41:$CS$72,节奏总纲!R91)</f>
        <v>1071241.3180915867</v>
      </c>
      <c r="AL92" s="48"/>
      <c r="AO92" s="5">
        <v>44</v>
      </c>
    </row>
    <row r="93" spans="16:55" x14ac:dyDescent="0.15">
      <c r="P93" s="14" t="e">
        <f>8-COUNTIF([3]羁绊设计!$AD92:$AK92,"&amp;")</f>
        <v>#VALUE!</v>
      </c>
      <c r="Q93" s="29" t="str">
        <f>[3]羁绊解锁统计!$B92</f>
        <v>曹操</v>
      </c>
      <c r="R93" s="29" t="str">
        <f>IF([3]羁绊设计!$F92="红","橙+",[3]羁绊设计!$F92)</f>
        <v>橙+</v>
      </c>
      <c r="S93" s="14">
        <f>IF([3]羁绊解锁统计!C92="",0,[3]羁绊解锁统计!C92-IF($R93=S$9,1,0))</f>
        <v>0</v>
      </c>
      <c r="T93" s="14">
        <f>IF([3]羁绊解锁统计!D92="",0,[3]羁绊解锁统计!D92-IF($R93=T$9,1,0))</f>
        <v>0</v>
      </c>
      <c r="U93" s="14">
        <f>IF([3]羁绊解锁统计!E92="",0,[3]羁绊解锁统计!E92-IF($R93=U$9,1,0))</f>
        <v>0</v>
      </c>
      <c r="V93" s="14">
        <f>IF([3]羁绊解锁统计!F92="",0,[3]羁绊解锁统计!F92-IF($R93=V$9,1,0))</f>
        <v>0</v>
      </c>
      <c r="W93" s="14">
        <f>IF([3]羁绊解锁统计!G92="",0,[3]羁绊解锁统计!G92-IF($R93=W$9,1,0))</f>
        <v>0</v>
      </c>
      <c r="X93" s="29">
        <f t="shared" si="63"/>
        <v>0</v>
      </c>
      <c r="Y93" s="10">
        <f t="shared" si="64"/>
        <v>1.4285714285714287E-2</v>
      </c>
      <c r="AA93" s="14">
        <f t="shared" si="65"/>
        <v>0</v>
      </c>
      <c r="AB93" s="14">
        <f t="shared" si="66"/>
        <v>0</v>
      </c>
      <c r="AC93" s="14">
        <f t="shared" si="67"/>
        <v>0</v>
      </c>
      <c r="AD93" s="14">
        <f t="shared" si="68"/>
        <v>0</v>
      </c>
      <c r="AE93" s="14">
        <f t="shared" si="69"/>
        <v>0</v>
      </c>
      <c r="AF93" s="29">
        <f t="shared" si="70"/>
        <v>0</v>
      </c>
      <c r="AG93" s="10">
        <f t="shared" si="71"/>
        <v>0.05</v>
      </c>
      <c r="AH93" s="87">
        <v>5.0000000000000096E-3</v>
      </c>
      <c r="AI93" s="4">
        <v>89</v>
      </c>
      <c r="AJ93" s="98">
        <f t="shared" si="18"/>
        <v>0.63</v>
      </c>
      <c r="AK93" s="5">
        <f>'[1]资源-钻石'!$N92*求节点(武将数量星级阶位验证!$CP$41:$CP$72,武将数量星级阶位验证!$CS$41:$CS$72,节奏总纲!R92)</f>
        <v>1123394.226839728</v>
      </c>
      <c r="AL93" s="48"/>
      <c r="AO93" s="5">
        <v>45</v>
      </c>
    </row>
    <row r="94" spans="16:55" x14ac:dyDescent="0.15">
      <c r="P94" s="14" t="e">
        <f>8-COUNTIF([3]羁绊设计!$AD93:$AK93,"&amp;")</f>
        <v>#VALUE!</v>
      </c>
      <c r="Q94" s="29" t="str">
        <f>[3]羁绊解锁统计!$B93</f>
        <v>关羽</v>
      </c>
      <c r="R94" s="29" t="str">
        <f>IF([3]羁绊设计!$F93="红","橙+",[3]羁绊设计!$F93)</f>
        <v>橙+</v>
      </c>
      <c r="S94" s="14">
        <f>IF([3]羁绊解锁统计!C93="",0,[3]羁绊解锁统计!C93-IF($R94=S$9,1,0))</f>
        <v>0</v>
      </c>
      <c r="T94" s="14">
        <f>IF([3]羁绊解锁统计!D93="",0,[3]羁绊解锁统计!D93-IF($R94=T$9,1,0))</f>
        <v>0</v>
      </c>
      <c r="U94" s="14">
        <f>IF([3]羁绊解锁统计!E93="",0,[3]羁绊解锁统计!E93-IF($R94=U$9,1,0))</f>
        <v>0</v>
      </c>
      <c r="V94" s="14">
        <f>IF([3]羁绊解锁统计!F93="",0,[3]羁绊解锁统计!F93-IF($R94=V$9,1,0))</f>
        <v>2</v>
      </c>
      <c r="W94" s="14">
        <f>IF([3]羁绊解锁统计!G93="",0,[3]羁绊解锁统计!G93-IF($R94=W$9,1,0))</f>
        <v>0</v>
      </c>
      <c r="X94" s="29">
        <f t="shared" si="63"/>
        <v>55370.370370370372</v>
      </c>
      <c r="Y94" s="10">
        <f t="shared" si="64"/>
        <v>0.12431584111409054</v>
      </c>
      <c r="AA94" s="14">
        <f t="shared" si="65"/>
        <v>0</v>
      </c>
      <c r="AB94" s="14">
        <f t="shared" si="66"/>
        <v>0</v>
      </c>
      <c r="AC94" s="14">
        <f t="shared" si="67"/>
        <v>0</v>
      </c>
      <c r="AD94" s="14">
        <f t="shared" si="68"/>
        <v>12</v>
      </c>
      <c r="AE94" s="14">
        <f t="shared" si="69"/>
        <v>0</v>
      </c>
      <c r="AF94" s="29">
        <f t="shared" si="70"/>
        <v>332222.22222222225</v>
      </c>
      <c r="AG94" s="10">
        <f t="shared" si="71"/>
        <v>0.43510544389931688</v>
      </c>
      <c r="AH94" s="87">
        <v>5.0000000000000096E-3</v>
      </c>
      <c r="AI94" s="4">
        <v>90</v>
      </c>
      <c r="AJ94" s="98">
        <f t="shared" si="18"/>
        <v>0.63</v>
      </c>
      <c r="AK94" s="5">
        <f>'[1]资源-钻石'!$N93*求节点(武将数量星级阶位验证!$CP$41:$CP$72,武将数量星级阶位验证!$CS$41:$CS$72,节奏总纲!R93)</f>
        <v>1179148.0788211222</v>
      </c>
      <c r="AL94" s="48"/>
      <c r="AO94" s="5">
        <v>1</v>
      </c>
    </row>
    <row r="95" spans="16:55" x14ac:dyDescent="0.15">
      <c r="P95" s="14" t="e">
        <f>8-COUNTIF([3]羁绊设计!$AD94:$AK94,"&amp;")</f>
        <v>#VALUE!</v>
      </c>
      <c r="Q95" s="29" t="str">
        <f>[3]羁绊解锁统计!$B94</f>
        <v>董卓</v>
      </c>
      <c r="R95" s="29" t="str">
        <f>IF([3]羁绊设计!$F94="红","橙+",[3]羁绊设计!$F94)</f>
        <v>橙+</v>
      </c>
      <c r="S95" s="14">
        <f>IF([3]羁绊解锁统计!C94="",0,[3]羁绊解锁统计!C94-IF($R95=S$9,1,0))</f>
        <v>0</v>
      </c>
      <c r="T95" s="14">
        <f>IF([3]羁绊解锁统计!D94="",0,[3]羁绊解锁统计!D94-IF($R95=T$9,1,0))</f>
        <v>0</v>
      </c>
      <c r="U95" s="14">
        <f>IF([3]羁绊解锁统计!E94="",0,[3]羁绊解锁统计!E94-IF($R95=U$9,1,0))</f>
        <v>0</v>
      </c>
      <c r="V95" s="14">
        <f>IF([3]羁绊解锁统计!F94="",0,[3]羁绊解锁统计!F94-IF($R95=V$9,1,0))</f>
        <v>3</v>
      </c>
      <c r="W95" s="14">
        <f>IF([3]羁绊解锁统计!G94="",0,[3]羁绊解锁统计!G94-IF($R95=W$9,1,0))</f>
        <v>0</v>
      </c>
      <c r="X95" s="29">
        <f t="shared" si="63"/>
        <v>59629.629629629642</v>
      </c>
      <c r="Y95" s="10">
        <f t="shared" si="64"/>
        <v>0.13092644438936596</v>
      </c>
      <c r="AA95" s="14">
        <f t="shared" si="65"/>
        <v>0</v>
      </c>
      <c r="AB95" s="14">
        <f t="shared" si="66"/>
        <v>0</v>
      </c>
      <c r="AC95" s="14">
        <f t="shared" si="67"/>
        <v>0</v>
      </c>
      <c r="AD95" s="14">
        <f t="shared" si="68"/>
        <v>18</v>
      </c>
      <c r="AE95" s="14">
        <f t="shared" si="69"/>
        <v>0</v>
      </c>
      <c r="AF95" s="29">
        <f t="shared" si="70"/>
        <v>357777.77777777787</v>
      </c>
      <c r="AG95" s="10">
        <f t="shared" si="71"/>
        <v>0.45824255536278086</v>
      </c>
      <c r="AH95" s="87">
        <v>5.0000000000000096E-3</v>
      </c>
      <c r="AI95" s="4">
        <v>91</v>
      </c>
      <c r="AJ95" s="98">
        <f t="shared" si="18"/>
        <v>0.63</v>
      </c>
      <c r="AK95" s="5">
        <f>'[1]资源-钻石'!$N94*求节点(武将数量星级阶位验证!$CP$41:$CP$72,武将数量星级阶位验证!$CS$41:$CS$72,节奏总纲!R94)</f>
        <v>1238413.7106503421</v>
      </c>
      <c r="AL95" s="48"/>
      <c r="AO95" s="5">
        <v>2</v>
      </c>
      <c r="AP95" s="8" t="s">
        <v>77</v>
      </c>
      <c r="AQ95" s="8"/>
      <c r="AR95" s="173" t="s">
        <v>286</v>
      </c>
      <c r="AS95" s="173"/>
      <c r="AT95" s="173"/>
      <c r="AU95" s="173"/>
      <c r="AV95" s="173"/>
      <c r="AW95" s="173"/>
      <c r="BA95" s="35" t="s">
        <v>98</v>
      </c>
      <c r="BB95" s="29" t="s">
        <v>367</v>
      </c>
      <c r="BC95" s="51"/>
    </row>
    <row r="96" spans="16:55" x14ac:dyDescent="0.15">
      <c r="P96" s="14" t="e">
        <f>8-COUNTIF([3]羁绊设计!$AD95:$AK95,"&amp;")</f>
        <v>#VALUE!</v>
      </c>
      <c r="Q96" s="29" t="str">
        <f>[3]羁绊解锁统计!$B95</f>
        <v>貂蝉</v>
      </c>
      <c r="R96" s="29" t="str">
        <f>IF([3]羁绊设计!$F95="红","橙+",[3]羁绊设计!$F95)</f>
        <v>橙+</v>
      </c>
      <c r="S96" s="14">
        <f>IF([3]羁绊解锁统计!C95="",0,[3]羁绊解锁统计!C95-IF($R96=S$9,1,0))</f>
        <v>0</v>
      </c>
      <c r="T96" s="14">
        <f>IF([3]羁绊解锁统计!D95="",0,[3]羁绊解锁统计!D95-IF($R96=T$9,1,0))</f>
        <v>0</v>
      </c>
      <c r="U96" s="14">
        <f>IF([3]羁绊解锁统计!E95="",0,[3]羁绊解锁统计!E95-IF($R96=U$9,1,0))</f>
        <v>0</v>
      </c>
      <c r="V96" s="14">
        <f>IF([3]羁绊解锁统计!F95="",0,[3]羁绊解锁统计!F95-IF($R96=V$9,1,0))</f>
        <v>1</v>
      </c>
      <c r="W96" s="14">
        <f>IF([3]羁绊解锁统计!G95="",0,[3]羁绊解锁统计!G95-IF($R96=W$9,1,0))</f>
        <v>0</v>
      </c>
      <c r="X96" s="29">
        <f t="shared" si="63"/>
        <v>51111.111111111117</v>
      </c>
      <c r="Y96" s="10">
        <f t="shared" si="64"/>
        <v>0.1175552379919582</v>
      </c>
      <c r="AA96" s="14">
        <f t="shared" si="65"/>
        <v>0</v>
      </c>
      <c r="AB96" s="14">
        <f t="shared" si="66"/>
        <v>0</v>
      </c>
      <c r="AC96" s="14">
        <f t="shared" si="67"/>
        <v>0</v>
      </c>
      <c r="AD96" s="14">
        <f t="shared" si="68"/>
        <v>6</v>
      </c>
      <c r="AE96" s="14">
        <f t="shared" si="69"/>
        <v>0</v>
      </c>
      <c r="AF96" s="29">
        <f t="shared" si="70"/>
        <v>306666.66666666669</v>
      </c>
      <c r="AG96" s="10">
        <f t="shared" si="71"/>
        <v>0.4114433329718537</v>
      </c>
      <c r="AH96" s="87">
        <v>5.0000000000000096E-3</v>
      </c>
      <c r="AI96" s="4">
        <v>92</v>
      </c>
      <c r="AJ96" s="98">
        <f t="shared" si="18"/>
        <v>0.63</v>
      </c>
      <c r="AK96" s="5">
        <f>'[1]资源-钻石'!$N95*求节点(武将数量星级阶位验证!$CP$41:$CP$72,武将数量星级阶位验证!$CS$41:$CS$72,节奏总纲!R95)</f>
        <v>1300862.5472133087</v>
      </c>
      <c r="AL96" s="48"/>
      <c r="AO96" s="5">
        <v>3</v>
      </c>
      <c r="AP96" s="8" t="s">
        <v>478</v>
      </c>
      <c r="AQ96" s="50"/>
      <c r="AR96" s="19" t="s">
        <v>3</v>
      </c>
      <c r="AS96" s="19" t="s">
        <v>1</v>
      </c>
      <c r="AT96" s="19" t="s">
        <v>2</v>
      </c>
      <c r="AU96" s="19" t="s">
        <v>0</v>
      </c>
      <c r="AV96" s="19" t="s">
        <v>545</v>
      </c>
      <c r="AW96" s="8" t="s">
        <v>228</v>
      </c>
      <c r="BA96" s="32" t="s">
        <v>478</v>
      </c>
      <c r="BB96" s="29" t="s">
        <v>368</v>
      </c>
      <c r="BC96" s="29" t="s">
        <v>369</v>
      </c>
    </row>
    <row r="97" spans="16:55" x14ac:dyDescent="0.15">
      <c r="P97" s="14" t="e">
        <f>8-COUNTIF([3]羁绊设计!$AD96:$AK96,"&amp;")</f>
        <v>#VALUE!</v>
      </c>
      <c r="Q97" s="29" t="str">
        <f>[3]羁绊解锁统计!$B96</f>
        <v>吕布</v>
      </c>
      <c r="R97" s="29" t="str">
        <f>IF([3]羁绊设计!$F96="红","橙+",[3]羁绊设计!$F96)</f>
        <v>橙+</v>
      </c>
      <c r="S97" s="14">
        <f>IF([3]羁绊解锁统计!C96="",0,[3]羁绊解锁统计!C96-IF($R97=S$9,1,0))</f>
        <v>0</v>
      </c>
      <c r="T97" s="14">
        <f>IF([3]羁绊解锁统计!D96="",0,[3]羁绊解锁统计!D96-IF($R97=T$9,1,0))</f>
        <v>0</v>
      </c>
      <c r="U97" s="14">
        <f>IF([3]羁绊解锁统计!E96="",0,[3]羁绊解锁统计!E96-IF($R97=U$9,1,0))</f>
        <v>0</v>
      </c>
      <c r="V97" s="14">
        <f>IF([3]羁绊解锁统计!F96="",0,[3]羁绊解锁统计!F96-IF($R97=V$9,1,0))</f>
        <v>6</v>
      </c>
      <c r="W97" s="14">
        <f>IF([3]羁绊解锁统计!G96="",0,[3]羁绊解锁统计!G96-IF($R97=W$9,1,0))</f>
        <v>0</v>
      </c>
      <c r="X97" s="29">
        <f t="shared" si="63"/>
        <v>72407.407407407401</v>
      </c>
      <c r="Y97" s="10">
        <f t="shared" si="64"/>
        <v>0.14997311908169933</v>
      </c>
      <c r="AA97" s="14">
        <f t="shared" si="65"/>
        <v>0</v>
      </c>
      <c r="AB97" s="14">
        <f t="shared" si="66"/>
        <v>0</v>
      </c>
      <c r="AC97" s="14">
        <f t="shared" si="67"/>
        <v>0</v>
      </c>
      <c r="AD97" s="14">
        <f t="shared" si="68"/>
        <v>36</v>
      </c>
      <c r="AE97" s="14">
        <f t="shared" si="69"/>
        <v>0</v>
      </c>
      <c r="AF97" s="29">
        <f t="shared" si="70"/>
        <v>434444.44444444438</v>
      </c>
      <c r="AG97" s="10">
        <f t="shared" si="71"/>
        <v>0.52490591678594767</v>
      </c>
      <c r="AH97" s="87">
        <v>5.0000000000000096E-3</v>
      </c>
      <c r="AI97" s="4">
        <v>93</v>
      </c>
      <c r="AJ97" s="98">
        <f t="shared" si="18"/>
        <v>0.63</v>
      </c>
      <c r="AK97" s="5">
        <f>'[1]资源-钻石'!$N96*求节点(武将数量星级阶位验证!$CP$41:$CP$72,武将数量星级阶位验证!$CS$41:$CS$72,节奏总纲!R96)</f>
        <v>1365602.971521619</v>
      </c>
      <c r="AL97" s="48"/>
      <c r="AO97" s="5">
        <v>4</v>
      </c>
      <c r="AP97" s="14">
        <f>基础状态预期!D107</f>
        <v>10.099965341977441</v>
      </c>
      <c r="AQ97" s="14">
        <f>(求节点(其他调用!$B$4:$B$163,其他调用!$E$4:$E$163,$AP97))*求节点(武将数量星级阶位验证!$CP$41:$CP$72,武将数量星级阶位验证!$CS$41:$CS$72,武将数量星级阶位验证!AS97)</f>
        <v>13011.402965196248</v>
      </c>
      <c r="AR97" s="14">
        <f>IF(武将升级!Y94="",0,求节点($AK$5:$AK$164,$AJ$5:$AJ$164,AQ$7)*B$5*武将升级!Y94)</f>
        <v>0</v>
      </c>
      <c r="AS97" s="14">
        <f>IF(武将升级!Z94="",0,求节点($AK$5:$AK$164,$AJ$5:$AJ$164,$AQ97)*C$5*武将升级!Z94)</f>
        <v>0</v>
      </c>
      <c r="AT97" s="14">
        <f>IF(武将升级!AA94="",0,求节点($AK$5:$AK$164,$AJ$5:$AJ$164,$AQ97)*D$5*武将升级!AA94)</f>
        <v>62.134877564269168</v>
      </c>
      <c r="AU97" s="14">
        <f>IF(武将升级!AB94="",0,求节点($AK$5:$AK$164,$AJ$5:$AJ$164,$AQ97)*E$5*武将升级!AB94)</f>
        <v>62.134877564269168</v>
      </c>
      <c r="AV97" s="14">
        <f>IF(武将升级!AC94="",0,求节点($AK$5:$AK$164,$AJ$5:$AJ$164,$AQ97)*F$5*武将升级!AC94)</f>
        <v>0</v>
      </c>
      <c r="AW97" s="8">
        <f>SUMPRODUCT(AR97:AV97,基础状态预期!F107:J107)/SUM(基础状态预期!F107:J107)</f>
        <v>62.134877564269168</v>
      </c>
      <c r="BA97" s="29">
        <v>10</v>
      </c>
      <c r="BB97" s="29">
        <f t="shared" ref="BB97:BB98" si="72">求节点($AP$97:$AP$135,$AW$97:$AW$135,BA97)</f>
        <v>61.519891861434814</v>
      </c>
      <c r="BC97" s="55">
        <f>BB97*INDEX([2]中r将兵属性验证!$W$7:$W$166+[2]中r将兵属性验证!$X$7:$X$166,BA97,1)</f>
        <v>1101592.6228854319</v>
      </c>
    </row>
    <row r="98" spans="16:55" x14ac:dyDescent="0.15">
      <c r="P98" s="14" t="e">
        <f>8-COUNTIF([3]羁绊设计!$AD97:$AK97,"&amp;")</f>
        <v>#VALUE!</v>
      </c>
      <c r="Q98" s="29" t="str">
        <f>[3]羁绊解锁统计!$B97</f>
        <v>赵云</v>
      </c>
      <c r="R98" s="29" t="str">
        <f>IF([3]羁绊设计!$F97="红","橙+",[3]羁绊设计!$F97)</f>
        <v>橙+</v>
      </c>
      <c r="S98" s="14">
        <f>IF([3]羁绊解锁统计!C97="",0,[3]羁绊解锁统计!C97-IF($R98=S$9,1,0))</f>
        <v>0</v>
      </c>
      <c r="T98" s="14">
        <f>IF([3]羁绊解锁统计!D97="",0,[3]羁绊解锁统计!D97-IF($R98=T$9,1,0))</f>
        <v>0</v>
      </c>
      <c r="U98" s="14">
        <f>IF([3]羁绊解锁统计!E97="",0,[3]羁绊解锁统计!E97-IF($R98=U$9,1,0))</f>
        <v>0</v>
      </c>
      <c r="V98" s="14">
        <f>IF([3]羁绊解锁统计!F97="",0,[3]羁绊解锁统计!F97-IF($R98=V$9,1,0))</f>
        <v>1</v>
      </c>
      <c r="W98" s="14">
        <f>IF([3]羁绊解锁统计!G97="",0,[3]羁绊解锁统计!G97-IF($R98=W$9,1,0))</f>
        <v>0</v>
      </c>
      <c r="X98" s="29">
        <f t="shared" si="63"/>
        <v>51111.111111111117</v>
      </c>
      <c r="Y98" s="10">
        <f t="shared" si="64"/>
        <v>0.1175552379919582</v>
      </c>
      <c r="AA98" s="14">
        <f t="shared" si="65"/>
        <v>0</v>
      </c>
      <c r="AB98" s="14">
        <f t="shared" si="66"/>
        <v>0</v>
      </c>
      <c r="AC98" s="14">
        <f t="shared" si="67"/>
        <v>0</v>
      </c>
      <c r="AD98" s="14">
        <f t="shared" si="68"/>
        <v>6</v>
      </c>
      <c r="AE98" s="14">
        <f t="shared" si="69"/>
        <v>0</v>
      </c>
      <c r="AF98" s="29">
        <f t="shared" si="70"/>
        <v>306666.66666666669</v>
      </c>
      <c r="AG98" s="10">
        <f t="shared" si="71"/>
        <v>0.4114433329718537</v>
      </c>
      <c r="AH98" s="87">
        <v>5.0000000000000096E-3</v>
      </c>
      <c r="AI98" s="4">
        <v>94</v>
      </c>
      <c r="AJ98" s="98">
        <f t="shared" si="18"/>
        <v>0.63</v>
      </c>
      <c r="AK98" s="5">
        <f>'[1]资源-钻石'!$N97*求节点(武将数量星级阶位验证!$CP$41:$CP$72,武将数量星级阶位验证!$CS$41:$CS$72,节奏总纲!R97)</f>
        <v>1437673.5201138637</v>
      </c>
      <c r="AL98" s="48"/>
      <c r="AO98" s="5">
        <v>5</v>
      </c>
      <c r="AP98" s="14">
        <f>基础状态预期!D108</f>
        <v>19.800198258084681</v>
      </c>
      <c r="AQ98" s="14">
        <f>(求节点(其他调用!$B$4:$B$163,其他调用!$E$4:$E$163,$AP98))*求节点(武将数量星级阶位验证!$CP$41:$CP$72,武将数量星级阶位验证!$CS$41:$CS$72,武将数量星级阶位验证!AS98)</f>
        <v>28190.14667177626</v>
      </c>
      <c r="AR98" s="14">
        <f>IF(武将升级!Y95="",0,求节点($AK$5:$AK$164,$AJ$5:$AJ$164,AQ$7)*B$5*武将升级!Y95)</f>
        <v>0</v>
      </c>
      <c r="AS98" s="14">
        <f>IF(武将升级!Z95="",0,求节点($AK$5:$AK$164,$AJ$5:$AJ$164,$AQ98)*C$5*武将升级!Z95)</f>
        <v>0</v>
      </c>
      <c r="AT98" s="14">
        <f>IF(武将升级!AA95="",0,求节点($AK$5:$AK$164,$AJ$5:$AJ$164,$AQ98)*D$5*武将升级!AA95)</f>
        <v>0</v>
      </c>
      <c r="AU98" s="14">
        <f>IF(武将升级!AB95="",0,求节点($AK$5:$AK$164,$AJ$5:$AJ$164,$AQ98)*E$5*武将升级!AB95)</f>
        <v>151.83192308809299</v>
      </c>
      <c r="AV98" s="14">
        <f>IF(武将升级!AC95="",0,求节点($AK$5:$AK$164,$AJ$5:$AJ$164,$AQ98)*F$5*武将升级!AC95)</f>
        <v>0</v>
      </c>
      <c r="AW98" s="8">
        <f>SUMPRODUCT(AR98:AV98,基础状态预期!F108:J108)/SUM(基础状态预期!F108:J108)</f>
        <v>151.83192308809299</v>
      </c>
      <c r="BA98" s="29">
        <v>20</v>
      </c>
      <c r="BB98" s="29">
        <f t="shared" si="72"/>
        <v>154.64215958404486</v>
      </c>
      <c r="BC98" s="56">
        <f>(BB98-BB97)*INDEX([2]中r将兵属性验证!$W$7:$W$166+[2]中r将兵属性验证!$X$7:$X$166,BA98,1)+BC97</f>
        <v>5949867.2553447541</v>
      </c>
    </row>
    <row r="99" spans="16:55" x14ac:dyDescent="0.15">
      <c r="P99" s="14" t="e">
        <f>8-COUNTIF([3]羁绊设计!$AD98:$AK98,"&amp;")</f>
        <v>#VALUE!</v>
      </c>
      <c r="Q99" s="29" t="str">
        <f>[3]羁绊解锁统计!$B98</f>
        <v>刘备</v>
      </c>
      <c r="R99" s="29" t="str">
        <f>IF([3]羁绊设计!$F98="红","橙+",[3]羁绊设计!$F98)</f>
        <v>橙+</v>
      </c>
      <c r="S99" s="14">
        <f>IF([3]羁绊解锁统计!C98="",0,[3]羁绊解锁统计!C98-IF($R99=S$9,1,0))</f>
        <v>0</v>
      </c>
      <c r="T99" s="14">
        <f>IF([3]羁绊解锁统计!D98="",0,[3]羁绊解锁统计!D98-IF($R99=T$9,1,0))</f>
        <v>0</v>
      </c>
      <c r="U99" s="14">
        <f>IF([3]羁绊解锁统计!E98="",0,[3]羁绊解锁统计!E98-IF($R99=U$9,1,0))</f>
        <v>0</v>
      </c>
      <c r="V99" s="14">
        <f>IF([3]羁绊解锁统计!F98="",0,[3]羁绊解锁统计!F98-IF($R99=V$9,1,0))</f>
        <v>0</v>
      </c>
      <c r="W99" s="14">
        <f>IF([3]羁绊解锁统计!G98="",0,[3]羁绊解锁统计!G98-IF($R99=W$9,1,0))</f>
        <v>0</v>
      </c>
      <c r="X99" s="29">
        <f t="shared" si="63"/>
        <v>0</v>
      </c>
      <c r="Y99" s="10">
        <f t="shared" si="64"/>
        <v>1.4285714285714287E-2</v>
      </c>
      <c r="AA99" s="14">
        <f t="shared" si="65"/>
        <v>0</v>
      </c>
      <c r="AB99" s="14">
        <f t="shared" si="66"/>
        <v>0</v>
      </c>
      <c r="AC99" s="14">
        <f t="shared" si="67"/>
        <v>0</v>
      </c>
      <c r="AD99" s="14">
        <f t="shared" si="68"/>
        <v>0</v>
      </c>
      <c r="AE99" s="14">
        <f t="shared" si="69"/>
        <v>0</v>
      </c>
      <c r="AF99" s="29">
        <f t="shared" si="70"/>
        <v>0</v>
      </c>
      <c r="AG99" s="10">
        <f t="shared" si="71"/>
        <v>0.05</v>
      </c>
      <c r="AH99" s="87">
        <v>5.0000000000000096E-3</v>
      </c>
      <c r="AI99" s="4">
        <v>95</v>
      </c>
      <c r="AJ99" s="98">
        <f t="shared" si="18"/>
        <v>0.63</v>
      </c>
      <c r="AK99" s="5">
        <f>'[1]资源-钻石'!$N98*求节点(武将数量星级阶位验证!$CP$41:$CP$72,武将数量星级阶位验证!$CS$41:$CS$72,节奏总纲!R98)</f>
        <v>1512560.7743289901</v>
      </c>
      <c r="AL99" s="48"/>
      <c r="AO99" s="5">
        <v>6</v>
      </c>
      <c r="AP99" s="14">
        <f>基础状态预期!D109</f>
        <v>27.769105021676069</v>
      </c>
      <c r="AQ99" s="14">
        <f>(求节点(其他调用!$B$4:$B$163,其他调用!$E$4:$E$163,$AP99))*求节点(武将数量星级阶位验证!$CP$41:$CP$72,武将数量星级阶位验证!$CS$41:$CS$72,武将数量星级阶位验证!AS99)</f>
        <v>45477.240460724213</v>
      </c>
      <c r="AR99" s="14">
        <f>IF(武将升级!Y96="",0,求节点($AK$5:$AK$164,$AJ$5:$AJ$164,AQ$7)*B$5*武将升级!Y96)</f>
        <v>0</v>
      </c>
      <c r="AS99" s="14">
        <f>IF(武将升级!Z96="",0,求节点($AK$5:$AK$164,$AJ$5:$AJ$164,$AQ99)*C$5*武将升级!Z96)</f>
        <v>0</v>
      </c>
      <c r="AT99" s="14">
        <f>IF(武将升级!AA96="",0,求节点($AK$5:$AK$164,$AJ$5:$AJ$164,$AQ99)*D$5*武将升级!AA96)</f>
        <v>0</v>
      </c>
      <c r="AU99" s="14">
        <f>IF(武将升级!AB96="",0,求节点($AK$5:$AK$164,$AJ$5:$AJ$164,$AQ99)*E$5*武将升级!AB96)</f>
        <v>263.91559365675914</v>
      </c>
      <c r="AV99" s="14">
        <f>IF(武将升级!AC96="",0,求节点($AK$5:$AK$164,$AJ$5:$AJ$164,$AQ99)*F$5*武将升级!AC96)</f>
        <v>0</v>
      </c>
      <c r="AW99" s="8">
        <f>SUMPRODUCT(AR99:AV99,基础状态预期!F109:J109)/SUM(基础状态预期!F109:J109)</f>
        <v>263.91559365675914</v>
      </c>
      <c r="BA99" s="29">
        <v>30</v>
      </c>
      <c r="BB99" s="29">
        <f t="shared" ref="BB99:BB112" si="73">求节点($AP$97:$AP$135,$AW$97:$AW$135,BA99)</f>
        <v>311.44733664676028</v>
      </c>
      <c r="BC99" s="56">
        <f>(BB99-BB98)*INDEX([2]中r将兵属性验证!$W$7:$W$166+[2]中r将兵属性验证!$X$7:$X$166,BA99,1)+BC98</f>
        <v>24201010.311912432</v>
      </c>
    </row>
    <row r="100" spans="16:55" x14ac:dyDescent="0.15">
      <c r="P100" s="14" t="e">
        <f>8-COUNTIF([3]羁绊设计!$AD99:$AK99,"&amp;")</f>
        <v>#VALUE!</v>
      </c>
      <c r="Q100" s="29" t="str">
        <f>[3]羁绊解锁统计!$B99</f>
        <v>陆逊</v>
      </c>
      <c r="R100" s="29" t="str">
        <f>IF([3]羁绊设计!$F99="红","橙+",[3]羁绊设计!$F99)</f>
        <v>橙+</v>
      </c>
      <c r="S100" s="14">
        <f>IF([3]羁绊解锁统计!C99="",0,[3]羁绊解锁统计!C99-IF($R100=S$9,1,0))</f>
        <v>0</v>
      </c>
      <c r="T100" s="14">
        <f>IF([3]羁绊解锁统计!D99="",0,[3]羁绊解锁统计!D99-IF($R100=T$9,1,0))</f>
        <v>0</v>
      </c>
      <c r="U100" s="14">
        <f>IF([3]羁绊解锁统计!E99="",0,[3]羁绊解锁统计!E99-IF($R100=U$9,1,0))</f>
        <v>0</v>
      </c>
      <c r="V100" s="14">
        <f>IF([3]羁绊解锁统计!F99="",0,[3]羁绊解锁统计!F99-IF($R100=V$9,1,0))</f>
        <v>2</v>
      </c>
      <c r="W100" s="14">
        <f>IF([3]羁绊解锁统计!G99="",0,[3]羁绊解锁统计!G99-IF($R100=W$9,1,0))</f>
        <v>0</v>
      </c>
      <c r="X100" s="29">
        <f t="shared" si="63"/>
        <v>55370.370370370372</v>
      </c>
      <c r="Y100" s="10">
        <f t="shared" si="64"/>
        <v>0.12431584111409054</v>
      </c>
      <c r="AA100" s="14">
        <f t="shared" si="65"/>
        <v>0</v>
      </c>
      <c r="AB100" s="14">
        <f t="shared" si="66"/>
        <v>0</v>
      </c>
      <c r="AC100" s="14">
        <f t="shared" si="67"/>
        <v>0</v>
      </c>
      <c r="AD100" s="14">
        <f t="shared" si="68"/>
        <v>12</v>
      </c>
      <c r="AE100" s="14">
        <f t="shared" si="69"/>
        <v>0</v>
      </c>
      <c r="AF100" s="29">
        <f t="shared" si="70"/>
        <v>332222.22222222225</v>
      </c>
      <c r="AG100" s="10">
        <f t="shared" si="71"/>
        <v>0.43510544389931688</v>
      </c>
      <c r="AH100" s="87">
        <v>5.0000000000000096E-3</v>
      </c>
      <c r="AI100" s="4">
        <v>96</v>
      </c>
      <c r="AJ100" s="98">
        <f t="shared" si="18"/>
        <v>0.63</v>
      </c>
      <c r="AK100" s="5">
        <f>'[1]资源-钻石'!$N99*求节点(武将数量星级阶位验证!$CP$41:$CP$72,武将数量星级阶位验证!$CS$41:$CS$72,节奏总纲!R99)</f>
        <v>1590368.0187774235</v>
      </c>
      <c r="AL100" s="48"/>
      <c r="AO100" s="5">
        <v>7</v>
      </c>
      <c r="AP100" s="14">
        <f>基础状态预期!D110</f>
        <v>34.192155176139416</v>
      </c>
      <c r="AQ100" s="14">
        <f>(求节点(其他调用!$B$4:$B$163,其他调用!$E$4:$E$163,$AP100))*求节点(武将数量星级阶位验证!$CP$41:$CP$72,武将数量星级阶位验证!$CS$41:$CS$72,武将数量星级阶位验证!AS100)</f>
        <v>66994.767790612008</v>
      </c>
      <c r="AR100" s="14">
        <f>IF(武将升级!Y97="",0,求节点($AK$5:$AK$164,$AJ$5:$AJ$164,AQ$7)*B$5*武将升级!Y97)</f>
        <v>0</v>
      </c>
      <c r="AS100" s="14">
        <f>IF(武将升级!Z97="",0,求节点($AK$5:$AK$164,$AJ$5:$AJ$164,$AQ100)*C$5*武将升级!Z97)</f>
        <v>0</v>
      </c>
      <c r="AT100" s="14">
        <f>IF(武将升级!AA97="",0,求节点($AK$5:$AK$164,$AJ$5:$AJ$164,$AQ100)*D$5*武将升级!AA97)</f>
        <v>0</v>
      </c>
      <c r="AU100" s="14">
        <f>IF(武将升级!AB97="",0,求节点($AK$5:$AK$164,$AJ$5:$AJ$164,$AQ100)*E$5*武将升级!AB97)</f>
        <v>400.76594838892555</v>
      </c>
      <c r="AV100" s="14">
        <f>IF(武将升级!AC97="",0,求节点($AK$5:$AK$164,$AJ$5:$AJ$164,$AQ100)*F$5*武将升级!AC97)</f>
        <v>0</v>
      </c>
      <c r="AW100" s="8">
        <f>SUMPRODUCT(AR100:AV100,基础状态预期!F110:J110)/SUM(基础状态预期!F110:J110)</f>
        <v>400.76594838892555</v>
      </c>
      <c r="BA100" s="29">
        <v>40</v>
      </c>
      <c r="BB100" s="29">
        <f t="shared" si="73"/>
        <v>545.4026501077683</v>
      </c>
      <c r="BC100" s="56">
        <f>(BB100-BB99)*INDEX([2]中r将兵属性验证!$W$7:$W$166+[2]中r将兵属性验证!$X$7:$X$166,BA100,1)+BC99</f>
        <v>92658467.741566271</v>
      </c>
    </row>
    <row r="101" spans="16:55" x14ac:dyDescent="0.15">
      <c r="P101" s="14" t="e">
        <f>8-COUNTIF([3]羁绊设计!$AD100:$AK100,"&amp;")</f>
        <v>#VALUE!</v>
      </c>
      <c r="Q101" s="29" t="str">
        <f>[3]羁绊解锁统计!$B100</f>
        <v>袁绍</v>
      </c>
      <c r="R101" s="29" t="str">
        <f>IF([3]羁绊设计!$F100="红","橙+",[3]羁绊设计!$F100)</f>
        <v>橙+</v>
      </c>
      <c r="S101" s="14">
        <f>IF([3]羁绊解锁统计!C100="",0,[3]羁绊解锁统计!C100-IF($R101=S$9,1,0))</f>
        <v>0</v>
      </c>
      <c r="T101" s="14">
        <f>IF([3]羁绊解锁统计!D100="",0,[3]羁绊解锁统计!D100-IF($R101=T$9,1,0))</f>
        <v>0</v>
      </c>
      <c r="U101" s="14">
        <f>IF([3]羁绊解锁统计!E100="",0,[3]羁绊解锁统计!E100-IF($R101=U$9,1,0))</f>
        <v>0</v>
      </c>
      <c r="V101" s="14">
        <f>IF([3]羁绊解锁统计!F100="",0,[3]羁绊解锁统计!F100-IF($R101=V$9,1,0))</f>
        <v>1</v>
      </c>
      <c r="W101" s="14">
        <f>IF([3]羁绊解锁统计!G100="",0,[3]羁绊解锁统计!G100-IF($R101=W$9,1,0))</f>
        <v>0</v>
      </c>
      <c r="X101" s="29">
        <f t="shared" si="63"/>
        <v>51111.111111111117</v>
      </c>
      <c r="Y101" s="10">
        <f t="shared" si="64"/>
        <v>0.1175552379919582</v>
      </c>
      <c r="AA101" s="14">
        <f t="shared" si="65"/>
        <v>0</v>
      </c>
      <c r="AB101" s="14">
        <f t="shared" si="66"/>
        <v>0</v>
      </c>
      <c r="AC101" s="14">
        <f t="shared" si="67"/>
        <v>0</v>
      </c>
      <c r="AD101" s="14">
        <f t="shared" si="68"/>
        <v>6</v>
      </c>
      <c r="AE101" s="14">
        <f t="shared" si="69"/>
        <v>0</v>
      </c>
      <c r="AF101" s="29">
        <f t="shared" si="70"/>
        <v>306666.66666666669</v>
      </c>
      <c r="AG101" s="10">
        <f t="shared" si="71"/>
        <v>0.4114433329718537</v>
      </c>
      <c r="AH101" s="87">
        <v>5.0000000000000096E-3</v>
      </c>
      <c r="AI101" s="4">
        <v>97</v>
      </c>
      <c r="AJ101" s="98">
        <f t="shared" si="18"/>
        <v>0.63</v>
      </c>
      <c r="AK101" s="5">
        <f>'[1]资源-钻石'!$N100*求节点(武将数量星级阶位验证!$CP$41:$CP$72,武将数量星级阶位验证!$CS$41:$CS$72,节奏总纲!R100)</f>
        <v>1677722.3326865167</v>
      </c>
      <c r="AL101" s="48"/>
      <c r="AO101" s="5">
        <v>8</v>
      </c>
      <c r="AP101" s="14">
        <f>基础状态预期!D111</f>
        <v>39.631851677253941</v>
      </c>
      <c r="AQ101" s="14">
        <f>(求节点(其他调用!$B$4:$B$163,其他调用!$E$4:$E$163,$AP101))*求节点(武将数量星级阶位验证!$CP$41:$CP$72,武将数量星级阶位验证!$CS$41:$CS$72,武将数量星级阶位验证!AS101)</f>
        <v>86315.968089770788</v>
      </c>
      <c r="AR101" s="14">
        <f>IF(武将升级!Y98="",0,求节点($AK$5:$AK$164,$AJ$5:$AJ$164,AQ$7)*B$5*武将升级!Y98)</f>
        <v>0</v>
      </c>
      <c r="AS101" s="14">
        <f>IF(武将升级!Z98="",0,求节点($AK$5:$AK$164,$AJ$5:$AJ$164,$AQ101)*C$5*武将升级!Z98)</f>
        <v>0</v>
      </c>
      <c r="AT101" s="14">
        <f>IF(武将升级!AA98="",0,求节点($AK$5:$AK$164,$AJ$5:$AJ$164,$AQ101)*D$5*武将升级!AA98)</f>
        <v>0</v>
      </c>
      <c r="AU101" s="14">
        <f>IF(武将升级!AB98="",0,求节点($AK$5:$AK$164,$AJ$5:$AJ$164,$AQ101)*E$5*武将升级!AB98)</f>
        <v>533.78567134439459</v>
      </c>
      <c r="AV101" s="14">
        <f>IF(武将升级!AC98="",0,求节点($AK$5:$AK$164,$AJ$5:$AJ$164,$AQ101)*F$5*武将升级!AC98)</f>
        <v>0</v>
      </c>
      <c r="AW101" s="8">
        <f>SUMPRODUCT(AR101:AV101,基础状态预期!F111:J111)/SUM(基础状态预期!F111:J111)</f>
        <v>533.78567134439459</v>
      </c>
      <c r="BA101" s="29">
        <v>50</v>
      </c>
      <c r="BB101" s="29">
        <f t="shared" si="73"/>
        <v>1201.6905227719826</v>
      </c>
      <c r="BC101" s="56">
        <f>(BB101-BB100)*INDEX([2]中r将兵属性验证!$W$7:$W$166+[2]中r将兵属性验证!$X$7:$X$166,BA101,1)+BC100</f>
        <v>429847374.1410687</v>
      </c>
    </row>
    <row r="102" spans="16:55" x14ac:dyDescent="0.15">
      <c r="P102" s="14" t="e">
        <f>8-COUNTIF([3]羁绊设计!$AD101:$AK101,"&amp;")</f>
        <v>#VALUE!</v>
      </c>
      <c r="Q102" s="29" t="str">
        <f>[3]羁绊解锁统计!$B101</f>
        <v>诸葛亮</v>
      </c>
      <c r="R102" s="29" t="str">
        <f>IF([3]羁绊设计!$F101="红","橙+",[3]羁绊设计!$F101)</f>
        <v>橙+</v>
      </c>
      <c r="S102" s="14">
        <f>IF([3]羁绊解锁统计!C101="",0,[3]羁绊解锁统计!C101-IF($R102=S$9,1,0))</f>
        <v>0</v>
      </c>
      <c r="T102" s="14">
        <f>IF([3]羁绊解锁统计!D101="",0,[3]羁绊解锁统计!D101-IF($R102=T$9,1,0))</f>
        <v>0</v>
      </c>
      <c r="U102" s="14">
        <f>IF([3]羁绊解锁统计!E101="",0,[3]羁绊解锁统计!E101-IF($R102=U$9,1,0))</f>
        <v>0</v>
      </c>
      <c r="V102" s="14">
        <f>IF([3]羁绊解锁统计!F101="",0,[3]羁绊解锁统计!F101-IF($R102=V$9,1,0))</f>
        <v>0</v>
      </c>
      <c r="W102" s="14">
        <f>IF([3]羁绊解锁统计!G101="",0,[3]羁绊解锁统计!G101-IF($R102=W$9,1,0))</f>
        <v>0</v>
      </c>
      <c r="X102" s="29">
        <f t="shared" si="63"/>
        <v>0</v>
      </c>
      <c r="Y102" s="10">
        <f t="shared" si="64"/>
        <v>1.4285714285714287E-2</v>
      </c>
      <c r="AA102" s="14">
        <f t="shared" si="65"/>
        <v>0</v>
      </c>
      <c r="AB102" s="14">
        <f t="shared" si="66"/>
        <v>0</v>
      </c>
      <c r="AC102" s="14">
        <f t="shared" si="67"/>
        <v>0</v>
      </c>
      <c r="AD102" s="14">
        <f t="shared" si="68"/>
        <v>0</v>
      </c>
      <c r="AE102" s="14">
        <f t="shared" si="69"/>
        <v>0</v>
      </c>
      <c r="AF102" s="29">
        <f t="shared" si="70"/>
        <v>0</v>
      </c>
      <c r="AG102" s="10">
        <f t="shared" si="71"/>
        <v>0.05</v>
      </c>
      <c r="AH102" s="87">
        <v>5.0000000000000096E-3</v>
      </c>
      <c r="AI102" s="4">
        <v>98</v>
      </c>
      <c r="AJ102" s="98">
        <f t="shared" si="18"/>
        <v>0.63</v>
      </c>
      <c r="AK102" s="5">
        <f>'[1]资源-钻石'!$N101*求节点(武将数量星级阶位验证!$CP$41:$CP$72,武将数量星级阶位验证!$CS$41:$CS$72,节奏总纲!R101)</f>
        <v>1771430.5423566881</v>
      </c>
      <c r="AL102" s="48"/>
      <c r="AO102" s="5">
        <v>9</v>
      </c>
      <c r="AP102" s="14">
        <f>基础状态预期!D112</f>
        <v>43.484929789964411</v>
      </c>
      <c r="AQ102" s="14">
        <f>(求节点(其他调用!$B$4:$B$163,其他调用!$E$4:$E$163,$AP102))*求节点(武将数量星级阶位验证!$CP$41:$CP$72,武将数量星级阶位验证!$CS$41:$CS$72,武将数量星级阶位验证!AS102)</f>
        <v>104601.74721688092</v>
      </c>
      <c r="AR102" s="14">
        <f>IF(武将升级!Y99="",0,求节点($AK$5:$AK$164,$AJ$5:$AJ$164,AQ$7)*B$5*武将升级!Y99)</f>
        <v>0</v>
      </c>
      <c r="AS102" s="14">
        <f>IF(武将升级!Z99="",0,求节点($AK$5:$AK$164,$AJ$5:$AJ$164,$AQ102)*C$5*武将升级!Z99)</f>
        <v>0</v>
      </c>
      <c r="AT102" s="14">
        <f>IF(武将升级!AA99="",0,求节点($AK$5:$AK$164,$AJ$5:$AJ$164,$AQ102)*D$5*武将升级!AA99)</f>
        <v>0</v>
      </c>
      <c r="AU102" s="14">
        <f>IF(武将升级!AB99="",0,求节点($AK$5:$AK$164,$AJ$5:$AJ$164,$AQ102)*E$5*武将升级!AB99)</f>
        <v>655.37016282081765</v>
      </c>
      <c r="AV102" s="14">
        <f>IF(武将升级!AC99="",0,求节点($AK$5:$AK$164,$AJ$5:$AJ$164,$AQ102)*F$5*武将升级!AC99)</f>
        <v>0</v>
      </c>
      <c r="AW102" s="8">
        <f>SUMPRODUCT(AR102:AV102,基础状态预期!F112:J112)/SUM(基础状态预期!F112:J112)</f>
        <v>655.37016282081765</v>
      </c>
      <c r="BA102" s="29">
        <v>60</v>
      </c>
      <c r="BB102" s="29">
        <f t="shared" si="73"/>
        <v>1547.5987922770255</v>
      </c>
      <c r="BC102" s="56">
        <f>(BB102-BB101)*INDEX([2]中r将兵属性验证!$W$7:$W$166+[2]中r将兵属性验证!$X$7:$X$166,BA102,1)+BC101</f>
        <v>788292549.44977808</v>
      </c>
    </row>
    <row r="103" spans="16:55" x14ac:dyDescent="0.15">
      <c r="P103" s="14" t="e">
        <f>8-COUNTIF([3]羁绊设计!$AD102:$AK102,"&amp;")</f>
        <v>#VALUE!</v>
      </c>
      <c r="Q103" s="29" t="str">
        <f>[3]羁绊解锁统计!$B102</f>
        <v>太史慈</v>
      </c>
      <c r="R103" s="29" t="str">
        <f>IF([3]羁绊设计!$F102="红","橙+",[3]羁绊设计!$F102)</f>
        <v>橙+</v>
      </c>
      <c r="S103" s="14">
        <f>IF([3]羁绊解锁统计!C102="",0,[3]羁绊解锁统计!C102-IF($R103=S$9,1,0))</f>
        <v>0</v>
      </c>
      <c r="T103" s="14">
        <f>IF([3]羁绊解锁统计!D102="",0,[3]羁绊解锁统计!D102-IF($R103=T$9,1,0))</f>
        <v>0</v>
      </c>
      <c r="U103" s="14">
        <f>IF([3]羁绊解锁统计!E102="",0,[3]羁绊解锁统计!E102-IF($R103=U$9,1,0))</f>
        <v>0</v>
      </c>
      <c r="V103" s="14">
        <f>IF([3]羁绊解锁统计!F102="",0,[3]羁绊解锁统计!F102-IF($R103=V$9,1,0))</f>
        <v>0</v>
      </c>
      <c r="W103" s="14">
        <f>IF([3]羁绊解锁统计!G102="",0,[3]羁绊解锁统计!G102-IF($R103=W$9,1,0))</f>
        <v>0</v>
      </c>
      <c r="X103" s="29">
        <f t="shared" si="63"/>
        <v>0</v>
      </c>
      <c r="Y103" s="10">
        <f t="shared" si="64"/>
        <v>1.4285714285714287E-2</v>
      </c>
      <c r="AA103" s="14">
        <f t="shared" si="65"/>
        <v>0</v>
      </c>
      <c r="AB103" s="14">
        <f t="shared" si="66"/>
        <v>0</v>
      </c>
      <c r="AC103" s="14">
        <f t="shared" si="67"/>
        <v>0</v>
      </c>
      <c r="AD103" s="14">
        <f t="shared" si="68"/>
        <v>0</v>
      </c>
      <c r="AE103" s="14">
        <f t="shared" si="69"/>
        <v>0</v>
      </c>
      <c r="AF103" s="29">
        <f t="shared" si="70"/>
        <v>0</v>
      </c>
      <c r="AG103" s="10">
        <f t="shared" si="71"/>
        <v>0.05</v>
      </c>
      <c r="AH103" s="87">
        <v>5.0000000000000096E-3</v>
      </c>
      <c r="AI103" s="4">
        <v>99</v>
      </c>
      <c r="AJ103" s="98">
        <f t="shared" si="18"/>
        <v>0.63</v>
      </c>
      <c r="AK103" s="5">
        <f>'[1]资源-钻石'!$N102*求节点(武将数量星级阶位验证!$CP$41:$CP$72,武将数量星级阶位验证!$CS$41:$CS$72,节奏总纲!R102)</f>
        <v>1874040.4185569617</v>
      </c>
      <c r="AL103" s="48"/>
      <c r="AO103" s="5">
        <v>10</v>
      </c>
      <c r="AP103" s="14">
        <f>基础状态预期!D113</f>
        <v>49.18886033229559</v>
      </c>
      <c r="AQ103" s="14">
        <f>(求节点(其他调用!$B$4:$B$163,其他调用!$E$4:$E$163,$AP103))*求节点(武将数量星级阶位验证!$CP$41:$CP$72,武将数量星级阶位验证!$CS$41:$CS$72,武将数量星级阶位验证!AS103)</f>
        <v>137708.39324736825</v>
      </c>
      <c r="AR103" s="14">
        <f>IF(武将升级!Y100="",0,求节点($AK$5:$AK$164,$AJ$5:$AJ$164,AQ$7)*B$5*武将升级!Y100)</f>
        <v>0</v>
      </c>
      <c r="AS103" s="14">
        <f>IF(武将升级!Z100="",0,求节点($AK$5:$AK$164,$AJ$5:$AJ$164,$AQ103)*C$5*武将升级!Z100)</f>
        <v>0</v>
      </c>
      <c r="AT103" s="14">
        <f>IF(武将升级!AA100="",0,求节点($AK$5:$AK$164,$AJ$5:$AJ$164,$AQ103)*D$5*武将升级!AA100)</f>
        <v>0</v>
      </c>
      <c r="AU103" s="14">
        <f>IF(武将升级!AB100="",0,求节点($AK$5:$AK$164,$AJ$5:$AJ$164,$AQ103)*E$5*武将升级!AB100)</f>
        <v>874.76666419368587</v>
      </c>
      <c r="AV103" s="14">
        <f>IF(武将升级!AC100="",0,求节点($AK$5:$AK$164,$AJ$5:$AJ$164,$AQ103)*F$5*武将升级!AC100)</f>
        <v>0</v>
      </c>
      <c r="AW103" s="8">
        <f>SUMPRODUCT(AR103:AV103,基础状态预期!F113:J113)/SUM(基础状态预期!F113:J113)</f>
        <v>874.76666419368587</v>
      </c>
      <c r="BA103" s="29">
        <v>70</v>
      </c>
      <c r="BB103" s="29">
        <f t="shared" si="73"/>
        <v>2667.072511034969</v>
      </c>
      <c r="BC103" s="56">
        <f>(BB103-BB102)*INDEX([2]中r将兵属性验证!$W$7:$W$166+[2]中r将兵属性验证!$X$7:$X$166,BA103,1)+BC102</f>
        <v>3528203676.6340933</v>
      </c>
    </row>
    <row r="104" spans="16:55" x14ac:dyDescent="0.15">
      <c r="P104" s="14" t="e">
        <f>8-COUNTIF([3]羁绊设计!$AD103:$AK103,"&amp;")</f>
        <v>#VALUE!</v>
      </c>
      <c r="Q104" s="29" t="str">
        <f>[3]羁绊解锁统计!$B103</f>
        <v>孙权</v>
      </c>
      <c r="R104" s="29" t="str">
        <f>IF([3]羁绊设计!$F103="红","橙+",[3]羁绊设计!$F103)</f>
        <v>橙+</v>
      </c>
      <c r="S104" s="14">
        <f>IF([3]羁绊解锁统计!C103="",0,[3]羁绊解锁统计!C103-IF($R104=S$9,1,0))</f>
        <v>0</v>
      </c>
      <c r="T104" s="14">
        <f>IF([3]羁绊解锁统计!D103="",0,[3]羁绊解锁统计!D103-IF($R104=T$9,1,0))</f>
        <v>0</v>
      </c>
      <c r="U104" s="14">
        <f>IF([3]羁绊解锁统计!E103="",0,[3]羁绊解锁统计!E103-IF($R104=U$9,1,0))</f>
        <v>0</v>
      </c>
      <c r="V104" s="14">
        <f>IF([3]羁绊解锁统计!F103="",0,[3]羁绊解锁统计!F103-IF($R104=V$9,1,0))</f>
        <v>0</v>
      </c>
      <c r="W104" s="14">
        <f>IF([3]羁绊解锁统计!G103="",0,[3]羁绊解锁统计!G103-IF($R104=W$9,1,0))</f>
        <v>0</v>
      </c>
      <c r="X104" s="29">
        <f t="shared" si="63"/>
        <v>0</v>
      </c>
      <c r="Y104" s="10">
        <f t="shared" si="64"/>
        <v>1.4285714285714287E-2</v>
      </c>
      <c r="AA104" s="14">
        <f t="shared" si="65"/>
        <v>0</v>
      </c>
      <c r="AB104" s="14">
        <f t="shared" si="66"/>
        <v>0</v>
      </c>
      <c r="AC104" s="14">
        <f t="shared" si="67"/>
        <v>0</v>
      </c>
      <c r="AD104" s="14">
        <f t="shared" si="68"/>
        <v>0</v>
      </c>
      <c r="AE104" s="14">
        <f t="shared" si="69"/>
        <v>0</v>
      </c>
      <c r="AF104" s="29">
        <f t="shared" si="70"/>
        <v>0</v>
      </c>
      <c r="AG104" s="10">
        <f t="shared" si="71"/>
        <v>0.05</v>
      </c>
      <c r="AH104" s="87">
        <v>5.0000000000000096E-3</v>
      </c>
      <c r="AI104" s="4">
        <v>100</v>
      </c>
      <c r="AJ104" s="98">
        <f t="shared" si="18"/>
        <v>0.63</v>
      </c>
      <c r="AK104" s="5">
        <f>'[1]资源-钻石'!$N103*求节点(武将数量星级阶位验证!$CP$41:$CP$72,武将数量星级阶位验证!$CS$41:$CS$72,节奏总纲!R103)</f>
        <v>1980267.2939348752</v>
      </c>
      <c r="AL104" s="48"/>
      <c r="AO104" s="5">
        <v>11</v>
      </c>
      <c r="AP104" s="14">
        <f>基础状态预期!D114</f>
        <v>53.212684955585161</v>
      </c>
      <c r="AQ104" s="14">
        <f>(求节点(其他调用!$B$4:$B$163,其他调用!$E$4:$E$163,$AP104))*求节点(武将数量星级阶位验证!$CP$41:$CP$72,武将数量星级阶位验证!$CS$41:$CS$72,武将数量星级阶位验证!AS104)</f>
        <v>169113.79679009001</v>
      </c>
      <c r="AR104" s="14">
        <f>IF(武将升级!Y101="",0,求节点($AK$5:$AK$164,$AJ$5:$AJ$164,AQ$7)*B$5*武将升级!Y101)</f>
        <v>0</v>
      </c>
      <c r="AS104" s="14">
        <f>IF(武将升级!Z101="",0,求节点($AK$5:$AK$164,$AJ$5:$AJ$164,$AQ164)*C$5*武将升级!Z101)</f>
        <v>0</v>
      </c>
      <c r="AT104" s="14">
        <f>IF(武将升级!AA101="",0,求节点($AK$5:$AK$164,$AJ$5:$AJ$164,$AQ164)*D$5*武将升级!AA101)</f>
        <v>0</v>
      </c>
      <c r="AU104" s="14">
        <f>IF(武将升级!AB101="",0,求节点($AK$5:$AK$164,$AJ$5:$AJ$164,$AQ164)*E$5*武将升级!AB101)</f>
        <v>2496.5394913211194</v>
      </c>
      <c r="AV104" s="14">
        <f>IF(武将升级!AC101="",0,求节点($AK$5:$AK$164,$AJ$5:$AJ$164,$AQ164)*F$5*武将升级!AC101)</f>
        <v>2496.5394913211194</v>
      </c>
      <c r="AW104" s="8">
        <f>SUMPRODUCT(AR104:AV104,基础状态预期!F114:J114)/SUM(基础状态预期!F114:J114)</f>
        <v>2496.5394913211198</v>
      </c>
      <c r="BA104" s="29">
        <v>80</v>
      </c>
      <c r="BB104" s="29">
        <f t="shared" si="73"/>
        <v>3509.1</v>
      </c>
      <c r="BC104" s="56">
        <f>(BB104-BB103)*INDEX([2]中r将兵属性验证!$W$7:$W$166+[2]中r将兵属性验证!$X$7:$X$166,BA104,1)+BC103</f>
        <v>7683504304.8600807</v>
      </c>
    </row>
    <row r="105" spans="16:55" x14ac:dyDescent="0.15">
      <c r="P105" s="14" t="e">
        <f>8-COUNTIF([3]羁绊设计!$AD104:$AK104,"&amp;")</f>
        <v>#VALUE!</v>
      </c>
      <c r="Q105" s="29" t="str">
        <f>[3]羁绊解锁统计!$B104</f>
        <v>夏侯渊</v>
      </c>
      <c r="R105" s="29" t="str">
        <f>IF([3]羁绊设计!$F104="红","橙+",[3]羁绊设计!$F104)</f>
        <v>橙+</v>
      </c>
      <c r="S105" s="14">
        <f>IF([3]羁绊解锁统计!C104="",0,[3]羁绊解锁统计!C104-IF($R105=S$9,1,0))</f>
        <v>0</v>
      </c>
      <c r="T105" s="14">
        <f>IF([3]羁绊解锁统计!D104="",0,[3]羁绊解锁统计!D104-IF($R105=T$9,1,0))</f>
        <v>0</v>
      </c>
      <c r="U105" s="14">
        <f>IF([3]羁绊解锁统计!E104="",0,[3]羁绊解锁统计!E104-IF($R105=U$9,1,0))</f>
        <v>0</v>
      </c>
      <c r="V105" s="14">
        <f>IF([3]羁绊解锁统计!F104="",0,[3]羁绊解锁统计!F104-IF($R105=V$9,1,0))</f>
        <v>0</v>
      </c>
      <c r="W105" s="14">
        <f>IF([3]羁绊解锁统计!G104="",0,[3]羁绊解锁统计!G104-IF($R105=W$9,1,0))</f>
        <v>0</v>
      </c>
      <c r="X105" s="29">
        <f t="shared" si="63"/>
        <v>0</v>
      </c>
      <c r="Y105" s="10">
        <f t="shared" si="64"/>
        <v>1.4285714285714287E-2</v>
      </c>
      <c r="AA105" s="14">
        <f t="shared" si="65"/>
        <v>0</v>
      </c>
      <c r="AB105" s="14">
        <f t="shared" si="66"/>
        <v>0</v>
      </c>
      <c r="AC105" s="14">
        <f t="shared" si="67"/>
        <v>0</v>
      </c>
      <c r="AD105" s="14">
        <f t="shared" si="68"/>
        <v>0</v>
      </c>
      <c r="AE105" s="14">
        <f t="shared" si="69"/>
        <v>0</v>
      </c>
      <c r="AF105" s="29">
        <f t="shared" si="70"/>
        <v>0</v>
      </c>
      <c r="AG105" s="10">
        <f t="shared" si="71"/>
        <v>0.05</v>
      </c>
      <c r="AH105" s="87">
        <v>5.0000000000000096E-3</v>
      </c>
      <c r="AI105" s="4">
        <v>101</v>
      </c>
      <c r="AJ105" s="98">
        <f t="shared" si="18"/>
        <v>0.63</v>
      </c>
      <c r="AK105" s="5">
        <f>'[1]资源-钻石'!$N104*求节点(武将数量星级阶位验证!$CP$41:$CP$72,武将数量星级阶位验证!$CS$41:$CS$72,节奏总纲!R104)</f>
        <v>2083981.3098216248</v>
      </c>
      <c r="AL105" s="48"/>
      <c r="AO105" s="5">
        <v>12</v>
      </c>
      <c r="AP105" s="14">
        <f>基础状态预期!D115</f>
        <v>59.09095196730258</v>
      </c>
      <c r="AQ105" s="14">
        <f>(求节点(其他调用!$B$4:$B$163,其他调用!$E$4:$E$163,$AP105))*求节点(武将数量星级阶位验证!$CP$41:$CP$72,武将数量星级阶位验证!$CS$41:$CS$72,武将数量星级阶位验证!AS105)</f>
        <v>232755.53952828317</v>
      </c>
      <c r="AR105" s="14">
        <f>IF(武将升级!Y102="",0,求节点($AK$5:$AK$164,$AJ$5:$AJ$164,AQ$7)*B$5*武将升级!Y102)</f>
        <v>0</v>
      </c>
      <c r="AS105" s="14">
        <f>IF(武将升级!Z102="",0,求节点($AK$5:$AK$164,$AJ$5:$AJ$164,$AQ105)*C$5*武将升级!Z102)</f>
        <v>0</v>
      </c>
      <c r="AT105" s="14">
        <f>IF(武将升级!AA102="",0,求节点($AK$5:$AK$164,$AJ$5:$AJ$164,$AQ105)*D$5*武将升级!AA102)</f>
        <v>0</v>
      </c>
      <c r="AU105" s="14">
        <f>IF(武将升级!AB102="",0,求节点($AK$5:$AK$164,$AJ$5:$AJ$164,$AQ105)*E$5*武将升级!AB102)</f>
        <v>1464.187123149014</v>
      </c>
      <c r="AV105" s="14">
        <f>IF(武将升级!AC102="",0,求节点($AK$5:$AK$164,$AJ$5:$AJ$164,$AQ105)*F$5*武将升级!AC102)</f>
        <v>1464.187123149014</v>
      </c>
      <c r="AW105" s="8">
        <f>SUMPRODUCT(AR105:AV105,基础状态预期!F115:J115)/SUM(基础状态预期!F115:J115)</f>
        <v>1464.187123149014</v>
      </c>
      <c r="BA105" s="29">
        <v>90</v>
      </c>
      <c r="BB105" s="29">
        <f t="shared" si="73"/>
        <v>3887.1000000000004</v>
      </c>
      <c r="BC105" s="56">
        <f>(BB105-BB104)*INDEX([2]中r将兵属性验证!$W$7:$W$166+[2]中r将兵属性验证!$X$7:$X$166,BA105,1)+BC104</f>
        <v>11604936195.089893</v>
      </c>
    </row>
    <row r="106" spans="16:55" x14ac:dyDescent="0.15">
      <c r="AH106" s="87">
        <v>5.0000000000000096E-3</v>
      </c>
      <c r="AI106" s="4">
        <v>102</v>
      </c>
      <c r="AJ106" s="98">
        <f t="shared" si="18"/>
        <v>0.63</v>
      </c>
      <c r="AK106" s="5">
        <f>'[1]资源-钻石'!$N105*求节点(武将数量星级阶位验证!$CP$41:$CP$72,武将数量星级阶位验证!$CS$41:$CS$72,节奏总纲!R105)</f>
        <v>2184516.354799557</v>
      </c>
      <c r="AL106" s="48"/>
      <c r="AO106" s="5">
        <v>13</v>
      </c>
      <c r="AP106" s="14">
        <f>基础状态预期!D116</f>
        <v>64.819145630244321</v>
      </c>
      <c r="AQ106" s="14">
        <f>(求节点(其他调用!$B$4:$B$163,其他调用!$E$4:$E$163,$AP106))*求节点(武将数量星级阶位验证!$CP$41:$CP$72,武将数量星级阶位验证!$CS$41:$CS$72,武将数量星级阶位验证!AS106)</f>
        <v>323475.54955885973</v>
      </c>
      <c r="AR106" s="14">
        <f>IF(武将升级!Y103="",0,求节点($AK$5:$AK$164,$AJ$5:$AJ$164,AQ$7)*B$5*武将升级!Y103)</f>
        <v>0</v>
      </c>
      <c r="AS106" s="14">
        <f>IF(武将升级!Z103="",0,求节点($AK$5:$AK$164,$AJ$5:$AJ$164,$AQ106)*C$5*武将升级!Z103)</f>
        <v>0</v>
      </c>
      <c r="AT106" s="14">
        <f>IF(武将升级!AA103="",0,求节点($AK$5:$AK$164,$AJ$5:$AJ$164,$AQ106)*D$5*武将升级!AA103)</f>
        <v>0</v>
      </c>
      <c r="AU106" s="14">
        <f>IF(武将升级!AB103="",0,求节点($AK$5:$AK$164,$AJ$5:$AJ$164,$AQ106)*E$5*武将升级!AB103)</f>
        <v>1989.7899266628147</v>
      </c>
      <c r="AV106" s="14">
        <f>IF(武将升级!AC103="",0,求节点($AK$5:$AK$164,$AJ$5:$AJ$164,$AQ106)*F$5*武将升级!AC103)</f>
        <v>1989.7899266628147</v>
      </c>
      <c r="AW106" s="8">
        <f>SUMPRODUCT(AR106:AV106,基础状态预期!F116:J116)/SUM(基础状态预期!F116:J116)</f>
        <v>1989.7899266628147</v>
      </c>
      <c r="BA106" s="29">
        <v>100</v>
      </c>
      <c r="BB106" s="29">
        <f t="shared" si="73"/>
        <v>4265.0999999999995</v>
      </c>
      <c r="BC106" s="56">
        <f>(BB106-BB105)*INDEX([2]中r将兵属性验证!$W$7:$W$166+[2]中r将兵属性验证!$X$7:$X$166,BA106,1)+BC105</f>
        <v>18756264360.037773</v>
      </c>
    </row>
    <row r="107" spans="16:55" x14ac:dyDescent="0.15">
      <c r="AH107" s="87">
        <v>5.0000000000000096E-3</v>
      </c>
      <c r="AI107" s="4">
        <v>103</v>
      </c>
      <c r="AJ107" s="98">
        <f t="shared" si="18"/>
        <v>0.63</v>
      </c>
      <c r="AK107" s="5">
        <f>'[1]资源-钻石'!$N106*求节点(武将数量星级阶位验证!$CP$41:$CP$72,武将数量星级阶位验证!$CS$41:$CS$72,节奏总纲!R106)</f>
        <v>2292241.0943170777</v>
      </c>
      <c r="AL107" s="48"/>
      <c r="AO107" s="5">
        <v>14</v>
      </c>
      <c r="AP107" s="14">
        <f>基础状态预期!D117</f>
        <v>69.01697485309198</v>
      </c>
      <c r="AQ107" s="14">
        <f>(求节点(其他调用!$B$4:$B$163,其他调用!$E$4:$E$163,$AP107))*求节点(武将数量星级阶位验证!$CP$41:$CP$72,武将数量星级阶位验证!$CS$41:$CS$72,武将数量星级阶位验证!AS107)</f>
        <v>409347.71704665641</v>
      </c>
      <c r="AR107" s="14">
        <f>IF(武将升级!Y164="",0,求节点($AK$5:$AK$164,$AJ$5:$AJ$164,AQ$7)*B$5*武将升级!Y164)</f>
        <v>0</v>
      </c>
      <c r="AS107" s="14">
        <f>IF(武将升级!Z164="",0,求节点($AK$5:$AK$164,$AJ$5:$AJ$164,$AQ107)*C$5*武将升级!Z164)</f>
        <v>0</v>
      </c>
      <c r="AT107" s="14">
        <f>IF(武将升级!AA164="",0,求节点($AK$5:$AK$164,$AJ$5:$AJ$164,$AQ107)*D$5*武将升级!AA164)</f>
        <v>0</v>
      </c>
      <c r="AU107" s="14">
        <f>IF(武将升级!AB164="",0,求节点($AK$5:$AK$164,$AJ$5:$AJ$164,$AQ107)*E$5*武将升级!AB164)</f>
        <v>0</v>
      </c>
      <c r="AV107" s="14">
        <f>IF(武将升级!AC164="",0,求节点($AK$5:$AK$164,$AJ$5:$AJ$164,$AQ107)*F$5*武将升级!AC164)</f>
        <v>3859.5147925340957</v>
      </c>
      <c r="AW107" s="8">
        <f>SUMPRODUCT(AR107:AV107,基础状态预期!F117:J117)/SUM(基础状态预期!F117:J117)</f>
        <v>2573.009861689397</v>
      </c>
      <c r="BA107" s="29">
        <v>110</v>
      </c>
      <c r="BB107" s="29">
        <f t="shared" si="73"/>
        <v>4643.1000000000004</v>
      </c>
      <c r="BC107" s="56">
        <f>(BB107-BB106)*INDEX([2]中r将兵属性验证!$W$7:$W$166+[2]中r将兵属性验证!$X$7:$X$166,BA107,1)+BC106</f>
        <v>27630846273.171867</v>
      </c>
    </row>
    <row r="108" spans="16:55" x14ac:dyDescent="0.15">
      <c r="AH108" s="87">
        <v>5.0000000000000096E-3</v>
      </c>
      <c r="AI108" s="4">
        <v>104</v>
      </c>
      <c r="AJ108" s="98">
        <f t="shared" si="18"/>
        <v>0.63</v>
      </c>
      <c r="AK108" s="5">
        <f>'[1]资源-钻石'!$N107*求节点(武将数量星级阶位验证!$CP$41:$CP$72,武将数量星级阶位验证!$CS$41:$CS$72,节奏总纲!R107)</f>
        <v>2434957.5647297669</v>
      </c>
      <c r="AL108" s="48"/>
      <c r="AO108" s="5">
        <v>15</v>
      </c>
      <c r="AP108" s="14">
        <f>基础状态预期!D118</f>
        <v>72.23150684883845</v>
      </c>
      <c r="AQ108" s="14">
        <f>(求节点(其他调用!$B$4:$B$163,其他调用!$E$4:$E$163,$AP108))*求节点(武将数量星级阶位验证!$CP$41:$CP$72,武将数量星级阶位验证!$CS$41:$CS$72,武将数量星级阶位验证!AS108)</f>
        <v>481957.68851990206</v>
      </c>
      <c r="AR108" s="14">
        <f>IF(武将升级!Y105="",0,求节点($AK$5:$AK$164,$AJ$5:$AJ$164,AQ$7)*B$5*武将升级!Y105)</f>
        <v>0</v>
      </c>
      <c r="AS108" s="14">
        <f>IF(武将升级!Z105="",0,求节点($AK$5:$AK$164,$AJ$5:$AJ$164,$AQ108)*C$5*武将升级!Z105)</f>
        <v>0</v>
      </c>
      <c r="AT108" s="14">
        <f>IF(武将升级!AA105="",0,求节点($AK$5:$AK$164,$AJ$5:$AJ$164,$AQ108)*D$5*武将升级!AA105)</f>
        <v>0</v>
      </c>
      <c r="AU108" s="14">
        <f>IF(武将升级!AB105="",0,求节点($AK$5:$AK$164,$AJ$5:$AJ$164,$AQ108)*E$5*武将升级!AB105)</f>
        <v>2880.5985300740062</v>
      </c>
      <c r="AV108" s="14">
        <f>IF(武将升级!AC105="",0,求节点($AK$5:$AK$164,$AJ$5:$AJ$164,$AQ108)*F$5*武将升级!AC105)</f>
        <v>2880.5985300740062</v>
      </c>
      <c r="AW108" s="8">
        <f>SUMPRODUCT(AR108:AV108,基础状态预期!F118:J118)/SUM(基础状态预期!F118:J118)</f>
        <v>2880.5985300740062</v>
      </c>
      <c r="BA108" s="29">
        <v>120</v>
      </c>
      <c r="BB108" s="29">
        <f t="shared" si="73"/>
        <v>5021.0999999999995</v>
      </c>
      <c r="BC108" s="56">
        <f>(BB108-BB107)*INDEX([2]中r将兵属性验证!$W$7:$W$166+[2]中r将兵属性验证!$X$7:$X$166,BA108,1)+BC107</f>
        <v>38850799413.894394</v>
      </c>
    </row>
    <row r="109" spans="16:55" x14ac:dyDescent="0.15">
      <c r="AH109" s="87">
        <v>5.0000000000000096E-3</v>
      </c>
      <c r="AI109" s="4">
        <v>105</v>
      </c>
      <c r="AJ109" s="98">
        <f t="shared" si="18"/>
        <v>0.63</v>
      </c>
      <c r="AK109" s="5">
        <f>'[1]资源-钻石'!$N108*求节点(武将数量星级阶位验证!$CP$41:$CP$72,武将数量星级阶位验证!$CS$41:$CS$72,节奏总纲!R108)</f>
        <v>2591323.3952765688</v>
      </c>
      <c r="AL109" s="48"/>
      <c r="AO109" s="5">
        <v>16</v>
      </c>
      <c r="AP109" s="14">
        <f>基础状态预期!D119</f>
        <v>74.840792411391348</v>
      </c>
      <c r="AQ109" s="14">
        <f>(求节点(其他调用!$B$4:$B$163,其他调用!$E$4:$E$163,$AP109))*求节点(武将数量星级阶位验证!$CP$41:$CP$72,武将数量星级阶位验证!$CS$41:$CS$72,武将数量星级阶位验证!AS109)</f>
        <v>549512.0741550934</v>
      </c>
      <c r="AR109" s="14">
        <f>IF(武将升级!Y106="",0,求节点($AK$5:$AK$164,$AJ$5:$AJ$164,AQ$7)*B$5*武将升级!Y106)</f>
        <v>0</v>
      </c>
      <c r="AS109" s="14">
        <f>IF(武将升级!Z106="",0,求节点($AK$5:$AK$164,$AJ$5:$AJ$164,$AQ109)*C$5*武将升级!Z106)</f>
        <v>0</v>
      </c>
      <c r="AT109" s="14">
        <f>IF(武将升级!AA106="",0,求节点($AK$5:$AK$164,$AJ$5:$AJ$164,$AQ109)*D$5*武将升级!AA106)</f>
        <v>0</v>
      </c>
      <c r="AU109" s="14">
        <f>IF(武将升级!AB106="",0,求节点($AK$5:$AK$164,$AJ$5:$AJ$164,$AQ109)*E$5*武将升级!AB106)</f>
        <v>3254.147809595916</v>
      </c>
      <c r="AV109" s="14">
        <f>IF(武将升级!AC106="",0,求节点($AK$5:$AK$164,$AJ$5:$AJ$164,$AQ109)*F$5*武将升级!AC106)</f>
        <v>3254.147809595916</v>
      </c>
      <c r="AW109" s="8">
        <f>SUMPRODUCT(AR109:AV109,基础状态预期!F119:J119)/SUM(基础状态预期!F119:J119)</f>
        <v>3254.147809595916</v>
      </c>
      <c r="BA109" s="29">
        <v>130</v>
      </c>
      <c r="BB109" s="29">
        <f t="shared" si="73"/>
        <v>5399.1</v>
      </c>
      <c r="BC109" s="56">
        <f>(BB109-BB108)*INDEX([2]中r将兵属性验证!$W$7:$W$166+[2]中r将兵属性验证!$X$7:$X$166,BA109,1)+BC108</f>
        <v>52848234821.14978</v>
      </c>
    </row>
    <row r="110" spans="16:55" x14ac:dyDescent="0.15">
      <c r="AH110" s="87">
        <v>5.0000000000000096E-3</v>
      </c>
      <c r="AI110" s="4">
        <v>106</v>
      </c>
      <c r="AJ110" s="98">
        <f t="shared" si="18"/>
        <v>0.63</v>
      </c>
      <c r="AK110" s="5">
        <f>'[1]资源-钻石'!$N109*求节点(武将数量星级阶位验证!$CP$41:$CP$72,武将数量星级阶位验证!$CS$41:$CS$72,节奏总纲!R109)</f>
        <v>2754902.9834170225</v>
      </c>
      <c r="AL110" s="48"/>
      <c r="AO110" s="5">
        <v>17</v>
      </c>
      <c r="AP110" s="14">
        <f>基础状态预期!D120</f>
        <v>77.697893604818219</v>
      </c>
      <c r="AQ110" s="14">
        <f>(求节点(其他调用!$B$4:$B$163,其他调用!$E$4:$E$163,$AP110))*求节点(武将数量星级阶位验证!$CP$41:$CP$72,武将数量星级阶位验证!$CS$41:$CS$72,武将数量星级阶位验证!AS110)</f>
        <v>635176.66276034457</v>
      </c>
      <c r="AR110" s="14">
        <f>IF(武将升级!Y107="",0,求节点($AK$5:$AK$164,$AJ$5:$AJ$164,AQ$7)*B$5*武将升级!Y107)</f>
        <v>0</v>
      </c>
      <c r="AS110" s="14">
        <f>IF(武将升级!Z107="",0,求节点($AK$5:$AK$164,$AJ$5:$AJ$164,$AQ110)*C$5*武将升级!Z107)</f>
        <v>0</v>
      </c>
      <c r="AT110" s="14">
        <f>IF(武将升级!AA107="",0,求节点($AK$5:$AK$164,$AJ$5:$AJ$164,$AQ110)*D$5*武将升级!AA107)</f>
        <v>0</v>
      </c>
      <c r="AU110" s="14">
        <f>IF(武将升级!AB107="",0,求节点($AK$5:$AK$164,$AJ$5:$AJ$164,$AQ110)*E$5*武将升级!AB107)</f>
        <v>0</v>
      </c>
      <c r="AV110" s="14">
        <f>IF(武将升级!AC107="",0,求节点($AK$5:$AK$164,$AJ$5:$AJ$164,$AQ110)*F$5*武将升级!AC107)</f>
        <v>3422.0803782621283</v>
      </c>
      <c r="AW110" s="8">
        <f>SUMPRODUCT(AR110:AV110,基础状态预期!F120:J120)/SUM(基础状态预期!F120:J120)</f>
        <v>3422.0803782621283</v>
      </c>
      <c r="BA110" s="29">
        <v>140</v>
      </c>
      <c r="BB110" s="29">
        <f t="shared" si="73"/>
        <v>5777.1</v>
      </c>
      <c r="BC110" s="56">
        <f>(BB110-BB109)*INDEX([2]中r将兵属性验证!$W$7:$W$166+[2]中r将兵属性验证!$X$7:$X$166,BA110,1)+BC109</f>
        <v>69888875827.860016</v>
      </c>
    </row>
    <row r="111" spans="16:55" x14ac:dyDescent="0.15">
      <c r="AH111" s="87">
        <v>5.0000000000000096E-3</v>
      </c>
      <c r="AI111" s="4">
        <v>107</v>
      </c>
      <c r="AJ111" s="98">
        <f t="shared" si="18"/>
        <v>0.63</v>
      </c>
      <c r="AK111" s="5">
        <f>'[1]资源-钻石'!$N110*求节点(武将数量星级阶位验证!$CP$41:$CP$72,武将数量星级阶位验证!$CS$41:$CS$72,节奏总纲!R110)</f>
        <v>2929446.3371399152</v>
      </c>
      <c r="AL111" s="48"/>
      <c r="AO111" s="5">
        <v>18</v>
      </c>
      <c r="AP111" s="14">
        <f>基础状态预期!D121</f>
        <v>80.134867890916794</v>
      </c>
      <c r="AQ111" s="14">
        <f>(求节点(其他调用!$B$4:$B$163,其他调用!$E$4:$E$163,$AP111))*求节点(武将数量星级阶位验证!$CP$41:$CP$72,武将数量星级阶位验证!$CS$41:$CS$72,武将数量星级阶位验证!AS111)</f>
        <v>721036.52788700233</v>
      </c>
      <c r="AR111" s="14">
        <f>IF(武将升级!Y108="",0,求节点($AK$5:$AK$164,$AJ$5:$AJ$164,AQ$7)*B$5*武将升级!Y108)</f>
        <v>0</v>
      </c>
      <c r="AS111" s="14">
        <f>IF(武将升级!Z108="",0,求节点($AK$5:$AK$164,$AJ$5:$AJ$164,$AQ111)*C$5*武将升级!Z108)</f>
        <v>0</v>
      </c>
      <c r="AT111" s="14">
        <f>IF(武将升级!AA108="",0,求节点($AK$5:$AK$164,$AJ$5:$AJ$164,$AQ111)*D$5*武将升级!AA108)</f>
        <v>0</v>
      </c>
      <c r="AU111" s="14">
        <f>IF(武将升级!AB108="",0,求节点($AK$5:$AK$164,$AJ$5:$AJ$164,$AQ111)*E$5*武将升级!AB108)</f>
        <v>0</v>
      </c>
      <c r="AV111" s="14">
        <f>IF(武将升级!AC108="",0,求节点($AK$5:$AK$164,$AJ$5:$AJ$164,$AQ111)*F$5*武将升级!AC108)</f>
        <v>3514.1980062766547</v>
      </c>
      <c r="AW111" s="8">
        <f>SUMPRODUCT(AR111:AV111,基础状态预期!F121:J121)/SUM(基础状态预期!F121:J121)</f>
        <v>3514.1980062766547</v>
      </c>
      <c r="BA111" s="29">
        <v>150</v>
      </c>
      <c r="BB111" s="29">
        <f t="shared" si="73"/>
        <v>6150.3684954888186</v>
      </c>
      <c r="BC111" s="56">
        <f>(BB111-BB110)*INDEX([2]中r将兵属性验证!$W$7:$W$166+[2]中r将兵属性验证!$X$7:$X$166,BA111,1)+BC110</f>
        <v>90536237029.82048</v>
      </c>
    </row>
    <row r="112" spans="16:55" x14ac:dyDescent="0.15">
      <c r="AH112" s="87">
        <v>5.0000000000000096E-3</v>
      </c>
      <c r="AI112" s="4">
        <v>108</v>
      </c>
      <c r="AJ112" s="98">
        <f t="shared" si="18"/>
        <v>0.63</v>
      </c>
      <c r="AK112" s="5">
        <f>'[1]资源-钻石'!$N111*求节点(武将数量星级阶位验证!$CP$41:$CP$72,武将数量星级阶位验证!$CS$41:$CS$72,节奏总纲!R111)</f>
        <v>3101253.6038826969</v>
      </c>
      <c r="AL112" s="48"/>
      <c r="AO112" s="5">
        <v>19</v>
      </c>
      <c r="AP112" s="14">
        <f>基础状态预期!D122</f>
        <v>82.238672852681816</v>
      </c>
      <c r="AQ112" s="14">
        <f>(求节点(其他调用!$B$4:$B$163,其他调用!$E$4:$E$163,$AP112))*求节点(武将数量星级阶位验证!$CP$41:$CP$72,武将数量星级阶位验证!$CS$41:$CS$72,武将数量星级阶位验证!AS112)</f>
        <v>798349.09784614411</v>
      </c>
      <c r="AR112" s="14">
        <f>IF(武将升级!Y109="",0,求节点($AK$5:$AK$164,$AJ$5:$AJ$164,AQ$7)*B$5*武将升级!Y109)</f>
        <v>0</v>
      </c>
      <c r="AS112" s="14">
        <f>IF(武将升级!Z109="",0,求节点($AK$5:$AK$164,$AJ$5:$AJ$164,$AQ112)*C$5*武将升级!Z109)</f>
        <v>0</v>
      </c>
      <c r="AT112" s="14">
        <f>IF(武将升级!AA109="",0,求节点($AK$5:$AK$164,$AJ$5:$AJ$164,$AQ112)*D$5*武将升级!AA109)</f>
        <v>0</v>
      </c>
      <c r="AU112" s="14">
        <f>IF(武将升级!AB109="",0,求节点($AK$5:$AK$164,$AJ$5:$AJ$164,$AQ112)*E$5*武将升级!AB109)</f>
        <v>0</v>
      </c>
      <c r="AV112" s="14">
        <f>IF(武将升级!AC109="",0,求节点($AK$5:$AK$164,$AJ$5:$AJ$164,$AQ112)*F$5*武将升级!AC109)</f>
        <v>3593.7218338313728</v>
      </c>
      <c r="AW112" s="8">
        <f>SUMPRODUCT(AR112:AV112,基础状态预期!F122:J122)/SUM(基础状态预期!F122:J122)</f>
        <v>3593.7218338313728</v>
      </c>
      <c r="BA112" s="29">
        <v>160</v>
      </c>
      <c r="BB112" s="29">
        <f t="shared" si="73"/>
        <v>6155.1000000000013</v>
      </c>
      <c r="BC112" s="56">
        <f>(BB112-BB111)*INDEX([2]中r将兵属性验证!$W$7:$W$166+[2]中r将兵属性验证!$X$7:$X$166,BA112,1)+BC111</f>
        <v>90828226858.382401</v>
      </c>
    </row>
    <row r="113" spans="34:49" x14ac:dyDescent="0.15">
      <c r="AH113" s="87">
        <v>5.0000000000000096E-3</v>
      </c>
      <c r="AI113" s="4">
        <v>109</v>
      </c>
      <c r="AJ113" s="98">
        <f t="shared" si="18"/>
        <v>0.63</v>
      </c>
      <c r="AK113" s="5">
        <f>'[1]资源-钻石'!$N112*求节点(武将数量星级阶位验证!$CP$41:$CP$72,武将数量星级阶位验证!$CS$41:$CS$72,节奏总纲!R112)</f>
        <v>3290769.9678031802</v>
      </c>
      <c r="AL113" s="48"/>
      <c r="AO113" s="5">
        <v>20</v>
      </c>
      <c r="AP113" s="14">
        <f>基础状态预期!D123</f>
        <v>84.043767921022209</v>
      </c>
      <c r="AQ113" s="14">
        <f>(求节点(其他调用!$B$4:$B$163,其他调用!$E$4:$E$163,$AP113))*求节点(武将数量星级阶位验证!$CP$41:$CP$72,武将数量星级阶位验证!$CS$41:$CS$72,武将数量星级阶位验证!AS113)</f>
        <v>875062.8270872524</v>
      </c>
      <c r="AR113" s="14">
        <f>IF(武将升级!Y110="",0,求节点($AK$5:$AK$164,$AJ$5:$AJ$164,AQ$7)*B$5*武将升级!Y110)</f>
        <v>0</v>
      </c>
      <c r="AS113" s="14">
        <f>IF(武将升级!Z110="",0,求节点($AK$5:$AK$164,$AJ$5:$AJ$164,$AQ113)*C$5*武将升级!Z110)</f>
        <v>0</v>
      </c>
      <c r="AT113" s="14">
        <f>IF(武将升级!AA110="",0,求节点($AK$5:$AK$164,$AJ$5:$AJ$164,$AQ113)*D$5*武将升级!AA110)</f>
        <v>0</v>
      </c>
      <c r="AU113" s="14">
        <f>IF(武将升级!AB110="",0,求节点($AK$5:$AK$164,$AJ$5:$AJ$164,$AQ113)*E$5*武将升级!AB110)</f>
        <v>0</v>
      </c>
      <c r="AV113" s="14">
        <f>IF(武将升级!AC110="",0,求节点($AK$5:$AK$164,$AJ$5:$AJ$164,$AQ113)*F$5*武将升级!AC110)</f>
        <v>3661.9544274146397</v>
      </c>
      <c r="AW113" s="8">
        <f>SUMPRODUCT(AR113:AV113,基础状态预期!F123:J123)/SUM(基础状态预期!F123:J123)</f>
        <v>3661.9544274146397</v>
      </c>
    </row>
    <row r="114" spans="34:49" x14ac:dyDescent="0.15">
      <c r="AH114" s="87">
        <v>5.0000000000000096E-3</v>
      </c>
      <c r="AI114" s="4">
        <v>110</v>
      </c>
      <c r="AJ114" s="98">
        <f t="shared" si="18"/>
        <v>0.63</v>
      </c>
      <c r="AK114" s="5">
        <f>'[1]资源-钻石'!$N113*求节点(武将数量星级阶位验证!$CP$41:$CP$72,武将数量星级阶位验证!$CS$41:$CS$72,节奏总纲!R113)</f>
        <v>3507504.8817523918</v>
      </c>
      <c r="AL114" s="48"/>
      <c r="AO114" s="5">
        <v>21</v>
      </c>
      <c r="AP114" s="14">
        <f>基础状态预期!D124</f>
        <v>86.385105215793828</v>
      </c>
      <c r="AQ114" s="14">
        <f>(求节点(其他调用!$B$4:$B$163,其他调用!$E$4:$E$163,$AP114))*求节点(武将数量星级阶位验证!$CP$41:$CP$72,武将数量星级阶位验证!$CS$41:$CS$72,武将数量星级阶位验证!AS114)</f>
        <v>987682.91383918643</v>
      </c>
      <c r="AR114" s="14">
        <f>IF(武将升级!Y111="",0,求节点($AK$5:$AK$164,$AJ$5:$AJ$164,AQ$7)*B$5*武将升级!Y111)</f>
        <v>0</v>
      </c>
      <c r="AS114" s="14">
        <f>IF(武将升级!Z111="",0,求节点($AK$5:$AK$164,$AJ$5:$AJ$164,$AQ114)*C$5*武将升级!Z111)</f>
        <v>0</v>
      </c>
      <c r="AT114" s="14">
        <f>IF(武将升级!AA111="",0,求节点($AK$5:$AK$164,$AJ$5:$AJ$164,$AQ114)*D$5*武将升级!AA111)</f>
        <v>0</v>
      </c>
      <c r="AU114" s="14">
        <f>IF(武将升级!AB111="",0,求节点($AK$5:$AK$164,$AJ$5:$AJ$164,$AQ114)*E$5*武将升级!AB111)</f>
        <v>0</v>
      </c>
      <c r="AV114" s="14">
        <f>IF(武将升级!AC111="",0,求节点($AK$5:$AK$164,$AJ$5:$AJ$164,$AQ114)*F$5*武将升级!AC111)</f>
        <v>3750.4569771570068</v>
      </c>
      <c r="AW114" s="8">
        <f>SUMPRODUCT(AR114:AV114,基础状态预期!F124:J124)/SUM(基础状态预期!F124:J124)</f>
        <v>3750.4569771570073</v>
      </c>
    </row>
    <row r="115" spans="34:49" x14ac:dyDescent="0.15">
      <c r="AH115" s="87">
        <v>5.0000000000000096E-3</v>
      </c>
      <c r="AI115" s="4">
        <v>111</v>
      </c>
      <c r="AJ115" s="98">
        <f t="shared" ref="AJ115:AJ130" si="74">MIN(AK115^LOG(3.5,6)/20000*1.2,$M$47)</f>
        <v>0.63</v>
      </c>
      <c r="AK115" s="5">
        <f>'[1]资源-钻石'!$N114*求节点(武将数量星级阶位验证!$CP$41:$CP$72,武将数量星级阶位验证!$CS$41:$CS$72,节奏总纲!R114)</f>
        <v>3735973.9034416918</v>
      </c>
      <c r="AO115" s="5">
        <v>22</v>
      </c>
      <c r="AP115" s="14">
        <f>基础状态预期!D125</f>
        <v>90.406191748048585</v>
      </c>
      <c r="AQ115" s="14">
        <f>(求节点(其他调用!$B$4:$B$163,其他调用!$E$4:$E$163,$AP115))*求节点(武将数量星级阶位验证!$CP$41:$CP$72,武将数量星级阶位验证!$CS$41:$CS$72,武将数量星级阶位验证!AS115)</f>
        <v>1203413.1014962031</v>
      </c>
      <c r="AR115" s="14">
        <f>IF(武将升级!Y112="",0,求节点($AK$5:$AK$164,$AJ$5:$AJ$164,AQ$7)*B$5*武将升级!Y112)</f>
        <v>0</v>
      </c>
      <c r="AS115" s="14">
        <f>IF(武将升级!Z112="",0,求节点($AK$5:$AK$164,$AJ$5:$AJ$164,$AQ115)*C$5*武将升级!Z112)</f>
        <v>0</v>
      </c>
      <c r="AT115" s="14">
        <f>IF(武将升级!AA112="",0,求节点($AK$5:$AK$164,$AJ$5:$AJ$164,$AQ115)*D$5*武将升级!AA112)</f>
        <v>0</v>
      </c>
      <c r="AU115" s="14">
        <f>IF(武将升级!AB112="",0,求节点($AK$5:$AK$164,$AJ$5:$AJ$164,$AQ115)*E$5*武将升级!AB112)</f>
        <v>0</v>
      </c>
      <c r="AV115" s="14">
        <f>IF(武将升级!AC112="",0,求节点($AK$5:$AK$164,$AJ$5:$AJ$164,$AQ115)*F$5*武将升级!AC112)</f>
        <v>3902.4540480762366</v>
      </c>
      <c r="AW115" s="8">
        <f>SUMPRODUCT(AR115:AV115,基础状态预期!F125:J125)/SUM(基础状态预期!F125:J125)</f>
        <v>3902.4540480762366</v>
      </c>
    </row>
    <row r="116" spans="34:49" x14ac:dyDescent="0.15">
      <c r="AH116" s="87">
        <v>5.0000000000000096E-3</v>
      </c>
      <c r="AI116" s="4">
        <v>112</v>
      </c>
      <c r="AJ116" s="98">
        <f t="shared" si="74"/>
        <v>0.63</v>
      </c>
      <c r="AK116" s="5">
        <f>'[1]资源-钻石'!$N115*求节点(武将数量星级阶位验证!$CP$41:$CP$72,武将数量星级阶位验证!$CS$41:$CS$72,节奏总纲!R115)</f>
        <v>3972563.0367472619</v>
      </c>
      <c r="AO116" s="5">
        <v>23</v>
      </c>
      <c r="AP116" s="14">
        <f>基础状态预期!D126</f>
        <v>93.471491811086082</v>
      </c>
      <c r="AQ116" s="14">
        <f>(求节点(其他调用!$B$4:$B$163,其他调用!$E$4:$E$163,$AP116))*求节点(武将数量星级阶位验证!$CP$41:$CP$72,武将数量星级阶位验证!$CS$41:$CS$72,武将数量星级阶位验证!AS116)</f>
        <v>1399312.3171953827</v>
      </c>
      <c r="AR116" s="14">
        <f>IF(武将升级!Y113="",0,求节点($AK$5:$AK$164,$AJ$5:$AJ$164,AQ$7)*B$5*武将升级!Y113)</f>
        <v>0</v>
      </c>
      <c r="AS116" s="14">
        <f>IF(武将升级!Z113="",0,求节点($AK$5:$AK$164,$AJ$5:$AJ$164,$AQ116)*C$5*武将升级!Z113)</f>
        <v>0</v>
      </c>
      <c r="AT116" s="14">
        <f>IF(武将升级!AA113="",0,求节点($AK$5:$AK$164,$AJ$5:$AJ$164,$AQ116)*D$5*武将升级!AA113)</f>
        <v>0</v>
      </c>
      <c r="AU116" s="14">
        <f>IF(武将升级!AB113="",0,求节点($AK$5:$AK$164,$AJ$5:$AJ$164,$AQ116)*E$5*武将升级!AB113)</f>
        <v>0</v>
      </c>
      <c r="AV116" s="14">
        <f>IF(武将升级!AC113="",0,求节点($AK$5:$AK$164,$AJ$5:$AJ$164,$AQ116)*F$5*武将升级!AC113)</f>
        <v>4018.3223904590541</v>
      </c>
      <c r="AW116" s="8">
        <f>SUMPRODUCT(AR116:AV116,基础状态预期!F126:J126)/SUM(基础状态预期!F126:J126)</f>
        <v>4018.3223904590541</v>
      </c>
    </row>
    <row r="117" spans="34:49" x14ac:dyDescent="0.15">
      <c r="AH117" s="87">
        <v>5.0000000000000096E-3</v>
      </c>
      <c r="AI117" s="4">
        <v>113</v>
      </c>
      <c r="AJ117" s="98">
        <f t="shared" si="74"/>
        <v>0.63</v>
      </c>
      <c r="AK117" s="5">
        <f>'[1]资源-钻石'!$N116*求节点(武将数量星级阶位验证!$CP$41:$CP$72,武将数量星级阶位验证!$CS$41:$CS$72,节奏总纲!R116)</f>
        <v>4224942.0251115737</v>
      </c>
      <c r="AO117" s="5">
        <v>24</v>
      </c>
      <c r="AP117" s="14">
        <f>基础状态预期!D127</f>
        <v>97.107381566993553</v>
      </c>
      <c r="AQ117" s="14">
        <f>(求节点(其他调用!$B$4:$B$163,其他调用!$E$4:$E$163,$AP117))*求节点(武将数量星级阶位验证!$CP$41:$CP$72,武将数量星级阶位验证!$CS$41:$CS$72,武将数量星级阶位验证!AS117)</f>
        <v>1687950.2273415821</v>
      </c>
      <c r="AR117" s="14">
        <f>IF(武将升级!Y114="",0,求节点($AK$5:$AK$164,$AJ$5:$AJ$164,AQ$7)*B$5*武将升级!Y114)</f>
        <v>0</v>
      </c>
      <c r="AS117" s="14">
        <f>IF(武将升级!Z114="",0,求节点($AK$5:$AK$164,$AJ$5:$AJ$164,$AQ117)*C$5*武将升级!Z114)</f>
        <v>0</v>
      </c>
      <c r="AT117" s="14">
        <f>IF(武将升级!AA114="",0,求节点($AK$5:$AK$164,$AJ$5:$AJ$164,$AQ117)*D$5*武将升级!AA114)</f>
        <v>0</v>
      </c>
      <c r="AU117" s="14">
        <f>IF(武将升级!AB114="",0,求节点($AK$5:$AK$164,$AJ$5:$AJ$164,$AQ117)*E$5*武将升级!AB114)</f>
        <v>0</v>
      </c>
      <c r="AV117" s="14">
        <f>IF(武将升级!AC114="",0,求节点($AK$5:$AK$164,$AJ$5:$AJ$164,$AQ117)*F$5*武将升级!AC114)</f>
        <v>4155.7590232323564</v>
      </c>
      <c r="AW117" s="8">
        <f>SUMPRODUCT(AR117:AV117,基础状态预期!F127:J127)/SUM(基础状态预期!F127:J127)</f>
        <v>4155.7590232323564</v>
      </c>
    </row>
    <row r="118" spans="34:49" x14ac:dyDescent="0.15">
      <c r="AH118" s="87">
        <v>5.0000000000000096E-3</v>
      </c>
      <c r="AI118" s="4">
        <v>114</v>
      </c>
      <c r="AJ118" s="98">
        <f t="shared" si="74"/>
        <v>0.63</v>
      </c>
      <c r="AK118" s="5">
        <f>'[1]资源-钻石'!$N117*求节点(武将数量星级阶位验证!$CP$41:$CP$72,武将数量星级阶位验证!$CS$41:$CS$72,节奏总纲!R117)</f>
        <v>4485644.7990575163</v>
      </c>
      <c r="AO118" s="5">
        <v>25</v>
      </c>
      <c r="AP118" s="14">
        <f>基础状态预期!D128</f>
        <v>100.71243145193914</v>
      </c>
      <c r="AQ118" s="14">
        <f>(求节点(其他调用!$B$4:$B$163,其他调用!$E$4:$E$163,$AP118))*求节点(武将数量星级阶位验证!$CP$41:$CP$72,武将数量星级阶位验证!$CS$41:$CS$72,武将数量星级阶位验证!AS118)</f>
        <v>2054457.5960586958</v>
      </c>
      <c r="AR118" s="14">
        <f>IF(武将升级!Y115="",0,求节点($AK$5:$AK$164,$AJ$5:$AJ$164,AQ$7)*B$5*武将升级!Y115)</f>
        <v>0</v>
      </c>
      <c r="AS118" s="14">
        <f>IF(武将升级!Z115="",0,求节点($AK$5:$AK$164,$AJ$5:$AJ$164,$AQ118)*C$5*武将升级!Z115)</f>
        <v>0</v>
      </c>
      <c r="AT118" s="14">
        <f>IF(武将升级!AA115="",0,求节点($AK$5:$AK$164,$AJ$5:$AJ$164,$AQ118)*D$5*武将升级!AA115)</f>
        <v>0</v>
      </c>
      <c r="AU118" s="14">
        <f>IF(武将升级!AB115="",0,求节点($AK$5:$AK$164,$AJ$5:$AJ$164,$AQ118)*E$5*武将升级!AB115)</f>
        <v>0</v>
      </c>
      <c r="AV118" s="14">
        <f>IF(武将升级!AC115="",0,求节点($AK$5:$AK$164,$AJ$5:$AJ$164,$AQ118)*F$5*武将升级!AC115)</f>
        <v>4292.029908883299</v>
      </c>
      <c r="AW118" s="8">
        <f>SUMPRODUCT(AR118:AV118,基础状态预期!F128:J128)/SUM(基础状态预期!F128:J128)</f>
        <v>4292.029908883299</v>
      </c>
    </row>
    <row r="119" spans="34:49" x14ac:dyDescent="0.15">
      <c r="AH119" s="87">
        <v>5.0000000000000096E-3</v>
      </c>
      <c r="AI119" s="4">
        <v>115</v>
      </c>
      <c r="AJ119" s="98">
        <f t="shared" si="74"/>
        <v>0.63</v>
      </c>
      <c r="AK119" s="5">
        <f>'[1]资源-钻石'!$N118*求节点(武将数量星级阶位验证!$CP$41:$CP$72,武将数量星级阶位验证!$CS$41:$CS$72,节奏总纲!R118)</f>
        <v>4753801.3671631785</v>
      </c>
      <c r="AO119" s="5">
        <v>26</v>
      </c>
      <c r="AP119" s="14">
        <f>基础状态预期!D129</f>
        <v>104.39233713204413</v>
      </c>
      <c r="AQ119" s="14">
        <f>(求节点(其他调用!$B$4:$B$163,其他调用!$E$4:$E$163,$AP119))*求节点(武将数量星级阶位验证!$CP$41:$CP$72,武将数量星级阶位验证!$CS$41:$CS$72,武将数量星级阶位验证!AS119)</f>
        <v>2496455.5077099283</v>
      </c>
      <c r="AR119" s="14">
        <f>IF(武将升级!Y116="",0,求节点($AK$5:$AK$164,$AJ$5:$AJ$164,AQ$7)*B$5*武将升级!Y116)</f>
        <v>0</v>
      </c>
      <c r="AS119" s="14">
        <f>IF(武将升级!Z116="",0,求节点($AK$5:$AK$164,$AJ$5:$AJ$164,$AQ119)*C$5*武将升级!Z116)</f>
        <v>0</v>
      </c>
      <c r="AT119" s="14">
        <f>IF(武将升级!AA116="",0,求节点($AK$5:$AK$164,$AJ$5:$AJ$164,$AQ119)*D$5*武将升级!AA116)</f>
        <v>0</v>
      </c>
      <c r="AU119" s="14">
        <f>IF(武将升级!AB116="",0,求节点($AK$5:$AK$164,$AJ$5:$AJ$164,$AQ119)*E$5*武将升级!AB116)</f>
        <v>0</v>
      </c>
      <c r="AV119" s="14">
        <f>IF(武将升级!AC116="",0,求节点($AK$5:$AK$164,$AJ$5:$AJ$164,$AQ119)*F$5*武将升级!AC116)</f>
        <v>4431.1303435912687</v>
      </c>
      <c r="AW119" s="8">
        <f>SUMPRODUCT(AR119:AV119,基础状态预期!F129:J129)/SUM(基础状态预期!F129:J129)</f>
        <v>4431.1303435912687</v>
      </c>
    </row>
    <row r="120" spans="34:49" x14ac:dyDescent="0.15">
      <c r="AH120" s="87">
        <v>5.0000000000000096E-3</v>
      </c>
      <c r="AI120" s="4">
        <v>116</v>
      </c>
      <c r="AJ120" s="98">
        <f t="shared" si="74"/>
        <v>0.63</v>
      </c>
      <c r="AK120" s="5">
        <f>'[1]资源-钻石'!$N119*求节点(武将数量星级阶位验证!$CP$41:$CP$72,武将数量星级阶位验证!$CS$41:$CS$72,节奏总纲!R119)</f>
        <v>5052956.7272023121</v>
      </c>
      <c r="AO120" s="5">
        <v>27</v>
      </c>
      <c r="AP120" s="14">
        <f>基础状态预期!D130</f>
        <v>107.81562240612369</v>
      </c>
      <c r="AQ120" s="14">
        <f>(求节点(其他调用!$B$4:$B$163,其他调用!$E$4:$E$163,$AP120))*求节点(武将数量星级阶位验证!$CP$41:$CP$72,武将数量星级阶位验证!$CS$41:$CS$72,武将数量星级阶位验证!AS120)</f>
        <v>3069696.4955835394</v>
      </c>
      <c r="AR120" s="14">
        <f>IF(武将升级!Y117="",0,求节点($AK$5:$AK$164,$AJ$5:$AJ$164,AQ$7)*B$5*武将升级!Y117)</f>
        <v>0</v>
      </c>
      <c r="AS120" s="14">
        <f>IF(武将升级!Z117="",0,求节点($AK$5:$AK$164,$AJ$5:$AJ$164,$AQ120)*C$5*武将升级!Z117)</f>
        <v>0</v>
      </c>
      <c r="AT120" s="14">
        <f>IF(武将升级!AA117="",0,求节点($AK$5:$AK$164,$AJ$5:$AJ$164,$AQ120)*D$5*武将升级!AA117)</f>
        <v>0</v>
      </c>
      <c r="AU120" s="14">
        <f>IF(武将升级!AB117="",0,求节点($AK$5:$AK$164,$AJ$5:$AJ$164,$AQ120)*E$5*武将升级!AB117)</f>
        <v>0</v>
      </c>
      <c r="AV120" s="14">
        <f>IF(武将升级!AC117="",0,求节点($AK$5:$AK$164,$AJ$5:$AJ$164,$AQ120)*F$5*武将升级!AC117)</f>
        <v>4560.5305269514756</v>
      </c>
      <c r="AW120" s="8">
        <f>SUMPRODUCT(AR120:AV120,基础状态预期!F130:J130)/SUM(基础状态预期!F130:J130)</f>
        <v>4560.5305269514756</v>
      </c>
    </row>
    <row r="121" spans="34:49" x14ac:dyDescent="0.15">
      <c r="AH121" s="87">
        <v>5.0000000000000096E-3</v>
      </c>
      <c r="AI121" s="4">
        <v>117</v>
      </c>
      <c r="AJ121" s="98">
        <f t="shared" si="74"/>
        <v>0.63</v>
      </c>
      <c r="AK121" s="5">
        <f>'[1]资源-钻石'!$N120*求节点(武将数量星级阶位验证!$CP$41:$CP$72,武将数量星级阶位验证!$CS$41:$CS$72,节奏总纲!R120)</f>
        <v>5381060.6041564122</v>
      </c>
      <c r="AO121" s="5">
        <v>28</v>
      </c>
      <c r="AP121" s="14">
        <f>基础状态预期!D131</f>
        <v>111.36292001894914</v>
      </c>
      <c r="AQ121" s="14">
        <f>(求节点(其他调用!$B$4:$B$163,其他调用!$E$4:$E$163,$AP121))*求节点(武将数量星级阶位验证!$CP$41:$CP$72,武将数量星级阶位验证!$CS$41:$CS$72,武将数量星级阶位验证!AS121)</f>
        <v>3822092.00602795</v>
      </c>
      <c r="AR121" s="14">
        <f>IF(武将升级!Y118="",0,求节点($AK$5:$AK$164,$AJ$5:$AJ$164,AQ$7)*B$5*武将升级!Y118)</f>
        <v>0</v>
      </c>
      <c r="AS121" s="14">
        <f>IF(武将升级!Z118="",0,求节点($AK$5:$AK$164,$AJ$5:$AJ$164,$AQ121)*C$5*武将升级!Z118)</f>
        <v>0</v>
      </c>
      <c r="AT121" s="14">
        <f>IF(武将升级!AA118="",0,求节点($AK$5:$AK$164,$AJ$5:$AJ$164,$AQ121)*D$5*武将升级!AA118)</f>
        <v>0</v>
      </c>
      <c r="AU121" s="14">
        <f>IF(武将升级!AB118="",0,求节点($AK$5:$AK$164,$AJ$5:$AJ$164,$AQ121)*E$5*武将升级!AB118)</f>
        <v>0</v>
      </c>
      <c r="AV121" s="14">
        <f>IF(武将升级!AC118="",0,求节点($AK$5:$AK$164,$AJ$5:$AJ$164,$AQ121)*F$5*武将升级!AC118)</f>
        <v>4694.6183767162775</v>
      </c>
      <c r="AW121" s="8">
        <f>SUMPRODUCT(AR121:AV121,基础状态预期!F131:J131)/SUM(基础状态预期!F131:J131)</f>
        <v>4694.6183767162775</v>
      </c>
    </row>
    <row r="122" spans="34:49" x14ac:dyDescent="0.15">
      <c r="AH122" s="87">
        <v>5.0000000000000096E-3</v>
      </c>
      <c r="AI122" s="4">
        <v>118</v>
      </c>
      <c r="AJ122" s="98">
        <f t="shared" si="74"/>
        <v>0.63</v>
      </c>
      <c r="AK122" s="5">
        <f>'[1]资源-钻石'!$N121*求节点(武将数量星级阶位验证!$CP$41:$CP$72,武将数量星级阶位验证!$CS$41:$CS$72,节奏总纲!R121)</f>
        <v>5726707.7268408006</v>
      </c>
      <c r="AO122" s="5">
        <v>29</v>
      </c>
      <c r="AP122" s="14">
        <f>基础状态预期!D132</f>
        <v>114.91934497223426</v>
      </c>
      <c r="AQ122" s="14">
        <f>(求节点(其他调用!$B$4:$B$163,其他调用!$E$4:$E$163,$AP122))*求节点(武将数量星级阶位验证!$CP$41:$CP$72,武将数量星级阶位验证!$CS$41:$CS$72,武将数量星级阶位验证!AS122)</f>
        <v>4732245.672325816</v>
      </c>
      <c r="AR122" s="14">
        <f>IF(武将升级!Y119="",0,求节点($AK$5:$AK$164,$AJ$5:$AJ$164,AQ$7)*B$5*武将升级!Y119)</f>
        <v>0</v>
      </c>
      <c r="AS122" s="14">
        <f>IF(武将升级!Z119="",0,求节点($AK$5:$AK$164,$AJ$5:$AJ$164,$AQ122)*C$5*武将升级!Z119)</f>
        <v>0</v>
      </c>
      <c r="AT122" s="14">
        <f>IF(武将升级!AA119="",0,求节点($AK$5:$AK$164,$AJ$5:$AJ$164,$AQ122)*D$5*武将升级!AA119)</f>
        <v>0</v>
      </c>
      <c r="AU122" s="14">
        <f>IF(武将升级!AB119="",0,求节点($AK$5:$AK$164,$AJ$5:$AJ$164,$AQ122)*E$5*武将升级!AB119)</f>
        <v>0</v>
      </c>
      <c r="AV122" s="14">
        <f>IF(武将升级!AC119="",0,求节点($AK$5:$AK$164,$AJ$5:$AJ$164,$AQ122)*F$5*武将升级!AC119)</f>
        <v>4829.0512399504551</v>
      </c>
      <c r="AW122" s="8">
        <f>SUMPRODUCT(AR122:AV122,基础状态预期!F132:J132)/SUM(基础状态预期!F132:J132)</f>
        <v>4829.0512399504551</v>
      </c>
    </row>
    <row r="123" spans="34:49" x14ac:dyDescent="0.15">
      <c r="AH123" s="87">
        <v>5.0000000000000096E-3</v>
      </c>
      <c r="AI123" s="4">
        <v>119</v>
      </c>
      <c r="AJ123" s="98">
        <f t="shared" si="74"/>
        <v>0.63</v>
      </c>
      <c r="AK123" s="5">
        <f>'[1]资源-钻石'!$N122*求节点(武将数量星级阶位验证!$CP$41:$CP$72,武将数量星级阶位验证!$CS$41:$CS$72,节奏总纲!R122)</f>
        <v>6107450.7747000875</v>
      </c>
      <c r="AO123" s="5">
        <v>30</v>
      </c>
      <c r="AP123" s="14">
        <f>基础状态预期!D133</f>
        <v>118.44741987029688</v>
      </c>
      <c r="AQ123" s="14">
        <f>(求节点(其他调用!$B$4:$B$163,其他调用!$E$4:$E$163,$AP123))*求节点(武将数量星级阶位验证!$CP$41:$CP$72,武将数量星级阶位验证!$CS$41:$CS$72,武将数量星级阶位验证!AS123)</f>
        <v>5896390.7232475644</v>
      </c>
      <c r="AR123" s="14">
        <f>IF(武将升级!Y120="",0,求节点($AK$5:$AK$164,$AJ$5:$AJ$164,AQ$7)*B$5*武将升级!Y120)</f>
        <v>0</v>
      </c>
      <c r="AS123" s="14">
        <f>IF(武将升级!Z120="",0,求节点($AK$5:$AK$164,$AJ$5:$AJ$164,$AQ123)*C$5*武将升级!Z120)</f>
        <v>0</v>
      </c>
      <c r="AT123" s="14">
        <f>IF(武将升级!AA120="",0,求节点($AK$5:$AK$164,$AJ$5:$AJ$164,$AQ123)*D$5*武将升级!AA120)</f>
        <v>0</v>
      </c>
      <c r="AU123" s="14">
        <f>IF(武将升级!AB120="",0,求节点($AK$5:$AK$164,$AJ$5:$AJ$164,$AQ123)*E$5*武将升级!AB120)</f>
        <v>0</v>
      </c>
      <c r="AV123" s="14">
        <f>IF(武将升级!AC120="",0,求节点($AK$5:$AK$164,$AJ$5:$AJ$164,$AQ123)*F$5*武将升级!AC120)</f>
        <v>4962.4124710972219</v>
      </c>
      <c r="AW123" s="8">
        <f>SUMPRODUCT(AR123:AV123,基础状态预期!F133:J133)/SUM(基础状态预期!F133:J133)</f>
        <v>4962.4124710972219</v>
      </c>
    </row>
    <row r="124" spans="34:49" x14ac:dyDescent="0.15">
      <c r="AH124" s="87">
        <v>5.0000000000000096E-3</v>
      </c>
      <c r="AI124" s="4">
        <v>120</v>
      </c>
      <c r="AJ124" s="98">
        <f t="shared" si="74"/>
        <v>0.63</v>
      </c>
      <c r="AK124" s="5">
        <f>'[1]资源-钻石'!$N123*求节点(武将数量星级阶位验证!$CP$41:$CP$72,武将数量星级阶位验证!$CS$41:$CS$72,节奏总纲!R123)</f>
        <v>6506326.2216175459</v>
      </c>
      <c r="AO124" s="5">
        <v>31</v>
      </c>
      <c r="AP124" s="14">
        <f>基础状态预期!D134</f>
        <v>121.97211685892326</v>
      </c>
      <c r="AQ124" s="14">
        <f>(求节点(其他调用!$B$4:$B$163,其他调用!$E$4:$E$163,$AP124))*求节点(武将数量星级阶位验证!$CP$41:$CP$72,武将数量星级阶位验证!$CS$41:$CS$72,武将数量星级阶位验证!AS124)</f>
        <v>7306899.1443208465</v>
      </c>
      <c r="AR124" s="14">
        <f>IF(武将升级!Y121="",0,求节点($AK$5:$AK$164,$AJ$5:$AJ$164,AQ$7)*B$5*武将升级!Y121)</f>
        <v>0</v>
      </c>
      <c r="AS124" s="14">
        <f>IF(武将升级!Z121="",0,求节点($AK$5:$AK$164,$AJ$5:$AJ$164,$AQ124)*C$5*武将升级!Z121)</f>
        <v>0</v>
      </c>
      <c r="AT124" s="14">
        <f>IF(武将升级!AA121="",0,求节点($AK$5:$AK$164,$AJ$5:$AJ$164,$AQ124)*D$5*武将升级!AA121)</f>
        <v>0</v>
      </c>
      <c r="AU124" s="14">
        <f>IF(武将升级!AB121="",0,求节点($AK$5:$AK$164,$AJ$5:$AJ$164,$AQ124)*E$5*武将升级!AB121)</f>
        <v>0</v>
      </c>
      <c r="AV124" s="14">
        <f>IF(武将升级!AC121="",0,求节点($AK$5:$AK$164,$AJ$5:$AJ$164,$AQ124)*F$5*武将升级!AC121)</f>
        <v>5095.6460172672987</v>
      </c>
      <c r="AW124" s="8">
        <f>SUMPRODUCT(AR124:AV124,基础状态预期!F134:J134)/SUM(基础状态预期!F134:J134)</f>
        <v>5095.6460172672987</v>
      </c>
    </row>
    <row r="125" spans="34:49" x14ac:dyDescent="0.15">
      <c r="AH125" s="87">
        <v>5.0000000000000096E-3</v>
      </c>
      <c r="AI125" s="4">
        <v>121</v>
      </c>
      <c r="AJ125" s="98">
        <f t="shared" si="74"/>
        <v>0.63</v>
      </c>
      <c r="AK125" s="5">
        <f>'[1]资源-钻石'!$N124*求节点(武将数量星级阶位验证!$CP$41:$CP$72,武将数量星级阶位验证!$CS$41:$CS$72,节奏总纲!R124)</f>
        <v>6897145.5323780403</v>
      </c>
      <c r="AO125" s="5">
        <v>32</v>
      </c>
      <c r="AP125" s="14">
        <f>基础状态预期!D135</f>
        <v>125.41953077529134</v>
      </c>
      <c r="AQ125" s="14">
        <f>(求节点(其他调用!$B$4:$B$163,其他调用!$E$4:$E$163,$AP125))*求节点(武将数量星级阶位验证!$CP$41:$CP$72,武将数量星级阶位验证!$CS$41:$CS$72,武将数量星级阶位验证!AS125)</f>
        <v>9111306.9161578175</v>
      </c>
      <c r="AR125" s="14">
        <f>IF(武将升级!Y122="",0,求节点($AK$5:$AK$164,$AJ$5:$AJ$164,AQ$7)*B$5*武将升级!Y122)</f>
        <v>0</v>
      </c>
      <c r="AS125" s="14">
        <f>IF(武将升级!Z122="",0,求节点($AK$5:$AK$164,$AJ$5:$AJ$164,$AQ125)*C$5*武将升级!Z122)</f>
        <v>0</v>
      </c>
      <c r="AT125" s="14">
        <f>IF(武将升级!AA122="",0,求节点($AK$5:$AK$164,$AJ$5:$AJ$164,$AQ125)*D$5*武将升级!AA122)</f>
        <v>0</v>
      </c>
      <c r="AU125" s="14">
        <f>IF(武将升级!AB122="",0,求节点($AK$5:$AK$164,$AJ$5:$AJ$164,$AQ125)*E$5*武将升级!AB122)</f>
        <v>0</v>
      </c>
      <c r="AV125" s="14">
        <f>IF(武将升级!AC122="",0,求节点($AK$5:$AK$164,$AJ$5:$AJ$164,$AQ125)*F$5*武将升级!AC122)</f>
        <v>5225.9582633060127</v>
      </c>
      <c r="AW125" s="8">
        <f>SUMPRODUCT(AR125:AV125,基础状态预期!F135:J135)/SUM(基础状态预期!F135:J135)</f>
        <v>5225.9582633060127</v>
      </c>
    </row>
    <row r="126" spans="34:49" x14ac:dyDescent="0.15">
      <c r="AH126" s="87">
        <v>5.0000000000000096E-3</v>
      </c>
      <c r="AI126" s="4">
        <v>122</v>
      </c>
      <c r="AJ126" s="98">
        <f t="shared" si="74"/>
        <v>0.63</v>
      </c>
      <c r="AK126" s="5">
        <f>'[1]资源-钻石'!$N125*求节点(武将数量星级阶位验证!$CP$41:$CP$72,武将数量星级阶位验证!$CS$41:$CS$72,节奏总纲!R125)</f>
        <v>7318601.1600280572</v>
      </c>
      <c r="AO126" s="5">
        <v>33</v>
      </c>
      <c r="AP126" s="14">
        <f>基础状态预期!D136</f>
        <v>129.09045404756728</v>
      </c>
      <c r="AQ126" s="14">
        <f>(求节点(其他调用!$B$4:$B$163,其他调用!$E$4:$E$163,$AP126))*求节点(武将数量星级阶位验证!$CP$41:$CP$72,武将数量星级阶位验证!$CS$41:$CS$72,武将数量星级阶位验证!AS126)</f>
        <v>11392623.611035028</v>
      </c>
      <c r="AR126" s="14">
        <f>IF(武将升级!Y123="",0,求节点($AK$5:$AK$164,$AJ$5:$AJ$164,AQ$7)*B$5*武将升级!Y123)</f>
        <v>0</v>
      </c>
      <c r="AS126" s="14">
        <f>IF(武将升级!Z123="",0,求节点($AK$5:$AK$164,$AJ$5:$AJ$164,$AQ126)*C$5*武将升级!Z123)</f>
        <v>0</v>
      </c>
      <c r="AT126" s="14">
        <f>IF(武将升级!AA123="",0,求节点($AK$5:$AK$164,$AJ$5:$AJ$164,$AQ126)*D$5*武将升级!AA123)</f>
        <v>0</v>
      </c>
      <c r="AU126" s="14">
        <f>IF(武将升级!AB123="",0,求节点($AK$5:$AK$164,$AJ$5:$AJ$164,$AQ126)*E$5*武将升级!AB123)</f>
        <v>0</v>
      </c>
      <c r="AV126" s="14">
        <f>IF(武将升级!AC123="",0,求节点($AK$5:$AK$164,$AJ$5:$AJ$164,$AQ126)*F$5*武将升级!AC123)</f>
        <v>5364.7191629980434</v>
      </c>
      <c r="AW126" s="8">
        <f>SUMPRODUCT(AR126:AV126,基础状态预期!F136:J136)/SUM(基础状态预期!F136:J136)</f>
        <v>5364.7191629980434</v>
      </c>
    </row>
    <row r="127" spans="34:49" x14ac:dyDescent="0.15">
      <c r="AH127" s="87">
        <v>5.0000000000000096E-3</v>
      </c>
      <c r="AI127" s="4">
        <v>123</v>
      </c>
      <c r="AJ127" s="98">
        <f t="shared" si="74"/>
        <v>0.63</v>
      </c>
      <c r="AK127" s="5">
        <f>'[1]资源-钻石'!$N126*求节点(武将数量星级阶位验证!$CP$41:$CP$72,武将数量星级阶位验证!$CS$41:$CS$72,节奏总纲!R126)</f>
        <v>7799715.2743792227</v>
      </c>
      <c r="AO127" s="5">
        <v>34</v>
      </c>
      <c r="AP127" s="14">
        <f>基础状态预期!D137</f>
        <v>132.53488795708068</v>
      </c>
      <c r="AQ127" s="14">
        <f>(求节点(其他调用!$B$4:$B$163,其他调用!$E$4:$E$163,$AP127))*求节点(武将数量星级阶位验证!$CP$41:$CP$72,武将数量星级阶位验证!$CS$41:$CS$72,武将数量星级阶位验证!AS127)</f>
        <v>14207023.633138124</v>
      </c>
      <c r="AR127" s="14">
        <f>IF(武将升级!Y124="",0,求节点($AK$5:$AK$164,$AJ$5:$AJ$164,AQ$7)*B$5*武将升级!Y124)</f>
        <v>0</v>
      </c>
      <c r="AS127" s="14">
        <f>IF(武将升级!Z124="",0,求节点($AK$5:$AK$164,$AJ$5:$AJ$164,$AQ127)*C$5*武将升级!Z124)</f>
        <v>0</v>
      </c>
      <c r="AT127" s="14">
        <f>IF(武将升级!AA124="",0,求节点($AK$5:$AK$164,$AJ$5:$AJ$164,$AQ127)*D$5*武将升级!AA124)</f>
        <v>0</v>
      </c>
      <c r="AU127" s="14">
        <f>IF(武将升级!AB124="",0,求节点($AK$5:$AK$164,$AJ$5:$AJ$164,$AQ127)*E$5*武将升级!AB124)</f>
        <v>0</v>
      </c>
      <c r="AV127" s="14">
        <f>IF(武将升级!AC124="",0,求节点($AK$5:$AK$164,$AJ$5:$AJ$164,$AQ127)*F$5*武将升级!AC124)</f>
        <v>5494.9187647776498</v>
      </c>
      <c r="AW127" s="8">
        <f>SUMPRODUCT(AR127:AV127,基础状态预期!F137:J137)/SUM(基础状态预期!F137:J137)</f>
        <v>5494.9187647776498</v>
      </c>
    </row>
    <row r="128" spans="34:49" x14ac:dyDescent="0.15">
      <c r="AH128" s="87">
        <v>5.0000000000000096E-3</v>
      </c>
      <c r="AI128" s="4">
        <v>124</v>
      </c>
      <c r="AJ128" s="98">
        <f t="shared" si="74"/>
        <v>0.63</v>
      </c>
      <c r="AK128" s="5">
        <f>'[1]资源-钻石'!$N127*求节点(武将数量星级阶位验证!$CP$41:$CP$72,武将数量星级阶位验证!$CS$41:$CS$72,节奏总纲!R127)</f>
        <v>8315980.3265649835</v>
      </c>
      <c r="AO128" s="5">
        <v>35</v>
      </c>
      <c r="AP128" s="14">
        <f>基础状态预期!D138</f>
        <v>136.07141427598387</v>
      </c>
      <c r="AQ128" s="14">
        <f>(求节点(其他调用!$B$4:$B$163,其他调用!$E$4:$E$163,$AP128))*求节点(武将数量星级阶位验证!$CP$41:$CP$72,武将数量星级阶位验证!$CS$41:$CS$72,武将数量星级阶位验证!AS128)</f>
        <v>17706812.506389234</v>
      </c>
      <c r="AR128" s="14">
        <f>IF(武将升级!Y125="",0,求节点($AK$5:$AK$164,$AJ$5:$AJ$164,AQ$7)*B$5*武将升级!Y125)</f>
        <v>0</v>
      </c>
      <c r="AS128" s="14">
        <f>IF(武将升级!Z125="",0,求节点($AK$5:$AK$164,$AJ$5:$AJ$164,$AQ128)*C$5*武将升级!Z125)</f>
        <v>0</v>
      </c>
      <c r="AT128" s="14">
        <f>IF(武将升级!AA125="",0,求节点($AK$5:$AK$164,$AJ$5:$AJ$164,$AQ128)*D$5*武将升级!AA125)</f>
        <v>0</v>
      </c>
      <c r="AU128" s="14">
        <f>IF(武将升级!AB125="",0,求节点($AK$5:$AK$164,$AJ$5:$AJ$164,$AQ128)*E$5*武将升级!AB125)</f>
        <v>0</v>
      </c>
      <c r="AV128" s="14">
        <f>IF(武将升级!AC125="",0,求节点($AK$5:$AK$164,$AJ$5:$AJ$164,$AQ128)*F$5*武将升级!AC125)</f>
        <v>5628.5994596321898</v>
      </c>
      <c r="AW128" s="8">
        <f>SUMPRODUCT(AR128:AV128,基础状态预期!F138:J138)/SUM(基础状态预期!F138:J138)</f>
        <v>5628.5994596321898</v>
      </c>
    </row>
    <row r="129" spans="34:55" x14ac:dyDescent="0.15">
      <c r="AH129" s="87">
        <v>5.0000000000000096E-3</v>
      </c>
      <c r="AI129" s="4">
        <v>125</v>
      </c>
      <c r="AJ129" s="98">
        <f t="shared" si="74"/>
        <v>0.63</v>
      </c>
      <c r="AK129" s="5">
        <f>'[1]资源-钻石'!$N128*求节点(武将数量星级阶位验证!$CP$41:$CP$72,武将数量星级阶位验证!$CS$41:$CS$72,节奏总纲!R128)</f>
        <v>8866846.5596249662</v>
      </c>
      <c r="AO129" s="5">
        <v>36</v>
      </c>
      <c r="AP129" s="14">
        <f>基础状态预期!D139</f>
        <v>139.56936219880694</v>
      </c>
      <c r="AQ129" s="14">
        <f>(求节点(其他调用!$B$4:$B$163,其他调用!$E$4:$E$163,$AP129))*求节点(武将数量星级阶位验证!$CP$41:$CP$72,武将数量星级阶位验证!$CS$41:$CS$72,武将数量星级阶位验证!AS129)</f>
        <v>22110593.786878578</v>
      </c>
      <c r="AR129" s="14">
        <f>IF(武将升级!Y126="",0,求节点($AK$5:$AK$164,$AJ$5:$AJ$164,AQ$7)*B$5*武将升级!Y126)</f>
        <v>0</v>
      </c>
      <c r="AS129" s="14">
        <f>IF(武将升级!Z126="",0,求节点($AK$5:$AK$164,$AJ$5:$AJ$164,$AQ129)*C$5*武将升级!Z126)</f>
        <v>0</v>
      </c>
      <c r="AT129" s="14">
        <f>IF(武将升级!AA126="",0,求节点($AK$5:$AK$164,$AJ$5:$AJ$164,$AQ129)*D$5*武将升级!AA126)</f>
        <v>0</v>
      </c>
      <c r="AU129" s="14">
        <f>IF(武将升级!AB126="",0,求节点($AK$5:$AK$164,$AJ$5:$AJ$164,$AQ129)*E$5*武将升级!AB126)</f>
        <v>0</v>
      </c>
      <c r="AV129" s="14">
        <f>IF(武将升级!AC126="",0,求节点($AK$5:$AK$164,$AJ$5:$AJ$164,$AQ129)*F$5*武将升级!AC126)</f>
        <v>5760.8218911149024</v>
      </c>
      <c r="AW129" s="8">
        <f>SUMPRODUCT(AR129:AV129,基础状态预期!F139:J139)/SUM(基础状态预期!F139:J139)</f>
        <v>5760.8218911149024</v>
      </c>
    </row>
    <row r="130" spans="34:55" x14ac:dyDescent="0.15">
      <c r="AH130" s="87">
        <v>5.0000000000000096E-3</v>
      </c>
      <c r="AI130" s="4">
        <v>126</v>
      </c>
      <c r="AJ130" s="98">
        <f t="shared" si="74"/>
        <v>0.63</v>
      </c>
      <c r="AK130" s="5">
        <f>'[1]资源-钻石'!$N129*求节点(武将数量星级阶位验证!$CP$41:$CP$72,武将数量星级阶位验证!$CS$41:$CS$72,节奏总纲!R129)</f>
        <v>9448101.8342133984</v>
      </c>
      <c r="AO130" s="5">
        <v>37</v>
      </c>
      <c r="AP130" s="14">
        <f>基础状态预期!D140</f>
        <v>143.08413721822018</v>
      </c>
      <c r="AQ130" s="14">
        <f>(求节点(其他调用!$B$4:$B$163,其他调用!$E$4:$E$163,$AP130))*求节点(武将数量星级阶位验证!$CP$41:$CP$72,武将数量星级阶位验证!$CS$41:$CS$72,武将数量星级阶位验证!AS130)</f>
        <v>27588823.282041632</v>
      </c>
      <c r="AR130" s="14">
        <f>IF(武将升级!Y127="",0,求节点($AK$5:$AK$164,$AJ$5:$AJ$164,AQ$7)*B$5*武将升级!Y127)</f>
        <v>0</v>
      </c>
      <c r="AS130" s="14">
        <f>IF(武将升级!Z127="",0,求节点($AK$5:$AK$164,$AJ$5:$AJ$164,$AQ130)*C$5*武将升级!Z127)</f>
        <v>0</v>
      </c>
      <c r="AT130" s="14">
        <f>IF(武将升级!AA127="",0,求节点($AK$5:$AK$164,$AJ$5:$AJ$164,$AQ130)*D$5*武将升级!AA127)</f>
        <v>0</v>
      </c>
      <c r="AU130" s="14">
        <f>IF(武将升级!AB127="",0,求节点($AK$5:$AK$164,$AJ$5:$AJ$164,$AQ130)*E$5*武将升级!AB127)</f>
        <v>0</v>
      </c>
      <c r="AV130" s="14">
        <f>IF(武将升级!AC127="",0,求节点($AK$5:$AK$164,$AJ$5:$AJ$164,$AQ130)*F$5*武将升级!AC127)</f>
        <v>5893.6803868487223</v>
      </c>
      <c r="AW130" s="8">
        <f>SUMPRODUCT(AR130:AV130,基础状态预期!F140:J140)/SUM(基础状态预期!F140:J140)</f>
        <v>5893.6803868487223</v>
      </c>
    </row>
    <row r="131" spans="34:55" x14ac:dyDescent="0.15">
      <c r="AH131" s="87">
        <v>5.0000000000000096E-3</v>
      </c>
      <c r="AI131" s="4">
        <v>127</v>
      </c>
      <c r="AJ131" s="98">
        <f t="shared" ref="AJ131:AJ164" si="75">MIN(AK131^LOG(3.5,6)/20000*1.2,$M$47)</f>
        <v>0.63</v>
      </c>
      <c r="AK131" s="5">
        <f>'[1]资源-钻石'!$N130*求节点(武将数量星级阶位验证!$CP$41:$CP$72,武将数量星级阶位验证!$CS$41:$CS$72,节奏总纲!R130)</f>
        <v>10017949.976035632</v>
      </c>
      <c r="AO131" s="5">
        <v>38</v>
      </c>
      <c r="AP131" s="14">
        <f>基础状态预期!D141</f>
        <v>146.62302564097175</v>
      </c>
      <c r="AQ131" s="14">
        <f>(求节点(其他调用!$B$4:$B$163,其他调用!$E$4:$E$163,$AP131))*求节点(武将数量星级阶位验证!$CP$41:$CP$72,武将数量星级阶位验证!$CS$41:$CS$72,武将数量星级阶位验证!AS131)</f>
        <v>34476472.582865752</v>
      </c>
      <c r="AR131" s="14">
        <f>IF(武将升级!Y128="",0,求节点($AK$5:$AK$164,$AJ$5:$AJ$164,AQ$7)*B$5*武将升级!Y128)</f>
        <v>0</v>
      </c>
      <c r="AS131" s="14">
        <f>IF(武将升级!Z128="",0,求节点($AK$5:$AK$164,$AJ$5:$AJ$164,$AQ131)*C$5*武将升级!Z128)</f>
        <v>0</v>
      </c>
      <c r="AT131" s="14">
        <f>IF(武将升级!AA128="",0,求节点($AK$5:$AK$164,$AJ$5:$AJ$164,$AQ131)*D$5*武将升级!AA128)</f>
        <v>0</v>
      </c>
      <c r="AU131" s="14">
        <f>IF(武将升级!AB128="",0,求节点($AK$5:$AK$164,$AJ$5:$AJ$164,$AQ131)*E$5*武将升级!AB128)</f>
        <v>0</v>
      </c>
      <c r="AV131" s="14">
        <f>IF(武将升级!AC128="",0,求节点($AK$5:$AK$164,$AJ$5:$AJ$164,$AQ131)*F$5*武将升级!AC128)</f>
        <v>6027.4503692287326</v>
      </c>
      <c r="AW131" s="8">
        <f>SUMPRODUCT(AR131:AV131,基础状态预期!F141:J141)/SUM(基础状态预期!F141:J141)</f>
        <v>6027.4503692287326</v>
      </c>
    </row>
    <row r="132" spans="34:55" x14ac:dyDescent="0.15">
      <c r="AH132" s="87">
        <v>5.0000000000000096E-3</v>
      </c>
      <c r="AI132" s="4">
        <v>128</v>
      </c>
      <c r="AJ132" s="98">
        <f t="shared" si="75"/>
        <v>0.63</v>
      </c>
      <c r="AK132" s="5">
        <f>'[1]资源-钻石'!$N131*求节点(武将数量星级阶位验证!$CP$41:$CP$72,武将数量星级阶位验证!$CS$41:$CS$72,节奏总纲!R131)</f>
        <v>10611844.373349123</v>
      </c>
      <c r="AO132" s="5">
        <v>39</v>
      </c>
      <c r="AP132" s="14">
        <f>基础状态预期!D142</f>
        <v>150.12999034316616</v>
      </c>
      <c r="AQ132" s="14">
        <f>(求节点(其他调用!$B$4:$B$163,其他调用!$E$4:$E$163,$AP132))*求节点(武将数量星级阶位验证!$CP$41:$CP$72,武将数量星级阶位验证!$CS$41:$CS$72,武将数量星级阶位验证!AS132)</f>
        <v>43148338.419619039</v>
      </c>
      <c r="AR132" s="14">
        <f>IF(武将升级!Y129="",0,求节点($AK$5:$AK$164,$AJ$5:$AJ$164,AQ$7)*B$5*武将升级!Y129)</f>
        <v>0</v>
      </c>
      <c r="AS132" s="14">
        <f>IF(武将升级!Z129="",0,求节点($AK$5:$AK$164,$AJ$5:$AJ$164,$AQ132)*C$5*武将升级!Z129)</f>
        <v>0</v>
      </c>
      <c r="AT132" s="14">
        <f>IF(武将升级!AA129="",0,求节点($AK$5:$AK$164,$AJ$5:$AJ$164,$AQ132)*D$5*武将升级!AA129)</f>
        <v>0</v>
      </c>
      <c r="AU132" s="14">
        <f>IF(武将升级!AB129="",0,求节点($AK$5:$AK$164,$AJ$5:$AJ$164,$AQ132)*E$5*武将升级!AB129)</f>
        <v>0</v>
      </c>
      <c r="AV132" s="14">
        <f>IF(武将升级!AC129="",0,求节点($AK$5:$AK$164,$AJ$5:$AJ$164,$AQ132)*F$5*武将升级!AC129)</f>
        <v>6155.1</v>
      </c>
      <c r="AW132" s="8">
        <f>SUMPRODUCT(AR132:AV132,基础状态预期!F142:J142)/SUM(基础状态预期!F142:J142)</f>
        <v>6155.1000000000013</v>
      </c>
    </row>
    <row r="133" spans="34:55" x14ac:dyDescent="0.15">
      <c r="AH133" s="87">
        <v>5.0000000000000096E-3</v>
      </c>
      <c r="AI133" s="4">
        <v>129</v>
      </c>
      <c r="AJ133" s="98">
        <f t="shared" si="75"/>
        <v>0.63</v>
      </c>
      <c r="AK133" s="5">
        <f>'[1]资源-钻石'!$N132*求节点(武将数量星级阶位验证!$CP$41:$CP$72,武将数量星级阶位验证!$CS$41:$CS$72,节奏总纲!R132)</f>
        <v>11322769.467916779</v>
      </c>
      <c r="AO133" s="5">
        <v>40</v>
      </c>
      <c r="AP133" s="14">
        <f>基础状态预期!D143</f>
        <v>153.11600330857166</v>
      </c>
      <c r="AQ133" s="14">
        <f>(求节点(其他调用!$B$4:$B$163,其他调用!$E$4:$E$163,$AP133))*求节点(武将数量星级阶位验证!$CP$41:$CP$72,武将数量星级阶位验证!$CS$41:$CS$72,武将数量星级阶位验证!AS133)</f>
        <v>53935972.772466294</v>
      </c>
      <c r="AR133" s="14">
        <f>IF(武将升级!Y130="",0,求节点($AK$5:$AK$164,$AJ$5:$AJ$164,AQ$7)*B$5*武将升级!Y130)</f>
        <v>0</v>
      </c>
      <c r="AS133" s="14">
        <f>IF(武将升级!Z130="",0,求节点($AK$5:$AK$164,$AJ$5:$AJ$164,$AQ133)*C$5*武将升级!Z130)</f>
        <v>0</v>
      </c>
      <c r="AT133" s="14">
        <f>IF(武将升级!AA130="",0,求节点($AK$5:$AK$164,$AJ$5:$AJ$164,$AQ133)*D$5*武将升级!AA130)</f>
        <v>0</v>
      </c>
      <c r="AU133" s="14">
        <f>IF(武将升级!AB130="",0,求节点($AK$5:$AK$164,$AJ$5:$AJ$164,$AQ133)*E$5*武将升级!AB130)</f>
        <v>0</v>
      </c>
      <c r="AV133" s="14">
        <f>IF(武将升级!AC130="",0,求节点($AK$5:$AK$164,$AJ$5:$AJ$164,$AQ133)*F$5*武将升级!AC130)</f>
        <v>6155.1</v>
      </c>
      <c r="AW133" s="8">
        <f>SUMPRODUCT(AR133:AV133,基础状态预期!F143:J143)/SUM(基础状态预期!F143:J143)</f>
        <v>6155.1000000000013</v>
      </c>
    </row>
    <row r="134" spans="34:55" x14ac:dyDescent="0.15">
      <c r="AH134" s="87">
        <v>5.0000000000000096E-3</v>
      </c>
      <c r="AI134" s="4">
        <v>130</v>
      </c>
      <c r="AJ134" s="98">
        <f t="shared" si="75"/>
        <v>0.63</v>
      </c>
      <c r="AK134" s="5">
        <f>'[1]资源-钻石'!$N133*求节点(武将数量星级阶位验证!$CP$41:$CP$72,武将数量星级阶位验证!$CS$41:$CS$72,节奏总纲!R133)</f>
        <v>12092218.123579348</v>
      </c>
      <c r="AO134" s="5">
        <v>41</v>
      </c>
      <c r="AP134" s="14">
        <f>基础状态预期!D144</f>
        <v>154.20294442048996</v>
      </c>
      <c r="AQ134" s="14">
        <f>(求节点(其他调用!$B$4:$B$163,其他调用!$E$4:$E$163,$AP134))*求节点(武将数量星级阶位验证!$CP$41:$CP$72,武将数量星级阶位验证!$CS$41:$CS$72,武将数量星级阶位验证!AS134)</f>
        <v>67828836.213134244</v>
      </c>
      <c r="AR134" s="14">
        <f>IF(武将升级!Y131="",0,求节点($AK$5:$AK$164,$AJ$5:$AJ$164,AQ$7)*B$5*武将升级!Y131)</f>
        <v>0</v>
      </c>
      <c r="AS134" s="14">
        <f>IF(武将升级!Z131="",0,求节点($AK$5:$AK$164,$AJ$5:$AJ$164,$AQ134)*C$5*武将升级!Z131)</f>
        <v>0</v>
      </c>
      <c r="AT134" s="14">
        <f>IF(武将升级!AA131="",0,求节点($AK$5:$AK$164,$AJ$5:$AJ$164,$AQ134)*D$5*武将升级!AA131)</f>
        <v>0</v>
      </c>
      <c r="AU134" s="14">
        <f>IF(武将升级!AB131="",0,求节点($AK$5:$AK$164,$AJ$5:$AJ$164,$AQ134)*E$5*武将升级!AB131)</f>
        <v>0</v>
      </c>
      <c r="AV134" s="14">
        <f>IF(武将升级!AC131="",0,求节点($AK$5:$AK$164,$AJ$5:$AJ$164,$AQ134)*F$5*武将升级!AC131)</f>
        <v>6155.1</v>
      </c>
      <c r="AW134" s="8">
        <f>SUMPRODUCT(AR134:AV134,基础状态预期!F144:J144)/SUM(基础状态预期!F144:J144)</f>
        <v>6155.1000000000013</v>
      </c>
    </row>
    <row r="135" spans="34:55" x14ac:dyDescent="0.15">
      <c r="AH135" s="87">
        <v>5.0000000000000096E-3</v>
      </c>
      <c r="AI135" s="4">
        <v>131</v>
      </c>
      <c r="AJ135" s="98">
        <f t="shared" si="75"/>
        <v>0.63</v>
      </c>
      <c r="AK135" s="5">
        <f>'[1]资源-钻石'!$N134*求节点(武将数量星级阶位验证!$CP$41:$CP$72,武将数量星级阶位验证!$CS$41:$CS$72,节奏总纲!R134)</f>
        <v>12891002.554220211</v>
      </c>
      <c r="AO135" s="5">
        <v>42</v>
      </c>
      <c r="AP135" s="14">
        <f>基础状态预期!D145</f>
        <v>155.2512378743358</v>
      </c>
      <c r="AQ135" s="14">
        <f>(求节点(其他调用!$B$4:$B$163,其他调用!$E$4:$E$163,$AP135))*求节点(武将数量星级阶位验证!$CP$41:$CP$72,武将数量星级阶位验证!$CS$41:$CS$72,武将数量星级阶位验证!AS135)</f>
        <v>84968857.330484346</v>
      </c>
      <c r="AR135" s="14">
        <f>IF(武将升级!Y132="",0,求节点($AK$5:$AK$164,$AJ$5:$AJ$164,AQ$7)*B$5*武将升级!Y132)</f>
        <v>0</v>
      </c>
      <c r="AS135" s="14">
        <f>IF(武将升级!Z132="",0,求节点($AK$5:$AK$164,$AJ$5:$AJ$164,$AQ135)*C$5*武将升级!Z132)</f>
        <v>0</v>
      </c>
      <c r="AT135" s="14">
        <f>IF(武将升级!AA132="",0,求节点($AK$5:$AK$164,$AJ$5:$AJ$164,$AQ135)*D$5*武将升级!AA132)</f>
        <v>0</v>
      </c>
      <c r="AU135" s="14">
        <f>IF(武将升级!AB132="",0,求节点($AK$5:$AK$164,$AJ$5:$AJ$164,$AQ135)*E$5*武将升级!AB132)</f>
        <v>0</v>
      </c>
      <c r="AV135" s="14">
        <f>IF(武将升级!AC132="",0,求节点($AK$5:$AK$164,$AJ$5:$AJ$164,$AQ135)*F$5*武将升级!AC132)</f>
        <v>6155.1</v>
      </c>
      <c r="AW135" s="8">
        <f>SUMPRODUCT(AR135:AV135,基础状态预期!F145:J145)/SUM(基础状态预期!F145:J145)</f>
        <v>6155.1000000000013</v>
      </c>
    </row>
    <row r="136" spans="34:55" x14ac:dyDescent="0.15">
      <c r="AH136" s="87">
        <v>5.0000000000000096E-3</v>
      </c>
      <c r="AI136" s="4">
        <v>132</v>
      </c>
      <c r="AJ136" s="98">
        <f t="shared" si="75"/>
        <v>0.63</v>
      </c>
      <c r="AK136" s="5">
        <f>'[1]资源-钻石'!$N135*求节点(武将数量星级阶位验证!$CP$41:$CP$72,武将数量星级阶位验证!$CS$41:$CS$72,节奏总纲!R135)</f>
        <v>13750315.91913474</v>
      </c>
      <c r="AO136" s="5">
        <v>43</v>
      </c>
    </row>
    <row r="137" spans="34:55" x14ac:dyDescent="0.15">
      <c r="AH137" s="87">
        <v>5.0000000000000096E-3</v>
      </c>
      <c r="AI137" s="4">
        <v>133</v>
      </c>
      <c r="AJ137" s="98">
        <f t="shared" si="75"/>
        <v>0.63</v>
      </c>
      <c r="AK137" s="5">
        <f>'[1]资源-钻石'!$N136*求节点(武将数量星级阶位验证!$CP$41:$CP$72,武将数量星级阶位验证!$CS$41:$CS$72,节奏总纲!R136)</f>
        <v>14602266.373001873</v>
      </c>
      <c r="AO137" s="5">
        <v>44</v>
      </c>
    </row>
    <row r="138" spans="34:55" x14ac:dyDescent="0.15">
      <c r="AH138" s="87">
        <v>5.0000000000000096E-3</v>
      </c>
      <c r="AI138" s="4">
        <v>134</v>
      </c>
      <c r="AJ138" s="98">
        <f t="shared" si="75"/>
        <v>0.63</v>
      </c>
      <c r="AK138" s="5">
        <f>'[1]资源-钻石'!$N137*求节点(武将数量星级阶位验证!$CP$41:$CP$72,武将数量星级阶位验证!$CS$41:$CS$72,节奏总纲!R137)</f>
        <v>15491593.70368379</v>
      </c>
      <c r="AO138" s="5">
        <v>45</v>
      </c>
    </row>
    <row r="139" spans="34:55" x14ac:dyDescent="0.15">
      <c r="AH139" s="87">
        <v>5.0000000000000096E-3</v>
      </c>
      <c r="AI139" s="4">
        <v>135</v>
      </c>
      <c r="AJ139" s="98">
        <f t="shared" si="75"/>
        <v>0.63</v>
      </c>
      <c r="AK139" s="5">
        <f>'[1]资源-钻石'!$N138*求节点(武将数量星级阶位验证!$CP$41:$CP$72,武将数量星级阶位验证!$CS$41:$CS$72,节奏总纲!R138)</f>
        <v>16488306.171174683</v>
      </c>
      <c r="AO139" s="5">
        <v>1</v>
      </c>
    </row>
    <row r="140" spans="34:55" x14ac:dyDescent="0.15">
      <c r="AH140" s="87">
        <v>5.0000000000000096E-3</v>
      </c>
      <c r="AI140" s="4">
        <v>136</v>
      </c>
      <c r="AJ140" s="98">
        <f t="shared" si="75"/>
        <v>0.63</v>
      </c>
      <c r="AK140" s="5">
        <f>'[1]资源-钻石'!$N139*求节点(武将数量星级阶位验证!$CP$41:$CP$72,武将数量星级阶位验证!$CS$41:$CS$72,节奏总纲!R139)</f>
        <v>17623012.29294239</v>
      </c>
      <c r="AO140" s="5">
        <v>2</v>
      </c>
      <c r="AP140" s="8" t="s">
        <v>78</v>
      </c>
      <c r="AQ140" s="8"/>
      <c r="AR140" s="173" t="s">
        <v>286</v>
      </c>
      <c r="AS140" s="173"/>
      <c r="AT140" s="173"/>
      <c r="AU140" s="173"/>
      <c r="AV140" s="173"/>
      <c r="AW140" s="173"/>
      <c r="BA140" s="35" t="s">
        <v>99</v>
      </c>
      <c r="BB140" s="29" t="s">
        <v>367</v>
      </c>
      <c r="BC140" s="51"/>
    </row>
    <row r="141" spans="34:55" x14ac:dyDescent="0.15">
      <c r="AH141" s="87">
        <v>5.0000000000000096E-3</v>
      </c>
      <c r="AI141" s="4">
        <v>137</v>
      </c>
      <c r="AJ141" s="98">
        <f t="shared" si="75"/>
        <v>0.63</v>
      </c>
      <c r="AK141" s="5">
        <f>'[1]资源-钻石'!$N140*求节点(武将数量星级阶位验证!$CP$41:$CP$72,武将数量星级阶位验证!$CS$41:$CS$72,节奏总纲!R140)</f>
        <v>18791429.783142962</v>
      </c>
      <c r="AO141" s="5">
        <v>3</v>
      </c>
      <c r="AP141" s="8" t="s">
        <v>478</v>
      </c>
      <c r="AQ141" s="50"/>
      <c r="AR141" s="19" t="s">
        <v>3</v>
      </c>
      <c r="AS141" s="19" t="s">
        <v>1</v>
      </c>
      <c r="AT141" s="19" t="s">
        <v>2</v>
      </c>
      <c r="AU141" s="19" t="s">
        <v>0</v>
      </c>
      <c r="AV141" s="19" t="s">
        <v>545</v>
      </c>
      <c r="AW141" s="8" t="s">
        <v>228</v>
      </c>
      <c r="BA141" s="32" t="s">
        <v>478</v>
      </c>
      <c r="BB141" s="29" t="s">
        <v>368</v>
      </c>
      <c r="BC141" s="29" t="s">
        <v>369</v>
      </c>
    </row>
    <row r="142" spans="34:55" x14ac:dyDescent="0.15">
      <c r="AH142" s="87">
        <v>5.0000000000000096E-3</v>
      </c>
      <c r="AI142" s="4">
        <v>138</v>
      </c>
      <c r="AJ142" s="98">
        <f t="shared" si="75"/>
        <v>0.63</v>
      </c>
      <c r="AK142" s="5">
        <f>'[1]资源-钻石'!$N141*求节点(武将数量星级阶位验证!$CP$41:$CP$72,武将数量星级阶位验证!$CS$41:$CS$72,节奏总纲!R141)</f>
        <v>20027589.377343141</v>
      </c>
      <c r="AO142" s="5">
        <v>4</v>
      </c>
      <c r="AP142" s="14">
        <f>基础状态预期!D152</f>
        <v>10.00263241450434</v>
      </c>
      <c r="AQ142" s="14">
        <f>(求节点(其他调用!$B$4:$B$163,其他调用!$F$4:$F$163,$AP142))*求节点(武将数量星级阶位验证!$CP$41:$CP$72,武将数量星级阶位验证!$CT$41:$CT$72,武将数量星级阶位验证!AS142)</f>
        <v>23065.266926070344</v>
      </c>
      <c r="AR142" s="14">
        <f>IF(武将升级!Y139="",0,求节点($AK$5:$AK$164,$AJ$5:$AJ$164,AQ$7)*B$5*武将升级!Y139)</f>
        <v>0</v>
      </c>
      <c r="AS142" s="14">
        <f>IF(武将升级!Z139="",0,求节点($AK$5:$AK$164,$AJ$5:$AJ$164,$AQ142)*C$5*武将升级!Z139)</f>
        <v>0</v>
      </c>
      <c r="AT142" s="14">
        <f>IF(武将升级!AA139="",0,求节点($AK$5:$AK$164,$AJ$5:$AJ$164,$AQ142)*D$5*武将升级!AA139)</f>
        <v>0</v>
      </c>
      <c r="AU142" s="14">
        <f>IF(武将升级!AB139="",0,求节点($AK$5:$AK$164,$AJ$5:$AJ$164,$AQ142)*E$5*武将升级!AB139)</f>
        <v>92.337873392352208</v>
      </c>
      <c r="AV142" s="14">
        <f>IF(武将升级!AC139="",0,求节点($AK$5:$AK$164,$AJ$5:$AJ$164,$AQ142)*F$5*武将升级!AC139)</f>
        <v>0</v>
      </c>
      <c r="AW142" s="8">
        <f>SUMPRODUCT(AR142:AV142,基础状态预期!F152:J152)/SUM(基础状态预期!F152:J152)</f>
        <v>92.337873392352208</v>
      </c>
      <c r="BA142" s="29">
        <v>10</v>
      </c>
      <c r="BB142" s="29">
        <f t="shared" ref="BB142:BB143" si="76">求节点($AP$142:$AP$180,$AW$142:$AW$180,BA142)</f>
        <v>92.313572633597389</v>
      </c>
      <c r="BC142" s="55">
        <f>BB142*INDEX([2]大r将兵属性验证!$W$7:$W$166+[2]大r将兵属性验证!$X$7:$X$166,BA142,1)</f>
        <v>1843084.4082646118</v>
      </c>
    </row>
    <row r="143" spans="34:55" x14ac:dyDescent="0.15">
      <c r="AH143" s="87">
        <v>5.0000000000000096E-3</v>
      </c>
      <c r="AI143" s="4">
        <v>139</v>
      </c>
      <c r="AJ143" s="98">
        <f t="shared" si="75"/>
        <v>0.63</v>
      </c>
      <c r="AK143" s="5">
        <f>'[1]资源-钻石'!$N142*求节点(武将数量星级阶位验证!$CP$41:$CP$72,武将数量星级阶位验证!$CS$41:$CS$72,节奏总纲!R142)</f>
        <v>21354638.511139706</v>
      </c>
      <c r="AO143" s="5">
        <v>5</v>
      </c>
      <c r="AP143" s="14">
        <f>基础状态预期!D153</f>
        <v>19.43005414991557</v>
      </c>
      <c r="AQ143" s="14">
        <f>(求节点(其他调用!$B$4:$B$163,其他调用!$F$4:$F$163,$AP143))*求节点(武将数量星级阶位验证!$CP$41:$CP$72,武将数量星级阶位验证!$CT$41:$CT$72,武将数量星级阶位验证!AS143)</f>
        <v>56496.479379999531</v>
      </c>
      <c r="AR143" s="14">
        <f>IF(武将升级!Y140="",0,求节点($AK$5:$AK$164,$AJ$5:$AJ$164,AQ$7)*B$5*武将升级!Y140)</f>
        <v>0</v>
      </c>
      <c r="AS143" s="14">
        <f>IF(武将升级!Z140="",0,求节点($AK$5:$AK$164,$AJ$5:$AJ$164,$AQ143)*C$5*武将升级!Z140)</f>
        <v>0</v>
      </c>
      <c r="AT143" s="14">
        <f>IF(武将升级!AA140="",0,求节点($AK$5:$AK$164,$AJ$5:$AJ$164,$AQ143)*D$5*武将升级!AA140)</f>
        <v>0</v>
      </c>
      <c r="AU143" s="14">
        <f>IF(武将升级!AB140="",0,求节点($AK$5:$AK$164,$AJ$5:$AJ$164,$AQ143)*E$5*武将升级!AB140)</f>
        <v>244.06090566403401</v>
      </c>
      <c r="AV143" s="14">
        <f>IF(武将升级!AC140="",0,求节点($AK$5:$AK$164,$AJ$5:$AJ$164,$AQ143)*F$5*武将升级!AC140)</f>
        <v>0</v>
      </c>
      <c r="AW143" s="8">
        <f>SUMPRODUCT(AR143:AV143,基础状态预期!F153:J153)/SUM(基础状态预期!F153:J153)</f>
        <v>244.06090566403404</v>
      </c>
      <c r="BA143" s="29">
        <v>20</v>
      </c>
      <c r="BB143" s="29">
        <f t="shared" si="76"/>
        <v>256.1840396258425</v>
      </c>
      <c r="BC143" s="56">
        <f>(BB143-BB142)*INDEX([2]大r将兵属性验证!$W$7:$W$166+[2]大r将兵属性验证!$X$7:$X$166,BA143,1)+BC142</f>
        <v>11336125.139216833</v>
      </c>
    </row>
    <row r="144" spans="34:55" x14ac:dyDescent="0.15">
      <c r="AH144" s="87">
        <v>5.0000000000000096E-3</v>
      </c>
      <c r="AI144" s="4">
        <v>140</v>
      </c>
      <c r="AJ144" s="98">
        <f t="shared" si="75"/>
        <v>0.63</v>
      </c>
      <c r="AK144" s="5">
        <f>'[1]资源-钻石'!$N143*求节点(武将数量星级阶位验证!$CP$41:$CP$72,武将数量星级阶位验证!$CS$41:$CS$72,节奏总纲!R143)</f>
        <v>22680299.907153249</v>
      </c>
      <c r="AO144" s="5">
        <v>6</v>
      </c>
      <c r="AP144" s="14">
        <f>基础状态预期!D154</f>
        <v>27.324610510337703</v>
      </c>
      <c r="AQ144" s="14">
        <f>(求节点(其他调用!$B$4:$B$163,其他调用!$F$4:$F$163,$AP144))*求节点(武将数量星级阶位验证!$CP$41:$CP$72,武将数量星级阶位验证!$CT$41:$CT$72,武将数量星级阶位验证!AS144)</f>
        <v>87345.072579677493</v>
      </c>
      <c r="AR144" s="14">
        <f>IF(武将升级!Y141="",0,求节点($AK$5:$AK$164,$AJ$5:$AJ$164,AQ$7)*B$5*武将升级!Y141)</f>
        <v>0</v>
      </c>
      <c r="AS144" s="14">
        <f>IF(武将升级!Z141="",0,求节点($AK$5:$AK$164,$AJ$5:$AJ$164,$AQ144)*C$5*武将升级!Z141)</f>
        <v>0</v>
      </c>
      <c r="AT144" s="14">
        <f>IF(武将升级!AA141="",0,求节点($AK$5:$AK$164,$AJ$5:$AJ$164,$AQ144)*D$5*武将升级!AA141)</f>
        <v>0</v>
      </c>
      <c r="AU144" s="14">
        <f>IF(武将升级!AB141="",0,求节点($AK$5:$AK$164,$AJ$5:$AJ$164,$AQ144)*E$5*武将升级!AB141)</f>
        <v>411.98346236352921</v>
      </c>
      <c r="AV144" s="14">
        <f>IF(武将升级!AC141="",0,求节点($AK$5:$AK$164,$AJ$5:$AJ$164,$AQ144)*F$5*武将升级!AC141)</f>
        <v>0</v>
      </c>
      <c r="AW144" s="8">
        <f>SUMPRODUCT(AR144:AV144,基础状态预期!F154:J154)/SUM(基础状态预期!F154:J154)</f>
        <v>411.98346236352921</v>
      </c>
      <c r="BA144" s="29">
        <v>30</v>
      </c>
      <c r="BB144" s="29">
        <f t="shared" ref="BB144:BB157" si="77">求节点($AP$142:$AP$180,$AW$142:$AW$180,BA144)</f>
        <v>498.13361800093952</v>
      </c>
      <c r="BC144" s="56">
        <f>(BB144-BB143)*INDEX([2]大r将兵属性验证!$W$7:$W$166+[2]大r将兵属性验证!$X$7:$X$166,BA144,1)+BC143</f>
        <v>45523931.005207062</v>
      </c>
    </row>
    <row r="145" spans="34:55" x14ac:dyDescent="0.15">
      <c r="AH145" s="87">
        <v>5.0000000000000096E-3</v>
      </c>
      <c r="AI145" s="4">
        <v>141</v>
      </c>
      <c r="AJ145" s="98">
        <f t="shared" si="75"/>
        <v>0.63</v>
      </c>
      <c r="AK145" s="5">
        <f>'[1]资源-钻石'!$N144*求节点(武将数量星级阶位验证!$CP$41:$CP$72,武将数量星级阶位验证!$CS$41:$CS$72,节奏总纲!R144)</f>
        <v>24098589.463132478</v>
      </c>
      <c r="AO145" s="5">
        <v>7</v>
      </c>
      <c r="AP145" s="14">
        <f>基础状态预期!D155</f>
        <v>33.672145166817529</v>
      </c>
      <c r="AQ145" s="14">
        <f>(求节点(其他调用!$B$4:$B$163,其他调用!$F$4:$F$163,$AP145))*求节点(武将数量星级阶位验证!$CP$41:$CP$72,武将数量星级阶位验证!$CT$41:$CT$72,武将数量星级阶位验证!AS145)</f>
        <v>125995.32641700192</v>
      </c>
      <c r="AR145" s="14">
        <f>IF(武将升级!Y142="",0,求节点($AK$5:$AK$164,$AJ$5:$AJ$164,AQ$7)*B$5*武将升级!Y142)</f>
        <v>0</v>
      </c>
      <c r="AS145" s="14">
        <f>IF(武将升级!Z142="",0,求节点($AK$5:$AK$164,$AJ$5:$AJ$164,$AQ145)*C$5*武将升级!Z142)</f>
        <v>0</v>
      </c>
      <c r="AT145" s="14">
        <f>IF(武将升级!AA142="",0,求节点($AK$5:$AK$164,$AJ$5:$AJ$164,$AQ145)*D$5*武将升级!AA142)</f>
        <v>0</v>
      </c>
      <c r="AU145" s="14">
        <f>IF(武将升级!AB142="",0,求节点($AK$5:$AK$164,$AJ$5:$AJ$164,$AQ145)*E$5*武将升级!AB142)</f>
        <v>616.38028035305422</v>
      </c>
      <c r="AV145" s="14">
        <f>IF(武将升级!AC142="",0,求节点($AK$5:$AK$164,$AJ$5:$AJ$164,$AQ145)*F$5*武将升级!AC142)</f>
        <v>0</v>
      </c>
      <c r="AW145" s="8">
        <f>SUMPRODUCT(AR145:AV145,基础状态预期!F155:J155)/SUM(基础状态预期!F155:J155)</f>
        <v>616.38028035305422</v>
      </c>
      <c r="BA145" s="29">
        <v>40</v>
      </c>
      <c r="BB145" s="29">
        <f t="shared" si="77"/>
        <v>894.99872693872123</v>
      </c>
      <c r="BC145" s="56">
        <f>(BB145-BB144)*INDEX([2]大r将兵属性验证!$W$7:$W$166+[2]大r将兵属性验证!$X$7:$X$166,BA145,1)+BC144</f>
        <v>195470920.15364102</v>
      </c>
    </row>
    <row r="146" spans="34:55" x14ac:dyDescent="0.15">
      <c r="AH146" s="87">
        <v>5.0000000000000096E-3</v>
      </c>
      <c r="AI146" s="4">
        <v>142</v>
      </c>
      <c r="AJ146" s="98">
        <f t="shared" si="75"/>
        <v>0.63</v>
      </c>
      <c r="AK146" s="5">
        <f>'[1]资源-钻石'!$N145*求节点(武将数量星级阶位验证!$CP$41:$CP$72,武将数量星级阶位验证!$CS$41:$CS$72,节奏总纲!R145)</f>
        <v>25729949.84224489</v>
      </c>
      <c r="AO146" s="5">
        <v>8</v>
      </c>
      <c r="AP146" s="14">
        <f>基础状态预期!D156</f>
        <v>39.138098927718012</v>
      </c>
      <c r="AQ146" s="14">
        <f>(求节点(其他调用!$B$4:$B$163,其他调用!$F$4:$F$163,$AP146))*求节点(武将数量星级阶位验证!$CP$41:$CP$72,武将数量星级阶位验证!$CT$41:$CT$72,武将数量星级阶位验证!AS146)</f>
        <v>170369.99994021546</v>
      </c>
      <c r="AR146" s="14">
        <f>IF(武将升级!Y143="",0,求节点($AK$5:$AK$164,$AJ$5:$AJ$164,AQ$7)*B$5*武将升级!Y143)</f>
        <v>0</v>
      </c>
      <c r="AS146" s="14">
        <f>IF(武将升级!Z143="",0,求节点($AK$5:$AK$164,$AJ$5:$AJ$164,$AQ146)*C$5*武将升级!Z143)</f>
        <v>0</v>
      </c>
      <c r="AT146" s="14">
        <f>IF(武将升级!AA143="",0,求节点($AK$5:$AK$164,$AJ$5:$AJ$164,$AQ146)*D$5*武将升级!AA143)</f>
        <v>0</v>
      </c>
      <c r="AU146" s="14">
        <f>IF(武将升级!AB143="",0,求节点($AK$5:$AK$164,$AJ$5:$AJ$164,$AQ146)*E$5*武将升级!AB143)</f>
        <v>850.60075793233193</v>
      </c>
      <c r="AV146" s="14">
        <f>IF(武将升级!AC143="",0,求节点($AK$5:$AK$164,$AJ$5:$AJ$164,$AQ146)*F$5*武将升级!AC143)</f>
        <v>0</v>
      </c>
      <c r="AW146" s="8">
        <f>SUMPRODUCT(AR146:AV146,基础状态预期!F156:J156)/SUM(基础状态预期!F156:J156)</f>
        <v>850.60075793233193</v>
      </c>
      <c r="BA146" s="29">
        <v>50</v>
      </c>
      <c r="BB146" s="29">
        <f t="shared" si="77"/>
        <v>1514.7875495291637</v>
      </c>
      <c r="BC146" s="56">
        <f>(BB146-BB145)*INDEX([2]大r将兵属性验证!$W$7:$W$166+[2]大r将兵属性验证!$X$7:$X$166,BA146,1)+BC145</f>
        <v>625368632.05272293</v>
      </c>
    </row>
    <row r="147" spans="34:55" x14ac:dyDescent="0.15">
      <c r="AH147" s="87">
        <v>5.0000000000000096E-3</v>
      </c>
      <c r="AI147" s="4">
        <v>143</v>
      </c>
      <c r="AJ147" s="98">
        <f t="shared" si="75"/>
        <v>0.63</v>
      </c>
      <c r="AK147" s="5">
        <f>'[1]资源-钻石'!$N146*求节点(武将数量星级阶位验证!$CP$41:$CP$72,武将数量星级阶位验证!$CS$41:$CS$72,节奏总纲!R146)</f>
        <v>27436250.735498011</v>
      </c>
      <c r="AO147" s="5">
        <v>9</v>
      </c>
      <c r="AP147" s="14">
        <f>基础状态预期!D157</f>
        <v>42.970748198558951</v>
      </c>
      <c r="AQ147" s="14">
        <f>(求节点(其他调用!$B$4:$B$163,其他调用!$F$4:$F$163,$AP147))*求节点(武将数量星级阶位验证!$CP$41:$CP$72,武将数量星级阶位验证!$CT$41:$CT$72,武将数量星级阶位验证!AS147)</f>
        <v>207399.27250511068</v>
      </c>
      <c r="AR147" s="14">
        <f>IF(武将升级!Y144="",0,求节点($AK$5:$AK$164,$AJ$5:$AJ$164,AQ$7)*B$5*武将升级!Y144)</f>
        <v>0</v>
      </c>
      <c r="AS147" s="14">
        <f>IF(武将升级!Z144="",0,求节点($AK$5:$AK$164,$AJ$5:$AJ$164,$AQ147)*C$5*武将升级!Z144)</f>
        <v>0</v>
      </c>
      <c r="AT147" s="14">
        <f>IF(武将升级!AA144="",0,求节点($AK$5:$AK$164,$AJ$5:$AJ$164,$AQ147)*D$5*武将升级!AA144)</f>
        <v>0</v>
      </c>
      <c r="AU147" s="14">
        <f>IF(武将升级!AB144="",0,求节点($AK$5:$AK$164,$AJ$5:$AJ$164,$AQ147)*E$5*武将升级!AB144)</f>
        <v>1048.0269464027003</v>
      </c>
      <c r="AV147" s="14">
        <f>IF(武将升级!AC144="",0,求节点($AK$5:$AK$164,$AJ$5:$AJ$164,$AQ147)*F$5*武将升级!AC144)</f>
        <v>0</v>
      </c>
      <c r="AW147" s="8">
        <f>SUMPRODUCT(AR147:AV147,基础状态预期!F157:J157)/SUM(基础状态预期!F157:J157)</f>
        <v>1048.0269464027003</v>
      </c>
      <c r="BA147" s="29">
        <v>60</v>
      </c>
      <c r="BB147" s="29">
        <f t="shared" si="77"/>
        <v>2458.5971182750409</v>
      </c>
      <c r="BC147" s="56">
        <f>(BB147-BB146)*INDEX([2]大r将兵属性验证!$W$7:$W$166+[2]大r将兵属性验证!$X$7:$X$166,BA147,1)+BC146</f>
        <v>2038379314.9447229</v>
      </c>
    </row>
    <row r="148" spans="34:55" x14ac:dyDescent="0.15">
      <c r="AH148" s="87">
        <v>5.0000000000000096E-3</v>
      </c>
      <c r="AI148" s="4">
        <v>144</v>
      </c>
      <c r="AJ148" s="98">
        <f t="shared" si="75"/>
        <v>0.63</v>
      </c>
      <c r="AK148" s="5">
        <f>'[1]资源-钻石'!$N147*求节点(武将数量星级阶位验证!$CP$41:$CP$72,武将数量星级阶位验证!$CS$41:$CS$72,节奏总纲!R147)</f>
        <v>29272175.014991652</v>
      </c>
      <c r="AO148" s="5">
        <v>10</v>
      </c>
      <c r="AP148" s="14">
        <f>基础状态预期!D158</f>
        <v>48.731413734867289</v>
      </c>
      <c r="AQ148" s="14">
        <f>(求节点(其他调用!$B$4:$B$163,其他调用!$F$4:$F$163,$AP148))*求节点(武将数量星级阶位验证!$CP$41:$CP$72,武将数量星级阶位验证!$CT$41:$CT$72,武将数量星级阶位验证!AS148)</f>
        <v>277076.83576929086</v>
      </c>
      <c r="AR148" s="14">
        <f>IF(武将升级!Y145="",0,求节点($AK$5:$AK$164,$AJ$5:$AJ$164,AQ$7)*B$5*武将升级!Y145)</f>
        <v>0</v>
      </c>
      <c r="AS148" s="14">
        <f>IF(武将升级!Z145="",0,求节点($AK$5:$AK$164,$AJ$5:$AJ$164,$AQ148)*C$5*武将升级!Z145)</f>
        <v>0</v>
      </c>
      <c r="AT148" s="14">
        <f>IF(武将升级!AA145="",0,求节点($AK$5:$AK$164,$AJ$5:$AJ$164,$AQ148)*D$5*武将升级!AA145)</f>
        <v>0</v>
      </c>
      <c r="AU148" s="14">
        <f>IF(武将升级!AB145="",0,求节点($AK$5:$AK$164,$AJ$5:$AJ$164,$AQ148)*E$5*武将升级!AB145)</f>
        <v>1415.7032881138862</v>
      </c>
      <c r="AV148" s="14">
        <f>IF(武将升级!AC145="",0,求节点($AK$5:$AK$164,$AJ$5:$AJ$164,$AQ148)*F$5*武将升级!AC145)</f>
        <v>0</v>
      </c>
      <c r="AW148" s="8">
        <f>SUMPRODUCT(AR148:AV148,基础状态预期!F158:J158)/SUM(基础状态预期!F158:J158)</f>
        <v>1415.7032881138864</v>
      </c>
      <c r="BA148" s="29">
        <v>70</v>
      </c>
      <c r="BB148" s="29">
        <f t="shared" si="77"/>
        <v>3131.0999999999995</v>
      </c>
      <c r="BC148" s="56">
        <f>(BB148-BB147)*INDEX([2]大r将兵属性验证!$W$7:$W$166+[2]大r将兵属性验证!$X$7:$X$166,BA148,1)+BC147</f>
        <v>4292038483.7559261</v>
      </c>
    </row>
    <row r="149" spans="34:55" x14ac:dyDescent="0.15">
      <c r="AH149" s="87">
        <v>5.0000000000000096E-3</v>
      </c>
      <c r="AI149" s="4">
        <v>145</v>
      </c>
      <c r="AJ149" s="98">
        <f t="shared" si="75"/>
        <v>0.63</v>
      </c>
      <c r="AK149" s="5">
        <f>'[1]资源-钻石'!$N148*求节点(武将数量星级阶位验证!$CP$41:$CP$72,武将数量星级阶位验证!$CS$41:$CS$72,节奏总纲!R148)</f>
        <v>31244024.255989142</v>
      </c>
      <c r="AO149" s="5">
        <v>11</v>
      </c>
      <c r="AP149" s="14">
        <f>基础状态预期!D159</f>
        <v>52.769987980532711</v>
      </c>
      <c r="AQ149" s="14">
        <f>(求节点(其他调用!$B$4:$B$163,其他调用!$F$4:$F$163,$AP149))*求节点(武将数量星级阶位验证!$CP$41:$CP$72,武将数量星级阶位验证!$CT$41:$CT$72,武将数量星级阶位验证!AS149)</f>
        <v>337368.58790851495</v>
      </c>
      <c r="AR149" s="14">
        <f>IF(武将升级!Y146="",0,求节点($AK$5:$AK$164,$AJ$5:$AJ$164,AQ$7)*B$5*武将升级!Y146)</f>
        <v>0</v>
      </c>
      <c r="AS149" s="14">
        <f>IF(武将升级!Z146="",0,求节点($AK$5:$AK$164,$AJ$5:$AJ$164,$AQ149)*C$5*武将升级!Z146)</f>
        <v>0</v>
      </c>
      <c r="AT149" s="14">
        <f>IF(武将升级!AA146="",0,求节点($AK$5:$AK$164,$AJ$5:$AJ$164,$AQ149)*D$5*武将升级!AA146)</f>
        <v>0</v>
      </c>
      <c r="AU149" s="14">
        <f>IF(武将升级!AB146="",0,求节点($AK$5:$AK$164,$AJ$5:$AJ$164,$AQ149)*E$5*武将升级!AB146)</f>
        <v>1731.1403674051851</v>
      </c>
      <c r="AV149" s="14">
        <f>IF(武将升级!AC146="",0,求节点($AK$5:$AK$164,$AJ$5:$AJ$164,$AQ149)*F$5*武将升级!AC146)</f>
        <v>1731.1403674051851</v>
      </c>
      <c r="AW149" s="8">
        <f>SUMPRODUCT(AR149:AV149,基础状态预期!F159:J159)/SUM(基础状态预期!F159:J159)</f>
        <v>1731.1403674051851</v>
      </c>
      <c r="BA149" s="29">
        <v>80</v>
      </c>
      <c r="BB149" s="29">
        <f t="shared" si="77"/>
        <v>3509.1000000000004</v>
      </c>
      <c r="BC149" s="56">
        <f>(BB149-BB148)*INDEX([2]大r将兵属性验证!$W$7:$W$166+[2]大r将兵属性验证!$X$7:$X$166,BA149,1)+BC148</f>
        <v>7101957126.8642349</v>
      </c>
    </row>
    <row r="150" spans="34:55" x14ac:dyDescent="0.15">
      <c r="AH150" s="87">
        <v>5.0000000000000096E-3</v>
      </c>
      <c r="AI150" s="4">
        <v>146</v>
      </c>
      <c r="AJ150" s="98">
        <f t="shared" si="75"/>
        <v>0.63</v>
      </c>
      <c r="AK150" s="5">
        <f>'[1]资源-钻石'!$N149*求节点(武将数量星级阶位验证!$CP$41:$CP$72,武将数量星级阶位验证!$CS$41:$CS$72,节奏总纲!R149)</f>
        <v>33206398.809454005</v>
      </c>
      <c r="AO150" s="5">
        <v>12</v>
      </c>
      <c r="AP150" s="14">
        <f>基础状态预期!D160</f>
        <v>58.701446767877648</v>
      </c>
      <c r="AQ150" s="14">
        <f>(求节点(其他调用!$B$4:$B$163,其他调用!$F$4:$F$163,$AP150))*求节点(武将数量星级阶位验证!$CP$41:$CP$72,武将数量星级阶位验证!$CT$41:$CT$72,武将数量星级阶位验证!AS150)</f>
        <v>453782.44012968009</v>
      </c>
      <c r="AR150" s="14">
        <f>IF(武将升级!Y147="",0,求节点($AK$5:$AK$164,$AJ$5:$AJ$164,AQ$7)*B$5*武将升级!Y147)</f>
        <v>0</v>
      </c>
      <c r="AS150" s="14">
        <f>IF(武将升级!Z147="",0,求节点($AK$5:$AK$164,$AJ$5:$AJ$164,$AQ150)*C$5*武将升级!Z147)</f>
        <v>0</v>
      </c>
      <c r="AT150" s="14">
        <f>IF(武将升级!AA147="",0,求节点($AK$5:$AK$164,$AJ$5:$AJ$164,$AQ150)*D$5*武将升级!AA147)</f>
        <v>0</v>
      </c>
      <c r="AU150" s="14">
        <f>IF(武将升级!AB147="",0,求节点($AK$5:$AK$164,$AJ$5:$AJ$164,$AQ150)*E$5*武将升级!AB147)</f>
        <v>2322.5769162584202</v>
      </c>
      <c r="AV150" s="14">
        <f>IF(武将升级!AC147="",0,求节点($AK$5:$AK$164,$AJ$5:$AJ$164,$AQ150)*F$5*武将升级!AC147)</f>
        <v>2322.5769162584202</v>
      </c>
      <c r="AW150" s="8">
        <f>SUMPRODUCT(AR150:AV150,基础状态预期!F160:J160)/SUM(基础状态预期!F160:J160)</f>
        <v>2322.5769162584202</v>
      </c>
      <c r="BA150" s="29">
        <v>90</v>
      </c>
      <c r="BB150" s="29">
        <f t="shared" si="77"/>
        <v>3887.0999999999995</v>
      </c>
      <c r="BC150" s="56">
        <f>(BB150-BB149)*INDEX([2]大r将兵属性验证!$W$7:$W$166+[2]大r将兵属性验证!$X$7:$X$166,BA150,1)+BC149</f>
        <v>12934446139.173018</v>
      </c>
    </row>
    <row r="151" spans="34:55" x14ac:dyDescent="0.15">
      <c r="AH151" s="87">
        <v>5.0000000000000096E-3</v>
      </c>
      <c r="AI151" s="4">
        <v>147</v>
      </c>
      <c r="AJ151" s="98">
        <f t="shared" si="75"/>
        <v>0.63</v>
      </c>
      <c r="AK151" s="5">
        <f>'[1]资源-钻石'!$N150*求节点(武将数量星级阶位验证!$CP$41:$CP$72,武将数量星级阶位验证!$CS$41:$CS$72,节奏总纲!R150)</f>
        <v>35241738.843676642</v>
      </c>
      <c r="AO151" s="5">
        <v>13</v>
      </c>
      <c r="AP151" s="14">
        <f>基础状态预期!D161</f>
        <v>64.399012521055653</v>
      </c>
      <c r="AQ151" s="14">
        <f>(求节点(其他调用!$B$4:$B$163,其他调用!$F$4:$F$163,$AP151))*求节点(武将数量星级阶位验证!$CP$41:$CP$72,武将数量星级阶位验证!$CT$41:$CT$72,武将数量星级阶位验证!AS151)</f>
        <v>629809.0656779689</v>
      </c>
      <c r="AR151" s="14">
        <f>IF(武将升级!Y148="",0,求节点($AK$5:$AK$164,$AJ$5:$AJ$164,AQ$7)*B$5*武将升级!Y148)</f>
        <v>0</v>
      </c>
      <c r="AS151" s="14">
        <f>IF(武将升级!Z148="",0,求节点($AK$5:$AK$164,$AJ$5:$AJ$164,$AQ151)*C$5*武将升级!Z148)</f>
        <v>0</v>
      </c>
      <c r="AT151" s="14">
        <f>IF(武将升级!AA148="",0,求节点($AK$5:$AK$164,$AJ$5:$AJ$164,$AQ151)*D$5*武将升级!AA148)</f>
        <v>0</v>
      </c>
      <c r="AU151" s="14">
        <f>IF(武将升级!AB148="",0,求节点($AK$5:$AK$164,$AJ$5:$AJ$164,$AQ151)*E$5*武将升级!AB148)</f>
        <v>2919.3826732959033</v>
      </c>
      <c r="AV151" s="14">
        <f>IF(武将升级!AC148="",0,求节点($AK$5:$AK$164,$AJ$5:$AJ$164,$AQ151)*F$5*武将升级!AC148)</f>
        <v>2919.3826732959033</v>
      </c>
      <c r="AW151" s="8">
        <f>SUMPRODUCT(AR151:AV151,基础状态预期!F161:J161)/SUM(基础状态预期!F161:J161)</f>
        <v>2919.3826732959037</v>
      </c>
      <c r="BA151" s="29">
        <v>100</v>
      </c>
      <c r="BB151" s="29">
        <f t="shared" si="77"/>
        <v>4265.1000000000004</v>
      </c>
      <c r="BC151" s="56">
        <f>(BB151-BB150)*INDEX([2]大r将兵属性验证!$W$7:$W$166+[2]大r将兵属性验证!$X$7:$X$166,BA151,1)+BC150</f>
        <v>20888616894.448208</v>
      </c>
    </row>
    <row r="152" spans="34:55" x14ac:dyDescent="0.15">
      <c r="AH152" s="87">
        <v>5.0000000000000096E-3</v>
      </c>
      <c r="AI152" s="4">
        <v>148</v>
      </c>
      <c r="AJ152" s="98">
        <f t="shared" si="75"/>
        <v>0.63</v>
      </c>
      <c r="AK152" s="5">
        <f>'[1]资源-钻石'!$N151*求节点(武将数量星级阶位验证!$CP$41:$CP$72,武将数量星级阶位验证!$CS$41:$CS$72,节奏总纲!R151)</f>
        <v>37572934.691019826</v>
      </c>
      <c r="AO152" s="5">
        <v>14</v>
      </c>
      <c r="AP152" s="14">
        <f>基础状态预期!D162</f>
        <v>68.627579426319684</v>
      </c>
      <c r="AQ152" s="14">
        <f>(求节点(其他调用!$B$4:$B$163,其他调用!$F$4:$F$163,$AP152))*求节点(武将数量星级阶位验证!$CP$41:$CP$72,武将数量星级阶位验证!$CT$41:$CT$72,武将数量星级阶位验证!AS152)</f>
        <v>796908.26934391365</v>
      </c>
      <c r="AR152" s="14">
        <f>IF(武将升级!Y149="",0,求节点($AK$5:$AK$164,$AJ$5:$AJ$164,AQ$7)*B$5*武将升级!Y149)</f>
        <v>0</v>
      </c>
      <c r="AS152" s="14">
        <f>IF(武将升级!Z149="",0,求节点($AK$5:$AK$164,$AJ$5:$AJ$164,$AQ152)*C$5*武将升级!Z149)</f>
        <v>0</v>
      </c>
      <c r="AT152" s="14">
        <f>IF(武将升级!AA149="",0,求节点($AK$5:$AK$164,$AJ$5:$AJ$164,$AQ152)*D$5*武将升级!AA149)</f>
        <v>0</v>
      </c>
      <c r="AU152" s="14">
        <f>IF(武将升级!AB149="",0,求节点($AK$5:$AK$164,$AJ$5:$AJ$164,$AQ152)*E$5*武将升级!AB149)</f>
        <v>3079.222502314884</v>
      </c>
      <c r="AV152" s="14">
        <f>IF(武将升级!AC149="",0,求节点($AK$5:$AK$164,$AJ$5:$AJ$164,$AQ152)*F$5*武将升级!AC149)</f>
        <v>3079.222502314884</v>
      </c>
      <c r="AW152" s="8">
        <f>SUMPRODUCT(AR152:AV152,基础状态预期!F162:J162)/SUM(基础状态预期!F162:J162)</f>
        <v>3079.222502314884</v>
      </c>
      <c r="BA152" s="29">
        <v>110</v>
      </c>
      <c r="BB152" s="29">
        <f t="shared" si="77"/>
        <v>4643.0999999999995</v>
      </c>
      <c r="BC152" s="56">
        <f>(BB152-BB151)*INDEX([2]大r将兵属性验证!$W$7:$W$166+[2]大r将兵属性验证!$X$7:$X$166,BA152,1)+BC151</f>
        <v>30178018308.416901</v>
      </c>
    </row>
    <row r="153" spans="34:55" x14ac:dyDescent="0.15">
      <c r="AH153" s="87">
        <v>5.0000000000000096E-3</v>
      </c>
      <c r="AI153" s="4">
        <v>149</v>
      </c>
      <c r="AJ153" s="98">
        <f t="shared" si="75"/>
        <v>0.63</v>
      </c>
      <c r="AK153" s="5">
        <f>'[1]资源-钻石'!$N152*求节点(武将数量星级阶位验证!$CP$41:$CP$72,武将数量星级阶位验证!$CS$41:$CS$72,节奏总纲!R152)</f>
        <v>40096369.849047944</v>
      </c>
      <c r="AO153" s="5">
        <v>15</v>
      </c>
      <c r="AP153" s="14">
        <f>基础状态预期!D163</f>
        <v>71.882008108111634</v>
      </c>
      <c r="AQ153" s="14">
        <f>(求节点(其他调用!$B$4:$B$163,其他调用!$F$4:$F$163,$AP153))*求节点(武将数量星级阶位验证!$CP$41:$CP$72,武将数量星级阶位验证!$CT$41:$CT$72,武将数量星级阶位验证!AS153)</f>
        <v>957412.05919722212</v>
      </c>
      <c r="AR153" s="14">
        <f>IF(武将升级!Y150="",0,求节点($AK$5:$AK$164,$AJ$5:$AJ$164,AQ$7)*B$5*武将升级!Y150)</f>
        <v>0</v>
      </c>
      <c r="AS153" s="14">
        <f>IF(武将升级!Z150="",0,求节点($AK$5:$AK$164,$AJ$5:$AJ$164,$AQ153)*C$5*武将升级!Z150)</f>
        <v>0</v>
      </c>
      <c r="AT153" s="14">
        <f>IF(武将升级!AA150="",0,求节点($AK$5:$AK$164,$AJ$5:$AJ$164,$AQ153)*D$5*武将升级!AA150)</f>
        <v>0</v>
      </c>
      <c r="AU153" s="14">
        <f>IF(武将升级!AB150="",0,求节点($AK$5:$AK$164,$AJ$5:$AJ$164,$AQ153)*E$5*武将升级!AB150)</f>
        <v>3202.2399064866195</v>
      </c>
      <c r="AV153" s="14">
        <f>IF(武将升级!AC150="",0,求节点($AK$5:$AK$164,$AJ$5:$AJ$164,$AQ153)*F$5*武将升级!AC150)</f>
        <v>3202.2399064866195</v>
      </c>
      <c r="AW153" s="8">
        <f>SUMPRODUCT(AR153:AV153,基础状态预期!F163:J163)/SUM(基础状态预期!F163:J163)</f>
        <v>3202.239906486619</v>
      </c>
      <c r="BA153" s="29">
        <v>120</v>
      </c>
      <c r="BB153" s="29">
        <f t="shared" si="77"/>
        <v>5021.1000000000004</v>
      </c>
      <c r="BC153" s="56">
        <f>(BB153-BB152)*INDEX([2]大r将兵属性验证!$W$7:$W$166+[2]大r将兵属性验证!$X$7:$X$166,BA153,1)+BC152</f>
        <v>41833910537.682327</v>
      </c>
    </row>
    <row r="154" spans="34:55" x14ac:dyDescent="0.15">
      <c r="AH154" s="87">
        <v>5.0000000000000096E-3</v>
      </c>
      <c r="AI154" s="4">
        <v>150</v>
      </c>
      <c r="AJ154" s="98">
        <f t="shared" si="75"/>
        <v>0.63</v>
      </c>
      <c r="AK154" s="5">
        <f>'[1]资源-钻石'!$N153*求节点(武将数量星级阶位验证!$CP$41:$CP$72,武将数量星级阶位验证!$CS$41:$CS$72,节奏总纲!R153)</f>
        <v>42774547.584825344</v>
      </c>
      <c r="AO154" s="5">
        <v>16</v>
      </c>
      <c r="AP154" s="14">
        <f>基础状态预期!D164</f>
        <v>74.493385467679886</v>
      </c>
      <c r="AQ154" s="14">
        <f>(求节点(其他调用!$B$4:$B$163,其他调用!$F$4:$F$163,$AP154))*求节点(武将数量星级阶位验证!$CP$41:$CP$72,武将数量星级阶位验证!$CT$41:$CT$72,武将数量星级阶位验证!AS154)</f>
        <v>1113938.0115476616</v>
      </c>
      <c r="AR154" s="14">
        <f>IF(武将升级!Y151="",0,求节点($AK$5:$AK$164,$AJ$5:$AJ$164,AQ$7)*B$5*武将升级!Y151)</f>
        <v>0</v>
      </c>
      <c r="AS154" s="14">
        <f>IF(武将升级!Z151="",0,求节点($AK$5:$AK$164,$AJ$5:$AJ$164,$AQ154)*C$5*武将升级!Z151)</f>
        <v>0</v>
      </c>
      <c r="AT154" s="14">
        <f>IF(武将升级!AA151="",0,求节点($AK$5:$AK$164,$AJ$5:$AJ$164,$AQ154)*D$5*武将升级!AA151)</f>
        <v>0</v>
      </c>
      <c r="AU154" s="14">
        <f>IF(武将升级!AB151="",0,求节点($AK$5:$AK$164,$AJ$5:$AJ$164,$AQ154)*E$5*武将升级!AB151)</f>
        <v>3300.9499706782995</v>
      </c>
      <c r="AV154" s="14">
        <f>IF(武将升级!AC151="",0,求节点($AK$5:$AK$164,$AJ$5:$AJ$164,$AQ154)*F$5*武将升级!AC151)</f>
        <v>3300.9499706782995</v>
      </c>
      <c r="AW154" s="8">
        <f>SUMPRODUCT(AR154:AV154,基础状态预期!F164:J164)/SUM(基础状态预期!F164:J164)</f>
        <v>3300.9499706782995</v>
      </c>
      <c r="BA154" s="29">
        <v>130</v>
      </c>
      <c r="BB154" s="29">
        <f t="shared" si="77"/>
        <v>5399.0999999999995</v>
      </c>
      <c r="BC154" s="56">
        <f>(BB154-BB153)*INDEX([2]大r将兵属性验证!$W$7:$W$166+[2]大r将兵属性验证!$X$7:$X$166,BA154,1)+BC153</f>
        <v>56594762348.843719</v>
      </c>
    </row>
    <row r="155" spans="34:55" x14ac:dyDescent="0.15">
      <c r="AH155" s="87">
        <v>5.0000000000000096E-3</v>
      </c>
      <c r="AI155" s="4">
        <v>151</v>
      </c>
      <c r="AJ155" s="98">
        <f t="shared" si="75"/>
        <v>0.63</v>
      </c>
      <c r="AK155" s="5">
        <f>'[1]资源-钻石'!$N154*求节点(武将数量星级阶位验证!$CP$41:$CP$72,武将数量星级阶位验证!$CS$41:$CS$72,节奏总纲!R154)</f>
        <v>45639482.944198601</v>
      </c>
      <c r="AO155" s="5">
        <v>17</v>
      </c>
      <c r="AP155" s="14">
        <f>基础状态预期!D165</f>
        <v>77.332919927503724</v>
      </c>
      <c r="AQ155" s="14">
        <f>(求节点(其他调用!$B$4:$B$163,其他调用!$F$4:$F$163,$AP155))*求节点(武将数量星级阶位验证!$CP$41:$CP$72,武将数量星级阶位验证!$CT$41:$CT$72,武将数量星级阶位验证!AS155)</f>
        <v>1299766.9581740189</v>
      </c>
      <c r="AR155" s="14">
        <f>IF(武将升级!Y152="",0,求节点($AK$5:$AK$164,$AJ$5:$AJ$164,AQ$7)*B$5*武将升级!Y152)</f>
        <v>0</v>
      </c>
      <c r="AS155" s="14">
        <f>IF(武将升级!Z152="",0,求节点($AK$5:$AK$164,$AJ$5:$AJ$164,$AQ155)*C$5*武将升级!Z152)</f>
        <v>0</v>
      </c>
      <c r="AT155" s="14">
        <f>IF(武将升级!AA152="",0,求节点($AK$5:$AK$164,$AJ$5:$AJ$164,$AQ155)*D$5*武将升级!AA152)</f>
        <v>0</v>
      </c>
      <c r="AU155" s="14">
        <f>IF(武将升级!AB152="",0,求节点($AK$5:$AK$164,$AJ$5:$AJ$164,$AQ155)*E$5*武将升级!AB152)</f>
        <v>0</v>
      </c>
      <c r="AV155" s="14">
        <f>IF(武将升级!AC152="",0,求节点($AK$5:$AK$164,$AJ$5:$AJ$164,$AQ155)*F$5*武将升级!AC152)</f>
        <v>3408.2843732596407</v>
      </c>
      <c r="AW155" s="8">
        <f>SUMPRODUCT(AR155:AV155,基础状态预期!F165:J165)/SUM(基础状态预期!F165:J165)</f>
        <v>3408.2843732596407</v>
      </c>
      <c r="BA155" s="29">
        <v>140</v>
      </c>
      <c r="BB155" s="29">
        <f t="shared" si="77"/>
        <v>5777.1</v>
      </c>
      <c r="BC155" s="56">
        <f>(BB155-BB154)*INDEX([2]大r将兵属性验证!$W$7:$W$166+[2]大r将兵属性验证!$X$7:$X$166,BA155,1)+BC154</f>
        <v>74689518818.022308</v>
      </c>
    </row>
    <row r="156" spans="34:55" x14ac:dyDescent="0.15">
      <c r="AH156" s="87">
        <v>5.0000000000000096E-3</v>
      </c>
      <c r="AI156" s="4">
        <v>152</v>
      </c>
      <c r="AJ156" s="98">
        <f t="shared" si="75"/>
        <v>0.63</v>
      </c>
      <c r="AK156" s="5">
        <f>'[1]资源-钻石'!$N155*求节点(武将数量星级阶位验证!$CP$41:$CP$72,武将数量星级阶位验证!$CS$41:$CS$72,节奏总纲!R155)</f>
        <v>48881438.942672096</v>
      </c>
      <c r="AO156" s="5">
        <v>18</v>
      </c>
      <c r="AP156" s="14">
        <f>基础状态预期!D166</f>
        <v>79.813360188853366</v>
      </c>
      <c r="AQ156" s="14">
        <f>(求节点(其他调用!$B$4:$B$163,其他调用!$F$4:$F$163,$AP156))*求节点(武将数量星级阶位验证!$CP$41:$CP$72,武将数量星级阶位验证!$CT$41:$CT$72,武将数量星级阶位验证!AS156)</f>
        <v>1485753.4459940281</v>
      </c>
      <c r="AR156" s="14">
        <f>IF(武将升级!Y153="",0,求节点($AK$5:$AK$164,$AJ$5:$AJ$164,AQ$7)*B$5*武将升级!Y153)</f>
        <v>0</v>
      </c>
      <c r="AS156" s="14">
        <f>IF(武将升级!Z153="",0,求节点($AK$5:$AK$164,$AJ$5:$AJ$164,$AQ156)*C$5*武将升级!Z153)</f>
        <v>0</v>
      </c>
      <c r="AT156" s="14">
        <f>IF(武将升级!AA153="",0,求节点($AK$5:$AK$164,$AJ$5:$AJ$164,$AQ156)*D$5*武将升级!AA153)</f>
        <v>0</v>
      </c>
      <c r="AU156" s="14">
        <f>IF(武将升级!AB153="",0,求节点($AK$5:$AK$164,$AJ$5:$AJ$164,$AQ156)*E$5*武将升级!AB153)</f>
        <v>0</v>
      </c>
      <c r="AV156" s="14">
        <f>IF(武将升级!AC153="",0,求节点($AK$5:$AK$164,$AJ$5:$AJ$164,$AQ156)*F$5*武将升级!AC153)</f>
        <v>3502.0450151386576</v>
      </c>
      <c r="AW156" s="8">
        <f>SUMPRODUCT(AR156:AV156,基础状态预期!F166:J166)/SUM(基础状态预期!F166:J166)</f>
        <v>3502.0450151386576</v>
      </c>
      <c r="BA156" s="29">
        <v>150</v>
      </c>
      <c r="BB156" s="29">
        <f t="shared" si="77"/>
        <v>6147.5280744209795</v>
      </c>
      <c r="BC156" s="56">
        <f>(BB156-BB155)*INDEX([2]大r将兵属性验证!$W$7:$W$166+[2]大r将兵属性验证!$X$7:$X$166,BA156,1)+BC155</f>
        <v>96465930306.462067</v>
      </c>
    </row>
    <row r="157" spans="34:55" x14ac:dyDescent="0.15">
      <c r="AH157" s="87">
        <v>5.0000000000000096E-3</v>
      </c>
      <c r="AI157" s="4">
        <v>153</v>
      </c>
      <c r="AJ157" s="98">
        <f t="shared" si="75"/>
        <v>0.63</v>
      </c>
      <c r="AK157" s="5">
        <f>'[1]资源-钻石'!$N156*求节点(武将数量星级阶位验证!$CP$41:$CP$72,武将数量星级阶位验证!$CS$41:$CS$72,节奏总纲!R156)</f>
        <v>52604890.92805136</v>
      </c>
      <c r="AO157" s="5">
        <v>19</v>
      </c>
      <c r="AP157" s="14">
        <f>基础状态预期!D167</f>
        <v>81.919202803497143</v>
      </c>
      <c r="AQ157" s="14">
        <f>(求节点(其他调用!$B$4:$B$163,其他调用!$F$4:$F$163,$AP157))*求节点(武将数量星级阶位验证!$CP$41:$CP$72,武将数量星级阶位验证!$CT$41:$CT$72,武将数量星级阶位验证!AS157)</f>
        <v>1661691.656135967</v>
      </c>
      <c r="AR157" s="14">
        <f>IF(武将升级!Y154="",0,求节点($AK$5:$AK$164,$AJ$5:$AJ$164,AQ$7)*B$5*武将升级!Y154)</f>
        <v>0</v>
      </c>
      <c r="AS157" s="14">
        <f>IF(武将升级!Z154="",0,求节点($AK$5:$AK$164,$AJ$5:$AJ$164,$AQ157)*C$5*武将升级!Z154)</f>
        <v>0</v>
      </c>
      <c r="AT157" s="14">
        <f>IF(武将升级!AA154="",0,求节点($AK$5:$AK$164,$AJ$5:$AJ$164,$AQ157)*D$5*武将升级!AA154)</f>
        <v>0</v>
      </c>
      <c r="AU157" s="14">
        <f>IF(武将升级!AB154="",0,求节点($AK$5:$AK$164,$AJ$5:$AJ$164,$AQ157)*E$5*武将升级!AB154)</f>
        <v>0</v>
      </c>
      <c r="AV157" s="14">
        <f>IF(武将升级!AC154="",0,求节点($AK$5:$AK$164,$AJ$5:$AJ$164,$AQ157)*F$5*武将升级!AC154)</f>
        <v>3581.6458659721916</v>
      </c>
      <c r="AW157" s="8">
        <f>SUMPRODUCT(AR157:AV157,基础状态预期!F167:J167)/SUM(基础状态预期!F167:J167)</f>
        <v>3581.6458659721916</v>
      </c>
      <c r="BA157" s="29">
        <v>160</v>
      </c>
      <c r="BB157" s="29">
        <f t="shared" si="77"/>
        <v>6155.1000000000013</v>
      </c>
      <c r="BC157" s="56">
        <f>(BB157-BB156)*INDEX([2]大r将兵属性验证!$W$7:$W$166+[2]大r将兵属性验证!$X$7:$X$166,BA157,1)+BC156</f>
        <v>96958209748.828934</v>
      </c>
    </row>
    <row r="158" spans="34:55" x14ac:dyDescent="0.15">
      <c r="AH158" s="87">
        <v>5.0000000000000096E-3</v>
      </c>
      <c r="AI158" s="4">
        <v>154</v>
      </c>
      <c r="AJ158" s="98">
        <f t="shared" si="75"/>
        <v>0.63</v>
      </c>
      <c r="AK158" s="5">
        <f>'[1]资源-钻石'!$N157*求节点(武将数量星级阶位验证!$CP$41:$CP$72,武将数量星级阶位验证!$CS$41:$CS$72,节奏总纲!R157)</f>
        <v>64059826.222182736</v>
      </c>
      <c r="AO158" s="5">
        <v>20</v>
      </c>
      <c r="AP158" s="14">
        <f>基础状态预期!D168</f>
        <v>83.738783536778797</v>
      </c>
      <c r="AQ158" s="14">
        <f>(求节点(其他调用!$B$4:$B$163,其他调用!$F$4:$F$163,$AP158))*求节点(武将数量星级阶位验证!$CP$41:$CP$72,武将数量星级阶位验证!$CT$41:$CT$72,武将数量星级阶位验证!AS158)</f>
        <v>1837824.7695000034</v>
      </c>
      <c r="AR158" s="14">
        <f>IF(武将升级!Y155="",0,求节点($AK$5:$AK$164,$AJ$5:$AJ$164,AQ$7)*B$5*武将升级!Y155)</f>
        <v>0</v>
      </c>
      <c r="AS158" s="14">
        <f>IF(武将升级!Z155="",0,求节点($AK$5:$AK$164,$AJ$5:$AJ$164,$AQ158)*C$5*武将升级!Z155)</f>
        <v>0</v>
      </c>
      <c r="AT158" s="14">
        <f>IF(武将升级!AA155="",0,求节点($AK$5:$AK$164,$AJ$5:$AJ$164,$AQ158)*D$5*武将升级!AA155)</f>
        <v>0</v>
      </c>
      <c r="AU158" s="14">
        <f>IF(武将升级!AB155="",0,求节点($AK$5:$AK$164,$AJ$5:$AJ$164,$AQ158)*E$5*武将升级!AB155)</f>
        <v>0</v>
      </c>
      <c r="AV158" s="14">
        <f>IF(武将升级!AC155="",0,求节点($AK$5:$AK$164,$AJ$5:$AJ$164,$AQ158)*F$5*武将升级!AC155)</f>
        <v>3650.4260176902385</v>
      </c>
      <c r="AW158" s="8">
        <f>SUMPRODUCT(AR158:AV158,基础状态预期!F168:J168)/SUM(基础状态预期!F168:J168)</f>
        <v>3650.4260176902385</v>
      </c>
    </row>
    <row r="159" spans="34:55" x14ac:dyDescent="0.15">
      <c r="AH159" s="87">
        <v>5.0000000000000096E-3</v>
      </c>
      <c r="AI159" s="4">
        <v>155</v>
      </c>
      <c r="AJ159" s="98">
        <f t="shared" si="75"/>
        <v>0.63</v>
      </c>
      <c r="AK159" s="5">
        <f>'[1]资源-钻石'!$N158*求节点(武将数量星级阶位验证!$CP$41:$CP$72,武将数量星级阶位验证!$CS$41:$CS$72,节奏总纲!R158)</f>
        <v>82440611.254153177</v>
      </c>
      <c r="AO159" s="5">
        <v>21</v>
      </c>
      <c r="AP159" s="14">
        <f>基础状态预期!D169</f>
        <v>86.045919706798657</v>
      </c>
      <c r="AQ159" s="14">
        <f>(求节点(其他调用!$B$4:$B$163,其他调用!$F$4:$F$163,$AP159))*求节点(武将数量星级阶位验证!$CP$41:$CP$72,武将数量星级阶位验证!$CT$41:$CT$72,武将数量星级阶位验证!AS159)</f>
        <v>2091101.5724724415</v>
      </c>
      <c r="AR159" s="14">
        <f>IF(武将升级!Y156="",0,求节点($AK$5:$AK$164,$AJ$5:$AJ$164,AQ$7)*B$5*武将升级!Y156)</f>
        <v>0</v>
      </c>
      <c r="AS159" s="14">
        <f>IF(武将升级!Z156="",0,求节点($AK$5:$AK$164,$AJ$5:$AJ$164,$AQ159)*C$5*武将升级!Z156)</f>
        <v>0</v>
      </c>
      <c r="AT159" s="14">
        <f>IF(武将升级!AA156="",0,求节点($AK$5:$AK$164,$AJ$5:$AJ$164,$AQ159)*D$5*武将升级!AA156)</f>
        <v>0</v>
      </c>
      <c r="AU159" s="14">
        <f>IF(武将升级!AB156="",0,求节点($AK$5:$AK$164,$AJ$5:$AJ$164,$AQ159)*E$5*武将升级!AB156)</f>
        <v>0</v>
      </c>
      <c r="AV159" s="14">
        <f>IF(武将升级!AC156="",0,求节点($AK$5:$AK$164,$AJ$5:$AJ$164,$AQ159)*F$5*武将升级!AC156)</f>
        <v>3737.635764916989</v>
      </c>
      <c r="AW159" s="8">
        <f>SUMPRODUCT(AR159:AV159,基础状态预期!F169:J169)/SUM(基础状态预期!F169:J169)</f>
        <v>3737.635764916989</v>
      </c>
    </row>
    <row r="160" spans="34:55" x14ac:dyDescent="0.15">
      <c r="AH160" s="87">
        <v>5.0000000000000096E-3</v>
      </c>
      <c r="AI160" s="4">
        <v>156</v>
      </c>
      <c r="AJ160" s="98">
        <f t="shared" si="75"/>
        <v>0.63</v>
      </c>
      <c r="AK160" s="5">
        <f>'[1]资源-钻石'!$N159*求节点(武将数量星级阶位验证!$CP$41:$CP$72,武将数量星级阶位验证!$CS$41:$CS$72,节奏总纲!R159)</f>
        <v>92461465.143516645</v>
      </c>
      <c r="AO160" s="5">
        <v>22</v>
      </c>
      <c r="AP160" s="14">
        <f>基础状态预期!D170</f>
        <v>90.288435080379244</v>
      </c>
      <c r="AQ160" s="14">
        <f>(求节点(其他调用!$B$4:$B$163,其他调用!$F$4:$F$163,$AP160))*求节点(武将数量星级阶位验证!$CP$41:$CP$72,武将数量星级阶位验证!$CT$41:$CT$72,武将数量星级阶位验证!AS160)</f>
        <v>2575466.2254759958</v>
      </c>
      <c r="AR160" s="14">
        <f>IF(武将升级!Y157="",0,求节点($AK$5:$AK$164,$AJ$5:$AJ$164,AQ$7)*B$5*武将升级!Y157)</f>
        <v>0</v>
      </c>
      <c r="AS160" s="14">
        <f>IF(武将升级!Z157="",0,求节点($AK$5:$AK$164,$AJ$5:$AJ$164,$AQ160)*C$5*武将升级!Z157)</f>
        <v>0</v>
      </c>
      <c r="AT160" s="14">
        <f>IF(武将升级!AA157="",0,求节点($AK$5:$AK$164,$AJ$5:$AJ$164,$AQ160)*D$5*武将升级!AA157)</f>
        <v>0</v>
      </c>
      <c r="AU160" s="14">
        <f>IF(武将升级!AB157="",0,求节点($AK$5:$AK$164,$AJ$5:$AJ$164,$AQ160)*E$5*武将升级!AB157)</f>
        <v>0</v>
      </c>
      <c r="AV160" s="14">
        <f>IF(武将升级!AC157="",0,求节点($AK$5:$AK$164,$AJ$5:$AJ$164,$AQ160)*F$5*武将升级!AC157)</f>
        <v>3898.0028460383355</v>
      </c>
      <c r="AW160" s="8">
        <f>SUMPRODUCT(AR160:AV160,基础状态预期!F170:J170)/SUM(基础状态预期!F170:J170)</f>
        <v>3898.0028460383351</v>
      </c>
    </row>
    <row r="161" spans="34:49" x14ac:dyDescent="0.15">
      <c r="AH161" s="87">
        <v>5.0000000000000096E-3</v>
      </c>
      <c r="AI161" s="4">
        <v>157</v>
      </c>
      <c r="AJ161" s="98">
        <f t="shared" si="75"/>
        <v>0.63</v>
      </c>
      <c r="AK161" s="5">
        <f>'[1]资源-钻石'!$N160*求节点(武将数量星级阶位验证!$CP$41:$CP$72,武将数量星级阶位验证!$CS$41:$CS$72,节奏总纲!R160)</f>
        <v>98655731.198866189</v>
      </c>
      <c r="AO161" s="5">
        <v>23</v>
      </c>
      <c r="AP161" s="14">
        <f>基础状态预期!D171</f>
        <v>93.400072017025948</v>
      </c>
      <c r="AQ161" s="14">
        <f>(求节点(其他调用!$B$4:$B$163,其他调用!$F$4:$F$163,$AP161))*求节点(武将数量星级阶位验证!$CP$41:$CP$72,武将数量星级阶位验证!$CT$41:$CT$72,武将数量星级阶位验证!AS161)</f>
        <v>3034013.4205110259</v>
      </c>
      <c r="AR161" s="14">
        <f>IF(武将升级!Y158="",0,求节点($AK$5:$AK$164,$AJ$5:$AJ$164,AQ$7)*B$5*武将升级!Y158)</f>
        <v>0</v>
      </c>
      <c r="AS161" s="14">
        <f>IF(武将升级!Z158="",0,求节点($AK$5:$AK$164,$AJ$5:$AJ$164,$AQ161)*C$5*武将升级!Z158)</f>
        <v>0</v>
      </c>
      <c r="AT161" s="14">
        <f>IF(武将升级!AA158="",0,求节点($AK$5:$AK$164,$AJ$5:$AJ$164,$AQ161)*D$5*武将升级!AA158)</f>
        <v>0</v>
      </c>
      <c r="AU161" s="14">
        <f>IF(武将升级!AB158="",0,求节点($AK$5:$AK$164,$AJ$5:$AJ$164,$AQ161)*E$5*武将升级!AB158)</f>
        <v>0</v>
      </c>
      <c r="AV161" s="14">
        <f>IF(武将升级!AC158="",0,求节点($AK$5:$AK$164,$AJ$5:$AJ$164,$AQ161)*F$5*武将升级!AC158)</f>
        <v>4015.6227222435809</v>
      </c>
      <c r="AW161" s="8">
        <f>SUMPRODUCT(AR161:AV161,基础状态预期!F171:J171)/SUM(基础状态预期!F171:J171)</f>
        <v>4015.6227222435809</v>
      </c>
    </row>
    <row r="162" spans="34:49" x14ac:dyDescent="0.15">
      <c r="AH162" s="87">
        <v>5.0000000000000096E-3</v>
      </c>
      <c r="AI162" s="4">
        <v>158</v>
      </c>
      <c r="AJ162" s="98">
        <f t="shared" si="75"/>
        <v>0.63</v>
      </c>
      <c r="AK162" s="5">
        <f>'[1]资源-钻石'!$N161*求节点(武将数量星级阶位验证!$CP$41:$CP$72,武将数量星级阶位验证!$CS$41:$CS$72,节奏总纲!R161)</f>
        <v>105245654.49717547</v>
      </c>
      <c r="AO162" s="5">
        <v>24</v>
      </c>
      <c r="AP162" s="14">
        <f>基础状态预期!D172</f>
        <v>97.006001686863456</v>
      </c>
      <c r="AQ162" s="14">
        <f>(求节点(其他调用!$B$4:$B$163,其他调用!$F$4:$F$163,$AP162))*求节点(武将数量星级阶位验证!$CP$41:$CP$72,武将数量星级阶位验证!$CT$41:$CT$72,武将数量星级阶位验证!AS162)</f>
        <v>3698408.3801500765</v>
      </c>
      <c r="AR162" s="14">
        <f>IF(武将升级!Y159="",0,求节点($AK$5:$AK$164,$AJ$5:$AJ$164,AQ$7)*B$5*武将升级!Y159)</f>
        <v>0</v>
      </c>
      <c r="AS162" s="14">
        <f>IF(武将升级!Z159="",0,求节点($AK$5:$AK$164,$AJ$5:$AJ$164,$AQ162)*C$5*武将升级!Z159)</f>
        <v>0</v>
      </c>
      <c r="AT162" s="14">
        <f>IF(武将升级!AA159="",0,求节点($AK$5:$AK$164,$AJ$5:$AJ$164,$AQ162)*D$5*武将升级!AA159)</f>
        <v>0</v>
      </c>
      <c r="AU162" s="14">
        <f>IF(武将升级!AB159="",0,求节点($AK$5:$AK$164,$AJ$5:$AJ$164,$AQ162)*E$5*武将升级!AB159)</f>
        <v>0</v>
      </c>
      <c r="AV162" s="14">
        <f>IF(武将升级!AC159="",0,求节点($AK$5:$AK$164,$AJ$5:$AJ$164,$AQ162)*F$5*武将升级!AC159)</f>
        <v>4151.9268637634386</v>
      </c>
      <c r="AW162" s="8">
        <f>SUMPRODUCT(AR162:AV162,基础状态预期!F172:J172)/SUM(基础状态预期!F172:J172)</f>
        <v>4151.9268637634386</v>
      </c>
    </row>
    <row r="163" spans="34:49" x14ac:dyDescent="0.15">
      <c r="AH163" s="87">
        <v>5.0000000000000096E-3</v>
      </c>
      <c r="AI163" s="4">
        <v>159</v>
      </c>
      <c r="AJ163" s="98">
        <f t="shared" si="75"/>
        <v>0.63</v>
      </c>
      <c r="AK163" s="5">
        <f>'[1]资源-钻石'!$N162*求节点(武将数量星级阶位验证!$CP$41:$CP$72,武将数量星级阶位验证!$CS$41:$CS$72,节奏总纲!R162)</f>
        <v>112252357.41196166</v>
      </c>
      <c r="AO163" s="5">
        <v>25</v>
      </c>
      <c r="AP163" s="14">
        <f>基础状态预期!D173</f>
        <v>100.64473135315967</v>
      </c>
      <c r="AQ163" s="14">
        <f>(求节点(其他调用!$B$4:$B$163,其他调用!$F$4:$F$163,$AP163))*求节点(武将数量星级阶位验证!$CP$41:$CP$72,武将数量星级阶位验证!$CT$41:$CT$72,武将数量星级阶位验证!AS163)</f>
        <v>4540926.1632194817</v>
      </c>
      <c r="AR163" s="14">
        <f>IF(武将升级!Y160="",0,求节点($AK$5:$AK$164,$AJ$5:$AJ$164,AQ$7)*B$5*武将升级!Y160)</f>
        <v>0</v>
      </c>
      <c r="AS163" s="14">
        <f>IF(武将升级!Z160="",0,求节点($AK$5:$AK$164,$AJ$5:$AJ$164,$AQ163)*C$5*武将升级!Z160)</f>
        <v>0</v>
      </c>
      <c r="AT163" s="14">
        <f>IF(武将升级!AA160="",0,求节点($AK$5:$AK$164,$AJ$5:$AJ$164,$AQ163)*D$5*武将升级!AA160)</f>
        <v>0</v>
      </c>
      <c r="AU163" s="14">
        <f>IF(武将升级!AB160="",0,求节点($AK$5:$AK$164,$AJ$5:$AJ$164,$AQ163)*E$5*武将升级!AB160)</f>
        <v>0</v>
      </c>
      <c r="AV163" s="14">
        <f>IF(武将升级!AC160="",0,求节点($AK$5:$AK$164,$AJ$5:$AJ$164,$AQ163)*F$5*武将升级!AC160)</f>
        <v>4289.4708451494362</v>
      </c>
      <c r="AW163" s="8">
        <f>SUMPRODUCT(AR163:AV163,基础状态预期!F173:J173)/SUM(基础状态预期!F173:J173)</f>
        <v>4289.4708451494362</v>
      </c>
    </row>
    <row r="164" spans="34:49" x14ac:dyDescent="0.15">
      <c r="AH164" s="87">
        <v>5.0000000000000096E-3</v>
      </c>
      <c r="AI164" s="4">
        <v>160</v>
      </c>
      <c r="AJ164" s="98">
        <f t="shared" si="75"/>
        <v>0.63</v>
      </c>
      <c r="AK164" s="5">
        <f>'[1]资源-钻石'!$N163*求节点(武将数量星级阶位验证!$CP$41:$CP$72,武将数量星级阶位验证!$CS$41:$CS$72,节奏总纲!R163)</f>
        <v>119772054.29380295</v>
      </c>
      <c r="AO164" s="5">
        <v>26</v>
      </c>
      <c r="AP164" s="14">
        <f>基础状态预期!D174</f>
        <v>104.30731379164318</v>
      </c>
      <c r="AQ164" s="14">
        <f>(求节点(其他调用!$B$4:$B$163,其他调用!$F$4:$F$163,$AP164))*求节点(武将数量星级阶位验证!$CP$41:$CP$72,武将数量星级阶位验证!$CT$41:$CT$72,武将数量星级阶位验证!AS164)</f>
        <v>5541331.4338588137</v>
      </c>
      <c r="AR164" s="14">
        <f>IF(武将升级!Y161="",0,求节点($AK$5:$AK$164,$AJ$5:$AJ$164,AQ$7)*B$5*武将升级!Y161)</f>
        <v>0</v>
      </c>
      <c r="AS164" s="14">
        <f>IF(武将升级!Z161="",0,求节点($AK$5:$AK$164,$AJ$5:$AJ$164,$AQ164)*C$5*武将升级!Z161)</f>
        <v>0</v>
      </c>
      <c r="AT164" s="14">
        <f>IF(武将升级!AA161="",0,求节点($AK$5:$AK$164,$AJ$5:$AJ$164,$AQ164)*D$5*武将升级!AA161)</f>
        <v>0</v>
      </c>
      <c r="AU164" s="14">
        <f>IF(武将升级!AB161="",0,求节点($AK$5:$AK$164,$AJ$5:$AJ$164,$AQ164)*E$5*武将升级!AB161)</f>
        <v>0</v>
      </c>
      <c r="AV164" s="14">
        <f>IF(武将升级!AC161="",0,求节点($AK$5:$AK$164,$AJ$5:$AJ$164,$AQ164)*F$5*武将升级!AC161)</f>
        <v>4427.9164613241128</v>
      </c>
      <c r="AW164" s="8">
        <f>SUMPRODUCT(AR164:AV164,基础状态预期!F174:J174)/SUM(基础状态预期!F174:J174)</f>
        <v>4427.9164613241128</v>
      </c>
    </row>
    <row r="165" spans="34:49" x14ac:dyDescent="0.15">
      <c r="AH165" s="87"/>
      <c r="AO165" s="5">
        <v>27</v>
      </c>
      <c r="AP165" s="14">
        <f>基础状态预期!D175</f>
        <v>107.78950972208385</v>
      </c>
      <c r="AQ165" s="14">
        <f>(求节点(其他调用!$B$4:$B$163,其他调用!$F$4:$F$163,$AP165))*求节点(武将数量星级阶位验证!$CP$41:$CP$72,武将数量星级阶位验证!$CT$41:$CT$72,武将数量星级阶位验证!AS165)</f>
        <v>6671473.4385192906</v>
      </c>
      <c r="AR165" s="14">
        <f>IF(武将升级!Y162="",0,求节点($AK$5:$AK$164,$AJ$5:$AJ$164,AQ$7)*B$5*武将升级!Y162)</f>
        <v>0</v>
      </c>
      <c r="AS165" s="14">
        <f>IF(武将升级!Z162="",0,求节点($AK$5:$AK$164,$AJ$5:$AJ$164,$AQ165)*C$5*武将升级!Z162)</f>
        <v>0</v>
      </c>
      <c r="AT165" s="14">
        <f>IF(武将升级!AA162="",0,求节点($AK$5:$AK$164,$AJ$5:$AJ$164,$AQ165)*D$5*武将升级!AA162)</f>
        <v>0</v>
      </c>
      <c r="AU165" s="14">
        <f>IF(武将升级!AB162="",0,求节点($AK$5:$AK$164,$AJ$5:$AJ$164,$AQ165)*E$5*武将升级!AB162)</f>
        <v>0</v>
      </c>
      <c r="AV165" s="14">
        <f>IF(武将升级!AC162="",0,求节点($AK$5:$AK$164,$AJ$5:$AJ$164,$AQ165)*F$5*武将升级!AC162)</f>
        <v>4559.5434674947692</v>
      </c>
      <c r="AW165" s="8">
        <f>SUMPRODUCT(AR165:AV165,基础状态预期!F175:J175)/SUM(基础状态预期!F175:J175)</f>
        <v>4559.5434674947692</v>
      </c>
    </row>
    <row r="166" spans="34:49" x14ac:dyDescent="0.15">
      <c r="AH166" s="87"/>
      <c r="AO166" s="5">
        <v>28</v>
      </c>
      <c r="AP166" s="14">
        <f>基础状态预期!D176</f>
        <v>111.29737083030383</v>
      </c>
      <c r="AQ166" s="14">
        <f>(求节点(其他调用!$B$4:$B$163,其他调用!$F$4:$F$163,$AP166))*求节点(武将数量星级阶位验证!$CP$41:$CP$72,武将数量星级阶位验证!$CT$41:$CT$72,武将数量星级阶位验证!AS166)</f>
        <v>8343187.882699335</v>
      </c>
      <c r="AR166" s="14">
        <f>IF(武将升级!Y163="",0,求节点($AK$5:$AK$164,$AJ$5:$AJ$164,AQ$7)*B$5*武将升级!Y163)</f>
        <v>0</v>
      </c>
      <c r="AS166" s="14">
        <f>IF(武将升级!Z163="",0,求节点($AK$5:$AK$164,$AJ$5:$AJ$164,$AQ166)*C$5*武将升级!Z163)</f>
        <v>0</v>
      </c>
      <c r="AT166" s="14">
        <f>IF(武将升级!AA163="",0,求节点($AK$5:$AK$164,$AJ$5:$AJ$164,$AQ166)*D$5*武将升级!AA163)</f>
        <v>0</v>
      </c>
      <c r="AU166" s="14">
        <f>IF(武将升级!AB163="",0,求节点($AK$5:$AK$164,$AJ$5:$AJ$164,$AQ166)*E$5*武将升级!AB163)</f>
        <v>0</v>
      </c>
      <c r="AV166" s="14">
        <f>IF(武将升级!AC163="",0,求节点($AK$5:$AK$164,$AJ$5:$AJ$164,$AQ166)*F$5*武将升级!AC163)</f>
        <v>4692.1406173854848</v>
      </c>
      <c r="AW166" s="8">
        <f>SUMPRODUCT(AR166:AV166,基础状态预期!F176:J176)/SUM(基础状态预期!F176:J176)</f>
        <v>4692.1406173854848</v>
      </c>
    </row>
    <row r="167" spans="34:49" x14ac:dyDescent="0.15">
      <c r="AH167" s="87"/>
      <c r="AO167" s="5">
        <v>29</v>
      </c>
      <c r="AP167" s="14">
        <f>基础状态预期!D177</f>
        <v>114.91888401282834</v>
      </c>
      <c r="AQ167" s="14">
        <f>(求节点(其他调用!$B$4:$B$163,其他调用!$F$4:$F$163,$AP167))*求节点(武将数量星级阶位验证!$CP$41:$CP$72,武将数量星级阶位验证!$CT$41:$CT$72,武将数量星级阶位验证!AS167)</f>
        <v>10418820.044807734</v>
      </c>
      <c r="AR167" s="14">
        <f>IF(武将升级!Y164="",0,求节点($AK$5:$AK$164,$AJ$5:$AJ$164,AQ$7)*B$5*武将升级!Y164)</f>
        <v>0</v>
      </c>
      <c r="AS167" s="14">
        <f>IF(武将升级!Z164="",0,求节点($AK$5:$AK$164,$AJ$5:$AJ$164,$AQ167)*C$5*武将升级!Z164)</f>
        <v>0</v>
      </c>
      <c r="AT167" s="14">
        <f>IF(武将升级!AA164="",0,求节点($AK$5:$AK$164,$AJ$5:$AJ$164,$AQ167)*D$5*武将升级!AA164)</f>
        <v>0</v>
      </c>
      <c r="AU167" s="14">
        <f>IF(武将升级!AB164="",0,求节点($AK$5:$AK$164,$AJ$5:$AJ$164,$AQ167)*E$5*武将升级!AB164)</f>
        <v>0</v>
      </c>
      <c r="AV167" s="14">
        <f>IF(武将升级!AC164="",0,求节点($AK$5:$AK$164,$AJ$5:$AJ$164,$AQ167)*F$5*武将升级!AC164)</f>
        <v>4829.0338156849111</v>
      </c>
      <c r="AW167" s="8">
        <f>SUMPRODUCT(AR167:AV167,基础状态预期!F177:J177)/SUM(基础状态预期!F177:J177)</f>
        <v>4829.0338156849111</v>
      </c>
    </row>
    <row r="168" spans="34:49" x14ac:dyDescent="0.15">
      <c r="AH168" s="87"/>
      <c r="AO168" s="5">
        <v>30</v>
      </c>
      <c r="AP168" s="14">
        <f>基础状态预期!D178</f>
        <v>118.4172728380062</v>
      </c>
      <c r="AQ168" s="14">
        <f>(求节点(其他调用!$B$4:$B$163,其他调用!$F$4:$F$163,$AP168))*求节点(武将数量星级阶位验证!$CP$41:$CP$72,武将数量星级阶位验证!$CT$41:$CT$72,武将数量星级阶位验证!AS168)</f>
        <v>13051728.348123774</v>
      </c>
      <c r="AR168" s="14">
        <f>IF(武将升级!Y165="",0,求节点($AK$5:$AK$164,$AJ$5:$AJ$164,AQ$7)*B$5*武将升级!Y165)</f>
        <v>0</v>
      </c>
      <c r="AS168" s="14">
        <f>IF(武将升级!Z165="",0,求节点($AK$5:$AK$164,$AJ$5:$AJ$164,$AQ168)*C$5*武将升级!Z165)</f>
        <v>0</v>
      </c>
      <c r="AT168" s="14">
        <f>IF(武将升级!AA165="",0,求节点($AK$5:$AK$164,$AJ$5:$AJ$164,$AQ168)*D$5*武将升级!AA165)</f>
        <v>0</v>
      </c>
      <c r="AU168" s="14">
        <f>IF(武将升级!AB165="",0,求节点($AK$5:$AK$164,$AJ$5:$AJ$164,$AQ168)*E$5*武将升级!AB165)</f>
        <v>0</v>
      </c>
      <c r="AV168" s="14">
        <f>IF(武将升级!AC165="",0,求节点($AK$5:$AK$164,$AJ$5:$AJ$164,$AQ168)*F$5*武将升级!AC165)</f>
        <v>4961.2729132766344</v>
      </c>
      <c r="AW168" s="8">
        <f>SUMPRODUCT(AR168:AV168,基础状态预期!F178:J178)/SUM(基础状态预期!F178:J178)</f>
        <v>4961.2729132766344</v>
      </c>
    </row>
    <row r="169" spans="34:49" x14ac:dyDescent="0.15">
      <c r="AH169" s="87"/>
      <c r="AO169" s="5">
        <v>31</v>
      </c>
      <c r="AP169" s="14">
        <f>基础状态预期!D179</f>
        <v>121.99245722798884</v>
      </c>
      <c r="AQ169" s="14">
        <f>(求节点(其他调用!$B$4:$B$163,其他调用!$F$4:$F$163,$AP169))*求节点(武将数量星级阶位验证!$CP$41:$CP$72,武将数量星级阶位验证!$CT$41:$CT$72,武将数量星级阶位验证!AS169)</f>
        <v>16260867.479265172</v>
      </c>
      <c r="AR169" s="14">
        <f>IF(武将升级!Y166="",0,求节点($AK$5:$AK$164,$AJ$5:$AJ$164,AQ$7)*B$5*武将升级!Y166)</f>
        <v>0</v>
      </c>
      <c r="AS169" s="14">
        <f>IF(武将升级!Z166="",0,求节点($AK$5:$AK$164,$AJ$5:$AJ$164,$AQ169)*C$5*武将升级!Z166)</f>
        <v>0</v>
      </c>
      <c r="AT169" s="14">
        <f>IF(武将升级!AA166="",0,求节点($AK$5:$AK$164,$AJ$5:$AJ$164,$AQ169)*D$5*武将升级!AA166)</f>
        <v>0</v>
      </c>
      <c r="AU169" s="14">
        <f>IF(武将升级!AB166="",0,求节点($AK$5:$AK$164,$AJ$5:$AJ$164,$AQ169)*E$5*武将升级!AB166)</f>
        <v>0</v>
      </c>
      <c r="AV169" s="14">
        <f>IF(武将升级!AC166="",0,求节点($AK$5:$AK$164,$AJ$5:$AJ$164,$AQ169)*F$5*武将升级!AC166)</f>
        <v>5096.4148832179781</v>
      </c>
      <c r="AW169" s="8">
        <f>SUMPRODUCT(AR169:AV169,基础状态预期!F179:J179)/SUM(基础状态预期!F179:J179)</f>
        <v>5096.4148832179781</v>
      </c>
    </row>
    <row r="170" spans="34:49" x14ac:dyDescent="0.15">
      <c r="AH170" s="87"/>
      <c r="AO170" s="5">
        <v>32</v>
      </c>
      <c r="AP170" s="14">
        <f>基础状态预期!D180</f>
        <v>125.43876546297123</v>
      </c>
      <c r="AQ170" s="14">
        <f>(求节点(其他调用!$B$4:$B$163,其他调用!$F$4:$F$163,$AP170))*求节点(武将数量星级阶位验证!$CP$41:$CP$72,武将数量星级阶位验证!$CT$41:$CT$72,武将数量星级阶位验证!AS170)</f>
        <v>20410444.636749726</v>
      </c>
      <c r="AR170" s="14">
        <f>IF(武将升级!Y167="",0,求节点($AK$5:$AK$164,$AJ$5:$AJ$164,AQ$7)*B$5*武将升级!Y167)</f>
        <v>0</v>
      </c>
      <c r="AS170" s="14">
        <f>IF(武将升级!Z167="",0,求节点($AK$5:$AK$164,$AJ$5:$AJ$164,$AQ170)*C$5*武将升级!Z167)</f>
        <v>0</v>
      </c>
      <c r="AT170" s="14">
        <f>IF(武将升级!AA167="",0,求节点($AK$5:$AK$164,$AJ$5:$AJ$164,$AQ170)*D$5*武将升级!AA167)</f>
        <v>0</v>
      </c>
      <c r="AU170" s="14">
        <f>IF(武将升级!AB167="",0,求节点($AK$5:$AK$164,$AJ$5:$AJ$164,$AQ170)*E$5*武将升级!AB167)</f>
        <v>0</v>
      </c>
      <c r="AV170" s="14">
        <f>IF(武将升级!AC167="",0,求节点($AK$5:$AK$164,$AJ$5:$AJ$164,$AQ170)*F$5*武将升级!AC167)</f>
        <v>5226.6853345003128</v>
      </c>
      <c r="AW170" s="8">
        <f>SUMPRODUCT(AR170:AV170,基础状态预期!F180:J180)/SUM(基础状态预期!F180:J180)</f>
        <v>5226.6853345003128</v>
      </c>
    </row>
    <row r="171" spans="34:49" x14ac:dyDescent="0.15">
      <c r="AH171" s="87"/>
      <c r="AO171" s="5">
        <v>33</v>
      </c>
      <c r="AP171" s="14">
        <f>基础状态预期!D181</f>
        <v>129.12105302323599</v>
      </c>
      <c r="AQ171" s="14">
        <f>(求节点(其他调用!$B$4:$B$163,其他调用!$F$4:$F$163,$AP171))*求节点(武将数量星级阶位验证!$CP$41:$CP$72,武将数量星级阶位验证!$CT$41:$CT$72,武将数量星级阶位验证!AS171)</f>
        <v>25626384.449314255</v>
      </c>
      <c r="AR171" s="14">
        <f>IF(武将升级!Y168="",0,求节点($AK$5:$AK$164,$AJ$5:$AJ$164,AQ$7)*B$5*武将升级!Y168)</f>
        <v>0</v>
      </c>
      <c r="AS171" s="14">
        <f>IF(武将升级!Z168="",0,求节点($AK$5:$AK$164,$AJ$5:$AJ$164,$AQ171)*C$5*武将升级!Z168)</f>
        <v>0</v>
      </c>
      <c r="AT171" s="14">
        <f>IF(武将升级!AA168="",0,求节点($AK$5:$AK$164,$AJ$5:$AJ$164,$AQ171)*D$5*武将升级!AA168)</f>
        <v>0</v>
      </c>
      <c r="AU171" s="14">
        <f>IF(武将升级!AB168="",0,求节点($AK$5:$AK$164,$AJ$5:$AJ$164,$AQ171)*E$5*武将升级!AB168)</f>
        <v>0</v>
      </c>
      <c r="AV171" s="14">
        <f>IF(武将升级!AC168="",0,求节点($AK$5:$AK$164,$AJ$5:$AJ$164,$AQ171)*F$5*武将升级!AC168)</f>
        <v>5365.8758042783202</v>
      </c>
      <c r="AW171" s="8">
        <f>SUMPRODUCT(AR171:AV171,基础状态预期!F181:J181)/SUM(基础状态预期!F181:J181)</f>
        <v>5365.8758042783202</v>
      </c>
    </row>
    <row r="172" spans="34:49" x14ac:dyDescent="0.15">
      <c r="AH172" s="87"/>
      <c r="AO172" s="5">
        <v>34</v>
      </c>
      <c r="AP172" s="14">
        <f>基础状态预期!D182</f>
        <v>132.61179169042359</v>
      </c>
      <c r="AQ172" s="14">
        <f>(求节点(其他调用!$B$4:$B$163,其他调用!$F$4:$F$163,$AP172))*求节点(武将数量星级阶位验证!$CP$41:$CP$72,武将数量星级阶位验证!$CT$41:$CT$72,武将数量星级阶位验证!AS172)</f>
        <v>32103995.400221802</v>
      </c>
      <c r="AR172" s="14">
        <f>IF(武将升级!Y169="",0,求节点($AK$5:$AK$164,$AJ$5:$AJ$164,AQ$7)*B$5*武将升级!Y169)</f>
        <v>0</v>
      </c>
      <c r="AS172" s="14">
        <f>IF(武将升级!Z169="",0,求节点($AK$5:$AK$164,$AJ$5:$AJ$164,$AQ172)*C$5*武将升级!Z169)</f>
        <v>0</v>
      </c>
      <c r="AT172" s="14">
        <f>IF(武将升级!AA169="",0,求节点($AK$5:$AK$164,$AJ$5:$AJ$164,$AQ172)*D$5*武将升级!AA169)</f>
        <v>0</v>
      </c>
      <c r="AU172" s="14">
        <f>IF(武将升级!AB169="",0,求节点($AK$5:$AK$164,$AJ$5:$AJ$164,$AQ172)*E$5*武将升级!AB169)</f>
        <v>0</v>
      </c>
      <c r="AV172" s="14">
        <f>IF(武将升级!AC169="",0,求节点($AK$5:$AK$164,$AJ$5:$AJ$164,$AQ172)*F$5*武将升级!AC169)</f>
        <v>5497.8257258980111</v>
      </c>
      <c r="AW172" s="8">
        <f>SUMPRODUCT(AR172:AV172,基础状态预期!F182:J182)/SUM(基础状态预期!F182:J182)</f>
        <v>5497.8257258980111</v>
      </c>
    </row>
    <row r="173" spans="34:49" x14ac:dyDescent="0.15">
      <c r="AO173" s="5">
        <v>35</v>
      </c>
      <c r="AP173" s="14">
        <f>基础状态预期!D183</f>
        <v>136.12035534953262</v>
      </c>
      <c r="AQ173" s="14">
        <f>(求节点(其他调用!$B$4:$B$163,其他调用!$F$4:$F$163,$AP173))*求节点(武将数量星级阶位验证!$CP$41:$CP$72,武将数量星级阶位验证!$CT$41:$CT$72,武将数量星级阶位验证!AS173)</f>
        <v>40199466.484438717</v>
      </c>
      <c r="AR173" s="14">
        <f>IF(武将升级!Y170="",0,求节点($AK$5:$AK$164,$AJ$5:$AJ$164,AQ$7)*B$5*武将升级!Y170)</f>
        <v>0</v>
      </c>
      <c r="AS173" s="14">
        <f>IF(武将升级!Z170="",0,求节点($AK$5:$AK$164,$AJ$5:$AJ$164,$AQ173)*C$5*武将升级!Z170)</f>
        <v>0</v>
      </c>
      <c r="AT173" s="14">
        <f>IF(武将升级!AA170="",0,求节点($AK$5:$AK$164,$AJ$5:$AJ$164,$AQ173)*D$5*武将升级!AA170)</f>
        <v>0</v>
      </c>
      <c r="AU173" s="14">
        <f>IF(武将升级!AB170="",0,求节点($AK$5:$AK$164,$AJ$5:$AJ$164,$AQ173)*E$5*武将升级!AB170)</f>
        <v>0</v>
      </c>
      <c r="AV173" s="14">
        <f>IF(武将升级!AC170="",0,求节点($AK$5:$AK$164,$AJ$5:$AJ$164,$AQ173)*F$5*武将升级!AC170)</f>
        <v>5630.4494322123319</v>
      </c>
      <c r="AW173" s="8">
        <f>SUMPRODUCT(AR173:AV173,基础状态预期!F183:J183)/SUM(基础状态预期!F183:J183)</f>
        <v>5630.4494322123319</v>
      </c>
    </row>
    <row r="174" spans="34:49" x14ac:dyDescent="0.15">
      <c r="AO174" s="5">
        <v>36</v>
      </c>
      <c r="AP174" s="14">
        <f>基础状态预期!D184</f>
        <v>139.6793621861803</v>
      </c>
      <c r="AQ174" s="14">
        <f>(求节点(其他调用!$B$4:$B$163,其他调用!$F$4:$F$163,$AP174))*求节点(武将数量星级阶位验证!$CP$41:$CP$72,武将数量星级阶位验证!$CT$41:$CT$72,武将数量星级阶位验证!AS174)</f>
        <v>50341656.066574752</v>
      </c>
      <c r="AR174" s="14">
        <f>IF(武将升级!Y171="",0,求节点($AK$5:$AK$164,$AJ$5:$AJ$164,AQ$7)*B$5*武将升级!Y171)</f>
        <v>0</v>
      </c>
      <c r="AS174" s="14">
        <f>IF(武将升级!Z171="",0,求节点($AK$5:$AK$164,$AJ$5:$AJ$164,$AQ174)*C$5*武将升级!Z171)</f>
        <v>0</v>
      </c>
      <c r="AT174" s="14">
        <f>IF(武将升级!AA171="",0,求节点($AK$5:$AK$164,$AJ$5:$AJ$164,$AQ174)*D$5*武将升级!AA171)</f>
        <v>0</v>
      </c>
      <c r="AU174" s="14">
        <f>IF(武将升级!AB171="",0,求节点($AK$5:$AK$164,$AJ$5:$AJ$164,$AQ174)*E$5*武将升级!AB171)</f>
        <v>0</v>
      </c>
      <c r="AV174" s="14">
        <f>IF(武将升级!AC171="",0,求节点($AK$5:$AK$164,$AJ$5:$AJ$164,$AQ174)*F$5*武将升级!AC171)</f>
        <v>5764.9798906376154</v>
      </c>
      <c r="AW174" s="8">
        <f>SUMPRODUCT(AR174:AV174,基础状态预期!F184:J184)/SUM(基础状态预期!F184:J184)</f>
        <v>5764.9798906376154</v>
      </c>
    </row>
    <row r="175" spans="34:49" x14ac:dyDescent="0.15">
      <c r="AO175" s="5">
        <v>37</v>
      </c>
      <c r="AP175" s="14">
        <f>基础状态预期!D185</f>
        <v>143.14123736077869</v>
      </c>
      <c r="AQ175" s="14">
        <f>(求节点(其他调用!$B$4:$B$163,其他调用!$F$4:$F$163,$AP175))*求节点(武将数量星级阶位验证!$CP$41:$CP$72,武将数量星级阶位验证!$CT$41:$CT$72,武将数量星级阶位验证!AS175)</f>
        <v>63033820.005890265</v>
      </c>
      <c r="AR175" s="14">
        <f>IF(武将升级!Y172="",0,求节点($AK$5:$AK$164,$AJ$5:$AJ$164,AQ$7)*B$5*武将升级!Y172)</f>
        <v>0</v>
      </c>
      <c r="AS175" s="14">
        <f>IF(武将升级!Z172="",0,求节点($AK$5:$AK$164,$AJ$5:$AJ$164,$AQ175)*C$5*武将升级!Z172)</f>
        <v>0</v>
      </c>
      <c r="AT175" s="14">
        <f>IF(武将升级!AA172="",0,求节点($AK$5:$AK$164,$AJ$5:$AJ$164,$AQ175)*D$5*武将升级!AA172)</f>
        <v>0</v>
      </c>
      <c r="AU175" s="14">
        <f>IF(武将升级!AB172="",0,求节点($AK$5:$AK$164,$AJ$5:$AJ$164,$AQ175)*E$5*武将升级!AB172)</f>
        <v>0</v>
      </c>
      <c r="AV175" s="14">
        <f>IF(武将升级!AC172="",0,求节点($AK$5:$AK$164,$AJ$5:$AJ$164,$AQ175)*F$5*武将升级!AC172)</f>
        <v>5895.8387722374346</v>
      </c>
      <c r="AW175" s="8">
        <f>SUMPRODUCT(AR175:AV175,基础状态预期!F185:J185)/SUM(基础状态预期!F185:J185)</f>
        <v>5895.8387722374346</v>
      </c>
    </row>
    <row r="176" spans="34:49" x14ac:dyDescent="0.15">
      <c r="AO176" s="5">
        <v>38</v>
      </c>
      <c r="AP176" s="14">
        <f>基础状态预期!D186</f>
        <v>146.75578521325724</v>
      </c>
      <c r="AQ176" s="14">
        <f>(求节点(其他调用!$B$4:$B$163,其他调用!$F$4:$F$163,$AP176))*求节点(武将数量星级阶位验证!$CP$41:$CP$72,武将数量星级阶位验证!$CT$41:$CT$72,武将数量星级阶位验证!AS176)</f>
        <v>79045407.632412851</v>
      </c>
      <c r="AR176" s="14">
        <f>IF(武将升级!Y173="",0,求节点($AK$5:$AK$164,$AJ$5:$AJ$164,AQ$7)*B$5*武将升级!Y173)</f>
        <v>0</v>
      </c>
      <c r="AS176" s="14">
        <f>IF(武将升级!Z173="",0,求节点($AK$5:$AK$164,$AJ$5:$AJ$164,$AQ176)*C$5*武将升级!Z173)</f>
        <v>0</v>
      </c>
      <c r="AT176" s="14">
        <f>IF(武将升级!AA173="",0,求节点($AK$5:$AK$164,$AJ$5:$AJ$164,$AQ176)*D$5*武将升级!AA173)</f>
        <v>0</v>
      </c>
      <c r="AU176" s="14">
        <f>IF(武将升级!AB173="",0,求节点($AK$5:$AK$164,$AJ$5:$AJ$164,$AQ176)*E$5*武将升级!AB173)</f>
        <v>0</v>
      </c>
      <c r="AV176" s="14">
        <f>IF(武将升级!AC173="",0,求节点($AK$5:$AK$164,$AJ$5:$AJ$164,$AQ176)*F$5*武将升级!AC173)</f>
        <v>6032.4686810611238</v>
      </c>
      <c r="AW176" s="8">
        <f>SUMPRODUCT(AR176:AV176,基础状态预期!F186:J186)/SUM(基础状态预期!F186:J186)</f>
        <v>6032.4686810611238</v>
      </c>
    </row>
    <row r="177" spans="41:55" x14ac:dyDescent="0.15">
      <c r="AO177" s="5">
        <v>39</v>
      </c>
      <c r="AP177" s="14">
        <f>基础状态预期!D187</f>
        <v>150.21349802228445</v>
      </c>
      <c r="AQ177" s="14">
        <f>(求节点(其他调用!$B$4:$B$163,其他调用!$F$4:$F$163,$AP177))*求节点(武将数量星级阶位验证!$CP$41:$CP$72,武将数量星级阶位验证!$CT$41:$CT$72,武将数量星级阶位验证!AS177)</f>
        <v>99159996.667202756</v>
      </c>
      <c r="AR177" s="14">
        <f>IF(武将升级!Y174="",0,求节点($AK$5:$AK$164,$AJ$5:$AJ$164,AQ$7)*B$5*武将升级!Y174)</f>
        <v>0</v>
      </c>
      <c r="AS177" s="14">
        <f>IF(武将升级!Z174="",0,求节点($AK$5:$AK$164,$AJ$5:$AJ$164,$AQ177)*C$5*武将升级!Z174)</f>
        <v>0</v>
      </c>
      <c r="AT177" s="14">
        <f>IF(武将升级!AA174="",0,求节点($AK$5:$AK$164,$AJ$5:$AJ$164,$AQ177)*D$5*武将升级!AA174)</f>
        <v>0</v>
      </c>
      <c r="AU177" s="14">
        <f>IF(武将升级!AB174="",0,求节点($AK$5:$AK$164,$AJ$5:$AJ$164,$AQ177)*E$5*武将升级!AB174)</f>
        <v>0</v>
      </c>
      <c r="AV177" s="14">
        <f>IF(武将升级!AC174="",0,求节点($AK$5:$AK$164,$AJ$5:$AJ$164,$AQ177)*F$5*武将升级!AC174)</f>
        <v>6155.1</v>
      </c>
      <c r="AW177" s="8">
        <f>SUMPRODUCT(AR177:AV177,基础状态预期!F187:J187)/SUM(基础状态预期!F187:J187)</f>
        <v>6155.1000000000013</v>
      </c>
    </row>
    <row r="178" spans="41:55" x14ac:dyDescent="0.15">
      <c r="AO178" s="5">
        <v>40</v>
      </c>
      <c r="AP178" s="14">
        <f>基础状态预期!D188</f>
        <v>152.32856849044819</v>
      </c>
      <c r="AQ178" s="14">
        <f>(求节点(其他调用!$B$4:$B$163,其他调用!$F$4:$F$163,$AP178))*求节点(武将数量星级阶位验证!$CP$41:$CP$72,武将数量星级阶位验证!$CT$41:$CT$72,武将数量星级阶位验证!AS178)</f>
        <v>124298716.01611847</v>
      </c>
      <c r="AR178" s="14">
        <f>IF(武将升级!Y175="",0,求节点($AK$5:$AK$164,$AJ$5:$AJ$164,AQ$7)*B$5*武将升级!Y175)</f>
        <v>0</v>
      </c>
      <c r="AS178" s="14">
        <f>IF(武将升级!Z175="",0,求节点($AK$5:$AK$164,$AJ$5:$AJ$164,$AQ178)*C$5*武将升级!Z175)</f>
        <v>0</v>
      </c>
      <c r="AT178" s="14">
        <f>IF(武将升级!AA175="",0,求节点($AK$5:$AK$164,$AJ$5:$AJ$164,$AQ178)*D$5*武将升级!AA175)</f>
        <v>0</v>
      </c>
      <c r="AU178" s="14">
        <f>IF(武将升级!AB175="",0,求节点($AK$5:$AK$164,$AJ$5:$AJ$164,$AQ178)*E$5*武将升级!AB175)</f>
        <v>0</v>
      </c>
      <c r="AV178" s="14">
        <f>IF(武将升级!AC175="",0,求节点($AK$5:$AK$164,$AJ$5:$AJ$164,$AQ178)*F$5*武将升级!AC175)</f>
        <v>6155.1</v>
      </c>
      <c r="AW178" s="8">
        <f>SUMPRODUCT(AR178:AV178,基础状态预期!F188:J188)/SUM(基础状态预期!F188:J188)</f>
        <v>6155.1000000000013</v>
      </c>
    </row>
    <row r="179" spans="41:55" x14ac:dyDescent="0.15">
      <c r="AO179" s="5">
        <v>41</v>
      </c>
      <c r="AP179" s="14">
        <f>基础状态预期!D189</f>
        <v>153.15627769682186</v>
      </c>
      <c r="AQ179" s="14">
        <f>(求节点(其他调用!$B$4:$B$163,其他调用!$F$4:$F$163,$AP179))*求节点(武将数量星级阶位验证!$CP$41:$CP$72,武将数量星级阶位验证!$CT$41:$CT$72,武将数量星级阶位验证!AS179)</f>
        <v>156006650.61458087</v>
      </c>
      <c r="AR179" s="14">
        <f>IF(武将升级!Y176="",0,求节点($AK$5:$AK$164,$AJ$5:$AJ$164,AQ$7)*B$5*武将升级!Y176)</f>
        <v>0</v>
      </c>
      <c r="AS179" s="14">
        <f>IF(武将升级!Z176="",0,求节点($AK$5:$AK$164,$AJ$5:$AJ$164,$AQ179)*C$5*武将升级!Z176)</f>
        <v>0</v>
      </c>
      <c r="AT179" s="14">
        <f>IF(武将升级!AA176="",0,求节点($AK$5:$AK$164,$AJ$5:$AJ$164,$AQ179)*D$5*武将升级!AA176)</f>
        <v>0</v>
      </c>
      <c r="AU179" s="14">
        <f>IF(武将升级!AB176="",0,求节点($AK$5:$AK$164,$AJ$5:$AJ$164,$AQ179)*E$5*武将升级!AB176)</f>
        <v>0</v>
      </c>
      <c r="AV179" s="14">
        <f>IF(武将升级!AC176="",0,求节点($AK$5:$AK$164,$AJ$5:$AJ$164,$AQ179)*F$5*武将升级!AC176)</f>
        <v>6155.1</v>
      </c>
      <c r="AW179" s="8">
        <f>SUMPRODUCT(AR179:AV179,基础状态预期!F189:J189)/SUM(基础状态预期!F189:J189)</f>
        <v>6155.1000000000013</v>
      </c>
    </row>
    <row r="180" spans="41:55" x14ac:dyDescent="0.15">
      <c r="AO180" s="5">
        <v>42</v>
      </c>
      <c r="AP180" s="14">
        <f>基础状态预期!D190</f>
        <v>153.85863088955028</v>
      </c>
      <c r="AQ180" s="14">
        <f>(求节点(其他调用!$B$4:$B$163,其他调用!$F$4:$F$163,$AP180))*求节点(武将数量星级阶位验证!$CP$41:$CP$72,武将数量星级阶位验证!$CT$41:$CT$72,武将数量星级阶位验证!AS180)</f>
        <v>195866344.54821965</v>
      </c>
      <c r="AR180" s="14">
        <f>IF(武将升级!Y177="",0,求节点($AK$5:$AK$164,$AJ$5:$AJ$164,AQ$7)*B$5*武将升级!Y177)</f>
        <v>0</v>
      </c>
      <c r="AS180" s="14">
        <f>IF(武将升级!Z177="",0,求节点($AK$5:$AK$164,$AJ$5:$AJ$164,$AQ180)*C$5*武将升级!Z177)</f>
        <v>0</v>
      </c>
      <c r="AT180" s="14">
        <f>IF(武将升级!AA177="",0,求节点($AK$5:$AK$164,$AJ$5:$AJ$164,$AQ180)*D$5*武将升级!AA177)</f>
        <v>0</v>
      </c>
      <c r="AU180" s="14">
        <f>IF(武将升级!AB177="",0,求节点($AK$5:$AK$164,$AJ$5:$AJ$164,$AQ180)*E$5*武将升级!AB177)</f>
        <v>0</v>
      </c>
      <c r="AV180" s="14">
        <f>IF(武将升级!AC177="",0,求节点($AK$5:$AK$164,$AJ$5:$AJ$164,$AQ180)*F$5*武将升级!AC177)</f>
        <v>6155.1</v>
      </c>
      <c r="AW180" s="8">
        <f>SUMPRODUCT(AR180:AV180,基础状态预期!F190:J190)/SUM(基础状态预期!F190:J190)</f>
        <v>6155.1000000000013</v>
      </c>
    </row>
    <row r="181" spans="41:55" x14ac:dyDescent="0.15">
      <c r="AO181" s="5">
        <v>43</v>
      </c>
    </row>
    <row r="182" spans="41:55" x14ac:dyDescent="0.15">
      <c r="AO182" s="5">
        <v>44</v>
      </c>
    </row>
    <row r="183" spans="41:55" x14ac:dyDescent="0.15">
      <c r="AO183" s="5">
        <v>45</v>
      </c>
    </row>
    <row r="184" spans="41:55" x14ac:dyDescent="0.15">
      <c r="AO184" s="5">
        <v>1</v>
      </c>
    </row>
    <row r="185" spans="41:55" x14ac:dyDescent="0.15">
      <c r="AO185" s="5">
        <v>2</v>
      </c>
      <c r="AP185" s="8" t="s">
        <v>79</v>
      </c>
      <c r="AQ185" s="8"/>
      <c r="AR185" s="173" t="s">
        <v>286</v>
      </c>
      <c r="AS185" s="173"/>
      <c r="AT185" s="173"/>
      <c r="AU185" s="173"/>
      <c r="AV185" s="173"/>
      <c r="AW185" s="173"/>
      <c r="BA185" s="35" t="s">
        <v>370</v>
      </c>
      <c r="BB185" s="29" t="s">
        <v>367</v>
      </c>
      <c r="BC185" s="51"/>
    </row>
    <row r="186" spans="41:55" x14ac:dyDescent="0.15">
      <c r="AO186" s="5">
        <v>3</v>
      </c>
      <c r="AP186" s="8" t="s">
        <v>478</v>
      </c>
      <c r="AQ186" s="50"/>
      <c r="AR186" s="19" t="s">
        <v>3</v>
      </c>
      <c r="AS186" s="19" t="s">
        <v>1</v>
      </c>
      <c r="AT186" s="19" t="s">
        <v>2</v>
      </c>
      <c r="AU186" s="19" t="s">
        <v>0</v>
      </c>
      <c r="AV186" s="19" t="s">
        <v>545</v>
      </c>
      <c r="AW186" s="8" t="s">
        <v>228</v>
      </c>
      <c r="BA186" s="32" t="s">
        <v>478</v>
      </c>
      <c r="BB186" s="29" t="s">
        <v>368</v>
      </c>
      <c r="BC186" s="29" t="s">
        <v>369</v>
      </c>
    </row>
    <row r="187" spans="41:55" x14ac:dyDescent="0.15">
      <c r="AO187" s="5">
        <v>4</v>
      </c>
      <c r="AP187" s="14">
        <f>基础状态预期!D197</f>
        <v>10.040470049930473</v>
      </c>
      <c r="AQ187" s="14">
        <f>(求节点(其他调用!$B$4:$B$163,其他调用!$G$4:$G$163,$AP187))*求节点(武将数量星级阶位验证!$CP$41:$CP$72,武将数量星级阶位验证!$CU$41:$CU$72,武将数量星级阶位验证!AS187)</f>
        <v>22962.637347454824</v>
      </c>
      <c r="AR187" s="14">
        <f>IF(武将升级!Y184="",0,求节点($AK$5:$AK$164,$AJ$5:$AJ$164,AQ$7)*B$5*武将升级!Y184)</f>
        <v>0</v>
      </c>
      <c r="AS187" s="14">
        <f>IF(武将升级!Z184="",0,求节点($AK$5:$AK$164,$AJ$5:$AJ$164,$AQ187)*C$5*武将升级!Z184)</f>
        <v>0</v>
      </c>
      <c r="AT187" s="14">
        <f>IF(武将升级!AA184="",0,求节点($AK$5:$AK$164,$AJ$5:$AJ$164,$AQ187)*D$5*武将升级!AA184)</f>
        <v>0</v>
      </c>
      <c r="AU187" s="14">
        <f>IF(武将升级!AB184="",0,求节点($AK$5:$AK$164,$AJ$5:$AJ$164,$AQ187)*E$5*武将升级!AB184)</f>
        <v>92.203030737308111</v>
      </c>
      <c r="AV187" s="14">
        <f>IF(武将升级!AC184="",0,求节点($AK$5:$AK$164,$AJ$5:$AJ$164,$AQ187)*F$5*武将升级!AC184)</f>
        <v>0</v>
      </c>
      <c r="AW187" s="8">
        <f>SUMPRODUCT(AR187:AV187,基础状态预期!F197:J197)/SUM(基础状态预期!F197:J197)</f>
        <v>92.203030737308111</v>
      </c>
      <c r="BA187" s="29">
        <v>10</v>
      </c>
      <c r="BB187" s="29">
        <f t="shared" ref="BB187:BB188" si="78">求节点($AP$187:$AP$225,$AW$187:$AW$225,BA187)</f>
        <v>91.83138864892743</v>
      </c>
      <c r="BC187" s="55">
        <f>BB187*INDEX([2]超r将兵属性验证!$W$7:$W$166+[2]超r将兵属性验证!$X$7:$X$166,BA187,1)</f>
        <v>1937076.9436803258</v>
      </c>
    </row>
    <row r="188" spans="41:55" x14ac:dyDescent="0.15">
      <c r="AO188" s="5">
        <v>5</v>
      </c>
      <c r="AP188" s="14">
        <f>基础状态预期!D198</f>
        <v>19.288856680060892</v>
      </c>
      <c r="AQ188" s="14">
        <f>(求节点(其他调用!$B$4:$B$163,其他调用!$G$4:$G$163,$AP188))*求节点(武将数量星级阶位验证!$CP$41:$CP$72,武将数量星级阶位验证!$CU$41:$CU$72,武将数量星级阶位验证!AS188)</f>
        <v>88279.95919907857</v>
      </c>
      <c r="AR188" s="14">
        <f>IF(武将升级!Y185="",0,求节点($AK$5:$AK$164,$AJ$5:$AJ$164,AQ$7)*B$5*武将升级!Y185)</f>
        <v>0</v>
      </c>
      <c r="AS188" s="14">
        <f>IF(武将升级!Z185="",0,求节点($AK$5:$AK$164,$AJ$5:$AJ$164,$AQ188)*C$5*武将升级!Z185)</f>
        <v>0</v>
      </c>
      <c r="AT188" s="14">
        <f>IF(武将升级!AA185="",0,求节点($AK$5:$AK$164,$AJ$5:$AJ$164,$AQ188)*D$5*武将升级!AA185)</f>
        <v>0</v>
      </c>
      <c r="AU188" s="14">
        <f>IF(武将升级!AB185="",0,求节点($AK$5:$AK$164,$AJ$5:$AJ$164,$AQ188)*E$5*武将升级!AB185)</f>
        <v>332.0066875649764</v>
      </c>
      <c r="AV188" s="14">
        <f>IF(武将升级!AC185="",0,求节点($AK$5:$AK$164,$AJ$5:$AJ$164,$AQ188)*F$5*武将升级!AC185)</f>
        <v>0</v>
      </c>
      <c r="AW188" s="8">
        <f>SUMPRODUCT(AR188:AV188,基础状态预期!F198:J198)/SUM(基础状态预期!F198:J198)</f>
        <v>332.0066875649764</v>
      </c>
      <c r="BA188" s="29">
        <v>20</v>
      </c>
      <c r="BB188" s="29">
        <f t="shared" si="78"/>
        <v>353.0476865820134</v>
      </c>
      <c r="BC188" s="56">
        <f>(BB188-BB187)*INDEX([2]超r将兵属性验证!$W$7:$W$166+[2]超r将兵属性验证!$X$7:$X$166,BA188,1)+BC187</f>
        <v>18162608.998432815</v>
      </c>
    </row>
    <row r="189" spans="41:55" x14ac:dyDescent="0.15">
      <c r="AO189" s="5">
        <v>6</v>
      </c>
      <c r="AP189" s="14">
        <f>基础状态预期!D199</f>
        <v>27.144641112884834</v>
      </c>
      <c r="AQ189" s="14">
        <f>(求节点(其他调用!$B$4:$B$163,其他调用!$G$4:$G$163,$AP189))*求节点(武将数量星级阶位验证!$CP$41:$CP$72,武将数量星级阶位验证!$CU$41:$CU$72,武将数量星级阶位验证!AS189)</f>
        <v>137914.44963926694</v>
      </c>
      <c r="AR189" s="14">
        <f>IF(武将升级!Y186="",0,求节点($AK$5:$AK$164,$AJ$5:$AJ$164,AQ$7)*B$5*武将升级!Y186)</f>
        <v>0</v>
      </c>
      <c r="AS189" s="14">
        <f>IF(武将升级!Z186="",0,求节点($AK$5:$AK$164,$AJ$5:$AJ$164,$AQ189)*C$5*武将升级!Z186)</f>
        <v>0</v>
      </c>
      <c r="AT189" s="14">
        <f>IF(武将升级!AA186="",0,求节点($AK$5:$AK$164,$AJ$5:$AJ$164,$AQ189)*D$5*武将升级!AA186)</f>
        <v>0</v>
      </c>
      <c r="AU189" s="14">
        <f>IF(武将升级!AB186="",0,求节点($AK$5:$AK$164,$AJ$5:$AJ$164,$AQ189)*E$5*武将升级!AB186)</f>
        <v>564.44021804270994</v>
      </c>
      <c r="AV189" s="14">
        <f>IF(武将升级!AC186="",0,求节点($AK$5:$AK$164,$AJ$5:$AJ$164,$AQ189)*F$5*武将升级!AC186)</f>
        <v>0</v>
      </c>
      <c r="AW189" s="8">
        <f>SUMPRODUCT(AR189:AV189,基础状态预期!F199:J199)/SUM(基础状态预期!F199:J199)</f>
        <v>564.44021804270994</v>
      </c>
      <c r="BA189" s="29">
        <v>30</v>
      </c>
      <c r="BB189" s="29">
        <f t="shared" ref="BB189:BB202" si="79">求节点($AP$187:$AP$225,$AW$187:$AW$225,BA189)</f>
        <v>679.01824637064703</v>
      </c>
      <c r="BC189" s="56">
        <f>(BB189-BB188)*INDEX([2]超r将兵属性验证!$W$7:$W$166+[2]超r将兵属性验证!$X$7:$X$166,BA189,1)+BC188</f>
        <v>70500975.191205367</v>
      </c>
    </row>
    <row r="190" spans="41:55" x14ac:dyDescent="0.15">
      <c r="AO190" s="5">
        <v>7</v>
      </c>
      <c r="AP190" s="14">
        <f>基础状态预期!D200</f>
        <v>33.399598377161809</v>
      </c>
      <c r="AQ190" s="14">
        <f>(求节点(其他调用!$B$4:$B$163,其他调用!$G$4:$G$163,$AP190))*求节点(武将数量星级阶位验证!$CP$41:$CP$72,武将数量星级阶位验证!$CU$41:$CU$72,武将数量星级阶位验证!AS190)</f>
        <v>189603.79706299471</v>
      </c>
      <c r="AR190" s="14">
        <f>IF(武将升级!Y187="",0,求节点($AK$5:$AK$164,$AJ$5:$AJ$164,AQ$7)*B$5*武将升级!Y187)</f>
        <v>0</v>
      </c>
      <c r="AS190" s="14">
        <f>IF(武将升级!Z187="",0,求节点($AK$5:$AK$164,$AJ$5:$AJ$164,$AQ190)*C$5*武将升级!Z187)</f>
        <v>0</v>
      </c>
      <c r="AT190" s="14">
        <f>IF(武将升级!AA187="",0,求节点($AK$5:$AK$164,$AJ$5:$AJ$164,$AQ190)*D$5*武将升级!AA187)</f>
        <v>0</v>
      </c>
      <c r="AU190" s="14">
        <f>IF(武将升级!AB187="",0,求节点($AK$5:$AK$164,$AJ$5:$AJ$164,$AQ190)*E$5*武将升级!AB187)</f>
        <v>815.43517137428285</v>
      </c>
      <c r="AV190" s="14">
        <f>IF(武将升级!AC187="",0,求节点($AK$5:$AK$164,$AJ$5:$AJ$164,$AQ190)*F$5*武将升级!AC187)</f>
        <v>0</v>
      </c>
      <c r="AW190" s="8">
        <f>SUMPRODUCT(AR190:AV190,基础状态预期!F200:J200)/SUM(基础状态预期!F200:J200)</f>
        <v>815.43517137428296</v>
      </c>
      <c r="BA190" s="29">
        <v>40</v>
      </c>
      <c r="BB190" s="29">
        <f t="shared" si="79"/>
        <v>1192.2860461055445</v>
      </c>
      <c r="BC190" s="56">
        <f>(BB190-BB189)*INDEX([2]超r将兵属性验证!$W$7:$W$166+[2]超r将兵属性验证!$X$7:$X$166,BA190,1)+BC189</f>
        <v>290561218.30433911</v>
      </c>
    </row>
    <row r="191" spans="41:55" x14ac:dyDescent="0.15">
      <c r="AO191" s="5">
        <v>8</v>
      </c>
      <c r="AP191" s="14">
        <f>基础状态预期!D201</f>
        <v>38.848984787984186</v>
      </c>
      <c r="AQ191" s="14">
        <f>(求节点(其他调用!$B$4:$B$163,其他调用!$G$4:$G$163,$AP191))*求节点(武将数量星级阶位验证!$CP$41:$CP$72,武将数量星级阶位验证!$CU$41:$CU$72,武将数量星级阶位验证!AS191)</f>
        <v>251127.63841028075</v>
      </c>
      <c r="AR191" s="14">
        <f>IF(武将升级!Y188="",0,求节点($AK$5:$AK$164,$AJ$5:$AJ$164,AQ$7)*B$5*武将升级!Y188)</f>
        <v>0</v>
      </c>
      <c r="AS191" s="14">
        <f>IF(武将升级!Z188="",0,求节点($AK$5:$AK$164,$AJ$5:$AJ$164,$AQ191)*C$5*武将升级!Z188)</f>
        <v>0</v>
      </c>
      <c r="AT191" s="14">
        <f>IF(武将升级!AA188="",0,求节点($AK$5:$AK$164,$AJ$5:$AJ$164,$AQ191)*D$5*武将升级!AA188)</f>
        <v>0</v>
      </c>
      <c r="AU191" s="14">
        <f>IF(武将升级!AB188="",0,求节点($AK$5:$AK$164,$AJ$5:$AJ$164,$AQ191)*E$5*武将升级!AB188)</f>
        <v>1109.4514202298571</v>
      </c>
      <c r="AV191" s="14">
        <f>IF(武将升级!AC188="",0,求节点($AK$5:$AK$164,$AJ$5:$AJ$164,$AQ191)*F$5*武将升级!AC188)</f>
        <v>0</v>
      </c>
      <c r="AW191" s="8">
        <f>SUMPRODUCT(AR191:AV191,基础状态预期!F201:J201)/SUM(基础状态预期!F201:J201)</f>
        <v>1109.4514202298571</v>
      </c>
      <c r="BA191" s="29">
        <v>50</v>
      </c>
      <c r="BB191" s="29">
        <f t="shared" si="79"/>
        <v>2045.8401767880973</v>
      </c>
      <c r="BC191" s="56">
        <f>(BB191-BB190)*INDEX([2]超r将兵属性验证!$W$7:$W$166+[2]超r将兵属性验证!$X$7:$X$166,BA191,1)+BC190</f>
        <v>943133140.9885807</v>
      </c>
    </row>
    <row r="192" spans="41:55" x14ac:dyDescent="0.15">
      <c r="AO192" s="5">
        <v>9</v>
      </c>
      <c r="AP192" s="14">
        <f>基础状态预期!D202</f>
        <v>42.643360270022924</v>
      </c>
      <c r="AQ192" s="14">
        <f>(求节点(其他调用!$B$4:$B$163,其他调用!$G$4:$G$163,$AP192))*求节点(武将数量星级阶位验证!$CP$41:$CP$72,武将数量星级阶位验证!$CU$41:$CU$72,武将数量星级阶位验证!AS192)</f>
        <v>310846.16187552258</v>
      </c>
      <c r="AR192" s="14">
        <f>IF(武将升级!Y189="",0,求节点($AK$5:$AK$164,$AJ$5:$AJ$164,AQ$7)*B$5*武将升级!Y189)</f>
        <v>0</v>
      </c>
      <c r="AS192" s="14">
        <f>IF(武将升级!Z189="",0,求节点($AK$5:$AK$164,$AJ$5:$AJ$164,$AQ192)*C$5*武将升级!Z189)</f>
        <v>0</v>
      </c>
      <c r="AT192" s="14">
        <f>IF(武将升级!AA189="",0,求节点($AK$5:$AK$164,$AJ$5:$AJ$164,$AQ192)*D$5*武将升级!AA189)</f>
        <v>0</v>
      </c>
      <c r="AU192" s="14">
        <f>IF(武将升级!AB189="",0,求节点($AK$5:$AK$164,$AJ$5:$AJ$164,$AQ192)*E$5*武将升级!AB189)</f>
        <v>1382.5196387950186</v>
      </c>
      <c r="AV192" s="14">
        <f>IF(武将升级!AC189="",0,求节点($AK$5:$AK$164,$AJ$5:$AJ$164,$AQ192)*F$5*武将升级!AC189)</f>
        <v>0</v>
      </c>
      <c r="AW192" s="8">
        <f>SUMPRODUCT(AR192:AV192,基础状态预期!F202:J202)/SUM(基础状态预期!F202:J202)</f>
        <v>1382.5196387950189</v>
      </c>
      <c r="BA192" s="29">
        <v>60</v>
      </c>
      <c r="BB192" s="29">
        <f t="shared" si="79"/>
        <v>2753.1</v>
      </c>
      <c r="BC192" s="56">
        <f>(BB192-BB191)*INDEX([2]超r将兵属性验证!$W$7:$W$166+[2]超r将兵属性验证!$X$7:$X$166,BA192,1)+BC191</f>
        <v>2193053922.1856785</v>
      </c>
    </row>
    <row r="193" spans="41:55" x14ac:dyDescent="0.15">
      <c r="AO193" s="5">
        <v>10</v>
      </c>
      <c r="AP193" s="14">
        <f>基础状态预期!D203</f>
        <v>48.493134765265182</v>
      </c>
      <c r="AQ193" s="14">
        <f>(求节点(其他调用!$B$4:$B$163,其他调用!$G$4:$G$163,$AP193))*求节点(武将数量星级阶位验证!$CP$41:$CP$72,武将数量星级阶位验证!$CU$41:$CU$72,武将数量星级阶位验证!AS193)</f>
        <v>418889.54689240584</v>
      </c>
      <c r="AR193" s="14">
        <f>IF(武将升级!Y190="",0,求节点($AK$5:$AK$164,$AJ$5:$AJ$164,AQ$7)*B$5*武将升级!Y190)</f>
        <v>0</v>
      </c>
      <c r="AS193" s="14">
        <f>IF(武将升级!Z190="",0,求节点($AK$5:$AK$164,$AJ$5:$AJ$164,$AQ193)*C$5*武将升级!Z190)</f>
        <v>0</v>
      </c>
      <c r="AT193" s="14">
        <f>IF(武将升级!AA190="",0,求节点($AK$5:$AK$164,$AJ$5:$AJ$164,$AQ193)*D$5*武将升级!AA190)</f>
        <v>0</v>
      </c>
      <c r="AU193" s="14">
        <f>IF(武将升级!AB190="",0,求节点($AK$5:$AK$164,$AJ$5:$AJ$164,$AQ193)*E$5*武将升级!AB190)</f>
        <v>1882.6646172533435</v>
      </c>
      <c r="AV193" s="14">
        <f>IF(武将升级!AC190="",0,求节点($AK$5:$AK$164,$AJ$5:$AJ$164,$AQ193)*F$5*武将升级!AC190)</f>
        <v>0</v>
      </c>
      <c r="AW193" s="8">
        <f>SUMPRODUCT(AR193:AV193,基础状态预期!F203:J203)/SUM(基础状态预期!F203:J203)</f>
        <v>1882.6646172533435</v>
      </c>
      <c r="BA193" s="29">
        <v>70</v>
      </c>
      <c r="BB193" s="29">
        <f t="shared" si="79"/>
        <v>3131.1000000000004</v>
      </c>
      <c r="BC193" s="56">
        <f>(BB193-BB192)*INDEX([2]超r将兵属性验证!$W$7:$W$166+[2]超r将兵属性验证!$X$7:$X$166,BA193,1)+BC192</f>
        <v>3624947745.5034571</v>
      </c>
    </row>
    <row r="194" spans="41:55" x14ac:dyDescent="0.15">
      <c r="AO194" s="5">
        <v>11</v>
      </c>
      <c r="AP194" s="14">
        <f>基础状态预期!D204</f>
        <v>52.559419343629337</v>
      </c>
      <c r="AQ194" s="14">
        <f>(求节点(其他调用!$B$4:$B$163,其他调用!$G$4:$G$163,$AP194))*求节点(武将数量星级阶位验证!$CP$41:$CP$72,武将数量星级阶位验证!$CU$41:$CU$72,武将数量星级阶位验证!AS194)</f>
        <v>516123.23598022072</v>
      </c>
      <c r="AR194" s="14">
        <f>IF(武将升级!Y191="",0,求节点($AK$5:$AK$164,$AJ$5:$AJ$164,AQ$7)*B$5*武将升级!Y191)</f>
        <v>0</v>
      </c>
      <c r="AS194" s="14">
        <f>IF(武将升级!Z191="",0,求节点($AK$5:$AK$164,$AJ$5:$AJ$164,$AQ194)*C$5*武将升级!Z191)</f>
        <v>0</v>
      </c>
      <c r="AT194" s="14">
        <f>IF(武将升级!AA191="",0,求节点($AK$5:$AK$164,$AJ$5:$AJ$164,$AQ194)*D$5*武将升级!AA191)</f>
        <v>0</v>
      </c>
      <c r="AU194" s="14">
        <f>IF(武将升级!AB191="",0,求节点($AK$5:$AK$164,$AJ$5:$AJ$164,$AQ194)*E$5*武将升级!AB191)</f>
        <v>2322.9948113591754</v>
      </c>
      <c r="AV194" s="14">
        <f>IF(武将升级!AC191="",0,求节点($AK$5:$AK$164,$AJ$5:$AJ$164,$AQ194)*F$5*武将升级!AC191)</f>
        <v>2322.9948113591754</v>
      </c>
      <c r="AW194" s="8">
        <f>SUMPRODUCT(AR194:AV194,基础状态预期!F204:J204)/SUM(基础状态预期!F204:J204)</f>
        <v>2322.9948113591749</v>
      </c>
      <c r="BA194" s="29">
        <v>80</v>
      </c>
      <c r="BB194" s="29">
        <f t="shared" si="79"/>
        <v>3509.1</v>
      </c>
      <c r="BC194" s="56">
        <f>(BB194-BB193)*INDEX([2]超r将兵属性验证!$W$7:$W$166+[2]超r将兵属性验证!$X$7:$X$166,BA194,1)+BC193</f>
        <v>6964493455.4269619</v>
      </c>
    </row>
    <row r="195" spans="41:55" x14ac:dyDescent="0.15">
      <c r="AO195" s="5">
        <v>12</v>
      </c>
      <c r="AP195" s="14">
        <f>基础状态预期!D205</f>
        <v>58.560986008166232</v>
      </c>
      <c r="AQ195" s="14">
        <f>(求节点(其他调用!$B$4:$B$163,其他调用!$G$4:$G$163,$AP195))*求节点(武将数量星级阶位验证!$CP$41:$CP$72,武将数量星级阶位验证!$CU$41:$CU$72,武将数量星级阶位验证!AS195)</f>
        <v>691072.48737514287</v>
      </c>
      <c r="AR195" s="14">
        <f>IF(武将升级!Y192="",0,求节点($AK$5:$AK$164,$AJ$5:$AJ$164,AQ$7)*B$5*武将升级!Y192)</f>
        <v>0</v>
      </c>
      <c r="AS195" s="14">
        <f>IF(武将升级!Z192="",0,求节点($AK$5:$AK$164,$AJ$5:$AJ$164,$AQ195)*C$5*武将升级!Z192)</f>
        <v>0</v>
      </c>
      <c r="AT195" s="14">
        <f>IF(武将升级!AA192="",0,求节点($AK$5:$AK$164,$AJ$5:$AJ$164,$AQ195)*D$5*武将升级!AA192)</f>
        <v>0</v>
      </c>
      <c r="AU195" s="14">
        <f>IF(武将升级!AB192="",0,求节点($AK$5:$AK$164,$AJ$5:$AJ$164,$AQ195)*E$5*武将升级!AB192)</f>
        <v>2698.7052711086835</v>
      </c>
      <c r="AV195" s="14">
        <f>IF(武将升级!AC192="",0,求节点($AK$5:$AK$164,$AJ$5:$AJ$164,$AQ195)*F$5*武将升级!AC192)</f>
        <v>2698.7052711086835</v>
      </c>
      <c r="AW195" s="8">
        <f>SUMPRODUCT(AR195:AV195,基础状态预期!F205:J205)/SUM(基础状态预期!F205:J205)</f>
        <v>2698.7052711086835</v>
      </c>
      <c r="BA195" s="29">
        <v>90</v>
      </c>
      <c r="BB195" s="29">
        <f t="shared" si="79"/>
        <v>3887.1</v>
      </c>
      <c r="BC195" s="56">
        <f>(BB195-BB194)*INDEX([2]超r将兵属性验证!$W$7:$W$166+[2]超r将兵属性验证!$X$7:$X$166,BA195,1)+BC194</f>
        <v>13267623801.976204</v>
      </c>
    </row>
    <row r="196" spans="41:55" x14ac:dyDescent="0.15">
      <c r="AO196" s="5">
        <v>13</v>
      </c>
      <c r="AP196" s="14">
        <f>基础状态预期!D206</f>
        <v>64.247064283227857</v>
      </c>
      <c r="AQ196" s="14">
        <f>(求节点(其他调用!$B$4:$B$163,其他调用!$G$4:$G$163,$AP196))*求节点(武将数量星级阶位验证!$CP$41:$CP$72,武将数量星级阶位验证!$CU$41:$CU$72,武将数量星级阶位验证!AS196)</f>
        <v>921363.86601782055</v>
      </c>
      <c r="AR196" s="14">
        <f>IF(武将升级!Y193="",0,求节点($AK$5:$AK$164,$AJ$5:$AJ$164,AQ$7)*B$5*武将升级!Y193)</f>
        <v>0</v>
      </c>
      <c r="AS196" s="14">
        <f>IF(武将升级!Z193="",0,求节点($AK$5:$AK$164,$AJ$5:$AJ$164,$AQ196)*C$5*武将升级!Z193)</f>
        <v>0</v>
      </c>
      <c r="AT196" s="14">
        <f>IF(武将升级!AA193="",0,求节点($AK$5:$AK$164,$AJ$5:$AJ$164,$AQ196)*D$5*武将升级!AA193)</f>
        <v>0</v>
      </c>
      <c r="AU196" s="14">
        <f>IF(武将升级!AB193="",0,求节点($AK$5:$AK$164,$AJ$5:$AJ$164,$AQ196)*E$5*武将升级!AB193)</f>
        <v>2913.6390299060126</v>
      </c>
      <c r="AV196" s="14">
        <f>IF(武将升级!AC193="",0,求节点($AK$5:$AK$164,$AJ$5:$AJ$164,$AQ196)*F$5*武将升级!AC193)</f>
        <v>2913.6390299060126</v>
      </c>
      <c r="AW196" s="8">
        <f>SUMPRODUCT(AR196:AV196,基础状态预期!F206:J206)/SUM(基础状态预期!F206:J206)</f>
        <v>2913.6390299060126</v>
      </c>
      <c r="BA196" s="29">
        <v>100</v>
      </c>
      <c r="BB196" s="29">
        <f t="shared" si="79"/>
        <v>4265.1000000000004</v>
      </c>
      <c r="BC196" s="56">
        <f>(BB196-BB195)*INDEX([2]超r将兵属性验证!$W$7:$W$166+[2]超r将兵属性验证!$X$7:$X$166,BA196,1)+BC195</f>
        <v>21371767035.167847</v>
      </c>
    </row>
    <row r="197" spans="41:55" x14ac:dyDescent="0.15">
      <c r="AO197" s="5">
        <v>14</v>
      </c>
      <c r="AP197" s="14">
        <f>基础状态预期!D207</f>
        <v>68.518369035696878</v>
      </c>
      <c r="AQ197" s="14">
        <f>(求节点(其他调用!$B$4:$B$163,其他调用!$G$4:$G$163,$AP197))*求节点(武将数量星级阶位验证!$CP$41:$CP$72,武将数量星级阶位验证!$CU$41:$CU$72,武将数量星级阶位验证!AS197)</f>
        <v>1148611.5366333721</v>
      </c>
      <c r="AR197" s="14">
        <f>IF(武将升级!Y194="",0,求节点($AK$5:$AK$164,$AJ$5:$AJ$164,AQ$7)*B$5*武将升级!Y194)</f>
        <v>0</v>
      </c>
      <c r="AS197" s="14">
        <f>IF(武将升级!Z194="",0,求节点($AK$5:$AK$164,$AJ$5:$AJ$164,$AQ197)*C$5*武将升级!Z194)</f>
        <v>0</v>
      </c>
      <c r="AT197" s="14">
        <f>IF(武将升级!AA194="",0,求节点($AK$5:$AK$164,$AJ$5:$AJ$164,$AQ197)*D$5*武将升级!AA194)</f>
        <v>0</v>
      </c>
      <c r="AU197" s="14">
        <f>IF(武将升级!AB194="",0,求节点($AK$5:$AK$164,$AJ$5:$AJ$164,$AQ197)*E$5*武将升级!AB194)</f>
        <v>3075.094349549342</v>
      </c>
      <c r="AV197" s="14">
        <f>IF(武将升级!AC194="",0,求节点($AK$5:$AK$164,$AJ$5:$AJ$164,$AQ197)*F$5*武将升级!AC194)</f>
        <v>3075.094349549342</v>
      </c>
      <c r="AW197" s="8">
        <f>SUMPRODUCT(AR197:AV197,基础状态预期!F207:J207)/SUM(基础状态预期!F207:J207)</f>
        <v>3075.0943495493425</v>
      </c>
      <c r="BA197" s="29">
        <v>110</v>
      </c>
      <c r="BB197" s="29">
        <f t="shared" si="79"/>
        <v>4643.1000000000004</v>
      </c>
      <c r="BC197" s="56">
        <f>(BB197-BB196)*INDEX([2]超r将兵属性验证!$W$7:$W$166+[2]超r将兵属性验证!$X$7:$X$166,BA197,1)+BC196</f>
        <v>31048245364.506165</v>
      </c>
    </row>
    <row r="198" spans="41:55" x14ac:dyDescent="0.15">
      <c r="AO198" s="5">
        <v>15</v>
      </c>
      <c r="AP198" s="14">
        <f>基础状态预期!D208</f>
        <v>71.7664716439551</v>
      </c>
      <c r="AQ198" s="14">
        <f>(求节点(其他调用!$B$4:$B$163,其他调用!$G$4:$G$163,$AP198))*求节点(武将数量星级阶位验证!$CP$41:$CP$72,武将数量星级阶位验证!$CU$41:$CU$72,武将数量星级阶位验证!AS198)</f>
        <v>1376351.1972149401</v>
      </c>
      <c r="AR198" s="14">
        <f>IF(武将升级!Y195="",0,求节点($AK$5:$AK$164,$AJ$5:$AJ$164,AQ$7)*B$5*武将升级!Y195)</f>
        <v>0</v>
      </c>
      <c r="AS198" s="14">
        <f>IF(武将升级!Z195="",0,求节点($AK$5:$AK$164,$AJ$5:$AJ$164,$AQ198)*C$5*武将升级!Z195)</f>
        <v>0</v>
      </c>
      <c r="AT198" s="14">
        <f>IF(武将升级!AA195="",0,求节点($AK$5:$AK$164,$AJ$5:$AJ$164,$AQ198)*D$5*武将升级!AA195)</f>
        <v>0</v>
      </c>
      <c r="AU198" s="14">
        <f>IF(武将升级!AB195="",0,求节点($AK$5:$AK$164,$AJ$5:$AJ$164,$AQ198)*E$5*武将升级!AB195)</f>
        <v>3197.8726281415029</v>
      </c>
      <c r="AV198" s="14">
        <f>IF(武将升级!AC195="",0,求节点($AK$5:$AK$164,$AJ$5:$AJ$164,$AQ198)*F$5*武将升级!AC195)</f>
        <v>3197.8726281415029</v>
      </c>
      <c r="AW198" s="8">
        <f>SUMPRODUCT(AR198:AV198,基础状态预期!F208:J208)/SUM(基础状态预期!F208:J208)</f>
        <v>3197.8726281415034</v>
      </c>
      <c r="BA198" s="29">
        <v>120</v>
      </c>
      <c r="BB198" s="29">
        <f t="shared" si="79"/>
        <v>5021.0999999999995</v>
      </c>
      <c r="BC198" s="56">
        <f>(BB198-BB197)*INDEX([2]超r将兵属性验证!$W$7:$W$166+[2]超r将兵属性验证!$X$7:$X$166,BA198,1)+BC197</f>
        <v>43434395996.314468</v>
      </c>
    </row>
    <row r="199" spans="41:55" x14ac:dyDescent="0.15">
      <c r="AO199" s="5">
        <v>16</v>
      </c>
      <c r="AP199" s="14">
        <f>基础状态预期!D209</f>
        <v>74.370993278111257</v>
      </c>
      <c r="AQ199" s="14">
        <f>(求节点(其他调用!$B$4:$B$163,其他调用!$G$4:$G$163,$AP199))*求节点(武将数量星级阶位验证!$CP$41:$CP$72,武将数量星级阶位验证!$CU$41:$CU$72,武将数量星级阶位验证!AS199)</f>
        <v>1599005.8602325115</v>
      </c>
      <c r="AR199" s="14">
        <f>IF(武将升级!Y196="",0,求节点($AK$5:$AK$164,$AJ$5:$AJ$164,AQ$7)*B$5*武将升级!Y196)</f>
        <v>0</v>
      </c>
      <c r="AS199" s="14">
        <f>IF(武将升级!Z196="",0,求节点($AK$5:$AK$164,$AJ$5:$AJ$164,$AQ199)*C$5*武将升级!Z196)</f>
        <v>0</v>
      </c>
      <c r="AT199" s="14">
        <f>IF(武将升级!AA196="",0,求节点($AK$5:$AK$164,$AJ$5:$AJ$164,$AQ199)*D$5*武将升级!AA196)</f>
        <v>0</v>
      </c>
      <c r="AU199" s="14">
        <f>IF(武将升级!AB196="",0,求节点($AK$5:$AK$164,$AJ$5:$AJ$164,$AQ199)*E$5*武将升级!AB196)</f>
        <v>3296.3235459126058</v>
      </c>
      <c r="AV199" s="14">
        <f>IF(武将升级!AC196="",0,求节点($AK$5:$AK$164,$AJ$5:$AJ$164,$AQ199)*F$5*武将升级!AC196)</f>
        <v>3296.3235459126058</v>
      </c>
      <c r="AW199" s="8">
        <f>SUMPRODUCT(AR199:AV199,基础状态预期!F209:J209)/SUM(基础状态预期!F209:J209)</f>
        <v>3296.3235459126063</v>
      </c>
      <c r="BA199" s="29">
        <v>130</v>
      </c>
      <c r="BB199" s="29">
        <f t="shared" si="79"/>
        <v>5399.1</v>
      </c>
      <c r="BC199" s="56">
        <f>(BB199-BB198)*INDEX([2]超r将兵属性验证!$W$7:$W$166+[2]超r将兵属性验证!$X$7:$X$166,BA199,1)+BC198</f>
        <v>59380196220.405029</v>
      </c>
    </row>
    <row r="200" spans="41:55" x14ac:dyDescent="0.15">
      <c r="AO200" s="5">
        <v>17</v>
      </c>
      <c r="AP200" s="14">
        <f>基础状态预期!D210</f>
        <v>77.234275947206214</v>
      </c>
      <c r="AQ200" s="14">
        <f>(求节点(其他调用!$B$4:$B$163,其他调用!$G$4:$G$163,$AP200))*求节点(武将数量星级阶位验证!$CP$41:$CP$72,武将数量星级阶位验证!$CU$41:$CU$72,武将数量星级阶位验证!AS200)</f>
        <v>1886755.1489291864</v>
      </c>
      <c r="AR200" s="14">
        <f>IF(武将升级!Y197="",0,求节点($AK$5:$AK$164,$AJ$5:$AJ$164,AQ$7)*B$5*武将升级!Y197)</f>
        <v>0</v>
      </c>
      <c r="AS200" s="14">
        <f>IF(武将升级!Z197="",0,求节点($AK$5:$AK$164,$AJ$5:$AJ$164,$AQ200)*C$5*武将升级!Z197)</f>
        <v>0</v>
      </c>
      <c r="AT200" s="14">
        <f>IF(武将升级!AA197="",0,求节点($AK$5:$AK$164,$AJ$5:$AJ$164,$AQ200)*D$5*武将升级!AA197)</f>
        <v>0</v>
      </c>
      <c r="AU200" s="14">
        <f>IF(武将升级!AB197="",0,求节点($AK$5:$AK$164,$AJ$5:$AJ$164,$AQ200)*E$5*武将升级!AB197)</f>
        <v>0</v>
      </c>
      <c r="AV200" s="14">
        <f>IF(武将升级!AC197="",0,求节点($AK$5:$AK$164,$AJ$5:$AJ$164,$AQ200)*F$5*武将升级!AC197)</f>
        <v>3404.5556308043947</v>
      </c>
      <c r="AW200" s="8">
        <f>SUMPRODUCT(AR200:AV200,基础状态预期!F210:J210)/SUM(基础状态预期!F210:J210)</f>
        <v>3404.5556308043947</v>
      </c>
      <c r="BA200" s="29">
        <v>140</v>
      </c>
      <c r="BB200" s="29">
        <f t="shared" si="79"/>
        <v>5777.0999999999995</v>
      </c>
      <c r="BC200" s="56">
        <f>(BB200-BB199)*INDEX([2]超r将兵属性验证!$W$7:$W$166+[2]超r将兵属性验证!$X$7:$X$166,BA200,1)+BC199</f>
        <v>78622900439.671906</v>
      </c>
    </row>
    <row r="201" spans="41:55" x14ac:dyDescent="0.15">
      <c r="AO201" s="5">
        <v>18</v>
      </c>
      <c r="AP201" s="14">
        <f>基础状态预期!D211</f>
        <v>79.725666247801229</v>
      </c>
      <c r="AQ201" s="14">
        <f>(求节点(其他调用!$B$4:$B$163,其他调用!$G$4:$G$163,$AP201))*求节点(武将数量星级阶位验证!$CP$41:$CP$72,武将数量星级阶位验证!$CU$41:$CU$72,武将数量星级阶位验证!AS201)</f>
        <v>2166743.2138500549</v>
      </c>
      <c r="AR201" s="14">
        <f>IF(武将升级!Y198="",0,求节点($AK$5:$AK$164,$AJ$5:$AJ$164,AQ$7)*B$5*武将升级!Y198)</f>
        <v>0</v>
      </c>
      <c r="AS201" s="14">
        <f>IF(武将升级!Z198="",0,求节点($AK$5:$AK$164,$AJ$5:$AJ$164,$AQ201)*C$5*武将升级!Z198)</f>
        <v>0</v>
      </c>
      <c r="AT201" s="14">
        <f>IF(武将升级!AA198="",0,求节点($AK$5:$AK$164,$AJ$5:$AJ$164,$AQ201)*D$5*武将升级!AA198)</f>
        <v>0</v>
      </c>
      <c r="AU201" s="14">
        <f>IF(武将升级!AB198="",0,求节点($AK$5:$AK$164,$AJ$5:$AJ$164,$AQ201)*E$5*武将升级!AB198)</f>
        <v>0</v>
      </c>
      <c r="AV201" s="14">
        <f>IF(武将升级!AC198="",0,求节点($AK$5:$AK$164,$AJ$5:$AJ$164,$AQ201)*F$5*武将升级!AC198)</f>
        <v>3498.7301841668864</v>
      </c>
      <c r="AW201" s="8">
        <f>SUMPRODUCT(AR201:AV201,基础状态预期!F211:J211)/SUM(基础状态预期!F211:J211)</f>
        <v>3498.7301841668864</v>
      </c>
      <c r="BA201" s="29">
        <v>150</v>
      </c>
      <c r="BB201" s="29">
        <f t="shared" si="79"/>
        <v>6139.1443604504029</v>
      </c>
      <c r="BC201" s="56">
        <f>(BB201-BB200)*INDEX([2]超r将兵属性验证!$W$7:$W$166+[2]超r将兵属性验证!$X$7:$X$166,BA201,1)+BC200</f>
        <v>100602233684.62943</v>
      </c>
    </row>
    <row r="202" spans="41:55" x14ac:dyDescent="0.15">
      <c r="AO202" s="5">
        <v>19</v>
      </c>
      <c r="AP202" s="14">
        <f>基础状态预期!D212</f>
        <v>81.863982387630472</v>
      </c>
      <c r="AQ202" s="14">
        <f>(求节点(其他调用!$B$4:$B$163,其他调用!$G$4:$G$163,$AP202))*求节点(武将数量星级阶位验证!$CP$41:$CP$72,武将数量星级阶位验证!$CU$41:$CU$72,武将数量星级阶位验证!AS202)</f>
        <v>2438995.6907909606</v>
      </c>
      <c r="AR202" s="14">
        <f>IF(武将升级!Y199="",0,求节点($AK$5:$AK$164,$AJ$5:$AJ$164,AQ$7)*B$5*武将升级!Y199)</f>
        <v>0</v>
      </c>
      <c r="AS202" s="14">
        <f>IF(武将升级!Z199="",0,求节点($AK$5:$AK$164,$AJ$5:$AJ$164,$AQ202)*C$5*武将升级!Z199)</f>
        <v>0</v>
      </c>
      <c r="AT202" s="14">
        <f>IF(武将升级!AA199="",0,求节点($AK$5:$AK$164,$AJ$5:$AJ$164,$AQ202)*D$5*武将升级!AA199)</f>
        <v>0</v>
      </c>
      <c r="AU202" s="14">
        <f>IF(武将升级!AB199="",0,求节点($AK$5:$AK$164,$AJ$5:$AJ$164,$AQ202)*E$5*武将升级!AB199)</f>
        <v>0</v>
      </c>
      <c r="AV202" s="14">
        <f>IF(武将升级!AC199="",0,求节点($AK$5:$AK$164,$AJ$5:$AJ$164,$AQ202)*F$5*武将升级!AC199)</f>
        <v>3579.5585342524314</v>
      </c>
      <c r="AW202" s="8">
        <f>SUMPRODUCT(AR202:AV202,基础状态预期!F212:J212)/SUM(基础状态预期!F212:J212)</f>
        <v>3579.5585342524314</v>
      </c>
      <c r="BA202" s="29">
        <v>160</v>
      </c>
      <c r="BB202" s="29">
        <f t="shared" si="79"/>
        <v>6155.1000000000013</v>
      </c>
      <c r="BC202" s="56">
        <f>(BB202-BB201)*INDEX([2]超r将兵属性验证!$W$7:$W$166+[2]超r将兵属性验证!$X$7:$X$166,BA202,1)+BC201</f>
        <v>101655725652.1203</v>
      </c>
    </row>
    <row r="203" spans="41:55" x14ac:dyDescent="0.15">
      <c r="AO203" s="5">
        <v>20</v>
      </c>
      <c r="AP203" s="14">
        <f>基础状态预期!D213</f>
        <v>83.667042947574714</v>
      </c>
      <c r="AQ203" s="14">
        <f>(求节点(其他调用!$B$4:$B$163,其他调用!$G$4:$G$163,$AP203))*求节点(武将数量星级阶位验证!$CP$41:$CP$72,武将数量星级阶位验证!$CU$41:$CU$72,武将数量星级阶位验证!AS203)</f>
        <v>2706333.9694364239</v>
      </c>
      <c r="AR203" s="14">
        <f>IF(武将升级!Y200="",0,求节点($AK$5:$AK$164,$AJ$5:$AJ$164,AQ$7)*B$5*武将升级!Y200)</f>
        <v>0</v>
      </c>
      <c r="AS203" s="14">
        <f>IF(武将升级!Z200="",0,求节点($AK$5:$AK$164,$AJ$5:$AJ$164,$AQ203)*C$5*武将升级!Z200)</f>
        <v>0</v>
      </c>
      <c r="AT203" s="14">
        <f>IF(武将升级!AA200="",0,求节点($AK$5:$AK$164,$AJ$5:$AJ$164,$AQ203)*D$5*武将升级!AA200)</f>
        <v>0</v>
      </c>
      <c r="AU203" s="14">
        <f>IF(武将升级!AB200="",0,求节点($AK$5:$AK$164,$AJ$5:$AJ$164,$AQ203)*E$5*武将升级!AB200)</f>
        <v>0</v>
      </c>
      <c r="AV203" s="14">
        <f>IF(武将升级!AC200="",0,求节点($AK$5:$AK$164,$AJ$5:$AJ$164,$AQ203)*F$5*武将升级!AC200)</f>
        <v>3647.7142234183239</v>
      </c>
      <c r="AW203" s="8">
        <f>SUMPRODUCT(AR203:AV203,基础状态预期!F213:J213)/SUM(基础状态预期!F213:J213)</f>
        <v>3647.7142234183243</v>
      </c>
    </row>
    <row r="204" spans="41:55" x14ac:dyDescent="0.15">
      <c r="AO204" s="5">
        <v>21</v>
      </c>
      <c r="AP204" s="14">
        <f>基础状态预期!D214</f>
        <v>86.154780808490059</v>
      </c>
      <c r="AQ204" s="14">
        <f>(求节点(其他调用!$B$4:$B$163,其他调用!$G$4:$G$163,$AP204))*求节点(武将数量星级阶位验证!$CP$41:$CP$72,武将数量星级阶位验证!$CU$41:$CU$72,武将数量星级阶位验证!AS204)</f>
        <v>3078318.7043438866</v>
      </c>
      <c r="AR204" s="14">
        <f>IF(武将升级!Y201="",0,求节点($AK$5:$AK$164,$AJ$5:$AJ$164,AQ$7)*B$5*武将升级!Y201)</f>
        <v>0</v>
      </c>
      <c r="AS204" s="14">
        <f>IF(武将升级!Z201="",0,求节点($AK$5:$AK$164,$AJ$5:$AJ$164,$AQ204)*C$5*武将升级!Z201)</f>
        <v>0</v>
      </c>
      <c r="AT204" s="14">
        <f>IF(武将升级!AA201="",0,求节点($AK$5:$AK$164,$AJ$5:$AJ$164,$AQ204)*D$5*武将升级!AA201)</f>
        <v>0</v>
      </c>
      <c r="AU204" s="14">
        <f>IF(武将升级!AB201="",0,求节点($AK$5:$AK$164,$AJ$5:$AJ$164,$AQ204)*E$5*武将升级!AB201)</f>
        <v>0</v>
      </c>
      <c r="AV204" s="14">
        <f>IF(武将升级!AC201="",0,求节点($AK$5:$AK$164,$AJ$5:$AJ$164,$AQ204)*F$5*武将升级!AC201)</f>
        <v>3741.7507145609238</v>
      </c>
      <c r="AW204" s="8">
        <f>SUMPRODUCT(AR204:AV204,基础状态预期!F214:J214)/SUM(基础状态预期!F214:J214)</f>
        <v>3741.7507145609238</v>
      </c>
    </row>
    <row r="205" spans="41:55" x14ac:dyDescent="0.15">
      <c r="AO205" s="5">
        <v>22</v>
      </c>
      <c r="AP205" s="14">
        <f>基础状态预期!D215</f>
        <v>90.480184629206022</v>
      </c>
      <c r="AQ205" s="14">
        <f>(求节点(其他调用!$B$4:$B$163,其他调用!$G$4:$G$163,$AP205))*求节点(武将数量星级阶位验证!$CP$41:$CP$72,武将数量星级阶位验证!$CU$41:$CU$72,武将数量星级阶位验证!AS205)</f>
        <v>3817593.7284891475</v>
      </c>
      <c r="AR205" s="14">
        <f>IF(武将升级!Y202="",0,求节点($AK$5:$AK$164,$AJ$5:$AJ$164,AQ$7)*B$5*武将升级!Y202)</f>
        <v>0</v>
      </c>
      <c r="AS205" s="14">
        <f>IF(武将升级!Z202="",0,求节点($AK$5:$AK$164,$AJ$5:$AJ$164,$AQ205)*C$5*武将升级!Z202)</f>
        <v>0</v>
      </c>
      <c r="AT205" s="14">
        <f>IF(武将升级!AA202="",0,求节点($AK$5:$AK$164,$AJ$5:$AJ$164,$AQ205)*D$5*武将升级!AA202)</f>
        <v>0</v>
      </c>
      <c r="AU205" s="14">
        <f>IF(武将升级!AB202="",0,求节点($AK$5:$AK$164,$AJ$5:$AJ$164,$AQ205)*E$5*武将升级!AB202)</f>
        <v>0</v>
      </c>
      <c r="AV205" s="14">
        <f>IF(武将升级!AC202="",0,求节点($AK$5:$AK$164,$AJ$5:$AJ$164,$AQ205)*F$5*武将升级!AC202)</f>
        <v>3905.2509789839878</v>
      </c>
      <c r="AW205" s="8">
        <f>SUMPRODUCT(AR205:AV205,基础状态预期!F215:J215)/SUM(基础状态预期!F215:J215)</f>
        <v>3905.2509789839878</v>
      </c>
    </row>
    <row r="206" spans="41:55" x14ac:dyDescent="0.15">
      <c r="AO206" s="5">
        <v>23</v>
      </c>
      <c r="AP206" s="14">
        <f>基础状态预期!D216</f>
        <v>93.6774218048877</v>
      </c>
      <c r="AQ206" s="14">
        <f>(求节点(其他调用!$B$4:$B$163,其他调用!$G$4:$G$163,$AP206))*求节点(武将数量星级阶位验证!$CP$41:$CP$72,武将数量星级阶位验证!$CU$41:$CU$72,武将数量星级阶位验证!AS206)</f>
        <v>4526136.4386418657</v>
      </c>
      <c r="AR206" s="14">
        <f>IF(武将升级!Y203="",0,求节点($AK$5:$AK$164,$AJ$5:$AJ$164,AQ$7)*B$5*武将升级!Y203)</f>
        <v>0</v>
      </c>
      <c r="AS206" s="14">
        <f>IF(武将升级!Z203="",0,求节点($AK$5:$AK$164,$AJ$5:$AJ$164,$AQ206)*C$5*武将升级!Z203)</f>
        <v>0</v>
      </c>
      <c r="AT206" s="14">
        <f>IF(武将升级!AA203="",0,求节点($AK$5:$AK$164,$AJ$5:$AJ$164,$AQ206)*D$5*武将升级!AA203)</f>
        <v>0</v>
      </c>
      <c r="AU206" s="14">
        <f>IF(武将升级!AB203="",0,求节点($AK$5:$AK$164,$AJ$5:$AJ$164,$AQ206)*E$5*武将升级!AB203)</f>
        <v>0</v>
      </c>
      <c r="AV206" s="14">
        <f>IF(武将升级!AC203="",0,求节点($AK$5:$AK$164,$AJ$5:$AJ$164,$AQ206)*F$5*武将升级!AC203)</f>
        <v>4026.106544224755</v>
      </c>
      <c r="AW206" s="8">
        <f>SUMPRODUCT(AR206:AV206,基础状态预期!F216:J216)/SUM(基础状态预期!F216:J216)</f>
        <v>4026.106544224755</v>
      </c>
    </row>
    <row r="207" spans="41:55" x14ac:dyDescent="0.15">
      <c r="AO207" s="5">
        <v>24</v>
      </c>
      <c r="AP207" s="14">
        <f>基础状态预期!D217</f>
        <v>97.125654465362558</v>
      </c>
      <c r="AQ207" s="14">
        <f>(求节点(其他调用!$B$4:$B$163,其他调用!$G$4:$G$163,$AP207))*求节点(武将数量星级阶位验证!$CP$41:$CP$72,武将数量星级阶位验证!$CU$41:$CU$72,武将数量星级阶位验证!AS207)</f>
        <v>5529304.1127518099</v>
      </c>
      <c r="AR207" s="14">
        <f>IF(武将升级!Y204="",0,求节点($AK$5:$AK$164,$AJ$5:$AJ$164,AQ$7)*B$5*武将升级!Y204)</f>
        <v>0</v>
      </c>
      <c r="AS207" s="14">
        <f>IF(武将升级!Z204="",0,求节点($AK$5:$AK$164,$AJ$5:$AJ$164,$AQ207)*C$5*武将升级!Z204)</f>
        <v>0</v>
      </c>
      <c r="AT207" s="14">
        <f>IF(武将升级!AA204="",0,求节点($AK$5:$AK$164,$AJ$5:$AJ$164,$AQ207)*D$5*武将升级!AA204)</f>
        <v>0</v>
      </c>
      <c r="AU207" s="14">
        <f>IF(武将升级!AB204="",0,求节点($AK$5:$AK$164,$AJ$5:$AJ$164,$AQ207)*E$5*武将升级!AB204)</f>
        <v>0</v>
      </c>
      <c r="AV207" s="14">
        <f>IF(武将升级!AC204="",0,求节点($AK$5:$AK$164,$AJ$5:$AJ$164,$AQ207)*F$5*武将升级!AC204)</f>
        <v>4156.4497387907049</v>
      </c>
      <c r="AW207" s="8">
        <f>SUMPRODUCT(AR207:AV207,基础状态预期!F217:J217)/SUM(基础状态预期!F217:J217)</f>
        <v>4156.4497387907049</v>
      </c>
    </row>
    <row r="208" spans="41:55" x14ac:dyDescent="0.15">
      <c r="AO208" s="5">
        <v>25</v>
      </c>
      <c r="AP208" s="14">
        <f>基础状态预期!D218</f>
        <v>100.89689545435591</v>
      </c>
      <c r="AQ208" s="14">
        <f>(求节点(其他调用!$B$4:$B$163,其他调用!$G$4:$G$163,$AP208))*求节点(武将数量星级阶位验证!$CP$41:$CP$72,武将数量星级阶位验证!$CU$41:$CU$72,武将数量星级阶位验证!AS208)</f>
        <v>6824368.4861873901</v>
      </c>
      <c r="AR208" s="14">
        <f>IF(武将升级!Y205="",0,求节点($AK$5:$AK$164,$AJ$5:$AJ$164,AQ$7)*B$5*武将升级!Y205)</f>
        <v>0</v>
      </c>
      <c r="AS208" s="14">
        <f>IF(武将升级!Z205="",0,求节点($AK$5:$AK$164,$AJ$5:$AJ$164,$AQ208)*C$5*武将升级!Z205)</f>
        <v>0</v>
      </c>
      <c r="AT208" s="14">
        <f>IF(武将升级!AA205="",0,求节点($AK$5:$AK$164,$AJ$5:$AJ$164,$AQ208)*D$5*武将升级!AA205)</f>
        <v>0</v>
      </c>
      <c r="AU208" s="14">
        <f>IF(武将升级!AB205="",0,求节点($AK$5:$AK$164,$AJ$5:$AJ$164,$AQ208)*E$5*武将升级!AB205)</f>
        <v>0</v>
      </c>
      <c r="AV208" s="14">
        <f>IF(武将升级!AC205="",0,求节点($AK$5:$AK$164,$AJ$5:$AJ$164,$AQ208)*F$5*武将升级!AC205)</f>
        <v>4299.0026481746536</v>
      </c>
      <c r="AW208" s="8">
        <f>SUMPRODUCT(AR208:AV208,基础状态预期!F218:J218)/SUM(基础状态预期!F218:J218)</f>
        <v>4299.0026481746536</v>
      </c>
    </row>
    <row r="209" spans="41:49" x14ac:dyDescent="0.15">
      <c r="AO209" s="5">
        <v>26</v>
      </c>
      <c r="AP209" s="14">
        <f>基础状态预期!D219</f>
        <v>104.52148587104635</v>
      </c>
      <c r="AQ209" s="14">
        <f>(求节点(其他调用!$B$4:$B$163,其他调用!$G$4:$G$163,$AP209))*求节点(武将数量星级阶位验证!$CP$41:$CP$72,武将数量星级阶位验证!$CU$41:$CU$72,武将数量星级阶位验证!AS209)</f>
        <v>8369265.8765508868</v>
      </c>
      <c r="AR209" s="14">
        <f>IF(武将升级!Y206="",0,求节点($AK$5:$AK$164,$AJ$5:$AJ$164,AQ$7)*B$5*武将升级!Y206)</f>
        <v>0</v>
      </c>
      <c r="AS209" s="14">
        <f>IF(武将升级!Z206="",0,求节点($AK$5:$AK$164,$AJ$5:$AJ$164,$AQ209)*C$5*武将升级!Z206)</f>
        <v>0</v>
      </c>
      <c r="AT209" s="14">
        <f>IF(武将升级!AA206="",0,求节点($AK$5:$AK$164,$AJ$5:$AJ$164,$AQ209)*D$5*武将升级!AA206)</f>
        <v>0</v>
      </c>
      <c r="AU209" s="14">
        <f>IF(武将升级!AB206="",0,求节点($AK$5:$AK$164,$AJ$5:$AJ$164,$AQ209)*E$5*武将升级!AB206)</f>
        <v>0</v>
      </c>
      <c r="AV209" s="14">
        <f>IF(武将升级!AC206="",0,求节点($AK$5:$AK$164,$AJ$5:$AJ$164,$AQ209)*F$5*武将升级!AC206)</f>
        <v>4436.0121659255519</v>
      </c>
      <c r="AW209" s="8">
        <f>SUMPRODUCT(AR209:AV209,基础状态预期!F219:J219)/SUM(基础状态预期!F219:J219)</f>
        <v>4436.0121659255519</v>
      </c>
    </row>
    <row r="210" spans="41:49" x14ac:dyDescent="0.15">
      <c r="AO210" s="5">
        <v>27</v>
      </c>
      <c r="AP210" s="14">
        <f>基础状态预期!D220</f>
        <v>108.05586950728798</v>
      </c>
      <c r="AQ210" s="14">
        <f>(求节点(其他调用!$B$4:$B$163,其他调用!$G$4:$G$163,$AP210))*求节点(武将数量星级阶位验证!$CP$41:$CP$72,武将数量星级阶位验证!$CU$41:$CU$72,武将数量星级阶位验证!AS210)</f>
        <v>10117999.174269477</v>
      </c>
      <c r="AR210" s="14">
        <f>IF(武将升级!Y207="",0,求节点($AK$5:$AK$164,$AJ$5:$AJ$164,AQ$7)*B$5*武将升级!Y207)</f>
        <v>0</v>
      </c>
      <c r="AS210" s="14">
        <f>IF(武将升级!Z207="",0,求节点($AK$5:$AK$164,$AJ$5:$AJ$164,$AQ210)*C$5*武将升级!Z207)</f>
        <v>0</v>
      </c>
      <c r="AT210" s="14">
        <f>IF(武将升级!AA207="",0,求节点($AK$5:$AK$164,$AJ$5:$AJ$164,$AQ210)*D$5*武将升级!AA207)</f>
        <v>0</v>
      </c>
      <c r="AU210" s="14">
        <f>IF(武将升级!AB207="",0,求节点($AK$5:$AK$164,$AJ$5:$AJ$164,$AQ210)*E$5*武将升级!AB207)</f>
        <v>0</v>
      </c>
      <c r="AV210" s="14">
        <f>IF(武将升级!AC207="",0,求节点($AK$5:$AK$164,$AJ$5:$AJ$164,$AQ210)*F$5*武将升级!AC207)</f>
        <v>4569.6118673754854</v>
      </c>
      <c r="AW210" s="8">
        <f>SUMPRODUCT(AR210:AV210,基础状态预期!F220:J220)/SUM(基础状态预期!F220:J220)</f>
        <v>4569.6118673754854</v>
      </c>
    </row>
    <row r="211" spans="41:49" x14ac:dyDescent="0.15">
      <c r="AO211" s="5">
        <v>28</v>
      </c>
      <c r="AP211" s="14">
        <f>基础状态预期!D221</f>
        <v>111.54601176466306</v>
      </c>
      <c r="AQ211" s="14">
        <f>(求节点(其他调用!$B$4:$B$163,其他调用!$G$4:$G$163,$AP211))*求节点(武将数量星级阶位验证!$CP$41:$CP$72,武将数量星级阶位验证!$CU$41:$CU$72,武将数量星级阶位验证!AS211)</f>
        <v>12348392.336667024</v>
      </c>
      <c r="AR211" s="14">
        <f>IF(武将升级!Y208="",0,求节点($AK$5:$AK$164,$AJ$5:$AJ$164,AQ$7)*B$5*武将升级!Y208)</f>
        <v>0</v>
      </c>
      <c r="AS211" s="14">
        <f>IF(武将升级!Z208="",0,求节点($AK$5:$AK$164,$AJ$5:$AJ$164,$AQ211)*C$5*武将升级!Z208)</f>
        <v>0</v>
      </c>
      <c r="AT211" s="14">
        <f>IF(武将升级!AA208="",0,求节点($AK$5:$AK$164,$AJ$5:$AJ$164,$AQ211)*D$5*武将升级!AA208)</f>
        <v>0</v>
      </c>
      <c r="AU211" s="14">
        <f>IF(武将升级!AB208="",0,求节点($AK$5:$AK$164,$AJ$5:$AJ$164,$AQ211)*E$5*武将升级!AB208)</f>
        <v>0</v>
      </c>
      <c r="AV211" s="14">
        <f>IF(武将升级!AC208="",0,求节点($AK$5:$AK$164,$AJ$5:$AJ$164,$AQ211)*F$5*武将升级!AC208)</f>
        <v>4701.5392447042641</v>
      </c>
      <c r="AW211" s="8">
        <f>SUMPRODUCT(AR211:AV211,基础状态预期!F221:J221)/SUM(基础状态预期!F221:J221)</f>
        <v>4701.5392447042641</v>
      </c>
    </row>
    <row r="212" spans="41:49" x14ac:dyDescent="0.15">
      <c r="AO212" s="5">
        <v>29</v>
      </c>
      <c r="AP212" s="14">
        <f>基础状态预期!D222</f>
        <v>115.20444967370992</v>
      </c>
      <c r="AQ212" s="14">
        <f>(求节点(其他调用!$B$4:$B$163,其他调用!$G$4:$G$163,$AP212))*求节点(武将数量星级阶位验证!$CP$41:$CP$72,武将数量星级阶位验证!$CU$41:$CU$72,武将数量星级阶位验证!AS212)</f>
        <v>15058770.793661913</v>
      </c>
      <c r="AR212" s="14">
        <f>IF(武将升级!Y209="",0,求节点($AK$5:$AK$164,$AJ$5:$AJ$164,AQ$7)*B$5*武将升级!Y209)</f>
        <v>0</v>
      </c>
      <c r="AS212" s="14">
        <f>IF(武将升级!Z209="",0,求节点($AK$5:$AK$164,$AJ$5:$AJ$164,$AQ212)*C$5*武将升级!Z209)</f>
        <v>0</v>
      </c>
      <c r="AT212" s="14">
        <f>IF(武将升级!AA209="",0,求节点($AK$5:$AK$164,$AJ$5:$AJ$164,$AQ212)*D$5*武将升级!AA209)</f>
        <v>0</v>
      </c>
      <c r="AU212" s="14">
        <f>IF(武将升级!AB209="",0,求节点($AK$5:$AK$164,$AJ$5:$AJ$164,$AQ212)*E$5*武将升级!AB209)</f>
        <v>0</v>
      </c>
      <c r="AV212" s="14">
        <f>IF(武将升级!AC209="",0,求节点($AK$5:$AK$164,$AJ$5:$AJ$164,$AQ212)*F$5*武将升级!AC209)</f>
        <v>4839.8281976662347</v>
      </c>
      <c r="AW212" s="8">
        <f>SUMPRODUCT(AR212:AV212,基础状态预期!F222:J222)/SUM(基础状态预期!F222:J222)</f>
        <v>4839.8281976662347</v>
      </c>
    </row>
    <row r="213" spans="41:49" x14ac:dyDescent="0.15">
      <c r="AO213" s="5">
        <v>30</v>
      </c>
      <c r="AP213" s="14">
        <f>基础状态预期!D223</f>
        <v>118.75432507225094</v>
      </c>
      <c r="AQ213" s="14">
        <f>(求节点(其他调用!$B$4:$B$163,其他调用!$G$4:$G$163,$AP213))*求节点(武将数量星级阶位验证!$CP$41:$CP$72,武将数量星级阶位验证!$CU$41:$CU$72,武将数量星级阶位验证!AS213)</f>
        <v>18600180.905243307</v>
      </c>
      <c r="AR213" s="14">
        <f>IF(武将升级!Y210="",0,求节点($AK$5:$AK$164,$AJ$5:$AJ$164,AQ$7)*B$5*武将升级!Y210)</f>
        <v>0</v>
      </c>
      <c r="AS213" s="14">
        <f>IF(武将升级!Z210="",0,求节点($AK$5:$AK$164,$AJ$5:$AJ$164,$AQ213)*C$5*武将升级!Z210)</f>
        <v>0</v>
      </c>
      <c r="AT213" s="14">
        <f>IF(武将升级!AA210="",0,求节点($AK$5:$AK$164,$AJ$5:$AJ$164,$AQ213)*D$5*武将升级!AA210)</f>
        <v>0</v>
      </c>
      <c r="AU213" s="14">
        <f>IF(武将升级!AB210="",0,求节点($AK$5:$AK$164,$AJ$5:$AJ$164,$AQ213)*E$5*武将升级!AB210)</f>
        <v>0</v>
      </c>
      <c r="AV213" s="14">
        <f>IF(武将升级!AC210="",0,求节点($AK$5:$AK$164,$AJ$5:$AJ$164,$AQ213)*F$5*武将升级!AC210)</f>
        <v>4974.0134877310848</v>
      </c>
      <c r="AW213" s="8">
        <f>SUMPRODUCT(AR213:AV213,基础状态预期!F223:J223)/SUM(基础状态预期!F223:J223)</f>
        <v>4974.0134877310848</v>
      </c>
    </row>
    <row r="214" spans="41:49" x14ac:dyDescent="0.15">
      <c r="AO214" s="5">
        <v>31</v>
      </c>
      <c r="AP214" s="14">
        <f>基础状态预期!D224</f>
        <v>122.26514676047371</v>
      </c>
      <c r="AQ214" s="14">
        <f>(求节点(其他调用!$B$4:$B$163,其他调用!$G$4:$G$163,$AP214))*求节点(武将数量星级阶位验证!$CP$41:$CP$72,武将数量星级阶位验证!$CU$41:$CU$72,武将数量星级阶位验证!AS214)</f>
        <v>23185874.312493965</v>
      </c>
      <c r="AR214" s="14">
        <f>IF(武将升级!Y211="",0,求节点($AK$5:$AK$164,$AJ$5:$AJ$164,AQ$7)*B$5*武将升级!Y211)</f>
        <v>0</v>
      </c>
      <c r="AS214" s="14">
        <f>IF(武将升级!Z211="",0,求节点($AK$5:$AK$164,$AJ$5:$AJ$164,$AQ214)*C$5*武将升级!Z211)</f>
        <v>0</v>
      </c>
      <c r="AT214" s="14">
        <f>IF(武将升级!AA211="",0,求节点($AK$5:$AK$164,$AJ$5:$AJ$164,$AQ214)*D$5*武将升级!AA211)</f>
        <v>0</v>
      </c>
      <c r="AU214" s="14">
        <f>IF(武将升级!AB211="",0,求节点($AK$5:$AK$164,$AJ$5:$AJ$164,$AQ214)*E$5*武将升级!AB211)</f>
        <v>0</v>
      </c>
      <c r="AV214" s="14">
        <f>IF(武将升级!AC211="",0,求节点($AK$5:$AK$164,$AJ$5:$AJ$164,$AQ214)*F$5*武将升级!AC211)</f>
        <v>5106.7225475459063</v>
      </c>
      <c r="AW214" s="8">
        <f>SUMPRODUCT(AR214:AV214,基础状态预期!F224:J224)/SUM(基础状态预期!F224:J224)</f>
        <v>5106.7225475459063</v>
      </c>
    </row>
    <row r="215" spans="41:49" x14ac:dyDescent="0.15">
      <c r="AO215" s="5">
        <v>32</v>
      </c>
      <c r="AP215" s="14">
        <f>基础状态预期!D225</f>
        <v>125.84855083483956</v>
      </c>
      <c r="AQ215" s="14">
        <f>(求节点(其他调用!$B$4:$B$163,其他调用!$G$4:$G$163,$AP215))*求节点(武将数量星级阶位验证!$CP$41:$CP$72,武将数量星级阶位验证!$CU$41:$CU$72,武将数量星级阶位验证!AS215)</f>
        <v>29145073.478366893</v>
      </c>
      <c r="AR215" s="14">
        <f>IF(武将升级!Y212="",0,求节点($AK$5:$AK$164,$AJ$5:$AJ$164,AQ$7)*B$5*武将升级!Y212)</f>
        <v>0</v>
      </c>
      <c r="AS215" s="14">
        <f>IF(武将升级!Z212="",0,求节点($AK$5:$AK$164,$AJ$5:$AJ$164,$AQ215)*C$5*武将升级!Z212)</f>
        <v>0</v>
      </c>
      <c r="AT215" s="14">
        <f>IF(武将升级!AA212="",0,求节点($AK$5:$AK$164,$AJ$5:$AJ$164,$AQ215)*D$5*武将升级!AA212)</f>
        <v>0</v>
      </c>
      <c r="AU215" s="14">
        <f>IF(武将升级!AB212="",0,求节点($AK$5:$AK$164,$AJ$5:$AJ$164,$AQ215)*E$5*武将升级!AB212)</f>
        <v>0</v>
      </c>
      <c r="AV215" s="14">
        <f>IF(武将升级!AC212="",0,求节点($AK$5:$AK$164,$AJ$5:$AJ$164,$AQ215)*F$5*武将升级!AC212)</f>
        <v>5242.1752215569359</v>
      </c>
      <c r="AW215" s="8">
        <f>SUMPRODUCT(AR215:AV215,基础状态预期!F225:J225)/SUM(基础状态预期!F225:J225)</f>
        <v>5242.1752215569359</v>
      </c>
    </row>
    <row r="216" spans="41:49" x14ac:dyDescent="0.15">
      <c r="AO216" s="5">
        <v>33</v>
      </c>
      <c r="AP216" s="14">
        <f>基础状态预期!D226</f>
        <v>129.43528964176323</v>
      </c>
      <c r="AQ216" s="14">
        <f>(求节点(其他调用!$B$4:$B$163,其他调用!$G$4:$G$163,$AP216))*求节点(武将数量星级阶位验证!$CP$41:$CP$72,武将数量星级阶位验证!$CU$41:$CU$72,武将数量星级阶位验证!AS216)</f>
        <v>36674453.993732803</v>
      </c>
      <c r="AR216" s="14">
        <f>IF(武将升级!Y213="",0,求节点($AK$5:$AK$164,$AJ$5:$AJ$164,AQ$7)*B$5*武将升级!Y213)</f>
        <v>0</v>
      </c>
      <c r="AS216" s="14">
        <f>IF(武将升级!Z213="",0,求节点($AK$5:$AK$164,$AJ$5:$AJ$164,$AQ216)*C$5*武将升级!Z213)</f>
        <v>0</v>
      </c>
      <c r="AT216" s="14">
        <f>IF(武将升级!AA213="",0,求节点($AK$5:$AK$164,$AJ$5:$AJ$164,$AQ216)*D$5*武将升级!AA213)</f>
        <v>0</v>
      </c>
      <c r="AU216" s="14">
        <f>IF(武将升级!AB213="",0,求节点($AK$5:$AK$164,$AJ$5:$AJ$164,$AQ216)*E$5*武将升级!AB213)</f>
        <v>0</v>
      </c>
      <c r="AV216" s="14">
        <f>IF(武将升级!AC213="",0,求节点($AK$5:$AK$164,$AJ$5:$AJ$164,$AQ216)*F$5*武将升级!AC213)</f>
        <v>5377.7539484586505</v>
      </c>
      <c r="AW216" s="8">
        <f>SUMPRODUCT(AR216:AV216,基础状态预期!F226:J226)/SUM(基础状态预期!F226:J226)</f>
        <v>5377.7539484586505</v>
      </c>
    </row>
    <row r="217" spans="41:49" x14ac:dyDescent="0.15">
      <c r="AO217" s="5">
        <v>34</v>
      </c>
      <c r="AP217" s="14">
        <f>基础状态预期!D227</f>
        <v>133.03192104200832</v>
      </c>
      <c r="AQ217" s="14">
        <f>(求节点(其他调用!$B$4:$B$163,其他调用!$G$4:$G$163,$AP217))*求节点(武将数量星级阶位验证!$CP$41:$CP$72,武将数量星级阶位验证!$CU$41:$CU$72,武将数量星级阶位验证!AS217)</f>
        <v>45997568.818150185</v>
      </c>
      <c r="AR217" s="14">
        <f>IF(武将升级!Y214="",0,求节点($AK$5:$AK$164,$AJ$5:$AJ$164,AQ$7)*B$5*武将升级!Y214)</f>
        <v>0</v>
      </c>
      <c r="AS217" s="14">
        <f>IF(武将升级!Z214="",0,求节点($AK$5:$AK$164,$AJ$5:$AJ$164,$AQ217)*C$5*武将升级!Z214)</f>
        <v>0</v>
      </c>
      <c r="AT217" s="14">
        <f>IF(武将升级!AA214="",0,求节点($AK$5:$AK$164,$AJ$5:$AJ$164,$AQ217)*D$5*武将升级!AA214)</f>
        <v>0</v>
      </c>
      <c r="AU217" s="14">
        <f>IF(武将升级!AB214="",0,求节点($AK$5:$AK$164,$AJ$5:$AJ$164,$AQ217)*E$5*武将升级!AB214)</f>
        <v>0</v>
      </c>
      <c r="AV217" s="14">
        <f>IF(武将升级!AC214="",0,求节点($AK$5:$AK$164,$AJ$5:$AJ$164,$AQ217)*F$5*武将升级!AC214)</f>
        <v>5513.7066153879141</v>
      </c>
      <c r="AW217" s="8">
        <f>SUMPRODUCT(AR217:AV217,基础状态预期!F227:J227)/SUM(基础状态预期!F227:J227)</f>
        <v>5513.7066153879141</v>
      </c>
    </row>
    <row r="218" spans="41:49" x14ac:dyDescent="0.15">
      <c r="AO218" s="5">
        <v>35</v>
      </c>
      <c r="AP218" s="14">
        <f>基础状态预期!D228</f>
        <v>136.45508882162355</v>
      </c>
      <c r="AQ218" s="14">
        <f>(求节点(其他调用!$B$4:$B$163,其他调用!$G$4:$G$163,$AP218))*求节点(武将数量星级阶位验证!$CP$41:$CP$72,武将数量星级阶位验证!$CU$41:$CU$72,武将数量星级阶位验证!AS218)</f>
        <v>57627532.825092755</v>
      </c>
      <c r="AR218" s="14">
        <f>IF(武将升级!Y215="",0,求节点($AK$5:$AK$164,$AJ$5:$AJ$164,AQ$7)*B$5*武将升级!Y215)</f>
        <v>0</v>
      </c>
      <c r="AS218" s="14">
        <f>IF(武将升级!Z215="",0,求节点($AK$5:$AK$164,$AJ$5:$AJ$164,$AQ218)*C$5*武将升级!Z215)</f>
        <v>0</v>
      </c>
      <c r="AT218" s="14">
        <f>IF(武将升级!AA215="",0,求节点($AK$5:$AK$164,$AJ$5:$AJ$164,$AQ218)*D$5*武将升级!AA215)</f>
        <v>0</v>
      </c>
      <c r="AU218" s="14">
        <f>IF(武将升级!AB215="",0,求节点($AK$5:$AK$164,$AJ$5:$AJ$164,$AQ218)*E$5*武将升级!AB215)</f>
        <v>0</v>
      </c>
      <c r="AV218" s="14">
        <f>IF(武将升级!AC215="",0,求节点($AK$5:$AK$164,$AJ$5:$AJ$164,$AQ218)*F$5*武将升级!AC215)</f>
        <v>5643.1023574573701</v>
      </c>
      <c r="AW218" s="8">
        <f>SUMPRODUCT(AR218:AV218,基础状态预期!F228:J228)/SUM(基础状态预期!F228:J228)</f>
        <v>5643.1023574573701</v>
      </c>
    </row>
    <row r="219" spans="41:49" x14ac:dyDescent="0.15">
      <c r="AO219" s="5">
        <v>36</v>
      </c>
      <c r="AP219" s="14">
        <f>基础状态预期!D229</f>
        <v>140.08772492574531</v>
      </c>
      <c r="AQ219" s="14">
        <f>(求节点(其他调用!$B$4:$B$163,其他调用!$G$4:$G$163,$AP219))*求节点(武将数量星级阶位验证!$CP$41:$CP$72,武将数量星级阶位验证!$CU$41:$CU$72,武将数量星级阶位验证!AS219)</f>
        <v>72303052.076884374</v>
      </c>
      <c r="AR219" s="14">
        <f>IF(武将升级!Y216="",0,求节点($AK$5:$AK$164,$AJ$5:$AJ$164,AQ$7)*B$5*武将升级!Y216)</f>
        <v>0</v>
      </c>
      <c r="AS219" s="14">
        <f>IF(武将升级!Z216="",0,求节点($AK$5:$AK$164,$AJ$5:$AJ$164,$AQ219)*C$5*武将升级!Z216)</f>
        <v>0</v>
      </c>
      <c r="AT219" s="14">
        <f>IF(武将升级!AA216="",0,求节点($AK$5:$AK$164,$AJ$5:$AJ$164,$AQ219)*D$5*武将升级!AA216)</f>
        <v>0</v>
      </c>
      <c r="AU219" s="14">
        <f>IF(武将升级!AB216="",0,求节点($AK$5:$AK$164,$AJ$5:$AJ$164,$AQ219)*E$5*武将升级!AB216)</f>
        <v>0</v>
      </c>
      <c r="AV219" s="14">
        <f>IF(武将升级!AC216="",0,求节点($AK$5:$AK$164,$AJ$5:$AJ$164,$AQ219)*F$5*武将升级!AC216)</f>
        <v>5780.4160021931721</v>
      </c>
      <c r="AW219" s="8">
        <f>SUMPRODUCT(AR219:AV219,基础状态预期!F229:J229)/SUM(基础状态预期!F229:J229)</f>
        <v>5780.4160021931721</v>
      </c>
    </row>
    <row r="220" spans="41:49" x14ac:dyDescent="0.15">
      <c r="AO220" s="5">
        <v>37</v>
      </c>
      <c r="AP220" s="14">
        <f>基础状态预期!D230</f>
        <v>143.51956656528549</v>
      </c>
      <c r="AQ220" s="14">
        <f>(求节点(其他调用!$B$4:$B$163,其他调用!$G$4:$G$163,$AP220))*求节点(武将数量星级阶位验证!$CP$41:$CP$72,武将数量星级阶位验证!$CU$41:$CU$72,武将数量星级阶位验证!AS220)</f>
        <v>90665621.323245034</v>
      </c>
      <c r="AR220" s="14">
        <f>IF(武将升级!Y217="",0,求节点($AK$5:$AK$164,$AJ$5:$AJ$164,AQ$7)*B$5*武将升级!Y217)</f>
        <v>0</v>
      </c>
      <c r="AS220" s="14">
        <f>IF(武将升级!Z217="",0,求节点($AK$5:$AK$164,$AJ$5:$AJ$164,$AQ220)*C$5*武将升级!Z217)</f>
        <v>0</v>
      </c>
      <c r="AT220" s="14">
        <f>IF(武将升级!AA217="",0,求节点($AK$5:$AK$164,$AJ$5:$AJ$164,$AQ220)*D$5*武将升级!AA217)</f>
        <v>0</v>
      </c>
      <c r="AU220" s="14">
        <f>IF(武将升级!AB217="",0,求节点($AK$5:$AK$164,$AJ$5:$AJ$164,$AQ220)*E$5*武将升级!AB217)</f>
        <v>0</v>
      </c>
      <c r="AV220" s="14">
        <f>IF(武将升级!AC217="",0,求节点($AK$5:$AK$164,$AJ$5:$AJ$164,$AQ220)*F$5*武将升级!AC217)</f>
        <v>5910.1396161677912</v>
      </c>
      <c r="AW220" s="8">
        <f>SUMPRODUCT(AR220:AV220,基础状态预期!F230:J230)/SUM(基础状态预期!F230:J230)</f>
        <v>5910.1396161677912</v>
      </c>
    </row>
    <row r="221" spans="41:49" x14ac:dyDescent="0.15">
      <c r="AO221" s="5">
        <v>38</v>
      </c>
      <c r="AP221" s="14">
        <f>基础状态预期!D231</f>
        <v>147.17868266109423</v>
      </c>
      <c r="AQ221" s="14">
        <f>(求节点(其他调用!$B$4:$B$163,其他调用!$G$4:$G$163,$AP221))*求节点(武将数量星级阶位验证!$CP$41:$CP$72,武将数量星级阶位验证!$CU$41:$CU$72,武将数量星级阶位验证!AS221)</f>
        <v>113611885.23717132</v>
      </c>
      <c r="AR221" s="14">
        <f>IF(武将升级!Y218="",0,求节点($AK$5:$AK$164,$AJ$5:$AJ$164,AQ$7)*B$5*武将升级!Y218)</f>
        <v>0</v>
      </c>
      <c r="AS221" s="14">
        <f>IF(武将升级!Z218="",0,求节点($AK$5:$AK$164,$AJ$5:$AJ$164,$AQ221)*C$5*武将升级!Z218)</f>
        <v>0</v>
      </c>
      <c r="AT221" s="14">
        <f>IF(武将升级!AA218="",0,求节点($AK$5:$AK$164,$AJ$5:$AJ$164,$AQ221)*D$5*武将升级!AA218)</f>
        <v>0</v>
      </c>
      <c r="AU221" s="14">
        <f>IF(武将升级!AB218="",0,求节点($AK$5:$AK$164,$AJ$5:$AJ$164,$AQ221)*E$5*武将升级!AB218)</f>
        <v>0</v>
      </c>
      <c r="AV221" s="14">
        <f>IF(武将升级!AC218="",0,求节点($AK$5:$AK$164,$AJ$5:$AJ$164,$AQ221)*F$5*武将升级!AC218)</f>
        <v>6048.4542045893622</v>
      </c>
      <c r="AW221" s="8">
        <f>SUMPRODUCT(AR221:AV221,基础状态预期!F231:J231)/SUM(基础状态预期!F231:J231)</f>
        <v>6048.4542045893622</v>
      </c>
    </row>
    <row r="222" spans="41:49" x14ac:dyDescent="0.15">
      <c r="AO222" s="5">
        <v>39</v>
      </c>
      <c r="AP222" s="14">
        <f>基础状态预期!D232</f>
        <v>150.49637054967232</v>
      </c>
      <c r="AQ222" s="14">
        <f>(求节点(其他调用!$B$4:$B$163,其他调用!$G$4:$G$163,$AP222))*求节点(武将数量星级阶位验证!$CP$41:$CP$72,武将数量星级阶位验证!$CU$41:$CU$72,武将数量星级阶位验证!AS222)</f>
        <v>142731940.91827112</v>
      </c>
      <c r="AR222" s="14">
        <f>IF(武将升级!Y219="",0,求节点($AK$5:$AK$164,$AJ$5:$AJ$164,AQ$7)*B$5*武将升级!Y219)</f>
        <v>0</v>
      </c>
      <c r="AS222" s="14">
        <f>IF(武将升级!Z219="",0,求节点($AK$5:$AK$164,$AJ$5:$AJ$164,$AQ222)*C$5*武将升级!Z219)</f>
        <v>0</v>
      </c>
      <c r="AT222" s="14">
        <f>IF(武将升级!AA219="",0,求节点($AK$5:$AK$164,$AJ$5:$AJ$164,$AQ222)*D$5*武将升级!AA219)</f>
        <v>0</v>
      </c>
      <c r="AU222" s="14">
        <f>IF(武将升级!AB219="",0,求节点($AK$5:$AK$164,$AJ$5:$AJ$164,$AQ222)*E$5*武将升级!AB219)</f>
        <v>0</v>
      </c>
      <c r="AV222" s="14">
        <f>IF(武将升级!AC219="",0,求节点($AK$5:$AK$164,$AJ$5:$AJ$164,$AQ222)*F$5*武将升级!AC219)</f>
        <v>6155.1</v>
      </c>
      <c r="AW222" s="8">
        <f>SUMPRODUCT(AR222:AV222,基础状态预期!F232:J232)/SUM(基础状态预期!F232:J232)</f>
        <v>6155.1000000000013</v>
      </c>
    </row>
    <row r="223" spans="41:49" x14ac:dyDescent="0.15">
      <c r="AO223" s="5">
        <v>40</v>
      </c>
      <c r="AP223" s="14">
        <f>基础状态预期!D233</f>
        <v>151.40240982411487</v>
      </c>
      <c r="AQ223" s="14">
        <f>(求节点(其他调用!$B$4:$B$163,其他调用!$G$4:$G$163,$AP223))*求节点(武将数量星级阶位验证!$CP$41:$CP$72,武将数量星级阶位验证!$CU$41:$CU$72,武将数量星级阶位验证!AS223)</f>
        <v>179143581.13905981</v>
      </c>
      <c r="AR223" s="14">
        <f>IF(武将升级!Y220="",0,求节点($AK$5:$AK$164,$AJ$5:$AJ$164,AQ$7)*B$5*武将升级!Y220)</f>
        <v>0</v>
      </c>
      <c r="AS223" s="14">
        <f>IF(武将升级!Z220="",0,求节点($AK$5:$AK$164,$AJ$5:$AJ$164,$AQ223)*C$5*武将升级!Z220)</f>
        <v>0</v>
      </c>
      <c r="AT223" s="14">
        <f>IF(武将升级!AA220="",0,求节点($AK$5:$AK$164,$AJ$5:$AJ$164,$AQ223)*D$5*武将升级!AA220)</f>
        <v>0</v>
      </c>
      <c r="AU223" s="14">
        <f>IF(武将升级!AB220="",0,求节点($AK$5:$AK$164,$AJ$5:$AJ$164,$AQ223)*E$5*武将升级!AB220)</f>
        <v>0</v>
      </c>
      <c r="AV223" s="14">
        <f>IF(武将升级!AC220="",0,求节点($AK$5:$AK$164,$AJ$5:$AJ$164,$AQ223)*F$5*武将升级!AC220)</f>
        <v>6155.1</v>
      </c>
      <c r="AW223" s="8">
        <f>SUMPRODUCT(AR223:AV223,基础状态预期!F233:J233)/SUM(基础状态预期!F233:J233)</f>
        <v>6155.1000000000013</v>
      </c>
    </row>
    <row r="224" spans="41:49" x14ac:dyDescent="0.15">
      <c r="AO224" s="5">
        <v>41</v>
      </c>
      <c r="AP224" s="14">
        <f>基础状态预期!D234</f>
        <v>152.00526961196863</v>
      </c>
      <c r="AQ224" s="14">
        <f>(求节点(其他调用!$B$4:$B$163,其他调用!$G$4:$G$163,$AP224))*求节点(武将数量星级阶位验证!$CP$41:$CP$72,武将数量星级阶位验证!$CU$41:$CU$72,武将数量星级阶位验证!AS224)</f>
        <v>224813029.88805982</v>
      </c>
      <c r="AR224" s="14">
        <f>IF(武将升级!Y221="",0,求节点($AK$5:$AK$164,$AJ$5:$AJ$164,AQ$7)*B$5*武将升级!Y221)</f>
        <v>0</v>
      </c>
      <c r="AS224" s="14">
        <f>IF(武将升级!Z221="",0,求节点($AK$5:$AK$164,$AJ$5:$AJ$164,$AQ224)*C$5*武将升级!Z221)</f>
        <v>0</v>
      </c>
      <c r="AT224" s="14">
        <f>IF(武将升级!AA221="",0,求节点($AK$5:$AK$164,$AJ$5:$AJ$164,$AQ224)*D$5*武将升级!AA221)</f>
        <v>0</v>
      </c>
      <c r="AU224" s="14">
        <f>IF(武将升级!AB221="",0,求节点($AK$5:$AK$164,$AJ$5:$AJ$164,$AQ224)*E$5*武将升级!AB221)</f>
        <v>0</v>
      </c>
      <c r="AV224" s="14">
        <f>IF(武将升级!AC221="",0,求节点($AK$5:$AK$164,$AJ$5:$AJ$164,$AQ224)*F$5*武将升级!AC221)</f>
        <v>6155.1</v>
      </c>
      <c r="AW224" s="8">
        <f>SUMPRODUCT(AR224:AV224,基础状态预期!F234:J234)/SUM(基础状态预期!F234:J234)</f>
        <v>6155.1000000000013</v>
      </c>
    </row>
    <row r="225" spans="41:49" x14ac:dyDescent="0.15">
      <c r="AO225" s="5">
        <v>42</v>
      </c>
      <c r="AP225" s="14">
        <f>基础状态预期!D235</f>
        <v>152.38629594951036</v>
      </c>
      <c r="AQ225" s="14">
        <f>(求节点(其他调用!$B$4:$B$163,其他调用!$G$4:$G$163,$AP225))*求节点(武将数量星级阶位验证!$CP$41:$CP$72,武将数量星级阶位验证!$CU$41:$CU$72,武将数量星级阶位验证!AS225)</f>
        <v>281755763.69809401</v>
      </c>
      <c r="AR225" s="14">
        <f>IF(武将升级!Y222="",0,求节点($AK$5:$AK$164,$AJ$5:$AJ$164,AQ$7)*B$5*武将升级!Y222)</f>
        <v>0</v>
      </c>
      <c r="AS225" s="14">
        <f>IF(武将升级!Z222="",0,求节点($AK$5:$AK$164,$AJ$5:$AJ$164,$AQ225)*C$5*武将升级!Z222)</f>
        <v>0</v>
      </c>
      <c r="AT225" s="14">
        <f>IF(武将升级!AA222="",0,求节点($AK$5:$AK$164,$AJ$5:$AJ$164,$AQ225)*D$5*武将升级!AA222)</f>
        <v>0</v>
      </c>
      <c r="AU225" s="14">
        <f>IF(武将升级!AB222="",0,求节点($AK$5:$AK$164,$AJ$5:$AJ$164,$AQ225)*E$5*武将升级!AB222)</f>
        <v>0</v>
      </c>
      <c r="AV225" s="14">
        <f>IF(武将升级!AC222="",0,求节点($AK$5:$AK$164,$AJ$5:$AJ$164,$AQ225)*F$5*武将升级!AC222)</f>
        <v>6155.1</v>
      </c>
      <c r="AW225" s="8">
        <f>SUMPRODUCT(AR225:AV225,基础状态预期!F235:J235)/SUM(基础状态预期!F235:J235)</f>
        <v>6155.1000000000013</v>
      </c>
    </row>
    <row r="226" spans="41:49" x14ac:dyDescent="0.15">
      <c r="AO226" s="5">
        <v>43</v>
      </c>
    </row>
    <row r="227" spans="41:49" x14ac:dyDescent="0.15">
      <c r="AO227" s="5">
        <v>44</v>
      </c>
    </row>
    <row r="228" spans="41:49" x14ac:dyDescent="0.15">
      <c r="AO228" s="5">
        <v>45</v>
      </c>
    </row>
  </sheetData>
  <mergeCells count="7">
    <mergeCell ref="AR140:AW140"/>
    <mergeCell ref="AR185:AW185"/>
    <mergeCell ref="AR5:AW5"/>
    <mergeCell ref="AA8:AF8"/>
    <mergeCell ref="S8:X8"/>
    <mergeCell ref="AR50:AW50"/>
    <mergeCell ref="AR95:AW95"/>
  </mergeCells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BC115"/>
  <sheetViews>
    <sheetView workbookViewId="0">
      <selection activeCell="K32" sqref="K32"/>
    </sheetView>
  </sheetViews>
  <sheetFormatPr defaultRowHeight="11.25" x14ac:dyDescent="0.15"/>
  <cols>
    <col min="1" max="1" width="10.5" style="5" bestFit="1" customWidth="1"/>
    <col min="2" max="6" width="6.25" style="5" customWidth="1"/>
    <col min="7" max="7" width="7.25" style="5" customWidth="1"/>
    <col min="8" max="8" width="4.5" style="36" customWidth="1"/>
    <col min="9" max="9" width="16.375" style="17" customWidth="1"/>
    <col min="10" max="13" width="7.5" style="17" customWidth="1"/>
    <col min="14" max="14" width="9" style="7"/>
    <col min="15" max="15" width="9" style="36"/>
    <col min="16" max="16" width="9" style="5"/>
    <col min="17" max="17" width="12.25" style="7" bestFit="1" customWidth="1"/>
    <col min="18" max="23" width="9" style="7"/>
    <col min="24" max="24" width="10.25" style="7" customWidth="1"/>
    <col min="25" max="25" width="9" style="5"/>
    <col min="26" max="26" width="9.125" style="5" customWidth="1"/>
    <col min="27" max="31" width="9" style="7"/>
    <col min="32" max="32" width="10.875" style="7" customWidth="1"/>
    <col min="33" max="33" width="9" style="5"/>
    <col min="34" max="34" width="11.375" style="5" bestFit="1" customWidth="1"/>
    <col min="35" max="35" width="9" style="4"/>
    <col min="36" max="36" width="9" style="98"/>
    <col min="37" max="38" width="9" style="5"/>
    <col min="39" max="39" width="6.625" style="36" customWidth="1"/>
    <col min="40" max="50" width="9" style="5"/>
    <col min="51" max="51" width="5.875" style="18" customWidth="1"/>
    <col min="52" max="52" width="9" style="5"/>
    <col min="53" max="53" width="6.375" style="5" bestFit="1" customWidth="1"/>
    <col min="54" max="54" width="6.75" style="5" bestFit="1" customWidth="1"/>
    <col min="55" max="55" width="6.375" style="5" customWidth="1"/>
    <col min="56" max="16384" width="9" style="5"/>
  </cols>
  <sheetData>
    <row r="1" spans="1:55" x14ac:dyDescent="0.15">
      <c r="I1" s="28" t="str">
        <f>IF(武将数量星级阶位验证!A2="","",武将数量星级阶位验证!A2)</f>
        <v>10连价格</v>
      </c>
      <c r="J1" s="17">
        <f>IF(武将数量星级阶位验证!B2="","",武将数量星级阶位验证!B2)</f>
        <v>2300</v>
      </c>
      <c r="K1" s="28" t="str">
        <f>IF(武将数量星级阶位验证!C2="","",武将数量星级阶位验证!C2)</f>
        <v/>
      </c>
      <c r="L1" s="28" t="str">
        <f>IF(武将数量星级阶位验证!D2="","",武将数量星级阶位验证!D2)</f>
        <v>10连非角色部分价值</v>
      </c>
      <c r="M1" s="28">
        <f>IF(武将数量星级阶位验证!E2="","",武将数量星级阶位验证!E2)</f>
        <v>500</v>
      </c>
      <c r="AA1" s="1"/>
      <c r="AB1" s="1"/>
      <c r="AC1" s="1"/>
    </row>
    <row r="2" spans="1:55" x14ac:dyDescent="0.15">
      <c r="I2" s="17" t="str">
        <f>IF(武将数量星级阶位验证!A3="","",武将数量星级阶位验证!A3)</f>
        <v>限时抽10连</v>
      </c>
      <c r="J2" s="17">
        <f>IF(武将数量星级阶位验证!B3="","",武将数量星级阶位验证!B3)</f>
        <v>2650.6666666666665</v>
      </c>
      <c r="K2" s="17" t="str">
        <f>IF(武将数量星级阶位验证!C3="","",武将数量星级阶位验证!C3)</f>
        <v/>
      </c>
      <c r="L2" s="17" t="str">
        <f>IF(武将数量星级阶位验证!D3="","",武将数量星级阶位验证!D3)</f>
        <v>10连额外价值</v>
      </c>
      <c r="M2" s="17">
        <f>IF(武将数量星级阶位验证!E3="","",武将数量星级阶位验证!E3)</f>
        <v>300</v>
      </c>
      <c r="U2" s="5"/>
      <c r="V2" s="5"/>
      <c r="W2" s="5"/>
      <c r="AA2" s="1"/>
      <c r="AB2" s="4"/>
      <c r="AC2" s="1"/>
      <c r="AD2" s="5"/>
    </row>
    <row r="3" spans="1:55" x14ac:dyDescent="0.15">
      <c r="B3" s="35" t="s">
        <v>3</v>
      </c>
      <c r="C3" s="35" t="s">
        <v>80</v>
      </c>
      <c r="D3" s="35" t="s">
        <v>81</v>
      </c>
      <c r="E3" s="35" t="s">
        <v>82</v>
      </c>
      <c r="F3" s="35" t="s">
        <v>545</v>
      </c>
      <c r="I3" s="17" t="str">
        <f>IF(武将数量星级阶位验证!A4="","",武将数量星级阶位验证!A4)</f>
        <v/>
      </c>
      <c r="J3" s="17" t="str">
        <f>IF(武将数量星级阶位验证!B4="","",武将数量星级阶位验证!B4)</f>
        <v/>
      </c>
      <c r="K3" s="17">
        <f>IF(武将数量星级阶位验证!C4="","",武将数量星级阶位验证!C4)</f>
        <v>5</v>
      </c>
      <c r="L3" s="17">
        <f>IF(武将数量星级阶位验证!D4="","",武将数量星级阶位验证!D4)</f>
        <v>5</v>
      </c>
      <c r="M3" s="17">
        <f>IF(武将数量星级阶位验证!H6="","",武将数量星级阶位验证!H6)</f>
        <v>3</v>
      </c>
      <c r="U3" s="1"/>
      <c r="V3" s="1"/>
      <c r="W3" s="1"/>
      <c r="AA3" s="1"/>
      <c r="AB3" s="1"/>
      <c r="AC3" s="1"/>
      <c r="AD3" s="5"/>
      <c r="AK3" s="4"/>
      <c r="AL3" s="4"/>
    </row>
    <row r="4" spans="1:55" x14ac:dyDescent="0.15">
      <c r="A4" s="10" t="s">
        <v>350</v>
      </c>
      <c r="B4" s="8">
        <v>6</v>
      </c>
      <c r="C4" s="8">
        <v>6</v>
      </c>
      <c r="D4" s="8">
        <v>6</v>
      </c>
      <c r="E4" s="8">
        <v>6</v>
      </c>
      <c r="F4" s="8">
        <v>6</v>
      </c>
      <c r="I4" s="35" t="str">
        <f>IF(武将数量星级阶位验证!A5="","",武将数量星级阶位验证!A5)</f>
        <v>卡牌品质</v>
      </c>
      <c r="J4" s="35" t="str">
        <f>IF(武将数量星级阶位验证!B5="","",武将数量星级阶位验证!B5)</f>
        <v>蓝</v>
      </c>
      <c r="K4" s="35" t="str">
        <f>IF(武将数量星级阶位验证!C5="","",武将数量星级阶位验证!C5)</f>
        <v>紫</v>
      </c>
      <c r="L4" s="35" t="str">
        <f>IF(武将数量星级阶位验证!D5="","",武将数量星级阶位验证!D5)</f>
        <v>橙</v>
      </c>
      <c r="M4" s="35" t="str">
        <f>IF(武将数量星级阶位验证!E5="","",武将数量星级阶位验证!E5)</f>
        <v>橙+</v>
      </c>
      <c r="Q4" s="5"/>
      <c r="AA4" s="13"/>
      <c r="AB4" s="13"/>
      <c r="AC4" s="1"/>
      <c r="AD4" s="5"/>
      <c r="AI4" s="4" t="s">
        <v>478</v>
      </c>
      <c r="AJ4" s="98" t="s">
        <v>364</v>
      </c>
      <c r="AK4" s="5" t="s">
        <v>359</v>
      </c>
      <c r="AL4" s="17"/>
    </row>
    <row r="5" spans="1:55" ht="11.25" customHeight="1" x14ac:dyDescent="0.15">
      <c r="A5" s="8" t="s">
        <v>360</v>
      </c>
      <c r="B5" s="8">
        <v>1</v>
      </c>
      <c r="C5" s="8">
        <v>1</v>
      </c>
      <c r="D5" s="8">
        <v>1</v>
      </c>
      <c r="E5" s="8">
        <v>1</v>
      </c>
      <c r="F5" s="8">
        <v>1</v>
      </c>
      <c r="I5" s="29" t="str">
        <f>IF(武将数量星级阶位验证!A6="","",武将数量星级阶位验证!A6)</f>
        <v>种类数</v>
      </c>
      <c r="J5" s="29">
        <f>IF(武将数量星级阶位验证!B6="","",武将数量星级阶位验证!B6)</f>
        <v>6</v>
      </c>
      <c r="K5" s="29">
        <f>IF(武将数量星级阶位验证!C6="","",武将数量星级阶位验证!C6)</f>
        <v>10</v>
      </c>
      <c r="L5" s="29">
        <f>IF(武将数量星级阶位验证!D6="","",武将数量星级阶位验证!D6)</f>
        <v>25</v>
      </c>
      <c r="M5" s="29">
        <f>IF(武将数量星级阶位验证!E6="","",武将数量星级阶位验证!E6)</f>
        <v>1</v>
      </c>
      <c r="Q5" s="17"/>
      <c r="R5" s="17"/>
      <c r="AI5" s="4">
        <v>1</v>
      </c>
      <c r="AJ5" s="98">
        <f>MIN(AK5^LOG(3.5,6)/20000*1.2,$M$47)</f>
        <v>1.6595838122021541E-3</v>
      </c>
      <c r="AK5" s="5">
        <f>'[1]资源-钻石'!$N4*求节点(武将数量星级阶位验证!$CP$41:$CP$72,武将数量星级阶位验证!$CS$41:$CS$72,节奏总纲!R4)</f>
        <v>115.39780012540855</v>
      </c>
      <c r="AL5" s="48"/>
      <c r="AP5" s="8" t="s">
        <v>75</v>
      </c>
      <c r="AQ5" s="46"/>
      <c r="AR5" s="188" t="s">
        <v>361</v>
      </c>
      <c r="AS5" s="174"/>
      <c r="AT5" s="174"/>
      <c r="AU5" s="174"/>
      <c r="AV5" s="174"/>
      <c r="AW5" s="175"/>
      <c r="BA5" s="35" t="s">
        <v>75</v>
      </c>
      <c r="BB5" s="29" t="s">
        <v>55</v>
      </c>
      <c r="BC5" s="51"/>
    </row>
    <row r="6" spans="1:55" x14ac:dyDescent="0.15">
      <c r="I6" s="29" t="str">
        <f>IF(武将数量星级阶位验证!A7="","",武将数量星级阶位验证!A7)</f>
        <v>钻石价值(宝箱)</v>
      </c>
      <c r="J6" s="29">
        <f>IF(武将数量星级阶位验证!B7="","",武将数量星级阶位验证!B7)</f>
        <v>40</v>
      </c>
      <c r="K6" s="29">
        <f>IF(武将数量星级阶位验证!C7="","",武将数量星级阶位验证!C7)</f>
        <v>200</v>
      </c>
      <c r="L6" s="29">
        <f>IF(武将数量星级阶位验证!D7="","",武将数量星级阶位验证!D7)</f>
        <v>1000</v>
      </c>
      <c r="M6" s="29">
        <f>IF(武将数量星级阶位验证!E7="","",武将数量星级阶位验证!E7)</f>
        <v>3000</v>
      </c>
      <c r="Q6" s="5"/>
      <c r="R6" s="5"/>
      <c r="S6" s="5"/>
      <c r="T6" s="5"/>
      <c r="U6" s="5"/>
      <c r="V6" s="5"/>
      <c r="W6" s="5"/>
      <c r="X6" s="5"/>
      <c r="AA6" s="5"/>
      <c r="AB6" s="5"/>
      <c r="AC6" s="5"/>
      <c r="AD6" s="5"/>
      <c r="AE6" s="5"/>
      <c r="AF6" s="5"/>
      <c r="AH6" s="87"/>
      <c r="AI6" s="4">
        <v>2</v>
      </c>
      <c r="AJ6" s="98">
        <f t="shared" ref="AJ6:AJ69" si="0">MIN(AK6^LOG(3.5,6)/20000*1.2,$M$47)</f>
        <v>4.7244890343591259E-3</v>
      </c>
      <c r="AK6" s="5">
        <f>'[1]资源-钻石'!$N5*求节点(武将数量星级阶位验证!$CP$41:$CP$72,武将数量星级阶位验证!$CS$41:$CS$72,节奏总纲!R5)</f>
        <v>515.27370093036075</v>
      </c>
      <c r="AL6" s="48"/>
      <c r="AP6" s="8" t="s">
        <v>478</v>
      </c>
      <c r="AQ6" s="50"/>
      <c r="AR6" s="19" t="s">
        <v>3</v>
      </c>
      <c r="AS6" s="19" t="s">
        <v>1</v>
      </c>
      <c r="AT6" s="19" t="s">
        <v>2</v>
      </c>
      <c r="AU6" s="19" t="s">
        <v>0</v>
      </c>
      <c r="AV6" s="19" t="s">
        <v>545</v>
      </c>
      <c r="AW6" s="8" t="s">
        <v>228</v>
      </c>
      <c r="BA6" s="32" t="s">
        <v>478</v>
      </c>
      <c r="BB6" s="29" t="s">
        <v>368</v>
      </c>
      <c r="BC6" s="29" t="s">
        <v>369</v>
      </c>
    </row>
    <row r="7" spans="1:55" x14ac:dyDescent="0.15">
      <c r="I7" s="29" t="str">
        <f>IF(武将数量星级阶位验证!A8="","",武将数量星级阶位验证!A8)</f>
        <v>钻石价值(指定品质)</v>
      </c>
      <c r="J7" s="29">
        <f>IF(武将数量星级阶位验证!B8="","",武将数量星级阶位验证!B8)</f>
        <v>25</v>
      </c>
      <c r="K7" s="29">
        <f>IF(武将数量星级阶位验证!C8="","",武将数量星级阶位验证!C8)</f>
        <v>360</v>
      </c>
      <c r="L7" s="29">
        <f>IF(武将数量星级阶位验证!D8="","",武将数量星级阶位验证!D8)</f>
        <v>1800</v>
      </c>
      <c r="M7" s="29" t="str">
        <f>IF(武将数量星级阶位验证!E8="","",武将数量星级阶位验证!E8)</f>
        <v/>
      </c>
      <c r="Q7" s="5"/>
      <c r="R7" s="5"/>
      <c r="S7" s="5"/>
      <c r="T7" s="5"/>
      <c r="U7" s="5"/>
      <c r="V7" s="5"/>
      <c r="W7" s="5"/>
      <c r="AA7" s="5"/>
      <c r="AB7" s="5"/>
      <c r="AC7" s="5"/>
      <c r="AD7" s="5"/>
      <c r="AE7" s="5"/>
      <c r="AF7" s="5"/>
      <c r="AH7" s="87"/>
      <c r="AI7" s="4">
        <v>3</v>
      </c>
      <c r="AJ7" s="98">
        <f t="shared" si="0"/>
        <v>8.9562639031230962E-3</v>
      </c>
      <c r="AK7" s="5">
        <f>'[1]资源-钻石'!$N6*求节点(武将数量星级阶位验证!$CP$41:$CP$72,武将数量星级阶位验证!$CS$41:$CS$72,节奏总纲!R6)</f>
        <v>1286.2351553581977</v>
      </c>
      <c r="AL7" s="48"/>
      <c r="AP7" s="14">
        <f>基础状态预期!D17</f>
        <v>10</v>
      </c>
      <c r="AQ7" s="14">
        <f>(求节点(其他调用!$I$4:$I$503,其他调用!$J$4:$J$503,武将数量星级阶位验证!AS7))*求节点(武将数量星级阶位验证!$CP$41:$CP$72,武将数量星级阶位验证!$CQ$41:$CQ$72,武将数量星级阶位验证!AS7)</f>
        <v>8607.1755649351089</v>
      </c>
      <c r="AR7" s="14">
        <f>IF(武将升级!Y4="",0,求节点($AK$5:$AK$104,$AJ$5:$AJ$104,AQ$7)*B$5*武将升级!Y4)</f>
        <v>0</v>
      </c>
      <c r="AS7" s="14">
        <f>IF(武将升级!Z4="",0,求节点($AK$5:$AK$104,$AJ$5:$AJ$104,$AQ7)*C$5*武将升级!Z4)</f>
        <v>0</v>
      </c>
      <c r="AT7" s="14">
        <f>IF(武将升级!AA4="",0,求节点($AK$5:$AK$104,$AJ$5:$AJ$104,$AQ7)*D$5*武将升级!AA4)</f>
        <v>46.318959137321308</v>
      </c>
      <c r="AU7" s="14">
        <f>IF(武将升级!AB4="",0,求节点($AK$5:$AK$104,$AJ$5:$AJ$104,$AQ7)*E$5*武将升级!AB4)</f>
        <v>46.318959137321308</v>
      </c>
      <c r="AV7" s="14">
        <f>IF(武将升级!AC4="",0,求节点($AK$5:$AK$104,$AJ$5:$AJ$104,$AQ7)*F$5*武将升级!AC4)</f>
        <v>0</v>
      </c>
      <c r="AW7" s="8">
        <f>SUMPRODUCT(AR7:AV7,基础状态预期!F17:J17)/SUM(基础状态预期!F17:J17)</f>
        <v>46.318959137321308</v>
      </c>
      <c r="BA7" s="29">
        <v>10</v>
      </c>
      <c r="BB7" s="29">
        <f>求节点($AP$7:$AP$23,$AW$7:$AW$23,BA7)</f>
        <v>46.318959137321308</v>
      </c>
      <c r="BC7" s="55">
        <f>BB7*INDEX([2]非r将兵属性验证!$W$7:$W$106+[2]非r将兵属性验证!$X$7:$X$106,BA7,1)</f>
        <v>737530.01190146012</v>
      </c>
    </row>
    <row r="8" spans="1:55" x14ac:dyDescent="0.15">
      <c r="A8" s="35" t="s">
        <v>358</v>
      </c>
      <c r="B8" s="19" t="s">
        <v>3</v>
      </c>
      <c r="C8" s="19" t="s">
        <v>1</v>
      </c>
      <c r="D8" s="19" t="s">
        <v>2</v>
      </c>
      <c r="E8" s="19" t="s">
        <v>0</v>
      </c>
      <c r="F8" s="19" t="s">
        <v>545</v>
      </c>
      <c r="I8" s="29" t="str">
        <f>IF(武将数量星级阶位验证!A9="","",武将数量星级阶位验证!A9)</f>
        <v>钻石价值(指定卡)</v>
      </c>
      <c r="J8" s="29">
        <f>IF(武将数量星级阶位验证!B9="","",武将数量星级阶位验证!B9)</f>
        <v>25</v>
      </c>
      <c r="K8" s="29">
        <f>IF(武将数量星级阶位验证!C9="","",武将数量星级阶位验证!C9)</f>
        <v>540</v>
      </c>
      <c r="L8" s="29">
        <f>IF(武将数量星级阶位验证!D9="","",武将数量星级阶位验证!D9)</f>
        <v>4800</v>
      </c>
      <c r="M8" s="29" t="str">
        <f>IF(武将数量星级阶位验证!E9="","",武将数量星级阶位验证!E9)</f>
        <v/>
      </c>
      <c r="Q8" s="5"/>
      <c r="R8" s="5"/>
      <c r="S8" s="189" t="s">
        <v>541</v>
      </c>
      <c r="T8" s="189"/>
      <c r="U8" s="189"/>
      <c r="V8" s="189"/>
      <c r="W8" s="189"/>
      <c r="X8" s="189"/>
      <c r="AA8" s="189" t="s">
        <v>542</v>
      </c>
      <c r="AB8" s="189"/>
      <c r="AC8" s="189"/>
      <c r="AD8" s="189"/>
      <c r="AE8" s="189"/>
      <c r="AF8" s="189"/>
      <c r="AH8" s="87"/>
      <c r="AI8" s="4">
        <v>4</v>
      </c>
      <c r="AJ8" s="98">
        <f t="shared" si="0"/>
        <v>1.4294592029837962E-2</v>
      </c>
      <c r="AK8" s="5">
        <f>'[1]资源-钻石'!$N7*求节点(武将数量星级阶位验证!$CP$41:$CP$72,武将数量星级阶位验证!$CS$41:$CS$72,节奏总纲!R7)</f>
        <v>2510.2937631622617</v>
      </c>
      <c r="AL8" s="48"/>
      <c r="AP8" s="14">
        <f>基础状态预期!D18</f>
        <v>20</v>
      </c>
      <c r="AQ8" s="14">
        <f>(求节点(其他调用!$I$4:$I$503,其他调用!$J$4:$J$503,武将数量星级阶位验证!AS8))*求节点(武将数量星级阶位验证!$CP$41:$CP$72,武将数量星级阶位验证!$CQ$41:$CQ$72,武将数量星级阶位验证!AS8)</f>
        <v>17084.437155530599</v>
      </c>
      <c r="AR8" s="14">
        <f>IF(武将升级!Y5="",0,求节点($AK$5:$AK$104,$AJ$5:$AJ$104,AQ$7)*B$5*武将升级!Y5)</f>
        <v>0</v>
      </c>
      <c r="AS8" s="14">
        <f>IF(武将升级!Z5="",0,求节点($AK$5:$AK$104,$AJ$5:$AJ$104,$AQ8)*C$5*武将升级!Z5)</f>
        <v>0</v>
      </c>
      <c r="AT8" s="14">
        <f>IF(武将升级!AA5="",0,求节点($AK$5:$AK$104,$AJ$5:$AJ$104,$AQ8)*D$5*武将升级!AA5)</f>
        <v>0</v>
      </c>
      <c r="AU8" s="14">
        <f>IF(武将升级!AB5="",0,求节点($AK$5:$AK$104,$AJ$5:$AJ$104,$AQ8)*E$5*武将升级!AB5)</f>
        <v>107.62065329750109</v>
      </c>
      <c r="AV8" s="14">
        <f>IF(武将升级!AC5="",0,求节点($AK$5:$AK$104,$AJ$5:$AJ$104,$AQ8)*F$5*武将升级!AC5)</f>
        <v>0</v>
      </c>
      <c r="AW8" s="8">
        <f>SUMPRODUCT(AR8:AV8,基础状态预期!F18:J18)/SUM(基础状态预期!F18:J18)</f>
        <v>107.62065329750108</v>
      </c>
      <c r="BA8" s="29">
        <v>20</v>
      </c>
      <c r="BB8" s="29">
        <f t="shared" ref="BB8:BB16" si="1">求节点($AP$7:$AP$23,$AW$7:$AW$23,BA8)</f>
        <v>107.62065329750108</v>
      </c>
      <c r="BC8" s="56">
        <f>(BB8-BB7)*INDEX([2]非r将兵属性验证!$W$7:$W$106+[2]非r将兵属性验证!$X$7:$X$106,BA8,1)+BC7</f>
        <v>3619701.7174966233</v>
      </c>
    </row>
    <row r="9" spans="1:55" x14ac:dyDescent="0.15">
      <c r="A9" s="35" t="s">
        <v>356</v>
      </c>
      <c r="B9" s="35">
        <f t="array" ref="B9">MIN(IF($R$10:$R$99=B$8,$X$10:$X$99))</f>
        <v>0</v>
      </c>
      <c r="C9" s="35">
        <f t="array" ref="C9">MIN(IF($R$10:$R$99=C$8,$X$10:$X$99))</f>
        <v>5750</v>
      </c>
      <c r="D9" s="35">
        <f t="array" ref="D9">MIN(IF($R$10:$R$99=D$8,$X$10:$X$99))</f>
        <v>5750</v>
      </c>
      <c r="E9" s="35">
        <f t="array" ref="E9">MIN(IF($R$10:$R$99=E$8,$X$10:$X$99))</f>
        <v>0</v>
      </c>
      <c r="F9" s="35">
        <f t="array" ref="F9">MIN(IF($R$10:$R$99=F$8,$X$10:$X$99))</f>
        <v>0</v>
      </c>
      <c r="I9" s="17" t="str">
        <f>IF(武将数量星级阶位验证!A10="","",武将数量星级阶位验证!A10)</f>
        <v/>
      </c>
      <c r="J9" s="17" t="str">
        <f>IF(武将数量星级阶位验证!B10="","",武将数量星级阶位验证!B10)</f>
        <v/>
      </c>
      <c r="K9" s="17" t="str">
        <f>IF(武将数量星级阶位验证!C10="","",武将数量星级阶位验证!C10)</f>
        <v/>
      </c>
      <c r="L9" s="17" t="str">
        <f>IF(武将数量星级阶位验证!D10="","",武将数量星级阶位验证!D10)</f>
        <v/>
      </c>
      <c r="M9" s="17" t="str">
        <f>IF(武将数量星级阶位验证!E10="","",武将数量星级阶位验证!E10)</f>
        <v/>
      </c>
      <c r="P9" s="5" t="s">
        <v>540</v>
      </c>
      <c r="Q9" s="29" t="s">
        <v>349</v>
      </c>
      <c r="R9" s="29" t="s">
        <v>31</v>
      </c>
      <c r="S9" s="29" t="s">
        <v>3</v>
      </c>
      <c r="T9" s="29" t="s">
        <v>1</v>
      </c>
      <c r="U9" s="29" t="s">
        <v>2</v>
      </c>
      <c r="V9" s="29" t="s">
        <v>0</v>
      </c>
      <c r="W9" s="29" t="s">
        <v>545</v>
      </c>
      <c r="X9" s="29" t="s">
        <v>354</v>
      </c>
      <c r="Y9" s="49" t="s">
        <v>362</v>
      </c>
      <c r="AA9" s="29" t="s">
        <v>3</v>
      </c>
      <c r="AB9" s="29" t="s">
        <v>1</v>
      </c>
      <c r="AC9" s="29" t="s">
        <v>2</v>
      </c>
      <c r="AD9" s="29" t="s">
        <v>0</v>
      </c>
      <c r="AE9" s="29" t="s">
        <v>545</v>
      </c>
      <c r="AF9" s="29" t="s">
        <v>354</v>
      </c>
      <c r="AG9" s="49" t="s">
        <v>363</v>
      </c>
      <c r="AH9" s="87"/>
      <c r="AI9" s="4">
        <v>5</v>
      </c>
      <c r="AJ9" s="98">
        <f t="shared" si="0"/>
        <v>2.0584382523028483E-2</v>
      </c>
      <c r="AK9" s="5">
        <f>'[1]资源-钻石'!$N8*求节点(武将数量星级阶位验证!$CP$41:$CP$72,武将数量星级阶位验证!$CS$41:$CS$72,节奏总纲!R8)</f>
        <v>4228.8962332922783</v>
      </c>
      <c r="AL9" s="48"/>
      <c r="AP9" s="14">
        <f>基础状态预期!D19</f>
        <v>28.071211008105138</v>
      </c>
      <c r="AQ9" s="14">
        <f>(求节点(其他调用!$I$4:$I$503,其他调用!$J$4:$J$503,武将数量星级阶位验证!AS9))*求节点(武将数量星级阶位验证!$CP$41:$CP$72,武将数量星级阶位验证!$CQ$41:$CQ$72,武将数量星级阶位验证!AS9)</f>
        <v>28656.284573350418</v>
      </c>
      <c r="AR9" s="14">
        <f>IF(武将升级!Y6="",0,求节点($AK$5:$AK$104,$AJ$5:$AJ$104,AQ$7)*B$5*武将升级!Y6)</f>
        <v>0</v>
      </c>
      <c r="AS9" s="14">
        <f>IF(武将升级!Z6="",0,求节点($AK$5:$AK$104,$AJ$5:$AJ$104,$AQ9)*C$5*武将升级!Z6)</f>
        <v>0</v>
      </c>
      <c r="AT9" s="14">
        <f>IF(武将升级!AA6="",0,求节点($AK$5:$AK$104,$AJ$5:$AJ$104,$AQ9)*D$5*武将升级!AA6)</f>
        <v>0</v>
      </c>
      <c r="AU9" s="14">
        <f>IF(武将升级!AB6="",0,求节点($AK$5:$AK$104,$AJ$5:$AJ$104,$AQ9)*E$5*武将升级!AB6)</f>
        <v>192.51362716062505</v>
      </c>
      <c r="AV9" s="14">
        <f>IF(武将升级!AC6="",0,求节点($AK$5:$AK$104,$AJ$5:$AJ$104,$AQ9)*F$5*武将升级!AC6)</f>
        <v>0</v>
      </c>
      <c r="AW9" s="8">
        <f>SUMPRODUCT(AR9:AV9,基础状态预期!F19:J19)/SUM(基础状态预期!F19:J19)</f>
        <v>192.51362716062508</v>
      </c>
      <c r="BA9" s="29">
        <v>30</v>
      </c>
      <c r="BB9" s="29">
        <f t="shared" si="1"/>
        <v>217.57324995911452</v>
      </c>
      <c r="BC9" s="56">
        <f>(BB9-BB8)*INDEX([2]非r将兵属性验证!$W$7:$W$106+[2]非r将兵属性验证!$X$7:$X$106,BA9,1)+BC8</f>
        <v>13855051.634723634</v>
      </c>
    </row>
    <row r="10" spans="1:55" x14ac:dyDescent="0.15">
      <c r="A10" s="8" t="s">
        <v>357</v>
      </c>
      <c r="B10" s="35">
        <f t="array" ref="B10">MAX(IF($R$10:$R$99=B$8,$X$10:$X$99))</f>
        <v>0</v>
      </c>
      <c r="C10" s="35">
        <f t="array" ref="C10">MAX(IF($R$10:$R$99=C$8,$X$10:$X$99))</f>
        <v>51111.111111111117</v>
      </c>
      <c r="D10" s="35">
        <f t="array" ref="D10">MAX(IF($R$10:$R$99=D$8,$X$10:$X$99))</f>
        <v>59629.629629629642</v>
      </c>
      <c r="E10" s="35">
        <f t="array" ref="E10">MAX(IF($R$10:$R$99=E$8,$X$10:$X$99))</f>
        <v>72407.407407407401</v>
      </c>
      <c r="F10" s="35">
        <f t="array" ref="F10">MAX(IF($R$10:$R$99=F$8,$X$10:$X$99))</f>
        <v>72407.407407407401</v>
      </c>
      <c r="I10" s="35" t="str">
        <f>IF(武将数量星级阶位验证!A11="","",武将数量星级阶位验证!A11)</f>
        <v>高级抽</v>
      </c>
      <c r="J10" s="35" t="str">
        <f>IF(武将数量星级阶位验证!B11="","",武将数量星级阶位验证!B11)</f>
        <v>蓝</v>
      </c>
      <c r="K10" s="35" t="str">
        <f>IF(武将数量星级阶位验证!C11="","",武将数量星级阶位验证!C11)</f>
        <v>紫</v>
      </c>
      <c r="L10" s="35" t="str">
        <f>IF(武将数量星级阶位验证!D11="","",武将数量星级阶位验证!D11)</f>
        <v>橙</v>
      </c>
      <c r="M10" s="35" t="str">
        <f>IF(武将数量星级阶位验证!E11="","",武将数量星级阶位验证!E11)</f>
        <v>橙+</v>
      </c>
      <c r="P10" s="14" t="e">
        <f>8-COUNTIF([4]羁绊设计!$AD9:$AK9,"&amp;")</f>
        <v>#VALUE!</v>
      </c>
      <c r="Q10" s="29" t="str">
        <f>[4]羁绊解锁统计!$B9</f>
        <v>吕玲绮</v>
      </c>
      <c r="R10" s="29" t="str">
        <f>IF([4]羁绊设计!$F9="红","橙+",[4]羁绊设计!$F9)</f>
        <v>橙</v>
      </c>
      <c r="S10" s="14">
        <f>IF([4]羁绊解锁统计!C9="",0,[4]羁绊解锁统计!C9-IF($R10=S$9,1,0))</f>
        <v>0</v>
      </c>
      <c r="T10" s="14">
        <f>IF([4]羁绊解锁统计!D9="",0,[4]羁绊解锁统计!D9-IF($R10=T$9,1,0))</f>
        <v>0</v>
      </c>
      <c r="U10" s="14">
        <f>IF([4]羁绊解锁统计!E9="",0,[4]羁绊解锁统计!E9-IF($R10=U$9,1,0))</f>
        <v>1</v>
      </c>
      <c r="V10" s="14">
        <f>IF([4]羁绊解锁统计!F9="",0,[4]羁绊解锁统计!F9-IF($R10=V$9,1,0))</f>
        <v>1</v>
      </c>
      <c r="W10" s="14">
        <f>IF([4]羁绊解锁统计!G9="",0,[4]羁绊解锁统计!G9-IF($R10=W$9,1,0))</f>
        <v>1</v>
      </c>
      <c r="X10" s="29">
        <f>MAX(IF(T10=0,0,$J$42*(1+J$43*(T10-1))),IF(U10=0,0,$K$42*(1+K$43*(U10-1))),IF(V10=0,0,$L$42*(1+L$43*(V10-1))),IF(W10=0,0,$M$42*(1+M$43*(W10-1))))</f>
        <v>51111.111111111117</v>
      </c>
      <c r="Y10" s="10">
        <f>AG10/3.5</f>
        <v>0.1175552379919582</v>
      </c>
      <c r="AA10" s="14">
        <f>S10*INDEX($B$4:$F$4,1,MATCH($R10,$B$3:$F$3,0))</f>
        <v>0</v>
      </c>
      <c r="AB10" s="14">
        <f t="shared" ref="AB10:AE25" si="2">T10*INDEX($B$4:$F$4,1,MATCH($R10,$B$3:$F$3,0))</f>
        <v>0</v>
      </c>
      <c r="AC10" s="14">
        <f t="shared" si="2"/>
        <v>6</v>
      </c>
      <c r="AD10" s="14">
        <f t="shared" si="2"/>
        <v>6</v>
      </c>
      <c r="AE10" s="14">
        <f t="shared" si="2"/>
        <v>6</v>
      </c>
      <c r="AF10" s="29">
        <f>X10*INDEX($B$4:$F$4,1,MATCH(R10,$B$3:$F$3,0))</f>
        <v>306666.66666666669</v>
      </c>
      <c r="AG10" s="10">
        <f>MAX(求节点($AK$5:$AK$104,$AJ$5:$AJ$104,IF(AF10=0,2000,AF10))*INDEX($B$5:$F$5,1,MATCH(R10,$B$14:$F$14,0),1),0.05)</f>
        <v>0.4114433329718537</v>
      </c>
      <c r="AH10" s="87"/>
      <c r="AI10" s="4">
        <v>6</v>
      </c>
      <c r="AJ10" s="98">
        <f t="shared" si="0"/>
        <v>2.8005307541257813E-2</v>
      </c>
      <c r="AK10" s="5">
        <f>'[1]资源-钻石'!$N9*求节点(武将数量星级阶位验证!$CP$41:$CP$72,武将数量星级阶位验证!$CS$41:$CS$72,节奏总纲!R9)</f>
        <v>6568.3233459401172</v>
      </c>
      <c r="AL10" s="48"/>
      <c r="AO10" s="52"/>
      <c r="AP10" s="14">
        <f>基础状态预期!D20</f>
        <v>34.585942742481357</v>
      </c>
      <c r="AQ10" s="14">
        <f>(求节点(其他调用!$I$4:$I$503,其他调用!$J$4:$J$503,武将数量星级阶位验证!AS10))*求节点(武将数量星级阶位验证!$CP$41:$CP$72,武将数量星级阶位验证!$CQ$41:$CQ$72,武将数量星级阶位验证!AS10)</f>
        <v>39065.46160974542</v>
      </c>
      <c r="AR10" s="14">
        <f>IF(武将升级!Y7="",0,求节点($AK$5:$AK$104,$AJ$5:$AJ$104,AQ$7)*B$5*武将升级!Y7)</f>
        <v>0</v>
      </c>
      <c r="AS10" s="14">
        <f>IF(武将升级!Z7="",0,求节点($AK$5:$AK$104,$AJ$5:$AJ$104,$AQ10)*C$5*武将升级!Z7)</f>
        <v>0</v>
      </c>
      <c r="AT10" s="14">
        <f>IF(武将升级!AA7="",0,求节点($AK$5:$AK$104,$AJ$5:$AJ$104,$AQ10)*D$5*武将升级!AA7)</f>
        <v>0</v>
      </c>
      <c r="AU10" s="14">
        <f>IF(武将升级!AB7="",0,求节点($AK$5:$AK$104,$AJ$5:$AJ$104,$AQ10)*E$5*武将升级!AB7)</f>
        <v>277.15571117440408</v>
      </c>
      <c r="AV10" s="14">
        <f>IF(武将升级!AC7="",0,求节点($AK$5:$AK$104,$AJ$5:$AJ$104,$AQ10)*F$5*武将升级!AC7)</f>
        <v>0</v>
      </c>
      <c r="AW10" s="8">
        <f>SUMPRODUCT(AR10:AV10,基础状态预期!F20:J20)/SUM(基础状态预期!F20:J20)</f>
        <v>277.15571117440408</v>
      </c>
      <c r="BA10" s="29">
        <v>40</v>
      </c>
      <c r="BB10" s="29">
        <f t="shared" si="1"/>
        <v>366.2240032300802</v>
      </c>
      <c r="BC10" s="56">
        <f>(BB10-BB9)*INDEX([2]非r将兵属性验证!$W$7:$W$106+[2]非r将兵属性验证!$X$7:$X$106,BA10,1)+BC9</f>
        <v>49778188.198535979</v>
      </c>
    </row>
    <row r="11" spans="1:55" x14ac:dyDescent="0.15">
      <c r="I11" s="35" t="str">
        <f>IF(武将数量星级阶位验证!A12="","",武将数量星级阶位验证!A12)</f>
        <v>概率</v>
      </c>
      <c r="J11" s="44">
        <f>IF(武将数量星级阶位验证!B12="","",武将数量星级阶位验证!B12)</f>
        <v>0.65833333333333333</v>
      </c>
      <c r="K11" s="12">
        <f>IF(武将数量星级阶位验证!C12="","",武将数量星级阶位验证!C12)</f>
        <v>0.26666666666666666</v>
      </c>
      <c r="L11" s="43">
        <f>IF(武将数量星级阶位验证!D12="","",武将数量星级阶位验证!D12)</f>
        <v>7.4999999999999997E-2</v>
      </c>
      <c r="M11" s="12">
        <f>IF(武将数量星级阶位验证!E12="","",武将数量星级阶位验证!E12)</f>
        <v>0</v>
      </c>
      <c r="P11" s="14" t="e">
        <f>8-COUNTIF([4]羁绊设计!$AD10:$AK10,"&amp;")</f>
        <v>#VALUE!</v>
      </c>
      <c r="Q11" s="29" t="str">
        <f>[4]羁绊解锁统计!$B10</f>
        <v>华雄</v>
      </c>
      <c r="R11" s="29" t="str">
        <f>IF([4]羁绊设计!$F10="红","橙+",[4]羁绊设计!$F10)</f>
        <v>橙</v>
      </c>
      <c r="S11" s="14">
        <f>IF([4]羁绊解锁统计!C10="",0,[4]羁绊解锁统计!C10-IF($R11=S$9,1,0))</f>
        <v>0</v>
      </c>
      <c r="T11" s="14">
        <f>IF([4]羁绊解锁统计!D10="",0,[4]羁绊解锁统计!D10-IF($R11=T$9,1,0))</f>
        <v>0</v>
      </c>
      <c r="U11" s="14">
        <f>IF([4]羁绊解锁统计!E10="",0,[4]羁绊解锁统计!E10-IF($R11=U$9,1,0))</f>
        <v>1</v>
      </c>
      <c r="V11" s="14">
        <f>IF([4]羁绊解锁统计!F10="",0,[4]羁绊解锁统计!F10-IF($R11=V$9,1,0))</f>
        <v>1</v>
      </c>
      <c r="W11" s="14">
        <f>IF([4]羁绊解锁统计!G10="",0,[4]羁绊解锁统计!G10-IF($R11=W$9,1,0))</f>
        <v>1</v>
      </c>
      <c r="X11" s="29">
        <f t="shared" ref="X11:X74" si="3">MAX(IF(T11=0,0,$J$42*(1+J$43*(T11-1))),IF(U11=0,0,$K$42*(1+K$43*(U11-1))),IF(V11=0,0,$L$42*(1+L$43*(V11-1))),IF(W11=0,0,$M$42*(1+M$43*(W11-1))))</f>
        <v>51111.111111111117</v>
      </c>
      <c r="Y11" s="10">
        <f t="shared" ref="Y11:Y13" si="4">AG11/3.5</f>
        <v>0.1175552379919582</v>
      </c>
      <c r="AA11" s="14">
        <f t="shared" ref="AA11:AA13" si="5">S11*INDEX($B$4:$F$4,1,MATCH($R11,$B$3:$F$3,0))</f>
        <v>0</v>
      </c>
      <c r="AB11" s="14">
        <f t="shared" si="2"/>
        <v>0</v>
      </c>
      <c r="AC11" s="14">
        <f t="shared" si="2"/>
        <v>6</v>
      </c>
      <c r="AD11" s="14">
        <f t="shared" si="2"/>
        <v>6</v>
      </c>
      <c r="AE11" s="14">
        <f t="shared" si="2"/>
        <v>6</v>
      </c>
      <c r="AF11" s="29">
        <f t="shared" ref="AF11:AF12" si="6">X11*INDEX($B$4:$F$4,1,MATCH(R11,$B$3:$F$3,0))</f>
        <v>306666.66666666669</v>
      </c>
      <c r="AG11" s="10">
        <f t="shared" ref="AG11:AG13" si="7">MAX(求节点($AK$5:$AK$104,$AJ$5:$AJ$104,IF(AF11=0,2000,AF11))*INDEX($B$5:$F$5,1,MATCH(R11,$B$14:$F$14,0),1),0.05)</f>
        <v>0.4114433329718537</v>
      </c>
      <c r="AH11" s="87"/>
      <c r="AI11" s="4">
        <v>7</v>
      </c>
      <c r="AJ11" s="98">
        <f t="shared" si="0"/>
        <v>3.2162305744780684E-2</v>
      </c>
      <c r="AK11" s="5">
        <f>'[1]资源-钻石'!$N10*求节点(武将数量星级阶位验证!$CP$41:$CP$72,武将数量星级阶位验证!$CS$41:$CS$72,节奏总纲!R10)</f>
        <v>8006.1198828636188</v>
      </c>
      <c r="AL11" s="48"/>
      <c r="AO11" s="52"/>
      <c r="AP11" s="14">
        <f>基础状态预期!D21</f>
        <v>40</v>
      </c>
      <c r="AQ11" s="14">
        <f>(求节点(其他调用!$I$4:$I$503,其他调用!$J$4:$J$503,武将数量星级阶位验证!AS11))*求节点(武将数量星级阶位验证!$CP$41:$CP$72,武将数量星级阶位验证!$CQ$41:$CQ$72,武将数量星级阶位验证!AS11)</f>
        <v>49858.684349958014</v>
      </c>
      <c r="AR11" s="14">
        <f>IF(武将升级!Y8="",0,求节点($AK$5:$AK$104,$AJ$5:$AJ$104,AQ$7)*B$5*武将升级!Y8)</f>
        <v>0</v>
      </c>
      <c r="AS11" s="14">
        <f>IF(武将升级!Z8="",0,求节点($AK$5:$AK$104,$AJ$5:$AJ$104,$AQ11)*C$5*武将升级!Z8)</f>
        <v>0</v>
      </c>
      <c r="AT11" s="14">
        <f>IF(武将升级!AA8="",0,求节点($AK$5:$AK$104,$AJ$5:$AJ$104,$AQ11)*D$5*武将升级!AA8)</f>
        <v>0</v>
      </c>
      <c r="AU11" s="14">
        <f>IF(武将升级!AB8="",0,求节点($AK$5:$AK$104,$AJ$5:$AJ$104,$AQ11)*E$5*武将升级!AB8)</f>
        <v>366.2240032300802</v>
      </c>
      <c r="AV11" s="14">
        <f>IF(武将升级!AC8="",0,求节点($AK$5:$AK$104,$AJ$5:$AJ$104,$AQ11)*F$5*武将升级!AC8)</f>
        <v>0</v>
      </c>
      <c r="AW11" s="8">
        <f>SUMPRODUCT(AR11:AV11,基础状态预期!F21:J21)/SUM(基础状态预期!F21:J21)</f>
        <v>366.2240032300802</v>
      </c>
      <c r="BA11" s="29">
        <v>50</v>
      </c>
      <c r="BB11" s="29">
        <f t="shared" si="1"/>
        <v>620.23643752241583</v>
      </c>
      <c r="BC11" s="56">
        <f>(BB11-BB10)*INDEX([2]非r将兵属性验证!$W$7:$W$106+[2]非r将兵属性验证!$X$7:$X$106,BA11,1)+BC10</f>
        <v>152217101.54805854</v>
      </c>
    </row>
    <row r="12" spans="1:55" x14ac:dyDescent="0.15">
      <c r="I12" s="35" t="str">
        <f>IF(武将数量星级阶位验证!A13="","",武将数量星级阶位验证!A13)</f>
        <v>抽取个数</v>
      </c>
      <c r="J12" s="29">
        <f>IF(武将数量星级阶位验证!B13="","",武将数量星级阶位验证!B13)</f>
        <v>1</v>
      </c>
      <c r="K12" s="29">
        <f>IF(武将数量星级阶位验证!C13="","",武将数量星级阶位验证!C13)</f>
        <v>1</v>
      </c>
      <c r="L12" s="29">
        <f>IF(武将数量星级阶位验证!D13="","",武将数量星级阶位验证!D13)</f>
        <v>1</v>
      </c>
      <c r="M12" s="29">
        <f>IF(武将数量星级阶位验证!E13="","",武将数量星级阶位验证!E13)</f>
        <v>3.3333333333333333E-2</v>
      </c>
      <c r="P12" s="14" t="e">
        <f>8-COUNTIF([4]羁绊设计!$AD11:$AK11,"&amp;")</f>
        <v>#VALUE!</v>
      </c>
      <c r="Q12" s="29">
        <f>[4]羁绊解锁统计!$B11</f>
        <v>0</v>
      </c>
      <c r="R12" s="29" t="str">
        <f>IF([4]羁绊设计!$F11="红","橙+",[4]羁绊设计!$F11)</f>
        <v>橙+</v>
      </c>
      <c r="S12" s="14">
        <f>IF([4]羁绊解锁统计!C11="",0,[4]羁绊解锁统计!C11-IF($R12=S$9,1,0))</f>
        <v>0</v>
      </c>
      <c r="T12" s="14">
        <f>IF([4]羁绊解锁统计!D11="",0,[4]羁绊解锁统计!D11-IF($R12=T$9,1,0))</f>
        <v>0</v>
      </c>
      <c r="U12" s="14">
        <f>IF([4]羁绊解锁统计!E11="",0,[4]羁绊解锁统计!E11-IF($R12=U$9,1,0))</f>
        <v>0</v>
      </c>
      <c r="V12" s="14">
        <f>IF([4]羁绊解锁统计!F11="",0,[4]羁绊解锁统计!F11-IF($R12=V$9,1,0))</f>
        <v>0</v>
      </c>
      <c r="W12" s="14">
        <f>IF([4]羁绊解锁统计!G11="",0,[4]羁绊解锁统计!G11-IF($R12=W$9,1,0))</f>
        <v>0</v>
      </c>
      <c r="X12" s="29">
        <f t="shared" si="3"/>
        <v>0</v>
      </c>
      <c r="Y12" s="10">
        <f t="shared" si="4"/>
        <v>1.4285714285714287E-2</v>
      </c>
      <c r="AA12" s="14">
        <f t="shared" si="5"/>
        <v>0</v>
      </c>
      <c r="AB12" s="14">
        <f t="shared" si="2"/>
        <v>0</v>
      </c>
      <c r="AC12" s="14">
        <f t="shared" si="2"/>
        <v>0</v>
      </c>
      <c r="AD12" s="14">
        <f t="shared" si="2"/>
        <v>0</v>
      </c>
      <c r="AE12" s="14">
        <f t="shared" si="2"/>
        <v>0</v>
      </c>
      <c r="AF12" s="29">
        <f t="shared" si="6"/>
        <v>0</v>
      </c>
      <c r="AG12" s="10">
        <f t="shared" si="7"/>
        <v>0.05</v>
      </c>
      <c r="AH12" s="87">
        <v>4.0000000000000001E-3</v>
      </c>
      <c r="AI12" s="4">
        <v>8</v>
      </c>
      <c r="AJ12" s="98">
        <f t="shared" si="0"/>
        <v>3.597169061591312E-2</v>
      </c>
      <c r="AK12" s="5">
        <f>'[1]资源-钻石'!$N11*求节点(武将数量星级阶位验证!$CP$41:$CP$72,武将数量星级阶位验证!$CS$41:$CS$72,节奏总纲!R11)</f>
        <v>9396.186109496457</v>
      </c>
      <c r="AL12" s="48"/>
      <c r="AO12" s="52"/>
      <c r="AP12" s="14">
        <f>基础状态预期!D22</f>
        <v>43.920692243099523</v>
      </c>
      <c r="AQ12" s="14">
        <f>(求节点(其他调用!$I$4:$I$503,其他调用!$J$4:$J$503,武将数量星级阶位验证!AS12))*求节点(武将数量星级阶位验证!$CP$41:$CP$72,武将数量星级阶位验证!$CQ$41:$CQ$72,武将数量星级阶位验证!AS12)</f>
        <v>60234.087563975605</v>
      </c>
      <c r="AR12" s="14">
        <f>IF(武将升级!Y9="",0,求节点($AK$5:$AK$104,$AJ$5:$AJ$104,AQ$7)*B$5*武将升级!Y9)</f>
        <v>0</v>
      </c>
      <c r="AS12" s="14">
        <f>IF(武将升级!Z9="",0,求节点($AK$5:$AK$104,$AJ$5:$AJ$104,$AQ12)*C$5*武将升级!Z9)</f>
        <v>0</v>
      </c>
      <c r="AT12" s="14">
        <f>IF(武将升级!AA9="",0,求节点($AK$5:$AK$104,$AJ$5:$AJ$104,$AQ12)*D$5*武将升级!AA9)</f>
        <v>0</v>
      </c>
      <c r="AU12" s="14">
        <f>IF(武将升级!AB9="",0,求节点($AK$5:$AK$104,$AJ$5:$AJ$104,$AQ12)*E$5*武将升级!AB9)</f>
        <v>448.98630698384972</v>
      </c>
      <c r="AV12" s="14">
        <f>IF(武将升级!AC9="",0,求节点($AK$5:$AK$104,$AJ$5:$AJ$104,$AQ12)*F$5*武将升级!AC9)</f>
        <v>0</v>
      </c>
      <c r="AW12" s="8">
        <f>SUMPRODUCT(AR12:AV12,基础状态预期!F22:J22)/SUM(基础状态预期!F22:J22)</f>
        <v>448.98630698384972</v>
      </c>
      <c r="BA12" s="29">
        <v>60</v>
      </c>
      <c r="BB12" s="29">
        <f t="shared" si="1"/>
        <v>1065.2382877034195</v>
      </c>
      <c r="BC12" s="56">
        <f>(BB12-BB11)*INDEX([2]非r将兵属性验证!$W$7:$W$106+[2]非r将兵属性验证!$X$7:$X$106,BA12,1)+BC11</f>
        <v>514851332.76196027</v>
      </c>
    </row>
    <row r="13" spans="1:55" x14ac:dyDescent="0.15">
      <c r="I13" s="17" t="str">
        <f>IF(武将数量星级阶位验证!A14="","",武将数量星级阶位验证!A14)</f>
        <v/>
      </c>
      <c r="J13" s="17" t="str">
        <f>IF(武将数量星级阶位验证!B14="","",武将数量星级阶位验证!B14)</f>
        <v/>
      </c>
      <c r="K13" s="17" t="str">
        <f>IF(武将数量星级阶位验证!C14="","",武将数量星级阶位验证!C14)</f>
        <v/>
      </c>
      <c r="L13" s="17" t="str">
        <f>IF(武将数量星级阶位验证!D14="","",武将数量星级阶位验证!D14)</f>
        <v/>
      </c>
      <c r="M13" s="17" t="str">
        <f>IF(武将数量星级阶位验证!E14="","",武将数量星级阶位验证!E14)</f>
        <v/>
      </c>
      <c r="P13" s="14" t="e">
        <f>8-COUNTIF([4]羁绊设计!$AD12:$AK12,"&amp;")</f>
        <v>#VALUE!</v>
      </c>
      <c r="Q13" s="29" t="str">
        <f>[4]羁绊解锁统计!$B12</f>
        <v>无双张辽</v>
      </c>
      <c r="R13" s="29" t="str">
        <f>IF([4]羁绊设计!$F12="红","橙+",[4]羁绊设计!$F12)</f>
        <v>橙+</v>
      </c>
      <c r="S13" s="14">
        <f>IF([4]羁绊解锁统计!C12="",0,[4]羁绊解锁统计!C12-IF($R13=S$9,1,0))</f>
        <v>0</v>
      </c>
      <c r="T13" s="14">
        <f>IF([4]羁绊解锁统计!D12="",0,[4]羁绊解锁统计!D12-IF($R13=T$9,1,0))</f>
        <v>0</v>
      </c>
      <c r="U13" s="14">
        <f>IF([4]羁绊解锁统计!E12="",0,[4]羁绊解锁统计!E12-IF($R13=U$9,1,0))</f>
        <v>0</v>
      </c>
      <c r="V13" s="14">
        <f>IF([4]羁绊解锁统计!F12="",0,[4]羁绊解锁统计!F12-IF($R13=V$9,1,0))</f>
        <v>1</v>
      </c>
      <c r="W13" s="14">
        <f>IF([4]羁绊解锁统计!G12="",0,[4]羁绊解锁统计!G12-IF($R13=W$9,1,0))</f>
        <v>1</v>
      </c>
      <c r="X13" s="29">
        <f t="shared" si="3"/>
        <v>51111.111111111117</v>
      </c>
      <c r="Y13" s="10">
        <f t="shared" si="4"/>
        <v>0.1175552379919582</v>
      </c>
      <c r="AA13" s="14">
        <f t="shared" si="5"/>
        <v>0</v>
      </c>
      <c r="AB13" s="14">
        <f t="shared" si="2"/>
        <v>0</v>
      </c>
      <c r="AC13" s="14">
        <f t="shared" si="2"/>
        <v>0</v>
      </c>
      <c r="AD13" s="14">
        <f t="shared" si="2"/>
        <v>6</v>
      </c>
      <c r="AE13" s="14">
        <f t="shared" si="2"/>
        <v>6</v>
      </c>
      <c r="AF13" s="29">
        <f>X13*INDEX($B$4:$F$4,1,MATCH(R13,$B$3:$F$3,0))</f>
        <v>306666.66666666669</v>
      </c>
      <c r="AG13" s="10">
        <f t="shared" si="7"/>
        <v>0.4114433329718537</v>
      </c>
      <c r="AH13" s="87">
        <v>4.4999999999999997E-3</v>
      </c>
      <c r="AI13" s="4">
        <v>9</v>
      </c>
      <c r="AJ13" s="98">
        <f t="shared" si="0"/>
        <v>4.0210860426179856E-2</v>
      </c>
      <c r="AK13" s="5">
        <f>'[1]资源-钻石'!$N12*求节点(武将数量星级阶位验证!$CP$41:$CP$72,武将数量星级阶位验证!$CS$41:$CS$72,节奏总纲!R12)</f>
        <v>11019.211544143345</v>
      </c>
      <c r="AL13" s="48"/>
      <c r="AO13" s="52"/>
      <c r="AP13" s="14">
        <f>基础状态预期!D23</f>
        <v>49.533352307096472</v>
      </c>
      <c r="AQ13" s="14">
        <f>(求节点(其他调用!$I$4:$I$503,其他调用!$J$4:$J$503,武将数量星级阶位验证!AS13))*求节点(武将数量星级阶位验证!$CP$41:$CP$72,武将数量星级阶位验证!$CQ$41:$CQ$72,武将数量星级阶位验证!AS13)</f>
        <v>80299.658435207617</v>
      </c>
      <c r="AR13" s="14">
        <f>IF(武将升级!Y10="",0,求节点($AK$5:$AK$104,$AJ$5:$AJ$104,AQ$7)*B$5*武将升级!Y10)</f>
        <v>0</v>
      </c>
      <c r="AS13" s="14">
        <f>IF(武将升级!Z10="",0,求节点($AK$5:$AK$104,$AJ$5:$AJ$104,$AQ13)*C$5*武将升级!Z10)</f>
        <v>0</v>
      </c>
      <c r="AT13" s="14">
        <f>IF(武将升级!AA10="",0,求节点($AK$5:$AK$104,$AJ$5:$AJ$104,$AQ13)*D$5*武将升级!AA10)</f>
        <v>0</v>
      </c>
      <c r="AU13" s="14">
        <f>IF(武将升级!AB10="",0,求节点($AK$5:$AK$104,$AJ$5:$AJ$104,$AQ13)*E$5*武将升级!AB10)</f>
        <v>603.28637688019046</v>
      </c>
      <c r="AV13" s="14">
        <f>IF(武将升级!AC10="",0,求节点($AK$5:$AK$104,$AJ$5:$AJ$104,$AQ13)*F$5*武将升级!AC10)</f>
        <v>0</v>
      </c>
      <c r="AW13" s="8">
        <f>SUMPRODUCT(AR13:AV13,基础状态预期!F23:J23)/SUM(基础状态预期!F23:J23)</f>
        <v>603.28637688019046</v>
      </c>
      <c r="BA13" s="29">
        <v>70</v>
      </c>
      <c r="BB13" s="29">
        <f t="shared" si="1"/>
        <v>1703.4939980028657</v>
      </c>
      <c r="BC13" s="56">
        <f>(BB13-BB12)*INDEX([2]非r将兵属性验证!$W$7:$W$106+[2]非r将兵属性验证!$X$7:$X$106,BA13,1)+BC12</f>
        <v>1615783055.4739835</v>
      </c>
    </row>
    <row r="14" spans="1:55" x14ac:dyDescent="0.15">
      <c r="A14" s="35" t="s">
        <v>365</v>
      </c>
      <c r="B14" s="19" t="s">
        <v>3</v>
      </c>
      <c r="C14" s="19" t="s">
        <v>1</v>
      </c>
      <c r="D14" s="19" t="s">
        <v>2</v>
      </c>
      <c r="E14" s="19" t="s">
        <v>0</v>
      </c>
      <c r="F14" s="19" t="s">
        <v>545</v>
      </c>
      <c r="I14" s="35" t="str">
        <f>IF(武将数量星级阶位验证!A15="","",武将数量星级阶位验证!A15)</f>
        <v>活动抽</v>
      </c>
      <c r="J14" s="35" t="str">
        <f>IF(武将数量星级阶位验证!B15="","",武将数量星级阶位验证!B15)</f>
        <v>蓝</v>
      </c>
      <c r="K14" s="35" t="str">
        <f>IF(武将数量星级阶位验证!C15="","",武将数量星级阶位验证!C15)</f>
        <v>紫</v>
      </c>
      <c r="L14" s="35" t="str">
        <f>IF(武将数量星级阶位验证!D15="","",武将数量星级阶位验证!D15)</f>
        <v>橙</v>
      </c>
      <c r="M14" s="35" t="str">
        <f>IF(武将数量星级阶位验证!E15="","",武将数量星级阶位验证!E15)</f>
        <v>橙+</v>
      </c>
      <c r="P14" s="14" t="e">
        <f>8-COUNTIF([4]羁绊设计!$AD13:$AK13,"&amp;")</f>
        <v>#VALUE!</v>
      </c>
      <c r="Q14" s="29" t="str">
        <f>[4]羁绊解锁统计!$B13</f>
        <v>程普</v>
      </c>
      <c r="R14" s="29" t="str">
        <f>IF([4]羁绊设计!$F13="红","橙+",[4]羁绊设计!$F13)</f>
        <v>橙</v>
      </c>
      <c r="S14" s="14">
        <f>IF([4]羁绊解锁统计!C13="",0,[4]羁绊解锁统计!C13-IF($R14=S$9,1,0))</f>
        <v>0</v>
      </c>
      <c r="T14" s="14">
        <f>IF([4]羁绊解锁统计!D13="",0,[4]羁绊解锁统计!D13-IF($R14=T$9,1,0))</f>
        <v>0</v>
      </c>
      <c r="U14" s="14">
        <f>IF([4]羁绊解锁统计!E13="",0,[4]羁绊解锁统计!E13-IF($R14=U$9,1,0))</f>
        <v>0</v>
      </c>
      <c r="V14" s="14">
        <f>IF([4]羁绊解锁统计!F13="",0,[4]羁绊解锁统计!F13-IF($R14=V$9,1,0))</f>
        <v>4</v>
      </c>
      <c r="W14" s="14">
        <f>IF([4]羁绊解锁统计!G13="",0,[4]羁绊解锁统计!G13-IF($R14=W$9,1,0))</f>
        <v>0</v>
      </c>
      <c r="X14" s="29">
        <f t="shared" si="3"/>
        <v>63888.888888888898</v>
      </c>
      <c r="Y14" s="10">
        <f>AG14/3.5</f>
        <v>0.13740340360056111</v>
      </c>
      <c r="AA14" s="14">
        <f>S14*INDEX($B$4:$F$4,1,MATCH($R14,$B$3:$F$3,0))</f>
        <v>0</v>
      </c>
      <c r="AB14" s="14">
        <f t="shared" si="2"/>
        <v>0</v>
      </c>
      <c r="AC14" s="14">
        <f t="shared" si="2"/>
        <v>0</v>
      </c>
      <c r="AD14" s="14">
        <f t="shared" si="2"/>
        <v>24</v>
      </c>
      <c r="AE14" s="14">
        <f t="shared" si="2"/>
        <v>0</v>
      </c>
      <c r="AF14" s="29">
        <f>X14*INDEX($B$4:$F$4,1,MATCH(R14,$B$3:$F$3,0))</f>
        <v>383333.33333333337</v>
      </c>
      <c r="AG14" s="10">
        <f>MAX(求节点($AK$5:$AK$104,$AJ$5:$AJ$104,IF(AF14=0,2000,AF14))*INDEX($B$5:$F$5,1,MATCH(R14,$B$14:$F$14,0),1),0.05)</f>
        <v>0.48091191260196386</v>
      </c>
      <c r="AH14" s="87">
        <v>5.0000000000000001E-3</v>
      </c>
      <c r="AI14" s="4">
        <v>10</v>
      </c>
      <c r="AJ14" s="98">
        <f t="shared" si="0"/>
        <v>4.4690629641268714E-2</v>
      </c>
      <c r="AK14" s="5">
        <f>'[1]资源-钻石'!$N13*求节点(武将数量星级阶位验证!$CP$41:$CP$72,武将数量星级阶位验证!$CS$41:$CS$72,节奏总纲!R13)</f>
        <v>12816.231920718306</v>
      </c>
      <c r="AL14" s="48"/>
      <c r="AO14" s="52"/>
      <c r="AP14" s="14">
        <f>基础状态预期!D24</f>
        <v>53.567039423670657</v>
      </c>
      <c r="AQ14" s="14">
        <f>(求节点(其他调用!$I$4:$I$503,其他调用!$J$4:$J$503,武将数量星级阶位验证!AS14))*求节点(武将数量星级阶位验证!$CP$41:$CP$72,武将数量星级阶位验证!$CQ$41:$CQ$72,武将数量星级阶位验证!AS14)</f>
        <v>100197.45755784007</v>
      </c>
      <c r="AR14" s="14">
        <f>IF(武将升级!Y11="",0,求节点($AK$5:$AK$104,$AJ$5:$AJ$104,AQ$7)*B$5*武将升级!Y11)</f>
        <v>0</v>
      </c>
      <c r="AS14" s="14">
        <f>IF(武将升级!Z11="",0,求节点($AK$5:$AK$104,$AJ$5:$AJ$104,$AQ14)*C$5*武将升级!Z11)</f>
        <v>0</v>
      </c>
      <c r="AT14" s="14">
        <f>IF(武将升级!AA11="",0,求节点($AK$5:$AK$104,$AJ$5:$AJ$104,$AQ14)*D$5*武将升级!AA11)</f>
        <v>0</v>
      </c>
      <c r="AU14" s="14">
        <f>IF(武将升级!AB11="",0,求节点($AK$5:$AK$104,$AJ$5:$AJ$104,$AQ14)*E$5*武将升级!AB11)</f>
        <v>749.8021365795114</v>
      </c>
      <c r="AV14" s="14">
        <f>IF(武将升级!AC11="",0,求节点($AK$5:$AK$104,$AJ$5:$AJ$104,$AQ14)*F$5*武将升级!AC11)</f>
        <v>749.8021365795114</v>
      </c>
      <c r="AW14" s="8">
        <f>SUMPRODUCT(AR14:AV14,基础状态预期!F24:J24)/SUM(基础状态预期!F24:J24)</f>
        <v>749.80213657951128</v>
      </c>
      <c r="BA14" s="29">
        <v>80</v>
      </c>
      <c r="BB14" s="29">
        <f t="shared" si="1"/>
        <v>2593.6827644177788</v>
      </c>
      <c r="BC14" s="56">
        <f>(BB14-BB13)*INDEX([2]非r将兵属性验证!$W$7:$W$106+[2]非r将兵属性验证!$X$7:$X$106,BA14,1)+BC13</f>
        <v>4640879100.0190144</v>
      </c>
    </row>
    <row r="15" spans="1:55" x14ac:dyDescent="0.15">
      <c r="A15" s="35" t="s">
        <v>356</v>
      </c>
      <c r="B15" s="35">
        <f t="array" ref="B15">MIN(IF($R$10:$R$99=B$14,$AF$10:$AF$99))</f>
        <v>0</v>
      </c>
      <c r="C15" s="35">
        <f t="array" ref="C15">MIN(IF($R$10:$R$99=C$14,$AF$10:$AF$99))</f>
        <v>34500</v>
      </c>
      <c r="D15" s="35">
        <f t="array" ref="D15">MIN(IF($R$10:$R$99=D$14,$AF$10:$AF$99))</f>
        <v>34500</v>
      </c>
      <c r="E15" s="35">
        <f t="array" ref="E15">MIN(IF($R$10:$R$99=E$14,$AF$10:$AF$99))</f>
        <v>0</v>
      </c>
      <c r="F15" s="35">
        <f t="array" ref="F15">MIN(IF($R$10:$R$99=F$14,$AF$10:$AF$99))</f>
        <v>0</v>
      </c>
      <c r="I15" s="35" t="str">
        <f>IF(武将数量星级阶位验证!A16="","",武将数量星级阶位验证!A16)</f>
        <v>概率</v>
      </c>
      <c r="J15" s="40">
        <f>IF(武将数量星级阶位验证!B16="","",武将数量星级阶位验证!B16)</f>
        <v>0.4933333333333334</v>
      </c>
      <c r="K15" s="12">
        <f>IF(武将数量星级阶位验证!C16="","",武将数量星级阶位验证!C16)</f>
        <v>0.26666666666666666</v>
      </c>
      <c r="L15" s="12">
        <f>IF(武将数量星级阶位验证!D16="","",武将数量星级阶位验证!D16)</f>
        <v>0.04</v>
      </c>
      <c r="M15" s="12">
        <f>IF(武将数量星级阶位验证!E16="","",武将数量星级阶位验证!E16)</f>
        <v>0.2</v>
      </c>
      <c r="P15" s="14" t="e">
        <f>8-COUNTIF([4]羁绊设计!$AD14:$AK14,"&amp;")</f>
        <v>#VALUE!</v>
      </c>
      <c r="Q15" s="29" t="str">
        <f>[4]羁绊解锁统计!$B14</f>
        <v>周瑜</v>
      </c>
      <c r="R15" s="29" t="str">
        <f>IF([4]羁绊设计!$F14="红","橙+",[4]羁绊设计!$F14)</f>
        <v>橙+</v>
      </c>
      <c r="S15" s="14">
        <f>IF([4]羁绊解锁统计!C14="",0,[4]羁绊解锁统计!C14-IF($R15=S$9,1,0))</f>
        <v>0</v>
      </c>
      <c r="T15" s="14">
        <f>IF([4]羁绊解锁统计!D14="",0,[4]羁绊解锁统计!D14-IF($R15=T$9,1,0))</f>
        <v>0</v>
      </c>
      <c r="U15" s="14">
        <f>IF([4]羁绊解锁统计!E14="",0,[4]羁绊解锁统计!E14-IF($R15=U$9,1,0))</f>
        <v>0</v>
      </c>
      <c r="V15" s="14">
        <f>IF([4]羁绊解锁统计!F14="",0,[4]羁绊解锁统计!F14-IF($R15=V$9,1,0))</f>
        <v>6</v>
      </c>
      <c r="W15" s="14">
        <f>IF([4]羁绊解锁统计!G14="",0,[4]羁绊解锁统计!G14-IF($R15=W$9,1,0))</f>
        <v>0</v>
      </c>
      <c r="X15" s="29">
        <f t="shared" si="3"/>
        <v>72407.407407407401</v>
      </c>
      <c r="Y15" s="10">
        <f t="shared" ref="Y15:Y78" si="8">AG15/3.5</f>
        <v>0.14997311908169933</v>
      </c>
      <c r="AA15" s="14">
        <f t="shared" ref="AA15:AE74" si="9">S15*INDEX($B$4:$F$4,1,MATCH($R15,$B$3:$F$3,0))</f>
        <v>0</v>
      </c>
      <c r="AB15" s="14">
        <f t="shared" si="2"/>
        <v>0</v>
      </c>
      <c r="AC15" s="14">
        <f t="shared" si="2"/>
        <v>0</v>
      </c>
      <c r="AD15" s="14">
        <f t="shared" si="2"/>
        <v>36</v>
      </c>
      <c r="AE15" s="14">
        <f t="shared" si="2"/>
        <v>0</v>
      </c>
      <c r="AF15" s="29">
        <f t="shared" ref="AF15:AF78" si="10">X15*INDEX($B$4:$F$4,1,MATCH(R15,$B$3:$F$3,0))</f>
        <v>434444.44444444438</v>
      </c>
      <c r="AG15" s="10">
        <f t="shared" ref="AG15:AG78" si="11">MAX(求节点($AK$5:$AK$104,$AJ$5:$AJ$104,IF(AF15=0,2000,AF15))*INDEX($B$5:$F$5,1,MATCH(R15,$B$14:$F$14,0),1),0.05)</f>
        <v>0.52490591678594767</v>
      </c>
      <c r="AH15" s="87">
        <v>5.4999999999999997E-3</v>
      </c>
      <c r="AI15" s="4">
        <v>11</v>
      </c>
      <c r="AJ15" s="98">
        <f t="shared" si="0"/>
        <v>4.9348240093666333E-2</v>
      </c>
      <c r="AK15" s="5">
        <f>'[1]资源-钻石'!$N14*求节点(武将数量星级阶位验证!$CP$41:$CP$72,武将数量星级阶位验证!$CS$41:$CS$72,节奏总纲!R14)</f>
        <v>14768.619024260504</v>
      </c>
      <c r="AL15" s="48"/>
      <c r="AO15" s="52"/>
      <c r="AP15" s="14">
        <f>基础状态预期!D25</f>
        <v>59.300028460644697</v>
      </c>
      <c r="AQ15" s="14">
        <f>(求节点(其他调用!$I$4:$I$503,其他调用!$J$4:$J$503,武将数量星级阶位验证!AS15))*求节点(武将数量星级阶位验证!$CP$41:$CP$72,武将数量星级阶位验证!$CQ$41:$CQ$72,武将数量星级阶位验证!AS15)</f>
        <v>138391.52811456221</v>
      </c>
      <c r="AR15" s="14">
        <f>IF(武将升级!Y12="",0,求节点($AK$5:$AK$104,$AJ$5:$AJ$104,AQ$7)*B$5*武将升级!Y12)</f>
        <v>0</v>
      </c>
      <c r="AS15" s="14">
        <f>IF(武将升级!Z12="",0,求节点($AK$5:$AK$104,$AJ$5:$AJ$104,$AQ15)*C$5*武将升级!Z12)</f>
        <v>0</v>
      </c>
      <c r="AT15" s="14">
        <f>IF(武将升级!AA12="",0,求节点($AK$5:$AK$104,$AJ$5:$AJ$104,$AQ15)*D$5*武将升级!AA12)</f>
        <v>0</v>
      </c>
      <c r="AU15" s="14">
        <f>IF(武将升级!AB12="",0,求节点($AK$5:$AK$104,$AJ$5:$AJ$104,$AQ15)*E$5*武将升级!AB12)</f>
        <v>1020.888211363356</v>
      </c>
      <c r="AV15" s="14">
        <f>IF(武将升级!AC12="",0,求节点($AK$5:$AK$104,$AJ$5:$AJ$104,$AQ15)*F$5*武将升级!AC12)</f>
        <v>1020.888211363356</v>
      </c>
      <c r="AW15" s="8">
        <f>SUMPRODUCT(AR15:AV15,基础状态预期!F25:J25)/SUM(基础状态预期!F25:J25)</f>
        <v>1020.8882113633559</v>
      </c>
      <c r="BA15" s="29">
        <v>90</v>
      </c>
      <c r="BB15" s="29">
        <f t="shared" si="1"/>
        <v>3056.3336856960855</v>
      </c>
      <c r="BC15" s="56">
        <f>(BB15-BB14)*INDEX([2]非r将兵属性验证!$W$7:$W$106+[2]非r将兵属性验证!$X$7:$X$106,BA15,1)+BC14</f>
        <v>7604820486.7390137</v>
      </c>
    </row>
    <row r="16" spans="1:55" x14ac:dyDescent="0.15">
      <c r="A16" s="8" t="s">
        <v>357</v>
      </c>
      <c r="B16" s="35">
        <f>MAX(IF($R$10:$R$99=B$14,$AF$10:$AF$99))</f>
        <v>0</v>
      </c>
      <c r="C16" s="35">
        <f t="array" ref="C16">MAX(IF($R$10:$R$99=C$14,$AF$10:$AF$99))</f>
        <v>306666.66666666669</v>
      </c>
      <c r="D16" s="35">
        <f t="array" ref="D16">MAX(IF($R$10:$R$99=D$14,$AF$10:$AF$99))</f>
        <v>357777.77777777787</v>
      </c>
      <c r="E16" s="35">
        <f t="array" ref="E16">MAX(IF($R$10:$R$99=E$14,$AF$10:$AF$99))</f>
        <v>434444.44444444438</v>
      </c>
      <c r="F16" s="35">
        <f t="array" ref="F16">MAX(IF($R$10:$R$99=F$14,$AF$10:$AF$99))</f>
        <v>434444.44444444438</v>
      </c>
      <c r="I16" s="35" t="str">
        <f>IF(武将数量星级阶位验证!A17="","",武将数量星级阶位验证!A17)</f>
        <v>抽取个数</v>
      </c>
      <c r="J16" s="29">
        <f>IF(武将数量星级阶位验证!B17="","",武将数量星级阶位验证!B17)</f>
        <v>1</v>
      </c>
      <c r="K16" s="29">
        <f>IF(武将数量星级阶位验证!C17="","",武将数量星级阶位验证!C17)</f>
        <v>1</v>
      </c>
      <c r="L16" s="29">
        <f>IF(武将数量星级阶位验证!D17="","",武将数量星级阶位验证!D17)</f>
        <v>1</v>
      </c>
      <c r="M16" s="29">
        <f>IF(武将数量星级阶位验证!E17="","",武将数量星级阶位验证!E17)</f>
        <v>0.04</v>
      </c>
      <c r="P16" s="14" t="e">
        <f>8-COUNTIF([4]羁绊设计!$AD15:$AK15,"&amp;")</f>
        <v>#VALUE!</v>
      </c>
      <c r="Q16" s="29" t="str">
        <f>[4]羁绊解锁统计!$B15</f>
        <v>大乔</v>
      </c>
      <c r="R16" s="29" t="str">
        <f>IF([4]羁绊设计!$F15="红","橙+",[4]羁绊设计!$F15)</f>
        <v>橙</v>
      </c>
      <c r="S16" s="14">
        <f>IF([4]羁绊解锁统计!C15="",0,[4]羁绊解锁统计!C15-IF($R16=S$9,1,0))</f>
        <v>0</v>
      </c>
      <c r="T16" s="14">
        <f>IF([4]羁绊解锁统计!D15="",0,[4]羁绊解锁统计!D15-IF($R16=T$9,1,0))</f>
        <v>0</v>
      </c>
      <c r="U16" s="14">
        <f>IF([4]羁绊解锁统计!E15="",0,[4]羁绊解锁统计!E15-IF($R16=U$9,1,0))</f>
        <v>0</v>
      </c>
      <c r="V16" s="14">
        <f>IF([4]羁绊解锁统计!F15="",0,[4]羁绊解锁统计!F15-IF($R16=V$9,1,0))</f>
        <v>3</v>
      </c>
      <c r="W16" s="14">
        <f>IF([4]羁绊解锁统计!G15="",0,[4]羁绊解锁统计!G15-IF($R16=W$9,1,0))</f>
        <v>0</v>
      </c>
      <c r="X16" s="29">
        <f t="shared" si="3"/>
        <v>59629.629629629642</v>
      </c>
      <c r="Y16" s="10">
        <f t="shared" si="8"/>
        <v>0.13092644438936596</v>
      </c>
      <c r="AA16" s="14">
        <f t="shared" si="9"/>
        <v>0</v>
      </c>
      <c r="AB16" s="14">
        <f t="shared" si="2"/>
        <v>0</v>
      </c>
      <c r="AC16" s="14">
        <f t="shared" si="2"/>
        <v>0</v>
      </c>
      <c r="AD16" s="14">
        <f t="shared" si="2"/>
        <v>18</v>
      </c>
      <c r="AE16" s="14">
        <f t="shared" si="2"/>
        <v>0</v>
      </c>
      <c r="AF16" s="29">
        <f t="shared" si="10"/>
        <v>357777.77777777787</v>
      </c>
      <c r="AG16" s="10">
        <f t="shared" si="11"/>
        <v>0.45824255536278086</v>
      </c>
      <c r="AH16" s="87">
        <v>6.0000000000000001E-3</v>
      </c>
      <c r="AI16" s="4">
        <v>12</v>
      </c>
      <c r="AJ16" s="98">
        <f t="shared" si="0"/>
        <v>5.3970912318740523E-2</v>
      </c>
      <c r="AK16" s="5">
        <f>'[1]资源-钻石'!$N15*求节点(武将数量星级阶位验证!$CP$41:$CP$72,武将数量星级阶位验证!$CS$41:$CS$72,节奏总纲!R15)</f>
        <v>16786.472012884245</v>
      </c>
      <c r="AL16" s="48"/>
      <c r="AO16" s="52"/>
      <c r="AP16" s="14">
        <f>基础状态预期!D26</f>
        <v>65.075479910097457</v>
      </c>
      <c r="AQ16" s="14">
        <f>(求节点(其他调用!$I$4:$I$503,其他调用!$J$4:$J$503,武将数量星级阶位验证!AS16))*求节点(武将数量星级阶位验证!$CP$41:$CP$72,武将数量星级阶位验证!$CQ$41:$CQ$72,武将数量星级阶位验证!AS16)</f>
        <v>192115.4879125728</v>
      </c>
      <c r="AR16" s="14">
        <f>IF(武将升级!Y13="",0,求节点($AK$5:$AK$104,$AJ$5:$AJ$104,AQ$7)*B$5*武将升级!Y13)</f>
        <v>0</v>
      </c>
      <c r="AS16" s="14">
        <f>IF(武将升级!Z13="",0,求节点($AK$5:$AK$104,$AJ$5:$AJ$104,$AQ16)*C$5*武将升级!Z13)</f>
        <v>0</v>
      </c>
      <c r="AT16" s="14">
        <f>IF(武将升级!AA13="",0,求节点($AK$5:$AK$104,$AJ$5:$AJ$104,$AQ16)*D$5*武将升级!AA13)</f>
        <v>0</v>
      </c>
      <c r="AU16" s="14">
        <f>IF(武将升级!AB13="",0,求节点($AK$5:$AK$104,$AJ$5:$AJ$104,$AQ16)*E$5*武将升级!AB13)</f>
        <v>1386.8198218363686</v>
      </c>
      <c r="AV16" s="14">
        <f>IF(武将升级!AC13="",0,求节点($AK$5:$AK$104,$AJ$5:$AJ$104,$AQ16)*F$5*武将升级!AC13)</f>
        <v>1386.8198218363686</v>
      </c>
      <c r="AW16" s="8">
        <f>SUMPRODUCT(AR16:AV16,基础状态预期!F26:J26)/SUM(基础状态预期!F26:J26)</f>
        <v>1386.8198218363686</v>
      </c>
      <c r="BA16" s="29">
        <v>100</v>
      </c>
      <c r="BB16" s="29">
        <f t="shared" si="1"/>
        <v>3313.9988409848493</v>
      </c>
      <c r="BC16" s="56">
        <f>(BB16-BB15)*INDEX([2]非r将兵属性验证!$W$7:$W$106+[2]非r将兵属性验证!$X$7:$X$106,BA16,1)+BC15</f>
        <v>10547607530.281189</v>
      </c>
    </row>
    <row r="17" spans="1:55" x14ac:dyDescent="0.15">
      <c r="I17" s="29" t="str">
        <f>IF(武将数量星级阶位验证!A18="","",武将数量星级阶位验证!A18)</f>
        <v>非r返还比例</v>
      </c>
      <c r="J17" s="29" t="str">
        <f>IF(武将数量星级阶位验证!B18="","",武将数量星级阶位验证!B18)</f>
        <v/>
      </c>
      <c r="K17" s="29" t="str">
        <f>IF(武将数量星级阶位验证!C18="","",武将数量星级阶位验证!C18)</f>
        <v/>
      </c>
      <c r="L17" s="29" t="str">
        <f>IF(武将数量星级阶位验证!D18="","",武将数量星级阶位验证!D18)</f>
        <v/>
      </c>
      <c r="M17" s="29">
        <f>IF(武将数量星级阶位验证!E18="","",武将数量星级阶位验证!E18)</f>
        <v>0.02</v>
      </c>
      <c r="P17" s="14" t="e">
        <f>8-COUNTIF([4]羁绊设计!$AD16:$AK16,"&amp;")</f>
        <v>#VALUE!</v>
      </c>
      <c r="Q17" s="29" t="str">
        <f>[4]羁绊解锁统计!$B16</f>
        <v>赵云</v>
      </c>
      <c r="R17" s="29" t="str">
        <f>IF([4]羁绊设计!$F16="红","橙+",[4]羁绊设计!$F16)</f>
        <v>橙</v>
      </c>
      <c r="S17" s="14">
        <f>IF([4]羁绊解锁统计!C16="",0,[4]羁绊解锁统计!C16-IF($R17=S$9,1,0))</f>
        <v>0</v>
      </c>
      <c r="T17" s="14">
        <f>IF([4]羁绊解锁统计!D16="",0,[4]羁绊解锁统计!D16-IF($R17=T$9,1,0))</f>
        <v>0</v>
      </c>
      <c r="U17" s="14">
        <f>IF([4]羁绊解锁统计!E16="",0,[4]羁绊解锁统计!E16-IF($R17=U$9,1,0))</f>
        <v>0</v>
      </c>
      <c r="V17" s="14">
        <f>IF([4]羁绊解锁统计!F16="",0,[4]羁绊解锁统计!F16-IF($R17=V$9,1,0))</f>
        <v>5</v>
      </c>
      <c r="W17" s="14">
        <f>IF([4]羁绊解锁统计!G16="",0,[4]羁绊解锁统计!G16-IF($R17=W$9,1,0))</f>
        <v>1</v>
      </c>
      <c r="X17" s="29">
        <f t="shared" si="3"/>
        <v>68148.148148148146</v>
      </c>
      <c r="Y17" s="10">
        <f t="shared" si="8"/>
        <v>0.14374973105394928</v>
      </c>
      <c r="AA17" s="14">
        <f t="shared" si="9"/>
        <v>0</v>
      </c>
      <c r="AB17" s="14">
        <f t="shared" si="2"/>
        <v>0</v>
      </c>
      <c r="AC17" s="14">
        <f t="shared" si="2"/>
        <v>0</v>
      </c>
      <c r="AD17" s="14">
        <f t="shared" si="2"/>
        <v>30</v>
      </c>
      <c r="AE17" s="14">
        <f t="shared" si="2"/>
        <v>6</v>
      </c>
      <c r="AF17" s="29">
        <f t="shared" si="10"/>
        <v>408888.88888888888</v>
      </c>
      <c r="AG17" s="10">
        <f t="shared" si="11"/>
        <v>0.50312405868882248</v>
      </c>
      <c r="AH17" s="87">
        <v>6.4999999999999997E-3</v>
      </c>
      <c r="AI17" s="4">
        <v>13</v>
      </c>
      <c r="AJ17" s="98">
        <f t="shared" si="0"/>
        <v>5.8203289203881528E-2</v>
      </c>
      <c r="AK17" s="5">
        <f>'[1]资源-钻石'!$N16*求节点(武将数量星级阶位验证!$CP$41:$CP$72,武将数量星级阶位验证!$CS$41:$CS$72,节奏总纲!R16)</f>
        <v>18700.534187978486</v>
      </c>
      <c r="AL17" s="48"/>
      <c r="AO17" s="52"/>
      <c r="AP17" s="14">
        <f>基础状态预期!D27</f>
        <v>69.18336653741882</v>
      </c>
      <c r="AQ17" s="14">
        <f>(求节点(其他调用!$I$4:$I$503,其他调用!$J$4:$J$503,武将数量星级阶位验证!AS17))*求节点(武将数量星级阶位验证!$CP$41:$CP$72,武将数量星级阶位验证!$CQ$41:$CQ$72,武将数量星级阶位验证!AS17)</f>
        <v>227374.75663799234</v>
      </c>
      <c r="AR17" s="14">
        <f>IF(武将升级!Y14="",0,求节点($AK$5:$AK$104,$AJ$5:$AJ$104,AQ$7)*B$5*武将升级!Y14)</f>
        <v>0</v>
      </c>
      <c r="AS17" s="14">
        <f>IF(武将升级!Z14="",0,求节点($AK$5:$AK$104,$AJ$5:$AJ$104,$AQ17)*C$5*武将升级!Z14)</f>
        <v>0</v>
      </c>
      <c r="AT17" s="14">
        <f>IF(武将升级!AA14="",0,求节点($AK$5:$AK$104,$AJ$5:$AJ$104,$AQ17)*D$5*武将升级!AA14)</f>
        <v>0</v>
      </c>
      <c r="AU17" s="14">
        <f>IF(武将升级!AB14="",0,求节点($AK$5:$AK$104,$AJ$5:$AJ$104,$AQ17)*E$5*武将升级!AB14)</f>
        <v>1642.4844614705657</v>
      </c>
      <c r="AV17" s="14">
        <f>IF(武将升级!AC14="",0,求节点($AK$5:$AK$104,$AJ$5:$AJ$104,$AQ17)*F$5*武将升级!AC14)</f>
        <v>1642.4844614705657</v>
      </c>
      <c r="AW17" s="8">
        <f>SUMPRODUCT(AR17:AV17,基础状态预期!F27:J27)/SUM(基础状态预期!F27:J27)</f>
        <v>1642.484461470566</v>
      </c>
    </row>
    <row r="18" spans="1:55" x14ac:dyDescent="0.15">
      <c r="I18" s="29" t="str">
        <f>IF(武将数量星级阶位验证!A19="","",武将数量星级阶位验证!A19)</f>
        <v>小r返还比例</v>
      </c>
      <c r="J18" s="29" t="str">
        <f>IF(武将数量星级阶位验证!B19="","",武将数量星级阶位验证!B19)</f>
        <v/>
      </c>
      <c r="K18" s="29" t="str">
        <f>IF(武将数量星级阶位验证!C19="","",武将数量星级阶位验证!C19)</f>
        <v/>
      </c>
      <c r="L18" s="29" t="str">
        <f>IF(武将数量星级阶位验证!D19="","",武将数量星级阶位验证!D19)</f>
        <v/>
      </c>
      <c r="M18" s="29">
        <f>IF(武将数量星级阶位验证!E19="","",武将数量星级阶位验证!E19)</f>
        <v>0.02</v>
      </c>
      <c r="P18" s="14" t="e">
        <f>8-COUNTIF([4]羁绊设计!$AD17:$AK17,"&amp;")</f>
        <v>#VALUE!</v>
      </c>
      <c r="Q18" s="29" t="str">
        <f>[4]羁绊解锁统计!$B17</f>
        <v>邓艾</v>
      </c>
      <c r="R18" s="29" t="str">
        <f>IF([4]羁绊设计!$F17="红","橙+",[4]羁绊设计!$F17)</f>
        <v>橙+</v>
      </c>
      <c r="S18" s="14">
        <f>IF([4]羁绊解锁统计!C17="",0,[4]羁绊解锁统计!C17-IF($R18=S$9,1,0))</f>
        <v>0</v>
      </c>
      <c r="T18" s="14">
        <f>IF([4]羁绊解锁统计!D17="",0,[4]羁绊解锁统计!D17-IF($R18=T$9,1,0))</f>
        <v>0</v>
      </c>
      <c r="U18" s="14">
        <f>IF([4]羁绊解锁统计!E17="",0,[4]羁绊解锁统计!E17-IF($R18=U$9,1,0))</f>
        <v>0</v>
      </c>
      <c r="V18" s="14">
        <f>IF([4]羁绊解锁统计!F17="",0,[4]羁绊解锁统计!F17-IF($R18=V$9,1,0))</f>
        <v>0</v>
      </c>
      <c r="W18" s="14">
        <f>IF([4]羁绊解锁统计!G17="",0,[4]羁绊解锁统计!G17-IF($R18=W$9,1,0))</f>
        <v>0</v>
      </c>
      <c r="X18" s="29">
        <f t="shared" si="3"/>
        <v>0</v>
      </c>
      <c r="Y18" s="10">
        <f t="shared" si="8"/>
        <v>1.4285714285714287E-2</v>
      </c>
      <c r="AA18" s="14">
        <f t="shared" si="9"/>
        <v>0</v>
      </c>
      <c r="AB18" s="14">
        <f t="shared" si="2"/>
        <v>0</v>
      </c>
      <c r="AC18" s="14">
        <f t="shared" si="2"/>
        <v>0</v>
      </c>
      <c r="AD18" s="14">
        <f>V18*INDEX($B$4:$F$4,1,MATCH($R18,$B$3:$F$3,0))</f>
        <v>0</v>
      </c>
      <c r="AE18" s="14">
        <f t="shared" si="2"/>
        <v>0</v>
      </c>
      <c r="AF18" s="29">
        <f t="shared" si="10"/>
        <v>0</v>
      </c>
      <c r="AG18" s="10">
        <f t="shared" si="11"/>
        <v>0.05</v>
      </c>
      <c r="AH18" s="87">
        <v>7.0000000000000001E-3</v>
      </c>
      <c r="AI18" s="4">
        <v>14</v>
      </c>
      <c r="AJ18" s="98">
        <f t="shared" si="0"/>
        <v>6.0679323841542815E-2</v>
      </c>
      <c r="AK18" s="5">
        <f>'[1]资源-钻石'!$N17*求节点(武将数量星级阶位验证!$CP$41:$CP$72,武将数量星级阶位验证!$CS$41:$CS$72,节奏总纲!R17)</f>
        <v>19848.685445444677</v>
      </c>
      <c r="AL18" s="48"/>
      <c r="AO18" s="52"/>
      <c r="AP18" s="14">
        <f>基础状态预期!D28</f>
        <v>72.375871759353331</v>
      </c>
      <c r="AQ18" s="14">
        <f>(求节点(其他调用!$I$4:$I$503,其他调用!$J$4:$J$503,武将数量星级阶位验证!AS18))*求节点(武将数量星级阶位验证!$CP$41:$CP$72,武将数量星级阶位验证!$CQ$41:$CQ$72,武将数量星级阶位验证!AS18)</f>
        <v>261350.63907687957</v>
      </c>
      <c r="AR18" s="14">
        <f>IF(武将升级!Y15="",0,求节点($AK$5:$AK$104,$AJ$5:$AJ$104,AQ$7)*B$5*武将升级!Y15)</f>
        <v>0</v>
      </c>
      <c r="AS18" s="14">
        <f>IF(武将升级!Z15="",0,求节点($AK$5:$AK$104,$AJ$5:$AJ$104,$AQ18)*C$5*武将升级!Z15)</f>
        <v>0</v>
      </c>
      <c r="AT18" s="14">
        <f>IF(武将升级!AA15="",0,求节点($AK$5:$AK$104,$AJ$5:$AJ$104,$AQ18)*D$5*武将升级!AA15)</f>
        <v>0</v>
      </c>
      <c r="AU18" s="14">
        <f>IF(武将升级!AB15="",0,求节点($AK$5:$AK$104,$AJ$5:$AJ$104,$AQ18)*E$5*武将升级!AB15)</f>
        <v>1880.9920329721554</v>
      </c>
      <c r="AV18" s="14">
        <f>IF(武将升级!AC15="",0,求节点($AK$5:$AK$104,$AJ$5:$AJ$104,$AQ18)*F$5*武将升级!AC15)</f>
        <v>1880.9920329721554</v>
      </c>
      <c r="AW18" s="8">
        <f>SUMPRODUCT(AR18:AV18,基础状态预期!F28:J28)/SUM(基础状态预期!F28:J28)</f>
        <v>1880.9920329721554</v>
      </c>
    </row>
    <row r="19" spans="1:55" x14ac:dyDescent="0.15">
      <c r="I19" s="29" t="str">
        <f>IF(武将数量星级阶位验证!A20="","",武将数量星级阶位验证!A20)</f>
        <v>中r返还比例</v>
      </c>
      <c r="J19" s="29" t="str">
        <f>IF(武将数量星级阶位验证!B20="","",武将数量星级阶位验证!B20)</f>
        <v/>
      </c>
      <c r="K19" s="29" t="str">
        <f>IF(武将数量星级阶位验证!C20="","",武将数量星级阶位验证!C20)</f>
        <v/>
      </c>
      <c r="L19" s="29" t="str">
        <f>IF(武将数量星级阶位验证!D20="","",武将数量星级阶位验证!D20)</f>
        <v/>
      </c>
      <c r="M19" s="29">
        <f>IF(武将数量星级阶位验证!E20="","",武将数量星级阶位验证!E20)</f>
        <v>1.6E-2</v>
      </c>
      <c r="P19" s="14" t="e">
        <f>8-COUNTIF([4]羁绊设计!$AD18:$AK18,"&amp;")</f>
        <v>#VALUE!</v>
      </c>
      <c r="Q19" s="29" t="str">
        <f>[4]羁绊解锁统计!$B18</f>
        <v>王异</v>
      </c>
      <c r="R19" s="29" t="str">
        <f>IF([4]羁绊设计!$F18="红","橙+",[4]羁绊设计!$F18)</f>
        <v>橙</v>
      </c>
      <c r="S19" s="14">
        <f>IF([4]羁绊解锁统计!C18="",0,[4]羁绊解锁统计!C18-IF($R19=S$9,1,0))</f>
        <v>0</v>
      </c>
      <c r="T19" s="14">
        <f>IF([4]羁绊解锁统计!D18="",0,[4]羁绊解锁统计!D18-IF($R19=T$9,1,0))</f>
        <v>0</v>
      </c>
      <c r="U19" s="14">
        <f>IF([4]羁绊解锁统计!E18="",0,[4]羁绊解锁统计!E18-IF($R19=U$9,1,0))</f>
        <v>0</v>
      </c>
      <c r="V19" s="14">
        <f>IF([4]羁绊解锁统计!F18="",0,[4]羁绊解锁统计!F18-IF($R19=V$9,1,0))</f>
        <v>2</v>
      </c>
      <c r="W19" s="14">
        <f>IF([4]羁绊解锁统计!G18="",0,[4]羁绊解锁统计!G18-IF($R19=W$9,1,0))</f>
        <v>0</v>
      </c>
      <c r="X19" s="29">
        <f t="shared" si="3"/>
        <v>55370.370370370372</v>
      </c>
      <c r="Y19" s="10">
        <f t="shared" si="8"/>
        <v>0.12431584111409054</v>
      </c>
      <c r="AA19" s="14">
        <f t="shared" si="9"/>
        <v>0</v>
      </c>
      <c r="AB19" s="14">
        <f t="shared" si="2"/>
        <v>0</v>
      </c>
      <c r="AC19" s="14">
        <f t="shared" si="2"/>
        <v>0</v>
      </c>
      <c r="AD19" s="14">
        <f t="shared" si="2"/>
        <v>12</v>
      </c>
      <c r="AE19" s="14">
        <f t="shared" si="2"/>
        <v>0</v>
      </c>
      <c r="AF19" s="29">
        <f t="shared" si="10"/>
        <v>332222.22222222225</v>
      </c>
      <c r="AG19" s="10">
        <f t="shared" si="11"/>
        <v>0.43510544389931688</v>
      </c>
      <c r="AH19" s="87">
        <v>7.4999999999999997E-3</v>
      </c>
      <c r="AI19" s="4">
        <v>15</v>
      </c>
      <c r="AJ19" s="98">
        <f t="shared" si="0"/>
        <v>6.3321058383781589E-2</v>
      </c>
      <c r="AK19" s="5">
        <f>'[1]资源-钻石'!$N18*求节点(武将数量星级阶位验证!$CP$41:$CP$72,武将数量星级阶位验证!$CS$41:$CS$72,节奏总纲!R18)</f>
        <v>21096.088284124144</v>
      </c>
      <c r="AL19" s="48"/>
      <c r="AO19" s="52"/>
      <c r="AP19" s="14">
        <f>基础状态预期!D29</f>
        <v>74.998404927577795</v>
      </c>
      <c r="AQ19" s="14">
        <f>(求节点(其他调用!$I$4:$I$503,其他调用!$J$4:$J$503,武将数量星级阶位验证!AS19))*求节点(武将数量星级阶位验证!$CP$41:$CP$72,武将数量星级阶位验证!$CQ$41:$CQ$72,武将数量星级阶位验证!AS19)</f>
        <v>295152.35582575609</v>
      </c>
      <c r="AR19" s="14">
        <f>IF(武将升级!Y16="",0,求节点($AK$5:$AK$104,$AJ$5:$AJ$104,AQ$7)*B$5*武将升级!Y16)</f>
        <v>0</v>
      </c>
      <c r="AS19" s="14">
        <f>IF(武将升级!Z16="",0,求节点($AK$5:$AK$104,$AJ$5:$AJ$104,$AQ19)*C$5*武将升级!Z16)</f>
        <v>0</v>
      </c>
      <c r="AT19" s="14">
        <f>IF(武将升级!AA16="",0,求节点($AK$5:$AK$104,$AJ$5:$AJ$104,$AQ19)*D$5*武将升级!AA16)</f>
        <v>0</v>
      </c>
      <c r="AU19" s="14">
        <f>IF(武将升级!AB16="",0,求节点($AK$5:$AK$104,$AJ$5:$AJ$104,$AQ19)*E$5*武将升级!AB16)</f>
        <v>2110.9092589437264</v>
      </c>
      <c r="AV19" s="14">
        <f>IF(武将升级!AC16="",0,求节点($AK$5:$AK$104,$AJ$5:$AJ$104,$AQ19)*F$5*武将升级!AC16)</f>
        <v>2110.9092589437264</v>
      </c>
      <c r="AW19" s="8">
        <f>SUMPRODUCT(AR19:AV19,基础状态预期!F29:J29)/SUM(基础状态预期!F29:J29)</f>
        <v>2110.9092589437264</v>
      </c>
    </row>
    <row r="20" spans="1:55" x14ac:dyDescent="0.15">
      <c r="I20" s="29" t="str">
        <f>IF(武将数量星级阶位验证!A21="","",武将数量星级阶位验证!A21)</f>
        <v>大r返还比例</v>
      </c>
      <c r="J20" s="29" t="str">
        <f>IF(武将数量星级阶位验证!B21="","",武将数量星级阶位验证!B21)</f>
        <v/>
      </c>
      <c r="K20" s="29" t="str">
        <f>IF(武将数量星级阶位验证!C21="","",武将数量星级阶位验证!C21)</f>
        <v/>
      </c>
      <c r="L20" s="29" t="str">
        <f>IF(武将数量星级阶位验证!D21="","",武将数量星级阶位验证!D21)</f>
        <v/>
      </c>
      <c r="M20" s="29">
        <f>IF(武将数量星级阶位验证!E21="","",武将数量星级阶位验证!E21)</f>
        <v>1.2E-2</v>
      </c>
      <c r="P20" s="14" t="e">
        <f>8-COUNTIF([4]羁绊设计!$AD19:$AK19,"&amp;")</f>
        <v>#VALUE!</v>
      </c>
      <c r="Q20" s="29" t="str">
        <f>[4]羁绊解锁统计!$B19</f>
        <v>丁奉</v>
      </c>
      <c r="R20" s="29" t="str">
        <f>IF([4]羁绊设计!$F19="红","橙+",[4]羁绊设计!$F19)</f>
        <v>紫</v>
      </c>
      <c r="S20" s="14">
        <f>IF([4]羁绊解锁统计!C19="",0,[4]羁绊解锁统计!C19-IF($R20=S$9,1,0))</f>
        <v>0</v>
      </c>
      <c r="T20" s="14">
        <f>IF([4]羁绊解锁统计!D19="",0,[4]羁绊解锁统计!D19-IF($R20=T$9,1,0))</f>
        <v>0</v>
      </c>
      <c r="U20" s="14">
        <f>IF([4]羁绊解锁统计!E19="",0,[4]羁绊解锁统计!E19-IF($R20=U$9,1,0))</f>
        <v>1</v>
      </c>
      <c r="V20" s="14">
        <f>IF([4]羁绊解锁统计!F19="",0,[4]羁绊解锁统计!F19-IF($R20=V$9,1,0))</f>
        <v>1</v>
      </c>
      <c r="W20" s="14">
        <f>IF([4]羁绊解锁统计!G19="",0,[4]羁绊解锁统计!G19-IF($R20=W$9,1,0))</f>
        <v>0</v>
      </c>
      <c r="X20" s="29">
        <f t="shared" si="3"/>
        <v>51111.111111111117</v>
      </c>
      <c r="Y20" s="10">
        <f t="shared" si="8"/>
        <v>0.1175552379919582</v>
      </c>
      <c r="AA20" s="14">
        <f t="shared" si="9"/>
        <v>0</v>
      </c>
      <c r="AB20" s="14">
        <f t="shared" si="2"/>
        <v>0</v>
      </c>
      <c r="AC20" s="14">
        <f t="shared" si="2"/>
        <v>6</v>
      </c>
      <c r="AD20" s="14">
        <f t="shared" si="2"/>
        <v>6</v>
      </c>
      <c r="AE20" s="14">
        <f t="shared" si="2"/>
        <v>0</v>
      </c>
      <c r="AF20" s="29">
        <f t="shared" si="10"/>
        <v>306666.66666666669</v>
      </c>
      <c r="AG20" s="10">
        <f t="shared" si="11"/>
        <v>0.4114433329718537</v>
      </c>
      <c r="AH20" s="87">
        <v>8.0000000000000002E-3</v>
      </c>
      <c r="AI20" s="4">
        <v>16</v>
      </c>
      <c r="AJ20" s="98">
        <f t="shared" si="0"/>
        <v>6.6022907764165611E-2</v>
      </c>
      <c r="AK20" s="5">
        <f>'[1]资源-钻石'!$N19*求节点(武将数量星级阶位验证!$CP$41:$CP$72,武将数量星级阶位验证!$CS$41:$CS$72,节奏总纲!R19)</f>
        <v>22395.247757599362</v>
      </c>
      <c r="AL20" s="48"/>
      <c r="AP20" s="14">
        <f>基础状态预期!D30</f>
        <v>77.875308029777003</v>
      </c>
      <c r="AQ20" s="14">
        <f>(求节点(其他调用!$I$4:$I$503,其他调用!$J$4:$J$503,武将数量星级阶位验证!AS20))*求节点(武将数量星级阶位验证!$CP$41:$CP$72,武将数量星级阶位验证!$CQ$41:$CQ$72,武将数量星级阶位验证!AS20)</f>
        <v>332442.51852694969</v>
      </c>
      <c r="AR20" s="14">
        <f>IF(武将升级!Y17="",0,求节点($AK$5:$AK$104,$AJ$5:$AJ$104,AQ$7)*B$5*武将升级!Y17)</f>
        <v>0</v>
      </c>
      <c r="AS20" s="14">
        <f>IF(武将升级!Z17="",0,求节点($AK$5:$AK$104,$AJ$5:$AJ$104,$AQ20)*C$5*武将升级!Z17)</f>
        <v>0</v>
      </c>
      <c r="AT20" s="14">
        <f>IF(武将升级!AA17="",0,求节点($AK$5:$AK$104,$AJ$5:$AJ$104,$AQ20)*D$5*武将升级!AA17)</f>
        <v>0</v>
      </c>
      <c r="AU20" s="14">
        <f>IF(武将升级!AB17="",0,求节点($AK$5:$AK$104,$AJ$5:$AJ$104,$AQ20)*E$5*武将升级!AB17)</f>
        <v>0</v>
      </c>
      <c r="AV20" s="14">
        <f>IF(武将升级!AC17="",0,求节点($AK$5:$AK$104,$AJ$5:$AJ$104,$AQ20)*F$5*武将升级!AC17)</f>
        <v>2369.1631225434485</v>
      </c>
      <c r="AW20" s="8">
        <f>SUMPRODUCT(AR20:AV20,基础状态预期!F30:J30)/SUM(基础状态预期!F30:J30)</f>
        <v>2369.1631225434485</v>
      </c>
    </row>
    <row r="21" spans="1:55" x14ac:dyDescent="0.15">
      <c r="I21" s="29" t="str">
        <f>IF(武将数量星级阶位验证!A22="","",武将数量星级阶位验证!A22)</f>
        <v>超r返还比例</v>
      </c>
      <c r="J21" s="29" t="str">
        <f>IF(武将数量星级阶位验证!B22="","",武将数量星级阶位验证!B22)</f>
        <v/>
      </c>
      <c r="K21" s="29" t="str">
        <f>IF(武将数量星级阶位验证!C22="","",武将数量星级阶位验证!C22)</f>
        <v/>
      </c>
      <c r="L21" s="29" t="str">
        <f>IF(武将数量星级阶位验证!D22="","",武将数量星级阶位验证!D22)</f>
        <v/>
      </c>
      <c r="M21" s="29">
        <f>IF(武将数量星级阶位验证!E22="","",武将数量星级阶位验证!E22)</f>
        <v>8.0000000000000002E-3</v>
      </c>
      <c r="P21" s="14" t="e">
        <f>8-COUNTIF([4]羁绊设计!$AD20:$AK20,"&amp;")</f>
        <v>#VALUE!</v>
      </c>
      <c r="Q21" s="29" t="str">
        <f>[4]羁绊解锁统计!$B20</f>
        <v>何太后</v>
      </c>
      <c r="R21" s="29" t="str">
        <f>IF([4]羁绊设计!$F20="红","橙+",[4]羁绊设计!$F20)</f>
        <v>橙+</v>
      </c>
      <c r="S21" s="14">
        <f>IF([4]羁绊解锁统计!C20="",0,[4]羁绊解锁统计!C20-IF($R21=S$9,1,0))</f>
        <v>0</v>
      </c>
      <c r="T21" s="14">
        <f>IF([4]羁绊解锁统计!D20="",0,[4]羁绊解锁统计!D20-IF($R21=T$9,1,0))</f>
        <v>0</v>
      </c>
      <c r="U21" s="14">
        <f>IF([4]羁绊解锁统计!E20="",0,[4]羁绊解锁统计!E20-IF($R21=U$9,1,0))</f>
        <v>1</v>
      </c>
      <c r="V21" s="14">
        <f>IF([4]羁绊解锁统计!F20="",0,[4]羁绊解锁统计!F20-IF($R21=V$9,1,0))</f>
        <v>0</v>
      </c>
      <c r="W21" s="14">
        <f>IF([4]羁绊解锁统计!G20="",0,[4]羁绊解锁统计!G20-IF($R21=W$9,1,0))</f>
        <v>0</v>
      </c>
      <c r="X21" s="29">
        <f t="shared" si="3"/>
        <v>5750</v>
      </c>
      <c r="Y21" s="10">
        <f t="shared" si="8"/>
        <v>2.5515962176998679E-2</v>
      </c>
      <c r="AA21" s="14">
        <f t="shared" si="9"/>
        <v>0</v>
      </c>
      <c r="AB21" s="14">
        <f t="shared" si="2"/>
        <v>0</v>
      </c>
      <c r="AC21" s="14">
        <f t="shared" si="2"/>
        <v>6</v>
      </c>
      <c r="AD21" s="14">
        <f t="shared" si="2"/>
        <v>0</v>
      </c>
      <c r="AE21" s="14">
        <f t="shared" si="2"/>
        <v>0</v>
      </c>
      <c r="AF21" s="29">
        <f t="shared" si="10"/>
        <v>34500</v>
      </c>
      <c r="AG21" s="10">
        <f t="shared" si="11"/>
        <v>8.9305867619495383E-2</v>
      </c>
      <c r="AH21" s="87">
        <v>8.5000000000000006E-3</v>
      </c>
      <c r="AI21" s="4">
        <v>17</v>
      </c>
      <c r="AJ21" s="98">
        <f t="shared" si="0"/>
        <v>6.8696624558387778E-2</v>
      </c>
      <c r="AK21" s="5">
        <f>'[1]资源-钻石'!$N20*求节点(武将数量星级阶位验证!$CP$41:$CP$72,武将数量星级阶位验证!$CS$41:$CS$72,节奏总纲!R20)</f>
        <v>23703.604358630648</v>
      </c>
      <c r="AL21" s="48"/>
      <c r="AP21" s="14">
        <f>基础状态预期!D31</f>
        <v>80.272123558064706</v>
      </c>
      <c r="AQ21" s="14">
        <f>(求节点(其他调用!$I$4:$I$503,其他调用!$J$4:$J$503,武将数量星级阶位验证!AS21))*求节点(武将数量星级阶位验证!$CP$41:$CP$72,武将数量星级阶位验证!$CQ$41:$CQ$72,武将数量星级阶位验证!AS21)</f>
        <v>370332.87436236645</v>
      </c>
      <c r="AR21" s="14">
        <f>IF(武将升级!Y18="",0,求节点($AK$5:$AK$104,$AJ$5:$AJ$104,AQ$7)*B$5*武将升级!Y18)</f>
        <v>0</v>
      </c>
      <c r="AS21" s="14">
        <f>IF(武将升级!Z18="",0,求节点($AK$5:$AK$104,$AJ$5:$AJ$104,$AQ21)*C$5*武将升级!Z18)</f>
        <v>0</v>
      </c>
      <c r="AT21" s="14">
        <f>IF(武将升级!AA18="",0,求节点($AK$5:$AK$104,$AJ$5:$AJ$104,$AQ21)*D$5*武将升级!AA18)</f>
        <v>0</v>
      </c>
      <c r="AU21" s="14">
        <f>IF(武将升级!AB18="",0,求节点($AK$5:$AK$104,$AJ$5:$AJ$104,$AQ21)*E$5*武将升级!AB18)</f>
        <v>0</v>
      </c>
      <c r="AV21" s="14">
        <f>IF(武将升级!AC18="",0,求节点($AK$5:$AK$104,$AJ$5:$AJ$104,$AQ21)*F$5*武将升级!AC18)</f>
        <v>2622.4385015592165</v>
      </c>
      <c r="AW21" s="8">
        <f>SUMPRODUCT(AR21:AV21,基础状态预期!F31:J31)/SUM(基础状态预期!F31:J31)</f>
        <v>2622.4385015592165</v>
      </c>
    </row>
    <row r="22" spans="1:55" x14ac:dyDescent="0.15">
      <c r="A22" s="10" t="s">
        <v>660</v>
      </c>
      <c r="B22" s="35" t="s">
        <v>3</v>
      </c>
      <c r="C22" s="35" t="s">
        <v>80</v>
      </c>
      <c r="D22" s="35" t="s">
        <v>81</v>
      </c>
      <c r="E22" s="35" t="s">
        <v>82</v>
      </c>
      <c r="F22" s="35" t="s">
        <v>545</v>
      </c>
      <c r="I22" s="17" t="str">
        <f>IF(武将数量星级阶位验证!A23="","",武将数量星级阶位验证!A23)</f>
        <v/>
      </c>
      <c r="J22" s="17" t="str">
        <f>IF(武将数量星级阶位验证!B23="","",武将数量星级阶位验证!B23)</f>
        <v/>
      </c>
      <c r="K22" s="17" t="str">
        <f>IF(武将数量星级阶位验证!C23="","",武将数量星级阶位验证!C23)</f>
        <v/>
      </c>
      <c r="L22" s="17" t="str">
        <f>IF(武将数量星级阶位验证!D23="","",武将数量星级阶位验证!D23)</f>
        <v/>
      </c>
      <c r="M22" s="17" t="str">
        <f>IF(武将数量星级阶位验证!E23="","",武将数量星级阶位验证!E23)</f>
        <v/>
      </c>
      <c r="P22" s="14" t="e">
        <f>8-COUNTIF([4]羁绊设计!$AD21:$AK21,"&amp;")</f>
        <v>#VALUE!</v>
      </c>
      <c r="Q22" s="29" t="str">
        <f>[4]羁绊解锁统计!$B21</f>
        <v>太史慈</v>
      </c>
      <c r="R22" s="29" t="str">
        <f>IF([4]羁绊设计!$F21="红","橙+",[4]羁绊设计!$F21)</f>
        <v>橙+</v>
      </c>
      <c r="S22" s="14">
        <f>IF([4]羁绊解锁统计!C21="",0,[4]羁绊解锁统计!C21-IF($R22=S$9,1,0))</f>
        <v>0</v>
      </c>
      <c r="T22" s="14">
        <f>IF([4]羁绊解锁统计!D21="",0,[4]羁绊解锁统计!D21-IF($R22=T$9,1,0))</f>
        <v>0</v>
      </c>
      <c r="U22" s="14">
        <f>IF([4]羁绊解锁统计!E21="",0,[4]羁绊解锁统计!E21-IF($R22=U$9,1,0))</f>
        <v>0</v>
      </c>
      <c r="V22" s="14">
        <f>IF([4]羁绊解锁统计!F21="",0,[4]羁绊解锁统计!F21-IF($R22=V$9,1,0))</f>
        <v>2</v>
      </c>
      <c r="W22" s="14">
        <f>IF([4]羁绊解锁统计!G21="",0,[4]羁绊解锁统计!G21-IF($R22=W$9,1,0))</f>
        <v>0</v>
      </c>
      <c r="X22" s="29">
        <f t="shared" si="3"/>
        <v>55370.370370370372</v>
      </c>
      <c r="Y22" s="10">
        <f t="shared" si="8"/>
        <v>0.12431584111409054</v>
      </c>
      <c r="AA22" s="14">
        <f t="shared" si="9"/>
        <v>0</v>
      </c>
      <c r="AB22" s="14">
        <f t="shared" si="2"/>
        <v>0</v>
      </c>
      <c r="AC22" s="14">
        <f t="shared" si="2"/>
        <v>0</v>
      </c>
      <c r="AD22" s="14">
        <f t="shared" si="2"/>
        <v>12</v>
      </c>
      <c r="AE22" s="14">
        <f t="shared" si="2"/>
        <v>0</v>
      </c>
      <c r="AF22" s="29">
        <f t="shared" si="10"/>
        <v>332222.22222222225</v>
      </c>
      <c r="AG22" s="10">
        <f t="shared" si="11"/>
        <v>0.43510544389931688</v>
      </c>
      <c r="AH22" s="87">
        <v>8.9999999999999993E-3</v>
      </c>
      <c r="AI22" s="4">
        <v>18</v>
      </c>
      <c r="AJ22" s="98">
        <f t="shared" si="0"/>
        <v>7.1902130443760343E-2</v>
      </c>
      <c r="AK22" s="5">
        <f>'[1]资源-钻石'!$N21*求节点(武将数量星级阶位验证!$CP$41:$CP$72,武将数量星级阶位验证!$CS$41:$CS$72,节奏总纲!R21)</f>
        <v>25301.272325995214</v>
      </c>
      <c r="AL22" s="48"/>
      <c r="AP22" s="14">
        <f>基础状态预期!D32</f>
        <v>82.328492296001457</v>
      </c>
      <c r="AQ22" s="14">
        <f>(求节点(其他调用!$I$4:$I$503,其他调用!$J$4:$J$503,武将数量星级阶位验证!AS22))*求节点(武将数量星级阶位验证!$CP$41:$CP$72,武将数量星级阶位验证!$CQ$41:$CQ$72,武将数量星级阶位验证!AS22)</f>
        <v>406058.23512062529</v>
      </c>
      <c r="AR22" s="14">
        <f>IF(武将升级!Y19="",0,求节点($AK$5:$AK$104,$AJ$5:$AJ$104,AQ$7)*B$5*武将升级!Y19)</f>
        <v>0</v>
      </c>
      <c r="AS22" s="14">
        <f>IF(武将升级!Z19="",0,求节点($AK$5:$AK$104,$AJ$5:$AJ$104,$AQ22)*C$5*武将升级!Z19)</f>
        <v>0</v>
      </c>
      <c r="AT22" s="14">
        <f>IF(武将升级!AA19="",0,求节点($AK$5:$AK$104,$AJ$5:$AJ$104,$AQ22)*D$5*武将升级!AA19)</f>
        <v>0</v>
      </c>
      <c r="AU22" s="14">
        <f>IF(武将升级!AB19="",0,求节点($AK$5:$AK$104,$AJ$5:$AJ$104,$AQ22)*E$5*武将升级!AB19)</f>
        <v>0</v>
      </c>
      <c r="AV22" s="14">
        <f>IF(武将升级!AC19="",0,求节点($AK$5:$AK$104,$AJ$5:$AJ$104,$AQ22)*F$5*武将升级!AC19)</f>
        <v>2858.665663311112</v>
      </c>
      <c r="AW22" s="8">
        <f>SUMPRODUCT(AR22:AV22,基础状态预期!F32:J32)/SUM(基础状态预期!F32:J32)</f>
        <v>2858.665663311112</v>
      </c>
    </row>
    <row r="23" spans="1:55" x14ac:dyDescent="0.15">
      <c r="A23" s="10">
        <v>1</v>
      </c>
      <c r="B23" s="10">
        <v>1</v>
      </c>
      <c r="C23" s="10">
        <v>1</v>
      </c>
      <c r="D23" s="10">
        <v>1</v>
      </c>
      <c r="E23" s="10">
        <v>1</v>
      </c>
      <c r="F23" s="10">
        <v>1</v>
      </c>
      <c r="I23" s="17" t="str">
        <f>IF(武将数量星级阶位验证!A24="","",武将数量星级阶位验证!A24)</f>
        <v/>
      </c>
      <c r="J23" s="35" t="str">
        <f>IF(武将数量星级阶位验证!B24="","",武将数量星级阶位验证!B24)</f>
        <v>蓝</v>
      </c>
      <c r="K23" s="35" t="str">
        <f>IF(武将数量星级阶位验证!C24="","",武将数量星级阶位验证!C24)</f>
        <v>紫</v>
      </c>
      <c r="L23" s="35" t="str">
        <f>IF(武将数量星级阶位验证!D24="","",武将数量星级阶位验证!D24)</f>
        <v>橙</v>
      </c>
      <c r="M23" s="35" t="str">
        <f>IF(武将数量星级阶位验证!E24="","",武将数量星级阶位验证!E24)</f>
        <v>橙+</v>
      </c>
      <c r="P23" s="14" t="e">
        <f>8-COUNTIF([4]羁绊设计!$AD22:$AK22,"&amp;")</f>
        <v>#VALUE!</v>
      </c>
      <c r="Q23" s="29" t="str">
        <f>[4]羁绊解锁统计!$B22</f>
        <v>黄忠</v>
      </c>
      <c r="R23" s="29" t="str">
        <f>IF([4]羁绊设计!$F22="红","橙+",[4]羁绊设计!$F22)</f>
        <v>橙+</v>
      </c>
      <c r="S23" s="14">
        <f>IF([4]羁绊解锁统计!C22="",0,[4]羁绊解锁统计!C22-IF($R23=S$9,1,0))</f>
        <v>0</v>
      </c>
      <c r="T23" s="14">
        <f>IF([4]羁绊解锁统计!D22="",0,[4]羁绊解锁统计!D22-IF($R23=T$9,1,0))</f>
        <v>0</v>
      </c>
      <c r="U23" s="14">
        <f>IF([4]羁绊解锁统计!E22="",0,[4]羁绊解锁统计!E22-IF($R23=U$9,1,0))</f>
        <v>0</v>
      </c>
      <c r="V23" s="14">
        <f>IF([4]羁绊解锁统计!F22="",0,[4]羁绊解锁统计!F22-IF($R23=V$9,1,0))</f>
        <v>2</v>
      </c>
      <c r="W23" s="14">
        <f>IF([4]羁绊解锁统计!G22="",0,[4]羁绊解锁统计!G22-IF($R23=W$9,1,0))</f>
        <v>0</v>
      </c>
      <c r="X23" s="29">
        <f t="shared" si="3"/>
        <v>55370.370370370372</v>
      </c>
      <c r="Y23" s="10">
        <f t="shared" si="8"/>
        <v>0.12431584111409054</v>
      </c>
      <c r="AA23" s="14">
        <f t="shared" si="9"/>
        <v>0</v>
      </c>
      <c r="AB23" s="14">
        <f t="shared" si="2"/>
        <v>0</v>
      </c>
      <c r="AC23" s="14">
        <f t="shared" si="2"/>
        <v>0</v>
      </c>
      <c r="AD23" s="14">
        <f t="shared" si="2"/>
        <v>12</v>
      </c>
      <c r="AE23" s="14">
        <f t="shared" si="2"/>
        <v>0</v>
      </c>
      <c r="AF23" s="29">
        <f t="shared" si="10"/>
        <v>332222.22222222225</v>
      </c>
      <c r="AG23" s="10">
        <f t="shared" si="11"/>
        <v>0.43510544389931688</v>
      </c>
      <c r="AH23" s="87">
        <v>9.4999999999999998E-3</v>
      </c>
      <c r="AI23" s="4">
        <v>19</v>
      </c>
      <c r="AJ23" s="98">
        <f t="shared" si="0"/>
        <v>7.5051644600781439E-2</v>
      </c>
      <c r="AK23" s="5">
        <f>'[1]资源-钻石'!$N22*求节点(武将数量星级阶位验证!$CP$41:$CP$72,武将数量星级阶位验证!$CS$41:$CS$72,节奏总纲!R22)</f>
        <v>26901.180292192425</v>
      </c>
      <c r="AL23" s="48"/>
      <c r="AP23" s="14">
        <f>基础状态预期!D55</f>
        <v>159.99202506384199</v>
      </c>
      <c r="AQ23" s="14">
        <f>(求节点(其他调用!$I$4:$I$503,其他调用!$J$4:$J$503,武将数量星级阶位验证!AS45))*求节点(武将数量星级阶位验证!$CP$41:$CP$72,武将数量星级阶位验证!$CQ$41:$CQ$72,武将数量星级阶位验证!AS45)</f>
        <v>402315.27510011097</v>
      </c>
      <c r="AR23" s="14">
        <f>IF(武将升级!Y42="",0,求节点($AK$5:$AK$104,$AJ$5:$AJ$104,AQ$7)*B$5*武将升级!Y42)</f>
        <v>0</v>
      </c>
      <c r="AS23" s="14">
        <f>IF(武将升级!Z42="",0,求节点($AK$5:$AK$104,$AJ$5:$AJ$104,$AQ23)*C$5*武将升级!Z42)</f>
        <v>0</v>
      </c>
      <c r="AT23" s="14">
        <f>IF(武将升级!AA42="",0,求节点($AK$5:$AK$104,$AJ$5:$AJ$104,$AQ23)*D$5*武将升级!AA42)</f>
        <v>0</v>
      </c>
      <c r="AU23" s="14">
        <f>IF(武将升级!AB42="",0,求节点($AK$5:$AK$104,$AJ$5:$AJ$104,$AQ23)*E$5*武将升级!AB42)</f>
        <v>0</v>
      </c>
      <c r="AV23" s="14">
        <f>IF(武将升级!AC42="",0,求节点($AK$5:$AK$104,$AJ$5:$AJ$104,$AQ23)*F$5*武将升级!AC42)</f>
        <v>4859.7842864010754</v>
      </c>
      <c r="AW23" s="8">
        <f>SUMPRODUCT(AR23:AV23,基础状态预期!F55:J55)/SUM(基础状态预期!F55:J55)</f>
        <v>4859.7842864010754</v>
      </c>
    </row>
    <row r="24" spans="1:55" x14ac:dyDescent="0.15">
      <c r="A24" s="10">
        <v>2</v>
      </c>
      <c r="B24" s="10">
        <v>1</v>
      </c>
      <c r="C24" s="10">
        <v>1</v>
      </c>
      <c r="D24" s="10">
        <v>1</v>
      </c>
      <c r="E24" s="10">
        <v>1</v>
      </c>
      <c r="F24" s="10">
        <v>1</v>
      </c>
      <c r="I24" s="29" t="str">
        <f>IF(武将数量星级阶位验证!A25="","",武将数量星级阶位验证!A25)</f>
        <v>非r</v>
      </c>
      <c r="J24" s="29">
        <f>IF(武将数量星级阶位验证!B25="","",武将数量星级阶位验证!B25)</f>
        <v>0.4933333333333334</v>
      </c>
      <c r="K24" s="29">
        <f>IF(武将数量星级阶位验证!C25="","",武将数量星级阶位验证!C25)</f>
        <v>0.26666666666666666</v>
      </c>
      <c r="L24" s="29">
        <f>IF(武将数量星级阶位验证!D25="","",武将数量星级阶位验证!D25)</f>
        <v>0.04</v>
      </c>
      <c r="M24" s="29">
        <f>IF(武将数量星级阶位验证!E25="","",武将数量星级阶位验证!E25)</f>
        <v>2.8000000000000001E-2</v>
      </c>
      <c r="P24" s="14" t="e">
        <f>8-COUNTIF([4]羁绊设计!$AD23:$AK23,"&amp;")</f>
        <v>#VALUE!</v>
      </c>
      <c r="Q24" s="29" t="str">
        <f>[4]羁绊解锁统计!$B23</f>
        <v>马腾</v>
      </c>
      <c r="R24" s="29" t="str">
        <f>IF([4]羁绊设计!$F23="红","橙+",[4]羁绊设计!$F23)</f>
        <v>橙</v>
      </c>
      <c r="S24" s="14">
        <f>IF([4]羁绊解锁统计!C23="",0,[4]羁绊解锁统计!C23-IF($R24=S$9,1,0))</f>
        <v>0</v>
      </c>
      <c r="T24" s="14">
        <f>IF([4]羁绊解锁统计!D23="",0,[4]羁绊解锁统计!D23-IF($R24=T$9,1,0))</f>
        <v>0</v>
      </c>
      <c r="U24" s="14">
        <f>IF([4]羁绊解锁统计!E23="",0,[4]羁绊解锁统计!E23-IF($R24=U$9,1,0))</f>
        <v>0</v>
      </c>
      <c r="V24" s="14">
        <f>IF([4]羁绊解锁统计!F23="",0,[4]羁绊解锁统计!F23-IF($R24=V$9,1,0))</f>
        <v>2</v>
      </c>
      <c r="W24" s="14">
        <f>IF([4]羁绊解锁统计!G23="",0,[4]羁绊解锁统计!G23-IF($R24=W$9,1,0))</f>
        <v>0</v>
      </c>
      <c r="X24" s="29">
        <f t="shared" si="3"/>
        <v>55370.370370370372</v>
      </c>
      <c r="Y24" s="10">
        <f t="shared" si="8"/>
        <v>0.12431584111409054</v>
      </c>
      <c r="AA24" s="14">
        <f t="shared" si="9"/>
        <v>0</v>
      </c>
      <c r="AB24" s="14">
        <f t="shared" si="2"/>
        <v>0</v>
      </c>
      <c r="AC24" s="14">
        <f t="shared" si="2"/>
        <v>0</v>
      </c>
      <c r="AD24" s="14">
        <f t="shared" si="2"/>
        <v>12</v>
      </c>
      <c r="AE24" s="14">
        <f t="shared" si="2"/>
        <v>0</v>
      </c>
      <c r="AF24" s="29">
        <f t="shared" si="10"/>
        <v>332222.22222222225</v>
      </c>
      <c r="AG24" s="10">
        <f t="shared" si="11"/>
        <v>0.43510544389931688</v>
      </c>
      <c r="AH24" s="87">
        <v>9.9999999999999898E-3</v>
      </c>
      <c r="AI24" s="4">
        <v>20</v>
      </c>
      <c r="AJ24" s="98">
        <f t="shared" si="0"/>
        <v>7.816049647277927E-2</v>
      </c>
      <c r="AK24" s="5">
        <f>'[1]资源-钻石'!$N23*求节点(武将数量星级阶位验证!$CP$41:$CP$72,武将数量星级阶位验证!$CS$41:$CS$72,节奏总纲!R23)</f>
        <v>28509.028761363505</v>
      </c>
      <c r="AL24" s="48"/>
      <c r="AP24" s="16"/>
      <c r="AQ24" s="16"/>
      <c r="AR24" s="16"/>
      <c r="AS24" s="16"/>
      <c r="AT24" s="16"/>
      <c r="AU24" s="16"/>
      <c r="AV24" s="16"/>
      <c r="BA24" s="17"/>
      <c r="BB24" s="17"/>
    </row>
    <row r="25" spans="1:55" x14ac:dyDescent="0.15">
      <c r="A25" s="10">
        <v>3</v>
      </c>
      <c r="B25" s="10">
        <v>1</v>
      </c>
      <c r="C25" s="10">
        <v>1</v>
      </c>
      <c r="D25" s="10">
        <v>1</v>
      </c>
      <c r="E25" s="10">
        <v>1</v>
      </c>
      <c r="F25" s="10">
        <v>2</v>
      </c>
      <c r="I25" s="29" t="str">
        <f>IF(武将数量星级阶位验证!A26="","",武将数量星级阶位验证!A26)</f>
        <v>小r</v>
      </c>
      <c r="J25" s="29">
        <f>IF(武将数量星级阶位验证!B26="","",武将数量星级阶位验证!B26)</f>
        <v>0.4933333333333334</v>
      </c>
      <c r="K25" s="29">
        <f>IF(武将数量星级阶位验证!C26="","",武将数量星级阶位验证!C26)</f>
        <v>0.26666666666666666</v>
      </c>
      <c r="L25" s="29">
        <f>IF(武将数量星级阶位验证!D26="","",武将数量星级阶位验证!D26)</f>
        <v>0.04</v>
      </c>
      <c r="M25" s="29">
        <f>IF(武将数量星级阶位验证!E26="","",武将数量星级阶位验证!E26)</f>
        <v>2.8000000000000001E-2</v>
      </c>
      <c r="P25" s="14" t="e">
        <f>8-COUNTIF([4]羁绊设计!$AD24:$AK24,"&amp;")</f>
        <v>#VALUE!</v>
      </c>
      <c r="Q25" s="29" t="str">
        <f>[4]羁绊解锁统计!$B24</f>
        <v>曹仁</v>
      </c>
      <c r="R25" s="29" t="str">
        <f>IF([4]羁绊设计!$F24="红","橙+",[4]羁绊设计!$F24)</f>
        <v>橙</v>
      </c>
      <c r="S25" s="14">
        <f>IF([4]羁绊解锁统计!C24="",0,[4]羁绊解锁统计!C24-IF($R25=S$9,1,0))</f>
        <v>0</v>
      </c>
      <c r="T25" s="14">
        <f>IF([4]羁绊解锁统计!D24="",0,[4]羁绊解锁统计!D24-IF($R25=T$9,1,0))</f>
        <v>0</v>
      </c>
      <c r="U25" s="14">
        <f>IF([4]羁绊解锁统计!E24="",0,[4]羁绊解锁统计!E24-IF($R25=U$9,1,0))</f>
        <v>0</v>
      </c>
      <c r="V25" s="14">
        <f>IF([4]羁绊解锁统计!F24="",0,[4]羁绊解锁统计!F24-IF($R25=V$9,1,0))</f>
        <v>5</v>
      </c>
      <c r="W25" s="14">
        <f>IF([4]羁绊解锁统计!G24="",0,[4]羁绊解锁统计!G24-IF($R25=W$9,1,0))</f>
        <v>0</v>
      </c>
      <c r="X25" s="29">
        <f t="shared" si="3"/>
        <v>68148.148148148146</v>
      </c>
      <c r="Y25" s="10">
        <f t="shared" si="8"/>
        <v>0.14374973105394928</v>
      </c>
      <c r="AA25" s="14">
        <f t="shared" si="9"/>
        <v>0</v>
      </c>
      <c r="AB25" s="14">
        <f t="shared" si="2"/>
        <v>0</v>
      </c>
      <c r="AC25" s="14">
        <f t="shared" si="2"/>
        <v>0</v>
      </c>
      <c r="AD25" s="14">
        <f t="shared" si="2"/>
        <v>30</v>
      </c>
      <c r="AE25" s="14">
        <f t="shared" si="2"/>
        <v>0</v>
      </c>
      <c r="AF25" s="29">
        <f t="shared" si="10"/>
        <v>408888.88888888888</v>
      </c>
      <c r="AG25" s="10">
        <f t="shared" si="11"/>
        <v>0.50312405868882248</v>
      </c>
      <c r="AH25" s="87">
        <v>1.0500000000000001E-2</v>
      </c>
      <c r="AI25" s="4">
        <v>21</v>
      </c>
      <c r="AJ25" s="98">
        <f t="shared" si="0"/>
        <v>8.1528904604427258E-2</v>
      </c>
      <c r="AK25" s="5">
        <f>'[1]资源-钻石'!$N24*求节点(武将数量星级阶位验证!$CP$41:$CP$72,武将数量星级阶位验证!$CS$41:$CS$72,节奏总纲!R24)</f>
        <v>30282.427043569747</v>
      </c>
      <c r="AL25" s="48"/>
      <c r="AP25" s="16"/>
      <c r="AQ25" s="16"/>
      <c r="AR25" s="16"/>
      <c r="AS25" s="16"/>
      <c r="AT25" s="16"/>
      <c r="AU25" s="16"/>
      <c r="AV25" s="16"/>
      <c r="BA25" s="17"/>
      <c r="BB25" s="17"/>
    </row>
    <row r="26" spans="1:55" x14ac:dyDescent="0.15">
      <c r="A26" s="10">
        <v>4</v>
      </c>
      <c r="B26" s="10">
        <v>1</v>
      </c>
      <c r="C26" s="10">
        <v>1</v>
      </c>
      <c r="D26" s="10">
        <v>1</v>
      </c>
      <c r="E26" s="10">
        <v>1</v>
      </c>
      <c r="F26" s="10">
        <v>2</v>
      </c>
      <c r="I26" s="29" t="str">
        <f>IF(武将数量星级阶位验证!A27="","",武将数量星级阶位验证!A27)</f>
        <v>中r</v>
      </c>
      <c r="J26" s="29">
        <f>IF(武将数量星级阶位验证!B27="","",武将数量星级阶位验证!B27)</f>
        <v>0.4933333333333334</v>
      </c>
      <c r="K26" s="29">
        <f>IF(武将数量星级阶位验证!C27="","",武将数量星级阶位验证!C27)</f>
        <v>0.26666666666666666</v>
      </c>
      <c r="L26" s="29">
        <f>IF(武将数量星级阶位验证!D27="","",武将数量星级阶位验证!D27)</f>
        <v>0.04</v>
      </c>
      <c r="M26" s="29">
        <f>IF(武将数量星级阶位验证!E27="","",武将数量星级阶位验证!E27)</f>
        <v>2.4E-2</v>
      </c>
      <c r="P26" s="14" t="e">
        <f>8-COUNTIF([4]羁绊设计!$AD25:$AK25,"&amp;")</f>
        <v>#VALUE!</v>
      </c>
      <c r="Q26" s="29" t="str">
        <f>[4]羁绊解锁统计!$B25</f>
        <v>严颜</v>
      </c>
      <c r="R26" s="29" t="str">
        <f>IF([4]羁绊设计!$F25="红","橙+",[4]羁绊设计!$F25)</f>
        <v>紫</v>
      </c>
      <c r="S26" s="14">
        <f>IF([4]羁绊解锁统计!C25="",0,[4]羁绊解锁统计!C25-IF($R26=S$9,1,0))</f>
        <v>0</v>
      </c>
      <c r="T26" s="14">
        <f>IF([4]羁绊解锁统计!D25="",0,[4]羁绊解锁统计!D25-IF($R26=T$9,1,0))</f>
        <v>0</v>
      </c>
      <c r="U26" s="14">
        <f>IF([4]羁绊解锁统计!E25="",0,[4]羁绊解锁统计!E25-IF($R26=U$9,1,0))</f>
        <v>0</v>
      </c>
      <c r="V26" s="14">
        <f>IF([4]羁绊解锁统计!F25="",0,[4]羁绊解锁统计!F25-IF($R26=V$9,1,0))</f>
        <v>2</v>
      </c>
      <c r="W26" s="14">
        <f>IF([4]羁绊解锁统计!G25="",0,[4]羁绊解锁统计!G25-IF($R26=W$9,1,0))</f>
        <v>0</v>
      </c>
      <c r="X26" s="29">
        <f t="shared" si="3"/>
        <v>55370.370370370372</v>
      </c>
      <c r="Y26" s="10">
        <f t="shared" si="8"/>
        <v>0.12431584111409054</v>
      </c>
      <c r="AA26" s="14">
        <f t="shared" si="9"/>
        <v>0</v>
      </c>
      <c r="AB26" s="14">
        <f t="shared" si="9"/>
        <v>0</v>
      </c>
      <c r="AC26" s="14">
        <f t="shared" si="9"/>
        <v>0</v>
      </c>
      <c r="AD26" s="14">
        <f t="shared" si="9"/>
        <v>12</v>
      </c>
      <c r="AE26" s="14">
        <f t="shared" si="9"/>
        <v>0</v>
      </c>
      <c r="AF26" s="29">
        <f t="shared" si="10"/>
        <v>332222.22222222225</v>
      </c>
      <c r="AG26" s="10">
        <f t="shared" si="11"/>
        <v>0.43510544389931688</v>
      </c>
      <c r="AH26" s="87">
        <v>1.0999999999999999E-2</v>
      </c>
      <c r="AI26" s="4">
        <v>22</v>
      </c>
      <c r="AJ26" s="98">
        <f t="shared" si="0"/>
        <v>8.5054430990148103E-2</v>
      </c>
      <c r="AK26" s="5">
        <f>'[1]资源-钻石'!$N25*求节点(武将数量星级阶位验证!$CP$41:$CP$72,武将数量星级阶位验证!$CS$41:$CS$72,节奏总纲!R25)</f>
        <v>32172.605725260892</v>
      </c>
      <c r="AL26" s="48"/>
    </row>
    <row r="27" spans="1:55" x14ac:dyDescent="0.15">
      <c r="A27" s="10">
        <v>5</v>
      </c>
      <c r="B27" s="10">
        <v>1</v>
      </c>
      <c r="C27" s="10">
        <v>1</v>
      </c>
      <c r="D27" s="10">
        <v>1</v>
      </c>
      <c r="E27" s="10">
        <v>1</v>
      </c>
      <c r="F27" s="10">
        <v>3</v>
      </c>
      <c r="I27" s="29" t="str">
        <f>IF(武将数量星级阶位验证!A28="","",武将数量星级阶位验证!A28)</f>
        <v>大r</v>
      </c>
      <c r="J27" s="29">
        <f>IF(武将数量星级阶位验证!B28="","",武将数量星级阶位验证!B28)</f>
        <v>0.4933333333333334</v>
      </c>
      <c r="K27" s="29">
        <f>IF(武将数量星级阶位验证!C28="","",武将数量星级阶位验证!C28)</f>
        <v>0.26666666666666666</v>
      </c>
      <c r="L27" s="29">
        <f>IF(武将数量星级阶位验证!D28="","",武将数量星级阶位验证!D28)</f>
        <v>0.04</v>
      </c>
      <c r="M27" s="29">
        <f>IF(武将数量星级阶位验证!E28="","",武将数量星级阶位验证!E28)</f>
        <v>0.02</v>
      </c>
      <c r="P27" s="14" t="e">
        <f>8-COUNTIF([4]羁绊设计!$AD26:$AK26,"&amp;")</f>
        <v>#VALUE!</v>
      </c>
      <c r="Q27" s="29" t="str">
        <f>[4]羁绊解锁统计!$B26</f>
        <v>王允</v>
      </c>
      <c r="R27" s="29" t="str">
        <f>IF([4]羁绊设计!$F26="红","橙+",[4]羁绊设计!$F26)</f>
        <v>橙</v>
      </c>
      <c r="S27" s="14">
        <f>IF([4]羁绊解锁统计!C26="",0,[4]羁绊解锁统计!C26-IF($R27=S$9,1,0))</f>
        <v>0</v>
      </c>
      <c r="T27" s="14">
        <f>IF([4]羁绊解锁统计!D26="",0,[4]羁绊解锁统计!D26-IF($R27=T$9,1,0))</f>
        <v>0</v>
      </c>
      <c r="U27" s="14">
        <f>IF([4]羁绊解锁统计!E26="",0,[4]羁绊解锁统计!E26-IF($R27=U$9,1,0))</f>
        <v>0</v>
      </c>
      <c r="V27" s="14">
        <f>IF([4]羁绊解锁统计!F26="",0,[4]羁绊解锁统计!F26-IF($R27=V$9,1,0))</f>
        <v>1</v>
      </c>
      <c r="W27" s="14">
        <f>IF([4]羁绊解锁统计!G26="",0,[4]羁绊解锁统计!G26-IF($R27=W$9,1,0))</f>
        <v>1</v>
      </c>
      <c r="X27" s="29">
        <f t="shared" si="3"/>
        <v>51111.111111111117</v>
      </c>
      <c r="Y27" s="10">
        <f t="shared" si="8"/>
        <v>0.1175552379919582</v>
      </c>
      <c r="AA27" s="14">
        <f t="shared" si="9"/>
        <v>0</v>
      </c>
      <c r="AB27" s="14">
        <f t="shared" si="9"/>
        <v>0</v>
      </c>
      <c r="AC27" s="14">
        <f t="shared" si="9"/>
        <v>0</v>
      </c>
      <c r="AD27" s="14">
        <f t="shared" si="9"/>
        <v>6</v>
      </c>
      <c r="AE27" s="14">
        <f t="shared" si="9"/>
        <v>6</v>
      </c>
      <c r="AF27" s="29">
        <f t="shared" si="10"/>
        <v>306666.66666666669</v>
      </c>
      <c r="AG27" s="10">
        <f t="shared" si="11"/>
        <v>0.4114433329718537</v>
      </c>
      <c r="AH27" s="87">
        <v>1.15E-2</v>
      </c>
      <c r="AI27" s="4">
        <v>23</v>
      </c>
      <c r="AJ27" s="98">
        <f t="shared" si="0"/>
        <v>8.866173580445097E-2</v>
      </c>
      <c r="AK27" s="5">
        <f>'[1]资源-钻石'!$N26*求节点(武将数量星级阶位验证!$CP$41:$CP$72,武将数量星级阶位验证!$CS$41:$CS$72,节奏总纲!R26)</f>
        <v>34141.834830072563</v>
      </c>
      <c r="AL27" s="48"/>
    </row>
    <row r="28" spans="1:55" x14ac:dyDescent="0.15">
      <c r="A28" s="10">
        <v>6</v>
      </c>
      <c r="B28" s="10">
        <v>1</v>
      </c>
      <c r="C28" s="10">
        <v>1</v>
      </c>
      <c r="D28" s="10">
        <v>1</v>
      </c>
      <c r="E28" s="10">
        <v>1</v>
      </c>
      <c r="F28" s="10">
        <v>3</v>
      </c>
      <c r="I28" s="29" t="str">
        <f>IF(武将数量星级阶位验证!A29="","",武将数量星级阶位验证!A29)</f>
        <v>超r</v>
      </c>
      <c r="J28" s="29">
        <f>IF(武将数量星级阶位验证!B29="","",武将数量星级阶位验证!B29)</f>
        <v>0.4933333333333334</v>
      </c>
      <c r="K28" s="29">
        <f>IF(武将数量星级阶位验证!C29="","",武将数量星级阶位验证!C29)</f>
        <v>0.26666666666666666</v>
      </c>
      <c r="L28" s="29">
        <f>IF(武将数量星级阶位验证!D29="","",武将数量星级阶位验证!D29)</f>
        <v>0.04</v>
      </c>
      <c r="M28" s="29">
        <f>IF(武将数量星级阶位验证!E29="","",武将数量星级阶位验证!E29)</f>
        <v>1.6E-2</v>
      </c>
      <c r="P28" s="14" t="e">
        <f>8-COUNTIF([4]羁绊设计!$AD27:$AK27,"&amp;")</f>
        <v>#VALUE!</v>
      </c>
      <c r="Q28" s="29" t="str">
        <f>[4]羁绊解锁统计!$B27</f>
        <v>荀彧</v>
      </c>
      <c r="R28" s="29" t="str">
        <f>IF([4]羁绊设计!$F27="红","橙+",[4]羁绊设计!$F27)</f>
        <v>橙+</v>
      </c>
      <c r="S28" s="14">
        <f>IF([4]羁绊解锁统计!C27="",0,[4]羁绊解锁统计!C27-IF($R28=S$9,1,0))</f>
        <v>0</v>
      </c>
      <c r="T28" s="14">
        <f>IF([4]羁绊解锁统计!D27="",0,[4]羁绊解锁统计!D27-IF($R28=T$9,1,0))</f>
        <v>0</v>
      </c>
      <c r="U28" s="14">
        <f>IF([4]羁绊解锁统计!E27="",0,[4]羁绊解锁统计!E27-IF($R28=U$9,1,0))</f>
        <v>0</v>
      </c>
      <c r="V28" s="14">
        <f>IF([4]羁绊解锁统计!F27="",0,[4]羁绊解锁统计!F27-IF($R28=V$9,1,0))</f>
        <v>0</v>
      </c>
      <c r="W28" s="14">
        <f>IF([4]羁绊解锁统计!G27="",0,[4]羁绊解锁统计!G27-IF($R28=W$9,1,0))</f>
        <v>1</v>
      </c>
      <c r="X28" s="29">
        <f t="shared" si="3"/>
        <v>8614.6666666666661</v>
      </c>
      <c r="Y28" s="10">
        <f t="shared" si="8"/>
        <v>3.3850863955445211E-2</v>
      </c>
      <c r="AA28" s="14">
        <f t="shared" si="9"/>
        <v>0</v>
      </c>
      <c r="AB28" s="14">
        <f t="shared" si="9"/>
        <v>0</v>
      </c>
      <c r="AC28" s="14">
        <f t="shared" si="9"/>
        <v>0</v>
      </c>
      <c r="AD28" s="14">
        <f t="shared" si="9"/>
        <v>0</v>
      </c>
      <c r="AE28" s="14">
        <f t="shared" si="9"/>
        <v>6</v>
      </c>
      <c r="AF28" s="29">
        <f t="shared" si="10"/>
        <v>51688</v>
      </c>
      <c r="AG28" s="10">
        <f t="shared" si="11"/>
        <v>0.11847802384405823</v>
      </c>
      <c r="AH28" s="87">
        <v>1.2E-2</v>
      </c>
      <c r="AI28" s="4">
        <v>24</v>
      </c>
      <c r="AJ28" s="98">
        <f t="shared" si="0"/>
        <v>9.2649719797974137E-2</v>
      </c>
      <c r="AK28" s="5">
        <f>'[1]资源-钻石'!$N27*求节点(武将数量星级阶位验证!$CP$41:$CP$72,武将数量星级阶位验证!$CS$41:$CS$72,节奏总纲!R27)</f>
        <v>36359.326547369004</v>
      </c>
      <c r="AL28" s="48"/>
      <c r="AP28" s="8" t="s">
        <v>76</v>
      </c>
      <c r="AQ28" s="8"/>
      <c r="AR28" s="173" t="s">
        <v>286</v>
      </c>
      <c r="AS28" s="173"/>
      <c r="AT28" s="173"/>
      <c r="AU28" s="173"/>
      <c r="AV28" s="173"/>
      <c r="AW28" s="173"/>
      <c r="BA28" s="35" t="s">
        <v>76</v>
      </c>
      <c r="BB28" s="29" t="s">
        <v>55</v>
      </c>
      <c r="BC28" s="51"/>
    </row>
    <row r="29" spans="1:55" x14ac:dyDescent="0.15">
      <c r="I29" s="17" t="str">
        <f>IF(武将数量星级阶位验证!A30="","",武将数量星级阶位验证!A30)</f>
        <v/>
      </c>
      <c r="J29" s="17" t="str">
        <f>IF(武将数量星级阶位验证!B30="","",武将数量星级阶位验证!B30)</f>
        <v/>
      </c>
      <c r="K29" s="17" t="str">
        <f>IF(武将数量星级阶位验证!C30="","",武将数量星级阶位验证!C30)</f>
        <v/>
      </c>
      <c r="L29" s="17" t="str">
        <f>IF(武将数量星级阶位验证!D30="","",武将数量星级阶位验证!D30)</f>
        <v/>
      </c>
      <c r="M29" s="17" t="str">
        <f>IF(武将数量星级阶位验证!E30="","",武将数量星级阶位验证!E30)</f>
        <v/>
      </c>
      <c r="P29" s="14" t="e">
        <f>8-COUNTIF([4]羁绊设计!$AD28:$AK28,"&amp;")</f>
        <v>#VALUE!</v>
      </c>
      <c r="Q29" s="29" t="str">
        <f>[4]羁绊解锁统计!$B28</f>
        <v>孙策</v>
      </c>
      <c r="R29" s="29" t="str">
        <f>IF([4]羁绊设计!$F28="红","橙+",[4]羁绊设计!$F28)</f>
        <v>橙</v>
      </c>
      <c r="S29" s="14">
        <f>IF([4]羁绊解锁统计!C28="",0,[4]羁绊解锁统计!C28-IF($R29=S$9,1,0))</f>
        <v>0</v>
      </c>
      <c r="T29" s="14">
        <f>IF([4]羁绊解锁统计!D28="",0,[4]羁绊解锁统计!D28-IF($R29=T$9,1,0))</f>
        <v>0</v>
      </c>
      <c r="U29" s="14">
        <f>IF([4]羁绊解锁统计!E28="",0,[4]羁绊解锁统计!E28-IF($R29=U$9,1,0))</f>
        <v>0</v>
      </c>
      <c r="V29" s="14">
        <f>IF([4]羁绊解锁统计!F28="",0,[4]羁绊解锁统计!F28-IF($R29=V$9,1,0))</f>
        <v>5</v>
      </c>
      <c r="W29" s="14">
        <f>IF([4]羁绊解锁统计!G28="",0,[4]羁绊解锁统计!G28-IF($R29=W$9,1,0))</f>
        <v>0</v>
      </c>
      <c r="X29" s="29">
        <f t="shared" si="3"/>
        <v>68148.148148148146</v>
      </c>
      <c r="Y29" s="10">
        <f t="shared" si="8"/>
        <v>0.14374973105394928</v>
      </c>
      <c r="AA29" s="14">
        <f t="shared" si="9"/>
        <v>0</v>
      </c>
      <c r="AB29" s="14">
        <f t="shared" si="9"/>
        <v>0</v>
      </c>
      <c r="AC29" s="14">
        <f t="shared" si="9"/>
        <v>0</v>
      </c>
      <c r="AD29" s="14">
        <f t="shared" si="9"/>
        <v>30</v>
      </c>
      <c r="AE29" s="14">
        <f t="shared" si="9"/>
        <v>0</v>
      </c>
      <c r="AF29" s="29">
        <f t="shared" si="10"/>
        <v>408888.88888888888</v>
      </c>
      <c r="AG29" s="10">
        <f t="shared" si="11"/>
        <v>0.50312405868882248</v>
      </c>
      <c r="AH29" s="87">
        <v>1.2500000000000001E-2</v>
      </c>
      <c r="AI29" s="4">
        <v>25</v>
      </c>
      <c r="AJ29" s="98">
        <f t="shared" si="0"/>
        <v>9.6654284968607049E-2</v>
      </c>
      <c r="AK29" s="5">
        <f>'[1]资源-钻石'!$N28*求节点(武将数量星级阶位验证!$CP$41:$CP$72,武将数量星级阶位验证!$CS$41:$CS$72,节奏总纲!R28)</f>
        <v>38627.754977342891</v>
      </c>
      <c r="AL29" s="48"/>
      <c r="AP29" s="8" t="s">
        <v>478</v>
      </c>
      <c r="AQ29" s="50"/>
      <c r="AR29" s="19" t="s">
        <v>3</v>
      </c>
      <c r="AS29" s="19" t="s">
        <v>1</v>
      </c>
      <c r="AT29" s="19" t="s">
        <v>2</v>
      </c>
      <c r="AU29" s="19" t="s">
        <v>0</v>
      </c>
      <c r="AV29" s="19" t="s">
        <v>545</v>
      </c>
      <c r="AW29" s="8" t="s">
        <v>228</v>
      </c>
      <c r="BA29" s="32" t="s">
        <v>478</v>
      </c>
      <c r="BB29" s="29" t="s">
        <v>368</v>
      </c>
      <c r="BC29" s="29" t="s">
        <v>369</v>
      </c>
    </row>
    <row r="30" spans="1:55" x14ac:dyDescent="0.15">
      <c r="I30" s="17" t="str">
        <f>IF(武将数量星级阶位验证!A31="","",武将数量星级阶位验证!A31)</f>
        <v/>
      </c>
      <c r="J30" s="17">
        <f>IF(武将数量星级阶位验证!B31="","",武将数量星级阶位验证!B31)</f>
        <v>26.333333333333332</v>
      </c>
      <c r="K30" s="17">
        <f>IF(武将数量星级阶位验证!C31="","",武将数量星级阶位验证!C31)</f>
        <v>53.333333333333336</v>
      </c>
      <c r="L30" s="17">
        <f>IF(武将数量星级阶位验证!D31="","",武将数量星级阶位验证!D31)</f>
        <v>75</v>
      </c>
      <c r="M30" s="17">
        <f>IF(武将数量星级阶位验证!E31="","",武将数量星级阶位验证!E31)</f>
        <v>0</v>
      </c>
      <c r="P30" s="14" t="e">
        <f>8-COUNTIF([4]羁绊设计!$AD29:$AK29,"&amp;")</f>
        <v>#VALUE!</v>
      </c>
      <c r="Q30" s="29" t="str">
        <f>[4]羁绊解锁统计!$B29</f>
        <v>李儒</v>
      </c>
      <c r="R30" s="29" t="str">
        <f>IF([4]羁绊设计!$F29="红","橙+",[4]羁绊设计!$F29)</f>
        <v>紫</v>
      </c>
      <c r="S30" s="14">
        <f>IF([4]羁绊解锁统计!C29="",0,[4]羁绊解锁统计!C29-IF($R30=S$9,1,0))</f>
        <v>0</v>
      </c>
      <c r="T30" s="14">
        <f>IF([4]羁绊解锁统计!D29="",0,[4]羁绊解锁统计!D29-IF($R30=T$9,1,0))</f>
        <v>0</v>
      </c>
      <c r="U30" s="14">
        <f>IF([4]羁绊解锁统计!E29="",0,[4]羁绊解锁统计!E29-IF($R30=U$9,1,0))</f>
        <v>0</v>
      </c>
      <c r="V30" s="14">
        <f>IF([4]羁绊解锁统计!F29="",0,[4]羁绊解锁统计!F29-IF($R30=V$9,1,0))</f>
        <v>3</v>
      </c>
      <c r="W30" s="14">
        <f>IF([4]羁绊解锁统计!G29="",0,[4]羁绊解锁统计!G29-IF($R30=W$9,1,0))</f>
        <v>1</v>
      </c>
      <c r="X30" s="29">
        <f t="shared" si="3"/>
        <v>59629.629629629642</v>
      </c>
      <c r="Y30" s="10">
        <f t="shared" si="8"/>
        <v>0.13092644438936596</v>
      </c>
      <c r="AA30" s="14">
        <f t="shared" si="9"/>
        <v>0</v>
      </c>
      <c r="AB30" s="14">
        <f t="shared" si="9"/>
        <v>0</v>
      </c>
      <c r="AC30" s="14">
        <f t="shared" si="9"/>
        <v>0</v>
      </c>
      <c r="AD30" s="14">
        <f t="shared" si="9"/>
        <v>18</v>
      </c>
      <c r="AE30" s="14">
        <f t="shared" si="9"/>
        <v>6</v>
      </c>
      <c r="AF30" s="29">
        <f t="shared" si="10"/>
        <v>357777.77777777787</v>
      </c>
      <c r="AG30" s="10">
        <f t="shared" si="11"/>
        <v>0.45824255536278086</v>
      </c>
      <c r="AH30" s="87">
        <v>1.2999999999999999E-2</v>
      </c>
      <c r="AI30" s="4">
        <v>26</v>
      </c>
      <c r="AJ30" s="98">
        <f t="shared" si="0"/>
        <v>0.10076042046526434</v>
      </c>
      <c r="AK30" s="5">
        <f>'[1]资源-钻石'!$N29*求节点(武将数量星级阶位验证!$CP$41:$CP$72,武将数量星级阶位验证!$CS$41:$CS$72,节奏总纲!R29)</f>
        <v>40996.084954871149</v>
      </c>
      <c r="AL30" s="48"/>
      <c r="AP30" s="14">
        <f>基础状态预期!D62</f>
        <v>9.9592453074578113</v>
      </c>
      <c r="AQ30" s="14">
        <f>(求节点(其他调用!$I$4:$I$503,其他调用!$K$4:$K$503,武将数量星级阶位验证!AS52))*求节点(武将数量星级阶位验证!$CP$41:$CP$72,武将数量星级阶位验证!$CR$41:$CR$72,武将数量星级阶位验证!AS52)</f>
        <v>9879.5633554047017</v>
      </c>
      <c r="AR30" s="14">
        <f>IF(武将升级!Y49="",0,求节点($AK$5:$AK$104,$AJ$5:$AJ$104,AQ$7)*B$5*武将升级!Y49)</f>
        <v>0</v>
      </c>
      <c r="AS30" s="14">
        <f>IF(武将升级!Z49="",0,求节点($AK$5:$AK$104,$AJ$5:$AJ$104,$AQ30)*C$5*武将升级!Z49)</f>
        <v>0</v>
      </c>
      <c r="AT30" s="14">
        <f>IF(武将升级!AA49="",0,求节点($AK$5:$AK$104,$AJ$5:$AJ$104,$AQ30)*D$5*武将升级!AA49)</f>
        <v>50.919834028501704</v>
      </c>
      <c r="AU30" s="14">
        <f>IF(武将升级!AB49="",0,求节点($AK$5:$AK$104,$AJ$5:$AJ$104,$AQ30)*E$5*武将升级!AB49)</f>
        <v>50.919834028501704</v>
      </c>
      <c r="AV30" s="14">
        <f>IF(武将升级!AC49="",0,求节点($AK$5:$AK$104,$AJ$5:$AJ$104,$AQ30)*F$5*武将升级!AC49)</f>
        <v>0</v>
      </c>
      <c r="AW30" s="8">
        <f>SUMPRODUCT(AR30:AV30,基础状态预期!F62:J62)/SUM(基础状态预期!F62:J62)</f>
        <v>50.919834028501704</v>
      </c>
      <c r="BA30" s="29">
        <v>10</v>
      </c>
      <c r="BB30" s="29">
        <f>求节点($AP$30:$AP$46,$AW$30:$AW$46,BA30)</f>
        <v>51.210261488523834</v>
      </c>
      <c r="BC30" s="55">
        <f>BB30*INDEX([2]小r将兵属性验证!$W$7:$W$106+[2]小r将兵属性验证!$X$7:$X$106,BA30,1)</f>
        <v>850958.98260487628</v>
      </c>
    </row>
    <row r="31" spans="1:55" x14ac:dyDescent="0.15">
      <c r="I31" s="17" t="str">
        <f>IF(武将数量星级阶位验证!A32="","",武将数量星级阶位验证!A32)</f>
        <v/>
      </c>
      <c r="J31" s="17" t="str">
        <f>IF(武将数量星级阶位验证!B32="","",武将数量星级阶位验证!B32)</f>
        <v/>
      </c>
      <c r="K31" s="17" t="str">
        <f>IF(武将数量星级阶位验证!C32="","",武将数量星级阶位验证!C32)</f>
        <v/>
      </c>
      <c r="L31" s="39" t="str">
        <f>IF(武将数量星级阶位验证!D32="","",武将数量星级阶位验证!D32)</f>
        <v/>
      </c>
      <c r="M31" s="39" t="str">
        <f>IF(武将数量星级阶位验证!E32="","",武将数量星级阶位验证!E32)</f>
        <v/>
      </c>
      <c r="P31" s="14" t="e">
        <f>8-COUNTIF([4]羁绊设计!$AD30:$AK30,"&amp;")</f>
        <v>#VALUE!</v>
      </c>
      <c r="Q31" s="29" t="str">
        <f>[4]羁绊解锁统计!$B30</f>
        <v>张昭</v>
      </c>
      <c r="R31" s="29" t="str">
        <f>IF([4]羁绊设计!$F30="红","橙+",[4]羁绊设计!$F30)</f>
        <v>橙+</v>
      </c>
      <c r="S31" s="14">
        <f>IF([4]羁绊解锁统计!C30="",0,[4]羁绊解锁统计!C30-IF($R31=S$9,1,0))</f>
        <v>0</v>
      </c>
      <c r="T31" s="14">
        <f>IF([4]羁绊解锁统计!D30="",0,[4]羁绊解锁统计!D30-IF($R31=T$9,1,0))</f>
        <v>0</v>
      </c>
      <c r="U31" s="14">
        <f>IF([4]羁绊解锁统计!E30="",0,[4]羁绊解锁统计!E30-IF($R31=U$9,1,0))</f>
        <v>1</v>
      </c>
      <c r="V31" s="14">
        <f>IF([4]羁绊解锁统计!F30="",0,[4]羁绊解锁统计!F30-IF($R31=V$9,1,0))</f>
        <v>1</v>
      </c>
      <c r="W31" s="14">
        <f>IF([4]羁绊解锁统计!G30="",0,[4]羁绊解锁统计!G30-IF($R31=W$9,1,0))</f>
        <v>0</v>
      </c>
      <c r="X31" s="29">
        <f t="shared" si="3"/>
        <v>51111.111111111117</v>
      </c>
      <c r="Y31" s="10">
        <f t="shared" si="8"/>
        <v>0.1175552379919582</v>
      </c>
      <c r="AA31" s="14">
        <f t="shared" si="9"/>
        <v>0</v>
      </c>
      <c r="AB31" s="14">
        <f t="shared" si="9"/>
        <v>0</v>
      </c>
      <c r="AC31" s="14">
        <f t="shared" si="9"/>
        <v>6</v>
      </c>
      <c r="AD31" s="14">
        <f t="shared" si="9"/>
        <v>6</v>
      </c>
      <c r="AE31" s="14">
        <f t="shared" si="9"/>
        <v>0</v>
      </c>
      <c r="AF31" s="29">
        <f t="shared" si="10"/>
        <v>306666.66666666669</v>
      </c>
      <c r="AG31" s="10">
        <f t="shared" si="11"/>
        <v>0.4114433329718537</v>
      </c>
      <c r="AH31" s="87">
        <v>1.35E-2</v>
      </c>
      <c r="AI31" s="4">
        <v>27</v>
      </c>
      <c r="AJ31" s="98">
        <f t="shared" si="0"/>
        <v>0.10496848921979957</v>
      </c>
      <c r="AK31" s="5">
        <f>'[1]资源-钻石'!$N30*求节点(武将数量星级阶位验证!$CP$41:$CP$72,武将数量星级阶位验证!$CS$41:$CS$72,节奏总纲!R30)</f>
        <v>43466.672403376011</v>
      </c>
      <c r="AL31" s="48"/>
      <c r="AP31" s="14">
        <f>基础状态预期!D63</f>
        <v>19.766822802328868</v>
      </c>
      <c r="AQ31" s="14">
        <f>(求节点(其他调用!$I$4:$I$503,其他调用!$K$4:$K$503,武将数量星级阶位验证!AS53))*求节点(武将数量星级阶位验证!$CP$41:$CP$72,武将数量星级阶位验证!$CR$41:$CR$72,武将数量星级阶位验证!AS53)</f>
        <v>20360.849894824234</v>
      </c>
      <c r="AR31" s="14">
        <f>IF(武将升级!Y50="",0,求节点($AK$5:$AK$104,$AJ$5:$AJ$104,AQ$7)*B$5*武将升级!Y50)</f>
        <v>0</v>
      </c>
      <c r="AS31" s="14">
        <f>IF(武将升级!Z50="",0,求节点($AK$5:$AK$104,$AJ$5:$AJ$104,$AQ31)*C$5*武将升级!Z50)</f>
        <v>0</v>
      </c>
      <c r="AT31" s="14">
        <f>IF(武将升级!AA50="",0,求节点($AK$5:$AK$104,$AJ$5:$AJ$104,$AQ31)*D$5*武将升级!AA50)</f>
        <v>0</v>
      </c>
      <c r="AU31" s="14">
        <f>IF(武将升级!AB50="",0,求节点($AK$5:$AK$104,$AJ$5:$AJ$104,$AQ31)*E$5*武将升级!AB50)</f>
        <v>120.81092246836562</v>
      </c>
      <c r="AV31" s="14">
        <f>IF(武将升级!AC50="",0,求节点($AK$5:$AK$104,$AJ$5:$AJ$104,$AQ31)*F$5*武将升级!AC50)</f>
        <v>0</v>
      </c>
      <c r="AW31" s="8">
        <f>SUMPRODUCT(AR31:AV31,基础状态预期!F63:J63)/SUM(基础状态预期!F63:J63)</f>
        <v>120.81092246836562</v>
      </c>
      <c r="BA31" s="29">
        <v>20</v>
      </c>
      <c r="BB31" s="29">
        <f t="shared" ref="BB31:BB39" si="12">求节点($AP$30:$AP$46,$AW$30:$AW$46,BA31)</f>
        <v>123.52871537448732</v>
      </c>
      <c r="BC31" s="56">
        <f>(BB31-BB30)*INDEX([2]小r将兵属性验证!$W$7:$W$106+[2]小r将兵属性验证!$X$7:$X$106,BA31,1)+BC30</f>
        <v>4389716.1170390444</v>
      </c>
    </row>
    <row r="32" spans="1:55" x14ac:dyDescent="0.15">
      <c r="I32" s="17" t="str">
        <f>IF(武将数量星级阶位验证!A33="","",武将数量星级阶位验证!A33)</f>
        <v/>
      </c>
      <c r="J32" s="17" t="str">
        <f>IF(武将数量星级阶位验证!B33="","",武将数量星级阶位验证!B33)</f>
        <v>橙+卡</v>
      </c>
      <c r="K32" s="17" t="str">
        <f>IF(武将数量星级阶位验证!C33="","",武将数量星级阶位验证!C33)</f>
        <v>单卖</v>
      </c>
      <c r="L32" s="39" t="str">
        <f>IF(武将数量星级阶位验证!D33="","",武将数量星级阶位验证!D33)</f>
        <v>参考</v>
      </c>
      <c r="M32" s="17" t="str">
        <f>IF(武将数量星级阶位验证!E33="","",武将数量星级阶位验证!E33)</f>
        <v/>
      </c>
      <c r="P32" s="14" t="e">
        <f>8-COUNTIF([4]羁绊设计!$AD31:$AK31,"&amp;")</f>
        <v>#VALUE!</v>
      </c>
      <c r="Q32" s="29" t="str">
        <f>[4]羁绊解锁统计!$B31</f>
        <v>步练师</v>
      </c>
      <c r="R32" s="29" t="str">
        <f>IF([4]羁绊设计!$F31="红","橙+",[4]羁绊设计!$F31)</f>
        <v>橙+</v>
      </c>
      <c r="S32" s="14">
        <f>IF([4]羁绊解锁统计!C31="",0,[4]羁绊解锁统计!C31-IF($R32=S$9,1,0))</f>
        <v>0</v>
      </c>
      <c r="T32" s="14">
        <f>IF([4]羁绊解锁统计!D31="",0,[4]羁绊解锁统计!D31-IF($R32=T$9,1,0))</f>
        <v>0</v>
      </c>
      <c r="U32" s="14">
        <f>IF([4]羁绊解锁统计!E31="",0,[4]羁绊解锁统计!E31-IF($R32=U$9,1,0))</f>
        <v>0</v>
      </c>
      <c r="V32" s="14">
        <f>IF([4]羁绊解锁统计!F31="",0,[4]羁绊解锁统计!F31-IF($R32=V$9,1,0))</f>
        <v>3</v>
      </c>
      <c r="W32" s="14">
        <f>IF([4]羁绊解锁统计!G31="",0,[4]羁绊解锁统计!G31-IF($R32=W$9,1,0))</f>
        <v>0</v>
      </c>
      <c r="X32" s="29">
        <f t="shared" si="3"/>
        <v>59629.629629629642</v>
      </c>
      <c r="Y32" s="10">
        <f t="shared" si="8"/>
        <v>0.13092644438936596</v>
      </c>
      <c r="AA32" s="14">
        <f t="shared" si="9"/>
        <v>0</v>
      </c>
      <c r="AB32" s="14">
        <f t="shared" si="9"/>
        <v>0</v>
      </c>
      <c r="AC32" s="14">
        <f t="shared" si="9"/>
        <v>0</v>
      </c>
      <c r="AD32" s="14">
        <f t="shared" si="9"/>
        <v>18</v>
      </c>
      <c r="AE32" s="14">
        <f t="shared" si="9"/>
        <v>0</v>
      </c>
      <c r="AF32" s="29">
        <f t="shared" si="10"/>
        <v>357777.77777777787</v>
      </c>
      <c r="AG32" s="10">
        <f t="shared" si="11"/>
        <v>0.45824255536278086</v>
      </c>
      <c r="AH32" s="87">
        <v>1.4E-2</v>
      </c>
      <c r="AI32" s="4">
        <v>28</v>
      </c>
      <c r="AJ32" s="98">
        <f t="shared" si="0"/>
        <v>0.10935798376472339</v>
      </c>
      <c r="AK32" s="5">
        <f>'[1]资源-钻石'!$N31*求节点(武将数量星级阶位验证!$CP$41:$CP$72,武将数量星级阶位验证!$CS$41:$CS$72,节奏总纲!R31)</f>
        <v>46089.573337593662</v>
      </c>
      <c r="AL32" s="48"/>
      <c r="AP32" s="14">
        <f>基础状态预期!D64</f>
        <v>27.773265580596355</v>
      </c>
      <c r="AQ32" s="14">
        <f>(求节点(其他调用!$I$4:$I$503,其他调用!$K$4:$K$503,武将数量星级阶位验证!AS54))*求节点(武将数量星级阶位验证!$CP$41:$CP$72,武将数量星级阶位验证!$CR$41:$CR$72,武将数量星级阶位验证!AS54)</f>
        <v>33719.4332656228</v>
      </c>
      <c r="AR32" s="14">
        <f>IF(武将升级!Y51="",0,求节点($AK$5:$AK$104,$AJ$5:$AJ$104,AQ$7)*B$5*武将升级!Y51)</f>
        <v>0</v>
      </c>
      <c r="AS32" s="14">
        <f>IF(武将升级!Z51="",0,求节点($AK$5:$AK$104,$AJ$5:$AJ$104,$AQ32)*C$5*武将升级!Z51)</f>
        <v>0</v>
      </c>
      <c r="AT32" s="14">
        <f>IF(武将升级!AA51="",0,求节点($AK$5:$AK$104,$AJ$5:$AJ$104,$AQ32)*D$5*武将升级!AA51)</f>
        <v>0</v>
      </c>
      <c r="AU32" s="14">
        <f>IF(武将升级!AB51="",0,求节点($AK$5:$AK$104,$AJ$5:$AJ$104,$AQ32)*E$5*武将升级!AB51)</f>
        <v>214.12988162634585</v>
      </c>
      <c r="AV32" s="14">
        <f>IF(武将升级!AC51="",0,求节点($AK$5:$AK$104,$AJ$5:$AJ$104,$AQ32)*F$5*武将升级!AC51)</f>
        <v>0</v>
      </c>
      <c r="AW32" s="8">
        <f>SUMPRODUCT(AR32:AV32,基础状态预期!F64:J64)/SUM(基础状态预期!F64:J64)</f>
        <v>214.12988162634585</v>
      </c>
      <c r="BA32" s="29">
        <v>30</v>
      </c>
      <c r="BB32" s="29">
        <f t="shared" si="12"/>
        <v>249.58598029696151</v>
      </c>
      <c r="BC32" s="56">
        <f>(BB32-BB31)*INDEX([2]小r将兵属性验证!$W$7:$W$106+[2]小r将兵属性验证!$X$7:$X$106,BA32,1)+BC31</f>
        <v>17298528.413939331</v>
      </c>
    </row>
    <row r="33" spans="9:55" x14ac:dyDescent="0.15">
      <c r="I33" s="17" t="str">
        <f>IF(武将数量星级阶位验证!A34="","",武将数量星级阶位验证!A34)</f>
        <v/>
      </c>
      <c r="J33" s="29" t="str">
        <f>IF(武将数量星级阶位验证!B34="","",武将数量星级阶位验证!B34)</f>
        <v>非r</v>
      </c>
      <c r="K33" s="29">
        <f>IF(武将数量星级阶位验证!C34="","",武将数量星级阶位验证!C34)</f>
        <v>6626.6666666666661</v>
      </c>
      <c r="L33" s="29">
        <f>IF(武将数量星级阶位验证!D34="","",武将数量星级阶位验证!D34)</f>
        <v>9466.6666666666661</v>
      </c>
      <c r="M33" s="17">
        <f>IF(武将数量星级阶位验证!E34="","",武将数量星级阶位验证!E34)</f>
        <v>0.7</v>
      </c>
      <c r="P33" s="14" t="e">
        <f>8-COUNTIF([4]羁绊设计!$AD32:$AK32,"&amp;")</f>
        <v>#VALUE!</v>
      </c>
      <c r="Q33" s="29" t="str">
        <f>[4]羁绊解锁统计!$B32</f>
        <v>陶谦</v>
      </c>
      <c r="R33" s="29" t="str">
        <f>IF([4]羁绊设计!$F32="红","橙+",[4]羁绊设计!$F32)</f>
        <v>蓝</v>
      </c>
      <c r="S33" s="14">
        <f>IF([4]羁绊解锁统计!C32="",0,[4]羁绊解锁统计!C32-IF($R33=S$9,1,0))</f>
        <v>0</v>
      </c>
      <c r="T33" s="14">
        <f>IF([4]羁绊解锁统计!D32="",0,[4]羁绊解锁统计!D32-IF($R33=T$9,1,0))</f>
        <v>0</v>
      </c>
      <c r="U33" s="14">
        <f>IF([4]羁绊解锁统计!E32="",0,[4]羁绊解锁统计!E32-IF($R33=U$9,1,0))</f>
        <v>1</v>
      </c>
      <c r="V33" s="14">
        <f>IF([4]羁绊解锁统计!F32="",0,[4]羁绊解锁统计!F32-IF($R33=V$9,1,0))</f>
        <v>1</v>
      </c>
      <c r="W33" s="14">
        <f>IF([4]羁绊解锁统计!G32="",0,[4]羁绊解锁统计!G32-IF($R33=W$9,1,0))</f>
        <v>0</v>
      </c>
      <c r="X33" s="29">
        <f t="shared" si="3"/>
        <v>51111.111111111117</v>
      </c>
      <c r="Y33" s="10">
        <f t="shared" si="8"/>
        <v>0.1175552379919582</v>
      </c>
      <c r="AA33" s="14">
        <f t="shared" si="9"/>
        <v>0</v>
      </c>
      <c r="AB33" s="14">
        <f t="shared" si="9"/>
        <v>0</v>
      </c>
      <c r="AC33" s="14">
        <f t="shared" si="9"/>
        <v>6</v>
      </c>
      <c r="AD33" s="14">
        <f t="shared" si="9"/>
        <v>6</v>
      </c>
      <c r="AE33" s="14">
        <f t="shared" si="9"/>
        <v>0</v>
      </c>
      <c r="AF33" s="29">
        <f t="shared" si="10"/>
        <v>306666.66666666669</v>
      </c>
      <c r="AG33" s="10">
        <f t="shared" si="11"/>
        <v>0.4114433329718537</v>
      </c>
      <c r="AH33" s="87">
        <v>1.4500000000000001E-2</v>
      </c>
      <c r="AI33" s="4">
        <v>29</v>
      </c>
      <c r="AJ33" s="98">
        <f t="shared" si="0"/>
        <v>0.11432356284319663</v>
      </c>
      <c r="AK33" s="5">
        <f>'[1]资源-钻石'!$N32*求节点(武将数量星级阶位验证!$CP$41:$CP$72,武将数量星级阶位验证!$CS$41:$CS$72,节奏总纲!R32)</f>
        <v>49111.743467508029</v>
      </c>
      <c r="AL33" s="48"/>
      <c r="AP33" s="14">
        <f>基础状态预期!D65</f>
        <v>34.250806171891597</v>
      </c>
      <c r="AQ33" s="14">
        <f>(求节点(其他调用!$I$4:$I$503,其他调用!$K$4:$K$503,武将数量星级阶位验证!AS55))*求节点(武将数量星级阶位验证!$CP$41:$CP$72,武将数量星级阶位验证!$CR$41:$CR$72,武将数量星级阶位验证!AS55)</f>
        <v>47884.089862921937</v>
      </c>
      <c r="AR33" s="14">
        <f>IF(武将升级!Y52="",0,求节点($AK$5:$AK$104,$AJ$5:$AJ$104,AQ$7)*B$5*武将升级!Y52)</f>
        <v>0</v>
      </c>
      <c r="AS33" s="14">
        <f>IF(武将升级!Z52="",0,求节点($AK$5:$AK$104,$AJ$5:$AJ$104,$AQ33)*C$5*武将升级!Z52)</f>
        <v>0</v>
      </c>
      <c r="AT33" s="14">
        <f>IF(武将升级!AA52="",0,求节点($AK$5:$AK$104,$AJ$5:$AJ$104,$AQ33)*D$5*武将升级!AA52)</f>
        <v>0</v>
      </c>
      <c r="AU33" s="14">
        <f>IF(武将升级!AB52="",0,求节点($AK$5:$AK$104,$AJ$5:$AJ$104,$AQ33)*E$5*武将升级!AB52)</f>
        <v>317.2711976030356</v>
      </c>
      <c r="AV33" s="14">
        <f>IF(武将升级!AC52="",0,求节点($AK$5:$AK$104,$AJ$5:$AJ$104,$AQ33)*F$5*武将升级!AC52)</f>
        <v>0</v>
      </c>
      <c r="AW33" s="8">
        <f>SUMPRODUCT(AR33:AV33,基础状态预期!F65:J65)/SUM(基础状态预期!F65:J65)</f>
        <v>317.2711976030356</v>
      </c>
      <c r="BA33" s="29">
        <v>40</v>
      </c>
      <c r="BB33" s="29">
        <f t="shared" si="12"/>
        <v>427.82265966912377</v>
      </c>
      <c r="BC33" s="56">
        <f>(BB33-BB32)*INDEX([2]小r将兵属性验证!$W$7:$W$106+[2]小r将兵属性验证!$X$7:$X$106,BA33,1)+BC32</f>
        <v>63807491.650143713</v>
      </c>
    </row>
    <row r="34" spans="9:55" x14ac:dyDescent="0.15">
      <c r="I34" s="17" t="str">
        <f>IF(武将数量星级阶位验证!A35="","",武将数量星级阶位验证!A35)</f>
        <v/>
      </c>
      <c r="J34" s="29" t="str">
        <f>IF(武将数量星级阶位验证!B35="","",武将数量星级阶位验证!B35)</f>
        <v>小r</v>
      </c>
      <c r="K34" s="29">
        <f>IF(武将数量星级阶位验证!C35="","",武将数量星级阶位验证!C35)</f>
        <v>6910.6666666666661</v>
      </c>
      <c r="L34" s="29">
        <f>IF(武将数量星级阶位验证!D35="","",武将数量星级阶位验证!D35)</f>
        <v>9466.6666666666661</v>
      </c>
      <c r="M34" s="17">
        <f>IF(武将数量星级阶位验证!E35="","",武将数量星级阶位验证!E35)</f>
        <v>0.73</v>
      </c>
      <c r="P34" s="14" t="e">
        <f>8-COUNTIF([4]羁绊设计!$AD33:$AK33,"&amp;")</f>
        <v>#VALUE!</v>
      </c>
      <c r="Q34" s="29">
        <f>[4]羁绊解锁统计!$B33</f>
        <v>0</v>
      </c>
      <c r="R34" s="29" t="str">
        <f>IF([4]羁绊设计!$F33="红","橙+",[4]羁绊设计!$F33)</f>
        <v>橙+</v>
      </c>
      <c r="S34" s="14">
        <f>IF([4]羁绊解锁统计!C33="",0,[4]羁绊解锁统计!C33-IF($R34=S$9,1,0))</f>
        <v>0</v>
      </c>
      <c r="T34" s="14">
        <f>IF([4]羁绊解锁统计!D33="",0,[4]羁绊解锁统计!D33-IF($R34=T$9,1,0))</f>
        <v>0</v>
      </c>
      <c r="U34" s="14">
        <f>IF([4]羁绊解锁统计!E33="",0,[4]羁绊解锁统计!E33-IF($R34=U$9,1,0))</f>
        <v>0</v>
      </c>
      <c r="V34" s="14">
        <f>IF([4]羁绊解锁统计!F33="",0,[4]羁绊解锁统计!F33-IF($R34=V$9,1,0))</f>
        <v>0</v>
      </c>
      <c r="W34" s="14">
        <f>IF([4]羁绊解锁统计!G33="",0,[4]羁绊解锁统计!G33-IF($R34=W$9,1,0))</f>
        <v>0</v>
      </c>
      <c r="X34" s="29">
        <f t="shared" si="3"/>
        <v>0</v>
      </c>
      <c r="Y34" s="10">
        <f t="shared" si="8"/>
        <v>1.4285714285714287E-2</v>
      </c>
      <c r="AA34" s="14">
        <f t="shared" si="9"/>
        <v>0</v>
      </c>
      <c r="AB34" s="14">
        <f t="shared" si="9"/>
        <v>0</v>
      </c>
      <c r="AC34" s="14">
        <f t="shared" si="9"/>
        <v>0</v>
      </c>
      <c r="AD34" s="14">
        <f t="shared" si="9"/>
        <v>0</v>
      </c>
      <c r="AE34" s="14">
        <f t="shared" si="9"/>
        <v>0</v>
      </c>
      <c r="AF34" s="29">
        <f t="shared" si="10"/>
        <v>0</v>
      </c>
      <c r="AG34" s="10">
        <f t="shared" si="11"/>
        <v>0.05</v>
      </c>
      <c r="AH34" s="87">
        <v>1.4999999999999999E-2</v>
      </c>
      <c r="AI34" s="4">
        <v>30</v>
      </c>
      <c r="AJ34" s="98">
        <f t="shared" si="0"/>
        <v>0.11929859551154028</v>
      </c>
      <c r="AK34" s="5">
        <f>'[1]资源-钻石'!$N33*求节点(武将数量星级阶位验证!$CP$41:$CP$72,武将数量星级阶位验证!$CS$41:$CS$72,节奏总纲!R33)</f>
        <v>52196.85135720134</v>
      </c>
      <c r="AL34" s="48"/>
      <c r="AP34" s="14">
        <f>基础状态预期!D66</f>
        <v>39.661158518499626</v>
      </c>
      <c r="AQ34" s="14">
        <f>(求节点(其他调用!$I$4:$I$503,其他调用!$K$4:$K$503,武将数量星级阶位验证!AS56))*求节点(武将数量星级阶位验证!$CP$41:$CP$72,武将数量星级阶位验证!$CR$41:$CR$72,武将数量星级阶位验证!AS56)</f>
        <v>61123.611553110495</v>
      </c>
      <c r="AR34" s="14">
        <f>IF(武将升级!Y53="",0,求节点($AK$5:$AK$104,$AJ$5:$AJ$104,AQ$7)*B$5*武将升级!Y53)</f>
        <v>0</v>
      </c>
      <c r="AS34" s="14">
        <f>IF(武将升级!Z53="",0,求节点($AK$5:$AK$104,$AJ$5:$AJ$104,$AQ34)*C$5*武将升级!Z53)</f>
        <v>0</v>
      </c>
      <c r="AT34" s="14">
        <f>IF(武将升级!AA53="",0,求节点($AK$5:$AK$104,$AJ$5:$AJ$104,$AQ34)*D$5*武将升级!AA53)</f>
        <v>0</v>
      </c>
      <c r="AU34" s="14">
        <f>IF(武将升级!AB53="",0,求节点($AK$5:$AK$104,$AJ$5:$AJ$104,$AQ34)*E$5*武将升级!AB53)</f>
        <v>419.57029485204964</v>
      </c>
      <c r="AV34" s="14">
        <f>IF(武将升级!AC53="",0,求节点($AK$5:$AK$104,$AJ$5:$AJ$104,$AQ34)*F$5*武将升级!AC53)</f>
        <v>0</v>
      </c>
      <c r="AW34" s="8">
        <f>SUMPRODUCT(AR34:AV34,基础状态预期!F66:J66)/SUM(基础状态预期!F66:J66)</f>
        <v>419.57029485204959</v>
      </c>
      <c r="BA34" s="29">
        <v>50</v>
      </c>
      <c r="BB34" s="29">
        <f t="shared" si="12"/>
        <v>720.9220376451791</v>
      </c>
      <c r="BC34" s="56">
        <f>(BB34-BB33)*INDEX([2]小r将兵属性验证!$W$7:$W$106+[2]小r将兵属性验证!$X$7:$X$106,BA34,1)+BC33</f>
        <v>191264020.86695385</v>
      </c>
    </row>
    <row r="35" spans="9:55" x14ac:dyDescent="0.15">
      <c r="I35" s="17" t="str">
        <f>IF(武将数量星级阶位验证!A36="","",武将数量星级阶位验证!A36)</f>
        <v/>
      </c>
      <c r="J35" s="29" t="str">
        <f>IF(武将数量星级阶位验证!B36="","",武将数量星级阶位验证!B36)</f>
        <v>中r</v>
      </c>
      <c r="K35" s="29">
        <f>IF(武将数量星级阶位验证!C36="","",武将数量星级阶位验证!C36)</f>
        <v>8614.6666666666661</v>
      </c>
      <c r="L35" s="29">
        <f>IF(武将数量星级阶位验证!D36="","",武将数量星级阶位验证!D36)</f>
        <v>11044.444444444443</v>
      </c>
      <c r="M35" s="17">
        <f>IF(武将数量星级阶位验证!E36="","",武将数量星级阶位验证!E36)</f>
        <v>0.78</v>
      </c>
      <c r="P35" s="14" t="e">
        <f>8-COUNTIF([4]羁绊设计!$AD34:$AK34,"&amp;")</f>
        <v>#VALUE!</v>
      </c>
      <c r="Q35" s="29" t="str">
        <f>[4]羁绊解锁统计!$B34</f>
        <v>钟会</v>
      </c>
      <c r="R35" s="29" t="str">
        <f>IF([4]羁绊设计!$F34="红","橙+",[4]羁绊设计!$F34)</f>
        <v>橙</v>
      </c>
      <c r="S35" s="14">
        <f>IF([4]羁绊解锁统计!C34="",0,[4]羁绊解锁统计!C34-IF($R35=S$9,1,0))</f>
        <v>0</v>
      </c>
      <c r="T35" s="14">
        <f>IF([4]羁绊解锁统计!D34="",0,[4]羁绊解锁统计!D34-IF($R35=T$9,1,0))</f>
        <v>0</v>
      </c>
      <c r="U35" s="14">
        <f>IF([4]羁绊解锁统计!E34="",0,[4]羁绊解锁统计!E34-IF($R35=U$9,1,0))</f>
        <v>0</v>
      </c>
      <c r="V35" s="14">
        <f>IF([4]羁绊解锁统计!F34="",0,[4]羁绊解锁统计!F34-IF($R35=V$9,1,0))</f>
        <v>0</v>
      </c>
      <c r="W35" s="14">
        <f>IF([4]羁绊解锁统计!G34="",0,[4]羁绊解锁统计!G34-IF($R35=W$9,1,0))</f>
        <v>0</v>
      </c>
      <c r="X35" s="29">
        <f t="shared" si="3"/>
        <v>0</v>
      </c>
      <c r="Y35" s="10">
        <f t="shared" si="8"/>
        <v>1.4285714285714287E-2</v>
      </c>
      <c r="AA35" s="14">
        <f t="shared" si="9"/>
        <v>0</v>
      </c>
      <c r="AB35" s="14">
        <f t="shared" si="9"/>
        <v>0</v>
      </c>
      <c r="AC35" s="14">
        <f t="shared" si="9"/>
        <v>0</v>
      </c>
      <c r="AD35" s="14">
        <f t="shared" si="9"/>
        <v>0</v>
      </c>
      <c r="AE35" s="14">
        <f t="shared" si="9"/>
        <v>0</v>
      </c>
      <c r="AF35" s="29">
        <f t="shared" si="10"/>
        <v>0</v>
      </c>
      <c r="AG35" s="10">
        <f t="shared" si="11"/>
        <v>0.05</v>
      </c>
      <c r="AH35" s="87">
        <v>1.4E-2</v>
      </c>
      <c r="AI35" s="4">
        <v>31</v>
      </c>
      <c r="AJ35" s="98">
        <f t="shared" si="0"/>
        <v>0.12445088186019684</v>
      </c>
      <c r="AK35" s="5">
        <f>'[1]资源-钻石'!$N34*求节点(武将数量星级阶位验证!$CP$41:$CP$72,武将数量星级阶位验证!$CS$41:$CS$72,节奏总纲!R34)</f>
        <v>55450.748508146549</v>
      </c>
      <c r="AL35" s="48"/>
      <c r="AP35" s="14">
        <f>基础状态预期!D67</f>
        <v>43.535389560453282</v>
      </c>
      <c r="AQ35" s="14">
        <f>(求节点(其他调用!$I$4:$I$503,其他调用!$K$4:$K$503,武将数量星级阶位验证!AS57))*求节点(武将数量星级阶位验证!$CP$41:$CP$72,武将数量星级阶位验证!$CR$41:$CR$72,武将数量星级阶位验证!AS57)</f>
        <v>73782.564311210692</v>
      </c>
      <c r="AR35" s="14">
        <f>IF(武将升级!Y54="",0,求节点($AK$5:$AK$104,$AJ$5:$AJ$104,AQ$7)*B$5*武将升级!Y54)</f>
        <v>0</v>
      </c>
      <c r="AS35" s="14">
        <f>IF(武将升级!Z54="",0,求节点($AK$5:$AK$104,$AJ$5:$AJ$104,$AQ35)*C$5*武将升级!Z54)</f>
        <v>0</v>
      </c>
      <c r="AT35" s="14">
        <f>IF(武将升级!AA54="",0,求节点($AK$5:$AK$104,$AJ$5:$AJ$104,$AQ35)*D$5*武将升级!AA54)</f>
        <v>0</v>
      </c>
      <c r="AU35" s="14">
        <f>IF(武将升级!AB54="",0,求节点($AK$5:$AK$104,$AJ$5:$AJ$104,$AQ35)*E$5*武将升级!AB54)</f>
        <v>513.92582594660871</v>
      </c>
      <c r="AV35" s="14">
        <f>IF(武将升级!AC54="",0,求节点($AK$5:$AK$104,$AJ$5:$AJ$104,$AQ35)*F$5*武将升级!AC54)</f>
        <v>0</v>
      </c>
      <c r="AW35" s="8">
        <f>SUMPRODUCT(AR35:AV35,基础状态预期!F67:J67)/SUM(基础状态预期!F67:J67)</f>
        <v>513.92582594660871</v>
      </c>
      <c r="BA35" s="29">
        <v>60</v>
      </c>
      <c r="BB35" s="29">
        <f t="shared" si="12"/>
        <v>1230.5709728609129</v>
      </c>
      <c r="BC35" s="56">
        <f>(BB35-BB34)*INDEX([2]小r将兵属性验证!$W$7:$W$106+[2]小r将兵属性验证!$X$7:$X$106,BA35,1)+BC34</f>
        <v>642777690.2146194</v>
      </c>
    </row>
    <row r="36" spans="9:55" x14ac:dyDescent="0.15">
      <c r="I36" s="17" t="str">
        <f>IF(武将数量星级阶位验证!A37="","",武将数量星级阶位验证!A37)</f>
        <v/>
      </c>
      <c r="J36" s="29" t="str">
        <f>IF(武将数量星级阶位验证!B37="","",武将数量星级阶位验证!B37)</f>
        <v>大r</v>
      </c>
      <c r="K36" s="29">
        <f>IF(武将数量星级阶位验证!C37="","",武将数量星级阶位验证!C37)</f>
        <v>11265.333333333334</v>
      </c>
      <c r="L36" s="29">
        <f>IF(武将数量星级阶位验证!D37="","",武将数量星级阶位验证!D37)</f>
        <v>13253.333333333332</v>
      </c>
      <c r="M36" s="17">
        <f>IF(武将数量星级阶位验证!E37="","",武将数量星级阶位验证!E37)</f>
        <v>0.85000000000000009</v>
      </c>
      <c r="P36" s="14" t="e">
        <f>8-COUNTIF([4]羁绊设计!$AD35:$AK35,"&amp;")</f>
        <v>#VALUE!</v>
      </c>
      <c r="Q36" s="29" t="str">
        <f>[4]羁绊解锁统计!$B35</f>
        <v>夏侯渊</v>
      </c>
      <c r="R36" s="29" t="str">
        <f>IF([4]羁绊设计!$F35="红","橙+",[4]羁绊设计!$F35)</f>
        <v>橙</v>
      </c>
      <c r="S36" s="14">
        <f>IF([4]羁绊解锁统计!C35="",0,[4]羁绊解锁统计!C35-IF($R36=S$9,1,0))</f>
        <v>0</v>
      </c>
      <c r="T36" s="14">
        <f>IF([4]羁绊解锁统计!D35="",0,[4]羁绊解锁统计!D35-IF($R36=T$9,1,0))</f>
        <v>0</v>
      </c>
      <c r="U36" s="14">
        <f>IF([4]羁绊解锁统计!E35="",0,[4]羁绊解锁统计!E35-IF($R36=U$9,1,0))</f>
        <v>0</v>
      </c>
      <c r="V36" s="14">
        <f>IF([4]羁绊解锁统计!F35="",0,[4]羁绊解锁统计!F35-IF($R36=V$9,1,0))</f>
        <v>3</v>
      </c>
      <c r="W36" s="14">
        <f>IF([4]羁绊解锁统计!G35="",0,[4]羁绊解锁统计!G35-IF($R36=W$9,1,0))</f>
        <v>0</v>
      </c>
      <c r="X36" s="29">
        <f t="shared" si="3"/>
        <v>59629.629629629642</v>
      </c>
      <c r="Y36" s="10">
        <f t="shared" si="8"/>
        <v>0.13092644438936596</v>
      </c>
      <c r="AA36" s="14">
        <f t="shared" si="9"/>
        <v>0</v>
      </c>
      <c r="AB36" s="14">
        <f t="shared" si="9"/>
        <v>0</v>
      </c>
      <c r="AC36" s="14">
        <f t="shared" si="9"/>
        <v>0</v>
      </c>
      <c r="AD36" s="14">
        <f t="shared" si="9"/>
        <v>18</v>
      </c>
      <c r="AE36" s="14">
        <f t="shared" si="9"/>
        <v>0</v>
      </c>
      <c r="AF36" s="29">
        <f t="shared" si="10"/>
        <v>357777.77777777787</v>
      </c>
      <c r="AG36" s="10">
        <f t="shared" si="11"/>
        <v>0.45824255536278086</v>
      </c>
      <c r="AH36" s="87">
        <v>1.2999999999999999E-2</v>
      </c>
      <c r="AI36" s="4">
        <v>32</v>
      </c>
      <c r="AJ36" s="98">
        <f t="shared" si="0"/>
        <v>0.12965543393531301</v>
      </c>
      <c r="AK36" s="5">
        <f>'[1]资源-钻石'!$N35*求节点(武将数量星级阶位验证!$CP$41:$CP$72,武将数量星级阶位验证!$CS$41:$CS$72,节奏总纲!R35)</f>
        <v>58797.033928991295</v>
      </c>
      <c r="AL36" s="48"/>
      <c r="AP36" s="14">
        <f>基础状态预期!D68</f>
        <v>49.178590903134719</v>
      </c>
      <c r="AQ36" s="14">
        <f>(求节点(其他调用!$I$4:$I$503,其他调用!$K$4:$K$503,武将数量星级阶位验证!AS58))*求节点(武将数量星级阶位验证!$CP$41:$CP$72,武将数量星级阶位验证!$CR$41:$CR$72,武将数量星级阶位验证!AS58)</f>
        <v>97606.499278601463</v>
      </c>
      <c r="AR36" s="14">
        <f>IF(武将升级!Y55="",0,求节点($AK$5:$AK$104,$AJ$5:$AJ$104,AQ$7)*B$5*武将升级!Y55)</f>
        <v>0</v>
      </c>
      <c r="AS36" s="14">
        <f>IF(武将升级!Z55="",0,求节点($AK$5:$AK$104,$AJ$5:$AJ$104,$AQ36)*C$5*武将升级!Z55)</f>
        <v>0</v>
      </c>
      <c r="AT36" s="14">
        <f>IF(武将升级!AA55="",0,求节点($AK$5:$AK$104,$AJ$5:$AJ$104,$AQ36)*D$5*武将升级!AA55)</f>
        <v>0</v>
      </c>
      <c r="AU36" s="14">
        <f>IF(武将升级!AB55="",0,求节点($AK$5:$AK$104,$AJ$5:$AJ$104,$AQ36)*E$5*武将升级!AB55)</f>
        <v>687.56165158072395</v>
      </c>
      <c r="AV36" s="14">
        <f>IF(武将升级!AC55="",0,求节点($AK$5:$AK$104,$AJ$5:$AJ$104,$AQ36)*F$5*武将升级!AC55)</f>
        <v>0</v>
      </c>
      <c r="AW36" s="8">
        <f>SUMPRODUCT(AR36:AV36,基础状态预期!F68:J68)/SUM(基础状态预期!F68:J68)</f>
        <v>687.56165158072383</v>
      </c>
      <c r="BA36" s="29">
        <v>70</v>
      </c>
      <c r="BB36" s="29">
        <f t="shared" si="12"/>
        <v>2022.1544892119737</v>
      </c>
      <c r="BC36" s="56">
        <f>(BB36-BB35)*INDEX([2]小r将兵属性验证!$W$7:$W$106+[2]小r将兵属性验证!$X$7:$X$106,BA36,1)+BC35</f>
        <v>2257155000.1929603</v>
      </c>
    </row>
    <row r="37" spans="9:55" x14ac:dyDescent="0.15">
      <c r="I37" s="17" t="str">
        <f>IF(武将数量星级阶位验证!A38="","",武将数量星级阶位验证!A38)</f>
        <v/>
      </c>
      <c r="J37" s="29" t="str">
        <f>IF(武将数量星级阶位验证!B38="","",武将数量星级阶位验证!B38)</f>
        <v>超r</v>
      </c>
      <c r="K37" s="29">
        <f>IF(武将数量星级阶位验证!C38="","",武将数量星级阶位验证!C38)</f>
        <v>15572.666666666668</v>
      </c>
      <c r="L37" s="29">
        <f>IF(武将数量星级阶位验证!D38="","",武将数量星级阶位验证!D38)</f>
        <v>16566.666666666668</v>
      </c>
      <c r="M37" s="17">
        <f>IF(武将数量星级阶位验证!E38="","",武将数量星级阶位验证!E38)</f>
        <v>0.94000000000000006</v>
      </c>
      <c r="P37" s="14" t="e">
        <f>8-COUNTIF([4]羁绊设计!$AD36:$AK36,"&amp;")</f>
        <v>#VALUE!</v>
      </c>
      <c r="Q37" s="29" t="str">
        <f>[4]羁绊解锁统计!$B36</f>
        <v>诸葛瑾</v>
      </c>
      <c r="R37" s="29" t="str">
        <f>IF([4]羁绊设计!$F36="红","橙+",[4]羁绊设计!$F36)</f>
        <v>紫</v>
      </c>
      <c r="S37" s="14">
        <f>IF([4]羁绊解锁统计!C36="",0,[4]羁绊解锁统计!C36-IF($R37=S$9,1,0))</f>
        <v>0</v>
      </c>
      <c r="T37" s="14">
        <f>IF([4]羁绊解锁统计!D36="",0,[4]羁绊解锁统计!D36-IF($R37=T$9,1,0))</f>
        <v>0</v>
      </c>
      <c r="U37" s="14">
        <f>IF([4]羁绊解锁统计!E36="",0,[4]羁绊解锁统计!E36-IF($R37=U$9,1,0))</f>
        <v>0</v>
      </c>
      <c r="V37" s="14">
        <f>IF([4]羁绊解锁统计!F36="",0,[4]羁绊解锁统计!F36-IF($R37=V$9,1,0))</f>
        <v>1</v>
      </c>
      <c r="W37" s="14">
        <f>IF([4]羁绊解锁统计!G36="",0,[4]羁绊解锁统计!G36-IF($R37=W$9,1,0))</f>
        <v>0</v>
      </c>
      <c r="X37" s="29">
        <f t="shared" si="3"/>
        <v>51111.111111111117</v>
      </c>
      <c r="Y37" s="10">
        <f t="shared" si="8"/>
        <v>0.1175552379919582</v>
      </c>
      <c r="AA37" s="14">
        <f t="shared" si="9"/>
        <v>0</v>
      </c>
      <c r="AB37" s="14">
        <f t="shared" si="9"/>
        <v>0</v>
      </c>
      <c r="AC37" s="14">
        <f t="shared" si="9"/>
        <v>0</v>
      </c>
      <c r="AD37" s="14">
        <f t="shared" si="9"/>
        <v>6</v>
      </c>
      <c r="AE37" s="14">
        <f t="shared" si="9"/>
        <v>0</v>
      </c>
      <c r="AF37" s="29">
        <f t="shared" si="10"/>
        <v>306666.66666666669</v>
      </c>
      <c r="AG37" s="10">
        <f t="shared" si="11"/>
        <v>0.4114433329718537</v>
      </c>
      <c r="AH37" s="87">
        <v>1.2E-2</v>
      </c>
      <c r="AI37" s="4">
        <v>33</v>
      </c>
      <c r="AJ37" s="98">
        <f t="shared" si="0"/>
        <v>0.1350587600387935</v>
      </c>
      <c r="AK37" s="5">
        <f>'[1]资源-钻石'!$N36*求节点(武将数量星级阶位验证!$CP$41:$CP$72,武将数量星级阶位验证!$CS$41:$CS$72,节奏总纲!R36)</f>
        <v>62332.793994142747</v>
      </c>
      <c r="AL37" s="48"/>
      <c r="AP37" s="14">
        <f>基础状态预期!D69</f>
        <v>53.226994578658328</v>
      </c>
      <c r="AQ37" s="14">
        <f>(求节点(其他调用!$I$4:$I$503,其他调用!$K$4:$K$503,武将数量星级阶位验证!AS59))*求节点(武将数量星级阶位验证!$CP$41:$CP$72,武将数量星级阶位验证!$CR$41:$CR$72,武将数量星级阶位验证!AS59)</f>
        <v>121170.99235004446</v>
      </c>
      <c r="AR37" s="14">
        <f>IF(武将升级!Y56="",0,求节点($AK$5:$AK$104,$AJ$5:$AJ$104,AQ$7)*B$5*武将升级!Y56)</f>
        <v>0</v>
      </c>
      <c r="AS37" s="14">
        <f>IF(武将升级!Z56="",0,求节点($AK$5:$AK$104,$AJ$5:$AJ$104,$AQ37)*C$5*武将升级!Z56)</f>
        <v>0</v>
      </c>
      <c r="AT37" s="14">
        <f>IF(武将升级!AA56="",0,求节点($AK$5:$AK$104,$AJ$5:$AJ$104,$AQ37)*D$5*武将升级!AA56)</f>
        <v>0</v>
      </c>
      <c r="AU37" s="14">
        <f>IF(武将升级!AB56="",0,求节点($AK$5:$AK$104,$AJ$5:$AJ$104,$AQ37)*E$5*武将升级!AB56)</f>
        <v>851.98192653949752</v>
      </c>
      <c r="AV37" s="14">
        <f>IF(武将升级!AC56="",0,求节点($AK$5:$AK$104,$AJ$5:$AJ$104,$AQ37)*F$5*武将升级!AC56)</f>
        <v>851.98192653949752</v>
      </c>
      <c r="AW37" s="8">
        <f>SUMPRODUCT(AR37:AV37,基础状态预期!F69:J69)/SUM(基础状态预期!F69:J69)</f>
        <v>851.98192653949752</v>
      </c>
      <c r="BA37" s="29">
        <v>80</v>
      </c>
      <c r="BB37" s="29">
        <f t="shared" si="12"/>
        <v>3134.3746867322029</v>
      </c>
      <c r="BC37" s="56">
        <f>(BB37-BB36)*INDEX([2]小r将兵属性验证!$W$7:$W$106+[2]小r将兵属性验证!$X$7:$X$106,BA37,1)+BC36</f>
        <v>6733405613.7419605</v>
      </c>
    </row>
    <row r="38" spans="9:55" x14ac:dyDescent="0.15">
      <c r="I38" s="17" t="str">
        <f>IF(武将数量星级阶位验证!A39="","",武将数量星级阶位验证!A39)</f>
        <v/>
      </c>
      <c r="J38" s="17" t="str">
        <f>IF(武将数量星级阶位验证!B39="","",武将数量星级阶位验证!B39)</f>
        <v>橙+将不在限时抽卡中的定价为14400钻</v>
      </c>
      <c r="K38" s="17" t="str">
        <f>IF(武将数量星级阶位验证!C39="","",武将数量星级阶位验证!C39)</f>
        <v/>
      </c>
      <c r="L38" s="17" t="str">
        <f>IF(武将数量星级阶位验证!D39="","",武将数量星级阶位验证!D39)</f>
        <v/>
      </c>
      <c r="M38" s="17" t="str">
        <f>IF(武将数量星级阶位验证!E39="","",武将数量星级阶位验证!E39)</f>
        <v/>
      </c>
      <c r="P38" s="14" t="e">
        <f>8-COUNTIF([4]羁绊设计!$AD37:$AK37,"&amp;")</f>
        <v>#VALUE!</v>
      </c>
      <c r="Q38" s="29" t="str">
        <f>[4]羁绊解锁统计!$B37</f>
        <v>孙尚香</v>
      </c>
      <c r="R38" s="29" t="str">
        <f>IF([4]羁绊设计!$F37="红","橙+",[4]羁绊设计!$F37)</f>
        <v>橙</v>
      </c>
      <c r="S38" s="14">
        <f>IF([4]羁绊解锁统计!C37="",0,[4]羁绊解锁统计!C37-IF($R38=S$9,1,0))</f>
        <v>0</v>
      </c>
      <c r="T38" s="14">
        <f>IF([4]羁绊解锁统计!D37="",0,[4]羁绊解锁统计!D37-IF($R38=T$9,1,0))</f>
        <v>0</v>
      </c>
      <c r="U38" s="14">
        <f>IF([4]羁绊解锁统计!E37="",0,[4]羁绊解锁统计!E37-IF($R38=U$9,1,0))</f>
        <v>0</v>
      </c>
      <c r="V38" s="14">
        <f>IF([4]羁绊解锁统计!F37="",0,[4]羁绊解锁统计!F37-IF($R38=V$9,1,0))</f>
        <v>4</v>
      </c>
      <c r="W38" s="14">
        <f>IF([4]羁绊解锁统计!G37="",0,[4]羁绊解锁统计!G37-IF($R38=W$9,1,0))</f>
        <v>0</v>
      </c>
      <c r="X38" s="29">
        <f t="shared" si="3"/>
        <v>63888.888888888898</v>
      </c>
      <c r="Y38" s="10">
        <f t="shared" si="8"/>
        <v>0.13740340360056111</v>
      </c>
      <c r="AA38" s="14">
        <f t="shared" si="9"/>
        <v>0</v>
      </c>
      <c r="AB38" s="14">
        <f t="shared" si="9"/>
        <v>0</v>
      </c>
      <c r="AC38" s="14">
        <f t="shared" si="9"/>
        <v>0</v>
      </c>
      <c r="AD38" s="14">
        <f t="shared" si="9"/>
        <v>24</v>
      </c>
      <c r="AE38" s="14">
        <f t="shared" si="9"/>
        <v>0</v>
      </c>
      <c r="AF38" s="29">
        <f t="shared" si="10"/>
        <v>383333.33333333337</v>
      </c>
      <c r="AG38" s="10">
        <f t="shared" si="11"/>
        <v>0.48091191260196386</v>
      </c>
      <c r="AH38" s="87">
        <v>1.0999999999999999E-2</v>
      </c>
      <c r="AI38" s="4">
        <v>34</v>
      </c>
      <c r="AJ38" s="98">
        <f t="shared" si="0"/>
        <v>0.14107429843874758</v>
      </c>
      <c r="AK38" s="5">
        <f>'[1]资源-钻石'!$N37*求节点(武将数量星级阶位验证!$CP$41:$CP$72,武将数量星级阶位验证!$CS$41:$CS$72,节奏总纲!R37)</f>
        <v>66341.334745712709</v>
      </c>
      <c r="AL38" s="48"/>
      <c r="AP38" s="14">
        <f>基础状态预期!D70</f>
        <v>59.016342740868758</v>
      </c>
      <c r="AQ38" s="14">
        <f>(求节点(其他调用!$I$4:$I$503,其他调用!$K$4:$K$503,武将数量星级阶位验证!AS60))*求节点(武将数量星级阶位验证!$CP$41:$CP$72,武将数量星级阶位验证!$CR$41:$CR$72,武将数量星级阶位验证!AS60)</f>
        <v>166997.40254179857</v>
      </c>
      <c r="AR38" s="14">
        <f>IF(武将升级!Y57="",0,求节点($AK$5:$AK$104,$AJ$5:$AJ$104,AQ$7)*B$5*武将升级!Y57)</f>
        <v>0</v>
      </c>
      <c r="AS38" s="14">
        <f>IF(武将升级!Z57="",0,求节点($AK$5:$AK$104,$AJ$5:$AJ$104,$AQ38)*C$5*武将升级!Z57)</f>
        <v>0</v>
      </c>
      <c r="AT38" s="14">
        <f>IF(武将升级!AA57="",0,求节点($AK$5:$AK$104,$AJ$5:$AJ$104,$AQ38)*D$5*武将升级!AA57)</f>
        <v>0</v>
      </c>
      <c r="AU38" s="14">
        <f>IF(武将升级!AB57="",0,求节点($AK$5:$AK$104,$AJ$5:$AJ$104,$AQ38)*E$5*武将升级!AB57)</f>
        <v>1159.685774366739</v>
      </c>
      <c r="AV38" s="14">
        <f>IF(武将升级!AC57="",0,求节点($AK$5:$AK$104,$AJ$5:$AJ$104,$AQ38)*F$5*武将升级!AC57)</f>
        <v>1159.685774366739</v>
      </c>
      <c r="AW38" s="8">
        <f>SUMPRODUCT(AR38:AV38,基础状态预期!F70:J70)/SUM(基础状态预期!F70:J70)</f>
        <v>1159.685774366739</v>
      </c>
      <c r="BA38" s="29">
        <v>90</v>
      </c>
      <c r="BB38" s="29">
        <f t="shared" si="12"/>
        <v>3720.0787359257802</v>
      </c>
      <c r="BC38" s="56">
        <f>(BB38-BB37)*INDEX([2]小r将兵属性验证!$W$7:$W$106+[2]小r将兵属性验证!$X$7:$X$106,BA38,1)+BC37</f>
        <v>11491843311.755375</v>
      </c>
    </row>
    <row r="39" spans="9:55" x14ac:dyDescent="0.15">
      <c r="P39" s="14" t="e">
        <f>8-COUNTIF([4]羁绊设计!$AD38:$AK38,"&amp;")</f>
        <v>#VALUE!</v>
      </c>
      <c r="Q39" s="29" t="str">
        <f>[4]羁绊解锁统计!$B38</f>
        <v>凌统</v>
      </c>
      <c r="R39" s="29" t="str">
        <f>IF([4]羁绊设计!$F38="红","橙+",[4]羁绊设计!$F38)</f>
        <v>紫</v>
      </c>
      <c r="S39" s="14">
        <f>IF([4]羁绊解锁统计!C38="",0,[4]羁绊解锁统计!C38-IF($R39=S$9,1,0))</f>
        <v>0</v>
      </c>
      <c r="T39" s="14">
        <f>IF([4]羁绊解锁统计!D38="",0,[4]羁绊解锁统计!D38-IF($R39=T$9,1,0))</f>
        <v>0</v>
      </c>
      <c r="U39" s="14">
        <f>IF([4]羁绊解锁统计!E38="",0,[4]羁绊解锁统计!E38-IF($R39=U$9,1,0))</f>
        <v>1</v>
      </c>
      <c r="V39" s="14">
        <f>IF([4]羁绊解锁统计!F38="",0,[4]羁绊解锁统计!F38-IF($R39=V$9,1,0))</f>
        <v>1</v>
      </c>
      <c r="W39" s="14">
        <f>IF([4]羁绊解锁统计!G38="",0,[4]羁绊解锁统计!G38-IF($R39=W$9,1,0))</f>
        <v>0</v>
      </c>
      <c r="X39" s="29">
        <f t="shared" si="3"/>
        <v>51111.111111111117</v>
      </c>
      <c r="Y39" s="10">
        <f t="shared" si="8"/>
        <v>0.1175552379919582</v>
      </c>
      <c r="AA39" s="14">
        <f t="shared" si="9"/>
        <v>0</v>
      </c>
      <c r="AB39" s="14">
        <f t="shared" si="9"/>
        <v>0</v>
      </c>
      <c r="AC39" s="14">
        <f t="shared" si="9"/>
        <v>6</v>
      </c>
      <c r="AD39" s="14">
        <f t="shared" si="9"/>
        <v>6</v>
      </c>
      <c r="AE39" s="14">
        <f t="shared" si="9"/>
        <v>0</v>
      </c>
      <c r="AF39" s="29">
        <f t="shared" si="10"/>
        <v>306666.66666666669</v>
      </c>
      <c r="AG39" s="10">
        <f t="shared" si="11"/>
        <v>0.4114433329718537</v>
      </c>
      <c r="AH39" s="87">
        <v>0.01</v>
      </c>
      <c r="AI39" s="4">
        <v>35</v>
      </c>
      <c r="AJ39" s="98">
        <f t="shared" si="0"/>
        <v>0.1460498549532106</v>
      </c>
      <c r="AK39" s="5">
        <f>'[1]资源-钻石'!$N38*求节点(武将数量星级阶位验证!$CP$41:$CP$72,武将数量星级阶位验证!$CS$41:$CS$72,节奏总纲!R38)</f>
        <v>69713.041524101049</v>
      </c>
      <c r="AL39" s="48"/>
      <c r="AP39" s="14">
        <f>基础状态预期!D71</f>
        <v>64.781009552500748</v>
      </c>
      <c r="AQ39" s="14">
        <f>(求节点(其他调用!$I$4:$I$503,其他调用!$K$4:$K$503,武将数量星级阶位验证!AS61))*求节点(武将数量星级阶位验证!$CP$41:$CP$72,武将数量星级阶位验证!$CR$41:$CR$72,武将数量星级阶位验证!AS61)</f>
        <v>231712.35433150912</v>
      </c>
      <c r="AR39" s="14">
        <f>IF(武将升级!Y58="",0,求节点($AK$5:$AK$104,$AJ$5:$AJ$104,AQ$7)*B$5*武将升级!Y58)</f>
        <v>0</v>
      </c>
      <c r="AS39" s="14">
        <f>IF(武将升级!Z58="",0,求节点($AK$5:$AK$104,$AJ$5:$AJ$104,$AQ39)*C$5*武将升级!Z58)</f>
        <v>0</v>
      </c>
      <c r="AT39" s="14">
        <f>IF(武将升级!AA58="",0,求节点($AK$5:$AK$104,$AJ$5:$AJ$104,$AQ39)*D$5*武将升级!AA58)</f>
        <v>0</v>
      </c>
      <c r="AU39" s="14">
        <f>IF(武将升级!AB58="",0,求节点($AK$5:$AK$104,$AJ$5:$AJ$104,$AQ39)*E$5*武将升级!AB58)</f>
        <v>1575.1044045878064</v>
      </c>
      <c r="AV39" s="14">
        <f>IF(武将升级!AC58="",0,求节点($AK$5:$AK$104,$AJ$5:$AJ$104,$AQ39)*F$5*武将升级!AC58)</f>
        <v>1575.1044045878064</v>
      </c>
      <c r="AW39" s="8">
        <f>SUMPRODUCT(AR39:AV39,基础状态预期!F71:J71)/SUM(基础状态预期!F71:J71)</f>
        <v>1575.1044045878064</v>
      </c>
      <c r="BA39" s="29">
        <v>100</v>
      </c>
      <c r="BB39" s="29">
        <f t="shared" si="12"/>
        <v>4080.0773247392704</v>
      </c>
      <c r="BC39" s="56">
        <f>(BB39-BB38)*INDEX([2]小r将兵属性验证!$W$7:$W$106+[2]小r将兵属性验证!$X$7:$X$106,BA39,1)+BC38</f>
        <v>16718203275.845764</v>
      </c>
    </row>
    <row r="40" spans="9:55" x14ac:dyDescent="0.15">
      <c r="P40" s="14" t="e">
        <f>8-COUNTIF([4]羁绊设计!$AD39:$AK39,"&amp;")</f>
        <v>#VALUE!</v>
      </c>
      <c r="Q40" s="29" t="str">
        <f>[4]羁绊解锁统计!$B39</f>
        <v>于吉</v>
      </c>
      <c r="R40" s="29" t="str">
        <f>IF([4]羁绊设计!$F39="红","橙+",[4]羁绊设计!$F39)</f>
        <v>橙+</v>
      </c>
      <c r="S40" s="14">
        <f>IF([4]羁绊解锁统计!C39="",0,[4]羁绊解锁统计!C39-IF($R40=S$9,1,0))</f>
        <v>0</v>
      </c>
      <c r="T40" s="14">
        <f>IF([4]羁绊解锁统计!D39="",0,[4]羁绊解锁统计!D39-IF($R40=T$9,1,0))</f>
        <v>0</v>
      </c>
      <c r="U40" s="14">
        <f>IF([4]羁绊解锁统计!E39="",0,[4]羁绊解锁统计!E39-IF($R40=U$9,1,0))</f>
        <v>0</v>
      </c>
      <c r="V40" s="14">
        <f>IF([4]羁绊解锁统计!F39="",0,[4]羁绊解锁统计!F39-IF($R40=V$9,1,0))</f>
        <v>2</v>
      </c>
      <c r="W40" s="14">
        <f>IF([4]羁绊解锁统计!G39="",0,[4]羁绊解锁统计!G39-IF($R40=W$9,1,0))</f>
        <v>0</v>
      </c>
      <c r="X40" s="29">
        <f t="shared" si="3"/>
        <v>55370.370370370372</v>
      </c>
      <c r="Y40" s="10">
        <f t="shared" si="8"/>
        <v>0.12431584111409054</v>
      </c>
      <c r="AA40" s="14">
        <f t="shared" si="9"/>
        <v>0</v>
      </c>
      <c r="AB40" s="14">
        <f t="shared" si="9"/>
        <v>0</v>
      </c>
      <c r="AC40" s="14">
        <f t="shared" si="9"/>
        <v>0</v>
      </c>
      <c r="AD40" s="14">
        <f t="shared" si="9"/>
        <v>12</v>
      </c>
      <c r="AE40" s="14">
        <f t="shared" si="9"/>
        <v>0</v>
      </c>
      <c r="AF40" s="29">
        <f t="shared" si="10"/>
        <v>332222.22222222225</v>
      </c>
      <c r="AG40" s="10">
        <f t="shared" si="11"/>
        <v>0.43510544389931688</v>
      </c>
      <c r="AH40" s="87">
        <v>9.0000000000000097E-3</v>
      </c>
      <c r="AI40" s="4">
        <v>36</v>
      </c>
      <c r="AJ40" s="98">
        <f t="shared" si="0"/>
        <v>0.15073558017621344</v>
      </c>
      <c r="AK40" s="5">
        <f>'[1]资源-钻石'!$N39*求节点(武将数量星级阶位验证!$CP$41:$CP$72,武将数量星级阶位验证!$CS$41:$CS$72,节奏总纲!R39)</f>
        <v>72933.885780861325</v>
      </c>
      <c r="AL40" s="48"/>
      <c r="AP40" s="14">
        <f>基础状态预期!D72</f>
        <v>68.923431594456531</v>
      </c>
      <c r="AQ40" s="14">
        <f>(求节点(其他调用!$I$4:$I$503,其他调用!$K$4:$K$503,武将数量星级阶位验证!AS62))*求节点(武将数量星级阶位验证!$CP$41:$CP$72,武将数量星级阶位验证!$CR$41:$CR$72,武将数量星级阶位验证!AS62)</f>
        <v>286453.05606281426</v>
      </c>
      <c r="AR40" s="14">
        <f>IF(武将升级!Y59="",0,求节点($AK$5:$AK$104,$AJ$5:$AJ$104,AQ$7)*B$5*武将升级!Y59)</f>
        <v>0</v>
      </c>
      <c r="AS40" s="14">
        <f>IF(武将升级!Z59="",0,求节点($AK$5:$AK$104,$AJ$5:$AJ$104,$AQ40)*C$5*武将升级!Z59)</f>
        <v>0</v>
      </c>
      <c r="AT40" s="14">
        <f>IF(武将升级!AA59="",0,求节点($AK$5:$AK$104,$AJ$5:$AJ$104,$AQ40)*D$5*武将升级!AA59)</f>
        <v>0</v>
      </c>
      <c r="AU40" s="14">
        <f>IF(武将升级!AB59="",0,求节点($AK$5:$AK$104,$AJ$5:$AJ$104,$AQ40)*E$5*武将升级!AB59)</f>
        <v>1924.2663534400842</v>
      </c>
      <c r="AV40" s="14">
        <f>IF(武将升级!AC59="",0,求节点($AK$5:$AK$104,$AJ$5:$AJ$104,$AQ40)*F$5*武将升级!AC59)</f>
        <v>1924.2663534400842</v>
      </c>
      <c r="AW40" s="8">
        <f>SUMPRODUCT(AR40:AV40,基础状态预期!F72:J72)/SUM(基础状态预期!F72:J72)</f>
        <v>1924.2663534400842</v>
      </c>
    </row>
    <row r="41" spans="9:55" x14ac:dyDescent="0.15">
      <c r="J41" s="29" t="s">
        <v>80</v>
      </c>
      <c r="K41" s="29" t="s">
        <v>81</v>
      </c>
      <c r="L41" s="29" t="s">
        <v>82</v>
      </c>
      <c r="M41" s="29" t="s">
        <v>545</v>
      </c>
      <c r="P41" s="14" t="e">
        <f>8-COUNTIF([4]羁绊设计!$AD40:$AK40,"&amp;")</f>
        <v>#VALUE!</v>
      </c>
      <c r="Q41" s="29" t="str">
        <f>[4]羁绊解锁统计!$B40</f>
        <v>华佗</v>
      </c>
      <c r="R41" s="29" t="str">
        <f>IF([4]羁绊设计!$F40="红","橙+",[4]羁绊设计!$F40)</f>
        <v>橙</v>
      </c>
      <c r="S41" s="14">
        <f>IF([4]羁绊解锁统计!C40="",0,[4]羁绊解锁统计!C40-IF($R41=S$9,1,0))</f>
        <v>0</v>
      </c>
      <c r="T41" s="14">
        <f>IF([4]羁绊解锁统计!D40="",0,[4]羁绊解锁统计!D40-IF($R41=T$9,1,0))</f>
        <v>0</v>
      </c>
      <c r="U41" s="14">
        <f>IF([4]羁绊解锁统计!E40="",0,[4]羁绊解锁统计!E40-IF($R41=U$9,1,0))</f>
        <v>1</v>
      </c>
      <c r="V41" s="14">
        <f>IF([4]羁绊解锁统计!F40="",0,[4]羁绊解锁统计!F40-IF($R41=V$9,1,0))</f>
        <v>0</v>
      </c>
      <c r="W41" s="14">
        <f>IF([4]羁绊解锁统计!G40="",0,[4]羁绊解锁统计!G40-IF($R41=W$9,1,0))</f>
        <v>0</v>
      </c>
      <c r="X41" s="29">
        <f t="shared" si="3"/>
        <v>5750</v>
      </c>
      <c r="Y41" s="10">
        <f t="shared" si="8"/>
        <v>2.5515962176998679E-2</v>
      </c>
      <c r="AA41" s="14">
        <f t="shared" si="9"/>
        <v>0</v>
      </c>
      <c r="AB41" s="14">
        <f t="shared" si="9"/>
        <v>0</v>
      </c>
      <c r="AC41" s="14">
        <f t="shared" si="9"/>
        <v>6</v>
      </c>
      <c r="AD41" s="14">
        <f t="shared" si="9"/>
        <v>0</v>
      </c>
      <c r="AE41" s="14">
        <f t="shared" si="9"/>
        <v>0</v>
      </c>
      <c r="AF41" s="29">
        <f t="shared" si="10"/>
        <v>34500</v>
      </c>
      <c r="AG41" s="10">
        <f t="shared" si="11"/>
        <v>8.9305867619495383E-2</v>
      </c>
      <c r="AH41" s="87">
        <v>8.0000000000000106E-3</v>
      </c>
      <c r="AI41" s="4">
        <v>37</v>
      </c>
      <c r="AJ41" s="98">
        <f t="shared" si="0"/>
        <v>0.15556323419057014</v>
      </c>
      <c r="AK41" s="5">
        <f>'[1]资源-钻石'!$N40*求节点(武将数量星级阶位验证!$CP$41:$CP$72,武将数量星级阶位验证!$CS$41:$CS$72,节奏总纲!R40)</f>
        <v>76297.642736289476</v>
      </c>
      <c r="AL41" s="48"/>
      <c r="AP41" s="14">
        <f>基础状态预期!D73</f>
        <v>72.103942950990486</v>
      </c>
      <c r="AQ41" s="14">
        <f>(求节点(其他调用!$I$4:$I$503,其他调用!$K$4:$K$503,武将数量星级阶位验证!AS63))*求节点(武将数量星级阶位验证!$CP$41:$CP$72,武将数量星级阶位验证!$CR$41:$CR$72,武将数量星级阶位验证!AS63)</f>
        <v>331374.15085536265</v>
      </c>
      <c r="AR41" s="14">
        <f>IF(武将升级!Y60="",0,求节点($AK$5:$AK$104,$AJ$5:$AJ$104,AQ$7)*B$5*武将升级!Y60)</f>
        <v>0</v>
      </c>
      <c r="AS41" s="14">
        <f>IF(武将升级!Z60="",0,求节点($AK$5:$AK$104,$AJ$5:$AJ$104,$AQ41)*C$5*武将升级!Z60)</f>
        <v>0</v>
      </c>
      <c r="AT41" s="14">
        <f>IF(武将升级!AA60="",0,求节点($AK$5:$AK$104,$AJ$5:$AJ$104,$AQ41)*D$5*武将升级!AA60)</f>
        <v>0</v>
      </c>
      <c r="AU41" s="14">
        <f>IF(武将升级!AB60="",0,求节点($AK$5:$AK$104,$AJ$5:$AJ$104,$AQ41)*E$5*武将升级!AB60)</f>
        <v>2213.457756317327</v>
      </c>
      <c r="AV41" s="14">
        <f>IF(武将升级!AC60="",0,求节点($AK$5:$AK$104,$AJ$5:$AJ$104,$AQ41)*F$5*武将升级!AC60)</f>
        <v>2213.457756317327</v>
      </c>
      <c r="AW41" s="8">
        <f>SUMPRODUCT(AR41:AV41,基础状态预期!F73:J73)/SUM(基础状态预期!F73:J73)</f>
        <v>2213.4577563173266</v>
      </c>
    </row>
    <row r="42" spans="9:55" x14ac:dyDescent="0.15">
      <c r="I42" s="91" t="s">
        <v>530</v>
      </c>
      <c r="J42" s="29">
        <f>J5*$J$1/10/J11/1.5</f>
        <v>1397.4683544303798</v>
      </c>
      <c r="K42" s="29">
        <f>K5*$J$1/10/K11/1.5</f>
        <v>5750</v>
      </c>
      <c r="L42" s="29">
        <f>L5*$J$1/10/L11/1.5</f>
        <v>51111.111111111117</v>
      </c>
      <c r="M42" s="29">
        <f>K35</f>
        <v>8614.6666666666661</v>
      </c>
      <c r="P42" s="14" t="e">
        <f>8-COUNTIF([4]羁绊设计!$AD41:$AK41,"&amp;")</f>
        <v>#VALUE!</v>
      </c>
      <c r="Q42" s="29" t="str">
        <f>[4]羁绊解锁统计!$B41</f>
        <v>廖化</v>
      </c>
      <c r="R42" s="29" t="str">
        <f>IF([4]羁绊设计!$F41="红","橙+",[4]羁绊设计!$F41)</f>
        <v>紫</v>
      </c>
      <c r="S42" s="14">
        <f>IF([4]羁绊解锁统计!C41="",0,[4]羁绊解锁统计!C41-IF($R42=S$9,1,0))</f>
        <v>0</v>
      </c>
      <c r="T42" s="14">
        <f>IF([4]羁绊解锁统计!D41="",0,[4]羁绊解锁统计!D41-IF($R42=T$9,1,0))</f>
        <v>0</v>
      </c>
      <c r="U42" s="14">
        <f>IF([4]羁绊解锁统计!E41="",0,[4]羁绊解锁统计!E41-IF($R42=U$9,1,0))</f>
        <v>1</v>
      </c>
      <c r="V42" s="14">
        <f>IF([4]羁绊解锁统计!F41="",0,[4]羁绊解锁统计!F41-IF($R42=V$9,1,0))</f>
        <v>0</v>
      </c>
      <c r="W42" s="14">
        <f>IF([4]羁绊解锁统计!G41="",0,[4]羁绊解锁统计!G41-IF($R42=W$9,1,0))</f>
        <v>0</v>
      </c>
      <c r="X42" s="29">
        <f t="shared" si="3"/>
        <v>5750</v>
      </c>
      <c r="Y42" s="10">
        <f t="shared" si="8"/>
        <v>2.5515962176998679E-2</v>
      </c>
      <c r="AA42" s="14">
        <f t="shared" si="9"/>
        <v>0</v>
      </c>
      <c r="AB42" s="14">
        <f t="shared" si="9"/>
        <v>0</v>
      </c>
      <c r="AC42" s="14">
        <f t="shared" si="9"/>
        <v>6</v>
      </c>
      <c r="AD42" s="14">
        <f t="shared" si="9"/>
        <v>0</v>
      </c>
      <c r="AE42" s="14">
        <f t="shared" si="9"/>
        <v>0</v>
      </c>
      <c r="AF42" s="29">
        <f t="shared" si="10"/>
        <v>34500</v>
      </c>
      <c r="AG42" s="10">
        <f t="shared" si="11"/>
        <v>8.9305867619495383E-2</v>
      </c>
      <c r="AH42" s="87">
        <v>7.0000000000000097E-3</v>
      </c>
      <c r="AI42" s="4">
        <v>38</v>
      </c>
      <c r="AJ42" s="98">
        <f t="shared" si="0"/>
        <v>0.16057170507871635</v>
      </c>
      <c r="AK42" s="5">
        <f>'[1]资源-钻石'!$N41*求节点(武将数量星级阶位验证!$CP$41:$CP$72,武将数量星级阶位验证!$CS$41:$CS$72,节奏总纲!R41)</f>
        <v>79835.168784789857</v>
      </c>
      <c r="AL42" s="48"/>
      <c r="AP42" s="14">
        <f>基础状态预期!D74</f>
        <v>74.74003809013405</v>
      </c>
      <c r="AQ42" s="14">
        <f>(求节点(其他调用!$I$4:$I$503,其他调用!$K$4:$K$503,武将数量星级阶位验证!AS64))*求节点(武将数量星级阶位验证!$CP$41:$CP$72,武将数量星级阶位验证!$CR$41:$CR$72,武将数量星级阶位验证!AS64)</f>
        <v>374266.09666392842</v>
      </c>
      <c r="AR42" s="14">
        <f>IF(武将升级!Y61="",0,求节点($AK$5:$AK$104,$AJ$5:$AJ$104,AQ$7)*B$5*武将升级!Y61)</f>
        <v>0</v>
      </c>
      <c r="AS42" s="14">
        <f>IF(武将升级!Z61="",0,求节点($AK$5:$AK$104,$AJ$5:$AJ$104,$AQ42)*C$5*武将升级!Z61)</f>
        <v>0</v>
      </c>
      <c r="AT42" s="14">
        <f>IF(武将升级!AA61="",0,求节点($AK$5:$AK$104,$AJ$5:$AJ$104,$AQ42)*D$5*武将升级!AA61)</f>
        <v>0</v>
      </c>
      <c r="AU42" s="14">
        <f>IF(武将升级!AB61="",0,求节点($AK$5:$AK$104,$AJ$5:$AJ$104,$AQ42)*E$5*武将升级!AB61)</f>
        <v>2484.8588044351563</v>
      </c>
      <c r="AV42" s="14">
        <f>IF(武将升级!AC61="",0,求节点($AK$5:$AK$104,$AJ$5:$AJ$104,$AQ42)*F$5*武将升级!AC61)</f>
        <v>2484.8588044351563</v>
      </c>
      <c r="AW42" s="8">
        <f>SUMPRODUCT(AR42:AV42,基础状态预期!F74:J74)/SUM(基础状态预期!F74:J74)</f>
        <v>2484.8588044351563</v>
      </c>
    </row>
    <row r="43" spans="9:55" x14ac:dyDescent="0.15">
      <c r="I43" s="17" t="s">
        <v>531</v>
      </c>
      <c r="J43" s="29">
        <f>50%/6</f>
        <v>8.3333333333333329E-2</v>
      </c>
      <c r="K43" s="29">
        <f t="shared" ref="K43:L43" si="13">50%/6</f>
        <v>8.3333333333333329E-2</v>
      </c>
      <c r="L43" s="29">
        <f t="shared" si="13"/>
        <v>8.3333333333333329E-2</v>
      </c>
      <c r="M43" s="29">
        <v>1</v>
      </c>
      <c r="P43" s="14" t="e">
        <f>8-COUNTIF([4]羁绊设计!$AD42:$AK42,"&amp;")</f>
        <v>#VALUE!</v>
      </c>
      <c r="Q43" s="29" t="str">
        <f>[4]羁绊解锁统计!$B42</f>
        <v>张辽</v>
      </c>
      <c r="R43" s="29" t="str">
        <f>IF([4]羁绊设计!$F42="红","橙+",[4]羁绊设计!$F42)</f>
        <v>橙+</v>
      </c>
      <c r="S43" s="14">
        <f>IF([4]羁绊解锁统计!C42="",0,[4]羁绊解锁统计!C42-IF($R43=S$9,1,0))</f>
        <v>0</v>
      </c>
      <c r="T43" s="14">
        <f>IF([4]羁绊解锁统计!D42="",0,[4]羁绊解锁统计!D42-IF($R43=T$9,1,0))</f>
        <v>1</v>
      </c>
      <c r="U43" s="14">
        <f>IF([4]羁绊解锁统计!E42="",0,[4]羁绊解锁统计!E42-IF($R43=U$9,1,0))</f>
        <v>1</v>
      </c>
      <c r="V43" s="14">
        <f>IF([4]羁绊解锁统计!F42="",0,[4]羁绊解锁统计!F42-IF($R43=V$9,1,0))</f>
        <v>3</v>
      </c>
      <c r="W43" s="14">
        <f>IF([4]羁绊解锁统计!G42="",0,[4]羁绊解锁统计!G42-IF($R43=W$9,1,0))</f>
        <v>0</v>
      </c>
      <c r="X43" s="29">
        <f t="shared" si="3"/>
        <v>59629.629629629642</v>
      </c>
      <c r="Y43" s="10">
        <f t="shared" si="8"/>
        <v>0.13092644438936596</v>
      </c>
      <c r="AA43" s="14">
        <f t="shared" si="9"/>
        <v>0</v>
      </c>
      <c r="AB43" s="14">
        <f t="shared" si="9"/>
        <v>6</v>
      </c>
      <c r="AC43" s="14">
        <f t="shared" si="9"/>
        <v>6</v>
      </c>
      <c r="AD43" s="14">
        <f t="shared" si="9"/>
        <v>18</v>
      </c>
      <c r="AE43" s="14">
        <f t="shared" si="9"/>
        <v>0</v>
      </c>
      <c r="AF43" s="29">
        <f t="shared" si="10"/>
        <v>357777.77777777787</v>
      </c>
      <c r="AG43" s="10">
        <f t="shared" si="11"/>
        <v>0.45824255536278086</v>
      </c>
      <c r="AH43" s="87">
        <v>6.0000000000000097E-3</v>
      </c>
      <c r="AI43" s="4">
        <v>39</v>
      </c>
      <c r="AJ43" s="98">
        <f t="shared" si="0"/>
        <v>0.16594682180786091</v>
      </c>
      <c r="AK43" s="5">
        <f>'[1]资源-钻石'!$N42*求节点(武将数量星级阶位验证!$CP$41:$CP$72,武将数量星级阶位验证!$CS$41:$CS$72,节奏总纲!R42)</f>
        <v>83684.81381686739</v>
      </c>
      <c r="AL43" s="48"/>
      <c r="AP43" s="14">
        <f>基础状态预期!D75</f>
        <v>77.609642525433856</v>
      </c>
      <c r="AQ43" s="14">
        <f>(求节点(其他调用!$I$4:$I$503,其他调用!$K$4:$K$503,武将数量星级阶位验证!AS65))*求节点(武将数量星级阶位验证!$CP$41:$CP$72,武将数量星级阶位验证!$CR$41:$CR$72,武将数量星级阶位验证!AS65)</f>
        <v>430681.59155211051</v>
      </c>
      <c r="AR43" s="14">
        <f>IF(武将升级!Y62="",0,求节点($AK$5:$AK$104,$AJ$5:$AJ$104,AQ$7)*B$5*武将升级!Y62)</f>
        <v>0</v>
      </c>
      <c r="AS43" s="14">
        <f>IF(武将升级!Z62="",0,求节点($AK$5:$AK$104,$AJ$5:$AJ$104,$AQ43)*C$5*武将升级!Z62)</f>
        <v>0</v>
      </c>
      <c r="AT43" s="14">
        <f>IF(武将升级!AA62="",0,求节点($AK$5:$AK$104,$AJ$5:$AJ$104,$AQ43)*D$5*武将升级!AA62)</f>
        <v>0</v>
      </c>
      <c r="AU43" s="14">
        <f>IF(武将升级!AB62="",0,求节点($AK$5:$AK$104,$AJ$5:$AJ$104,$AQ43)*E$5*武将升级!AB62)</f>
        <v>0</v>
      </c>
      <c r="AV43" s="14">
        <f>IF(武将升级!AC62="",0,求节点($AK$5:$AK$104,$AJ$5:$AJ$104,$AQ43)*F$5*武将升级!AC62)</f>
        <v>2831.0711966888894</v>
      </c>
      <c r="AW43" s="8">
        <f>SUMPRODUCT(AR43:AV43,基础状态预期!F75:J75)/SUM(基础状态预期!F75:J75)</f>
        <v>2831.0711966888898</v>
      </c>
    </row>
    <row r="44" spans="9:55" x14ac:dyDescent="0.15">
      <c r="I44" s="17" t="s">
        <v>532</v>
      </c>
      <c r="J44" s="29">
        <f>J$42*(1+(3-1)*J$43)*C$4</f>
        <v>9782.2784810126595</v>
      </c>
      <c r="K44" s="29">
        <f>K$42*(1+(3-1)*K$43)*D$4</f>
        <v>40250</v>
      </c>
      <c r="L44" s="29">
        <f t="shared" ref="L44:M44" si="14">L$42*(1+(3-1)*L$43)*E$4</f>
        <v>357777.77777777787</v>
      </c>
      <c r="M44" s="29">
        <f t="shared" si="14"/>
        <v>155064</v>
      </c>
      <c r="P44" s="14" t="e">
        <f>8-COUNTIF([4]羁绊设计!$AD43:$AK43,"&amp;")</f>
        <v>#VALUE!</v>
      </c>
      <c r="Q44" s="29" t="str">
        <f>[4]羁绊解锁统计!$B43</f>
        <v>羊祜</v>
      </c>
      <c r="R44" s="29" t="str">
        <f>IF([4]羁绊设计!$F43="红","橙+",[4]羁绊设计!$F43)</f>
        <v>橙</v>
      </c>
      <c r="S44" s="14">
        <f>IF([4]羁绊解锁统计!C43="",0,[4]羁绊解锁统计!C43-IF($R44=S$9,1,0))</f>
        <v>0</v>
      </c>
      <c r="T44" s="14">
        <f>IF([4]羁绊解锁统计!D43="",0,[4]羁绊解锁统计!D43-IF($R44=T$9,1,0))</f>
        <v>0</v>
      </c>
      <c r="U44" s="14">
        <f>IF([4]羁绊解锁统计!E43="",0,[4]羁绊解锁统计!E43-IF($R44=U$9,1,0))</f>
        <v>0</v>
      </c>
      <c r="V44" s="14">
        <f>IF([4]羁绊解锁统计!F43="",0,[4]羁绊解锁统计!F43-IF($R44=V$9,1,0))</f>
        <v>0</v>
      </c>
      <c r="W44" s="14">
        <f>IF([4]羁绊解锁统计!G43="",0,[4]羁绊解锁统计!G43-IF($R44=W$9,1,0))</f>
        <v>0</v>
      </c>
      <c r="X44" s="29">
        <f t="shared" si="3"/>
        <v>0</v>
      </c>
      <c r="Y44" s="10">
        <f t="shared" si="8"/>
        <v>1.4285714285714287E-2</v>
      </c>
      <c r="AA44" s="14">
        <f t="shared" si="9"/>
        <v>0</v>
      </c>
      <c r="AB44" s="14">
        <f t="shared" si="9"/>
        <v>0</v>
      </c>
      <c r="AC44" s="14">
        <f t="shared" si="9"/>
        <v>0</v>
      </c>
      <c r="AD44" s="14">
        <f t="shared" si="9"/>
        <v>0</v>
      </c>
      <c r="AE44" s="14">
        <f t="shared" si="9"/>
        <v>0</v>
      </c>
      <c r="AF44" s="29">
        <f t="shared" si="10"/>
        <v>0</v>
      </c>
      <c r="AG44" s="10">
        <f t="shared" si="11"/>
        <v>0.05</v>
      </c>
      <c r="AH44" s="87">
        <v>5.0000000000000096E-3</v>
      </c>
      <c r="AI44" s="4">
        <v>40</v>
      </c>
      <c r="AJ44" s="98">
        <f t="shared" si="0"/>
        <v>0.17165619590784106</v>
      </c>
      <c r="AK44" s="5">
        <f>'[1]资源-钻石'!$N43*求节点(武将数量星级阶位验证!$CP$41:$CP$72,武将数量星级阶位验证!$CS$41:$CS$72,节奏总纲!R43)</f>
        <v>87833.006689635993</v>
      </c>
      <c r="AL44" s="48"/>
      <c r="AP44" s="14">
        <f>基础状态预期!D76</f>
        <v>79.994335665275713</v>
      </c>
      <c r="AQ44" s="14">
        <f>(求节点(其他调用!$I$4:$I$503,其他调用!$K$4:$K$503,武将数量星级阶位验证!AS66))*求节点(武将数量星级阶位验证!$CP$41:$CP$72,武将数量星级阶位验证!$CR$41:$CR$72,武将数量星级阶位验证!AS66)</f>
        <v>479775.78532066062</v>
      </c>
      <c r="AR44" s="14">
        <f>IF(武将升级!Y63="",0,求节点($AK$5:$AK$104,$AJ$5:$AJ$104,AQ$7)*B$5*武将升级!Y63)</f>
        <v>0</v>
      </c>
      <c r="AS44" s="14">
        <f>IF(武将升级!Z63="",0,求节点($AK$5:$AK$104,$AJ$5:$AJ$104,$AQ44)*C$5*武将升级!Z63)</f>
        <v>0</v>
      </c>
      <c r="AT44" s="14">
        <f>IF(武将升级!AA63="",0,求节点($AK$5:$AK$104,$AJ$5:$AJ$104,$AQ44)*D$5*武将升级!AA63)</f>
        <v>0</v>
      </c>
      <c r="AU44" s="14">
        <f>IF(武将升级!AB63="",0,求节点($AK$5:$AK$104,$AJ$5:$AJ$104,$AQ44)*E$5*武将升级!AB63)</f>
        <v>0</v>
      </c>
      <c r="AV44" s="14">
        <f>IF(武将升级!AC63="",0,求节点($AK$5:$AK$104,$AJ$5:$AJ$104,$AQ44)*F$5*武将升级!AC63)</f>
        <v>3133.562134114396</v>
      </c>
      <c r="AW44" s="8">
        <f>SUMPRODUCT(AR44:AV44,基础状态预期!F76:J76)/SUM(基础状态预期!F76:J76)</f>
        <v>3133.562134114396</v>
      </c>
    </row>
    <row r="45" spans="9:55" x14ac:dyDescent="0.15">
      <c r="I45" s="17" t="s">
        <v>533</v>
      </c>
      <c r="J45" s="29">
        <f t="shared" ref="J45:K45" si="15">J$42*(1+(9-1)*J$43)*C$4</f>
        <v>13974.683544303796</v>
      </c>
      <c r="K45" s="29">
        <f t="shared" si="15"/>
        <v>57499.999999999993</v>
      </c>
      <c r="L45" s="29">
        <f>L$42*(1+(9-1)*L$43)*E$4</f>
        <v>511111.11111111112</v>
      </c>
      <c r="M45" s="29">
        <f>M$42*(1+(9-1)*M$43)*F$4</f>
        <v>465192</v>
      </c>
      <c r="P45" s="14" t="e">
        <f>8-COUNTIF([4]羁绊设计!$AD44:$AK44,"&amp;")</f>
        <v>#VALUE!</v>
      </c>
      <c r="Q45" s="29" t="str">
        <f>[4]羁绊解锁统计!$B44</f>
        <v>卧龙先生</v>
      </c>
      <c r="R45" s="29" t="str">
        <f>IF([4]羁绊设计!$F44="红","橙+",[4]羁绊设计!$F44)</f>
        <v>橙+</v>
      </c>
      <c r="S45" s="14">
        <f>IF([4]羁绊解锁统计!C44="",0,[4]羁绊解锁统计!C44-IF($R45=S$9,1,0))</f>
        <v>0</v>
      </c>
      <c r="T45" s="14">
        <f>IF([4]羁绊解锁统计!D44="",0,[4]羁绊解锁统计!D44-IF($R45=T$9,1,0))</f>
        <v>0</v>
      </c>
      <c r="U45" s="14">
        <f>IF([4]羁绊解锁统计!E44="",0,[4]羁绊解锁统计!E44-IF($R45=U$9,1,0))</f>
        <v>0</v>
      </c>
      <c r="V45" s="14">
        <f>IF([4]羁绊解锁统计!F44="",0,[4]羁绊解锁统计!F44-IF($R45=V$9,1,0))</f>
        <v>0</v>
      </c>
      <c r="W45" s="14">
        <f>IF([4]羁绊解锁统计!G44="",0,[4]羁绊解锁统计!G44-IF($R45=W$9,1,0))</f>
        <v>0</v>
      </c>
      <c r="X45" s="29">
        <f t="shared" si="3"/>
        <v>0</v>
      </c>
      <c r="Y45" s="10">
        <f t="shared" si="8"/>
        <v>1.4285714285714287E-2</v>
      </c>
      <c r="AA45" s="14">
        <f t="shared" si="9"/>
        <v>0</v>
      </c>
      <c r="AB45" s="14">
        <f t="shared" si="9"/>
        <v>0</v>
      </c>
      <c r="AC45" s="14">
        <f t="shared" si="9"/>
        <v>0</v>
      </c>
      <c r="AD45" s="14">
        <f t="shared" si="9"/>
        <v>0</v>
      </c>
      <c r="AE45" s="14">
        <f t="shared" si="9"/>
        <v>0</v>
      </c>
      <c r="AF45" s="29">
        <f t="shared" si="10"/>
        <v>0</v>
      </c>
      <c r="AG45" s="10">
        <f t="shared" si="11"/>
        <v>0.05</v>
      </c>
      <c r="AH45" s="87">
        <v>5.0000000000000096E-3</v>
      </c>
      <c r="AI45" s="4">
        <v>41</v>
      </c>
      <c r="AJ45" s="98">
        <f t="shared" si="0"/>
        <v>0.17769008421541663</v>
      </c>
      <c r="AK45" s="5">
        <f>'[1]资源-钻石'!$N44*求节点(武将数量星级阶位验证!$CP$41:$CP$72,武将数量星级阶位验证!$CS$41:$CS$72,节奏总纲!R44)</f>
        <v>92281.946803443279</v>
      </c>
      <c r="AL45" s="48"/>
      <c r="AP45" s="14">
        <f>基础状态预期!D77</f>
        <v>82.100546804797787</v>
      </c>
      <c r="AQ45" s="14">
        <f>(求节点(其他调用!$I$4:$I$503,其他调用!$K$4:$K$503,武将数量星级阶位验证!AS67))*求节点(武将数量星级阶位验证!$CP$41:$CP$72,武将数量星级阶位验证!$CR$41:$CR$72,武将数量星级阶位验证!AS67)</f>
        <v>530009.65288276598</v>
      </c>
      <c r="AR45" s="14">
        <f>IF(武将升级!Y64="",0,求节点($AK$5:$AK$104,$AJ$5:$AJ$104,AQ$7)*B$5*武将升级!Y64)</f>
        <v>0</v>
      </c>
      <c r="AS45" s="14">
        <f>IF(武将升级!Z64="",0,求节点($AK$5:$AK$104,$AJ$5:$AJ$104,$AQ45)*C$5*武将升级!Z64)</f>
        <v>0</v>
      </c>
      <c r="AT45" s="14">
        <f>IF(武将升级!AA64="",0,求节点($AK$5:$AK$104,$AJ$5:$AJ$104,$AQ45)*D$5*武将升级!AA64)</f>
        <v>0</v>
      </c>
      <c r="AU45" s="14">
        <f>IF(武将升级!AB64="",0,求节点($AK$5:$AK$104,$AJ$5:$AJ$104,$AQ45)*E$5*武将升级!AB64)</f>
        <v>0</v>
      </c>
      <c r="AV45" s="14">
        <f>IF(武将升级!AC64="",0,求节点($AK$5:$AK$104,$AJ$5:$AJ$104,$AQ45)*F$5*武将升级!AC64)</f>
        <v>3435.699535658679</v>
      </c>
      <c r="AW45" s="8">
        <f>SUMPRODUCT(AR45:AV45,基础状态预期!F77:J77)/SUM(基础状态预期!F77:J77)</f>
        <v>3435.699535658679</v>
      </c>
    </row>
    <row r="46" spans="9:55" x14ac:dyDescent="0.15">
      <c r="I46" s="17" t="s">
        <v>534</v>
      </c>
      <c r="J46" s="29">
        <f>4%*3.5*2/2</f>
        <v>0.14000000000000001</v>
      </c>
      <c r="K46" s="29">
        <f>4%*3.5*3/2</f>
        <v>0.21000000000000002</v>
      </c>
      <c r="L46" s="29">
        <f>10%*3.5*3/2</f>
        <v>0.52500000000000002</v>
      </c>
      <c r="M46" s="29">
        <f>12%*3.5*3/2</f>
        <v>0.63</v>
      </c>
      <c r="P46" s="14" t="e">
        <f>8-COUNTIF([4]羁绊设计!$AD45:$AK45,"&amp;")</f>
        <v>#VALUE!</v>
      </c>
      <c r="Q46" s="29" t="str">
        <f>[4]羁绊解锁统计!$B45</f>
        <v>马良</v>
      </c>
      <c r="R46" s="29" t="str">
        <f>IF([4]羁绊设计!$F45="红","橙+",[4]羁绊设计!$F45)</f>
        <v>紫</v>
      </c>
      <c r="S46" s="14">
        <f>IF([4]羁绊解锁统计!C45="",0,[4]羁绊解锁统计!C45-IF($R46=S$9,1,0))</f>
        <v>0</v>
      </c>
      <c r="T46" s="14">
        <f>IF([4]羁绊解锁统计!D45="",0,[4]羁绊解锁统计!D45-IF($R46=T$9,1,0))</f>
        <v>0</v>
      </c>
      <c r="U46" s="14">
        <f>IF([4]羁绊解锁统计!E45="",0,[4]羁绊解锁统计!E45-IF($R46=U$9,1,0))</f>
        <v>2</v>
      </c>
      <c r="V46" s="14">
        <f>IF([4]羁绊解锁统计!F45="",0,[4]羁绊解锁统计!F45-IF($R46=V$9,1,0))</f>
        <v>0</v>
      </c>
      <c r="W46" s="14">
        <f>IF([4]羁绊解锁统计!G45="",0,[4]羁绊解锁统计!G45-IF($R46=W$9,1,0))</f>
        <v>0</v>
      </c>
      <c r="X46" s="29">
        <f t="shared" si="3"/>
        <v>6229.1666666666661</v>
      </c>
      <c r="Y46" s="10">
        <f t="shared" si="8"/>
        <v>2.6983639059304627E-2</v>
      </c>
      <c r="AA46" s="14">
        <f t="shared" si="9"/>
        <v>0</v>
      </c>
      <c r="AB46" s="14">
        <f t="shared" si="9"/>
        <v>0</v>
      </c>
      <c r="AC46" s="14">
        <f t="shared" si="9"/>
        <v>12</v>
      </c>
      <c r="AD46" s="14">
        <f t="shared" si="9"/>
        <v>0</v>
      </c>
      <c r="AE46" s="14">
        <f t="shared" si="9"/>
        <v>0</v>
      </c>
      <c r="AF46" s="29">
        <f t="shared" si="10"/>
        <v>37375</v>
      </c>
      <c r="AG46" s="10">
        <f t="shared" si="11"/>
        <v>9.4442736707566199E-2</v>
      </c>
      <c r="AH46" s="87">
        <v>5.0000000000000096E-3</v>
      </c>
      <c r="AI46" s="4">
        <v>42</v>
      </c>
      <c r="AJ46" s="98">
        <f t="shared" si="0"/>
        <v>0.1840792136716751</v>
      </c>
      <c r="AK46" s="5">
        <f>'[1]资源-钻石'!$N45*求节点(武将数量星级阶位验证!$CP$41:$CP$72,武将数量星级阶位验证!$CS$41:$CS$72,节奏总纲!R45)</f>
        <v>97064.171491134723</v>
      </c>
      <c r="AL46" s="48"/>
      <c r="AP46" s="14">
        <f>基础状态预期!D100</f>
        <v>157.63974470288184</v>
      </c>
      <c r="AQ46" s="14">
        <f>(求节点(其他调用!$I$4:$I$503,其他调用!$K$4:$K$503,武将数量星级阶位验证!AS90))*求节点(武将数量星级阶位验证!$CP$41:$CP$72,武将数量星级阶位验证!$CR$41:$CR$72,武将数量星级阶位验证!AS90)</f>
        <v>606785.34636751795</v>
      </c>
      <c r="AR46" s="14">
        <f>IF(武将升级!Y87="",0,求节点($AK$5:$AK$104,$AJ$5:$AJ$104,AQ$7)*B$5*武将升级!Y87)</f>
        <v>0</v>
      </c>
      <c r="AS46" s="14">
        <f>IF(武将升级!Z87="",0,求节点($AK$5:$AK$104,$AJ$5:$AJ$104,$AQ46)*C$5*武将升级!Z87)</f>
        <v>0</v>
      </c>
      <c r="AT46" s="14">
        <f>IF(武将升级!AA87="",0,求节点($AK$5:$AK$104,$AJ$5:$AJ$104,$AQ46)*D$5*武将升级!AA87)</f>
        <v>0</v>
      </c>
      <c r="AU46" s="14">
        <f>IF(武将升级!AB87="",0,求节点($AK$5:$AK$104,$AJ$5:$AJ$104,$AQ46)*E$5*武将升级!AB87)</f>
        <v>0</v>
      </c>
      <c r="AV46" s="14">
        <f>IF(武将升级!AC87="",0,求节点($AK$5:$AK$104,$AJ$5:$AJ$104,$AQ46)*F$5*武将升级!AC87)</f>
        <v>6155.1</v>
      </c>
      <c r="AW46" s="8">
        <f>SUMPRODUCT(AR46:AV46,基础状态预期!F100:J100)/SUM(基础状态预期!F100:J100)</f>
        <v>6155.1000000000013</v>
      </c>
    </row>
    <row r="47" spans="9:55" x14ac:dyDescent="0.15">
      <c r="I47" s="17" t="s">
        <v>535</v>
      </c>
      <c r="J47" s="29">
        <f>4%*3.5*2/2</f>
        <v>0.14000000000000001</v>
      </c>
      <c r="K47" s="29">
        <f>4%*3.5*3/2</f>
        <v>0.21000000000000002</v>
      </c>
      <c r="L47" s="29">
        <f>10%*3.5*3/2</f>
        <v>0.52500000000000002</v>
      </c>
      <c r="M47" s="29">
        <f>12%*3.5*3/2</f>
        <v>0.63</v>
      </c>
      <c r="P47" s="14" t="e">
        <f>8-COUNTIF([4]羁绊设计!$AD46:$AK46,"&amp;")</f>
        <v>#VALUE!</v>
      </c>
      <c r="Q47" s="29" t="str">
        <f>[4]羁绊解锁统计!$B46</f>
        <v>曹操</v>
      </c>
      <c r="R47" s="29" t="str">
        <f>IF([4]羁绊设计!$F46="红","橙+",[4]羁绊设计!$F46)</f>
        <v>橙+</v>
      </c>
      <c r="S47" s="14">
        <f>IF([4]羁绊解锁统计!C46="",0,[4]羁绊解锁统计!C46-IF($R47=S$9,1,0))</f>
        <v>0</v>
      </c>
      <c r="T47" s="14">
        <f>IF([4]羁绊解锁统计!D46="",0,[4]羁绊解锁统计!D46-IF($R47=T$9,1,0))</f>
        <v>0</v>
      </c>
      <c r="U47" s="14">
        <f>IF([4]羁绊解锁统计!E46="",0,[4]羁绊解锁统计!E46-IF($R47=U$9,1,0))</f>
        <v>0</v>
      </c>
      <c r="V47" s="14">
        <f>IF([4]羁绊解锁统计!F46="",0,[4]羁绊解锁统计!F46-IF($R47=V$9,1,0))</f>
        <v>5</v>
      </c>
      <c r="W47" s="14">
        <f>IF([4]羁绊解锁统计!G46="",0,[4]羁绊解锁统计!G46-IF($R47=W$9,1,0))</f>
        <v>0</v>
      </c>
      <c r="X47" s="29">
        <f t="shared" si="3"/>
        <v>68148.148148148146</v>
      </c>
      <c r="Y47" s="10">
        <f t="shared" si="8"/>
        <v>0.14374973105394928</v>
      </c>
      <c r="AA47" s="14">
        <f t="shared" si="9"/>
        <v>0</v>
      </c>
      <c r="AB47" s="14">
        <f t="shared" si="9"/>
        <v>0</v>
      </c>
      <c r="AC47" s="14">
        <f t="shared" si="9"/>
        <v>0</v>
      </c>
      <c r="AD47" s="14">
        <f t="shared" si="9"/>
        <v>30</v>
      </c>
      <c r="AE47" s="14">
        <f t="shared" si="9"/>
        <v>0</v>
      </c>
      <c r="AF47" s="29">
        <f t="shared" si="10"/>
        <v>408888.88888888888</v>
      </c>
      <c r="AG47" s="10">
        <f t="shared" si="11"/>
        <v>0.50312405868882248</v>
      </c>
      <c r="AH47" s="87">
        <v>5.0000000000000096E-3</v>
      </c>
      <c r="AI47" s="4">
        <v>43</v>
      </c>
      <c r="AJ47" s="98">
        <f t="shared" si="0"/>
        <v>0.19067720929964901</v>
      </c>
      <c r="AK47" s="5">
        <f>'[1]资源-钻石'!$N46*求节点(武将数量星级阶位验证!$CP$41:$CP$72,武将数量星级阶位验证!$CS$41:$CS$72,节奏总纲!R46)</f>
        <v>102078.24377446479</v>
      </c>
      <c r="AL47" s="48"/>
    </row>
    <row r="48" spans="9:55" x14ac:dyDescent="0.15">
      <c r="P48" s="14" t="e">
        <f>8-COUNTIF([4]羁绊设计!$AD47:$AK47,"&amp;")</f>
        <v>#VALUE!</v>
      </c>
      <c r="Q48" s="29" t="str">
        <f>[4]羁绊解锁统计!$B47</f>
        <v>张角</v>
      </c>
      <c r="R48" s="29" t="str">
        <f>IF([4]羁绊设计!$F47="红","橙+",[4]羁绊设计!$F47)</f>
        <v>橙</v>
      </c>
      <c r="S48" s="14">
        <f>IF([4]羁绊解锁统计!C47="",0,[4]羁绊解锁统计!C47-IF($R48=S$9,1,0))</f>
        <v>0</v>
      </c>
      <c r="T48" s="14">
        <f>IF([4]羁绊解锁统计!D47="",0,[4]羁绊解锁统计!D47-IF($R48=T$9,1,0))</f>
        <v>0</v>
      </c>
      <c r="U48" s="14">
        <f>IF([4]羁绊解锁统计!E47="",0,[4]羁绊解锁统计!E47-IF($R48=U$9,1,0))</f>
        <v>0</v>
      </c>
      <c r="V48" s="14">
        <f>IF([4]羁绊解锁统计!F47="",0,[4]羁绊解锁统计!F47-IF($R48=V$9,1,0))</f>
        <v>0</v>
      </c>
      <c r="W48" s="14">
        <f>IF([4]羁绊解锁统计!G47="",0,[4]羁绊解锁统计!G47-IF($R48=W$9,1,0))</f>
        <v>0</v>
      </c>
      <c r="X48" s="29">
        <f t="shared" si="3"/>
        <v>0</v>
      </c>
      <c r="Y48" s="10">
        <f t="shared" si="8"/>
        <v>1.4285714285714287E-2</v>
      </c>
      <c r="AA48" s="14">
        <f t="shared" si="9"/>
        <v>0</v>
      </c>
      <c r="AB48" s="14">
        <f t="shared" si="9"/>
        <v>0</v>
      </c>
      <c r="AC48" s="14">
        <f t="shared" si="9"/>
        <v>0</v>
      </c>
      <c r="AD48" s="14">
        <f t="shared" si="9"/>
        <v>0</v>
      </c>
      <c r="AE48" s="14">
        <f t="shared" si="9"/>
        <v>0</v>
      </c>
      <c r="AF48" s="29">
        <f t="shared" si="10"/>
        <v>0</v>
      </c>
      <c r="AG48" s="10">
        <f t="shared" si="11"/>
        <v>0.05</v>
      </c>
      <c r="AH48" s="87">
        <v>5.0000000000000096E-3</v>
      </c>
      <c r="AI48" s="4">
        <v>44</v>
      </c>
      <c r="AJ48" s="98">
        <f t="shared" si="0"/>
        <v>0.19738993770473445</v>
      </c>
      <c r="AK48" s="5">
        <f>'[1]资源-钻石'!$N47*求节点(武将数量星级阶位验证!$CP$41:$CP$72,武将数量星级阶位验证!$CS$41:$CS$72,节奏总纲!R47)</f>
        <v>107256.68935635476</v>
      </c>
      <c r="AL48" s="48"/>
    </row>
    <row r="49" spans="9:55" x14ac:dyDescent="0.15">
      <c r="I49" s="17" t="s">
        <v>536</v>
      </c>
      <c r="J49" s="27" t="s">
        <v>537</v>
      </c>
      <c r="P49" s="14" t="e">
        <f>8-COUNTIF([4]羁绊设计!$AD48:$AK48,"&amp;")</f>
        <v>#VALUE!</v>
      </c>
      <c r="Q49" s="29" t="str">
        <f>[4]羁绊解锁统计!$B48</f>
        <v>徐庶</v>
      </c>
      <c r="R49" s="29" t="str">
        <f>IF([4]羁绊设计!$F48="红","橙+",[4]羁绊设计!$F48)</f>
        <v>橙</v>
      </c>
      <c r="S49" s="14">
        <f>IF([4]羁绊解锁统计!C48="",0,[4]羁绊解锁统计!C48-IF($R49=S$9,1,0))</f>
        <v>0</v>
      </c>
      <c r="T49" s="14">
        <f>IF([4]羁绊解锁统计!D48="",0,[4]羁绊解锁统计!D48-IF($R49=T$9,1,0))</f>
        <v>0</v>
      </c>
      <c r="U49" s="14">
        <f>IF([4]羁绊解锁统计!E48="",0,[4]羁绊解锁统计!E48-IF($R49=U$9,1,0))</f>
        <v>1</v>
      </c>
      <c r="V49" s="14">
        <f>IF([4]羁绊解锁统计!F48="",0,[4]羁绊解锁统计!F48-IF($R49=V$9,1,0))</f>
        <v>1</v>
      </c>
      <c r="W49" s="14">
        <f>IF([4]羁绊解锁统计!G48="",0,[4]羁绊解锁统计!G48-IF($R49=W$9,1,0))</f>
        <v>1</v>
      </c>
      <c r="X49" s="29">
        <f t="shared" si="3"/>
        <v>51111.111111111117</v>
      </c>
      <c r="Y49" s="10">
        <f t="shared" si="8"/>
        <v>0.1175552379919582</v>
      </c>
      <c r="AA49" s="14">
        <f t="shared" si="9"/>
        <v>0</v>
      </c>
      <c r="AB49" s="14">
        <f t="shared" si="9"/>
        <v>0</v>
      </c>
      <c r="AC49" s="14">
        <f t="shared" si="9"/>
        <v>6</v>
      </c>
      <c r="AD49" s="14">
        <f t="shared" si="9"/>
        <v>6</v>
      </c>
      <c r="AE49" s="14">
        <f t="shared" si="9"/>
        <v>6</v>
      </c>
      <c r="AF49" s="29">
        <f t="shared" si="10"/>
        <v>306666.66666666669</v>
      </c>
      <c r="AG49" s="10">
        <f t="shared" si="11"/>
        <v>0.4114433329718537</v>
      </c>
      <c r="AH49" s="87">
        <v>5.0000000000000096E-3</v>
      </c>
      <c r="AI49" s="4">
        <v>45</v>
      </c>
      <c r="AJ49" s="98">
        <f t="shared" si="0"/>
        <v>0.20408247654873629</v>
      </c>
      <c r="AK49" s="5">
        <f>'[1]资源-钻石'!$N48*求节点(武将数量星级阶位验证!$CP$41:$CP$72,武将数量星级阶位验证!$CS$41:$CS$72,节奏总纲!R48)</f>
        <v>112495.55485320048</v>
      </c>
      <c r="AL49" s="48"/>
    </row>
    <row r="50" spans="9:55" x14ac:dyDescent="0.15">
      <c r="J50" s="27" t="s">
        <v>538</v>
      </c>
      <c r="P50" s="14" t="e">
        <f>8-COUNTIF([4]羁绊设计!$AD49:$AK49,"&amp;")</f>
        <v>#VALUE!</v>
      </c>
      <c r="Q50" s="29" t="str">
        <f>[4]羁绊解锁统计!$B49</f>
        <v>孙坚</v>
      </c>
      <c r="R50" s="29" t="str">
        <f>IF([4]羁绊设计!$F49="红","橙+",[4]羁绊设计!$F49)</f>
        <v>橙</v>
      </c>
      <c r="S50" s="14">
        <f>IF([4]羁绊解锁统计!C49="",0,[4]羁绊解锁统计!C49-IF($R50=S$9,1,0))</f>
        <v>0</v>
      </c>
      <c r="T50" s="14">
        <f>IF([4]羁绊解锁统计!D49="",0,[4]羁绊解锁统计!D49-IF($R50=T$9,1,0))</f>
        <v>0</v>
      </c>
      <c r="U50" s="14">
        <f>IF([4]羁绊解锁统计!E49="",0,[4]羁绊解锁统计!E49-IF($R50=U$9,1,0))</f>
        <v>1</v>
      </c>
      <c r="V50" s="14">
        <f>IF([4]羁绊解锁统计!F49="",0,[4]羁绊解锁统计!F49-IF($R50=V$9,1,0))</f>
        <v>6</v>
      </c>
      <c r="W50" s="14">
        <f>IF([4]羁绊解锁统计!G49="",0,[4]羁绊解锁统计!G49-IF($R50=W$9,1,0))</f>
        <v>0</v>
      </c>
      <c r="X50" s="29">
        <f t="shared" si="3"/>
        <v>72407.407407407401</v>
      </c>
      <c r="Y50" s="10">
        <f t="shared" si="8"/>
        <v>0.14997311908169933</v>
      </c>
      <c r="AA50" s="14">
        <f t="shared" si="9"/>
        <v>0</v>
      </c>
      <c r="AB50" s="14">
        <f t="shared" si="9"/>
        <v>0</v>
      </c>
      <c r="AC50" s="14">
        <f t="shared" si="9"/>
        <v>6</v>
      </c>
      <c r="AD50" s="14">
        <f t="shared" si="9"/>
        <v>36</v>
      </c>
      <c r="AE50" s="14">
        <f t="shared" si="9"/>
        <v>0</v>
      </c>
      <c r="AF50" s="29">
        <f t="shared" si="10"/>
        <v>434444.44444444438</v>
      </c>
      <c r="AG50" s="10">
        <f t="shared" si="11"/>
        <v>0.52490591678594767</v>
      </c>
      <c r="AH50" s="87">
        <v>5.0000000000000096E-3</v>
      </c>
      <c r="AI50" s="4">
        <v>46</v>
      </c>
      <c r="AJ50" s="98">
        <f t="shared" si="0"/>
        <v>0.21095414681098837</v>
      </c>
      <c r="AK50" s="5">
        <f>'[1]资源-钻石'!$N49*求节点(武将数量星级阶位验证!$CP$41:$CP$72,武将数量星级阶位验证!$CS$41:$CS$72,节奏总纲!R49)</f>
        <v>117952.09663509188</v>
      </c>
      <c r="AL50" s="48"/>
    </row>
    <row r="51" spans="9:55" x14ac:dyDescent="0.15">
      <c r="J51" s="27" t="s">
        <v>539</v>
      </c>
      <c r="P51" s="14" t="e">
        <f>8-COUNTIF([4]羁绊设计!$AD50:$AK50,"&amp;")</f>
        <v>#VALUE!</v>
      </c>
      <c r="Q51" s="29" t="str">
        <f>[4]羁绊解锁统计!$B50</f>
        <v>马谡</v>
      </c>
      <c r="R51" s="29" t="str">
        <f>IF([4]羁绊设计!$F50="红","橙+",[4]羁绊设计!$F50)</f>
        <v>紫</v>
      </c>
      <c r="S51" s="14">
        <f>IF([4]羁绊解锁统计!C50="",0,[4]羁绊解锁统计!C50-IF($R51=S$9,1,0))</f>
        <v>0</v>
      </c>
      <c r="T51" s="14">
        <f>IF([4]羁绊解锁统计!D50="",0,[4]羁绊解锁统计!D50-IF($R51=T$9,1,0))</f>
        <v>0</v>
      </c>
      <c r="U51" s="14">
        <f>IF([4]羁绊解锁统计!E50="",0,[4]羁绊解锁统计!E50-IF($R51=U$9,1,0))</f>
        <v>1</v>
      </c>
      <c r="V51" s="14">
        <f>IF([4]羁绊解锁统计!F50="",0,[4]羁绊解锁统计!F50-IF($R51=V$9,1,0))</f>
        <v>1</v>
      </c>
      <c r="W51" s="14">
        <f>IF([4]羁绊解锁统计!G50="",0,[4]羁绊解锁统计!G50-IF($R51=W$9,1,0))</f>
        <v>1</v>
      </c>
      <c r="X51" s="29">
        <f t="shared" si="3"/>
        <v>51111.111111111117</v>
      </c>
      <c r="Y51" s="10">
        <f t="shared" si="8"/>
        <v>0.1175552379919582</v>
      </c>
      <c r="AA51" s="14">
        <f t="shared" si="9"/>
        <v>0</v>
      </c>
      <c r="AB51" s="14">
        <f t="shared" si="9"/>
        <v>0</v>
      </c>
      <c r="AC51" s="14">
        <f t="shared" si="9"/>
        <v>6</v>
      </c>
      <c r="AD51" s="14">
        <f t="shared" si="9"/>
        <v>6</v>
      </c>
      <c r="AE51" s="14">
        <f t="shared" si="9"/>
        <v>6</v>
      </c>
      <c r="AF51" s="29">
        <f t="shared" si="10"/>
        <v>306666.66666666669</v>
      </c>
      <c r="AG51" s="10">
        <f t="shared" si="11"/>
        <v>0.4114433329718537</v>
      </c>
      <c r="AH51" s="87">
        <v>5.0000000000000096E-3</v>
      </c>
      <c r="AI51" s="4">
        <v>47</v>
      </c>
      <c r="AJ51" s="98">
        <f t="shared" si="0"/>
        <v>0.21806359455043725</v>
      </c>
      <c r="AK51" s="5">
        <f>'[1]资源-钻石'!$N50*求节点(武将数量星级阶位验证!$CP$41:$CP$72,武将数量星级阶位验证!$CS$41:$CS$72,节奏总纲!R50)</f>
        <v>123678.49781695963</v>
      </c>
      <c r="AL51" s="48"/>
      <c r="AP51" s="8" t="s">
        <v>77</v>
      </c>
      <c r="AQ51" s="8"/>
      <c r="AR51" s="173" t="s">
        <v>286</v>
      </c>
      <c r="AS51" s="173"/>
      <c r="AT51" s="173"/>
      <c r="AU51" s="173"/>
      <c r="AV51" s="173"/>
      <c r="AW51" s="173"/>
      <c r="BA51" s="35" t="s">
        <v>77</v>
      </c>
      <c r="BB51" s="29" t="s">
        <v>55</v>
      </c>
      <c r="BC51" s="51"/>
    </row>
    <row r="52" spans="9:55" x14ac:dyDescent="0.15">
      <c r="P52" s="14" t="e">
        <f>8-COUNTIF([4]羁绊设计!$AD51:$AK51,"&amp;")</f>
        <v>#VALUE!</v>
      </c>
      <c r="Q52" s="29" t="str">
        <f>[4]羁绊解锁统计!$B51</f>
        <v>关银屏</v>
      </c>
      <c r="R52" s="29" t="str">
        <f>IF([4]羁绊设计!$F51="红","橙+",[4]羁绊设计!$F51)</f>
        <v>橙</v>
      </c>
      <c r="S52" s="14">
        <f>IF([4]羁绊解锁统计!C51="",0,[4]羁绊解锁统计!C51-IF($R52=S$9,1,0))</f>
        <v>0</v>
      </c>
      <c r="T52" s="14">
        <f>IF([4]羁绊解锁统计!D51="",0,[4]羁绊解锁统计!D51-IF($R52=T$9,1,0))</f>
        <v>0</v>
      </c>
      <c r="U52" s="14">
        <f>IF([4]羁绊解锁统计!E51="",0,[4]羁绊解锁统计!E51-IF($R52=U$9,1,0))</f>
        <v>1</v>
      </c>
      <c r="V52" s="14">
        <f>IF([4]羁绊解锁统计!F51="",0,[4]羁绊解锁统计!F51-IF($R52=V$9,1,0))</f>
        <v>1</v>
      </c>
      <c r="W52" s="14">
        <f>IF([4]羁绊解锁统计!G51="",0,[4]羁绊解锁统计!G51-IF($R52=W$9,1,0))</f>
        <v>0</v>
      </c>
      <c r="X52" s="29">
        <f t="shared" si="3"/>
        <v>51111.111111111117</v>
      </c>
      <c r="Y52" s="10">
        <f t="shared" si="8"/>
        <v>0.1175552379919582</v>
      </c>
      <c r="AA52" s="14">
        <f t="shared" si="9"/>
        <v>0</v>
      </c>
      <c r="AB52" s="14">
        <f t="shared" si="9"/>
        <v>0</v>
      </c>
      <c r="AC52" s="14">
        <f t="shared" si="9"/>
        <v>6</v>
      </c>
      <c r="AD52" s="14">
        <f t="shared" si="9"/>
        <v>6</v>
      </c>
      <c r="AE52" s="14">
        <f t="shared" si="9"/>
        <v>0</v>
      </c>
      <c r="AF52" s="29">
        <f t="shared" si="10"/>
        <v>306666.66666666669</v>
      </c>
      <c r="AG52" s="10">
        <f t="shared" si="11"/>
        <v>0.4114433329718537</v>
      </c>
      <c r="AH52" s="87">
        <v>5.0000000000000096E-3</v>
      </c>
      <c r="AI52" s="4">
        <v>48</v>
      </c>
      <c r="AJ52" s="98">
        <f t="shared" si="0"/>
        <v>0.22557721592010216</v>
      </c>
      <c r="AK52" s="5">
        <f>'[1]资源-钻石'!$N51*求节点(武将数量星级阶位验证!$CP$41:$CP$72,武将数量星级阶位验证!$CS$41:$CS$72,节奏总纲!R51)</f>
        <v>129818.34779529263</v>
      </c>
      <c r="AL52" s="48"/>
      <c r="AP52" s="8" t="s">
        <v>478</v>
      </c>
      <c r="AQ52" s="50"/>
      <c r="AR52" s="19" t="s">
        <v>3</v>
      </c>
      <c r="AS52" s="19" t="s">
        <v>1</v>
      </c>
      <c r="AT52" s="19" t="s">
        <v>2</v>
      </c>
      <c r="AU52" s="19" t="s">
        <v>0</v>
      </c>
      <c r="AV52" s="19" t="s">
        <v>545</v>
      </c>
      <c r="AW52" s="8" t="s">
        <v>228</v>
      </c>
      <c r="BA52" s="32" t="s">
        <v>478</v>
      </c>
      <c r="BB52" s="29" t="s">
        <v>368</v>
      </c>
      <c r="BC52" s="29" t="s">
        <v>369</v>
      </c>
    </row>
    <row r="53" spans="9:55" x14ac:dyDescent="0.15">
      <c r="P53" s="14" t="e">
        <f>8-COUNTIF([4]羁绊设计!$AD52:$AK52,"&amp;")</f>
        <v>#VALUE!</v>
      </c>
      <c r="Q53" s="29" t="str">
        <f>[4]羁绊解锁统计!$B52</f>
        <v>于禁</v>
      </c>
      <c r="R53" s="29" t="str">
        <f>IF([4]羁绊设计!$F52="红","橙+",[4]羁绊设计!$F52)</f>
        <v>橙</v>
      </c>
      <c r="S53" s="14">
        <f>IF([4]羁绊解锁统计!C52="",0,[4]羁绊解锁统计!C52-IF($R53=S$9,1,0))</f>
        <v>0</v>
      </c>
      <c r="T53" s="14">
        <f>IF([4]羁绊解锁统计!D52="",0,[4]羁绊解锁统计!D52-IF($R53=T$9,1,0))</f>
        <v>0</v>
      </c>
      <c r="U53" s="14">
        <f>IF([4]羁绊解锁统计!E52="",0,[4]羁绊解锁统计!E52-IF($R53=U$9,1,0))</f>
        <v>0</v>
      </c>
      <c r="V53" s="14">
        <f>IF([4]羁绊解锁统计!F52="",0,[4]羁绊解锁统计!F52-IF($R53=V$9,1,0))</f>
        <v>4</v>
      </c>
      <c r="W53" s="14">
        <f>IF([4]羁绊解锁统计!G52="",0,[4]羁绊解锁统计!G52-IF($R53=W$9,1,0))</f>
        <v>0</v>
      </c>
      <c r="X53" s="29">
        <f t="shared" si="3"/>
        <v>63888.888888888898</v>
      </c>
      <c r="Y53" s="10">
        <f t="shared" si="8"/>
        <v>0.13740340360056111</v>
      </c>
      <c r="AA53" s="14">
        <f t="shared" si="9"/>
        <v>0</v>
      </c>
      <c r="AB53" s="14">
        <f t="shared" si="9"/>
        <v>0</v>
      </c>
      <c r="AC53" s="14">
        <f t="shared" si="9"/>
        <v>0</v>
      </c>
      <c r="AD53" s="14">
        <f t="shared" si="9"/>
        <v>24</v>
      </c>
      <c r="AE53" s="14">
        <f t="shared" si="9"/>
        <v>0</v>
      </c>
      <c r="AF53" s="29">
        <f t="shared" si="10"/>
        <v>383333.33333333337</v>
      </c>
      <c r="AG53" s="10">
        <f t="shared" si="11"/>
        <v>0.48091191260196386</v>
      </c>
      <c r="AH53" s="87">
        <v>5.0000000000000096E-3</v>
      </c>
      <c r="AI53" s="4">
        <v>49</v>
      </c>
      <c r="AJ53" s="98">
        <f t="shared" si="0"/>
        <v>0.23350852357967503</v>
      </c>
      <c r="AK53" s="5">
        <f>'[1]资源-钻石'!$N52*求节点(武将数量星级阶位验证!$CP$41:$CP$72,武将数量星级阶位验证!$CS$41:$CS$72,节奏总纲!R52)</f>
        <v>136395.64546583904</v>
      </c>
      <c r="AL53" s="48"/>
      <c r="AP53" s="14">
        <f>基础状态预期!D107</f>
        <v>10.099965341977441</v>
      </c>
      <c r="AQ53" s="14">
        <f>(求节点(其他调用!$I$4:$I$503,其他调用!$L$4:$L$503,武将数量星级阶位验证!AS97))*求节点(武将数量星级阶位验证!$CP$41:$CP$72,武将数量星级阶位验证!$CS$41:$CS$72,武将数量星级阶位验证!AS97)</f>
        <v>12884.232573869163</v>
      </c>
      <c r="AR53" s="14">
        <f>IF(武将升级!Y94="",0,求节点($AK$5:$AK$104,$AJ$5:$AJ$104,AQ$7)*B$5*武将升级!Y94)</f>
        <v>0</v>
      </c>
      <c r="AS53" s="14">
        <f>IF(武将升级!Z94="",0,求节点($AK$5:$AK$104,$AJ$5:$AJ$104,$AQ53)*C$5*武将升级!Z94)</f>
        <v>0</v>
      </c>
      <c r="AT53" s="14">
        <f>IF(武将升级!AA94="",0,求节点($AK$5:$AK$104,$AJ$5:$AJ$104,$AQ53)*D$5*武将升级!AA94)</f>
        <v>61.717430878208276</v>
      </c>
      <c r="AU53" s="14">
        <f>IF(武将升级!AB94="",0,求节点($AK$5:$AK$104,$AJ$5:$AJ$104,$AQ53)*E$5*武将升级!AB94)</f>
        <v>61.717430878208276</v>
      </c>
      <c r="AV53" s="14">
        <f>IF(武将升级!AC94="",0,求节点($AK$5:$AK$104,$AJ$5:$AJ$104,$AQ53)*F$5*武将升级!AC94)</f>
        <v>0</v>
      </c>
      <c r="AW53" s="8">
        <f>SUMPRODUCT(AR53:AV53,基础状态预期!F107:J107)/SUM(基础状态预期!F107:J107)</f>
        <v>61.717430878208269</v>
      </c>
      <c r="BA53" s="29">
        <v>10</v>
      </c>
      <c r="BB53" s="29">
        <f>求节点($AP$53:$AP$69,$AW$53:$AW$69,BA53)</f>
        <v>61.106576892594369</v>
      </c>
      <c r="BC53" s="55">
        <f>BB53*INDEX([2]中r将兵属性验证!$W$7:$W$106+[2]中r将兵属性验证!$X$7:$X$106,BA53,1)</f>
        <v>1094191.687889833</v>
      </c>
    </row>
    <row r="54" spans="9:55" x14ac:dyDescent="0.15">
      <c r="P54" s="14" t="e">
        <f>8-COUNTIF([4]羁绊设计!$AD53:$AK53,"&amp;")</f>
        <v>#VALUE!</v>
      </c>
      <c r="Q54" s="29" t="str">
        <f>[4]羁绊解锁统计!$B53</f>
        <v>鲁肃</v>
      </c>
      <c r="R54" s="29" t="str">
        <f>IF([4]羁绊设计!$F53="红","橙+",[4]羁绊设计!$F53)</f>
        <v>橙</v>
      </c>
      <c r="S54" s="14">
        <f>IF([4]羁绊解锁统计!C53="",0,[4]羁绊解锁统计!C53-IF($R54=S$9,1,0))</f>
        <v>0</v>
      </c>
      <c r="T54" s="14">
        <f>IF([4]羁绊解锁统计!D53="",0,[4]羁绊解锁统计!D53-IF($R54=T$9,1,0))</f>
        <v>0</v>
      </c>
      <c r="U54" s="14">
        <f>IF([4]羁绊解锁统计!E53="",0,[4]羁绊解锁统计!E53-IF($R54=U$9,1,0))</f>
        <v>0</v>
      </c>
      <c r="V54" s="14">
        <f>IF([4]羁绊解锁统计!F53="",0,[4]羁绊解锁统计!F53-IF($R54=V$9,1,0))</f>
        <v>2</v>
      </c>
      <c r="W54" s="14">
        <f>IF([4]羁绊解锁统计!G53="",0,[4]羁绊解锁统计!G53-IF($R54=W$9,1,0))</f>
        <v>0</v>
      </c>
      <c r="X54" s="29">
        <f t="shared" si="3"/>
        <v>55370.370370370372</v>
      </c>
      <c r="Y54" s="10">
        <f t="shared" si="8"/>
        <v>0.12431584111409054</v>
      </c>
      <c r="AA54" s="14">
        <f t="shared" si="9"/>
        <v>0</v>
      </c>
      <c r="AB54" s="14">
        <f t="shared" si="9"/>
        <v>0</v>
      </c>
      <c r="AC54" s="14">
        <f t="shared" si="9"/>
        <v>0</v>
      </c>
      <c r="AD54" s="14">
        <f t="shared" si="9"/>
        <v>12</v>
      </c>
      <c r="AE54" s="14">
        <f t="shared" si="9"/>
        <v>0</v>
      </c>
      <c r="AF54" s="29">
        <f t="shared" si="10"/>
        <v>332222.22222222225</v>
      </c>
      <c r="AG54" s="10">
        <f t="shared" si="11"/>
        <v>0.43510544389931688</v>
      </c>
      <c r="AH54" s="87">
        <v>5.0000000000000096E-3</v>
      </c>
      <c r="AI54" s="4">
        <v>50</v>
      </c>
      <c r="AJ54" s="98">
        <f t="shared" si="0"/>
        <v>0.2416976501406326</v>
      </c>
      <c r="AK54" s="5">
        <f>'[1]资源-钻石'!$N53*求节点(武将数量星级阶位验证!$CP$41:$CP$72,武将数量星级阶位验证!$CS$41:$CS$72,节奏总纲!R53)</f>
        <v>143288.33880988747</v>
      </c>
      <c r="AL54" s="48"/>
      <c r="AP54" s="14">
        <f>基础状态预期!D108</f>
        <v>19.800198258084681</v>
      </c>
      <c r="AQ54" s="14">
        <f>(求节点(其他调用!$I$4:$I$503,其他调用!$L$4:$L$503,武将数量星级阶位验证!AS98))*求节点(武将数量星级阶位验证!$CP$41:$CP$72,武将数量星级阶位验证!$CS$41:$CS$72,武将数量星级阶位验证!AS98)</f>
        <v>28190.14667177626</v>
      </c>
      <c r="AR54" s="14">
        <f>IF(武将升级!Y95="",0,求节点($AK$5:$AK$104,$AJ$5:$AJ$104,AQ$7)*B$5*武将升级!Y95)</f>
        <v>0</v>
      </c>
      <c r="AS54" s="14">
        <f>IF(武将升级!Z95="",0,求节点($AK$5:$AK$104,$AJ$5:$AJ$104,$AQ54)*C$5*武将升级!Z95)</f>
        <v>0</v>
      </c>
      <c r="AT54" s="14">
        <f>IF(武将升级!AA95="",0,求节点($AK$5:$AK$104,$AJ$5:$AJ$104,$AQ54)*D$5*武将升级!AA95)</f>
        <v>0</v>
      </c>
      <c r="AU54" s="14">
        <f>IF(武将升级!AB95="",0,求节点($AK$5:$AK$104,$AJ$5:$AJ$104,$AQ54)*E$5*武将升级!AB95)</f>
        <v>151.83192308809299</v>
      </c>
      <c r="AV54" s="14">
        <f>IF(武将升级!AC95="",0,求节点($AK$5:$AK$104,$AJ$5:$AJ$104,$AQ54)*F$5*武将升级!AC95)</f>
        <v>0</v>
      </c>
      <c r="AW54" s="8">
        <f>SUMPRODUCT(AR54:AV54,基础状态预期!F108:J108)/SUM(基础状态预期!F108:J108)</f>
        <v>151.83192308809299</v>
      </c>
      <c r="BA54" s="29">
        <v>20</v>
      </c>
      <c r="BB54" s="29">
        <f t="shared" ref="BB54:BB62" si="16">求节点($AP$53:$AP$69,$AW$53:$AW$69,BA54)</f>
        <v>154.64215958404486</v>
      </c>
      <c r="BC54" s="56">
        <f>(BB54-BB53)*INDEX([2]中r将兵属性验证!$W$7:$W$106+[2]中r将兵属性验证!$X$7:$X$106,BA54,1)+BC53</f>
        <v>5963984.9595280662</v>
      </c>
    </row>
    <row r="55" spans="9:55" x14ac:dyDescent="0.15">
      <c r="P55" s="14" t="e">
        <f>8-COUNTIF([4]羁绊设计!$AD54:$AK54,"&amp;")</f>
        <v>#VALUE!</v>
      </c>
      <c r="Q55" s="29">
        <f>[4]羁绊解锁统计!$B54</f>
        <v>0</v>
      </c>
      <c r="R55" s="29" t="str">
        <f>IF([4]羁绊设计!$F54="红","橙+",[4]羁绊设计!$F54)</f>
        <v>橙</v>
      </c>
      <c r="S55" s="14">
        <f>IF([4]羁绊解锁统计!C54="",0,[4]羁绊解锁统计!C54-IF($R55=S$9,1,0))</f>
        <v>0</v>
      </c>
      <c r="T55" s="14">
        <f>IF([4]羁绊解锁统计!D54="",0,[4]羁绊解锁统计!D54-IF($R55=T$9,1,0))</f>
        <v>0</v>
      </c>
      <c r="U55" s="14">
        <f>IF([4]羁绊解锁统计!E54="",0,[4]羁绊解锁统计!E54-IF($R55=U$9,1,0))</f>
        <v>0</v>
      </c>
      <c r="V55" s="14">
        <f>IF([4]羁绊解锁统计!F54="",0,[4]羁绊解锁统计!F54-IF($R55=V$9,1,0))</f>
        <v>0</v>
      </c>
      <c r="W55" s="14">
        <f>IF([4]羁绊解锁统计!G54="",0,[4]羁绊解锁统计!G54-IF($R55=W$9,1,0))</f>
        <v>0</v>
      </c>
      <c r="X55" s="29">
        <f t="shared" si="3"/>
        <v>0</v>
      </c>
      <c r="Y55" s="10">
        <f t="shared" si="8"/>
        <v>1.4285714285714287E-2</v>
      </c>
      <c r="AA55" s="14">
        <f t="shared" si="9"/>
        <v>0</v>
      </c>
      <c r="AB55" s="14">
        <f t="shared" si="9"/>
        <v>0</v>
      </c>
      <c r="AC55" s="14">
        <f t="shared" si="9"/>
        <v>0</v>
      </c>
      <c r="AD55" s="14">
        <f t="shared" si="9"/>
        <v>0</v>
      </c>
      <c r="AE55" s="14">
        <f t="shared" si="9"/>
        <v>0</v>
      </c>
      <c r="AF55" s="29">
        <f t="shared" si="10"/>
        <v>0</v>
      </c>
      <c r="AG55" s="10">
        <f t="shared" si="11"/>
        <v>0.05</v>
      </c>
      <c r="AH55" s="87">
        <v>5.0000000000000096E-3</v>
      </c>
      <c r="AI55" s="4">
        <v>51</v>
      </c>
      <c r="AJ55" s="98">
        <f t="shared" si="0"/>
        <v>0.25008586335338406</v>
      </c>
      <c r="AK55" s="5">
        <f>'[1]资源-钻石'!$N54*求节点(武将数量星级阶位验证!$CP$41:$CP$72,武将数量星级阶位验证!$CS$41:$CS$72,节奏总纲!R54)</f>
        <v>150453.53558272214</v>
      </c>
      <c r="AL55" s="48"/>
      <c r="AP55" s="14">
        <f>基础状态预期!D109</f>
        <v>27.769105021676069</v>
      </c>
      <c r="AQ55" s="14">
        <f>(求节点(其他调用!$I$4:$I$503,其他调用!$L$4:$L$503,武将数量星级阶位验证!AS99))*求节点(武将数量星级阶位验证!$CP$41:$CP$72,武将数量星级阶位验证!$CS$41:$CS$72,武将数量星级阶位验证!AS99)</f>
        <v>45477.240460724213</v>
      </c>
      <c r="AR55" s="14">
        <f>IF(武将升级!Y96="",0,求节点($AK$5:$AK$104,$AJ$5:$AJ$104,AQ$7)*B$5*武将升级!Y96)</f>
        <v>0</v>
      </c>
      <c r="AS55" s="14">
        <f>IF(武将升级!Z96="",0,求节点($AK$5:$AK$104,$AJ$5:$AJ$104,$AQ55)*C$5*武将升级!Z96)</f>
        <v>0</v>
      </c>
      <c r="AT55" s="14">
        <f>IF(武将升级!AA96="",0,求节点($AK$5:$AK$104,$AJ$5:$AJ$104,$AQ55)*D$5*武将升级!AA96)</f>
        <v>0</v>
      </c>
      <c r="AU55" s="14">
        <f>IF(武将升级!AB96="",0,求节点($AK$5:$AK$104,$AJ$5:$AJ$104,$AQ55)*E$5*武将升级!AB96)</f>
        <v>263.91559365675914</v>
      </c>
      <c r="AV55" s="14">
        <f>IF(武将升级!AC96="",0,求节点($AK$5:$AK$104,$AJ$5:$AJ$104,$AQ55)*F$5*武将升级!AC96)</f>
        <v>0</v>
      </c>
      <c r="AW55" s="8">
        <f>SUMPRODUCT(AR55:AV55,基础状态预期!F109:J109)/SUM(基础状态预期!F109:J109)</f>
        <v>263.91559365675914</v>
      </c>
      <c r="BA55" s="29">
        <v>30</v>
      </c>
      <c r="BB55" s="29">
        <f t="shared" si="16"/>
        <v>311.44733664676028</v>
      </c>
      <c r="BC55" s="56">
        <f>(BB55-BB54)*INDEX([2]中r将兵属性验证!$W$7:$W$106+[2]中r将兵属性验证!$X$7:$X$106,BA55,1)+BC54</f>
        <v>24215128.016095743</v>
      </c>
    </row>
    <row r="56" spans="9:55" x14ac:dyDescent="0.15">
      <c r="P56" s="14" t="e">
        <f>8-COUNTIF([4]羁绊设计!$AD55:$AK55,"&amp;")</f>
        <v>#VALUE!</v>
      </c>
      <c r="Q56" s="29" t="str">
        <f>[4]羁绊解锁统计!$B55</f>
        <v>沮授</v>
      </c>
      <c r="R56" s="29" t="str">
        <f>IF([4]羁绊设计!$F55="红","橙+",[4]羁绊设计!$F55)</f>
        <v>橙</v>
      </c>
      <c r="S56" s="14">
        <f>IF([4]羁绊解锁统计!C55="",0,[4]羁绊解锁统计!C55-IF($R56=S$9,1,0))</f>
        <v>0</v>
      </c>
      <c r="T56" s="14">
        <f>IF([4]羁绊解锁统计!D55="",0,[4]羁绊解锁统计!D55-IF($R56=T$9,1,0))</f>
        <v>0</v>
      </c>
      <c r="U56" s="14">
        <f>IF([4]羁绊解锁统计!E55="",0,[4]羁绊解锁统计!E55-IF($R56=U$9,1,0))</f>
        <v>0</v>
      </c>
      <c r="V56" s="14">
        <f>IF([4]羁绊解锁统计!F55="",0,[4]羁绊解锁统计!F55-IF($R56=V$9,1,0))</f>
        <v>0</v>
      </c>
      <c r="W56" s="14">
        <f>IF([4]羁绊解锁统计!G55="",0,[4]羁绊解锁统计!G55-IF($R56=W$9,1,0))</f>
        <v>0</v>
      </c>
      <c r="X56" s="29">
        <f t="shared" si="3"/>
        <v>0</v>
      </c>
      <c r="Y56" s="10">
        <f t="shared" si="8"/>
        <v>1.4285714285714287E-2</v>
      </c>
      <c r="AA56" s="14">
        <f t="shared" si="9"/>
        <v>0</v>
      </c>
      <c r="AB56" s="14">
        <f t="shared" si="9"/>
        <v>0</v>
      </c>
      <c r="AC56" s="14">
        <f t="shared" si="9"/>
        <v>0</v>
      </c>
      <c r="AD56" s="14">
        <f t="shared" si="9"/>
        <v>0</v>
      </c>
      <c r="AE56" s="14">
        <f t="shared" si="9"/>
        <v>0</v>
      </c>
      <c r="AF56" s="29">
        <f t="shared" si="10"/>
        <v>0</v>
      </c>
      <c r="AG56" s="10">
        <f t="shared" si="11"/>
        <v>0.05</v>
      </c>
      <c r="AH56" s="87">
        <v>5.0000000000000096E-3</v>
      </c>
      <c r="AI56" s="4">
        <v>52</v>
      </c>
      <c r="AJ56" s="98">
        <f t="shared" si="0"/>
        <v>0.25939280337410142</v>
      </c>
      <c r="AK56" s="5">
        <f>'[1]资源-钻石'!$N55*求节点(武将数量星级阶位验证!$CP$41:$CP$72,武将数量星级阶位验证!$CS$41:$CS$72,节奏总纲!R55)</f>
        <v>158525.32778089243</v>
      </c>
      <c r="AL56" s="48"/>
      <c r="AP56" s="14">
        <f>基础状态预期!D110</f>
        <v>34.192155176139416</v>
      </c>
      <c r="AQ56" s="14">
        <f>(求节点(其他调用!$I$4:$I$503,其他调用!$L$4:$L$503,武将数量星级阶位验证!AS100))*求节点(武将数量星级阶位验证!$CP$41:$CP$72,武将数量星级阶位验证!$CS$41:$CS$72,武将数量星级阶位验证!AS100)</f>
        <v>66994.767790611993</v>
      </c>
      <c r="AR56" s="14">
        <f>IF(武将升级!Y97="",0,求节点($AK$5:$AK$104,$AJ$5:$AJ$104,AQ$7)*B$5*武将升级!Y97)</f>
        <v>0</v>
      </c>
      <c r="AS56" s="14">
        <f>IF(武将升级!Z97="",0,求节点($AK$5:$AK$104,$AJ$5:$AJ$104,$AQ56)*C$5*武将升级!Z97)</f>
        <v>0</v>
      </c>
      <c r="AT56" s="14">
        <f>IF(武将升级!AA97="",0,求节点($AK$5:$AK$104,$AJ$5:$AJ$104,$AQ56)*D$5*武将升级!AA97)</f>
        <v>0</v>
      </c>
      <c r="AU56" s="14">
        <f>IF(武将升级!AB97="",0,求节点($AK$5:$AK$104,$AJ$5:$AJ$104,$AQ56)*E$5*武将升级!AB97)</f>
        <v>400.76594838892555</v>
      </c>
      <c r="AV56" s="14">
        <f>IF(武将升级!AC97="",0,求节点($AK$5:$AK$104,$AJ$5:$AJ$104,$AQ56)*F$5*武将升级!AC97)</f>
        <v>0</v>
      </c>
      <c r="AW56" s="8">
        <f>SUMPRODUCT(AR56:AV56,基础状态预期!F110:J110)/SUM(基础状态预期!F110:J110)</f>
        <v>400.76594838892555</v>
      </c>
      <c r="BA56" s="29">
        <v>40</v>
      </c>
      <c r="BB56" s="29">
        <f t="shared" si="16"/>
        <v>545.4026501077683</v>
      </c>
      <c r="BC56" s="56">
        <f>(BB56-BB55)*INDEX([2]中r将兵属性验证!$W$7:$W$106+[2]中r将兵属性验证!$X$7:$X$106,BA56,1)+BC55</f>
        <v>92672585.445749581</v>
      </c>
    </row>
    <row r="57" spans="9:55" x14ac:dyDescent="0.15">
      <c r="P57" s="14" t="e">
        <f>8-COUNTIF([4]羁绊设计!$AD56:$AK56,"&amp;")</f>
        <v>#VALUE!</v>
      </c>
      <c r="Q57" s="29" t="str">
        <f>[4]羁绊解锁统计!$B56</f>
        <v>高顺</v>
      </c>
      <c r="R57" s="29" t="str">
        <f>IF([4]羁绊设计!$F56="红","橙+",[4]羁绊设计!$F56)</f>
        <v>橙</v>
      </c>
      <c r="S57" s="14">
        <f>IF([4]羁绊解锁统计!C56="",0,[4]羁绊解锁统计!C56-IF($R57=S$9,1,0))</f>
        <v>0</v>
      </c>
      <c r="T57" s="14">
        <f>IF([4]羁绊解锁统计!D56="",0,[4]羁绊解锁统计!D56-IF($R57=T$9,1,0))</f>
        <v>0</v>
      </c>
      <c r="U57" s="14">
        <f>IF([4]羁绊解锁统计!E56="",0,[4]羁绊解锁统计!E56-IF($R57=U$9,1,0))</f>
        <v>0</v>
      </c>
      <c r="V57" s="14">
        <f>IF([4]羁绊解锁统计!F56="",0,[4]羁绊解锁统计!F56-IF($R57=V$9,1,0))</f>
        <v>1</v>
      </c>
      <c r="W57" s="14">
        <f>IF([4]羁绊解锁统计!G56="",0,[4]羁绊解锁统计!G56-IF($R57=W$9,1,0))</f>
        <v>2</v>
      </c>
      <c r="X57" s="29">
        <f t="shared" si="3"/>
        <v>51111.111111111117</v>
      </c>
      <c r="Y57" s="10">
        <f t="shared" si="8"/>
        <v>0.1175552379919582</v>
      </c>
      <c r="AA57" s="14">
        <f t="shared" si="9"/>
        <v>0</v>
      </c>
      <c r="AB57" s="14">
        <f t="shared" si="9"/>
        <v>0</v>
      </c>
      <c r="AC57" s="14">
        <f t="shared" si="9"/>
        <v>0</v>
      </c>
      <c r="AD57" s="14">
        <f t="shared" si="9"/>
        <v>6</v>
      </c>
      <c r="AE57" s="14">
        <f t="shared" si="9"/>
        <v>12</v>
      </c>
      <c r="AF57" s="29">
        <f t="shared" si="10"/>
        <v>306666.66666666669</v>
      </c>
      <c r="AG57" s="10">
        <f t="shared" si="11"/>
        <v>0.4114433329718537</v>
      </c>
      <c r="AH57" s="87">
        <v>5.0000000000000096E-3</v>
      </c>
      <c r="AI57" s="4">
        <v>53</v>
      </c>
      <c r="AJ57" s="98">
        <f t="shared" si="0"/>
        <v>0.26923658365949388</v>
      </c>
      <c r="AK57" s="5">
        <f>'[1]资源-钻石'!$N56*求节点(武将数量星级阶位验证!$CP$41:$CP$72,武将数量星级阶位验证!$CS$41:$CS$72,节奏总纲!R56)</f>
        <v>167199.3306521826</v>
      </c>
      <c r="AL57" s="48"/>
      <c r="AP57" s="14">
        <f>基础状态预期!D111</f>
        <v>39.631851677253941</v>
      </c>
      <c r="AQ57" s="14">
        <f>(求节点(其他调用!$I$4:$I$503,其他调用!$L$4:$L$503,武将数量星级阶位验证!AS101))*求节点(武将数量星级阶位验证!$CP$41:$CP$72,武将数量星级阶位验证!$CS$41:$CS$72,武将数量星级阶位验证!AS101)</f>
        <v>86315.968089770788</v>
      </c>
      <c r="AR57" s="14">
        <f>IF(武将升级!Y98="",0,求节点($AK$5:$AK$104,$AJ$5:$AJ$104,AQ$7)*B$5*武将升级!Y98)</f>
        <v>0</v>
      </c>
      <c r="AS57" s="14">
        <f>IF(武将升级!Z98="",0,求节点($AK$5:$AK$104,$AJ$5:$AJ$104,$AQ57)*C$5*武将升级!Z98)</f>
        <v>0</v>
      </c>
      <c r="AT57" s="14">
        <f>IF(武将升级!AA98="",0,求节点($AK$5:$AK$104,$AJ$5:$AJ$104,$AQ57)*D$5*武将升级!AA98)</f>
        <v>0</v>
      </c>
      <c r="AU57" s="14">
        <f>IF(武将升级!AB98="",0,求节点($AK$5:$AK$104,$AJ$5:$AJ$104,$AQ57)*E$5*武将升级!AB98)</f>
        <v>533.78567134439459</v>
      </c>
      <c r="AV57" s="14">
        <f>IF(武将升级!AC98="",0,求节点($AK$5:$AK$104,$AJ$5:$AJ$104,$AQ57)*F$5*武将升级!AC98)</f>
        <v>0</v>
      </c>
      <c r="AW57" s="8">
        <f>SUMPRODUCT(AR57:AV57,基础状态预期!F111:J111)/SUM(基础状态预期!F111:J111)</f>
        <v>533.78567134439459</v>
      </c>
      <c r="BA57" s="29">
        <v>50</v>
      </c>
      <c r="BB57" s="29">
        <f t="shared" si="16"/>
        <v>915.21010930269654</v>
      </c>
      <c r="BC57" s="56">
        <f>(BB57-BB56)*INDEX([2]中r将兵属性验证!$W$7:$W$106+[2]中r将兵属性验证!$X$7:$X$106,BA57,1)+BC56</f>
        <v>282673007.42233533</v>
      </c>
    </row>
    <row r="58" spans="9:55" x14ac:dyDescent="0.15">
      <c r="P58" s="14" t="e">
        <f>8-COUNTIF([4]羁绊设计!$AD57:$AK57,"&amp;")</f>
        <v>#VALUE!</v>
      </c>
      <c r="Q58" s="29" t="str">
        <f>[4]羁绊解锁统计!$B57</f>
        <v>李典</v>
      </c>
      <c r="R58" s="29" t="str">
        <f>IF([4]羁绊设计!$F57="红","橙+",[4]羁绊设计!$F57)</f>
        <v>蓝</v>
      </c>
      <c r="S58" s="14">
        <f>IF([4]羁绊解锁统计!C57="",0,[4]羁绊解锁统计!C57-IF($R58=S$9,1,0))</f>
        <v>0</v>
      </c>
      <c r="T58" s="14">
        <f>IF([4]羁绊解锁统计!D57="",0,[4]羁绊解锁统计!D57-IF($R58=T$9,1,0))</f>
        <v>0</v>
      </c>
      <c r="U58" s="14">
        <f>IF([4]羁绊解锁统计!E57="",0,[4]羁绊解锁统计!E57-IF($R58=U$9,1,0))</f>
        <v>1</v>
      </c>
      <c r="V58" s="14">
        <f>IF([4]羁绊解锁统计!F57="",0,[4]羁绊解锁统计!F57-IF($R58=V$9,1,0))</f>
        <v>0</v>
      </c>
      <c r="W58" s="14">
        <f>IF([4]羁绊解锁统计!G57="",0,[4]羁绊解锁统计!G57-IF($R58=W$9,1,0))</f>
        <v>0</v>
      </c>
      <c r="X58" s="29">
        <f t="shared" si="3"/>
        <v>5750</v>
      </c>
      <c r="Y58" s="10">
        <f t="shared" si="8"/>
        <v>2.5515962176998679E-2</v>
      </c>
      <c r="AA58" s="14">
        <f t="shared" si="9"/>
        <v>0</v>
      </c>
      <c r="AB58" s="14">
        <f t="shared" si="9"/>
        <v>0</v>
      </c>
      <c r="AC58" s="14">
        <f t="shared" si="9"/>
        <v>6</v>
      </c>
      <c r="AD58" s="14">
        <f t="shared" si="9"/>
        <v>0</v>
      </c>
      <c r="AE58" s="14">
        <f t="shared" si="9"/>
        <v>0</v>
      </c>
      <c r="AF58" s="29">
        <f t="shared" si="10"/>
        <v>34500</v>
      </c>
      <c r="AG58" s="10">
        <f t="shared" si="11"/>
        <v>8.9305867619495383E-2</v>
      </c>
      <c r="AH58" s="87">
        <v>5.0000000000000096E-3</v>
      </c>
      <c r="AI58" s="4">
        <v>54</v>
      </c>
      <c r="AJ58" s="98">
        <f t="shared" si="0"/>
        <v>0.27921515843826483</v>
      </c>
      <c r="AK58" s="5">
        <f>'[1]资源-钻石'!$N57*求节点(武将数量星级阶位验证!$CP$41:$CP$72,武将数量星级阶位验证!$CS$41:$CS$72,节奏总纲!R57)</f>
        <v>176132.48508603027</v>
      </c>
      <c r="AL58" s="48"/>
      <c r="AP58" s="14">
        <f>基础状态预期!D112</f>
        <v>43.484929789964411</v>
      </c>
      <c r="AQ58" s="14">
        <f>(求节点(其他调用!$I$4:$I$503,其他调用!$L$4:$L$503,武将数量星级阶位验证!AS102))*求节点(武将数量星级阶位验证!$CP$41:$CP$72,武将数量星级阶位验证!$CS$41:$CS$72,武将数量星级阶位验证!AS102)</f>
        <v>104601.74721688093</v>
      </c>
      <c r="AR58" s="14">
        <f>IF(武将升级!Y99="",0,求节点($AK$5:$AK$104,$AJ$5:$AJ$104,AQ$7)*B$5*武将升级!Y99)</f>
        <v>0</v>
      </c>
      <c r="AS58" s="14">
        <f>IF(武将升级!Z99="",0,求节点($AK$5:$AK$104,$AJ$5:$AJ$104,$AQ58)*C$5*武将升级!Z99)</f>
        <v>0</v>
      </c>
      <c r="AT58" s="14">
        <f>IF(武将升级!AA99="",0,求节点($AK$5:$AK$104,$AJ$5:$AJ$104,$AQ58)*D$5*武将升级!AA99)</f>
        <v>0</v>
      </c>
      <c r="AU58" s="14">
        <f>IF(武将升级!AB99="",0,求节点($AK$5:$AK$104,$AJ$5:$AJ$104,$AQ58)*E$5*武将升级!AB99)</f>
        <v>655.37016282081777</v>
      </c>
      <c r="AV58" s="14">
        <f>IF(武将升级!AC99="",0,求节点($AK$5:$AK$104,$AJ$5:$AJ$104,$AQ58)*F$5*武将升级!AC99)</f>
        <v>0</v>
      </c>
      <c r="AW58" s="8">
        <f>SUMPRODUCT(AR58:AV58,基础状态预期!F112:J112)/SUM(基础状态预期!F112:J112)</f>
        <v>655.37016282081777</v>
      </c>
      <c r="BA58" s="29">
        <v>60</v>
      </c>
      <c r="BB58" s="29">
        <f t="shared" si="16"/>
        <v>1547.5987922770255</v>
      </c>
      <c r="BC58" s="56">
        <f>(BB58-BB57)*INDEX([2]中r将兵属性验证!$W$7:$W$106+[2]中r将兵属性验证!$X$7:$X$106,BA58,1)+BC57</f>
        <v>937981632.03638935</v>
      </c>
    </row>
    <row r="59" spans="9:55" x14ac:dyDescent="0.15">
      <c r="P59" s="14" t="e">
        <f>8-COUNTIF([4]羁绊设计!$AD58:$AK58,"&amp;")</f>
        <v>#VALUE!</v>
      </c>
      <c r="Q59" s="29" t="str">
        <f>[4]羁绊解锁统计!$B58</f>
        <v>张飞</v>
      </c>
      <c r="R59" s="29" t="str">
        <f>IF([4]羁绊设计!$F58="红","橙+",[4]羁绊设计!$F58)</f>
        <v>橙</v>
      </c>
      <c r="S59" s="14">
        <f>IF([4]羁绊解锁统计!C58="",0,[4]羁绊解锁统计!C58-IF($R59=S$9,1,0))</f>
        <v>0</v>
      </c>
      <c r="T59" s="14">
        <f>IF([4]羁绊解锁统计!D58="",0,[4]羁绊解锁统计!D58-IF($R59=T$9,1,0))</f>
        <v>0</v>
      </c>
      <c r="U59" s="14">
        <f>IF([4]羁绊解锁统计!E58="",0,[4]羁绊解锁统计!E58-IF($R59=U$9,1,0))</f>
        <v>1</v>
      </c>
      <c r="V59" s="14">
        <f>IF([4]羁绊解锁统计!F58="",0,[4]羁绊解锁统计!F58-IF($R59=V$9,1,0))</f>
        <v>2</v>
      </c>
      <c r="W59" s="14">
        <f>IF([4]羁绊解锁统计!G58="",0,[4]羁绊解锁统计!G58-IF($R59=W$9,1,0))</f>
        <v>0</v>
      </c>
      <c r="X59" s="29">
        <f t="shared" si="3"/>
        <v>55370.370370370372</v>
      </c>
      <c r="Y59" s="10">
        <f t="shared" si="8"/>
        <v>0.12431584111409054</v>
      </c>
      <c r="AA59" s="14">
        <f t="shared" si="9"/>
        <v>0</v>
      </c>
      <c r="AB59" s="14">
        <f t="shared" si="9"/>
        <v>0</v>
      </c>
      <c r="AC59" s="14">
        <f t="shared" si="9"/>
        <v>6</v>
      </c>
      <c r="AD59" s="14">
        <f t="shared" si="9"/>
        <v>12</v>
      </c>
      <c r="AE59" s="14">
        <f t="shared" si="9"/>
        <v>0</v>
      </c>
      <c r="AF59" s="29">
        <f t="shared" si="10"/>
        <v>332222.22222222225</v>
      </c>
      <c r="AG59" s="10">
        <f t="shared" si="11"/>
        <v>0.43510544389931688</v>
      </c>
      <c r="AH59" s="87">
        <v>5.0000000000000096E-3</v>
      </c>
      <c r="AI59" s="4">
        <v>55</v>
      </c>
      <c r="AJ59" s="98">
        <f t="shared" si="0"/>
        <v>0.28990078434706068</v>
      </c>
      <c r="AK59" s="5">
        <f>'[1]资源-钻石'!$N58*求节点(武将数量星级阶位验证!$CP$41:$CP$72,武将数量星级阶位验证!$CS$41:$CS$72,节奏总纲!R58)</f>
        <v>185852.04647381121</v>
      </c>
      <c r="AL59" s="48"/>
      <c r="AP59" s="14">
        <f>基础状态预期!D113</f>
        <v>49.18886033229559</v>
      </c>
      <c r="AQ59" s="14">
        <f>(求节点(其他调用!$I$4:$I$503,其他调用!$L$4:$L$503,武将数量星级阶位验证!AS103))*求节点(武将数量星级阶位验证!$CP$41:$CP$72,武将数量星级阶位验证!$CS$41:$CS$72,武将数量星级阶位验证!AS103)</f>
        <v>137708.39324736822</v>
      </c>
      <c r="AR59" s="14">
        <f>IF(武将升级!Y100="",0,求节点($AK$5:$AK$104,$AJ$5:$AJ$104,AQ$7)*B$5*武将升级!Y100)</f>
        <v>0</v>
      </c>
      <c r="AS59" s="14">
        <f>IF(武将升级!Z100="",0,求节点($AK$5:$AK$104,$AJ$5:$AJ$104,$AQ59)*C$5*武将升级!Z100)</f>
        <v>0</v>
      </c>
      <c r="AT59" s="14">
        <f>IF(武将升级!AA100="",0,求节点($AK$5:$AK$104,$AJ$5:$AJ$104,$AQ59)*D$5*武将升级!AA100)</f>
        <v>0</v>
      </c>
      <c r="AU59" s="14">
        <f>IF(武将升级!AB100="",0,求节点($AK$5:$AK$104,$AJ$5:$AJ$104,$AQ59)*E$5*武将升级!AB100)</f>
        <v>874.76666419368564</v>
      </c>
      <c r="AV59" s="14">
        <f>IF(武将升级!AC100="",0,求节点($AK$5:$AK$104,$AJ$5:$AJ$104,$AQ59)*F$5*武将升级!AC100)</f>
        <v>0</v>
      </c>
      <c r="AW59" s="8">
        <f>SUMPRODUCT(AR59:AV59,基础状态预期!F113:J113)/SUM(基础状态预期!F113:J113)</f>
        <v>874.76666419368564</v>
      </c>
      <c r="BA59" s="29">
        <v>70</v>
      </c>
      <c r="BB59" s="29">
        <f t="shared" si="16"/>
        <v>2597.4900568232074</v>
      </c>
      <c r="BC59" s="56">
        <f>(BB59-BB58)*INDEX([2]中r将兵属性验证!$W$7:$W$106+[2]中r将兵属性验证!$X$7:$X$106,BA59,1)+BC58</f>
        <v>3507589752.2299514</v>
      </c>
    </row>
    <row r="60" spans="9:55" x14ac:dyDescent="0.15">
      <c r="P60" s="14" t="e">
        <f>8-COUNTIF([4]羁绊设计!$AD59:$AK59,"&amp;")</f>
        <v>#VALUE!</v>
      </c>
      <c r="Q60" s="29" t="str">
        <f>[4]羁绊解锁统计!$B59</f>
        <v>陈宫</v>
      </c>
      <c r="R60" s="29" t="str">
        <f>IF([4]羁绊设计!$F59="红","橙+",[4]羁绊设计!$F59)</f>
        <v>橙</v>
      </c>
      <c r="S60" s="14">
        <f>IF([4]羁绊解锁统计!C59="",0,[4]羁绊解锁统计!C59-IF($R60=S$9,1,0))</f>
        <v>0</v>
      </c>
      <c r="T60" s="14">
        <f>IF([4]羁绊解锁统计!D59="",0,[4]羁绊解锁统计!D59-IF($R60=T$9,1,0))</f>
        <v>0</v>
      </c>
      <c r="U60" s="14">
        <f>IF([4]羁绊解锁统计!E59="",0,[4]羁绊解锁统计!E59-IF($R60=U$9,1,0))</f>
        <v>0</v>
      </c>
      <c r="V60" s="14">
        <f>IF([4]羁绊解锁统计!F59="",0,[4]羁绊解锁统计!F59-IF($R60=V$9,1,0))</f>
        <v>2</v>
      </c>
      <c r="W60" s="14">
        <f>IF([4]羁绊解锁统计!G59="",0,[4]羁绊解锁统计!G59-IF($R60=W$9,1,0))</f>
        <v>1</v>
      </c>
      <c r="X60" s="29">
        <f t="shared" si="3"/>
        <v>55370.370370370372</v>
      </c>
      <c r="Y60" s="10">
        <f t="shared" si="8"/>
        <v>0.12431584111409054</v>
      </c>
      <c r="AA60" s="14">
        <f t="shared" si="9"/>
        <v>0</v>
      </c>
      <c r="AB60" s="14">
        <f t="shared" si="9"/>
        <v>0</v>
      </c>
      <c r="AC60" s="14">
        <f t="shared" si="9"/>
        <v>0</v>
      </c>
      <c r="AD60" s="14">
        <f t="shared" si="9"/>
        <v>12</v>
      </c>
      <c r="AE60" s="14">
        <f t="shared" si="9"/>
        <v>6</v>
      </c>
      <c r="AF60" s="29">
        <f t="shared" si="10"/>
        <v>332222.22222222225</v>
      </c>
      <c r="AG60" s="10">
        <f t="shared" si="11"/>
        <v>0.43510544389931688</v>
      </c>
      <c r="AH60" s="87">
        <v>5.0000000000000096E-3</v>
      </c>
      <c r="AI60" s="4">
        <v>56</v>
      </c>
      <c r="AJ60" s="98">
        <f t="shared" si="0"/>
        <v>0.30110666890031557</v>
      </c>
      <c r="AK60" s="5">
        <f>'[1]资源-钻石'!$N59*求节点(武将数量星级阶位验证!$CP$41:$CP$72,武将数量星级阶位验证!$CS$41:$CS$72,节奏总纲!R59)</f>
        <v>196211.7041661971</v>
      </c>
      <c r="AL60" s="48"/>
      <c r="AP60" s="14">
        <f>基础状态预期!D114</f>
        <v>53.212684955585161</v>
      </c>
      <c r="AQ60" s="14">
        <f>(求节点(其他调用!$I$4:$I$503,其他调用!$L$4:$L$503,武将数量星级阶位验证!AS104))*求节点(武将数量星级阶位验证!$CP$41:$CP$72,武将数量星级阶位验证!$CS$41:$CS$72,武将数量星级阶位验证!AS104)</f>
        <v>169113.79679009001</v>
      </c>
      <c r="AR60" s="14">
        <f>IF(武将升级!Y101="",0,求节点($AK$5:$AK$104,$AJ$5:$AJ$104,AQ$7)*B$5*武将升级!Y101)</f>
        <v>0</v>
      </c>
      <c r="AS60" s="14">
        <f>IF(武将升级!Z101="",0,求节点($AK$5:$AK$104,$AJ$5:$AJ$104,$AQ60)*C$5*武将升级!Z101)</f>
        <v>0</v>
      </c>
      <c r="AT60" s="14">
        <f>IF(武将升级!AA101="",0,求节点($AK$5:$AK$104,$AJ$5:$AJ$104,$AQ60)*D$5*武将升级!AA101)</f>
        <v>0</v>
      </c>
      <c r="AU60" s="14">
        <f>IF(武将升级!AB101="",0,求节点($AK$5:$AK$104,$AJ$5:$AJ$104,$AQ60)*E$5*武将升级!AB101)</f>
        <v>1075.3946654611589</v>
      </c>
      <c r="AV60" s="14">
        <f>IF(武将升级!AC101="",0,求节点($AK$5:$AK$104,$AJ$5:$AJ$104,$AQ60)*F$5*武将升级!AC101)</f>
        <v>1075.3946654611589</v>
      </c>
      <c r="AW60" s="8">
        <f>SUMPRODUCT(AR60:AV60,基础状态预期!F114:J114)/SUM(基础状态预期!F114:J114)</f>
        <v>1075.3946654611589</v>
      </c>
      <c r="BA60" s="29">
        <v>80</v>
      </c>
      <c r="BB60" s="29">
        <f t="shared" si="16"/>
        <v>3509.1</v>
      </c>
      <c r="BC60" s="56">
        <f>(BB60-BB59)*INDEX([2]中r将兵属性验证!$W$7:$W$106+[2]中r将兵属性验证!$X$7:$X$106,BA60,1)+BC59</f>
        <v>8006271112.6634197</v>
      </c>
    </row>
    <row r="61" spans="9:55" x14ac:dyDescent="0.15">
      <c r="P61" s="14" t="e">
        <f>8-COUNTIF([4]羁绊设计!$AD60:$AK60,"&amp;")</f>
        <v>#VALUE!</v>
      </c>
      <c r="Q61" s="29" t="str">
        <f>[4]羁绊解锁统计!$B60</f>
        <v>程昱</v>
      </c>
      <c r="R61" s="29" t="str">
        <f>IF([4]羁绊设计!$F60="红","橙+",[4]羁绊设计!$F60)</f>
        <v>紫</v>
      </c>
      <c r="S61" s="14">
        <f>IF([4]羁绊解锁统计!C60="",0,[4]羁绊解锁统计!C60-IF($R61=S$9,1,0))</f>
        <v>0</v>
      </c>
      <c r="T61" s="14">
        <f>IF([4]羁绊解锁统计!D60="",0,[4]羁绊解锁统计!D60-IF($R61=T$9,1,0))</f>
        <v>0</v>
      </c>
      <c r="U61" s="14">
        <f>IF([4]羁绊解锁统计!E60="",0,[4]羁绊解锁统计!E60-IF($R61=U$9,1,0))</f>
        <v>0</v>
      </c>
      <c r="V61" s="14">
        <f>IF([4]羁绊解锁统计!F60="",0,[4]羁绊解锁统计!F60-IF($R61=V$9,1,0))</f>
        <v>2</v>
      </c>
      <c r="W61" s="14">
        <f>IF([4]羁绊解锁统计!G60="",0,[4]羁绊解锁统计!G60-IF($R61=W$9,1,0))</f>
        <v>0</v>
      </c>
      <c r="X61" s="29">
        <f t="shared" si="3"/>
        <v>55370.370370370372</v>
      </c>
      <c r="Y61" s="10">
        <f t="shared" si="8"/>
        <v>0.12431584111409054</v>
      </c>
      <c r="AA61" s="14">
        <f t="shared" si="9"/>
        <v>0</v>
      </c>
      <c r="AB61" s="14">
        <f t="shared" si="9"/>
        <v>0</v>
      </c>
      <c r="AC61" s="14">
        <f t="shared" si="9"/>
        <v>0</v>
      </c>
      <c r="AD61" s="14">
        <f t="shared" si="9"/>
        <v>12</v>
      </c>
      <c r="AE61" s="14">
        <f t="shared" si="9"/>
        <v>0</v>
      </c>
      <c r="AF61" s="29">
        <f t="shared" si="10"/>
        <v>332222.22222222225</v>
      </c>
      <c r="AG61" s="10">
        <f t="shared" si="11"/>
        <v>0.43510544389931688</v>
      </c>
      <c r="AH61" s="87">
        <v>5.0000000000000096E-3</v>
      </c>
      <c r="AI61" s="4">
        <v>57</v>
      </c>
      <c r="AJ61" s="98">
        <f t="shared" si="0"/>
        <v>0.3127365932829701</v>
      </c>
      <c r="AK61" s="5">
        <f>'[1]资源-钻石'!$N60*求节点(武将数量星级阶位验证!$CP$41:$CP$72,武将数量星级阶位验证!$CS$41:$CS$72,节奏总纲!R60)</f>
        <v>207140.18930643212</v>
      </c>
      <c r="AL61" s="48"/>
      <c r="AP61" s="14">
        <f>基础状态预期!D115</f>
        <v>59.09095196730258</v>
      </c>
      <c r="AQ61" s="14">
        <f>(求节点(其他调用!$I$4:$I$503,其他调用!$L$4:$L$503,武将数量星级阶位验证!AS105))*求节点(武将数量星级阶位验证!$CP$41:$CP$72,武将数量星级阶位验证!$CS$41:$CS$72,武将数量星级阶位验证!AS105)</f>
        <v>232755.53952828315</v>
      </c>
      <c r="AR61" s="14">
        <f>IF(武将升级!Y102="",0,求节点($AK$5:$AK$104,$AJ$5:$AJ$104,AQ$7)*B$5*武将升级!Y102)</f>
        <v>0</v>
      </c>
      <c r="AS61" s="14">
        <f>IF(武将升级!Z102="",0,求节点($AK$5:$AK$104,$AJ$5:$AJ$104,$AQ61)*C$5*武将升级!Z102)</f>
        <v>0</v>
      </c>
      <c r="AT61" s="14">
        <f>IF(武将升级!AA102="",0,求节点($AK$5:$AK$104,$AJ$5:$AJ$104,$AQ61)*D$5*武将升级!AA102)</f>
        <v>0</v>
      </c>
      <c r="AU61" s="14">
        <f>IF(武将升级!AB102="",0,求节点($AK$5:$AK$104,$AJ$5:$AJ$104,$AQ61)*E$5*武将升级!AB102)</f>
        <v>1464.1871231490138</v>
      </c>
      <c r="AV61" s="14">
        <f>IF(武将升级!AC102="",0,求节点($AK$5:$AK$104,$AJ$5:$AJ$104,$AQ61)*F$5*武将升级!AC102)</f>
        <v>1464.1871231490138</v>
      </c>
      <c r="AW61" s="8">
        <f>SUMPRODUCT(AR61:AV61,基础状态预期!F115:J115)/SUM(基础状态预期!F115:J115)</f>
        <v>1464.1871231490138</v>
      </c>
      <c r="BA61" s="29">
        <v>90</v>
      </c>
      <c r="BB61" s="29">
        <f t="shared" si="16"/>
        <v>3865.9995423290366</v>
      </c>
      <c r="BC61" s="56">
        <f>(BB61-BB60)*INDEX([2]中r将兵属性验证!$W$7:$W$106+[2]中r将兵属性验证!$X$7:$X$106,BA61,1)+BC60</f>
        <v>11708803511.863174</v>
      </c>
    </row>
    <row r="62" spans="9:55" x14ac:dyDescent="0.15">
      <c r="P62" s="14" t="e">
        <f>8-COUNTIF([4]羁绊设计!$AD61:$AK61,"&amp;")</f>
        <v>#VALUE!</v>
      </c>
      <c r="Q62" s="29" t="str">
        <f>[4]羁绊解锁统计!$B61</f>
        <v>典韦</v>
      </c>
      <c r="R62" s="29" t="str">
        <f>IF([4]羁绊设计!$F61="红","橙+",[4]羁绊设计!$F61)</f>
        <v>橙+</v>
      </c>
      <c r="S62" s="14">
        <f>IF([4]羁绊解锁统计!C61="",0,[4]羁绊解锁统计!C61-IF($R62=S$9,1,0))</f>
        <v>0</v>
      </c>
      <c r="T62" s="14">
        <f>IF([4]羁绊解锁统计!D61="",0,[4]羁绊解锁统计!D61-IF($R62=T$9,1,0))</f>
        <v>0</v>
      </c>
      <c r="U62" s="14">
        <f>IF([4]羁绊解锁统计!E61="",0,[4]羁绊解锁统计!E61-IF($R62=U$9,1,0))</f>
        <v>0</v>
      </c>
      <c r="V62" s="14">
        <f>IF([4]羁绊解锁统计!F61="",0,[4]羁绊解锁统计!F61-IF($R62=V$9,1,0))</f>
        <v>4</v>
      </c>
      <c r="W62" s="14">
        <f>IF([4]羁绊解锁统计!G61="",0,[4]羁绊解锁统计!G61-IF($R62=W$9,1,0))</f>
        <v>0</v>
      </c>
      <c r="X62" s="29">
        <f t="shared" si="3"/>
        <v>63888.888888888898</v>
      </c>
      <c r="Y62" s="10">
        <f t="shared" si="8"/>
        <v>0.13740340360056111</v>
      </c>
      <c r="AA62" s="14">
        <f t="shared" si="9"/>
        <v>0</v>
      </c>
      <c r="AB62" s="14">
        <f t="shared" si="9"/>
        <v>0</v>
      </c>
      <c r="AC62" s="14">
        <f t="shared" si="9"/>
        <v>0</v>
      </c>
      <c r="AD62" s="14">
        <f t="shared" si="9"/>
        <v>24</v>
      </c>
      <c r="AE62" s="14">
        <f t="shared" si="9"/>
        <v>0</v>
      </c>
      <c r="AF62" s="29">
        <f t="shared" si="10"/>
        <v>383333.33333333337</v>
      </c>
      <c r="AG62" s="10">
        <f t="shared" si="11"/>
        <v>0.48091191260196386</v>
      </c>
      <c r="AH62" s="87">
        <v>5.0000000000000096E-3</v>
      </c>
      <c r="AI62" s="4">
        <v>58</v>
      </c>
      <c r="AJ62" s="98">
        <f t="shared" si="0"/>
        <v>0.32477817395204495</v>
      </c>
      <c r="AK62" s="5">
        <f>'[1]资源-钻石'!$N61*求节点(武将数量星级阶位验证!$CP$41:$CP$72,武将数量星级阶位验证!$CS$41:$CS$72,节奏总纲!R61)</f>
        <v>218641.21951198258</v>
      </c>
      <c r="AL62" s="48"/>
      <c r="AP62" s="14">
        <f>基础状态预期!D116</f>
        <v>64.819145630244321</v>
      </c>
      <c r="AQ62" s="14">
        <f>(求节点(其他调用!$I$4:$I$503,其他调用!$L$4:$L$503,武将数量星级阶位验证!AS106))*求节点(武将数量星级阶位验证!$CP$41:$CP$72,武将数量星级阶位验证!$CS$41:$CS$72,武将数量星级阶位验证!AS106)</f>
        <v>323475.54955885984</v>
      </c>
      <c r="AR62" s="14">
        <f>IF(武将升级!Y103="",0,求节点($AK$5:$AK$104,$AJ$5:$AJ$104,AQ$7)*B$5*武将升级!Y103)</f>
        <v>0</v>
      </c>
      <c r="AS62" s="14">
        <f>IF(武将升级!Z103="",0,求节点($AK$5:$AK$104,$AJ$5:$AJ$104,$AQ62)*C$5*武将升级!Z103)</f>
        <v>0</v>
      </c>
      <c r="AT62" s="14">
        <f>IF(武将升级!AA103="",0,求节点($AK$5:$AK$104,$AJ$5:$AJ$104,$AQ62)*D$5*武将升级!AA103)</f>
        <v>0</v>
      </c>
      <c r="AU62" s="14">
        <f>IF(武将升级!AB103="",0,求节点($AK$5:$AK$104,$AJ$5:$AJ$104,$AQ62)*E$5*武将升级!AB103)</f>
        <v>1989.7899266628151</v>
      </c>
      <c r="AV62" s="14">
        <f>IF(武将升级!AC103="",0,求节点($AK$5:$AK$104,$AJ$5:$AJ$104,$AQ62)*F$5*武将升级!AC103)</f>
        <v>1989.7899266628151</v>
      </c>
      <c r="AW62" s="8">
        <f>SUMPRODUCT(AR62:AV62,基础状态预期!F116:J116)/SUM(基础状态预期!F116:J116)</f>
        <v>1989.7899266628149</v>
      </c>
      <c r="BA62" s="29">
        <v>100</v>
      </c>
      <c r="BB62" s="29">
        <f t="shared" si="16"/>
        <v>4216.8128804728176</v>
      </c>
      <c r="BC62" s="56">
        <f>(BB62-BB61)*INDEX([2]中r将兵属性验证!$W$7:$W$106+[2]中r将兵属性验证!$X$7:$X$106,BA62,1)+BC61</f>
        <v>18345791093.098656</v>
      </c>
    </row>
    <row r="63" spans="9:55" x14ac:dyDescent="0.15">
      <c r="P63" s="14" t="e">
        <f>8-COUNTIF([4]羁绊设计!$AD62:$AK62,"&amp;")</f>
        <v>#VALUE!</v>
      </c>
      <c r="Q63" s="29" t="str">
        <f>[4]羁绊解锁统计!$B62</f>
        <v>贾诩</v>
      </c>
      <c r="R63" s="29" t="str">
        <f>IF([4]羁绊设计!$F62="红","橙+",[4]羁绊设计!$F62)</f>
        <v>橙</v>
      </c>
      <c r="S63" s="14">
        <f>IF([4]羁绊解锁统计!C62="",0,[4]羁绊解锁统计!C62-IF($R63=S$9,1,0))</f>
        <v>0</v>
      </c>
      <c r="T63" s="14">
        <f>IF([4]羁绊解锁统计!D62="",0,[4]羁绊解锁统计!D62-IF($R63=T$9,1,0))</f>
        <v>0</v>
      </c>
      <c r="U63" s="14">
        <f>IF([4]羁绊解锁统计!E62="",0,[4]羁绊解锁统计!E62-IF($R63=U$9,1,0))</f>
        <v>2</v>
      </c>
      <c r="V63" s="14">
        <f>IF([4]羁绊解锁统计!F62="",0,[4]羁绊解锁统计!F62-IF($R63=V$9,1,0))</f>
        <v>0</v>
      </c>
      <c r="W63" s="14">
        <f>IF([4]羁绊解锁统计!G62="",0,[4]羁绊解锁统计!G62-IF($R63=W$9,1,0))</f>
        <v>1</v>
      </c>
      <c r="X63" s="29">
        <f t="shared" si="3"/>
        <v>8614.6666666666661</v>
      </c>
      <c r="Y63" s="10">
        <f t="shared" si="8"/>
        <v>3.3850863955445211E-2</v>
      </c>
      <c r="AA63" s="14">
        <f t="shared" si="9"/>
        <v>0</v>
      </c>
      <c r="AB63" s="14">
        <f t="shared" si="9"/>
        <v>0</v>
      </c>
      <c r="AC63" s="14">
        <f t="shared" si="9"/>
        <v>12</v>
      </c>
      <c r="AD63" s="14">
        <f t="shared" si="9"/>
        <v>0</v>
      </c>
      <c r="AE63" s="14">
        <f t="shared" si="9"/>
        <v>6</v>
      </c>
      <c r="AF63" s="29">
        <f t="shared" si="10"/>
        <v>51688</v>
      </c>
      <c r="AG63" s="10">
        <f t="shared" si="11"/>
        <v>0.11847802384405823</v>
      </c>
      <c r="AH63" s="87">
        <v>5.0000000000000096E-3</v>
      </c>
      <c r="AI63" s="4">
        <v>59</v>
      </c>
      <c r="AJ63" s="98">
        <f t="shared" si="0"/>
        <v>0.33804316478191226</v>
      </c>
      <c r="AK63" s="5">
        <f>'[1]资源-钻石'!$N62*求节点(武将数量星级阶位验证!$CP$41:$CP$72,武将数量星级阶位验证!$CS$41:$CS$72,节奏总纲!R62)</f>
        <v>231524.70179307257</v>
      </c>
      <c r="AL63" s="48"/>
      <c r="AP63" s="14">
        <f>基础状态预期!D117</f>
        <v>69.01697485309198</v>
      </c>
      <c r="AQ63" s="14">
        <f>(求节点(其他调用!$I$4:$I$503,其他调用!$L$4:$L$503,武将数量星级阶位验证!AS107))*求节点(武将数量星级阶位验证!$CP$41:$CP$72,武将数量星级阶位验证!$CS$41:$CS$72,武将数量星级阶位验证!AS107)</f>
        <v>409347.71704665659</v>
      </c>
      <c r="AR63" s="14">
        <f>IF(武将升级!Y104="",0,求节点($AK$5:$AK$104,$AJ$5:$AJ$104,AQ$7)*B$5*武将升级!Y104)</f>
        <v>0</v>
      </c>
      <c r="AS63" s="14">
        <f>IF(武将升级!Z104="",0,求节点($AK$5:$AK$104,$AJ$5:$AJ$104,$AQ63)*C$5*武将升级!Z104)</f>
        <v>0</v>
      </c>
      <c r="AT63" s="14">
        <f>IF(武将升级!AA104="",0,求节点($AK$5:$AK$104,$AJ$5:$AJ$104,$AQ63)*D$5*武将升级!AA104)</f>
        <v>0</v>
      </c>
      <c r="AU63" s="14">
        <f>IF(武将升级!AB104="",0,求节点($AK$5:$AK$104,$AJ$5:$AJ$104,$AQ63)*E$5*武将升级!AB104)</f>
        <v>2472.7748901845143</v>
      </c>
      <c r="AV63" s="14">
        <f>IF(武将升级!AC104="",0,求节点($AK$5:$AK$104,$AJ$5:$AJ$104,$AQ63)*F$5*武将升级!AC104)</f>
        <v>2472.7748901845143</v>
      </c>
      <c r="AW63" s="8">
        <f>SUMPRODUCT(AR63:AV63,基础状态预期!F117:J117)/SUM(基础状态预期!F117:J117)</f>
        <v>2472.7748901845143</v>
      </c>
    </row>
    <row r="64" spans="9:55" x14ac:dyDescent="0.15">
      <c r="P64" s="14" t="e">
        <f>8-COUNTIF([4]羁绊设计!$AD63:$AK63,"&amp;")</f>
        <v>#VALUE!</v>
      </c>
      <c r="Q64" s="29" t="str">
        <f>[4]羁绊解锁统计!$B63</f>
        <v>魏延</v>
      </c>
      <c r="R64" s="29" t="str">
        <f>IF([4]羁绊设计!$F63="红","橙+",[4]羁绊设计!$F63)</f>
        <v>橙</v>
      </c>
      <c r="S64" s="14">
        <f>IF([4]羁绊解锁统计!C63="",0,[4]羁绊解锁统计!C63-IF($R64=S$9,1,0))</f>
        <v>0</v>
      </c>
      <c r="T64" s="14">
        <f>IF([4]羁绊解锁统计!D63="",0,[4]羁绊解锁统计!D63-IF($R64=T$9,1,0))</f>
        <v>0</v>
      </c>
      <c r="U64" s="14">
        <f>IF([4]羁绊解锁统计!E63="",0,[4]羁绊解锁统计!E63-IF($R64=U$9,1,0))</f>
        <v>0</v>
      </c>
      <c r="V64" s="14">
        <f>IF([4]羁绊解锁统计!F63="",0,[4]羁绊解锁统计!F63-IF($R64=V$9,1,0))</f>
        <v>2</v>
      </c>
      <c r="W64" s="14">
        <f>IF([4]羁绊解锁统计!G63="",0,[4]羁绊解锁统计!G63-IF($R64=W$9,1,0))</f>
        <v>0</v>
      </c>
      <c r="X64" s="29">
        <f t="shared" si="3"/>
        <v>55370.370370370372</v>
      </c>
      <c r="Y64" s="10">
        <f t="shared" si="8"/>
        <v>0.12431584111409054</v>
      </c>
      <c r="AA64" s="14">
        <f t="shared" si="9"/>
        <v>0</v>
      </c>
      <c r="AB64" s="14">
        <f t="shared" si="9"/>
        <v>0</v>
      </c>
      <c r="AC64" s="14">
        <f t="shared" si="9"/>
        <v>0</v>
      </c>
      <c r="AD64" s="14">
        <f t="shared" si="9"/>
        <v>12</v>
      </c>
      <c r="AE64" s="14">
        <f t="shared" si="9"/>
        <v>0</v>
      </c>
      <c r="AF64" s="29">
        <f t="shared" si="10"/>
        <v>332222.22222222225</v>
      </c>
      <c r="AG64" s="10">
        <f t="shared" si="11"/>
        <v>0.43510544389931688</v>
      </c>
      <c r="AH64" s="87">
        <v>5.0000000000000096E-3</v>
      </c>
      <c r="AI64" s="4">
        <v>60</v>
      </c>
      <c r="AJ64" s="98">
        <f t="shared" si="0"/>
        <v>0.35160718545377934</v>
      </c>
      <c r="AK64" s="5">
        <f>'[1]资源-钻石'!$N63*求节点(武将数量星级阶位验证!$CP$41:$CP$72,武将数量星级阶位验证!$CS$41:$CS$72,节奏总纲!R63)</f>
        <v>244925.45487423855</v>
      </c>
      <c r="AL64" s="48"/>
      <c r="AP64" s="14">
        <f>基础状态预期!D118</f>
        <v>72.23150684883845</v>
      </c>
      <c r="AQ64" s="14">
        <f>(求节点(其他调用!$I$4:$I$503,其他调用!$L$4:$L$503,武将数量星级阶位验证!AS108))*求节点(武将数量星级阶位验证!$CP$41:$CP$72,武将数量星级阶位验证!$CS$41:$CS$72,武将数量星级阶位验证!AS108)</f>
        <v>481957.68851990189</v>
      </c>
      <c r="AR64" s="14">
        <f>IF(武将升级!Y105="",0,求节点($AK$5:$AK$104,$AJ$5:$AJ$104,AQ$7)*B$5*武将升级!Y105)</f>
        <v>0</v>
      </c>
      <c r="AS64" s="14">
        <f>IF(武将升级!Z105="",0,求节点($AK$5:$AK$104,$AJ$5:$AJ$104,$AQ64)*C$5*武将升级!Z105)</f>
        <v>0</v>
      </c>
      <c r="AT64" s="14">
        <f>IF(武将升级!AA105="",0,求节点($AK$5:$AK$104,$AJ$5:$AJ$104,$AQ64)*D$5*武将升级!AA105)</f>
        <v>0</v>
      </c>
      <c r="AU64" s="14">
        <f>IF(武将升级!AB105="",0,求节点($AK$5:$AK$104,$AJ$5:$AJ$104,$AQ64)*E$5*武将升级!AB105)</f>
        <v>2880.5985300740058</v>
      </c>
      <c r="AV64" s="14">
        <f>IF(武将升级!AC105="",0,求节点($AK$5:$AK$104,$AJ$5:$AJ$104,$AQ64)*F$5*武将升级!AC105)</f>
        <v>2880.5985300740058</v>
      </c>
      <c r="AW64" s="8">
        <f>SUMPRODUCT(AR64:AV64,基础状态预期!F118:J118)/SUM(基础状态预期!F118:J118)</f>
        <v>2880.5985300740062</v>
      </c>
    </row>
    <row r="65" spans="16:55" x14ac:dyDescent="0.15">
      <c r="P65" s="14" t="e">
        <f>8-COUNTIF([4]羁绊设计!$AD64:$AK64,"&amp;")</f>
        <v>#VALUE!</v>
      </c>
      <c r="Q65" s="29" t="str">
        <f>[4]羁绊解锁统计!$B64</f>
        <v>吕蒙</v>
      </c>
      <c r="R65" s="29" t="str">
        <f>IF([4]羁绊设计!$F64="红","橙+",[4]羁绊设计!$F64)</f>
        <v>橙</v>
      </c>
      <c r="S65" s="14">
        <f>IF([4]羁绊解锁统计!C64="",0,[4]羁绊解锁统计!C64-IF($R65=S$9,1,0))</f>
        <v>0</v>
      </c>
      <c r="T65" s="14">
        <f>IF([4]羁绊解锁统计!D64="",0,[4]羁绊解锁统计!D64-IF($R65=T$9,1,0))</f>
        <v>0</v>
      </c>
      <c r="U65" s="14">
        <f>IF([4]羁绊解锁统计!E64="",0,[4]羁绊解锁统计!E64-IF($R65=U$9,1,0))</f>
        <v>1</v>
      </c>
      <c r="V65" s="14">
        <f>IF([4]羁绊解锁统计!F64="",0,[4]羁绊解锁统计!F64-IF($R65=V$9,1,0))</f>
        <v>2</v>
      </c>
      <c r="W65" s="14">
        <f>IF([4]羁绊解锁统计!G64="",0,[4]羁绊解锁统计!G64-IF($R65=W$9,1,0))</f>
        <v>0</v>
      </c>
      <c r="X65" s="29">
        <f t="shared" si="3"/>
        <v>55370.370370370372</v>
      </c>
      <c r="Y65" s="10">
        <f t="shared" si="8"/>
        <v>0.12431584111409054</v>
      </c>
      <c r="AA65" s="14">
        <f t="shared" si="9"/>
        <v>0</v>
      </c>
      <c r="AB65" s="14">
        <f t="shared" si="9"/>
        <v>0</v>
      </c>
      <c r="AC65" s="14">
        <f t="shared" si="9"/>
        <v>6</v>
      </c>
      <c r="AD65" s="14">
        <f t="shared" si="9"/>
        <v>12</v>
      </c>
      <c r="AE65" s="14">
        <f t="shared" si="9"/>
        <v>0</v>
      </c>
      <c r="AF65" s="29">
        <f t="shared" si="10"/>
        <v>332222.22222222225</v>
      </c>
      <c r="AG65" s="10">
        <f t="shared" si="11"/>
        <v>0.43510544389931688</v>
      </c>
      <c r="AH65" s="87">
        <v>5.0000000000000096E-3</v>
      </c>
      <c r="AI65" s="4">
        <v>61</v>
      </c>
      <c r="AJ65" s="98">
        <f t="shared" si="0"/>
        <v>0.36582277247298833</v>
      </c>
      <c r="AK65" s="5">
        <f>'[1]资源-钻石'!$N64*求节点(武将数量星级阶位验证!$CP$41:$CP$72,武将数量星级阶位验证!$CS$41:$CS$72,节奏总纲!R64)</f>
        <v>259210.59204333797</v>
      </c>
      <c r="AL65" s="48"/>
      <c r="AP65" s="14">
        <f>基础状态预期!D119</f>
        <v>74.840792411391348</v>
      </c>
      <c r="AQ65" s="14">
        <f>(求节点(其他调用!$I$4:$I$503,其他调用!$L$4:$L$503,武将数量星级阶位验证!AS109))*求节点(武将数量星级阶位验证!$CP$41:$CP$72,武将数量星级阶位验证!$CS$41:$CS$72,武将数量星级阶位验证!AS109)</f>
        <v>549512.07415509329</v>
      </c>
      <c r="AR65" s="14">
        <f>IF(武将升级!Y106="",0,求节点($AK$5:$AK$104,$AJ$5:$AJ$104,AQ$7)*B$5*武将升级!Y106)</f>
        <v>0</v>
      </c>
      <c r="AS65" s="14">
        <f>IF(武将升级!Z106="",0,求节点($AK$5:$AK$104,$AJ$5:$AJ$104,$AQ65)*C$5*武将升级!Z106)</f>
        <v>0</v>
      </c>
      <c r="AT65" s="14">
        <f>IF(武将升级!AA106="",0,求节点($AK$5:$AK$104,$AJ$5:$AJ$104,$AQ65)*D$5*武将升级!AA106)</f>
        <v>0</v>
      </c>
      <c r="AU65" s="14">
        <f>IF(武将升级!AB106="",0,求节点($AK$5:$AK$104,$AJ$5:$AJ$104,$AQ65)*E$5*武将升级!AB106)</f>
        <v>3254.1478095959155</v>
      </c>
      <c r="AV65" s="14">
        <f>IF(武将升级!AC106="",0,求节点($AK$5:$AK$104,$AJ$5:$AJ$104,$AQ65)*F$5*武将升级!AC106)</f>
        <v>3254.1478095959155</v>
      </c>
      <c r="AW65" s="8">
        <f>SUMPRODUCT(AR65:AV65,基础状态预期!F119:J119)/SUM(基础状态预期!F119:J119)</f>
        <v>3254.1478095959155</v>
      </c>
    </row>
    <row r="66" spans="16:55" x14ac:dyDescent="0.15">
      <c r="P66" s="14" t="e">
        <f>8-COUNTIF([4]羁绊设计!$AD65:$AK65,"&amp;")</f>
        <v>#VALUE!</v>
      </c>
      <c r="Q66" s="29" t="str">
        <f>[4]羁绊解锁统计!$B65</f>
        <v>袁术</v>
      </c>
      <c r="R66" s="29" t="str">
        <f>IF([4]羁绊设计!$F65="红","橙+",[4]羁绊设计!$F65)</f>
        <v>紫</v>
      </c>
      <c r="S66" s="14">
        <f>IF([4]羁绊解锁统计!C65="",0,[4]羁绊解锁统计!C65-IF($R66=S$9,1,0))</f>
        <v>0</v>
      </c>
      <c r="T66" s="14">
        <f>IF([4]羁绊解锁统计!D65="",0,[4]羁绊解锁统计!D65-IF($R66=T$9,1,0))</f>
        <v>1</v>
      </c>
      <c r="U66" s="14">
        <f>IF([4]羁绊解锁统计!E65="",0,[4]羁绊解锁统计!E65-IF($R66=U$9,1,0))</f>
        <v>0</v>
      </c>
      <c r="V66" s="14">
        <f>IF([4]羁绊解锁统计!F65="",0,[4]羁绊解锁统计!F65-IF($R66=V$9,1,0))</f>
        <v>2</v>
      </c>
      <c r="W66" s="14">
        <f>IF([4]羁绊解锁统计!G65="",0,[4]羁绊解锁统计!G65-IF($R66=W$9,1,0))</f>
        <v>0</v>
      </c>
      <c r="X66" s="29">
        <f t="shared" si="3"/>
        <v>55370.370370370372</v>
      </c>
      <c r="Y66" s="10">
        <f t="shared" si="8"/>
        <v>0.12431584111409054</v>
      </c>
      <c r="AA66" s="14">
        <f t="shared" si="9"/>
        <v>0</v>
      </c>
      <c r="AB66" s="14">
        <f t="shared" si="9"/>
        <v>6</v>
      </c>
      <c r="AC66" s="14">
        <f t="shared" si="9"/>
        <v>0</v>
      </c>
      <c r="AD66" s="14">
        <f t="shared" si="9"/>
        <v>12</v>
      </c>
      <c r="AE66" s="14">
        <f t="shared" si="9"/>
        <v>0</v>
      </c>
      <c r="AF66" s="29">
        <f t="shared" si="10"/>
        <v>332222.22222222225</v>
      </c>
      <c r="AG66" s="10">
        <f t="shared" si="11"/>
        <v>0.43510544389931688</v>
      </c>
      <c r="AH66" s="87">
        <v>5.0000000000000096E-3</v>
      </c>
      <c r="AI66" s="4">
        <v>62</v>
      </c>
      <c r="AJ66" s="98">
        <f t="shared" si="0"/>
        <v>0.38057536716443136</v>
      </c>
      <c r="AK66" s="5">
        <f>'[1]资源-钻石'!$N65*求节点(武将数量星级阶位验证!$CP$41:$CP$72,武将数量星级阶位验证!$CS$41:$CS$72,节奏总纲!R65)</f>
        <v>274290.00526185217</v>
      </c>
      <c r="AL66" s="48"/>
      <c r="AP66" s="14">
        <f>基础状态预期!D120</f>
        <v>77.697893604818219</v>
      </c>
      <c r="AQ66" s="14">
        <f>(求节点(其他调用!$I$4:$I$503,其他调用!$L$4:$L$503,武将数量星级阶位验证!AS110))*求节点(武将数量星级阶位验证!$CP$41:$CP$72,武将数量星级阶位验证!$CS$41:$CS$72,武将数量星级阶位验证!AS110)</f>
        <v>635176.66276034445</v>
      </c>
      <c r="AR66" s="14">
        <f>IF(武将升级!Y107="",0,求节点($AK$5:$AK$104,$AJ$5:$AJ$104,AQ$7)*B$5*武将升级!Y107)</f>
        <v>0</v>
      </c>
      <c r="AS66" s="14">
        <f>IF(武将升级!Z107="",0,求节点($AK$5:$AK$104,$AJ$5:$AJ$104,$AQ66)*C$5*武将升级!Z107)</f>
        <v>0</v>
      </c>
      <c r="AT66" s="14">
        <f>IF(武将升级!AA107="",0,求节点($AK$5:$AK$104,$AJ$5:$AJ$104,$AQ66)*D$5*武将升级!AA107)</f>
        <v>0</v>
      </c>
      <c r="AU66" s="14">
        <f>IF(武将升级!AB107="",0,求节点($AK$5:$AK$104,$AJ$5:$AJ$104,$AQ66)*E$5*武将升级!AB107)</f>
        <v>0</v>
      </c>
      <c r="AV66" s="14">
        <f>IF(武将升级!AC107="",0,求节点($AK$5:$AK$104,$AJ$5:$AJ$104,$AQ66)*F$5*武将升级!AC107)</f>
        <v>3422.0803782621283</v>
      </c>
      <c r="AW66" s="8">
        <f>SUMPRODUCT(AR66:AV66,基础状态预期!F120:J120)/SUM(基础状态预期!F120:J120)</f>
        <v>3422.0803782621283</v>
      </c>
    </row>
    <row r="67" spans="16:55" x14ac:dyDescent="0.15">
      <c r="P67" s="14" t="e">
        <f>8-COUNTIF([4]羁绊设计!$AD66:$AK66,"&amp;")</f>
        <v>#VALUE!</v>
      </c>
      <c r="Q67" s="29" t="str">
        <f>[4]羁绊解锁统计!$B66</f>
        <v>乐进</v>
      </c>
      <c r="R67" s="29" t="str">
        <f>IF([4]羁绊设计!$F66="红","橙+",[4]羁绊设计!$F66)</f>
        <v>紫</v>
      </c>
      <c r="S67" s="14">
        <f>IF([4]羁绊解锁统计!C66="",0,[4]羁绊解锁统计!C66-IF($R67=S$9,1,0))</f>
        <v>0</v>
      </c>
      <c r="T67" s="14">
        <f>IF([4]羁绊解锁统计!D66="",0,[4]羁绊解锁统计!D66-IF($R67=T$9,1,0))</f>
        <v>1</v>
      </c>
      <c r="U67" s="14">
        <f>IF([4]羁绊解锁统计!E66="",0,[4]羁绊解锁统计!E66-IF($R67=U$9,1,0))</f>
        <v>0</v>
      </c>
      <c r="V67" s="14">
        <f>IF([4]羁绊解锁统计!F66="",0,[4]羁绊解锁统计!F66-IF($R67=V$9,1,0))</f>
        <v>1</v>
      </c>
      <c r="W67" s="14">
        <f>IF([4]羁绊解锁统计!G66="",0,[4]羁绊解锁统计!G66-IF($R67=W$9,1,0))</f>
        <v>0</v>
      </c>
      <c r="X67" s="29">
        <f t="shared" si="3"/>
        <v>51111.111111111117</v>
      </c>
      <c r="Y67" s="10">
        <f t="shared" si="8"/>
        <v>0.1175552379919582</v>
      </c>
      <c r="AA67" s="14">
        <f t="shared" si="9"/>
        <v>0</v>
      </c>
      <c r="AB67" s="14">
        <f t="shared" si="9"/>
        <v>6</v>
      </c>
      <c r="AC67" s="14">
        <f t="shared" si="9"/>
        <v>0</v>
      </c>
      <c r="AD67" s="14">
        <f t="shared" si="9"/>
        <v>6</v>
      </c>
      <c r="AE67" s="14">
        <f t="shared" si="9"/>
        <v>0</v>
      </c>
      <c r="AF67" s="29">
        <f t="shared" si="10"/>
        <v>306666.66666666669</v>
      </c>
      <c r="AG67" s="10">
        <f t="shared" si="11"/>
        <v>0.4114433329718537</v>
      </c>
      <c r="AH67" s="87">
        <v>5.0000000000000096E-3</v>
      </c>
      <c r="AI67" s="4">
        <v>63</v>
      </c>
      <c r="AJ67" s="98">
        <f t="shared" si="0"/>
        <v>0.39584012628913023</v>
      </c>
      <c r="AK67" s="5">
        <f>'[1]资源-钻石'!$N66*求节点(武将数量星级阶位验证!$CP$41:$CP$72,武将数量星级阶位验证!$CS$41:$CS$72,节奏总纲!R66)</f>
        <v>290159.87796445919</v>
      </c>
      <c r="AL67" s="48"/>
      <c r="AP67" s="14">
        <f>基础状态预期!D121</f>
        <v>80.134867890916794</v>
      </c>
      <c r="AQ67" s="14">
        <f>(求节点(其他调用!$I$4:$I$503,其他调用!$L$4:$L$503,武将数量星级阶位验证!AS111))*求节点(武将数量星级阶位验证!$CP$41:$CP$72,武将数量星级阶位验证!$CS$41:$CS$72,武将数量星级阶位验证!AS111)</f>
        <v>721036.52788700245</v>
      </c>
      <c r="AR67" s="14">
        <f>IF(武将升级!Y108="",0,求节点($AK$5:$AK$104,$AJ$5:$AJ$104,AQ$7)*B$5*武将升级!Y108)</f>
        <v>0</v>
      </c>
      <c r="AS67" s="14">
        <f>IF(武将升级!Z108="",0,求节点($AK$5:$AK$104,$AJ$5:$AJ$104,$AQ67)*C$5*武将升级!Z108)</f>
        <v>0</v>
      </c>
      <c r="AT67" s="14">
        <f>IF(武将升级!AA108="",0,求节点($AK$5:$AK$104,$AJ$5:$AJ$104,$AQ67)*D$5*武将升级!AA108)</f>
        <v>0</v>
      </c>
      <c r="AU67" s="14">
        <f>IF(武将升级!AB108="",0,求节点($AK$5:$AK$104,$AJ$5:$AJ$104,$AQ67)*E$5*武将升级!AB108)</f>
        <v>0</v>
      </c>
      <c r="AV67" s="14">
        <f>IF(武将升级!AC108="",0,求节点($AK$5:$AK$104,$AJ$5:$AJ$104,$AQ67)*F$5*武将升级!AC108)</f>
        <v>3514.1980062766547</v>
      </c>
      <c r="AW67" s="8">
        <f>SUMPRODUCT(AR67:AV67,基础状态预期!F121:J121)/SUM(基础状态预期!F121:J121)</f>
        <v>3514.1980062766547</v>
      </c>
    </row>
    <row r="68" spans="16:55" x14ac:dyDescent="0.15">
      <c r="P68" s="14" t="e">
        <f>8-COUNTIF([4]羁绊设计!$AD67:$AK67,"&amp;")</f>
        <v>#VALUE!</v>
      </c>
      <c r="Q68" s="29" t="str">
        <f>[4]羁绊解锁统计!$B67</f>
        <v>王平</v>
      </c>
      <c r="R68" s="29" t="str">
        <f>IF([4]羁绊设计!$F67="红","橙+",[4]羁绊设计!$F67)</f>
        <v>橙</v>
      </c>
      <c r="S68" s="14">
        <f>IF([4]羁绊解锁统计!C67="",0,[4]羁绊解锁统计!C67-IF($R68=S$9,1,0))</f>
        <v>0</v>
      </c>
      <c r="T68" s="14">
        <f>IF([4]羁绊解锁统计!D67="",0,[4]羁绊解锁统计!D67-IF($R68=T$9,1,0))</f>
        <v>0</v>
      </c>
      <c r="U68" s="14">
        <f>IF([4]羁绊解锁统计!E67="",0,[4]羁绊解锁统计!E67-IF($R68=U$9,1,0))</f>
        <v>0</v>
      </c>
      <c r="V68" s="14">
        <f>IF([4]羁绊解锁统计!F67="",0,[4]羁绊解锁统计!F67-IF($R68=V$9,1,0))</f>
        <v>0</v>
      </c>
      <c r="W68" s="14">
        <f>IF([4]羁绊解锁统计!G67="",0,[4]羁绊解锁统计!G67-IF($R68=W$9,1,0))</f>
        <v>0</v>
      </c>
      <c r="X68" s="29">
        <f t="shared" si="3"/>
        <v>0</v>
      </c>
      <c r="Y68" s="10">
        <f t="shared" si="8"/>
        <v>1.4285714285714287E-2</v>
      </c>
      <c r="AA68" s="14">
        <f t="shared" si="9"/>
        <v>0</v>
      </c>
      <c r="AB68" s="14">
        <f t="shared" si="9"/>
        <v>0</v>
      </c>
      <c r="AC68" s="14">
        <f t="shared" si="9"/>
        <v>0</v>
      </c>
      <c r="AD68" s="14">
        <f t="shared" si="9"/>
        <v>0</v>
      </c>
      <c r="AE68" s="14">
        <f t="shared" si="9"/>
        <v>0</v>
      </c>
      <c r="AF68" s="29">
        <f t="shared" si="10"/>
        <v>0</v>
      </c>
      <c r="AG68" s="10">
        <f t="shared" si="11"/>
        <v>0.05</v>
      </c>
      <c r="AH68" s="87">
        <v>5.0000000000000096E-3</v>
      </c>
      <c r="AI68" s="4">
        <v>64</v>
      </c>
      <c r="AJ68" s="98">
        <f t="shared" si="0"/>
        <v>0.41265912310930897</v>
      </c>
      <c r="AK68" s="5">
        <f>'[1]资源-钻石'!$N67*求节点(武将数量星级阶位验证!$CP$41:$CP$72,武将数量星级阶位验证!$CS$41:$CS$72,节奏总纲!R67)</f>
        <v>307952.86323595414</v>
      </c>
      <c r="AL68" s="48"/>
      <c r="AP68" s="14">
        <f>基础状态预期!D122</f>
        <v>82.238672852681816</v>
      </c>
      <c r="AQ68" s="14">
        <f>(求节点(其他调用!$I$4:$I$503,其他调用!$L$4:$L$503,武将数量星级阶位验证!AS112))*求节点(武将数量星级阶位验证!$CP$41:$CP$72,武将数量星级阶位验证!$CS$41:$CS$72,武将数量星级阶位验证!AS112)</f>
        <v>798349.09784614411</v>
      </c>
      <c r="AR68" s="14">
        <f>IF(武将升级!Y109="",0,求节点($AK$5:$AK$104,$AJ$5:$AJ$104,AQ$7)*B$5*武将升级!Y109)</f>
        <v>0</v>
      </c>
      <c r="AS68" s="14">
        <f>IF(武将升级!Z109="",0,求节点($AK$5:$AK$104,$AJ$5:$AJ$104,$AQ68)*C$5*武将升级!Z109)</f>
        <v>0</v>
      </c>
      <c r="AT68" s="14">
        <f>IF(武将升级!AA109="",0,求节点($AK$5:$AK$104,$AJ$5:$AJ$104,$AQ68)*D$5*武将升级!AA109)</f>
        <v>0</v>
      </c>
      <c r="AU68" s="14">
        <f>IF(武将升级!AB109="",0,求节点($AK$5:$AK$104,$AJ$5:$AJ$104,$AQ68)*E$5*武将升级!AB109)</f>
        <v>0</v>
      </c>
      <c r="AV68" s="14">
        <f>IF(武将升级!AC109="",0,求节点($AK$5:$AK$104,$AJ$5:$AJ$104,$AQ68)*F$5*武将升级!AC109)</f>
        <v>3593.7218338313728</v>
      </c>
      <c r="AW68" s="8">
        <f>SUMPRODUCT(AR68:AV68,基础状态预期!F122:J122)/SUM(基础状态预期!F122:J122)</f>
        <v>3593.7218338313728</v>
      </c>
    </row>
    <row r="69" spans="16:55" x14ac:dyDescent="0.15">
      <c r="P69" s="14" t="e">
        <f>8-COUNTIF([4]羁绊设计!$AD68:$AK68,"&amp;")</f>
        <v>#VALUE!</v>
      </c>
      <c r="Q69" s="29" t="str">
        <f>[4]羁绊解锁统计!$B68</f>
        <v>甄姬</v>
      </c>
      <c r="R69" s="29" t="str">
        <f>IF([4]羁绊设计!$F68="红","橙+",[4]羁绊设计!$F68)</f>
        <v>橙</v>
      </c>
      <c r="S69" s="14">
        <f>IF([4]羁绊解锁统计!C68="",0,[4]羁绊解锁统计!C68-IF($R69=S$9,1,0))</f>
        <v>0</v>
      </c>
      <c r="T69" s="14">
        <f>IF([4]羁绊解锁统计!D68="",0,[4]羁绊解锁统计!D68-IF($R69=T$9,1,0))</f>
        <v>0</v>
      </c>
      <c r="U69" s="14">
        <f>IF([4]羁绊解锁统计!E68="",0,[4]羁绊解锁统计!E68-IF($R69=U$9,1,0))</f>
        <v>0</v>
      </c>
      <c r="V69" s="14">
        <f>IF([4]羁绊解锁统计!F68="",0,[4]羁绊解锁统计!F68-IF($R69=V$9,1,0))</f>
        <v>1</v>
      </c>
      <c r="W69" s="14">
        <f>IF([4]羁绊解锁统计!G68="",0,[4]羁绊解锁统计!G68-IF($R69=W$9,1,0))</f>
        <v>0</v>
      </c>
      <c r="X69" s="29">
        <f t="shared" si="3"/>
        <v>51111.111111111117</v>
      </c>
      <c r="Y69" s="10">
        <f t="shared" si="8"/>
        <v>0.1175552379919582</v>
      </c>
      <c r="AA69" s="14">
        <f t="shared" si="9"/>
        <v>0</v>
      </c>
      <c r="AB69" s="14">
        <f t="shared" si="9"/>
        <v>0</v>
      </c>
      <c r="AC69" s="14">
        <f t="shared" si="9"/>
        <v>0</v>
      </c>
      <c r="AD69" s="14">
        <f t="shared" si="9"/>
        <v>6</v>
      </c>
      <c r="AE69" s="14">
        <f t="shared" si="9"/>
        <v>0</v>
      </c>
      <c r="AF69" s="29">
        <f t="shared" si="10"/>
        <v>306666.66666666669</v>
      </c>
      <c r="AG69" s="10">
        <f t="shared" si="11"/>
        <v>0.4114433329718537</v>
      </c>
      <c r="AH69" s="87">
        <v>5.0000000000000096E-3</v>
      </c>
      <c r="AI69" s="4">
        <v>65</v>
      </c>
      <c r="AJ69" s="98">
        <f t="shared" si="0"/>
        <v>0.43021736140608863</v>
      </c>
      <c r="AK69" s="5">
        <f>'[1]资源-钻石'!$N68*求节点(武将数量星级阶位验证!$CP$41:$CP$72,武将数量星级阶位验证!$CS$41:$CS$72,节奏总纲!R68)</f>
        <v>326863.68306425505</v>
      </c>
      <c r="AL69" s="48"/>
      <c r="AP69" s="14">
        <f>基础状态预期!D145</f>
        <v>155.2512378743358</v>
      </c>
      <c r="AQ69" s="14">
        <f>(求节点(其他调用!$I$4:$I$503,其他调用!$L$4:$L$503,武将数量星级阶位验证!AS135))*求节点(武将数量星级阶位验证!$CP$41:$CP$72,武将数量星级阶位验证!$CS$41:$CS$72,武将数量星级阶位验证!AS135)</f>
        <v>1101844.5400125873</v>
      </c>
      <c r="AR69" s="14">
        <f>IF(武将升级!Y132="",0,求节点($AK$5:$AK$104,$AJ$5:$AJ$104,AQ$7)*B$5*武将升级!Y132)</f>
        <v>0</v>
      </c>
      <c r="AS69" s="14">
        <f>IF(武将升级!Z132="",0,求节点($AK$5:$AK$104,$AJ$5:$AJ$104,$AQ69)*C$5*武将升级!Z132)</f>
        <v>0</v>
      </c>
      <c r="AT69" s="14">
        <f>IF(武将升级!AA132="",0,求节点($AK$5:$AK$104,$AJ$5:$AJ$104,$AQ69)*D$5*武将升级!AA132)</f>
        <v>0</v>
      </c>
      <c r="AU69" s="14">
        <f>IF(武将升级!AB132="",0,求节点($AK$5:$AK$104,$AJ$5:$AJ$104,$AQ69)*E$5*武将升级!AB132)</f>
        <v>0</v>
      </c>
      <c r="AV69" s="14">
        <f>IF(武将升级!AC132="",0,求节点($AK$5:$AK$104,$AJ$5:$AJ$104,$AQ69)*F$5*武将升级!AC132)</f>
        <v>6155.1</v>
      </c>
      <c r="AW69" s="8">
        <f>SUMPRODUCT(AR69:AV69,基础状态预期!F145:J145)/SUM(基础状态预期!F145:J145)</f>
        <v>6155.1000000000013</v>
      </c>
    </row>
    <row r="70" spans="16:55" x14ac:dyDescent="0.15">
      <c r="P70" s="14" t="e">
        <f>8-COUNTIF([4]羁绊设计!$AD69:$AK69,"&amp;")</f>
        <v>#VALUE!</v>
      </c>
      <c r="Q70" s="29" t="str">
        <f>[4]羁绊解锁统计!$B69</f>
        <v>马钧</v>
      </c>
      <c r="R70" s="29" t="str">
        <f>IF([4]羁绊设计!$F69="红","橙+",[4]羁绊设计!$F69)</f>
        <v>紫</v>
      </c>
      <c r="S70" s="14">
        <f>IF([4]羁绊解锁统计!C69="",0,[4]羁绊解锁统计!C69-IF($R70=S$9,1,0))</f>
        <v>0</v>
      </c>
      <c r="T70" s="14">
        <f>IF([4]羁绊解锁统计!D69="",0,[4]羁绊解锁统计!D69-IF($R70=T$9,1,0))</f>
        <v>0</v>
      </c>
      <c r="U70" s="14">
        <f>IF([4]羁绊解锁统计!E69="",0,[4]羁绊解锁统计!E69-IF($R70=U$9,1,0))</f>
        <v>0</v>
      </c>
      <c r="V70" s="14">
        <f>IF([4]羁绊解锁统计!F69="",0,[4]羁绊解锁统计!F69-IF($R70=V$9,1,0))</f>
        <v>1</v>
      </c>
      <c r="W70" s="14">
        <f>IF([4]羁绊解锁统计!G69="",0,[4]羁绊解锁统计!G69-IF($R70=W$9,1,0))</f>
        <v>1</v>
      </c>
      <c r="X70" s="29">
        <f t="shared" si="3"/>
        <v>51111.111111111117</v>
      </c>
      <c r="Y70" s="10">
        <f t="shared" si="8"/>
        <v>0.1175552379919582</v>
      </c>
      <c r="AA70" s="14">
        <f t="shared" si="9"/>
        <v>0</v>
      </c>
      <c r="AB70" s="14">
        <f t="shared" si="9"/>
        <v>0</v>
      </c>
      <c r="AC70" s="14">
        <f t="shared" si="9"/>
        <v>0</v>
      </c>
      <c r="AD70" s="14">
        <f t="shared" si="9"/>
        <v>6</v>
      </c>
      <c r="AE70" s="14">
        <f t="shared" si="9"/>
        <v>6</v>
      </c>
      <c r="AF70" s="29">
        <f t="shared" si="10"/>
        <v>306666.66666666669</v>
      </c>
      <c r="AG70" s="10">
        <f t="shared" si="11"/>
        <v>0.4114433329718537</v>
      </c>
      <c r="AH70" s="87">
        <v>5.0000000000000096E-3</v>
      </c>
      <c r="AI70" s="4">
        <v>66</v>
      </c>
      <c r="AJ70" s="98">
        <f t="shared" ref="AJ70:AJ114" si="17">MIN(AK70^LOG(3.5,6)/20000*1.2,$M$47)</f>
        <v>0.44801544049253611</v>
      </c>
      <c r="AK70" s="5">
        <f>'[1]资源-钻石'!$N69*求节点(武将数量星级阶位验证!$CP$41:$CP$72,武将数量星级阶位验证!$CS$41:$CS$72,节奏总纲!R69)</f>
        <v>346374.74979716103</v>
      </c>
      <c r="AL70" s="48"/>
    </row>
    <row r="71" spans="16:55" x14ac:dyDescent="0.15">
      <c r="P71" s="14" t="e">
        <f>8-COUNTIF([4]羁绊设计!$AD70:$AK70,"&amp;")</f>
        <v>#VALUE!</v>
      </c>
      <c r="Q71" s="29" t="str">
        <f>[4]羁绊解锁统计!$B70</f>
        <v>黄盖</v>
      </c>
      <c r="R71" s="29" t="str">
        <f>IF([4]羁绊设计!$F70="红","橙+",[4]羁绊设计!$F70)</f>
        <v>橙</v>
      </c>
      <c r="S71" s="14">
        <f>IF([4]羁绊解锁统计!C70="",0,[4]羁绊解锁统计!C70-IF($R71=S$9,1,0))</f>
        <v>0</v>
      </c>
      <c r="T71" s="14">
        <f>IF([4]羁绊解锁统计!D70="",0,[4]羁绊解锁统计!D70-IF($R71=T$9,1,0))</f>
        <v>0</v>
      </c>
      <c r="U71" s="14">
        <f>IF([4]羁绊解锁统计!E70="",0,[4]羁绊解锁统计!E70-IF($R71=U$9,1,0))</f>
        <v>3</v>
      </c>
      <c r="V71" s="14">
        <f>IF([4]羁绊解锁统计!F70="",0,[4]羁绊解锁统计!F70-IF($R71=V$9,1,0))</f>
        <v>2</v>
      </c>
      <c r="W71" s="14">
        <f>IF([4]羁绊解锁统计!G70="",0,[4]羁绊解锁统计!G70-IF($R71=W$9,1,0))</f>
        <v>0</v>
      </c>
      <c r="X71" s="29">
        <f t="shared" si="3"/>
        <v>55370.370370370372</v>
      </c>
      <c r="Y71" s="10">
        <f t="shared" si="8"/>
        <v>0.12431584111409054</v>
      </c>
      <c r="AA71" s="14">
        <f t="shared" si="9"/>
        <v>0</v>
      </c>
      <c r="AB71" s="14">
        <f t="shared" si="9"/>
        <v>0</v>
      </c>
      <c r="AC71" s="14">
        <f t="shared" si="9"/>
        <v>18</v>
      </c>
      <c r="AD71" s="14">
        <f t="shared" si="9"/>
        <v>12</v>
      </c>
      <c r="AE71" s="14">
        <f t="shared" si="9"/>
        <v>0</v>
      </c>
      <c r="AF71" s="29">
        <f t="shared" si="10"/>
        <v>332222.22222222225</v>
      </c>
      <c r="AG71" s="10">
        <f t="shared" si="11"/>
        <v>0.43510544389931688</v>
      </c>
      <c r="AH71" s="87">
        <v>5.0000000000000096E-3</v>
      </c>
      <c r="AI71" s="4">
        <v>67</v>
      </c>
      <c r="AJ71" s="98">
        <f t="shared" si="17"/>
        <v>0.46549260413895988</v>
      </c>
      <c r="AK71" s="5">
        <f>'[1]资源-钻石'!$N70*求节点(武将数量星级阶位验证!$CP$41:$CP$72,武将数量星级阶位验证!$CS$41:$CS$72,节奏总纲!R70)</f>
        <v>365861.43676709244</v>
      </c>
      <c r="AL71" s="48"/>
    </row>
    <row r="72" spans="16:55" x14ac:dyDescent="0.15">
      <c r="P72" s="14" t="e">
        <f>8-COUNTIF([4]羁绊设计!$AD71:$AK71,"&amp;")</f>
        <v>#VALUE!</v>
      </c>
      <c r="Q72" s="29" t="str">
        <f>[4]羁绊解锁统计!$B71</f>
        <v>皇甫嵩</v>
      </c>
      <c r="R72" s="29" t="str">
        <f>IF([4]羁绊设计!$F71="红","橙+",[4]羁绊设计!$F71)</f>
        <v>橙</v>
      </c>
      <c r="S72" s="14">
        <f>IF([4]羁绊解锁统计!C71="",0,[4]羁绊解锁统计!C71-IF($R72=S$9,1,0))</f>
        <v>0</v>
      </c>
      <c r="T72" s="14">
        <f>IF([4]羁绊解锁统计!D71="",0,[4]羁绊解锁统计!D71-IF($R72=T$9,1,0))</f>
        <v>1</v>
      </c>
      <c r="U72" s="14">
        <f>IF([4]羁绊解锁统计!E71="",0,[4]羁绊解锁统计!E71-IF($R72=U$9,1,0))</f>
        <v>0</v>
      </c>
      <c r="V72" s="14">
        <f>IF([4]羁绊解锁统计!F71="",0,[4]羁绊解锁统计!F71-IF($R72=V$9,1,0))</f>
        <v>1</v>
      </c>
      <c r="W72" s="14">
        <f>IF([4]羁绊解锁统计!G71="",0,[4]羁绊解锁统计!G71-IF($R72=W$9,1,0))</f>
        <v>0</v>
      </c>
      <c r="X72" s="29">
        <f t="shared" si="3"/>
        <v>51111.111111111117</v>
      </c>
      <c r="Y72" s="10">
        <f t="shared" si="8"/>
        <v>0.1175552379919582</v>
      </c>
      <c r="AA72" s="14">
        <f t="shared" si="9"/>
        <v>0</v>
      </c>
      <c r="AB72" s="14">
        <f t="shared" si="9"/>
        <v>6</v>
      </c>
      <c r="AC72" s="14">
        <f t="shared" si="9"/>
        <v>0</v>
      </c>
      <c r="AD72" s="14">
        <f t="shared" si="9"/>
        <v>6</v>
      </c>
      <c r="AE72" s="14">
        <f t="shared" si="9"/>
        <v>0</v>
      </c>
      <c r="AF72" s="29">
        <f t="shared" si="10"/>
        <v>306666.66666666669</v>
      </c>
      <c r="AG72" s="10">
        <f t="shared" si="11"/>
        <v>0.4114433329718537</v>
      </c>
      <c r="AH72" s="87">
        <v>5.0000000000000096E-3</v>
      </c>
      <c r="AI72" s="4">
        <v>68</v>
      </c>
      <c r="AJ72" s="98">
        <f t="shared" si="17"/>
        <v>0.48292539865898454</v>
      </c>
      <c r="AK72" s="5">
        <f>'[1]资源-钻石'!$N71*求节点(武将数量星级阶位验证!$CP$41:$CP$72,武将数量星级阶位验证!$CS$41:$CS$72,节奏总纲!R71)</f>
        <v>385614.85070554499</v>
      </c>
      <c r="AL72" s="48"/>
    </row>
    <row r="73" spans="16:55" x14ac:dyDescent="0.15">
      <c r="P73" s="14" t="e">
        <f>8-COUNTIF([4]羁绊设计!$AD72:$AK72,"&amp;")</f>
        <v>#VALUE!</v>
      </c>
      <c r="Q73" s="29" t="str">
        <f>[4]羁绊解锁统计!$B72</f>
        <v>刘备</v>
      </c>
      <c r="R73" s="29" t="str">
        <f>IF([4]羁绊设计!$F72="红","橙+",[4]羁绊设计!$F72)</f>
        <v>橙+</v>
      </c>
      <c r="S73" s="14">
        <f>IF([4]羁绊解锁统计!C72="",0,[4]羁绊解锁统计!C72-IF($R73=S$9,1,0))</f>
        <v>0</v>
      </c>
      <c r="T73" s="14">
        <f>IF([4]羁绊解锁统计!D72="",0,[4]羁绊解锁统计!D72-IF($R73=T$9,1,0))</f>
        <v>0</v>
      </c>
      <c r="U73" s="14">
        <f>IF([4]羁绊解锁统计!E72="",0,[4]羁绊解锁统计!E72-IF($R73=U$9,1,0))</f>
        <v>0</v>
      </c>
      <c r="V73" s="14">
        <f>IF([4]羁绊解锁统计!F72="",0,[4]羁绊解锁统计!F72-IF($R73=V$9,1,0))</f>
        <v>5</v>
      </c>
      <c r="W73" s="14">
        <f>IF([4]羁绊解锁统计!G72="",0,[4]羁绊解锁统计!G72-IF($R73=W$9,1,0))</f>
        <v>0</v>
      </c>
      <c r="X73" s="29">
        <f t="shared" si="3"/>
        <v>68148.148148148146</v>
      </c>
      <c r="Y73" s="10">
        <f t="shared" si="8"/>
        <v>0.14374973105394928</v>
      </c>
      <c r="AA73" s="14">
        <f t="shared" si="9"/>
        <v>0</v>
      </c>
      <c r="AB73" s="14">
        <f t="shared" si="9"/>
        <v>0</v>
      </c>
      <c r="AC73" s="14">
        <f t="shared" si="9"/>
        <v>0</v>
      </c>
      <c r="AD73" s="14">
        <f t="shared" si="9"/>
        <v>30</v>
      </c>
      <c r="AE73" s="14">
        <f t="shared" si="9"/>
        <v>0</v>
      </c>
      <c r="AF73" s="29">
        <f t="shared" si="10"/>
        <v>408888.88888888888</v>
      </c>
      <c r="AG73" s="10">
        <f t="shared" si="11"/>
        <v>0.50312405868882248</v>
      </c>
      <c r="AH73" s="87">
        <v>5.0000000000000096E-3</v>
      </c>
      <c r="AI73" s="4">
        <v>69</v>
      </c>
      <c r="AJ73" s="98">
        <f t="shared" si="17"/>
        <v>0.50314942773876736</v>
      </c>
      <c r="AK73" s="5">
        <f>'[1]资源-钻石'!$N72*求节点(武将数量星级阶位验证!$CP$41:$CP$72,武将数量星级阶位验证!$CS$41:$CS$72,节奏总纲!R72)</f>
        <v>408918.12054268277</v>
      </c>
      <c r="AL73" s="48"/>
    </row>
    <row r="74" spans="16:55" x14ac:dyDescent="0.15">
      <c r="P74" s="14" t="e">
        <f>8-COUNTIF([4]羁绊设计!$AD73:$AK73,"&amp;")</f>
        <v>#VALUE!</v>
      </c>
      <c r="Q74" s="29" t="str">
        <f>[4]羁绊解锁统计!$B73</f>
        <v>孙权</v>
      </c>
      <c r="R74" s="29" t="str">
        <f>IF([4]羁绊设计!$F73="红","橙+",[4]羁绊设计!$F73)</f>
        <v>橙+</v>
      </c>
      <c r="S74" s="14">
        <f>IF([4]羁绊解锁统计!C73="",0,[4]羁绊解锁统计!C73-IF($R74=S$9,1,0))</f>
        <v>0</v>
      </c>
      <c r="T74" s="14">
        <f>IF([4]羁绊解锁统计!D73="",0,[4]羁绊解锁统计!D73-IF($R74=T$9,1,0))</f>
        <v>0</v>
      </c>
      <c r="U74" s="14">
        <f>IF([4]羁绊解锁统计!E73="",0,[4]羁绊解锁统计!E73-IF($R74=U$9,1,0))</f>
        <v>1</v>
      </c>
      <c r="V74" s="14">
        <f>IF([4]羁绊解锁统计!F73="",0,[4]羁绊解锁统计!F73-IF($R74=V$9,1,0))</f>
        <v>5</v>
      </c>
      <c r="W74" s="14">
        <f>IF([4]羁绊解锁统计!G73="",0,[4]羁绊解锁统计!G73-IF($R74=W$9,1,0))</f>
        <v>0</v>
      </c>
      <c r="X74" s="29">
        <f t="shared" si="3"/>
        <v>68148.148148148146</v>
      </c>
      <c r="Y74" s="10">
        <f t="shared" si="8"/>
        <v>0.14374973105394928</v>
      </c>
      <c r="AA74" s="14">
        <f t="shared" si="9"/>
        <v>0</v>
      </c>
      <c r="AB74" s="14">
        <f t="shared" si="9"/>
        <v>0</v>
      </c>
      <c r="AC74" s="14">
        <f t="shared" si="9"/>
        <v>6</v>
      </c>
      <c r="AD74" s="14">
        <f t="shared" si="9"/>
        <v>30</v>
      </c>
      <c r="AE74" s="14">
        <f t="shared" ref="AE74:AE81" si="18">W74*INDEX($B$4:$F$4,1,MATCH($R74,$B$3:$F$3,0))</f>
        <v>0</v>
      </c>
      <c r="AF74" s="29">
        <f t="shared" si="10"/>
        <v>408888.88888888888</v>
      </c>
      <c r="AG74" s="10">
        <f t="shared" si="11"/>
        <v>0.50312405868882248</v>
      </c>
      <c r="AH74" s="87">
        <v>5.0000000000000096E-3</v>
      </c>
      <c r="AI74" s="4">
        <v>70</v>
      </c>
      <c r="AJ74" s="98">
        <f t="shared" si="17"/>
        <v>0.52448226942580745</v>
      </c>
      <c r="AK74" s="5">
        <f>'[1]资源-钻石'!$N73*求节点(武将数量星级阶位验证!$CP$41:$CP$72,武将数量星级阶位验证!$CS$41:$CS$72,节奏总纲!R73)</f>
        <v>433939.48569099541</v>
      </c>
      <c r="AL74" s="48"/>
      <c r="AP74" s="8" t="s">
        <v>78</v>
      </c>
      <c r="AQ74" s="8"/>
      <c r="AR74" s="173" t="s">
        <v>286</v>
      </c>
      <c r="AS74" s="173"/>
      <c r="AT74" s="173"/>
      <c r="AU74" s="173"/>
      <c r="AV74" s="173"/>
      <c r="AW74" s="173"/>
      <c r="BA74" s="35" t="s">
        <v>78</v>
      </c>
      <c r="BB74" s="29" t="s">
        <v>55</v>
      </c>
      <c r="BC74" s="51"/>
    </row>
    <row r="75" spans="16:55" x14ac:dyDescent="0.15">
      <c r="P75" s="14" t="e">
        <f>8-COUNTIF([4]羁绊设计!$AD74:$AK74,"&amp;")</f>
        <v>#VALUE!</v>
      </c>
      <c r="Q75" s="29" t="str">
        <f>[4]羁绊解锁统计!$B74</f>
        <v>法正</v>
      </c>
      <c r="R75" s="29" t="str">
        <f>IF([4]羁绊设计!$F74="红","橙+",[4]羁绊设计!$F74)</f>
        <v>橙</v>
      </c>
      <c r="S75" s="14">
        <f>IF([4]羁绊解锁统计!C74="",0,[4]羁绊解锁统计!C74-IF($R75=S$9,1,0))</f>
        <v>0</v>
      </c>
      <c r="T75" s="14">
        <f>IF([4]羁绊解锁统计!D74="",0,[4]羁绊解锁统计!D74-IF($R75=T$9,1,0))</f>
        <v>0</v>
      </c>
      <c r="U75" s="14">
        <f>IF([4]羁绊解锁统计!E74="",0,[4]羁绊解锁统计!E74-IF($R75=U$9,1,0))</f>
        <v>0</v>
      </c>
      <c r="V75" s="14">
        <f>IF([4]羁绊解锁统计!F74="",0,[4]羁绊解锁统计!F74-IF($R75=V$9,1,0))</f>
        <v>0</v>
      </c>
      <c r="W75" s="14">
        <f>IF([4]羁绊解锁统计!G74="",0,[4]羁绊解锁统计!G74-IF($R75=W$9,1,0))</f>
        <v>0</v>
      </c>
      <c r="X75" s="29">
        <f t="shared" ref="X75:X81" si="19">MAX(IF(T75=0,0,$J$42*(1+J$43*(T75-1))),IF(U75=0,0,$K$42*(1+K$43*(U75-1))),IF(V75=0,0,$L$42*(1+L$43*(V75-1))),IF(W75=0,0,$M$42*(1+M$43*(W75-1))))</f>
        <v>0</v>
      </c>
      <c r="Y75" s="10">
        <f t="shared" si="8"/>
        <v>1.4285714285714287E-2</v>
      </c>
      <c r="AA75" s="14">
        <f t="shared" ref="AA75:AD81" si="20">S75*INDEX($B$4:$F$4,1,MATCH($R75,$B$3:$F$3,0))</f>
        <v>0</v>
      </c>
      <c r="AB75" s="14">
        <f t="shared" si="20"/>
        <v>0</v>
      </c>
      <c r="AC75" s="14">
        <f t="shared" si="20"/>
        <v>0</v>
      </c>
      <c r="AD75" s="14">
        <f t="shared" si="20"/>
        <v>0</v>
      </c>
      <c r="AE75" s="14">
        <f t="shared" si="18"/>
        <v>0</v>
      </c>
      <c r="AF75" s="29">
        <f t="shared" si="10"/>
        <v>0</v>
      </c>
      <c r="AG75" s="10">
        <f t="shared" si="11"/>
        <v>0.05</v>
      </c>
      <c r="AH75" s="87">
        <v>5.0000000000000096E-3</v>
      </c>
      <c r="AI75" s="4">
        <v>71</v>
      </c>
      <c r="AJ75" s="98">
        <f t="shared" si="17"/>
        <v>0.54229969933472255</v>
      </c>
      <c r="AK75" s="5">
        <f>'[1]资源-钻石'!$N74*求节点(武将数量星级阶位验证!$CP$41:$CP$72,武将数量星级阶位验证!$CS$41:$CS$72,节奏总纲!R74)</f>
        <v>455176.64669559395</v>
      </c>
      <c r="AL75" s="48"/>
      <c r="AP75" s="8" t="s">
        <v>478</v>
      </c>
      <c r="AQ75" s="50"/>
      <c r="AR75" s="19" t="s">
        <v>3</v>
      </c>
      <c r="AS75" s="19" t="s">
        <v>1</v>
      </c>
      <c r="AT75" s="19" t="s">
        <v>2</v>
      </c>
      <c r="AU75" s="19" t="s">
        <v>0</v>
      </c>
      <c r="AV75" s="19" t="s">
        <v>545</v>
      </c>
      <c r="AW75" s="8" t="s">
        <v>228</v>
      </c>
      <c r="BA75" s="32" t="s">
        <v>478</v>
      </c>
      <c r="BB75" s="29" t="s">
        <v>368</v>
      </c>
      <c r="BC75" s="29" t="s">
        <v>369</v>
      </c>
    </row>
    <row r="76" spans="16:55" x14ac:dyDescent="0.15">
      <c r="P76" s="14" t="e">
        <f>8-COUNTIF([4]羁绊设计!$AD75:$AK75,"&amp;")</f>
        <v>#VALUE!</v>
      </c>
      <c r="Q76" s="29">
        <f>[4]羁绊解锁统计!$B75</f>
        <v>0</v>
      </c>
      <c r="R76" s="29" t="str">
        <f>IF([4]羁绊设计!$F75="红","橙+",[4]羁绊设计!$F75)</f>
        <v>橙+</v>
      </c>
      <c r="S76" s="14">
        <f>IF([4]羁绊解锁统计!C75="",0,[4]羁绊解锁统计!C75-IF($R76=S$9,1,0))</f>
        <v>0</v>
      </c>
      <c r="T76" s="14">
        <f>IF([4]羁绊解锁统计!D75="",0,[4]羁绊解锁统计!D75-IF($R76=T$9,1,0))</f>
        <v>0</v>
      </c>
      <c r="U76" s="14">
        <f>IF([4]羁绊解锁统计!E75="",0,[4]羁绊解锁统计!E75-IF($R76=U$9,1,0))</f>
        <v>0</v>
      </c>
      <c r="V76" s="14">
        <f>IF([4]羁绊解锁统计!F75="",0,[4]羁绊解锁统计!F75-IF($R76=V$9,1,0))</f>
        <v>0</v>
      </c>
      <c r="W76" s="14">
        <f>IF([4]羁绊解锁统计!G75="",0,[4]羁绊解锁统计!G75-IF($R76=W$9,1,0))</f>
        <v>0</v>
      </c>
      <c r="X76" s="29">
        <f t="shared" si="19"/>
        <v>0</v>
      </c>
      <c r="Y76" s="10">
        <f t="shared" si="8"/>
        <v>1.4285714285714287E-2</v>
      </c>
      <c r="AA76" s="14">
        <f t="shared" si="20"/>
        <v>0</v>
      </c>
      <c r="AB76" s="14">
        <f t="shared" si="20"/>
        <v>0</v>
      </c>
      <c r="AC76" s="14">
        <f t="shared" si="20"/>
        <v>0</v>
      </c>
      <c r="AD76" s="14">
        <f t="shared" si="20"/>
        <v>0</v>
      </c>
      <c r="AE76" s="14">
        <f t="shared" si="18"/>
        <v>0</v>
      </c>
      <c r="AF76" s="29">
        <f t="shared" si="10"/>
        <v>0</v>
      </c>
      <c r="AG76" s="10">
        <f t="shared" si="11"/>
        <v>0.05</v>
      </c>
      <c r="AH76" s="87">
        <v>5.0000000000000096E-3</v>
      </c>
      <c r="AI76" s="4">
        <v>72</v>
      </c>
      <c r="AJ76" s="98">
        <f t="shared" si="17"/>
        <v>0.56008809253701319</v>
      </c>
      <c r="AK76" s="5">
        <f>'[1]资源-钻石'!$N75*求节点(武将数量星级阶位验证!$CP$41:$CP$72,武将数量星级阶位验证!$CS$41:$CS$72,节奏总纲!R75)</f>
        <v>476680.84294077585</v>
      </c>
      <c r="AL76" s="48"/>
      <c r="AP76" s="14">
        <f>基础状态预期!D152</f>
        <v>10.00263241450434</v>
      </c>
      <c r="AQ76" s="14">
        <f>(求节点(其他调用!$I$4:$I$503,其他调用!$M$4:$M$503,武将数量星级阶位验证!AS142))*求节点(武将数量星级阶位验证!$CP$41:$CP$72,武将数量星级阶位验证!$CT$41:$CT$72,武将数量星级阶位验证!AS142)</f>
        <v>22773.157130282267</v>
      </c>
      <c r="AR76" s="14">
        <f>IF(武将升级!Y139="",0,求节点($AK$5:$AK$104,$AJ$5:$AJ$104,AQ$7)*B$5*武将升级!Y139)</f>
        <v>0</v>
      </c>
      <c r="AS76" s="14">
        <f>IF(武将升级!Z139="",0,求节点($AK$5:$AK$104,$AJ$5:$AJ$104,$AQ76)*C$5*武将升级!Z139)</f>
        <v>0</v>
      </c>
      <c r="AT76" s="14">
        <f>IF(武将升级!AA139="",0,求节点($AK$5:$AK$104,$AJ$5:$AJ$104,$AQ76)*D$5*武将升级!AA139)</f>
        <v>0</v>
      </c>
      <c r="AU76" s="14">
        <f>IF(武将升级!AB139="",0,求节点($AK$5:$AK$104,$AJ$5:$AJ$104,$AQ76)*E$5*武将升级!AB139)</f>
        <v>91.519962430971376</v>
      </c>
      <c r="AV76" s="14">
        <f>IF(武将升级!AC139="",0,求节点($AK$5:$AK$104,$AJ$5:$AJ$104,$AQ76)*F$5*武将升级!AC139)</f>
        <v>0</v>
      </c>
      <c r="AW76" s="8">
        <f>SUMPRODUCT(AR76:AV76,基础状态预期!F152:J152)/SUM(基础状态预期!F152:J152)</f>
        <v>91.519962430971376</v>
      </c>
      <c r="BA76" s="29">
        <v>10</v>
      </c>
      <c r="BB76" s="29">
        <f>求节点($AP$76:$AP$92,$AW$76:$AW$92,BA76)</f>
        <v>91.495876923621267</v>
      </c>
      <c r="BC76" s="55">
        <f>BB76*INDEX([2]大r将兵属性验证!$W$7:$W$106+[2]大r将兵属性验证!$X$7:$X$106,BA76,1)</f>
        <v>1826758.7242859013</v>
      </c>
    </row>
    <row r="77" spans="16:55" x14ac:dyDescent="0.15">
      <c r="P77" s="14" t="e">
        <f>8-COUNTIF([4]羁绊设计!$AD76:$AK76,"&amp;")</f>
        <v>#VALUE!</v>
      </c>
      <c r="Q77" s="29" t="str">
        <f>[4]羁绊解锁统计!$B76</f>
        <v>水镜先生</v>
      </c>
      <c r="R77" s="29" t="str">
        <f>IF([4]羁绊设计!$F76="红","橙+",[4]羁绊设计!$F76)</f>
        <v>橙</v>
      </c>
      <c r="S77" s="14">
        <f>IF([4]羁绊解锁统计!C76="",0,[4]羁绊解锁统计!C76-IF($R77=S$9,1,0))</f>
        <v>0</v>
      </c>
      <c r="T77" s="14">
        <f>IF([4]羁绊解锁统计!D76="",0,[4]羁绊解锁统计!D76-IF($R77=T$9,1,0))</f>
        <v>0</v>
      </c>
      <c r="U77" s="14">
        <f>IF([4]羁绊解锁统计!E76="",0,[4]羁绊解锁统计!E76-IF($R77=U$9,1,0))</f>
        <v>0</v>
      </c>
      <c r="V77" s="14">
        <f>IF([4]羁绊解锁统计!F76="",0,[4]羁绊解锁统计!F76-IF($R77=V$9,1,0))</f>
        <v>0</v>
      </c>
      <c r="W77" s="14">
        <f>IF([4]羁绊解锁统计!G76="",0,[4]羁绊解锁统计!G76-IF($R77=W$9,1,0))</f>
        <v>0</v>
      </c>
      <c r="X77" s="29">
        <f t="shared" si="19"/>
        <v>0</v>
      </c>
      <c r="Y77" s="10">
        <f t="shared" si="8"/>
        <v>1.4285714285714287E-2</v>
      </c>
      <c r="AA77" s="14">
        <f t="shared" si="20"/>
        <v>0</v>
      </c>
      <c r="AB77" s="14">
        <f t="shared" si="20"/>
        <v>0</v>
      </c>
      <c r="AC77" s="14">
        <f t="shared" si="20"/>
        <v>0</v>
      </c>
      <c r="AD77" s="14">
        <f t="shared" si="20"/>
        <v>0</v>
      </c>
      <c r="AE77" s="14">
        <f t="shared" si="18"/>
        <v>0</v>
      </c>
      <c r="AF77" s="29">
        <f t="shared" si="10"/>
        <v>0</v>
      </c>
      <c r="AG77" s="10">
        <f t="shared" si="11"/>
        <v>0.05</v>
      </c>
      <c r="AH77" s="87">
        <v>5.0000000000000096E-3</v>
      </c>
      <c r="AI77" s="4">
        <v>73</v>
      </c>
      <c r="AJ77" s="98">
        <f t="shared" si="17"/>
        <v>0.57859924077175484</v>
      </c>
      <c r="AK77" s="5">
        <f>'[1]资源-钻石'!$N76*求节点(武将数量星级阶位验证!$CP$41:$CP$72,武将数量星级阶位验证!$CS$41:$CS$72,节奏总纲!R76)</f>
        <v>499372.87497925293</v>
      </c>
      <c r="AL77" s="48"/>
      <c r="AP77" s="14">
        <f>基础状态预期!D153</f>
        <v>19.43005414991557</v>
      </c>
      <c r="AQ77" s="14">
        <f>(求节点(其他调用!$I$4:$I$503,其他调用!$M$4:$M$503,武将数量星级阶位验证!AS143))*求节点(武将数量星级阶位验证!$CP$41:$CP$72,武将数量星级阶位验证!$CT$41:$CT$72,武将数量星级阶位验证!AS143)</f>
        <v>56215.569302443626</v>
      </c>
      <c r="AR77" s="14">
        <f>IF(武将升级!Y140="",0,求节点($AK$5:$AK$104,$AJ$5:$AJ$104,AQ$7)*B$5*武将升级!Y140)</f>
        <v>0</v>
      </c>
      <c r="AS77" s="14">
        <f>IF(武将升级!Z140="",0,求节点($AK$5:$AK$104,$AJ$5:$AJ$104,$AQ77)*C$5*武将升级!Z140)</f>
        <v>0</v>
      </c>
      <c r="AT77" s="14">
        <f>IF(武将升级!AA140="",0,求节点($AK$5:$AK$104,$AJ$5:$AJ$104,$AQ77)*D$5*武将升级!AA140)</f>
        <v>0</v>
      </c>
      <c r="AU77" s="14">
        <f>IF(武将升级!AB140="",0,求节点($AK$5:$AK$104,$AJ$5:$AJ$104,$AQ77)*E$5*武将升级!AB140)</f>
        <v>243.21514221773361</v>
      </c>
      <c r="AV77" s="14">
        <f>IF(武将升级!AC140="",0,求节点($AK$5:$AK$104,$AJ$5:$AJ$104,$AQ77)*F$5*武将升级!AC140)</f>
        <v>0</v>
      </c>
      <c r="AW77" s="8">
        <f>SUMPRODUCT(AR77:AV77,基础状态预期!F153:J153)/SUM(基础状态预期!F153:J153)</f>
        <v>243.21514221773361</v>
      </c>
      <c r="BA77" s="29">
        <v>20</v>
      </c>
      <c r="BB77" s="29">
        <f t="shared" ref="BB77:BB85" si="21">求节点($AP$76:$AP$92,$AW$76:$AW$92,BA77)</f>
        <v>255.39933589516951</v>
      </c>
      <c r="BC77" s="56">
        <f>(BB77-BB76)*INDEX([2]大r将兵属性验证!$W$7:$W$106+[2]大r将兵属性验证!$X$7:$X$106,BA77,1)+BC76</f>
        <v>11321710.685547451</v>
      </c>
    </row>
    <row r="78" spans="16:55" x14ac:dyDescent="0.15">
      <c r="P78" s="14" t="e">
        <f>8-COUNTIF([4]羁绊设计!$AD77:$AK77,"&amp;")</f>
        <v>#VALUE!</v>
      </c>
      <c r="Q78" s="29" t="str">
        <f>[4]羁绊解锁统计!$B77</f>
        <v>蒋琬</v>
      </c>
      <c r="R78" s="29" t="str">
        <f>IF([4]羁绊设计!$F77="红","橙+",[4]羁绊设计!$F77)</f>
        <v>橙+</v>
      </c>
      <c r="S78" s="14">
        <f>IF([4]羁绊解锁统计!C77="",0,[4]羁绊解锁统计!C77-IF($R78=S$9,1,0))</f>
        <v>0</v>
      </c>
      <c r="T78" s="14">
        <f>IF([4]羁绊解锁统计!D77="",0,[4]羁绊解锁统计!D77-IF($R78=T$9,1,0))</f>
        <v>0</v>
      </c>
      <c r="U78" s="14">
        <f>IF([4]羁绊解锁统计!E77="",0,[4]羁绊解锁统计!E77-IF($R78=U$9,1,0))</f>
        <v>0</v>
      </c>
      <c r="V78" s="14">
        <f>IF([4]羁绊解锁统计!F77="",0,[4]羁绊解锁统计!F77-IF($R78=V$9,1,0))</f>
        <v>0</v>
      </c>
      <c r="W78" s="14">
        <f>IF([4]羁绊解锁统计!G77="",0,[4]羁绊解锁统计!G77-IF($R78=W$9,1,0))</f>
        <v>0</v>
      </c>
      <c r="X78" s="29">
        <f t="shared" si="19"/>
        <v>0</v>
      </c>
      <c r="Y78" s="10">
        <f t="shared" si="8"/>
        <v>1.4285714285714287E-2</v>
      </c>
      <c r="AA78" s="14">
        <f t="shared" si="20"/>
        <v>0</v>
      </c>
      <c r="AB78" s="14">
        <f t="shared" si="20"/>
        <v>0</v>
      </c>
      <c r="AC78" s="14">
        <f t="shared" si="20"/>
        <v>0</v>
      </c>
      <c r="AD78" s="14">
        <f t="shared" si="20"/>
        <v>0</v>
      </c>
      <c r="AE78" s="14">
        <f t="shared" si="18"/>
        <v>0</v>
      </c>
      <c r="AF78" s="29">
        <f t="shared" si="10"/>
        <v>0</v>
      </c>
      <c r="AG78" s="10">
        <f t="shared" si="11"/>
        <v>0.05</v>
      </c>
      <c r="AH78" s="87">
        <v>5.0000000000000096E-3</v>
      </c>
      <c r="AI78" s="4">
        <v>74</v>
      </c>
      <c r="AJ78" s="98">
        <f t="shared" si="17"/>
        <v>0.60003800986007128</v>
      </c>
      <c r="AK78" s="5">
        <f>'[1]资源-钻石'!$N77*求节点(武将数量星级阶位验证!$CP$41:$CP$72,武将数量星级阶位验证!$CS$41:$CS$72,节奏总纲!R77)</f>
        <v>526046.49259482208</v>
      </c>
      <c r="AL78" s="48"/>
      <c r="AP78" s="14">
        <f>基础状态预期!D154</f>
        <v>27.324610510337703</v>
      </c>
      <c r="AQ78" s="14">
        <f>(求节点(其他调用!$I$4:$I$503,其他调用!$M$4:$M$503,武将数量星级阶位验证!AS144))*求节点(武将数量星级阶位验证!$CP$41:$CP$72,武将数量星级阶位验证!$CT$41:$CT$72,武将数量星级阶位验证!AS144)</f>
        <v>87345.072579677493</v>
      </c>
      <c r="AR78" s="14">
        <f>IF(武将升级!Y141="",0,求节点($AK$5:$AK$104,$AJ$5:$AJ$104,AQ$7)*B$5*武将升级!Y141)</f>
        <v>0</v>
      </c>
      <c r="AS78" s="14">
        <f>IF(武将升级!Z141="",0,求节点($AK$5:$AK$104,$AJ$5:$AJ$104,$AQ78)*C$5*武将升级!Z141)</f>
        <v>0</v>
      </c>
      <c r="AT78" s="14">
        <f>IF(武将升级!AA141="",0,求节点($AK$5:$AK$104,$AJ$5:$AJ$104,$AQ78)*D$5*武将升级!AA141)</f>
        <v>0</v>
      </c>
      <c r="AU78" s="14">
        <f>IF(武将升级!AB141="",0,求节点($AK$5:$AK$104,$AJ$5:$AJ$104,$AQ78)*E$5*武将升级!AB141)</f>
        <v>411.98346236352921</v>
      </c>
      <c r="AV78" s="14">
        <f>IF(武将升级!AC141="",0,求节点($AK$5:$AK$104,$AJ$5:$AJ$104,$AQ78)*F$5*武将升级!AC141)</f>
        <v>0</v>
      </c>
      <c r="AW78" s="8">
        <f>SUMPRODUCT(AR78:AV78,基础状态预期!F154:J154)/SUM(基础状态预期!F154:J154)</f>
        <v>411.98346236352921</v>
      </c>
      <c r="BA78" s="29">
        <v>30</v>
      </c>
      <c r="BB78" s="29">
        <f t="shared" si="21"/>
        <v>498.13361800093952</v>
      </c>
      <c r="BC78" s="56">
        <f>(BB78-BB77)*INDEX([2]大r将兵属性验证!$W$7:$W$106+[2]大r将兵属性验证!$X$7:$X$106,BA78,1)+BC77</f>
        <v>45620396.260387495</v>
      </c>
    </row>
    <row r="79" spans="16:55" x14ac:dyDescent="0.15">
      <c r="P79" s="14" t="e">
        <f>8-COUNTIF([4]羁绊设计!$AD78:$AK78,"&amp;")</f>
        <v>#VALUE!</v>
      </c>
      <c r="Q79" s="29">
        <f>[4]羁绊解锁统计!$B78</f>
        <v>0</v>
      </c>
      <c r="R79" s="29" t="str">
        <f>IF([4]羁绊设计!$F78="红","橙+",[4]羁绊设计!$F78)</f>
        <v>橙</v>
      </c>
      <c r="S79" s="14">
        <f>IF([4]羁绊解锁统计!C78="",0,[4]羁绊解锁统计!C78-IF($R79=S$9,1,0))</f>
        <v>0</v>
      </c>
      <c r="T79" s="14">
        <f>IF([4]羁绊解锁统计!D78="",0,[4]羁绊解锁统计!D78-IF($R79=T$9,1,0))</f>
        <v>0</v>
      </c>
      <c r="U79" s="14">
        <f>IF([4]羁绊解锁统计!E78="",0,[4]羁绊解锁统计!E78-IF($R79=U$9,1,0))</f>
        <v>0</v>
      </c>
      <c r="V79" s="14">
        <f>IF([4]羁绊解锁统计!F78="",0,[4]羁绊解锁统计!F78-IF($R79=V$9,1,0))</f>
        <v>0</v>
      </c>
      <c r="W79" s="14">
        <f>IF([4]羁绊解锁统计!G78="",0,[4]羁绊解锁统计!G78-IF($R79=W$9,1,0))</f>
        <v>0</v>
      </c>
      <c r="X79" s="29">
        <f t="shared" si="19"/>
        <v>0</v>
      </c>
      <c r="Y79" s="10">
        <f t="shared" ref="Y79:Y83" si="22">AG79/3.5</f>
        <v>1.4285714285714287E-2</v>
      </c>
      <c r="AA79" s="14">
        <f t="shared" si="20"/>
        <v>0</v>
      </c>
      <c r="AB79" s="14">
        <f t="shared" si="20"/>
        <v>0</v>
      </c>
      <c r="AC79" s="14">
        <f t="shared" si="20"/>
        <v>0</v>
      </c>
      <c r="AD79" s="14">
        <f t="shared" si="20"/>
        <v>0</v>
      </c>
      <c r="AE79" s="14">
        <f t="shared" si="18"/>
        <v>0</v>
      </c>
      <c r="AF79" s="29">
        <f t="shared" ref="AF79:AF83" si="23">X79*INDEX($B$4:$F$4,1,MATCH(R79,$B$3:$F$3,0))</f>
        <v>0</v>
      </c>
      <c r="AG79" s="10">
        <f t="shared" ref="AG79:AG83" si="24">MAX(求节点($AK$5:$AK$104,$AJ$5:$AJ$104,IF(AF79=0,2000,AF79))*INDEX($B$5:$F$5,1,MATCH(R79,$B$14:$F$14,0),1),0.05)</f>
        <v>0.05</v>
      </c>
      <c r="AH79" s="87">
        <v>5.0000000000000096E-3</v>
      </c>
      <c r="AI79" s="4">
        <v>75</v>
      </c>
      <c r="AJ79" s="98">
        <f t="shared" si="17"/>
        <v>0.62208064630756243</v>
      </c>
      <c r="AK79" s="5">
        <f>'[1]资源-钻石'!$N78*求节点(武将数量星级阶位验证!$CP$41:$CP$72,武将数量星级阶位验证!$CS$41:$CS$72,节奏总纲!R78)</f>
        <v>553902.24315155798</v>
      </c>
      <c r="AL79" s="48"/>
      <c r="AP79" s="14">
        <f>基础状态预期!D155</f>
        <v>33.672145166817529</v>
      </c>
      <c r="AQ79" s="14">
        <f>(求节点(其他调用!$I$4:$I$503,其他调用!$M$4:$M$503,武将数量星级阶位验证!AS145))*求节点(武将数量星级阶位验证!$CP$41:$CP$72,武将数量星级阶位验证!$CT$41:$CT$72,武将数量星级阶位验证!AS145)</f>
        <v>125995.32641700194</v>
      </c>
      <c r="AR79" s="14">
        <f>IF(武将升级!Y142="",0,求节点($AK$5:$AK$104,$AJ$5:$AJ$104,AQ$7)*B$5*武将升级!Y142)</f>
        <v>0</v>
      </c>
      <c r="AS79" s="14">
        <f>IF(武将升级!Z142="",0,求节点($AK$5:$AK$104,$AJ$5:$AJ$104,$AQ79)*C$5*武将升级!Z142)</f>
        <v>0</v>
      </c>
      <c r="AT79" s="14">
        <f>IF(武将升级!AA142="",0,求节点($AK$5:$AK$104,$AJ$5:$AJ$104,$AQ79)*D$5*武将升级!AA142)</f>
        <v>0</v>
      </c>
      <c r="AU79" s="14">
        <f>IF(武将升级!AB142="",0,求节点($AK$5:$AK$104,$AJ$5:$AJ$104,$AQ79)*E$5*武将升级!AB142)</f>
        <v>616.38028035305422</v>
      </c>
      <c r="AV79" s="14">
        <f>IF(武将升级!AC142="",0,求节点($AK$5:$AK$104,$AJ$5:$AJ$104,$AQ79)*F$5*武将升级!AC142)</f>
        <v>0</v>
      </c>
      <c r="AW79" s="8">
        <f>SUMPRODUCT(AR79:AV79,基础状态预期!F155:J155)/SUM(基础状态预期!F155:J155)</f>
        <v>616.38028035305422</v>
      </c>
      <c r="BA79" s="29">
        <v>40</v>
      </c>
      <c r="BB79" s="29">
        <f t="shared" si="21"/>
        <v>894.68517769619461</v>
      </c>
      <c r="BC79" s="56">
        <f>(BB79-BB78)*INDEX([2]大r将兵属性验证!$W$7:$W$106+[2]大r将兵属性验证!$X$7:$X$106,BA79,1)+BC78</f>
        <v>195448917.5369733</v>
      </c>
    </row>
    <row r="80" spans="16:55" x14ac:dyDescent="0.15">
      <c r="P80" s="14" t="e">
        <f>8-COUNTIF([4]羁绊设计!$AD79:$AK79,"&amp;")</f>
        <v>#VALUE!</v>
      </c>
      <c r="Q80" s="29" t="str">
        <f>[4]羁绊解锁统计!$B79</f>
        <v>韩当</v>
      </c>
      <c r="R80" s="29" t="str">
        <f>IF([4]羁绊设计!$F79="红","橙+",[4]羁绊设计!$F79)</f>
        <v>紫</v>
      </c>
      <c r="S80" s="14">
        <f>IF([4]羁绊解锁统计!C79="",0,[4]羁绊解锁统计!C79-IF($R80=S$9,1,0))</f>
        <v>0</v>
      </c>
      <c r="T80" s="14">
        <f>IF([4]羁绊解锁统计!D79="",0,[4]羁绊解锁统计!D79-IF($R80=T$9,1,0))</f>
        <v>0</v>
      </c>
      <c r="U80" s="14">
        <f>IF([4]羁绊解锁统计!E79="",0,[4]羁绊解锁统计!E79-IF($R80=U$9,1,0))</f>
        <v>2</v>
      </c>
      <c r="V80" s="14">
        <f>IF([4]羁绊解锁统计!F79="",0,[4]羁绊解锁统计!F79-IF($R80=V$9,1,0))</f>
        <v>1</v>
      </c>
      <c r="W80" s="14">
        <f>IF([4]羁绊解锁统计!G79="",0,[4]羁绊解锁统计!G79-IF($R80=W$9,1,0))</f>
        <v>0</v>
      </c>
      <c r="X80" s="29">
        <f t="shared" si="19"/>
        <v>51111.111111111117</v>
      </c>
      <c r="Y80" s="10">
        <f t="shared" si="22"/>
        <v>0.1175552379919582</v>
      </c>
      <c r="AA80" s="14">
        <f t="shared" si="20"/>
        <v>0</v>
      </c>
      <c r="AB80" s="14">
        <f t="shared" si="20"/>
        <v>0</v>
      </c>
      <c r="AC80" s="14">
        <f t="shared" si="20"/>
        <v>12</v>
      </c>
      <c r="AD80" s="14">
        <f t="shared" si="20"/>
        <v>6</v>
      </c>
      <c r="AE80" s="14">
        <f t="shared" si="18"/>
        <v>0</v>
      </c>
      <c r="AF80" s="29">
        <f t="shared" si="23"/>
        <v>306666.66666666669</v>
      </c>
      <c r="AG80" s="10">
        <f t="shared" si="24"/>
        <v>0.4114433329718537</v>
      </c>
      <c r="AH80" s="87">
        <v>5.0000000000000096E-3</v>
      </c>
      <c r="AI80" s="4">
        <v>76</v>
      </c>
      <c r="AJ80" s="98">
        <f t="shared" si="17"/>
        <v>0.63</v>
      </c>
      <c r="AK80" s="5">
        <f>'[1]资源-钻石'!$N79*求节点(武将数量星级阶位验证!$CP$41:$CP$72,武将数量星级阶位验证!$CS$41:$CS$72,节奏总纲!R79)</f>
        <v>582503.70753251761</v>
      </c>
      <c r="AL80" s="48"/>
      <c r="AP80" s="14">
        <f>基础状态预期!D156</f>
        <v>39.138098927718012</v>
      </c>
      <c r="AQ80" s="14">
        <f>(求节点(其他调用!$I$4:$I$503,其他调用!$M$4:$M$503,武将数量星级阶位验证!AS146))*求节点(武将数量星级阶位验证!$CP$41:$CP$72,武将数量星级阶位验证!$CT$41:$CT$72,武将数量星级阶位验证!AS146)</f>
        <v>170253.86594100515</v>
      </c>
      <c r="AR80" s="14">
        <f>IF(武将升级!Y143="",0,求节点($AK$5:$AK$104,$AJ$5:$AJ$104,AQ$7)*B$5*武将升级!Y143)</f>
        <v>0</v>
      </c>
      <c r="AS80" s="14">
        <f>IF(武将升级!Z143="",0,求节点($AK$5:$AK$104,$AJ$5:$AJ$104,$AQ80)*C$5*武将升级!Z143)</f>
        <v>0</v>
      </c>
      <c r="AT80" s="14">
        <f>IF(武将升级!AA143="",0,求节点($AK$5:$AK$104,$AJ$5:$AJ$104,$AQ80)*D$5*武将升级!AA143)</f>
        <v>0</v>
      </c>
      <c r="AU80" s="14">
        <f>IF(武将升级!AB143="",0,求节点($AK$5:$AK$104,$AJ$5:$AJ$104,$AQ80)*E$5*武将升级!AB143)</f>
        <v>850.19623886998761</v>
      </c>
      <c r="AV80" s="14">
        <f>IF(武将升级!AC143="",0,求节点($AK$5:$AK$104,$AJ$5:$AJ$104,$AQ80)*F$5*武将升级!AC143)</f>
        <v>0</v>
      </c>
      <c r="AW80" s="8">
        <f>SUMPRODUCT(AR80:AV80,基础状态预期!F156:J156)/SUM(基础状态预期!F156:J156)</f>
        <v>850.19623886998761</v>
      </c>
      <c r="BA80" s="29">
        <v>50</v>
      </c>
      <c r="BB80" s="29">
        <f t="shared" si="21"/>
        <v>1514.7875495291637</v>
      </c>
      <c r="BC80" s="56">
        <f>(BB80-BB79)*INDEX([2]大r将兵属性验证!$W$7:$W$106+[2]大r将兵属性验证!$X$7:$X$106,BA80,1)+BC79</f>
        <v>625564113.35479796</v>
      </c>
    </row>
    <row r="81" spans="16:55" x14ac:dyDescent="0.15">
      <c r="P81" s="14" t="e">
        <f>8-COUNTIF([4]羁绊设计!$AD80:$AK80,"&amp;")</f>
        <v>#VALUE!</v>
      </c>
      <c r="Q81" s="29">
        <f>[4]羁绊解锁统计!$B80</f>
        <v>0</v>
      </c>
      <c r="R81" s="29" t="str">
        <f>IF([4]羁绊设计!$F80="红","橙+",[4]羁绊设计!$F80)</f>
        <v>橙+</v>
      </c>
      <c r="S81" s="14">
        <f>IF([4]羁绊解锁统计!C80="",0,[4]羁绊解锁统计!C80-IF($R81=S$9,1,0))</f>
        <v>0</v>
      </c>
      <c r="T81" s="14">
        <f>IF([4]羁绊解锁统计!D80="",0,[4]羁绊解锁统计!D80-IF($R81=T$9,1,0))</f>
        <v>0</v>
      </c>
      <c r="U81" s="14">
        <f>IF([4]羁绊解锁统计!E80="",0,[4]羁绊解锁统计!E80-IF($R81=U$9,1,0))</f>
        <v>0</v>
      </c>
      <c r="V81" s="14">
        <f>IF([4]羁绊解锁统计!F80="",0,[4]羁绊解锁统计!F80-IF($R81=V$9,1,0))</f>
        <v>0</v>
      </c>
      <c r="W81" s="14">
        <f>IF([4]羁绊解锁统计!G80="",0,[4]羁绊解锁统计!G80-IF($R81=W$9,1,0))</f>
        <v>0</v>
      </c>
      <c r="X81" s="29">
        <f t="shared" si="19"/>
        <v>0</v>
      </c>
      <c r="Y81" s="10">
        <f t="shared" si="22"/>
        <v>1.4285714285714287E-2</v>
      </c>
      <c r="AA81" s="14">
        <f t="shared" si="20"/>
        <v>0</v>
      </c>
      <c r="AB81" s="14">
        <f t="shared" si="20"/>
        <v>0</v>
      </c>
      <c r="AC81" s="14">
        <f t="shared" si="20"/>
        <v>0</v>
      </c>
      <c r="AD81" s="14">
        <f t="shared" si="20"/>
        <v>0</v>
      </c>
      <c r="AE81" s="14">
        <f t="shared" si="18"/>
        <v>0</v>
      </c>
      <c r="AF81" s="29">
        <f t="shared" si="23"/>
        <v>0</v>
      </c>
      <c r="AG81" s="10">
        <f t="shared" si="24"/>
        <v>0.05</v>
      </c>
      <c r="AH81" s="87">
        <v>5.0000000000000096E-3</v>
      </c>
      <c r="AI81" s="4">
        <v>77</v>
      </c>
      <c r="AJ81" s="98">
        <f t="shared" si="17"/>
        <v>0.63</v>
      </c>
      <c r="AK81" s="5">
        <f>'[1]资源-钻石'!$N80*求节点(武将数量星级阶位验证!$CP$41:$CP$72,武将数量星级阶位验证!$CS$41:$CS$72,节奏总纲!R80)</f>
        <v>613007.63673842244</v>
      </c>
      <c r="AL81" s="48"/>
      <c r="AP81" s="14">
        <f>基础状态预期!D157</f>
        <v>42.970748198558951</v>
      </c>
      <c r="AQ81" s="14">
        <f>(求节点(其他调用!$I$4:$I$503,其他调用!$M$4:$M$503,武将数量星级阶位验证!AS147))*求节点(武将数量星级阶位验证!$CP$41:$CP$72,武将数量星级阶位验证!$CT$41:$CT$72,武将数量星级阶位验证!AS147)</f>
        <v>207399.27250511068</v>
      </c>
      <c r="AR81" s="14">
        <f>IF(武将升级!Y144="",0,求节点($AK$5:$AK$104,$AJ$5:$AJ$104,AQ$7)*B$5*武将升级!Y144)</f>
        <v>0</v>
      </c>
      <c r="AS81" s="14">
        <f>IF(武将升级!Z144="",0,求节点($AK$5:$AK$104,$AJ$5:$AJ$104,$AQ81)*C$5*武将升级!Z144)</f>
        <v>0</v>
      </c>
      <c r="AT81" s="14">
        <f>IF(武将升级!AA144="",0,求节点($AK$5:$AK$104,$AJ$5:$AJ$104,$AQ81)*D$5*武将升级!AA144)</f>
        <v>0</v>
      </c>
      <c r="AU81" s="14">
        <f>IF(武将升级!AB144="",0,求节点($AK$5:$AK$104,$AJ$5:$AJ$104,$AQ81)*E$5*武将升级!AB144)</f>
        <v>1048.0269464027003</v>
      </c>
      <c r="AV81" s="14">
        <f>IF(武将升级!AC144="",0,求节点($AK$5:$AK$104,$AJ$5:$AJ$104,$AQ81)*F$5*武将升级!AC144)</f>
        <v>0</v>
      </c>
      <c r="AW81" s="8">
        <f>SUMPRODUCT(AR81:AV81,基础状态预期!F157:J157)/SUM(基础状态预期!F157:J157)</f>
        <v>1048.0269464027003</v>
      </c>
      <c r="BA81" s="29">
        <v>60</v>
      </c>
      <c r="BB81" s="29">
        <f t="shared" si="21"/>
        <v>2458.5971182750409</v>
      </c>
      <c r="BC81" s="56">
        <f>(BB81-BB80)*INDEX([2]大r将兵属性验证!$W$7:$W$106+[2]大r将兵属性验证!$X$7:$X$106,BA81,1)+BC80</f>
        <v>2038574796.246798</v>
      </c>
    </row>
    <row r="82" spans="16:55" x14ac:dyDescent="0.15">
      <c r="P82" s="14" t="e">
        <f>8-COUNTIF([4]羁绊设计!$AD81:$AK81,"&amp;")</f>
        <v>#VALUE!</v>
      </c>
      <c r="Q82" s="29" t="str">
        <f>[4]羁绊解锁统计!$B81</f>
        <v>曹丕</v>
      </c>
      <c r="R82" s="29" t="str">
        <f>IF([4]羁绊设计!$F81="红","橙+",[4]羁绊设计!$F81)</f>
        <v>橙+</v>
      </c>
      <c r="S82" s="14">
        <f>IF([4]羁绊解锁统计!C81="",0,[4]羁绊解锁统计!C81-IF($R82=S$9,1,0))</f>
        <v>0</v>
      </c>
      <c r="T82" s="14">
        <f>IF([4]羁绊解锁统计!D81="",0,[4]羁绊解锁统计!D81-IF($R82=T$9,1,0))</f>
        <v>0</v>
      </c>
      <c r="U82" s="14">
        <f>IF([4]羁绊解锁统计!E81="",0,[4]羁绊解锁统计!E81-IF($R82=U$9,1,0))</f>
        <v>0</v>
      </c>
      <c r="V82" s="14">
        <f>IF([4]羁绊解锁统计!F81="",0,[4]羁绊解锁统计!F81-IF($R82=V$9,1,0))</f>
        <v>1</v>
      </c>
      <c r="W82" s="14">
        <f>IF([4]羁绊解锁统计!G81="",0,[4]羁绊解锁统计!G81-IF($R82=W$9,1,0))</f>
        <v>0</v>
      </c>
      <c r="X82" s="29">
        <f t="shared" ref="X82:X98" si="25">MAX(IF(T82=0,0,$J$42*(1+J$43*(T82-1))),IF(U82=0,0,$K$42*(1+K$43*(U82-1))),IF(V82=0,0,$L$42*(1+L$43*(V82-1))),IF(W82=0,0,$M$42*(1+M$43*(W82-1))))</f>
        <v>51111.111111111117</v>
      </c>
      <c r="Y82" s="10">
        <f t="shared" si="22"/>
        <v>0.1175552379919582</v>
      </c>
      <c r="AA82" s="14">
        <f t="shared" ref="AA82:AA98" si="26">S82*INDEX($B$4:$F$4,1,MATCH($R82,$B$3:$F$3,0))</f>
        <v>0</v>
      </c>
      <c r="AB82" s="14">
        <f t="shared" ref="AB82:AB98" si="27">T82*INDEX($B$4:$F$4,1,MATCH($R82,$B$3:$F$3,0))</f>
        <v>0</v>
      </c>
      <c r="AC82" s="14">
        <f t="shared" ref="AC82:AC98" si="28">U82*INDEX($B$4:$F$4,1,MATCH($R82,$B$3:$F$3,0))</f>
        <v>0</v>
      </c>
      <c r="AD82" s="14">
        <f t="shared" ref="AD82:AD98" si="29">V82*INDEX($B$4:$F$4,1,MATCH($R82,$B$3:$F$3,0))</f>
        <v>6</v>
      </c>
      <c r="AE82" s="14">
        <f t="shared" ref="AE82:AE98" si="30">W82*INDEX($B$4:$F$4,1,MATCH($R82,$B$3:$F$3,0))</f>
        <v>0</v>
      </c>
      <c r="AF82" s="29">
        <f t="shared" si="23"/>
        <v>306666.66666666669</v>
      </c>
      <c r="AG82" s="10">
        <f t="shared" si="24"/>
        <v>0.4114433329718537</v>
      </c>
      <c r="AH82" s="87">
        <v>5.0000000000000096E-3</v>
      </c>
      <c r="AI82" s="4">
        <v>78</v>
      </c>
      <c r="AJ82" s="98">
        <f t="shared" si="17"/>
        <v>0.63</v>
      </c>
      <c r="AK82" s="5">
        <f>'[1]资源-钻石'!$N81*求节点(武将数量星级阶位验证!$CP$41:$CP$72,武将数量星级阶位验证!$CS$41:$CS$72,节奏总纲!R81)</f>
        <v>644989.52926866221</v>
      </c>
      <c r="AL82" s="48"/>
      <c r="AP82" s="14">
        <f>基础状态预期!D158</f>
        <v>48.731413734867289</v>
      </c>
      <c r="AQ82" s="14">
        <f>(求节点(其他调用!$I$4:$I$503,其他调用!$M$4:$M$503,武将数量星级阶位验证!AS148))*求节点(武将数量星级阶位验证!$CP$41:$CP$72,武将数量星级阶位验证!$CT$41:$CT$72,武将数量星级阶位验证!AS148)</f>
        <v>277076.83576929086</v>
      </c>
      <c r="AR82" s="14">
        <f>IF(武将升级!Y145="",0,求节点($AK$5:$AK$104,$AJ$5:$AJ$104,AQ$7)*B$5*武将升级!Y145)</f>
        <v>0</v>
      </c>
      <c r="AS82" s="14">
        <f>IF(武将升级!Z145="",0,求节点($AK$5:$AK$104,$AJ$5:$AJ$104,$AQ82)*C$5*武将升级!Z145)</f>
        <v>0</v>
      </c>
      <c r="AT82" s="14">
        <f>IF(武将升级!AA145="",0,求节点($AK$5:$AK$104,$AJ$5:$AJ$104,$AQ82)*D$5*武将升级!AA145)</f>
        <v>0</v>
      </c>
      <c r="AU82" s="14">
        <f>IF(武将升级!AB145="",0,求节点($AK$5:$AK$104,$AJ$5:$AJ$104,$AQ82)*E$5*武将升级!AB145)</f>
        <v>1415.7032881138862</v>
      </c>
      <c r="AV82" s="14">
        <f>IF(武将升级!AC145="",0,求节点($AK$5:$AK$104,$AJ$5:$AJ$104,$AQ82)*F$5*武将升级!AC145)</f>
        <v>0</v>
      </c>
      <c r="AW82" s="8">
        <f>SUMPRODUCT(AR82:AV82,基础状态预期!F158:J158)/SUM(基础状态预期!F158:J158)</f>
        <v>1415.7032881138864</v>
      </c>
      <c r="BA82" s="29">
        <v>70</v>
      </c>
      <c r="BB82" s="29">
        <f t="shared" si="21"/>
        <v>3131.0999999999995</v>
      </c>
      <c r="BC82" s="56">
        <f>(BB82-BB81)*INDEX([2]大r将兵属性验证!$W$7:$W$106+[2]大r将兵属性验证!$X$7:$X$106,BA82,1)+BC81</f>
        <v>4292233965.0580015</v>
      </c>
    </row>
    <row r="83" spans="16:55" x14ac:dyDescent="0.15">
      <c r="P83" s="14" t="e">
        <f>8-COUNTIF([4]羁绊设计!$AD82:$AK82,"&amp;")</f>
        <v>#VALUE!</v>
      </c>
      <c r="Q83" s="29" t="str">
        <f>[4]羁绊解锁统计!$B82</f>
        <v>徐晃</v>
      </c>
      <c r="R83" s="29" t="str">
        <f>IF([4]羁绊设计!$F82="红","橙+",[4]羁绊设计!$F82)</f>
        <v>橙</v>
      </c>
      <c r="S83" s="14">
        <f>IF([4]羁绊解锁统计!C82="",0,[4]羁绊解锁统计!C82-IF($R83=S$9,1,0))</f>
        <v>0</v>
      </c>
      <c r="T83" s="14">
        <f>IF([4]羁绊解锁统计!D82="",0,[4]羁绊解锁统计!D82-IF($R83=T$9,1,0))</f>
        <v>0</v>
      </c>
      <c r="U83" s="14">
        <f>IF([4]羁绊解锁统计!E82="",0,[4]羁绊解锁统计!E82-IF($R83=U$9,1,0))</f>
        <v>1</v>
      </c>
      <c r="V83" s="14">
        <f>IF([4]羁绊解锁统计!F82="",0,[4]羁绊解锁统计!F82-IF($R83=V$9,1,0))</f>
        <v>3</v>
      </c>
      <c r="W83" s="14">
        <f>IF([4]羁绊解锁统计!G82="",0,[4]羁绊解锁统计!G82-IF($R83=W$9,1,0))</f>
        <v>0</v>
      </c>
      <c r="X83" s="29">
        <f t="shared" si="25"/>
        <v>59629.629629629642</v>
      </c>
      <c r="Y83" s="10">
        <f t="shared" si="22"/>
        <v>0.13092644438936596</v>
      </c>
      <c r="AA83" s="14">
        <f t="shared" si="26"/>
        <v>0</v>
      </c>
      <c r="AB83" s="14">
        <f t="shared" si="27"/>
        <v>0</v>
      </c>
      <c r="AC83" s="14">
        <f t="shared" si="28"/>
        <v>6</v>
      </c>
      <c r="AD83" s="14">
        <f t="shared" si="29"/>
        <v>18</v>
      </c>
      <c r="AE83" s="14">
        <f t="shared" si="30"/>
        <v>0</v>
      </c>
      <c r="AF83" s="29">
        <f t="shared" si="23"/>
        <v>357777.77777777787</v>
      </c>
      <c r="AG83" s="10">
        <f t="shared" si="24"/>
        <v>0.45824255536278086</v>
      </c>
      <c r="AH83" s="87">
        <v>5.0000000000000096E-3</v>
      </c>
      <c r="AI83" s="4">
        <v>79</v>
      </c>
      <c r="AJ83" s="98">
        <f t="shared" si="17"/>
        <v>0.63</v>
      </c>
      <c r="AK83" s="5">
        <f>'[1]资源-钻石'!$N82*求节点(武将数量星级阶位验证!$CP$41:$CP$72,武将数量星级阶位验证!$CS$41:$CS$72,节奏总纲!R82)</f>
        <v>680922.82613925415</v>
      </c>
      <c r="AL83" s="48"/>
      <c r="AP83" s="14">
        <f>基础状态预期!D159</f>
        <v>52.769987980532711</v>
      </c>
      <c r="AQ83" s="14">
        <f>(求节点(其他调用!$I$4:$I$503,其他调用!$M$4:$M$503,武将数量星级阶位验证!AS149))*求节点(武将数量星级阶位验证!$CP$41:$CP$72,武将数量星级阶位验证!$CT$41:$CT$72,武将数量星级阶位验证!AS149)</f>
        <v>337368.58790851495</v>
      </c>
      <c r="AR83" s="14">
        <f>IF(武将升级!Y146="",0,求节点($AK$5:$AK$104,$AJ$5:$AJ$104,AQ$7)*B$5*武将升级!Y146)</f>
        <v>0</v>
      </c>
      <c r="AS83" s="14">
        <f>IF(武将升级!Z146="",0,求节点($AK$5:$AK$104,$AJ$5:$AJ$104,$AQ83)*C$5*武将升级!Z146)</f>
        <v>0</v>
      </c>
      <c r="AT83" s="14">
        <f>IF(武将升级!AA146="",0,求节点($AK$5:$AK$104,$AJ$5:$AJ$104,$AQ83)*D$5*武将升级!AA146)</f>
        <v>0</v>
      </c>
      <c r="AU83" s="14">
        <f>IF(武将升级!AB146="",0,求节点($AK$5:$AK$104,$AJ$5:$AJ$104,$AQ83)*E$5*武将升级!AB146)</f>
        <v>1731.1403674051851</v>
      </c>
      <c r="AV83" s="14">
        <f>IF(武将升级!AC146="",0,求节点($AK$5:$AK$104,$AJ$5:$AJ$104,$AQ83)*F$5*武将升级!AC146)</f>
        <v>1731.1403674051851</v>
      </c>
      <c r="AW83" s="8">
        <f>SUMPRODUCT(AR83:AV83,基础状态预期!F159:J159)/SUM(基础状态预期!F159:J159)</f>
        <v>1731.1403674051851</v>
      </c>
      <c r="BA83" s="29">
        <v>80</v>
      </c>
      <c r="BB83" s="29">
        <f t="shared" si="21"/>
        <v>3509.1000000000004</v>
      </c>
      <c r="BC83" s="56">
        <f>(BB83-BB82)*INDEX([2]大r将兵属性验证!$W$7:$W$106+[2]大r将兵属性验证!$X$7:$X$106,BA83,1)+BC82</f>
        <v>7102152608.1663094</v>
      </c>
    </row>
    <row r="84" spans="16:55" x14ac:dyDescent="0.15">
      <c r="P84" s="14" t="e">
        <f>8-COUNTIF([4]羁绊设计!$AD83:$AK83,"&amp;")</f>
        <v>#VALUE!</v>
      </c>
      <c r="Q84" s="29" t="str">
        <f>[4]羁绊解锁统计!$B83</f>
        <v>小乔</v>
      </c>
      <c r="R84" s="29" t="str">
        <f>IF([4]羁绊设计!$F83="红","橙+",[4]羁绊设计!$F83)</f>
        <v>橙</v>
      </c>
      <c r="S84" s="14">
        <f>IF([4]羁绊解锁统计!C83="",0,[4]羁绊解锁统计!C83-IF($R84=S$9,1,0))</f>
        <v>0</v>
      </c>
      <c r="T84" s="14">
        <f>IF([4]羁绊解锁统计!D83="",0,[4]羁绊解锁统计!D83-IF($R84=T$9,1,0))</f>
        <v>0</v>
      </c>
      <c r="U84" s="14">
        <f>IF([4]羁绊解锁统计!E83="",0,[4]羁绊解锁统计!E83-IF($R84=U$9,1,0))</f>
        <v>0</v>
      </c>
      <c r="V84" s="14">
        <f>IF([4]羁绊解锁统计!F83="",0,[4]羁绊解锁统计!F83-IF($R84=V$9,1,0))</f>
        <v>1</v>
      </c>
      <c r="W84" s="14">
        <f>IF([4]羁绊解锁统计!G83="",0,[4]羁绊解锁统计!G83-IF($R84=W$9,1,0))</f>
        <v>0</v>
      </c>
      <c r="X84" s="29">
        <f t="shared" si="25"/>
        <v>51111.111111111117</v>
      </c>
      <c r="Y84" s="10">
        <f t="shared" ref="Y84:Y98" si="31">AG84/3.5</f>
        <v>0.1175552379919582</v>
      </c>
      <c r="AA84" s="14">
        <f t="shared" si="26"/>
        <v>0</v>
      </c>
      <c r="AB84" s="14">
        <f t="shared" si="27"/>
        <v>0</v>
      </c>
      <c r="AC84" s="14">
        <f t="shared" si="28"/>
        <v>0</v>
      </c>
      <c r="AD84" s="14">
        <f t="shared" si="29"/>
        <v>6</v>
      </c>
      <c r="AE84" s="14">
        <f t="shared" si="30"/>
        <v>0</v>
      </c>
      <c r="AF84" s="29">
        <f t="shared" ref="AF84:AF98" si="32">X84*INDEX($B$4:$F$4,1,MATCH(R84,$B$3:$F$3,0))</f>
        <v>306666.66666666669</v>
      </c>
      <c r="AG84" s="10">
        <f t="shared" ref="AG84:AG98" si="33">MAX(求节点($AK$5:$AK$104,$AJ$5:$AJ$104,IF(AF84=0,2000,AF84))*INDEX($B$5:$F$5,1,MATCH(R84,$B$14:$F$14,0),1),0.05)</f>
        <v>0.4114433329718537</v>
      </c>
      <c r="AH84" s="87">
        <v>5.0000000000000096E-3</v>
      </c>
      <c r="AI84" s="4">
        <v>80</v>
      </c>
      <c r="AJ84" s="98">
        <f t="shared" si="17"/>
        <v>0.63</v>
      </c>
      <c r="AK84" s="5">
        <f>'[1]资源-钻石'!$N83*求节点(武将数量星级阶位验证!$CP$41:$CP$72,武将数量星级阶位验证!$CS$41:$CS$72,节奏总纲!R83)</f>
        <v>716300.54346507066</v>
      </c>
      <c r="AL84" s="48"/>
      <c r="AP84" s="14">
        <f>基础状态预期!D160</f>
        <v>58.701446767877648</v>
      </c>
      <c r="AQ84" s="14">
        <f>(求节点(其他调用!$I$4:$I$503,其他调用!$M$4:$M$503,武将数量星级阶位验证!AS150))*求节点(武将数量星级阶位验证!$CP$41:$CP$72,武将数量星级阶位验证!$CT$41:$CT$72,武将数量星级阶位验证!AS150)</f>
        <v>453782.44012968015</v>
      </c>
      <c r="AR84" s="14">
        <f>IF(武将升级!Y147="",0,求节点($AK$5:$AK$104,$AJ$5:$AJ$104,AQ$7)*B$5*武将升级!Y147)</f>
        <v>0</v>
      </c>
      <c r="AS84" s="14">
        <f>IF(武将升级!Z147="",0,求节点($AK$5:$AK$104,$AJ$5:$AJ$104,$AQ84)*C$5*武将升级!Z147)</f>
        <v>0</v>
      </c>
      <c r="AT84" s="14">
        <f>IF(武将升级!AA147="",0,求节点($AK$5:$AK$104,$AJ$5:$AJ$104,$AQ84)*D$5*武将升级!AA147)</f>
        <v>0</v>
      </c>
      <c r="AU84" s="14">
        <f>IF(武将升级!AB147="",0,求节点($AK$5:$AK$104,$AJ$5:$AJ$104,$AQ84)*E$5*武将升级!AB147)</f>
        <v>2322.5769162584206</v>
      </c>
      <c r="AV84" s="14">
        <f>IF(武将升级!AC147="",0,求节点($AK$5:$AK$104,$AJ$5:$AJ$104,$AQ84)*F$5*武将升级!AC147)</f>
        <v>2322.5769162584206</v>
      </c>
      <c r="AW84" s="8">
        <f>SUMPRODUCT(AR84:AV84,基础状态预期!F160:J160)/SUM(基础状态预期!F160:J160)</f>
        <v>2322.5769162584206</v>
      </c>
      <c r="BA84" s="29">
        <v>90</v>
      </c>
      <c r="BB84" s="29">
        <f t="shared" si="21"/>
        <v>3870.716289588921</v>
      </c>
      <c r="BC84" s="56">
        <f>(BB84-BB83)*INDEX([2]大r将兵属性验证!$W$7:$W$106+[2]大r将兵属性验证!$X$7:$X$106,BA84,1)+BC83</f>
        <v>12681843178.799259</v>
      </c>
    </row>
    <row r="85" spans="16:55" x14ac:dyDescent="0.15">
      <c r="P85" s="14" t="e">
        <f>8-COUNTIF([4]羁绊设计!$AD84:$AK84,"&amp;")</f>
        <v>#VALUE!</v>
      </c>
      <c r="Q85" s="29" t="str">
        <f>[4]羁绊解锁统计!$B84</f>
        <v>马云禄</v>
      </c>
      <c r="R85" s="29" t="str">
        <f>IF([4]羁绊设计!$F84="红","橙+",[4]羁绊设计!$F84)</f>
        <v>橙</v>
      </c>
      <c r="S85" s="14">
        <f>IF([4]羁绊解锁统计!C84="",0,[4]羁绊解锁统计!C84-IF($R85=S$9,1,0))</f>
        <v>0</v>
      </c>
      <c r="T85" s="14">
        <f>IF([4]羁绊解锁统计!D84="",0,[4]羁绊解锁统计!D84-IF($R85=T$9,1,0))</f>
        <v>0</v>
      </c>
      <c r="U85" s="14">
        <f>IF([4]羁绊解锁统计!E84="",0,[4]羁绊解锁统计!E84-IF($R85=U$9,1,0))</f>
        <v>0</v>
      </c>
      <c r="V85" s="14">
        <f>IF([4]羁绊解锁统计!F84="",0,[4]羁绊解锁统计!F84-IF($R85=V$9,1,0))</f>
        <v>3</v>
      </c>
      <c r="W85" s="14">
        <f>IF([4]羁绊解锁统计!G84="",0,[4]羁绊解锁统计!G84-IF($R85=W$9,1,0))</f>
        <v>0</v>
      </c>
      <c r="X85" s="29">
        <f t="shared" si="25"/>
        <v>59629.629629629642</v>
      </c>
      <c r="Y85" s="10">
        <f t="shared" si="31"/>
        <v>0.13092644438936596</v>
      </c>
      <c r="AA85" s="14">
        <f t="shared" si="26"/>
        <v>0</v>
      </c>
      <c r="AB85" s="14">
        <f t="shared" si="27"/>
        <v>0</v>
      </c>
      <c r="AC85" s="14">
        <f t="shared" si="28"/>
        <v>0</v>
      </c>
      <c r="AD85" s="14">
        <f t="shared" si="29"/>
        <v>18</v>
      </c>
      <c r="AE85" s="14">
        <f t="shared" si="30"/>
        <v>0</v>
      </c>
      <c r="AF85" s="29">
        <f t="shared" si="32"/>
        <v>357777.77777777787</v>
      </c>
      <c r="AG85" s="10">
        <f t="shared" si="33"/>
        <v>0.45824255536278086</v>
      </c>
      <c r="AH85" s="87">
        <v>5.0000000000000096E-3</v>
      </c>
      <c r="AI85" s="4">
        <v>81</v>
      </c>
      <c r="AJ85" s="98">
        <f t="shared" si="17"/>
        <v>0.63</v>
      </c>
      <c r="AK85" s="5">
        <f>'[1]资源-钻石'!$N84*求节点(武将数量星级阶位验证!$CP$41:$CP$72,武将数量星级阶位验证!$CS$41:$CS$72,节奏总纲!R84)</f>
        <v>751038.99185571924</v>
      </c>
      <c r="AL85" s="48"/>
      <c r="AP85" s="14">
        <f>基础状态预期!D161</f>
        <v>64.399012521055653</v>
      </c>
      <c r="AQ85" s="14">
        <f>(求节点(其他调用!$I$4:$I$503,其他调用!$M$4:$M$503,武将数量星级阶位验证!AS151))*求节点(武将数量星级阶位验证!$CP$41:$CP$72,武将数量星级阶位验证!$CT$41:$CT$72,武将数量星级阶位验证!AS151)</f>
        <v>629809.0656779689</v>
      </c>
      <c r="AR85" s="14">
        <f>IF(武将升级!Y148="",0,求节点($AK$5:$AK$104,$AJ$5:$AJ$104,AQ$7)*B$5*武将升级!Y148)</f>
        <v>0</v>
      </c>
      <c r="AS85" s="14">
        <f>IF(武将升级!Z148="",0,求节点($AK$5:$AK$104,$AJ$5:$AJ$104,$AQ85)*C$5*武将升级!Z148)</f>
        <v>0</v>
      </c>
      <c r="AT85" s="14">
        <f>IF(武将升级!AA148="",0,求节点($AK$5:$AK$104,$AJ$5:$AJ$104,$AQ85)*D$5*武将升级!AA148)</f>
        <v>0</v>
      </c>
      <c r="AU85" s="14">
        <f>IF(武将升级!AB148="",0,求节点($AK$5:$AK$104,$AJ$5:$AJ$104,$AQ85)*E$5*武将升级!AB148)</f>
        <v>2919.3826732959033</v>
      </c>
      <c r="AV85" s="14">
        <f>IF(武将升级!AC148="",0,求节点($AK$5:$AK$104,$AJ$5:$AJ$104,$AQ85)*F$5*武将升级!AC148)</f>
        <v>2919.3826732959033</v>
      </c>
      <c r="AW85" s="8">
        <f>SUMPRODUCT(AR85:AV85,基础状态预期!F161:J161)/SUM(基础状态预期!F161:J161)</f>
        <v>2919.3826732959037</v>
      </c>
      <c r="BA85" s="29">
        <v>100</v>
      </c>
      <c r="BB85" s="29">
        <f t="shared" si="21"/>
        <v>4228.4414206463252</v>
      </c>
      <c r="BC85" s="56">
        <f>(BB85-BB84)*INDEX([2]大r将兵属性验证!$W$7:$W$106+[2]大r将兵属性验证!$X$7:$X$106,BA85,1)+BC84</f>
        <v>20209374331.930962</v>
      </c>
    </row>
    <row r="86" spans="16:55" x14ac:dyDescent="0.15">
      <c r="P86" s="14" t="e">
        <f>8-COUNTIF([4]羁绊设计!$AD85:$AK85,"&amp;")</f>
        <v>#VALUE!</v>
      </c>
      <c r="Q86" s="29" t="str">
        <f>[4]羁绊解锁统计!$B85</f>
        <v>蔡文姬</v>
      </c>
      <c r="R86" s="29" t="str">
        <f>IF([4]羁绊设计!$F85="红","橙+",[4]羁绊设计!$F85)</f>
        <v>橙+</v>
      </c>
      <c r="S86" s="14">
        <f>IF([4]羁绊解锁统计!C85="",0,[4]羁绊解锁统计!C85-IF($R86=S$9,1,0))</f>
        <v>0</v>
      </c>
      <c r="T86" s="14">
        <f>IF([4]羁绊解锁统计!D85="",0,[4]羁绊解锁统计!D85-IF($R86=T$9,1,0))</f>
        <v>0</v>
      </c>
      <c r="U86" s="14">
        <f>IF([4]羁绊解锁统计!E85="",0,[4]羁绊解锁统计!E85-IF($R86=U$9,1,0))</f>
        <v>0</v>
      </c>
      <c r="V86" s="14">
        <f>IF([4]羁绊解锁统计!F85="",0,[4]羁绊解锁统计!F85-IF($R86=V$9,1,0))</f>
        <v>2</v>
      </c>
      <c r="W86" s="14">
        <f>IF([4]羁绊解锁统计!G85="",0,[4]羁绊解锁统计!G85-IF($R86=W$9,1,0))</f>
        <v>0</v>
      </c>
      <c r="X86" s="29">
        <f t="shared" si="25"/>
        <v>55370.370370370372</v>
      </c>
      <c r="Y86" s="10">
        <f t="shared" si="31"/>
        <v>0.12431584111409054</v>
      </c>
      <c r="AA86" s="14">
        <f t="shared" si="26"/>
        <v>0</v>
      </c>
      <c r="AB86" s="14">
        <f t="shared" si="27"/>
        <v>0</v>
      </c>
      <c r="AC86" s="14">
        <f t="shared" si="28"/>
        <v>0</v>
      </c>
      <c r="AD86" s="14">
        <f t="shared" si="29"/>
        <v>12</v>
      </c>
      <c r="AE86" s="14">
        <f t="shared" si="30"/>
        <v>0</v>
      </c>
      <c r="AF86" s="29">
        <f t="shared" si="32"/>
        <v>332222.22222222225</v>
      </c>
      <c r="AG86" s="10">
        <f t="shared" si="33"/>
        <v>0.43510544389931688</v>
      </c>
      <c r="AH86" s="87">
        <v>5.0000000000000096E-3</v>
      </c>
      <c r="AI86" s="4">
        <v>82</v>
      </c>
      <c r="AJ86" s="98">
        <f t="shared" si="17"/>
        <v>0.63</v>
      </c>
      <c r="AK86" s="5">
        <f>'[1]资源-钻石'!$N85*求节点(武将数量星级阶位验证!$CP$41:$CP$72,武将数量星级阶位验证!$CS$41:$CS$72,节奏总纲!R85)</f>
        <v>788600.10652072076</v>
      </c>
      <c r="AL86" s="48"/>
      <c r="AP86" s="14">
        <f>基础状态预期!D162</f>
        <v>68.627579426319684</v>
      </c>
      <c r="AQ86" s="14">
        <f>(求节点(其他调用!$I$4:$I$503,其他调用!$M$4:$M$503,武将数量星级阶位验证!AS152))*求节点(武将数量星级阶位验证!$CP$41:$CP$72,武将数量星级阶位验证!$CT$41:$CT$72,武将数量星级阶位验证!AS152)</f>
        <v>796908.269343914</v>
      </c>
      <c r="AR86" s="14">
        <f>IF(武将升级!Y149="",0,求节点($AK$5:$AK$104,$AJ$5:$AJ$104,AQ$7)*B$5*武将升级!Y149)</f>
        <v>0</v>
      </c>
      <c r="AS86" s="14">
        <f>IF(武将升级!Z149="",0,求节点($AK$5:$AK$104,$AJ$5:$AJ$104,$AQ86)*C$5*武将升级!Z149)</f>
        <v>0</v>
      </c>
      <c r="AT86" s="14">
        <f>IF(武将升级!AA149="",0,求节点($AK$5:$AK$104,$AJ$5:$AJ$104,$AQ86)*D$5*武将升级!AA149)</f>
        <v>0</v>
      </c>
      <c r="AU86" s="14">
        <f>IF(武将升级!AB149="",0,求节点($AK$5:$AK$104,$AJ$5:$AJ$104,$AQ86)*E$5*武将升级!AB149)</f>
        <v>3079.222502314884</v>
      </c>
      <c r="AV86" s="14">
        <f>IF(武将升级!AC149="",0,求节点($AK$5:$AK$104,$AJ$5:$AJ$104,$AQ86)*F$5*武将升级!AC149)</f>
        <v>3079.222502314884</v>
      </c>
      <c r="AW86" s="8">
        <f>SUMPRODUCT(AR86:AV86,基础状态预期!F162:J162)/SUM(基础状态预期!F162:J162)</f>
        <v>3079.222502314884</v>
      </c>
    </row>
    <row r="87" spans="16:55" x14ac:dyDescent="0.15">
      <c r="P87" s="14" t="e">
        <f>8-COUNTIF([4]羁绊设计!$AD86:$AK86,"&amp;")</f>
        <v>#VALUE!</v>
      </c>
      <c r="Q87" s="29" t="str">
        <f>[4]羁绊解锁统计!$B86</f>
        <v>项羽</v>
      </c>
      <c r="R87" s="29" t="str">
        <f>IF([4]羁绊设计!$F86="红","橙+",[4]羁绊设计!$F86)</f>
        <v>橙+</v>
      </c>
      <c r="S87" s="14">
        <f>IF([4]羁绊解锁统计!C86="",0,[4]羁绊解锁统计!C86-IF($R87=S$9,1,0))</f>
        <v>0</v>
      </c>
      <c r="T87" s="14">
        <f>IF([4]羁绊解锁统计!D86="",0,[4]羁绊解锁统计!D86-IF($R87=T$9,1,0))</f>
        <v>0</v>
      </c>
      <c r="U87" s="14">
        <f>IF([4]羁绊解锁统计!E86="",0,[4]羁绊解锁统计!E86-IF($R87=U$9,1,0))</f>
        <v>0</v>
      </c>
      <c r="V87" s="14">
        <f>IF([4]羁绊解锁统计!F86="",0,[4]羁绊解锁统计!F86-IF($R87=V$9,1,0))</f>
        <v>0</v>
      </c>
      <c r="W87" s="14">
        <f>IF([4]羁绊解锁统计!G86="",0,[4]羁绊解锁统计!G86-IF($R87=W$9,1,0))</f>
        <v>1</v>
      </c>
      <c r="X87" s="29">
        <f t="shared" si="25"/>
        <v>8614.6666666666661</v>
      </c>
      <c r="Y87" s="10">
        <f t="shared" si="31"/>
        <v>3.3850863955445211E-2</v>
      </c>
      <c r="AA87" s="14">
        <f t="shared" si="26"/>
        <v>0</v>
      </c>
      <c r="AB87" s="14">
        <f t="shared" si="27"/>
        <v>0</v>
      </c>
      <c r="AC87" s="14">
        <f t="shared" si="28"/>
        <v>0</v>
      </c>
      <c r="AD87" s="14">
        <f t="shared" si="29"/>
        <v>0</v>
      </c>
      <c r="AE87" s="14">
        <f t="shared" si="30"/>
        <v>6</v>
      </c>
      <c r="AF87" s="29">
        <f t="shared" si="32"/>
        <v>51688</v>
      </c>
      <c r="AG87" s="10">
        <f t="shared" si="33"/>
        <v>0.11847802384405823</v>
      </c>
      <c r="AH87" s="87">
        <v>5.0000000000000096E-3</v>
      </c>
      <c r="AI87" s="4">
        <v>83</v>
      </c>
      <c r="AJ87" s="98">
        <f t="shared" si="17"/>
        <v>0.63</v>
      </c>
      <c r="AK87" s="5">
        <f>'[1]资源-钻石'!$N86*求节点(武将数量星级阶位验证!$CP$41:$CP$72,武将数量星级阶位验证!$CS$41:$CS$72,节奏总纲!R86)</f>
        <v>829045.80881511664</v>
      </c>
      <c r="AL87" s="48"/>
      <c r="AP87" s="14">
        <f>基础状态预期!D163</f>
        <v>71.882008108111634</v>
      </c>
      <c r="AQ87" s="14">
        <f>(求节点(其他调用!$I$4:$I$503,其他调用!$M$4:$M$503,武将数量星级阶位验证!AS153))*求节点(武将数量星级阶位验证!$CP$41:$CP$72,武将数量星级阶位验证!$CT$41:$CT$72,武将数量星级阶位验证!AS153)</f>
        <v>957412.05919722212</v>
      </c>
      <c r="AR87" s="14">
        <f>IF(武将升级!Y150="",0,求节点($AK$5:$AK$104,$AJ$5:$AJ$104,AQ$7)*B$5*武将升级!Y150)</f>
        <v>0</v>
      </c>
      <c r="AS87" s="14">
        <f>IF(武将升级!Z150="",0,求节点($AK$5:$AK$104,$AJ$5:$AJ$104,$AQ87)*C$5*武将升级!Z150)</f>
        <v>0</v>
      </c>
      <c r="AT87" s="14">
        <f>IF(武将升级!AA150="",0,求节点($AK$5:$AK$104,$AJ$5:$AJ$104,$AQ87)*D$5*武将升级!AA150)</f>
        <v>0</v>
      </c>
      <c r="AU87" s="14">
        <f>IF(武将升级!AB150="",0,求节点($AK$5:$AK$104,$AJ$5:$AJ$104,$AQ87)*E$5*武将升级!AB150)</f>
        <v>3202.2399064866195</v>
      </c>
      <c r="AV87" s="14">
        <f>IF(武将升级!AC150="",0,求节点($AK$5:$AK$104,$AJ$5:$AJ$104,$AQ87)*F$5*武将升级!AC150)</f>
        <v>3202.2399064866195</v>
      </c>
      <c r="AW87" s="8">
        <f>SUMPRODUCT(AR87:AV87,基础状态预期!F163:J163)/SUM(基础状态预期!F163:J163)</f>
        <v>3202.239906486619</v>
      </c>
    </row>
    <row r="88" spans="16:55" x14ac:dyDescent="0.15">
      <c r="P88" s="14" t="e">
        <f>8-COUNTIF([4]羁绊设计!$AD87:$AK87,"&amp;")</f>
        <v>#VALUE!</v>
      </c>
      <c r="Q88" s="29">
        <f>[4]羁绊解锁统计!$B87</f>
        <v>0</v>
      </c>
      <c r="R88" s="29" t="str">
        <f>IF([4]羁绊设计!$F87="红","橙+",[4]羁绊设计!$F87)</f>
        <v>橙</v>
      </c>
      <c r="S88" s="14">
        <f>IF([4]羁绊解锁统计!C87="",0,[4]羁绊解锁统计!C87-IF($R88=S$9,1,0))</f>
        <v>0</v>
      </c>
      <c r="T88" s="14">
        <f>IF([4]羁绊解锁统计!D87="",0,[4]羁绊解锁统计!D87-IF($R88=T$9,1,0))</f>
        <v>0</v>
      </c>
      <c r="U88" s="14">
        <f>IF([4]羁绊解锁统计!E87="",0,[4]羁绊解锁统计!E87-IF($R88=U$9,1,0))</f>
        <v>0</v>
      </c>
      <c r="V88" s="14">
        <f>IF([4]羁绊解锁统计!F87="",0,[4]羁绊解锁统计!F87-IF($R88=V$9,1,0))</f>
        <v>0</v>
      </c>
      <c r="W88" s="14">
        <f>IF([4]羁绊解锁统计!G87="",0,[4]羁绊解锁统计!G87-IF($R88=W$9,1,0))</f>
        <v>0</v>
      </c>
      <c r="X88" s="29">
        <f t="shared" si="25"/>
        <v>0</v>
      </c>
      <c r="Y88" s="10">
        <f t="shared" si="31"/>
        <v>1.4285714285714287E-2</v>
      </c>
      <c r="AA88" s="14">
        <f t="shared" si="26"/>
        <v>0</v>
      </c>
      <c r="AB88" s="14">
        <f t="shared" si="27"/>
        <v>0</v>
      </c>
      <c r="AC88" s="14">
        <f t="shared" si="28"/>
        <v>0</v>
      </c>
      <c r="AD88" s="14">
        <f t="shared" si="29"/>
        <v>0</v>
      </c>
      <c r="AE88" s="14">
        <f t="shared" si="30"/>
        <v>0</v>
      </c>
      <c r="AF88" s="29">
        <f t="shared" si="32"/>
        <v>0</v>
      </c>
      <c r="AG88" s="10">
        <f t="shared" si="33"/>
        <v>0.05</v>
      </c>
      <c r="AH88" s="87">
        <v>5.0000000000000096E-3</v>
      </c>
      <c r="AI88" s="4">
        <v>84</v>
      </c>
      <c r="AJ88" s="98">
        <f t="shared" si="17"/>
        <v>0.63</v>
      </c>
      <c r="AK88" s="5">
        <f>'[1]资源-钻石'!$N87*求节点(武将数量星级阶位验证!$CP$41:$CP$72,武将数量星级阶位验证!$CS$41:$CS$72,节奏总纲!R87)</f>
        <v>873046.91146002081</v>
      </c>
      <c r="AL88" s="48"/>
      <c r="AP88" s="14">
        <f>基础状态预期!D164</f>
        <v>74.493385467679886</v>
      </c>
      <c r="AQ88" s="14">
        <f>(求节点(其他调用!$I$4:$I$503,其他调用!$M$4:$M$503,武将数量星级阶位验证!AS154))*求节点(武将数量星级阶位验证!$CP$41:$CP$72,武将数量星级阶位验证!$CT$41:$CT$72,武将数量星级阶位验证!AS154)</f>
        <v>1113938.0115476612</v>
      </c>
      <c r="AR88" s="14">
        <f>IF(武将升级!Y151="",0,求节点($AK$5:$AK$104,$AJ$5:$AJ$104,AQ$7)*B$5*武将升级!Y151)</f>
        <v>0</v>
      </c>
      <c r="AS88" s="14">
        <f>IF(武将升级!Z151="",0,求节点($AK$5:$AK$104,$AJ$5:$AJ$104,$AQ88)*C$5*武将升级!Z151)</f>
        <v>0</v>
      </c>
      <c r="AT88" s="14">
        <f>IF(武将升级!AA151="",0,求节点($AK$5:$AK$104,$AJ$5:$AJ$104,$AQ88)*D$5*武将升级!AA151)</f>
        <v>0</v>
      </c>
      <c r="AU88" s="14">
        <f>IF(武将升级!AB151="",0,求节点($AK$5:$AK$104,$AJ$5:$AJ$104,$AQ88)*E$5*武将升级!AB151)</f>
        <v>3300.9499706782995</v>
      </c>
      <c r="AV88" s="14">
        <f>IF(武将升级!AC151="",0,求节点($AK$5:$AK$104,$AJ$5:$AJ$104,$AQ88)*F$5*武将升级!AC151)</f>
        <v>3300.9499706782995</v>
      </c>
      <c r="AW88" s="8">
        <f>SUMPRODUCT(AR88:AV88,基础状态预期!F164:J164)/SUM(基础状态预期!F164:J164)</f>
        <v>3300.9499706782995</v>
      </c>
    </row>
    <row r="89" spans="16:55" x14ac:dyDescent="0.15">
      <c r="P89" s="14" t="e">
        <f>8-COUNTIF([4]羁绊设计!$AD88:$AK88,"&amp;")</f>
        <v>#VALUE!</v>
      </c>
      <c r="Q89" s="29" t="str">
        <f>[4]羁绊解锁统计!$B88</f>
        <v>高顺</v>
      </c>
      <c r="R89" s="29" t="str">
        <f>IF([4]羁绊设计!$F88="红","橙+",[4]羁绊设计!$F88)</f>
        <v>橙</v>
      </c>
      <c r="S89" s="14">
        <f>IF([4]羁绊解锁统计!C88="",0,[4]羁绊解锁统计!C88-IF($R89=S$9,1,0))</f>
        <v>0</v>
      </c>
      <c r="T89" s="14">
        <f>IF([4]羁绊解锁统计!D88="",0,[4]羁绊解锁统计!D88-IF($R89=T$9,1,0))</f>
        <v>0</v>
      </c>
      <c r="U89" s="14">
        <f>IF([4]羁绊解锁统计!E88="",0,[4]羁绊解锁统计!E88-IF($R89=U$9,1,0))</f>
        <v>0</v>
      </c>
      <c r="V89" s="14">
        <f>IF([4]羁绊解锁统计!F88="",0,[4]羁绊解锁统计!F88-IF($R89=V$9,1,0))</f>
        <v>0</v>
      </c>
      <c r="W89" s="14">
        <f>IF([4]羁绊解锁统计!G88="",0,[4]羁绊解锁统计!G88-IF($R89=W$9,1,0))</f>
        <v>0</v>
      </c>
      <c r="X89" s="29">
        <f t="shared" si="25"/>
        <v>0</v>
      </c>
      <c r="Y89" s="10">
        <f t="shared" si="31"/>
        <v>1.4285714285714287E-2</v>
      </c>
      <c r="AA89" s="14">
        <f t="shared" si="26"/>
        <v>0</v>
      </c>
      <c r="AB89" s="14">
        <f t="shared" si="27"/>
        <v>0</v>
      </c>
      <c r="AC89" s="14">
        <f t="shared" si="28"/>
        <v>0</v>
      </c>
      <c r="AD89" s="14">
        <f t="shared" si="29"/>
        <v>0</v>
      </c>
      <c r="AE89" s="14">
        <f t="shared" si="30"/>
        <v>0</v>
      </c>
      <c r="AF89" s="29">
        <f t="shared" si="32"/>
        <v>0</v>
      </c>
      <c r="AG89" s="10">
        <f t="shared" si="33"/>
        <v>0.05</v>
      </c>
      <c r="AH89" s="87">
        <v>5.0000000000000096E-3</v>
      </c>
      <c r="AI89" s="4">
        <v>85</v>
      </c>
      <c r="AJ89" s="98">
        <f t="shared" si="17"/>
        <v>0.63</v>
      </c>
      <c r="AK89" s="5">
        <f>'[1]资源-钻石'!$N88*求节点(武将数量星级阶位验证!$CP$41:$CP$72,武将数量星级阶位验证!$CS$41:$CS$72,节奏总纲!R88)</f>
        <v>918576.67140612041</v>
      </c>
      <c r="AL89" s="48"/>
      <c r="AP89" s="14">
        <f>基础状态预期!D165</f>
        <v>77.332919927503724</v>
      </c>
      <c r="AQ89" s="14">
        <f>(求节点(其他调用!$I$4:$I$503,其他调用!$M$4:$M$503,武将数量星级阶位验证!AS155))*求节点(武将数量星级阶位验证!$CP$41:$CP$72,武将数量星级阶位验证!$CT$41:$CT$72,武将数量星级阶位验证!AS155)</f>
        <v>1299766.9581740187</v>
      </c>
      <c r="AR89" s="14">
        <f>IF(武将升级!Y152="",0,求节点($AK$5:$AK$104,$AJ$5:$AJ$104,AQ$7)*B$5*武将升级!Y152)</f>
        <v>0</v>
      </c>
      <c r="AS89" s="14">
        <f>IF(武将升级!Z152="",0,求节点($AK$5:$AK$104,$AJ$5:$AJ$104,$AQ89)*C$5*武将升级!Z152)</f>
        <v>0</v>
      </c>
      <c r="AT89" s="14">
        <f>IF(武将升级!AA152="",0,求节点($AK$5:$AK$104,$AJ$5:$AJ$104,$AQ89)*D$5*武将升级!AA152)</f>
        <v>0</v>
      </c>
      <c r="AU89" s="14">
        <f>IF(武将升级!AB152="",0,求节点($AK$5:$AK$104,$AJ$5:$AJ$104,$AQ89)*E$5*武将升级!AB152)</f>
        <v>0</v>
      </c>
      <c r="AV89" s="14">
        <f>IF(武将升级!AC152="",0,求节点($AK$5:$AK$104,$AJ$5:$AJ$104,$AQ89)*F$5*武将升级!AC152)</f>
        <v>3408.2843732596407</v>
      </c>
      <c r="AW89" s="8">
        <f>SUMPRODUCT(AR89:AV89,基础状态预期!F165:J165)/SUM(基础状态预期!F165:J165)</f>
        <v>3408.2843732596407</v>
      </c>
    </row>
    <row r="90" spans="16:55" x14ac:dyDescent="0.15">
      <c r="P90" s="14" t="e">
        <f>8-COUNTIF([4]羁绊设计!$AD89:$AK89,"&amp;")</f>
        <v>#VALUE!</v>
      </c>
      <c r="Q90" s="29" t="str">
        <f>[4]羁绊解锁统计!$B89</f>
        <v>庞德</v>
      </c>
      <c r="R90" s="29" t="str">
        <f>IF([4]羁绊设计!$F89="红","橙+",[4]羁绊设计!$F89)</f>
        <v>橙</v>
      </c>
      <c r="S90" s="14">
        <f>IF([4]羁绊解锁统计!C89="",0,[4]羁绊解锁统计!C89-IF($R90=S$9,1,0))</f>
        <v>0</v>
      </c>
      <c r="T90" s="14">
        <f>IF([4]羁绊解锁统计!D89="",0,[4]羁绊解锁统计!D89-IF($R90=T$9,1,0))</f>
        <v>0</v>
      </c>
      <c r="U90" s="14">
        <f>IF([4]羁绊解锁统计!E89="",0,[4]羁绊解锁统计!E89-IF($R90=U$9,1,0))</f>
        <v>0</v>
      </c>
      <c r="V90" s="14">
        <f>IF([4]羁绊解锁统计!F89="",0,[4]羁绊解锁统计!F89-IF($R90=V$9,1,0))</f>
        <v>3</v>
      </c>
      <c r="W90" s="14">
        <f>IF([4]羁绊解锁统计!G89="",0,[4]羁绊解锁统计!G89-IF($R90=W$9,1,0))</f>
        <v>0</v>
      </c>
      <c r="X90" s="29">
        <f t="shared" si="25"/>
        <v>59629.629629629642</v>
      </c>
      <c r="Y90" s="10">
        <f t="shared" si="31"/>
        <v>0.13092644438936596</v>
      </c>
      <c r="AA90" s="14">
        <f t="shared" si="26"/>
        <v>0</v>
      </c>
      <c r="AB90" s="14">
        <f t="shared" si="27"/>
        <v>0</v>
      </c>
      <c r="AC90" s="14">
        <f t="shared" si="28"/>
        <v>0</v>
      </c>
      <c r="AD90" s="14">
        <f t="shared" si="29"/>
        <v>18</v>
      </c>
      <c r="AE90" s="14">
        <f t="shared" si="30"/>
        <v>0</v>
      </c>
      <c r="AF90" s="29">
        <f t="shared" si="32"/>
        <v>357777.77777777787</v>
      </c>
      <c r="AG90" s="10">
        <f t="shared" si="33"/>
        <v>0.45824255536278086</v>
      </c>
      <c r="AH90" s="87">
        <v>5.0000000000000096E-3</v>
      </c>
      <c r="AI90" s="4">
        <v>86</v>
      </c>
      <c r="AJ90" s="98">
        <f t="shared" si="17"/>
        <v>0.63</v>
      </c>
      <c r="AK90" s="5">
        <f>'[1]资源-钻石'!$N89*求节点(武将数量星级阶位验证!$CP$41:$CP$72,武将数量星级阶位验证!$CS$41:$CS$72,节奏总纲!R89)</f>
        <v>967385.59594537329</v>
      </c>
      <c r="AL90" s="48"/>
      <c r="AP90" s="14">
        <f>基础状态预期!D166</f>
        <v>79.813360188853366</v>
      </c>
      <c r="AQ90" s="14">
        <f>(求节点(其他调用!$I$4:$I$503,其他调用!$M$4:$M$503,武将数量星级阶位验证!AS156))*求节点(武将数量星级阶位验证!$CP$41:$CP$72,武将数量星级阶位验证!$CT$41:$CT$72,武将数量星级阶位验证!AS156)</f>
        <v>1485753.4459940277</v>
      </c>
      <c r="AR90" s="14">
        <f>IF(武将升级!Y153="",0,求节点($AK$5:$AK$104,$AJ$5:$AJ$104,AQ$7)*B$5*武将升级!Y153)</f>
        <v>0</v>
      </c>
      <c r="AS90" s="14">
        <f>IF(武将升级!Z153="",0,求节点($AK$5:$AK$104,$AJ$5:$AJ$104,$AQ90)*C$5*武将升级!Z153)</f>
        <v>0</v>
      </c>
      <c r="AT90" s="14">
        <f>IF(武将升级!AA153="",0,求节点($AK$5:$AK$104,$AJ$5:$AJ$104,$AQ90)*D$5*武将升级!AA153)</f>
        <v>0</v>
      </c>
      <c r="AU90" s="14">
        <f>IF(武将升级!AB153="",0,求节点($AK$5:$AK$104,$AJ$5:$AJ$104,$AQ90)*E$5*武将升级!AB153)</f>
        <v>0</v>
      </c>
      <c r="AV90" s="14">
        <f>IF(武将升级!AC153="",0,求节点($AK$5:$AK$104,$AJ$5:$AJ$104,$AQ90)*F$5*武将升级!AC153)</f>
        <v>3502.0450151386576</v>
      </c>
      <c r="AW90" s="8">
        <f>SUMPRODUCT(AR90:AV90,基础状态预期!F166:J166)/SUM(基础状态预期!F166:J166)</f>
        <v>3502.0450151386576</v>
      </c>
    </row>
    <row r="91" spans="16:55" x14ac:dyDescent="0.15">
      <c r="P91" s="14" t="e">
        <f>8-COUNTIF([4]羁绊设计!$AD90:$AK90,"&amp;")</f>
        <v>#VALUE!</v>
      </c>
      <c r="Q91" s="29" t="str">
        <f>[4]羁绊解锁统计!$B90</f>
        <v>姜维</v>
      </c>
      <c r="R91" s="29" t="str">
        <f>IF([4]羁绊设计!$F90="红","橙+",[4]羁绊设计!$F90)</f>
        <v>橙+</v>
      </c>
      <c r="S91" s="14">
        <f>IF([4]羁绊解锁统计!C90="",0,[4]羁绊解锁统计!C90-IF($R91=S$9,1,0))</f>
        <v>0</v>
      </c>
      <c r="T91" s="14">
        <f>IF([4]羁绊解锁统计!D90="",0,[4]羁绊解锁统计!D90-IF($R91=T$9,1,0))</f>
        <v>0</v>
      </c>
      <c r="U91" s="14">
        <f>IF([4]羁绊解锁统计!E90="",0,[4]羁绊解锁统计!E90-IF($R91=U$9,1,0))</f>
        <v>0</v>
      </c>
      <c r="V91" s="14">
        <f>IF([4]羁绊解锁统计!F90="",0,[4]羁绊解锁统计!F90-IF($R91=V$9,1,0))</f>
        <v>1</v>
      </c>
      <c r="W91" s="14">
        <f>IF([4]羁绊解锁统计!G90="",0,[4]羁绊解锁统计!G90-IF($R91=W$9,1,0))</f>
        <v>0</v>
      </c>
      <c r="X91" s="29">
        <f t="shared" si="25"/>
        <v>51111.111111111117</v>
      </c>
      <c r="Y91" s="10">
        <f t="shared" si="31"/>
        <v>0.1175552379919582</v>
      </c>
      <c r="AA91" s="14">
        <f t="shared" si="26"/>
        <v>0</v>
      </c>
      <c r="AB91" s="14">
        <f t="shared" si="27"/>
        <v>0</v>
      </c>
      <c r="AC91" s="14">
        <f t="shared" si="28"/>
        <v>0</v>
      </c>
      <c r="AD91" s="14">
        <f t="shared" si="29"/>
        <v>6</v>
      </c>
      <c r="AE91" s="14">
        <f t="shared" si="30"/>
        <v>0</v>
      </c>
      <c r="AF91" s="29">
        <f t="shared" si="32"/>
        <v>306666.66666666669</v>
      </c>
      <c r="AG91" s="10">
        <f t="shared" si="33"/>
        <v>0.4114433329718537</v>
      </c>
      <c r="AH91" s="87">
        <v>5.0000000000000096E-3</v>
      </c>
      <c r="AI91" s="4">
        <v>87</v>
      </c>
      <c r="AJ91" s="98">
        <f t="shared" si="17"/>
        <v>0.63</v>
      </c>
      <c r="AK91" s="5">
        <f>'[1]资源-钻石'!$N90*求节点(武将数量星级阶位验证!$CP$41:$CP$72,武将数量星级阶位验证!$CS$41:$CS$72,节奏总纲!R90)</f>
        <v>1019591.6849306144</v>
      </c>
      <c r="AL91" s="48"/>
      <c r="AP91" s="14">
        <f>基础状态预期!D167</f>
        <v>81.919202803497143</v>
      </c>
      <c r="AQ91" s="14">
        <f>(求节点(其他调用!$I$4:$I$503,其他调用!$M$4:$M$503,武将数量星级阶位验证!AS157))*求节点(武将数量星级阶位验证!$CP$41:$CP$72,武将数量星级阶位验证!$CT$41:$CT$72,武将数量星级阶位验证!AS157)</f>
        <v>1661691.656135967</v>
      </c>
      <c r="AR91" s="14">
        <f>IF(武将升级!Y154="",0,求节点($AK$5:$AK$104,$AJ$5:$AJ$104,AQ$7)*B$5*武将升级!Y154)</f>
        <v>0</v>
      </c>
      <c r="AS91" s="14">
        <f>IF(武将升级!Z154="",0,求节点($AK$5:$AK$104,$AJ$5:$AJ$104,$AQ91)*C$5*武将升级!Z154)</f>
        <v>0</v>
      </c>
      <c r="AT91" s="14">
        <f>IF(武将升级!AA154="",0,求节点($AK$5:$AK$104,$AJ$5:$AJ$104,$AQ91)*D$5*武将升级!AA154)</f>
        <v>0</v>
      </c>
      <c r="AU91" s="14">
        <f>IF(武将升级!AB154="",0,求节点($AK$5:$AK$104,$AJ$5:$AJ$104,$AQ91)*E$5*武将升级!AB154)</f>
        <v>0</v>
      </c>
      <c r="AV91" s="14">
        <f>IF(武将升级!AC154="",0,求节点($AK$5:$AK$104,$AJ$5:$AJ$104,$AQ91)*F$5*武将升级!AC154)</f>
        <v>3581.6458659721916</v>
      </c>
      <c r="AW91" s="8">
        <f>SUMPRODUCT(AR91:AV91,基础状态预期!F167:J167)/SUM(基础状态预期!F167:J167)</f>
        <v>3581.6458659721916</v>
      </c>
    </row>
    <row r="92" spans="16:55" x14ac:dyDescent="0.15">
      <c r="P92" s="14" t="e">
        <f>8-COUNTIF([4]羁绊设计!$AD91:$AK91,"&amp;")</f>
        <v>#VALUE!</v>
      </c>
      <c r="Q92" s="29" t="str">
        <f>[4]羁绊解锁统计!$B91</f>
        <v>庞统</v>
      </c>
      <c r="R92" s="29" t="str">
        <f>IF([4]羁绊设计!$F91="红","橙+",[4]羁绊设计!$F91)</f>
        <v>橙</v>
      </c>
      <c r="S92" s="14">
        <f>IF([4]羁绊解锁统计!C91="",0,[4]羁绊解锁统计!C91-IF($R92=S$9,1,0))</f>
        <v>0</v>
      </c>
      <c r="T92" s="14">
        <f>IF([4]羁绊解锁统计!D91="",0,[4]羁绊解锁统计!D91-IF($R92=T$9,1,0))</f>
        <v>0</v>
      </c>
      <c r="U92" s="14">
        <f>IF([4]羁绊解锁统计!E91="",0,[4]羁绊解锁统计!E91-IF($R92=U$9,1,0))</f>
        <v>0</v>
      </c>
      <c r="V92" s="14">
        <f>IF([4]羁绊解锁统计!F91="",0,[4]羁绊解锁统计!F91-IF($R92=V$9,1,0))</f>
        <v>0</v>
      </c>
      <c r="W92" s="14">
        <f>IF([4]羁绊解锁统计!G91="",0,[4]羁绊解锁统计!G91-IF($R92=W$9,1,0))</f>
        <v>0</v>
      </c>
      <c r="X92" s="29">
        <f t="shared" si="25"/>
        <v>0</v>
      </c>
      <c r="Y92" s="10">
        <f t="shared" si="31"/>
        <v>1.4285714285714287E-2</v>
      </c>
      <c r="AA92" s="14">
        <f t="shared" si="26"/>
        <v>0</v>
      </c>
      <c r="AB92" s="14">
        <f t="shared" si="27"/>
        <v>0</v>
      </c>
      <c r="AC92" s="14">
        <f t="shared" si="28"/>
        <v>0</v>
      </c>
      <c r="AD92" s="14">
        <f t="shared" si="29"/>
        <v>0</v>
      </c>
      <c r="AE92" s="14">
        <f t="shared" si="30"/>
        <v>0</v>
      </c>
      <c r="AF92" s="29">
        <f t="shared" si="32"/>
        <v>0</v>
      </c>
      <c r="AG92" s="10">
        <f t="shared" si="33"/>
        <v>0.05</v>
      </c>
      <c r="AH92" s="87">
        <v>5.0000000000000096E-3</v>
      </c>
      <c r="AI92" s="4">
        <v>88</v>
      </c>
      <c r="AJ92" s="98">
        <f t="shared" si="17"/>
        <v>0.63</v>
      </c>
      <c r="AK92" s="5">
        <f>'[1]资源-钻石'!$N91*求节点(武将数量星级阶位验证!$CP$41:$CP$72,武将数量星级阶位验证!$CS$41:$CS$72,节奏总纲!R91)</f>
        <v>1071241.3180915867</v>
      </c>
      <c r="AL92" s="48"/>
      <c r="AP92" s="14">
        <f>基础状态预期!D190</f>
        <v>153.85863088955028</v>
      </c>
      <c r="AQ92" s="14">
        <f>(求节点(其他调用!$I$4:$I$503,其他调用!$M$4:$M$503,武将数量星级阶位验证!AS180))*求节点(武将数量星级阶位验证!$CP$41:$CP$72,武将数量星级阶位验证!$CT$41:$CT$72,武将数量星级阶位验证!AS180)</f>
        <v>3187063.1648703688</v>
      </c>
      <c r="AR92" s="14">
        <f>IF(武将升级!Y177="",0,求节点($AK$5:$AK$104,$AJ$5:$AJ$104,AQ$7)*B$5*武将升级!Y177)</f>
        <v>0</v>
      </c>
      <c r="AS92" s="14">
        <f>IF(武将升级!Z177="",0,求节点($AK$5:$AK$104,$AJ$5:$AJ$104,$AQ92)*C$5*武将升级!Z177)</f>
        <v>0</v>
      </c>
      <c r="AT92" s="14">
        <f>IF(武将升级!AA177="",0,求节点($AK$5:$AK$104,$AJ$5:$AJ$104,$AQ92)*D$5*武将升级!AA177)</f>
        <v>0</v>
      </c>
      <c r="AU92" s="14">
        <f>IF(武将升级!AB177="",0,求节点($AK$5:$AK$104,$AJ$5:$AJ$104,$AQ92)*E$5*武将升级!AB177)</f>
        <v>0</v>
      </c>
      <c r="AV92" s="14">
        <f>IF(武将升级!AC177="",0,求节点($AK$5:$AK$104,$AJ$5:$AJ$104,$AQ92)*F$5*武将升级!AC177)</f>
        <v>6155.1</v>
      </c>
      <c r="AW92" s="8">
        <f>SUMPRODUCT(AR92:AV92,基础状态预期!F190:J190)/SUM(基础状态预期!F190:J190)</f>
        <v>6155.1000000000013</v>
      </c>
    </row>
    <row r="93" spans="16:55" x14ac:dyDescent="0.15">
      <c r="P93" s="14" t="e">
        <f>8-COUNTIF([4]羁绊设计!$AD92:$AK92,"&amp;")</f>
        <v>#VALUE!</v>
      </c>
      <c r="Q93" s="29" t="str">
        <f>[4]羁绊解锁统计!$B92</f>
        <v>吕布</v>
      </c>
      <c r="R93" s="29" t="str">
        <f>IF([4]羁绊设计!$F92="红","橙+",[4]羁绊设计!$F92)</f>
        <v>橙+</v>
      </c>
      <c r="S93" s="14">
        <f>IF([4]羁绊解锁统计!C92="",0,[4]羁绊解锁统计!C92-IF($R93=S$9,1,0))</f>
        <v>0</v>
      </c>
      <c r="T93" s="14">
        <f>IF([4]羁绊解锁统计!D92="",0,[4]羁绊解锁统计!D92-IF($R93=T$9,1,0))</f>
        <v>0</v>
      </c>
      <c r="U93" s="14">
        <f>IF([4]羁绊解锁统计!E92="",0,[4]羁绊解锁统计!E92-IF($R93=U$9,1,0))</f>
        <v>1</v>
      </c>
      <c r="V93" s="14">
        <f>IF([4]羁绊解锁统计!F92="",0,[4]羁绊解锁统计!F92-IF($R93=V$9,1,0))</f>
        <v>6</v>
      </c>
      <c r="W93" s="14">
        <f>IF([4]羁绊解锁统计!G92="",0,[4]羁绊解锁统计!G92-IF($R93=W$9,1,0))</f>
        <v>1</v>
      </c>
      <c r="X93" s="29">
        <f t="shared" si="25"/>
        <v>72407.407407407401</v>
      </c>
      <c r="Y93" s="10">
        <f t="shared" si="31"/>
        <v>0.14997311908169933</v>
      </c>
      <c r="AA93" s="14">
        <f t="shared" si="26"/>
        <v>0</v>
      </c>
      <c r="AB93" s="14">
        <f t="shared" si="27"/>
        <v>0</v>
      </c>
      <c r="AC93" s="14">
        <f t="shared" si="28"/>
        <v>6</v>
      </c>
      <c r="AD93" s="14">
        <f t="shared" si="29"/>
        <v>36</v>
      </c>
      <c r="AE93" s="14">
        <f t="shared" si="30"/>
        <v>6</v>
      </c>
      <c r="AF93" s="29">
        <f t="shared" si="32"/>
        <v>434444.44444444438</v>
      </c>
      <c r="AG93" s="10">
        <f t="shared" si="33"/>
        <v>0.52490591678594767</v>
      </c>
      <c r="AH93" s="87">
        <v>5.0000000000000096E-3</v>
      </c>
      <c r="AI93" s="4">
        <v>89</v>
      </c>
      <c r="AJ93" s="98">
        <f t="shared" si="17"/>
        <v>0.63</v>
      </c>
      <c r="AK93" s="5">
        <f>'[1]资源-钻石'!$N92*求节点(武将数量星级阶位验证!$CP$41:$CP$72,武将数量星级阶位验证!$CS$41:$CS$72,节奏总纲!R92)</f>
        <v>1123394.226839728</v>
      </c>
      <c r="AL93" s="48"/>
    </row>
    <row r="94" spans="16:55" x14ac:dyDescent="0.15">
      <c r="P94" s="14" t="e">
        <f>8-COUNTIF([4]羁绊设计!$AD93:$AK93,"&amp;")</f>
        <v>#VALUE!</v>
      </c>
      <c r="Q94" s="29">
        <f>[4]羁绊解锁统计!$B93</f>
        <v>0</v>
      </c>
      <c r="R94" s="29">
        <f>IF([4]羁绊设计!$F93="红","橙+",[4]羁绊设计!$F93)</f>
        <v>0</v>
      </c>
      <c r="S94" s="14">
        <f>IF([4]羁绊解锁统计!C93="",0,[4]羁绊解锁统计!C93-IF($R94=S$9,1,0))</f>
        <v>0</v>
      </c>
      <c r="T94" s="14">
        <f>IF([4]羁绊解锁统计!D93="",0,[4]羁绊解锁统计!D93-IF($R94=T$9,1,0))</f>
        <v>0</v>
      </c>
      <c r="U94" s="14">
        <f>IF([4]羁绊解锁统计!E93="",0,[4]羁绊解锁统计!E93-IF($R94=U$9,1,0))</f>
        <v>0</v>
      </c>
      <c r="V94" s="14">
        <f>IF([4]羁绊解锁统计!F93="",0,[4]羁绊解锁统计!F93-IF($R94=V$9,1,0))</f>
        <v>0</v>
      </c>
      <c r="W94" s="14">
        <f>IF([4]羁绊解锁统计!G93="",0,[4]羁绊解锁统计!G93-IF($R94=W$9,1,0))</f>
        <v>0</v>
      </c>
      <c r="X94" s="29">
        <f t="shared" si="25"/>
        <v>0</v>
      </c>
      <c r="Y94" s="10" t="e">
        <f t="shared" si="31"/>
        <v>#VALUE!</v>
      </c>
      <c r="AA94" s="14" t="e">
        <f t="shared" si="26"/>
        <v>#N/A</v>
      </c>
      <c r="AB94" s="14" t="e">
        <f t="shared" si="27"/>
        <v>#N/A</v>
      </c>
      <c r="AC94" s="14" t="e">
        <f t="shared" si="28"/>
        <v>#N/A</v>
      </c>
      <c r="AD94" s="14" t="e">
        <f t="shared" si="29"/>
        <v>#N/A</v>
      </c>
      <c r="AE94" s="14" t="e">
        <f t="shared" si="30"/>
        <v>#N/A</v>
      </c>
      <c r="AF94" s="29" t="e">
        <f t="shared" si="32"/>
        <v>#N/A</v>
      </c>
      <c r="AG94" s="10" t="e">
        <f t="shared" si="33"/>
        <v>#VALUE!</v>
      </c>
      <c r="AH94" s="87">
        <v>5.0000000000000096E-3</v>
      </c>
      <c r="AI94" s="4">
        <v>90</v>
      </c>
      <c r="AJ94" s="98">
        <f t="shared" si="17"/>
        <v>0.63</v>
      </c>
      <c r="AK94" s="5">
        <f>'[1]资源-钻石'!$N93*求节点(武将数量星级阶位验证!$CP$41:$CP$72,武将数量星级阶位验证!$CS$41:$CS$72,节奏总纲!R93)</f>
        <v>1179148.0788211222</v>
      </c>
      <c r="AL94" s="48"/>
    </row>
    <row r="95" spans="16:55" x14ac:dyDescent="0.15">
      <c r="P95" s="14" t="e">
        <f>8-COUNTIF([4]羁绊设计!$AD94:$AK94,"&amp;")</f>
        <v>#VALUE!</v>
      </c>
      <c r="Q95" s="29">
        <f>[4]羁绊解锁统计!$B94</f>
        <v>0</v>
      </c>
      <c r="R95" s="29" t="str">
        <f>IF([4]羁绊设计!$F94="红","橙+",[4]羁绊设计!$F94)</f>
        <v>橙</v>
      </c>
      <c r="S95" s="14">
        <f>IF([4]羁绊解锁统计!C94="",0,[4]羁绊解锁统计!C94-IF($R95=S$9,1,0))</f>
        <v>0</v>
      </c>
      <c r="T95" s="14">
        <f>IF([4]羁绊解锁统计!D94="",0,[4]羁绊解锁统计!D94-IF($R95=T$9,1,0))</f>
        <v>0</v>
      </c>
      <c r="U95" s="14">
        <f>IF([4]羁绊解锁统计!E94="",0,[4]羁绊解锁统计!E94-IF($R95=U$9,1,0))</f>
        <v>0</v>
      </c>
      <c r="V95" s="14">
        <f>IF([4]羁绊解锁统计!F94="",0,[4]羁绊解锁统计!F94-IF($R95=V$9,1,0))</f>
        <v>0</v>
      </c>
      <c r="W95" s="14">
        <f>IF([4]羁绊解锁统计!G94="",0,[4]羁绊解锁统计!G94-IF($R95=W$9,1,0))</f>
        <v>0</v>
      </c>
      <c r="X95" s="29">
        <f t="shared" si="25"/>
        <v>0</v>
      </c>
      <c r="Y95" s="10">
        <f t="shared" si="31"/>
        <v>1.4285714285714287E-2</v>
      </c>
      <c r="AA95" s="14">
        <f t="shared" si="26"/>
        <v>0</v>
      </c>
      <c r="AB95" s="14">
        <f t="shared" si="27"/>
        <v>0</v>
      </c>
      <c r="AC95" s="14">
        <f t="shared" si="28"/>
        <v>0</v>
      </c>
      <c r="AD95" s="14">
        <f t="shared" si="29"/>
        <v>0</v>
      </c>
      <c r="AE95" s="14">
        <f t="shared" si="30"/>
        <v>0</v>
      </c>
      <c r="AF95" s="29">
        <f t="shared" si="32"/>
        <v>0</v>
      </c>
      <c r="AG95" s="10">
        <f t="shared" si="33"/>
        <v>0.05</v>
      </c>
      <c r="AH95" s="87">
        <v>5.0000000000000096E-3</v>
      </c>
      <c r="AI95" s="4">
        <v>91</v>
      </c>
      <c r="AJ95" s="98">
        <f t="shared" si="17"/>
        <v>0.63</v>
      </c>
      <c r="AK95" s="5">
        <f>'[1]资源-钻石'!$N94*求节点(武将数量星级阶位验证!$CP$41:$CP$72,武将数量星级阶位验证!$CS$41:$CS$72,节奏总纲!R94)</f>
        <v>1238413.7106503421</v>
      </c>
      <c r="AL95" s="48"/>
    </row>
    <row r="96" spans="16:55" x14ac:dyDescent="0.15">
      <c r="P96" s="14" t="e">
        <f>8-COUNTIF([4]羁绊设计!$AD95:$AK95,"&amp;")</f>
        <v>#VALUE!</v>
      </c>
      <c r="Q96" s="29" t="str">
        <f>[4]羁绊解锁统计!$B95</f>
        <v>陆逊</v>
      </c>
      <c r="R96" s="29" t="str">
        <f>IF([4]羁绊设计!$F95="红","橙+",[4]羁绊设计!$F95)</f>
        <v>橙+</v>
      </c>
      <c r="S96" s="14">
        <f>IF([4]羁绊解锁统计!C95="",0,[4]羁绊解锁统计!C95-IF($R96=S$9,1,0))</f>
        <v>0</v>
      </c>
      <c r="T96" s="14">
        <f>IF([4]羁绊解锁统计!D95="",0,[4]羁绊解锁统计!D95-IF($R96=T$9,1,0))</f>
        <v>0</v>
      </c>
      <c r="U96" s="14">
        <f>IF([4]羁绊解锁统计!E95="",0,[4]羁绊解锁统计!E95-IF($R96=U$9,1,0))</f>
        <v>0</v>
      </c>
      <c r="V96" s="14">
        <f>IF([4]羁绊解锁统计!F95="",0,[4]羁绊解锁统计!F95-IF($R96=V$9,1,0))</f>
        <v>2</v>
      </c>
      <c r="W96" s="14">
        <f>IF([4]羁绊解锁统计!G95="",0,[4]羁绊解锁统计!G95-IF($R96=W$9,1,0))</f>
        <v>0</v>
      </c>
      <c r="X96" s="29">
        <f t="shared" si="25"/>
        <v>55370.370370370372</v>
      </c>
      <c r="Y96" s="10">
        <f t="shared" si="31"/>
        <v>0.12431584111409054</v>
      </c>
      <c r="AA96" s="14">
        <f t="shared" si="26"/>
        <v>0</v>
      </c>
      <c r="AB96" s="14">
        <f t="shared" si="27"/>
        <v>0</v>
      </c>
      <c r="AC96" s="14">
        <f t="shared" si="28"/>
        <v>0</v>
      </c>
      <c r="AD96" s="14">
        <f t="shared" si="29"/>
        <v>12</v>
      </c>
      <c r="AE96" s="14">
        <f t="shared" si="30"/>
        <v>0</v>
      </c>
      <c r="AF96" s="29">
        <f t="shared" si="32"/>
        <v>332222.22222222225</v>
      </c>
      <c r="AG96" s="10">
        <f t="shared" si="33"/>
        <v>0.43510544389931688</v>
      </c>
      <c r="AH96" s="87">
        <v>5.0000000000000096E-3</v>
      </c>
      <c r="AI96" s="4">
        <v>92</v>
      </c>
      <c r="AJ96" s="98">
        <f t="shared" si="17"/>
        <v>0.63</v>
      </c>
      <c r="AK96" s="5">
        <f>'[1]资源-钻石'!$N95*求节点(武将数量星级阶位验证!$CP$41:$CP$72,武将数量星级阶位验证!$CS$41:$CS$72,节奏总纲!R95)</f>
        <v>1300862.5472133087</v>
      </c>
      <c r="AL96" s="48"/>
    </row>
    <row r="97" spans="16:55" x14ac:dyDescent="0.15">
      <c r="P97" s="14" t="e">
        <f>8-COUNTIF([4]羁绊设计!$AD96:$AK96,"&amp;")</f>
        <v>#VALUE!</v>
      </c>
      <c r="Q97" s="29" t="str">
        <f>[4]羁绊解锁统计!$B96</f>
        <v>诸葛亮</v>
      </c>
      <c r="R97" s="29" t="str">
        <f>IF([4]羁绊设计!$F96="红","橙+",[4]羁绊设计!$F96)</f>
        <v>橙+</v>
      </c>
      <c r="S97" s="14">
        <f>IF([4]羁绊解锁统计!C96="",0,[4]羁绊解锁统计!C96-IF($R97=S$9,1,0))</f>
        <v>0</v>
      </c>
      <c r="T97" s="14">
        <f>IF([4]羁绊解锁统计!D96="",0,[4]羁绊解锁统计!D96-IF($R97=T$9,1,0))</f>
        <v>0</v>
      </c>
      <c r="U97" s="14">
        <f>IF([4]羁绊解锁统计!E96="",0,[4]羁绊解锁统计!E96-IF($R97=U$9,1,0))</f>
        <v>2</v>
      </c>
      <c r="V97" s="14">
        <f>IF([4]羁绊解锁统计!F96="",0,[4]羁绊解锁统计!F96-IF($R97=V$9,1,0))</f>
        <v>2</v>
      </c>
      <c r="W97" s="14">
        <f>IF([4]羁绊解锁统计!G96="",0,[4]羁绊解锁统计!G96-IF($R97=W$9,1,0))</f>
        <v>0</v>
      </c>
      <c r="X97" s="29">
        <f t="shared" si="25"/>
        <v>55370.370370370372</v>
      </c>
      <c r="Y97" s="10">
        <f t="shared" si="31"/>
        <v>0.12431584111409054</v>
      </c>
      <c r="AA97" s="14">
        <f t="shared" si="26"/>
        <v>0</v>
      </c>
      <c r="AB97" s="14">
        <f t="shared" si="27"/>
        <v>0</v>
      </c>
      <c r="AC97" s="14">
        <f t="shared" si="28"/>
        <v>12</v>
      </c>
      <c r="AD97" s="14">
        <f t="shared" si="29"/>
        <v>12</v>
      </c>
      <c r="AE97" s="14">
        <f t="shared" si="30"/>
        <v>0</v>
      </c>
      <c r="AF97" s="29">
        <f t="shared" si="32"/>
        <v>332222.22222222225</v>
      </c>
      <c r="AG97" s="10">
        <f t="shared" si="33"/>
        <v>0.43510544389931688</v>
      </c>
      <c r="AH97" s="87">
        <v>5.0000000000000096E-3</v>
      </c>
      <c r="AI97" s="4">
        <v>93</v>
      </c>
      <c r="AJ97" s="98">
        <f t="shared" si="17"/>
        <v>0.63</v>
      </c>
      <c r="AK97" s="5">
        <f>'[1]资源-钻石'!$N96*求节点(武将数量星级阶位验证!$CP$41:$CP$72,武将数量星级阶位验证!$CS$41:$CS$72,节奏总纲!R96)</f>
        <v>1365602.971521619</v>
      </c>
      <c r="AL97" s="48"/>
      <c r="AP97" s="8" t="s">
        <v>79</v>
      </c>
      <c r="AQ97" s="8"/>
      <c r="AR97" s="173" t="s">
        <v>286</v>
      </c>
      <c r="AS97" s="173"/>
      <c r="AT97" s="173"/>
      <c r="AU97" s="173"/>
      <c r="AV97" s="173"/>
      <c r="AW97" s="173"/>
      <c r="BA97" s="35" t="s">
        <v>79</v>
      </c>
      <c r="BB97" s="29" t="s">
        <v>55</v>
      </c>
      <c r="BC97" s="51"/>
    </row>
    <row r="98" spans="16:55" x14ac:dyDescent="0.15">
      <c r="P98" s="14" t="e">
        <f>8-COUNTIF([4]羁绊设计!$AD97:$AK97,"&amp;")</f>
        <v>#VALUE!</v>
      </c>
      <c r="Q98" s="29" t="str">
        <f>[4]羁绊解锁统计!$B97</f>
        <v>甘宁</v>
      </c>
      <c r="R98" s="29" t="str">
        <f>IF([4]羁绊设计!$F97="红","橙+",[4]羁绊设计!$F97)</f>
        <v>橙</v>
      </c>
      <c r="S98" s="14">
        <f>IF([4]羁绊解锁统计!C97="",0,[4]羁绊解锁统计!C97-IF($R98=S$9,1,0))</f>
        <v>0</v>
      </c>
      <c r="T98" s="14">
        <f>IF([4]羁绊解锁统计!D97="",0,[4]羁绊解锁统计!D97-IF($R98=T$9,1,0))</f>
        <v>0</v>
      </c>
      <c r="U98" s="14">
        <f>IF([4]羁绊解锁统计!E97="",0,[4]羁绊解锁统计!E97-IF($R98=U$9,1,0))</f>
        <v>0</v>
      </c>
      <c r="V98" s="14">
        <f>IF([4]羁绊解锁统计!F97="",0,[4]羁绊解锁统计!F97-IF($R98=V$9,1,0))</f>
        <v>0</v>
      </c>
      <c r="W98" s="14">
        <f>IF([4]羁绊解锁统计!G97="",0,[4]羁绊解锁统计!G97-IF($R98=W$9,1,0))</f>
        <v>0</v>
      </c>
      <c r="X98" s="29">
        <f t="shared" si="25"/>
        <v>0</v>
      </c>
      <c r="Y98" s="10">
        <f t="shared" si="31"/>
        <v>1.4285714285714287E-2</v>
      </c>
      <c r="AA98" s="14">
        <f t="shared" si="26"/>
        <v>0</v>
      </c>
      <c r="AB98" s="14">
        <f t="shared" si="27"/>
        <v>0</v>
      </c>
      <c r="AC98" s="14">
        <f t="shared" si="28"/>
        <v>0</v>
      </c>
      <c r="AD98" s="14">
        <f t="shared" si="29"/>
        <v>0</v>
      </c>
      <c r="AE98" s="14">
        <f t="shared" si="30"/>
        <v>0</v>
      </c>
      <c r="AF98" s="29">
        <f t="shared" si="32"/>
        <v>0</v>
      </c>
      <c r="AG98" s="10">
        <f t="shared" si="33"/>
        <v>0.05</v>
      </c>
      <c r="AH98" s="87">
        <v>5.0000000000000096E-3</v>
      </c>
      <c r="AI98" s="4">
        <v>94</v>
      </c>
      <c r="AJ98" s="98">
        <f t="shared" si="17"/>
        <v>0.63</v>
      </c>
      <c r="AK98" s="5">
        <f>'[1]资源-钻石'!$N97*求节点(武将数量星级阶位验证!$CP$41:$CP$72,武将数量星级阶位验证!$CS$41:$CS$72,节奏总纲!R97)</f>
        <v>1437673.5201138637</v>
      </c>
      <c r="AL98" s="48"/>
      <c r="AP98" s="8" t="s">
        <v>478</v>
      </c>
      <c r="AQ98" s="50"/>
      <c r="AR98" s="19" t="s">
        <v>3</v>
      </c>
      <c r="AS98" s="19" t="s">
        <v>1</v>
      </c>
      <c r="AT98" s="19" t="s">
        <v>2</v>
      </c>
      <c r="AU98" s="19" t="s">
        <v>0</v>
      </c>
      <c r="AV98" s="19" t="s">
        <v>545</v>
      </c>
      <c r="AW98" s="8" t="s">
        <v>228</v>
      </c>
      <c r="BA98" s="32" t="s">
        <v>478</v>
      </c>
      <c r="BB98" s="29" t="s">
        <v>368</v>
      </c>
      <c r="BC98" s="29" t="s">
        <v>369</v>
      </c>
    </row>
    <row r="99" spans="16:55" x14ac:dyDescent="0.15">
      <c r="P99" s="14"/>
      <c r="Q99" s="29"/>
      <c r="R99" s="29"/>
      <c r="S99" s="14"/>
      <c r="T99" s="14"/>
      <c r="U99" s="14"/>
      <c r="V99" s="14"/>
      <c r="W99" s="14"/>
      <c r="X99" s="29"/>
      <c r="Y99" s="10"/>
      <c r="AA99" s="14"/>
      <c r="AB99" s="14"/>
      <c r="AC99" s="14"/>
      <c r="AD99" s="14"/>
      <c r="AE99" s="14"/>
      <c r="AF99" s="29"/>
      <c r="AG99" s="10"/>
      <c r="AH99" s="87">
        <v>5.0000000000000096E-3</v>
      </c>
      <c r="AI99" s="4">
        <v>95</v>
      </c>
      <c r="AJ99" s="98">
        <f t="shared" si="17"/>
        <v>0.63</v>
      </c>
      <c r="AK99" s="5">
        <f>'[1]资源-钻石'!$N98*求节点(武将数量星级阶位验证!$CP$41:$CP$72,武将数量星级阶位验证!$CS$41:$CS$72,节奏总纲!R98)</f>
        <v>1512560.7743289901</v>
      </c>
      <c r="AL99" s="48"/>
      <c r="AP99" s="14">
        <f>基础状态预期!D197</f>
        <v>10.040470049930473</v>
      </c>
      <c r="AQ99" s="14">
        <f>(求节点(其他调用!$I$4:$I$503,其他调用!$N$4:$N$503,武将数量星级阶位验证!AS187))*求节点(武将数量星级阶位验证!$CP$41:$CP$72,武将数量星级阶位验证!$CU$41:$CU$72,武将数量星级阶位验证!AS187)</f>
        <v>22750.638824450281</v>
      </c>
      <c r="AR99" s="14">
        <f>IF(武将升级!Y184="",0,求节点($AK$5:$AK$104,$AJ$5:$AJ$104,AQ$7)*B$5*武将升级!Y184)</f>
        <v>0</v>
      </c>
      <c r="AS99" s="14">
        <f>IF(武将升级!Z184="",0,求节点($AK$5:$AK$104,$AJ$5:$AJ$104,$AQ99)*C$5*武将升级!Z184)</f>
        <v>0</v>
      </c>
      <c r="AT99" s="14">
        <f>IF(武将升级!AA184="",0,求节点($AK$5:$AK$104,$AJ$5:$AJ$104,$AQ99)*D$5*武将升级!AA184)</f>
        <v>0</v>
      </c>
      <c r="AU99" s="14">
        <f>IF(武将升级!AB184="",0,求节点($AK$5:$AK$104,$AJ$5:$AJ$104,$AQ99)*E$5*武将升级!AB184)</f>
        <v>91.608448756645871</v>
      </c>
      <c r="AV99" s="14">
        <f>IF(武将升级!AC184="",0,求节点($AK$5:$AK$104,$AJ$5:$AJ$104,$AQ99)*F$5*武将升级!AC184)</f>
        <v>0</v>
      </c>
      <c r="AW99" s="8">
        <f>SUMPRODUCT(AR99:AV99,基础状态预期!F197:J197)/SUM(基础状态预期!F197:J197)</f>
        <v>91.608448756645871</v>
      </c>
      <c r="BA99" s="29">
        <v>10</v>
      </c>
      <c r="BB99" s="29">
        <f>求节点($AP$99:$AP$115,$AW$99:$AW$115,BA99)</f>
        <v>91.239203245549476</v>
      </c>
      <c r="BC99" s="55">
        <f>BB99*INDEX([2]超r将兵属性验证!$W$7:$W$106+[2]超r将兵属性验证!$X$7:$X$106,BA99,1)</f>
        <v>1924585.4774382885</v>
      </c>
    </row>
    <row r="100" spans="16:55" x14ac:dyDescent="0.15">
      <c r="P100" s="14"/>
      <c r="Q100" s="29"/>
      <c r="R100" s="29"/>
      <c r="S100" s="14"/>
      <c r="T100" s="14"/>
      <c r="U100" s="14"/>
      <c r="V100" s="14"/>
      <c r="W100" s="14"/>
      <c r="X100" s="29"/>
      <c r="Y100" s="10"/>
      <c r="AA100" s="14"/>
      <c r="AB100" s="14"/>
      <c r="AC100" s="14"/>
      <c r="AD100" s="14"/>
      <c r="AE100" s="14"/>
      <c r="AF100" s="29"/>
      <c r="AG100" s="10"/>
      <c r="AH100" s="87">
        <v>5.0000000000000096E-3</v>
      </c>
      <c r="AI100" s="4">
        <v>96</v>
      </c>
      <c r="AJ100" s="98">
        <f t="shared" si="17"/>
        <v>0.63</v>
      </c>
      <c r="AK100" s="5">
        <f>'[1]资源-钻石'!$N99*求节点(武将数量星级阶位验证!$CP$41:$CP$72,武将数量星级阶位验证!$CS$41:$CS$72,节奏总纲!R99)</f>
        <v>1590368.0187774235</v>
      </c>
      <c r="AL100" s="48"/>
      <c r="AP100" s="14">
        <f>基础状态预期!D198</f>
        <v>19.288856680060892</v>
      </c>
      <c r="AQ100" s="14">
        <f>(求节点(其他调用!$I$4:$I$503,其他调用!$N$4:$N$503,武将数量星级阶位验证!AS188))*求节点(武将数量星级阶位验证!$CP$41:$CP$72,武将数量星级阶位验证!$CU$41:$CU$72,武将数量星级阶位验证!AS188)</f>
        <v>87464.929954923369</v>
      </c>
      <c r="AR100" s="14">
        <f>IF(武将升级!Y185="",0,求节点($AK$5:$AK$104,$AJ$5:$AJ$104,AQ$7)*B$5*武将升级!Y185)</f>
        <v>0</v>
      </c>
      <c r="AS100" s="14">
        <f>IF(武将升级!Z185="",0,求节点($AK$5:$AK$104,$AJ$5:$AJ$104,$AQ100)*C$5*武将升级!Z185)</f>
        <v>0</v>
      </c>
      <c r="AT100" s="14">
        <f>IF(武将升级!AA185="",0,求节点($AK$5:$AK$104,$AJ$5:$AJ$104,$AQ100)*D$5*武将升级!AA185)</f>
        <v>0</v>
      </c>
      <c r="AU100" s="14">
        <f>IF(武将升级!AB185="",0,求节点($AK$5:$AK$104,$AJ$5:$AJ$104,$AQ100)*E$5*武将升级!AB185)</f>
        <v>329.86198426410368</v>
      </c>
      <c r="AV100" s="14">
        <f>IF(武将升级!AC185="",0,求节点($AK$5:$AK$104,$AJ$5:$AJ$104,$AQ100)*F$5*武将升级!AC185)</f>
        <v>0</v>
      </c>
      <c r="AW100" s="8">
        <f>SUMPRODUCT(AR100:AV100,基础状态预期!F198:J198)/SUM(基础状态预期!F198:J198)</f>
        <v>329.86198426410368</v>
      </c>
      <c r="BA100" s="29">
        <v>20</v>
      </c>
      <c r="BB100" s="29">
        <f t="shared" ref="BB100:BB108" si="34">求节点($AP$99:$AP$115,$AW$99:$AW$115,BA100)</f>
        <v>351.01202749215099</v>
      </c>
      <c r="BC100" s="56">
        <f>(BB100-BB99)*INDEX([2]超r将兵属性验证!$W$7:$W$106+[2]超r将兵属性验证!$X$7:$X$106,BA100,1)+BC99</f>
        <v>18060455.71263523</v>
      </c>
    </row>
    <row r="101" spans="16:55" x14ac:dyDescent="0.15">
      <c r="Q101" s="5"/>
      <c r="R101" s="5"/>
      <c r="S101" s="5"/>
      <c r="T101" s="5"/>
      <c r="U101" s="5"/>
      <c r="V101" s="5"/>
      <c r="W101" s="5"/>
      <c r="X101" s="5"/>
      <c r="AA101" s="5"/>
      <c r="AB101" s="5"/>
      <c r="AC101" s="5"/>
      <c r="AD101" s="5"/>
      <c r="AE101" s="5"/>
      <c r="AF101" s="5"/>
      <c r="AH101" s="87">
        <v>5.0000000000000096E-3</v>
      </c>
      <c r="AI101" s="4">
        <v>97</v>
      </c>
      <c r="AJ101" s="98">
        <f t="shared" si="17"/>
        <v>0.63</v>
      </c>
      <c r="AK101" s="5">
        <f>'[1]资源-钻石'!$N100*求节点(武将数量星级阶位验证!$CP$41:$CP$72,武将数量星级阶位验证!$CS$41:$CS$72,节奏总纲!R100)</f>
        <v>1677722.3326865167</v>
      </c>
      <c r="AL101" s="48"/>
      <c r="AP101" s="14">
        <f>基础状态预期!D199</f>
        <v>27.144641112884834</v>
      </c>
      <c r="AQ101" s="14">
        <f>(求节点(其他调用!$I$4:$I$503,其他调用!$N$4:$N$503,武将数量星级阶位验证!AS189))*求节点(武将数量星级阶位验证!$CP$41:$CP$72,武将数量星级阶位验证!$CU$41:$CU$72,武将数量星级阶位验证!AS189)</f>
        <v>137584.56284001813</v>
      </c>
      <c r="AR101" s="14">
        <f>IF(武将升级!Y186="",0,求节点($AK$5:$AK$104,$AJ$5:$AJ$104,AQ$7)*B$5*武将升级!Y186)</f>
        <v>0</v>
      </c>
      <c r="AS101" s="14">
        <f>IF(武将升级!Z186="",0,求节点($AK$5:$AK$104,$AJ$5:$AJ$104,$AQ101)*C$5*武将升级!Z186)</f>
        <v>0</v>
      </c>
      <c r="AT101" s="14">
        <f>IF(武将升级!AA186="",0,求节点($AK$5:$AK$104,$AJ$5:$AJ$104,$AQ101)*D$5*武将升级!AA186)</f>
        <v>0</v>
      </c>
      <c r="AU101" s="14">
        <f>IF(武将升级!AB186="",0,求节点($AK$5:$AK$104,$AJ$5:$AJ$104,$AQ101)*E$5*武将升级!AB186)</f>
        <v>563.50009304739922</v>
      </c>
      <c r="AV101" s="14">
        <f>IF(武将升级!AC186="",0,求节点($AK$5:$AK$104,$AJ$5:$AJ$104,$AQ101)*F$5*武将升级!AC186)</f>
        <v>0</v>
      </c>
      <c r="AW101" s="8">
        <f>SUMPRODUCT(AR101:AV101,基础状态预期!F199:J199)/SUM(基础状态预期!F199:J199)</f>
        <v>563.50009304739922</v>
      </c>
      <c r="BA101" s="29">
        <v>30</v>
      </c>
      <c r="BB101" s="29">
        <f t="shared" si="34"/>
        <v>678.50728406133749</v>
      </c>
      <c r="BC101" s="56">
        <f>(BB101-BB100)*INDEX([2]超r将兵属性验证!$W$7:$W$106+[2]超r将兵属性验证!$X$7:$X$106,BA101,1)+BC100</f>
        <v>70643629.714080021</v>
      </c>
    </row>
    <row r="102" spans="16:55" x14ac:dyDescent="0.15">
      <c r="Q102" s="5"/>
      <c r="R102" s="5"/>
      <c r="S102" s="5"/>
      <c r="T102" s="5"/>
      <c r="U102" s="5"/>
      <c r="V102" s="5"/>
      <c r="W102" s="5"/>
      <c r="X102" s="5"/>
      <c r="AA102" s="5"/>
      <c r="AB102" s="5"/>
      <c r="AC102" s="5"/>
      <c r="AD102" s="5"/>
      <c r="AE102" s="5"/>
      <c r="AF102" s="5"/>
      <c r="AH102" s="87">
        <v>5.0000000000000096E-3</v>
      </c>
      <c r="AI102" s="4">
        <v>98</v>
      </c>
      <c r="AJ102" s="98">
        <f t="shared" si="17"/>
        <v>0.63</v>
      </c>
      <c r="AK102" s="5">
        <f>'[1]资源-钻石'!$N101*求节点(武将数量星级阶位验证!$CP$41:$CP$72,武将数量星级阶位验证!$CS$41:$CS$72,节奏总纲!R101)</f>
        <v>1771430.5423566881</v>
      </c>
      <c r="AL102" s="48"/>
      <c r="AP102" s="14">
        <f>基础状态预期!D200</f>
        <v>33.399598377161809</v>
      </c>
      <c r="AQ102" s="14">
        <f>(求节点(其他调用!$I$4:$I$503,其他调用!$N$4:$N$503,武将数量星级阶位验证!AS190))*求节点(武将数量星级阶位验证!$CP$41:$CP$72,武将数量星级阶位验证!$CU$41:$CU$72,武将数量星级阶位验证!AS190)</f>
        <v>189603.79706299471</v>
      </c>
      <c r="AR102" s="14">
        <f>IF(武将升级!Y187="",0,求节点($AK$5:$AK$104,$AJ$5:$AJ$104,AQ$7)*B$5*武将升级!Y187)</f>
        <v>0</v>
      </c>
      <c r="AS102" s="14">
        <f>IF(武将升级!Z187="",0,求节点($AK$5:$AK$104,$AJ$5:$AJ$104,$AQ102)*C$5*武将升级!Z187)</f>
        <v>0</v>
      </c>
      <c r="AT102" s="14">
        <f>IF(武将升级!AA187="",0,求节点($AK$5:$AK$104,$AJ$5:$AJ$104,$AQ102)*D$5*武将升级!AA187)</f>
        <v>0</v>
      </c>
      <c r="AU102" s="14">
        <f>IF(武将升级!AB187="",0,求节点($AK$5:$AK$104,$AJ$5:$AJ$104,$AQ102)*E$5*武将升级!AB187)</f>
        <v>815.43517137428285</v>
      </c>
      <c r="AV102" s="14">
        <f>IF(武将升级!AC187="",0,求节点($AK$5:$AK$104,$AJ$5:$AJ$104,$AQ102)*F$5*武将升级!AC187)</f>
        <v>0</v>
      </c>
      <c r="AW102" s="8">
        <f>SUMPRODUCT(AR102:AV102,基础状态预期!F200:J200)/SUM(基础状态预期!F200:J200)</f>
        <v>815.43517137428296</v>
      </c>
      <c r="BA102" s="29">
        <v>40</v>
      </c>
      <c r="BB102" s="29">
        <f t="shared" si="34"/>
        <v>1192.2860461055443</v>
      </c>
      <c r="BC102" s="56">
        <f>(BB102-BB101)*INDEX([2]超r将兵属性验证!$W$7:$W$106+[2]超r将兵属性验证!$X$7:$X$106,BA102,1)+BC101</f>
        <v>290922944.60624671</v>
      </c>
    </row>
    <row r="103" spans="16:55" x14ac:dyDescent="0.15">
      <c r="Q103" s="5"/>
      <c r="R103" s="5"/>
      <c r="S103" s="5"/>
      <c r="T103" s="5"/>
      <c r="U103" s="5"/>
      <c r="V103" s="5"/>
      <c r="W103" s="5"/>
      <c r="X103" s="5"/>
      <c r="AA103" s="5"/>
      <c r="AB103" s="5"/>
      <c r="AC103" s="5"/>
      <c r="AD103" s="5"/>
      <c r="AE103" s="5"/>
      <c r="AF103" s="5"/>
      <c r="AH103" s="87">
        <v>5.0000000000000096E-3</v>
      </c>
      <c r="AI103" s="4">
        <v>99</v>
      </c>
      <c r="AJ103" s="98">
        <f t="shared" si="17"/>
        <v>0.63</v>
      </c>
      <c r="AK103" s="5">
        <f>'[1]资源-钻石'!$N102*求节点(武将数量星级阶位验证!$CP$41:$CP$72,武将数量星级阶位验证!$CS$41:$CS$72,节奏总纲!R102)</f>
        <v>1874040.4185569617</v>
      </c>
      <c r="AL103" s="48"/>
      <c r="AP103" s="14">
        <f>基础状态预期!D201</f>
        <v>38.848984787984186</v>
      </c>
      <c r="AQ103" s="14">
        <f>(求节点(其他调用!$I$4:$I$503,其他调用!$N$4:$N$503,武将数量星级阶位验证!AS191))*求节点(武将数量星级阶位验证!$CP$41:$CP$72,武将数量星级阶位验证!$CU$41:$CU$72,武将数量星级阶位验证!AS191)</f>
        <v>251127.63841028072</v>
      </c>
      <c r="AR103" s="14">
        <f>IF(武将升级!Y188="",0,求节点($AK$5:$AK$104,$AJ$5:$AJ$104,AQ$7)*B$5*武将升级!Y188)</f>
        <v>0</v>
      </c>
      <c r="AS103" s="14">
        <f>IF(武将升级!Z188="",0,求节点($AK$5:$AK$104,$AJ$5:$AJ$104,$AQ103)*C$5*武将升级!Z188)</f>
        <v>0</v>
      </c>
      <c r="AT103" s="14">
        <f>IF(武将升级!AA188="",0,求节点($AK$5:$AK$104,$AJ$5:$AJ$104,$AQ103)*D$5*武将升级!AA188)</f>
        <v>0</v>
      </c>
      <c r="AU103" s="14">
        <f>IF(武将升级!AB188="",0,求节点($AK$5:$AK$104,$AJ$5:$AJ$104,$AQ103)*E$5*武将升级!AB188)</f>
        <v>1109.4514202298569</v>
      </c>
      <c r="AV103" s="14">
        <f>IF(武将升级!AC188="",0,求节点($AK$5:$AK$104,$AJ$5:$AJ$104,$AQ103)*F$5*武将升级!AC188)</f>
        <v>0</v>
      </c>
      <c r="AW103" s="8">
        <f>SUMPRODUCT(AR103:AV103,基础状态预期!F201:J201)/SUM(基础状态预期!F201:J201)</f>
        <v>1109.4514202298569</v>
      </c>
      <c r="BA103" s="29">
        <v>50</v>
      </c>
      <c r="BB103" s="29">
        <f t="shared" si="34"/>
        <v>2045.8401767880971</v>
      </c>
      <c r="BC103" s="56">
        <f>(BB103-BB102)*INDEX([2]超r将兵属性验证!$W$7:$W$106+[2]超r将兵属性验证!$X$7:$X$106,BA103,1)+BC102</f>
        <v>943494867.29048824</v>
      </c>
    </row>
    <row r="104" spans="16:55" x14ac:dyDescent="0.15">
      <c r="AH104" s="87">
        <v>5.0000000000000096E-3</v>
      </c>
      <c r="AI104" s="4">
        <v>100</v>
      </c>
      <c r="AJ104" s="98">
        <f t="shared" si="17"/>
        <v>0.63</v>
      </c>
      <c r="AK104" s="5">
        <f>'[1]资源-钻石'!$N103*求节点(武将数量星级阶位验证!$CP$41:$CP$72,武将数量星级阶位验证!$CS$41:$CS$72,节奏总纲!R103)</f>
        <v>1980267.2939348752</v>
      </c>
      <c r="AL104" s="48"/>
      <c r="AP104" s="14">
        <f>基础状态预期!D202</f>
        <v>42.643360270022924</v>
      </c>
      <c r="AQ104" s="14">
        <f>(求节点(其他调用!$I$4:$I$503,其他调用!$N$4:$N$503,武将数量星级阶位验证!AS192))*求节点(武将数量星级阶位验证!$CP$41:$CP$72,武将数量星级阶位验证!$CU$41:$CU$72,武将数量星级阶位验证!AS192)</f>
        <v>310846.16187552252</v>
      </c>
      <c r="AR104" s="14">
        <f>IF(武将升级!Y189="",0,求节点($AK$5:$AK$104,$AJ$5:$AJ$104,AQ$7)*B$5*武将升级!Y189)</f>
        <v>0</v>
      </c>
      <c r="AS104" s="14">
        <f>IF(武将升级!Z189="",0,求节点($AK$5:$AK$104,$AJ$5:$AJ$104,$AQ104)*C$5*武将升级!Z189)</f>
        <v>0</v>
      </c>
      <c r="AT104" s="14">
        <f>IF(武将升级!AA189="",0,求节点($AK$5:$AK$104,$AJ$5:$AJ$104,$AQ104)*D$5*武将升级!AA189)</f>
        <v>0</v>
      </c>
      <c r="AU104" s="14">
        <f>IF(武将升级!AB189="",0,求节点($AK$5:$AK$104,$AJ$5:$AJ$104,$AQ104)*E$5*武将升级!AB189)</f>
        <v>1382.5196387950184</v>
      </c>
      <c r="AV104" s="14">
        <f>IF(武将升级!AC189="",0,求节点($AK$5:$AK$104,$AJ$5:$AJ$104,$AQ104)*F$5*武将升级!AC189)</f>
        <v>0</v>
      </c>
      <c r="AW104" s="8">
        <f>SUMPRODUCT(AR104:AV104,基础状态预期!F202:J202)/SUM(基础状态预期!F202:J202)</f>
        <v>1382.5196387950184</v>
      </c>
      <c r="BA104" s="29">
        <v>60</v>
      </c>
      <c r="BB104" s="29">
        <f t="shared" si="34"/>
        <v>2753.1</v>
      </c>
      <c r="BC104" s="56">
        <f>(BB104-BB103)*INDEX([2]超r将兵属性验证!$W$7:$W$106+[2]超r将兵属性验证!$X$7:$X$106,BA104,1)+BC103</f>
        <v>2193415648.487587</v>
      </c>
    </row>
    <row r="105" spans="16:55" x14ac:dyDescent="0.15">
      <c r="AH105" s="87">
        <v>5.0000000000000096E-3</v>
      </c>
      <c r="AI105" s="4">
        <v>101</v>
      </c>
      <c r="AJ105" s="98">
        <f t="shared" si="17"/>
        <v>0.63</v>
      </c>
      <c r="AK105" s="5">
        <f>'[1]资源-钻石'!$N104*求节点(武将数量星级阶位验证!$CP$41:$CP$72,武将数量星级阶位验证!$CS$41:$CS$72,节奏总纲!R104)</f>
        <v>2083981.3098216248</v>
      </c>
      <c r="AL105" s="48"/>
      <c r="AP105" s="14">
        <f>基础状态预期!D203</f>
        <v>48.493134765265182</v>
      </c>
      <c r="AQ105" s="14">
        <f>(求节点(其他调用!$I$4:$I$503,其他调用!$N$4:$N$503,武将数量星级阶位验证!AS193))*求节点(武将数量星级阶位验证!$CP$41:$CP$72,武将数量星级阶位验证!$CU$41:$CU$72,武将数量星级阶位验证!AS193)</f>
        <v>418889.54689240578</v>
      </c>
      <c r="AR105" s="14">
        <f>IF(武将升级!Y190="",0,求节点($AK$5:$AK$104,$AJ$5:$AJ$104,AQ$7)*B$5*武将升级!Y190)</f>
        <v>0</v>
      </c>
      <c r="AS105" s="14">
        <f>IF(武将升级!Z190="",0,求节点($AK$5:$AK$104,$AJ$5:$AJ$104,$AQ105)*C$5*武将升级!Z190)</f>
        <v>0</v>
      </c>
      <c r="AT105" s="14">
        <f>IF(武将升级!AA190="",0,求节点($AK$5:$AK$104,$AJ$5:$AJ$104,$AQ105)*D$5*武将升级!AA190)</f>
        <v>0</v>
      </c>
      <c r="AU105" s="14">
        <f>IF(武将升级!AB190="",0,求节点($AK$5:$AK$104,$AJ$5:$AJ$104,$AQ105)*E$5*武将升级!AB190)</f>
        <v>1882.6646172533431</v>
      </c>
      <c r="AV105" s="14">
        <f>IF(武将升级!AC190="",0,求节点($AK$5:$AK$104,$AJ$5:$AJ$104,$AQ105)*F$5*武将升级!AC190)</f>
        <v>0</v>
      </c>
      <c r="AW105" s="8">
        <f>SUMPRODUCT(AR105:AV105,基础状态预期!F203:J203)/SUM(基础状态预期!F203:J203)</f>
        <v>1882.6646172533431</v>
      </c>
      <c r="BA105" s="29">
        <v>70</v>
      </c>
      <c r="BB105" s="29">
        <f t="shared" si="34"/>
        <v>3131.1000000000004</v>
      </c>
      <c r="BC105" s="56">
        <f>(BB105-BB104)*INDEX([2]超r将兵属性验证!$W$7:$W$106+[2]超r将兵属性验证!$X$7:$X$106,BA105,1)+BC104</f>
        <v>3625309471.8053656</v>
      </c>
    </row>
    <row r="106" spans="16:55" x14ac:dyDescent="0.15">
      <c r="AH106" s="87">
        <v>5.0000000000000096E-3</v>
      </c>
      <c r="AI106" s="4">
        <v>102</v>
      </c>
      <c r="AJ106" s="98">
        <f t="shared" si="17"/>
        <v>0.63</v>
      </c>
      <c r="AK106" s="5">
        <f>'[1]资源-钻石'!$N105*求节点(武将数量星级阶位验证!$CP$41:$CP$72,武将数量星级阶位验证!$CS$41:$CS$72,节奏总纲!R105)</f>
        <v>2184516.354799557</v>
      </c>
      <c r="AL106" s="48"/>
      <c r="AP106" s="14">
        <f>基础状态预期!D204</f>
        <v>52.559419343629337</v>
      </c>
      <c r="AQ106" s="14">
        <f>(求节点(其他调用!$I$4:$I$503,其他调用!$N$4:$N$503,武将数量星级阶位验证!AS194))*求节点(武将数量星级阶位验证!$CP$41:$CP$72,武将数量星级阶位验证!$CU$41:$CU$72,武将数量星级阶位验证!AS194)</f>
        <v>516123.23598022072</v>
      </c>
      <c r="AR106" s="14">
        <f>IF(武将升级!Y191="",0,求节点($AK$5:$AK$104,$AJ$5:$AJ$104,AQ$7)*B$5*武将升级!Y191)</f>
        <v>0</v>
      </c>
      <c r="AS106" s="14">
        <f>IF(武将升级!Z191="",0,求节点($AK$5:$AK$104,$AJ$5:$AJ$104,$AQ106)*C$5*武将升级!Z191)</f>
        <v>0</v>
      </c>
      <c r="AT106" s="14">
        <f>IF(武将升级!AA191="",0,求节点($AK$5:$AK$104,$AJ$5:$AJ$104,$AQ106)*D$5*武将升级!AA191)</f>
        <v>0</v>
      </c>
      <c r="AU106" s="14">
        <f>IF(武将升级!AB191="",0,求节点($AK$5:$AK$104,$AJ$5:$AJ$104,$AQ106)*E$5*武将升级!AB191)</f>
        <v>2322.9948113591754</v>
      </c>
      <c r="AV106" s="14">
        <f>IF(武将升级!AC191="",0,求节点($AK$5:$AK$104,$AJ$5:$AJ$104,$AQ106)*F$5*武将升级!AC191)</f>
        <v>2322.9948113591754</v>
      </c>
      <c r="AW106" s="8">
        <f>SUMPRODUCT(AR106:AV106,基础状态预期!F204:J204)/SUM(基础状态预期!F204:J204)</f>
        <v>2322.9948113591749</v>
      </c>
      <c r="BA106" s="29">
        <v>80</v>
      </c>
      <c r="BB106" s="29">
        <f t="shared" si="34"/>
        <v>3509.1</v>
      </c>
      <c r="BC106" s="56">
        <f>(BB106-BB105)*INDEX([2]超r将兵属性验证!$W$7:$W$106+[2]超r将兵属性验证!$X$7:$X$106,BA106,1)+BC105</f>
        <v>6964855181.7288704</v>
      </c>
    </row>
    <row r="107" spans="16:55" x14ac:dyDescent="0.15">
      <c r="AH107" s="87">
        <v>5.0000000000000096E-3</v>
      </c>
      <c r="AI107" s="4">
        <v>103</v>
      </c>
      <c r="AJ107" s="98">
        <f t="shared" si="17"/>
        <v>0.63</v>
      </c>
      <c r="AK107" s="5">
        <f>'[1]资源-钻石'!$N106*求节点(武将数量星级阶位验证!$CP$41:$CP$72,武将数量星级阶位验证!$CS$41:$CS$72,节奏总纲!R106)</f>
        <v>2292241.0943170777</v>
      </c>
      <c r="AL107" s="48"/>
      <c r="AP107" s="14">
        <f>基础状态预期!D205</f>
        <v>58.560986008166232</v>
      </c>
      <c r="AQ107" s="14">
        <f>(求节点(其他调用!$I$4:$I$503,其他调用!$N$4:$N$503,武将数量星级阶位验证!AS195))*求节点(武将数量星级阶位验证!$CP$41:$CP$72,武将数量星级阶位验证!$CU$41:$CU$72,武将数量星级阶位验证!AS195)</f>
        <v>691072.48737514287</v>
      </c>
      <c r="AR107" s="14">
        <f>IF(武将升级!Y192="",0,求节点($AK$5:$AK$104,$AJ$5:$AJ$104,AQ$7)*B$5*武将升级!Y192)</f>
        <v>0</v>
      </c>
      <c r="AS107" s="14">
        <f>IF(武将升级!Z192="",0,求节点($AK$5:$AK$104,$AJ$5:$AJ$104,$AQ107)*C$5*武将升级!Z192)</f>
        <v>0</v>
      </c>
      <c r="AT107" s="14">
        <f>IF(武将升级!AA192="",0,求节点($AK$5:$AK$104,$AJ$5:$AJ$104,$AQ107)*D$5*武将升级!AA192)</f>
        <v>0</v>
      </c>
      <c r="AU107" s="14">
        <f>IF(武将升级!AB192="",0,求节点($AK$5:$AK$104,$AJ$5:$AJ$104,$AQ107)*E$5*武将升级!AB192)</f>
        <v>2698.7052711086835</v>
      </c>
      <c r="AV107" s="14">
        <f>IF(武将升级!AC192="",0,求节点($AK$5:$AK$104,$AJ$5:$AJ$104,$AQ107)*F$5*武将升级!AC192)</f>
        <v>2698.7052711086835</v>
      </c>
      <c r="AW107" s="8">
        <f>SUMPRODUCT(AR107:AV107,基础状态预期!F205:J205)/SUM(基础状态预期!F205:J205)</f>
        <v>2698.7052711086835</v>
      </c>
      <c r="BA107" s="29">
        <v>90</v>
      </c>
      <c r="BB107" s="29">
        <f t="shared" si="34"/>
        <v>3876.6935780187364</v>
      </c>
      <c r="BC107" s="56">
        <f>(BB107-BB106)*INDEX([2]超r将兵属性验证!$W$7:$W$106+[2]超r将兵属性验证!$X$7:$X$106,BA107,1)+BC106</f>
        <v>13094458982.804304</v>
      </c>
    </row>
    <row r="108" spans="16:55" x14ac:dyDescent="0.15">
      <c r="AH108" s="87">
        <v>5.0000000000000096E-3</v>
      </c>
      <c r="AI108" s="4">
        <v>104</v>
      </c>
      <c r="AJ108" s="98">
        <f t="shared" si="17"/>
        <v>0.63</v>
      </c>
      <c r="AK108" s="5">
        <f>'[1]资源-钻石'!$N107*求节点(武将数量星级阶位验证!$CP$41:$CP$72,武将数量星级阶位验证!$CS$41:$CS$72,节奏总纲!R107)</f>
        <v>2434957.5647297669</v>
      </c>
      <c r="AL108" s="48"/>
      <c r="AP108" s="14">
        <f>基础状态预期!D206</f>
        <v>64.247064283227857</v>
      </c>
      <c r="AQ108" s="14">
        <f>(求节点(其他调用!$I$4:$I$503,其他调用!$N$4:$N$503,武将数量星级阶位验证!AS196))*求节点(武将数量星级阶位验证!$CP$41:$CP$72,武将数量星级阶位验证!$CU$41:$CU$72,武将数量星级阶位验证!AS196)</f>
        <v>921363.86601782055</v>
      </c>
      <c r="AR108" s="14">
        <f>IF(武将升级!Y193="",0,求节点($AK$5:$AK$104,$AJ$5:$AJ$104,AQ$7)*B$5*武将升级!Y193)</f>
        <v>0</v>
      </c>
      <c r="AS108" s="14">
        <f>IF(武将升级!Z193="",0,求节点($AK$5:$AK$104,$AJ$5:$AJ$104,$AQ108)*C$5*武将升级!Z193)</f>
        <v>0</v>
      </c>
      <c r="AT108" s="14">
        <f>IF(武将升级!AA193="",0,求节点($AK$5:$AK$104,$AJ$5:$AJ$104,$AQ108)*D$5*武将升级!AA193)</f>
        <v>0</v>
      </c>
      <c r="AU108" s="14">
        <f>IF(武将升级!AB193="",0,求节点($AK$5:$AK$104,$AJ$5:$AJ$104,$AQ108)*E$5*武将升级!AB193)</f>
        <v>2913.6390299060126</v>
      </c>
      <c r="AV108" s="14">
        <f>IF(武将升级!AC193="",0,求节点($AK$5:$AK$104,$AJ$5:$AJ$104,$AQ108)*F$5*武将升级!AC193)</f>
        <v>2913.6390299060126</v>
      </c>
      <c r="AW108" s="8">
        <f>SUMPRODUCT(AR108:AV108,基础状态预期!F206:J206)/SUM(基础状态预期!F206:J206)</f>
        <v>2913.6390299060126</v>
      </c>
      <c r="BA108" s="29">
        <v>100</v>
      </c>
      <c r="BB108" s="29">
        <f t="shared" si="34"/>
        <v>4241.9030182177821</v>
      </c>
      <c r="BC108" s="56">
        <f>(BB108-BB107)*INDEX([2]超r将兵属性验证!$W$7:$W$106+[2]超r将兵属性验证!$X$7:$X$106,BA108,1)+BC107</f>
        <v>20924378595.203247</v>
      </c>
    </row>
    <row r="109" spans="16:55" x14ac:dyDescent="0.15">
      <c r="AH109" s="87">
        <v>5.0000000000000096E-3</v>
      </c>
      <c r="AI109" s="4">
        <v>105</v>
      </c>
      <c r="AJ109" s="98">
        <f t="shared" si="17"/>
        <v>0.63</v>
      </c>
      <c r="AK109" s="5">
        <f>'[1]资源-钻石'!$N108*求节点(武将数量星级阶位验证!$CP$41:$CP$72,武将数量星级阶位验证!$CS$41:$CS$72,节奏总纲!R108)</f>
        <v>2591323.3952765688</v>
      </c>
      <c r="AL109" s="48"/>
      <c r="AP109" s="14">
        <f>基础状态预期!D207</f>
        <v>68.518369035696878</v>
      </c>
      <c r="AQ109" s="14">
        <f>(求节点(其他调用!$I$4:$I$503,其他调用!$N$4:$N$503,武将数量星级阶位验证!AS197))*求节点(武将数量星级阶位验证!$CP$41:$CP$72,武将数量星级阶位验证!$CU$41:$CU$72,武将数量星级阶位验证!AS197)</f>
        <v>1148611.5366333716</v>
      </c>
      <c r="AR109" s="14">
        <f>IF(武将升级!Y194="",0,求节点($AK$5:$AK$104,$AJ$5:$AJ$104,AQ$7)*B$5*武将升级!Y194)</f>
        <v>0</v>
      </c>
      <c r="AS109" s="14">
        <f>IF(武将升级!Z194="",0,求节点($AK$5:$AK$104,$AJ$5:$AJ$104,$AQ109)*C$5*武将升级!Z194)</f>
        <v>0</v>
      </c>
      <c r="AT109" s="14">
        <f>IF(武将升级!AA194="",0,求节点($AK$5:$AK$104,$AJ$5:$AJ$104,$AQ109)*D$5*武将升级!AA194)</f>
        <v>0</v>
      </c>
      <c r="AU109" s="14">
        <f>IF(武将升级!AB194="",0,求节点($AK$5:$AK$104,$AJ$5:$AJ$104,$AQ109)*E$5*武将升级!AB194)</f>
        <v>3075.094349549342</v>
      </c>
      <c r="AV109" s="14">
        <f>IF(武将升级!AC194="",0,求节点($AK$5:$AK$104,$AJ$5:$AJ$104,$AQ109)*F$5*武将升级!AC194)</f>
        <v>3075.094349549342</v>
      </c>
      <c r="AW109" s="8">
        <f>SUMPRODUCT(AR109:AV109,基础状态预期!F207:J207)/SUM(基础状态预期!F207:J207)</f>
        <v>3075.0943495493425</v>
      </c>
    </row>
    <row r="110" spans="16:55" x14ac:dyDescent="0.15">
      <c r="AH110" s="87">
        <v>5.0000000000000096E-3</v>
      </c>
      <c r="AI110" s="4">
        <v>106</v>
      </c>
      <c r="AJ110" s="98">
        <f t="shared" si="17"/>
        <v>0.63</v>
      </c>
      <c r="AK110" s="5">
        <f>'[1]资源-钻石'!$N109*求节点(武将数量星级阶位验证!$CP$41:$CP$72,武将数量星级阶位验证!$CS$41:$CS$72,节奏总纲!R109)</f>
        <v>2754902.9834170225</v>
      </c>
      <c r="AL110" s="48"/>
      <c r="AP110" s="14">
        <f>基础状态预期!D208</f>
        <v>71.7664716439551</v>
      </c>
      <c r="AQ110" s="14">
        <f>(求节点(其他调用!$I$4:$I$503,其他调用!$N$4:$N$503,武将数量星级阶位验证!AS198))*求节点(武将数量星级阶位验证!$CP$41:$CP$72,武将数量星级阶位验证!$CU$41:$CU$72,武将数量星级阶位验证!AS198)</f>
        <v>1376351.1972149401</v>
      </c>
      <c r="AR110" s="14">
        <f>IF(武将升级!Y195="",0,求节点($AK$5:$AK$104,$AJ$5:$AJ$104,AQ$7)*B$5*武将升级!Y195)</f>
        <v>0</v>
      </c>
      <c r="AS110" s="14">
        <f>IF(武将升级!Z195="",0,求节点($AK$5:$AK$104,$AJ$5:$AJ$104,$AQ110)*C$5*武将升级!Z195)</f>
        <v>0</v>
      </c>
      <c r="AT110" s="14">
        <f>IF(武将升级!AA195="",0,求节点($AK$5:$AK$104,$AJ$5:$AJ$104,$AQ110)*D$5*武将升级!AA195)</f>
        <v>0</v>
      </c>
      <c r="AU110" s="14">
        <f>IF(武将升级!AB195="",0,求节点($AK$5:$AK$104,$AJ$5:$AJ$104,$AQ110)*E$5*武将升级!AB195)</f>
        <v>3197.8726281415029</v>
      </c>
      <c r="AV110" s="14">
        <f>IF(武将升级!AC195="",0,求节点($AK$5:$AK$104,$AJ$5:$AJ$104,$AQ110)*F$5*武将升级!AC195)</f>
        <v>3197.8726281415029</v>
      </c>
      <c r="AW110" s="8">
        <f>SUMPRODUCT(AR110:AV110,基础状态预期!F208:J208)/SUM(基础状态预期!F208:J208)</f>
        <v>3197.8726281415034</v>
      </c>
    </row>
    <row r="111" spans="16:55" x14ac:dyDescent="0.15">
      <c r="AH111" s="87">
        <v>5.0000000000000096E-3</v>
      </c>
      <c r="AI111" s="4">
        <v>107</v>
      </c>
      <c r="AJ111" s="98">
        <f t="shared" si="17"/>
        <v>0.63</v>
      </c>
      <c r="AK111" s="5">
        <f>'[1]资源-钻石'!$N110*求节点(武将数量星级阶位验证!$CP$41:$CP$72,武将数量星级阶位验证!$CS$41:$CS$72,节奏总纲!R110)</f>
        <v>2929446.3371399152</v>
      </c>
      <c r="AL111" s="48"/>
      <c r="AP111" s="14">
        <f>基础状态预期!D209</f>
        <v>74.370993278111257</v>
      </c>
      <c r="AQ111" s="14">
        <f>(求节点(其他调用!$I$4:$I$503,其他调用!$N$4:$N$503,武将数量星级阶位验证!AS199))*求节点(武将数量星级阶位验证!$CP$41:$CP$72,武将数量星级阶位验证!$CU$41:$CU$72,武将数量星级阶位验证!AS199)</f>
        <v>1599005.860232512</v>
      </c>
      <c r="AR111" s="14">
        <f>IF(武将升级!Y196="",0,求节点($AK$5:$AK$104,$AJ$5:$AJ$104,AQ$7)*B$5*武将升级!Y196)</f>
        <v>0</v>
      </c>
      <c r="AS111" s="14">
        <f>IF(武将升级!Z196="",0,求节点($AK$5:$AK$104,$AJ$5:$AJ$104,$AQ111)*C$5*武将升级!Z196)</f>
        <v>0</v>
      </c>
      <c r="AT111" s="14">
        <f>IF(武将升级!AA196="",0,求节点($AK$5:$AK$104,$AJ$5:$AJ$104,$AQ111)*D$5*武将升级!AA196)</f>
        <v>0</v>
      </c>
      <c r="AU111" s="14">
        <f>IF(武将升级!AB196="",0,求节点($AK$5:$AK$104,$AJ$5:$AJ$104,$AQ111)*E$5*武将升级!AB196)</f>
        <v>3296.3235459126058</v>
      </c>
      <c r="AV111" s="14">
        <f>IF(武将升级!AC196="",0,求节点($AK$5:$AK$104,$AJ$5:$AJ$104,$AQ111)*F$5*武将升级!AC196)</f>
        <v>3296.3235459126058</v>
      </c>
      <c r="AW111" s="8">
        <f>SUMPRODUCT(AR111:AV111,基础状态预期!F209:J209)/SUM(基础状态预期!F209:J209)</f>
        <v>3296.3235459126063</v>
      </c>
    </row>
    <row r="112" spans="16:55" x14ac:dyDescent="0.15">
      <c r="AH112" s="87">
        <v>5.0000000000000096E-3</v>
      </c>
      <c r="AI112" s="4">
        <v>108</v>
      </c>
      <c r="AJ112" s="98">
        <f t="shared" si="17"/>
        <v>0.63</v>
      </c>
      <c r="AK112" s="5">
        <f>'[1]资源-钻石'!$N111*求节点(武将数量星级阶位验证!$CP$41:$CP$72,武将数量星级阶位验证!$CS$41:$CS$72,节奏总纲!R111)</f>
        <v>3101253.6038826969</v>
      </c>
      <c r="AL112" s="48"/>
      <c r="AP112" s="14">
        <f>基础状态预期!D210</f>
        <v>77.234275947206214</v>
      </c>
      <c r="AQ112" s="14">
        <f>(求节点(其他调用!$I$4:$I$503,其他调用!$N$4:$N$503,武将数量星级阶位验证!AS200))*求节点(武将数量星级阶位验证!$CP$41:$CP$72,武将数量星级阶位验证!$CU$41:$CU$72,武将数量星级阶位验证!AS200)</f>
        <v>1886755.1489291871</v>
      </c>
      <c r="AR112" s="14">
        <f>IF(武将升级!Y197="",0,求节点($AK$5:$AK$104,$AJ$5:$AJ$104,AQ$7)*B$5*武将升级!Y197)</f>
        <v>0</v>
      </c>
      <c r="AS112" s="14">
        <f>IF(武将升级!Z197="",0,求节点($AK$5:$AK$104,$AJ$5:$AJ$104,$AQ112)*C$5*武将升级!Z197)</f>
        <v>0</v>
      </c>
      <c r="AT112" s="14">
        <f>IF(武将升级!AA197="",0,求节点($AK$5:$AK$104,$AJ$5:$AJ$104,$AQ112)*D$5*武将升级!AA197)</f>
        <v>0</v>
      </c>
      <c r="AU112" s="14">
        <f>IF(武将升级!AB197="",0,求节点($AK$5:$AK$104,$AJ$5:$AJ$104,$AQ112)*E$5*武将升级!AB197)</f>
        <v>0</v>
      </c>
      <c r="AV112" s="14">
        <f>IF(武将升级!AC197="",0,求节点($AK$5:$AK$104,$AJ$5:$AJ$104,$AQ112)*F$5*武将升级!AC197)</f>
        <v>3404.5556308043947</v>
      </c>
      <c r="AW112" s="8">
        <f>SUMPRODUCT(AR112:AV112,基础状态预期!F210:J210)/SUM(基础状态预期!F210:J210)</f>
        <v>3404.5556308043947</v>
      </c>
    </row>
    <row r="113" spans="34:49" x14ac:dyDescent="0.15">
      <c r="AH113" s="87">
        <v>5.0000000000000096E-3</v>
      </c>
      <c r="AI113" s="4">
        <v>109</v>
      </c>
      <c r="AJ113" s="98">
        <f t="shared" si="17"/>
        <v>0.63</v>
      </c>
      <c r="AK113" s="5">
        <f>'[1]资源-钻石'!$N112*求节点(武将数量星级阶位验证!$CP$41:$CP$72,武将数量星级阶位验证!$CS$41:$CS$72,节奏总纲!R112)</f>
        <v>3290769.9678031802</v>
      </c>
      <c r="AL113" s="48"/>
      <c r="AP113" s="14">
        <f>基础状态预期!D211</f>
        <v>79.725666247801229</v>
      </c>
      <c r="AQ113" s="14">
        <f>(求节点(其他调用!$I$4:$I$503,其他调用!$N$4:$N$503,武将数量星级阶位验证!AS201))*求节点(武将数量星级阶位验证!$CP$41:$CP$72,武将数量星级阶位验证!$CU$41:$CU$72,武将数量星级阶位验证!AS201)</f>
        <v>2166743.213850054</v>
      </c>
      <c r="AR113" s="14">
        <f>IF(武将升级!Y198="",0,求节点($AK$5:$AK$104,$AJ$5:$AJ$104,AQ$7)*B$5*武将升级!Y198)</f>
        <v>0</v>
      </c>
      <c r="AS113" s="14">
        <f>IF(武将升级!Z198="",0,求节点($AK$5:$AK$104,$AJ$5:$AJ$104,$AQ113)*C$5*武将升级!Z198)</f>
        <v>0</v>
      </c>
      <c r="AT113" s="14">
        <f>IF(武将升级!AA198="",0,求节点($AK$5:$AK$104,$AJ$5:$AJ$104,$AQ113)*D$5*武将升级!AA198)</f>
        <v>0</v>
      </c>
      <c r="AU113" s="14">
        <f>IF(武将升级!AB198="",0,求节点($AK$5:$AK$104,$AJ$5:$AJ$104,$AQ113)*E$5*武将升级!AB198)</f>
        <v>0</v>
      </c>
      <c r="AV113" s="14">
        <f>IF(武将升级!AC198="",0,求节点($AK$5:$AK$104,$AJ$5:$AJ$104,$AQ113)*F$5*武将升级!AC198)</f>
        <v>3498.7301841668864</v>
      </c>
      <c r="AW113" s="8">
        <f>SUMPRODUCT(AR113:AV113,基础状态预期!F211:J211)/SUM(基础状态预期!F211:J211)</f>
        <v>3498.7301841668864</v>
      </c>
    </row>
    <row r="114" spans="34:49" x14ac:dyDescent="0.15">
      <c r="AH114" s="87">
        <v>5.0000000000000096E-3</v>
      </c>
      <c r="AI114" s="4">
        <v>110</v>
      </c>
      <c r="AJ114" s="98">
        <f t="shared" si="17"/>
        <v>0.63</v>
      </c>
      <c r="AK114" s="5">
        <f>'[1]资源-钻石'!$N113*求节点(武将数量星级阶位验证!$CP$41:$CP$72,武将数量星级阶位验证!$CS$41:$CS$72,节奏总纲!R113)</f>
        <v>3507504.8817523918</v>
      </c>
      <c r="AL114" s="48"/>
      <c r="AP114" s="14">
        <f>基础状态预期!D212</f>
        <v>81.863982387630472</v>
      </c>
      <c r="AQ114" s="14">
        <f>(求节点(其他调用!$I$4:$I$503,其他调用!$N$4:$N$503,武将数量星级阶位验证!AS202))*求节点(武将数量星级阶位验证!$CP$41:$CP$72,武将数量星级阶位验证!$CU$41:$CU$72,武将数量星级阶位验证!AS202)</f>
        <v>2438995.690790961</v>
      </c>
      <c r="AR114" s="14">
        <f>IF(武将升级!Y199="",0,求节点($AK$5:$AK$104,$AJ$5:$AJ$104,AQ$7)*B$5*武将升级!Y199)</f>
        <v>0</v>
      </c>
      <c r="AS114" s="14">
        <f>IF(武将升级!Z199="",0,求节点($AK$5:$AK$104,$AJ$5:$AJ$104,$AQ114)*C$5*武将升级!Z199)</f>
        <v>0</v>
      </c>
      <c r="AT114" s="14">
        <f>IF(武将升级!AA199="",0,求节点($AK$5:$AK$104,$AJ$5:$AJ$104,$AQ114)*D$5*武将升级!AA199)</f>
        <v>0</v>
      </c>
      <c r="AU114" s="14">
        <f>IF(武将升级!AB199="",0,求节点($AK$5:$AK$104,$AJ$5:$AJ$104,$AQ114)*E$5*武将升级!AB199)</f>
        <v>0</v>
      </c>
      <c r="AV114" s="14">
        <f>IF(武将升级!AC199="",0,求节点($AK$5:$AK$104,$AJ$5:$AJ$104,$AQ114)*F$5*武将升级!AC199)</f>
        <v>3579.5585342524314</v>
      </c>
      <c r="AW114" s="8">
        <f>SUMPRODUCT(AR114:AV114,基础状态预期!F212:J212)/SUM(基础状态预期!F212:J212)</f>
        <v>3579.5585342524314</v>
      </c>
    </row>
    <row r="115" spans="34:49" x14ac:dyDescent="0.15">
      <c r="AP115" s="14">
        <f>基础状态预期!D235</f>
        <v>152.38629594951036</v>
      </c>
      <c r="AQ115" s="14">
        <f>(求节点(其他调用!$I$4:$I$503,其他调用!$N$4:$N$503,武将数量星级阶位验证!AS225))*求节点(武将数量星级阶位验证!$CP$41:$CP$72,武将数量星级阶位验证!$CU$41:$CU$72,武将数量星级阶位验证!AS225)</f>
        <v>8044797.4194438811</v>
      </c>
      <c r="AR115" s="14">
        <f>IF(武将升级!Y222="",0,求节点($AK$5:$AK$104,$AJ$5:$AJ$104,AQ$7)*B$5*武将升级!Y222)</f>
        <v>0</v>
      </c>
      <c r="AS115" s="14">
        <f>IF(武将升级!Z222="",0,求节点($AK$5:$AK$104,$AJ$5:$AJ$104,$AQ115)*C$5*武将升级!Z222)</f>
        <v>0</v>
      </c>
      <c r="AT115" s="14">
        <f>IF(武将升级!AA222="",0,求节点($AK$5:$AK$104,$AJ$5:$AJ$104,$AQ115)*D$5*武将升级!AA222)</f>
        <v>0</v>
      </c>
      <c r="AU115" s="14">
        <f>IF(武将升级!AB222="",0,求节点($AK$5:$AK$104,$AJ$5:$AJ$104,$AQ115)*E$5*武将升级!AB222)</f>
        <v>0</v>
      </c>
      <c r="AV115" s="14">
        <f>IF(武将升级!AC222="",0,求节点($AK$5:$AK$104,$AJ$5:$AJ$104,$AQ115)*F$5*武将升级!AC222)</f>
        <v>6155.1</v>
      </c>
      <c r="AW115" s="8">
        <f>SUMPRODUCT(AR115:AV115,基础状态预期!F235:J235)/SUM(基础状态预期!F235:J235)</f>
        <v>6155.1000000000013</v>
      </c>
    </row>
  </sheetData>
  <mergeCells count="7">
    <mergeCell ref="AR97:AW97"/>
    <mergeCell ref="AR5:AW5"/>
    <mergeCell ref="S8:X8"/>
    <mergeCell ref="AA8:AF8"/>
    <mergeCell ref="AR28:AW28"/>
    <mergeCell ref="AR51:AW51"/>
    <mergeCell ref="AR74:AW74"/>
  </mergeCells>
  <phoneticPr fontId="1" type="noConversion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2"/>
  <dimension ref="C1:AP28"/>
  <sheetViews>
    <sheetView workbookViewId="0">
      <selection activeCell="O25" sqref="O25"/>
    </sheetView>
  </sheetViews>
  <sheetFormatPr defaultRowHeight="11.25" x14ac:dyDescent="0.15"/>
  <cols>
    <col min="1" max="2" width="9" style="16"/>
    <col min="3" max="3" width="21.375" style="16" bestFit="1" customWidth="1"/>
    <col min="4" max="4" width="17.25" style="16" bestFit="1" customWidth="1"/>
    <col min="5" max="11" width="9" style="16"/>
    <col min="12" max="12" width="9" style="102"/>
    <col min="13" max="14" width="9" style="16"/>
    <col min="15" max="15" width="10.5" style="16" bestFit="1" customWidth="1"/>
    <col min="16" max="16" width="32.125" style="72" bestFit="1" customWidth="1"/>
    <col min="17" max="17" width="15.5" style="16" bestFit="1" customWidth="1"/>
    <col min="18" max="30" width="9" style="16"/>
    <col min="31" max="31" width="9" style="102"/>
    <col min="32" max="35" width="9" style="16"/>
    <col min="36" max="36" width="22.25" style="16" bestFit="1" customWidth="1"/>
    <col min="37" max="38" width="13" style="16" bestFit="1" customWidth="1"/>
    <col min="39" max="39" width="9.75" style="16" bestFit="1" customWidth="1"/>
    <col min="40" max="40" width="9.75" style="16" customWidth="1"/>
    <col min="41" max="41" width="15.5" style="16" bestFit="1" customWidth="1"/>
    <col min="42" max="16384" width="9" style="16"/>
  </cols>
  <sheetData>
    <row r="1" spans="3:42" x14ac:dyDescent="0.15">
      <c r="M1" s="16" t="s">
        <v>559</v>
      </c>
      <c r="AF1" s="16" t="s">
        <v>637</v>
      </c>
    </row>
    <row r="2" spans="3:42" x14ac:dyDescent="0.15">
      <c r="Q2" s="16" t="s">
        <v>636</v>
      </c>
      <c r="R2" s="16">
        <v>150</v>
      </c>
      <c r="AO2" s="16" t="s">
        <v>636</v>
      </c>
      <c r="AP2" s="16">
        <v>150</v>
      </c>
    </row>
    <row r="3" spans="3:42" x14ac:dyDescent="0.15">
      <c r="C3" s="16" t="s">
        <v>554</v>
      </c>
      <c r="D3" s="16">
        <v>4</v>
      </c>
    </row>
    <row r="4" spans="3:42" x14ac:dyDescent="0.15">
      <c r="C4" s="16" t="s">
        <v>478</v>
      </c>
      <c r="D4" s="16" t="s">
        <v>555</v>
      </c>
    </row>
    <row r="5" spans="3:42" x14ac:dyDescent="0.15">
      <c r="C5" s="16">
        <v>0</v>
      </c>
      <c r="D5" s="16">
        <v>0</v>
      </c>
      <c r="O5" s="16" t="s">
        <v>633</v>
      </c>
      <c r="P5" s="72" t="s">
        <v>634</v>
      </c>
      <c r="Q5" s="16" t="s">
        <v>635</v>
      </c>
      <c r="R5" s="16" t="s">
        <v>623</v>
      </c>
      <c r="S5" s="16" t="s">
        <v>624</v>
      </c>
      <c r="T5" s="16" t="s">
        <v>625</v>
      </c>
      <c r="U5" s="16" t="s">
        <v>626</v>
      </c>
      <c r="V5" s="16" t="s">
        <v>627</v>
      </c>
      <c r="W5" s="16" t="s">
        <v>628</v>
      </c>
      <c r="X5" s="16" t="s">
        <v>629</v>
      </c>
      <c r="Y5" s="16" t="s">
        <v>630</v>
      </c>
      <c r="Z5" s="16" t="s">
        <v>631</v>
      </c>
      <c r="AA5" s="16" t="s">
        <v>632</v>
      </c>
      <c r="AI5" s="16" t="s">
        <v>638</v>
      </c>
      <c r="AJ5" s="16" t="s">
        <v>640</v>
      </c>
      <c r="AK5" s="16" t="s">
        <v>649</v>
      </c>
      <c r="AL5" s="16" t="s">
        <v>650</v>
      </c>
      <c r="AM5" s="16" t="s">
        <v>655</v>
      </c>
      <c r="AN5" s="16" t="s">
        <v>659</v>
      </c>
      <c r="AO5" s="16" t="s">
        <v>635</v>
      </c>
    </row>
    <row r="6" spans="3:42" x14ac:dyDescent="0.15">
      <c r="C6" s="16">
        <v>10</v>
      </c>
      <c r="D6" s="16">
        <v>0</v>
      </c>
      <c r="O6" s="16" t="s">
        <v>568</v>
      </c>
      <c r="P6" s="72" t="s">
        <v>560</v>
      </c>
      <c r="Q6" s="97">
        <f>ROUND((($R$2+$D$3)*2/($R$2+$D$3+$R$2)-1)/5,3)*5</f>
        <v>1.4999999999999999E-2</v>
      </c>
      <c r="R6" s="16" t="s">
        <v>579</v>
      </c>
      <c r="S6" s="16" t="s">
        <v>580</v>
      </c>
      <c r="T6" s="16" t="s">
        <v>581</v>
      </c>
      <c r="AI6" s="16" t="s">
        <v>639</v>
      </c>
      <c r="AJ6" s="16">
        <v>2</v>
      </c>
      <c r="AK6" s="16" t="s">
        <v>645</v>
      </c>
      <c r="AN6" s="16">
        <v>1</v>
      </c>
      <c r="AO6" s="97">
        <f>ROUND((($AP$2+AN6)*2/($AP$2+AN6+$AP$2)-1)/5,3)*5</f>
        <v>5.0000000000000001E-3</v>
      </c>
    </row>
    <row r="7" spans="3:42" x14ac:dyDescent="0.15">
      <c r="C7" s="16">
        <v>20</v>
      </c>
      <c r="D7" s="16">
        <v>0.3</v>
      </c>
      <c r="O7" s="16" t="s">
        <v>569</v>
      </c>
      <c r="P7" s="72" t="s">
        <v>561</v>
      </c>
      <c r="Q7" s="97">
        <f t="shared" ref="Q7:Q16" si="0">ROUND((($R$2+$D$3)*2/($R$2+$D$3+$R$2)-1)/5,3)*5</f>
        <v>1.4999999999999999E-2</v>
      </c>
      <c r="R7" s="16" t="s">
        <v>582</v>
      </c>
      <c r="S7" s="16" t="s">
        <v>583</v>
      </c>
      <c r="T7" s="16" t="s">
        <v>584</v>
      </c>
      <c r="U7" s="16" t="s">
        <v>585</v>
      </c>
      <c r="AI7" s="16" t="s">
        <v>639</v>
      </c>
      <c r="AJ7" s="16">
        <v>3</v>
      </c>
      <c r="AK7" s="16" t="s">
        <v>646</v>
      </c>
      <c r="AN7" s="16">
        <v>2</v>
      </c>
      <c r="AO7" s="97">
        <f t="shared" ref="AO7:AO11" si="1">ROUND((($AP$2+AN7)*2/($AP$2+AN7+$AP$2)-1)/5,3)*5</f>
        <v>5.0000000000000001E-3</v>
      </c>
    </row>
    <row r="8" spans="3:42" x14ac:dyDescent="0.15">
      <c r="C8" s="16">
        <v>30</v>
      </c>
      <c r="D8" s="16">
        <v>1</v>
      </c>
      <c r="O8" s="16" t="s">
        <v>570</v>
      </c>
      <c r="P8" s="72" t="s">
        <v>562</v>
      </c>
      <c r="Q8" s="97">
        <f t="shared" si="0"/>
        <v>1.4999999999999999E-2</v>
      </c>
      <c r="R8" s="16" t="s">
        <v>586</v>
      </c>
      <c r="S8" s="16" t="s">
        <v>587</v>
      </c>
      <c r="T8" s="16" t="s">
        <v>588</v>
      </c>
      <c r="U8" s="16" t="s">
        <v>589</v>
      </c>
      <c r="V8" s="16" t="s">
        <v>590</v>
      </c>
      <c r="AI8" s="16" t="s">
        <v>639</v>
      </c>
      <c r="AJ8" s="16">
        <v>4</v>
      </c>
      <c r="AK8" s="16" t="s">
        <v>647</v>
      </c>
      <c r="AN8" s="16">
        <v>3</v>
      </c>
      <c r="AO8" s="97">
        <f t="shared" si="1"/>
        <v>0.01</v>
      </c>
    </row>
    <row r="9" spans="3:42" x14ac:dyDescent="0.15">
      <c r="C9" s="16">
        <v>40</v>
      </c>
      <c r="D9" s="16">
        <v>1</v>
      </c>
      <c r="O9" s="16" t="s">
        <v>571</v>
      </c>
      <c r="P9" s="72" t="s">
        <v>563</v>
      </c>
      <c r="Q9" s="97">
        <f t="shared" si="0"/>
        <v>1.4999999999999999E-2</v>
      </c>
      <c r="R9" s="16" t="s">
        <v>591</v>
      </c>
      <c r="S9" s="16" t="s">
        <v>592</v>
      </c>
      <c r="T9" s="16" t="s">
        <v>593</v>
      </c>
      <c r="U9" s="16" t="s">
        <v>594</v>
      </c>
      <c r="AI9" s="16" t="s">
        <v>639</v>
      </c>
      <c r="AJ9" s="16" t="s">
        <v>641</v>
      </c>
      <c r="AK9" s="16" t="s">
        <v>648</v>
      </c>
      <c r="AN9" s="16">
        <v>4</v>
      </c>
      <c r="AO9" s="97">
        <f t="shared" si="1"/>
        <v>1.4999999999999999E-2</v>
      </c>
    </row>
    <row r="10" spans="3:42" x14ac:dyDescent="0.15">
      <c r="C10" s="16">
        <v>50</v>
      </c>
      <c r="D10" s="16">
        <v>1</v>
      </c>
      <c r="O10" s="16" t="s">
        <v>572</v>
      </c>
      <c r="P10" s="72" t="s">
        <v>564</v>
      </c>
      <c r="Q10" s="97">
        <f t="shared" si="0"/>
        <v>1.4999999999999999E-2</v>
      </c>
      <c r="R10" s="16" t="s">
        <v>595</v>
      </c>
      <c r="S10" s="16" t="s">
        <v>596</v>
      </c>
      <c r="T10" s="16" t="s">
        <v>597</v>
      </c>
      <c r="AI10" s="16" t="s">
        <v>639</v>
      </c>
      <c r="AJ10" s="16" t="s">
        <v>642</v>
      </c>
      <c r="AK10" s="16" t="s">
        <v>648</v>
      </c>
      <c r="AN10" s="16">
        <v>4</v>
      </c>
      <c r="AO10" s="97">
        <f t="shared" si="1"/>
        <v>1.4999999999999999E-2</v>
      </c>
    </row>
    <row r="11" spans="3:42" x14ac:dyDescent="0.15">
      <c r="C11" s="16">
        <v>60</v>
      </c>
      <c r="D11" s="16">
        <v>1</v>
      </c>
      <c r="O11" s="16" t="s">
        <v>573</v>
      </c>
      <c r="P11" s="72" t="s">
        <v>565</v>
      </c>
      <c r="Q11" s="97">
        <f t="shared" si="0"/>
        <v>1.4999999999999999E-2</v>
      </c>
      <c r="R11" s="16" t="s">
        <v>598</v>
      </c>
      <c r="S11" s="16" t="s">
        <v>599</v>
      </c>
      <c r="T11" s="16" t="s">
        <v>600</v>
      </c>
      <c r="U11" s="16" t="s">
        <v>601</v>
      </c>
      <c r="AI11" s="16" t="s">
        <v>639</v>
      </c>
      <c r="AJ11" s="16" t="s">
        <v>643</v>
      </c>
      <c r="AK11" s="16" t="s">
        <v>648</v>
      </c>
      <c r="AN11" s="16">
        <v>4</v>
      </c>
      <c r="AO11" s="97">
        <f t="shared" si="1"/>
        <v>1.4999999999999999E-2</v>
      </c>
    </row>
    <row r="12" spans="3:42" x14ac:dyDescent="0.15">
      <c r="C12" s="16">
        <v>70</v>
      </c>
      <c r="D12" s="16">
        <v>1</v>
      </c>
      <c r="O12" s="16" t="s">
        <v>574</v>
      </c>
      <c r="P12" s="72" t="s">
        <v>564</v>
      </c>
      <c r="Q12" s="97">
        <f t="shared" si="0"/>
        <v>1.4999999999999999E-2</v>
      </c>
      <c r="R12" s="16" t="s">
        <v>602</v>
      </c>
      <c r="S12" s="16" t="s">
        <v>603</v>
      </c>
      <c r="T12" s="16" t="s">
        <v>604</v>
      </c>
      <c r="U12" s="16" t="s">
        <v>605</v>
      </c>
      <c r="AO12" s="103"/>
    </row>
    <row r="13" spans="3:42" x14ac:dyDescent="0.15">
      <c r="C13" s="16">
        <v>80</v>
      </c>
      <c r="D13" s="16">
        <v>1</v>
      </c>
      <c r="O13" s="16" t="s">
        <v>575</v>
      </c>
      <c r="P13" s="72" t="s">
        <v>563</v>
      </c>
      <c r="Q13" s="97">
        <f t="shared" si="0"/>
        <v>1.4999999999999999E-2</v>
      </c>
      <c r="R13" s="16" t="s">
        <v>606</v>
      </c>
      <c r="S13" s="16" t="s">
        <v>607</v>
      </c>
      <c r="T13" s="16" t="s">
        <v>608</v>
      </c>
      <c r="U13" s="16" t="s">
        <v>609</v>
      </c>
      <c r="AI13" s="16" t="s">
        <v>644</v>
      </c>
      <c r="AJ13" s="16">
        <v>1</v>
      </c>
      <c r="AK13" s="16" t="s">
        <v>653</v>
      </c>
      <c r="AN13" s="16">
        <v>0.25</v>
      </c>
      <c r="AO13" s="97">
        <f>AN13/100</f>
        <v>2.5000000000000001E-3</v>
      </c>
    </row>
    <row r="14" spans="3:42" x14ac:dyDescent="0.15">
      <c r="C14" s="16">
        <v>90</v>
      </c>
      <c r="D14" s="16">
        <v>1</v>
      </c>
      <c r="O14" s="16" t="s">
        <v>576</v>
      </c>
      <c r="P14" s="72" t="s">
        <v>566</v>
      </c>
      <c r="Q14" s="97">
        <f t="shared" si="0"/>
        <v>1.4999999999999999E-2</v>
      </c>
      <c r="R14" s="16" t="s">
        <v>610</v>
      </c>
      <c r="S14" s="16" t="s">
        <v>611</v>
      </c>
      <c r="T14" s="16" t="s">
        <v>612</v>
      </c>
      <c r="AI14" s="16" t="s">
        <v>644</v>
      </c>
      <c r="AJ14" s="16">
        <v>2</v>
      </c>
      <c r="AK14" s="16" t="s">
        <v>653</v>
      </c>
      <c r="AL14" s="16" t="s">
        <v>654</v>
      </c>
      <c r="AN14" s="16">
        <v>0.5</v>
      </c>
      <c r="AO14" s="97">
        <f t="shared" ref="AO14:AO18" si="2">AN14/100</f>
        <v>5.0000000000000001E-3</v>
      </c>
    </row>
    <row r="15" spans="3:42" x14ac:dyDescent="0.15">
      <c r="C15" s="16">
        <v>100</v>
      </c>
      <c r="D15" s="16">
        <v>1</v>
      </c>
      <c r="O15" s="16" t="s">
        <v>577</v>
      </c>
      <c r="P15" s="72" t="s">
        <v>562</v>
      </c>
      <c r="Q15" s="97">
        <f t="shared" si="0"/>
        <v>1.4999999999999999E-2</v>
      </c>
      <c r="R15" s="16" t="s">
        <v>613</v>
      </c>
      <c r="S15" s="16" t="s">
        <v>614</v>
      </c>
      <c r="T15" s="16" t="s">
        <v>615</v>
      </c>
      <c r="U15" s="16" t="s">
        <v>616</v>
      </c>
      <c r="V15" s="16" t="s">
        <v>617</v>
      </c>
      <c r="AI15" s="16" t="s">
        <v>644</v>
      </c>
      <c r="AJ15" s="16">
        <v>3</v>
      </c>
      <c r="AK15" s="16" t="s">
        <v>653</v>
      </c>
      <c r="AL15" s="16" t="s">
        <v>654</v>
      </c>
      <c r="AM15" s="16" t="s">
        <v>652</v>
      </c>
      <c r="AN15" s="16">
        <v>1</v>
      </c>
      <c r="AO15" s="97">
        <f t="shared" si="2"/>
        <v>0.01</v>
      </c>
    </row>
    <row r="16" spans="3:42" x14ac:dyDescent="0.15">
      <c r="O16" s="16" t="s">
        <v>578</v>
      </c>
      <c r="P16" s="72" t="s">
        <v>567</v>
      </c>
      <c r="Q16" s="97">
        <f t="shared" si="0"/>
        <v>1.4999999999999999E-2</v>
      </c>
      <c r="R16" s="16" t="s">
        <v>618</v>
      </c>
      <c r="S16" s="16" t="s">
        <v>619</v>
      </c>
      <c r="T16" s="16" t="s">
        <v>620</v>
      </c>
      <c r="U16" s="16" t="s">
        <v>621</v>
      </c>
      <c r="V16" s="16" t="s">
        <v>622</v>
      </c>
      <c r="AI16" s="16" t="s">
        <v>644</v>
      </c>
      <c r="AJ16" s="16">
        <v>4</v>
      </c>
      <c r="AK16" s="16" t="s">
        <v>656</v>
      </c>
      <c r="AL16" s="16" t="s">
        <v>654</v>
      </c>
      <c r="AM16" s="16" t="s">
        <v>652</v>
      </c>
      <c r="AN16" s="16">
        <v>1.25</v>
      </c>
      <c r="AO16" s="97">
        <f t="shared" si="2"/>
        <v>1.2500000000000001E-2</v>
      </c>
    </row>
    <row r="17" spans="3:41" x14ac:dyDescent="0.15">
      <c r="AI17" s="16" t="s">
        <v>644</v>
      </c>
      <c r="AJ17" s="16">
        <v>5</v>
      </c>
      <c r="AK17" s="16" t="s">
        <v>656</v>
      </c>
      <c r="AL17" s="16" t="s">
        <v>657</v>
      </c>
      <c r="AM17" s="16" t="s">
        <v>651</v>
      </c>
      <c r="AN17" s="16">
        <v>1.5</v>
      </c>
      <c r="AO17" s="97">
        <f t="shared" si="2"/>
        <v>1.4999999999999999E-2</v>
      </c>
    </row>
    <row r="18" spans="3:41" x14ac:dyDescent="0.15">
      <c r="AI18" s="16" t="s">
        <v>644</v>
      </c>
      <c r="AJ18" s="16">
        <v>6</v>
      </c>
      <c r="AK18" s="16" t="s">
        <v>656</v>
      </c>
      <c r="AL18" s="16" t="s">
        <v>657</v>
      </c>
      <c r="AM18" s="16" t="s">
        <v>658</v>
      </c>
      <c r="AN18" s="16">
        <v>2</v>
      </c>
      <c r="AO18" s="97">
        <f t="shared" si="2"/>
        <v>0.02</v>
      </c>
    </row>
    <row r="21" spans="3:41" x14ac:dyDescent="0.15">
      <c r="C21" s="79" t="s">
        <v>556</v>
      </c>
    </row>
    <row r="22" spans="3:41" x14ac:dyDescent="0.15">
      <c r="C22" s="79" t="s">
        <v>557</v>
      </c>
    </row>
    <row r="23" spans="3:41" x14ac:dyDescent="0.15">
      <c r="C23" s="79" t="s">
        <v>558</v>
      </c>
    </row>
    <row r="24" spans="3:41" x14ac:dyDescent="0.15">
      <c r="C24" s="79"/>
    </row>
    <row r="25" spans="3:41" x14ac:dyDescent="0.15">
      <c r="C25" s="79"/>
    </row>
    <row r="26" spans="3:41" x14ac:dyDescent="0.15">
      <c r="C26" s="79"/>
    </row>
    <row r="27" spans="3:41" x14ac:dyDescent="0.15">
      <c r="C27" s="79"/>
    </row>
    <row r="28" spans="3:41" x14ac:dyDescent="0.15">
      <c r="C28" s="79"/>
    </row>
  </sheetData>
  <phoneticPr fontId="1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B1:AW225"/>
  <sheetViews>
    <sheetView workbookViewId="0">
      <selection activeCell="J17" sqref="J17"/>
    </sheetView>
  </sheetViews>
  <sheetFormatPr defaultColWidth="6.625" defaultRowHeight="11.25" x14ac:dyDescent="0.15"/>
  <cols>
    <col min="1" max="5" width="6.625" style="16"/>
    <col min="6" max="6" width="8.25" style="16" bestFit="1" customWidth="1"/>
    <col min="7" max="10" width="6.625" style="16"/>
    <col min="11" max="11" width="6.625" style="102"/>
    <col min="12" max="23" width="6.625" style="16"/>
    <col min="24" max="24" width="6.125" style="16" customWidth="1"/>
    <col min="25" max="26" width="6.625" style="16"/>
    <col min="27" max="27" width="6.625" style="102"/>
    <col min="28" max="39" width="6.625" style="16"/>
    <col min="40" max="40" width="6.625" style="102"/>
    <col min="41" max="16384" width="6.625" style="16"/>
  </cols>
  <sheetData>
    <row r="1" spans="2:49" x14ac:dyDescent="0.15">
      <c r="M1" s="16">
        <v>1</v>
      </c>
    </row>
    <row r="2" spans="2:49" x14ac:dyDescent="0.15">
      <c r="M2" s="16">
        <v>2</v>
      </c>
      <c r="N2" s="14" t="s">
        <v>183</v>
      </c>
      <c r="O2" s="165" t="s">
        <v>198</v>
      </c>
      <c r="P2" s="172"/>
      <c r="Q2" s="172"/>
      <c r="R2" s="172"/>
      <c r="S2" s="166"/>
      <c r="T2" s="164" t="s">
        <v>413</v>
      </c>
      <c r="U2" s="164"/>
      <c r="V2" s="164"/>
      <c r="W2" s="164"/>
      <c r="X2" s="164"/>
      <c r="Y2" s="164"/>
      <c r="AC2" s="29" t="s">
        <v>291</v>
      </c>
      <c r="AD2" s="165" t="s">
        <v>292</v>
      </c>
      <c r="AE2" s="172"/>
      <c r="AF2" s="172"/>
      <c r="AG2" s="166"/>
      <c r="AH2" s="160" t="s">
        <v>290</v>
      </c>
      <c r="AI2" s="160"/>
      <c r="AJ2" s="160"/>
      <c r="AK2" s="160"/>
      <c r="AL2" s="160"/>
      <c r="AP2" s="14" t="s">
        <v>291</v>
      </c>
      <c r="AQ2" s="164" t="s">
        <v>306</v>
      </c>
      <c r="AR2" s="164"/>
      <c r="AS2" s="164"/>
      <c r="AU2" s="29" t="s">
        <v>291</v>
      </c>
      <c r="AV2" s="164" t="s">
        <v>308</v>
      </c>
      <c r="AW2" s="164"/>
    </row>
    <row r="3" spans="2:49" ht="13.5" customHeight="1" x14ac:dyDescent="0.15">
      <c r="B3" s="190" t="s">
        <v>180</v>
      </c>
      <c r="C3" s="14" t="s">
        <v>179</v>
      </c>
      <c r="D3" s="113" t="s">
        <v>3</v>
      </c>
      <c r="E3" s="113" t="s">
        <v>1</v>
      </c>
      <c r="F3" s="113" t="s">
        <v>2</v>
      </c>
      <c r="G3" s="113" t="s">
        <v>0</v>
      </c>
      <c r="H3" s="14" t="s">
        <v>545</v>
      </c>
      <c r="I3" s="14" t="s">
        <v>30</v>
      </c>
      <c r="M3" s="16">
        <v>3</v>
      </c>
      <c r="N3" s="14" t="s">
        <v>478</v>
      </c>
      <c r="O3" s="19" t="s">
        <v>3</v>
      </c>
      <c r="P3" s="19" t="s">
        <v>1</v>
      </c>
      <c r="Q3" s="19" t="s">
        <v>2</v>
      </c>
      <c r="R3" s="19" t="s">
        <v>0</v>
      </c>
      <c r="S3" s="19" t="s">
        <v>545</v>
      </c>
      <c r="T3" s="29" t="s">
        <v>3</v>
      </c>
      <c r="U3" s="29" t="s">
        <v>1</v>
      </c>
      <c r="V3" s="29" t="s">
        <v>2</v>
      </c>
      <c r="W3" s="29" t="s">
        <v>0</v>
      </c>
      <c r="X3" s="29" t="s">
        <v>545</v>
      </c>
      <c r="Y3" s="14" t="s">
        <v>203</v>
      </c>
      <c r="AC3" s="29" t="s">
        <v>478</v>
      </c>
      <c r="AD3" s="29" t="s">
        <v>287</v>
      </c>
      <c r="AE3" s="29" t="s">
        <v>288</v>
      </c>
      <c r="AF3" s="29" t="s">
        <v>289</v>
      </c>
      <c r="AG3" s="29" t="s">
        <v>294</v>
      </c>
      <c r="AH3" s="29" t="s">
        <v>287</v>
      </c>
      <c r="AI3" s="29" t="s">
        <v>288</v>
      </c>
      <c r="AJ3" s="29" t="s">
        <v>289</v>
      </c>
      <c r="AK3" s="29" t="s">
        <v>294</v>
      </c>
      <c r="AL3" s="14" t="s">
        <v>293</v>
      </c>
      <c r="AP3" s="29" t="s">
        <v>478</v>
      </c>
      <c r="AQ3" s="29" t="s">
        <v>309</v>
      </c>
      <c r="AR3" s="29" t="s">
        <v>338</v>
      </c>
      <c r="AS3" s="29" t="s">
        <v>339</v>
      </c>
      <c r="AU3" s="29" t="s">
        <v>478</v>
      </c>
      <c r="AV3" s="29" t="s">
        <v>309</v>
      </c>
      <c r="AW3" s="29" t="s">
        <v>305</v>
      </c>
    </row>
    <row r="4" spans="2:49" ht="11.25" customHeight="1" x14ac:dyDescent="0.15">
      <c r="B4" s="191"/>
      <c r="C4" s="14">
        <v>0</v>
      </c>
      <c r="D4" s="14">
        <v>50</v>
      </c>
      <c r="E4" s="14">
        <v>50</v>
      </c>
      <c r="F4" s="14">
        <v>50</v>
      </c>
      <c r="G4" s="14">
        <v>50</v>
      </c>
      <c r="H4" s="14">
        <v>50</v>
      </c>
      <c r="I4" s="14">
        <v>50</v>
      </c>
      <c r="M4" s="16">
        <v>4</v>
      </c>
      <c r="N4" s="14">
        <f>基础状态预期!D17</f>
        <v>10</v>
      </c>
      <c r="O4" s="14">
        <f>IF(基础状态预期!Q17="",0,求节点($C$31:$C$36,E$31:E$36,基础状态预期!Q17)*基础状态预期!G17)</f>
        <v>0</v>
      </c>
      <c r="P4" s="14">
        <f>IF(基础状态预期!R17="",0,求节点($C$31:$C$36,F$31:F$36,基础状态预期!R17)*基础状态预期!H17)</f>
        <v>2.4000000000000004</v>
      </c>
      <c r="Q4" s="14">
        <f>IF(基础状态预期!S17="",0,求节点($C$31:$C$36,G$31:G$36,基础状态预期!S17)*基础状态预期!I17)</f>
        <v>4.8000000000000007</v>
      </c>
      <c r="R4" s="14">
        <f>IF(基础状态预期!T17="",0,求节点($C$31:$C$36,H$31:H$36,基础状态预期!T17)*基础状态预期!J17)</f>
        <v>0</v>
      </c>
      <c r="S4" s="14"/>
      <c r="T4" s="14">
        <f>IF(基础状态预期!P17="",0,求节点($C$40:$C$45,D$40:D$45,基础状态预期!P17))</f>
        <v>0</v>
      </c>
      <c r="U4" s="14">
        <f>IF(基础状态预期!Q17="",0,求节点($C$40:$C$45,E$40:E$45,基础状态预期!Q17))</f>
        <v>0</v>
      </c>
      <c r="V4" s="14">
        <f>IF(基础状态预期!R17="",0,求节点($C$40:$C$45,F$40:F$45,基础状态预期!R17))</f>
        <v>16000</v>
      </c>
      <c r="W4" s="14">
        <f>IF(基础状态预期!S17="",0,求节点($C$40:$C$45,G$40:G$45,基础状态预期!S17))</f>
        <v>24000</v>
      </c>
      <c r="X4" s="14">
        <f>IF(基础状态预期!T17="",0,求节点($C$40:$C$45,H$40:H$45,基础状态预期!T17))</f>
        <v>0</v>
      </c>
      <c r="Y4" s="14">
        <f>MAX(SUMPRODUCT(T4:X4,基础状态预期!F17:J17),Y3)</f>
        <v>128000</v>
      </c>
      <c r="AC4" s="29">
        <v>10</v>
      </c>
      <c r="AD4" s="29">
        <v>0</v>
      </c>
      <c r="AE4" s="29">
        <v>0</v>
      </c>
      <c r="AF4" s="29">
        <v>0</v>
      </c>
      <c r="AG4" s="29">
        <v>0</v>
      </c>
      <c r="AH4" s="29">
        <f>AD4*(INDEX([2]非r将兵属性验证!$S$7:$S$166,$AC4,1)+INDEX([2]非r将兵属性验证!$AG$7:$AG$166,$AC4,1))</f>
        <v>0</v>
      </c>
      <c r="AI4" s="29">
        <f>AE4*INDEX([2]非r将兵属性验证!T$7:T$166,$AC4,1)</f>
        <v>0</v>
      </c>
      <c r="AJ4" s="29">
        <f>AF4*INDEX([2]非r将兵属性验证!U$7:U$166,$AC4,1)</f>
        <v>0</v>
      </c>
      <c r="AK4" s="29">
        <f>AG4*INDEX([2]非r将兵属性验证!$AM$7:$AM$166,$AC4,1)</f>
        <v>0</v>
      </c>
      <c r="AL4" s="14">
        <f>SUM(AH4:AK4)</f>
        <v>0</v>
      </c>
      <c r="AP4" s="29">
        <f>$N4</f>
        <v>10</v>
      </c>
      <c r="AQ4" s="14"/>
      <c r="AR4" s="14">
        <f>$Y4</f>
        <v>128000</v>
      </c>
      <c r="AS4" s="45">
        <f>AR4*INDEX('[1]功能-付费相关'!$AQ$6:$AQ$165,$AP4,1)</f>
        <v>320</v>
      </c>
      <c r="AU4" s="29">
        <v>10</v>
      </c>
      <c r="AV4" s="29"/>
      <c r="AW4" s="29">
        <f t="shared" ref="AW4:AW13" si="0">求节点($AP$4:$AP$42,AS$4:AS$42,$AU4)</f>
        <v>320</v>
      </c>
    </row>
    <row r="5" spans="2:49" x14ac:dyDescent="0.15">
      <c r="B5" s="191"/>
      <c r="C5" s="14">
        <v>1</v>
      </c>
      <c r="D5" s="14"/>
      <c r="E5" s="14"/>
      <c r="F5" s="14">
        <v>100</v>
      </c>
      <c r="G5" s="14">
        <v>100</v>
      </c>
      <c r="H5" s="14">
        <v>100</v>
      </c>
      <c r="I5" s="14">
        <v>100</v>
      </c>
      <c r="M5" s="16">
        <v>5</v>
      </c>
      <c r="N5" s="14">
        <f>基础状态预期!D18</f>
        <v>20</v>
      </c>
      <c r="O5" s="14">
        <f>IF(基础状态预期!Q18="",0,求节点($C$31:$C$36,E$31:E$36,基础状态预期!Q18)*基础状态预期!G18)</f>
        <v>0</v>
      </c>
      <c r="P5" s="14">
        <f>IF(基础状态预期!R18="",0,求节点($C$31:$C$36,F$31:F$36,基础状态预期!R18)*基础状态预期!H18)</f>
        <v>0</v>
      </c>
      <c r="Q5" s="14">
        <f>IF(基础状态预期!S18="",0,求节点($C$31:$C$36,G$31:G$36,基础状态预期!S18)*基础状态预期!I18)</f>
        <v>14.400000000000002</v>
      </c>
      <c r="R5" s="14">
        <f>IF(基础状态预期!T18="",0,求节点($C$31:$C$36,H$31:H$36,基础状态预期!T18)*基础状态预期!J18)</f>
        <v>0</v>
      </c>
      <c r="S5" s="14"/>
      <c r="T5" s="14">
        <f>IF(基础状态预期!P18="",0,求节点($C$40:$C$45,D$40:D$45,基础状态预期!P18))</f>
        <v>0</v>
      </c>
      <c r="U5" s="14">
        <f>IF(基础状态预期!Q18="",0,求节点($C$40:$C$45,E$40:E$45,基础状态预期!Q18))</f>
        <v>0</v>
      </c>
      <c r="V5" s="14">
        <f>IF(基础状态预期!R18="",0,求节点($C$40:$C$45,F$40:F$45,基础状态预期!R18))</f>
        <v>0</v>
      </c>
      <c r="W5" s="14">
        <f>IF(基础状态预期!S18="",0,求节点($C$40:$C$45,G$40:G$45,基础状态预期!S18))</f>
        <v>48000</v>
      </c>
      <c r="X5" s="14">
        <f>IF(基础状态预期!T18="",0,求节点($C$40:$C$45,H$40:H$45,基础状态预期!T18))</f>
        <v>0</v>
      </c>
      <c r="Y5" s="14">
        <f>MAX(SUMPRODUCT(T5:X5,基础状态预期!F18:J18),Y4)</f>
        <v>288000</v>
      </c>
      <c r="AC5" s="29">
        <v>20</v>
      </c>
      <c r="AD5" s="29">
        <v>0</v>
      </c>
      <c r="AE5" s="29">
        <v>0</v>
      </c>
      <c r="AF5" s="29">
        <v>0</v>
      </c>
      <c r="AG5" s="29">
        <v>0</v>
      </c>
      <c r="AH5" s="29">
        <f>AD5*(INDEX([2]非r将兵属性验证!$S$7:$S$166,$AC5,1)+INDEX([2]非r将兵属性验证!$AG$7:$AG$166,$AC5,1))</f>
        <v>0</v>
      </c>
      <c r="AI5" s="29">
        <f>AE5*INDEX([2]非r将兵属性验证!T$7:T$166,$AC5,1)</f>
        <v>0</v>
      </c>
      <c r="AJ5" s="29">
        <f>AF5*INDEX([2]非r将兵属性验证!U$7:U$166,$AC5,1)</f>
        <v>0</v>
      </c>
      <c r="AK5" s="29">
        <f>AG5*INDEX([2]非r将兵属性验证!$AM$7:$AM$166,$AC5,1)</f>
        <v>0</v>
      </c>
      <c r="AL5" s="14">
        <f t="shared" ref="AL5:AL13" si="1">SUM(AH5:AK5)</f>
        <v>0</v>
      </c>
      <c r="AP5" s="29">
        <f t="shared" ref="AP5:AP42" si="2">$N5</f>
        <v>20</v>
      </c>
      <c r="AQ5" s="14"/>
      <c r="AR5" s="14">
        <f t="shared" ref="AR5:AR42" si="3">$Y5</f>
        <v>288000</v>
      </c>
      <c r="AS5" s="14">
        <f>(AR5-AR4)*INDEX('[1]功能-付费相关'!$AQ$6:$AQ$165,$AP5,1)+AS4</f>
        <v>653.33333333333326</v>
      </c>
      <c r="AU5" s="29">
        <v>20</v>
      </c>
      <c r="AV5" s="29"/>
      <c r="AW5" s="29">
        <f t="shared" si="0"/>
        <v>653.33333333333326</v>
      </c>
    </row>
    <row r="6" spans="2:49" x14ac:dyDescent="0.15">
      <c r="B6" s="191"/>
      <c r="C6" s="14">
        <v>2</v>
      </c>
      <c r="D6" s="14"/>
      <c r="E6" s="14"/>
      <c r="F6" s="14">
        <v>150</v>
      </c>
      <c r="G6" s="14">
        <v>150</v>
      </c>
      <c r="H6" s="14">
        <v>150</v>
      </c>
      <c r="I6" s="14">
        <v>150</v>
      </c>
      <c r="M6" s="16">
        <v>6</v>
      </c>
      <c r="N6" s="14">
        <f>基础状态预期!D19</f>
        <v>28.071211008105138</v>
      </c>
      <c r="O6" s="14">
        <f>IF(基础状态预期!Q19="",0,求节点($C$31:$C$36,E$31:E$36,基础状态预期!Q19)*基础状态预期!G19)</f>
        <v>0</v>
      </c>
      <c r="P6" s="14">
        <f>IF(基础状态预期!R19="",0,求节点($C$31:$C$36,F$31:F$36,基础状态预期!R19)*基础状态预期!H19)</f>
        <v>0</v>
      </c>
      <c r="Q6" s="14">
        <f>IF(基础状态预期!S19="",0,求节点($C$31:$C$36,G$31:G$36,基础状态预期!S19)*基础状态预期!I19)</f>
        <v>22.422543851671403</v>
      </c>
      <c r="R6" s="14">
        <f>IF(基础状态预期!T19="",0,求节点($C$31:$C$36,H$31:H$36,基础状态预期!T19)*基础状态预期!J19)</f>
        <v>0</v>
      </c>
      <c r="S6" s="14"/>
      <c r="T6" s="14">
        <f>IF(基础状态预期!P19="",0,求节点($C$40:$C$45,D$40:D$45,基础状态预期!P19))</f>
        <v>0</v>
      </c>
      <c r="U6" s="14">
        <f>IF(基础状态预期!Q19="",0,求节点($C$40:$C$45,E$40:E$45,基础状态预期!Q19))</f>
        <v>0</v>
      </c>
      <c r="V6" s="14">
        <f>IF(基础状态预期!R19="",0,求节点($C$40:$C$45,F$40:F$45,基础状态预期!R19))</f>
        <v>0</v>
      </c>
      <c r="W6" s="14">
        <f>IF(基础状态预期!S19="",0,求节点($C$40:$C$45,G$40:G$45,基础状态预期!S19))</f>
        <v>89483.625677809352</v>
      </c>
      <c r="X6" s="14">
        <f>IF(基础状态预期!T19="",0,求节点($C$40:$C$45,H$40:H$45,基础状态预期!T19))</f>
        <v>0</v>
      </c>
      <c r="Y6" s="14">
        <f>MAX(SUMPRODUCT(T6:X6,基础状态预期!F19:J19),Y5)</f>
        <v>536901.75406685611</v>
      </c>
      <c r="AC6" s="29">
        <v>30</v>
      </c>
      <c r="AD6" s="29">
        <v>0</v>
      </c>
      <c r="AE6" s="29">
        <v>0</v>
      </c>
      <c r="AF6" s="29">
        <v>0</v>
      </c>
      <c r="AG6" s="29">
        <v>0</v>
      </c>
      <c r="AH6" s="29">
        <f>AD6*(INDEX([2]非r将兵属性验证!$S$7:$S$166,$AC6,1)+INDEX([2]非r将兵属性验证!$AG$7:$AG$166,$AC6,1))</f>
        <v>0</v>
      </c>
      <c r="AI6" s="29">
        <f>AE6*INDEX([2]非r将兵属性验证!T$7:T$166,$AC6,1)</f>
        <v>0</v>
      </c>
      <c r="AJ6" s="29">
        <f>AF6*INDEX([2]非r将兵属性验证!U$7:U$166,$AC6,1)</f>
        <v>0</v>
      </c>
      <c r="AK6" s="29">
        <f>AG6*INDEX([2]非r将兵属性验证!$AM$7:$AM$166,$AC6,1)</f>
        <v>0</v>
      </c>
      <c r="AL6" s="14">
        <f t="shared" si="1"/>
        <v>0</v>
      </c>
      <c r="AP6" s="29">
        <f t="shared" si="2"/>
        <v>28.071211008105138</v>
      </c>
      <c r="AQ6" s="14"/>
      <c r="AR6" s="14">
        <f t="shared" si="3"/>
        <v>536901.75406685611</v>
      </c>
      <c r="AS6" s="14">
        <f>(AR6-AR5)*INDEX('[1]功能-付费相关'!$AQ$6:$AQ$165,$AP6,1)+AS5</f>
        <v>1110.8733224268187</v>
      </c>
      <c r="AU6" s="29">
        <v>30</v>
      </c>
      <c r="AV6" s="29"/>
      <c r="AW6" s="29">
        <f t="shared" si="0"/>
        <v>1298.5392783949674</v>
      </c>
    </row>
    <row r="7" spans="2:49" x14ac:dyDescent="0.15">
      <c r="B7" s="191"/>
      <c r="C7" s="14">
        <v>3</v>
      </c>
      <c r="D7" s="14"/>
      <c r="E7" s="14"/>
      <c r="F7" s="14">
        <v>200</v>
      </c>
      <c r="G7" s="14">
        <v>200</v>
      </c>
      <c r="H7" s="14">
        <v>200</v>
      </c>
      <c r="I7" s="14">
        <v>200</v>
      </c>
      <c r="M7" s="16">
        <v>7</v>
      </c>
      <c r="N7" s="14">
        <f>基础状态预期!D20</f>
        <v>34.585942742481357</v>
      </c>
      <c r="O7" s="14">
        <f>IF(基础状态预期!Q20="",0,求节点($C$31:$C$36,E$31:E$36,基础状态预期!Q20)*基础状态预期!G20)</f>
        <v>0</v>
      </c>
      <c r="P7" s="14">
        <f>IF(基础状态预期!R20="",0,求节点($C$31:$C$36,F$31:F$36,基础状态预期!R20)*基础状态预期!H20)</f>
        <v>0</v>
      </c>
      <c r="Q7" s="14">
        <f>IF(基础状态预期!S20="",0,求节点($C$31:$C$36,G$31:G$36,基础状态预期!S20)*基础状态预期!I20)</f>
        <v>31.803757549173156</v>
      </c>
      <c r="R7" s="14">
        <f>IF(基础状态预期!T20="",0,求节点($C$31:$C$36,H$31:H$36,基础状态预期!T20)*基础状态预期!J20)</f>
        <v>0</v>
      </c>
      <c r="S7" s="14"/>
      <c r="T7" s="14">
        <f>IF(基础状态预期!P20="",0,求节点($C$40:$C$45,D$40:D$45,基础状态预期!P20))</f>
        <v>0</v>
      </c>
      <c r="U7" s="14">
        <f>IF(基础状态预期!Q20="",0,求节点($C$40:$C$45,E$40:E$45,基础状态预期!Q20))</f>
        <v>0</v>
      </c>
      <c r="V7" s="14">
        <f>IF(基础状态预期!R20="",0,求节点($C$40:$C$45,F$40:F$45,基础状态预期!R20))</f>
        <v>0</v>
      </c>
      <c r="W7" s="14">
        <f>IF(基础状态预期!S20="",0,求节点($C$40:$C$45,G$40:G$45,基础状态预期!S20))</f>
        <v>152025.05032782102</v>
      </c>
      <c r="X7" s="14">
        <f>IF(基础状态预期!T20="",0,求节点($C$40:$C$45,H$40:H$45,基础状态预期!T20))</f>
        <v>0</v>
      </c>
      <c r="Y7" s="14">
        <f>MAX(SUMPRODUCT(T7:X7,基础状态预期!F20:J20),Y6)</f>
        <v>912150.30196692608</v>
      </c>
      <c r="AC7" s="29">
        <v>40</v>
      </c>
      <c r="AD7" s="29">
        <v>0</v>
      </c>
      <c r="AE7" s="29">
        <v>0</v>
      </c>
      <c r="AF7" s="29">
        <v>0</v>
      </c>
      <c r="AG7" s="29">
        <v>0</v>
      </c>
      <c r="AH7" s="29">
        <f>AD7*(INDEX([2]非r将兵属性验证!$S$7:$S$166,$AC7,1)+INDEX([2]非r将兵属性验证!$AG$7:$AG$166,$AC7,1))</f>
        <v>0</v>
      </c>
      <c r="AI7" s="29">
        <f>AE7*INDEX([2]非r将兵属性验证!T$7:T$166,$AC7,1)</f>
        <v>0</v>
      </c>
      <c r="AJ7" s="29">
        <f>AF7*INDEX([2]非r将兵属性验证!U$7:U$166,$AC7,1)</f>
        <v>0</v>
      </c>
      <c r="AK7" s="29">
        <f>AG7*INDEX([2]非r将兵属性验证!$AM$7:$AM$166,$AC7,1)</f>
        <v>0</v>
      </c>
      <c r="AL7" s="14">
        <f t="shared" si="1"/>
        <v>0</v>
      </c>
      <c r="AP7" s="29">
        <f t="shared" si="2"/>
        <v>34.585942742481357</v>
      </c>
      <c r="AQ7" s="14"/>
      <c r="AR7" s="14">
        <f t="shared" si="3"/>
        <v>912150.30196692608</v>
      </c>
      <c r="AS7" s="14">
        <f>(AR7-AR6)*INDEX('[1]功能-付费相关'!$AQ$6:$AQ$165,$AP7,1)+AS6</f>
        <v>1744.7391127985586</v>
      </c>
      <c r="AU7" s="29">
        <v>40</v>
      </c>
      <c r="AV7" s="29"/>
      <c r="AW7" s="29">
        <f t="shared" si="0"/>
        <v>2232.0042659752371</v>
      </c>
    </row>
    <row r="8" spans="2:49" x14ac:dyDescent="0.15">
      <c r="B8" s="191"/>
      <c r="C8" s="14">
        <v>4</v>
      </c>
      <c r="D8" s="14"/>
      <c r="E8" s="14"/>
      <c r="F8" s="14">
        <v>250</v>
      </c>
      <c r="G8" s="14">
        <v>250</v>
      </c>
      <c r="H8" s="14">
        <v>250</v>
      </c>
      <c r="I8" s="14">
        <v>250</v>
      </c>
      <c r="M8" s="16">
        <v>8</v>
      </c>
      <c r="N8" s="14">
        <f>基础状态预期!D21</f>
        <v>40</v>
      </c>
      <c r="O8" s="14">
        <f>IF(基础状态预期!Q21="",0,求节点($C$31:$C$36,E$31:E$36,基础状态预期!Q21)*基础状态预期!G21)</f>
        <v>0</v>
      </c>
      <c r="P8" s="14">
        <f>IF(基础状态预期!R21="",0,求节点($C$31:$C$36,F$31:F$36,基础状态预期!R21)*基础状态预期!H21)</f>
        <v>0</v>
      </c>
      <c r="Q8" s="14">
        <f>IF(基础状态预期!S21="",0,求节点($C$31:$C$36,G$31:G$36,基础状态预期!S21)*基础状态预期!I21)</f>
        <v>39.6</v>
      </c>
      <c r="R8" s="14">
        <f>IF(基础状态预期!T21="",0,求节点($C$31:$C$36,H$31:H$36,基础状态预期!T21)*基础状态预期!J21)</f>
        <v>0</v>
      </c>
      <c r="S8" s="14"/>
      <c r="T8" s="14">
        <f>IF(基础状态预期!P21="",0,求节点($C$40:$C$45,D$40:D$45,基础状态预期!P21))</f>
        <v>0</v>
      </c>
      <c r="U8" s="14">
        <f>IF(基础状态预期!Q21="",0,求节点($C$40:$C$45,E$40:E$45,基础状态预期!Q21))</f>
        <v>0</v>
      </c>
      <c r="V8" s="14">
        <f>IF(基础状态预期!R21="",0,求节点($C$40:$C$45,F$40:F$45,基础状态预期!R21))</f>
        <v>0</v>
      </c>
      <c r="W8" s="14">
        <f>IF(基础状态预期!S21="",0,求节点($C$40:$C$45,G$40:G$45,基础状态预期!S21))</f>
        <v>204000.00000000003</v>
      </c>
      <c r="X8" s="14">
        <f>IF(基础状态预期!T21="",0,求节点($C$40:$C$45,H$40:H$45,基础状态预期!T21))</f>
        <v>0</v>
      </c>
      <c r="Y8" s="14">
        <f>MAX(SUMPRODUCT(T8:X8,基础状态预期!F21:J21),Y7)</f>
        <v>1224000.0000000002</v>
      </c>
      <c r="AC8" s="29">
        <v>50</v>
      </c>
      <c r="AD8" s="29">
        <v>0</v>
      </c>
      <c r="AE8" s="29">
        <v>0</v>
      </c>
      <c r="AF8" s="29">
        <v>0</v>
      </c>
      <c r="AG8" s="29">
        <v>0</v>
      </c>
      <c r="AH8" s="29">
        <f>AD8*(INDEX([2]非r将兵属性验证!$S$7:$S$166,$AC8,1)+INDEX([2]非r将兵属性验证!$AG$7:$AG$166,$AC8,1))</f>
        <v>0</v>
      </c>
      <c r="AI8" s="29">
        <f>AE8*INDEX([2]非r将兵属性验证!T$7:T$166,$AC8,1)</f>
        <v>0</v>
      </c>
      <c r="AJ8" s="29">
        <f>AF8*INDEX([2]非r将兵属性验证!U$7:U$166,$AC8,1)</f>
        <v>0</v>
      </c>
      <c r="AK8" s="29">
        <f>AG8*INDEX([2]非r将兵属性验证!$AM$7:$AM$166,$AC8,1)</f>
        <v>0</v>
      </c>
      <c r="AL8" s="14">
        <f t="shared" si="1"/>
        <v>0</v>
      </c>
      <c r="AP8" s="29">
        <f t="shared" si="2"/>
        <v>40</v>
      </c>
      <c r="AQ8" s="14"/>
      <c r="AR8" s="14">
        <f t="shared" si="3"/>
        <v>1224000.0000000002</v>
      </c>
      <c r="AS8" s="14">
        <f>(AR8-AR7)*INDEX('[1]功能-付费相关'!$AQ$6:$AQ$165,$AP8,1)+AS7</f>
        <v>2232.0042659752371</v>
      </c>
      <c r="AU8" s="29">
        <v>50</v>
      </c>
      <c r="AV8" s="29"/>
      <c r="AW8" s="29">
        <f t="shared" si="0"/>
        <v>3549.6204039210716</v>
      </c>
    </row>
    <row r="9" spans="2:49" x14ac:dyDescent="0.15">
      <c r="B9" s="191"/>
      <c r="C9" s="14">
        <v>5</v>
      </c>
      <c r="D9" s="14"/>
      <c r="E9" s="14"/>
      <c r="F9" s="14">
        <v>300</v>
      </c>
      <c r="G9" s="14">
        <v>300</v>
      </c>
      <c r="H9" s="14">
        <v>300</v>
      </c>
      <c r="I9" s="14">
        <v>300</v>
      </c>
      <c r="M9" s="16">
        <v>9</v>
      </c>
      <c r="N9" s="14">
        <f>基础状态预期!D22</f>
        <v>43.920692243099523</v>
      </c>
      <c r="O9" s="14">
        <f>IF(基础状态预期!Q22="",0,求节点($C$31:$C$36,E$31:E$36,基础状态预期!Q22)*基础状态预期!G22)</f>
        <v>0</v>
      </c>
      <c r="P9" s="14">
        <f>IF(基础状态预期!R22="",0,求节点($C$31:$C$36,F$31:F$36,基础状态预期!R22)*基础状态预期!H22)</f>
        <v>0</v>
      </c>
      <c r="Q9" s="14">
        <f>IF(基础状态预期!S22="",0,求节点($C$31:$C$36,G$31:G$36,基础状态预期!S22)*基础状态预期!I22)</f>
        <v>45.245796830063313</v>
      </c>
      <c r="R9" s="14">
        <f>IF(基础状态预期!T22="",0,求节点($C$31:$C$36,H$31:H$36,基础状态预期!T22)*基础状态预期!J22)</f>
        <v>0</v>
      </c>
      <c r="S9" s="14"/>
      <c r="T9" s="14">
        <f>IF(基础状态预期!P22="",0,求节点($C$40:$C$45,D$40:D$45,基础状态预期!P22))</f>
        <v>0</v>
      </c>
      <c r="U9" s="14">
        <f>IF(基础状态预期!Q22="",0,求节点($C$40:$C$45,E$40:E$45,基础状态预期!Q22))</f>
        <v>0</v>
      </c>
      <c r="V9" s="14">
        <f>IF(基础状态预期!R22="",0,求节点($C$40:$C$45,F$40:F$45,基础状态预期!R22))</f>
        <v>0</v>
      </c>
      <c r="W9" s="14">
        <f>IF(基础状态预期!S22="",0,求节点($C$40:$C$45,G$40:G$45,基础状态预期!S22))</f>
        <v>241638.64553375542</v>
      </c>
      <c r="X9" s="14">
        <f>IF(基础状态预期!T22="",0,求节点($C$40:$C$45,H$40:H$45,基础状态预期!T22))</f>
        <v>0</v>
      </c>
      <c r="Y9" s="14">
        <f>MAX(SUMPRODUCT(T9:X9,基础状态预期!F22:J22),Y8)</f>
        <v>1449831.8732025325</v>
      </c>
      <c r="AC9" s="29">
        <v>60</v>
      </c>
      <c r="AD9" s="29">
        <v>0</v>
      </c>
      <c r="AE9" s="29">
        <v>0</v>
      </c>
      <c r="AF9" s="29">
        <v>0</v>
      </c>
      <c r="AG9" s="29">
        <v>0</v>
      </c>
      <c r="AH9" s="29">
        <f>AD9*(INDEX([2]非r将兵属性验证!$S$7:$S$166,$AC9,1)+INDEX([2]非r将兵属性验证!$AG$7:$AG$166,$AC9,1))</f>
        <v>0</v>
      </c>
      <c r="AI9" s="29">
        <f>AE9*INDEX([2]非r将兵属性验证!T$7:T$166,$AC9,1)</f>
        <v>0</v>
      </c>
      <c r="AJ9" s="29">
        <f>AF9*INDEX([2]非r将兵属性验证!U$7:U$166,$AC9,1)</f>
        <v>0</v>
      </c>
      <c r="AK9" s="29">
        <f>AG9*INDEX([2]非r将兵属性验证!$AM$7:$AM$166,$AC9,1)</f>
        <v>0</v>
      </c>
      <c r="AL9" s="14">
        <f t="shared" si="1"/>
        <v>0</v>
      </c>
      <c r="AP9" s="29">
        <f t="shared" si="2"/>
        <v>43.920692243099523</v>
      </c>
      <c r="AQ9" s="14"/>
      <c r="AR9" s="14">
        <f t="shared" si="3"/>
        <v>1449831.8732025325</v>
      </c>
      <c r="AS9" s="14">
        <f>(AR9-AR8)*INDEX('[1]功能-付费相关'!$AQ$6:$AQ$165,$AP9,1)+AS8</f>
        <v>2572.112508750135</v>
      </c>
      <c r="AU9" s="29">
        <v>60</v>
      </c>
      <c r="AV9" s="29"/>
      <c r="AW9" s="29">
        <f t="shared" si="0"/>
        <v>17426.408274863767</v>
      </c>
    </row>
    <row r="10" spans="2:49" x14ac:dyDescent="0.15">
      <c r="B10" s="192"/>
      <c r="C10" s="14" t="s">
        <v>432</v>
      </c>
      <c r="D10" s="14">
        <f t="shared" ref="D10:I10" si="4">MAX(D4:D9)</f>
        <v>50</v>
      </c>
      <c r="E10" s="14">
        <f t="shared" si="4"/>
        <v>50</v>
      </c>
      <c r="F10" s="14">
        <f t="shared" si="4"/>
        <v>300</v>
      </c>
      <c r="G10" s="14">
        <f t="shared" si="4"/>
        <v>300</v>
      </c>
      <c r="H10" s="14">
        <f t="shared" si="4"/>
        <v>300</v>
      </c>
      <c r="I10" s="14">
        <f t="shared" si="4"/>
        <v>300</v>
      </c>
      <c r="M10" s="16">
        <v>10</v>
      </c>
      <c r="N10" s="14">
        <f>基础状态预期!D23</f>
        <v>49.533352307096472</v>
      </c>
      <c r="O10" s="14">
        <f>IF(基础状态预期!Q23="",0,求节点($C$31:$C$36,E$31:E$36,基础状态预期!Q23)*基础状态预期!G23)</f>
        <v>0</v>
      </c>
      <c r="P10" s="14">
        <f>IF(基础状态预期!R23="",0,求节点($C$31:$C$36,F$31:F$36,基础状态预期!R23)*基础状态预期!H23)</f>
        <v>0</v>
      </c>
      <c r="Q10" s="14">
        <f>IF(基础状态预期!S23="",0,求节点($C$31:$C$36,G$31:G$36,基础状态预期!S23)*基础状态预期!I23)</f>
        <v>53.328027322218915</v>
      </c>
      <c r="R10" s="14">
        <f>IF(基础状态预期!T23="",0,求节点($C$31:$C$36,H$31:H$36,基础状态预期!T23)*基础状态预期!J23)</f>
        <v>0</v>
      </c>
      <c r="S10" s="14"/>
      <c r="T10" s="14">
        <f>IF(基础状态预期!P23="",0,求节点($C$40:$C$45,D$40:D$45,基础状态预期!P23))</f>
        <v>0</v>
      </c>
      <c r="U10" s="14">
        <f>IF(基础状态预期!Q23="",0,求节点($C$40:$C$45,E$40:E$45,基础状态预期!Q23))</f>
        <v>0</v>
      </c>
      <c r="V10" s="14">
        <f>IF(基础状态预期!R23="",0,求节点($C$40:$C$45,F$40:F$45,基础状态预期!R23))</f>
        <v>0</v>
      </c>
      <c r="W10" s="14">
        <f>IF(基础状态预期!S23="",0,求节点($C$40:$C$45,G$40:G$45,基础状态预期!S23))</f>
        <v>295520.18214812613</v>
      </c>
      <c r="X10" s="14">
        <f>IF(基础状态预期!T23="",0,求节点($C$40:$C$45,H$40:H$45,基础状态预期!T23))</f>
        <v>0</v>
      </c>
      <c r="Y10" s="14">
        <f>MAX(SUMPRODUCT(T10:X10,基础状态预期!F23:J23),Y9)</f>
        <v>1773121.0928887567</v>
      </c>
      <c r="AC10" s="29">
        <v>70</v>
      </c>
      <c r="AD10" s="29">
        <v>0</v>
      </c>
      <c r="AE10" s="29">
        <v>0</v>
      </c>
      <c r="AF10" s="29">
        <v>0</v>
      </c>
      <c r="AG10" s="29">
        <v>0</v>
      </c>
      <c r="AH10" s="29">
        <f>AD10*(INDEX([2]非r将兵属性验证!$S$7:$S$166,$AC10,1)+INDEX([2]非r将兵属性验证!$AG$7:$AG$166,$AC10,1))</f>
        <v>0</v>
      </c>
      <c r="AI10" s="29">
        <f>AE10*INDEX([2]非r将兵属性验证!T$7:T$166,$AC10,1)</f>
        <v>0</v>
      </c>
      <c r="AJ10" s="29">
        <f>AF10*INDEX([2]非r将兵属性验证!U$7:U$166,$AC10,1)</f>
        <v>0</v>
      </c>
      <c r="AK10" s="29">
        <f>AG10*INDEX([2]非r将兵属性验证!$AM$7:$AM$166,$AC10,1)</f>
        <v>0</v>
      </c>
      <c r="AL10" s="14">
        <f t="shared" si="1"/>
        <v>0</v>
      </c>
      <c r="AP10" s="29">
        <f t="shared" si="2"/>
        <v>49.533352307096472</v>
      </c>
      <c r="AQ10" s="14"/>
      <c r="AR10" s="14">
        <f t="shared" si="3"/>
        <v>1773121.0928887567</v>
      </c>
      <c r="AS10" s="14">
        <f>(AR10-AR9)*INDEX('[1]功能-付费相关'!$AQ$6:$AQ$165,$AP10,1)+AS9</f>
        <v>3026.1704015678656</v>
      </c>
      <c r="AU10" s="29">
        <v>70</v>
      </c>
      <c r="AV10" s="29"/>
      <c r="AW10" s="29">
        <f t="shared" si="0"/>
        <v>39844.483562747228</v>
      </c>
    </row>
    <row r="11" spans="2:49" x14ac:dyDescent="0.15">
      <c r="M11" s="16">
        <v>11</v>
      </c>
      <c r="N11" s="14">
        <f>基础状态预期!D24</f>
        <v>53.567039423670657</v>
      </c>
      <c r="O11" s="14">
        <f>IF(基础状态预期!Q24="",0,求节点($C$31:$C$36,E$31:E$36,基础状态预期!Q24)*基础状态预期!G24)</f>
        <v>0</v>
      </c>
      <c r="P11" s="14">
        <f>IF(基础状态预期!R24="",0,求节点($C$31:$C$36,F$31:F$36,基础状态预期!R24)*基础状态预期!H24)</f>
        <v>0</v>
      </c>
      <c r="Q11" s="14">
        <f>IF(基础状态预期!S24="",0,求节点($C$31:$C$36,G$31:G$36,基础状态预期!S24)*基础状态预期!I24)</f>
        <v>53.560894616809584</v>
      </c>
      <c r="R11" s="14">
        <f>IF(基础状态预期!T24="",0,求节点($C$31:$C$36,H$31:H$36,基础状态预期!T24)*基础状态预期!J24)</f>
        <v>11.568268385042874</v>
      </c>
      <c r="S11" s="14"/>
      <c r="T11" s="14">
        <f>IF(基础状态预期!P24="",0,求节点($C$40:$C$45,D$40:D$45,基础状态预期!P24))</f>
        <v>0</v>
      </c>
      <c r="U11" s="14">
        <f>IF(基础状态预期!Q24="",0,求节点($C$40:$C$45,E$40:E$45,基础状态预期!Q24))</f>
        <v>0</v>
      </c>
      <c r="V11" s="14">
        <f>IF(基础状态预期!R24="",0,求节点($C$40:$C$45,F$40:F$45,基础状态预期!R24))</f>
        <v>0</v>
      </c>
      <c r="W11" s="14">
        <f>IF(基础状态预期!S24="",0,求节点($C$40:$C$45,G$40:G$45,基础状态预期!S24))</f>
        <v>642435.78467238322</v>
      </c>
      <c r="X11" s="14">
        <f>IF(基础状态预期!T24="",0,求节点($C$40:$C$45,H$40:H$45,基础状态预期!T24))</f>
        <v>1927307.3540171499</v>
      </c>
      <c r="Y11" s="14">
        <f>MAX(SUMPRODUCT(T11:X11,基础状态预期!F24:J24),Y10)</f>
        <v>5139486.2773790658</v>
      </c>
      <c r="AC11" s="29">
        <v>80</v>
      </c>
      <c r="AD11" s="29">
        <v>0</v>
      </c>
      <c r="AE11" s="29">
        <v>0</v>
      </c>
      <c r="AF11" s="29">
        <v>0</v>
      </c>
      <c r="AG11" s="29">
        <v>0</v>
      </c>
      <c r="AH11" s="29">
        <f>AD11*(INDEX([2]非r将兵属性验证!$S$7:$S$166,$AC11,1)+INDEX([2]非r将兵属性验证!$AG$7:$AG$166,$AC11,1))</f>
        <v>0</v>
      </c>
      <c r="AI11" s="29">
        <f>AE11*INDEX([2]非r将兵属性验证!T$7:T$166,$AC11,1)</f>
        <v>0</v>
      </c>
      <c r="AJ11" s="29">
        <f>AF11*INDEX([2]非r将兵属性验证!U$7:U$166,$AC11,1)</f>
        <v>0</v>
      </c>
      <c r="AK11" s="29">
        <f>AG11*INDEX([2]非r将兵属性验证!$AM$7:$AM$166,$AC11,1)</f>
        <v>0</v>
      </c>
      <c r="AL11" s="14">
        <f t="shared" si="1"/>
        <v>0</v>
      </c>
      <c r="AP11" s="29">
        <f t="shared" si="2"/>
        <v>53.567039423670657</v>
      </c>
      <c r="AQ11" s="14"/>
      <c r="AR11" s="14">
        <f t="shared" si="3"/>
        <v>5139486.2773790658</v>
      </c>
      <c r="AS11" s="14">
        <f>(AR11-AR10)*INDEX('[1]功能-付费相关'!$AQ$6:$AQ$165,$AP11,1)+AS10</f>
        <v>7550.8547893236573</v>
      </c>
      <c r="AU11" s="29">
        <v>80</v>
      </c>
      <c r="AV11" s="29"/>
      <c r="AW11" s="29">
        <f t="shared" si="0"/>
        <v>149066.68585674829</v>
      </c>
    </row>
    <row r="12" spans="2:49" ht="12" x14ac:dyDescent="0.15">
      <c r="B12" s="193" t="s">
        <v>428</v>
      </c>
      <c r="C12" s="14" t="s">
        <v>179</v>
      </c>
      <c r="D12" s="113" t="s">
        <v>3</v>
      </c>
      <c r="E12" s="113" t="s">
        <v>1</v>
      </c>
      <c r="F12" s="113" t="s">
        <v>2</v>
      </c>
      <c r="G12" s="113" t="s">
        <v>0</v>
      </c>
      <c r="H12" s="14" t="s">
        <v>545</v>
      </c>
      <c r="I12" s="127" t="s">
        <v>30</v>
      </c>
      <c r="M12" s="16">
        <v>12</v>
      </c>
      <c r="N12" s="14">
        <f>基础状态预期!D25</f>
        <v>59.300028460644697</v>
      </c>
      <c r="O12" s="14">
        <f>IF(基础状态预期!Q25="",0,求节点($C$31:$C$36,E$31:E$36,基础状态预期!Q25)*基础状态预期!G25)</f>
        <v>0</v>
      </c>
      <c r="P12" s="14">
        <f>IF(基础状态预期!R25="",0,求节点($C$31:$C$36,F$31:F$36,基础状态预期!R25)*基础状态预期!H25)</f>
        <v>0</v>
      </c>
      <c r="Q12" s="14">
        <f>IF(基础状态预期!S25="",0,求节点($C$31:$C$36,G$31:G$36,基础状态预期!S25)*基础状态预期!I25)</f>
        <v>53.856054644437812</v>
      </c>
      <c r="R12" s="14">
        <f>IF(基础状态预期!T25="",0,求节点($C$31:$C$36,H$31:H$36,基础状态预期!T25)*基础状态预期!J25)</f>
        <v>31.392040983328357</v>
      </c>
      <c r="S12" s="14"/>
      <c r="T12" s="14">
        <f>IF(基础状态预期!P25="",0,求节点($C$40:$C$45,D$40:D$45,基础状态预期!P25))</f>
        <v>0</v>
      </c>
      <c r="U12" s="14">
        <f>IF(基础状态预期!Q25="",0,求节点($C$40:$C$45,E$40:E$45,基础状态预期!Q25))</f>
        <v>0</v>
      </c>
      <c r="V12" s="14">
        <f>IF(基础状态预期!R25="",0,求节点($C$40:$C$45,F$40:F$45,基础状态预期!R25))</f>
        <v>0</v>
      </c>
      <c r="W12" s="14">
        <f>IF(基础状态预期!S25="",0,求节点($C$40:$C$45,G$40:G$45,基础状态预期!S25))</f>
        <v>1192802.7322218907</v>
      </c>
      <c r="X12" s="14">
        <f>IF(基础状态预期!T25="",0,求节点($C$40:$C$45,H$40:H$45,基础状态预期!T25))</f>
        <v>3578408.1966656717</v>
      </c>
      <c r="Y12" s="14">
        <f>MAX(SUMPRODUCT(T12:X12,基础状态预期!F25:J25),Y11)</f>
        <v>11928027.322218906</v>
      </c>
      <c r="AC12" s="29">
        <v>90</v>
      </c>
      <c r="AD12" s="29">
        <v>0</v>
      </c>
      <c r="AE12" s="29">
        <v>0</v>
      </c>
      <c r="AF12" s="29">
        <v>0</v>
      </c>
      <c r="AG12" s="29">
        <v>0</v>
      </c>
      <c r="AH12" s="29">
        <f>AD12*(INDEX([2]非r将兵属性验证!$S$7:$S$166,$AC12,1)+INDEX([2]非r将兵属性验证!$AG$7:$AG$166,$AC12,1))</f>
        <v>0</v>
      </c>
      <c r="AI12" s="29">
        <f>AE12*INDEX([2]非r将兵属性验证!T$7:T$166,$AC12,1)</f>
        <v>0</v>
      </c>
      <c r="AJ12" s="29">
        <f>AF12*INDEX([2]非r将兵属性验证!U$7:U$166,$AC12,1)</f>
        <v>0</v>
      </c>
      <c r="AK12" s="29">
        <f>AG12*INDEX([2]非r将兵属性验证!$AM$7:$AM$166,$AC12,1)</f>
        <v>0</v>
      </c>
      <c r="AL12" s="14">
        <f t="shared" si="1"/>
        <v>0</v>
      </c>
      <c r="AP12" s="29">
        <f t="shared" si="2"/>
        <v>59.300028460644697</v>
      </c>
      <c r="AQ12" s="14"/>
      <c r="AR12" s="14">
        <f t="shared" si="3"/>
        <v>11928027.322218906</v>
      </c>
      <c r="AS12" s="14">
        <f>(AR12-AR11)*INDEX('[1]功能-付费相关'!$AQ$6:$AQ$165,$AP12,1)+AS11</f>
        <v>16122.244997454769</v>
      </c>
      <c r="AU12" s="29">
        <v>90</v>
      </c>
      <c r="AV12" s="29"/>
      <c r="AW12" s="29">
        <f t="shared" si="0"/>
        <v>320518.92580158985</v>
      </c>
    </row>
    <row r="13" spans="2:49" x14ac:dyDescent="0.15">
      <c r="B13" s="193"/>
      <c r="C13" s="14">
        <f t="shared" ref="C13:C18" si="5">C4</f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M13" s="16">
        <v>13</v>
      </c>
      <c r="N13" s="14">
        <f>基础状态预期!D26</f>
        <v>65.075479910097457</v>
      </c>
      <c r="O13" s="14">
        <f>IF(基础状态预期!Q26="",0,求节点($C$31:$C$36,E$31:E$36,基础状态预期!Q26)*基础状态预期!G26)</f>
        <v>0</v>
      </c>
      <c r="P13" s="14">
        <f>IF(基础状态预期!R26="",0,求节点($C$31:$C$36,F$31:F$36,基础状态预期!R26)*基础状态预期!H26)</f>
        <v>0</v>
      </c>
      <c r="Q13" s="14">
        <f>IF(基础状态预期!S26="",0,求节点($C$31:$C$36,G$31:G$36,基础状态预期!S26)*基础状态预期!I26)</f>
        <v>48.70869107054034</v>
      </c>
      <c r="R13" s="14">
        <f>IF(基础状态预期!T26="",0,求节点($C$31:$C$36,H$31:H$36,基础状态预期!T26)*基础状态预期!J26)</f>
        <v>59.56303660581051</v>
      </c>
      <c r="S13" s="14"/>
      <c r="T13" s="14">
        <f>IF(基础状态预期!P26="",0,求节点($C$40:$C$45,D$40:D$45,基础状态预期!P26))</f>
        <v>0</v>
      </c>
      <c r="U13" s="14">
        <f>IF(基础状态预期!Q26="",0,求节点($C$40:$C$45,E$40:E$45,基础状态预期!Q26))</f>
        <v>0</v>
      </c>
      <c r="V13" s="14">
        <f>IF(基础状态预期!R26="",0,求节点($C$40:$C$45,F$40:F$45,基础状态预期!R26))</f>
        <v>0</v>
      </c>
      <c r="W13" s="14">
        <f>IF(基础状态预期!S26="",0,求节点($C$40:$C$45,G$40:G$45,基础状态预期!S26))</f>
        <v>1747246.0713693558</v>
      </c>
      <c r="X13" s="14">
        <f>IF(基础状态预期!T26="",0,求节点($C$40:$C$45,H$40:H$45,基础状态预期!T26))</f>
        <v>5241738.2141080676</v>
      </c>
      <c r="Y13" s="14">
        <f>MAX(SUMPRODUCT(T13:X13,基础状态预期!F26:J26),Y12)</f>
        <v>20966952.85643227</v>
      </c>
      <c r="AC13" s="29">
        <v>100</v>
      </c>
      <c r="AD13" s="29">
        <v>0</v>
      </c>
      <c r="AE13" s="29">
        <v>0</v>
      </c>
      <c r="AF13" s="29">
        <v>0</v>
      </c>
      <c r="AG13" s="29">
        <v>0</v>
      </c>
      <c r="AH13" s="29">
        <f>AD13*(INDEX([2]非r将兵属性验证!$S$7:$S$166,$AC13,1)+INDEX([2]非r将兵属性验证!$AG$7:$AG$166,$AC13,1))</f>
        <v>0</v>
      </c>
      <c r="AI13" s="29">
        <f>AE13*INDEX([2]非r将兵属性验证!T$7:T$166,$AC13,1)</f>
        <v>0</v>
      </c>
      <c r="AJ13" s="29">
        <f>AF13*INDEX([2]非r将兵属性验证!U$7:U$166,$AC13,1)</f>
        <v>0</v>
      </c>
      <c r="AK13" s="29">
        <f>AG13*INDEX([2]非r将兵属性验证!$AM$7:$AM$166,$AC13,1)</f>
        <v>0</v>
      </c>
      <c r="AL13" s="14">
        <f t="shared" si="1"/>
        <v>0</v>
      </c>
      <c r="AP13" s="29">
        <f t="shared" si="2"/>
        <v>65.075479910097457</v>
      </c>
      <c r="AQ13" s="14"/>
      <c r="AR13" s="14">
        <f t="shared" si="3"/>
        <v>20966952.85643227</v>
      </c>
      <c r="AS13" s="14">
        <f>(AR13-AR12)*INDEX('[1]功能-付费相关'!$AQ$6:$AQ$165,$AP13,1)+AS12</f>
        <v>26882.870633423059</v>
      </c>
      <c r="AU13" s="29">
        <v>100</v>
      </c>
      <c r="AV13" s="29"/>
      <c r="AW13" s="29">
        <f t="shared" si="0"/>
        <v>566365.71694613597</v>
      </c>
    </row>
    <row r="14" spans="2:49" x14ac:dyDescent="0.15">
      <c r="B14" s="193"/>
      <c r="C14" s="14">
        <f t="shared" si="5"/>
        <v>1</v>
      </c>
      <c r="D14" s="14">
        <v>0</v>
      </c>
      <c r="E14" s="14">
        <v>0</v>
      </c>
      <c r="F14" s="14">
        <v>3</v>
      </c>
      <c r="G14" s="14">
        <v>3</v>
      </c>
      <c r="H14" s="14">
        <v>3</v>
      </c>
      <c r="I14" s="14">
        <v>5</v>
      </c>
      <c r="M14" s="16">
        <v>14</v>
      </c>
      <c r="N14" s="14">
        <f>基础状态预期!D27</f>
        <v>69.18336653741882</v>
      </c>
      <c r="O14" s="14">
        <f>IF(基础状态预期!Q27="",0,求节点($C$31:$C$36,E$31:E$36,基础状态预期!Q27)*基础状态预期!G27)</f>
        <v>0</v>
      </c>
      <c r="P14" s="14">
        <f>IF(基础状态预期!R27="",0,求节点($C$31:$C$36,F$31:F$36,基础状态预期!R27)*基础状态预期!H27)</f>
        <v>0</v>
      </c>
      <c r="Q14" s="14">
        <f>IF(基础状态预期!S27="",0,求节点($C$31:$C$36,G$31:G$36,基础状态预期!S27)*基础状态预期!I27)</f>
        <v>36.416031875922073</v>
      </c>
      <c r="R14" s="14">
        <f>IF(基础状态预期!T27="",0,求节点($C$31:$C$36,H$31:H$36,基础状态预期!T27)*基础状态预期!J27)</f>
        <v>91.248095627766205</v>
      </c>
      <c r="S14" s="14"/>
      <c r="T14" s="14">
        <f>IF(基础状态预期!P27="",0,求节点($C$40:$C$45,D$40:D$45,基础状态预期!P27))</f>
        <v>0</v>
      </c>
      <c r="U14" s="14">
        <f>IF(基础状态预期!Q27="",0,求节点($C$40:$C$45,E$40:E$45,基础状态预期!Q27))</f>
        <v>0</v>
      </c>
      <c r="V14" s="14">
        <f>IF(基础状态预期!R27="",0,求节点($C$40:$C$45,F$40:F$45,基础状态预期!R27))</f>
        <v>0</v>
      </c>
      <c r="W14" s="14">
        <f>IF(基础状态预期!S27="",0,求节点($C$40:$C$45,G$40:G$45,基础状态预期!S27))</f>
        <v>2141603.187592207</v>
      </c>
      <c r="X14" s="14">
        <f>IF(基础状态预期!T27="",0,求节点($C$40:$C$45,H$40:H$45,基础状态预期!T27))</f>
        <v>6424809.5627766205</v>
      </c>
      <c r="Y14" s="14">
        <f>MAX(SUMPRODUCT(T14:X14,基础状态预期!F27:J27),Y13)</f>
        <v>29982444.626290895</v>
      </c>
      <c r="AC14" s="29">
        <v>110</v>
      </c>
      <c r="AD14" s="29">
        <v>0</v>
      </c>
      <c r="AE14" s="29">
        <v>0</v>
      </c>
      <c r="AF14" s="29">
        <v>0</v>
      </c>
      <c r="AG14" s="29">
        <v>0</v>
      </c>
      <c r="AH14" s="29">
        <f>AD14*(INDEX([2]非r将兵属性验证!$S$7:$S$166,$AC14,1)+INDEX([2]非r将兵属性验证!$AG$7:$AG$166,$AC14,1))</f>
        <v>0</v>
      </c>
      <c r="AI14" s="29">
        <f>AE14*INDEX([2]非r将兵属性验证!T$7:T$166,$AC14,1)</f>
        <v>0</v>
      </c>
      <c r="AJ14" s="29">
        <f>AF14*INDEX([2]非r将兵属性验证!U$7:U$166,$AC14,1)</f>
        <v>0</v>
      </c>
      <c r="AK14" s="29">
        <f>AG14*INDEX([2]非r将兵属性验证!$AM$7:$AM$166,$AC14,1)</f>
        <v>0</v>
      </c>
      <c r="AL14" s="14">
        <f t="shared" ref="AL14:AL19" si="6">SUM(AH14:AK14)</f>
        <v>0</v>
      </c>
      <c r="AP14" s="29">
        <f t="shared" si="2"/>
        <v>69.18336653741882</v>
      </c>
      <c r="AQ14" s="14"/>
      <c r="AR14" s="14">
        <f t="shared" si="3"/>
        <v>29982444.626290895</v>
      </c>
      <c r="AS14" s="14">
        <f>(AR14-AR13)*INDEX('[1]功能-付费相关'!$AQ$6:$AQ$165,$AP14,1)+AS13</f>
        <v>37221.737341976528</v>
      </c>
      <c r="AU14" s="29">
        <v>110</v>
      </c>
      <c r="AV14" s="29"/>
      <c r="AW14" s="29">
        <f t="shared" ref="AW14:AW19" si="7">求节点($AP$4:$AP$42,AS$4:AS$42,$AU14)</f>
        <v>2543161.4566365522</v>
      </c>
    </row>
    <row r="15" spans="2:49" x14ac:dyDescent="0.15">
      <c r="B15" s="193"/>
      <c r="C15" s="14">
        <f t="shared" si="5"/>
        <v>2</v>
      </c>
      <c r="D15" s="14">
        <v>0</v>
      </c>
      <c r="E15" s="14">
        <v>0</v>
      </c>
      <c r="F15" s="14">
        <v>6</v>
      </c>
      <c r="G15" s="14">
        <v>6</v>
      </c>
      <c r="H15" s="14">
        <v>6</v>
      </c>
      <c r="I15" s="14">
        <v>10</v>
      </c>
      <c r="M15" s="16">
        <v>15</v>
      </c>
      <c r="N15" s="14">
        <f>基础状态预期!D28</f>
        <v>72.375871759353331</v>
      </c>
      <c r="O15" s="14">
        <f>IF(基础状态预期!Q28="",0,求节点($C$31:$C$36,E$31:E$36,基础状态预期!Q28)*基础状态预期!G28)</f>
        <v>0</v>
      </c>
      <c r="P15" s="14">
        <f>IF(基础状态预期!R28="",0,求节点($C$31:$C$36,F$31:F$36,基础状态预期!R28)*基础状态预期!H28)</f>
        <v>0</v>
      </c>
      <c r="Q15" s="14">
        <f>IF(基础状态预期!S28="",0,求节点($C$31:$C$36,G$31:G$36,基础状态预期!S28)*基础状态预期!I28)</f>
        <v>19.740418444489599</v>
      </c>
      <c r="R15" s="14">
        <f>IF(基础状态预期!T28="",0,求节点($C$31:$C$36,H$31:H$36,基础状态预期!T28)*基础状态预期!J28)</f>
        <v>125.55313833367197</v>
      </c>
      <c r="S15" s="14"/>
      <c r="T15" s="14">
        <f>IF(基础状态预期!P28="",0,求节点($C$40:$C$45,D$40:D$45,基础状态预期!P28))</f>
        <v>0</v>
      </c>
      <c r="U15" s="14">
        <f>IF(基础状态预期!Q28="",0,求节点($C$40:$C$45,E$40:E$45,基础状态预期!Q28))</f>
        <v>0</v>
      </c>
      <c r="V15" s="14">
        <f>IF(基础状态预期!R28="",0,求节点($C$40:$C$45,F$40:F$45,基础状态预期!R28))</f>
        <v>0</v>
      </c>
      <c r="W15" s="14">
        <f>IF(基础状态预期!S28="",0,求节点($C$40:$C$45,G$40:G$45,基础状态预期!S28))</f>
        <v>2448083.6888979194</v>
      </c>
      <c r="X15" s="14">
        <f>IF(基础状态预期!T28="",0,求节点($C$40:$C$45,H$40:H$45,基础状态预期!T28))</f>
        <v>7344251.0666937586</v>
      </c>
      <c r="Y15" s="14">
        <f>MAX(SUMPRODUCT(T15:X15,基础状态预期!F28:J28),Y14)</f>
        <v>39169339.022366717</v>
      </c>
      <c r="AC15" s="29">
        <v>120</v>
      </c>
      <c r="AD15" s="29">
        <v>0</v>
      </c>
      <c r="AE15" s="29">
        <v>0</v>
      </c>
      <c r="AF15" s="29">
        <v>0</v>
      </c>
      <c r="AG15" s="29">
        <v>0</v>
      </c>
      <c r="AH15" s="29">
        <f>AD15*(INDEX([2]非r将兵属性验证!$S$7:$S$166,$AC15,1)+INDEX([2]非r将兵属性验证!$AG$7:$AG$166,$AC15,1))</f>
        <v>0</v>
      </c>
      <c r="AI15" s="29">
        <f>AE15*INDEX([2]非r将兵属性验证!T$7:T$166,$AC15,1)</f>
        <v>0</v>
      </c>
      <c r="AJ15" s="29">
        <f>AF15*INDEX([2]非r将兵属性验证!U$7:U$166,$AC15,1)</f>
        <v>0</v>
      </c>
      <c r="AK15" s="29">
        <f>AG15*INDEX([2]非r将兵属性验证!$AM$7:$AM$166,$AC15,1)</f>
        <v>0</v>
      </c>
      <c r="AL15" s="14">
        <f t="shared" si="6"/>
        <v>0</v>
      </c>
      <c r="AP15" s="29">
        <f t="shared" si="2"/>
        <v>72.375871759353331</v>
      </c>
      <c r="AQ15" s="14"/>
      <c r="AR15" s="14">
        <f t="shared" si="3"/>
        <v>39169339.022366717</v>
      </c>
      <c r="AS15" s="14">
        <f>(AR15-AR14)*INDEX('[1]功能-付费相关'!$AQ$6:$AQ$165,$AP15,1)+AS14</f>
        <v>47474.967694739724</v>
      </c>
      <c r="AU15" s="29">
        <v>120</v>
      </c>
      <c r="AV15" s="29"/>
      <c r="AW15" s="29">
        <f t="shared" si="7"/>
        <v>4476628.3922363333</v>
      </c>
    </row>
    <row r="16" spans="2:49" x14ac:dyDescent="0.15">
      <c r="B16" s="193"/>
      <c r="C16" s="14">
        <f t="shared" si="5"/>
        <v>3</v>
      </c>
      <c r="D16" s="14">
        <v>0</v>
      </c>
      <c r="E16" s="14">
        <v>0</v>
      </c>
      <c r="F16" s="14">
        <v>12</v>
      </c>
      <c r="G16" s="14">
        <v>12</v>
      </c>
      <c r="H16" s="14">
        <v>18</v>
      </c>
      <c r="I16" s="14">
        <v>30</v>
      </c>
      <c r="M16" s="16">
        <v>16</v>
      </c>
      <c r="N16" s="14">
        <f>基础状态预期!D29</f>
        <v>74.998404927577795</v>
      </c>
      <c r="O16" s="14">
        <f>IF(基础状态预期!Q29="",0,求节点($C$31:$C$36,E$31:E$36,基础状态预期!Q29)*基础状态预期!G29)</f>
        <v>0</v>
      </c>
      <c r="P16" s="14">
        <f>IF(基础状态预期!R29="",0,求节点($C$31:$C$36,F$31:F$36,基础状态预期!R29)*基础状态预期!H29)</f>
        <v>0</v>
      </c>
      <c r="Q16" s="14">
        <f>IF(基础状态预期!S29="",0,求节点($C$31:$C$36,G$31:G$36,基础状态预期!S29)*基础状态预期!I29)</f>
        <v>10.499617182618669</v>
      </c>
      <c r="R16" s="14">
        <f>IF(基础状态预期!T29="",0,求节点($C$31:$C$36,H$31:H$36,基础状态预期!T29)*基础状态预期!J29)</f>
        <v>148.49368351320803</v>
      </c>
      <c r="S16" s="14"/>
      <c r="T16" s="14">
        <f>IF(基础状态预期!P29="",0,求节点($C$40:$C$45,D$40:D$45,基础状态预期!P29))</f>
        <v>0</v>
      </c>
      <c r="U16" s="14">
        <f>IF(基础状态预期!Q29="",0,求节点($C$40:$C$45,E$40:E$45,基础状态预期!Q29))</f>
        <v>0</v>
      </c>
      <c r="V16" s="14">
        <f>IF(基础状态预期!R29="",0,求节点($C$40:$C$45,F$40:F$45,基础状态预期!R29))</f>
        <v>0</v>
      </c>
      <c r="W16" s="14">
        <f>IF(基础状态预期!S29="",0,求节点($C$40:$C$45,G$40:G$45,基础状态预期!S29))</f>
        <v>2699846.8730474678</v>
      </c>
      <c r="X16" s="14">
        <f>IF(基础状态预期!T29="",0,求节点($C$40:$C$45,H$40:H$45,基础状态预期!T29))</f>
        <v>8099540.6191424029</v>
      </c>
      <c r="Y16" s="14">
        <f>MAX(SUMPRODUCT(T16:X16,基础状态预期!F29:J29),Y15)</f>
        <v>45897396.841806948</v>
      </c>
      <c r="AC16" s="29">
        <v>130</v>
      </c>
      <c r="AD16" s="29">
        <v>0</v>
      </c>
      <c r="AE16" s="29">
        <v>0</v>
      </c>
      <c r="AF16" s="29">
        <v>0</v>
      </c>
      <c r="AG16" s="29">
        <v>0</v>
      </c>
      <c r="AH16" s="29">
        <f>AD16*(INDEX([2]非r将兵属性验证!$S$7:$S$166,$AC16,1)+INDEX([2]非r将兵属性验证!$AG$7:$AG$166,$AC16,1))</f>
        <v>0</v>
      </c>
      <c r="AI16" s="29">
        <f>AE16*INDEX([2]非r将兵属性验证!T$7:T$166,$AC16,1)</f>
        <v>0</v>
      </c>
      <c r="AJ16" s="29">
        <f>AF16*INDEX([2]非r将兵属性验证!U$7:U$166,$AC16,1)</f>
        <v>0</v>
      </c>
      <c r="AK16" s="29">
        <f>AG16*INDEX([2]非r将兵属性验证!$AM$7:$AM$166,$AC16,1)</f>
        <v>0</v>
      </c>
      <c r="AL16" s="14">
        <f t="shared" si="6"/>
        <v>0</v>
      </c>
      <c r="AP16" s="29">
        <f t="shared" si="2"/>
        <v>74.998404927577795</v>
      </c>
      <c r="AQ16" s="14"/>
      <c r="AR16" s="14">
        <f t="shared" si="3"/>
        <v>45897396.841806948</v>
      </c>
      <c r="AS16" s="14">
        <f>(AR16-AR15)*INDEX('[1]功能-付费相关'!$AQ$6:$AQ$165,$AP16,1)+AS15</f>
        <v>54852.224075704886</v>
      </c>
      <c r="AU16" s="29">
        <v>130</v>
      </c>
      <c r="AV16" s="29"/>
      <c r="AW16" s="29">
        <f t="shared" si="7"/>
        <v>5399727.7552540461</v>
      </c>
    </row>
    <row r="17" spans="2:49" x14ac:dyDescent="0.15">
      <c r="B17" s="193"/>
      <c r="C17" s="14">
        <f t="shared" si="5"/>
        <v>4</v>
      </c>
      <c r="D17" s="14">
        <v>0</v>
      </c>
      <c r="E17" s="14">
        <v>0</v>
      </c>
      <c r="F17" s="14">
        <v>20</v>
      </c>
      <c r="G17" s="14">
        <v>20</v>
      </c>
      <c r="H17" s="14">
        <v>30</v>
      </c>
      <c r="I17" s="14">
        <v>50</v>
      </c>
      <c r="M17" s="16">
        <v>17</v>
      </c>
      <c r="N17" s="14">
        <f>基础状态预期!D30</f>
        <v>77.875308029777003</v>
      </c>
      <c r="O17" s="14">
        <f>IF(基础状态预期!Q30="",0,求节点($C$31:$C$36,E$31:E$36,基础状态预期!Q30)*基础状态预期!G30)</f>
        <v>0</v>
      </c>
      <c r="P17" s="14">
        <f>IF(基础状态预期!R30="",0,求节点($C$31:$C$36,F$31:F$36,基础状态预期!R30)*基础状态预期!H30)</f>
        <v>0</v>
      </c>
      <c r="Q17" s="14">
        <f>IF(基础状态预期!S30="",0,求节点($C$31:$C$36,G$31:G$36,基础状态预期!S30)*基础状态预期!I30)</f>
        <v>0</v>
      </c>
      <c r="R17" s="14">
        <f>IF(基础状态预期!T30="",0,求节点($C$31:$C$36,H$31:H$36,基础状态预期!T30)*基础状态预期!J30)</f>
        <v>182.7022178143944</v>
      </c>
      <c r="S17" s="14"/>
      <c r="T17" s="14">
        <f>IF(基础状态预期!P30="",0,求节点($C$40:$C$45,D$40:D$45,基础状态预期!P30))</f>
        <v>0</v>
      </c>
      <c r="U17" s="14">
        <f>IF(基础状态预期!Q30="",0,求节点($C$40:$C$45,E$40:E$45,基础状态预期!Q30))</f>
        <v>0</v>
      </c>
      <c r="V17" s="14">
        <f>IF(基础状态预期!R30="",0,求节点($C$40:$C$45,F$40:F$45,基础状态预期!R30))</f>
        <v>0</v>
      </c>
      <c r="W17" s="14">
        <f>IF(基础状态预期!S30="",0,求节点($C$40:$C$45,G$40:G$45,基础状态预期!S30))</f>
        <v>0</v>
      </c>
      <c r="X17" s="14">
        <f>IF(基础状态预期!T30="",0,求节点($C$40:$C$45,H$40:H$45,基础状态预期!T30))</f>
        <v>16380887.125757765</v>
      </c>
      <c r="Y17" s="14">
        <f>MAX(SUMPRODUCT(T17:X17,基础状态预期!F30:J30),Y16)</f>
        <v>98285322.754546583</v>
      </c>
      <c r="AC17" s="29">
        <v>140</v>
      </c>
      <c r="AD17" s="29">
        <v>0</v>
      </c>
      <c r="AE17" s="29">
        <v>0</v>
      </c>
      <c r="AF17" s="29">
        <v>0</v>
      </c>
      <c r="AG17" s="29">
        <v>0</v>
      </c>
      <c r="AH17" s="29">
        <f>AD17*(INDEX([2]非r将兵属性验证!$S$7:$S$166,$AC17,1)+INDEX([2]非r将兵属性验证!$AG$7:$AG$166,$AC17,1))</f>
        <v>0</v>
      </c>
      <c r="AI17" s="29">
        <f>AE17*INDEX([2]非r将兵属性验证!T$7:T$166,$AC17,1)</f>
        <v>0</v>
      </c>
      <c r="AJ17" s="29">
        <f>AF17*INDEX([2]非r将兵属性验证!U$7:U$166,$AC17,1)</f>
        <v>0</v>
      </c>
      <c r="AK17" s="29">
        <f>AG17*INDEX([2]非r将兵属性验证!$AM$7:$AM$166,$AC17,1)</f>
        <v>0</v>
      </c>
      <c r="AL17" s="14">
        <f t="shared" si="6"/>
        <v>0</v>
      </c>
      <c r="AP17" s="29">
        <f t="shared" si="2"/>
        <v>77.875308029777003</v>
      </c>
      <c r="AQ17" s="14"/>
      <c r="AR17" s="14">
        <f t="shared" si="3"/>
        <v>98285322.754546583</v>
      </c>
      <c r="AS17" s="14">
        <f>(AR17-AR16)*INDEX('[1]功能-付费相关'!$AQ$6:$AQ$165,$AP17,1)+AS16</f>
        <v>110822.23039273442</v>
      </c>
      <c r="AU17" s="29">
        <v>140</v>
      </c>
      <c r="AV17" s="29"/>
      <c r="AW17" s="29">
        <f t="shared" si="7"/>
        <v>5399727.7552540461</v>
      </c>
    </row>
    <row r="18" spans="2:49" x14ac:dyDescent="0.15">
      <c r="B18" s="193"/>
      <c r="C18" s="14">
        <f t="shared" si="5"/>
        <v>5</v>
      </c>
      <c r="D18" s="14">
        <v>0</v>
      </c>
      <c r="E18" s="14">
        <v>0</v>
      </c>
      <c r="F18" s="14">
        <v>35</v>
      </c>
      <c r="G18" s="14">
        <v>35</v>
      </c>
      <c r="H18" s="14">
        <v>50</v>
      </c>
      <c r="I18" s="14">
        <v>80</v>
      </c>
      <c r="M18" s="16">
        <v>18</v>
      </c>
      <c r="N18" s="14">
        <f>基础状态预期!D31</f>
        <v>80.272123558064706</v>
      </c>
      <c r="O18" s="14">
        <f>IF(基础状态预期!Q31="",0,求节点($C$31:$C$36,E$31:E$36,基础状态预期!Q31)*基础状态预期!G31)</f>
        <v>0</v>
      </c>
      <c r="P18" s="14">
        <f>IF(基础状态预期!R31="",0,求节点($C$31:$C$36,F$31:F$36,基础状态预期!R31)*基础状态预期!H31)</f>
        <v>0</v>
      </c>
      <c r="Q18" s="14">
        <f>IF(基础状态预期!S31="",0,求节点($C$31:$C$36,G$31:G$36,基础状态预期!S31)*基础状态预期!I31)</f>
        <v>0</v>
      </c>
      <c r="R18" s="14">
        <f>IF(基础状态预期!T31="",0,求节点($C$31:$C$36,H$31:H$36,基础状态预期!T31)*基础状态预期!J31)</f>
        <v>199.95928961806587</v>
      </c>
      <c r="S18" s="14"/>
      <c r="T18" s="14">
        <f>IF(基础状态预期!P31="",0,求节点($C$40:$C$45,D$40:D$45,基础状态预期!P31))</f>
        <v>0</v>
      </c>
      <c r="U18" s="14">
        <f>IF(基础状态预期!Q31="",0,求节点($C$40:$C$45,E$40:E$45,基础状态预期!Q31))</f>
        <v>0</v>
      </c>
      <c r="V18" s="14">
        <f>IF(基础状态预期!R31="",0,求节点($C$40:$C$45,F$40:F$45,基础状态预期!R31))</f>
        <v>0</v>
      </c>
      <c r="W18" s="14">
        <f>IF(基础状态预期!S31="",0,求节点($C$40:$C$45,G$40:G$45,基础状态预期!S31))</f>
        <v>0</v>
      </c>
      <c r="X18" s="14">
        <f>IF(基础状态预期!T31="",0,求节点($C$40:$C$45,H$40:H$45,基础状态预期!T31))</f>
        <v>23283715.847226337</v>
      </c>
      <c r="Y18" s="14">
        <f>MAX(SUMPRODUCT(T18:X18,基础状态预期!F31:J31),Y17)</f>
        <v>139702295.08335802</v>
      </c>
      <c r="AC18" s="29">
        <v>150</v>
      </c>
      <c r="AD18" s="29">
        <v>0</v>
      </c>
      <c r="AE18" s="29">
        <v>0</v>
      </c>
      <c r="AF18" s="29">
        <v>0</v>
      </c>
      <c r="AG18" s="29">
        <v>0</v>
      </c>
      <c r="AH18" s="29">
        <f>AD18*(INDEX([2]非r将兵属性验证!$S$7:$S$166,$AC18,1)+INDEX([2]非r将兵属性验证!$AG$7:$AG$166,$AC18,1))</f>
        <v>0</v>
      </c>
      <c r="AI18" s="29">
        <f>AE18*INDEX([2]非r将兵属性验证!T$7:T$166,$AC18,1)</f>
        <v>0</v>
      </c>
      <c r="AJ18" s="29">
        <f>AF18*INDEX([2]非r将兵属性验证!U$7:U$166,$AC18,1)</f>
        <v>0</v>
      </c>
      <c r="AK18" s="29">
        <f>AG18*INDEX([2]非r将兵属性验证!$AM$7:$AM$166,$AC18,1)</f>
        <v>0</v>
      </c>
      <c r="AL18" s="14">
        <f t="shared" si="6"/>
        <v>0</v>
      </c>
      <c r="AP18" s="29">
        <f t="shared" si="2"/>
        <v>80.272123558064706</v>
      </c>
      <c r="AQ18" s="14"/>
      <c r="AR18" s="14">
        <f t="shared" si="3"/>
        <v>139702295.08335802</v>
      </c>
      <c r="AS18" s="14">
        <f>(AR18-AR17)*INDEX('[1]功能-付费相关'!$AQ$6:$AQ$165,$AP18,1)+AS17</f>
        <v>153964.90990191299</v>
      </c>
      <c r="AU18" s="29">
        <v>150</v>
      </c>
      <c r="AV18" s="29"/>
      <c r="AW18" s="29">
        <f t="shared" si="7"/>
        <v>5399727.7552540461</v>
      </c>
    </row>
    <row r="19" spans="2:49" x14ac:dyDescent="0.15">
      <c r="B19" s="193"/>
      <c r="C19" s="14"/>
      <c r="D19" s="14"/>
      <c r="E19" s="14"/>
      <c r="F19" s="14"/>
      <c r="G19" s="14"/>
      <c r="H19" s="14"/>
      <c r="I19" s="14"/>
      <c r="M19" s="16">
        <v>19</v>
      </c>
      <c r="N19" s="14">
        <f>基础状态预期!D32</f>
        <v>82.328492296001457</v>
      </c>
      <c r="O19" s="14">
        <f>IF(基础状态预期!Q32="",0,求节点($C$31:$C$36,E$31:E$36,基础状态预期!Q32)*基础状态预期!G32)</f>
        <v>0</v>
      </c>
      <c r="P19" s="14">
        <f>IF(基础状态预期!R32="",0,求节点($C$31:$C$36,F$31:F$36,基础状态预期!R32)*基础状态预期!H32)</f>
        <v>0</v>
      </c>
      <c r="Q19" s="14">
        <f>IF(基础状态预期!S32="",0,求节点($C$31:$C$36,G$31:G$36,基础状态预期!S32)*基础状态预期!I32)</f>
        <v>0</v>
      </c>
      <c r="R19" s="14">
        <f>IF(基础状态预期!T32="",0,求节点($C$31:$C$36,H$31:H$36,基础状态预期!T32)*基础状态预期!J32)</f>
        <v>214.76514453121047</v>
      </c>
      <c r="S19" s="14"/>
      <c r="T19" s="14">
        <f>IF(基础状态预期!P32="",0,求节点($C$40:$C$45,D$40:D$45,基础状态预期!P32))</f>
        <v>0</v>
      </c>
      <c r="U19" s="14">
        <f>IF(基础状态预期!Q32="",0,求节点($C$40:$C$45,E$40:E$45,基础状态预期!Q32))</f>
        <v>0</v>
      </c>
      <c r="V19" s="14">
        <f>IF(基础状态预期!R32="",0,求节点($C$40:$C$45,F$40:F$45,基础状态预期!R32))</f>
        <v>0</v>
      </c>
      <c r="W19" s="14">
        <f>IF(基础状态预期!S32="",0,求节点($C$40:$C$45,G$40:G$45,基础状态预期!S32))</f>
        <v>0</v>
      </c>
      <c r="X19" s="14">
        <f>IF(基础状态预期!T32="",0,求节点($C$40:$C$45,H$40:H$45,基础状态预期!T32))</f>
        <v>29206057.81248419</v>
      </c>
      <c r="Y19" s="14">
        <f>MAX(SUMPRODUCT(T19:X19,基础状态预期!F32:J32),Y18)</f>
        <v>175236346.87490514</v>
      </c>
      <c r="AC19" s="29">
        <v>160</v>
      </c>
      <c r="AD19" s="29">
        <v>0</v>
      </c>
      <c r="AE19" s="29">
        <v>0</v>
      </c>
      <c r="AF19" s="29">
        <v>0</v>
      </c>
      <c r="AG19" s="29">
        <v>0</v>
      </c>
      <c r="AH19" s="29">
        <f>AD19*(INDEX([2]非r将兵属性验证!$S$7:$S$166,$AC19,1)+INDEX([2]非r将兵属性验证!$AG$7:$AG$166,$AC19,1))</f>
        <v>0</v>
      </c>
      <c r="AI19" s="29">
        <f>AE19*INDEX([2]非r将兵属性验证!T$7:T$166,$AC19,1)</f>
        <v>0</v>
      </c>
      <c r="AJ19" s="29">
        <f>AF19*INDEX([2]非r将兵属性验证!U$7:U$166,$AC19,1)</f>
        <v>0</v>
      </c>
      <c r="AK19" s="29">
        <f>AG19*INDEX([2]非r将兵属性验证!$AM$7:$AM$166,$AC19,1)</f>
        <v>0</v>
      </c>
      <c r="AL19" s="14">
        <f t="shared" si="6"/>
        <v>0</v>
      </c>
      <c r="AP19" s="29">
        <f t="shared" si="2"/>
        <v>82.328492296001457</v>
      </c>
      <c r="AQ19" s="14"/>
      <c r="AR19" s="14">
        <f t="shared" si="3"/>
        <v>175236346.87490514</v>
      </c>
      <c r="AS19" s="14">
        <f>(AR19-AR18)*INDEX('[1]功能-付费相关'!$AQ$6:$AQ$165,$AP19,1)+AS18</f>
        <v>190372.74985226867</v>
      </c>
      <c r="AU19" s="29">
        <v>160</v>
      </c>
      <c r="AV19" s="29"/>
      <c r="AW19" s="29">
        <f t="shared" si="7"/>
        <v>5399727.7552540461</v>
      </c>
    </row>
    <row r="20" spans="2:49" x14ac:dyDescent="0.15">
      <c r="M20" s="16">
        <v>20</v>
      </c>
      <c r="N20" s="14">
        <f>基础状态预期!D33</f>
        <v>84.132234338875293</v>
      </c>
      <c r="O20" s="14">
        <f>IF(基础状态预期!Q33="",0,求节点($C$31:$C$36,E$31:E$36,基础状态预期!Q33)*基础状态预期!G33)</f>
        <v>0</v>
      </c>
      <c r="P20" s="14">
        <f>IF(基础状态预期!R33="",0,求节点($C$31:$C$36,F$31:F$36,基础状态预期!R33)*基础状态预期!H33)</f>
        <v>0</v>
      </c>
      <c r="Q20" s="14">
        <f>IF(基础状态预期!S33="",0,求节点($C$31:$C$36,G$31:G$36,基础状态预期!S33)*基础状态预期!I33)</f>
        <v>0</v>
      </c>
      <c r="R20" s="14">
        <f>IF(基础状态预期!T33="",0,求节点($C$31:$C$36,H$31:H$36,基础状态预期!T33)*基础状态预期!J33)</f>
        <v>227.7520872399021</v>
      </c>
      <c r="S20" s="14"/>
      <c r="T20" s="14">
        <f>IF(基础状态预期!P33="",0,求节点($C$40:$C$45,D$40:D$45,基础状态预期!P33))</f>
        <v>0</v>
      </c>
      <c r="U20" s="14">
        <f>IF(基础状态预期!Q33="",0,求节点($C$40:$C$45,E$40:E$45,基础状态预期!Q33))</f>
        <v>0</v>
      </c>
      <c r="V20" s="14">
        <f>IF(基础状态预期!R33="",0,求节点($C$40:$C$45,F$40:F$45,基础状态预期!R33))</f>
        <v>0</v>
      </c>
      <c r="W20" s="14">
        <f>IF(基础状态预期!S33="",0,求节点($C$40:$C$45,G$40:G$45,基础状态预期!S33))</f>
        <v>0</v>
      </c>
      <c r="X20" s="14">
        <f>IF(基础状态预期!T33="",0,求节点($C$40:$C$45,H$40:H$45,基础状态预期!T33))</f>
        <v>34400834.895960838</v>
      </c>
      <c r="Y20" s="14">
        <f>MAX(SUMPRODUCT(T20:X20,基础状态预期!F33:J33),Y19)</f>
        <v>206405009.37576503</v>
      </c>
      <c r="AP20" s="29">
        <f t="shared" si="2"/>
        <v>84.132234338875293</v>
      </c>
      <c r="AQ20" s="14"/>
      <c r="AR20" s="14">
        <f t="shared" si="3"/>
        <v>206405009.37576503</v>
      </c>
      <c r="AS20" s="14">
        <f>(AR20-AR19)*INDEX('[1]功能-付费相关'!$AQ$6:$AQ$165,$AP20,1)+AS19</f>
        <v>221792.7725345871</v>
      </c>
    </row>
    <row r="21" spans="2:49" ht="12" x14ac:dyDescent="0.15">
      <c r="B21" s="193" t="s">
        <v>434</v>
      </c>
      <c r="C21" s="14" t="s">
        <v>179</v>
      </c>
      <c r="D21" s="113" t="s">
        <v>3</v>
      </c>
      <c r="E21" s="113" t="s">
        <v>1</v>
      </c>
      <c r="F21" s="113" t="s">
        <v>2</v>
      </c>
      <c r="G21" s="113" t="s">
        <v>0</v>
      </c>
      <c r="H21" s="14" t="s">
        <v>545</v>
      </c>
      <c r="I21" s="14" t="s">
        <v>30</v>
      </c>
      <c r="M21" s="16">
        <v>21</v>
      </c>
      <c r="N21" s="14">
        <f>基础状态预期!D34</f>
        <v>86.465948248806328</v>
      </c>
      <c r="O21" s="14">
        <f>IF(基础状态预期!Q34="",0,求节点($C$31:$C$36,E$31:E$36,基础状态预期!Q34)*基础状态预期!G34)</f>
        <v>0</v>
      </c>
      <c r="P21" s="14">
        <f>IF(基础状态预期!R34="",0,求节点($C$31:$C$36,F$31:F$36,基础状态预期!R34)*基础状态预期!H34)</f>
        <v>0</v>
      </c>
      <c r="Q21" s="14">
        <f>IF(基础状态预期!S34="",0,求节点($C$31:$C$36,G$31:G$36,基础状态预期!S34)*基础状态预期!I34)</f>
        <v>0</v>
      </c>
      <c r="R21" s="14">
        <f>IF(基础状态预期!T34="",0,求节点($C$31:$C$36,H$31:H$36,基础状态预期!T34)*基础状态预期!J34)</f>
        <v>244.55482739140552</v>
      </c>
      <c r="S21" s="14"/>
      <c r="T21" s="14">
        <f>IF(基础状态预期!P34="",0,求节点($C$40:$C$45,D$40:D$45,基础状态预期!P34))</f>
        <v>0</v>
      </c>
      <c r="U21" s="14">
        <f>IF(基础状态预期!Q34="",0,求节点($C$40:$C$45,E$40:E$45,基础状态预期!Q34))</f>
        <v>0</v>
      </c>
      <c r="V21" s="14">
        <f>IF(基础状态预期!R34="",0,求节点($C$40:$C$45,F$40:F$45,基础状态预期!R34))</f>
        <v>0</v>
      </c>
      <c r="W21" s="14">
        <f>IF(基础状态预期!S34="",0,求节点($C$40:$C$45,G$40:G$45,基础状态预期!S34))</f>
        <v>0</v>
      </c>
      <c r="X21" s="14">
        <f>IF(基础状态预期!T34="",0,求节点($C$40:$C$45,H$40:H$45,基础状态预期!T34))</f>
        <v>41121930.956562214</v>
      </c>
      <c r="Y21" s="14">
        <f>MAX(SUMPRODUCT(T21:X21,基础状态预期!F34:J34),Y20)</f>
        <v>246731585.73937327</v>
      </c>
      <c r="AP21" s="29">
        <f t="shared" si="2"/>
        <v>86.465948248806328</v>
      </c>
      <c r="AQ21" s="14"/>
      <c r="AR21" s="14">
        <f t="shared" si="3"/>
        <v>246731585.73937327</v>
      </c>
      <c r="AS21" s="14">
        <f>(AR21-AR20)*INDEX('[1]功能-付费相关'!$AQ$6:$AQ$165,$AP21,1)+AS20</f>
        <v>261799.29670483337</v>
      </c>
    </row>
    <row r="22" spans="2:49" x14ac:dyDescent="0.15">
      <c r="B22" s="193"/>
      <c r="C22" s="14">
        <f>C13</f>
        <v>0</v>
      </c>
      <c r="D22" s="14">
        <v>0</v>
      </c>
      <c r="E22" s="14">
        <v>0</v>
      </c>
      <c r="F22" s="14">
        <v>0</v>
      </c>
      <c r="G22" s="14">
        <v>0</v>
      </c>
      <c r="H22" s="14">
        <v>0</v>
      </c>
      <c r="I22" s="14">
        <v>0</v>
      </c>
      <c r="M22" s="16">
        <v>22</v>
      </c>
      <c r="N22" s="14">
        <f>基础状态预期!D35</f>
        <v>90.244911202258237</v>
      </c>
      <c r="O22" s="14">
        <f>IF(基础状态预期!Q35="",0,求节点($C$31:$C$36,E$31:E$36,基础状态预期!Q35)*基础状态预期!G35)</f>
        <v>0</v>
      </c>
      <c r="P22" s="14">
        <f>IF(基础状态预期!R35="",0,求节点($C$31:$C$36,F$31:F$36,基础状态预期!R35)*基础状态预期!H35)</f>
        <v>0</v>
      </c>
      <c r="Q22" s="14">
        <f>IF(基础状态预期!S35="",0,求节点($C$31:$C$36,G$31:G$36,基础状态预期!S35)*基础状态预期!I35)</f>
        <v>0</v>
      </c>
      <c r="R22" s="14">
        <f>IF(基础状态预期!T35="",0,求节点($C$31:$C$36,H$31:H$36,基础状态预期!T35)*基础状态预期!J35)</f>
        <v>271.76336065625935</v>
      </c>
      <c r="S22" s="14"/>
      <c r="T22" s="14">
        <f>IF(基础状态预期!P35="",0,求节点($C$40:$C$45,D$40:D$45,基础状态预期!P35))</f>
        <v>0</v>
      </c>
      <c r="U22" s="14">
        <f>IF(基础状态预期!Q35="",0,求节点($C$40:$C$45,E$40:E$45,基础状态预期!Q35))</f>
        <v>0</v>
      </c>
      <c r="V22" s="14">
        <f>IF(基础状态预期!R35="",0,求节点($C$40:$C$45,F$40:F$45,基础状态预期!R35))</f>
        <v>0</v>
      </c>
      <c r="W22" s="14">
        <f>IF(基础状态预期!S35="",0,求节点($C$40:$C$45,G$40:G$45,基础状态预期!S35))</f>
        <v>0</v>
      </c>
      <c r="X22" s="14">
        <f>IF(基础状态预期!T35="",0,求节点($C$40:$C$45,H$40:H$45,基础状态预期!T35))</f>
        <v>52005344.262503728</v>
      </c>
      <c r="Y22" s="14">
        <f>MAX(SUMPRODUCT(T22:X22,基础状态预期!F35:J35),Y21)</f>
        <v>312032065.57502234</v>
      </c>
      <c r="AP22" s="29">
        <f t="shared" si="2"/>
        <v>90.244911202258237</v>
      </c>
      <c r="AQ22" s="14"/>
      <c r="AR22" s="14">
        <f t="shared" si="3"/>
        <v>312032065.57502234</v>
      </c>
      <c r="AS22" s="14">
        <f>(AR22-AR21)*INDEX('[1]功能-付费相关'!$AQ$6:$AQ$165,$AP22,1)+AS21</f>
        <v>324588.21962372673</v>
      </c>
    </row>
    <row r="23" spans="2:49" x14ac:dyDescent="0.15">
      <c r="B23" s="193"/>
      <c r="C23" s="14">
        <f t="shared" ref="C23:C27" si="8">C14</f>
        <v>1</v>
      </c>
      <c r="D23" s="14"/>
      <c r="E23" s="14"/>
      <c r="F23" s="14">
        <v>40000</v>
      </c>
      <c r="G23" s="14">
        <v>60000</v>
      </c>
      <c r="H23" s="14">
        <v>180000</v>
      </c>
      <c r="I23" s="14">
        <v>300000</v>
      </c>
      <c r="M23" s="16">
        <v>23</v>
      </c>
      <c r="N23" s="14">
        <f>基础状态预期!D36</f>
        <v>93.235489905456092</v>
      </c>
      <c r="O23" s="14">
        <f>IF(基础状态预期!Q36="",0,求节点($C$31:$C$36,E$31:E$36,基础状态预期!Q36)*基础状态预期!G36)</f>
        <v>0</v>
      </c>
      <c r="P23" s="14">
        <f>IF(基础状态预期!R36="",0,求节点($C$31:$C$36,F$31:F$36,基础状态预期!R36)*基础状态预期!H36)</f>
        <v>0</v>
      </c>
      <c r="Q23" s="14">
        <f>IF(基础状态预期!S36="",0,求节点($C$31:$C$36,G$31:G$36,基础状态预期!S36)*基础状态预期!I36)</f>
        <v>0</v>
      </c>
      <c r="R23" s="14">
        <f>IF(基础状态预期!T36="",0,求节点($C$31:$C$36,H$31:H$36,基础状态预期!T36)*基础状态预期!J36)</f>
        <v>293.29552731928391</v>
      </c>
      <c r="S23" s="14"/>
      <c r="T23" s="14">
        <f>IF(基础状态预期!P36="",0,求节点($C$40:$C$45,D$40:D$45,基础状态预期!P36))</f>
        <v>0</v>
      </c>
      <c r="U23" s="14">
        <f>IF(基础状态预期!Q36="",0,求节点($C$40:$C$45,E$40:E$45,基础状态预期!Q36))</f>
        <v>0</v>
      </c>
      <c r="V23" s="14">
        <f>IF(基础状态预期!R36="",0,求节点($C$40:$C$45,F$40:F$45,基础状态预期!R36))</f>
        <v>0</v>
      </c>
      <c r="W23" s="14">
        <f>IF(基础状态预期!S36="",0,求节点($C$40:$C$45,G$40:G$45,基础状态预期!S36))</f>
        <v>0</v>
      </c>
      <c r="X23" s="14">
        <f>IF(基础状态预期!T36="",0,求节点($C$40:$C$45,H$40:H$45,基础状态预期!T36))</f>
        <v>60618210.927713543</v>
      </c>
      <c r="Y23" s="14">
        <f>MAX(SUMPRODUCT(T23:X23,基础状态预期!F36:J36),Y22)</f>
        <v>363709265.56628126</v>
      </c>
      <c r="AP23" s="29">
        <f t="shared" si="2"/>
        <v>93.235489905456092</v>
      </c>
      <c r="AQ23" s="14"/>
      <c r="AR23" s="14">
        <f t="shared" si="3"/>
        <v>363709265.56628126</v>
      </c>
      <c r="AS23" s="14">
        <f>(AR23-AR22)*INDEX('[1]功能-付费相关'!$AQ$6:$AQ$165,$AP23,1)+AS22</f>
        <v>373157.01660799264</v>
      </c>
    </row>
    <row r="24" spans="2:49" x14ac:dyDescent="0.15">
      <c r="B24" s="193"/>
      <c r="C24" s="14">
        <f t="shared" si="8"/>
        <v>2</v>
      </c>
      <c r="D24" s="14"/>
      <c r="E24" s="14"/>
      <c r="F24" s="14">
        <f>F23*4</f>
        <v>160000</v>
      </c>
      <c r="G24" s="14">
        <f t="shared" ref="G24:H24" si="9">G23*4</f>
        <v>240000</v>
      </c>
      <c r="H24" s="14">
        <f t="shared" si="9"/>
        <v>720000</v>
      </c>
      <c r="I24" s="14">
        <f t="shared" ref="I24" si="10">I23*4</f>
        <v>1200000</v>
      </c>
      <c r="M24" s="16">
        <v>24</v>
      </c>
      <c r="N24" s="14">
        <f>基础状态预期!D37</f>
        <v>96.807063977001675</v>
      </c>
      <c r="O24" s="14">
        <f>IF(基础状态预期!Q37="",0,求节点($C$31:$C$36,E$31:E$36,基础状态预期!Q37)*基础状态预期!G37)</f>
        <v>0</v>
      </c>
      <c r="P24" s="14">
        <f>IF(基础状态预期!R37="",0,求节点($C$31:$C$36,F$31:F$36,基础状态预期!R37)*基础状态预期!H37)</f>
        <v>0</v>
      </c>
      <c r="Q24" s="14">
        <f>IF(基础状态预期!S37="",0,求节点($C$31:$C$36,G$31:G$36,基础状态预期!S37)*基础状态预期!I37)</f>
        <v>0</v>
      </c>
      <c r="R24" s="14">
        <f>IF(基础状态预期!T37="",0,求节点($C$31:$C$36,H$31:H$36,基础状态预期!T37)*基础状态预期!J37)</f>
        <v>319.01086063441204</v>
      </c>
      <c r="S24" s="14"/>
      <c r="T24" s="14">
        <f>IF(基础状态预期!P37="",0,求节点($C$40:$C$45,D$40:D$45,基础状态预期!P37))</f>
        <v>0</v>
      </c>
      <c r="U24" s="14">
        <f>IF(基础状态预期!Q37="",0,求节点($C$40:$C$45,E$40:E$45,基础状态预期!Q37))</f>
        <v>0</v>
      </c>
      <c r="V24" s="14">
        <f>IF(基础状态预期!R37="",0,求节点($C$40:$C$45,F$40:F$45,基础状态预期!R37))</f>
        <v>0</v>
      </c>
      <c r="W24" s="14">
        <f>IF(基础状态预期!S37="",0,求节点($C$40:$C$45,G$40:G$45,基础状态预期!S37))</f>
        <v>0</v>
      </c>
      <c r="X24" s="14">
        <f>IF(基础状态预期!T37="",0,求节点($C$40:$C$45,H$40:H$45,基础状态预期!T37))</f>
        <v>70904344.253764808</v>
      </c>
      <c r="Y24" s="14">
        <f>MAX(SUMPRODUCT(T24:X24,基础状态预期!F37:J37),Y23)</f>
        <v>425426065.52258885</v>
      </c>
      <c r="AP24" s="29">
        <f t="shared" si="2"/>
        <v>96.807063977001675</v>
      </c>
      <c r="AQ24" s="14"/>
      <c r="AR24" s="14">
        <f t="shared" si="3"/>
        <v>425426065.52258885</v>
      </c>
      <c r="AS24" s="14">
        <f>(AR24-AR23)*INDEX('[1]功能-付费相关'!$AQ$6:$AQ$165,$AP24,1)+AS23</f>
        <v>429882.01656783419</v>
      </c>
    </row>
    <row r="25" spans="2:49" x14ac:dyDescent="0.15">
      <c r="B25" s="193"/>
      <c r="C25" s="14">
        <f t="shared" si="8"/>
        <v>3</v>
      </c>
      <c r="D25" s="14"/>
      <c r="E25" s="14"/>
      <c r="F25" s="14">
        <f>F24*10</f>
        <v>1600000</v>
      </c>
      <c r="G25" s="14">
        <f t="shared" ref="G25:H26" si="11">G24*10</f>
        <v>2400000</v>
      </c>
      <c r="H25" s="14">
        <f t="shared" si="11"/>
        <v>7200000</v>
      </c>
      <c r="I25" s="14">
        <f t="shared" ref="I25" si="12">I24*10</f>
        <v>12000000</v>
      </c>
      <c r="M25" s="16">
        <v>25</v>
      </c>
      <c r="N25" s="14">
        <f>基础状态预期!D38</f>
        <v>100.50342858241972</v>
      </c>
      <c r="O25" s="14">
        <f>IF(基础状态预期!Q38="",0,求节点($C$31:$C$36,E$31:E$36,基础状态预期!Q38)*基础状态预期!G38)</f>
        <v>0</v>
      </c>
      <c r="P25" s="14">
        <f>IF(基础状态预期!R38="",0,求节点($C$31:$C$36,F$31:F$36,基础状态预期!R38)*基础状态预期!H38)</f>
        <v>0</v>
      </c>
      <c r="Q25" s="14">
        <f>IF(基础状态预期!S38="",0,求节点($C$31:$C$36,G$31:G$36,基础状态预期!S38)*基础状态预期!I38)</f>
        <v>0</v>
      </c>
      <c r="R25" s="14">
        <f>IF(基础状态预期!T38="",0,求节点($C$31:$C$36,H$31:H$36,基础状态预期!T38)*基础状态预期!J38)</f>
        <v>348.04114298903664</v>
      </c>
      <c r="S25" s="14"/>
      <c r="T25" s="14">
        <f>IF(基础状态预期!P38="",0,求节点($C$40:$C$45,D$40:D$45,基础状态预期!P38))</f>
        <v>0</v>
      </c>
      <c r="U25" s="14">
        <f>IF(基础状态预期!Q38="",0,求节点($C$40:$C$45,E$40:E$45,基础状态预期!Q38))</f>
        <v>0</v>
      </c>
      <c r="V25" s="14">
        <f>IF(基础状态预期!R38="",0,求节点($C$40:$C$45,F$40:F$45,基础状态预期!R38))</f>
        <v>0</v>
      </c>
      <c r="W25" s="14">
        <f>IF(基础状态预期!S38="",0,求节点($C$40:$C$45,G$40:G$45,基础状态预期!S38))</f>
        <v>0</v>
      </c>
      <c r="X25" s="14">
        <f>IF(基础状态预期!T38="",0,求节点($C$40:$C$45,H$40:H$45,基础状态预期!T38))</f>
        <v>100398240.44316304</v>
      </c>
      <c r="Y25" s="14">
        <f>MAX(SUMPRODUCT(T25:X25,基础状态预期!F38:J38),Y24)</f>
        <v>602389442.65897822</v>
      </c>
      <c r="AP25" s="29">
        <f t="shared" si="2"/>
        <v>100.50342858241972</v>
      </c>
      <c r="AQ25" s="14"/>
      <c r="AR25" s="14">
        <f t="shared" si="3"/>
        <v>602389442.65897822</v>
      </c>
      <c r="AS25" s="14">
        <f>(AR25-AR24)*INDEX('[1]功能-付费相关'!$AQ$6:$AQ$165,$AP25,1)+AS24</f>
        <v>587885.03186818189</v>
      </c>
    </row>
    <row r="26" spans="2:49" x14ac:dyDescent="0.15">
      <c r="B26" s="193"/>
      <c r="C26" s="14">
        <f t="shared" si="8"/>
        <v>4</v>
      </c>
      <c r="D26" s="14"/>
      <c r="E26" s="14"/>
      <c r="F26" s="14">
        <f t="shared" ref="F26" si="13">F25*10</f>
        <v>16000000</v>
      </c>
      <c r="G26" s="14">
        <f t="shared" si="11"/>
        <v>24000000</v>
      </c>
      <c r="H26" s="14">
        <f t="shared" si="11"/>
        <v>72000000</v>
      </c>
      <c r="I26" s="14">
        <f t="shared" ref="I26" si="14">I25*10</f>
        <v>120000000</v>
      </c>
      <c r="M26" s="16">
        <v>26</v>
      </c>
      <c r="N26" s="14">
        <f>基础状态预期!D39</f>
        <v>104.10129967499306</v>
      </c>
      <c r="O26" s="14">
        <f>IF(基础状态预期!Q39="",0,求节点($C$31:$C$36,E$31:E$36,基础状态预期!Q39)*基础状态预期!G39)</f>
        <v>0</v>
      </c>
      <c r="P26" s="14">
        <f>IF(基础状态预期!R39="",0,求节点($C$31:$C$36,F$31:F$36,基础状态预期!R39)*基础状态预期!H39)</f>
        <v>0</v>
      </c>
      <c r="Q26" s="14">
        <f>IF(基础状态预期!S39="",0,求节点($C$31:$C$36,G$31:G$36,基础状态预期!S39)*基础状态预期!I39)</f>
        <v>0</v>
      </c>
      <c r="R26" s="14">
        <f>IF(基础状态预期!T39="",0,求节点($C$31:$C$36,H$31:H$36,基础状态预期!T39)*基础状态预期!J39)</f>
        <v>391.21559609991675</v>
      </c>
      <c r="S26" s="14"/>
      <c r="T26" s="14">
        <f>IF(基础状态预期!P39="",0,求节点($C$40:$C$45,D$40:D$45,基础状态预期!P39))</f>
        <v>0</v>
      </c>
      <c r="U26" s="14">
        <f>IF(基础状态预期!Q39="",0,求节点($C$40:$C$45,E$40:E$45,基础状态预期!Q39))</f>
        <v>0</v>
      </c>
      <c r="V26" s="14">
        <f>IF(基础状态预期!R39="",0,求节点($C$40:$C$45,F$40:F$45,基础状态预期!R39))</f>
        <v>0</v>
      </c>
      <c r="W26" s="14">
        <f>IF(基础状态预期!S39="",0,求节点($C$40:$C$45,G$40:G$45,基础状态预期!S39))</f>
        <v>0</v>
      </c>
      <c r="X26" s="14">
        <f>IF(基础状态预期!T39="",0,求节点($C$40:$C$45,H$40:H$45,基础状态预期!T39))</f>
        <v>245464402.89572033</v>
      </c>
      <c r="Y26" s="14">
        <f>MAX(SUMPRODUCT(T26:X26,基础状态预期!F39:J39),Y25)</f>
        <v>1472786417.3743219</v>
      </c>
      <c r="AP26" s="29">
        <f t="shared" si="2"/>
        <v>104.10129967499306</v>
      </c>
      <c r="AQ26" s="14"/>
      <c r="AR26" s="14">
        <f t="shared" si="3"/>
        <v>1472786417.3743219</v>
      </c>
      <c r="AS26" s="14">
        <f>(AR26-AR25)*INDEX('[1]功能-付费相关'!$AQ$6:$AQ$165,$AP26,1)+AS25</f>
        <v>1343437.9613085845</v>
      </c>
    </row>
    <row r="27" spans="2:49" x14ac:dyDescent="0.15">
      <c r="B27" s="193"/>
      <c r="C27" s="14">
        <f t="shared" si="8"/>
        <v>5</v>
      </c>
      <c r="D27" s="14"/>
      <c r="E27" s="14"/>
      <c r="F27" s="14">
        <f>F26*14</f>
        <v>224000000</v>
      </c>
      <c r="G27" s="14">
        <f t="shared" ref="G27:H27" si="15">G26*14</f>
        <v>336000000</v>
      </c>
      <c r="H27" s="14">
        <f t="shared" si="15"/>
        <v>1008000000</v>
      </c>
      <c r="I27" s="14">
        <f t="shared" ref="I27" si="16">I26*14</f>
        <v>1680000000</v>
      </c>
      <c r="M27" s="16">
        <v>27</v>
      </c>
      <c r="N27" s="14">
        <f>基础状态预期!D40</f>
        <v>107.48165553683219</v>
      </c>
      <c r="O27" s="14">
        <f>IF(基础状态预期!Q40="",0,求节点($C$31:$C$36,E$31:E$36,基础状态预期!Q40)*基础状态预期!G40)</f>
        <v>0</v>
      </c>
      <c r="P27" s="14">
        <f>IF(基础状态预期!R40="",0,求节点($C$31:$C$36,F$31:F$36,基础状态预期!R40)*基础状态预期!H40)</f>
        <v>0</v>
      </c>
      <c r="Q27" s="14">
        <f>IF(基础状态预期!S40="",0,求节点($C$31:$C$36,G$31:G$36,基础状态预期!S40)*基础状态预期!I40)</f>
        <v>0</v>
      </c>
      <c r="R27" s="14">
        <f>IF(基础状态预期!T40="",0,求节点($C$31:$C$36,H$31:H$36,基础状态预期!T40)*基础状态预期!J40)</f>
        <v>431.77986644198643</v>
      </c>
      <c r="S27" s="14"/>
      <c r="T27" s="14">
        <f>IF(基础状态预期!P40="",0,求节点($C$40:$C$45,D$40:D$45,基础状态预期!P40))</f>
        <v>0</v>
      </c>
      <c r="U27" s="14">
        <f>IF(基础状态预期!Q40="",0,求节点($C$40:$C$45,E$40:E$45,基础状态预期!Q40))</f>
        <v>0</v>
      </c>
      <c r="V27" s="14">
        <f>IF(基础状态预期!R40="",0,求节点($C$40:$C$45,F$40:F$45,基础状态预期!R40))</f>
        <v>0</v>
      </c>
      <c r="W27" s="14">
        <f>IF(基础状态预期!S40="",0,求节点($C$40:$C$45,G$40:G$45,基础状态预期!S40))</f>
        <v>0</v>
      </c>
      <c r="X27" s="14">
        <f>IF(基础状态预期!T40="",0,求节点($C$40:$C$45,H$40:H$45,基础状态预期!T40))</f>
        <v>381760351.24507427</v>
      </c>
      <c r="Y27" s="14">
        <f>MAX(SUMPRODUCT(T27:X27,基础状态预期!F40:J40),Y26)</f>
        <v>2290562107.4704456</v>
      </c>
      <c r="AP27" s="29">
        <f t="shared" si="2"/>
        <v>107.48165553683219</v>
      </c>
      <c r="AQ27" s="14"/>
      <c r="AR27" s="14">
        <f t="shared" si="3"/>
        <v>2290562107.4704456</v>
      </c>
      <c r="AS27" s="14">
        <f>(AR27-AR26)*INDEX('[1]功能-付费相关'!$AQ$6:$AQ$165,$AP27,1)+AS26</f>
        <v>2038825.4528869209</v>
      </c>
    </row>
    <row r="28" spans="2:49" x14ac:dyDescent="0.15">
      <c r="B28" s="193"/>
      <c r="C28" s="14"/>
      <c r="D28" s="14"/>
      <c r="E28" s="14"/>
      <c r="F28" s="14"/>
      <c r="G28" s="14"/>
      <c r="H28" s="14"/>
      <c r="I28" s="14"/>
      <c r="M28" s="16">
        <v>28</v>
      </c>
      <c r="N28" s="14">
        <f>基础状态预期!D41</f>
        <v>111.03813549320469</v>
      </c>
      <c r="O28" s="14">
        <f>IF(基础状态预期!Q41="",0,求节点($C$31:$C$36,E$31:E$36,基础状态预期!Q41)*基础状态预期!G41)</f>
        <v>0</v>
      </c>
      <c r="P28" s="14">
        <f>IF(基础状态预期!R41="",0,求节点($C$31:$C$36,F$31:F$36,基础状态预期!R41)*基础状态预期!H41)</f>
        <v>0</v>
      </c>
      <c r="Q28" s="14">
        <f>IF(基础状态预期!S41="",0,求节点($C$31:$C$36,G$31:G$36,基础状态预期!S41)*基础状态预期!I41)</f>
        <v>0</v>
      </c>
      <c r="R28" s="14">
        <f>IF(基础状态预期!T41="",0,求节点($C$31:$C$36,H$31:H$36,基础状态预期!T41)*基础状态预期!J41)</f>
        <v>474.4576259184563</v>
      </c>
      <c r="S28" s="14"/>
      <c r="T28" s="14">
        <f>IF(基础状态预期!P41="",0,求节点($C$40:$C$45,D$40:D$45,基础状态预期!P41))</f>
        <v>0</v>
      </c>
      <c r="U28" s="14">
        <f>IF(基础状态预期!Q41="",0,求节点($C$40:$C$45,E$40:E$45,基础状态预期!Q41))</f>
        <v>0</v>
      </c>
      <c r="V28" s="14">
        <f>IF(基础状态预期!R41="",0,求节点($C$40:$C$45,F$40:F$45,基础状态预期!R41))</f>
        <v>0</v>
      </c>
      <c r="W28" s="14">
        <f>IF(基础状态预期!S41="",0,求节点($C$40:$C$45,G$40:G$45,基础状态预期!S41))</f>
        <v>0</v>
      </c>
      <c r="X28" s="14">
        <f>IF(基础状态预期!T41="",0,求节点($C$40:$C$45,H$40:H$45,基础状态预期!T41))</f>
        <v>525157623.0860132</v>
      </c>
      <c r="Y28" s="14">
        <f>MAX(SUMPRODUCT(T28:X28,基础状态预期!F41:J41),Y27)</f>
        <v>3150945738.5160789</v>
      </c>
      <c r="AP28" s="29">
        <f t="shared" si="2"/>
        <v>111.03813549320469</v>
      </c>
      <c r="AQ28" s="14"/>
      <c r="AR28" s="14">
        <f t="shared" si="3"/>
        <v>3150945738.5160789</v>
      </c>
      <c r="AS28" s="14">
        <f>(AR28-AR27)*INDEX('[1]功能-付费相关'!$AQ$6:$AQ$165,$AP28,1)+AS27</f>
        <v>2751063.5580571471</v>
      </c>
    </row>
    <row r="29" spans="2:49" x14ac:dyDescent="0.15">
      <c r="M29" s="16">
        <v>29</v>
      </c>
      <c r="N29" s="14">
        <f>基础状态预期!D42</f>
        <v>114.50860608277577</v>
      </c>
      <c r="O29" s="14">
        <f>IF(基础状态预期!Q42="",0,求节点($C$31:$C$36,E$31:E$36,基础状态预期!Q42)*基础状态预期!G42)</f>
        <v>0</v>
      </c>
      <c r="P29" s="14">
        <f>IF(基础状态预期!R42="",0,求节点($C$31:$C$36,F$31:F$36,基础状态预期!R42)*基础状态预期!H42)</f>
        <v>0</v>
      </c>
      <c r="Q29" s="14">
        <f>IF(基础状态预期!S42="",0,求节点($C$31:$C$36,G$31:G$36,基础状态预期!S42)*基础状态预期!I42)</f>
        <v>0</v>
      </c>
      <c r="R29" s="14">
        <f>IF(基础状态预期!T42="",0,求节点($C$31:$C$36,H$31:H$36,基础状态预期!T42)*基础状态预期!J42)</f>
        <v>516.10327299330936</v>
      </c>
      <c r="S29" s="14"/>
      <c r="T29" s="14">
        <f>IF(基础状态预期!P42="",0,求节点($C$40:$C$45,D$40:D$45,基础状态预期!P42))</f>
        <v>0</v>
      </c>
      <c r="U29" s="14">
        <f>IF(基础状态预期!Q42="",0,求节点($C$40:$C$45,E$40:E$45,基础状态预期!Q42))</f>
        <v>0</v>
      </c>
      <c r="V29" s="14">
        <f>IF(基础状态预期!R42="",0,求节点($C$40:$C$45,F$40:F$45,基础状态预期!R42))</f>
        <v>0</v>
      </c>
      <c r="W29" s="14">
        <f>IF(基础状态预期!S42="",0,求节点($C$40:$C$45,G$40:G$45,基础状态预期!S42))</f>
        <v>0</v>
      </c>
      <c r="X29" s="14">
        <f>IF(基础状态预期!T42="",0,求节点($C$40:$C$45,H$40:H$45,基础状态预期!T42))</f>
        <v>665086997.25751936</v>
      </c>
      <c r="Y29" s="14">
        <f>MAX(SUMPRODUCT(T29:X29,基础状态预期!F42:J42),Y28)</f>
        <v>3990521983.5451164</v>
      </c>
      <c r="AP29" s="29">
        <f t="shared" si="2"/>
        <v>114.50860608277577</v>
      </c>
      <c r="AQ29" s="14"/>
      <c r="AR29" s="14">
        <f t="shared" si="3"/>
        <v>3990521983.5451164</v>
      </c>
      <c r="AS29" s="14">
        <f>(AR29-AR28)*INDEX('[1]功能-付费相关'!$AQ$6:$AQ$165,$AP29,1)+AS28</f>
        <v>3432537.7829183787</v>
      </c>
    </row>
    <row r="30" spans="2:49" ht="12" x14ac:dyDescent="0.15">
      <c r="B30" s="193" t="s">
        <v>429</v>
      </c>
      <c r="C30" s="14" t="s">
        <v>179</v>
      </c>
      <c r="D30" s="113" t="s">
        <v>3</v>
      </c>
      <c r="E30" s="113" t="s">
        <v>1</v>
      </c>
      <c r="F30" s="113" t="s">
        <v>2</v>
      </c>
      <c r="G30" s="113" t="s">
        <v>0</v>
      </c>
      <c r="H30" s="14" t="s">
        <v>545</v>
      </c>
      <c r="I30" s="127" t="s">
        <v>30</v>
      </c>
      <c r="M30" s="16">
        <v>30</v>
      </c>
      <c r="N30" s="14">
        <f>基础状态预期!D43</f>
        <v>118.05948896247369</v>
      </c>
      <c r="O30" s="14">
        <f>IF(基础状态预期!Q43="",0,求节点($C$31:$C$36,E$31:E$36,基础状态预期!Q43)*基础状态预期!G43)</f>
        <v>0</v>
      </c>
      <c r="P30" s="14">
        <f>IF(基础状态预期!R43="",0,求节点($C$31:$C$36,F$31:F$36,基础状态预期!R43)*基础状态预期!H43)</f>
        <v>0</v>
      </c>
      <c r="Q30" s="14">
        <f>IF(基础状态预期!S43="",0,求节点($C$31:$C$36,G$31:G$36,基础状态预期!S43)*基础状态预期!I43)</f>
        <v>0</v>
      </c>
      <c r="R30" s="14">
        <f>IF(基础状态预期!T43="",0,求节点($C$31:$C$36,H$31:H$36,基础状态预期!T43)*基础状态预期!J43)</f>
        <v>558.71386754968432</v>
      </c>
      <c r="S30" s="14"/>
      <c r="T30" s="14">
        <f>IF(基础状态预期!P43="",0,求节点($C$40:$C$45,D$40:D$45,基础状态预期!P43))</f>
        <v>0</v>
      </c>
      <c r="U30" s="14">
        <f>IF(基础状态预期!Q43="",0,求节点($C$40:$C$45,E$40:E$45,基础状态预期!Q43))</f>
        <v>0</v>
      </c>
      <c r="V30" s="14">
        <f>IF(基础状态预期!R43="",0,求节点($C$40:$C$45,F$40:F$45,基础状态预期!R43))</f>
        <v>0</v>
      </c>
      <c r="W30" s="14">
        <f>IF(基础状态预期!S43="",0,求节点($C$40:$C$45,G$40:G$45,基础状态预期!S43))</f>
        <v>0</v>
      </c>
      <c r="X30" s="14">
        <f>IF(基础状态预期!T43="",0,求节点($C$40:$C$45,H$40:H$45,基础状态预期!T43))</f>
        <v>808258594.96693921</v>
      </c>
      <c r="Y30" s="14">
        <f>MAX(SUMPRODUCT(T30:X30,基础状态预期!F43:J43),Y29)</f>
        <v>4849551569.8016357</v>
      </c>
      <c r="AP30" s="29">
        <f t="shared" si="2"/>
        <v>118.05948896247369</v>
      </c>
      <c r="AQ30" s="14"/>
      <c r="AR30" s="14">
        <f t="shared" si="3"/>
        <v>4849551569.8016357</v>
      </c>
      <c r="AS30" s="14">
        <f>(AR30-AR29)*INDEX('[1]功能-付费相关'!$AQ$6:$AQ$165,$AP30,1)+AS29</f>
        <v>4112149.7973618275</v>
      </c>
    </row>
    <row r="31" spans="2:49" x14ac:dyDescent="0.15">
      <c r="B31" s="193"/>
      <c r="C31" s="14">
        <f>C22</f>
        <v>0</v>
      </c>
      <c r="D31" s="14"/>
      <c r="E31" s="14"/>
      <c r="F31" s="14">
        <f>SUM(F$13:F13)</f>
        <v>0</v>
      </c>
      <c r="G31" s="14">
        <f>SUM(G$13:G13)</f>
        <v>0</v>
      </c>
      <c r="H31" s="14">
        <f>SUM(H$13:H13)</f>
        <v>0</v>
      </c>
      <c r="I31" s="14">
        <f>SUM(I$13:I13)</f>
        <v>0</v>
      </c>
      <c r="M31" s="16">
        <v>31</v>
      </c>
      <c r="N31" s="14">
        <f>基础状态预期!D44</f>
        <v>121.47928719052189</v>
      </c>
      <c r="O31" s="14">
        <f>IF(基础状态预期!Q44="",0,求节点($C$31:$C$36,E$31:E$36,基础状态预期!Q44)*基础状态预期!G44)</f>
        <v>0</v>
      </c>
      <c r="P31" s="14">
        <f>IF(基础状态预期!R44="",0,求节点($C$31:$C$36,F$31:F$36,基础状态预期!R44)*基础状态预期!H44)</f>
        <v>0</v>
      </c>
      <c r="Q31" s="14">
        <f>IF(基础状态预期!S44="",0,求节点($C$31:$C$36,G$31:G$36,基础状态预期!S44)*基础状态预期!I44)</f>
        <v>0</v>
      </c>
      <c r="R31" s="14">
        <f>IF(基础状态预期!T44="",0,求节点($C$31:$C$36,H$31:H$36,基础状态预期!T44)*基础状态预期!J44)</f>
        <v>599.75144628626254</v>
      </c>
      <c r="S31" s="14"/>
      <c r="T31" s="14">
        <f>IF(基础状态预期!P44="",0,求节点($C$40:$C$45,D$40:D$45,基础状态预期!P44))</f>
        <v>0</v>
      </c>
      <c r="U31" s="14">
        <f>IF(基础状态预期!Q44="",0,求节点($C$40:$C$45,E$40:E$45,基础状态预期!Q44))</f>
        <v>0</v>
      </c>
      <c r="V31" s="14">
        <f>IF(基础状态预期!R44="",0,求节点($C$40:$C$45,F$40:F$45,基础状态预期!R44))</f>
        <v>0</v>
      </c>
      <c r="W31" s="14">
        <f>IF(基础状态预期!S44="",0,求节点($C$40:$C$45,G$40:G$45,基础状态预期!S44))</f>
        <v>0</v>
      </c>
      <c r="X31" s="14">
        <f>IF(基础状态预期!T44="",0,求节点($C$40:$C$45,H$40:H$45,基础状态预期!T44))</f>
        <v>946144859.52184212</v>
      </c>
      <c r="Y31" s="14">
        <f>MAX(SUMPRODUCT(T31:X31,基础状态预期!F44:J44),Y30)</f>
        <v>5676869157.131053</v>
      </c>
      <c r="AP31" s="29">
        <f t="shared" si="2"/>
        <v>121.47928719052189</v>
      </c>
      <c r="AQ31" s="14"/>
      <c r="AR31" s="14">
        <f t="shared" si="3"/>
        <v>5676869157.131053</v>
      </c>
      <c r="AS31" s="14">
        <f>(AR31-AR30)*INDEX('[1]功能-付费相关'!$AQ$6:$AQ$165,$AP31,1)+AS30</f>
        <v>4754477.1167169651</v>
      </c>
    </row>
    <row r="32" spans="2:49" x14ac:dyDescent="0.15">
      <c r="B32" s="193"/>
      <c r="C32" s="14">
        <f t="shared" ref="C32:C36" si="17">C23</f>
        <v>1</v>
      </c>
      <c r="D32" s="14"/>
      <c r="E32" s="14"/>
      <c r="F32" s="14">
        <f>SUM(F$13:F14)</f>
        <v>3</v>
      </c>
      <c r="G32" s="14">
        <f>SUM(G$13:G14)</f>
        <v>3</v>
      </c>
      <c r="H32" s="14">
        <f>SUM(H$13:H14)</f>
        <v>3</v>
      </c>
      <c r="I32" s="14">
        <f>SUM(I$13:I14)</f>
        <v>5</v>
      </c>
      <c r="M32" s="16">
        <v>32</v>
      </c>
      <c r="N32" s="14">
        <f>基础状态预期!D45</f>
        <v>125.02015904129435</v>
      </c>
      <c r="O32" s="14">
        <f>IF(基础状态预期!Q45="",0,求节点($C$31:$C$36,E$31:E$36,基础状态预期!Q45)*基础状态预期!G45)</f>
        <v>0</v>
      </c>
      <c r="P32" s="14">
        <f>IF(基础状态预期!R45="",0,求节点($C$31:$C$36,F$31:F$36,基础状态预期!R45)*基础状态预期!H45)</f>
        <v>0</v>
      </c>
      <c r="Q32" s="14">
        <f>IF(基础状态预期!S45="",0,求节点($C$31:$C$36,G$31:G$36,基础状态预期!S45)*基础状态预期!I45)</f>
        <v>0</v>
      </c>
      <c r="R32" s="14">
        <f>IF(基础状态预期!T45="",0,求节点($C$31:$C$36,H$31:H$36,基础状态预期!T45)*基础状态预期!J45)</f>
        <v>642</v>
      </c>
      <c r="S32" s="14"/>
      <c r="T32" s="14">
        <f>IF(基础状态预期!P45="",0,求节点($C$40:$C$45,D$40:D$45,基础状态预期!P45))</f>
        <v>0</v>
      </c>
      <c r="U32" s="14">
        <f>IF(基础状态预期!Q45="",0,求节点($C$40:$C$45,E$40:E$45,基础状态预期!Q45))</f>
        <v>0</v>
      </c>
      <c r="V32" s="14">
        <f>IF(基础状态预期!R45="",0,求节点($C$40:$C$45,F$40:F$45,基础状态预期!R45))</f>
        <v>0</v>
      </c>
      <c r="W32" s="14">
        <f>IF(基础状态预期!S45="",0,求节点($C$40:$C$45,G$40:G$45,基础状态预期!S45))</f>
        <v>0</v>
      </c>
      <c r="X32" s="14">
        <f>IF(基础状态预期!T45="",0,求节点($C$40:$C$45,H$40:H$45,基础状态预期!T45))</f>
        <v>1088100000</v>
      </c>
      <c r="Y32" s="14">
        <f>MAX(SUMPRODUCT(T32:X32,基础状态预期!F45:J45),Y31)</f>
        <v>6528600000</v>
      </c>
      <c r="AP32" s="29">
        <f t="shared" si="2"/>
        <v>125.02015904129435</v>
      </c>
      <c r="AQ32" s="14"/>
      <c r="AR32" s="14">
        <f t="shared" si="3"/>
        <v>6528600000</v>
      </c>
      <c r="AS32" s="14">
        <f>(AR32-AR31)*INDEX('[1]功能-付费相关'!$AQ$6:$AQ$165,$AP32,1)+AS31</f>
        <v>5399727.7552540461</v>
      </c>
    </row>
    <row r="33" spans="2:49" x14ac:dyDescent="0.15">
      <c r="B33" s="193"/>
      <c r="C33" s="14">
        <f t="shared" si="17"/>
        <v>2</v>
      </c>
      <c r="D33" s="14"/>
      <c r="E33" s="14"/>
      <c r="F33" s="14">
        <f>SUM(F$13:F15)</f>
        <v>9</v>
      </c>
      <c r="G33" s="14">
        <f>SUM(G$13:G15)</f>
        <v>9</v>
      </c>
      <c r="H33" s="14">
        <f>SUM(H$13:H15)</f>
        <v>9</v>
      </c>
      <c r="I33" s="14">
        <f>SUM(I$13:I15)</f>
        <v>15</v>
      </c>
      <c r="M33" s="16">
        <v>33</v>
      </c>
      <c r="N33" s="14">
        <f>基础状态预期!D46</f>
        <v>128.56549059889721</v>
      </c>
      <c r="O33" s="14">
        <f>IF(基础状态预期!Q46="",0,求节点($C$31:$C$36,E$31:E$36,基础状态预期!Q46)*基础状态预期!G46)</f>
        <v>0</v>
      </c>
      <c r="P33" s="14">
        <f>IF(基础状态预期!R46="",0,求节点($C$31:$C$36,F$31:F$36,基础状态预期!R46)*基础状态预期!H46)</f>
        <v>0</v>
      </c>
      <c r="Q33" s="14">
        <f>IF(基础状态预期!S46="",0,求节点($C$31:$C$36,G$31:G$36,基础状态预期!S46)*基础状态预期!I46)</f>
        <v>0</v>
      </c>
      <c r="R33" s="14">
        <f>IF(基础状态预期!T46="",0,求节点($C$31:$C$36,H$31:H$36,基础状态预期!T46)*基础状态预期!J46)</f>
        <v>642</v>
      </c>
      <c r="S33" s="14"/>
      <c r="T33" s="14">
        <f>IF(基础状态预期!P46="",0,求节点($C$40:$C$45,D$40:D$45,基础状态预期!P46))</f>
        <v>0</v>
      </c>
      <c r="U33" s="14">
        <f>IF(基础状态预期!Q46="",0,求节点($C$40:$C$45,E$40:E$45,基础状态预期!Q46))</f>
        <v>0</v>
      </c>
      <c r="V33" s="14">
        <f>IF(基础状态预期!R46="",0,求节点($C$40:$C$45,F$40:F$45,基础状态预期!R46))</f>
        <v>0</v>
      </c>
      <c r="W33" s="14">
        <f>IF(基础状态预期!S46="",0,求节点($C$40:$C$45,G$40:G$45,基础状态预期!S46))</f>
        <v>0</v>
      </c>
      <c r="X33" s="14">
        <f>IF(基础状态预期!T46="",0,求节点($C$40:$C$45,H$40:H$45,基础状态预期!T46))</f>
        <v>1088100000</v>
      </c>
      <c r="Y33" s="14">
        <f>MAX(SUMPRODUCT(T33:X33,基础状态预期!F46:J46),Y32)</f>
        <v>6528600000</v>
      </c>
      <c r="AP33" s="29">
        <f t="shared" si="2"/>
        <v>128.56549059889721</v>
      </c>
      <c r="AQ33" s="14"/>
      <c r="AR33" s="14">
        <f t="shared" si="3"/>
        <v>6528600000</v>
      </c>
      <c r="AS33" s="14">
        <f>(AR33-AR32)*INDEX('[1]功能-付费相关'!$AQ$6:$AQ$165,$AP33,1)+AS32</f>
        <v>5399727.7552540461</v>
      </c>
    </row>
    <row r="34" spans="2:49" x14ac:dyDescent="0.15">
      <c r="B34" s="193"/>
      <c r="C34" s="14">
        <f t="shared" si="17"/>
        <v>3</v>
      </c>
      <c r="D34" s="14"/>
      <c r="E34" s="14"/>
      <c r="F34" s="14">
        <f>SUM(F$13:F16)</f>
        <v>21</v>
      </c>
      <c r="G34" s="14">
        <f>SUM(G$13:G16)</f>
        <v>21</v>
      </c>
      <c r="H34" s="14">
        <f>SUM(H$13:H16)</f>
        <v>27</v>
      </c>
      <c r="I34" s="14">
        <f>SUM(I$13:I16)</f>
        <v>45</v>
      </c>
      <c r="M34" s="16">
        <v>34</v>
      </c>
      <c r="N34" s="14">
        <f>基础状态预期!D47</f>
        <v>132.07530828871487</v>
      </c>
      <c r="O34" s="14">
        <f>IF(基础状态预期!Q47="",0,求节点($C$31:$C$36,E$31:E$36,基础状态预期!Q47)*基础状态预期!G47)</f>
        <v>0</v>
      </c>
      <c r="P34" s="14">
        <f>IF(基础状态预期!R47="",0,求节点($C$31:$C$36,F$31:F$36,基础状态预期!R47)*基础状态预期!H47)</f>
        <v>0</v>
      </c>
      <c r="Q34" s="14">
        <f>IF(基础状态预期!S47="",0,求节点($C$31:$C$36,G$31:G$36,基础状态预期!S47)*基础状态预期!I47)</f>
        <v>0</v>
      </c>
      <c r="R34" s="14">
        <f>IF(基础状态预期!T47="",0,求节点($C$31:$C$36,H$31:H$36,基础状态预期!T47)*基础状态预期!J47)</f>
        <v>642</v>
      </c>
      <c r="S34" s="14"/>
      <c r="T34" s="14">
        <f>IF(基础状态预期!P47="",0,求节点($C$40:$C$45,D$40:D$45,基础状态预期!P47))</f>
        <v>0</v>
      </c>
      <c r="U34" s="14">
        <f>IF(基础状态预期!Q47="",0,求节点($C$40:$C$45,E$40:E$45,基础状态预期!Q47))</f>
        <v>0</v>
      </c>
      <c r="V34" s="14">
        <f>IF(基础状态预期!R47="",0,求节点($C$40:$C$45,F$40:F$45,基础状态预期!R47))</f>
        <v>0</v>
      </c>
      <c r="W34" s="14">
        <f>IF(基础状态预期!S47="",0,求节点($C$40:$C$45,G$40:G$45,基础状态预期!S47))</f>
        <v>0</v>
      </c>
      <c r="X34" s="14">
        <f>IF(基础状态预期!T47="",0,求节点($C$40:$C$45,H$40:H$45,基础状态预期!T47))</f>
        <v>1088100000</v>
      </c>
      <c r="Y34" s="14">
        <f>MAX(SUMPRODUCT(T34:X34,基础状态预期!F47:J47),Y33)</f>
        <v>6528600000</v>
      </c>
      <c r="AP34" s="29">
        <f t="shared" si="2"/>
        <v>132.07530828871487</v>
      </c>
      <c r="AQ34" s="14"/>
      <c r="AR34" s="14">
        <f t="shared" si="3"/>
        <v>6528600000</v>
      </c>
      <c r="AS34" s="14">
        <f>(AR34-AR33)*INDEX('[1]功能-付费相关'!$AQ$6:$AQ$165,$AP34,1)+AS33</f>
        <v>5399727.7552540461</v>
      </c>
    </row>
    <row r="35" spans="2:49" x14ac:dyDescent="0.15">
      <c r="B35" s="193"/>
      <c r="C35" s="14">
        <f t="shared" si="17"/>
        <v>4</v>
      </c>
      <c r="D35" s="14"/>
      <c r="E35" s="14"/>
      <c r="F35" s="14">
        <f>SUM(F$13:F17)</f>
        <v>41</v>
      </c>
      <c r="G35" s="14">
        <f>SUM(G$13:G17)</f>
        <v>41</v>
      </c>
      <c r="H35" s="14">
        <f>SUM(H$13:H17)</f>
        <v>57</v>
      </c>
      <c r="I35" s="14">
        <f>SUM(I$13:I17)</f>
        <v>95</v>
      </c>
      <c r="M35" s="16">
        <v>35</v>
      </c>
      <c r="N35" s="14">
        <f>基础状态预期!D48</f>
        <v>135.54811255008914</v>
      </c>
      <c r="O35" s="14">
        <f>IF(基础状态预期!Q48="",0,求节点($C$31:$C$36,E$31:E$36,基础状态预期!Q48)*基础状态预期!G48)</f>
        <v>0</v>
      </c>
      <c r="P35" s="14">
        <f>IF(基础状态预期!R48="",0,求节点($C$31:$C$36,F$31:F$36,基础状态预期!R48)*基础状态预期!H48)</f>
        <v>0</v>
      </c>
      <c r="Q35" s="14">
        <f>IF(基础状态预期!S48="",0,求节点($C$31:$C$36,G$31:G$36,基础状态预期!S48)*基础状态预期!I48)</f>
        <v>0</v>
      </c>
      <c r="R35" s="14">
        <f>IF(基础状态预期!T48="",0,求节点($C$31:$C$36,H$31:H$36,基础状态预期!T48)*基础状态预期!J48)</f>
        <v>642</v>
      </c>
      <c r="S35" s="14"/>
      <c r="T35" s="14">
        <f>IF(基础状态预期!P48="",0,求节点($C$40:$C$45,D$40:D$45,基础状态预期!P48))</f>
        <v>0</v>
      </c>
      <c r="U35" s="14">
        <f>IF(基础状态预期!Q48="",0,求节点($C$40:$C$45,E$40:E$45,基础状态预期!Q48))</f>
        <v>0</v>
      </c>
      <c r="V35" s="14">
        <f>IF(基础状态预期!R48="",0,求节点($C$40:$C$45,F$40:F$45,基础状态预期!R48))</f>
        <v>0</v>
      </c>
      <c r="W35" s="14">
        <f>IF(基础状态预期!S48="",0,求节点($C$40:$C$45,G$40:G$45,基础状态预期!S48))</f>
        <v>0</v>
      </c>
      <c r="X35" s="14">
        <f>IF(基础状态预期!T48="",0,求节点($C$40:$C$45,H$40:H$45,基础状态预期!T48))</f>
        <v>1088100000</v>
      </c>
      <c r="Y35" s="14">
        <f>MAX(SUMPRODUCT(T35:X35,基础状态预期!F48:J48),Y34)</f>
        <v>6528600000</v>
      </c>
      <c r="AP35" s="29">
        <f t="shared" si="2"/>
        <v>135.54811255008914</v>
      </c>
      <c r="AQ35" s="14"/>
      <c r="AR35" s="14">
        <f t="shared" si="3"/>
        <v>6528600000</v>
      </c>
      <c r="AS35" s="14">
        <f>(AR35-AR34)*INDEX('[1]功能-付费相关'!$AQ$6:$AQ$165,$AP35,1)+AS34</f>
        <v>5399727.7552540461</v>
      </c>
    </row>
    <row r="36" spans="2:49" x14ac:dyDescent="0.15">
      <c r="B36" s="193"/>
      <c r="C36" s="14">
        <f t="shared" si="17"/>
        <v>5</v>
      </c>
      <c r="D36" s="14"/>
      <c r="E36" s="14"/>
      <c r="F36" s="14">
        <f>SUM(F$13:F18)</f>
        <v>76</v>
      </c>
      <c r="G36" s="14">
        <f>SUM(G$13:G18)</f>
        <v>76</v>
      </c>
      <c r="H36" s="14">
        <f>SUM(H$13:H18)</f>
        <v>107</v>
      </c>
      <c r="I36" s="14">
        <f>SUM(I$13:I18)</f>
        <v>175</v>
      </c>
      <c r="M36" s="16">
        <v>36</v>
      </c>
      <c r="N36" s="14">
        <f>基础状态预期!D49</f>
        <v>139.0493876099641</v>
      </c>
      <c r="O36" s="14">
        <f>IF(基础状态预期!Q49="",0,求节点($C$31:$C$36,E$31:E$36,基础状态预期!Q49)*基础状态预期!G49)</f>
        <v>0</v>
      </c>
      <c r="P36" s="14">
        <f>IF(基础状态预期!R49="",0,求节点($C$31:$C$36,F$31:F$36,基础状态预期!R49)*基础状态预期!H49)</f>
        <v>0</v>
      </c>
      <c r="Q36" s="14">
        <f>IF(基础状态预期!S49="",0,求节点($C$31:$C$36,G$31:G$36,基础状态预期!S49)*基础状态预期!I49)</f>
        <v>0</v>
      </c>
      <c r="R36" s="14">
        <f>IF(基础状态预期!T49="",0,求节点($C$31:$C$36,H$31:H$36,基础状态预期!T49)*基础状态预期!J49)</f>
        <v>642</v>
      </c>
      <c r="S36" s="14"/>
      <c r="T36" s="14">
        <f>IF(基础状态预期!P49="",0,求节点($C$40:$C$45,D$40:D$45,基础状态预期!P49))</f>
        <v>0</v>
      </c>
      <c r="U36" s="14">
        <f>IF(基础状态预期!Q49="",0,求节点($C$40:$C$45,E$40:E$45,基础状态预期!Q49))</f>
        <v>0</v>
      </c>
      <c r="V36" s="14">
        <f>IF(基础状态预期!R49="",0,求节点($C$40:$C$45,F$40:F$45,基础状态预期!R49))</f>
        <v>0</v>
      </c>
      <c r="W36" s="14">
        <f>IF(基础状态预期!S49="",0,求节点($C$40:$C$45,G$40:G$45,基础状态预期!S49))</f>
        <v>0</v>
      </c>
      <c r="X36" s="14">
        <f>IF(基础状态预期!T49="",0,求节点($C$40:$C$45,H$40:H$45,基础状态预期!T49))</f>
        <v>1088100000</v>
      </c>
      <c r="Y36" s="14">
        <f>MAX(SUMPRODUCT(T36:X36,基础状态预期!F49:J49),Y35)</f>
        <v>6528600000</v>
      </c>
      <c r="AP36" s="29">
        <f t="shared" si="2"/>
        <v>139.0493876099641</v>
      </c>
      <c r="AQ36" s="14"/>
      <c r="AR36" s="14">
        <f t="shared" si="3"/>
        <v>6528600000</v>
      </c>
      <c r="AS36" s="14">
        <f>(AR36-AR35)*INDEX('[1]功能-付费相关'!$AQ$6:$AQ$165,$AP36,1)+AS35</f>
        <v>5399727.7552540461</v>
      </c>
    </row>
    <row r="37" spans="2:49" x14ac:dyDescent="0.15">
      <c r="B37" s="193"/>
      <c r="C37" s="14"/>
      <c r="D37" s="14"/>
      <c r="E37" s="14"/>
      <c r="F37" s="14"/>
      <c r="G37" s="14"/>
      <c r="H37" s="14"/>
      <c r="I37" s="14"/>
      <c r="M37" s="16">
        <v>37</v>
      </c>
      <c r="N37" s="14">
        <f>基础状态预期!D50</f>
        <v>142.53355653582128</v>
      </c>
      <c r="O37" s="14">
        <f>IF(基础状态预期!Q50="",0,求节点($C$31:$C$36,E$31:E$36,基础状态预期!Q50)*基础状态预期!G50)</f>
        <v>0</v>
      </c>
      <c r="P37" s="14">
        <f>IF(基础状态预期!R50="",0,求节点($C$31:$C$36,F$31:F$36,基础状态预期!R50)*基础状态预期!H50)</f>
        <v>0</v>
      </c>
      <c r="Q37" s="14">
        <f>IF(基础状态预期!S50="",0,求节点($C$31:$C$36,G$31:G$36,基础状态预期!S50)*基础状态预期!I50)</f>
        <v>0</v>
      </c>
      <c r="R37" s="14">
        <f>IF(基础状态预期!T50="",0,求节点($C$31:$C$36,H$31:H$36,基础状态预期!T50)*基础状态预期!J50)</f>
        <v>642</v>
      </c>
      <c r="S37" s="14"/>
      <c r="T37" s="14">
        <f>IF(基础状态预期!P50="",0,求节点($C$40:$C$45,D$40:D$45,基础状态预期!P50))</f>
        <v>0</v>
      </c>
      <c r="U37" s="14">
        <f>IF(基础状态预期!Q50="",0,求节点($C$40:$C$45,E$40:E$45,基础状态预期!Q50))</f>
        <v>0</v>
      </c>
      <c r="V37" s="14">
        <f>IF(基础状态预期!R50="",0,求节点($C$40:$C$45,F$40:F$45,基础状态预期!R50))</f>
        <v>0</v>
      </c>
      <c r="W37" s="14">
        <f>IF(基础状态预期!S50="",0,求节点($C$40:$C$45,G$40:G$45,基础状态预期!S50))</f>
        <v>0</v>
      </c>
      <c r="X37" s="14">
        <f>IF(基础状态预期!T50="",0,求节点($C$40:$C$45,H$40:H$45,基础状态预期!T50))</f>
        <v>1088100000</v>
      </c>
      <c r="Y37" s="14">
        <f>MAX(SUMPRODUCT(T37:X37,基础状态预期!F50:J50),Y36)</f>
        <v>6528600000</v>
      </c>
      <c r="AP37" s="29">
        <f t="shared" si="2"/>
        <v>142.53355653582128</v>
      </c>
      <c r="AQ37" s="14"/>
      <c r="AR37" s="14">
        <f t="shared" si="3"/>
        <v>6528600000</v>
      </c>
      <c r="AS37" s="14">
        <f>(AR37-AR36)*INDEX('[1]功能-付费相关'!$AQ$6:$AQ$165,$AP37,1)+AS36</f>
        <v>5399727.7552540461</v>
      </c>
    </row>
    <row r="38" spans="2:49" x14ac:dyDescent="0.15">
      <c r="M38" s="16">
        <v>38</v>
      </c>
      <c r="N38" s="14">
        <f>基础状态预期!D51</f>
        <v>146.02664953963369</v>
      </c>
      <c r="O38" s="14">
        <f>IF(基础状态预期!Q51="",0,求节点($C$31:$C$36,E$31:E$36,基础状态预期!Q51)*基础状态预期!G51)</f>
        <v>0</v>
      </c>
      <c r="P38" s="14">
        <f>IF(基础状态预期!R51="",0,求节点($C$31:$C$36,F$31:F$36,基础状态预期!R51)*基础状态预期!H51)</f>
        <v>0</v>
      </c>
      <c r="Q38" s="14">
        <f>IF(基础状态预期!S51="",0,求节点($C$31:$C$36,G$31:G$36,基础状态预期!S51)*基础状态预期!I51)</f>
        <v>0</v>
      </c>
      <c r="R38" s="14">
        <f>IF(基础状态预期!T51="",0,求节点($C$31:$C$36,H$31:H$36,基础状态预期!T51)*基础状态预期!J51)</f>
        <v>642</v>
      </c>
      <c r="S38" s="14"/>
      <c r="T38" s="14">
        <f>IF(基础状态预期!P51="",0,求节点($C$40:$C$45,D$40:D$45,基础状态预期!P51))</f>
        <v>0</v>
      </c>
      <c r="U38" s="14">
        <f>IF(基础状态预期!Q51="",0,求节点($C$40:$C$45,E$40:E$45,基础状态预期!Q51))</f>
        <v>0</v>
      </c>
      <c r="V38" s="14">
        <f>IF(基础状态预期!R51="",0,求节点($C$40:$C$45,F$40:F$45,基础状态预期!R51))</f>
        <v>0</v>
      </c>
      <c r="W38" s="14">
        <f>IF(基础状态预期!S51="",0,求节点($C$40:$C$45,G$40:G$45,基础状态预期!S51))</f>
        <v>0</v>
      </c>
      <c r="X38" s="14">
        <f>IF(基础状态预期!T51="",0,求节点($C$40:$C$45,H$40:H$45,基础状态预期!T51))</f>
        <v>1088100000</v>
      </c>
      <c r="Y38" s="14">
        <f>MAX(SUMPRODUCT(T38:X38,基础状态预期!F51:J51),Y37)</f>
        <v>6528600000</v>
      </c>
      <c r="AP38" s="29">
        <f t="shared" si="2"/>
        <v>146.02664953963369</v>
      </c>
      <c r="AQ38" s="14"/>
      <c r="AR38" s="14">
        <f t="shared" si="3"/>
        <v>6528600000</v>
      </c>
      <c r="AS38" s="14">
        <f>(AR38-AR37)*INDEX('[1]功能-付费相关'!$AQ$6:$AQ$165,$AP38,1)+AS37</f>
        <v>5399727.7552540461</v>
      </c>
    </row>
    <row r="39" spans="2:49" ht="12" x14ac:dyDescent="0.15">
      <c r="B39" s="193" t="s">
        <v>433</v>
      </c>
      <c r="C39" s="14" t="s">
        <v>179</v>
      </c>
      <c r="D39" s="113" t="s">
        <v>3</v>
      </c>
      <c r="E39" s="113" t="s">
        <v>1</v>
      </c>
      <c r="F39" s="113" t="s">
        <v>2</v>
      </c>
      <c r="G39" s="113" t="s">
        <v>0</v>
      </c>
      <c r="H39" s="14" t="s">
        <v>545</v>
      </c>
      <c r="I39" s="14" t="s">
        <v>30</v>
      </c>
      <c r="M39" s="16">
        <v>39</v>
      </c>
      <c r="N39" s="14">
        <f>基础状态预期!D52</f>
        <v>149.52287096243165</v>
      </c>
      <c r="O39" s="14">
        <f>IF(基础状态预期!Q52="",0,求节点($C$31:$C$36,E$31:E$36,基础状态预期!Q52)*基础状态预期!G52)</f>
        <v>0</v>
      </c>
      <c r="P39" s="14">
        <f>IF(基础状态预期!R52="",0,求节点($C$31:$C$36,F$31:F$36,基础状态预期!R52)*基础状态预期!H52)</f>
        <v>0</v>
      </c>
      <c r="Q39" s="14">
        <f>IF(基础状态预期!S52="",0,求节点($C$31:$C$36,G$31:G$36,基础状态预期!S52)*基础状态预期!I52)</f>
        <v>0</v>
      </c>
      <c r="R39" s="14">
        <f>IF(基础状态预期!T52="",0,求节点($C$31:$C$36,H$31:H$36,基础状态预期!T52)*基础状态预期!J52)</f>
        <v>642</v>
      </c>
      <c r="S39" s="14"/>
      <c r="T39" s="14">
        <f>IF(基础状态预期!P52="",0,求节点($C$40:$C$45,D$40:D$45,基础状态预期!P52))</f>
        <v>0</v>
      </c>
      <c r="U39" s="14">
        <f>IF(基础状态预期!Q52="",0,求节点($C$40:$C$45,E$40:E$45,基础状态预期!Q52))</f>
        <v>0</v>
      </c>
      <c r="V39" s="14">
        <f>IF(基础状态预期!R52="",0,求节点($C$40:$C$45,F$40:F$45,基础状态预期!R52))</f>
        <v>0</v>
      </c>
      <c r="W39" s="14">
        <f>IF(基础状态预期!S52="",0,求节点($C$40:$C$45,G$40:G$45,基础状态预期!S52))</f>
        <v>0</v>
      </c>
      <c r="X39" s="14">
        <f>IF(基础状态预期!T52="",0,求节点($C$40:$C$45,H$40:H$45,基础状态预期!T52))</f>
        <v>1088100000</v>
      </c>
      <c r="Y39" s="14">
        <f>MAX(SUMPRODUCT(T39:X39,基础状态预期!F52:J52),Y38)</f>
        <v>6528600000</v>
      </c>
      <c r="AP39" s="29">
        <f t="shared" si="2"/>
        <v>149.52287096243165</v>
      </c>
      <c r="AQ39" s="14"/>
      <c r="AR39" s="14">
        <f t="shared" si="3"/>
        <v>6528600000</v>
      </c>
      <c r="AS39" s="14">
        <f>(AR39-AR38)*INDEX('[1]功能-付费相关'!$AQ$6:$AQ$165,$AP39,1)+AS38</f>
        <v>5399727.7552540461</v>
      </c>
    </row>
    <row r="40" spans="2:49" x14ac:dyDescent="0.15">
      <c r="B40" s="193"/>
      <c r="C40" s="14">
        <f>C31</f>
        <v>0</v>
      </c>
      <c r="D40" s="14"/>
      <c r="E40" s="14"/>
      <c r="F40" s="14">
        <f>SUM(F$22:F22)</f>
        <v>0</v>
      </c>
      <c r="G40" s="14">
        <f>SUM(G$22:G22)</f>
        <v>0</v>
      </c>
      <c r="H40" s="14">
        <f>SUM(H$22:H22)</f>
        <v>0</v>
      </c>
      <c r="I40" s="14">
        <f>SUM(I$22:I22)</f>
        <v>0</v>
      </c>
      <c r="M40" s="16">
        <v>40</v>
      </c>
      <c r="N40" s="14">
        <f>基础状态预期!D53</f>
        <v>153.02723536432757</v>
      </c>
      <c r="O40" s="14">
        <f>IF(基础状态预期!Q53="",0,求节点($C$31:$C$36,E$31:E$36,基础状态预期!Q53)*基础状态预期!G53)</f>
        <v>0</v>
      </c>
      <c r="P40" s="14">
        <f>IF(基础状态预期!R53="",0,求节点($C$31:$C$36,F$31:F$36,基础状态预期!R53)*基础状态预期!H53)</f>
        <v>0</v>
      </c>
      <c r="Q40" s="14">
        <f>IF(基础状态预期!S53="",0,求节点($C$31:$C$36,G$31:G$36,基础状态预期!S53)*基础状态预期!I53)</f>
        <v>0</v>
      </c>
      <c r="R40" s="14">
        <f>IF(基础状态预期!T53="",0,求节点($C$31:$C$36,H$31:H$36,基础状态预期!T53)*基础状态预期!J53)</f>
        <v>642</v>
      </c>
      <c r="S40" s="14"/>
      <c r="T40" s="14">
        <f>IF(基础状态预期!P53="",0,求节点($C$40:$C$45,D$40:D$45,基础状态预期!P53))</f>
        <v>0</v>
      </c>
      <c r="U40" s="14">
        <f>IF(基础状态预期!Q53="",0,求节点($C$40:$C$45,E$40:E$45,基础状态预期!Q53))</f>
        <v>0</v>
      </c>
      <c r="V40" s="14">
        <f>IF(基础状态预期!R53="",0,求节点($C$40:$C$45,F$40:F$45,基础状态预期!R53))</f>
        <v>0</v>
      </c>
      <c r="W40" s="14">
        <f>IF(基础状态预期!S53="",0,求节点($C$40:$C$45,G$40:G$45,基础状态预期!S53))</f>
        <v>0</v>
      </c>
      <c r="X40" s="14">
        <f>IF(基础状态预期!T53="",0,求节点($C$40:$C$45,H$40:H$45,基础状态预期!T53))</f>
        <v>1088100000</v>
      </c>
      <c r="Y40" s="14">
        <f>MAX(SUMPRODUCT(T40:X40,基础状态预期!F53:J53),Y39)</f>
        <v>6528600000</v>
      </c>
      <c r="AP40" s="29">
        <f t="shared" si="2"/>
        <v>153.02723536432757</v>
      </c>
      <c r="AQ40" s="14"/>
      <c r="AR40" s="14">
        <f t="shared" si="3"/>
        <v>6528600000</v>
      </c>
      <c r="AS40" s="14">
        <f>(AR40-AR39)*INDEX('[1]功能-付费相关'!$AQ$6:$AQ$165,$AP40,1)+AS39</f>
        <v>5399727.7552540461</v>
      </c>
    </row>
    <row r="41" spans="2:49" x14ac:dyDescent="0.15">
      <c r="B41" s="193"/>
      <c r="C41" s="14">
        <f t="shared" ref="C41:C45" si="18">C32</f>
        <v>1</v>
      </c>
      <c r="D41" s="14"/>
      <c r="E41" s="14"/>
      <c r="F41" s="14">
        <f>SUM(F$22:F23)</f>
        <v>40000</v>
      </c>
      <c r="G41" s="14">
        <f>SUM(G$22:G23)</f>
        <v>60000</v>
      </c>
      <c r="H41" s="14">
        <f>SUM(H$22:H23)</f>
        <v>180000</v>
      </c>
      <c r="I41" s="14">
        <f>SUM(I$22:I23)</f>
        <v>300000</v>
      </c>
      <c r="M41" s="16">
        <v>41</v>
      </c>
      <c r="N41" s="14">
        <f>基础状态预期!D54</f>
        <v>156.52008914974525</v>
      </c>
      <c r="O41" s="14">
        <f>IF(基础状态预期!Q54="",0,求节点($C$31:$C$36,E$31:E$36,基础状态预期!Q54)*基础状态预期!G54)</f>
        <v>0</v>
      </c>
      <c r="P41" s="14">
        <f>IF(基础状态预期!R54="",0,求节点($C$31:$C$36,F$31:F$36,基础状态预期!R54)*基础状态预期!H54)</f>
        <v>0</v>
      </c>
      <c r="Q41" s="14">
        <f>IF(基础状态预期!S54="",0,求节点($C$31:$C$36,G$31:G$36,基础状态预期!S54)*基础状态预期!I54)</f>
        <v>0</v>
      </c>
      <c r="R41" s="14">
        <f>IF(基础状态预期!T54="",0,求节点($C$31:$C$36,H$31:H$36,基础状态预期!T54)*基础状态预期!J54)</f>
        <v>642</v>
      </c>
      <c r="S41" s="14"/>
      <c r="T41" s="14">
        <f>IF(基础状态预期!P54="",0,求节点($C$40:$C$45,D$40:D$45,基础状态预期!P54))</f>
        <v>0</v>
      </c>
      <c r="U41" s="14">
        <f>IF(基础状态预期!Q54="",0,求节点($C$40:$C$45,E$40:E$45,基础状态预期!Q54))</f>
        <v>0</v>
      </c>
      <c r="V41" s="14">
        <f>IF(基础状态预期!R54="",0,求节点($C$40:$C$45,F$40:F$45,基础状态预期!R54))</f>
        <v>0</v>
      </c>
      <c r="W41" s="14">
        <f>IF(基础状态预期!S54="",0,求节点($C$40:$C$45,G$40:G$45,基础状态预期!S54))</f>
        <v>0</v>
      </c>
      <c r="X41" s="14">
        <f>IF(基础状态预期!T54="",0,求节点($C$40:$C$45,H$40:H$45,基础状态预期!T54))</f>
        <v>1088100000</v>
      </c>
      <c r="Y41" s="14">
        <f>MAX(SUMPRODUCT(T41:X41,基础状态预期!F54:J54),Y40)</f>
        <v>6528600000</v>
      </c>
      <c r="AP41" s="29">
        <f t="shared" si="2"/>
        <v>156.52008914974525</v>
      </c>
      <c r="AQ41" s="14"/>
      <c r="AR41" s="14">
        <f t="shared" si="3"/>
        <v>6528600000</v>
      </c>
      <c r="AS41" s="14">
        <f>(AR41-AR40)*INDEX('[1]功能-付费相关'!$AQ$6:$AQ$165,$AP41,1)+AS40</f>
        <v>5399727.7552540461</v>
      </c>
    </row>
    <row r="42" spans="2:49" x14ac:dyDescent="0.15">
      <c r="B42" s="193"/>
      <c r="C42" s="14">
        <f t="shared" si="18"/>
        <v>2</v>
      </c>
      <c r="D42" s="14"/>
      <c r="E42" s="14"/>
      <c r="F42" s="14">
        <f>SUM(F$22:F24)</f>
        <v>200000</v>
      </c>
      <c r="G42" s="14">
        <f>SUM(G$22:G24)</f>
        <v>300000</v>
      </c>
      <c r="H42" s="14">
        <f>SUM(H$22:H24)</f>
        <v>900000</v>
      </c>
      <c r="I42" s="14">
        <f>SUM(I$22:I24)</f>
        <v>1500000</v>
      </c>
      <c r="M42" s="16">
        <v>42</v>
      </c>
      <c r="N42" s="14">
        <f>基础状态预期!D55</f>
        <v>159.99202506384199</v>
      </c>
      <c r="O42" s="14">
        <f>IF(基础状态预期!Q55="",0,求节点($C$31:$C$36,E$31:E$36,基础状态预期!Q55)*基础状态预期!G55)</f>
        <v>0</v>
      </c>
      <c r="P42" s="14">
        <f>IF(基础状态预期!R55="",0,求节点($C$31:$C$36,F$31:F$36,基础状态预期!R55)*基础状态预期!H55)</f>
        <v>0</v>
      </c>
      <c r="Q42" s="14">
        <f>IF(基础状态预期!S55="",0,求节点($C$31:$C$36,G$31:G$36,基础状态预期!S55)*基础状态预期!I55)</f>
        <v>0</v>
      </c>
      <c r="R42" s="14">
        <f>IF(基础状态预期!T55="",0,求节点($C$31:$C$36,H$31:H$36,基础状态预期!T55)*基础状态预期!J55)</f>
        <v>642</v>
      </c>
      <c r="S42" s="14"/>
      <c r="T42" s="14">
        <f>IF(基础状态预期!P55="",0,求节点($C$40:$C$45,D$40:D$45,基础状态预期!P55))</f>
        <v>0</v>
      </c>
      <c r="U42" s="14">
        <f>IF(基础状态预期!Q55="",0,求节点($C$40:$C$45,E$40:E$45,基础状态预期!Q55))</f>
        <v>0</v>
      </c>
      <c r="V42" s="14">
        <f>IF(基础状态预期!R55="",0,求节点($C$40:$C$45,F$40:F$45,基础状态预期!R55))</f>
        <v>0</v>
      </c>
      <c r="W42" s="14">
        <f>IF(基础状态预期!S55="",0,求节点($C$40:$C$45,G$40:G$45,基础状态预期!S55))</f>
        <v>0</v>
      </c>
      <c r="X42" s="14">
        <f>IF(基础状态预期!T55="",0,求节点($C$40:$C$45,H$40:H$45,基础状态预期!T55))</f>
        <v>1088100000</v>
      </c>
      <c r="Y42" s="14">
        <f>MAX(SUMPRODUCT(T42:X42,基础状态预期!F55:J55),Y41)</f>
        <v>6528600000</v>
      </c>
      <c r="AP42" s="29">
        <f t="shared" si="2"/>
        <v>159.99202506384199</v>
      </c>
      <c r="AQ42" s="14"/>
      <c r="AR42" s="14">
        <f t="shared" si="3"/>
        <v>6528600000</v>
      </c>
      <c r="AS42" s="14">
        <f>(AR42-AR41)*INDEX('[1]功能-付费相关'!$AQ$6:$AQ$165,$AP42,1)+AS41</f>
        <v>5399727.7552540461</v>
      </c>
    </row>
    <row r="43" spans="2:49" x14ac:dyDescent="0.15">
      <c r="B43" s="193"/>
      <c r="C43" s="14">
        <f t="shared" si="18"/>
        <v>3</v>
      </c>
      <c r="D43" s="14"/>
      <c r="E43" s="14"/>
      <c r="F43" s="14">
        <f>SUM(F$22:F25)</f>
        <v>1800000</v>
      </c>
      <c r="G43" s="14">
        <f>SUM(G$22:G25)</f>
        <v>2700000</v>
      </c>
      <c r="H43" s="14">
        <f>SUM(H$22:H25)</f>
        <v>8100000</v>
      </c>
      <c r="I43" s="14">
        <f>SUM(I$22:I25)</f>
        <v>13500000</v>
      </c>
      <c r="M43" s="16">
        <v>43</v>
      </c>
      <c r="AP43" s="17"/>
      <c r="AU43" s="17"/>
      <c r="AV43" s="17"/>
    </row>
    <row r="44" spans="2:49" x14ac:dyDescent="0.15">
      <c r="B44" s="193"/>
      <c r="C44" s="14">
        <f t="shared" si="18"/>
        <v>4</v>
      </c>
      <c r="D44" s="14"/>
      <c r="E44" s="14"/>
      <c r="F44" s="14">
        <f>SUM(F$22:F26)</f>
        <v>17800000</v>
      </c>
      <c r="G44" s="14">
        <f>SUM(G$22:G26)</f>
        <v>26700000</v>
      </c>
      <c r="H44" s="14">
        <f>SUM(H$22:H26)</f>
        <v>80100000</v>
      </c>
      <c r="I44" s="14">
        <f>SUM(I$22:I26)</f>
        <v>133500000</v>
      </c>
      <c r="M44" s="16">
        <v>44</v>
      </c>
      <c r="AC44" s="17"/>
      <c r="AD44" s="17"/>
      <c r="AP44" s="17"/>
      <c r="AU44" s="17"/>
      <c r="AV44" s="17"/>
    </row>
    <row r="45" spans="2:49" x14ac:dyDescent="0.15">
      <c r="B45" s="193"/>
      <c r="C45" s="14">
        <f t="shared" si="18"/>
        <v>5</v>
      </c>
      <c r="D45" s="14"/>
      <c r="E45" s="14"/>
      <c r="F45" s="14">
        <f>SUM(F$22:F27)</f>
        <v>241800000</v>
      </c>
      <c r="G45" s="14">
        <f>SUM(G$22:G27)</f>
        <v>362700000</v>
      </c>
      <c r="H45" s="14">
        <f>SUM(H$22:H27)</f>
        <v>1088100000</v>
      </c>
      <c r="I45" s="14">
        <f>SUM(I$22:I27)</f>
        <v>1813500000</v>
      </c>
      <c r="M45" s="16">
        <v>45</v>
      </c>
    </row>
    <row r="46" spans="2:49" x14ac:dyDescent="0.15">
      <c r="B46" s="193"/>
      <c r="C46" s="14"/>
      <c r="D46" s="14"/>
      <c r="E46" s="14"/>
      <c r="F46" s="14"/>
      <c r="G46" s="14"/>
      <c r="H46" s="14"/>
      <c r="I46" s="14"/>
      <c r="M46" s="16">
        <v>1</v>
      </c>
    </row>
    <row r="47" spans="2:49" x14ac:dyDescent="0.15">
      <c r="M47" s="16">
        <v>2</v>
      </c>
      <c r="N47" s="14" t="s">
        <v>182</v>
      </c>
      <c r="O47" s="165" t="s">
        <v>198</v>
      </c>
      <c r="P47" s="172"/>
      <c r="Q47" s="172"/>
      <c r="R47" s="172"/>
      <c r="S47" s="166"/>
      <c r="T47" s="164" t="s">
        <v>412</v>
      </c>
      <c r="U47" s="164"/>
      <c r="V47" s="164"/>
      <c r="W47" s="164"/>
      <c r="X47" s="164"/>
      <c r="Y47" s="164"/>
      <c r="AC47" s="29" t="s">
        <v>97</v>
      </c>
      <c r="AD47" s="165" t="s">
        <v>292</v>
      </c>
      <c r="AE47" s="172"/>
      <c r="AF47" s="172"/>
      <c r="AG47" s="166"/>
      <c r="AH47" s="160" t="s">
        <v>290</v>
      </c>
      <c r="AI47" s="160"/>
      <c r="AJ47" s="160"/>
      <c r="AK47" s="160"/>
      <c r="AL47" s="160"/>
      <c r="AP47" s="14" t="s">
        <v>76</v>
      </c>
      <c r="AQ47" s="164" t="s">
        <v>306</v>
      </c>
      <c r="AR47" s="164"/>
      <c r="AS47" s="164"/>
      <c r="AU47" s="29" t="s">
        <v>97</v>
      </c>
      <c r="AV47" s="164" t="s">
        <v>308</v>
      </c>
      <c r="AW47" s="164"/>
    </row>
    <row r="48" spans="2:49" ht="12" x14ac:dyDescent="0.15">
      <c r="B48" s="190" t="s">
        <v>487</v>
      </c>
      <c r="C48" s="14" t="s">
        <v>179</v>
      </c>
      <c r="D48" s="113" t="s">
        <v>3</v>
      </c>
      <c r="E48" s="113" t="s">
        <v>1</v>
      </c>
      <c r="F48" s="113" t="s">
        <v>2</v>
      </c>
      <c r="G48" s="113" t="s">
        <v>0</v>
      </c>
      <c r="H48" s="14" t="s">
        <v>545</v>
      </c>
      <c r="I48" s="14" t="s">
        <v>30</v>
      </c>
      <c r="M48" s="16">
        <v>3</v>
      </c>
      <c r="N48" s="14" t="s">
        <v>478</v>
      </c>
      <c r="O48" s="19" t="s">
        <v>3</v>
      </c>
      <c r="P48" s="19" t="s">
        <v>1</v>
      </c>
      <c r="Q48" s="19" t="s">
        <v>2</v>
      </c>
      <c r="R48" s="19" t="s">
        <v>0</v>
      </c>
      <c r="S48" s="19" t="s">
        <v>545</v>
      </c>
      <c r="T48" s="29" t="s">
        <v>207</v>
      </c>
      <c r="U48" s="29" t="s">
        <v>208</v>
      </c>
      <c r="V48" s="29" t="s">
        <v>209</v>
      </c>
      <c r="W48" s="29" t="s">
        <v>210</v>
      </c>
      <c r="X48" s="29" t="s">
        <v>545</v>
      </c>
      <c r="Y48" s="14" t="s">
        <v>211</v>
      </c>
      <c r="AC48" s="29" t="s">
        <v>478</v>
      </c>
      <c r="AD48" s="29" t="s">
        <v>287</v>
      </c>
      <c r="AE48" s="29" t="s">
        <v>288</v>
      </c>
      <c r="AF48" s="29" t="s">
        <v>289</v>
      </c>
      <c r="AG48" s="29" t="s">
        <v>294</v>
      </c>
      <c r="AH48" s="29" t="s">
        <v>287</v>
      </c>
      <c r="AI48" s="29" t="s">
        <v>288</v>
      </c>
      <c r="AJ48" s="29" t="s">
        <v>289</v>
      </c>
      <c r="AK48" s="29" t="s">
        <v>294</v>
      </c>
      <c r="AL48" s="14" t="s">
        <v>293</v>
      </c>
      <c r="AP48" s="29" t="s">
        <v>478</v>
      </c>
      <c r="AQ48" s="29" t="s">
        <v>309</v>
      </c>
      <c r="AR48" s="29" t="s">
        <v>338</v>
      </c>
      <c r="AS48" s="29" t="s">
        <v>339</v>
      </c>
      <c r="AU48" s="29" t="s">
        <v>478</v>
      </c>
      <c r="AV48" s="29" t="s">
        <v>309</v>
      </c>
      <c r="AW48" s="29" t="s">
        <v>305</v>
      </c>
    </row>
    <row r="49" spans="2:49" x14ac:dyDescent="0.15">
      <c r="B49" s="191"/>
      <c r="C49" s="14">
        <v>0</v>
      </c>
      <c r="D49" s="14">
        <v>35</v>
      </c>
      <c r="E49" s="14">
        <v>35</v>
      </c>
      <c r="F49" s="14">
        <v>35</v>
      </c>
      <c r="G49" s="14">
        <v>35</v>
      </c>
      <c r="H49" s="14">
        <v>35</v>
      </c>
      <c r="I49" s="14">
        <v>35</v>
      </c>
      <c r="M49" s="16">
        <v>4</v>
      </c>
      <c r="N49" s="14">
        <f>基础状态预期!D62</f>
        <v>9.9592453074578113</v>
      </c>
      <c r="O49" s="14">
        <f>IF(基础状态预期!Q62="",0,求节点($C$31:$C$36,E$31:E$36,基础状态预期!Q62)*基础状态预期!G62)</f>
        <v>0</v>
      </c>
      <c r="P49" s="14">
        <f>IF(基础状态预期!R62="",0,求节点($C$31:$C$36,F$31:F$36,基础状态预期!R62)*基础状态预期!H62)</f>
        <v>2.3902188737898751</v>
      </c>
      <c r="Q49" s="14">
        <f>IF(基础状态预期!S62="",0,求节点($C$31:$C$36,G$31:G$36,基础状态预期!S62)*基础状态预期!I62)</f>
        <v>4.7804377475797502</v>
      </c>
      <c r="R49" s="14">
        <f>IF(基础状态预期!T62="",0,求节点($C$31:$C$36,H$31:H$36,基础状态预期!T62)*基础状态预期!J62)</f>
        <v>0</v>
      </c>
      <c r="S49" s="14"/>
      <c r="T49" s="14">
        <f>IF(基础状态预期!P62="",0,求节点($C$40:$C$45,D$40:D$45,基础状态预期!P62))</f>
        <v>0</v>
      </c>
      <c r="U49" s="14">
        <f>IF(基础状态预期!Q62="",0,求节点($C$40:$C$45,E$40:E$45,基础状态预期!Q62))</f>
        <v>0</v>
      </c>
      <c r="V49" s="14">
        <f>IF(基础状态预期!R62="",0,求节点($C$40:$C$45,F$40:F$45,基础状态预期!R62))</f>
        <v>15934.7924919325</v>
      </c>
      <c r="W49" s="14">
        <f>IF(基础状态预期!S62="",0,求节点($C$40:$C$45,G$40:G$45,基础状态预期!S62))</f>
        <v>23902.188737898749</v>
      </c>
      <c r="X49" s="14">
        <f>IF(基础状态预期!T62="",0,求节点($C$40:$C$45,H$40:H$45,基础状态预期!T62))</f>
        <v>0</v>
      </c>
      <c r="Y49" s="14">
        <f>MAX(SUMPRODUCT(T49:X49,基础状态预期!F62:J62),Y48)</f>
        <v>127478.33993546</v>
      </c>
      <c r="AC49" s="29">
        <v>10</v>
      </c>
      <c r="AD49" s="29">
        <v>0</v>
      </c>
      <c r="AE49" s="29">
        <v>0</v>
      </c>
      <c r="AF49" s="29">
        <v>0</v>
      </c>
      <c r="AG49" s="29">
        <v>0</v>
      </c>
      <c r="AH49" s="29">
        <f>AD49*(INDEX([2]非r将兵属性验证!$S$7:$S$166,$AC49,1)+INDEX([2]非r将兵属性验证!$AG$7:$AG$166,$AC49,1))</f>
        <v>0</v>
      </c>
      <c r="AI49" s="29">
        <f>AE49*INDEX([2]非r将兵属性验证!T$7:T$166,$AC49,1)</f>
        <v>0</v>
      </c>
      <c r="AJ49" s="29">
        <f>AF49*INDEX([2]非r将兵属性验证!U$7:U$166,$AC49,1)</f>
        <v>0</v>
      </c>
      <c r="AK49" s="29">
        <f>AG49*INDEX([2]非r将兵属性验证!$AM$7:$AM$166,$AC49,1)</f>
        <v>0</v>
      </c>
      <c r="AL49" s="14">
        <f>SUM(AH49:AK49)</f>
        <v>0</v>
      </c>
      <c r="AP49" s="29">
        <f>$N49</f>
        <v>9.9592453074578113</v>
      </c>
      <c r="AQ49" s="14"/>
      <c r="AR49" s="14">
        <f>$Y49</f>
        <v>127478.33993546</v>
      </c>
      <c r="AS49" s="45">
        <f>AR49*INDEX('[1]功能-付费相关'!$AR$6:$AR$165,$AP49,1)</f>
        <v>325.1998467741326</v>
      </c>
      <c r="AU49" s="29">
        <v>10</v>
      </c>
      <c r="AV49" s="29">
        <f t="shared" ref="AV49:AV58" si="19">求节点($AP$49:$AP$87,AQ$49:AQ$87,$AU49)</f>
        <v>0</v>
      </c>
      <c r="AW49" s="29">
        <f t="shared" ref="AW49:AW58" si="20">求节点($AP$49:$AP$87,AS$49:AS$87,$AU49)</f>
        <v>326.58349819873587</v>
      </c>
    </row>
    <row r="50" spans="2:49" x14ac:dyDescent="0.15">
      <c r="B50" s="191"/>
      <c r="C50" s="14">
        <v>1</v>
      </c>
      <c r="D50" s="14"/>
      <c r="E50" s="14"/>
      <c r="F50" s="14">
        <v>60</v>
      </c>
      <c r="G50" s="14">
        <v>60</v>
      </c>
      <c r="H50" s="14">
        <v>60</v>
      </c>
      <c r="I50" s="14">
        <v>60</v>
      </c>
      <c r="M50" s="16">
        <v>5</v>
      </c>
      <c r="N50" s="14">
        <f>基础状态预期!D63</f>
        <v>19.766822802328868</v>
      </c>
      <c r="O50" s="14">
        <f>IF(基础状态预期!Q63="",0,求节点($C$31:$C$36,E$31:E$36,基础状态预期!Q63)*基础状态预期!G63)</f>
        <v>0</v>
      </c>
      <c r="P50" s="14">
        <f>IF(基础状态预期!R63="",0,求节点($C$31:$C$36,F$31:F$36,基础状态预期!R63)*基础状态预期!H63)</f>
        <v>0</v>
      </c>
      <c r="Q50" s="14">
        <f>IF(基础状态预期!S63="",0,求节点($C$31:$C$36,G$31:G$36,基础状态预期!S63)*基础状态预期!I63)</f>
        <v>14.232112417676785</v>
      </c>
      <c r="R50" s="14">
        <f>IF(基础状态预期!T63="",0,求节点($C$31:$C$36,H$31:H$36,基础状态预期!T63)*基础状态预期!J63)</f>
        <v>0</v>
      </c>
      <c r="S50" s="14"/>
      <c r="T50" s="14">
        <f>IF(基础状态预期!P63="",0,求节点($C$40:$C$45,D$40:D$45,基础状态预期!P63))</f>
        <v>0</v>
      </c>
      <c r="U50" s="14">
        <f>IF(基础状态预期!Q63="",0,求节点($C$40:$C$45,E$40:E$45,基础状态预期!Q63))</f>
        <v>0</v>
      </c>
      <c r="V50" s="14">
        <f>IF(基础状态预期!R63="",0,求节点($C$40:$C$45,F$40:F$45,基础状态预期!R63))</f>
        <v>0</v>
      </c>
      <c r="W50" s="14">
        <f>IF(基础状态预期!S63="",0,求节点($C$40:$C$45,G$40:G$45,基础状态预期!S63))</f>
        <v>47440.374725589281</v>
      </c>
      <c r="X50" s="14">
        <f>IF(基础状态预期!T63="",0,求节点($C$40:$C$45,H$40:H$45,基础状态预期!T63))</f>
        <v>0</v>
      </c>
      <c r="Y50" s="14">
        <f>MAX(SUMPRODUCT(T50:X50,基础状态预期!F63:J63),Y49)</f>
        <v>284642.24835353566</v>
      </c>
      <c r="AC50" s="29">
        <v>20</v>
      </c>
      <c r="AD50" s="29">
        <v>0</v>
      </c>
      <c r="AE50" s="29">
        <v>0</v>
      </c>
      <c r="AF50" s="29">
        <v>0</v>
      </c>
      <c r="AG50" s="29">
        <v>0</v>
      </c>
      <c r="AH50" s="29">
        <f>AD50*(INDEX([2]非r将兵属性验证!$S$7:$S$166,$AC50,1)+INDEX([2]非r将兵属性验证!$AG$7:$AG$166,$AC50,1))</f>
        <v>0</v>
      </c>
      <c r="AI50" s="29">
        <f>AE50*INDEX([2]非r将兵属性验证!T$7:T$166,$AC50,1)</f>
        <v>0</v>
      </c>
      <c r="AJ50" s="29">
        <f>AF50*INDEX([2]非r将兵属性验证!U$7:U$166,$AC50,1)</f>
        <v>0</v>
      </c>
      <c r="AK50" s="29">
        <f>AG50*INDEX([2]非r将兵属性验证!$AM$7:$AM$166,$AC50,1)</f>
        <v>0</v>
      </c>
      <c r="AL50" s="14">
        <f t="shared" ref="AL50:AL58" si="21">SUM(AH50:AK50)</f>
        <v>0</v>
      </c>
      <c r="AP50" s="29">
        <f t="shared" ref="AP50:AP87" si="22">$N50</f>
        <v>19.766822802328868</v>
      </c>
      <c r="AQ50" s="14"/>
      <c r="AR50" s="14">
        <f t="shared" ref="AR50:AR87" si="23">$Y50</f>
        <v>284642.24835353566</v>
      </c>
      <c r="AS50" s="14">
        <f>(AR50-AR49)*INDEX('[1]功能-付费相关'!$AR$6:$AR$165,$AP50,1)+AS49</f>
        <v>658.17422901581836</v>
      </c>
      <c r="AU50" s="29">
        <v>20</v>
      </c>
      <c r="AV50" s="29">
        <f t="shared" si="19"/>
        <v>0</v>
      </c>
      <c r="AW50" s="29">
        <f t="shared" si="20"/>
        <v>670.94832986800702</v>
      </c>
    </row>
    <row r="51" spans="2:49" x14ac:dyDescent="0.15">
      <c r="B51" s="191"/>
      <c r="C51" s="14">
        <v>2</v>
      </c>
      <c r="D51" s="14"/>
      <c r="E51" s="14"/>
      <c r="F51" s="14">
        <v>85</v>
      </c>
      <c r="G51" s="14">
        <v>85</v>
      </c>
      <c r="H51" s="14">
        <v>85</v>
      </c>
      <c r="I51" s="14">
        <v>85</v>
      </c>
      <c r="M51" s="16">
        <v>6</v>
      </c>
      <c r="N51" s="14">
        <f>基础状态预期!D64</f>
        <v>27.773265580596355</v>
      </c>
      <c r="O51" s="14">
        <f>IF(基础状态预期!Q64="",0,求节点($C$31:$C$36,E$31:E$36,基础状态预期!Q64)*基础状态预期!G64)</f>
        <v>0</v>
      </c>
      <c r="P51" s="14">
        <f>IF(基础状态预期!R64="",0,求节点($C$31:$C$36,F$31:F$36,基础状态预期!R64)*基础状态预期!H64)</f>
        <v>0</v>
      </c>
      <c r="Q51" s="14">
        <f>IF(基础状态预期!S64="",0,求节点($C$31:$C$36,G$31:G$36,基础状态预期!S64)*基础状态预期!I64)</f>
        <v>21.993502436058755</v>
      </c>
      <c r="R51" s="14">
        <f>IF(基础状态预期!T64="",0,求节点($C$31:$C$36,H$31:H$36,基础状态预期!T64)*基础状态预期!J64)</f>
        <v>0</v>
      </c>
      <c r="S51" s="14"/>
      <c r="T51" s="14">
        <f>IF(基础状态预期!P64="",0,求节点($C$40:$C$45,D$40:D$45,基础状态预期!P64))</f>
        <v>0</v>
      </c>
      <c r="U51" s="14">
        <f>IF(基础状态预期!Q64="",0,求节点($C$40:$C$45,E$40:E$45,基础状态预期!Q64))</f>
        <v>0</v>
      </c>
      <c r="V51" s="14">
        <f>IF(基础状态预期!R64="",0,求节点($C$40:$C$45,F$40:F$45,基础状态预期!R64))</f>
        <v>0</v>
      </c>
      <c r="W51" s="14">
        <f>IF(基础状态预期!S64="",0,求节点($C$40:$C$45,G$40:G$45,基础状态预期!S64))</f>
        <v>86623.34957372502</v>
      </c>
      <c r="X51" s="14">
        <f>IF(基础状态预期!T64="",0,求节点($C$40:$C$45,H$40:H$45,基础状态预期!T64))</f>
        <v>0</v>
      </c>
      <c r="Y51" s="14">
        <f>MAX(SUMPRODUCT(T51:X51,基础状态预期!F64:J64),Y50)</f>
        <v>519740.09744235012</v>
      </c>
      <c r="AC51" s="29">
        <v>30</v>
      </c>
      <c r="AD51" s="29">
        <v>0</v>
      </c>
      <c r="AE51" s="29">
        <v>0</v>
      </c>
      <c r="AF51" s="29">
        <v>0</v>
      </c>
      <c r="AG51" s="29">
        <v>0</v>
      </c>
      <c r="AH51" s="29">
        <f>AD51*(INDEX([2]非r将兵属性验证!$S$7:$S$166,$AC51,1)+INDEX([2]非r将兵属性验证!$AG$7:$AG$166,$AC51,1))</f>
        <v>0</v>
      </c>
      <c r="AI51" s="29">
        <f>AE51*INDEX([2]非r将兵属性验证!T$7:T$166,$AC51,1)</f>
        <v>0</v>
      </c>
      <c r="AJ51" s="29">
        <f>AF51*INDEX([2]非r将兵属性验证!U$7:U$166,$AC51,1)</f>
        <v>0</v>
      </c>
      <c r="AK51" s="29">
        <f>AG51*INDEX([2]非r将兵属性验证!$AM$7:$AM$166,$AC51,1)</f>
        <v>0</v>
      </c>
      <c r="AL51" s="14">
        <f t="shared" si="21"/>
        <v>0</v>
      </c>
      <c r="AP51" s="29">
        <f t="shared" si="22"/>
        <v>27.773265580596355</v>
      </c>
      <c r="AQ51" s="14"/>
      <c r="AR51" s="14">
        <f t="shared" si="23"/>
        <v>519740.09744235012</v>
      </c>
      <c r="AS51" s="14">
        <f>(AR51-AR50)*INDEX('[1]功能-付费相关'!$AR$6:$AR$165,$AP51,1)+AS50</f>
        <v>1096.7896191068901</v>
      </c>
      <c r="AU51" s="29">
        <v>30</v>
      </c>
      <c r="AV51" s="29">
        <f t="shared" si="19"/>
        <v>0</v>
      </c>
      <c r="AW51" s="29">
        <f t="shared" si="20"/>
        <v>1313.4448599137311</v>
      </c>
    </row>
    <row r="52" spans="2:49" x14ac:dyDescent="0.15">
      <c r="B52" s="191"/>
      <c r="C52" s="14">
        <v>3</v>
      </c>
      <c r="D52" s="14"/>
      <c r="E52" s="14"/>
      <c r="F52" s="14">
        <v>110</v>
      </c>
      <c r="G52" s="14">
        <v>110</v>
      </c>
      <c r="H52" s="14">
        <v>110</v>
      </c>
      <c r="I52" s="14">
        <v>110</v>
      </c>
      <c r="M52" s="16">
        <v>7</v>
      </c>
      <c r="N52" s="14">
        <f>基础状态预期!D65</f>
        <v>34.250806171891597</v>
      </c>
      <c r="O52" s="14">
        <f>IF(基础状态预期!Q65="",0,求节点($C$31:$C$36,E$31:E$36,基础状态预期!Q65)*基础状态预期!G65)</f>
        <v>0</v>
      </c>
      <c r="P52" s="14">
        <f>IF(基础状态预期!R65="",0,求节点($C$31:$C$36,F$31:F$36,基础状态预期!R65)*基础状态预期!H65)</f>
        <v>0</v>
      </c>
      <c r="Q52" s="14">
        <f>IF(基础状态预期!S65="",0,求节点($C$31:$C$36,G$31:G$36,基础状态预期!S65)*基础状态预期!I65)</f>
        <v>31.321160887523895</v>
      </c>
      <c r="R52" s="14">
        <f>IF(基础状态预期!T65="",0,求节点($C$31:$C$36,H$31:H$36,基础状态预期!T65)*基础状态预期!J65)</f>
        <v>0</v>
      </c>
      <c r="S52" s="14"/>
      <c r="T52" s="14">
        <f>IF(基础状态预期!P65="",0,求节点($C$40:$C$45,D$40:D$45,基础状态预期!P65))</f>
        <v>0</v>
      </c>
      <c r="U52" s="14">
        <f>IF(基础状态预期!Q65="",0,求节点($C$40:$C$45,E$40:E$45,基础状态预期!Q65))</f>
        <v>0</v>
      </c>
      <c r="V52" s="14">
        <f>IF(基础状态预期!R65="",0,求节点($C$40:$C$45,F$40:F$45,基础状态预期!R65))</f>
        <v>0</v>
      </c>
      <c r="W52" s="14">
        <f>IF(基础状态预期!S65="",0,求节点($C$40:$C$45,G$40:G$45,基础状态预期!S65))</f>
        <v>148807.7392501593</v>
      </c>
      <c r="X52" s="14">
        <f>IF(基础状态预期!T65="",0,求节点($C$40:$C$45,H$40:H$45,基础状态预期!T65))</f>
        <v>0</v>
      </c>
      <c r="Y52" s="14">
        <f>MAX(SUMPRODUCT(T52:X52,基础状态预期!F65:J65),Y51)</f>
        <v>892846.43550095579</v>
      </c>
      <c r="AC52" s="29">
        <v>40</v>
      </c>
      <c r="AD52" s="29">
        <v>0</v>
      </c>
      <c r="AE52" s="29">
        <v>0</v>
      </c>
      <c r="AF52" s="29">
        <v>0</v>
      </c>
      <c r="AG52" s="29">
        <v>0</v>
      </c>
      <c r="AH52" s="29">
        <f>AD52*(INDEX([2]非r将兵属性验证!$S$7:$S$166,$AC52,1)+INDEX([2]非r将兵属性验证!$AG$7:$AG$166,$AC52,1))</f>
        <v>0</v>
      </c>
      <c r="AI52" s="29">
        <f>AE52*INDEX([2]非r将兵属性验证!T$7:T$166,$AC52,1)</f>
        <v>0</v>
      </c>
      <c r="AJ52" s="29">
        <f>AF52*INDEX([2]非r将兵属性验证!U$7:U$166,$AC52,1)</f>
        <v>0</v>
      </c>
      <c r="AK52" s="29">
        <f>AG52*INDEX([2]非r将兵属性验证!$AM$7:$AM$166,$AC52,1)</f>
        <v>0</v>
      </c>
      <c r="AL52" s="14">
        <f t="shared" si="21"/>
        <v>0</v>
      </c>
      <c r="AP52" s="29">
        <f t="shared" si="22"/>
        <v>34.250806171891597</v>
      </c>
      <c r="AQ52" s="14"/>
      <c r="AR52" s="14">
        <f t="shared" si="23"/>
        <v>892846.43550095579</v>
      </c>
      <c r="AS52" s="14">
        <f>(AR52-AR51)*INDEX('[1]功能-付费相关'!$AR$6:$AR$165,$AP52,1)+AS51</f>
        <v>1727.0368117734538</v>
      </c>
      <c r="AU52" s="29">
        <v>40</v>
      </c>
      <c r="AV52" s="29">
        <f t="shared" si="19"/>
        <v>0</v>
      </c>
      <c r="AW52" s="29">
        <f t="shared" si="20"/>
        <v>2249.5256934282315</v>
      </c>
    </row>
    <row r="53" spans="2:49" x14ac:dyDescent="0.15">
      <c r="B53" s="191"/>
      <c r="C53" s="14">
        <v>4</v>
      </c>
      <c r="D53" s="14"/>
      <c r="E53" s="14"/>
      <c r="F53" s="14">
        <v>135</v>
      </c>
      <c r="G53" s="14">
        <v>135</v>
      </c>
      <c r="H53" s="14">
        <v>135</v>
      </c>
      <c r="I53" s="14">
        <v>135</v>
      </c>
      <c r="M53" s="16">
        <v>8</v>
      </c>
      <c r="N53" s="14">
        <f>基础状态预期!D66</f>
        <v>39.661158518499626</v>
      </c>
      <c r="O53" s="14">
        <f>IF(基础状态预期!Q66="",0,求节点($C$31:$C$36,E$31:E$36,基础状态预期!Q66)*基础状态预期!G66)</f>
        <v>0</v>
      </c>
      <c r="P53" s="14">
        <f>IF(基础状态预期!R66="",0,求节点($C$31:$C$36,F$31:F$36,基础状态预期!R66)*基础状态预期!H66)</f>
        <v>0</v>
      </c>
      <c r="Q53" s="14">
        <f>IF(基础状态预期!S66="",0,求节点($C$31:$C$36,G$31:G$36,基础状态预期!S66)*基础状态预期!I66)</f>
        <v>39.112068266639469</v>
      </c>
      <c r="R53" s="14">
        <f>IF(基础状态预期!T66="",0,求节点($C$31:$C$36,H$31:H$36,基础状态预期!T66)*基础状态预期!J66)</f>
        <v>0</v>
      </c>
      <c r="S53" s="14"/>
      <c r="T53" s="14">
        <f>IF(基础状态预期!P66="",0,求节点($C$40:$C$45,D$40:D$45,基础状态预期!P66))</f>
        <v>0</v>
      </c>
      <c r="U53" s="14">
        <f>IF(基础状态预期!Q66="",0,求节点($C$40:$C$45,E$40:E$45,基础状态预期!Q66))</f>
        <v>0</v>
      </c>
      <c r="V53" s="14">
        <f>IF(基础状态预期!R66="",0,求节点($C$40:$C$45,F$40:F$45,基础状态预期!R66))</f>
        <v>0</v>
      </c>
      <c r="W53" s="14">
        <f>IF(基础状态预期!S66="",0,求节点($C$40:$C$45,G$40:G$45,基础状态预期!S66))</f>
        <v>200747.12177759645</v>
      </c>
      <c r="X53" s="14">
        <f>IF(基础状态预期!T66="",0,求节点($C$40:$C$45,H$40:H$45,基础状态预期!T66))</f>
        <v>0</v>
      </c>
      <c r="Y53" s="14">
        <f>MAX(SUMPRODUCT(T53:X53,基础状态预期!F66:J66),Y52)</f>
        <v>1204482.7306655787</v>
      </c>
      <c r="AC53" s="29">
        <v>50</v>
      </c>
      <c r="AD53" s="29">
        <v>0</v>
      </c>
      <c r="AE53" s="29">
        <v>0</v>
      </c>
      <c r="AF53" s="29">
        <v>0</v>
      </c>
      <c r="AG53" s="29">
        <v>0</v>
      </c>
      <c r="AH53" s="29">
        <f>AD53*(INDEX([2]非r将兵属性验证!$S$7:$S$166,$AC53,1)+INDEX([2]非r将兵属性验证!$AG$7:$AG$166,$AC53,1))</f>
        <v>0</v>
      </c>
      <c r="AI53" s="29">
        <f>AE53*INDEX([2]非r将兵属性验证!T$7:T$166,$AC53,1)</f>
        <v>0</v>
      </c>
      <c r="AJ53" s="29">
        <f>AF53*INDEX([2]非r将兵属性验证!U$7:U$166,$AC53,1)</f>
        <v>0</v>
      </c>
      <c r="AK53" s="29">
        <f>AG53*INDEX([2]非r将兵属性验证!$AM$7:$AM$166,$AC53,1)</f>
        <v>0</v>
      </c>
      <c r="AL53" s="14">
        <f t="shared" si="21"/>
        <v>0</v>
      </c>
      <c r="AP53" s="29">
        <f t="shared" si="22"/>
        <v>39.661158518499626</v>
      </c>
      <c r="AQ53" s="14"/>
      <c r="AR53" s="14">
        <f t="shared" si="23"/>
        <v>1204482.7306655787</v>
      </c>
      <c r="AS53" s="14">
        <f>(AR53-AR52)*INDEX('[1]功能-付费相关'!$AR$6:$AR$165,$AP53,1)+AS52</f>
        <v>2220.132215514946</v>
      </c>
      <c r="AU53" s="29">
        <v>50</v>
      </c>
      <c r="AV53" s="29">
        <f t="shared" si="19"/>
        <v>0</v>
      </c>
      <c r="AW53" s="29">
        <f t="shared" si="20"/>
        <v>3865.1367193555084</v>
      </c>
    </row>
    <row r="54" spans="2:49" x14ac:dyDescent="0.15">
      <c r="B54" s="191"/>
      <c r="C54" s="14">
        <v>5</v>
      </c>
      <c r="D54" s="14"/>
      <c r="E54" s="14"/>
      <c r="F54" s="14">
        <v>160</v>
      </c>
      <c r="G54" s="14">
        <v>160</v>
      </c>
      <c r="H54" s="14">
        <v>160</v>
      </c>
      <c r="I54" s="14">
        <v>160</v>
      </c>
      <c r="M54" s="16">
        <v>9</v>
      </c>
      <c r="N54" s="14">
        <f>基础状态预期!D67</f>
        <v>43.535389560453282</v>
      </c>
      <c r="O54" s="14">
        <f>IF(基础状态预期!Q67="",0,求节点($C$31:$C$36,E$31:E$36,基础状态预期!Q67)*基础状态预期!G67)</f>
        <v>0</v>
      </c>
      <c r="P54" s="14">
        <f>IF(基础状态预期!R67="",0,求节点($C$31:$C$36,F$31:F$36,基础状态预期!R67)*基础状态预期!H67)</f>
        <v>0</v>
      </c>
      <c r="Q54" s="14">
        <f>IF(基础状态预期!S67="",0,求节点($C$31:$C$36,G$31:G$36,基础状态预期!S67)*基础状态预期!I67)</f>
        <v>44.690960967052732</v>
      </c>
      <c r="R54" s="14">
        <f>IF(基础状态预期!T67="",0,求节点($C$31:$C$36,H$31:H$36,基础状态预期!T67)*基础状态预期!J67)</f>
        <v>0</v>
      </c>
      <c r="S54" s="14"/>
      <c r="T54" s="14">
        <f>IF(基础状态预期!P67="",0,求节点($C$40:$C$45,D$40:D$45,基础状态预期!P67))</f>
        <v>0</v>
      </c>
      <c r="U54" s="14">
        <f>IF(基础状态预期!Q67="",0,求节点($C$40:$C$45,E$40:E$45,基础状态预期!Q67))</f>
        <v>0</v>
      </c>
      <c r="V54" s="14">
        <f>IF(基础状态预期!R67="",0,求节点($C$40:$C$45,F$40:F$45,基础状态预期!R67))</f>
        <v>0</v>
      </c>
      <c r="W54" s="14">
        <f>IF(基础状态预期!S67="",0,求节点($C$40:$C$45,G$40:G$45,基础状态预期!S67))</f>
        <v>237939.73978035155</v>
      </c>
      <c r="X54" s="14">
        <f>IF(基础状态预期!T67="",0,求节点($C$40:$C$45,H$40:H$45,基础状态预期!T67))</f>
        <v>0</v>
      </c>
      <c r="Y54" s="14">
        <f>MAX(SUMPRODUCT(T54:X54,基础状态预期!F67:J67),Y53)</f>
        <v>1427638.4386821094</v>
      </c>
      <c r="AC54" s="29">
        <v>60</v>
      </c>
      <c r="AD54" s="29">
        <v>0</v>
      </c>
      <c r="AE54" s="29">
        <v>0</v>
      </c>
      <c r="AF54" s="29">
        <v>0</v>
      </c>
      <c r="AG54" s="29">
        <v>0</v>
      </c>
      <c r="AH54" s="29">
        <f>AD54*(INDEX([2]非r将兵属性验证!$S$7:$S$166,$AC54,1)+INDEX([2]非r将兵属性验证!$AG$7:$AG$166,$AC54,1))</f>
        <v>0</v>
      </c>
      <c r="AI54" s="29">
        <f>AE54*INDEX([2]非r将兵属性验证!T$7:T$166,$AC54,1)</f>
        <v>0</v>
      </c>
      <c r="AJ54" s="29">
        <f>AF54*INDEX([2]非r将兵属性验证!U$7:U$166,$AC54,1)</f>
        <v>0</v>
      </c>
      <c r="AK54" s="29">
        <f>AG54*INDEX([2]非r将兵属性验证!$AM$7:$AM$166,$AC54,1)</f>
        <v>0</v>
      </c>
      <c r="AL54" s="14">
        <f t="shared" si="21"/>
        <v>0</v>
      </c>
      <c r="AP54" s="29">
        <f t="shared" si="22"/>
        <v>43.535389560453282</v>
      </c>
      <c r="AQ54" s="14"/>
      <c r="AR54" s="14">
        <f t="shared" si="23"/>
        <v>1427638.4386821094</v>
      </c>
      <c r="AS54" s="14">
        <f>(AR54-AR53)*INDEX('[1]功能-付费相关'!$AR$6:$AR$165,$AP54,1)+AS53</f>
        <v>2556.2100890338174</v>
      </c>
      <c r="AU54" s="29">
        <v>60</v>
      </c>
      <c r="AV54" s="29">
        <f t="shared" si="19"/>
        <v>0</v>
      </c>
      <c r="AW54" s="29">
        <f t="shared" si="20"/>
        <v>17611.225660926717</v>
      </c>
    </row>
    <row r="55" spans="2:49" x14ac:dyDescent="0.15">
      <c r="B55" s="192"/>
      <c r="C55" s="14"/>
      <c r="D55" s="14"/>
      <c r="E55" s="14"/>
      <c r="F55" s="14"/>
      <c r="G55" s="14"/>
      <c r="H55" s="14"/>
      <c r="I55" s="14"/>
      <c r="M55" s="16">
        <v>10</v>
      </c>
      <c r="N55" s="14">
        <f>基础状态预期!D68</f>
        <v>49.178590903134719</v>
      </c>
      <c r="O55" s="14">
        <f>IF(基础状态预期!Q68="",0,求节点($C$31:$C$36,E$31:E$36,基础状态预期!Q68)*基础状态预期!G68)</f>
        <v>0</v>
      </c>
      <c r="P55" s="14">
        <f>IF(基础状态预期!R68="",0,求节点($C$31:$C$36,F$31:F$36,基础状态预期!R68)*基础状态预期!H68)</f>
        <v>0</v>
      </c>
      <c r="Q55" s="14">
        <f>IF(基础状态预期!S68="",0,求节点($C$31:$C$36,G$31:G$36,基础状态预期!S68)*基础状态预期!I68)</f>
        <v>52.817170900514</v>
      </c>
      <c r="R55" s="14">
        <f>IF(基础状态预期!T68="",0,求节点($C$31:$C$36,H$31:H$36,基础状态预期!T68)*基础状态预期!J68)</f>
        <v>0</v>
      </c>
      <c r="S55" s="14"/>
      <c r="T55" s="14">
        <f>IF(基础状态预期!P68="",0,求节点($C$40:$C$45,D$40:D$45,基础状态预期!P68))</f>
        <v>0</v>
      </c>
      <c r="U55" s="14">
        <f>IF(基础状态预期!Q68="",0,求节点($C$40:$C$45,E$40:E$45,基础状态预期!Q68))</f>
        <v>0</v>
      </c>
      <c r="V55" s="14">
        <f>IF(基础状态预期!R68="",0,求节点($C$40:$C$45,F$40:F$45,基础状态预期!R68))</f>
        <v>0</v>
      </c>
      <c r="W55" s="14">
        <f>IF(基础状态预期!S68="",0,求节点($C$40:$C$45,G$40:G$45,基础状态预期!S68))</f>
        <v>292114.4726700933</v>
      </c>
      <c r="X55" s="14">
        <f>IF(基础状态预期!T68="",0,求节点($C$40:$C$45,H$40:H$45,基础状态预期!T68))</f>
        <v>0</v>
      </c>
      <c r="Y55" s="14">
        <f>MAX(SUMPRODUCT(T55:X55,基础状态预期!F68:J68),Y54)</f>
        <v>1752686.8360205598</v>
      </c>
      <c r="AC55" s="29">
        <v>70</v>
      </c>
      <c r="AD55" s="29">
        <v>0</v>
      </c>
      <c r="AE55" s="29">
        <v>0</v>
      </c>
      <c r="AF55" s="29">
        <v>0</v>
      </c>
      <c r="AG55" s="29">
        <v>0</v>
      </c>
      <c r="AH55" s="29">
        <f>AD55*(INDEX([2]非r将兵属性验证!$S$7:$S$166,$AC55,1)+INDEX([2]非r将兵属性验证!$AG$7:$AG$166,$AC55,1))</f>
        <v>0</v>
      </c>
      <c r="AI55" s="29">
        <f>AE55*INDEX([2]非r将兵属性验证!T$7:T$166,$AC55,1)</f>
        <v>0</v>
      </c>
      <c r="AJ55" s="29">
        <f>AF55*INDEX([2]非r将兵属性验证!U$7:U$166,$AC55,1)</f>
        <v>0</v>
      </c>
      <c r="AK55" s="29">
        <f>AG55*INDEX([2]非r将兵属性验证!$AM$7:$AM$166,$AC55,1)</f>
        <v>0</v>
      </c>
      <c r="AL55" s="14">
        <f t="shared" si="21"/>
        <v>0</v>
      </c>
      <c r="AP55" s="29">
        <f t="shared" si="22"/>
        <v>49.178590903134719</v>
      </c>
      <c r="AQ55" s="14"/>
      <c r="AR55" s="14">
        <f t="shared" si="23"/>
        <v>1752686.8360205598</v>
      </c>
      <c r="AS55" s="14">
        <f>(AR55-AR54)*INDEX('[1]功能-付费相关'!$AR$6:$AR$165,$AP55,1)+AS54</f>
        <v>3012.7387369810795</v>
      </c>
      <c r="AU55" s="29">
        <v>70</v>
      </c>
      <c r="AV55" s="29">
        <f t="shared" si="19"/>
        <v>0</v>
      </c>
      <c r="AW55" s="29">
        <f t="shared" si="20"/>
        <v>40422.512252191569</v>
      </c>
    </row>
    <row r="56" spans="2:49" x14ac:dyDescent="0.15">
      <c r="M56" s="16">
        <v>11</v>
      </c>
      <c r="N56" s="14">
        <f>基础状态预期!D69</f>
        <v>53.226994578658328</v>
      </c>
      <c r="O56" s="14">
        <f>IF(基础状态预期!Q69="",0,求节点($C$31:$C$36,E$31:E$36,基础状态预期!Q69)*基础状态预期!G69)</f>
        <v>0</v>
      </c>
      <c r="P56" s="14">
        <f>IF(基础状态预期!R69="",0,求节点($C$31:$C$36,F$31:F$36,基础状态预期!R69)*基础状态预期!H69)</f>
        <v>0</v>
      </c>
      <c r="Q56" s="14">
        <f>IF(基础状态预期!S69="",0,求节点($C$31:$C$36,G$31:G$36,基础状态预期!S69)*基础状态预期!I69)</f>
        <v>52.744786988779985</v>
      </c>
      <c r="R56" s="14">
        <f>IF(基础状态预期!T69="",0,求节点($C$31:$C$36,H$31:H$36,基础状态预期!T69)*基础状态预期!J69)</f>
        <v>11.323436096633994</v>
      </c>
      <c r="S56" s="14"/>
      <c r="T56" s="14">
        <f>IF(基础状态预期!P69="",0,求节点($C$40:$C$45,D$40:D$45,基础状态预期!P69))</f>
        <v>0</v>
      </c>
      <c r="U56" s="14">
        <f>IF(基础状态预期!Q69="",0,求节点($C$40:$C$45,E$40:E$45,基础状态预期!Q69))</f>
        <v>0</v>
      </c>
      <c r="V56" s="14">
        <f>IF(基础状态预期!R69="",0,求节点($C$40:$C$45,F$40:F$45,基础状态预期!R69))</f>
        <v>0</v>
      </c>
      <c r="W56" s="14">
        <f>IF(基础状态预期!S69="",0,求节点($C$40:$C$45,G$40:G$45,基础状态预期!S69))</f>
        <v>609791.47955119936</v>
      </c>
      <c r="X56" s="14">
        <f>IF(基础状态预期!T69="",0,求节点($C$40:$C$45,H$40:H$45,基础状态预期!T69))</f>
        <v>1829374.4386535981</v>
      </c>
      <c r="Y56" s="14">
        <f>MAX(SUMPRODUCT(T56:X56,基础状态预期!F69:J69),Y55)</f>
        <v>4878331.8364095949</v>
      </c>
      <c r="AC56" s="29">
        <v>80</v>
      </c>
      <c r="AD56" s="29">
        <v>0</v>
      </c>
      <c r="AE56" s="29">
        <v>0</v>
      </c>
      <c r="AF56" s="29">
        <v>0</v>
      </c>
      <c r="AG56" s="29">
        <v>0</v>
      </c>
      <c r="AH56" s="29">
        <f>AD56*(INDEX([2]非r将兵属性验证!$S$7:$S$166,$AC56,1)+INDEX([2]非r将兵属性验证!$AG$7:$AG$166,$AC56,1))</f>
        <v>0</v>
      </c>
      <c r="AI56" s="29">
        <f>AE56*INDEX([2]非r将兵属性验证!T$7:T$166,$AC56,1)</f>
        <v>0</v>
      </c>
      <c r="AJ56" s="29">
        <f>AF56*INDEX([2]非r将兵属性验证!U$7:U$166,$AC56,1)</f>
        <v>0</v>
      </c>
      <c r="AK56" s="29">
        <f>AG56*INDEX([2]非r将兵属性验证!$AM$7:$AM$166,$AC56,1)</f>
        <v>0</v>
      </c>
      <c r="AL56" s="14">
        <f t="shared" si="21"/>
        <v>0</v>
      </c>
      <c r="AP56" s="29">
        <f t="shared" si="22"/>
        <v>53.226994578658328</v>
      </c>
      <c r="AQ56" s="14"/>
      <c r="AR56" s="14">
        <f t="shared" si="23"/>
        <v>4878331.8364095949</v>
      </c>
      <c r="AS56" s="14">
        <f>(AR56-AR55)*INDEX('[1]功能-付费相关'!$AR$6:$AR$165,$AP56,1)+AS55</f>
        <v>7213.8744901921482</v>
      </c>
      <c r="AU56" s="29">
        <v>80</v>
      </c>
      <c r="AV56" s="29">
        <f t="shared" si="19"/>
        <v>0</v>
      </c>
      <c r="AW56" s="29">
        <f t="shared" si="20"/>
        <v>149428.96053573769</v>
      </c>
    </row>
    <row r="57" spans="2:49" x14ac:dyDescent="0.15">
      <c r="M57" s="16">
        <v>12</v>
      </c>
      <c r="N57" s="14">
        <f>基础状态预期!D70</f>
        <v>59.016342740868758</v>
      </c>
      <c r="O57" s="14">
        <f>IF(基础状态预期!Q70="",0,求节点($C$31:$C$36,E$31:E$36,基础状态预期!Q70)*基础状态预期!G70)</f>
        <v>0</v>
      </c>
      <c r="P57" s="14">
        <f>IF(基础状态预期!R70="",0,求节点($C$31:$C$36,F$31:F$36,基础状态预期!R70)*基础状态预期!H70)</f>
        <v>0</v>
      </c>
      <c r="Q57" s="14">
        <f>IF(基础状态预期!S70="",0,求节点($C$31:$C$36,G$31:G$36,基础状态预期!S70)*基础状态预期!I70)</f>
        <v>53.311378062468009</v>
      </c>
      <c r="R57" s="14">
        <f>IF(基础状态预期!T70="",0,求节点($C$31:$C$36,H$31:H$36,基础状态预期!T70)*基础状态预期!J70)</f>
        <v>30.983533546851007</v>
      </c>
      <c r="S57" s="14"/>
      <c r="T57" s="14">
        <f>IF(基础状态预期!P70="",0,求节点($C$40:$C$45,D$40:D$45,基础状态预期!P70))</f>
        <v>0</v>
      </c>
      <c r="U57" s="14">
        <f>IF(基础状态预期!Q70="",0,求节点($C$40:$C$45,E$40:E$45,基础状态预期!Q70))</f>
        <v>0</v>
      </c>
      <c r="V57" s="14">
        <f>IF(基础状态预期!R70="",0,求节点($C$40:$C$45,F$40:F$45,基础状态预期!R70))</f>
        <v>0</v>
      </c>
      <c r="W57" s="14">
        <f>IF(基础状态预期!S70="",0,求节点($C$40:$C$45,G$40:G$45,基础状态预期!S70))</f>
        <v>1165568.9031234004</v>
      </c>
      <c r="X57" s="14">
        <f>IF(基础状态预期!T70="",0,求节点($C$40:$C$45,H$40:H$45,基础状态预期!T70))</f>
        <v>3496706.7093702015</v>
      </c>
      <c r="Y57" s="14">
        <f>MAX(SUMPRODUCT(T57:X57,基础状态预期!F70:J70),Y56)</f>
        <v>11655689.031234004</v>
      </c>
      <c r="AC57" s="29">
        <v>90</v>
      </c>
      <c r="AD57" s="29">
        <v>0</v>
      </c>
      <c r="AE57" s="29">
        <v>0</v>
      </c>
      <c r="AF57" s="29">
        <v>0</v>
      </c>
      <c r="AG57" s="29">
        <v>0</v>
      </c>
      <c r="AH57" s="29">
        <f>AD57*(INDEX([2]非r将兵属性验证!$S$7:$S$166,$AC57,1)+INDEX([2]非r将兵属性验证!$AG$7:$AG$166,$AC57,1))</f>
        <v>0</v>
      </c>
      <c r="AI57" s="29">
        <f>AE57*INDEX([2]非r将兵属性验证!T$7:T$166,$AC57,1)</f>
        <v>0</v>
      </c>
      <c r="AJ57" s="29">
        <f>AF57*INDEX([2]非r将兵属性验证!U$7:U$166,$AC57,1)</f>
        <v>0</v>
      </c>
      <c r="AK57" s="29">
        <f>AG57*INDEX([2]非r将兵属性验证!$AM$7:$AM$166,$AC57,1)</f>
        <v>0</v>
      </c>
      <c r="AL57" s="14">
        <f t="shared" si="21"/>
        <v>0</v>
      </c>
      <c r="AP57" s="29">
        <f t="shared" si="22"/>
        <v>59.016342740868758</v>
      </c>
      <c r="AQ57" s="14"/>
      <c r="AR57" s="14">
        <f t="shared" si="23"/>
        <v>11655689.031234004</v>
      </c>
      <c r="AS57" s="14">
        <f>(AR57-AR56)*INDEX('[1]功能-付费相关'!$AR$6:$AR$165,$AP57,1)+AS56</f>
        <v>15771.143675576503</v>
      </c>
      <c r="AU57" s="29">
        <v>90</v>
      </c>
      <c r="AV57" s="29">
        <f t="shared" si="19"/>
        <v>0</v>
      </c>
      <c r="AW57" s="29">
        <f t="shared" si="20"/>
        <v>320804.8689525979</v>
      </c>
    </row>
    <row r="58" spans="2:49" x14ac:dyDescent="0.15">
      <c r="M58" s="16">
        <v>13</v>
      </c>
      <c r="N58" s="14">
        <f>基础状态预期!D71</f>
        <v>64.781009552500748</v>
      </c>
      <c r="O58" s="14">
        <f>IF(基础状态预期!Q71="",0,求节点($C$31:$C$36,E$31:E$36,基础状态预期!Q71)*基础状态预期!G71)</f>
        <v>0</v>
      </c>
      <c r="P58" s="14">
        <f>IF(基础状态预期!R71="",0,求节点($C$31:$C$36,F$31:F$36,基础状态预期!R71)*基础状态预期!H71)</f>
        <v>0</v>
      </c>
      <c r="Q58" s="14">
        <f>IF(基础状态预期!S71="",0,求节点($C$31:$C$36,G$31:G$36,基础状态预期!S71)*基础状态预期!I71)</f>
        <v>48.28465375560107</v>
      </c>
      <c r="R58" s="14">
        <f>IF(基础状态预期!T71="",0,求节点($C$31:$C$36,H$31:H$36,基础状态预期!T71)*基础状态预期!J71)</f>
        <v>58.926980633401605</v>
      </c>
      <c r="S58" s="14"/>
      <c r="T58" s="14">
        <f>IF(基础状态预期!P71="",0,求节点($C$40:$C$45,D$40:D$45,基础状态预期!P71))</f>
        <v>0</v>
      </c>
      <c r="U58" s="14">
        <f>IF(基础状态预期!Q71="",0,求节点($C$40:$C$45,E$40:E$45,基础状态预期!Q71))</f>
        <v>0</v>
      </c>
      <c r="V58" s="14">
        <f>IF(基础状态预期!R71="",0,求节点($C$40:$C$45,F$40:F$45,基础状态预期!R71))</f>
        <v>0</v>
      </c>
      <c r="W58" s="14">
        <f>IF(基础状态预期!S71="",0,求节点($C$40:$C$45,G$40:G$45,基础状态预期!S71))</f>
        <v>1718976.9170400717</v>
      </c>
      <c r="X58" s="14">
        <f>IF(基础状态预期!T71="",0,求节点($C$40:$C$45,H$40:H$45,基础状态预期!T71))</f>
        <v>5156930.7511202144</v>
      </c>
      <c r="Y58" s="14">
        <f>MAX(SUMPRODUCT(T58:X58,基础状态预期!F71:J71),Y57)</f>
        <v>20627723.004480861</v>
      </c>
      <c r="AC58" s="29">
        <v>100</v>
      </c>
      <c r="AD58" s="29">
        <v>0</v>
      </c>
      <c r="AE58" s="29">
        <v>0</v>
      </c>
      <c r="AF58" s="29">
        <v>0</v>
      </c>
      <c r="AG58" s="29">
        <v>0</v>
      </c>
      <c r="AH58" s="29">
        <f>AD58*(INDEX([2]非r将兵属性验证!$S$7:$S$166,$AC58,1)+INDEX([2]非r将兵属性验证!$AG$7:$AG$166,$AC58,1))</f>
        <v>0</v>
      </c>
      <c r="AI58" s="29">
        <f>AE58*INDEX([2]非r将兵属性验证!T$7:T$166,$AC58,1)</f>
        <v>0</v>
      </c>
      <c r="AJ58" s="29">
        <f>AF58*INDEX([2]非r将兵属性验证!U$7:U$166,$AC58,1)</f>
        <v>0</v>
      </c>
      <c r="AK58" s="29">
        <f>AG58*INDEX([2]非r将兵属性验证!$AM$7:$AM$166,$AC58,1)</f>
        <v>0</v>
      </c>
      <c r="AL58" s="14">
        <f t="shared" si="21"/>
        <v>0</v>
      </c>
      <c r="AP58" s="29">
        <f t="shared" si="22"/>
        <v>64.781009552500748</v>
      </c>
      <c r="AQ58" s="14"/>
      <c r="AR58" s="14">
        <f t="shared" si="23"/>
        <v>20627723.004480861</v>
      </c>
      <c r="AS58" s="14">
        <f>(AR58-AR57)*INDEX('[1]功能-付费相关'!$AR$6:$AR$165,$AP58,1)+AS57</f>
        <v>26554.838354959746</v>
      </c>
      <c r="AU58" s="29">
        <v>100</v>
      </c>
      <c r="AV58" s="29">
        <f t="shared" si="19"/>
        <v>0</v>
      </c>
      <c r="AW58" s="29">
        <f t="shared" si="20"/>
        <v>551002.12772272038</v>
      </c>
    </row>
    <row r="59" spans="2:49" x14ac:dyDescent="0.15">
      <c r="M59" s="16">
        <v>14</v>
      </c>
      <c r="N59" s="14">
        <f>基础状态预期!D72</f>
        <v>68.923431594456531</v>
      </c>
      <c r="O59" s="14">
        <f>IF(基础状态预期!Q72="",0,求节点($C$31:$C$36,E$31:E$36,基础状态预期!Q72)*基础状态预期!G72)</f>
        <v>0</v>
      </c>
      <c r="P59" s="14">
        <f>IF(基础状态预期!R72="",0,求节点($C$31:$C$36,F$31:F$36,基础状态预期!R72)*基础状态预期!H72)</f>
        <v>0</v>
      </c>
      <c r="Q59" s="14">
        <f>IF(基础状态预期!S72="",0,求节点($C$31:$C$36,G$31:G$36,基础状态预期!S72)*基础状态预期!I72)</f>
        <v>36.166494330678269</v>
      </c>
      <c r="R59" s="14">
        <f>IF(基础状态预期!T72="",0,求节点($C$31:$C$36,H$31:H$36,基础状态预期!T72)*基础状态预期!J72)</f>
        <v>90.499482992034814</v>
      </c>
      <c r="S59" s="14"/>
      <c r="T59" s="14">
        <f>IF(基础状态预期!P72="",0,求节点($C$40:$C$45,D$40:D$45,基础状态预期!P72))</f>
        <v>0</v>
      </c>
      <c r="U59" s="14">
        <f>IF(基础状态预期!Q72="",0,求节点($C$40:$C$45,E$40:E$45,基础状态预期!Q72))</f>
        <v>0</v>
      </c>
      <c r="V59" s="14">
        <f>IF(基础状态预期!R72="",0,求节点($C$40:$C$45,F$40:F$45,基础状态预期!R72))</f>
        <v>0</v>
      </c>
      <c r="W59" s="14">
        <f>IF(基础状态预期!S72="",0,求节点($C$40:$C$45,G$40:G$45,基础状态预期!S72))</f>
        <v>2116649.4330678266</v>
      </c>
      <c r="X59" s="14">
        <f>IF(基础状态预期!T72="",0,求节点($C$40:$C$45,H$40:H$45,基础状态预期!T72))</f>
        <v>6349948.2992034806</v>
      </c>
      <c r="Y59" s="14">
        <f>MAX(SUMPRODUCT(T59:X59,基础状态预期!F72:J72),Y58)</f>
        <v>29633092.062949575</v>
      </c>
      <c r="AC59" s="29">
        <v>110</v>
      </c>
      <c r="AD59" s="29">
        <v>0</v>
      </c>
      <c r="AE59" s="29">
        <v>0</v>
      </c>
      <c r="AF59" s="29">
        <v>0</v>
      </c>
      <c r="AG59" s="29">
        <v>0</v>
      </c>
      <c r="AH59" s="29">
        <f>AD59*(INDEX([2]非r将兵属性验证!$S$7:$S$166,$AC59,1)+INDEX([2]非r将兵属性验证!$AG$7:$AG$166,$AC59,1))</f>
        <v>0</v>
      </c>
      <c r="AI59" s="29">
        <f>AE59*INDEX([2]非r将兵属性验证!T$7:T$166,$AC59,1)</f>
        <v>0</v>
      </c>
      <c r="AJ59" s="29">
        <f>AF59*INDEX([2]非r将兵属性验证!U$7:U$166,$AC59,1)</f>
        <v>0</v>
      </c>
      <c r="AK59" s="29">
        <f>AG59*INDEX([2]非r将兵属性验证!$AM$7:$AM$166,$AC59,1)</f>
        <v>0</v>
      </c>
      <c r="AL59" s="14">
        <f t="shared" ref="AL59:AL64" si="24">SUM(AH59:AK59)</f>
        <v>0</v>
      </c>
      <c r="AP59" s="29">
        <f t="shared" si="22"/>
        <v>68.923431594456531</v>
      </c>
      <c r="AQ59" s="14"/>
      <c r="AR59" s="14">
        <f t="shared" si="23"/>
        <v>29633092.062949575</v>
      </c>
      <c r="AS59" s="14">
        <f>(AR59-AR58)*INDEX('[1]功能-付费相关'!$AR$6:$AR$165,$AP59,1)+AS58</f>
        <v>36977.719209668903</v>
      </c>
      <c r="AU59" s="29">
        <v>110</v>
      </c>
      <c r="AV59" s="29">
        <f t="shared" ref="AV59:AV64" si="25">求节点($AP$49:$AP$87,AQ$49:AQ$87,$AU59)</f>
        <v>0</v>
      </c>
      <c r="AW59" s="29">
        <f t="shared" ref="AW59:AW64" si="26">求节点($AP$49:$AP$87,AS$49:AS$87,$AU59)</f>
        <v>2542255.2125301454</v>
      </c>
    </row>
    <row r="60" spans="2:49" x14ac:dyDescent="0.15">
      <c r="M60" s="16">
        <v>15</v>
      </c>
      <c r="N60" s="14">
        <f>基础状态预期!D73</f>
        <v>72.103942950990486</v>
      </c>
      <c r="O60" s="14">
        <f>IF(基础状态预期!Q73="",0,求节点($C$31:$C$36,E$31:E$36,基础状态预期!Q73)*基础状态预期!G73)</f>
        <v>0</v>
      </c>
      <c r="P60" s="14">
        <f>IF(基础状态预期!R73="",0,求节点($C$31:$C$36,F$31:F$36,基础状态预期!R73)*基础状态预期!H73)</f>
        <v>0</v>
      </c>
      <c r="Q60" s="14">
        <f>IF(基础状态预期!S73="",0,求节点($C$31:$C$36,G$31:G$36,基础状态预期!S73)*基础状态预期!I73)</f>
        <v>19.609892616475435</v>
      </c>
      <c r="R60" s="14">
        <f>IF(基础状态预期!T73="",0,求节点($C$31:$C$36,H$31:H$36,基础状态预期!T73)*基础状态预期!J73)</f>
        <v>124.57419462356575</v>
      </c>
      <c r="S60" s="14"/>
      <c r="T60" s="14">
        <f>IF(基础状态预期!P73="",0,求节点($C$40:$C$45,D$40:D$45,基础状态预期!P73))</f>
        <v>0</v>
      </c>
      <c r="U60" s="14">
        <f>IF(基础状态预期!Q73="",0,求节点($C$40:$C$45,E$40:E$45,基础状态预期!Q73))</f>
        <v>0</v>
      </c>
      <c r="V60" s="14">
        <f>IF(基础状态预期!R73="",0,求节点($C$40:$C$45,F$40:F$45,基础状态预期!R73))</f>
        <v>0</v>
      </c>
      <c r="W60" s="14">
        <f>IF(基础状态预期!S73="",0,求节点($C$40:$C$45,G$40:G$45,基础状态预期!S73))</f>
        <v>2421978.5232950863</v>
      </c>
      <c r="X60" s="14">
        <f>IF(基础状态预期!T73="",0,求节点($C$40:$C$45,H$40:H$45,基础状态预期!T73))</f>
        <v>7265935.5698852595</v>
      </c>
      <c r="Y60" s="14">
        <f>MAX(SUMPRODUCT(T60:X60,基础状态预期!F73:J73),Y59)</f>
        <v>38751656.372721389</v>
      </c>
      <c r="AC60" s="29">
        <v>120</v>
      </c>
      <c r="AD60" s="29">
        <v>0</v>
      </c>
      <c r="AE60" s="29">
        <v>0</v>
      </c>
      <c r="AF60" s="29">
        <v>0</v>
      </c>
      <c r="AG60" s="29">
        <v>0</v>
      </c>
      <c r="AH60" s="29">
        <f>AD60*(INDEX([2]非r将兵属性验证!$S$7:$S$166,$AC60,1)+INDEX([2]非r将兵属性验证!$AG$7:$AG$166,$AC60,1))</f>
        <v>0</v>
      </c>
      <c r="AI60" s="29">
        <f>AE60*INDEX([2]非r将兵属性验证!T$7:T$166,$AC60,1)</f>
        <v>0</v>
      </c>
      <c r="AJ60" s="29">
        <f>AF60*INDEX([2]非r将兵属性验证!U$7:U$166,$AC60,1)</f>
        <v>0</v>
      </c>
      <c r="AK60" s="29">
        <f>AG60*INDEX([2]非r将兵属性验证!$AM$7:$AM$166,$AC60,1)</f>
        <v>0</v>
      </c>
      <c r="AL60" s="14">
        <f t="shared" si="24"/>
        <v>0</v>
      </c>
      <c r="AP60" s="29">
        <f t="shared" si="22"/>
        <v>72.103942950990486</v>
      </c>
      <c r="AQ60" s="14"/>
      <c r="AR60" s="14">
        <f t="shared" si="23"/>
        <v>38751656.372721389</v>
      </c>
      <c r="AS60" s="14">
        <f>(AR60-AR59)*INDEX('[1]功能-付费相关'!$AR$6:$AR$165,$AP60,1)+AS59</f>
        <v>47154.688305396376</v>
      </c>
      <c r="AU60" s="29">
        <v>120</v>
      </c>
      <c r="AV60" s="29">
        <f t="shared" si="25"/>
        <v>0</v>
      </c>
      <c r="AW60" s="29">
        <f t="shared" si="26"/>
        <v>4475430.9610425662</v>
      </c>
    </row>
    <row r="61" spans="2:49" x14ac:dyDescent="0.15">
      <c r="M61" s="16">
        <v>16</v>
      </c>
      <c r="N61" s="14">
        <f>基础状态预期!D74</f>
        <v>74.74003809013405</v>
      </c>
      <c r="O61" s="14">
        <f>IF(基础状态预期!Q74="",0,求节点($C$31:$C$36,E$31:E$36,基础状态预期!Q74)*基础状态预期!G74)</f>
        <v>0</v>
      </c>
      <c r="P61" s="14">
        <f>IF(基础状态预期!R74="",0,求节点($C$31:$C$36,F$31:F$36,基础状态预期!R74)*基础状态预期!H74)</f>
        <v>0</v>
      </c>
      <c r="Q61" s="14">
        <f>IF(基础状态预期!S74="",0,求节点($C$31:$C$36,G$31:G$36,基础状态预期!S74)*基础状态预期!I74)</f>
        <v>10.437609141632173</v>
      </c>
      <c r="R61" s="14">
        <f>IF(基础状态预期!T74="",0,求节点($C$31:$C$36,H$31:H$36,基础状态预期!T74)*基础状态预期!J74)</f>
        <v>147.47055083693084</v>
      </c>
      <c r="S61" s="14"/>
      <c r="T61" s="14">
        <f>IF(基础状态预期!P74="",0,求节点($C$40:$C$45,D$40:D$45,基础状态预期!P74))</f>
        <v>0</v>
      </c>
      <c r="U61" s="14">
        <f>IF(基础状态预期!Q74="",0,求节点($C$40:$C$45,E$40:E$45,基础状态预期!Q74))</f>
        <v>0</v>
      </c>
      <c r="V61" s="14">
        <f>IF(基础状态预期!R74="",0,求节点($C$40:$C$45,F$40:F$45,基础状态预期!R74))</f>
        <v>0</v>
      </c>
      <c r="W61" s="14">
        <f>IF(基础状态预期!S74="",0,求节点($C$40:$C$45,G$40:G$45,基础状态预期!S74))</f>
        <v>2675043.6566528692</v>
      </c>
      <c r="X61" s="14">
        <f>IF(基础状态预期!T74="",0,求节点($C$40:$C$45,H$40:H$45,基础状态预期!T74))</f>
        <v>8025130.9699586071</v>
      </c>
      <c r="Y61" s="14">
        <f>MAX(SUMPRODUCT(T61:X61,基础状态预期!F74:J74),Y60)</f>
        <v>45475742.163098775</v>
      </c>
      <c r="AC61" s="29">
        <v>130</v>
      </c>
      <c r="AD61" s="29">
        <v>0</v>
      </c>
      <c r="AE61" s="29">
        <v>0</v>
      </c>
      <c r="AF61" s="29">
        <v>0</v>
      </c>
      <c r="AG61" s="29">
        <v>0</v>
      </c>
      <c r="AH61" s="29">
        <f>AD61*(INDEX([2]非r将兵属性验证!$S$7:$S$166,$AC61,1)+INDEX([2]非r将兵属性验证!$AG$7:$AG$166,$AC61,1))</f>
        <v>0</v>
      </c>
      <c r="AI61" s="29">
        <f>AE61*INDEX([2]非r将兵属性验证!T$7:T$166,$AC61,1)</f>
        <v>0</v>
      </c>
      <c r="AJ61" s="29">
        <f>AF61*INDEX([2]非r将兵属性验证!U$7:U$166,$AC61,1)</f>
        <v>0</v>
      </c>
      <c r="AK61" s="29">
        <f>AG61*INDEX([2]非r将兵属性验证!$AM$7:$AM$166,$AC61,1)</f>
        <v>0</v>
      </c>
      <c r="AL61" s="14">
        <f t="shared" si="24"/>
        <v>0</v>
      </c>
      <c r="AP61" s="29">
        <f t="shared" si="22"/>
        <v>74.74003809013405</v>
      </c>
      <c r="AQ61" s="14"/>
      <c r="AR61" s="14">
        <f t="shared" si="23"/>
        <v>45475742.163098775</v>
      </c>
      <c r="AS61" s="14">
        <f>(AR61-AR60)*INDEX('[1]功能-付费相关'!$AR$6:$AR$165,$AP61,1)+AS60</f>
        <v>54527.589391336493</v>
      </c>
      <c r="AU61" s="29">
        <v>130</v>
      </c>
      <c r="AV61" s="29">
        <f t="shared" si="25"/>
        <v>0</v>
      </c>
      <c r="AW61" s="29">
        <f t="shared" si="26"/>
        <v>5398597.8579353746</v>
      </c>
    </row>
    <row r="62" spans="2:49" x14ac:dyDescent="0.15">
      <c r="M62" s="16">
        <v>17</v>
      </c>
      <c r="N62" s="14">
        <f>基础状态预期!D75</f>
        <v>77.609642525433856</v>
      </c>
      <c r="O62" s="14">
        <f>IF(基础状态预期!Q75="",0,求节点($C$31:$C$36,E$31:E$36,基础状态预期!Q75)*基础状态预期!G75)</f>
        <v>0</v>
      </c>
      <c r="P62" s="14">
        <f>IF(基础状态预期!R75="",0,求节点($C$31:$C$36,F$31:F$36,基础状态预期!R75)*基础状态预期!H75)</f>
        <v>0</v>
      </c>
      <c r="Q62" s="14">
        <f>IF(基础状态预期!S75="",0,求节点($C$31:$C$36,G$31:G$36,基础状态预期!S75)*基础状态预期!I75)</f>
        <v>0</v>
      </c>
      <c r="R62" s="14">
        <f>IF(基础状态预期!T75="",0,求节点($C$31:$C$36,H$31:H$36,基础状态预期!T75)*基础状态预期!J75)</f>
        <v>180.78942618312374</v>
      </c>
      <c r="S62" s="14"/>
      <c r="T62" s="14">
        <f>IF(基础状态预期!P75="",0,求节点($C$40:$C$45,D$40:D$45,基础状态预期!P75))</f>
        <v>0</v>
      </c>
      <c r="U62" s="14">
        <f>IF(基础状态预期!Q75="",0,求节点($C$40:$C$45,E$40:E$45,基础状态预期!Q75))</f>
        <v>0</v>
      </c>
      <c r="V62" s="14">
        <f>IF(基础状态预期!R75="",0,求节点($C$40:$C$45,F$40:F$45,基础状态预期!R75))</f>
        <v>0</v>
      </c>
      <c r="W62" s="14">
        <f>IF(基础状态预期!S75="",0,求节点($C$40:$C$45,G$40:G$45,基础状态预期!S75))</f>
        <v>0</v>
      </c>
      <c r="X62" s="14">
        <f>IF(基础状态预期!T75="",0,求节点($C$40:$C$45,H$40:H$45,基础状态预期!T75))</f>
        <v>15615770.473249495</v>
      </c>
      <c r="Y62" s="14">
        <f>MAX(SUMPRODUCT(T62:X62,基础状态预期!F75:J75),Y61)</f>
        <v>93694622.83949697</v>
      </c>
      <c r="AC62" s="29">
        <v>140</v>
      </c>
      <c r="AD62" s="29">
        <v>0</v>
      </c>
      <c r="AE62" s="29">
        <v>0</v>
      </c>
      <c r="AF62" s="29">
        <v>0</v>
      </c>
      <c r="AG62" s="29">
        <v>0</v>
      </c>
      <c r="AH62" s="29">
        <f>AD62*(INDEX([2]非r将兵属性验证!$S$7:$S$166,$AC62,1)+INDEX([2]非r将兵属性验证!$AG$7:$AG$166,$AC62,1))</f>
        <v>0</v>
      </c>
      <c r="AI62" s="29">
        <f>AE62*INDEX([2]非r将兵属性验证!T$7:T$166,$AC62,1)</f>
        <v>0</v>
      </c>
      <c r="AJ62" s="29">
        <f>AF62*INDEX([2]非r将兵属性验证!U$7:U$166,$AC62,1)</f>
        <v>0</v>
      </c>
      <c r="AK62" s="29">
        <f>AG62*INDEX([2]非r将兵属性验证!$AM$7:$AM$166,$AC62,1)</f>
        <v>0</v>
      </c>
      <c r="AL62" s="14">
        <f t="shared" si="24"/>
        <v>0</v>
      </c>
      <c r="AP62" s="29">
        <f t="shared" si="22"/>
        <v>77.609642525433856</v>
      </c>
      <c r="AQ62" s="14"/>
      <c r="AR62" s="14">
        <f t="shared" si="23"/>
        <v>93694622.83949697</v>
      </c>
      <c r="AS62" s="14">
        <f>(AR62-AR61)*INDEX('[1]功能-付费相关'!$AR$6:$AR$165,$AP62,1)+AS61</f>
        <v>106043.48754988158</v>
      </c>
      <c r="AU62" s="29">
        <v>140</v>
      </c>
      <c r="AV62" s="29">
        <f t="shared" si="25"/>
        <v>0</v>
      </c>
      <c r="AW62" s="29">
        <f t="shared" si="26"/>
        <v>5398597.8579353746</v>
      </c>
    </row>
    <row r="63" spans="2:49" x14ac:dyDescent="0.15">
      <c r="M63" s="16">
        <v>18</v>
      </c>
      <c r="N63" s="14">
        <f>基础状态预期!D76</f>
        <v>79.994335665275713</v>
      </c>
      <c r="O63" s="14">
        <f>IF(基础状态预期!Q76="",0,求节点($C$31:$C$36,E$31:E$36,基础状态预期!Q76)*基础状态预期!G76)</f>
        <v>0</v>
      </c>
      <c r="P63" s="14">
        <f>IF(基础状态预期!R76="",0,求节点($C$31:$C$36,F$31:F$36,基础状态预期!R76)*基础状态预期!H76)</f>
        <v>0</v>
      </c>
      <c r="Q63" s="14">
        <f>IF(基础状态预期!S76="",0,求节点($C$31:$C$36,G$31:G$36,基础状态预期!S76)*基础状态预期!I76)</f>
        <v>0</v>
      </c>
      <c r="R63" s="14">
        <f>IF(基础状态预期!T76="",0,求节点($C$31:$C$36,H$31:H$36,基础状态预期!T76)*基础状态预期!J76)</f>
        <v>197.95921678998519</v>
      </c>
      <c r="S63" s="14"/>
      <c r="T63" s="14">
        <f>IF(基础状态预期!P76="",0,求节点($C$40:$C$45,D$40:D$45,基础状态预期!P76))</f>
        <v>0</v>
      </c>
      <c r="U63" s="14">
        <f>IF(基础状态预期!Q76="",0,求节点($C$40:$C$45,E$40:E$45,基础状态预期!Q76))</f>
        <v>0</v>
      </c>
      <c r="V63" s="14">
        <f>IF(基础状态预期!R76="",0,求节点($C$40:$C$45,F$40:F$45,基础状态预期!R76))</f>
        <v>0</v>
      </c>
      <c r="W63" s="14">
        <f>IF(基础状态预期!S76="",0,求节点($C$40:$C$45,G$40:G$45,基础状态预期!S76))</f>
        <v>0</v>
      </c>
      <c r="X63" s="14">
        <f>IF(基础状态预期!T76="",0,求节点($C$40:$C$45,H$40:H$45,基础状态预期!T76))</f>
        <v>22483686.715994067</v>
      </c>
      <c r="Y63" s="14">
        <f>MAX(SUMPRODUCT(T63:X63,基础状态预期!F76:J76),Y62)</f>
        <v>134902120.29596442</v>
      </c>
      <c r="AC63" s="29">
        <v>150</v>
      </c>
      <c r="AD63" s="29">
        <v>0</v>
      </c>
      <c r="AE63" s="29">
        <v>0</v>
      </c>
      <c r="AF63" s="29">
        <v>0</v>
      </c>
      <c r="AG63" s="29">
        <v>0</v>
      </c>
      <c r="AH63" s="29">
        <f>AD63*(INDEX([2]非r将兵属性验证!$S$7:$S$166,$AC63,1)+INDEX([2]非r将兵属性验证!$AG$7:$AG$166,$AC63,1))</f>
        <v>0</v>
      </c>
      <c r="AI63" s="29">
        <f>AE63*INDEX([2]非r将兵属性验证!T$7:T$166,$AC63,1)</f>
        <v>0</v>
      </c>
      <c r="AJ63" s="29">
        <f>AF63*INDEX([2]非r将兵属性验证!U$7:U$166,$AC63,1)</f>
        <v>0</v>
      </c>
      <c r="AK63" s="29">
        <f>AG63*INDEX([2]非r将兵属性验证!$AM$7:$AM$166,$AC63,1)</f>
        <v>0</v>
      </c>
      <c r="AL63" s="14">
        <f t="shared" si="24"/>
        <v>0</v>
      </c>
      <c r="AP63" s="29">
        <f t="shared" si="22"/>
        <v>79.994335665275713</v>
      </c>
      <c r="AQ63" s="14"/>
      <c r="AR63" s="14">
        <f t="shared" si="23"/>
        <v>134902120.29596442</v>
      </c>
      <c r="AS63" s="14">
        <f>(AR63-AR62)*INDEX('[1]功能-付费相关'!$AR$6:$AR$165,$AP63,1)+AS62</f>
        <v>149328.67395373393</v>
      </c>
      <c r="AU63" s="29">
        <v>150</v>
      </c>
      <c r="AV63" s="29">
        <f t="shared" si="25"/>
        <v>0</v>
      </c>
      <c r="AW63" s="29">
        <f t="shared" si="26"/>
        <v>5398597.8579353746</v>
      </c>
    </row>
    <row r="64" spans="2:49" x14ac:dyDescent="0.15">
      <c r="M64" s="16">
        <v>19</v>
      </c>
      <c r="N64" s="14">
        <f>基础状态预期!D77</f>
        <v>82.100546804797787</v>
      </c>
      <c r="O64" s="14">
        <f>IF(基础状态预期!Q77="",0,求节点($C$31:$C$36,E$31:E$36,基础状态预期!Q77)*基础状态预期!G77)</f>
        <v>0</v>
      </c>
      <c r="P64" s="14">
        <f>IF(基础状态预期!R77="",0,求节点($C$31:$C$36,F$31:F$36,基础状态预期!R77)*基础状态预期!H77)</f>
        <v>0</v>
      </c>
      <c r="Q64" s="14">
        <f>IF(基础状态预期!S77="",0,求节点($C$31:$C$36,G$31:G$36,基础状态预期!S77)*基础状态预期!I77)</f>
        <v>0</v>
      </c>
      <c r="R64" s="14">
        <f>IF(基础状态预期!T77="",0,求节点($C$31:$C$36,H$31:H$36,基础状态预期!T77)*基础状态预期!J77)</f>
        <v>213.12393699454412</v>
      </c>
      <c r="S64" s="14"/>
      <c r="T64" s="14">
        <f>IF(基础状态预期!P77="",0,求节点($C$40:$C$45,D$40:D$45,基础状态预期!P77))</f>
        <v>0</v>
      </c>
      <c r="U64" s="14">
        <f>IF(基础状态预期!Q77="",0,求节点($C$40:$C$45,E$40:E$45,基础状态预期!Q77))</f>
        <v>0</v>
      </c>
      <c r="V64" s="14">
        <f>IF(基础状态预期!R77="",0,求节点($C$40:$C$45,F$40:F$45,基础状态预期!R77))</f>
        <v>0</v>
      </c>
      <c r="W64" s="14">
        <f>IF(基础状态预期!S77="",0,求节点($C$40:$C$45,G$40:G$45,基础状态预期!S77))</f>
        <v>0</v>
      </c>
      <c r="X64" s="14">
        <f>IF(基础状态预期!T77="",0,求节点($C$40:$C$45,H$40:H$45,基础状态预期!T77))</f>
        <v>28549574.79781764</v>
      </c>
      <c r="Y64" s="14">
        <f>MAX(SUMPRODUCT(T64:X64,基础状态预期!F77:J77),Y63)</f>
        <v>171297448.78690583</v>
      </c>
      <c r="AC64" s="29">
        <v>160</v>
      </c>
      <c r="AD64" s="29">
        <v>0</v>
      </c>
      <c r="AE64" s="29">
        <v>0</v>
      </c>
      <c r="AF64" s="29">
        <v>0</v>
      </c>
      <c r="AG64" s="29">
        <v>0</v>
      </c>
      <c r="AH64" s="29">
        <f>AD64*(INDEX([2]非r将兵属性验证!$S$7:$S$166,$AC64,1)+INDEX([2]非r将兵属性验证!$AG$7:$AG$166,$AC64,1))</f>
        <v>0</v>
      </c>
      <c r="AI64" s="29">
        <f>AE64*INDEX([2]非r将兵属性验证!T$7:T$166,$AC64,1)</f>
        <v>0</v>
      </c>
      <c r="AJ64" s="29">
        <f>AF64*INDEX([2]非r将兵属性验证!U$7:U$166,$AC64,1)</f>
        <v>0</v>
      </c>
      <c r="AK64" s="29">
        <f>AG64*INDEX([2]非r将兵属性验证!$AM$7:$AM$166,$AC64,1)</f>
        <v>0</v>
      </c>
      <c r="AL64" s="14">
        <f t="shared" si="24"/>
        <v>0</v>
      </c>
      <c r="AP64" s="29">
        <f t="shared" si="22"/>
        <v>82.100546804797787</v>
      </c>
      <c r="AQ64" s="14"/>
      <c r="AR64" s="14">
        <f t="shared" si="23"/>
        <v>171297448.78690583</v>
      </c>
      <c r="AS64" s="14">
        <f>(AR64-AR63)*INDEX('[1]功能-付费相关'!$AR$6:$AR$165,$AP64,1)+AS63</f>
        <v>186618.96953871488</v>
      </c>
      <c r="AU64" s="29">
        <v>160</v>
      </c>
      <c r="AV64" s="29">
        <f t="shared" si="25"/>
        <v>0</v>
      </c>
      <c r="AW64" s="29">
        <f t="shared" si="26"/>
        <v>5398597.8579353746</v>
      </c>
    </row>
    <row r="65" spans="13:45" x14ac:dyDescent="0.15">
      <c r="M65" s="16">
        <v>20</v>
      </c>
      <c r="N65" s="14">
        <f>基础状态预期!D78</f>
        <v>83.885420957389968</v>
      </c>
      <c r="O65" s="14">
        <f>IF(基础状态预期!Q78="",0,求节点($C$31:$C$36,E$31:E$36,基础状态预期!Q78)*基础状态预期!G78)</f>
        <v>0</v>
      </c>
      <c r="P65" s="14">
        <f>IF(基础状态预期!R78="",0,求节点($C$31:$C$36,F$31:F$36,基础状态预期!R78)*基础状态预期!H78)</f>
        <v>0</v>
      </c>
      <c r="Q65" s="14">
        <f>IF(基础状态预期!S78="",0,求节点($C$31:$C$36,G$31:G$36,基础状态预期!S78)*基础状态预期!I78)</f>
        <v>0</v>
      </c>
      <c r="R65" s="14">
        <f>IF(基础状态预期!T78="",0,求节点($C$31:$C$36,H$31:H$36,基础状态预期!T78)*基础状态预期!J78)</f>
        <v>225.97503089320779</v>
      </c>
      <c r="S65" s="14"/>
      <c r="T65" s="14">
        <f>IF(基础状态预期!P78="",0,求节点($C$40:$C$45,D$40:D$45,基础状态预期!P78))</f>
        <v>0</v>
      </c>
      <c r="U65" s="14">
        <f>IF(基础状态预期!Q78="",0,求节点($C$40:$C$45,E$40:E$45,基础状态预期!Q78))</f>
        <v>0</v>
      </c>
      <c r="V65" s="14">
        <f>IF(基础状态预期!R78="",0,求节点($C$40:$C$45,F$40:F$45,基础状态预期!R78))</f>
        <v>0</v>
      </c>
      <c r="W65" s="14">
        <f>IF(基础状态预期!S78="",0,求节点($C$40:$C$45,G$40:G$45,基础状态预期!S78))</f>
        <v>0</v>
      </c>
      <c r="X65" s="14">
        <f>IF(基础状态预期!T78="",0,求节点($C$40:$C$45,H$40:H$45,基础状态预期!T78))</f>
        <v>33690012.3572831</v>
      </c>
      <c r="Y65" s="14">
        <f>MAX(SUMPRODUCT(T65:X65,基础状态预期!F78:J78),Y64)</f>
        <v>202140074.1436986</v>
      </c>
      <c r="AP65" s="29">
        <f t="shared" si="22"/>
        <v>83.885420957389968</v>
      </c>
      <c r="AQ65" s="14"/>
      <c r="AR65" s="14">
        <f t="shared" si="23"/>
        <v>202140074.1436986</v>
      </c>
      <c r="AS65" s="14">
        <f>(AR65-AR64)*INDEX('[1]功能-付费相关'!$AR$6:$AR$165,$AP65,1)+AS64</f>
        <v>217963.10099887016</v>
      </c>
    </row>
    <row r="66" spans="13:45" x14ac:dyDescent="0.15">
      <c r="M66" s="16">
        <v>21</v>
      </c>
      <c r="N66" s="14">
        <f>基础状态预期!D79</f>
        <v>86.247032860782397</v>
      </c>
      <c r="O66" s="14">
        <f>IF(基础状态预期!Q79="",0,求节点($C$31:$C$36,E$31:E$36,基础状态预期!Q79)*基础状态预期!G79)</f>
        <v>0</v>
      </c>
      <c r="P66" s="14">
        <f>IF(基础状态预期!R79="",0,求节点($C$31:$C$36,F$31:F$36,基础状态预期!R79)*基础状态预期!H79)</f>
        <v>0</v>
      </c>
      <c r="Q66" s="14">
        <f>IF(基础状态预期!S79="",0,求节点($C$31:$C$36,G$31:G$36,基础状态预期!S79)*基础状态预期!I79)</f>
        <v>0</v>
      </c>
      <c r="R66" s="14">
        <f>IF(基础状态预期!T79="",0,求节点($C$31:$C$36,H$31:H$36,基础状态预期!T79)*基础状态预期!J79)</f>
        <v>242.97863659763331</v>
      </c>
      <c r="S66" s="14"/>
      <c r="T66" s="14">
        <f>IF(基础状态预期!P79="",0,求节点($C$40:$C$45,D$40:D$45,基础状态预期!P79))</f>
        <v>0</v>
      </c>
      <c r="U66" s="14">
        <f>IF(基础状态预期!Q79="",0,求节点($C$40:$C$45,E$40:E$45,基础状态预期!Q79))</f>
        <v>0</v>
      </c>
      <c r="V66" s="14">
        <f>IF(基础状态预期!R79="",0,求节点($C$40:$C$45,F$40:F$45,基础状态预期!R79))</f>
        <v>0</v>
      </c>
      <c r="W66" s="14">
        <f>IF(基础状态预期!S79="",0,求节点($C$40:$C$45,G$40:G$45,基础状态预期!S79))</f>
        <v>0</v>
      </c>
      <c r="X66" s="14">
        <f>IF(基础状态预期!T79="",0,求节点($C$40:$C$45,H$40:H$45,基础状态预期!T79))</f>
        <v>40491454.639053315</v>
      </c>
      <c r="Y66" s="14">
        <f>MAX(SUMPRODUCT(T66:X66,基础状态预期!F79:J79),Y65)</f>
        <v>242948727.83431989</v>
      </c>
      <c r="AP66" s="29">
        <f t="shared" si="22"/>
        <v>86.247032860782397</v>
      </c>
      <c r="AQ66" s="14"/>
      <c r="AR66" s="14">
        <f t="shared" si="23"/>
        <v>242948727.83431989</v>
      </c>
      <c r="AS66" s="14">
        <f>(AR66-AR65)*INDEX('[1]功能-付费相关'!$AR$6:$AR$165,$AP66,1)+AS65</f>
        <v>258447.87648559763</v>
      </c>
    </row>
    <row r="67" spans="13:45" x14ac:dyDescent="0.15">
      <c r="M67" s="16">
        <v>22</v>
      </c>
      <c r="N67" s="14">
        <f>基础状态预期!D80</f>
        <v>90.122782504866933</v>
      </c>
      <c r="O67" s="14">
        <f>IF(基础状态预期!Q80="",0,求节点($C$31:$C$36,E$31:E$36,基础状态预期!Q80)*基础状态预期!G80)</f>
        <v>0</v>
      </c>
      <c r="P67" s="14">
        <f>IF(基础状态预期!R80="",0,求节点($C$31:$C$36,F$31:F$36,基础状态预期!R80)*基础状态预期!H80)</f>
        <v>0</v>
      </c>
      <c r="Q67" s="14">
        <f>IF(基础状态预期!S80="",0,求节点($C$31:$C$36,G$31:G$36,基础状态预期!S80)*基础状态预期!I80)</f>
        <v>0</v>
      </c>
      <c r="R67" s="14">
        <f>IF(基础状态预期!T80="",0,求节点($C$31:$C$36,H$31:H$36,基础状态预期!T80)*基础状态预期!J80)</f>
        <v>270.88403403504196</v>
      </c>
      <c r="S67" s="14"/>
      <c r="T67" s="14">
        <f>IF(基础状态预期!P80="",0,求节点($C$40:$C$45,D$40:D$45,基础状态预期!P80))</f>
        <v>0</v>
      </c>
      <c r="U67" s="14">
        <f>IF(基础状态预期!Q80="",0,求节点($C$40:$C$45,E$40:E$45,基础状态预期!Q80))</f>
        <v>0</v>
      </c>
      <c r="V67" s="14">
        <f>IF(基础状态预期!R80="",0,求节点($C$40:$C$45,F$40:F$45,基础状态预期!R80))</f>
        <v>0</v>
      </c>
      <c r="W67" s="14">
        <f>IF(基础状态预期!S80="",0,求节点($C$40:$C$45,G$40:G$45,基础状态预期!S80))</f>
        <v>0</v>
      </c>
      <c r="X67" s="14">
        <f>IF(基础状态预期!T80="",0,求节点($C$40:$C$45,H$40:H$45,基础状态预期!T80))</f>
        <v>51653613.614016786</v>
      </c>
      <c r="Y67" s="14">
        <f>MAX(SUMPRODUCT(T67:X67,基础状态预期!F80:J80),Y66)</f>
        <v>309921681.68410075</v>
      </c>
      <c r="AP67" s="29">
        <f t="shared" si="22"/>
        <v>90.122782504866933</v>
      </c>
      <c r="AQ67" s="14"/>
      <c r="AR67" s="14">
        <f t="shared" si="23"/>
        <v>309921681.68410075</v>
      </c>
      <c r="AS67" s="14">
        <f>(AR67-AR66)*INDEX('[1]功能-付费相关'!$AR$6:$AR$165,$AP67,1)+AS66</f>
        <v>322844.9474950023</v>
      </c>
    </row>
    <row r="68" spans="13:45" x14ac:dyDescent="0.15">
      <c r="M68" s="16">
        <v>23</v>
      </c>
      <c r="N68" s="14">
        <f>基础状态预期!D81</f>
        <v>93.149045658279036</v>
      </c>
      <c r="O68" s="14">
        <f>IF(基础状态预期!Q81="",0,求节点($C$31:$C$36,E$31:E$36,基础状态预期!Q81)*基础状态预期!G81)</f>
        <v>0</v>
      </c>
      <c r="P68" s="14">
        <f>IF(基础状态预期!R81="",0,求节点($C$31:$C$36,F$31:F$36,基础状态预期!R81)*基础状态预期!H81)</f>
        <v>0</v>
      </c>
      <c r="Q68" s="14">
        <f>IF(基础状态预期!S81="",0,求节点($C$31:$C$36,G$31:G$36,基础状态预期!S81)*基础状态预期!I81)</f>
        <v>0</v>
      </c>
      <c r="R68" s="14">
        <f>IF(基础状态预期!T81="",0,求节点($C$31:$C$36,H$31:H$36,基础状态预期!T81)*基础状态预期!J81)</f>
        <v>292.67312873960907</v>
      </c>
      <c r="S68" s="14"/>
      <c r="T68" s="14">
        <f>IF(基础状态预期!P81="",0,求节点($C$40:$C$45,D$40:D$45,基础状态预期!P81))</f>
        <v>0</v>
      </c>
      <c r="U68" s="14">
        <f>IF(基础状态预期!Q81="",0,求节点($C$40:$C$45,E$40:E$45,基础状态预期!Q81))</f>
        <v>0</v>
      </c>
      <c r="V68" s="14">
        <f>IF(基础状态预期!R81="",0,求节点($C$40:$C$45,F$40:F$45,基础状态预期!R81))</f>
        <v>0</v>
      </c>
      <c r="W68" s="14">
        <f>IF(基础状态预期!S81="",0,求节点($C$40:$C$45,G$40:G$45,基础状态预期!S81))</f>
        <v>0</v>
      </c>
      <c r="X68" s="14">
        <f>IF(基础状态预期!T81="",0,求节点($C$40:$C$45,H$40:H$45,基础状态预期!T81))</f>
        <v>60369251.495843634</v>
      </c>
      <c r="Y68" s="14">
        <f>MAX(SUMPRODUCT(T68:X68,基础状态预期!F81:J81),Y67)</f>
        <v>362215508.97506177</v>
      </c>
      <c r="AP68" s="29">
        <f t="shared" si="22"/>
        <v>93.149045658279036</v>
      </c>
      <c r="AQ68" s="14"/>
      <c r="AR68" s="14">
        <f t="shared" si="23"/>
        <v>362215508.97506177</v>
      </c>
      <c r="AS68" s="14">
        <f>(AR68-AR67)*INDEX('[1]功能-付费相关'!$AR$6:$AR$165,$AP68,1)+AS67</f>
        <v>371993.28141507844</v>
      </c>
    </row>
    <row r="69" spans="13:45" x14ac:dyDescent="0.15">
      <c r="M69" s="16">
        <v>24</v>
      </c>
      <c r="N69" s="14">
        <f>基础状态预期!D82</f>
        <v>96.770480813454071</v>
      </c>
      <c r="O69" s="14">
        <f>IF(基础状态预期!Q82="",0,求节点($C$31:$C$36,E$31:E$36,基础状态预期!Q82)*基础状态预期!G82)</f>
        <v>0</v>
      </c>
      <c r="P69" s="14">
        <f>IF(基础状态预期!R82="",0,求节点($C$31:$C$36,F$31:F$36,基础状态预期!R82)*基础状态预期!H82)</f>
        <v>0</v>
      </c>
      <c r="Q69" s="14">
        <f>IF(基础状态预期!S82="",0,求节点($C$31:$C$36,G$31:G$36,基础状态预期!S82)*基础状态预期!I82)</f>
        <v>0</v>
      </c>
      <c r="R69" s="14">
        <f>IF(基础状态预期!T82="",0,求节点($C$31:$C$36,H$31:H$36,基础状态预期!T82)*基础状态预期!J82)</f>
        <v>318.74746185686934</v>
      </c>
      <c r="S69" s="14"/>
      <c r="T69" s="14">
        <f>IF(基础状态预期!P82="",0,求节点($C$40:$C$45,D$40:D$45,基础状态预期!P82))</f>
        <v>0</v>
      </c>
      <c r="U69" s="14">
        <f>IF(基础状态预期!Q82="",0,求节点($C$40:$C$45,E$40:E$45,基础状态预期!Q82))</f>
        <v>0</v>
      </c>
      <c r="V69" s="14">
        <f>IF(基础状态预期!R82="",0,求节点($C$40:$C$45,F$40:F$45,基础状态预期!R82))</f>
        <v>0</v>
      </c>
      <c r="W69" s="14">
        <f>IF(基础状态预期!S82="",0,求节点($C$40:$C$45,G$40:G$45,基础状态预期!S82))</f>
        <v>0</v>
      </c>
      <c r="X69" s="14">
        <f>IF(基础状态预期!T82="",0,求节点($C$40:$C$45,H$40:H$45,基础状态预期!T82))</f>
        <v>70798984.742747724</v>
      </c>
      <c r="Y69" s="14">
        <f>MAX(SUMPRODUCT(T69:X69,基础状态预期!F82:J82),Y68)</f>
        <v>424793908.45648634</v>
      </c>
      <c r="AP69" s="29">
        <f t="shared" si="22"/>
        <v>96.770480813454071</v>
      </c>
      <c r="AQ69" s="14"/>
      <c r="AR69" s="14">
        <f t="shared" si="23"/>
        <v>424793908.45648634</v>
      </c>
      <c r="AS69" s="14">
        <f>(AR69-AR68)*INDEX('[1]功能-付费相关'!$AR$6:$AR$165,$AP69,1)+AS68</f>
        <v>429510.19270315248</v>
      </c>
    </row>
    <row r="70" spans="13:45" x14ac:dyDescent="0.15">
      <c r="M70" s="16">
        <v>25</v>
      </c>
      <c r="N70" s="14">
        <f>基础状态预期!D83</f>
        <v>100.40175326279811</v>
      </c>
      <c r="O70" s="14">
        <f>IF(基础状态预期!Q83="",0,求节点($C$31:$C$36,E$31:E$36,基础状态预期!Q83)*基础状态预期!G83)</f>
        <v>0</v>
      </c>
      <c r="P70" s="14">
        <f>IF(基础状态预期!R83="",0,求节点($C$31:$C$36,F$31:F$36,基础状态预期!R83)*基础状态预期!H83)</f>
        <v>0</v>
      </c>
      <c r="Q70" s="14">
        <f>IF(基础状态预期!S83="",0,求节点($C$31:$C$36,G$31:G$36,基础状态预期!S83)*基础状态预期!I83)</f>
        <v>0</v>
      </c>
      <c r="R70" s="14">
        <f>IF(基础状态预期!T83="",0,求节点($C$31:$C$36,H$31:H$36,基础状态预期!T83)*基础状态预期!J83)</f>
        <v>346.8210391535772</v>
      </c>
      <c r="S70" s="14"/>
      <c r="T70" s="14">
        <f>IF(基础状态预期!P83="",0,求节点($C$40:$C$45,D$40:D$45,基础状态预期!P83))</f>
        <v>0</v>
      </c>
      <c r="U70" s="14">
        <f>IF(基础状态预期!Q83="",0,求节点($C$40:$C$45,E$40:E$45,基础状态预期!Q83))</f>
        <v>0</v>
      </c>
      <c r="V70" s="14">
        <f>IF(基础状态预期!R83="",0,求节点($C$40:$C$45,F$40:F$45,基础状态预期!R83))</f>
        <v>0</v>
      </c>
      <c r="W70" s="14">
        <f>IF(基础状态预期!S83="",0,求节点($C$40:$C$45,G$40:G$45,基础状态预期!S83))</f>
        <v>0</v>
      </c>
      <c r="X70" s="14">
        <f>IF(基础状态预期!T83="",0,求节点($C$40:$C$45,H$40:H$45,基础状态预期!T83))</f>
        <v>96298691.556019351</v>
      </c>
      <c r="Y70" s="14">
        <f>MAX(SUMPRODUCT(T70:X70,基础状态预期!F83:J83),Y69)</f>
        <v>577792149.33611608</v>
      </c>
      <c r="AP70" s="29">
        <f t="shared" si="22"/>
        <v>100.40175326279811</v>
      </c>
      <c r="AQ70" s="14"/>
      <c r="AR70" s="14">
        <f t="shared" si="23"/>
        <v>577792149.33611608</v>
      </c>
      <c r="AS70" s="14">
        <f>(AR70-AR69)*INDEX('[1]功能-付费相关'!$AR$6:$AR$165,$AP70,1)+AS69</f>
        <v>566115.76491710753</v>
      </c>
    </row>
    <row r="71" spans="13:45" x14ac:dyDescent="0.15">
      <c r="M71" s="16">
        <v>26</v>
      </c>
      <c r="N71" s="14">
        <f>基础状态预期!D84</f>
        <v>104.06236366727887</v>
      </c>
      <c r="O71" s="14">
        <f>IF(基础状态预期!Q84="",0,求节点($C$31:$C$36,E$31:E$36,基础状态预期!Q84)*基础状态预期!G84)</f>
        <v>0</v>
      </c>
      <c r="P71" s="14">
        <f>IF(基础状态预期!R84="",0,求节点($C$31:$C$36,F$31:F$36,基础状态预期!R84)*基础状态预期!H84)</f>
        <v>0</v>
      </c>
      <c r="Q71" s="14">
        <f>IF(基础状态预期!S84="",0,求节点($C$31:$C$36,G$31:G$36,基础状态预期!S84)*基础状态预期!I84)</f>
        <v>0</v>
      </c>
      <c r="R71" s="14">
        <f>IF(基础状态预期!T84="",0,求节点($C$31:$C$36,H$31:H$36,基础状态预期!T84)*基础状态预期!J84)</f>
        <v>390.74836400734659</v>
      </c>
      <c r="S71" s="14"/>
      <c r="T71" s="14">
        <f>IF(基础状态预期!P84="",0,求节点($C$40:$C$45,D$40:D$45,基础状态预期!P84))</f>
        <v>0</v>
      </c>
      <c r="U71" s="14">
        <f>IF(基础状态预期!Q84="",0,求节点($C$40:$C$45,E$40:E$45,基础状态预期!Q84))</f>
        <v>0</v>
      </c>
      <c r="V71" s="14">
        <f>IF(基础状态预期!R84="",0,求节点($C$40:$C$45,F$40:F$45,基础状态预期!R84))</f>
        <v>0</v>
      </c>
      <c r="W71" s="14">
        <f>IF(基础状态预期!S84="",0,求节点($C$40:$C$45,G$40:G$45,基础状态预期!S84))</f>
        <v>0</v>
      </c>
      <c r="X71" s="14">
        <f>IF(基础状态预期!T84="",0,求节点($C$40:$C$45,H$40:H$45,基础状态预期!T84))</f>
        <v>243894503.06468439</v>
      </c>
      <c r="Y71" s="14">
        <f>MAX(SUMPRODUCT(T71:X71,基础状态预期!F84:J84),Y70)</f>
        <v>1463367018.3881063</v>
      </c>
      <c r="AP71" s="29">
        <f t="shared" si="22"/>
        <v>104.06236366727887</v>
      </c>
      <c r="AQ71" s="14"/>
      <c r="AR71" s="14">
        <f t="shared" si="23"/>
        <v>1463367018.3881063</v>
      </c>
      <c r="AS71" s="14">
        <f>(AR71-AR70)*INDEX('[1]功能-付费相关'!$AR$6:$AR$165,$AP71,1)+AS70</f>
        <v>1334843.9498580713</v>
      </c>
    </row>
    <row r="72" spans="13:45" x14ac:dyDescent="0.15">
      <c r="M72" s="16">
        <v>27</v>
      </c>
      <c r="N72" s="14">
        <f>基础状态预期!D85</f>
        <v>107.42257994053838</v>
      </c>
      <c r="O72" s="14">
        <f>IF(基础状态预期!Q85="",0,求节点($C$31:$C$36,E$31:E$36,基础状态预期!Q85)*基础状态预期!G85)</f>
        <v>0</v>
      </c>
      <c r="P72" s="14">
        <f>IF(基础状态预期!R85="",0,求节点($C$31:$C$36,F$31:F$36,基础状态预期!R85)*基础状态预期!H85)</f>
        <v>0</v>
      </c>
      <c r="Q72" s="14">
        <f>IF(基础状态预期!S85="",0,求节点($C$31:$C$36,G$31:G$36,基础状态预期!S85)*基础状态预期!I85)</f>
        <v>0</v>
      </c>
      <c r="R72" s="14">
        <f>IF(基础状态预期!T85="",0,求节点($C$31:$C$36,H$31:H$36,基础状态预期!T85)*基础状态预期!J85)</f>
        <v>431.07095928646061</v>
      </c>
      <c r="S72" s="14"/>
      <c r="T72" s="14">
        <f>IF(基础状态预期!P85="",0,求节点($C$40:$C$45,D$40:D$45,基础状态预期!P85))</f>
        <v>0</v>
      </c>
      <c r="U72" s="14">
        <f>IF(基础状态预期!Q85="",0,求节点($C$40:$C$45,E$40:E$45,基础状态预期!Q85))</f>
        <v>0</v>
      </c>
      <c r="V72" s="14">
        <f>IF(基础状态预期!R85="",0,求节点($C$40:$C$45,F$40:F$45,基础状态预期!R85))</f>
        <v>0</v>
      </c>
      <c r="W72" s="14">
        <f>IF(基础状态预期!S85="",0,求节点($C$40:$C$45,G$40:G$45,基础状态预期!S85))</f>
        <v>0</v>
      </c>
      <c r="X72" s="14">
        <f>IF(基础状态预期!T85="",0,求节点($C$40:$C$45,H$40:H$45,基础状态预期!T85))</f>
        <v>379378423.20250779</v>
      </c>
      <c r="Y72" s="14">
        <f>MAX(SUMPRODUCT(T72:X72,基础状态预期!F85:J85),Y71)</f>
        <v>2276270539.2150469</v>
      </c>
      <c r="AP72" s="29">
        <f t="shared" si="22"/>
        <v>107.42257994053838</v>
      </c>
      <c r="AQ72" s="14"/>
      <c r="AR72" s="14">
        <f t="shared" si="23"/>
        <v>2276270539.2150469</v>
      </c>
      <c r="AS72" s="14">
        <f>(AR72-AR71)*INDEX('[1]功能-付费相关'!$AR$6:$AR$165,$AP72,1)+AS71</f>
        <v>2026088.4403571703</v>
      </c>
    </row>
    <row r="73" spans="13:45" x14ac:dyDescent="0.15">
      <c r="M73" s="16">
        <v>28</v>
      </c>
      <c r="N73" s="14">
        <f>基础状态预期!D86</f>
        <v>111.00691759243479</v>
      </c>
      <c r="O73" s="14">
        <f>IF(基础状态预期!Q86="",0,求节点($C$31:$C$36,E$31:E$36,基础状态预期!Q86)*基础状态预期!G86)</f>
        <v>0</v>
      </c>
      <c r="P73" s="14">
        <f>IF(基础状态预期!R86="",0,求节点($C$31:$C$36,F$31:F$36,基础状态预期!R86)*基础状态预期!H86)</f>
        <v>0</v>
      </c>
      <c r="Q73" s="14">
        <f>IF(基础状态预期!S86="",0,求节点($C$31:$C$36,G$31:G$36,基础状态预期!S86)*基础状态预期!I86)</f>
        <v>0</v>
      </c>
      <c r="R73" s="14">
        <f>IF(基础状态预期!T86="",0,求节点($C$31:$C$36,H$31:H$36,基础状态预期!T86)*基础状态预期!J86)</f>
        <v>474.08301110921752</v>
      </c>
      <c r="S73" s="14"/>
      <c r="T73" s="14">
        <f>IF(基础状态预期!P86="",0,求节点($C$40:$C$45,D$40:D$45,基础状态预期!P86))</f>
        <v>0</v>
      </c>
      <c r="U73" s="14">
        <f>IF(基础状态预期!Q86="",0,求节点($C$40:$C$45,E$40:E$45,基础状态预期!Q86))</f>
        <v>0</v>
      </c>
      <c r="V73" s="14">
        <f>IF(基础状态预期!R86="",0,求节点($C$40:$C$45,F$40:F$45,基础状态预期!R86))</f>
        <v>0</v>
      </c>
      <c r="W73" s="14">
        <f>IF(基础状态预期!S86="",0,求节点($C$40:$C$45,G$40:G$45,基础状态预期!S86))</f>
        <v>0</v>
      </c>
      <c r="X73" s="14">
        <f>IF(基础状态预期!T86="",0,求节点($C$40:$C$45,H$40:H$45,基础状态预期!T86))</f>
        <v>523898917.32697093</v>
      </c>
      <c r="Y73" s="14">
        <f>MAX(SUMPRODUCT(T73:X73,基础状态预期!F86:J86),Y72)</f>
        <v>3143393503.9618254</v>
      </c>
      <c r="AP73" s="29">
        <f t="shared" si="22"/>
        <v>111.00691759243479</v>
      </c>
      <c r="AQ73" s="14"/>
      <c r="AR73" s="14">
        <f t="shared" si="23"/>
        <v>3143393503.9618254</v>
      </c>
      <c r="AS73" s="14">
        <f>(AR73-AR72)*INDEX('[1]功能-付费相关'!$AR$6:$AR$165,$AP73,1)+AS72</f>
        <v>2743905.4641541722</v>
      </c>
    </row>
    <row r="74" spans="13:45" x14ac:dyDescent="0.15">
      <c r="M74" s="16">
        <v>29</v>
      </c>
      <c r="N74" s="14">
        <f>基础状态预期!D87</f>
        <v>114.47614359759058</v>
      </c>
      <c r="O74" s="14">
        <f>IF(基础状态预期!Q87="",0,求节点($C$31:$C$36,E$31:E$36,基础状态预期!Q87)*基础状态预期!G87)</f>
        <v>0</v>
      </c>
      <c r="P74" s="14">
        <f>IF(基础状态预期!R87="",0,求节点($C$31:$C$36,F$31:F$36,基础状态预期!R87)*基础状态预期!H87)</f>
        <v>0</v>
      </c>
      <c r="Q74" s="14">
        <f>IF(基础状态预期!S87="",0,求节点($C$31:$C$36,G$31:G$36,基础状态预期!S87)*基础状态预期!I87)</f>
        <v>0</v>
      </c>
      <c r="R74" s="14">
        <f>IF(基础状态预期!T87="",0,求节点($C$31:$C$36,H$31:H$36,基础状态预期!T87)*基础状态预期!J87)</f>
        <v>515.71372317108694</v>
      </c>
      <c r="S74" s="14"/>
      <c r="T74" s="14">
        <f>IF(基础状态预期!P87="",0,求节点($C$40:$C$45,D$40:D$45,基础状态预期!P87))</f>
        <v>0</v>
      </c>
      <c r="U74" s="14">
        <f>IF(基础状态预期!Q87="",0,求节点($C$40:$C$45,E$40:E$45,基础状态预期!Q87))</f>
        <v>0</v>
      </c>
      <c r="V74" s="14">
        <f>IF(基础状态预期!R87="",0,求节点($C$40:$C$45,F$40:F$45,基础状态预期!R87))</f>
        <v>0</v>
      </c>
      <c r="W74" s="14">
        <f>IF(基础状态预期!S87="",0,求节点($C$40:$C$45,G$40:G$45,基础状态预期!S87))</f>
        <v>0</v>
      </c>
      <c r="X74" s="14">
        <f>IF(基础状态预期!T87="",0,求节点($C$40:$C$45,H$40:H$45,基础状态预期!T87))</f>
        <v>663778109.85485196</v>
      </c>
      <c r="Y74" s="14">
        <f>MAX(SUMPRODUCT(T74:X74,基础状态预期!F87:J87),Y73)</f>
        <v>3982668659.1291118</v>
      </c>
      <c r="AP74" s="29">
        <f t="shared" si="22"/>
        <v>114.47614359759058</v>
      </c>
      <c r="AQ74" s="14"/>
      <c r="AR74" s="14">
        <f t="shared" si="23"/>
        <v>3982668659.1291118</v>
      </c>
      <c r="AS74" s="14">
        <f>(AR74-AR73)*INDEX('[1]功能-付费相关'!$AR$6:$AR$165,$AP74,1)+AS73</f>
        <v>3425135.2978938529</v>
      </c>
    </row>
    <row r="75" spans="13:45" x14ac:dyDescent="0.15">
      <c r="M75" s="16">
        <v>30</v>
      </c>
      <c r="N75" s="14">
        <f>基础状态预期!D88</f>
        <v>118.05724034557241</v>
      </c>
      <c r="O75" s="14">
        <f>IF(基础状态预期!Q88="",0,求节点($C$31:$C$36,E$31:E$36,基础状态预期!Q88)*基础状态预期!G88)</f>
        <v>0</v>
      </c>
      <c r="P75" s="14">
        <f>IF(基础状态预期!R88="",0,求节点($C$31:$C$36,F$31:F$36,基础状态预期!R88)*基础状态预期!H88)</f>
        <v>0</v>
      </c>
      <c r="Q75" s="14">
        <f>IF(基础状态预期!S88="",0,求节点($C$31:$C$36,G$31:G$36,基础状态预期!S88)*基础状态预期!I88)</f>
        <v>0</v>
      </c>
      <c r="R75" s="14">
        <f>IF(基础状态预期!T88="",0,求节点($C$31:$C$36,H$31:H$36,基础状态预期!T88)*基础状态预期!J88)</f>
        <v>558.68688414686892</v>
      </c>
      <c r="S75" s="14"/>
      <c r="T75" s="14">
        <f>IF(基础状态预期!P88="",0,求节点($C$40:$C$45,D$40:D$45,基础状态预期!P88))</f>
        <v>0</v>
      </c>
      <c r="U75" s="14">
        <f>IF(基础状态预期!Q88="",0,求节点($C$40:$C$45,E$40:E$45,基础状态预期!Q88))</f>
        <v>0</v>
      </c>
      <c r="V75" s="14">
        <f>IF(基础状态预期!R88="",0,求节点($C$40:$C$45,F$40:F$45,基础状态预期!R88))</f>
        <v>0</v>
      </c>
      <c r="W75" s="14">
        <f>IF(基础状态预期!S88="",0,求节点($C$40:$C$45,G$40:G$45,基础状态预期!S88))</f>
        <v>0</v>
      </c>
      <c r="X75" s="14">
        <f>IF(基础状态预期!T88="",0,求节点($C$40:$C$45,H$40:H$45,基础状态预期!T88))</f>
        <v>808167930.73347962</v>
      </c>
      <c r="Y75" s="14">
        <f>MAX(SUMPRODUCT(T75:X75,基础状态预期!F88:J88),Y74)</f>
        <v>4849007584.400878</v>
      </c>
      <c r="AP75" s="29">
        <f t="shared" si="22"/>
        <v>118.05724034557241</v>
      </c>
      <c r="AQ75" s="14"/>
      <c r="AR75" s="14">
        <f t="shared" si="23"/>
        <v>4849007584.400878</v>
      </c>
      <c r="AS75" s="14">
        <f>(AR75-AR74)*INDEX('[1]功能-付费相关'!$AR$6:$AR$165,$AP75,1)+AS74</f>
        <v>4110530.0172544275</v>
      </c>
    </row>
    <row r="76" spans="13:45" x14ac:dyDescent="0.15">
      <c r="M76" s="16">
        <v>31</v>
      </c>
      <c r="N76" s="14">
        <f>基础状态预期!D89</f>
        <v>121.49411884885473</v>
      </c>
      <c r="O76" s="14">
        <f>IF(基础状态预期!Q89="",0,求节点($C$31:$C$36,E$31:E$36,基础状态预期!Q89)*基础状态预期!G89)</f>
        <v>0</v>
      </c>
      <c r="P76" s="14">
        <f>IF(基础状态预期!R89="",0,求节点($C$31:$C$36,F$31:F$36,基础状态预期!R89)*基础状态预期!H89)</f>
        <v>0</v>
      </c>
      <c r="Q76" s="14">
        <f>IF(基础状态预期!S89="",0,求节点($C$31:$C$36,G$31:G$36,基础状态预期!S89)*基础状态预期!I89)</f>
        <v>0</v>
      </c>
      <c r="R76" s="14">
        <f>IF(基础状态预期!T89="",0,求节点($C$31:$C$36,H$31:H$36,基础状态预期!T89)*基础状态预期!J89)</f>
        <v>599.92942618625671</v>
      </c>
      <c r="S76" s="14"/>
      <c r="T76" s="14">
        <f>IF(基础状态预期!P89="",0,求节点($C$40:$C$45,D$40:D$45,基础状态预期!P89))</f>
        <v>0</v>
      </c>
      <c r="U76" s="14">
        <f>IF(基础状态预期!Q89="",0,求节点($C$40:$C$45,E$40:E$45,基础状态预期!Q89))</f>
        <v>0</v>
      </c>
      <c r="V76" s="14">
        <f>IF(基础状态预期!R89="",0,求节点($C$40:$C$45,F$40:F$45,基础状态预期!R89))</f>
        <v>0</v>
      </c>
      <c r="W76" s="14">
        <f>IF(基础状态预期!S89="",0,求节点($C$40:$C$45,G$40:G$45,基础状态预期!S89))</f>
        <v>0</v>
      </c>
      <c r="X76" s="14">
        <f>IF(基础状态预期!T89="",0,求节点($C$40:$C$45,H$40:H$45,基础状态预期!T89))</f>
        <v>946742871.98582256</v>
      </c>
      <c r="Y76" s="14">
        <f>MAX(SUMPRODUCT(T76:X76,基础状态预期!F89:J89),Y75)</f>
        <v>5680457231.9149351</v>
      </c>
      <c r="AP76" s="29">
        <f t="shared" si="22"/>
        <v>121.49411884885473</v>
      </c>
      <c r="AQ76" s="14"/>
      <c r="AR76" s="14">
        <f t="shared" si="23"/>
        <v>5680457231.9149351</v>
      </c>
      <c r="AS76" s="14">
        <f>(AR76-AR75)*INDEX('[1]功能-付费相关'!$AR$6:$AR$165,$AP76,1)+AS75</f>
        <v>4756065.4578709314</v>
      </c>
    </row>
    <row r="77" spans="13:45" x14ac:dyDescent="0.15">
      <c r="M77" s="16">
        <v>32</v>
      </c>
      <c r="N77" s="14">
        <f>基础状态预期!D90</f>
        <v>125.03100311549058</v>
      </c>
      <c r="O77" s="14">
        <f>IF(基础状态预期!Q90="",0,求节点($C$31:$C$36,E$31:E$36,基础状态预期!Q90)*基础状态预期!G90)</f>
        <v>0</v>
      </c>
      <c r="P77" s="14">
        <f>IF(基础状态预期!R90="",0,求节点($C$31:$C$36,F$31:F$36,基础状态预期!R90)*基础状态预期!H90)</f>
        <v>0</v>
      </c>
      <c r="Q77" s="14">
        <f>IF(基础状态预期!S90="",0,求节点($C$31:$C$36,G$31:G$36,基础状态预期!S90)*基础状态预期!I90)</f>
        <v>0</v>
      </c>
      <c r="R77" s="14">
        <f>IF(基础状态预期!T90="",0,求节点($C$31:$C$36,H$31:H$36,基础状态预期!T90)*基础状态预期!J90)</f>
        <v>642</v>
      </c>
      <c r="S77" s="14"/>
      <c r="T77" s="14">
        <f>IF(基础状态预期!P90="",0,求节点($C$40:$C$45,D$40:D$45,基础状态预期!P90))</f>
        <v>0</v>
      </c>
      <c r="U77" s="14">
        <f>IF(基础状态预期!Q90="",0,求节点($C$40:$C$45,E$40:E$45,基础状态预期!Q90))</f>
        <v>0</v>
      </c>
      <c r="V77" s="14">
        <f>IF(基础状态预期!R90="",0,求节点($C$40:$C$45,F$40:F$45,基础状态预期!R90))</f>
        <v>0</v>
      </c>
      <c r="W77" s="14">
        <f>IF(基础状态预期!S90="",0,求节点($C$40:$C$45,G$40:G$45,基础状态预期!S90))</f>
        <v>0</v>
      </c>
      <c r="X77" s="14">
        <f>IF(基础状态预期!T90="",0,求节点($C$40:$C$45,H$40:H$45,基础状态预期!T90))</f>
        <v>1088100000</v>
      </c>
      <c r="Y77" s="14">
        <f>MAX(SUMPRODUCT(T77:X77,基础状态预期!F90:J90),Y76)</f>
        <v>6528600000</v>
      </c>
      <c r="AP77" s="29">
        <f t="shared" si="22"/>
        <v>125.03100311549058</v>
      </c>
      <c r="AQ77" s="14"/>
      <c r="AR77" s="14">
        <f t="shared" si="23"/>
        <v>6528600000</v>
      </c>
      <c r="AS77" s="14">
        <f>(AR77-AR76)*INDEX('[1]功能-付费相关'!$AR$6:$AR$165,$AP77,1)+AS76</f>
        <v>5398597.8579353746</v>
      </c>
    </row>
    <row r="78" spans="13:45" x14ac:dyDescent="0.15">
      <c r="M78" s="16">
        <v>33</v>
      </c>
      <c r="N78" s="14">
        <f>基础状态预期!D91</f>
        <v>128.62542789463421</v>
      </c>
      <c r="O78" s="14">
        <f>IF(基础状态预期!Q91="",0,求节点($C$31:$C$36,E$31:E$36,基础状态预期!Q91)*基础状态预期!G91)</f>
        <v>0</v>
      </c>
      <c r="P78" s="14">
        <f>IF(基础状态预期!R91="",0,求节点($C$31:$C$36,F$31:F$36,基础状态预期!R91)*基础状态预期!H91)</f>
        <v>0</v>
      </c>
      <c r="Q78" s="14">
        <f>IF(基础状态预期!S91="",0,求节点($C$31:$C$36,G$31:G$36,基础状态预期!S91)*基础状态预期!I91)</f>
        <v>0</v>
      </c>
      <c r="R78" s="14">
        <f>IF(基础状态预期!T91="",0,求节点($C$31:$C$36,H$31:H$36,基础状态预期!T91)*基础状态预期!J91)</f>
        <v>642</v>
      </c>
      <c r="S78" s="14"/>
      <c r="T78" s="14">
        <f>IF(基础状态预期!P91="",0,求节点($C$40:$C$45,D$40:D$45,基础状态预期!P91))</f>
        <v>0</v>
      </c>
      <c r="U78" s="14">
        <f>IF(基础状态预期!Q91="",0,求节点($C$40:$C$45,E$40:E$45,基础状态预期!Q91))</f>
        <v>0</v>
      </c>
      <c r="V78" s="14">
        <f>IF(基础状态预期!R91="",0,求节点($C$40:$C$45,F$40:F$45,基础状态预期!R91))</f>
        <v>0</v>
      </c>
      <c r="W78" s="14">
        <f>IF(基础状态预期!S91="",0,求节点($C$40:$C$45,G$40:G$45,基础状态预期!S91))</f>
        <v>0</v>
      </c>
      <c r="X78" s="14">
        <f>IF(基础状态预期!T91="",0,求节点($C$40:$C$45,H$40:H$45,基础状态预期!T91))</f>
        <v>1088100000</v>
      </c>
      <c r="Y78" s="14">
        <f>MAX(SUMPRODUCT(T78:X78,基础状态预期!F91:J91),Y77)</f>
        <v>6528600000</v>
      </c>
      <c r="AP78" s="29">
        <f t="shared" si="22"/>
        <v>128.62542789463421</v>
      </c>
      <c r="AQ78" s="14"/>
      <c r="AR78" s="14">
        <f t="shared" si="23"/>
        <v>6528600000</v>
      </c>
      <c r="AS78" s="14">
        <f>(AR78-AR77)*INDEX('[1]功能-付费相关'!$AR$6:$AR$165,$AP78,1)+AS77</f>
        <v>5398597.8579353746</v>
      </c>
    </row>
    <row r="79" spans="13:45" x14ac:dyDescent="0.15">
      <c r="M79" s="16">
        <v>34</v>
      </c>
      <c r="N79" s="14">
        <f>基础状态预期!D92</f>
        <v>132.09902390525281</v>
      </c>
      <c r="O79" s="14">
        <f>IF(基础状态预期!Q92="",0,求节点($C$31:$C$36,E$31:E$36,基础状态预期!Q92)*基础状态预期!G92)</f>
        <v>0</v>
      </c>
      <c r="P79" s="14">
        <f>IF(基础状态预期!R92="",0,求节点($C$31:$C$36,F$31:F$36,基础状态预期!R92)*基础状态预期!H92)</f>
        <v>0</v>
      </c>
      <c r="Q79" s="14">
        <f>IF(基础状态预期!S92="",0,求节点($C$31:$C$36,G$31:G$36,基础状态预期!S92)*基础状态预期!I92)</f>
        <v>0</v>
      </c>
      <c r="R79" s="14">
        <f>IF(基础状态预期!T92="",0,求节点($C$31:$C$36,H$31:H$36,基础状态预期!T92)*基础状态预期!J92)</f>
        <v>642</v>
      </c>
      <c r="S79" s="14"/>
      <c r="T79" s="14">
        <f>IF(基础状态预期!P92="",0,求节点($C$40:$C$45,D$40:D$45,基础状态预期!P92))</f>
        <v>0</v>
      </c>
      <c r="U79" s="14">
        <f>IF(基础状态预期!Q92="",0,求节点($C$40:$C$45,E$40:E$45,基础状态预期!Q92))</f>
        <v>0</v>
      </c>
      <c r="V79" s="14">
        <f>IF(基础状态预期!R92="",0,求节点($C$40:$C$45,F$40:F$45,基础状态预期!R92))</f>
        <v>0</v>
      </c>
      <c r="W79" s="14">
        <f>IF(基础状态预期!S92="",0,求节点($C$40:$C$45,G$40:G$45,基础状态预期!S92))</f>
        <v>0</v>
      </c>
      <c r="X79" s="14">
        <f>IF(基础状态预期!T92="",0,求节点($C$40:$C$45,H$40:H$45,基础状态预期!T92))</f>
        <v>1088100000</v>
      </c>
      <c r="Y79" s="14">
        <f>MAX(SUMPRODUCT(T79:X79,基础状态预期!F92:J92),Y78)</f>
        <v>6528600000</v>
      </c>
      <c r="AP79" s="29">
        <f t="shared" si="22"/>
        <v>132.09902390525281</v>
      </c>
      <c r="AQ79" s="14"/>
      <c r="AR79" s="14">
        <f t="shared" si="23"/>
        <v>6528600000</v>
      </c>
      <c r="AS79" s="14">
        <f>(AR79-AR78)*INDEX('[1]功能-付费相关'!$AR$6:$AR$165,$AP79,1)+AS78</f>
        <v>5398597.8579353746</v>
      </c>
    </row>
    <row r="80" spans="13:45" x14ac:dyDescent="0.15">
      <c r="M80" s="16">
        <v>35</v>
      </c>
      <c r="N80" s="14">
        <f>基础状态预期!D93</f>
        <v>135.61521761503846</v>
      </c>
      <c r="O80" s="14">
        <f>IF(基础状态预期!Q93="",0,求节点($C$31:$C$36,E$31:E$36,基础状态预期!Q93)*基础状态预期!G93)</f>
        <v>0</v>
      </c>
      <c r="P80" s="14">
        <f>IF(基础状态预期!R93="",0,求节点($C$31:$C$36,F$31:F$36,基础状态预期!R93)*基础状态预期!H93)</f>
        <v>0</v>
      </c>
      <c r="Q80" s="14">
        <f>IF(基础状态预期!S93="",0,求节点($C$31:$C$36,G$31:G$36,基础状态预期!S93)*基础状态预期!I93)</f>
        <v>0</v>
      </c>
      <c r="R80" s="14">
        <f>IF(基础状态预期!T93="",0,求节点($C$31:$C$36,H$31:H$36,基础状态预期!T93)*基础状态预期!J93)</f>
        <v>642</v>
      </c>
      <c r="S80" s="14"/>
      <c r="T80" s="14">
        <f>IF(基础状态预期!P93="",0,求节点($C$40:$C$45,D$40:D$45,基础状态预期!P93))</f>
        <v>0</v>
      </c>
      <c r="U80" s="14">
        <f>IF(基础状态预期!Q93="",0,求节点($C$40:$C$45,E$40:E$45,基础状态预期!Q93))</f>
        <v>0</v>
      </c>
      <c r="V80" s="14">
        <f>IF(基础状态预期!R93="",0,求节点($C$40:$C$45,F$40:F$45,基础状态预期!R93))</f>
        <v>0</v>
      </c>
      <c r="W80" s="14">
        <f>IF(基础状态预期!S93="",0,求节点($C$40:$C$45,G$40:G$45,基础状态预期!S93))</f>
        <v>0</v>
      </c>
      <c r="X80" s="14">
        <f>IF(基础状态预期!T93="",0,求节点($C$40:$C$45,H$40:H$45,基础状态预期!T93))</f>
        <v>1088100000</v>
      </c>
      <c r="Y80" s="14">
        <f>MAX(SUMPRODUCT(T80:X80,基础状态预期!F93:J93),Y79)</f>
        <v>6528600000</v>
      </c>
      <c r="AP80" s="29">
        <f t="shared" si="22"/>
        <v>135.61521761503846</v>
      </c>
      <c r="AQ80" s="14"/>
      <c r="AR80" s="14">
        <f t="shared" si="23"/>
        <v>6528600000</v>
      </c>
      <c r="AS80" s="14">
        <f>(AR80-AR79)*INDEX('[1]功能-付费相关'!$AR$6:$AR$165,$AP80,1)+AS79</f>
        <v>5398597.8579353746</v>
      </c>
    </row>
    <row r="81" spans="13:49" x14ac:dyDescent="0.15">
      <c r="M81" s="16">
        <v>36</v>
      </c>
      <c r="N81" s="14">
        <f>基础状态预期!D94</f>
        <v>139.08794136138388</v>
      </c>
      <c r="O81" s="14">
        <f>IF(基础状态预期!Q94="",0,求节点($C$31:$C$36,E$31:E$36,基础状态预期!Q94)*基础状态预期!G94)</f>
        <v>0</v>
      </c>
      <c r="P81" s="14">
        <f>IF(基础状态预期!R94="",0,求节点($C$31:$C$36,F$31:F$36,基础状态预期!R94)*基础状态预期!H94)</f>
        <v>0</v>
      </c>
      <c r="Q81" s="14">
        <f>IF(基础状态预期!S94="",0,求节点($C$31:$C$36,G$31:G$36,基础状态预期!S94)*基础状态预期!I94)</f>
        <v>0</v>
      </c>
      <c r="R81" s="14">
        <f>IF(基础状态预期!T94="",0,求节点($C$31:$C$36,H$31:H$36,基础状态预期!T94)*基础状态预期!J94)</f>
        <v>642</v>
      </c>
      <c r="S81" s="14"/>
      <c r="T81" s="14">
        <f>IF(基础状态预期!P94="",0,求节点($C$40:$C$45,D$40:D$45,基础状态预期!P94))</f>
        <v>0</v>
      </c>
      <c r="U81" s="14">
        <f>IF(基础状态预期!Q94="",0,求节点($C$40:$C$45,E$40:E$45,基础状态预期!Q94))</f>
        <v>0</v>
      </c>
      <c r="V81" s="14">
        <f>IF(基础状态预期!R94="",0,求节点($C$40:$C$45,F$40:F$45,基础状态预期!R94))</f>
        <v>0</v>
      </c>
      <c r="W81" s="14">
        <f>IF(基础状态预期!S94="",0,求节点($C$40:$C$45,G$40:G$45,基础状态预期!S94))</f>
        <v>0</v>
      </c>
      <c r="X81" s="14">
        <f>IF(基础状态预期!T94="",0,求节点($C$40:$C$45,H$40:H$45,基础状态预期!T94))</f>
        <v>1088100000</v>
      </c>
      <c r="Y81" s="14">
        <f>MAX(SUMPRODUCT(T81:X81,基础状态预期!F94:J94),Y80)</f>
        <v>6528600000</v>
      </c>
      <c r="AP81" s="29">
        <f t="shared" si="22"/>
        <v>139.08794136138388</v>
      </c>
      <c r="AQ81" s="14"/>
      <c r="AR81" s="14">
        <f t="shared" si="23"/>
        <v>6528600000</v>
      </c>
      <c r="AS81" s="14">
        <f>(AR81-AR80)*INDEX('[1]功能-付费相关'!$AR$6:$AR$165,$AP81,1)+AS80</f>
        <v>5398597.8579353746</v>
      </c>
    </row>
    <row r="82" spans="13:49" x14ac:dyDescent="0.15">
      <c r="M82" s="16">
        <v>37</v>
      </c>
      <c r="N82" s="14">
        <f>基础状态预期!D95</f>
        <v>142.60670974426387</v>
      </c>
      <c r="O82" s="14">
        <f>IF(基础状态预期!Q95="",0,求节点($C$31:$C$36,E$31:E$36,基础状态预期!Q95)*基础状态预期!G95)</f>
        <v>0</v>
      </c>
      <c r="P82" s="14">
        <f>IF(基础状态预期!R95="",0,求节点($C$31:$C$36,F$31:F$36,基础状态预期!R95)*基础状态预期!H95)</f>
        <v>0</v>
      </c>
      <c r="Q82" s="14">
        <f>IF(基础状态预期!S95="",0,求节点($C$31:$C$36,G$31:G$36,基础状态预期!S95)*基础状态预期!I95)</f>
        <v>0</v>
      </c>
      <c r="R82" s="14">
        <f>IF(基础状态预期!T95="",0,求节点($C$31:$C$36,H$31:H$36,基础状态预期!T95)*基础状态预期!J95)</f>
        <v>642</v>
      </c>
      <c r="S82" s="14"/>
      <c r="T82" s="14">
        <f>IF(基础状态预期!P95="",0,求节点($C$40:$C$45,D$40:D$45,基础状态预期!P95))</f>
        <v>0</v>
      </c>
      <c r="U82" s="14">
        <f>IF(基础状态预期!Q95="",0,求节点($C$40:$C$45,E$40:E$45,基础状态预期!Q95))</f>
        <v>0</v>
      </c>
      <c r="V82" s="14">
        <f>IF(基础状态预期!R95="",0,求节点($C$40:$C$45,F$40:F$45,基础状态预期!R95))</f>
        <v>0</v>
      </c>
      <c r="W82" s="14">
        <f>IF(基础状态预期!S95="",0,求节点($C$40:$C$45,G$40:G$45,基础状态预期!S95))</f>
        <v>0</v>
      </c>
      <c r="X82" s="14">
        <f>IF(基础状态预期!T95="",0,求节点($C$40:$C$45,H$40:H$45,基础状态预期!T95))</f>
        <v>1088100000</v>
      </c>
      <c r="Y82" s="14">
        <f>MAX(SUMPRODUCT(T82:X82,基础状态预期!F95:J95),Y81)</f>
        <v>6528600000</v>
      </c>
      <c r="AP82" s="29">
        <f t="shared" si="22"/>
        <v>142.60670974426387</v>
      </c>
      <c r="AQ82" s="14"/>
      <c r="AR82" s="14">
        <f t="shared" si="23"/>
        <v>6528600000</v>
      </c>
      <c r="AS82" s="14">
        <f>(AR82-AR81)*INDEX('[1]功能-付费相关'!$AR$6:$AR$165,$AP82,1)+AS81</f>
        <v>5398597.8579353746</v>
      </c>
    </row>
    <row r="83" spans="13:49" x14ac:dyDescent="0.15">
      <c r="M83" s="16">
        <v>38</v>
      </c>
      <c r="N83" s="14">
        <f>基础状态预期!D96</f>
        <v>146.07830147206653</v>
      </c>
      <c r="O83" s="14">
        <f>IF(基础状态预期!Q96="",0,求节点($C$31:$C$36,E$31:E$36,基础状态预期!Q96)*基础状态预期!G96)</f>
        <v>0</v>
      </c>
      <c r="P83" s="14">
        <f>IF(基础状态预期!R96="",0,求节点($C$31:$C$36,F$31:F$36,基础状态预期!R96)*基础状态预期!H96)</f>
        <v>0</v>
      </c>
      <c r="Q83" s="14">
        <f>IF(基础状态预期!S96="",0,求节点($C$31:$C$36,G$31:G$36,基础状态预期!S96)*基础状态预期!I96)</f>
        <v>0</v>
      </c>
      <c r="R83" s="14">
        <f>IF(基础状态预期!T96="",0,求节点($C$31:$C$36,H$31:H$36,基础状态预期!T96)*基础状态预期!J96)</f>
        <v>642</v>
      </c>
      <c r="S83" s="14"/>
      <c r="T83" s="14">
        <f>IF(基础状态预期!P96="",0,求节点($C$40:$C$45,D$40:D$45,基础状态预期!P96))</f>
        <v>0</v>
      </c>
      <c r="U83" s="14">
        <f>IF(基础状态预期!Q96="",0,求节点($C$40:$C$45,E$40:E$45,基础状态预期!Q96))</f>
        <v>0</v>
      </c>
      <c r="V83" s="14">
        <f>IF(基础状态预期!R96="",0,求节点($C$40:$C$45,F$40:F$45,基础状态预期!R96))</f>
        <v>0</v>
      </c>
      <c r="W83" s="14">
        <f>IF(基础状态预期!S96="",0,求节点($C$40:$C$45,G$40:G$45,基础状态预期!S96))</f>
        <v>0</v>
      </c>
      <c r="X83" s="14">
        <f>IF(基础状态预期!T96="",0,求节点($C$40:$C$45,H$40:H$45,基础状态预期!T96))</f>
        <v>1088100000</v>
      </c>
      <c r="Y83" s="14">
        <f>MAX(SUMPRODUCT(T83:X83,基础状态预期!F96:J96),Y82)</f>
        <v>6528600000</v>
      </c>
      <c r="AP83" s="29">
        <f t="shared" si="22"/>
        <v>146.07830147206653</v>
      </c>
      <c r="AQ83" s="14"/>
      <c r="AR83" s="14">
        <f t="shared" si="23"/>
        <v>6528600000</v>
      </c>
      <c r="AS83" s="14">
        <f>(AR83-AR82)*INDEX('[1]功能-付费相关'!$AR$6:$AR$165,$AP83,1)+AS82</f>
        <v>5398597.8579353746</v>
      </c>
    </row>
    <row r="84" spans="13:49" x14ac:dyDescent="0.15">
      <c r="M84" s="16">
        <v>39</v>
      </c>
      <c r="N84" s="14">
        <f>基础状态预期!D97</f>
        <v>149.61701338734093</v>
      </c>
      <c r="O84" s="14">
        <f>IF(基础状态预期!Q97="",0,求节点($C$31:$C$36,E$31:E$36,基础状态预期!Q97)*基础状态预期!G97)</f>
        <v>0</v>
      </c>
      <c r="P84" s="14">
        <f>IF(基础状态预期!R97="",0,求节点($C$31:$C$36,F$31:F$36,基础状态预期!R97)*基础状态预期!H97)</f>
        <v>0</v>
      </c>
      <c r="Q84" s="14">
        <f>IF(基础状态预期!S97="",0,求节点($C$31:$C$36,G$31:G$36,基础状态预期!S97)*基础状态预期!I97)</f>
        <v>0</v>
      </c>
      <c r="R84" s="14">
        <f>IF(基础状态预期!T97="",0,求节点($C$31:$C$36,H$31:H$36,基础状态预期!T97)*基础状态预期!J97)</f>
        <v>642</v>
      </c>
      <c r="S84" s="14"/>
      <c r="T84" s="14">
        <f>IF(基础状态预期!P97="",0,求节点($C$40:$C$45,D$40:D$45,基础状态预期!P97))</f>
        <v>0</v>
      </c>
      <c r="U84" s="14">
        <f>IF(基础状态预期!Q97="",0,求节点($C$40:$C$45,E$40:E$45,基础状态预期!Q97))</f>
        <v>0</v>
      </c>
      <c r="V84" s="14">
        <f>IF(基础状态预期!R97="",0,求节点($C$40:$C$45,F$40:F$45,基础状态预期!R97))</f>
        <v>0</v>
      </c>
      <c r="W84" s="14">
        <f>IF(基础状态预期!S97="",0,求节点($C$40:$C$45,G$40:G$45,基础状态预期!S97))</f>
        <v>0</v>
      </c>
      <c r="X84" s="14">
        <f>IF(基础状态预期!T97="",0,求节点($C$40:$C$45,H$40:H$45,基础状态预期!T97))</f>
        <v>1088100000</v>
      </c>
      <c r="Y84" s="14">
        <f>MAX(SUMPRODUCT(T84:X84,基础状态预期!F97:J97),Y83)</f>
        <v>6528600000</v>
      </c>
      <c r="AP84" s="29">
        <f t="shared" si="22"/>
        <v>149.61701338734093</v>
      </c>
      <c r="AQ84" s="14"/>
      <c r="AR84" s="14">
        <f t="shared" si="23"/>
        <v>6528600000</v>
      </c>
      <c r="AS84" s="14">
        <f>(AR84-AR83)*INDEX('[1]功能-付费相关'!$AR$6:$AR$165,$AP84,1)+AS83</f>
        <v>5398597.8579353746</v>
      </c>
    </row>
    <row r="85" spans="13:49" x14ac:dyDescent="0.15">
      <c r="M85" s="16">
        <v>40</v>
      </c>
      <c r="N85" s="14">
        <f>基础状态预期!D98</f>
        <v>153.01012120353457</v>
      </c>
      <c r="O85" s="14">
        <f>IF(基础状态预期!Q98="",0,求节点($C$31:$C$36,E$31:E$36,基础状态预期!Q98)*基础状态预期!G98)</f>
        <v>0</v>
      </c>
      <c r="P85" s="14">
        <f>IF(基础状态预期!R98="",0,求节点($C$31:$C$36,F$31:F$36,基础状态预期!R98)*基础状态预期!H98)</f>
        <v>0</v>
      </c>
      <c r="Q85" s="14">
        <f>IF(基础状态预期!S98="",0,求节点($C$31:$C$36,G$31:G$36,基础状态预期!S98)*基础状态预期!I98)</f>
        <v>0</v>
      </c>
      <c r="R85" s="14">
        <f>IF(基础状态预期!T98="",0,求节点($C$31:$C$36,H$31:H$36,基础状态预期!T98)*基础状态预期!J98)</f>
        <v>642</v>
      </c>
      <c r="S85" s="14"/>
      <c r="T85" s="14">
        <f>IF(基础状态预期!P98="",0,求节点($C$40:$C$45,D$40:D$45,基础状态预期!P98))</f>
        <v>0</v>
      </c>
      <c r="U85" s="14">
        <f>IF(基础状态预期!Q98="",0,求节点($C$40:$C$45,E$40:E$45,基础状态预期!Q98))</f>
        <v>0</v>
      </c>
      <c r="V85" s="14">
        <f>IF(基础状态预期!R98="",0,求节点($C$40:$C$45,F$40:F$45,基础状态预期!R98))</f>
        <v>0</v>
      </c>
      <c r="W85" s="14">
        <f>IF(基础状态预期!S98="",0,求节点($C$40:$C$45,G$40:G$45,基础状态预期!S98))</f>
        <v>0</v>
      </c>
      <c r="X85" s="14">
        <f>IF(基础状态预期!T98="",0,求节点($C$40:$C$45,H$40:H$45,基础状态预期!T98))</f>
        <v>1088100000</v>
      </c>
      <c r="Y85" s="14">
        <f>MAX(SUMPRODUCT(T85:X85,基础状态预期!F98:J98),Y84)</f>
        <v>6528600000</v>
      </c>
      <c r="AP85" s="29">
        <f t="shared" si="22"/>
        <v>153.01012120353457</v>
      </c>
      <c r="AQ85" s="14"/>
      <c r="AR85" s="14">
        <f t="shared" si="23"/>
        <v>6528600000</v>
      </c>
      <c r="AS85" s="14">
        <f>(AR85-AR84)*INDEX('[1]功能-付费相关'!$AR$6:$AR$165,$AP85,1)+AS84</f>
        <v>5398597.8579353746</v>
      </c>
    </row>
    <row r="86" spans="13:49" x14ac:dyDescent="0.15">
      <c r="M86" s="16">
        <v>41</v>
      </c>
      <c r="N86" s="14">
        <f>基础状态预期!D99</f>
        <v>154.95970315183646</v>
      </c>
      <c r="O86" s="14">
        <f>IF(基础状态预期!Q99="",0,求节点($C$31:$C$36,E$31:E$36,基础状态预期!Q99)*基础状态预期!G99)</f>
        <v>0</v>
      </c>
      <c r="P86" s="14">
        <f>IF(基础状态预期!R99="",0,求节点($C$31:$C$36,F$31:F$36,基础状态预期!R99)*基础状态预期!H99)</f>
        <v>0</v>
      </c>
      <c r="Q86" s="14">
        <f>IF(基础状态预期!S99="",0,求节点($C$31:$C$36,G$31:G$36,基础状态预期!S99)*基础状态预期!I99)</f>
        <v>0</v>
      </c>
      <c r="R86" s="14">
        <f>IF(基础状态预期!T99="",0,求节点($C$31:$C$36,H$31:H$36,基础状态预期!T99)*基础状态预期!J99)</f>
        <v>642</v>
      </c>
      <c r="S86" s="14"/>
      <c r="T86" s="14">
        <f>IF(基础状态预期!P99="",0,求节点($C$40:$C$45,D$40:D$45,基础状态预期!P99))</f>
        <v>0</v>
      </c>
      <c r="U86" s="14">
        <f>IF(基础状态预期!Q99="",0,求节点($C$40:$C$45,E$40:E$45,基础状态预期!Q99))</f>
        <v>0</v>
      </c>
      <c r="V86" s="14">
        <f>IF(基础状态预期!R99="",0,求节点($C$40:$C$45,F$40:F$45,基础状态预期!R99))</f>
        <v>0</v>
      </c>
      <c r="W86" s="14">
        <f>IF(基础状态预期!S99="",0,求节点($C$40:$C$45,G$40:G$45,基础状态预期!S99))</f>
        <v>0</v>
      </c>
      <c r="X86" s="14">
        <f>IF(基础状态预期!T99="",0,求节点($C$40:$C$45,H$40:H$45,基础状态预期!T99))</f>
        <v>1088100000</v>
      </c>
      <c r="Y86" s="14">
        <f>MAX(SUMPRODUCT(T86:X86,基础状态预期!F99:J99),Y85)</f>
        <v>6528600000</v>
      </c>
      <c r="AP86" s="29">
        <f t="shared" si="22"/>
        <v>154.95970315183646</v>
      </c>
      <c r="AQ86" s="14"/>
      <c r="AR86" s="14">
        <f t="shared" si="23"/>
        <v>6528600000</v>
      </c>
      <c r="AS86" s="14">
        <f>(AR86-AR85)*INDEX('[1]功能-付费相关'!$AR$6:$AR$165,$AP86,1)+AS85</f>
        <v>5398597.8579353746</v>
      </c>
    </row>
    <row r="87" spans="13:49" x14ac:dyDescent="0.15">
      <c r="M87" s="16">
        <v>42</v>
      </c>
      <c r="N87" s="14">
        <f>基础状态预期!D100</f>
        <v>157.63974470288184</v>
      </c>
      <c r="O87" s="14">
        <f>IF(基础状态预期!Q100="",0,求节点($C$31:$C$36,E$31:E$36,基础状态预期!Q100)*基础状态预期!G100)</f>
        <v>0</v>
      </c>
      <c r="P87" s="14">
        <f>IF(基础状态预期!R100="",0,求节点($C$31:$C$36,F$31:F$36,基础状态预期!R100)*基础状态预期!H100)</f>
        <v>0</v>
      </c>
      <c r="Q87" s="14">
        <f>IF(基础状态预期!S100="",0,求节点($C$31:$C$36,G$31:G$36,基础状态预期!S100)*基础状态预期!I100)</f>
        <v>0</v>
      </c>
      <c r="R87" s="14">
        <f>IF(基础状态预期!T100="",0,求节点($C$31:$C$36,H$31:H$36,基础状态预期!T100)*基础状态预期!J100)</f>
        <v>642</v>
      </c>
      <c r="S87" s="14"/>
      <c r="T87" s="14">
        <f>IF(基础状态预期!P100="",0,求节点($C$40:$C$45,D$40:D$45,基础状态预期!P100))</f>
        <v>0</v>
      </c>
      <c r="U87" s="14">
        <f>IF(基础状态预期!Q100="",0,求节点($C$40:$C$45,E$40:E$45,基础状态预期!Q100))</f>
        <v>0</v>
      </c>
      <c r="V87" s="14">
        <f>IF(基础状态预期!R100="",0,求节点($C$40:$C$45,F$40:F$45,基础状态预期!R100))</f>
        <v>0</v>
      </c>
      <c r="W87" s="14">
        <f>IF(基础状态预期!S100="",0,求节点($C$40:$C$45,G$40:G$45,基础状态预期!S100))</f>
        <v>0</v>
      </c>
      <c r="X87" s="14">
        <f>IF(基础状态预期!T100="",0,求节点($C$40:$C$45,H$40:H$45,基础状态预期!T100))</f>
        <v>1088100000</v>
      </c>
      <c r="Y87" s="14">
        <f>MAX(SUMPRODUCT(T87:X87,基础状态预期!F100:J100),Y86)</f>
        <v>6528600000</v>
      </c>
      <c r="AP87" s="29">
        <f t="shared" si="22"/>
        <v>157.63974470288184</v>
      </c>
      <c r="AQ87" s="14"/>
      <c r="AR87" s="14">
        <f t="shared" si="23"/>
        <v>6528600000</v>
      </c>
      <c r="AS87" s="14">
        <f>(AR87-AR86)*INDEX('[1]功能-付费相关'!$AR$6:$AR$165,$AP87,1)+AS86</f>
        <v>5398597.8579353746</v>
      </c>
    </row>
    <row r="88" spans="13:49" x14ac:dyDescent="0.15">
      <c r="M88" s="16">
        <v>43</v>
      </c>
    </row>
    <row r="89" spans="13:49" x14ac:dyDescent="0.15">
      <c r="M89" s="16">
        <v>44</v>
      </c>
    </row>
    <row r="90" spans="13:49" x14ac:dyDescent="0.15">
      <c r="M90" s="16">
        <v>45</v>
      </c>
    </row>
    <row r="91" spans="13:49" x14ac:dyDescent="0.15">
      <c r="M91" s="16">
        <v>1</v>
      </c>
    </row>
    <row r="92" spans="13:49" x14ac:dyDescent="0.15">
      <c r="M92" s="16">
        <v>2</v>
      </c>
      <c r="N92" s="14" t="s">
        <v>184</v>
      </c>
      <c r="O92" s="165" t="s">
        <v>198</v>
      </c>
      <c r="P92" s="172"/>
      <c r="Q92" s="172"/>
      <c r="R92" s="172"/>
      <c r="S92" s="166"/>
      <c r="T92" s="164" t="s">
        <v>412</v>
      </c>
      <c r="U92" s="164"/>
      <c r="V92" s="164"/>
      <c r="W92" s="164"/>
      <c r="X92" s="164"/>
      <c r="Y92" s="164"/>
      <c r="AC92" s="29" t="s">
        <v>98</v>
      </c>
      <c r="AD92" s="165" t="s">
        <v>292</v>
      </c>
      <c r="AE92" s="172"/>
      <c r="AF92" s="172"/>
      <c r="AG92" s="166"/>
      <c r="AH92" s="160" t="s">
        <v>290</v>
      </c>
      <c r="AI92" s="160"/>
      <c r="AJ92" s="160"/>
      <c r="AK92" s="160"/>
      <c r="AL92" s="160"/>
      <c r="AP92" s="14" t="s">
        <v>77</v>
      </c>
      <c r="AQ92" s="164" t="s">
        <v>306</v>
      </c>
      <c r="AR92" s="164"/>
      <c r="AS92" s="164"/>
      <c r="AU92" s="29" t="s">
        <v>77</v>
      </c>
      <c r="AV92" s="164" t="s">
        <v>308</v>
      </c>
      <c r="AW92" s="164"/>
    </row>
    <row r="93" spans="13:49" x14ac:dyDescent="0.15">
      <c r="M93" s="16">
        <v>3</v>
      </c>
      <c r="N93" s="14" t="s">
        <v>478</v>
      </c>
      <c r="O93" s="19" t="s">
        <v>3</v>
      </c>
      <c r="P93" s="19" t="s">
        <v>1</v>
      </c>
      <c r="Q93" s="19" t="s">
        <v>2</v>
      </c>
      <c r="R93" s="19" t="s">
        <v>0</v>
      </c>
      <c r="S93" s="19" t="s">
        <v>545</v>
      </c>
      <c r="T93" s="29" t="s">
        <v>207</v>
      </c>
      <c r="U93" s="29" t="s">
        <v>208</v>
      </c>
      <c r="V93" s="29" t="s">
        <v>209</v>
      </c>
      <c r="W93" s="29" t="s">
        <v>210</v>
      </c>
      <c r="X93" s="29" t="s">
        <v>545</v>
      </c>
      <c r="Y93" s="14" t="s">
        <v>211</v>
      </c>
      <c r="AC93" s="29" t="s">
        <v>478</v>
      </c>
      <c r="AD93" s="29" t="s">
        <v>287</v>
      </c>
      <c r="AE93" s="29" t="s">
        <v>288</v>
      </c>
      <c r="AF93" s="29" t="s">
        <v>289</v>
      </c>
      <c r="AG93" s="29" t="s">
        <v>294</v>
      </c>
      <c r="AH93" s="29" t="s">
        <v>287</v>
      </c>
      <c r="AI93" s="29" t="s">
        <v>288</v>
      </c>
      <c r="AJ93" s="29" t="s">
        <v>289</v>
      </c>
      <c r="AK93" s="29" t="s">
        <v>294</v>
      </c>
      <c r="AL93" s="14" t="s">
        <v>293</v>
      </c>
      <c r="AP93" s="29" t="s">
        <v>478</v>
      </c>
      <c r="AQ93" s="29" t="s">
        <v>309</v>
      </c>
      <c r="AR93" s="29" t="s">
        <v>338</v>
      </c>
      <c r="AS93" s="29" t="s">
        <v>339</v>
      </c>
      <c r="AU93" s="29" t="s">
        <v>478</v>
      </c>
      <c r="AV93" s="29" t="s">
        <v>309</v>
      </c>
      <c r="AW93" s="29" t="s">
        <v>305</v>
      </c>
    </row>
    <row r="94" spans="13:49" x14ac:dyDescent="0.15">
      <c r="M94" s="16">
        <v>4</v>
      </c>
      <c r="N94" s="14">
        <f>基础状态预期!D107</f>
        <v>10.099965341977441</v>
      </c>
      <c r="O94" s="14">
        <f>IF(基础状态预期!Q107="",0,求节点($C$31:$C$36,E$31:E$36,基础状态预期!Q107)*基础状态预期!G107)</f>
        <v>0</v>
      </c>
      <c r="P94" s="14">
        <f>IF(基础状态预期!R107="",0,求节点($C$31:$C$36,F$31:F$36,基础状态预期!R107)*基础状态预期!H107)</f>
        <v>2.4239916820745857</v>
      </c>
      <c r="Q94" s="14">
        <f>IF(基础状态预期!S107="",0,求节点($C$31:$C$36,G$31:G$36,基础状态预期!S107)*基础状态预期!I107)</f>
        <v>4.8479833641491714</v>
      </c>
      <c r="R94" s="14">
        <f>IF(基础状态预期!T107="",0,求节点($C$31:$C$36,H$31:H$36,基础状态预期!T107)*基础状态预期!J107)</f>
        <v>0</v>
      </c>
      <c r="S94" s="14"/>
      <c r="T94" s="14">
        <f>IF(基础状态预期!P107="",0,求节点($C$40:$C$45,D$40:D$45,基础状态预期!P107))</f>
        <v>0</v>
      </c>
      <c r="U94" s="14">
        <f>IF(基础状态预期!Q107="",0,求节点($C$40:$C$45,E$40:E$45,基础状态预期!Q107))</f>
        <v>0</v>
      </c>
      <c r="V94" s="14">
        <f>IF(基础状态预期!R107="",0,求节点($C$40:$C$45,F$40:F$45,基础状态预期!R107))</f>
        <v>16159.944547163905</v>
      </c>
      <c r="W94" s="14">
        <f>IF(基础状态预期!S107="",0,求节点($C$40:$C$45,G$40:G$45,基础状态预期!S107))</f>
        <v>24239.916820745857</v>
      </c>
      <c r="X94" s="14">
        <f>IF(基础状态预期!T107="",0,求节点($C$40:$C$45,H$40:H$45,基础状态预期!T107))</f>
        <v>0</v>
      </c>
      <c r="Y94" s="14">
        <f>MAX(SUMPRODUCT(T94:X94,基础状态预期!F107:J107),Y93)</f>
        <v>129279.55637731124</v>
      </c>
      <c r="AC94" s="29">
        <v>10</v>
      </c>
      <c r="AD94" s="29">
        <v>0</v>
      </c>
      <c r="AE94" s="29">
        <v>0</v>
      </c>
      <c r="AF94" s="29">
        <v>0</v>
      </c>
      <c r="AG94" s="29">
        <v>0</v>
      </c>
      <c r="AH94" s="29">
        <f>AD94*(INDEX([2]非r将兵属性验证!$S$7:$S$166,$AC94,1)+INDEX([2]非r将兵属性验证!$AG$7:$AG$166,$AC94,1))</f>
        <v>0</v>
      </c>
      <c r="AI94" s="29">
        <f>AE94*INDEX([2]非r将兵属性验证!T$7:T$166,$AC94,1)</f>
        <v>0</v>
      </c>
      <c r="AJ94" s="29">
        <f>AF94*INDEX([2]非r将兵属性验证!U$7:U$166,$AC94,1)</f>
        <v>0</v>
      </c>
      <c r="AK94" s="29">
        <f>AG94*INDEX([2]非r将兵属性验证!$AM$7:$AM$166,$AC94,1)</f>
        <v>0</v>
      </c>
      <c r="AL94" s="14">
        <f>SUM(AH94:AK94)</f>
        <v>0</v>
      </c>
      <c r="AP94" s="29">
        <f>$N94</f>
        <v>10.099965341977441</v>
      </c>
      <c r="AQ94" s="14"/>
      <c r="AR94" s="14">
        <f>$Y94</f>
        <v>129279.55637731124</v>
      </c>
      <c r="AS94" s="45">
        <f>AR94*INDEX('[1]功能-付费相关'!$AS$6:$AS$165,$AP94,1)</f>
        <v>323.19889094327812</v>
      </c>
      <c r="AU94" s="29">
        <v>10</v>
      </c>
      <c r="AV94" s="29">
        <f t="shared" ref="AV94:AV103" si="27">求节点($AP$94:$AP$132,AQ$94:AQ$132,$AU94)</f>
        <v>0</v>
      </c>
      <c r="AW94" s="29">
        <f t="shared" ref="AW94:AW103" si="28">求节点($AP$94:$AP$132,AS$94:AS$132,$AU94)</f>
        <v>320</v>
      </c>
    </row>
    <row r="95" spans="13:49" x14ac:dyDescent="0.15">
      <c r="M95" s="16">
        <v>5</v>
      </c>
      <c r="N95" s="14">
        <f>基础状态预期!D108</f>
        <v>19.800198258084681</v>
      </c>
      <c r="O95" s="14">
        <f>IF(基础状态预期!Q108="",0,求节点($C$31:$C$36,E$31:E$36,基础状态预期!Q108)*基础状态预期!G108)</f>
        <v>0</v>
      </c>
      <c r="P95" s="14">
        <f>IF(基础状态预期!R108="",0,求节点($C$31:$C$36,F$31:F$36,基础状态预期!R108)*基础状态预期!H108)</f>
        <v>0</v>
      </c>
      <c r="Q95" s="14">
        <f>IF(基础状态预期!S108="",0,求节点($C$31:$C$36,G$31:G$36,基础状态预期!S108)*基础状态预期!I108)</f>
        <v>14.25614274582097</v>
      </c>
      <c r="R95" s="14">
        <f>IF(基础状态预期!T108="",0,求节点($C$31:$C$36,H$31:H$36,基础状态预期!T108)*基础状态预期!J108)</f>
        <v>0</v>
      </c>
      <c r="S95" s="14"/>
      <c r="T95" s="14">
        <f>IF(基础状态预期!P108="",0,求节点($C$40:$C$45,D$40:D$45,基础状态预期!P108))</f>
        <v>0</v>
      </c>
      <c r="U95" s="14">
        <f>IF(基础状态预期!Q108="",0,求节点($C$40:$C$45,E$40:E$45,基础状态预期!Q108))</f>
        <v>0</v>
      </c>
      <c r="V95" s="14">
        <f>IF(基础状态预期!R108="",0,求节点($C$40:$C$45,F$40:F$45,基础状态预期!R108))</f>
        <v>0</v>
      </c>
      <c r="W95" s="14">
        <f>IF(基础状态预期!S108="",0,求节点($C$40:$C$45,G$40:G$45,基础状态预期!S108))</f>
        <v>47520.475819403233</v>
      </c>
      <c r="X95" s="14">
        <f>IF(基础状态预期!T108="",0,求节点($C$40:$C$45,H$40:H$45,基础状态预期!T108))</f>
        <v>0</v>
      </c>
      <c r="Y95" s="14">
        <f>MAX(SUMPRODUCT(T95:X95,基础状态预期!F108:J108),Y94)</f>
        <v>285122.85491641937</v>
      </c>
      <c r="AC95" s="29">
        <v>20</v>
      </c>
      <c r="AD95" s="29">
        <v>0</v>
      </c>
      <c r="AE95" s="29">
        <v>0</v>
      </c>
      <c r="AF95" s="29">
        <v>0</v>
      </c>
      <c r="AG95" s="29">
        <v>0</v>
      </c>
      <c r="AH95" s="29">
        <f>AD95*(INDEX([2]非r将兵属性验证!$S$7:$S$166,$AC95,1)+INDEX([2]非r将兵属性验证!$AG$7:$AG$166,$AC95,1))</f>
        <v>0</v>
      </c>
      <c r="AI95" s="29">
        <f>AE95*INDEX([2]非r将兵属性验证!T$7:T$166,$AC95,1)</f>
        <v>0</v>
      </c>
      <c r="AJ95" s="29">
        <f>AF95*INDEX([2]非r将兵属性验证!U$7:U$166,$AC95,1)</f>
        <v>0</v>
      </c>
      <c r="AK95" s="29">
        <f>AG95*INDEX([2]非r将兵属性验证!$AM$7:$AM$166,$AC95,1)</f>
        <v>0</v>
      </c>
      <c r="AL95" s="14">
        <f t="shared" ref="AL95:AL103" si="29">SUM(AH95:AK95)</f>
        <v>0</v>
      </c>
      <c r="AP95" s="29">
        <f t="shared" ref="AP95:AP132" si="30">$N95</f>
        <v>19.800198258084681</v>
      </c>
      <c r="AQ95" s="14"/>
      <c r="AR95" s="14">
        <f t="shared" ref="AR95:AR132" si="31">$Y95</f>
        <v>285122.85491641937</v>
      </c>
      <c r="AS95" s="14">
        <f>(AR95-AR94)*INDEX('[1]功能-付费相关'!$AS$6:$AS$165,$AP95,1)+AS94</f>
        <v>653.37537089901571</v>
      </c>
      <c r="AU95" s="29">
        <v>20</v>
      </c>
      <c r="AV95" s="29">
        <f t="shared" si="27"/>
        <v>0</v>
      </c>
      <c r="AW95" s="29">
        <f t="shared" si="28"/>
        <v>664.33893669280906</v>
      </c>
    </row>
    <row r="96" spans="13:49" x14ac:dyDescent="0.15">
      <c r="M96" s="16">
        <v>6</v>
      </c>
      <c r="N96" s="14">
        <f>基础状态预期!D109</f>
        <v>27.769105021676069</v>
      </c>
      <c r="O96" s="14">
        <f>IF(基础状态预期!Q109="",0,求节点($C$31:$C$36,E$31:E$36,基础状态预期!Q109)*基础状态预期!G109)</f>
        <v>0</v>
      </c>
      <c r="P96" s="14">
        <f>IF(基础状态预期!R109="",0,求节点($C$31:$C$36,F$31:F$36,基础状态预期!R109)*基础状态预期!H109)</f>
        <v>0</v>
      </c>
      <c r="Q96" s="14">
        <f>IF(基础状态预期!S109="",0,求节点($C$31:$C$36,G$31:G$36,基础状态预期!S109)*基础状态预期!I109)</f>
        <v>21.987511231213535</v>
      </c>
      <c r="R96" s="14">
        <f>IF(基础状态预期!T109="",0,求节点($C$31:$C$36,H$31:H$36,基础状态预期!T109)*基础状态预期!J109)</f>
        <v>0</v>
      </c>
      <c r="S96" s="14"/>
      <c r="T96" s="14">
        <f>IF(基础状态预期!P109="",0,求节点($C$40:$C$45,D$40:D$45,基础状态预期!P109))</f>
        <v>0</v>
      </c>
      <c r="U96" s="14">
        <f>IF(基础状态预期!Q109="",0,求节点($C$40:$C$45,E$40:E$45,基础状态预期!Q109))</f>
        <v>0</v>
      </c>
      <c r="V96" s="14">
        <f>IF(基础状态预期!R109="",0,求节点($C$40:$C$45,F$40:F$45,基础状态预期!R109))</f>
        <v>0</v>
      </c>
      <c r="W96" s="14">
        <f>IF(基础状态预期!S109="",0,求节点($C$40:$C$45,G$40:G$45,基础状态预期!S109))</f>
        <v>86583.40820809023</v>
      </c>
      <c r="X96" s="14">
        <f>IF(基础状态预期!T109="",0,求节点($C$40:$C$45,H$40:H$45,基础状态预期!T109))</f>
        <v>0</v>
      </c>
      <c r="Y96" s="14">
        <f>MAX(SUMPRODUCT(T96:X96,基础状态预期!F109:J109),Y95)</f>
        <v>519500.44924854138</v>
      </c>
      <c r="AC96" s="29">
        <v>30</v>
      </c>
      <c r="AD96" s="29">
        <v>0</v>
      </c>
      <c r="AE96" s="29">
        <v>0</v>
      </c>
      <c r="AF96" s="29">
        <v>0</v>
      </c>
      <c r="AG96" s="29">
        <v>0</v>
      </c>
      <c r="AH96" s="29">
        <f>AD96*(INDEX([2]非r将兵属性验证!$S$7:$S$166,$AC96,1)+INDEX([2]非r将兵属性验证!$AG$7:$AG$166,$AC96,1))</f>
        <v>0</v>
      </c>
      <c r="AI96" s="29">
        <f>AE96*INDEX([2]非r将兵属性验证!T$7:T$166,$AC96,1)</f>
        <v>0</v>
      </c>
      <c r="AJ96" s="29">
        <f>AF96*INDEX([2]非r将兵属性验证!U$7:U$166,$AC96,1)</f>
        <v>0</v>
      </c>
      <c r="AK96" s="29">
        <f>AG96*INDEX([2]非r将兵属性验证!$AM$7:$AM$166,$AC96,1)</f>
        <v>0</v>
      </c>
      <c r="AL96" s="14">
        <f t="shared" si="29"/>
        <v>0</v>
      </c>
      <c r="AP96" s="29">
        <f t="shared" si="30"/>
        <v>27.769105021676069</v>
      </c>
      <c r="AQ96" s="14"/>
      <c r="AR96" s="14">
        <f t="shared" si="31"/>
        <v>519500.44924854138</v>
      </c>
      <c r="AS96" s="14">
        <f>(AR96-AR95)*INDEX('[1]功能-付费相关'!$AS$6:$AS$165,$AP96,1)+AS95</f>
        <v>1090.6470021156613</v>
      </c>
      <c r="AU96" s="29">
        <v>30</v>
      </c>
      <c r="AV96" s="29">
        <f t="shared" si="27"/>
        <v>0</v>
      </c>
      <c r="AW96" s="29">
        <f t="shared" si="28"/>
        <v>1307.7070540606926</v>
      </c>
    </row>
    <row r="97" spans="13:49" x14ac:dyDescent="0.15">
      <c r="M97" s="16">
        <v>7</v>
      </c>
      <c r="N97" s="14">
        <f>基础状态预期!D110</f>
        <v>34.192155176139416</v>
      </c>
      <c r="O97" s="14">
        <f>IF(基础状态预期!Q110="",0,求节点($C$31:$C$36,E$31:E$36,基础状态预期!Q110)*基础状态预期!G110)</f>
        <v>0</v>
      </c>
      <c r="P97" s="14">
        <f>IF(基础状态预期!R110="",0,求节点($C$31:$C$36,F$31:F$36,基础状态预期!R110)*基础状态预期!H110)</f>
        <v>0</v>
      </c>
      <c r="Q97" s="14">
        <f>IF(基础状态预期!S110="",0,求节点($C$31:$C$36,G$31:G$36,基础状态预期!S110)*基础状态预期!I110)</f>
        <v>31.236703453640757</v>
      </c>
      <c r="R97" s="14">
        <f>IF(基础状态预期!T110="",0,求节点($C$31:$C$36,H$31:H$36,基础状态预期!T110)*基础状态预期!J110)</f>
        <v>0</v>
      </c>
      <c r="S97" s="14"/>
      <c r="T97" s="14">
        <f>IF(基础状态预期!P110="",0,求节点($C$40:$C$45,D$40:D$45,基础状态预期!P110))</f>
        <v>0</v>
      </c>
      <c r="U97" s="14">
        <f>IF(基础状态预期!Q110="",0,求节点($C$40:$C$45,E$40:E$45,基础状态预期!Q110))</f>
        <v>0</v>
      </c>
      <c r="V97" s="14">
        <f>IF(基础状态预期!R110="",0,求节点($C$40:$C$45,F$40:F$45,基础状态预期!R110))</f>
        <v>0</v>
      </c>
      <c r="W97" s="14">
        <f>IF(基础状态预期!S110="",0,求节点($C$40:$C$45,G$40:G$45,基础状态预期!S110))</f>
        <v>148244.68969093839</v>
      </c>
      <c r="X97" s="14">
        <f>IF(基础状态预期!T110="",0,求节点($C$40:$C$45,H$40:H$45,基础状态预期!T110))</f>
        <v>0</v>
      </c>
      <c r="Y97" s="14">
        <f>MAX(SUMPRODUCT(T97:X97,基础状态预期!F110:J110),Y96)</f>
        <v>889468.13814563036</v>
      </c>
      <c r="AC97" s="29">
        <v>40</v>
      </c>
      <c r="AD97" s="29">
        <v>0</v>
      </c>
      <c r="AE97" s="29">
        <v>0</v>
      </c>
      <c r="AF97" s="29">
        <v>0</v>
      </c>
      <c r="AG97" s="29">
        <v>0</v>
      </c>
      <c r="AH97" s="29">
        <f>AD97*(INDEX([2]非r将兵属性验证!$S$7:$S$166,$AC97,1)+INDEX([2]非r将兵属性验证!$AG$7:$AG$166,$AC97,1))</f>
        <v>0</v>
      </c>
      <c r="AI97" s="29">
        <f>AE97*INDEX([2]非r将兵属性验证!T$7:T$166,$AC97,1)</f>
        <v>0</v>
      </c>
      <c r="AJ97" s="29">
        <f>AF97*INDEX([2]非r将兵属性验证!U$7:U$166,$AC97,1)</f>
        <v>0</v>
      </c>
      <c r="AK97" s="29">
        <f>AG97*INDEX([2]非r将兵属性验证!$AM$7:$AM$166,$AC97,1)</f>
        <v>0</v>
      </c>
      <c r="AL97" s="14">
        <f t="shared" si="29"/>
        <v>0</v>
      </c>
      <c r="AP97" s="29">
        <f t="shared" si="30"/>
        <v>34.192155176139416</v>
      </c>
      <c r="AQ97" s="14"/>
      <c r="AR97" s="14">
        <f t="shared" si="31"/>
        <v>889468.13814563036</v>
      </c>
      <c r="AS97" s="14">
        <f>(AR97-AR96)*INDEX('[1]功能-付费相关'!$AS$6:$AS$165,$AP97,1)+AS96</f>
        <v>1715.5924225499334</v>
      </c>
      <c r="AU97" s="29">
        <v>40</v>
      </c>
      <c r="AV97" s="29">
        <f t="shared" si="27"/>
        <v>0</v>
      </c>
      <c r="AW97" s="29">
        <f t="shared" si="28"/>
        <v>2243.2979883641769</v>
      </c>
    </row>
    <row r="98" spans="13:49" x14ac:dyDescent="0.15">
      <c r="M98" s="16">
        <v>8</v>
      </c>
      <c r="N98" s="14">
        <f>基础状态预期!D111</f>
        <v>39.631851677253941</v>
      </c>
      <c r="O98" s="14">
        <f>IF(基础状态预期!Q111="",0,求节点($C$31:$C$36,E$31:E$36,基础状态预期!Q111)*基础状态预期!G111)</f>
        <v>0</v>
      </c>
      <c r="P98" s="14">
        <f>IF(基础状态预期!R111="",0,求节点($C$31:$C$36,F$31:F$36,基础状态预期!R111)*基础状态预期!H111)</f>
        <v>0</v>
      </c>
      <c r="Q98" s="14">
        <f>IF(基础状态预期!S111="",0,求节点($C$31:$C$36,G$31:G$36,基础状态预期!S111)*基础状态预期!I111)</f>
        <v>39.06986641524567</v>
      </c>
      <c r="R98" s="14">
        <f>IF(基础状态预期!T111="",0,求节点($C$31:$C$36,H$31:H$36,基础状态预期!T111)*基础状态预期!J111)</f>
        <v>0</v>
      </c>
      <c r="S98" s="14"/>
      <c r="T98" s="14">
        <f>IF(基础状态预期!P111="",0,求节点($C$40:$C$45,D$40:D$45,基础状态预期!P111))</f>
        <v>0</v>
      </c>
      <c r="U98" s="14">
        <f>IF(基础状态预期!Q111="",0,求节点($C$40:$C$45,E$40:E$45,基础状态预期!Q111))</f>
        <v>0</v>
      </c>
      <c r="V98" s="14">
        <f>IF(基础状态预期!R111="",0,求节点($C$40:$C$45,F$40:F$45,基础状态预期!R111))</f>
        <v>0</v>
      </c>
      <c r="W98" s="14">
        <f>IF(基础状态预期!S111="",0,求节点($C$40:$C$45,G$40:G$45,基础状态预期!S111))</f>
        <v>200465.77610163781</v>
      </c>
      <c r="X98" s="14">
        <f>IF(基础状态预期!T111="",0,求节点($C$40:$C$45,H$40:H$45,基础状态预期!T111))</f>
        <v>0</v>
      </c>
      <c r="Y98" s="14">
        <f>MAX(SUMPRODUCT(T98:X98,基础状态预期!F111:J111),Y97)</f>
        <v>1202794.6566098267</v>
      </c>
      <c r="AC98" s="29">
        <v>50</v>
      </c>
      <c r="AD98" s="29">
        <v>0</v>
      </c>
      <c r="AE98" s="29">
        <v>0</v>
      </c>
      <c r="AF98" s="29">
        <v>0</v>
      </c>
      <c r="AG98" s="29">
        <v>0</v>
      </c>
      <c r="AH98" s="29">
        <f>AD98*(INDEX([2]非r将兵属性验证!$S$7:$S$166,$AC98,1)+INDEX([2]非r将兵属性验证!$AG$7:$AG$166,$AC98,1))</f>
        <v>0</v>
      </c>
      <c r="AI98" s="29">
        <f>AE98*INDEX([2]非r将兵属性验证!T$7:T$166,$AC98,1)</f>
        <v>0</v>
      </c>
      <c r="AJ98" s="29">
        <f>AF98*INDEX([2]非r将兵属性验证!U$7:U$166,$AC98,1)</f>
        <v>0</v>
      </c>
      <c r="AK98" s="29">
        <f>AG98*INDEX([2]非r将兵属性验证!$AM$7:$AM$166,$AC98,1)</f>
        <v>0</v>
      </c>
      <c r="AL98" s="14">
        <f t="shared" si="29"/>
        <v>0</v>
      </c>
      <c r="AP98" s="29">
        <f t="shared" si="30"/>
        <v>39.631851677253941</v>
      </c>
      <c r="AQ98" s="14"/>
      <c r="AR98" s="14">
        <f t="shared" si="31"/>
        <v>1202794.6566098267</v>
      </c>
      <c r="AS98" s="14">
        <f>(AR98-AR97)*INDEX('[1]功能-付费相关'!$AS$6:$AS$165,$AP98,1)+AS97</f>
        <v>2211.3622302464464</v>
      </c>
      <c r="AU98" s="29">
        <v>50</v>
      </c>
      <c r="AV98" s="29">
        <f t="shared" si="27"/>
        <v>0</v>
      </c>
      <c r="AW98" s="29">
        <f t="shared" si="28"/>
        <v>3850.7916054796219</v>
      </c>
    </row>
    <row r="99" spans="13:49" x14ac:dyDescent="0.15">
      <c r="M99" s="16">
        <v>9</v>
      </c>
      <c r="N99" s="14">
        <f>基础状态预期!D112</f>
        <v>43.484929789964411</v>
      </c>
      <c r="O99" s="14">
        <f>IF(基础状态预期!Q112="",0,求节点($C$31:$C$36,E$31:E$36,基础状态预期!Q112)*基础状态预期!G112)</f>
        <v>0</v>
      </c>
      <c r="P99" s="14">
        <f>IF(基础状态预期!R112="",0,求节点($C$31:$C$36,F$31:F$36,基础状态预期!R112)*基础状态预期!H112)</f>
        <v>0</v>
      </c>
      <c r="Q99" s="14">
        <f>IF(基础状态预期!S112="",0,求节点($C$31:$C$36,G$31:G$36,基础状态预期!S112)*基础状态预期!I112)</f>
        <v>44.618298897548755</v>
      </c>
      <c r="R99" s="14">
        <f>IF(基础状态预期!T112="",0,求节点($C$31:$C$36,H$31:H$36,基础状态预期!T112)*基础状态预期!J112)</f>
        <v>0</v>
      </c>
      <c r="S99" s="14"/>
      <c r="T99" s="14">
        <f>IF(基础状态预期!P112="",0,求节点($C$40:$C$45,D$40:D$45,基础状态预期!P112))</f>
        <v>0</v>
      </c>
      <c r="U99" s="14">
        <f>IF(基础状态预期!Q112="",0,求节点($C$40:$C$45,E$40:E$45,基础状态预期!Q112))</f>
        <v>0</v>
      </c>
      <c r="V99" s="14">
        <f>IF(基础状态预期!R112="",0,求节点($C$40:$C$45,F$40:F$45,基础状态预期!R112))</f>
        <v>0</v>
      </c>
      <c r="W99" s="14">
        <f>IF(基础状态预期!S112="",0,求节点($C$40:$C$45,G$40:G$45,基础状态预期!S112))</f>
        <v>237455.32598365835</v>
      </c>
      <c r="X99" s="14">
        <f>IF(基础状态预期!T112="",0,求节点($C$40:$C$45,H$40:H$45,基础状态预期!T112))</f>
        <v>0</v>
      </c>
      <c r="Y99" s="14">
        <f>MAX(SUMPRODUCT(T99:X99,基础状态预期!F112:J112),Y98)</f>
        <v>1424731.9559019501</v>
      </c>
      <c r="AC99" s="29">
        <v>60</v>
      </c>
      <c r="AD99" s="29">
        <v>0</v>
      </c>
      <c r="AE99" s="29">
        <v>0</v>
      </c>
      <c r="AF99" s="29">
        <v>0</v>
      </c>
      <c r="AG99" s="29">
        <v>0</v>
      </c>
      <c r="AH99" s="29">
        <f>AD99*(INDEX([2]非r将兵属性验证!$S$7:$S$166,$AC99,1)+INDEX([2]非r将兵属性验证!$AG$7:$AG$166,$AC99,1))</f>
        <v>0</v>
      </c>
      <c r="AI99" s="29">
        <f>AE99*INDEX([2]非r将兵属性验证!T$7:T$166,$AC99,1)</f>
        <v>0</v>
      </c>
      <c r="AJ99" s="29">
        <f>AF99*INDEX([2]非r将兵属性验证!U$7:U$166,$AC99,1)</f>
        <v>0</v>
      </c>
      <c r="AK99" s="29">
        <f>AG99*INDEX([2]非r将兵属性验证!$AM$7:$AM$166,$AC99,1)</f>
        <v>0</v>
      </c>
      <c r="AL99" s="14">
        <f t="shared" si="29"/>
        <v>0</v>
      </c>
      <c r="AP99" s="29">
        <f t="shared" si="30"/>
        <v>43.484929789964411</v>
      </c>
      <c r="AQ99" s="14"/>
      <c r="AR99" s="14">
        <f t="shared" si="31"/>
        <v>1424731.9559019501</v>
      </c>
      <c r="AS99" s="14">
        <f>(AR99-AR98)*INDEX('[1]功能-付费相关'!$AS$6:$AS$165,$AP99,1)+AS98</f>
        <v>2545.6051508671144</v>
      </c>
      <c r="AU99" s="29">
        <v>60</v>
      </c>
      <c r="AV99" s="29">
        <f t="shared" si="27"/>
        <v>0</v>
      </c>
      <c r="AW99" s="29">
        <f t="shared" si="28"/>
        <v>17560.256426501022</v>
      </c>
    </row>
    <row r="100" spans="13:49" x14ac:dyDescent="0.15">
      <c r="M100" s="16">
        <v>10</v>
      </c>
      <c r="N100" s="14">
        <f>基础状态预期!D113</f>
        <v>49.18886033229559</v>
      </c>
      <c r="O100" s="14">
        <f>IF(基础状态预期!Q113="",0,求节点($C$31:$C$36,E$31:E$36,基础状态预期!Q113)*基础状态预期!G113)</f>
        <v>0</v>
      </c>
      <c r="P100" s="14">
        <f>IF(基础状态预期!R113="",0,求节点($C$31:$C$36,F$31:F$36,基础状态预期!R113)*基础状态预期!H113)</f>
        <v>0</v>
      </c>
      <c r="Q100" s="14">
        <f>IF(基础状态预期!S113="",0,求节点($C$31:$C$36,G$31:G$36,基础状态预期!S113)*基础状态预期!I113)</f>
        <v>52.831958878505652</v>
      </c>
      <c r="R100" s="14">
        <f>IF(基础状态预期!T113="",0,求节点($C$31:$C$36,H$31:H$36,基础状态预期!T113)*基础状态预期!J113)</f>
        <v>0</v>
      </c>
      <c r="S100" s="14"/>
      <c r="T100" s="14">
        <f>IF(基础状态预期!P113="",0,求节点($C$40:$C$45,D$40:D$45,基础状态预期!P113))</f>
        <v>0</v>
      </c>
      <c r="U100" s="14">
        <f>IF(基础状态预期!Q113="",0,求节点($C$40:$C$45,E$40:E$45,基础状态预期!Q113))</f>
        <v>0</v>
      </c>
      <c r="V100" s="14">
        <f>IF(基础状态预期!R113="",0,求节点($C$40:$C$45,F$40:F$45,基础状态预期!R113))</f>
        <v>0</v>
      </c>
      <c r="W100" s="14">
        <f>IF(基础状态预期!S113="",0,求节点($C$40:$C$45,G$40:G$45,基础状态预期!S113))</f>
        <v>292213.05919003766</v>
      </c>
      <c r="X100" s="14">
        <f>IF(基础状态预期!T113="",0,求节点($C$40:$C$45,H$40:H$45,基础状态预期!T113))</f>
        <v>0</v>
      </c>
      <c r="Y100" s="14">
        <f>MAX(SUMPRODUCT(T100:X100,基础状态预期!F113:J113),Y99)</f>
        <v>1753278.355140226</v>
      </c>
      <c r="AC100" s="29">
        <v>70</v>
      </c>
      <c r="AD100" s="29">
        <v>0</v>
      </c>
      <c r="AE100" s="29">
        <v>0</v>
      </c>
      <c r="AF100" s="29">
        <v>0</v>
      </c>
      <c r="AG100" s="29">
        <v>0</v>
      </c>
      <c r="AH100" s="29">
        <f>AD100*(INDEX([2]非r将兵属性验证!$S$7:$S$166,$AC100,1)+INDEX([2]非r将兵属性验证!$AG$7:$AG$166,$AC100,1))</f>
        <v>0</v>
      </c>
      <c r="AI100" s="29">
        <f>AE100*INDEX([2]非r将兵属性验证!T$7:T$166,$AC100,1)</f>
        <v>0</v>
      </c>
      <c r="AJ100" s="29">
        <f>AF100*INDEX([2]非r将兵属性验证!U$7:U$166,$AC100,1)</f>
        <v>0</v>
      </c>
      <c r="AK100" s="29">
        <f>AG100*INDEX([2]非r将兵属性验证!$AM$7:$AM$166,$AC100,1)</f>
        <v>0</v>
      </c>
      <c r="AL100" s="14">
        <f t="shared" si="29"/>
        <v>0</v>
      </c>
      <c r="AP100" s="29">
        <f t="shared" si="30"/>
        <v>49.18886033229559</v>
      </c>
      <c r="AQ100" s="14"/>
      <c r="AR100" s="14">
        <f t="shared" si="31"/>
        <v>1753278.355140226</v>
      </c>
      <c r="AS100" s="14">
        <f>(AR100-AR99)*INDEX('[1]功能-付费相关'!$AS$6:$AS$165,$AP100,1)+AS99</f>
        <v>3007.0467228309849</v>
      </c>
      <c r="AU100" s="29">
        <v>70</v>
      </c>
      <c r="AV100" s="29">
        <f t="shared" si="27"/>
        <v>0</v>
      </c>
      <c r="AW100" s="29">
        <f t="shared" si="28"/>
        <v>1224045.9298166477</v>
      </c>
    </row>
    <row r="101" spans="13:49" x14ac:dyDescent="0.15">
      <c r="M101" s="16">
        <v>11</v>
      </c>
      <c r="N101" s="14">
        <f>基础状态预期!D114</f>
        <v>53.212684955585161</v>
      </c>
      <c r="O101" s="14">
        <f>IF(基础状态预期!Q114="",0,求节点($C$31:$C$36,E$31:E$36,基础状态预期!Q114)*基础状态预期!G114)</f>
        <v>0</v>
      </c>
      <c r="P101" s="14">
        <f>IF(基础状态预期!R114="",0,求节点($C$31:$C$36,F$31:F$36,基础状态预期!R114)*基础状态预期!H114)</f>
        <v>0</v>
      </c>
      <c r="Q101" s="14">
        <f>IF(基础状态预期!S114="",0,求节点($C$31:$C$36,G$31:G$36,基础状态预期!S114)*基础状态预期!I114)</f>
        <v>52.710443893404396</v>
      </c>
      <c r="R101" s="14">
        <f>IF(基础状态预期!T114="",0,求节点($C$31:$C$36,H$31:H$36,基础状态预期!T114)*基础状态预期!J114)</f>
        <v>11.31313316802132</v>
      </c>
      <c r="S101" s="14"/>
      <c r="T101" s="14">
        <f>IF(基础状态预期!P114="",0,求节点($C$40:$C$45,D$40:D$45,基础状态预期!P114))</f>
        <v>0</v>
      </c>
      <c r="U101" s="14">
        <f>IF(基础状态预期!Q114="",0,求节点($C$40:$C$45,E$40:E$45,基础状态预期!Q114))</f>
        <v>0</v>
      </c>
      <c r="V101" s="14">
        <f>IF(基础状态预期!R114="",0,求节点($C$40:$C$45,F$40:F$45,基础状态预期!R114))</f>
        <v>0</v>
      </c>
      <c r="W101" s="14">
        <f>IF(基础状态预期!S114="",0,求节点($C$40:$C$45,G$40:G$45,基础状态预期!S114))</f>
        <v>608417.75573617592</v>
      </c>
      <c r="X101" s="14">
        <f>IF(基础状态预期!T114="",0,求节点($C$40:$C$45,H$40:H$45,基础状态预期!T114))</f>
        <v>1825253.2672085278</v>
      </c>
      <c r="Y101" s="14">
        <f>MAX(SUMPRODUCT(T101:X101,基础状态预期!F114:J114),Y100)</f>
        <v>4867342.0458894074</v>
      </c>
      <c r="AC101" s="29">
        <v>80</v>
      </c>
      <c r="AD101" s="29">
        <v>0</v>
      </c>
      <c r="AE101" s="29">
        <v>0</v>
      </c>
      <c r="AF101" s="29">
        <v>0</v>
      </c>
      <c r="AG101" s="29">
        <v>0</v>
      </c>
      <c r="AH101" s="29">
        <f>AD101*(INDEX([2]非r将兵属性验证!$S$7:$S$166,$AC101,1)+INDEX([2]非r将兵属性验证!$AG$7:$AG$166,$AC101,1))</f>
        <v>0</v>
      </c>
      <c r="AI101" s="29">
        <f>AE101*INDEX([2]非r将兵属性验证!T$7:T$166,$AC101,1)</f>
        <v>0</v>
      </c>
      <c r="AJ101" s="29">
        <f>AF101*INDEX([2]非r将兵属性验证!U$7:U$166,$AC101,1)</f>
        <v>0</v>
      </c>
      <c r="AK101" s="29">
        <f>AG101*INDEX([2]非r将兵属性验证!$AM$7:$AM$166,$AC101,1)</f>
        <v>0</v>
      </c>
      <c r="AL101" s="14">
        <f t="shared" si="29"/>
        <v>0</v>
      </c>
      <c r="AP101" s="29">
        <f t="shared" si="30"/>
        <v>53.212684955585161</v>
      </c>
      <c r="AQ101" s="14"/>
      <c r="AR101" s="14">
        <f t="shared" si="31"/>
        <v>4867342.0458894074</v>
      </c>
      <c r="AS101" s="14">
        <f>(AR101-AR100)*INDEX('[1]功能-付费相关'!$AS$6:$AS$165,$AP101,1)+AS100</f>
        <v>7192.6161996444007</v>
      </c>
      <c r="AU101" s="29">
        <v>80</v>
      </c>
      <c r="AV101" s="29">
        <f t="shared" si="27"/>
        <v>0</v>
      </c>
      <c r="AW101" s="29">
        <f t="shared" si="28"/>
        <v>-1080757.2788455437</v>
      </c>
    </row>
    <row r="102" spans="13:49" x14ac:dyDescent="0.15">
      <c r="M102" s="16">
        <v>12</v>
      </c>
      <c r="N102" s="14">
        <f>基础状态预期!D115</f>
        <v>59.09095196730258</v>
      </c>
      <c r="O102" s="14">
        <f>IF(基础状态预期!Q115="",0,求节点($C$31:$C$36,E$31:E$36,基础状态预期!Q115)*基础状态预期!G115)</f>
        <v>0</v>
      </c>
      <c r="P102" s="14">
        <f>IF(基础状态预期!R115="",0,求节点($C$31:$C$36,F$31:F$36,基础状态预期!R115)*基础状态预期!H115)</f>
        <v>0</v>
      </c>
      <c r="Q102" s="14">
        <f>IF(基础状态预期!S115="",0,求节点($C$31:$C$36,G$31:G$36,基础状态预期!S115)*基础状态预期!I115)</f>
        <v>53.454627777220963</v>
      </c>
      <c r="R102" s="14">
        <f>IF(基础状态预期!T115="",0,求节点($C$31:$C$36,H$31:H$36,基础状态预期!T115)*基础状态预期!J115)</f>
        <v>31.090970832915723</v>
      </c>
      <c r="S102" s="14"/>
      <c r="T102" s="14">
        <f>IF(基础状态预期!P115="",0,求节点($C$40:$C$45,D$40:D$45,基础状态预期!P115))</f>
        <v>0</v>
      </c>
      <c r="U102" s="14">
        <f>IF(基础状态预期!Q115="",0,求节点($C$40:$C$45,E$40:E$45,基础状态预期!Q115))</f>
        <v>0</v>
      </c>
      <c r="V102" s="14">
        <f>IF(基础状态预期!R115="",0,求节点($C$40:$C$45,F$40:F$45,基础状态预期!R115))</f>
        <v>0</v>
      </c>
      <c r="W102" s="14">
        <f>IF(基础状态预期!S115="",0,求节点($C$40:$C$45,G$40:G$45,基础状态预期!S115))</f>
        <v>1172731.388861048</v>
      </c>
      <c r="X102" s="14">
        <f>IF(基础状态预期!T115="",0,求节点($C$40:$C$45,H$40:H$45,基础状态预期!T115))</f>
        <v>3518194.1665831446</v>
      </c>
      <c r="Y102" s="14">
        <f>MAX(SUMPRODUCT(T102:X102,基础状态预期!F115:J115),Y101)</f>
        <v>11727313.888610482</v>
      </c>
      <c r="AC102" s="29">
        <v>90</v>
      </c>
      <c r="AD102" s="29">
        <v>0</v>
      </c>
      <c r="AE102" s="29">
        <v>0</v>
      </c>
      <c r="AF102" s="29">
        <v>0</v>
      </c>
      <c r="AG102" s="29">
        <v>0</v>
      </c>
      <c r="AH102" s="29">
        <f>AD102*(INDEX([2]非r将兵属性验证!$S$7:$S$166,$AC102,1)+INDEX([2]非r将兵属性验证!$AG$7:$AG$166,$AC102,1))</f>
        <v>0</v>
      </c>
      <c r="AI102" s="29">
        <f>AE102*INDEX([2]非r将兵属性验证!T$7:T$166,$AC102,1)</f>
        <v>0</v>
      </c>
      <c r="AJ102" s="29">
        <f>AF102*INDEX([2]非r将兵属性验证!U$7:U$166,$AC102,1)</f>
        <v>0</v>
      </c>
      <c r="AK102" s="29">
        <f>AG102*INDEX([2]非r将兵属性验证!$AM$7:$AM$166,$AC102,1)</f>
        <v>0</v>
      </c>
      <c r="AL102" s="14">
        <f t="shared" si="29"/>
        <v>0</v>
      </c>
      <c r="AP102" s="29">
        <f t="shared" si="30"/>
        <v>59.09095196730258</v>
      </c>
      <c r="AQ102" s="14"/>
      <c r="AR102" s="14">
        <f t="shared" si="31"/>
        <v>11727313.888610482</v>
      </c>
      <c r="AS102" s="14">
        <f>(AR102-AR101)*INDEX('[1]功能-付费相关'!$AS$6:$AS$165,$AP102,1)+AS101</f>
        <v>15854.196809140709</v>
      </c>
      <c r="AU102" s="29">
        <v>90</v>
      </c>
      <c r="AV102" s="29">
        <f t="shared" si="27"/>
        <v>0</v>
      </c>
      <c r="AW102" s="29">
        <f t="shared" si="28"/>
        <v>-909438.2929397485</v>
      </c>
    </row>
    <row r="103" spans="13:49" x14ac:dyDescent="0.15">
      <c r="M103" s="16">
        <v>13</v>
      </c>
      <c r="N103" s="14">
        <f>基础状态预期!D116</f>
        <v>64.819145630244321</v>
      </c>
      <c r="O103" s="14">
        <f>IF(基础状态预期!Q116="",0,求节点($C$31:$C$36,E$31:E$36,基础状态预期!Q116)*基础状态预期!G116)</f>
        <v>0</v>
      </c>
      <c r="P103" s="14">
        <f>IF(基础状态预期!R116="",0,求节点($C$31:$C$36,F$31:F$36,基础状态预期!R116)*基础状态预期!H116)</f>
        <v>0</v>
      </c>
      <c r="Q103" s="14">
        <f>IF(基础状态预期!S116="",0,求节点($C$31:$C$36,G$31:G$36,基础状态预期!S116)*基础状态预期!I116)</f>
        <v>48.339569707551831</v>
      </c>
      <c r="R103" s="14">
        <f>IF(基础状态预期!T116="",0,求节点($C$31:$C$36,H$31:H$36,基础状态预期!T116)*基础状态预期!J116)</f>
        <v>59.00935456132774</v>
      </c>
      <c r="S103" s="14"/>
      <c r="T103" s="14">
        <f>IF(基础状态预期!P116="",0,求节点($C$40:$C$45,D$40:D$45,基础状态预期!P116))</f>
        <v>0</v>
      </c>
      <c r="U103" s="14">
        <f>IF(基础状态预期!Q116="",0,求节点($C$40:$C$45,E$40:E$45,基础状态预期!Q116))</f>
        <v>0</v>
      </c>
      <c r="V103" s="14">
        <f>IF(基础状态预期!R116="",0,求节点($C$40:$C$45,F$40:F$45,基础状态预期!R116))</f>
        <v>0</v>
      </c>
      <c r="W103" s="14">
        <f>IF(基础状态预期!S116="",0,求节点($C$40:$C$45,G$40:G$45,基础状态预期!S116))</f>
        <v>1722637.980503455</v>
      </c>
      <c r="X103" s="14">
        <f>IF(基础状态预期!T116="",0,求节点($C$40:$C$45,H$40:H$45,基础状态预期!T116))</f>
        <v>5167913.9415103653</v>
      </c>
      <c r="Y103" s="14">
        <f>MAX(SUMPRODUCT(T103:X103,基础状态预期!F116:J116),Y102)</f>
        <v>20671655.766041461</v>
      </c>
      <c r="AC103" s="29">
        <v>100</v>
      </c>
      <c r="AD103" s="29">
        <v>0</v>
      </c>
      <c r="AE103" s="29">
        <v>0</v>
      </c>
      <c r="AF103" s="29">
        <v>0</v>
      </c>
      <c r="AG103" s="29">
        <v>0</v>
      </c>
      <c r="AH103" s="29">
        <f>AD103*(INDEX([2]非r将兵属性验证!$S$7:$S$166,$AC103,1)+INDEX([2]非r将兵属性验证!$AG$7:$AG$166,$AC103,1))</f>
        <v>0</v>
      </c>
      <c r="AI103" s="29">
        <f>AE103*INDEX([2]非r将兵属性验证!T$7:T$166,$AC103,1)</f>
        <v>0</v>
      </c>
      <c r="AJ103" s="29">
        <f>AF103*INDEX([2]非r将兵属性验证!U$7:U$166,$AC103,1)</f>
        <v>0</v>
      </c>
      <c r="AK103" s="29">
        <f>AG103*INDEX([2]非r将兵属性验证!$AM$7:$AM$166,$AC103,1)</f>
        <v>0</v>
      </c>
      <c r="AL103" s="14">
        <f t="shared" si="29"/>
        <v>0</v>
      </c>
      <c r="AP103" s="29">
        <f t="shared" si="30"/>
        <v>64.819145630244321</v>
      </c>
      <c r="AQ103" s="14"/>
      <c r="AR103" s="14">
        <f t="shared" si="31"/>
        <v>20671655.766041461</v>
      </c>
      <c r="AS103" s="14">
        <f>(AR103-AR102)*INDEX('[1]功能-付费相关'!$AS$6:$AS$165,$AP103,1)+AS102</f>
        <v>26604.607719514483</v>
      </c>
      <c r="AU103" s="29">
        <v>100</v>
      </c>
      <c r="AV103" s="29">
        <f t="shared" si="27"/>
        <v>0</v>
      </c>
      <c r="AW103" s="29">
        <f t="shared" si="28"/>
        <v>-636298.25438965089</v>
      </c>
    </row>
    <row r="104" spans="13:49" x14ac:dyDescent="0.15">
      <c r="M104" s="16">
        <v>14</v>
      </c>
      <c r="N104" s="14">
        <f>基础状态预期!D117</f>
        <v>69.01697485309198</v>
      </c>
      <c r="O104" s="14">
        <f>IF(基础状态预期!Q117="",0,求节点($C$31:$C$36,E$31:E$36,基础状态预期!Q117)*基础状态预期!G117)</f>
        <v>0</v>
      </c>
      <c r="P104" s="14">
        <f>IF(基础状态预期!R117="",0,求节点($C$31:$C$36,F$31:F$36,基础状态预期!R117)*基础状态预期!H117)</f>
        <v>0</v>
      </c>
      <c r="Q104" s="14">
        <f>IF(基础状态预期!S117="",0,求节点($C$31:$C$36,G$31:G$36,基础状态预期!S117)*基础状态预期!I117)</f>
        <v>36.256295858968301</v>
      </c>
      <c r="R104" s="14">
        <f>IF(基础状态预期!T117="",0,求节点($C$31:$C$36,H$31:H$36,基础状态预期!T117)*基础状态预期!J117)</f>
        <v>90.768887576904916</v>
      </c>
      <c r="S104" s="14"/>
      <c r="T104" s="14">
        <f>IF(基础状态预期!P117="",0,求节点($C$40:$C$45,D$40:D$45,基础状态预期!P117))</f>
        <v>0</v>
      </c>
      <c r="U104" s="14">
        <f>IF(基础状态预期!Q117="",0,求节点($C$40:$C$45,E$40:E$45,基础状态预期!Q117))</f>
        <v>0</v>
      </c>
      <c r="V104" s="14">
        <f>IF(基础状态预期!R117="",0,求节点($C$40:$C$45,F$40:F$45,基础状态预期!R117))</f>
        <v>0</v>
      </c>
      <c r="W104" s="14">
        <f>IF(基础状态预期!S117="",0,求节点($C$40:$C$45,G$40:G$45,基础状态预期!S117))</f>
        <v>2125629.5858968301</v>
      </c>
      <c r="X104" s="14">
        <f>IF(基础状态预期!T117="",0,求节点($C$40:$C$45,H$40:H$45,基础状态预期!T117))</f>
        <v>6376888.7576904912</v>
      </c>
      <c r="Y104" s="14">
        <f>MAX(SUMPRODUCT(T104:X104,基础状态预期!F117:J117),Y103)</f>
        <v>29758814.202555627</v>
      </c>
      <c r="AC104" s="29">
        <v>110</v>
      </c>
      <c r="AD104" s="29">
        <v>0</v>
      </c>
      <c r="AE104" s="29">
        <v>0</v>
      </c>
      <c r="AF104" s="29">
        <v>0</v>
      </c>
      <c r="AG104" s="29">
        <v>0</v>
      </c>
      <c r="AH104" s="29">
        <f>AD104*(INDEX([2]非r将兵属性验证!$S$7:$S$166,$AC104,1)+INDEX([2]非r将兵属性验证!$AG$7:$AG$166,$AC104,1))</f>
        <v>0</v>
      </c>
      <c r="AI104" s="29">
        <f>AE104*INDEX([2]非r将兵属性验证!T$7:T$166,$AC104,1)</f>
        <v>0</v>
      </c>
      <c r="AJ104" s="29">
        <f>AF104*INDEX([2]非r将兵属性验证!U$7:U$166,$AC104,1)</f>
        <v>0</v>
      </c>
      <c r="AK104" s="29">
        <f>AG104*INDEX([2]非r将兵属性验证!$AM$7:$AM$166,$AC104,1)</f>
        <v>0</v>
      </c>
      <c r="AL104" s="14">
        <f t="shared" ref="AL104:AL109" si="32">SUM(AH104:AK104)</f>
        <v>0</v>
      </c>
      <c r="AP104" s="29">
        <f t="shared" si="30"/>
        <v>69.01697485309198</v>
      </c>
      <c r="AQ104" s="14"/>
      <c r="AR104" s="14">
        <f t="shared" si="31"/>
        <v>29758814.202555627</v>
      </c>
      <c r="AS104" s="14">
        <f>(AR104-AR103)*INDEX('[1]功能-付费相关'!$AS$6:$AS$165,$AP104,1)+AS103</f>
        <v>37025.660972397702</v>
      </c>
      <c r="AU104" s="29">
        <v>110</v>
      </c>
      <c r="AV104" s="29">
        <f t="shared" ref="AV104:AV109" si="33">求节点($AP$94:$AP$132,AQ$94:AQ$132,$AU104)</f>
        <v>0</v>
      </c>
      <c r="AW104" s="29">
        <f t="shared" ref="AW104:AW109" si="34">求节点($AP$94:$AP$132,AS$94:AS$132,$AU104)</f>
        <v>1317385.2365184883</v>
      </c>
    </row>
    <row r="105" spans="13:49" x14ac:dyDescent="0.15">
      <c r="M105" s="16">
        <v>15</v>
      </c>
      <c r="N105" s="14">
        <f>基础状态预期!D118</f>
        <v>72.23150684883845</v>
      </c>
      <c r="O105" s="14">
        <f>IF(基础状态预期!Q118="",0,求节点($C$31:$C$36,E$31:E$36,基础状态预期!Q118)*基础状态预期!G118)</f>
        <v>0</v>
      </c>
      <c r="P105" s="14">
        <f>IF(基础状态预期!R118="",0,求节点($C$31:$C$36,F$31:F$36,基础状态预期!R118)*基础状态预期!H118)</f>
        <v>0</v>
      </c>
      <c r="Q105" s="14">
        <f>IF(基础状态预期!S118="",0,求节点($C$31:$C$36,G$31:G$36,基础状态预期!S118)*基础状态预期!I118)</f>
        <v>19.671123287442459</v>
      </c>
      <c r="R105" s="14">
        <f>IF(基础状态预期!T118="",0,求节点($C$31:$C$36,H$31:H$36,基础状态预期!T118)*基础状态预期!J118)</f>
        <v>125.03342465581845</v>
      </c>
      <c r="S105" s="14"/>
      <c r="T105" s="14">
        <f>IF(基础状态预期!P118="",0,求节点($C$40:$C$45,D$40:D$45,基础状态预期!P118))</f>
        <v>0</v>
      </c>
      <c r="U105" s="14">
        <f>IF(基础状态预期!Q118="",0,求节点($C$40:$C$45,E$40:E$45,基础状态预期!Q118))</f>
        <v>0</v>
      </c>
      <c r="V105" s="14">
        <f>IF(基础状态预期!R118="",0,求节点($C$40:$C$45,F$40:F$45,基础状态预期!R118))</f>
        <v>0</v>
      </c>
      <c r="W105" s="14">
        <f>IF(基础状态预期!S118="",0,求节点($C$40:$C$45,G$40:G$45,基础状态预期!S118))</f>
        <v>2434224.6574884919</v>
      </c>
      <c r="X105" s="14">
        <f>IF(基础状态预期!T118="",0,求节点($C$40:$C$45,H$40:H$45,基础状态预期!T118))</f>
        <v>7302673.9724654751</v>
      </c>
      <c r="Y105" s="14">
        <f>MAX(SUMPRODUCT(T105:X105,基础状态预期!F118:J118),Y104)</f>
        <v>38947594.51981587</v>
      </c>
      <c r="AC105" s="29">
        <v>120</v>
      </c>
      <c r="AD105" s="29">
        <v>0</v>
      </c>
      <c r="AE105" s="29">
        <v>0</v>
      </c>
      <c r="AF105" s="29">
        <v>0</v>
      </c>
      <c r="AG105" s="29">
        <v>0</v>
      </c>
      <c r="AH105" s="29">
        <f>AD105*(INDEX([2]非r将兵属性验证!$S$7:$S$166,$AC105,1)+INDEX([2]非r将兵属性验证!$AG$7:$AG$166,$AC105,1))</f>
        <v>0</v>
      </c>
      <c r="AI105" s="29">
        <f>AE105*INDEX([2]非r将兵属性验证!T$7:T$166,$AC105,1)</f>
        <v>0</v>
      </c>
      <c r="AJ105" s="29">
        <f>AF105*INDEX([2]非r将兵属性验证!U$7:U$166,$AC105,1)</f>
        <v>0</v>
      </c>
      <c r="AK105" s="29">
        <f>AG105*INDEX([2]非r将兵属性验证!$AM$7:$AM$166,$AC105,1)</f>
        <v>0</v>
      </c>
      <c r="AL105" s="14">
        <f t="shared" si="32"/>
        <v>0</v>
      </c>
      <c r="AP105" s="29">
        <f t="shared" si="30"/>
        <v>72.23150684883845</v>
      </c>
      <c r="AQ105" s="14"/>
      <c r="AR105" s="14">
        <f t="shared" si="31"/>
        <v>38947594.51981587</v>
      </c>
      <c r="AS105" s="14">
        <f>(AR165-AR104)*INDEX('[1]功能-付费相关'!$AS$6:$AS$165,$AP165,1)+AS104</f>
        <v>3918629.9574659937</v>
      </c>
      <c r="AU105" s="29">
        <v>120</v>
      </c>
      <c r="AV105" s="29">
        <f t="shared" si="33"/>
        <v>0</v>
      </c>
      <c r="AW105" s="29">
        <f t="shared" si="34"/>
        <v>3255544.6054375893</v>
      </c>
    </row>
    <row r="106" spans="13:49" x14ac:dyDescent="0.15">
      <c r="M106" s="16">
        <v>16</v>
      </c>
      <c r="N106" s="14">
        <f>基础状态预期!D119</f>
        <v>74.840792411391348</v>
      </c>
      <c r="O106" s="14">
        <f>IF(基础状态预期!Q119="",0,求节点($C$31:$C$36,E$31:E$36,基础状态预期!Q119)*基础状态预期!G119)</f>
        <v>0</v>
      </c>
      <c r="P106" s="14">
        <f>IF(基础状态预期!R119="",0,求节点($C$31:$C$36,F$31:F$36,基础状态预期!R119)*基础状态预期!H119)</f>
        <v>0</v>
      </c>
      <c r="Q106" s="14">
        <f>IF(基础状态预期!S119="",0,求节点($C$31:$C$36,G$31:G$36,基础状态预期!S119)*基础状态预期!I119)</f>
        <v>10.461790178733922</v>
      </c>
      <c r="R106" s="14">
        <f>IF(基础状态预期!T119="",0,求节点($C$31:$C$36,H$31:H$36,基础状态预期!T119)*基础状态预期!J119)</f>
        <v>147.86953794910974</v>
      </c>
      <c r="S106" s="14"/>
      <c r="T106" s="14">
        <f>IF(基础状态预期!P119="",0,求节点($C$40:$C$45,D$40:D$45,基础状态预期!P119))</f>
        <v>0</v>
      </c>
      <c r="U106" s="14">
        <f>IF(基础状态预期!Q119="",0,求节点($C$40:$C$45,E$40:E$45,基础状态预期!Q119))</f>
        <v>0</v>
      </c>
      <c r="V106" s="14">
        <f>IF(基础状态预期!R119="",0,求节点($C$40:$C$45,F$40:F$45,基础状态预期!R119))</f>
        <v>0</v>
      </c>
      <c r="W106" s="14">
        <f>IF(基础状态预期!S119="",0,求节点($C$40:$C$45,G$40:G$45,基础状态预期!S119))</f>
        <v>2684716.0714935688</v>
      </c>
      <c r="X106" s="14">
        <f>IF(基础状态预期!T119="",0,求节点($C$40:$C$45,H$40:H$45,基础状态预期!T119))</f>
        <v>8054148.2144807074</v>
      </c>
      <c r="Y106" s="14">
        <f>MAX(SUMPRODUCT(T106:X106,基础状态预期!F119:J119),Y105)</f>
        <v>45640173.215390675</v>
      </c>
      <c r="AC106" s="29">
        <v>130</v>
      </c>
      <c r="AD106" s="29">
        <v>0</v>
      </c>
      <c r="AE106" s="29">
        <v>0</v>
      </c>
      <c r="AF106" s="29">
        <v>0</v>
      </c>
      <c r="AG106" s="29">
        <v>0</v>
      </c>
      <c r="AH106" s="29">
        <f>AD166*(INDEX([2]非r将兵属性验证!$S$7:$S$166,$AC166,1)+INDEX([2]非r将兵属性验证!$AG$7:$AG$166,$AC166,1))</f>
        <v>0</v>
      </c>
      <c r="AI106" s="29">
        <f>AE166*INDEX([2]非r将兵属性验证!T$7:T$166,$AC166,1)</f>
        <v>0</v>
      </c>
      <c r="AJ106" s="29">
        <f>AF166*INDEX([2]非r将兵属性验证!U$7:U$166,$AC166,1)</f>
        <v>0</v>
      </c>
      <c r="AK106" s="29">
        <f>AG166*INDEX([2]非r将兵属性验证!$AM$7:$AM$166,$AC166,1)</f>
        <v>0</v>
      </c>
      <c r="AL106" s="14">
        <f>SUM(AH166:AK166)</f>
        <v>0</v>
      </c>
      <c r="AP106" s="29">
        <f t="shared" si="30"/>
        <v>74.840792411391348</v>
      </c>
      <c r="AQ106" s="14"/>
      <c r="AR106" s="14">
        <f t="shared" si="31"/>
        <v>45640173.215390675</v>
      </c>
      <c r="AS106" s="14">
        <f>(AR106-AR165)*INDEX('[1]功能-付费相关'!$AS$6:$AS$165,$AP106,1)+AS165</f>
        <v>-1175164.6686125211</v>
      </c>
      <c r="AU106" s="29">
        <v>130</v>
      </c>
      <c r="AV106" s="29">
        <f t="shared" si="33"/>
        <v>0</v>
      </c>
      <c r="AW106" s="29">
        <f t="shared" si="34"/>
        <v>4180887.9991983785</v>
      </c>
    </row>
    <row r="107" spans="13:49" x14ac:dyDescent="0.15">
      <c r="M107" s="16">
        <v>17</v>
      </c>
      <c r="N107" s="14">
        <f>基础状态预期!D120</f>
        <v>77.697893604818219</v>
      </c>
      <c r="O107" s="14">
        <f>IF(基础状态预期!Q120="",0,求节点($C$31:$C$36,E$31:E$36,基础状态预期!Q120)*基础状态预期!G120)</f>
        <v>0</v>
      </c>
      <c r="P107" s="14">
        <f>IF(基础状态预期!R120="",0,求节点($C$31:$C$36,F$31:F$36,基础状态预期!R120)*基础状态预期!H120)</f>
        <v>0</v>
      </c>
      <c r="Q107" s="14">
        <f>IF(基础状态预期!S120="",0,求节点($C$31:$C$36,G$31:G$36,基础状态预期!S120)*基础状态预期!I120)</f>
        <v>0</v>
      </c>
      <c r="R107" s="14">
        <f>IF(基础状态预期!T120="",0,求节点($C$31:$C$36,H$31:H$36,基础状态预期!T120)*基础状态预期!J120)</f>
        <v>181.42483395469122</v>
      </c>
      <c r="S107" s="14"/>
      <c r="T107" s="14">
        <f>IF(基础状态预期!P120="",0,求节点($C$40:$C$45,D$40:D$45,基础状态预期!P120))</f>
        <v>0</v>
      </c>
      <c r="U107" s="14">
        <f>IF(基础状态预期!Q120="",0,求节点($C$40:$C$45,E$40:E$45,基础状态预期!Q120))</f>
        <v>0</v>
      </c>
      <c r="V107" s="14">
        <f>IF(基础状态预期!R120="",0,求节点($C$40:$C$45,F$40:F$45,基础状态预期!R120))</f>
        <v>0</v>
      </c>
      <c r="W107" s="14">
        <f>IF(基础状态预期!S120="",0,求节点($C$40:$C$45,G$40:G$45,基础状态预期!S120))</f>
        <v>0</v>
      </c>
      <c r="X107" s="14">
        <f>IF(基础状态预期!T120="",0,求节点($C$40:$C$45,H$40:H$45,基础状态预期!T120))</f>
        <v>15869933.581876487</v>
      </c>
      <c r="Y107" s="14">
        <f>MAX(SUMPRODUCT(T107:X107,基础状态预期!F120:J120),Y106)</f>
        <v>95219601.491258919</v>
      </c>
      <c r="AC107" s="29">
        <v>140</v>
      </c>
      <c r="AD107" s="29">
        <v>0</v>
      </c>
      <c r="AE107" s="29">
        <v>0</v>
      </c>
      <c r="AF107" s="29">
        <v>0</v>
      </c>
      <c r="AG107" s="29">
        <v>0</v>
      </c>
      <c r="AH107" s="29">
        <f>AD107*(INDEX([2]非r将兵属性验证!$S$7:$S$166,$AC107,1)+INDEX([2]非r将兵属性验证!$AG$7:$AG$166,$AC107,1))</f>
        <v>0</v>
      </c>
      <c r="AI107" s="29">
        <f>AE107*INDEX([2]非r将兵属性验证!T$7:T$166,$AC107,1)</f>
        <v>0</v>
      </c>
      <c r="AJ107" s="29">
        <f>AF107*INDEX([2]非r将兵属性验证!U$7:U$166,$AC107,1)</f>
        <v>0</v>
      </c>
      <c r="AK107" s="29">
        <f>AG107*INDEX([2]非r将兵属性验证!$AM$7:$AM$166,$AC107,1)</f>
        <v>0</v>
      </c>
      <c r="AL107" s="14">
        <f t="shared" si="32"/>
        <v>0</v>
      </c>
      <c r="AP107" s="29">
        <f t="shared" si="30"/>
        <v>77.697893604818219</v>
      </c>
      <c r="AQ107" s="14"/>
      <c r="AR107" s="14">
        <f t="shared" si="31"/>
        <v>95219601.491258919</v>
      </c>
      <c r="AS107" s="14">
        <f>(AR107-AR106)*INDEX('[1]功能-付费相关'!$AS$6:$AS$165,$AP107,1)+AS106</f>
        <v>-1122195.1939588157</v>
      </c>
      <c r="AU107" s="29">
        <v>140</v>
      </c>
      <c r="AV107" s="29">
        <f t="shared" si="33"/>
        <v>0</v>
      </c>
      <c r="AW107" s="29">
        <f t="shared" si="34"/>
        <v>4180887.9991983785</v>
      </c>
    </row>
    <row r="108" spans="13:49" x14ac:dyDescent="0.15">
      <c r="M108" s="16">
        <v>18</v>
      </c>
      <c r="N108" s="14">
        <f>基础状态预期!D121</f>
        <v>80.134867890916794</v>
      </c>
      <c r="O108" s="14">
        <f>IF(基础状态预期!Q121="",0,求节点($C$31:$C$36,E$31:E$36,基础状态预期!Q121)*基础状态预期!G121)</f>
        <v>0</v>
      </c>
      <c r="P108" s="14">
        <f>IF(基础状态预期!R121="",0,求节点($C$31:$C$36,F$31:F$36,基础状态预期!R121)*基础状态预期!H121)</f>
        <v>0</v>
      </c>
      <c r="Q108" s="14">
        <f>IF(基础状态预期!S121="",0,求节点($C$31:$C$36,G$31:G$36,基础状态预期!S121)*基础状态预期!I121)</f>
        <v>0</v>
      </c>
      <c r="R108" s="14">
        <f>IF(基础状态预期!T121="",0,求节点($C$31:$C$36,H$31:H$36,基础状态预期!T121)*基础状态预期!J121)</f>
        <v>198.97104881460092</v>
      </c>
      <c r="S108" s="14"/>
      <c r="T108" s="14">
        <f>IF(基础状态预期!P121="",0,求节点($C$40:$C$45,D$40:D$45,基础状态预期!P121))</f>
        <v>0</v>
      </c>
      <c r="U108" s="14">
        <f>IF(基础状态预期!Q121="",0,求节点($C$40:$C$45,E$40:E$45,基础状态预期!Q121))</f>
        <v>0</v>
      </c>
      <c r="V108" s="14">
        <f>IF(基础状态预期!R121="",0,求节点($C$40:$C$45,F$40:F$45,基础状态预期!R121))</f>
        <v>0</v>
      </c>
      <c r="W108" s="14">
        <f>IF(基础状态预期!S121="",0,求节点($C$40:$C$45,G$40:G$45,基础状态预期!S121))</f>
        <v>0</v>
      </c>
      <c r="X108" s="14">
        <f>IF(基础状态预期!T121="",0,求节点($C$40:$C$45,H$40:H$45,基础状态预期!T121))</f>
        <v>22888419.525840368</v>
      </c>
      <c r="Y108" s="14">
        <f>MAX(SUMPRODUCT(T108:X108,基础状态预期!F121:J121),Y107)</f>
        <v>137330517.1550422</v>
      </c>
      <c r="AC108" s="29">
        <v>150</v>
      </c>
      <c r="AD108" s="29">
        <v>0</v>
      </c>
      <c r="AE108" s="29">
        <v>0</v>
      </c>
      <c r="AF108" s="29">
        <v>0</v>
      </c>
      <c r="AG108" s="29">
        <v>0</v>
      </c>
      <c r="AH108" s="29">
        <f>AD108*(INDEX([2]非r将兵属性验证!$S$7:$S$166,$AC108,1)+INDEX([2]非r将兵属性验证!$AG$7:$AG$166,$AC108,1))</f>
        <v>0</v>
      </c>
      <c r="AI108" s="29">
        <f>AE108*INDEX([2]非r将兵属性验证!T$7:T$166,$AC108,1)</f>
        <v>0</v>
      </c>
      <c r="AJ108" s="29">
        <f>AF108*INDEX([2]非r将兵属性验证!U$7:U$166,$AC108,1)</f>
        <v>0</v>
      </c>
      <c r="AK108" s="29">
        <f>AG108*INDEX([2]非r将兵属性验证!$AM$7:$AM$166,$AC108,1)</f>
        <v>0</v>
      </c>
      <c r="AL108" s="14">
        <f t="shared" si="32"/>
        <v>0</v>
      </c>
      <c r="AP108" s="29">
        <f t="shared" si="30"/>
        <v>80.134867890916794</v>
      </c>
      <c r="AQ108" s="14"/>
      <c r="AR108" s="14">
        <f t="shared" si="31"/>
        <v>137330517.1550422</v>
      </c>
      <c r="AS108" s="14">
        <f>(AR108-AR107)*INDEX('[1]功能-付费相关'!$AS$6:$AS$165,$AP108,1)+AS107</f>
        <v>-1078329.6568090415</v>
      </c>
      <c r="AU108" s="29">
        <v>150</v>
      </c>
      <c r="AV108" s="29">
        <f t="shared" si="33"/>
        <v>0</v>
      </c>
      <c r="AW108" s="29">
        <f t="shared" si="34"/>
        <v>4180887.9991983785</v>
      </c>
    </row>
    <row r="109" spans="13:49" x14ac:dyDescent="0.15">
      <c r="M109" s="16">
        <v>19</v>
      </c>
      <c r="N109" s="14">
        <f>基础状态预期!D122</f>
        <v>82.238672852681816</v>
      </c>
      <c r="O109" s="14">
        <f>IF(基础状态预期!Q122="",0,求节点($C$31:$C$36,E$31:E$36,基础状态预期!Q122)*基础状态预期!G122)</f>
        <v>0</v>
      </c>
      <c r="P109" s="14">
        <f>IF(基础状态预期!R122="",0,求节点($C$31:$C$36,F$31:F$36,基础状态预期!R122)*基础状态预期!H122)</f>
        <v>0</v>
      </c>
      <c r="Q109" s="14">
        <f>IF(基础状态预期!S122="",0,求节点($C$31:$C$36,G$31:G$36,基础状态预期!S122)*基础状态预期!I122)</f>
        <v>0</v>
      </c>
      <c r="R109" s="14">
        <f>IF(基础状态预期!T122="",0,求节点($C$31:$C$36,H$31:H$36,基础状态预期!T122)*基础状态预期!J122)</f>
        <v>214.11844453930905</v>
      </c>
      <c r="S109" s="14"/>
      <c r="T109" s="14">
        <f>IF(基础状态预期!P122="",0,求节点($C$40:$C$45,D$40:D$45,基础状态预期!P122))</f>
        <v>0</v>
      </c>
      <c r="U109" s="14">
        <f>IF(基础状态预期!Q122="",0,求节点($C$40:$C$45,E$40:E$45,基础状态预期!Q122))</f>
        <v>0</v>
      </c>
      <c r="V109" s="14">
        <f>IF(基础状态预期!R122="",0,求节点($C$40:$C$45,F$40:F$45,基础状态预期!R122))</f>
        <v>0</v>
      </c>
      <c r="W109" s="14">
        <f>IF(基础状态预期!S122="",0,求节点($C$40:$C$45,G$40:G$45,基础状态预期!S122))</f>
        <v>0</v>
      </c>
      <c r="X109" s="14">
        <f>IF(基础状态预期!T122="",0,求节点($C$40:$C$45,H$40:H$45,基础状态预期!T122))</f>
        <v>28947377.815723628</v>
      </c>
      <c r="Y109" s="14">
        <f>MAX(SUMPRODUCT(T109:X109,基础状态预期!F122:J122),Y108)</f>
        <v>173684266.89434177</v>
      </c>
      <c r="AC109" s="29">
        <v>160</v>
      </c>
      <c r="AD109" s="29">
        <v>0</v>
      </c>
      <c r="AE109" s="29">
        <v>0</v>
      </c>
      <c r="AF109" s="29">
        <v>0</v>
      </c>
      <c r="AG109" s="29">
        <v>0</v>
      </c>
      <c r="AH109" s="29">
        <f>AD109*(INDEX([2]非r将兵属性验证!$S$7:$S$166,$AC109,1)+INDEX([2]非r将兵属性验证!$AG$7:$AG$166,$AC109,1))</f>
        <v>0</v>
      </c>
      <c r="AI109" s="29">
        <f>AE109*INDEX([2]非r将兵属性验证!T$7:T$166,$AC109,1)</f>
        <v>0</v>
      </c>
      <c r="AJ109" s="29">
        <f>AF109*INDEX([2]非r将兵属性验证!U$7:U$166,$AC109,1)</f>
        <v>0</v>
      </c>
      <c r="AK109" s="29">
        <f>AG109*INDEX([2]非r将兵属性验证!$AM$7:$AM$166,$AC109,1)</f>
        <v>0</v>
      </c>
      <c r="AL109" s="14">
        <f t="shared" si="32"/>
        <v>0</v>
      </c>
      <c r="AP109" s="29">
        <f t="shared" si="30"/>
        <v>82.238672852681816</v>
      </c>
      <c r="AQ109" s="14"/>
      <c r="AR109" s="14">
        <f t="shared" si="31"/>
        <v>173684266.89434177</v>
      </c>
      <c r="AS109" s="14">
        <f>(AR109-AR108)*INDEX('[1]功能-付费相关'!$AS$6:$AS$165,$AP109,1)+AS108</f>
        <v>-1041081.9624040214</v>
      </c>
      <c r="AU109" s="29">
        <v>160</v>
      </c>
      <c r="AV109" s="29">
        <f t="shared" si="33"/>
        <v>0</v>
      </c>
      <c r="AW109" s="29">
        <f t="shared" si="34"/>
        <v>4180887.9991983785</v>
      </c>
    </row>
    <row r="110" spans="13:49" x14ac:dyDescent="0.15">
      <c r="M110" s="16">
        <v>20</v>
      </c>
      <c r="N110" s="14">
        <f>基础状态预期!D123</f>
        <v>84.043767921022209</v>
      </c>
      <c r="O110" s="14">
        <f>IF(基础状态预期!Q123="",0,求节点($C$31:$C$36,E$31:E$36,基础状态预期!Q123)*基础状态预期!G123)</f>
        <v>0</v>
      </c>
      <c r="P110" s="14">
        <f>IF(基础状态预期!R123="",0,求节点($C$31:$C$36,F$31:F$36,基础状态预期!R123)*基础状态预期!H123)</f>
        <v>0</v>
      </c>
      <c r="Q110" s="14">
        <f>IF(基础状态预期!S123="",0,求节点($C$31:$C$36,G$31:G$36,基础状态预期!S123)*基础状态预期!I123)</f>
        <v>0</v>
      </c>
      <c r="R110" s="14">
        <f>IF(基础状态预期!T123="",0,求节点($C$31:$C$36,H$31:H$36,基础状态预期!T123)*基础状态预期!J123)</f>
        <v>227.11512903135988</v>
      </c>
      <c r="S110" s="14"/>
      <c r="T110" s="14">
        <f>IF(基础状态预期!P123="",0,求节点($C$40:$C$45,D$40:D$45,基础状态预期!P123))</f>
        <v>0</v>
      </c>
      <c r="U110" s="14">
        <f>IF(基础状态预期!Q123="",0,求节点($C$40:$C$45,E$40:E$45,基础状态预期!Q123))</f>
        <v>0</v>
      </c>
      <c r="V110" s="14">
        <f>IF(基础状态预期!R123="",0,求节点($C$40:$C$45,F$40:F$45,基础状态预期!R123))</f>
        <v>0</v>
      </c>
      <c r="W110" s="14">
        <f>IF(基础状态预期!S123="",0,求节点($C$40:$C$45,G$40:G$45,基础状态预期!S123))</f>
        <v>0</v>
      </c>
      <c r="X110" s="14">
        <f>IF(基础状态预期!T123="",0,求节点($C$40:$C$45,H$40:H$45,基础状态预期!T123))</f>
        <v>34146051.612543955</v>
      </c>
      <c r="Y110" s="14">
        <f>MAX(SUMPRODUCT(T110:X110,基础状态预期!F123:J123),Y109)</f>
        <v>204876309.67526373</v>
      </c>
      <c r="AP110" s="29">
        <f t="shared" si="30"/>
        <v>84.043767921022209</v>
      </c>
      <c r="AQ110" s="14"/>
      <c r="AR110" s="14">
        <f t="shared" si="31"/>
        <v>204876309.67526373</v>
      </c>
      <c r="AS110" s="14">
        <f>(AR110-AR109)*INDEX('[1]功能-付费相关'!$AS$6:$AS$165,$AP110,1)+AS109</f>
        <v>-1009638.3708909953</v>
      </c>
    </row>
    <row r="111" spans="13:49" x14ac:dyDescent="0.15">
      <c r="M111" s="16">
        <v>21</v>
      </c>
      <c r="N111" s="14">
        <f>基础状态预期!D124</f>
        <v>86.385105215793828</v>
      </c>
      <c r="O111" s="14">
        <f>IF(基础状态预期!Q124="",0,求节点($C$31:$C$36,E$31:E$36,基础状态预期!Q124)*基础状态预期!G124)</f>
        <v>0</v>
      </c>
      <c r="P111" s="14">
        <f>IF(基础状态预期!R124="",0,求节点($C$31:$C$36,F$31:F$36,基础状态预期!R124)*基础状态预期!H124)</f>
        <v>0</v>
      </c>
      <c r="Q111" s="14">
        <f>IF(基础状态预期!S124="",0,求节点($C$31:$C$36,G$31:G$36,基础状态预期!S124)*基础状态预期!I124)</f>
        <v>0</v>
      </c>
      <c r="R111" s="14">
        <f>IF(基础状态预期!T124="",0,求节点($C$31:$C$36,H$31:H$36,基础状态预期!T124)*基础状态预期!J124)</f>
        <v>243.97275755371558</v>
      </c>
      <c r="S111" s="14"/>
      <c r="T111" s="14">
        <f>IF(基础状态预期!P124="",0,求节点($C$40:$C$45,D$40:D$45,基础状态预期!P124))</f>
        <v>0</v>
      </c>
      <c r="U111" s="14">
        <f>IF(基础状态预期!Q124="",0,求节点($C$40:$C$45,E$40:E$45,基础状态预期!Q124))</f>
        <v>0</v>
      </c>
      <c r="V111" s="14">
        <f>IF(基础状态预期!R124="",0,求节点($C$40:$C$45,F$40:F$45,基础状态预期!R124))</f>
        <v>0</v>
      </c>
      <c r="W111" s="14">
        <f>IF(基础状态预期!S124="",0,求节点($C$40:$C$45,G$40:G$45,基础状态预期!S124))</f>
        <v>0</v>
      </c>
      <c r="X111" s="14">
        <f>IF(基础状态预期!T124="",0,求节点($C$40:$C$45,H$40:H$45,基础状态预期!T124))</f>
        <v>40889103.021486238</v>
      </c>
      <c r="Y111" s="14">
        <f>MAX(SUMPRODUCT(T111:X111,基础状态预期!F124:J124),Y110)</f>
        <v>245334618.12891743</v>
      </c>
      <c r="AP111" s="29">
        <f t="shared" si="30"/>
        <v>86.385105215793828</v>
      </c>
      <c r="AQ111" s="14"/>
      <c r="AR111" s="14">
        <f t="shared" si="31"/>
        <v>245334618.12891743</v>
      </c>
      <c r="AS111" s="14">
        <f>(AR111-AR110)*INDEX('[1]功能-付费相关'!$AS$6:$AS$165,$AP111,1)+AS110</f>
        <v>-969501.16012348165</v>
      </c>
    </row>
    <row r="112" spans="13:49" x14ac:dyDescent="0.15">
      <c r="M112" s="16">
        <v>22</v>
      </c>
      <c r="N112" s="14">
        <f>基础状态预期!D125</f>
        <v>90.406191748048585</v>
      </c>
      <c r="O112" s="14">
        <f>IF(基础状态预期!Q125="",0,求节点($C$31:$C$36,E$31:E$36,基础状态预期!Q125)*基础状态预期!G125)</f>
        <v>0</v>
      </c>
      <c r="P112" s="14">
        <f>IF(基础状态预期!R125="",0,求节点($C$31:$C$36,F$31:F$36,基础状态预期!R125)*基础状态预期!H125)</f>
        <v>0</v>
      </c>
      <c r="Q112" s="14">
        <f>IF(基础状态预期!S125="",0,求节点($C$31:$C$36,G$31:G$36,基础状态预期!S125)*基础状态预期!I125)</f>
        <v>0</v>
      </c>
      <c r="R112" s="14">
        <f>IF(基础状态预期!T125="",0,求节点($C$31:$C$36,H$31:H$36,基础状态预期!T125)*基础状态预期!J125)</f>
        <v>272.9245805859498</v>
      </c>
      <c r="S112" s="14"/>
      <c r="T112" s="14">
        <f>IF(基础状态预期!P125="",0,求节点($C$40:$C$45,D$40:D$45,基础状态预期!P125))</f>
        <v>0</v>
      </c>
      <c r="U112" s="14">
        <f>IF(基础状态预期!Q125="",0,求节点($C$40:$C$45,E$40:E$45,基础状态预期!Q125))</f>
        <v>0</v>
      </c>
      <c r="V112" s="14">
        <f>IF(基础状态预期!R125="",0,求节点($C$40:$C$45,F$40:F$45,基础状态预期!R125))</f>
        <v>0</v>
      </c>
      <c r="W112" s="14">
        <f>IF(基础状态预期!S125="",0,求节点($C$40:$C$45,G$40:G$45,基础状态预期!S125))</f>
        <v>0</v>
      </c>
      <c r="X112" s="14">
        <f>IF(基础状态预期!T125="",0,求节点($C$40:$C$45,H$40:H$45,基础状态预期!T125))</f>
        <v>52469832.23437991</v>
      </c>
      <c r="Y112" s="14">
        <f>MAX(SUMPRODUCT(T112:X112,基础状态预期!F125:J125),Y111)</f>
        <v>314818993.40627944</v>
      </c>
      <c r="AP112" s="29">
        <f t="shared" si="30"/>
        <v>90.406191748048585</v>
      </c>
      <c r="AQ112" s="14"/>
      <c r="AR112" s="14">
        <f t="shared" si="31"/>
        <v>314818993.40627944</v>
      </c>
      <c r="AS112" s="14">
        <f>(AR112-AR111)*INDEX('[1]功能-付费相关'!$AS$6:$AS$165,$AP112,1)+AS111</f>
        <v>-902689.26081832591</v>
      </c>
    </row>
    <row r="113" spans="13:45" x14ac:dyDescent="0.15">
      <c r="M113" s="16">
        <v>23</v>
      </c>
      <c r="N113" s="14">
        <f>基础状态预期!D126</f>
        <v>93.471491811086082</v>
      </c>
      <c r="O113" s="14">
        <f>IF(基础状态预期!Q126="",0,求节点($C$31:$C$36,E$31:E$36,基础状态预期!Q126)*基础状态预期!G126)</f>
        <v>0</v>
      </c>
      <c r="P113" s="14">
        <f>IF(基础状态预期!R126="",0,求节点($C$31:$C$36,F$31:F$36,基础状态预期!R126)*基础状态预期!H126)</f>
        <v>0</v>
      </c>
      <c r="Q113" s="14">
        <f>IF(基础状态预期!S126="",0,求节点($C$31:$C$36,G$31:G$36,基础状态预期!S126)*基础状态预期!I126)</f>
        <v>0</v>
      </c>
      <c r="R113" s="14">
        <f>IF(基础状态预期!T126="",0,求节点($C$31:$C$36,H$31:H$36,基础状态预期!T126)*基础状态预期!J126)</f>
        <v>294.99474103981981</v>
      </c>
      <c r="S113" s="14"/>
      <c r="T113" s="14">
        <f>IF(基础状态预期!P126="",0,求节点($C$40:$C$45,D$40:D$45,基础状态预期!P126))</f>
        <v>0</v>
      </c>
      <c r="U113" s="14">
        <f>IF(基础状态预期!Q126="",0,求节点($C$40:$C$45,E$40:E$45,基础状态预期!Q126))</f>
        <v>0</v>
      </c>
      <c r="V113" s="14">
        <f>IF(基础状态预期!R126="",0,求节点($C$40:$C$45,F$40:F$45,基础状态预期!R126))</f>
        <v>0</v>
      </c>
      <c r="W113" s="14">
        <f>IF(基础状态预期!S126="",0,求节点($C$40:$C$45,G$40:G$45,基础状态预期!S126))</f>
        <v>0</v>
      </c>
      <c r="X113" s="14">
        <f>IF(基础状态预期!T126="",0,求节点($C$40:$C$45,H$40:H$45,基础状态预期!T126))</f>
        <v>61297896.415927917</v>
      </c>
      <c r="Y113" s="14">
        <f>MAX(SUMPRODUCT(T113:X113,基础状态预期!F126:J126),Y112)</f>
        <v>367787378.4955675</v>
      </c>
      <c r="AP113" s="29">
        <f t="shared" si="30"/>
        <v>93.471491811086082</v>
      </c>
      <c r="AQ113" s="14"/>
      <c r="AR113" s="14">
        <f t="shared" si="31"/>
        <v>367787378.4955675</v>
      </c>
      <c r="AS113" s="14">
        <f>(AR113-AR112)*INDEX('[1]功能-付费相关'!$AS$6:$AS$165,$AP113,1)+AS112</f>
        <v>-852906.94400508527</v>
      </c>
    </row>
    <row r="114" spans="13:45" x14ac:dyDescent="0.15">
      <c r="M114" s="16">
        <v>24</v>
      </c>
      <c r="N114" s="14">
        <f>基础状态预期!D127</f>
        <v>97.107381566993553</v>
      </c>
      <c r="O114" s="14">
        <f>IF(基础状态预期!Q127="",0,求节点($C$31:$C$36,E$31:E$36,基础状态预期!Q127)*基础状态预期!G127)</f>
        <v>0</v>
      </c>
      <c r="P114" s="14">
        <f>IF(基础状态预期!R127="",0,求节点($C$31:$C$36,F$31:F$36,基础状态预期!R127)*基础状态预期!H127)</f>
        <v>0</v>
      </c>
      <c r="Q114" s="14">
        <f>IF(基础状态预期!S127="",0,求节点($C$31:$C$36,G$31:G$36,基础状态预期!S127)*基础状态预期!I127)</f>
        <v>0</v>
      </c>
      <c r="R114" s="14">
        <f>IF(基础状态预期!T127="",0,求节点($C$31:$C$36,H$31:H$36,基础状态预期!T127)*基础状态预期!J127)</f>
        <v>321.17314728235363</v>
      </c>
      <c r="S114" s="14"/>
      <c r="T114" s="14">
        <f>IF(基础状态预期!P127="",0,求节点($C$40:$C$45,D$40:D$45,基础状态预期!P127))</f>
        <v>0</v>
      </c>
      <c r="U114" s="14">
        <f>IF(基础状态预期!Q127="",0,求节点($C$40:$C$45,E$40:E$45,基础状态预期!Q127))</f>
        <v>0</v>
      </c>
      <c r="V114" s="14">
        <f>IF(基础状态预期!R127="",0,求节点($C$40:$C$45,F$40:F$45,基础状态预期!R127))</f>
        <v>0</v>
      </c>
      <c r="W114" s="14">
        <f>IF(基础状态预期!S127="",0,求节点($C$40:$C$45,G$40:G$45,基础状态预期!S127))</f>
        <v>0</v>
      </c>
      <c r="X114" s="14">
        <f>IF(基础状态预期!T127="",0,求节点($C$40:$C$45,H$40:H$45,基础状态预期!T127))</f>
        <v>71769258.912941441</v>
      </c>
      <c r="Y114" s="14">
        <f>MAX(SUMPRODUCT(T114:X114,基础状态预期!F127:J127),Y113)</f>
        <v>430615553.47764862</v>
      </c>
      <c r="AP114" s="29">
        <f t="shared" si="30"/>
        <v>97.107381566993553</v>
      </c>
      <c r="AQ114" s="14"/>
      <c r="AR114" s="14">
        <f t="shared" si="31"/>
        <v>430615553.47764862</v>
      </c>
      <c r="AS114" s="14">
        <f>(AR114-AR113)*INDEX('[1]功能-付费相关'!$AS$6:$AS$165,$AP114,1)+AS113</f>
        <v>-795581.96683165361</v>
      </c>
    </row>
    <row r="115" spans="13:45" x14ac:dyDescent="0.15">
      <c r="M115" s="16">
        <v>25</v>
      </c>
      <c r="N115" s="14">
        <f>基础状态预期!D128</f>
        <v>100.71243145193914</v>
      </c>
      <c r="O115" s="14">
        <f>IF(基础状态预期!Q128="",0,求节点($C$31:$C$36,E$31:E$36,基础状态预期!Q128)*基础状态预期!G128)</f>
        <v>0</v>
      </c>
      <c r="P115" s="14">
        <f>IF(基础状态预期!R128="",0,求节点($C$31:$C$36,F$31:F$36,基础状态预期!R128)*基础状态预期!H128)</f>
        <v>0</v>
      </c>
      <c r="Q115" s="14">
        <f>IF(基础状态预期!S128="",0,求节点($C$31:$C$36,G$31:G$36,基础状态预期!S128)*基础状态预期!I128)</f>
        <v>0</v>
      </c>
      <c r="R115" s="14">
        <f>IF(基础状态预期!T128="",0,求节点($C$31:$C$36,H$31:H$36,基础状态预期!T128)*基础状态预期!J128)</f>
        <v>350.54917742326961</v>
      </c>
      <c r="S115" s="14"/>
      <c r="T115" s="14">
        <f>IF(基础状态预期!P128="",0,求节点($C$40:$C$45,D$40:D$45,基础状态预期!P128))</f>
        <v>0</v>
      </c>
      <c r="U115" s="14">
        <f>IF(基础状态预期!Q128="",0,求节点($C$40:$C$45,E$40:E$45,基础状态预期!Q128))</f>
        <v>0</v>
      </c>
      <c r="V115" s="14">
        <f>IF(基础状态预期!R128="",0,求节点($C$40:$C$45,F$40:F$45,基础状态预期!R128))</f>
        <v>0</v>
      </c>
      <c r="W115" s="14">
        <f>IF(基础状态预期!S128="",0,求节点($C$40:$C$45,G$40:G$45,基础状态预期!S128))</f>
        <v>0</v>
      </c>
      <c r="X115" s="14">
        <f>IF(基础状态预期!T128="",0,求节点($C$40:$C$45,H$40:H$45,基础状态预期!T128))</f>
        <v>108825236.14218584</v>
      </c>
      <c r="Y115" s="14">
        <f>MAX(SUMPRODUCT(T115:X115,基础状态预期!F128:J128),Y114)</f>
        <v>652951416.85311508</v>
      </c>
      <c r="AP115" s="29">
        <f t="shared" si="30"/>
        <v>100.71243145193914</v>
      </c>
      <c r="AQ115" s="14"/>
      <c r="AR115" s="14">
        <f t="shared" si="31"/>
        <v>652951416.85311508</v>
      </c>
      <c r="AS115" s="14">
        <f>(AR115-AR114)*INDEX('[1]功能-付费相关'!$AS$6:$AS$165,$AP115,1)+AS114</f>
        <v>-597067.80310355849</v>
      </c>
    </row>
    <row r="116" spans="13:45" x14ac:dyDescent="0.15">
      <c r="M116" s="16">
        <v>26</v>
      </c>
      <c r="N116" s="14">
        <f>基础状态预期!D129</f>
        <v>104.39233713204413</v>
      </c>
      <c r="O116" s="14">
        <f>IF(基础状态预期!Q129="",0,求节点($C$31:$C$36,E$31:E$36,基础状态预期!Q129)*基础状态预期!G129)</f>
        <v>0</v>
      </c>
      <c r="P116" s="14">
        <f>IF(基础状态预期!R129="",0,求节点($C$31:$C$36,F$31:F$36,基础状态预期!R129)*基础状态预期!H129)</f>
        <v>0</v>
      </c>
      <c r="Q116" s="14">
        <f>IF(基础状态预期!S129="",0,求节点($C$31:$C$36,G$31:G$36,基础状态预期!S129)*基础状态预期!I129)</f>
        <v>0</v>
      </c>
      <c r="R116" s="14">
        <f>IF(基础状态预期!T129="",0,求节点($C$31:$C$36,H$31:H$36,基础状态预期!T129)*基础状态预期!J129)</f>
        <v>394.70804558452977</v>
      </c>
      <c r="S116" s="14"/>
      <c r="T116" s="14">
        <f>IF(基础状态预期!P129="",0,求节点($C$40:$C$45,D$40:D$45,基础状态预期!P129))</f>
        <v>0</v>
      </c>
      <c r="U116" s="14">
        <f>IF(基础状态预期!Q129="",0,求节点($C$40:$C$45,E$40:E$45,基础状态预期!Q129))</f>
        <v>0</v>
      </c>
      <c r="V116" s="14">
        <f>IF(基础状态预期!R129="",0,求节点($C$40:$C$45,F$40:F$45,基础状态预期!R129))</f>
        <v>0</v>
      </c>
      <c r="W116" s="14">
        <f>IF(基础状态预期!S129="",0,求节点($C$40:$C$45,G$40:G$45,基础状态预期!S129))</f>
        <v>0</v>
      </c>
      <c r="X116" s="14">
        <f>IF(基础状态预期!T129="",0,求节点($C$40:$C$45,H$40:H$45,基础状态预期!T129))</f>
        <v>257199033.16401988</v>
      </c>
      <c r="Y116" s="14">
        <f>MAX(SUMPRODUCT(T116:X116,基础状态预期!F129:J129),Y115)</f>
        <v>1543194198.9841194</v>
      </c>
      <c r="AP116" s="29">
        <f t="shared" si="30"/>
        <v>104.39233713204413</v>
      </c>
      <c r="AQ116" s="14"/>
      <c r="AR116" s="14">
        <f t="shared" si="31"/>
        <v>1543194198.9841194</v>
      </c>
      <c r="AS116" s="14">
        <f>(AR116-AR115)*INDEX('[1]功能-付费相关'!$AS$6:$AS$165,$AP116,1)+AS115</f>
        <v>175712.3897184938</v>
      </c>
    </row>
    <row r="117" spans="13:45" x14ac:dyDescent="0.15">
      <c r="M117" s="16">
        <v>27</v>
      </c>
      <c r="N117" s="14">
        <f>基础状态预期!D130</f>
        <v>107.81562240612369</v>
      </c>
      <c r="O117" s="14">
        <f>IF(基础状态预期!Q130="",0,求节点($C$31:$C$36,E$31:E$36,基础状态预期!Q130)*基础状态预期!G130)</f>
        <v>0</v>
      </c>
      <c r="P117" s="14">
        <f>IF(基础状态预期!R130="",0,求节点($C$31:$C$36,F$31:F$36,基础状态预期!R130)*基础状态预期!H130)</f>
        <v>0</v>
      </c>
      <c r="Q117" s="14">
        <f>IF(基础状态预期!S130="",0,求节点($C$31:$C$36,G$31:G$36,基础状态预期!S130)*基础状态预期!I130)</f>
        <v>0</v>
      </c>
      <c r="R117" s="14">
        <f>IF(基础状态预期!T130="",0,求节点($C$31:$C$36,H$31:H$36,基础状态预期!T130)*基础状态预期!J130)</f>
        <v>435.78746887348439</v>
      </c>
      <c r="S117" s="14"/>
      <c r="T117" s="14">
        <f>IF(基础状态预期!P130="",0,求节点($C$40:$C$45,D$40:D$45,基础状态预期!P130))</f>
        <v>0</v>
      </c>
      <c r="U117" s="14">
        <f>IF(基础状态预期!Q130="",0,求节点($C$40:$C$45,E$40:E$45,基础状态预期!Q130))</f>
        <v>0</v>
      </c>
      <c r="V117" s="14">
        <f>IF(基础状态预期!R130="",0,求节点($C$40:$C$45,F$40:F$45,基础状态预期!R130))</f>
        <v>0</v>
      </c>
      <c r="W117" s="14">
        <f>IF(基础状态预期!S130="",0,求节点($C$40:$C$45,G$40:G$45,基础状态预期!S130))</f>
        <v>0</v>
      </c>
      <c r="X117" s="14">
        <f>IF(基础状态预期!T130="",0,求节点($C$40:$C$45,H$40:H$45,基础状态预期!T130))</f>
        <v>395225895.41490763</v>
      </c>
      <c r="Y117" s="14">
        <f>MAX(SUMPRODUCT(T117:X117,基础状态预期!F130:J130),Y116)</f>
        <v>2371355372.4894457</v>
      </c>
      <c r="AP117" s="29">
        <f t="shared" si="30"/>
        <v>107.81562240612369</v>
      </c>
      <c r="AQ117" s="14"/>
      <c r="AR117" s="14">
        <f t="shared" si="31"/>
        <v>2371355372.4894457</v>
      </c>
      <c r="AS117" s="14">
        <f>(AR117-AR116)*INDEX('[1]功能-付费相关'!$AS$6:$AS$165,$AP117,1)+AS116</f>
        <v>879931.07467200246</v>
      </c>
    </row>
    <row r="118" spans="13:45" x14ac:dyDescent="0.15">
      <c r="M118" s="16">
        <v>28</v>
      </c>
      <c r="N118" s="14">
        <f>基础状态预期!D131</f>
        <v>111.36292001894914</v>
      </c>
      <c r="O118" s="14">
        <f>IF(基础状态预期!Q131="",0,求节点($C$31:$C$36,E$31:E$36,基础状态预期!Q131)*基础状态预期!G131)</f>
        <v>0</v>
      </c>
      <c r="P118" s="14">
        <f>IF(基础状态预期!R131="",0,求节点($C$31:$C$36,F$31:F$36,基础状态预期!R131)*基础状态预期!H131)</f>
        <v>0</v>
      </c>
      <c r="Q118" s="14">
        <f>IF(基础状态预期!S131="",0,求节点($C$31:$C$36,G$31:G$36,基础状态预期!S131)*基础状态预期!I131)</f>
        <v>0</v>
      </c>
      <c r="R118" s="14">
        <f>IF(基础状态预期!T131="",0,求节点($C$31:$C$36,H$31:H$36,基础状态预期!T131)*基础状态预期!J131)</f>
        <v>478.35504022738968</v>
      </c>
      <c r="S118" s="14"/>
      <c r="T118" s="14">
        <f>IF(基础状态预期!P131="",0,求节点($C$40:$C$45,D$40:D$45,基础状态预期!P131))</f>
        <v>0</v>
      </c>
      <c r="U118" s="14">
        <f>IF(基础状态预期!Q131="",0,求节点($C$40:$C$45,E$40:E$45,基础状态预期!Q131))</f>
        <v>0</v>
      </c>
      <c r="V118" s="14">
        <f>IF(基础状态预期!R131="",0,求节点($C$40:$C$45,F$40:F$45,基础状态预期!R131))</f>
        <v>0</v>
      </c>
      <c r="W118" s="14">
        <f>IF(基础状态预期!S131="",0,求节点($C$40:$C$45,G$40:G$45,基础状态预期!S131))</f>
        <v>0</v>
      </c>
      <c r="X118" s="14">
        <f>IF(基础状态预期!T131="",0,求节点($C$40:$C$45,H$40:H$45,基础状态预期!T131))</f>
        <v>538252935.16402936</v>
      </c>
      <c r="Y118" s="14">
        <f>MAX(SUMPRODUCT(T118:X118,基础状态预期!F131:J131),Y117)</f>
        <v>3229517610.9841762</v>
      </c>
      <c r="AP118" s="29">
        <f t="shared" si="30"/>
        <v>111.36292001894914</v>
      </c>
      <c r="AQ118" s="14"/>
      <c r="AR118" s="14">
        <f t="shared" si="31"/>
        <v>3229517610.9841762</v>
      </c>
      <c r="AS118" s="14">
        <f>(AR118-AR117)*INDEX('[1]功能-付费相关'!$AS$6:$AS$165,$AP118,1)+AS117</f>
        <v>1590330.2787239316</v>
      </c>
    </row>
    <row r="119" spans="13:45" x14ac:dyDescent="0.15">
      <c r="M119" s="16">
        <v>29</v>
      </c>
      <c r="N119" s="14">
        <f>基础状态预期!D132</f>
        <v>114.91934497223426</v>
      </c>
      <c r="O119" s="14">
        <f>IF(基础状态预期!Q132="",0,求节点($C$31:$C$36,E$31:E$36,基础状态预期!Q132)*基础状态预期!G132)</f>
        <v>0</v>
      </c>
      <c r="P119" s="14">
        <f>IF(基础状态预期!R132="",0,求节点($C$31:$C$36,F$31:F$36,基础状态预期!R132)*基础状态预期!H132)</f>
        <v>0</v>
      </c>
      <c r="Q119" s="14">
        <f>IF(基础状态预期!S132="",0,求节点($C$31:$C$36,G$31:G$36,基础状态预期!S132)*基础状态预期!I132)</f>
        <v>0</v>
      </c>
      <c r="R119" s="14">
        <f>IF(基础状态预期!T132="",0,求节点($C$31:$C$36,H$31:H$36,基础状态预期!T132)*基础状态预期!J132)</f>
        <v>521.03213966681108</v>
      </c>
      <c r="S119" s="14"/>
      <c r="T119" s="14">
        <f>IF(基础状态预期!P132="",0,求节点($C$40:$C$45,D$40:D$45,基础状态预期!P132))</f>
        <v>0</v>
      </c>
      <c r="U119" s="14">
        <f>IF(基础状态预期!Q132="",0,求节点($C$40:$C$45,E$40:E$45,基础状态预期!Q132))</f>
        <v>0</v>
      </c>
      <c r="V119" s="14">
        <f>IF(基础状态预期!R132="",0,求节点($C$40:$C$45,F$40:F$45,基础状态预期!R132))</f>
        <v>0</v>
      </c>
      <c r="W119" s="14">
        <f>IF(基础状态预期!S132="",0,求节点($C$40:$C$45,G$40:G$45,基础状态预期!S132))</f>
        <v>0</v>
      </c>
      <c r="X119" s="14">
        <f>IF(基础状态预期!T132="",0,求节点($C$40:$C$45,H$40:H$45,基础状态预期!T132))</f>
        <v>681647989.28048539</v>
      </c>
      <c r="Y119" s="14">
        <f>MAX(SUMPRODUCT(T119:X119,基础状态预期!F132:J132),Y118)</f>
        <v>4089887935.6829123</v>
      </c>
      <c r="AP119" s="29">
        <f t="shared" si="30"/>
        <v>114.91934497223426</v>
      </c>
      <c r="AQ119" s="14"/>
      <c r="AR119" s="14">
        <f t="shared" si="31"/>
        <v>4089887935.6829123</v>
      </c>
      <c r="AS119" s="14">
        <f>(AR119-AR118)*INDEX('[1]功能-付费相关'!$AS$6:$AS$165,$AP119,1)+AS118</f>
        <v>2288682.8150053732</v>
      </c>
    </row>
    <row r="120" spans="13:45" x14ac:dyDescent="0.15">
      <c r="M120" s="16">
        <v>30</v>
      </c>
      <c r="N120" s="14">
        <f>基础状态预期!D133</f>
        <v>118.44741987029688</v>
      </c>
      <c r="O120" s="14">
        <f>IF(基础状态预期!Q133="",0,求节点($C$31:$C$36,E$31:E$36,基础状态预期!Q133)*基础状态预期!G133)</f>
        <v>0</v>
      </c>
      <c r="P120" s="14">
        <f>IF(基础状态预期!R133="",0,求节点($C$31:$C$36,F$31:F$36,基础状态预期!R133)*基础状态预期!H133)</f>
        <v>0</v>
      </c>
      <c r="Q120" s="14">
        <f>IF(基础状态预期!S133="",0,求节点($C$31:$C$36,G$31:G$36,基础状态预期!S133)*基础状态预期!I133)</f>
        <v>0</v>
      </c>
      <c r="R120" s="14">
        <f>IF(基础状态预期!T133="",0,求节点($C$31:$C$36,H$31:H$36,基础状态预期!T133)*基础状态预期!J133)</f>
        <v>563.36903844356254</v>
      </c>
      <c r="S120" s="14"/>
      <c r="T120" s="14">
        <f>IF(基础状态预期!P133="",0,求节点($C$40:$C$45,D$40:D$45,基础状态预期!P133))</f>
        <v>0</v>
      </c>
      <c r="U120" s="14">
        <f>IF(基础状态预期!Q133="",0,求节点($C$40:$C$45,E$40:E$45,基础状态预期!Q133))</f>
        <v>0</v>
      </c>
      <c r="V120" s="14">
        <f>IF(基础状态预期!R133="",0,求节点($C$40:$C$45,F$40:F$45,基础状态预期!R133))</f>
        <v>0</v>
      </c>
      <c r="W120" s="14">
        <f>IF(基础状态预期!S133="",0,求节点($C$40:$C$45,G$40:G$45,基础状态预期!S133))</f>
        <v>0</v>
      </c>
      <c r="X120" s="14">
        <f>IF(基础状态预期!T133="",0,求节点($C$40:$C$45,H$40:H$45,基础状态预期!T133))</f>
        <v>823899969.1703701</v>
      </c>
      <c r="Y120" s="14">
        <f>MAX(SUMPRODUCT(T120:X120,基础状态预期!F133:J133),Y119)</f>
        <v>4943399815.0222206</v>
      </c>
      <c r="AP120" s="29">
        <f t="shared" si="30"/>
        <v>118.44741987029688</v>
      </c>
      <c r="AQ120" s="14"/>
      <c r="AR120" s="14">
        <f t="shared" si="31"/>
        <v>4943399815.0222206</v>
      </c>
      <c r="AS120" s="14">
        <f>(AR120-AR119)*INDEX('[1]功能-付费相关'!$AS$6:$AS$165,$AP120,1)+AS119</f>
        <v>2963929.5549890031</v>
      </c>
    </row>
    <row r="121" spans="13:45" x14ac:dyDescent="0.15">
      <c r="M121" s="16">
        <v>31</v>
      </c>
      <c r="N121" s="14">
        <f>基础状态预期!D134</f>
        <v>121.97211685892326</v>
      </c>
      <c r="O121" s="14">
        <f>IF(基础状态预期!Q134="",0,求节点($C$31:$C$36,E$31:E$36,基础状态预期!Q134)*基础状态预期!G134)</f>
        <v>0</v>
      </c>
      <c r="P121" s="14">
        <f>IF(基础状态预期!R134="",0,求节点($C$31:$C$36,F$31:F$36,基础状态预期!R134)*基础状态预期!H134)</f>
        <v>0</v>
      </c>
      <c r="Q121" s="14">
        <f>IF(基础状态预期!S134="",0,求节点($C$31:$C$36,G$31:G$36,基础状态预期!S134)*基础状态预期!I134)</f>
        <v>0</v>
      </c>
      <c r="R121" s="14">
        <f>IF(基础状态预期!T134="",0,求节点($C$31:$C$36,H$31:H$36,基础状态预期!T134)*基础状态预期!J134)</f>
        <v>605.66540230707915</v>
      </c>
      <c r="S121" s="14"/>
      <c r="T121" s="14">
        <f>IF(基础状态预期!P134="",0,求节点($C$40:$C$45,D$40:D$45,基础状态预期!P134))</f>
        <v>0</v>
      </c>
      <c r="U121" s="14">
        <f>IF(基础状态预期!Q134="",0,求节点($C$40:$C$45,E$40:E$45,基础状态预期!Q134))</f>
        <v>0</v>
      </c>
      <c r="V121" s="14">
        <f>IF(基础状态预期!R134="",0,求节点($C$40:$C$45,F$40:F$45,基础状态预期!R134))</f>
        <v>0</v>
      </c>
      <c r="W121" s="14">
        <f>IF(基础状态预期!S134="",0,求节点($C$40:$C$45,G$40:G$45,基础状态预期!S134))</f>
        <v>0</v>
      </c>
      <c r="X121" s="14">
        <f>IF(基础状态预期!T134="",0,求节点($C$40:$C$45,H$40:H$45,基础状态预期!T134))</f>
        <v>966015751.75178599</v>
      </c>
      <c r="Y121" s="14">
        <f>MAX(SUMPRODUCT(T121:X121,基础状态预期!F134:J134),Y120)</f>
        <v>5796094510.5107155</v>
      </c>
      <c r="AP121" s="29">
        <f t="shared" si="30"/>
        <v>121.97211685892326</v>
      </c>
      <c r="AQ121" s="14"/>
      <c r="AR121" s="14">
        <f t="shared" si="31"/>
        <v>5796094510.5107155</v>
      </c>
      <c r="AS121" s="14">
        <f>(AR121-AR120)*INDEX('[1]功能-付费相关'!$AS$6:$AS$165,$AP121,1)+AS120</f>
        <v>3625959.5980701325</v>
      </c>
    </row>
    <row r="122" spans="13:45" x14ac:dyDescent="0.15">
      <c r="M122" s="16">
        <v>32</v>
      </c>
      <c r="N122" s="14">
        <f>基础状态预期!D135</f>
        <v>125.41953077529134</v>
      </c>
      <c r="O122" s="14">
        <f>IF(基础状态预期!Q135="",0,求节点($C$31:$C$36,E$31:E$36,基础状态预期!Q135)*基础状态预期!G135)</f>
        <v>0</v>
      </c>
      <c r="P122" s="14">
        <f>IF(基础状态预期!R135="",0,求节点($C$31:$C$36,F$31:F$36,基础状态预期!R135)*基础状态预期!H135)</f>
        <v>0</v>
      </c>
      <c r="Q122" s="14">
        <f>IF(基础状态预期!S135="",0,求节点($C$31:$C$36,G$31:G$36,基础状态预期!S135)*基础状态预期!I135)</f>
        <v>0</v>
      </c>
      <c r="R122" s="14">
        <f>IF(基础状态预期!T135="",0,求节点($C$31:$C$36,H$31:H$36,基础状态预期!T135)*基础状态预期!J135)</f>
        <v>642</v>
      </c>
      <c r="S122" s="14"/>
      <c r="T122" s="14">
        <f>IF(基础状态预期!P135="",0,求节点($C$40:$C$45,D$40:D$45,基础状态预期!P135))</f>
        <v>0</v>
      </c>
      <c r="U122" s="14">
        <f>IF(基础状态预期!Q135="",0,求节点($C$40:$C$45,E$40:E$45,基础状态预期!Q135))</f>
        <v>0</v>
      </c>
      <c r="V122" s="14">
        <f>IF(基础状态预期!R135="",0,求节点($C$40:$C$45,F$40:F$45,基础状态预期!R135))</f>
        <v>0</v>
      </c>
      <c r="W122" s="14">
        <f>IF(基础状态预期!S135="",0,求节点($C$40:$C$45,G$40:G$45,基础状态预期!S135))</f>
        <v>0</v>
      </c>
      <c r="X122" s="14">
        <f>IF(基础状态预期!T135="",0,求节点($C$40:$C$45,H$40:H$45,基础状态预期!T135))</f>
        <v>1088100000</v>
      </c>
      <c r="Y122" s="14">
        <f>MAX(SUMPRODUCT(T122:X122,基础状态预期!F135:J135),Y121)</f>
        <v>6528600000</v>
      </c>
      <c r="AP122" s="29">
        <f t="shared" si="30"/>
        <v>125.41953077529134</v>
      </c>
      <c r="AQ122" s="14"/>
      <c r="AR122" s="14">
        <f t="shared" si="31"/>
        <v>6528600000</v>
      </c>
      <c r="AS122" s="14">
        <f>(AR122-AR121)*INDEX('[1]功能-付费相关'!$AS$6:$AS$165,$AP122,1)+AS121</f>
        <v>4180887.9991983785</v>
      </c>
    </row>
    <row r="123" spans="13:45" x14ac:dyDescent="0.15">
      <c r="M123" s="16">
        <v>33</v>
      </c>
      <c r="N123" s="14">
        <f>基础状态预期!D136</f>
        <v>129.09045404756728</v>
      </c>
      <c r="O123" s="14">
        <f>IF(基础状态预期!Q136="",0,求节点($C$31:$C$36,E$31:E$36,基础状态预期!Q136)*基础状态预期!G136)</f>
        <v>0</v>
      </c>
      <c r="P123" s="14">
        <f>IF(基础状态预期!R136="",0,求节点($C$31:$C$36,F$31:F$36,基础状态预期!R136)*基础状态预期!H136)</f>
        <v>0</v>
      </c>
      <c r="Q123" s="14">
        <f>IF(基础状态预期!S136="",0,求节点($C$31:$C$36,G$31:G$36,基础状态预期!S136)*基础状态预期!I136)</f>
        <v>0</v>
      </c>
      <c r="R123" s="14">
        <f>IF(基础状态预期!T136="",0,求节点($C$31:$C$36,H$31:H$36,基础状态预期!T136)*基础状态预期!J136)</f>
        <v>642</v>
      </c>
      <c r="S123" s="14"/>
      <c r="T123" s="14">
        <f>IF(基础状态预期!P136="",0,求节点($C$40:$C$45,D$40:D$45,基础状态预期!P136))</f>
        <v>0</v>
      </c>
      <c r="U123" s="14">
        <f>IF(基础状态预期!Q136="",0,求节点($C$40:$C$45,E$40:E$45,基础状态预期!Q136))</f>
        <v>0</v>
      </c>
      <c r="V123" s="14">
        <f>IF(基础状态预期!R136="",0,求节点($C$40:$C$45,F$40:F$45,基础状态预期!R136))</f>
        <v>0</v>
      </c>
      <c r="W123" s="14">
        <f>IF(基础状态预期!S136="",0,求节点($C$40:$C$45,G$40:G$45,基础状态预期!S136))</f>
        <v>0</v>
      </c>
      <c r="X123" s="14">
        <f>IF(基础状态预期!T136="",0,求节点($C$40:$C$45,H$40:H$45,基础状态预期!T136))</f>
        <v>1088100000</v>
      </c>
      <c r="Y123" s="14">
        <f>MAX(SUMPRODUCT(T123:X123,基础状态预期!F136:J136),Y122)</f>
        <v>6528600000</v>
      </c>
      <c r="AP123" s="29">
        <f t="shared" si="30"/>
        <v>129.09045404756728</v>
      </c>
      <c r="AQ123" s="14"/>
      <c r="AR123" s="14">
        <f t="shared" si="31"/>
        <v>6528600000</v>
      </c>
      <c r="AS123" s="14">
        <f>(AR123-AR122)*INDEX('[1]功能-付费相关'!$AS$6:$AS$165,$AP123,1)+AS122</f>
        <v>4180887.9991983785</v>
      </c>
    </row>
    <row r="124" spans="13:45" x14ac:dyDescent="0.15">
      <c r="M124" s="16">
        <v>34</v>
      </c>
      <c r="N124" s="14">
        <f>基础状态预期!D137</f>
        <v>132.53488795708068</v>
      </c>
      <c r="O124" s="14">
        <f>IF(基础状态预期!Q137="",0,求节点($C$31:$C$36,E$31:E$36,基础状态预期!Q137)*基础状态预期!G137)</f>
        <v>0</v>
      </c>
      <c r="P124" s="14">
        <f>IF(基础状态预期!R137="",0,求节点($C$31:$C$36,F$31:F$36,基础状态预期!R137)*基础状态预期!H137)</f>
        <v>0</v>
      </c>
      <c r="Q124" s="14">
        <f>IF(基础状态预期!S137="",0,求节点($C$31:$C$36,G$31:G$36,基础状态预期!S137)*基础状态预期!I137)</f>
        <v>0</v>
      </c>
      <c r="R124" s="14">
        <f>IF(基础状态预期!T137="",0,求节点($C$31:$C$36,H$31:H$36,基础状态预期!T137)*基础状态预期!J137)</f>
        <v>642</v>
      </c>
      <c r="S124" s="14"/>
      <c r="T124" s="14">
        <f>IF(基础状态预期!P137="",0,求节点($C$40:$C$45,D$40:D$45,基础状态预期!P137))</f>
        <v>0</v>
      </c>
      <c r="U124" s="14">
        <f>IF(基础状态预期!Q137="",0,求节点($C$40:$C$45,E$40:E$45,基础状态预期!Q137))</f>
        <v>0</v>
      </c>
      <c r="V124" s="14">
        <f>IF(基础状态预期!R137="",0,求节点($C$40:$C$45,F$40:F$45,基础状态预期!R137))</f>
        <v>0</v>
      </c>
      <c r="W124" s="14">
        <f>IF(基础状态预期!S137="",0,求节点($C$40:$C$45,G$40:G$45,基础状态预期!S137))</f>
        <v>0</v>
      </c>
      <c r="X124" s="14">
        <f>IF(基础状态预期!T137="",0,求节点($C$40:$C$45,H$40:H$45,基础状态预期!T137))</f>
        <v>1088100000</v>
      </c>
      <c r="Y124" s="14">
        <f>MAX(SUMPRODUCT(T124:X124,基础状态预期!F137:J137),Y123)</f>
        <v>6528600000</v>
      </c>
      <c r="AP124" s="29">
        <f t="shared" si="30"/>
        <v>132.53488795708068</v>
      </c>
      <c r="AQ124" s="14"/>
      <c r="AR124" s="14">
        <f t="shared" si="31"/>
        <v>6528600000</v>
      </c>
      <c r="AS124" s="14">
        <f>(AR124-AR123)*INDEX('[1]功能-付费相关'!$AS$6:$AS$165,$AP124,1)+AS123</f>
        <v>4180887.9991983785</v>
      </c>
    </row>
    <row r="125" spans="13:45" x14ac:dyDescent="0.15">
      <c r="M125" s="16">
        <v>35</v>
      </c>
      <c r="N125" s="14">
        <f>基础状态预期!D138</f>
        <v>136.07141427598387</v>
      </c>
      <c r="O125" s="14">
        <f>IF(基础状态预期!Q138="",0,求节点($C$31:$C$36,E$31:E$36,基础状态预期!Q138)*基础状态预期!G138)</f>
        <v>0</v>
      </c>
      <c r="P125" s="14">
        <f>IF(基础状态预期!R138="",0,求节点($C$31:$C$36,F$31:F$36,基础状态预期!R138)*基础状态预期!H138)</f>
        <v>0</v>
      </c>
      <c r="Q125" s="14">
        <f>IF(基础状态预期!S138="",0,求节点($C$31:$C$36,G$31:G$36,基础状态预期!S138)*基础状态预期!I138)</f>
        <v>0</v>
      </c>
      <c r="R125" s="14">
        <f>IF(基础状态预期!T138="",0,求节点($C$31:$C$36,H$31:H$36,基础状态预期!T138)*基础状态预期!J138)</f>
        <v>642</v>
      </c>
      <c r="S125" s="14"/>
      <c r="T125" s="14">
        <f>IF(基础状态预期!P138="",0,求节点($C$40:$C$45,D$40:D$45,基础状态预期!P138))</f>
        <v>0</v>
      </c>
      <c r="U125" s="14">
        <f>IF(基础状态预期!Q138="",0,求节点($C$40:$C$45,E$40:E$45,基础状态预期!Q138))</f>
        <v>0</v>
      </c>
      <c r="V125" s="14">
        <f>IF(基础状态预期!R138="",0,求节点($C$40:$C$45,F$40:F$45,基础状态预期!R138))</f>
        <v>0</v>
      </c>
      <c r="W125" s="14">
        <f>IF(基础状态预期!S138="",0,求节点($C$40:$C$45,G$40:G$45,基础状态预期!S138))</f>
        <v>0</v>
      </c>
      <c r="X125" s="14">
        <f>IF(基础状态预期!T138="",0,求节点($C$40:$C$45,H$40:H$45,基础状态预期!T138))</f>
        <v>1088100000</v>
      </c>
      <c r="Y125" s="14">
        <f>MAX(SUMPRODUCT(T125:X125,基础状态预期!F138:J138),Y124)</f>
        <v>6528600000</v>
      </c>
      <c r="AP125" s="29">
        <f t="shared" si="30"/>
        <v>136.07141427598387</v>
      </c>
      <c r="AQ125" s="14"/>
      <c r="AR125" s="14">
        <f t="shared" si="31"/>
        <v>6528600000</v>
      </c>
      <c r="AS125" s="14">
        <f>(AR125-AR124)*INDEX('[1]功能-付费相关'!$AS$6:$AS$165,$AP125,1)+AS124</f>
        <v>4180887.9991983785</v>
      </c>
    </row>
    <row r="126" spans="13:45" x14ac:dyDescent="0.15">
      <c r="M126" s="16">
        <v>36</v>
      </c>
      <c r="N126" s="14">
        <f>基础状态预期!D139</f>
        <v>139.56936219880694</v>
      </c>
      <c r="O126" s="14">
        <f>IF(基础状态预期!Q139="",0,求节点($C$31:$C$36,E$31:E$36,基础状态预期!Q139)*基础状态预期!G139)</f>
        <v>0</v>
      </c>
      <c r="P126" s="14">
        <f>IF(基础状态预期!R139="",0,求节点($C$31:$C$36,F$31:F$36,基础状态预期!R139)*基础状态预期!H139)</f>
        <v>0</v>
      </c>
      <c r="Q126" s="14">
        <f>IF(基础状态预期!S139="",0,求节点($C$31:$C$36,G$31:G$36,基础状态预期!S139)*基础状态预期!I139)</f>
        <v>0</v>
      </c>
      <c r="R126" s="14">
        <f>IF(基础状态预期!T139="",0,求节点($C$31:$C$36,H$31:H$36,基础状态预期!T139)*基础状态预期!J139)</f>
        <v>642</v>
      </c>
      <c r="S126" s="14"/>
      <c r="T126" s="14">
        <f>IF(基础状态预期!P139="",0,求节点($C$40:$C$45,D$40:D$45,基础状态预期!P139))</f>
        <v>0</v>
      </c>
      <c r="U126" s="14">
        <f>IF(基础状态预期!Q139="",0,求节点($C$40:$C$45,E$40:E$45,基础状态预期!Q139))</f>
        <v>0</v>
      </c>
      <c r="V126" s="14">
        <f>IF(基础状态预期!R139="",0,求节点($C$40:$C$45,F$40:F$45,基础状态预期!R139))</f>
        <v>0</v>
      </c>
      <c r="W126" s="14">
        <f>IF(基础状态预期!S139="",0,求节点($C$40:$C$45,G$40:G$45,基础状态预期!S139))</f>
        <v>0</v>
      </c>
      <c r="X126" s="14">
        <f>IF(基础状态预期!T139="",0,求节点($C$40:$C$45,H$40:H$45,基础状态预期!T139))</f>
        <v>1088100000</v>
      </c>
      <c r="Y126" s="14">
        <f>MAX(SUMPRODUCT(T126:X126,基础状态预期!F139:J139),Y125)</f>
        <v>6528600000</v>
      </c>
      <c r="AP126" s="29">
        <f t="shared" si="30"/>
        <v>139.56936219880694</v>
      </c>
      <c r="AQ126" s="14"/>
      <c r="AR126" s="14">
        <f t="shared" si="31"/>
        <v>6528600000</v>
      </c>
      <c r="AS126" s="14">
        <f>(AR126-AR125)*INDEX('[1]功能-付费相关'!$AS$6:$AS$165,$AP126,1)+AS125</f>
        <v>4180887.9991983785</v>
      </c>
    </row>
    <row r="127" spans="13:45" x14ac:dyDescent="0.15">
      <c r="M127" s="16">
        <v>37</v>
      </c>
      <c r="N127" s="14">
        <f>基础状态预期!D140</f>
        <v>143.08413721822018</v>
      </c>
      <c r="O127" s="14">
        <f>IF(基础状态预期!Q140="",0,求节点($C$31:$C$36,E$31:E$36,基础状态预期!Q140)*基础状态预期!G140)</f>
        <v>0</v>
      </c>
      <c r="P127" s="14">
        <f>IF(基础状态预期!R140="",0,求节点($C$31:$C$36,F$31:F$36,基础状态预期!R140)*基础状态预期!H140)</f>
        <v>0</v>
      </c>
      <c r="Q127" s="14">
        <f>IF(基础状态预期!S140="",0,求节点($C$31:$C$36,G$31:G$36,基础状态预期!S140)*基础状态预期!I140)</f>
        <v>0</v>
      </c>
      <c r="R127" s="14">
        <f>IF(基础状态预期!T140="",0,求节点($C$31:$C$36,H$31:H$36,基础状态预期!T140)*基础状态预期!J140)</f>
        <v>642</v>
      </c>
      <c r="S127" s="14"/>
      <c r="T127" s="14">
        <f>IF(基础状态预期!P140="",0,求节点($C$40:$C$45,D$40:D$45,基础状态预期!P140))</f>
        <v>0</v>
      </c>
      <c r="U127" s="14">
        <f>IF(基础状态预期!Q140="",0,求节点($C$40:$C$45,E$40:E$45,基础状态预期!Q140))</f>
        <v>0</v>
      </c>
      <c r="V127" s="14">
        <f>IF(基础状态预期!R140="",0,求节点($C$40:$C$45,F$40:F$45,基础状态预期!R140))</f>
        <v>0</v>
      </c>
      <c r="W127" s="14">
        <f>IF(基础状态预期!S140="",0,求节点($C$40:$C$45,G$40:G$45,基础状态预期!S140))</f>
        <v>0</v>
      </c>
      <c r="X127" s="14">
        <f>IF(基础状态预期!T140="",0,求节点($C$40:$C$45,H$40:H$45,基础状态预期!T140))</f>
        <v>1088100000</v>
      </c>
      <c r="Y127" s="14">
        <f>MAX(SUMPRODUCT(T127:X127,基础状态预期!F140:J140),Y126)</f>
        <v>6528600000</v>
      </c>
      <c r="AP127" s="29">
        <f t="shared" si="30"/>
        <v>143.08413721822018</v>
      </c>
      <c r="AQ127" s="14"/>
      <c r="AR127" s="14">
        <f t="shared" si="31"/>
        <v>6528600000</v>
      </c>
      <c r="AS127" s="14">
        <f>(AR127-AR126)*INDEX('[1]功能-付费相关'!$AS$6:$AS$165,$AP127,1)+AS126</f>
        <v>4180887.9991983785</v>
      </c>
    </row>
    <row r="128" spans="13:45" x14ac:dyDescent="0.15">
      <c r="M128" s="16">
        <v>38</v>
      </c>
      <c r="N128" s="14">
        <f>基础状态预期!D141</f>
        <v>146.62302564097175</v>
      </c>
      <c r="O128" s="14">
        <f>IF(基础状态预期!Q141="",0,求节点($C$31:$C$36,E$31:E$36,基础状态预期!Q141)*基础状态预期!G141)</f>
        <v>0</v>
      </c>
      <c r="P128" s="14">
        <f>IF(基础状态预期!R141="",0,求节点($C$31:$C$36,F$31:F$36,基础状态预期!R141)*基础状态预期!H141)</f>
        <v>0</v>
      </c>
      <c r="Q128" s="14">
        <f>IF(基础状态预期!S141="",0,求节点($C$31:$C$36,G$31:G$36,基础状态预期!S141)*基础状态预期!I141)</f>
        <v>0</v>
      </c>
      <c r="R128" s="14">
        <f>IF(基础状态预期!T141="",0,求节点($C$31:$C$36,H$31:H$36,基础状态预期!T141)*基础状态预期!J141)</f>
        <v>642</v>
      </c>
      <c r="S128" s="14"/>
      <c r="T128" s="14">
        <f>IF(基础状态预期!P141="",0,求节点($C$40:$C$45,D$40:D$45,基础状态预期!P141))</f>
        <v>0</v>
      </c>
      <c r="U128" s="14">
        <f>IF(基础状态预期!Q141="",0,求节点($C$40:$C$45,E$40:E$45,基础状态预期!Q141))</f>
        <v>0</v>
      </c>
      <c r="V128" s="14">
        <f>IF(基础状态预期!R141="",0,求节点($C$40:$C$45,F$40:F$45,基础状态预期!R141))</f>
        <v>0</v>
      </c>
      <c r="W128" s="14">
        <f>IF(基础状态预期!S141="",0,求节点($C$40:$C$45,G$40:G$45,基础状态预期!S141))</f>
        <v>0</v>
      </c>
      <c r="X128" s="14">
        <f>IF(基础状态预期!T141="",0,求节点($C$40:$C$45,H$40:H$45,基础状态预期!T141))</f>
        <v>1088100000</v>
      </c>
      <c r="Y128" s="14">
        <f>MAX(SUMPRODUCT(T128:X128,基础状态预期!F141:J141),Y127)</f>
        <v>6528600000</v>
      </c>
      <c r="AP128" s="29">
        <f t="shared" si="30"/>
        <v>146.62302564097175</v>
      </c>
      <c r="AQ128" s="14"/>
      <c r="AR128" s="14">
        <f t="shared" si="31"/>
        <v>6528600000</v>
      </c>
      <c r="AS128" s="14">
        <f>(AR128-AR127)*INDEX('[1]功能-付费相关'!$AS$6:$AS$165,$AP128,1)+AS127</f>
        <v>4180887.9991983785</v>
      </c>
    </row>
    <row r="129" spans="13:49" x14ac:dyDescent="0.15">
      <c r="M129" s="16">
        <v>39</v>
      </c>
      <c r="N129" s="14">
        <f>基础状态预期!D142</f>
        <v>150.12999034316616</v>
      </c>
      <c r="O129" s="14">
        <f>IF(基础状态预期!Q142="",0,求节点($C$31:$C$36,E$31:E$36,基础状态预期!Q142)*基础状态预期!G142)</f>
        <v>0</v>
      </c>
      <c r="P129" s="14">
        <f>IF(基础状态预期!R142="",0,求节点($C$31:$C$36,F$31:F$36,基础状态预期!R142)*基础状态预期!H142)</f>
        <v>0</v>
      </c>
      <c r="Q129" s="14">
        <f>IF(基础状态预期!S142="",0,求节点($C$31:$C$36,G$31:G$36,基础状态预期!S142)*基础状态预期!I142)</f>
        <v>0</v>
      </c>
      <c r="R129" s="14">
        <f>IF(基础状态预期!T142="",0,求节点($C$31:$C$36,H$31:H$36,基础状态预期!T142)*基础状态预期!J142)</f>
        <v>642</v>
      </c>
      <c r="S129" s="14"/>
      <c r="T129" s="14">
        <f>IF(基础状态预期!P142="",0,求节点($C$40:$C$45,D$40:D$45,基础状态预期!P142))</f>
        <v>0</v>
      </c>
      <c r="U129" s="14">
        <f>IF(基础状态预期!Q142="",0,求节点($C$40:$C$45,E$40:E$45,基础状态预期!Q142))</f>
        <v>0</v>
      </c>
      <c r="V129" s="14">
        <f>IF(基础状态预期!R142="",0,求节点($C$40:$C$45,F$40:F$45,基础状态预期!R142))</f>
        <v>0</v>
      </c>
      <c r="W129" s="14">
        <f>IF(基础状态预期!S142="",0,求节点($C$40:$C$45,G$40:G$45,基础状态预期!S142))</f>
        <v>0</v>
      </c>
      <c r="X129" s="14">
        <f>IF(基础状态预期!T142="",0,求节点($C$40:$C$45,H$40:H$45,基础状态预期!T142))</f>
        <v>1088100000</v>
      </c>
      <c r="Y129" s="14">
        <f>MAX(SUMPRODUCT(T129:X129,基础状态预期!F142:J142),Y128)</f>
        <v>6528600000</v>
      </c>
      <c r="AP129" s="29">
        <f t="shared" si="30"/>
        <v>150.12999034316616</v>
      </c>
      <c r="AQ129" s="14"/>
      <c r="AR129" s="14">
        <f t="shared" si="31"/>
        <v>6528600000</v>
      </c>
      <c r="AS129" s="14">
        <f>(AR129-AR128)*INDEX('[1]功能-付费相关'!$AS$6:$AS$165,$AP129,1)+AS128</f>
        <v>4180887.9991983785</v>
      </c>
    </row>
    <row r="130" spans="13:49" x14ac:dyDescent="0.15">
      <c r="M130" s="16">
        <v>40</v>
      </c>
      <c r="N130" s="14">
        <f>基础状态预期!D143</f>
        <v>153.11600330857166</v>
      </c>
      <c r="O130" s="14">
        <f>IF(基础状态预期!Q143="",0,求节点($C$31:$C$36,E$31:E$36,基础状态预期!Q143)*基础状态预期!G143)</f>
        <v>0</v>
      </c>
      <c r="P130" s="14">
        <f>IF(基础状态预期!R143="",0,求节点($C$31:$C$36,F$31:F$36,基础状态预期!R143)*基础状态预期!H143)</f>
        <v>0</v>
      </c>
      <c r="Q130" s="14">
        <f>IF(基础状态预期!S143="",0,求节点($C$31:$C$36,G$31:G$36,基础状态预期!S143)*基础状态预期!I143)</f>
        <v>0</v>
      </c>
      <c r="R130" s="14">
        <f>IF(基础状态预期!T143="",0,求节点($C$31:$C$36,H$31:H$36,基础状态预期!T143)*基础状态预期!J143)</f>
        <v>642</v>
      </c>
      <c r="S130" s="14"/>
      <c r="T130" s="14">
        <f>IF(基础状态预期!P143="",0,求节点($C$40:$C$45,D$40:D$45,基础状态预期!P143))</f>
        <v>0</v>
      </c>
      <c r="U130" s="14">
        <f>IF(基础状态预期!Q143="",0,求节点($C$40:$C$45,E$40:E$45,基础状态预期!Q143))</f>
        <v>0</v>
      </c>
      <c r="V130" s="14">
        <f>IF(基础状态预期!R143="",0,求节点($C$40:$C$45,F$40:F$45,基础状态预期!R143))</f>
        <v>0</v>
      </c>
      <c r="W130" s="14">
        <f>IF(基础状态预期!S143="",0,求节点($C$40:$C$45,G$40:G$45,基础状态预期!S143))</f>
        <v>0</v>
      </c>
      <c r="X130" s="14">
        <f>IF(基础状态预期!T143="",0,求节点($C$40:$C$45,H$40:H$45,基础状态预期!T143))</f>
        <v>1088100000</v>
      </c>
      <c r="Y130" s="14">
        <f>MAX(SUMPRODUCT(T130:X130,基础状态预期!F143:J143),Y129)</f>
        <v>6528600000</v>
      </c>
      <c r="AP130" s="29">
        <f t="shared" si="30"/>
        <v>153.11600330857166</v>
      </c>
      <c r="AQ130" s="14"/>
      <c r="AR130" s="14">
        <f t="shared" si="31"/>
        <v>6528600000</v>
      </c>
      <c r="AS130" s="14">
        <f>(AR130-AR129)*INDEX('[1]功能-付费相关'!$AS$6:$AS$165,$AP130,1)+AS129</f>
        <v>4180887.9991983785</v>
      </c>
    </row>
    <row r="131" spans="13:49" x14ac:dyDescent="0.15">
      <c r="M131" s="16">
        <v>41</v>
      </c>
      <c r="N131" s="14">
        <f>基础状态预期!D144</f>
        <v>154.20294442048996</v>
      </c>
      <c r="O131" s="14">
        <f>IF(基础状态预期!Q144="",0,求节点($C$31:$C$36,E$31:E$36,基础状态预期!Q144)*基础状态预期!G144)</f>
        <v>0</v>
      </c>
      <c r="P131" s="14">
        <f>IF(基础状态预期!R144="",0,求节点($C$31:$C$36,F$31:F$36,基础状态预期!R144)*基础状态预期!H144)</f>
        <v>0</v>
      </c>
      <c r="Q131" s="14">
        <f>IF(基础状态预期!S144="",0,求节点($C$31:$C$36,G$31:G$36,基础状态预期!S144)*基础状态预期!I144)</f>
        <v>0</v>
      </c>
      <c r="R131" s="14">
        <f>IF(基础状态预期!T144="",0,求节点($C$31:$C$36,H$31:H$36,基础状态预期!T144)*基础状态预期!J144)</f>
        <v>642</v>
      </c>
      <c r="S131" s="14"/>
      <c r="T131" s="14">
        <f>IF(基础状态预期!P144="",0,求节点($C$40:$C$45,D$40:D$45,基础状态预期!P144))</f>
        <v>0</v>
      </c>
      <c r="U131" s="14">
        <f>IF(基础状态预期!Q144="",0,求节点($C$40:$C$45,E$40:E$45,基础状态预期!Q144))</f>
        <v>0</v>
      </c>
      <c r="V131" s="14">
        <f>IF(基础状态预期!R144="",0,求节点($C$40:$C$45,F$40:F$45,基础状态预期!R144))</f>
        <v>0</v>
      </c>
      <c r="W131" s="14">
        <f>IF(基础状态预期!S144="",0,求节点($C$40:$C$45,G$40:G$45,基础状态预期!S144))</f>
        <v>0</v>
      </c>
      <c r="X131" s="14">
        <f>IF(基础状态预期!T144="",0,求节点($C$40:$C$45,H$40:H$45,基础状态预期!T144))</f>
        <v>1088100000</v>
      </c>
      <c r="Y131" s="14">
        <f>MAX(SUMPRODUCT(T131:X131,基础状态预期!F144:J144),Y130)</f>
        <v>6528600000</v>
      </c>
      <c r="AP131" s="29">
        <f t="shared" si="30"/>
        <v>154.20294442048996</v>
      </c>
      <c r="AQ131" s="14"/>
      <c r="AR131" s="14">
        <f t="shared" si="31"/>
        <v>6528600000</v>
      </c>
      <c r="AS131" s="14">
        <f>(AR131-AR130)*INDEX('[1]功能-付费相关'!$AS$6:$AS$165,$AP131,1)+AS130</f>
        <v>4180887.9991983785</v>
      </c>
    </row>
    <row r="132" spans="13:49" x14ac:dyDescent="0.15">
      <c r="M132" s="16">
        <v>42</v>
      </c>
      <c r="N132" s="14">
        <f>基础状态预期!D145</f>
        <v>155.2512378743358</v>
      </c>
      <c r="O132" s="14">
        <f>IF(基础状态预期!Q145="",0,求节点($C$31:$C$36,E$31:E$36,基础状态预期!Q145)*基础状态预期!G145)</f>
        <v>0</v>
      </c>
      <c r="P132" s="14">
        <f>IF(基础状态预期!R145="",0,求节点($C$31:$C$36,F$31:F$36,基础状态预期!R145)*基础状态预期!H145)</f>
        <v>0</v>
      </c>
      <c r="Q132" s="14">
        <f>IF(基础状态预期!S145="",0,求节点($C$31:$C$36,G$31:G$36,基础状态预期!S145)*基础状态预期!I145)</f>
        <v>0</v>
      </c>
      <c r="R132" s="14">
        <f>IF(基础状态预期!T145="",0,求节点($C$31:$C$36,H$31:H$36,基础状态预期!T145)*基础状态预期!J145)</f>
        <v>642</v>
      </c>
      <c r="S132" s="14"/>
      <c r="T132" s="14">
        <f>IF(基础状态预期!P145="",0,求节点($C$40:$C$45,D$40:D$45,基础状态预期!P145))</f>
        <v>0</v>
      </c>
      <c r="U132" s="14">
        <f>IF(基础状态预期!Q145="",0,求节点($C$40:$C$45,E$40:E$45,基础状态预期!Q145))</f>
        <v>0</v>
      </c>
      <c r="V132" s="14">
        <f>IF(基础状态预期!R145="",0,求节点($C$40:$C$45,F$40:F$45,基础状态预期!R145))</f>
        <v>0</v>
      </c>
      <c r="W132" s="14">
        <f>IF(基础状态预期!S145="",0,求节点($C$40:$C$45,G$40:G$45,基础状态预期!S145))</f>
        <v>0</v>
      </c>
      <c r="X132" s="14">
        <f>IF(基础状态预期!T145="",0,求节点($C$40:$C$45,H$40:H$45,基础状态预期!T145))</f>
        <v>1088100000</v>
      </c>
      <c r="Y132" s="14">
        <f>MAX(SUMPRODUCT(T132:X132,基础状态预期!F145:J145),Y131)</f>
        <v>6528600000</v>
      </c>
      <c r="AP132" s="29">
        <f t="shared" si="30"/>
        <v>155.2512378743358</v>
      </c>
      <c r="AQ132" s="14"/>
      <c r="AR132" s="14">
        <f t="shared" si="31"/>
        <v>6528600000</v>
      </c>
      <c r="AS132" s="14">
        <f>(AR132-AR131)*INDEX('[1]功能-付费相关'!$AS$6:$AS$165,$AP132,1)+AS131</f>
        <v>4180887.9991983785</v>
      </c>
    </row>
    <row r="133" spans="13:49" x14ac:dyDescent="0.15">
      <c r="M133" s="16">
        <v>43</v>
      </c>
    </row>
    <row r="134" spans="13:49" x14ac:dyDescent="0.15">
      <c r="M134" s="16">
        <v>44</v>
      </c>
    </row>
    <row r="135" spans="13:49" x14ac:dyDescent="0.15">
      <c r="M135" s="16">
        <v>45</v>
      </c>
    </row>
    <row r="136" spans="13:49" x14ac:dyDescent="0.15">
      <c r="M136" s="16">
        <v>1</v>
      </c>
    </row>
    <row r="137" spans="13:49" x14ac:dyDescent="0.15">
      <c r="M137" s="16">
        <v>2</v>
      </c>
      <c r="N137" s="14" t="s">
        <v>185</v>
      </c>
      <c r="O137" s="165" t="s">
        <v>198</v>
      </c>
      <c r="P137" s="172"/>
      <c r="Q137" s="172"/>
      <c r="R137" s="172"/>
      <c r="S137" s="166"/>
      <c r="T137" s="164" t="s">
        <v>412</v>
      </c>
      <c r="U137" s="164"/>
      <c r="V137" s="164"/>
      <c r="W137" s="164"/>
      <c r="X137" s="164"/>
      <c r="Y137" s="164"/>
      <c r="AC137" s="29" t="s">
        <v>99</v>
      </c>
      <c r="AD137" s="165" t="s">
        <v>292</v>
      </c>
      <c r="AE137" s="172"/>
      <c r="AF137" s="172"/>
      <c r="AG137" s="166"/>
      <c r="AH137" s="160" t="s">
        <v>290</v>
      </c>
      <c r="AI137" s="160"/>
      <c r="AJ137" s="160"/>
      <c r="AK137" s="160"/>
      <c r="AL137" s="160"/>
      <c r="AP137" s="14" t="s">
        <v>78</v>
      </c>
      <c r="AQ137" s="164" t="s">
        <v>306</v>
      </c>
      <c r="AR137" s="164"/>
      <c r="AS137" s="164"/>
      <c r="AU137" s="29" t="s">
        <v>78</v>
      </c>
      <c r="AV137" s="164" t="s">
        <v>308</v>
      </c>
      <c r="AW137" s="164"/>
    </row>
    <row r="138" spans="13:49" x14ac:dyDescent="0.15">
      <c r="M138" s="16">
        <v>3</v>
      </c>
      <c r="N138" s="14" t="s">
        <v>478</v>
      </c>
      <c r="O138" s="19" t="s">
        <v>3</v>
      </c>
      <c r="P138" s="19" t="s">
        <v>1</v>
      </c>
      <c r="Q138" s="19" t="s">
        <v>2</v>
      </c>
      <c r="R138" s="19" t="s">
        <v>0</v>
      </c>
      <c r="S138" s="19" t="s">
        <v>545</v>
      </c>
      <c r="T138" s="29" t="s">
        <v>207</v>
      </c>
      <c r="U138" s="29" t="s">
        <v>208</v>
      </c>
      <c r="V138" s="29" t="s">
        <v>209</v>
      </c>
      <c r="W138" s="29" t="s">
        <v>210</v>
      </c>
      <c r="X138" s="29" t="s">
        <v>545</v>
      </c>
      <c r="Y138" s="14" t="s">
        <v>211</v>
      </c>
      <c r="AC138" s="29" t="s">
        <v>478</v>
      </c>
      <c r="AD138" s="29" t="s">
        <v>287</v>
      </c>
      <c r="AE138" s="29" t="s">
        <v>288</v>
      </c>
      <c r="AF138" s="29" t="s">
        <v>289</v>
      </c>
      <c r="AG138" s="29" t="s">
        <v>294</v>
      </c>
      <c r="AH138" s="29" t="s">
        <v>287</v>
      </c>
      <c r="AI138" s="29" t="s">
        <v>288</v>
      </c>
      <c r="AJ138" s="29" t="s">
        <v>289</v>
      </c>
      <c r="AK138" s="29" t="s">
        <v>294</v>
      </c>
      <c r="AL138" s="14" t="s">
        <v>293</v>
      </c>
      <c r="AP138" s="29" t="s">
        <v>478</v>
      </c>
      <c r="AQ138" s="29" t="s">
        <v>309</v>
      </c>
      <c r="AR138" s="29" t="s">
        <v>338</v>
      </c>
      <c r="AS138" s="29" t="s">
        <v>339</v>
      </c>
      <c r="AU138" s="29" t="s">
        <v>478</v>
      </c>
      <c r="AV138" s="29" t="s">
        <v>309</v>
      </c>
      <c r="AW138" s="29" t="s">
        <v>305</v>
      </c>
    </row>
    <row r="139" spans="13:49" x14ac:dyDescent="0.15">
      <c r="M139" s="16">
        <v>4</v>
      </c>
      <c r="N139" s="14">
        <f>基础状态预期!D152</f>
        <v>10.00263241450434</v>
      </c>
      <c r="O139" s="14">
        <f>IF(基础状态预期!Q152="",0,求节点($C$31:$C$36,E$31:E$36,基础状态预期!Q152)*基础状态预期!G152)</f>
        <v>0</v>
      </c>
      <c r="P139" s="14">
        <f>IF(基础状态预期!R152="",0,求节点($C$31:$C$36,F$31:F$36,基础状态预期!R152)*基础状态预期!H152)</f>
        <v>0</v>
      </c>
      <c r="Q139" s="14">
        <f>IF(基础状态预期!S152="",0,求节点($C$31:$C$36,G$31:G$36,基础状态预期!S152)*基础状态预期!I152)</f>
        <v>7.2018953384431237</v>
      </c>
      <c r="R139" s="14">
        <f>IF(基础状态预期!T152="",0,求节点($C$31:$C$36,H$31:H$36,基础状态预期!T152)*基础状态预期!J152)</f>
        <v>0</v>
      </c>
      <c r="S139" s="14"/>
      <c r="T139" s="14">
        <f>IF(基础状态预期!P152="",0,求节点($C$40:$C$45,D$40:D$45,基础状态预期!P152))</f>
        <v>0</v>
      </c>
      <c r="U139" s="14">
        <f>IF(基础状态预期!Q152="",0,求节点($C$40:$C$45,E$40:E$45,基础状态预期!Q152))</f>
        <v>0</v>
      </c>
      <c r="V139" s="14">
        <f>IF(基础状态预期!R152="",0,求节点($C$40:$C$45,F$40:F$45,基础状态预期!R152))</f>
        <v>0</v>
      </c>
      <c r="W139" s="14">
        <f>IF(基础状态预期!S152="",0,求节点($C$40:$C$45,G$40:G$45,基础状态预期!S152))</f>
        <v>24006.317794810413</v>
      </c>
      <c r="X139" s="14">
        <f>IF(基础状态预期!T152="",0,求节点($C$40:$C$45,H$40:H$45,基础状态预期!T152))</f>
        <v>0</v>
      </c>
      <c r="Y139" s="14">
        <f>MAX(SUMPRODUCT(T139:X139,基础状态预期!F152:J152),Y138)</f>
        <v>144037.90676886248</v>
      </c>
      <c r="AC139" s="29">
        <v>10</v>
      </c>
      <c r="AD139" s="29">
        <v>0</v>
      </c>
      <c r="AE139" s="29">
        <v>0</v>
      </c>
      <c r="AF139" s="29">
        <v>0</v>
      </c>
      <c r="AG139" s="29">
        <v>0</v>
      </c>
      <c r="AH139" s="29">
        <f>AD139*(INDEX([2]非r将兵属性验证!$S$7:$S$166,$AC139,1)+INDEX([2]非r将兵属性验证!$AG$7:$AG$166,$AC139,1))</f>
        <v>0</v>
      </c>
      <c r="AI139" s="29">
        <f>AE139*INDEX([2]非r将兵属性验证!T$7:T$166,$AC139,1)</f>
        <v>0</v>
      </c>
      <c r="AJ139" s="29">
        <f>AF139*INDEX([2]非r将兵属性验证!U$7:U$166,$AC139,1)</f>
        <v>0</v>
      </c>
      <c r="AK139" s="29">
        <f>AG139*INDEX([2]非r将兵属性验证!$AM$7:$AM$166,$AC139,1)</f>
        <v>0</v>
      </c>
      <c r="AL139" s="14">
        <f>SUM(AH139:AK139)</f>
        <v>0</v>
      </c>
      <c r="AP139" s="29">
        <f>$N139</f>
        <v>10.00263241450434</v>
      </c>
      <c r="AQ139" s="14"/>
      <c r="AR139" s="14">
        <f>$Y139</f>
        <v>144037.90676886248</v>
      </c>
      <c r="AS139" s="45">
        <f>AR139*INDEX('[1]功能-付费相关'!$AT$6:$AT$165,$AP139,1)</f>
        <v>360.09476692215623</v>
      </c>
      <c r="AU139" s="29">
        <v>10</v>
      </c>
      <c r="AV139" s="29">
        <f t="shared" ref="AV139:AV148" si="35">求节点($AP$139:$AP$177,AQ$139:AQ$177,$AU139)</f>
        <v>0</v>
      </c>
      <c r="AW139" s="29">
        <f t="shared" ref="AW139:AW148" si="36">求节点($AP$139:$AP$177,AS$139:AS$177,$AU139)</f>
        <v>360</v>
      </c>
    </row>
    <row r="140" spans="13:49" x14ac:dyDescent="0.15">
      <c r="M140" s="16">
        <v>5</v>
      </c>
      <c r="N140" s="14">
        <f>基础状态预期!D153</f>
        <v>19.43005414991557</v>
      </c>
      <c r="O140" s="14">
        <f>IF(基础状态预期!Q153="",0,求节点($C$31:$C$36,E$31:E$36,基础状态预期!Q153)*基础状态预期!G153)</f>
        <v>0</v>
      </c>
      <c r="P140" s="14">
        <f>IF(基础状态预期!R153="",0,求节点($C$31:$C$36,F$31:F$36,基础状态预期!R153)*基础状态预期!H153)</f>
        <v>0</v>
      </c>
      <c r="Q140" s="14">
        <f>IF(基础状态预期!S153="",0,求节点($C$31:$C$36,G$31:G$36,基础状态预期!S153)*基础状态预期!I153)</f>
        <v>13.989638987939212</v>
      </c>
      <c r="R140" s="14">
        <f>IF(基础状态预期!T153="",0,求节点($C$31:$C$36,H$31:H$36,基础状态预期!T153)*基础状态预期!J153)</f>
        <v>0</v>
      </c>
      <c r="S140" s="14"/>
      <c r="T140" s="14">
        <f>IF(基础状态预期!P153="",0,求节点($C$40:$C$45,D$40:D$45,基础状态预期!P153))</f>
        <v>0</v>
      </c>
      <c r="U140" s="14">
        <f>IF(基础状态预期!Q153="",0,求节点($C$40:$C$45,E$40:E$45,基础状态预期!Q153))</f>
        <v>0</v>
      </c>
      <c r="V140" s="14">
        <f>IF(基础状态预期!R153="",0,求节点($C$40:$C$45,F$40:F$45,基础状态预期!R153))</f>
        <v>0</v>
      </c>
      <c r="W140" s="14">
        <f>IF(基础状态预期!S153="",0,求节点($C$40:$C$45,G$40:G$45,基础状态预期!S153))</f>
        <v>46632.12995979737</v>
      </c>
      <c r="X140" s="14">
        <f>IF(基础状态预期!T153="",0,求节点($C$40:$C$45,H$40:H$45,基础状态预期!T153))</f>
        <v>0</v>
      </c>
      <c r="Y140" s="14">
        <f>MAX(SUMPRODUCT(T140:X140,基础状态预期!F153:J153),Y139)</f>
        <v>279792.77975878422</v>
      </c>
      <c r="AC140" s="29">
        <v>20</v>
      </c>
      <c r="AD140" s="29">
        <v>0</v>
      </c>
      <c r="AE140" s="29">
        <v>0</v>
      </c>
      <c r="AF140" s="29">
        <v>0</v>
      </c>
      <c r="AG140" s="29">
        <v>0</v>
      </c>
      <c r="AH140" s="29">
        <f>AD140*(INDEX([2]非r将兵属性验证!$S$7:$S$166,$AC140,1)+INDEX([2]非r将兵属性验证!$AG$7:$AG$166,$AC140,1))</f>
        <v>0</v>
      </c>
      <c r="AI140" s="29">
        <f>AE140*INDEX([2]非r将兵属性验证!T$7:T$166,$AC140,1)</f>
        <v>0</v>
      </c>
      <c r="AJ140" s="29">
        <f>AF140*INDEX([2]非r将兵属性验证!U$7:U$166,$AC140,1)</f>
        <v>0</v>
      </c>
      <c r="AK140" s="29">
        <f>AG140*INDEX([2]非r将兵属性验证!$AM$7:$AM$166,$AC140,1)</f>
        <v>0</v>
      </c>
      <c r="AL140" s="14">
        <f t="shared" ref="AL140:AL148" si="37">SUM(AH140:AK140)</f>
        <v>0</v>
      </c>
      <c r="AP140" s="29">
        <f t="shared" ref="AP140:AP177" si="38">$N140</f>
        <v>19.43005414991557</v>
      </c>
      <c r="AQ140" s="14"/>
      <c r="AR140" s="14">
        <f t="shared" ref="AR140:AR177" si="39">$Y140</f>
        <v>279792.77975878422</v>
      </c>
      <c r="AS140" s="14">
        <f>(AR140-AR139)*INDEX('[1]功能-付费相关'!$AT$6:$AT$165,$AP140,1)+AS139</f>
        <v>647.71102325673621</v>
      </c>
      <c r="AU140" s="29">
        <v>20</v>
      </c>
      <c r="AV140" s="29">
        <f t="shared" si="35"/>
        <v>0</v>
      </c>
      <c r="AW140" s="29">
        <f t="shared" si="36"/>
        <v>676.54917689281206</v>
      </c>
    </row>
    <row r="141" spans="13:49" x14ac:dyDescent="0.15">
      <c r="M141" s="16">
        <v>6</v>
      </c>
      <c r="N141" s="14">
        <f>基础状态预期!D154</f>
        <v>27.324610510337703</v>
      </c>
      <c r="O141" s="14">
        <f>IF(基础状态预期!Q154="",0,求节点($C$31:$C$36,E$31:E$36,基础状态预期!Q154)*基础状态预期!G154)</f>
        <v>0</v>
      </c>
      <c r="P141" s="14">
        <f>IF(基础状态预期!R154="",0,求节点($C$31:$C$36,F$31:F$36,基础状态预期!R154)*基础状态预期!H154)</f>
        <v>0</v>
      </c>
      <c r="Q141" s="14">
        <f>IF(基础状态预期!S154="",0,求节点($C$31:$C$36,G$31:G$36,基础状态预期!S154)*基础状态预期!I154)</f>
        <v>21.347439134886294</v>
      </c>
      <c r="R141" s="14">
        <f>IF(基础状态预期!T154="",0,求节点($C$31:$C$36,H$31:H$36,基础状态预期!T154)*基础状态预期!J154)</f>
        <v>0</v>
      </c>
      <c r="S141" s="14"/>
      <c r="T141" s="14">
        <f>IF(基础状态预期!P154="",0,求节点($C$40:$C$45,D$40:D$45,基础状态预期!P154))</f>
        <v>0</v>
      </c>
      <c r="U141" s="14">
        <f>IF(基础状态预期!Q154="",0,求节点($C$40:$C$45,E$40:E$45,基础状态预期!Q154))</f>
        <v>0</v>
      </c>
      <c r="V141" s="14">
        <f>IF(基础状态预期!R154="",0,求节点($C$40:$C$45,F$40:F$45,基础状态预期!R154))</f>
        <v>0</v>
      </c>
      <c r="W141" s="14">
        <f>IF(基础状态预期!S154="",0,求节点($C$40:$C$45,G$40:G$45,基础状态预期!S154))</f>
        <v>82316.260899241955</v>
      </c>
      <c r="X141" s="14">
        <f>IF(基础状态预期!T154="",0,求节点($C$40:$C$45,H$40:H$45,基础状态预期!T154))</f>
        <v>0</v>
      </c>
      <c r="Y141" s="14">
        <f>MAX(SUMPRODUCT(T141:X141,基础状态预期!F154:J154),Y140)</f>
        <v>493897.56539545173</v>
      </c>
      <c r="AC141" s="29">
        <v>30</v>
      </c>
      <c r="AD141" s="29">
        <v>0</v>
      </c>
      <c r="AE141" s="29">
        <v>0</v>
      </c>
      <c r="AF141" s="29">
        <v>0</v>
      </c>
      <c r="AG141" s="29">
        <v>0</v>
      </c>
      <c r="AH141" s="29">
        <f>AD141*(INDEX([2]非r将兵属性验证!$S$7:$S$166,$AC141,1)+INDEX([2]非r将兵属性验证!$AG$7:$AG$166,$AC141,1))</f>
        <v>0</v>
      </c>
      <c r="AI141" s="29">
        <f>AE141*INDEX([2]非r将兵属性验证!T$7:T$166,$AC141,1)</f>
        <v>0</v>
      </c>
      <c r="AJ141" s="29">
        <f>AF141*INDEX([2]非r将兵属性验证!U$7:U$166,$AC141,1)</f>
        <v>0</v>
      </c>
      <c r="AK141" s="29">
        <f>AG141*INDEX([2]非r将兵属性验证!$AM$7:$AM$166,$AC141,1)</f>
        <v>0</v>
      </c>
      <c r="AL141" s="14">
        <f t="shared" si="37"/>
        <v>0</v>
      </c>
      <c r="AP141" s="29">
        <f t="shared" si="38"/>
        <v>27.324610510337703</v>
      </c>
      <c r="AQ141" s="14"/>
      <c r="AR141" s="14">
        <f t="shared" si="39"/>
        <v>493897.56539545173</v>
      </c>
      <c r="AS141" s="14">
        <f>(AR141-AR140)*INDEX('[1]功能-付费相关'!$AT$6:$AT$165,$AP141,1)+AS140</f>
        <v>1047.1602501908174</v>
      </c>
      <c r="AU141" s="29">
        <v>30</v>
      </c>
      <c r="AV141" s="29">
        <f t="shared" si="35"/>
        <v>0</v>
      </c>
      <c r="AW141" s="29">
        <f t="shared" si="36"/>
        <v>1311.0342820479207</v>
      </c>
    </row>
    <row r="142" spans="13:49" x14ac:dyDescent="0.15">
      <c r="M142" s="16">
        <v>7</v>
      </c>
      <c r="N142" s="14">
        <f>基础状态预期!D155</f>
        <v>33.672145166817529</v>
      </c>
      <c r="O142" s="14">
        <f>IF(基础状态预期!Q155="",0,求节点($C$31:$C$36,E$31:E$36,基础状态预期!Q155)*基础状态预期!G155)</f>
        <v>0</v>
      </c>
      <c r="P142" s="14">
        <f>IF(基础状态预期!R155="",0,求节点($C$31:$C$36,F$31:F$36,基础状态预期!R155)*基础状态预期!H155)</f>
        <v>0</v>
      </c>
      <c r="Q142" s="14">
        <f>IF(基础状态预期!S155="",0,求节点($C$31:$C$36,G$31:G$36,基础状态预期!S155)*基础状态预期!I155)</f>
        <v>30.48788904021724</v>
      </c>
      <c r="R142" s="14">
        <f>IF(基础状态预期!T155="",0,求节点($C$31:$C$36,H$31:H$36,基础状态预期!T155)*基础状态预期!J155)</f>
        <v>0</v>
      </c>
      <c r="S142" s="14"/>
      <c r="T142" s="14">
        <f>IF(基础状态预期!P155="",0,求节点($C$40:$C$45,D$40:D$45,基础状态预期!P155))</f>
        <v>0</v>
      </c>
      <c r="U142" s="14">
        <f>IF(基础状态预期!Q155="",0,求节点($C$40:$C$45,E$40:E$45,基础状态预期!Q155))</f>
        <v>0</v>
      </c>
      <c r="V142" s="14">
        <f>IF(基础状态预期!R155="",0,求节点($C$40:$C$45,F$40:F$45,基础状态预期!R155))</f>
        <v>0</v>
      </c>
      <c r="W142" s="14">
        <f>IF(基础状态预期!S155="",0,求节点($C$40:$C$45,G$40:G$45,基础状态预期!S155))</f>
        <v>143252.59360144829</v>
      </c>
      <c r="X142" s="14">
        <f>IF(基础状态预期!T155="",0,求节点($C$40:$C$45,H$40:H$45,基础状态预期!T155))</f>
        <v>0</v>
      </c>
      <c r="Y142" s="14">
        <f>MAX(SUMPRODUCT(T142:X142,基础状态预期!F155:J155),Y141)</f>
        <v>859515.56160868972</v>
      </c>
      <c r="AC142" s="29">
        <v>40</v>
      </c>
      <c r="AD142" s="29">
        <v>0</v>
      </c>
      <c r="AE142" s="29">
        <v>0</v>
      </c>
      <c r="AF142" s="29">
        <v>0</v>
      </c>
      <c r="AG142" s="29">
        <v>0</v>
      </c>
      <c r="AH142" s="29">
        <f>AD142*(INDEX([2]非r将兵属性验证!$S$7:$S$166,$AC142,1)+INDEX([2]非r将兵属性验证!$AG$7:$AG$166,$AC142,1))</f>
        <v>0</v>
      </c>
      <c r="AI142" s="29">
        <f>AE142*INDEX([2]非r将兵属性验证!T$7:T$166,$AC142,1)</f>
        <v>0</v>
      </c>
      <c r="AJ142" s="29">
        <f>AF142*INDEX([2]非r将兵属性验证!U$7:U$166,$AC142,1)</f>
        <v>0</v>
      </c>
      <c r="AK142" s="29">
        <f>AG142*INDEX([2]非r将兵属性验证!$AM$7:$AM$166,$AC142,1)</f>
        <v>0</v>
      </c>
      <c r="AL142" s="14">
        <f t="shared" si="37"/>
        <v>0</v>
      </c>
      <c r="AP142" s="29">
        <f t="shared" si="38"/>
        <v>33.672145166817529</v>
      </c>
      <c r="AQ142" s="14"/>
      <c r="AR142" s="14">
        <f t="shared" si="39"/>
        <v>859515.56160868972</v>
      </c>
      <c r="AS142" s="14">
        <f>(AR142-AR141)*INDEX('[1]功能-付费相关'!$AT$6:$AT$165,$AP142,1)+AS141</f>
        <v>1673.2184628847181</v>
      </c>
      <c r="AU142" s="29">
        <v>40</v>
      </c>
      <c r="AV142" s="29">
        <f t="shared" si="35"/>
        <v>0</v>
      </c>
      <c r="AW142" s="29">
        <f t="shared" si="36"/>
        <v>2247.060455837734</v>
      </c>
    </row>
    <row r="143" spans="13:49" x14ac:dyDescent="0.15">
      <c r="M143" s="16">
        <v>8</v>
      </c>
      <c r="N143" s="14">
        <f>基础状态预期!D156</f>
        <v>39.138098927718012</v>
      </c>
      <c r="O143" s="14">
        <f>IF(基础状态预期!Q156="",0,求节点($C$31:$C$36,E$31:E$36,基础状态预期!Q156)*基础状态预期!G156)</f>
        <v>0</v>
      </c>
      <c r="P143" s="14">
        <f>IF(基础状态预期!R156="",0,求节点($C$31:$C$36,F$31:F$36,基础状态预期!R156)*基础状态预期!H156)</f>
        <v>0</v>
      </c>
      <c r="Q143" s="14">
        <f>IF(基础状态预期!S156="",0,求节点($C$31:$C$36,G$31:G$36,基础状态预期!S156)*基础状态预期!I156)</f>
        <v>38.358862455913936</v>
      </c>
      <c r="R143" s="14">
        <f>IF(基础状态预期!T156="",0,求节点($C$31:$C$36,H$31:H$36,基础状态预期!T156)*基础状态预期!J156)</f>
        <v>0</v>
      </c>
      <c r="S143" s="14"/>
      <c r="T143" s="14">
        <f>IF(基础状态预期!P156="",0,求节点($C$40:$C$45,D$40:D$45,基础状态预期!P156))</f>
        <v>0</v>
      </c>
      <c r="U143" s="14">
        <f>IF(基础状态预期!Q156="",0,求节点($C$40:$C$45,E$40:E$45,基础状态预期!Q156))</f>
        <v>0</v>
      </c>
      <c r="V143" s="14">
        <f>IF(基础状态预期!R156="",0,求节点($C$40:$C$45,F$40:F$45,基础状态预期!R156))</f>
        <v>0</v>
      </c>
      <c r="W143" s="14">
        <f>IF(基础状态预期!S156="",0,求节点($C$40:$C$45,G$40:G$45,基础状态预期!S156))</f>
        <v>195725.74970609293</v>
      </c>
      <c r="X143" s="14">
        <f>IF(基础状态预期!T156="",0,求节点($C$40:$C$45,H$40:H$45,基础状态预期!T156))</f>
        <v>0</v>
      </c>
      <c r="Y143" s="14">
        <f>MAX(SUMPRODUCT(T143:X143,基础状态预期!F156:J156),Y142)</f>
        <v>1174354.4982365575</v>
      </c>
      <c r="AC143" s="29">
        <v>50</v>
      </c>
      <c r="AD143" s="29">
        <v>0</v>
      </c>
      <c r="AE143" s="29">
        <v>0</v>
      </c>
      <c r="AF143" s="29">
        <v>0</v>
      </c>
      <c r="AG143" s="29">
        <v>0</v>
      </c>
      <c r="AH143" s="29">
        <f>AD143*(INDEX([2]非r将兵属性验证!$S$7:$S$166,$AC143,1)+INDEX([2]非r将兵属性验证!$AG$7:$AG$166,$AC143,1))</f>
        <v>0</v>
      </c>
      <c r="AI143" s="29">
        <f>AE143*INDEX([2]非r将兵属性验证!T$7:T$166,$AC143,1)</f>
        <v>0</v>
      </c>
      <c r="AJ143" s="29">
        <f>AF143*INDEX([2]非r将兵属性验证!U$7:U$166,$AC143,1)</f>
        <v>0</v>
      </c>
      <c r="AK143" s="29">
        <f>AG143*INDEX([2]非r将兵属性验证!$AM$7:$AM$166,$AC143,1)</f>
        <v>0</v>
      </c>
      <c r="AL143" s="14">
        <f t="shared" si="37"/>
        <v>0</v>
      </c>
      <c r="AP143" s="29">
        <f t="shared" si="38"/>
        <v>39.138098927718012</v>
      </c>
      <c r="AQ143" s="14"/>
      <c r="AR143" s="14">
        <f t="shared" si="39"/>
        <v>1174354.4982365575</v>
      </c>
      <c r="AS143" s="14">
        <f>(AR143-AR142)*INDEX('[1]功能-付费相关'!$AT$6:$AT$165,$AP143,1)+AS142</f>
        <v>2171.3813372959012</v>
      </c>
      <c r="AU143" s="29">
        <v>50</v>
      </c>
      <c r="AV143" s="29">
        <f t="shared" si="35"/>
        <v>0</v>
      </c>
      <c r="AW143" s="29">
        <f t="shared" si="36"/>
        <v>4174.4253235795677</v>
      </c>
    </row>
    <row r="144" spans="13:49" x14ac:dyDescent="0.15">
      <c r="M144" s="16">
        <v>9</v>
      </c>
      <c r="N144" s="14">
        <f>基础状态预期!D157</f>
        <v>42.970748198558951</v>
      </c>
      <c r="O144" s="14">
        <f>IF(基础状态预期!Q157="",0,求节点($C$31:$C$36,E$31:E$36,基础状态预期!Q157)*基础状态预期!G157)</f>
        <v>0</v>
      </c>
      <c r="P144" s="14">
        <f>IF(基础状态预期!R157="",0,求节点($C$31:$C$36,F$31:F$36,基础状态预期!R157)*基础状态预期!H157)</f>
        <v>0</v>
      </c>
      <c r="Q144" s="14">
        <f>IF(基础状态预期!S157="",0,求节点($C$31:$C$36,G$31:G$36,基础状态预期!S157)*基础状态预期!I157)</f>
        <v>43.877877405924892</v>
      </c>
      <c r="R144" s="14">
        <f>IF(基础状态预期!T157="",0,求节点($C$31:$C$36,H$31:H$36,基础状态预期!T157)*基础状态预期!J157)</f>
        <v>0</v>
      </c>
      <c r="S144" s="14"/>
      <c r="T144" s="14">
        <f>IF(基础状态预期!P157="",0,求节点($C$40:$C$45,D$40:D$45,基础状态预期!P157))</f>
        <v>0</v>
      </c>
      <c r="U144" s="14">
        <f>IF(基础状态预期!Q157="",0,求节点($C$40:$C$45,E$40:E$45,基础状态预期!Q157))</f>
        <v>0</v>
      </c>
      <c r="V144" s="14">
        <f>IF(基础状态预期!R157="",0,求节点($C$40:$C$45,F$40:F$45,基础状态预期!R157))</f>
        <v>0</v>
      </c>
      <c r="W144" s="14">
        <f>IF(基础状态预期!S157="",0,求节点($C$40:$C$45,G$40:G$45,基础状态预期!S157))</f>
        <v>232519.18270616591</v>
      </c>
      <c r="X144" s="14">
        <f>IF(基础状态预期!T157="",0,求节点($C$40:$C$45,H$40:H$45,基础状态预期!T157))</f>
        <v>0</v>
      </c>
      <c r="Y144" s="14">
        <f>MAX(SUMPRODUCT(T144:X144,基础状态预期!F157:J157),Y143)</f>
        <v>1395115.0962369954</v>
      </c>
      <c r="AC144" s="29">
        <v>60</v>
      </c>
      <c r="AD144" s="29">
        <v>0</v>
      </c>
      <c r="AE144" s="29">
        <v>0</v>
      </c>
      <c r="AF144" s="29">
        <v>0</v>
      </c>
      <c r="AG144" s="29">
        <v>0</v>
      </c>
      <c r="AH144" s="29">
        <f>AD144*(INDEX([2]非r将兵属性验证!$S$7:$S$166,$AC144,1)+INDEX([2]非r将兵属性验证!$AG$7:$AG$166,$AC144,1))</f>
        <v>0</v>
      </c>
      <c r="AI144" s="29">
        <f>AE144*INDEX([2]非r将兵属性验证!T$7:T$166,$AC144,1)</f>
        <v>0</v>
      </c>
      <c r="AJ144" s="29">
        <f>AF144*INDEX([2]非r将兵属性验证!U$7:U$166,$AC144,1)</f>
        <v>0</v>
      </c>
      <c r="AK144" s="29">
        <f>AG144*INDEX([2]非r将兵属性验证!$AM$7:$AM$166,$AC144,1)</f>
        <v>0</v>
      </c>
      <c r="AL144" s="14">
        <f t="shared" si="37"/>
        <v>0</v>
      </c>
      <c r="AP144" s="29">
        <f t="shared" si="38"/>
        <v>42.970748198558951</v>
      </c>
      <c r="AQ144" s="14"/>
      <c r="AR144" s="14">
        <f t="shared" si="39"/>
        <v>1395115.0962369954</v>
      </c>
      <c r="AS144" s="14">
        <f>(AR144-AR143)*INDEX('[1]功能-付费相关'!$AT$6:$AT$165,$AP144,1)+AS143</f>
        <v>2507.906639125837</v>
      </c>
      <c r="AU144" s="29">
        <v>60</v>
      </c>
      <c r="AV144" s="29">
        <f t="shared" si="35"/>
        <v>0</v>
      </c>
      <c r="AW144" s="29">
        <f t="shared" si="36"/>
        <v>17910.849672757966</v>
      </c>
    </row>
    <row r="145" spans="13:49" x14ac:dyDescent="0.15">
      <c r="M145" s="16">
        <v>10</v>
      </c>
      <c r="N145" s="14">
        <f>基础状态预期!D158</f>
        <v>48.731413734867289</v>
      </c>
      <c r="O145" s="14">
        <f>IF(基础状态预期!Q158="",0,求节点($C$31:$C$36,E$31:E$36,基础状态预期!Q158)*基础状态预期!G158)</f>
        <v>0</v>
      </c>
      <c r="P145" s="14">
        <f>IF(基础状态预期!R158="",0,求节点($C$31:$C$36,F$31:F$36,基础状态预期!R158)*基础状态预期!H158)</f>
        <v>0</v>
      </c>
      <c r="Q145" s="14">
        <f>IF(基础状态预期!S158="",0,求节点($C$31:$C$36,G$31:G$36,基础状态预期!S158)*基础状态预期!I158)</f>
        <v>52.173235778208898</v>
      </c>
      <c r="R145" s="14">
        <f>IF(基础状态预期!T158="",0,求节点($C$31:$C$36,H$31:H$36,基础状态预期!T158)*基础状态预期!J158)</f>
        <v>0</v>
      </c>
      <c r="S145" s="14"/>
      <c r="T145" s="14">
        <f>IF(基础状态预期!P158="",0,求节点($C$40:$C$45,D$40:D$45,基础状态预期!P158))</f>
        <v>0</v>
      </c>
      <c r="U145" s="14">
        <f>IF(基础状态预期!Q158="",0,求节点($C$40:$C$45,E$40:E$45,基础状态预期!Q158))</f>
        <v>0</v>
      </c>
      <c r="V145" s="14">
        <f>IF(基础状态预期!R158="",0,求节点($C$40:$C$45,F$40:F$45,基础状态预期!R158))</f>
        <v>0</v>
      </c>
      <c r="W145" s="14">
        <f>IF(基础状态预期!S158="",0,求节点($C$40:$C$45,G$40:G$45,基础状态预期!S158))</f>
        <v>287821.57185472595</v>
      </c>
      <c r="X145" s="14">
        <f>IF(基础状态预期!T158="",0,求节点($C$40:$C$45,H$40:H$45,基础状态预期!T158))</f>
        <v>0</v>
      </c>
      <c r="Y145" s="14">
        <f>MAX(SUMPRODUCT(T145:X145,基础状态预期!F158:J158),Y144)</f>
        <v>1726929.4311283557</v>
      </c>
      <c r="AC145" s="29">
        <v>70</v>
      </c>
      <c r="AD145" s="29">
        <v>0</v>
      </c>
      <c r="AE145" s="29">
        <v>0</v>
      </c>
      <c r="AF145" s="29">
        <v>0</v>
      </c>
      <c r="AG145" s="29">
        <v>0</v>
      </c>
      <c r="AH145" s="29">
        <f>AD145*(INDEX([2]非r将兵属性验证!$S$7:$S$166,$AC145,1)+INDEX([2]非r将兵属性验证!$AG$7:$AG$166,$AC145,1))</f>
        <v>0</v>
      </c>
      <c r="AI145" s="29">
        <f>AE145*INDEX([2]非r将兵属性验证!T$7:T$166,$AC145,1)</f>
        <v>0</v>
      </c>
      <c r="AJ145" s="29">
        <f>AF145*INDEX([2]非r将兵属性验证!U$7:U$166,$AC145,1)</f>
        <v>0</v>
      </c>
      <c r="AK145" s="29">
        <f>AG145*INDEX([2]非r将兵属性验证!$AM$7:$AM$166,$AC145,1)</f>
        <v>0</v>
      </c>
      <c r="AL145" s="14">
        <f t="shared" si="37"/>
        <v>0</v>
      </c>
      <c r="AP145" s="29">
        <f t="shared" si="38"/>
        <v>48.731413734867289</v>
      </c>
      <c r="AQ145" s="14"/>
      <c r="AR145" s="14">
        <f t="shared" si="39"/>
        <v>1726929.4311283557</v>
      </c>
      <c r="AS145" s="14">
        <f>(AR145-AR144)*INDEX('[1]功能-付费相关'!$AT$6:$AT$165,$AP145,1)+AS144</f>
        <v>2979.2338193692467</v>
      </c>
      <c r="AU145" s="29">
        <v>70</v>
      </c>
      <c r="AV145" s="29">
        <f t="shared" si="35"/>
        <v>0</v>
      </c>
      <c r="AW145" s="29">
        <f t="shared" si="36"/>
        <v>40938.270416395739</v>
      </c>
    </row>
    <row r="146" spans="13:49" x14ac:dyDescent="0.15">
      <c r="M146" s="16">
        <v>11</v>
      </c>
      <c r="N146" s="14">
        <f>基础状态预期!D159</f>
        <v>52.769987980532711</v>
      </c>
      <c r="O146" s="14">
        <f>IF(基础状态预期!Q159="",0,求节点($C$31:$C$36,E$31:E$36,基础状态预期!Q159)*基础状态预期!G159)</f>
        <v>0</v>
      </c>
      <c r="P146" s="14">
        <f>IF(基础状态预期!R159="",0,求节点($C$31:$C$36,F$31:F$36,基础状态预期!R159)*基础状态预期!H159)</f>
        <v>0</v>
      </c>
      <c r="Q146" s="14">
        <f>IF(基础状态预期!S159="",0,求节点($C$31:$C$36,G$31:G$36,基础状态预期!S159)*基础状态预期!I159)</f>
        <v>51.647971153278498</v>
      </c>
      <c r="R146" s="14">
        <f>IF(基础状态预期!T159="",0,求节点($C$31:$C$36,H$31:H$36,基础状态预期!T159)*基础状态预期!J159)</f>
        <v>10.994391345983548</v>
      </c>
      <c r="S146" s="14"/>
      <c r="T146" s="14">
        <f>IF(基础状态预期!P159="",0,求节点($C$40:$C$45,D$40:D$45,基础状态预期!P159))</f>
        <v>0</v>
      </c>
      <c r="U146" s="14">
        <f>IF(基础状态预期!Q159="",0,求节点($C$40:$C$45,E$40:E$45,基础状态预期!Q159))</f>
        <v>0</v>
      </c>
      <c r="V146" s="14">
        <f>IF(基础状态预期!R159="",0,求节点($C$40:$C$45,F$40:F$45,基础状态预期!R159))</f>
        <v>0</v>
      </c>
      <c r="W146" s="14">
        <f>IF(基础状态预期!S159="",0,求节点($C$40:$C$45,G$40:G$45,基础状态预期!S159))</f>
        <v>565918.8461311399</v>
      </c>
      <c r="X146" s="14">
        <f>IF(基础状态预期!T159="",0,求节点($C$40:$C$45,H$40:H$45,基础状态预期!T159))</f>
        <v>1697756.5383934195</v>
      </c>
      <c r="Y146" s="14">
        <f>MAX(SUMPRODUCT(T146:X146,基础状态预期!F159:J159),Y145)</f>
        <v>4527350.7690491192</v>
      </c>
      <c r="AC146" s="29">
        <v>80</v>
      </c>
      <c r="AD146" s="29">
        <v>0</v>
      </c>
      <c r="AE146" s="29">
        <v>0</v>
      </c>
      <c r="AF146" s="29">
        <v>0</v>
      </c>
      <c r="AG146" s="29">
        <v>0</v>
      </c>
      <c r="AH146" s="29">
        <f>AD146*(INDEX([2]非r将兵属性验证!$S$7:$S$166,$AC146,1)+INDEX([2]非r将兵属性验证!$AG$7:$AG$166,$AC146,1))</f>
        <v>0</v>
      </c>
      <c r="AI146" s="29">
        <f>AE146*INDEX([2]非r将兵属性验证!T$7:T$166,$AC146,1)</f>
        <v>0</v>
      </c>
      <c r="AJ146" s="29">
        <f>AF146*INDEX([2]非r将兵属性验证!U$7:U$166,$AC146,1)</f>
        <v>0</v>
      </c>
      <c r="AK146" s="29">
        <f>AG146*INDEX([2]非r将兵属性验证!$AM$7:$AM$166,$AC146,1)</f>
        <v>0</v>
      </c>
      <c r="AL146" s="14">
        <f t="shared" si="37"/>
        <v>0</v>
      </c>
      <c r="AP146" s="29">
        <f t="shared" si="38"/>
        <v>52.769987980532711</v>
      </c>
      <c r="AQ146" s="14"/>
      <c r="AR146" s="14">
        <f t="shared" si="39"/>
        <v>4527350.7690491192</v>
      </c>
      <c r="AS146" s="14">
        <f>(AR146-AR145)*INDEX('[1]功能-付费相关'!$AT$6:$AT$165,$AP146,1)+AS145</f>
        <v>6784.1541154572406</v>
      </c>
      <c r="AU146" s="29">
        <v>80</v>
      </c>
      <c r="AV146" s="29">
        <f t="shared" si="35"/>
        <v>0</v>
      </c>
      <c r="AW146" s="29">
        <f t="shared" si="36"/>
        <v>149410.90214163667</v>
      </c>
    </row>
    <row r="147" spans="13:49" x14ac:dyDescent="0.15">
      <c r="M147" s="16">
        <v>12</v>
      </c>
      <c r="N147" s="14">
        <f>基础状态预期!D160</f>
        <v>58.701446767877648</v>
      </c>
      <c r="O147" s="14">
        <f>IF(基础状态预期!Q160="",0,求节点($C$31:$C$36,E$31:E$36,基础状态预期!Q160)*基础状态预期!G160)</f>
        <v>0</v>
      </c>
      <c r="P147" s="14">
        <f>IF(基础状态预期!R160="",0,求节点($C$31:$C$36,F$31:F$36,基础状态预期!R160)*基础状态预期!H160)</f>
        <v>0</v>
      </c>
      <c r="Q147" s="14">
        <f>IF(基础状态预期!S160="",0,求节点($C$31:$C$36,G$31:G$36,基础状态预期!S160)*基础状态预期!I160)</f>
        <v>52.706777794325092</v>
      </c>
      <c r="R147" s="14">
        <f>IF(基础状态预期!T160="",0,求节点($C$31:$C$36,H$31:H$36,基础状态预期!T160)*基础状态预期!J160)</f>
        <v>30.530083345743819</v>
      </c>
      <c r="S147" s="14"/>
      <c r="T147" s="14">
        <f>IF(基础状态预期!P160="",0,求节点($C$40:$C$45,D$40:D$45,基础状态预期!P160))</f>
        <v>0</v>
      </c>
      <c r="U147" s="14">
        <f>IF(基础状态预期!Q160="",0,求节点($C$40:$C$45,E$40:E$45,基础状态预期!Q160))</f>
        <v>0</v>
      </c>
      <c r="V147" s="14">
        <f>IF(基础状态预期!R160="",0,求节点($C$40:$C$45,F$40:F$45,基础状态预期!R160))</f>
        <v>0</v>
      </c>
      <c r="W147" s="14">
        <f>IF(基础状态预期!S160="",0,求节点($C$40:$C$45,G$40:G$45,基础状态预期!S160))</f>
        <v>1135338.8897162545</v>
      </c>
      <c r="X147" s="14">
        <f>IF(基础状态预期!T160="",0,求节点($C$40:$C$45,H$40:H$45,基础状态预期!T160))</f>
        <v>3406016.6691487636</v>
      </c>
      <c r="Y147" s="14">
        <f>MAX(SUMPRODUCT(T147:X147,基础状态预期!F160:J160),Y146)</f>
        <v>11353388.897162545</v>
      </c>
      <c r="AC147" s="29">
        <v>90</v>
      </c>
      <c r="AD147" s="29">
        <v>0</v>
      </c>
      <c r="AE147" s="29">
        <v>0</v>
      </c>
      <c r="AF147" s="29">
        <v>0</v>
      </c>
      <c r="AG147" s="29">
        <v>0</v>
      </c>
      <c r="AH147" s="29">
        <f>AD147*(INDEX([2]非r将兵属性验证!$S$7:$S$166,$AC147,1)+INDEX([2]非r将兵属性验证!$AG$7:$AG$166,$AC147,1))</f>
        <v>0</v>
      </c>
      <c r="AI147" s="29">
        <f>AE147*INDEX([2]非r将兵属性验证!T$7:T$166,$AC147,1)</f>
        <v>0</v>
      </c>
      <c r="AJ147" s="29">
        <f>AF147*INDEX([2]非r将兵属性验证!U$7:U$166,$AC147,1)</f>
        <v>0</v>
      </c>
      <c r="AK147" s="29">
        <f>AG147*INDEX([2]非r将兵属性验证!$AM$7:$AM$166,$AC147,1)</f>
        <v>0</v>
      </c>
      <c r="AL147" s="14">
        <f t="shared" si="37"/>
        <v>0</v>
      </c>
      <c r="AP147" s="29">
        <f t="shared" si="38"/>
        <v>58.701446767877648</v>
      </c>
      <c r="AQ147" s="14"/>
      <c r="AR147" s="14">
        <f t="shared" si="39"/>
        <v>11353388.897162545</v>
      </c>
      <c r="AS147" s="14">
        <f>(AR147-AR146)*INDEX('[1]功能-付费相关'!$AT$6:$AT$165,$AP147,1)+AS146</f>
        <v>15490.835401316202</v>
      </c>
      <c r="AU147" s="29">
        <v>90</v>
      </c>
      <c r="AV147" s="29">
        <f t="shared" si="35"/>
        <v>0</v>
      </c>
      <c r="AW147" s="29">
        <f t="shared" si="36"/>
        <v>320874.13488165324</v>
      </c>
    </row>
    <row r="148" spans="13:49" x14ac:dyDescent="0.15">
      <c r="M148" s="16">
        <v>13</v>
      </c>
      <c r="N148" s="14">
        <f>基础状态预期!D161</f>
        <v>64.399012521055653</v>
      </c>
      <c r="O148" s="14">
        <f>IF(基础状态预期!Q161="",0,求节点($C$31:$C$36,E$31:E$36,基础状态预期!Q161)*基础状态预期!G161)</f>
        <v>0</v>
      </c>
      <c r="P148" s="14">
        <f>IF(基础状态预期!R161="",0,求节点($C$31:$C$36,F$31:F$36,基础状态预期!R161)*基础状态预期!H161)</f>
        <v>0</v>
      </c>
      <c r="Q148" s="14">
        <f>IF(基础状态预期!S161="",0,求节点($C$31:$C$36,G$31:G$36,基础状态预期!S161)*基础状态预期!I161)</f>
        <v>47.734578030320144</v>
      </c>
      <c r="R148" s="14">
        <f>IF(基础状态预期!T161="",0,求节点($C$31:$C$36,H$31:H$36,基础状态预期!T161)*基础状态预期!J161)</f>
        <v>58.101867045480219</v>
      </c>
      <c r="S148" s="14"/>
      <c r="T148" s="14">
        <f>IF(基础状态预期!P161="",0,求节点($C$40:$C$45,D$40:D$45,基础状态预期!P161))</f>
        <v>0</v>
      </c>
      <c r="U148" s="14">
        <f>IF(基础状态预期!Q161="",0,求节点($C$40:$C$45,E$40:E$45,基础状态预期!Q161))</f>
        <v>0</v>
      </c>
      <c r="V148" s="14">
        <f>IF(基础状态预期!R161="",0,求节点($C$40:$C$45,F$40:F$45,基础状态预期!R161))</f>
        <v>0</v>
      </c>
      <c r="W148" s="14">
        <f>IF(基础状态预期!S161="",0,求节点($C$40:$C$45,G$40:G$45,基础状态预期!S161))</f>
        <v>1682305.2020213427</v>
      </c>
      <c r="X148" s="14">
        <f>IF(基础状态预期!T161="",0,求节点($C$40:$C$45,H$40:H$45,基础状态预期!T161))</f>
        <v>5046915.606064029</v>
      </c>
      <c r="Y148" s="14">
        <f>MAX(SUMPRODUCT(T148:X148,基础状态预期!F161:J161),Y147)</f>
        <v>20187662.424256116</v>
      </c>
      <c r="AC148" s="29">
        <v>100</v>
      </c>
      <c r="AD148" s="29">
        <v>0</v>
      </c>
      <c r="AE148" s="29">
        <v>0</v>
      </c>
      <c r="AF148" s="29">
        <v>0</v>
      </c>
      <c r="AG148" s="29">
        <v>0</v>
      </c>
      <c r="AH148" s="29">
        <f>AD148*(INDEX([2]非r将兵属性验证!$S$7:$S$166,$AC148,1)+INDEX([2]非r将兵属性验证!$AG$7:$AG$166,$AC148,1))</f>
        <v>0</v>
      </c>
      <c r="AI148" s="29">
        <f>AE148*INDEX([2]非r将兵属性验证!T$7:T$166,$AC148,1)</f>
        <v>0</v>
      </c>
      <c r="AJ148" s="29">
        <f>AF148*INDEX([2]非r将兵属性验证!U$7:U$166,$AC148,1)</f>
        <v>0</v>
      </c>
      <c r="AK148" s="29">
        <f>AG148*INDEX([2]非r将兵属性验证!$AM$7:$AM$166,$AC148,1)</f>
        <v>0</v>
      </c>
      <c r="AL148" s="14">
        <f t="shared" si="37"/>
        <v>0</v>
      </c>
      <c r="AP148" s="29">
        <f t="shared" si="38"/>
        <v>64.399012521055653</v>
      </c>
      <c r="AQ148" s="14"/>
      <c r="AR148" s="14">
        <f t="shared" si="39"/>
        <v>20187662.424256116</v>
      </c>
      <c r="AS148" s="14">
        <f>(AR148-AR147)*INDEX('[1]功能-付费相关'!$AT$6:$AT$165,$AP148,1)+AS147</f>
        <v>26108.952621380591</v>
      </c>
      <c r="AU148" s="29">
        <v>100</v>
      </c>
      <c r="AV148" s="29">
        <f t="shared" si="35"/>
        <v>0</v>
      </c>
      <c r="AW148" s="29">
        <f t="shared" si="36"/>
        <v>585649.1383141051</v>
      </c>
    </row>
    <row r="149" spans="13:49" x14ac:dyDescent="0.15">
      <c r="M149" s="16">
        <v>14</v>
      </c>
      <c r="N149" s="14">
        <f>基础状态预期!D162</f>
        <v>68.627579426319684</v>
      </c>
      <c r="O149" s="14">
        <f>IF(基础状态预期!Q162="",0,求节点($C$31:$C$36,E$31:E$36,基础状态预期!Q162)*基础状态预期!G162)</f>
        <v>0</v>
      </c>
      <c r="P149" s="14">
        <f>IF(基础状态预期!R162="",0,求节点($C$31:$C$36,F$31:F$36,基础状态预期!R162)*基础状态预期!H162)</f>
        <v>0</v>
      </c>
      <c r="Q149" s="14">
        <f>IF(基础状态预期!S162="",0,求节点($C$31:$C$36,G$31:G$36,基础状态预期!S162)*基础状态预期!I162)</f>
        <v>35.882476249266901</v>
      </c>
      <c r="R149" s="14">
        <f>IF(基础状态预期!T162="",0,求节点($C$31:$C$36,H$31:H$36,基础状态预期!T162)*基础状态预期!J162)</f>
        <v>89.647428747800689</v>
      </c>
      <c r="S149" s="14"/>
      <c r="T149" s="14">
        <f>IF(基础状态预期!P162="",0,求节点($C$40:$C$45,D$40:D$45,基础状态预期!P162))</f>
        <v>0</v>
      </c>
      <c r="U149" s="14">
        <f>IF(基础状态预期!Q162="",0,求节点($C$40:$C$45,E$40:E$45,基础状态预期!Q162))</f>
        <v>0</v>
      </c>
      <c r="V149" s="14">
        <f>IF(基础状态预期!R162="",0,求节点($C$40:$C$45,F$40:F$45,基础状态预期!R162))</f>
        <v>0</v>
      </c>
      <c r="W149" s="14">
        <f>IF(基础状态预期!S162="",0,求节点($C$40:$C$45,G$40:G$45,基础状态预期!S162))</f>
        <v>2088247.6249266898</v>
      </c>
      <c r="X149" s="14">
        <f>IF(基础状态预期!T162="",0,求节点($C$40:$C$45,H$40:H$45,基础状态预期!T162))</f>
        <v>6264742.8747800691</v>
      </c>
      <c r="Y149" s="14">
        <f>MAX(SUMPRODUCT(T149:X149,基础状态预期!F162:J162),Y148)</f>
        <v>29235466.748973656</v>
      </c>
      <c r="AC149" s="29">
        <v>110</v>
      </c>
      <c r="AD149" s="29">
        <v>0</v>
      </c>
      <c r="AE149" s="29">
        <v>0</v>
      </c>
      <c r="AF149" s="29">
        <v>0</v>
      </c>
      <c r="AG149" s="29">
        <v>0</v>
      </c>
      <c r="AH149" s="29">
        <f>AD149*(INDEX([2]非r将兵属性验证!$S$7:$S$166,$AC149,1)+INDEX([2]非r将兵属性验证!$AG$7:$AG$166,$AC149,1))</f>
        <v>0</v>
      </c>
      <c r="AI149" s="29">
        <f>AE149*INDEX([2]非r将兵属性验证!T$7:T$166,$AC149,1)</f>
        <v>0</v>
      </c>
      <c r="AJ149" s="29">
        <f>AF149*INDEX([2]非r将兵属性验证!U$7:U$166,$AC149,1)</f>
        <v>0</v>
      </c>
      <c r="AK149" s="29">
        <f>AG149*INDEX([2]非r将兵属性验证!$AM$7:$AM$166,$AC149,1)</f>
        <v>0</v>
      </c>
      <c r="AL149" s="14">
        <f t="shared" ref="AL149:AL153" si="40">SUM(AH149:AK149)</f>
        <v>0</v>
      </c>
      <c r="AP149" s="29">
        <f t="shared" si="38"/>
        <v>68.627579426319684</v>
      </c>
      <c r="AQ149" s="14"/>
      <c r="AR149" s="14">
        <f t="shared" si="39"/>
        <v>29235466.748973656</v>
      </c>
      <c r="AS149" s="14">
        <f>(AR149-AR148)*INDEX('[1]功能-付费相关'!$AT$6:$AT$165,$AP149,1)+AS148</f>
        <v>36580.948367581448</v>
      </c>
      <c r="AU149" s="29">
        <v>110</v>
      </c>
      <c r="AV149" s="29">
        <f t="shared" ref="AV149:AV154" si="41">求节点($AP$139:$AP$177,AQ$139:AQ$177,$AU149)</f>
        <v>0</v>
      </c>
      <c r="AW149" s="29">
        <f t="shared" ref="AW149:AW154" si="42">求节点($AP$139:$AP$177,AS$139:AS$177,$AU149)</f>
        <v>2546672.5296286247</v>
      </c>
    </row>
    <row r="150" spans="13:49" x14ac:dyDescent="0.15">
      <c r="M150" s="16">
        <v>15</v>
      </c>
      <c r="N150" s="14">
        <f>基础状态预期!D163</f>
        <v>71.882008108111634</v>
      </c>
      <c r="O150" s="14">
        <f>IF(基础状态预期!Q163="",0,求节点($C$31:$C$36,E$31:E$36,基础状态预期!Q163)*基础状态预期!G163)</f>
        <v>0</v>
      </c>
      <c r="P150" s="14">
        <f>IF(基础状态预期!R163="",0,求节点($C$31:$C$36,F$31:F$36,基础状态预期!R163)*基础状态预期!H163)</f>
        <v>0</v>
      </c>
      <c r="Q150" s="14">
        <f>IF(基础状态预期!S163="",0,求节点($C$31:$C$36,G$31:G$36,基础状态预期!S163)*基础状态预期!I163)</f>
        <v>19.503363891893581</v>
      </c>
      <c r="R150" s="14">
        <f>IF(基础状态预期!T163="",0,求节点($C$31:$C$36,H$31:H$36,基础状态预期!T163)*基础状态预期!J163)</f>
        <v>123.77522918920185</v>
      </c>
      <c r="S150" s="14"/>
      <c r="T150" s="14">
        <f>IF(基础状态预期!P163="",0,求节点($C$40:$C$45,D$40:D$45,基础状态预期!P163))</f>
        <v>0</v>
      </c>
      <c r="U150" s="14">
        <f>IF(基础状态预期!Q163="",0,求节点($C$40:$C$45,E$40:E$45,基础状态预期!Q163))</f>
        <v>0</v>
      </c>
      <c r="V150" s="14">
        <f>IF(基础状态预期!R163="",0,求节点($C$40:$C$45,F$40:F$45,基础状态预期!R163))</f>
        <v>0</v>
      </c>
      <c r="W150" s="14">
        <f>IF(基础状态预期!S163="",0,求节点($C$40:$C$45,G$40:G$45,基础状态预期!S163))</f>
        <v>2400672.7783787162</v>
      </c>
      <c r="X150" s="14">
        <f>IF(基础状态预期!T163="",0,求节点($C$40:$C$45,H$40:H$45,基础状态预期!T163))</f>
        <v>7202018.3351361491</v>
      </c>
      <c r="Y150" s="14">
        <f>MAX(SUMPRODUCT(T150:X150,基础状态预期!F163:J163),Y149)</f>
        <v>38410764.454059459</v>
      </c>
      <c r="AC150" s="29">
        <v>120</v>
      </c>
      <c r="AD150" s="29">
        <v>0</v>
      </c>
      <c r="AE150" s="29">
        <v>0</v>
      </c>
      <c r="AF150" s="29">
        <v>0</v>
      </c>
      <c r="AG150" s="29">
        <v>0</v>
      </c>
      <c r="AH150" s="29">
        <f>AD150*(INDEX([2]非r将兵属性验证!$S$7:$S$166,$AC150,1)+INDEX([2]非r将兵属性验证!$AG$7:$AG$166,$AC150,1))</f>
        <v>0</v>
      </c>
      <c r="AI150" s="29">
        <f>AE150*INDEX([2]非r将兵属性验证!T$7:T$166,$AC150,1)</f>
        <v>0</v>
      </c>
      <c r="AJ150" s="29">
        <f>AF150*INDEX([2]非r将兵属性验证!U$7:U$166,$AC150,1)</f>
        <v>0</v>
      </c>
      <c r="AK150" s="29">
        <f>AG150*INDEX([2]非r将兵属性验证!$AM$7:$AM$166,$AC150,1)</f>
        <v>0</v>
      </c>
      <c r="AL150" s="14">
        <f t="shared" si="40"/>
        <v>0</v>
      </c>
      <c r="AP150" s="29">
        <f t="shared" si="38"/>
        <v>71.882008108111634</v>
      </c>
      <c r="AQ150" s="14"/>
      <c r="AR150" s="14">
        <f t="shared" si="39"/>
        <v>38410764.454059459</v>
      </c>
      <c r="AS150" s="14">
        <f>(AR150-AR149)*INDEX('[1]功能-付费相关'!$AT$6:$AT$165,$AP150,1)+AS149</f>
        <v>46913.490828263661</v>
      </c>
      <c r="AU150" s="29">
        <v>120</v>
      </c>
      <c r="AV150" s="29">
        <f t="shared" si="41"/>
        <v>0</v>
      </c>
      <c r="AW150" s="29">
        <f t="shared" si="42"/>
        <v>4484466.3683953099</v>
      </c>
    </row>
    <row r="151" spans="13:49" x14ac:dyDescent="0.15">
      <c r="M151" s="16">
        <v>16</v>
      </c>
      <c r="N151" s="14">
        <f>基础状态预期!D164</f>
        <v>74.493385467679886</v>
      </c>
      <c r="O151" s="14">
        <f>IF(基础状态预期!Q164="",0,求节点($C$31:$C$36,E$31:E$36,基础状态预期!Q164)*基础状态预期!G164)</f>
        <v>0</v>
      </c>
      <c r="P151" s="14">
        <f>IF(基础状态预期!R164="",0,求节点($C$31:$C$36,F$31:F$36,基础状态预期!R164)*基础状态预期!H164)</f>
        <v>0</v>
      </c>
      <c r="Q151" s="14">
        <f>IF(基础状态预期!S164="",0,求节点($C$31:$C$36,G$31:G$36,基础状态预期!S164)*基础状态预期!I164)</f>
        <v>10.378412512243173</v>
      </c>
      <c r="R151" s="14">
        <f>IF(基础状态预期!T164="",0,求节点($C$31:$C$36,H$31:H$36,基础状态预期!T164)*基础状态预期!J164)</f>
        <v>146.49380645201234</v>
      </c>
      <c r="S151" s="14"/>
      <c r="T151" s="14">
        <f>IF(基础状态预期!P164="",0,求节点($C$40:$C$45,D$40:D$45,基础状态预期!P164))</f>
        <v>0</v>
      </c>
      <c r="U151" s="14">
        <f>IF(基础状态预期!Q164="",0,求节点($C$40:$C$45,E$40:E$45,基础状态预期!Q164))</f>
        <v>0</v>
      </c>
      <c r="V151" s="14">
        <f>IF(基础状态预期!R164="",0,求节点($C$40:$C$45,F$40:F$45,基础状态预期!R164))</f>
        <v>0</v>
      </c>
      <c r="W151" s="14">
        <f>IF(基础状态预期!S164="",0,求节点($C$40:$C$45,G$40:G$45,基础状态预期!S164))</f>
        <v>2651365.004897269</v>
      </c>
      <c r="X151" s="14">
        <f>IF(基础状态预期!T164="",0,求节点($C$40:$C$45,H$40:H$45,基础状态预期!T164))</f>
        <v>7954095.0146918064</v>
      </c>
      <c r="Y151" s="14">
        <f>MAX(SUMPRODUCT(T151:X151,基础状态预期!F164:J164),Y150)</f>
        <v>45073205.08325357</v>
      </c>
      <c r="AC151" s="29">
        <v>130</v>
      </c>
      <c r="AD151" s="29">
        <v>0</v>
      </c>
      <c r="AE151" s="29">
        <v>0</v>
      </c>
      <c r="AF151" s="29">
        <v>0</v>
      </c>
      <c r="AG151" s="29">
        <v>0</v>
      </c>
      <c r="AH151" s="29">
        <f>AD151*(INDEX([2]非r将兵属性验证!$S$7:$S$166,$AC151,1)+INDEX([2]非r将兵属性验证!$AG$7:$AG$166,$AC151,1))</f>
        <v>0</v>
      </c>
      <c r="AI151" s="29">
        <f>AE151*INDEX([2]非r将兵属性验证!T$7:T$166,$AC151,1)</f>
        <v>0</v>
      </c>
      <c r="AJ151" s="29">
        <f>AF151*INDEX([2]非r将兵属性验证!U$7:U$166,$AC151,1)</f>
        <v>0</v>
      </c>
      <c r="AK151" s="29">
        <f>AG151*INDEX([2]非r将兵属性验证!$AM$7:$AM$166,$AC151,1)</f>
        <v>0</v>
      </c>
      <c r="AL151" s="14">
        <f t="shared" si="40"/>
        <v>0</v>
      </c>
      <c r="AP151" s="29">
        <f t="shared" si="38"/>
        <v>74.493385467679886</v>
      </c>
      <c r="AQ151" s="14"/>
      <c r="AR151" s="14">
        <f t="shared" si="39"/>
        <v>45073205.08325357</v>
      </c>
      <c r="AS151" s="14">
        <f>(AR151-AR150)*INDEX('[1]功能-付费相关'!$AT$6:$AT$165,$AP151,1)+AS150</f>
        <v>54218.798535713344</v>
      </c>
      <c r="AU151" s="29">
        <v>130</v>
      </c>
      <c r="AV151" s="29">
        <f t="shared" si="41"/>
        <v>0</v>
      </c>
      <c r="AW151" s="29">
        <f t="shared" si="42"/>
        <v>5409902.3791725552</v>
      </c>
    </row>
    <row r="152" spans="13:49" x14ac:dyDescent="0.15">
      <c r="M152" s="16">
        <v>17</v>
      </c>
      <c r="N152" s="14">
        <f>基础状态预期!D165</f>
        <v>77.332919927503724</v>
      </c>
      <c r="O152" s="14">
        <f>IF(基础状态预期!Q165="",0,求节点($C$31:$C$36,E$31:E$36,基础状态预期!Q165)*基础状态预期!G165)</f>
        <v>0</v>
      </c>
      <c r="P152" s="14">
        <f>IF(基础状态预期!R165="",0,求节点($C$31:$C$36,F$31:F$36,基础状态预期!R165)*基础状态预期!H165)</f>
        <v>0</v>
      </c>
      <c r="Q152" s="14">
        <f>IF(基础状态预期!S165="",0,求节点($C$31:$C$36,G$31:G$36,基础状态预期!S165)*基础状态预期!I165)</f>
        <v>0</v>
      </c>
      <c r="R152" s="14">
        <f>IF(基础状态预期!T165="",0,求节点($C$31:$C$36,H$31:H$36,基础状态预期!T165)*基础状态预期!J165)</f>
        <v>178.79702347802686</v>
      </c>
      <c r="S152" s="14"/>
      <c r="T152" s="14">
        <f>IF(基础状态预期!P165="",0,求节点($C$40:$C$45,D$40:D$45,基础状态预期!P165))</f>
        <v>0</v>
      </c>
      <c r="U152" s="14">
        <f>IF(基础状态预期!Q165="",0,求节点($C$40:$C$45,E$40:E$45,基础状态预期!Q165))</f>
        <v>0</v>
      </c>
      <c r="V152" s="14">
        <f>IF(基础状态预期!R165="",0,求节点($C$40:$C$45,F$40:F$45,基础状态预期!R165))</f>
        <v>0</v>
      </c>
      <c r="W152" s="14">
        <f>IF(基础状态预期!S165="",0,求节点($C$40:$C$45,G$40:G$45,基础状态预期!S165))</f>
        <v>0</v>
      </c>
      <c r="X152" s="14">
        <f>IF(基础状态预期!T165="",0,求节点($C$40:$C$45,H$40:H$45,基础状态预期!T165))</f>
        <v>14818809.39121074</v>
      </c>
      <c r="Y152" s="14">
        <f>MAX(SUMPRODUCT(T152:X152,基础状态预期!F165:J165),Y151)</f>
        <v>88912856.347264439</v>
      </c>
      <c r="AC152" s="29">
        <v>140</v>
      </c>
      <c r="AD152" s="29">
        <v>0</v>
      </c>
      <c r="AE152" s="29">
        <v>0</v>
      </c>
      <c r="AF152" s="29">
        <v>0</v>
      </c>
      <c r="AG152" s="29">
        <v>0</v>
      </c>
      <c r="AH152" s="29">
        <f>AD152*(INDEX([2]非r将兵属性验证!$S$7:$S$166,$AC152,1)+INDEX([2]非r将兵属性验证!$AG$7:$AG$166,$AC152,1))</f>
        <v>0</v>
      </c>
      <c r="AI152" s="29">
        <f>AE152*INDEX([2]非r将兵属性验证!T$7:T$166,$AC152,1)</f>
        <v>0</v>
      </c>
      <c r="AJ152" s="29">
        <f>AF152*INDEX([2]非r将兵属性验证!U$7:U$166,$AC152,1)</f>
        <v>0</v>
      </c>
      <c r="AK152" s="29">
        <f>AG152*INDEX([2]非r将兵属性验证!$AM$7:$AM$166,$AC152,1)</f>
        <v>0</v>
      </c>
      <c r="AL152" s="14">
        <f t="shared" si="40"/>
        <v>0</v>
      </c>
      <c r="AP152" s="29">
        <f t="shared" si="38"/>
        <v>77.332919927503724</v>
      </c>
      <c r="AQ152" s="14"/>
      <c r="AR152" s="14">
        <f t="shared" si="39"/>
        <v>88912856.347264439</v>
      </c>
      <c r="AS152" s="14">
        <f>(AR152-AR151)*INDEX('[1]功能-付费相关'!$AT$6:$AT$165,$AP152,1)+AS151</f>
        <v>101056.03279213521</v>
      </c>
      <c r="AU152" s="29">
        <v>140</v>
      </c>
      <c r="AV152" s="29">
        <f t="shared" si="41"/>
        <v>0</v>
      </c>
      <c r="AW152" s="29">
        <f t="shared" si="42"/>
        <v>5409902.3791725552</v>
      </c>
    </row>
    <row r="153" spans="13:49" x14ac:dyDescent="0.15">
      <c r="M153" s="16">
        <v>18</v>
      </c>
      <c r="N153" s="14">
        <f>基础状态预期!D166</f>
        <v>79.813360188853366</v>
      </c>
      <c r="O153" s="14">
        <f>IF(基础状态预期!Q166="",0,求节点($C$31:$C$36,E$31:E$36,基础状态预期!Q166)*基础状态预期!G166)</f>
        <v>0</v>
      </c>
      <c r="P153" s="14">
        <f>IF(基础状态预期!R166="",0,求节点($C$31:$C$36,F$31:F$36,基础状态预期!R166)*基础状态预期!H166)</f>
        <v>0</v>
      </c>
      <c r="Q153" s="14">
        <f>IF(基础状态预期!S166="",0,求节点($C$31:$C$36,G$31:G$36,基础状态预期!S166)*基础状态预期!I166)</f>
        <v>0</v>
      </c>
      <c r="R153" s="14">
        <f>IF(基础状态预期!T166="",0,求节点($C$31:$C$36,H$31:H$36,基础状态预期!T166)*基础状态预期!J166)</f>
        <v>196.65619335974424</v>
      </c>
      <c r="S153" s="14"/>
      <c r="T153" s="14">
        <f>IF(基础状态预期!P166="",0,求节点($C$40:$C$45,D$40:D$45,基础状态预期!P166))</f>
        <v>0</v>
      </c>
      <c r="U153" s="14">
        <f>IF(基础状态预期!Q166="",0,求节点($C$40:$C$45,E$40:E$45,基础状态预期!Q166))</f>
        <v>0</v>
      </c>
      <c r="V153" s="14">
        <f>IF(基础状态预期!R166="",0,求节点($C$40:$C$45,F$40:F$45,基础状态预期!R166))</f>
        <v>0</v>
      </c>
      <c r="W153" s="14">
        <f>IF(基础状态预期!S166="",0,求节点($C$40:$C$45,G$40:G$45,基础状态预期!S166))</f>
        <v>0</v>
      </c>
      <c r="X153" s="14">
        <f>IF(基础状态预期!T166="",0,求节点($C$40:$C$45,H$40:H$45,基础状态预期!T166))</f>
        <v>21962477.343897693</v>
      </c>
      <c r="Y153" s="14">
        <f>MAX(SUMPRODUCT(T153:X153,基础状态预期!F166:J166),Y152)</f>
        <v>131774864.06338616</v>
      </c>
      <c r="AC153" s="29">
        <v>150</v>
      </c>
      <c r="AD153" s="29">
        <v>0</v>
      </c>
      <c r="AE153" s="29">
        <v>0</v>
      </c>
      <c r="AF153" s="29">
        <v>0</v>
      </c>
      <c r="AG153" s="29">
        <v>0</v>
      </c>
      <c r="AH153" s="29">
        <f>AD153*(INDEX([2]非r将兵属性验证!$S$7:$S$166,$AC153,1)+INDEX([2]非r将兵属性验证!$AG$7:$AG$166,$AC153,1))</f>
        <v>0</v>
      </c>
      <c r="AI153" s="29">
        <f>AE153*INDEX([2]非r将兵属性验证!T$7:T$166,$AC153,1)</f>
        <v>0</v>
      </c>
      <c r="AJ153" s="29">
        <f>AF153*INDEX([2]非r将兵属性验证!U$7:U$166,$AC153,1)</f>
        <v>0</v>
      </c>
      <c r="AK153" s="29">
        <f>AG153*INDEX([2]非r将兵属性验证!$AM$7:$AM$166,$AC153,1)</f>
        <v>0</v>
      </c>
      <c r="AL153" s="14">
        <f t="shared" si="40"/>
        <v>0</v>
      </c>
      <c r="AP153" s="29">
        <f t="shared" si="38"/>
        <v>79.813360188853366</v>
      </c>
      <c r="AQ153" s="14"/>
      <c r="AR153" s="14">
        <f t="shared" si="39"/>
        <v>131774864.06338616</v>
      </c>
      <c r="AS153" s="14">
        <f>(AR153-AR152)*INDEX('[1]功能-付费相关'!$AT$6:$AT$165,$AP153,1)+AS152</f>
        <v>146079.15014100255</v>
      </c>
      <c r="AU153" s="29">
        <v>150</v>
      </c>
      <c r="AV153" s="29">
        <f t="shared" si="41"/>
        <v>0</v>
      </c>
      <c r="AW153" s="29">
        <f t="shared" si="42"/>
        <v>5409902.3791725552</v>
      </c>
    </row>
    <row r="154" spans="13:49" x14ac:dyDescent="0.15">
      <c r="M154" s="16">
        <v>19</v>
      </c>
      <c r="N154" s="14">
        <f>基础状态预期!D167</f>
        <v>81.919202803497143</v>
      </c>
      <c r="O154" s="14">
        <f>IF(基础状态预期!Q167="",0,求节点($C$31:$C$36,E$31:E$36,基础状态预期!Q167)*基础状态预期!G167)</f>
        <v>0</v>
      </c>
      <c r="P154" s="14">
        <f>IF(基础状态预期!R167="",0,求节点($C$31:$C$36,F$31:F$36,基础状态预期!R167)*基础状态预期!H167)</f>
        <v>0</v>
      </c>
      <c r="Q154" s="14">
        <f>IF(基础状态预期!S167="",0,求节点($C$31:$C$36,G$31:G$36,基础状态预期!S167)*基础状态预期!I167)</f>
        <v>0</v>
      </c>
      <c r="R154" s="14">
        <f>IF(基础状态预期!T167="",0,求节点($C$31:$C$36,H$31:H$36,基础状态预期!T167)*基础状态预期!J167)</f>
        <v>211.81826018517941</v>
      </c>
      <c r="S154" s="14"/>
      <c r="T154" s="14">
        <f>IF(基础状态预期!P167="",0,求节点($C$40:$C$45,D$40:D$45,基础状态预期!P167))</f>
        <v>0</v>
      </c>
      <c r="U154" s="14">
        <f>IF(基础状态预期!Q167="",0,求节点($C$40:$C$45,E$40:E$45,基础状态预期!Q167))</f>
        <v>0</v>
      </c>
      <c r="V154" s="14">
        <f>IF(基础状态预期!R167="",0,求节点($C$40:$C$45,F$40:F$45,基础状态预期!R167))</f>
        <v>0</v>
      </c>
      <c r="W154" s="14">
        <f>IF(基础状态预期!S167="",0,求节点($C$40:$C$45,G$40:G$45,基础状态预期!S167))</f>
        <v>0</v>
      </c>
      <c r="X154" s="14">
        <f>IF(基础状态预期!T167="",0,求节点($C$40:$C$45,H$40:H$45,基础状态预期!T167))</f>
        <v>28027304.074071757</v>
      </c>
      <c r="Y154" s="14">
        <f>MAX(SUMPRODUCT(T154:X154,基础状态预期!F167:J167),Y153)</f>
        <v>168163824.44443053</v>
      </c>
      <c r="AC154" s="29">
        <v>160</v>
      </c>
      <c r="AD154" s="29">
        <v>0</v>
      </c>
      <c r="AE154" s="29">
        <v>0</v>
      </c>
      <c r="AF154" s="29">
        <v>0</v>
      </c>
      <c r="AG154" s="29">
        <v>0</v>
      </c>
      <c r="AH154" s="29">
        <f>AD154*(INDEX([2]非r将兵属性验证!$S$7:$S$166,$AC154,1)+INDEX([2]非r将兵属性验证!$AG$7:$AG$166,$AC154,1))</f>
        <v>0</v>
      </c>
      <c r="AI154" s="29">
        <f>AE154*INDEX([2]非r将兵属性验证!T$7:T$166,$AC154,1)</f>
        <v>0</v>
      </c>
      <c r="AJ154" s="29">
        <f>AF154*INDEX([2]非r将兵属性验证!U$7:U$166,$AC154,1)</f>
        <v>0</v>
      </c>
      <c r="AK154" s="29">
        <f>AG154*INDEX([2]非r将兵属性验证!$AM$7:$AM$166,$AC154,1)</f>
        <v>0</v>
      </c>
      <c r="AL154" s="14">
        <f t="shared" ref="AL154" si="43">SUM(AH154:AK154)</f>
        <v>0</v>
      </c>
      <c r="AP154" s="29">
        <f t="shared" si="38"/>
        <v>81.919202803497143</v>
      </c>
      <c r="AQ154" s="14"/>
      <c r="AR154" s="14">
        <f t="shared" si="39"/>
        <v>168163824.44443053</v>
      </c>
      <c r="AS154" s="14">
        <f>(AR154-AR153)*INDEX('[1]功能-付费相关'!$AT$6:$AT$165,$AP154,1)+AS153</f>
        <v>183671.05136108972</v>
      </c>
      <c r="AU154" s="29">
        <v>160</v>
      </c>
      <c r="AV154" s="29">
        <f t="shared" si="41"/>
        <v>0</v>
      </c>
      <c r="AW154" s="29">
        <f t="shared" si="42"/>
        <v>5409902.3791725552</v>
      </c>
    </row>
    <row r="155" spans="13:49" x14ac:dyDescent="0.15">
      <c r="M155" s="16">
        <v>20</v>
      </c>
      <c r="N155" s="14">
        <f>基础状态预期!D168</f>
        <v>83.738783536778797</v>
      </c>
      <c r="O155" s="14">
        <f>IF(基础状态预期!Q168="",0,求节点($C$31:$C$36,E$31:E$36,基础状态预期!Q168)*基础状态预期!G168)</f>
        <v>0</v>
      </c>
      <c r="P155" s="14">
        <f>IF(基础状态预期!R168="",0,求节点($C$31:$C$36,F$31:F$36,基础状态预期!R168)*基础状态预期!H168)</f>
        <v>0</v>
      </c>
      <c r="Q155" s="14">
        <f>IF(基础状态预期!S168="",0,求节点($C$31:$C$36,G$31:G$36,基础状态预期!S168)*基础状态预期!I168)</f>
        <v>0</v>
      </c>
      <c r="R155" s="14">
        <f>IF(基础状态预期!T168="",0,求节点($C$31:$C$36,H$31:H$36,基础状态预期!T168)*基础状态预期!J168)</f>
        <v>224.91924146480733</v>
      </c>
      <c r="S155" s="14"/>
      <c r="T155" s="14">
        <f>IF(基础状态预期!P168="",0,求节点($C$40:$C$45,D$40:D$45,基础状态预期!P168))</f>
        <v>0</v>
      </c>
      <c r="U155" s="14">
        <f>IF(基础状态预期!Q168="",0,求节点($C$40:$C$45,E$40:E$45,基础状态预期!Q168))</f>
        <v>0</v>
      </c>
      <c r="V155" s="14">
        <f>IF(基础状态预期!R168="",0,求节点($C$40:$C$45,F$40:F$45,基础状态预期!R168))</f>
        <v>0</v>
      </c>
      <c r="W155" s="14">
        <f>IF(基础状态预期!S168="",0,求节点($C$40:$C$45,G$40:G$45,基础状态预期!S168))</f>
        <v>0</v>
      </c>
      <c r="X155" s="14">
        <f>IF(基础状态预期!T168="",0,求节点($C$40:$C$45,H$40:H$45,基础状态预期!T168))</f>
        <v>33267696.585922927</v>
      </c>
      <c r="Y155" s="14">
        <f>MAX(SUMPRODUCT(T155:X155,基础状态预期!F168:J168),Y154)</f>
        <v>199606179.51553756</v>
      </c>
      <c r="AP155" s="29">
        <f t="shared" si="38"/>
        <v>83.738783536778797</v>
      </c>
      <c r="AQ155" s="14"/>
      <c r="AR155" s="14">
        <f t="shared" si="39"/>
        <v>199606179.51553756</v>
      </c>
      <c r="AS155" s="14">
        <f>(AR155-AR154)*INDEX('[1]功能-付费相关'!$AT$6:$AT$165,$AP155,1)+AS154</f>
        <v>215624.66423823102</v>
      </c>
    </row>
    <row r="156" spans="13:49" x14ac:dyDescent="0.15">
      <c r="M156" s="16">
        <v>21</v>
      </c>
      <c r="N156" s="14">
        <f>基础状态预期!D169</f>
        <v>86.045919706798657</v>
      </c>
      <c r="O156" s="14">
        <f>IF(基础状态预期!Q169="",0,求节点($C$31:$C$36,E$31:E$36,基础状态预期!Q169)*基础状态预期!G169)</f>
        <v>0</v>
      </c>
      <c r="P156" s="14">
        <f>IF(基础状态预期!R169="",0,求节点($C$31:$C$36,F$31:F$36,基础状态预期!R169)*基础状态预期!H169)</f>
        <v>0</v>
      </c>
      <c r="Q156" s="14">
        <f>IF(基础状态预期!S169="",0,求节点($C$31:$C$36,G$31:G$36,基础状态预期!S169)*基础状态预期!I169)</f>
        <v>0</v>
      </c>
      <c r="R156" s="14">
        <f>IF(基础状态预期!T169="",0,求节点($C$31:$C$36,H$31:H$36,基础状态预期!T169)*基础状态预期!J169)</f>
        <v>241.53062188895035</v>
      </c>
      <c r="S156" s="14"/>
      <c r="T156" s="14">
        <f>IF(基础状态预期!P169="",0,求节点($C$40:$C$45,D$40:D$45,基础状态预期!P169))</f>
        <v>0</v>
      </c>
      <c r="U156" s="14">
        <f>IF(基础状态预期!Q169="",0,求节点($C$40:$C$45,E$40:E$45,基础状态预期!Q169))</f>
        <v>0</v>
      </c>
      <c r="V156" s="14">
        <f>IF(基础状态预期!R169="",0,求节点($C$40:$C$45,F$40:F$45,基础状态预期!R169))</f>
        <v>0</v>
      </c>
      <c r="W156" s="14">
        <f>IF(基础状态预期!S169="",0,求节点($C$40:$C$45,G$40:G$45,基础状态预期!S169))</f>
        <v>0</v>
      </c>
      <c r="X156" s="14">
        <f>IF(基础状态预期!T169="",0,求节点($C$40:$C$45,H$40:H$45,基础状态预期!T169))</f>
        <v>39912248.755580127</v>
      </c>
      <c r="Y156" s="14">
        <f>MAX(SUMPRODUCT(T156:X156,基础状态预期!F169:J169),Y155)</f>
        <v>239473492.53348076</v>
      </c>
      <c r="AP156" s="29">
        <f t="shared" si="38"/>
        <v>86.045919706798657</v>
      </c>
      <c r="AQ156" s="14"/>
      <c r="AR156" s="14">
        <f t="shared" si="39"/>
        <v>239473492.53348076</v>
      </c>
      <c r="AS156" s="14">
        <f>(AR156-AR155)*INDEX('[1]功能-付费相关'!$AT$6:$AT$165,$AP156,1)+AS155</f>
        <v>255175.57001000008</v>
      </c>
    </row>
    <row r="157" spans="13:49" x14ac:dyDescent="0.15">
      <c r="M157" s="16">
        <v>22</v>
      </c>
      <c r="N157" s="14">
        <f>基础状态预期!D170</f>
        <v>90.288435080379244</v>
      </c>
      <c r="O157" s="14">
        <f>IF(基础状态预期!Q170="",0,求节点($C$31:$C$36,E$31:E$36,基础状态预期!Q170)*基础状态预期!G170)</f>
        <v>0</v>
      </c>
      <c r="P157" s="14">
        <f>IF(基础状态预期!R170="",0,求节点($C$31:$C$36,F$31:F$36,基础状态预期!R170)*基础状态预期!H170)</f>
        <v>0</v>
      </c>
      <c r="Q157" s="14">
        <f>IF(基础状态预期!S170="",0,求节点($C$31:$C$36,G$31:G$36,基础状态预期!S170)*基础状态预期!I170)</f>
        <v>0</v>
      </c>
      <c r="R157" s="14">
        <f>IF(基础状态预期!T170="",0,求节点($C$31:$C$36,H$31:H$36,基础状态预期!T170)*基础状态预期!J170)</f>
        <v>272.07673257873057</v>
      </c>
      <c r="S157" s="14"/>
      <c r="T157" s="14">
        <f>IF(基础状态预期!P170="",0,求节点($C$40:$C$45,D$40:D$45,基础状态预期!P170))</f>
        <v>0</v>
      </c>
      <c r="U157" s="14">
        <f>IF(基础状态预期!Q170="",0,求节点($C$40:$C$45,E$40:E$45,基础状态预期!Q170))</f>
        <v>0</v>
      </c>
      <c r="V157" s="14">
        <f>IF(基础状态预期!R170="",0,求节点($C$40:$C$45,F$40:F$45,基础状态预期!R170))</f>
        <v>0</v>
      </c>
      <c r="W157" s="14">
        <f>IF(基础状态预期!S170="",0,求节点($C$40:$C$45,G$40:G$45,基础状态预期!S170))</f>
        <v>0</v>
      </c>
      <c r="X157" s="14">
        <f>IF(基础状态预期!T170="",0,求节点($C$40:$C$45,H$40:H$45,基础状态预期!T170))</f>
        <v>52130693.031492233</v>
      </c>
      <c r="Y157" s="14">
        <f>MAX(SUMPRODUCT(T157:X157,基础状态预期!F170:J170),Y156)</f>
        <v>312784158.1889534</v>
      </c>
      <c r="AP157" s="29">
        <f t="shared" si="38"/>
        <v>90.288435080379244</v>
      </c>
      <c r="AQ157" s="14"/>
      <c r="AR157" s="14">
        <f t="shared" si="39"/>
        <v>312784158.1889534</v>
      </c>
      <c r="AS157" s="14">
        <f>(AR157-AR156)*INDEX('[1]功能-付费相关'!$AT$6:$AT$165,$AP157,1)+AS156</f>
        <v>325666.59467872378</v>
      </c>
    </row>
    <row r="158" spans="13:49" x14ac:dyDescent="0.15">
      <c r="M158" s="16">
        <v>23</v>
      </c>
      <c r="N158" s="14">
        <f>基础状态预期!D171</f>
        <v>93.400072017025948</v>
      </c>
      <c r="O158" s="14">
        <f>IF(基础状态预期!Q171="",0,求节点($C$31:$C$36,E$31:E$36,基础状态预期!Q171)*基础状态预期!G171)</f>
        <v>0</v>
      </c>
      <c r="P158" s="14">
        <f>IF(基础状态预期!R171="",0,求节点($C$31:$C$36,F$31:F$36,基础状态预期!R171)*基础状态预期!H171)</f>
        <v>0</v>
      </c>
      <c r="Q158" s="14">
        <f>IF(基础状态预期!S171="",0,求节点($C$31:$C$36,G$31:G$36,基础状态预期!S171)*基础状态预期!I171)</f>
        <v>0</v>
      </c>
      <c r="R158" s="14">
        <f>IF(基础状态预期!T171="",0,求节点($C$31:$C$36,H$31:H$36,基础状态预期!T171)*基础状态预期!J171)</f>
        <v>294.48051852258681</v>
      </c>
      <c r="S158" s="14"/>
      <c r="T158" s="14">
        <f>IF(基础状态预期!P171="",0,求节点($C$40:$C$45,D$40:D$45,基础状态预期!P171))</f>
        <v>0</v>
      </c>
      <c r="U158" s="14">
        <f>IF(基础状态预期!Q171="",0,求节点($C$40:$C$45,E$40:E$45,基础状态预期!Q171))</f>
        <v>0</v>
      </c>
      <c r="V158" s="14">
        <f>IF(基础状态预期!R171="",0,求节点($C$40:$C$45,F$40:F$45,基础状态预期!R171))</f>
        <v>0</v>
      </c>
      <c r="W158" s="14">
        <f>IF(基础状态预期!S171="",0,求节点($C$40:$C$45,G$40:G$45,基础状态预期!S171))</f>
        <v>0</v>
      </c>
      <c r="X158" s="14">
        <f>IF(基础状态预期!T171="",0,求节点($C$40:$C$45,H$40:H$45,基础状态预期!T171))</f>
        <v>61092207.409034729</v>
      </c>
      <c r="Y158" s="14">
        <f>MAX(SUMPRODUCT(T158:X158,基础状态预期!F171:J171),Y157)</f>
        <v>366553244.45420837</v>
      </c>
      <c r="AP158" s="29">
        <f t="shared" si="38"/>
        <v>93.400072017025948</v>
      </c>
      <c r="AQ158" s="14"/>
      <c r="AR158" s="14">
        <f t="shared" si="39"/>
        <v>366553244.45420837</v>
      </c>
      <c r="AS158" s="14">
        <f>(AR158-AR157)*INDEX('[1]功能-付费相关'!$AT$6:$AT$165,$AP158,1)+AS157</f>
        <v>376201.45019118144</v>
      </c>
    </row>
    <row r="159" spans="13:49" x14ac:dyDescent="0.15">
      <c r="M159" s="16">
        <v>24</v>
      </c>
      <c r="N159" s="14">
        <f>基础状态预期!D172</f>
        <v>97.006001686863456</v>
      </c>
      <c r="O159" s="14">
        <f>IF(基础状态预期!Q172="",0,求节点($C$31:$C$36,E$31:E$36,基础状态预期!Q172)*基础状态预期!G172)</f>
        <v>0</v>
      </c>
      <c r="P159" s="14">
        <f>IF(基础状态预期!R172="",0,求节点($C$31:$C$36,F$31:F$36,基础状态预期!R172)*基础状态预期!H172)</f>
        <v>0</v>
      </c>
      <c r="Q159" s="14">
        <f>IF(基础状态预期!S172="",0,求节点($C$31:$C$36,G$31:G$36,基础状态预期!S172)*基础状态预期!I172)</f>
        <v>0</v>
      </c>
      <c r="R159" s="14">
        <f>IF(基础状态预期!T172="",0,求节点($C$31:$C$36,H$31:H$36,基础状态预期!T172)*基础状态预期!J172)</f>
        <v>320.44321214541696</v>
      </c>
      <c r="S159" s="14"/>
      <c r="T159" s="14">
        <f>IF(基础状态预期!P172="",0,求节点($C$40:$C$45,D$40:D$45,基础状态预期!P172))</f>
        <v>0</v>
      </c>
      <c r="U159" s="14">
        <f>IF(基础状态预期!Q172="",0,求节点($C$40:$C$45,E$40:E$45,基础状态预期!Q172))</f>
        <v>0</v>
      </c>
      <c r="V159" s="14">
        <f>IF(基础状态预期!R172="",0,求节点($C$40:$C$45,F$40:F$45,基础状态预期!R172))</f>
        <v>0</v>
      </c>
      <c r="W159" s="14">
        <f>IF(基础状态预期!S172="",0,求节点($C$40:$C$45,G$40:G$45,基础状态预期!S172))</f>
        <v>0</v>
      </c>
      <c r="X159" s="14">
        <f>IF(基础状态预期!T172="",0,求节点($C$40:$C$45,H$40:H$45,基础状态预期!T172))</f>
        <v>71477284.858166784</v>
      </c>
      <c r="Y159" s="14">
        <f>MAX(SUMPRODUCT(T159:X159,基础状态预期!F172:J172),Y158)</f>
        <v>428863709.1490007</v>
      </c>
      <c r="AP159" s="29">
        <f t="shared" si="38"/>
        <v>97.006001686863456</v>
      </c>
      <c r="AQ159" s="14"/>
      <c r="AR159" s="14">
        <f t="shared" si="39"/>
        <v>428863709.1490007</v>
      </c>
      <c r="AS159" s="14">
        <f>(AR159-AR158)*INDEX('[1]功能-付费相关'!$AT$6:$AT$165,$AP159,1)+AS158</f>
        <v>433054.06396380218</v>
      </c>
    </row>
    <row r="160" spans="13:49" x14ac:dyDescent="0.15">
      <c r="M160" s="16">
        <v>25</v>
      </c>
      <c r="N160" s="14">
        <f>基础状态预期!D173</f>
        <v>100.64473135315967</v>
      </c>
      <c r="O160" s="14">
        <f>IF(基础状态预期!Q173="",0,求节点($C$31:$C$36,E$31:E$36,基础状态预期!Q173)*基础状态预期!G173)</f>
        <v>0</v>
      </c>
      <c r="P160" s="14">
        <f>IF(基础状态预期!R173="",0,求节点($C$31:$C$36,F$31:F$36,基础状态预期!R173)*基础状态预期!H173)</f>
        <v>0</v>
      </c>
      <c r="Q160" s="14">
        <f>IF(基础状态预期!S173="",0,求节点($C$31:$C$36,G$31:G$36,基础状态预期!S173)*基础状态预期!I173)</f>
        <v>0</v>
      </c>
      <c r="R160" s="14">
        <f>IF(基础状态预期!T173="",0,求节点($C$31:$C$36,H$31:H$36,基础状态预期!T173)*基础状态预期!J173)</f>
        <v>349.73677623791616</v>
      </c>
      <c r="S160" s="14"/>
      <c r="T160" s="14">
        <f>IF(基础状态预期!P173="",0,求节点($C$40:$C$45,D$40:D$45,基础状态预期!P173))</f>
        <v>0</v>
      </c>
      <c r="U160" s="14">
        <f>IF(基础状态预期!Q173="",0,求节点($C$40:$C$45,E$40:E$45,基础状态预期!Q173))</f>
        <v>0</v>
      </c>
      <c r="V160" s="14">
        <f>IF(基础状态预期!R173="",0,求节点($C$40:$C$45,F$40:F$45,基础状态预期!R173))</f>
        <v>0</v>
      </c>
      <c r="W160" s="14">
        <f>IF(基础状态预期!S173="",0,求节点($C$40:$C$45,G$40:G$45,基础状态预期!S173))</f>
        <v>0</v>
      </c>
      <c r="X160" s="14">
        <f>IF(基础状态预期!T173="",0,求节点($C$40:$C$45,H$40:H$45,基础状态预期!T173))</f>
        <v>106095568.1593982</v>
      </c>
      <c r="Y160" s="14">
        <f>MAX(SUMPRODUCT(T160:X160,基础状态预期!F173:J173),Y159)</f>
        <v>636573408.95638919</v>
      </c>
      <c r="AP160" s="29">
        <f t="shared" si="38"/>
        <v>100.64473135315967</v>
      </c>
      <c r="AQ160" s="14"/>
      <c r="AR160" s="14">
        <f t="shared" si="39"/>
        <v>636573408.95638919</v>
      </c>
      <c r="AS160" s="14">
        <f>(AR160-AR159)*INDEX('[1]功能-付费相关'!$AT$6:$AT$165,$AP160,1)+AS159</f>
        <v>618509.15307754185</v>
      </c>
    </row>
    <row r="161" spans="13:45" x14ac:dyDescent="0.15">
      <c r="M161" s="16">
        <v>26</v>
      </c>
      <c r="N161" s="14">
        <f>基础状态预期!D174</f>
        <v>104.30731379164318</v>
      </c>
      <c r="O161" s="14">
        <f>IF(基础状态预期!Q174="",0,求节点($C$31:$C$36,E$31:E$36,基础状态预期!Q174)*基础状态预期!G174)</f>
        <v>0</v>
      </c>
      <c r="P161" s="14">
        <f>IF(基础状态预期!R174="",0,求节点($C$31:$C$36,F$31:F$36,基础状态预期!R174)*基础状态预期!H174)</f>
        <v>0</v>
      </c>
      <c r="Q161" s="14">
        <f>IF(基础状态预期!S174="",0,求节点($C$31:$C$36,G$31:G$36,基础状态预期!S174)*基础状态预期!I174)</f>
        <v>0</v>
      </c>
      <c r="R161" s="14">
        <f>IF(基础状态预期!T174="",0,求节点($C$31:$C$36,H$31:H$36,基础状态预期!T174)*基础状态预期!J174)</f>
        <v>393.68776549971813</v>
      </c>
      <c r="S161" s="14"/>
      <c r="T161" s="14">
        <f>IF(基础状态预期!P174="",0,求节点($C$40:$C$45,D$40:D$45,基础状态预期!P174))</f>
        <v>0</v>
      </c>
      <c r="U161" s="14">
        <f>IF(基础状态预期!Q174="",0,求节点($C$40:$C$45,E$40:E$45,基础状态预期!Q174))</f>
        <v>0</v>
      </c>
      <c r="V161" s="14">
        <f>IF(基础状态预期!R174="",0,求节点($C$40:$C$45,F$40:F$45,基础状态预期!R174))</f>
        <v>0</v>
      </c>
      <c r="W161" s="14">
        <f>IF(基础状态预期!S174="",0,求节点($C$40:$C$45,G$40:G$45,基础状态预期!S174))</f>
        <v>0</v>
      </c>
      <c r="X161" s="14">
        <f>IF(基础状态预期!T174="",0,求节点($C$40:$C$45,H$40:H$45,基础状态预期!T174))</f>
        <v>253770892.07905281</v>
      </c>
      <c r="Y161" s="14">
        <f>MAX(SUMPRODUCT(T161:X161,基础状态预期!F174:J174),Y160)</f>
        <v>1522625352.4743168</v>
      </c>
      <c r="AP161" s="29">
        <f t="shared" si="38"/>
        <v>104.30731379164318</v>
      </c>
      <c r="AQ161" s="14"/>
      <c r="AR161" s="14">
        <f t="shared" si="39"/>
        <v>1522625352.4743168</v>
      </c>
      <c r="AS161" s="14">
        <f>(AR161-AR160)*INDEX('[1]功能-付费相关'!$AT$6:$AT$165,$AP161,1)+AS160</f>
        <v>1387651.4651590763</v>
      </c>
    </row>
    <row r="162" spans="13:45" x14ac:dyDescent="0.15">
      <c r="M162" s="16">
        <v>27</v>
      </c>
      <c r="N162" s="14">
        <f>基础状态预期!D175</f>
        <v>107.78950972208385</v>
      </c>
      <c r="O162" s="14">
        <f>IF(基础状态预期!Q175="",0,求节点($C$31:$C$36,E$31:E$36,基础状态预期!Q175)*基础状态预期!G175)</f>
        <v>0</v>
      </c>
      <c r="P162" s="14">
        <f>IF(基础状态预期!R175="",0,求节点($C$31:$C$36,F$31:F$36,基础状态预期!R175)*基础状态预期!H175)</f>
        <v>0</v>
      </c>
      <c r="Q162" s="14">
        <f>IF(基础状态预期!S175="",0,求节点($C$31:$C$36,G$31:G$36,基础状态预期!S175)*基础状态预期!I175)</f>
        <v>0</v>
      </c>
      <c r="R162" s="14">
        <f>IF(基础状态预期!T175="",0,求节点($C$31:$C$36,H$31:H$36,基础状态预期!T175)*基础状态预期!J175)</f>
        <v>435.47411666500625</v>
      </c>
      <c r="S162" s="14"/>
      <c r="T162" s="14">
        <f>IF(基础状态预期!P175="",0,求节点($C$40:$C$45,D$40:D$45,基础状态预期!P175))</f>
        <v>0</v>
      </c>
      <c r="U162" s="14">
        <f>IF(基础状态预期!Q175="",0,求节点($C$40:$C$45,E$40:E$45,基础状态预期!Q175))</f>
        <v>0</v>
      </c>
      <c r="V162" s="14">
        <f>IF(基础状态预期!R175="",0,求节点($C$40:$C$45,F$40:F$45,基础状态预期!R175))</f>
        <v>0</v>
      </c>
      <c r="W162" s="14">
        <f>IF(基础状态预期!S175="",0,求节点($C$40:$C$45,G$40:G$45,基础状态预期!S175))</f>
        <v>0</v>
      </c>
      <c r="X162" s="14">
        <f>IF(基础状态预期!T175="",0,求节点($C$40:$C$45,H$40:H$45,基础状态预期!T175))</f>
        <v>394173031.99442101</v>
      </c>
      <c r="Y162" s="14">
        <f>MAX(SUMPRODUCT(T162:X162,基础状态预期!F175:J175),Y161)</f>
        <v>2365038191.966526</v>
      </c>
      <c r="AP162" s="29">
        <f t="shared" si="38"/>
        <v>107.78950972208385</v>
      </c>
      <c r="AQ162" s="14"/>
      <c r="AR162" s="14">
        <f t="shared" si="39"/>
        <v>2365038191.966526</v>
      </c>
      <c r="AS162" s="14">
        <f>(AR162-AR161)*INDEX('[1]功能-付费相关'!$AT$6:$AT$165,$AP162,1)+AS161</f>
        <v>2103988.9137068731</v>
      </c>
    </row>
    <row r="163" spans="13:45" x14ac:dyDescent="0.15">
      <c r="M163" s="16">
        <v>28</v>
      </c>
      <c r="N163" s="14">
        <f>基础状态预期!D176</f>
        <v>111.29737083030383</v>
      </c>
      <c r="O163" s="14">
        <f>IF(基础状态预期!Q176="",0,求节点($C$31:$C$36,E$31:E$36,基础状态预期!Q176)*基础状态预期!G176)</f>
        <v>0</v>
      </c>
      <c r="P163" s="14">
        <f>IF(基础状态预期!R176="",0,求节点($C$31:$C$36,F$31:F$36,基础状态预期!R176)*基础状态预期!H176)</f>
        <v>0</v>
      </c>
      <c r="Q163" s="14">
        <f>IF(基础状态预期!S176="",0,求节点($C$31:$C$36,G$31:G$36,基础状态预期!S176)*基础状态预期!I176)</f>
        <v>0</v>
      </c>
      <c r="R163" s="14">
        <f>IF(基础状态预期!T176="",0,求节点($C$31:$C$36,H$31:H$36,基础状态预期!T176)*基础状态预期!J176)</f>
        <v>477.56844996364617</v>
      </c>
      <c r="S163" s="14"/>
      <c r="T163" s="14">
        <f>IF(基础状态预期!P176="",0,求节点($C$40:$C$45,D$40:D$45,基础状态预期!P176))</f>
        <v>0</v>
      </c>
      <c r="U163" s="14">
        <f>IF(基础状态预期!Q176="",0,求节点($C$40:$C$45,E$40:E$45,基础状态预期!Q176))</f>
        <v>0</v>
      </c>
      <c r="V163" s="14">
        <f>IF(基础状态预期!R176="",0,求节点($C$40:$C$45,F$40:F$45,基础状态预期!R176))</f>
        <v>0</v>
      </c>
      <c r="W163" s="14">
        <f>IF(基础状态预期!S176="",0,求节点($C$40:$C$45,G$40:G$45,基础状态预期!S176))</f>
        <v>0</v>
      </c>
      <c r="X163" s="14">
        <f>IF(基础状态预期!T176="",0,求节点($C$40:$C$45,H$40:H$45,基础状态预期!T176))</f>
        <v>535609991.87785095</v>
      </c>
      <c r="Y163" s="14">
        <f>MAX(SUMPRODUCT(T163:X163,基础状态预期!F176:J176),Y162)</f>
        <v>3213659951.2671056</v>
      </c>
      <c r="AP163" s="29">
        <f t="shared" si="38"/>
        <v>111.29737083030383</v>
      </c>
      <c r="AQ163" s="14"/>
      <c r="AR163" s="14">
        <f t="shared" si="39"/>
        <v>3213659951.2671056</v>
      </c>
      <c r="AS163" s="14">
        <f>(AR163-AR162)*INDEX('[1]功能-付费相关'!$AT$6:$AT$165,$AP163,1)+AS162</f>
        <v>2806490.3700815253</v>
      </c>
    </row>
    <row r="164" spans="13:45" x14ac:dyDescent="0.15">
      <c r="M164" s="16">
        <v>29</v>
      </c>
      <c r="N164" s="14">
        <f>基础状态预期!D177</f>
        <v>114.91888401282834</v>
      </c>
      <c r="O164" s="14">
        <f>IF(基础状态预期!Q177="",0,求节点($C$31:$C$36,E$31:E$36,基础状态预期!Q177)*基础状态预期!G177)</f>
        <v>0</v>
      </c>
      <c r="P164" s="14">
        <f>IF(基础状态预期!R177="",0,求节点($C$31:$C$36,F$31:F$36,基础状态预期!R177)*基础状态预期!H177)</f>
        <v>0</v>
      </c>
      <c r="Q164" s="14">
        <f>IF(基础状态预期!S177="",0,求节点($C$31:$C$36,G$31:G$36,基础状态预期!S177)*基础状态预期!I177)</f>
        <v>0</v>
      </c>
      <c r="R164" s="14">
        <f>IF(基础状态预期!T177="",0,求节点($C$31:$C$36,H$31:H$36,基础状态预期!T177)*基础状态预期!J177)</f>
        <v>521.02660815394017</v>
      </c>
      <c r="S164" s="14"/>
      <c r="T164" s="14">
        <f>IF(基础状态预期!P177="",0,求节点($C$40:$C$45,D$40:D$45,基础状态预期!P177))</f>
        <v>0</v>
      </c>
      <c r="U164" s="14">
        <f>IF(基础状态预期!Q177="",0,求节点($C$40:$C$45,E$40:E$45,基础状态预期!Q177))</f>
        <v>0</v>
      </c>
      <c r="V164" s="14">
        <f>IF(基础状态预期!R177="",0,求节点($C$40:$C$45,F$40:F$45,基础状态预期!R177))</f>
        <v>0</v>
      </c>
      <c r="W164" s="14">
        <f>IF(基础状态预期!S177="",0,求节点($C$40:$C$45,G$40:G$45,基础状态预期!S177))</f>
        <v>0</v>
      </c>
      <c r="X164" s="14">
        <f>IF(基础状态预期!T177="",0,求节点($C$40:$C$45,H$40:H$45,基础状态预期!T177))</f>
        <v>681629403.39723897</v>
      </c>
      <c r="Y164" s="14">
        <f>MAX(SUMPRODUCT(T164:X164,基础状态预期!F177:J177),Y163)</f>
        <v>4089776420.3834338</v>
      </c>
      <c r="AP164" s="29">
        <f t="shared" si="38"/>
        <v>114.91888401282834</v>
      </c>
      <c r="AQ164" s="14"/>
      <c r="AR164" s="14">
        <f t="shared" si="39"/>
        <v>4089776420.3834338</v>
      </c>
      <c r="AS164" s="14">
        <f>(AR164-AR163)*INDEX('[1]功能-付费相关'!$AT$6:$AT$165,$AP164,1)+AS163</f>
        <v>3517623.8677408826</v>
      </c>
    </row>
    <row r="165" spans="13:45" x14ac:dyDescent="0.15">
      <c r="M165" s="16">
        <v>30</v>
      </c>
      <c r="N165" s="14">
        <f>基础状态预期!D178</f>
        <v>118.4172728380062</v>
      </c>
      <c r="O165" s="14">
        <f>IF(基础状态预期!Q178="",0,求节点($C$31:$C$36,E$31:E$36,基础状态预期!Q178)*基础状态预期!G178)</f>
        <v>0</v>
      </c>
      <c r="P165" s="14">
        <f>IF(基础状态预期!R178="",0,求节点($C$31:$C$36,F$31:F$36,基础状态预期!R178)*基础状态预期!H178)</f>
        <v>0</v>
      </c>
      <c r="Q165" s="14">
        <f>IF(基础状态预期!S178="",0,求节点($C$31:$C$36,G$31:G$36,基础状态预期!S178)*基础状态预期!I178)</f>
        <v>0</v>
      </c>
      <c r="R165" s="14">
        <f>IF(基础状态预期!T178="",0,求节点($C$31:$C$36,H$31:H$36,基础状态预期!T178)*基础状态预期!J178)</f>
        <v>563.00727405607449</v>
      </c>
      <c r="S165" s="14"/>
      <c r="T165" s="14">
        <f>IF(基础状态预期!P178="",0,求节点($C$40:$C$45,D$40:D$45,基础状态预期!P178))</f>
        <v>0</v>
      </c>
      <c r="U165" s="14">
        <f>IF(基础状态预期!Q178="",0,求节点($C$40:$C$45,E$40:E$45,基础状态预期!Q178))</f>
        <v>0</v>
      </c>
      <c r="V165" s="14">
        <f>IF(基础状态预期!R178="",0,求节点($C$40:$C$45,F$40:F$45,基础状态预期!R178))</f>
        <v>0</v>
      </c>
      <c r="W165" s="14">
        <f>IF(基础状态预期!S178="",0,求节点($C$40:$C$45,G$40:G$45,基础状态预期!S178))</f>
        <v>0</v>
      </c>
      <c r="X165" s="14">
        <f>IF(基础状态预期!T178="",0,求节点($C$40:$C$45,H$40:H$45,基础状态预期!T178))</f>
        <v>822684440.82841015</v>
      </c>
      <c r="Y165" s="14">
        <f>MAX(SUMPRODUCT(T165:X165,基础状态预期!F178:J178),Y164)</f>
        <v>4936106644.9704609</v>
      </c>
      <c r="AP165" s="29">
        <f t="shared" si="38"/>
        <v>118.4172728380062</v>
      </c>
      <c r="AQ165" s="14"/>
      <c r="AR165" s="14">
        <f t="shared" si="39"/>
        <v>4936106644.9704609</v>
      </c>
      <c r="AS165" s="14">
        <f>(AR165-AR164)*INDEX('[1]功能-付费相关'!$AT$6:$AT$165,$AP165,1)+AS164</f>
        <v>4187188.9188382141</v>
      </c>
    </row>
    <row r="166" spans="13:45" x14ac:dyDescent="0.15">
      <c r="M166" s="16">
        <v>31</v>
      </c>
      <c r="N166" s="14">
        <f>基础状态预期!D179</f>
        <v>121.99245722798884</v>
      </c>
      <c r="O166" s="14">
        <f>IF(基础状态预期!Q179="",0,求节点($C$31:$C$36,E$31:E$36,基础状态预期!Q179)*基础状态预期!G179)</f>
        <v>0</v>
      </c>
      <c r="P166" s="14">
        <f>IF(基础状态预期!R179="",0,求节点($C$31:$C$36,F$31:F$36,基础状态预期!R179)*基础状态预期!H179)</f>
        <v>0</v>
      </c>
      <c r="Q166" s="14">
        <f>IF(基础状态预期!S179="",0,求节点($C$31:$C$36,G$31:G$36,基础状态预期!S179)*基础状态预期!I179)</f>
        <v>0</v>
      </c>
      <c r="R166" s="14">
        <f>IF(基础状态预期!T179="",0,求节点($C$31:$C$36,H$31:H$36,基础状态预期!T179)*基础状态预期!J179)</f>
        <v>605.90948673586604</v>
      </c>
      <c r="S166" s="14"/>
      <c r="T166" s="14">
        <f>IF(基础状态预期!P179="",0,求节点($C$40:$C$45,D$40:D$45,基础状态预期!P179))</f>
        <v>0</v>
      </c>
      <c r="U166" s="14">
        <f>IF(基础状态预期!Q179="",0,求节点($C$40:$C$45,E$40:E$45,基础状态预期!Q179))</f>
        <v>0</v>
      </c>
      <c r="V166" s="14">
        <f>IF(基础状态预期!R179="",0,求节点($C$40:$C$45,F$40:F$45,基础状态预期!R179))</f>
        <v>0</v>
      </c>
      <c r="W166" s="14">
        <f>IF(基础状态预期!S179="",0,求节点($C$40:$C$45,G$40:G$45,基础状态预期!S179))</f>
        <v>0</v>
      </c>
      <c r="X166" s="14">
        <f>IF(基础状态预期!T179="",0,求节点($C$40:$C$45,H$40:H$45,基础状态预期!T179))</f>
        <v>966835875.4325099</v>
      </c>
      <c r="Y166" s="14">
        <f>MAX(SUMPRODUCT(T166:X166,基础状态预期!F179:J179),Y165)</f>
        <v>5801015252.5950594</v>
      </c>
      <c r="AP166" s="29">
        <f t="shared" si="38"/>
        <v>121.99245722798884</v>
      </c>
      <c r="AQ166" s="14"/>
      <c r="AR166" s="14">
        <f t="shared" si="39"/>
        <v>5801015252.5950594</v>
      </c>
      <c r="AS166" s="14">
        <f>(AR166-AR165)*INDEX('[1]功能-付费相关'!$AT$6:$AT$165,$AP166,1)+AS165</f>
        <v>4858701.8129566908</v>
      </c>
    </row>
    <row r="167" spans="13:45" x14ac:dyDescent="0.15">
      <c r="M167" s="16">
        <v>32</v>
      </c>
      <c r="N167" s="14">
        <f>基础状态预期!D180</f>
        <v>125.43876546297123</v>
      </c>
      <c r="O167" s="14">
        <f>IF(基础状态预期!Q180="",0,求节点($C$31:$C$36,E$31:E$36,基础状态预期!Q180)*基础状态预期!G180)</f>
        <v>0</v>
      </c>
      <c r="P167" s="14">
        <f>IF(基础状态预期!R180="",0,求节点($C$31:$C$36,F$31:F$36,基础状态预期!R180)*基础状态预期!H180)</f>
        <v>0</v>
      </c>
      <c r="Q167" s="14">
        <f>IF(基础状态预期!S180="",0,求节点($C$31:$C$36,G$31:G$36,基础状态预期!S180)*基础状态预期!I180)</f>
        <v>0</v>
      </c>
      <c r="R167" s="14">
        <f>IF(基础状态预期!T180="",0,求节点($C$31:$C$36,H$31:H$36,基础状态预期!T180)*基础状态预期!J180)</f>
        <v>642</v>
      </c>
      <c r="S167" s="14"/>
      <c r="T167" s="14">
        <f>IF(基础状态预期!P180="",0,求节点($C$40:$C$45,D$40:D$45,基础状态预期!P180))</f>
        <v>0</v>
      </c>
      <c r="U167" s="14">
        <f>IF(基础状态预期!Q180="",0,求节点($C$40:$C$45,E$40:E$45,基础状态预期!Q180))</f>
        <v>0</v>
      </c>
      <c r="V167" s="14">
        <f>IF(基础状态预期!R180="",0,求节点($C$40:$C$45,F$40:F$45,基础状态预期!R180))</f>
        <v>0</v>
      </c>
      <c r="W167" s="14">
        <f>IF(基础状态预期!S180="",0,求节点($C$40:$C$45,G$40:G$45,基础状态预期!S180))</f>
        <v>0</v>
      </c>
      <c r="X167" s="14">
        <f>IF(基础状态预期!T180="",0,求节点($C$40:$C$45,H$40:H$45,基础状态预期!T180))</f>
        <v>1088100000</v>
      </c>
      <c r="Y167" s="14">
        <f>MAX(SUMPRODUCT(T167:X167,基础状态预期!F180:J180),Y166)</f>
        <v>6528600000</v>
      </c>
      <c r="AP167" s="29">
        <f t="shared" si="38"/>
        <v>125.43876546297123</v>
      </c>
      <c r="AQ167" s="14"/>
      <c r="AR167" s="14">
        <f t="shared" si="39"/>
        <v>6528600000</v>
      </c>
      <c r="AS167" s="14">
        <f>(AR167-AR166)*INDEX('[1]功能-付费相关'!$AT$6:$AT$165,$AP167,1)+AS166</f>
        <v>5409902.3791725552</v>
      </c>
    </row>
    <row r="168" spans="13:45" x14ac:dyDescent="0.15">
      <c r="M168" s="16">
        <v>33</v>
      </c>
      <c r="N168" s="14">
        <f>基础状态预期!D181</f>
        <v>129.12105302323599</v>
      </c>
      <c r="O168" s="14">
        <f>IF(基础状态预期!Q181="",0,求节点($C$31:$C$36,E$31:E$36,基础状态预期!Q181)*基础状态预期!G181)</f>
        <v>0</v>
      </c>
      <c r="P168" s="14">
        <f>IF(基础状态预期!R181="",0,求节点($C$31:$C$36,F$31:F$36,基础状态预期!R181)*基础状态预期!H181)</f>
        <v>0</v>
      </c>
      <c r="Q168" s="14">
        <f>IF(基础状态预期!S181="",0,求节点($C$31:$C$36,G$31:G$36,基础状态预期!S181)*基础状态预期!I181)</f>
        <v>0</v>
      </c>
      <c r="R168" s="14">
        <f>IF(基础状态预期!T181="",0,求节点($C$31:$C$36,H$31:H$36,基础状态预期!T181)*基础状态预期!J181)</f>
        <v>642</v>
      </c>
      <c r="S168" s="14"/>
      <c r="T168" s="14">
        <f>IF(基础状态预期!P181="",0,求节点($C$40:$C$45,D$40:D$45,基础状态预期!P181))</f>
        <v>0</v>
      </c>
      <c r="U168" s="14">
        <f>IF(基础状态预期!Q181="",0,求节点($C$40:$C$45,E$40:E$45,基础状态预期!Q181))</f>
        <v>0</v>
      </c>
      <c r="V168" s="14">
        <f>IF(基础状态预期!R181="",0,求节点($C$40:$C$45,F$40:F$45,基础状态预期!R181))</f>
        <v>0</v>
      </c>
      <c r="W168" s="14">
        <f>IF(基础状态预期!S181="",0,求节点($C$40:$C$45,G$40:G$45,基础状态预期!S181))</f>
        <v>0</v>
      </c>
      <c r="X168" s="14">
        <f>IF(基础状态预期!T181="",0,求节点($C$40:$C$45,H$40:H$45,基础状态预期!T181))</f>
        <v>1088100000</v>
      </c>
      <c r="Y168" s="14">
        <f>MAX(SUMPRODUCT(T168:X168,基础状态预期!F181:J181),Y167)</f>
        <v>6528600000</v>
      </c>
      <c r="AP168" s="29">
        <f t="shared" si="38"/>
        <v>129.12105302323599</v>
      </c>
      <c r="AQ168" s="14"/>
      <c r="AR168" s="14">
        <f t="shared" si="39"/>
        <v>6528600000</v>
      </c>
      <c r="AS168" s="14">
        <f>(AR168-AR167)*INDEX('[1]功能-付费相关'!$AT$6:$AT$165,$AP168,1)+AS167</f>
        <v>5409902.3791725552</v>
      </c>
    </row>
    <row r="169" spans="13:45" x14ac:dyDescent="0.15">
      <c r="M169" s="16">
        <v>34</v>
      </c>
      <c r="N169" s="14">
        <f>基础状态预期!D182</f>
        <v>132.61179169042359</v>
      </c>
      <c r="O169" s="14">
        <f>IF(基础状态预期!Q182="",0,求节点($C$31:$C$36,E$31:E$36,基础状态预期!Q182)*基础状态预期!G182)</f>
        <v>0</v>
      </c>
      <c r="P169" s="14">
        <f>IF(基础状态预期!R182="",0,求节点($C$31:$C$36,F$31:F$36,基础状态预期!R182)*基础状态预期!H182)</f>
        <v>0</v>
      </c>
      <c r="Q169" s="14">
        <f>IF(基础状态预期!S182="",0,求节点($C$31:$C$36,G$31:G$36,基础状态预期!S182)*基础状态预期!I182)</f>
        <v>0</v>
      </c>
      <c r="R169" s="14">
        <f>IF(基础状态预期!T182="",0,求节点($C$31:$C$36,H$31:H$36,基础状态预期!T182)*基础状态预期!J182)</f>
        <v>642</v>
      </c>
      <c r="S169" s="14"/>
      <c r="T169" s="14">
        <f>IF(基础状态预期!P182="",0,求节点($C$40:$C$45,D$40:D$45,基础状态预期!P182))</f>
        <v>0</v>
      </c>
      <c r="U169" s="14">
        <f>IF(基础状态预期!Q182="",0,求节点($C$40:$C$45,E$40:E$45,基础状态预期!Q182))</f>
        <v>0</v>
      </c>
      <c r="V169" s="14">
        <f>IF(基础状态预期!R182="",0,求节点($C$40:$C$45,F$40:F$45,基础状态预期!R182))</f>
        <v>0</v>
      </c>
      <c r="W169" s="14">
        <f>IF(基础状态预期!S182="",0,求节点($C$40:$C$45,G$40:G$45,基础状态预期!S182))</f>
        <v>0</v>
      </c>
      <c r="X169" s="14">
        <f>IF(基础状态预期!T182="",0,求节点($C$40:$C$45,H$40:H$45,基础状态预期!T182))</f>
        <v>1088100000</v>
      </c>
      <c r="Y169" s="14">
        <f>MAX(SUMPRODUCT(T169:X169,基础状态预期!F182:J182),Y168)</f>
        <v>6528600000</v>
      </c>
      <c r="AP169" s="29">
        <f t="shared" si="38"/>
        <v>132.61179169042359</v>
      </c>
      <c r="AQ169" s="14"/>
      <c r="AR169" s="14">
        <f t="shared" si="39"/>
        <v>6528600000</v>
      </c>
      <c r="AS169" s="14">
        <f>(AR169-AR168)*INDEX('[1]功能-付费相关'!$AT$6:$AT$165,$AP169,1)+AS168</f>
        <v>5409902.3791725552</v>
      </c>
    </row>
    <row r="170" spans="13:45" x14ac:dyDescent="0.15">
      <c r="M170" s="16">
        <v>35</v>
      </c>
      <c r="N170" s="14">
        <f>基础状态预期!D183</f>
        <v>136.12035534953262</v>
      </c>
      <c r="O170" s="14">
        <f>IF(基础状态预期!Q183="",0,求节点($C$31:$C$36,E$31:E$36,基础状态预期!Q183)*基础状态预期!G183)</f>
        <v>0</v>
      </c>
      <c r="P170" s="14">
        <f>IF(基础状态预期!R183="",0,求节点($C$31:$C$36,F$31:F$36,基础状态预期!R183)*基础状态预期!H183)</f>
        <v>0</v>
      </c>
      <c r="Q170" s="14">
        <f>IF(基础状态预期!S183="",0,求节点($C$31:$C$36,G$31:G$36,基础状态预期!S183)*基础状态预期!I183)</f>
        <v>0</v>
      </c>
      <c r="R170" s="14">
        <f>IF(基础状态预期!T183="",0,求节点($C$31:$C$36,H$31:H$36,基础状态预期!T183)*基础状态预期!J183)</f>
        <v>642</v>
      </c>
      <c r="S170" s="14"/>
      <c r="T170" s="14">
        <f>IF(基础状态预期!P183="",0,求节点($C$40:$C$45,D$40:D$45,基础状态预期!P183))</f>
        <v>0</v>
      </c>
      <c r="U170" s="14">
        <f>IF(基础状态预期!Q183="",0,求节点($C$40:$C$45,E$40:E$45,基础状态预期!Q183))</f>
        <v>0</v>
      </c>
      <c r="V170" s="14">
        <f>IF(基础状态预期!R183="",0,求节点($C$40:$C$45,F$40:F$45,基础状态预期!R183))</f>
        <v>0</v>
      </c>
      <c r="W170" s="14">
        <f>IF(基础状态预期!S183="",0,求节点($C$40:$C$45,G$40:G$45,基础状态预期!S183))</f>
        <v>0</v>
      </c>
      <c r="X170" s="14">
        <f>IF(基础状态预期!T183="",0,求节点($C$40:$C$45,H$40:H$45,基础状态预期!T183))</f>
        <v>1088100000</v>
      </c>
      <c r="Y170" s="14">
        <f>MAX(SUMPRODUCT(T170:X170,基础状态预期!F183:J183),Y169)</f>
        <v>6528600000</v>
      </c>
      <c r="AP170" s="29">
        <f t="shared" si="38"/>
        <v>136.12035534953262</v>
      </c>
      <c r="AQ170" s="14"/>
      <c r="AR170" s="14">
        <f t="shared" si="39"/>
        <v>6528600000</v>
      </c>
      <c r="AS170" s="14">
        <f>(AR170-AR169)*INDEX('[1]功能-付费相关'!$AT$6:$AT$165,$AP170,1)+AS169</f>
        <v>5409902.3791725552</v>
      </c>
    </row>
    <row r="171" spans="13:45" x14ac:dyDescent="0.15">
      <c r="M171" s="16">
        <v>36</v>
      </c>
      <c r="N171" s="14">
        <f>基础状态预期!D184</f>
        <v>139.6793621861803</v>
      </c>
      <c r="O171" s="14">
        <f>IF(基础状态预期!Q184="",0,求节点($C$31:$C$36,E$31:E$36,基础状态预期!Q184)*基础状态预期!G184)</f>
        <v>0</v>
      </c>
      <c r="P171" s="14">
        <f>IF(基础状态预期!R184="",0,求节点($C$31:$C$36,F$31:F$36,基础状态预期!R184)*基础状态预期!H184)</f>
        <v>0</v>
      </c>
      <c r="Q171" s="14">
        <f>IF(基础状态预期!S184="",0,求节点($C$31:$C$36,G$31:G$36,基础状态预期!S184)*基础状态预期!I184)</f>
        <v>0</v>
      </c>
      <c r="R171" s="14">
        <f>IF(基础状态预期!T184="",0,求节点($C$31:$C$36,H$31:H$36,基础状态预期!T184)*基础状态预期!J184)</f>
        <v>642</v>
      </c>
      <c r="S171" s="14"/>
      <c r="T171" s="14">
        <f>IF(基础状态预期!P184="",0,求节点($C$40:$C$45,D$40:D$45,基础状态预期!P184))</f>
        <v>0</v>
      </c>
      <c r="U171" s="14">
        <f>IF(基础状态预期!Q184="",0,求节点($C$40:$C$45,E$40:E$45,基础状态预期!Q184))</f>
        <v>0</v>
      </c>
      <c r="V171" s="14">
        <f>IF(基础状态预期!R184="",0,求节点($C$40:$C$45,F$40:F$45,基础状态预期!R184))</f>
        <v>0</v>
      </c>
      <c r="W171" s="14">
        <f>IF(基础状态预期!S184="",0,求节点($C$40:$C$45,G$40:G$45,基础状态预期!S184))</f>
        <v>0</v>
      </c>
      <c r="X171" s="14">
        <f>IF(基础状态预期!T184="",0,求节点($C$40:$C$45,H$40:H$45,基础状态预期!T184))</f>
        <v>1088100000</v>
      </c>
      <c r="Y171" s="14">
        <f>MAX(SUMPRODUCT(T171:X171,基础状态预期!F184:J184),Y170)</f>
        <v>6528600000</v>
      </c>
      <c r="AP171" s="29">
        <f t="shared" si="38"/>
        <v>139.6793621861803</v>
      </c>
      <c r="AQ171" s="14"/>
      <c r="AR171" s="14">
        <f t="shared" si="39"/>
        <v>6528600000</v>
      </c>
      <c r="AS171" s="14">
        <f>(AR171-AR170)*INDEX('[1]功能-付费相关'!$AT$6:$AT$165,$AP171,1)+AS170</f>
        <v>5409902.3791725552</v>
      </c>
    </row>
    <row r="172" spans="13:45" x14ac:dyDescent="0.15">
      <c r="M172" s="16">
        <v>37</v>
      </c>
      <c r="N172" s="14">
        <f>基础状态预期!D185</f>
        <v>143.14123736077869</v>
      </c>
      <c r="O172" s="14">
        <f>IF(基础状态预期!Q185="",0,求节点($C$31:$C$36,E$31:E$36,基础状态预期!Q185)*基础状态预期!G185)</f>
        <v>0</v>
      </c>
      <c r="P172" s="14">
        <f>IF(基础状态预期!R185="",0,求节点($C$31:$C$36,F$31:F$36,基础状态预期!R185)*基础状态预期!H185)</f>
        <v>0</v>
      </c>
      <c r="Q172" s="14">
        <f>IF(基础状态预期!S185="",0,求节点($C$31:$C$36,G$31:G$36,基础状态预期!S185)*基础状态预期!I185)</f>
        <v>0</v>
      </c>
      <c r="R172" s="14">
        <f>IF(基础状态预期!T185="",0,求节点($C$31:$C$36,H$31:H$36,基础状态预期!T185)*基础状态预期!J185)</f>
        <v>642</v>
      </c>
      <c r="S172" s="14"/>
      <c r="T172" s="14">
        <f>IF(基础状态预期!P185="",0,求节点($C$40:$C$45,D$40:D$45,基础状态预期!P185))</f>
        <v>0</v>
      </c>
      <c r="U172" s="14">
        <f>IF(基础状态预期!Q185="",0,求节点($C$40:$C$45,E$40:E$45,基础状态预期!Q185))</f>
        <v>0</v>
      </c>
      <c r="V172" s="14">
        <f>IF(基础状态预期!R185="",0,求节点($C$40:$C$45,F$40:F$45,基础状态预期!R185))</f>
        <v>0</v>
      </c>
      <c r="W172" s="14">
        <f>IF(基础状态预期!S185="",0,求节点($C$40:$C$45,G$40:G$45,基础状态预期!S185))</f>
        <v>0</v>
      </c>
      <c r="X172" s="14">
        <f>IF(基础状态预期!T185="",0,求节点($C$40:$C$45,H$40:H$45,基础状态预期!T185))</f>
        <v>1088100000</v>
      </c>
      <c r="Y172" s="14">
        <f>MAX(SUMPRODUCT(T172:X172,基础状态预期!F185:J185),Y171)</f>
        <v>6528600000</v>
      </c>
      <c r="AP172" s="29">
        <f t="shared" si="38"/>
        <v>143.14123736077869</v>
      </c>
      <c r="AQ172" s="14"/>
      <c r="AR172" s="14">
        <f t="shared" si="39"/>
        <v>6528600000</v>
      </c>
      <c r="AS172" s="14">
        <f>(AR172-AR171)*INDEX('[1]功能-付费相关'!$AT$6:$AT$165,$AP172,1)+AS171</f>
        <v>5409902.3791725552</v>
      </c>
    </row>
    <row r="173" spans="13:45" x14ac:dyDescent="0.15">
      <c r="M173" s="16">
        <v>38</v>
      </c>
      <c r="N173" s="14">
        <f>基础状态预期!D186</f>
        <v>146.75578521325724</v>
      </c>
      <c r="O173" s="14">
        <f>IF(基础状态预期!Q186="",0,求节点($C$31:$C$36,E$31:E$36,基础状态预期!Q186)*基础状态预期!G186)</f>
        <v>0</v>
      </c>
      <c r="P173" s="14">
        <f>IF(基础状态预期!R186="",0,求节点($C$31:$C$36,F$31:F$36,基础状态预期!R186)*基础状态预期!H186)</f>
        <v>0</v>
      </c>
      <c r="Q173" s="14">
        <f>IF(基础状态预期!S186="",0,求节点($C$31:$C$36,G$31:G$36,基础状态预期!S186)*基础状态预期!I186)</f>
        <v>0</v>
      </c>
      <c r="R173" s="14">
        <f>IF(基础状态预期!T186="",0,求节点($C$31:$C$36,H$31:H$36,基础状态预期!T186)*基础状态预期!J186)</f>
        <v>642</v>
      </c>
      <c r="S173" s="14"/>
      <c r="T173" s="14">
        <f>IF(基础状态预期!P186="",0,求节点($C$40:$C$45,D$40:D$45,基础状态预期!P186))</f>
        <v>0</v>
      </c>
      <c r="U173" s="14">
        <f>IF(基础状态预期!Q186="",0,求节点($C$40:$C$45,E$40:E$45,基础状态预期!Q186))</f>
        <v>0</v>
      </c>
      <c r="V173" s="14">
        <f>IF(基础状态预期!R186="",0,求节点($C$40:$C$45,F$40:F$45,基础状态预期!R186))</f>
        <v>0</v>
      </c>
      <c r="W173" s="14">
        <f>IF(基础状态预期!S186="",0,求节点($C$40:$C$45,G$40:G$45,基础状态预期!S186))</f>
        <v>0</v>
      </c>
      <c r="X173" s="14">
        <f>IF(基础状态预期!T186="",0,求节点($C$40:$C$45,H$40:H$45,基础状态预期!T186))</f>
        <v>1088100000</v>
      </c>
      <c r="Y173" s="14">
        <f>MAX(SUMPRODUCT(T173:X173,基础状态预期!F186:J186),Y172)</f>
        <v>6528600000</v>
      </c>
      <c r="AP173" s="29">
        <f t="shared" si="38"/>
        <v>146.75578521325724</v>
      </c>
      <c r="AQ173" s="14"/>
      <c r="AR173" s="14">
        <f t="shared" si="39"/>
        <v>6528600000</v>
      </c>
      <c r="AS173" s="14">
        <f>(AR173-AR172)*INDEX('[1]功能-付费相关'!$AT$6:$AT$165,$AP173,1)+AS172</f>
        <v>5409902.3791725552</v>
      </c>
    </row>
    <row r="174" spans="13:45" x14ac:dyDescent="0.15">
      <c r="M174" s="16">
        <v>39</v>
      </c>
      <c r="N174" s="14">
        <f>基础状态预期!D187</f>
        <v>150.21349802228445</v>
      </c>
      <c r="O174" s="14">
        <f>IF(基础状态预期!Q187="",0,求节点($C$31:$C$36,E$31:E$36,基础状态预期!Q187)*基础状态预期!G187)</f>
        <v>0</v>
      </c>
      <c r="P174" s="14">
        <f>IF(基础状态预期!R187="",0,求节点($C$31:$C$36,F$31:F$36,基础状态预期!R187)*基础状态预期!H187)</f>
        <v>0</v>
      </c>
      <c r="Q174" s="14">
        <f>IF(基础状态预期!S187="",0,求节点($C$31:$C$36,G$31:G$36,基础状态预期!S187)*基础状态预期!I187)</f>
        <v>0</v>
      </c>
      <c r="R174" s="14">
        <f>IF(基础状态预期!T187="",0,求节点($C$31:$C$36,H$31:H$36,基础状态预期!T187)*基础状态预期!J187)</f>
        <v>642</v>
      </c>
      <c r="S174" s="14"/>
      <c r="T174" s="14">
        <f>IF(基础状态预期!P187="",0,求节点($C$40:$C$45,D$40:D$45,基础状态预期!P187))</f>
        <v>0</v>
      </c>
      <c r="U174" s="14">
        <f>IF(基础状态预期!Q187="",0,求节点($C$40:$C$45,E$40:E$45,基础状态预期!Q187))</f>
        <v>0</v>
      </c>
      <c r="V174" s="14">
        <f>IF(基础状态预期!R187="",0,求节点($C$40:$C$45,F$40:F$45,基础状态预期!R187))</f>
        <v>0</v>
      </c>
      <c r="W174" s="14">
        <f>IF(基础状态预期!S187="",0,求节点($C$40:$C$45,G$40:G$45,基础状态预期!S187))</f>
        <v>0</v>
      </c>
      <c r="X174" s="14">
        <f>IF(基础状态预期!T187="",0,求节点($C$40:$C$45,H$40:H$45,基础状态预期!T187))</f>
        <v>1088100000</v>
      </c>
      <c r="Y174" s="14">
        <f>MAX(SUMPRODUCT(T174:X174,基础状态预期!F187:J187),Y173)</f>
        <v>6528600000</v>
      </c>
      <c r="AP174" s="29">
        <f t="shared" si="38"/>
        <v>150.21349802228445</v>
      </c>
      <c r="AQ174" s="14"/>
      <c r="AR174" s="14">
        <f t="shared" si="39"/>
        <v>6528600000</v>
      </c>
      <c r="AS174" s="14">
        <f>(AR174-AR173)*INDEX('[1]功能-付费相关'!$AT$6:$AT$165,$AP174,1)+AS173</f>
        <v>5409902.3791725552</v>
      </c>
    </row>
    <row r="175" spans="13:45" x14ac:dyDescent="0.15">
      <c r="M175" s="16">
        <v>40</v>
      </c>
      <c r="N175" s="14">
        <f>基础状态预期!D188</f>
        <v>152.32856849044819</v>
      </c>
      <c r="O175" s="14">
        <f>IF(基础状态预期!Q188="",0,求节点($C$31:$C$36,E$31:E$36,基础状态预期!Q188)*基础状态预期!G188)</f>
        <v>0</v>
      </c>
      <c r="P175" s="14">
        <f>IF(基础状态预期!R188="",0,求节点($C$31:$C$36,F$31:F$36,基础状态预期!R188)*基础状态预期!H188)</f>
        <v>0</v>
      </c>
      <c r="Q175" s="14">
        <f>IF(基础状态预期!S188="",0,求节点($C$31:$C$36,G$31:G$36,基础状态预期!S188)*基础状态预期!I188)</f>
        <v>0</v>
      </c>
      <c r="R175" s="14">
        <f>IF(基础状态预期!T188="",0,求节点($C$31:$C$36,H$31:H$36,基础状态预期!T188)*基础状态预期!J188)</f>
        <v>642</v>
      </c>
      <c r="S175" s="14"/>
      <c r="T175" s="14">
        <f>IF(基础状态预期!P188="",0,求节点($C$40:$C$45,D$40:D$45,基础状态预期!P188))</f>
        <v>0</v>
      </c>
      <c r="U175" s="14">
        <f>IF(基础状态预期!Q188="",0,求节点($C$40:$C$45,E$40:E$45,基础状态预期!Q188))</f>
        <v>0</v>
      </c>
      <c r="V175" s="14">
        <f>IF(基础状态预期!R188="",0,求节点($C$40:$C$45,F$40:F$45,基础状态预期!R188))</f>
        <v>0</v>
      </c>
      <c r="W175" s="14">
        <f>IF(基础状态预期!S188="",0,求节点($C$40:$C$45,G$40:G$45,基础状态预期!S188))</f>
        <v>0</v>
      </c>
      <c r="X175" s="14">
        <f>IF(基础状态预期!T188="",0,求节点($C$40:$C$45,H$40:H$45,基础状态预期!T188))</f>
        <v>1088100000</v>
      </c>
      <c r="Y175" s="14">
        <f>MAX(SUMPRODUCT(T175:X175,基础状态预期!F188:J188),Y174)</f>
        <v>6528600000</v>
      </c>
      <c r="AP175" s="29">
        <f t="shared" si="38"/>
        <v>152.32856849044819</v>
      </c>
      <c r="AQ175" s="14"/>
      <c r="AR175" s="14">
        <f t="shared" si="39"/>
        <v>6528600000</v>
      </c>
      <c r="AS175" s="14">
        <f>(AR175-AR174)*INDEX('[1]功能-付费相关'!$AT$6:$AT$165,$AP175,1)+AS174</f>
        <v>5409902.3791725552</v>
      </c>
    </row>
    <row r="176" spans="13:45" x14ac:dyDescent="0.15">
      <c r="M176" s="16">
        <v>41</v>
      </c>
      <c r="N176" s="14">
        <f>基础状态预期!D189</f>
        <v>153.15627769682186</v>
      </c>
      <c r="O176" s="14">
        <f>IF(基础状态预期!Q189="",0,求节点($C$31:$C$36,E$31:E$36,基础状态预期!Q189)*基础状态预期!G189)</f>
        <v>0</v>
      </c>
      <c r="P176" s="14">
        <f>IF(基础状态预期!R189="",0,求节点($C$31:$C$36,F$31:F$36,基础状态预期!R189)*基础状态预期!H189)</f>
        <v>0</v>
      </c>
      <c r="Q176" s="14">
        <f>IF(基础状态预期!S189="",0,求节点($C$31:$C$36,G$31:G$36,基础状态预期!S189)*基础状态预期!I189)</f>
        <v>0</v>
      </c>
      <c r="R176" s="14">
        <f>IF(基础状态预期!T189="",0,求节点($C$31:$C$36,H$31:H$36,基础状态预期!T189)*基础状态预期!J189)</f>
        <v>642</v>
      </c>
      <c r="S176" s="14"/>
      <c r="T176" s="14">
        <f>IF(基础状态预期!P189="",0,求节点($C$40:$C$45,D$40:D$45,基础状态预期!P189))</f>
        <v>0</v>
      </c>
      <c r="U176" s="14">
        <f>IF(基础状态预期!Q189="",0,求节点($C$40:$C$45,E$40:E$45,基础状态预期!Q189))</f>
        <v>0</v>
      </c>
      <c r="V176" s="14">
        <f>IF(基础状态预期!R189="",0,求节点($C$40:$C$45,F$40:F$45,基础状态预期!R189))</f>
        <v>0</v>
      </c>
      <c r="W176" s="14">
        <f>IF(基础状态预期!S189="",0,求节点($C$40:$C$45,G$40:G$45,基础状态预期!S189))</f>
        <v>0</v>
      </c>
      <c r="X176" s="14">
        <f>IF(基础状态预期!T189="",0,求节点($C$40:$C$45,H$40:H$45,基础状态预期!T189))</f>
        <v>1088100000</v>
      </c>
      <c r="Y176" s="14">
        <f>MAX(SUMPRODUCT(T176:X176,基础状态预期!F189:J189),Y175)</f>
        <v>6528600000</v>
      </c>
      <c r="AP176" s="29">
        <f t="shared" si="38"/>
        <v>153.15627769682186</v>
      </c>
      <c r="AQ176" s="14"/>
      <c r="AR176" s="14">
        <f t="shared" si="39"/>
        <v>6528600000</v>
      </c>
      <c r="AS176" s="14">
        <f>(AR176-AR175)*INDEX('[1]功能-付费相关'!$AT$6:$AT$165,$AP176,1)+AS175</f>
        <v>5409902.3791725552</v>
      </c>
    </row>
    <row r="177" spans="13:49" x14ac:dyDescent="0.15">
      <c r="M177" s="16">
        <v>42</v>
      </c>
      <c r="N177" s="14">
        <f>基础状态预期!D190</f>
        <v>153.85863088955028</v>
      </c>
      <c r="O177" s="14">
        <f>IF(基础状态预期!Q190="",0,求节点($C$31:$C$36,E$31:E$36,基础状态预期!Q190)*基础状态预期!G190)</f>
        <v>0</v>
      </c>
      <c r="P177" s="14">
        <f>IF(基础状态预期!R190="",0,求节点($C$31:$C$36,F$31:F$36,基础状态预期!R190)*基础状态预期!H190)</f>
        <v>0</v>
      </c>
      <c r="Q177" s="14">
        <f>IF(基础状态预期!S190="",0,求节点($C$31:$C$36,G$31:G$36,基础状态预期!S190)*基础状态预期!I190)</f>
        <v>0</v>
      </c>
      <c r="R177" s="14">
        <f>IF(基础状态预期!T190="",0,求节点($C$31:$C$36,H$31:H$36,基础状态预期!T190)*基础状态预期!J190)</f>
        <v>642</v>
      </c>
      <c r="S177" s="14"/>
      <c r="T177" s="14">
        <f>IF(基础状态预期!P190="",0,求节点($C$40:$C$45,D$40:D$45,基础状态预期!P190))</f>
        <v>0</v>
      </c>
      <c r="U177" s="14">
        <f>IF(基础状态预期!Q190="",0,求节点($C$40:$C$45,E$40:E$45,基础状态预期!Q190))</f>
        <v>0</v>
      </c>
      <c r="V177" s="14">
        <f>IF(基础状态预期!R190="",0,求节点($C$40:$C$45,F$40:F$45,基础状态预期!R190))</f>
        <v>0</v>
      </c>
      <c r="W177" s="14">
        <f>IF(基础状态预期!S190="",0,求节点($C$40:$C$45,G$40:G$45,基础状态预期!S190))</f>
        <v>0</v>
      </c>
      <c r="X177" s="14">
        <f>IF(基础状态预期!T190="",0,求节点($C$40:$C$45,H$40:H$45,基础状态预期!T190))</f>
        <v>1088100000</v>
      </c>
      <c r="Y177" s="14">
        <f>MAX(SUMPRODUCT(T177:X177,基础状态预期!F190:J190),Y176)</f>
        <v>6528600000</v>
      </c>
      <c r="AP177" s="29">
        <f t="shared" si="38"/>
        <v>153.85863088955028</v>
      </c>
      <c r="AQ177" s="14"/>
      <c r="AR177" s="14">
        <f t="shared" si="39"/>
        <v>6528600000</v>
      </c>
      <c r="AS177" s="14">
        <f>(AR177-AR176)*INDEX('[1]功能-付费相关'!$AT$6:$AT$165,$AP177,1)+AS176</f>
        <v>5409902.3791725552</v>
      </c>
    </row>
    <row r="178" spans="13:49" x14ac:dyDescent="0.15">
      <c r="M178" s="16">
        <v>43</v>
      </c>
    </row>
    <row r="179" spans="13:49" x14ac:dyDescent="0.15">
      <c r="M179" s="16">
        <v>44</v>
      </c>
    </row>
    <row r="180" spans="13:49" x14ac:dyDescent="0.15">
      <c r="M180" s="16">
        <v>45</v>
      </c>
    </row>
    <row r="181" spans="13:49" x14ac:dyDescent="0.15">
      <c r="M181" s="16">
        <v>1</v>
      </c>
    </row>
    <row r="182" spans="13:49" x14ac:dyDescent="0.15">
      <c r="M182" s="16">
        <v>2</v>
      </c>
      <c r="N182" s="14" t="s">
        <v>186</v>
      </c>
      <c r="O182" s="165" t="s">
        <v>198</v>
      </c>
      <c r="P182" s="172"/>
      <c r="Q182" s="172"/>
      <c r="R182" s="172"/>
      <c r="S182" s="166"/>
      <c r="T182" s="164" t="s">
        <v>412</v>
      </c>
      <c r="U182" s="164"/>
      <c r="V182" s="164"/>
      <c r="W182" s="164"/>
      <c r="X182" s="164"/>
      <c r="Y182" s="164"/>
      <c r="AC182" s="29" t="s">
        <v>107</v>
      </c>
      <c r="AD182" s="165" t="s">
        <v>292</v>
      </c>
      <c r="AE182" s="172"/>
      <c r="AF182" s="172"/>
      <c r="AG182" s="166"/>
      <c r="AH182" s="160" t="s">
        <v>290</v>
      </c>
      <c r="AI182" s="160"/>
      <c r="AJ182" s="160"/>
      <c r="AK182" s="160"/>
      <c r="AL182" s="160"/>
      <c r="AP182" s="14" t="s">
        <v>107</v>
      </c>
      <c r="AQ182" s="164" t="s">
        <v>307</v>
      </c>
      <c r="AR182" s="164"/>
      <c r="AS182" s="164"/>
      <c r="AU182" s="29" t="s">
        <v>107</v>
      </c>
      <c r="AV182" s="164" t="s">
        <v>308</v>
      </c>
      <c r="AW182" s="164"/>
    </row>
    <row r="183" spans="13:49" x14ac:dyDescent="0.15">
      <c r="M183" s="16">
        <v>3</v>
      </c>
      <c r="N183" s="14" t="s">
        <v>478</v>
      </c>
      <c r="O183" s="19" t="s">
        <v>3</v>
      </c>
      <c r="P183" s="19" t="s">
        <v>1</v>
      </c>
      <c r="Q183" s="19" t="s">
        <v>2</v>
      </c>
      <c r="R183" s="19" t="s">
        <v>0</v>
      </c>
      <c r="S183" s="19" t="s">
        <v>545</v>
      </c>
      <c r="T183" s="29" t="s">
        <v>207</v>
      </c>
      <c r="U183" s="29" t="s">
        <v>208</v>
      </c>
      <c r="V183" s="29" t="s">
        <v>209</v>
      </c>
      <c r="W183" s="29" t="s">
        <v>210</v>
      </c>
      <c r="X183" s="29" t="s">
        <v>545</v>
      </c>
      <c r="Y183" s="14" t="s">
        <v>211</v>
      </c>
      <c r="AC183" s="29" t="s">
        <v>478</v>
      </c>
      <c r="AD183" s="29" t="s">
        <v>287</v>
      </c>
      <c r="AE183" s="29" t="s">
        <v>288</v>
      </c>
      <c r="AF183" s="29" t="s">
        <v>289</v>
      </c>
      <c r="AG183" s="29" t="s">
        <v>294</v>
      </c>
      <c r="AH183" s="29" t="s">
        <v>287</v>
      </c>
      <c r="AI183" s="29" t="s">
        <v>288</v>
      </c>
      <c r="AJ183" s="29" t="s">
        <v>289</v>
      </c>
      <c r="AK183" s="29" t="s">
        <v>294</v>
      </c>
      <c r="AL183" s="14" t="s">
        <v>293</v>
      </c>
      <c r="AP183" s="29" t="s">
        <v>478</v>
      </c>
      <c r="AQ183" s="29" t="s">
        <v>309</v>
      </c>
      <c r="AR183" s="29" t="s">
        <v>338</v>
      </c>
      <c r="AS183" s="29" t="s">
        <v>339</v>
      </c>
      <c r="AU183" s="29" t="s">
        <v>478</v>
      </c>
      <c r="AV183" s="29" t="s">
        <v>309</v>
      </c>
      <c r="AW183" s="29" t="s">
        <v>305</v>
      </c>
    </row>
    <row r="184" spans="13:49" x14ac:dyDescent="0.15">
      <c r="M184" s="16">
        <v>4</v>
      </c>
      <c r="N184" s="14">
        <f>基础状态预期!D197</f>
        <v>10.040470049930473</v>
      </c>
      <c r="O184" s="14">
        <f>IF(基础状态预期!Q197="",0,求节点($C$31:$C$36,E$31:E$36,基础状态预期!Q197)*基础状态预期!G197)</f>
        <v>0</v>
      </c>
      <c r="P184" s="14">
        <f>IF(基础状态预期!R197="",0,求节点($C$31:$C$36,F$31:F$36,基础状态预期!R197)*基础状态预期!H197)</f>
        <v>0</v>
      </c>
      <c r="Q184" s="14">
        <f>IF(基础状态预期!S197="",0,求节点($C$31:$C$36,G$31:G$36,基础状态预期!S197)*基础状态预期!I197)</f>
        <v>7.22913843594994</v>
      </c>
      <c r="R184" s="14">
        <f>IF(基础状态预期!T197="",0,求节点($C$31:$C$36,H$31:H$36,基础状态预期!T197)*基础状态预期!J197)</f>
        <v>0</v>
      </c>
      <c r="S184" s="14"/>
      <c r="T184" s="14">
        <f>IF(基础状态预期!P197="",0,求节点($C$40:$C$45,D$40:D$45,基础状态预期!P197))</f>
        <v>0</v>
      </c>
      <c r="U184" s="14">
        <f>IF(基础状态预期!Q197="",0,求节点($C$40:$C$45,E$40:E$45,基础状态预期!Q197))</f>
        <v>0</v>
      </c>
      <c r="V184" s="14">
        <f>IF(基础状态预期!R197="",0,求节点($C$40:$C$45,F$40:F$45,基础状态预期!R197))</f>
        <v>0</v>
      </c>
      <c r="W184" s="14">
        <f>IF(基础状态预期!S197="",0,求节点($C$40:$C$45,G$40:G$45,基础状态预期!S197))</f>
        <v>24097.128119833134</v>
      </c>
      <c r="X184" s="14">
        <f>IF(基础状态预期!T197="",0,求节点($C$40:$C$45,H$40:H$45,基础状态预期!T197))</f>
        <v>0</v>
      </c>
      <c r="Y184" s="14">
        <f>MAX(SUMPRODUCT(T184:X184,基础状态预期!F197:J197),Y183)</f>
        <v>144582.76871899882</v>
      </c>
      <c r="AC184" s="29">
        <v>10</v>
      </c>
      <c r="AD184" s="29">
        <v>0</v>
      </c>
      <c r="AE184" s="29">
        <v>0</v>
      </c>
      <c r="AF184" s="29">
        <v>0</v>
      </c>
      <c r="AG184" s="29">
        <v>0</v>
      </c>
      <c r="AH184" s="29">
        <f>AD184*(INDEX([2]非r将兵属性验证!$S$7:$S$166,$AC184,1)+INDEX([2]非r将兵属性验证!$AG$7:$AG$166,$AC184,1))</f>
        <v>0</v>
      </c>
      <c r="AI184" s="29">
        <f>AE184*INDEX([2]非r将兵属性验证!T$7:T$166,$AC184,1)</f>
        <v>0</v>
      </c>
      <c r="AJ184" s="29">
        <f>AF184*INDEX([2]非r将兵属性验证!U$7:U$166,$AC184,1)</f>
        <v>0</v>
      </c>
      <c r="AK184" s="29">
        <f>AG184*INDEX([2]非r将兵属性验证!$AM$7:$AM$166,$AC184,1)</f>
        <v>0</v>
      </c>
      <c r="AL184" s="14">
        <f>SUM(AH184:AK184)</f>
        <v>0</v>
      </c>
      <c r="AP184" s="29">
        <f>$N184</f>
        <v>10.040470049930473</v>
      </c>
      <c r="AQ184" s="14"/>
      <c r="AR184" s="14">
        <f>$Y184</f>
        <v>144582.76871899882</v>
      </c>
      <c r="AS184" s="45">
        <f>AR184*INDEX('[1]功能-付费相关'!$AU$6:$AU$165,$AP184,1)</f>
        <v>361.45692179749705</v>
      </c>
      <c r="AU184" s="29">
        <v>10</v>
      </c>
      <c r="AV184" s="29">
        <f t="shared" ref="AV184:AV193" si="44">求节点($AP$184:$AP$222,AQ$184:AQ$222,$AU184)</f>
        <v>0</v>
      </c>
      <c r="AW184" s="29">
        <f t="shared" ref="AW184:AW193" si="45">求节点($AP$184:$AP$222,AS$184:AS$222,$AU184)</f>
        <v>360</v>
      </c>
    </row>
    <row r="185" spans="13:49" x14ac:dyDescent="0.15">
      <c r="M185" s="16">
        <v>5</v>
      </c>
      <c r="N185" s="14">
        <f>基础状态预期!D198</f>
        <v>19.288856680060892</v>
      </c>
      <c r="O185" s="14">
        <f>IF(基础状态预期!Q198="",0,求节点($C$31:$C$36,E$31:E$36,基础状态预期!Q198)*基础状态预期!G198)</f>
        <v>0</v>
      </c>
      <c r="P185" s="14">
        <f>IF(基础状态预期!R198="",0,求节点($C$31:$C$36,F$31:F$36,基础状态预期!R198)*基础状态预期!H198)</f>
        <v>0</v>
      </c>
      <c r="Q185" s="14">
        <f>IF(基础状态预期!S198="",0,求节点($C$31:$C$36,G$31:G$36,基础状态预期!S198)*基础状态预期!I198)</f>
        <v>13.887976809643842</v>
      </c>
      <c r="R185" s="14">
        <f>IF(基础状态预期!T198="",0,求节点($C$31:$C$36,H$31:H$36,基础状态预期!T198)*基础状态预期!J198)</f>
        <v>0</v>
      </c>
      <c r="S185" s="14"/>
      <c r="T185" s="14">
        <f>IF(基础状态预期!P198="",0,求节点($C$40:$C$45,D$40:D$45,基础状态预期!P198))</f>
        <v>0</v>
      </c>
      <c r="U185" s="14">
        <f>IF(基础状态预期!Q198="",0,求节点($C$40:$C$45,E$40:E$45,基础状态预期!Q198))</f>
        <v>0</v>
      </c>
      <c r="V185" s="14">
        <f>IF(基础状态预期!R198="",0,求节点($C$40:$C$45,F$40:F$45,基础状态预期!R198))</f>
        <v>0</v>
      </c>
      <c r="W185" s="14">
        <f>IF(基础状态预期!S198="",0,求节点($C$40:$C$45,G$40:G$45,基础状态预期!S198))</f>
        <v>46293.256032146142</v>
      </c>
      <c r="X185" s="14">
        <f>IF(基础状态预期!T198="",0,求节点($C$40:$C$45,H$40:H$45,基础状态预期!T198))</f>
        <v>0</v>
      </c>
      <c r="Y185" s="14">
        <f>MAX(SUMPRODUCT(T185:X185,基础状态预期!F198:J198),Y184)</f>
        <v>277759.53619287687</v>
      </c>
      <c r="AC185" s="29">
        <v>20</v>
      </c>
      <c r="AD185" s="29">
        <v>0</v>
      </c>
      <c r="AE185" s="29">
        <v>0</v>
      </c>
      <c r="AF185" s="29">
        <v>0</v>
      </c>
      <c r="AG185" s="29">
        <v>0</v>
      </c>
      <c r="AH185" s="29">
        <f>AD185*(INDEX([2]非r将兵属性验证!$S$7:$S$166,$AC185,1)+INDEX([2]非r将兵属性验证!$AG$7:$AG$166,$AC185,1))</f>
        <v>0</v>
      </c>
      <c r="AI185" s="29">
        <f>AE185*INDEX([2]非r将兵属性验证!T$7:T$166,$AC185,1)</f>
        <v>0</v>
      </c>
      <c r="AJ185" s="29">
        <f>AF185*INDEX([2]非r将兵属性验证!U$7:U$166,$AC185,1)</f>
        <v>0</v>
      </c>
      <c r="AK185" s="29">
        <f>AG185*INDEX([2]非r将兵属性验证!$AM$7:$AM$166,$AC185,1)</f>
        <v>0</v>
      </c>
      <c r="AL185" s="14">
        <f t="shared" ref="AL185:AL193" si="46">SUM(AH185:AK185)</f>
        <v>0</v>
      </c>
      <c r="AP185" s="29">
        <f t="shared" ref="AP185:AP222" si="47">$N185</f>
        <v>19.288856680060892</v>
      </c>
      <c r="AQ185" s="14"/>
      <c r="AR185" s="14">
        <f t="shared" ref="AR185:AR222" si="48">$Y185</f>
        <v>277759.53619287687</v>
      </c>
      <c r="AS185" s="14">
        <f>(AR185-AR184)*INDEX('[1]功能-付费相关'!$AU$6:$AU$165,$AP185,1)+AS184</f>
        <v>643.61109017435729</v>
      </c>
      <c r="AU185" s="29">
        <v>20</v>
      </c>
      <c r="AV185" s="29">
        <f t="shared" si="44"/>
        <v>0</v>
      </c>
      <c r="AW185" s="29">
        <f t="shared" si="45"/>
        <v>678.36379623301229</v>
      </c>
    </row>
    <row r="186" spans="13:49" x14ac:dyDescent="0.15">
      <c r="M186" s="16">
        <v>6</v>
      </c>
      <c r="N186" s="14">
        <f>基础状态预期!D199</f>
        <v>27.144641112884834</v>
      </c>
      <c r="O186" s="14">
        <f>IF(基础状态预期!Q199="",0,求节点($C$31:$C$36,E$31:E$36,基础状态预期!Q199)*基础状态预期!G199)</f>
        <v>0</v>
      </c>
      <c r="P186" s="14">
        <f>IF(基础状态预期!R199="",0,求节点($C$31:$C$36,F$31:F$36,基础状态预期!R199)*基础状态预期!H199)</f>
        <v>0</v>
      </c>
      <c r="Q186" s="14">
        <f>IF(基础状态预期!S199="",0,求节点($C$31:$C$36,G$31:G$36,基础状态预期!S199)*基础状态预期!I199)</f>
        <v>21.088283202554159</v>
      </c>
      <c r="R186" s="14">
        <f>IF(基础状态预期!T199="",0,求节点($C$31:$C$36,H$31:H$36,基础状态预期!T199)*基础状态预期!J199)</f>
        <v>0</v>
      </c>
      <c r="S186" s="14"/>
      <c r="T186" s="14">
        <f>IF(基础状态预期!P199="",0,求节点($C$40:$C$45,D$40:D$45,基础状态预期!P199))</f>
        <v>0</v>
      </c>
      <c r="U186" s="14">
        <f>IF(基础状态预期!Q199="",0,求节点($C$40:$C$45,E$40:E$45,基础状态预期!Q199))</f>
        <v>0</v>
      </c>
      <c r="V186" s="14">
        <f>IF(基础状态预期!R199="",0,求节点($C$40:$C$45,F$40:F$45,基础状态预期!R199))</f>
        <v>0</v>
      </c>
      <c r="W186" s="14">
        <f>IF(基础状态预期!S199="",0,求节点($C$40:$C$45,G$40:G$45,基础状态预期!S199))</f>
        <v>80588.554683694383</v>
      </c>
      <c r="X186" s="14">
        <f>IF(基础状态预期!T199="",0,求节点($C$40:$C$45,H$40:H$45,基础状态预期!T199))</f>
        <v>0</v>
      </c>
      <c r="Y186" s="14">
        <f>MAX(SUMPRODUCT(T186:X186,基础状态预期!F199:J199),Y185)</f>
        <v>483531.3281021663</v>
      </c>
      <c r="AC186" s="29">
        <v>30</v>
      </c>
      <c r="AD186" s="29">
        <v>0</v>
      </c>
      <c r="AE186" s="29">
        <v>0</v>
      </c>
      <c r="AF186" s="29">
        <v>0</v>
      </c>
      <c r="AG186" s="29">
        <v>0</v>
      </c>
      <c r="AH186" s="29">
        <f>AD186*(INDEX([2]非r将兵属性验证!$S$7:$S$166,$AC186,1)+INDEX([2]非r将兵属性验证!$AG$7:$AG$166,$AC186,1))</f>
        <v>0</v>
      </c>
      <c r="AI186" s="29">
        <f>AE186*INDEX([2]非r将兵属性验证!T$7:T$166,$AC186,1)</f>
        <v>0</v>
      </c>
      <c r="AJ186" s="29">
        <f>AF186*INDEX([2]非r将兵属性验证!U$7:U$166,$AC186,1)</f>
        <v>0</v>
      </c>
      <c r="AK186" s="29">
        <f>AG186*INDEX([2]非r将兵属性验证!$AM$7:$AM$166,$AC186,1)</f>
        <v>0</v>
      </c>
      <c r="AL186" s="14">
        <f t="shared" si="46"/>
        <v>0</v>
      </c>
      <c r="AP186" s="29">
        <f t="shared" si="47"/>
        <v>27.144641112884834</v>
      </c>
      <c r="AQ186" s="14"/>
      <c r="AR186" s="14">
        <f t="shared" si="48"/>
        <v>483531.3281021663</v>
      </c>
      <c r="AS186" s="14">
        <f>(AR186-AR185)*INDEX('[1]功能-付费相关'!$AU$6:$AU$165,$AP186,1)+AS185</f>
        <v>1027.5136870200465</v>
      </c>
      <c r="AU186" s="29">
        <v>30</v>
      </c>
      <c r="AV186" s="29">
        <f t="shared" si="44"/>
        <v>0</v>
      </c>
      <c r="AW186" s="29">
        <f t="shared" si="45"/>
        <v>1309.1381252012686</v>
      </c>
    </row>
    <row r="187" spans="13:49" x14ac:dyDescent="0.15">
      <c r="M187" s="16">
        <v>7</v>
      </c>
      <c r="N187" s="14">
        <f>基础状态预期!D200</f>
        <v>33.399598377161809</v>
      </c>
      <c r="O187" s="14">
        <f>IF(基础状态预期!Q200="",0,求节点($C$31:$C$36,E$31:E$36,基础状态预期!Q200)*基础状态预期!G200)</f>
        <v>0</v>
      </c>
      <c r="P187" s="14">
        <f>IF(基础状态预期!R200="",0,求节点($C$31:$C$36,F$31:F$36,基础状态预期!R200)*基础状态预期!H200)</f>
        <v>0</v>
      </c>
      <c r="Q187" s="14">
        <f>IF(基础状态预期!S200="",0,求节点($C$31:$C$36,G$31:G$36,基础状态预期!S200)*基础状态预期!I200)</f>
        <v>30.095421663113008</v>
      </c>
      <c r="R187" s="14">
        <f>IF(基础状态预期!T200="",0,求节点($C$31:$C$36,H$31:H$36,基础状态预期!T200)*基础状态预期!J200)</f>
        <v>0</v>
      </c>
      <c r="S187" s="14"/>
      <c r="T187" s="14">
        <f>IF(基础状态预期!P200="",0,求节点($C$40:$C$45,D$40:D$45,基础状态预期!P200))</f>
        <v>0</v>
      </c>
      <c r="U187" s="14">
        <f>IF(基础状态预期!Q200="",0,求节点($C$40:$C$45,E$40:E$45,基础状态预期!Q200))</f>
        <v>0</v>
      </c>
      <c r="V187" s="14">
        <f>IF(基础状态预期!R200="",0,求节点($C$40:$C$45,F$40:F$45,基础状态预期!R200))</f>
        <v>0</v>
      </c>
      <c r="W187" s="14">
        <f>IF(基础状态预期!S200="",0,求节点($C$40:$C$45,G$40:G$45,基础状态预期!S200))</f>
        <v>140636.14442075338</v>
      </c>
      <c r="X187" s="14">
        <f>IF(基础状态预期!T200="",0,求节点($C$40:$C$45,H$40:H$45,基础状态预期!T200))</f>
        <v>0</v>
      </c>
      <c r="Y187" s="14">
        <f>MAX(SUMPRODUCT(T187:X187,基础状态预期!F200:J200),Y186)</f>
        <v>843816.86652452033</v>
      </c>
      <c r="AC187" s="29">
        <v>40</v>
      </c>
      <c r="AD187" s="29">
        <v>0</v>
      </c>
      <c r="AE187" s="29">
        <v>0</v>
      </c>
      <c r="AF187" s="29">
        <v>0</v>
      </c>
      <c r="AG187" s="29">
        <v>0</v>
      </c>
      <c r="AH187" s="29">
        <f>AD187*(INDEX([2]非r将兵属性验证!$S$7:$S$166,$AC187,1)+INDEX([2]非r将兵属性验证!$AG$7:$AG$166,$AC187,1))</f>
        <v>0</v>
      </c>
      <c r="AI187" s="29">
        <f>AE187*INDEX([2]非r将兵属性验证!T$7:T$166,$AC187,1)</f>
        <v>0</v>
      </c>
      <c r="AJ187" s="29">
        <f>AF187*INDEX([2]非r将兵属性验证!U$7:U$166,$AC187,1)</f>
        <v>0</v>
      </c>
      <c r="AK187" s="29">
        <f>AG187*INDEX([2]非r将兵属性验证!$AM$7:$AM$166,$AC187,1)</f>
        <v>0</v>
      </c>
      <c r="AL187" s="14">
        <f t="shared" si="46"/>
        <v>0</v>
      </c>
      <c r="AP187" s="29">
        <f t="shared" si="47"/>
        <v>33.399598377161809</v>
      </c>
      <c r="AQ187" s="14"/>
      <c r="AR187" s="14">
        <f t="shared" si="48"/>
        <v>843816.86652452033</v>
      </c>
      <c r="AS187" s="14">
        <f>(AR187-AR186)*INDEX('[1]功能-付费相关'!$AU$6:$AU$165,$AP187,1)+AS186</f>
        <v>1644.4409788391458</v>
      </c>
      <c r="AU187" s="29">
        <v>40</v>
      </c>
      <c r="AV187" s="29">
        <f t="shared" si="44"/>
        <v>0</v>
      </c>
      <c r="AW187" s="29">
        <f t="shared" si="45"/>
        <v>2248.5260132383969</v>
      </c>
    </row>
    <row r="188" spans="13:49" x14ac:dyDescent="0.15">
      <c r="M188" s="16">
        <v>8</v>
      </c>
      <c r="N188" s="14">
        <f>基础状态预期!D201</f>
        <v>38.848984787984186</v>
      </c>
      <c r="O188" s="14">
        <f>IF(基础状态预期!Q201="",0,求节点($C$31:$C$36,E$31:E$36,基础状态预期!Q201)*基础状态预期!G201)</f>
        <v>0</v>
      </c>
      <c r="P188" s="14">
        <f>IF(基础状态预期!R201="",0,求节点($C$31:$C$36,F$31:F$36,基础状态预期!R201)*基础状态预期!H201)</f>
        <v>0</v>
      </c>
      <c r="Q188" s="14">
        <f>IF(基础状态预期!S201="",0,求节点($C$31:$C$36,G$31:G$36,基础状态预期!S201)*基础状态预期!I201)</f>
        <v>37.942538094697227</v>
      </c>
      <c r="R188" s="14">
        <f>IF(基础状态预期!T201="",0,求节点($C$31:$C$36,H$31:H$36,基础状态预期!T201)*基础状态预期!J201)</f>
        <v>0</v>
      </c>
      <c r="S188" s="14"/>
      <c r="T188" s="14">
        <f>IF(基础状态预期!P201="",0,求节点($C$40:$C$45,D$40:D$45,基础状态预期!P201))</f>
        <v>0</v>
      </c>
      <c r="U188" s="14">
        <f>IF(基础状态预期!Q201="",0,求节点($C$40:$C$45,E$40:E$45,基础状态预期!Q201))</f>
        <v>0</v>
      </c>
      <c r="V188" s="14">
        <f>IF(基础状态预期!R201="",0,求节点($C$40:$C$45,F$40:F$45,基础状态预期!R201))</f>
        <v>0</v>
      </c>
      <c r="W188" s="14">
        <f>IF(基础状态预期!S201="",0,求节点($C$40:$C$45,G$40:G$45,基础状态预期!S201))</f>
        <v>192950.2539646482</v>
      </c>
      <c r="X188" s="14">
        <f>IF(基础状态预期!T201="",0,求节点($C$40:$C$45,H$40:H$45,基础状态预期!T201))</f>
        <v>0</v>
      </c>
      <c r="Y188" s="14">
        <f>MAX(SUMPRODUCT(T188:X188,基础状态预期!F201:J201),Y187)</f>
        <v>1157701.5237878892</v>
      </c>
      <c r="AC188" s="29">
        <v>50</v>
      </c>
      <c r="AD188" s="29">
        <v>0</v>
      </c>
      <c r="AE188" s="29">
        <v>0</v>
      </c>
      <c r="AF188" s="29">
        <v>0</v>
      </c>
      <c r="AG188" s="29">
        <v>0</v>
      </c>
      <c r="AH188" s="29">
        <f>AD188*(INDEX([2]非r将兵属性验证!$S$7:$S$166,$AC188,1)+INDEX([2]非r将兵属性验证!$AG$7:$AG$166,$AC188,1))</f>
        <v>0</v>
      </c>
      <c r="AI188" s="29">
        <f>AE188*INDEX([2]非r将兵属性验证!T$7:T$166,$AC188,1)</f>
        <v>0</v>
      </c>
      <c r="AJ188" s="29">
        <f>AF188*INDEX([2]非r将兵属性验证!U$7:U$166,$AC188,1)</f>
        <v>0</v>
      </c>
      <c r="AK188" s="29">
        <f>AG188*INDEX([2]非r将兵属性验证!$AM$7:$AM$166,$AC188,1)</f>
        <v>0</v>
      </c>
      <c r="AL188" s="14">
        <f t="shared" si="46"/>
        <v>0</v>
      </c>
      <c r="AP188" s="29">
        <f t="shared" si="47"/>
        <v>38.848984787984186</v>
      </c>
      <c r="AQ188" s="14"/>
      <c r="AR188" s="14">
        <f t="shared" si="48"/>
        <v>1157701.5237878892</v>
      </c>
      <c r="AS188" s="14">
        <f>(AR188-AR187)*INDEX('[1]功能-付费相关'!$AU$6:$AU$165,$AP188,1)+AS187</f>
        <v>2147.4612629150574</v>
      </c>
      <c r="AU188" s="29">
        <v>50</v>
      </c>
      <c r="AV188" s="29">
        <f t="shared" si="44"/>
        <v>0</v>
      </c>
      <c r="AW188" s="29">
        <f t="shared" si="45"/>
        <v>4294.7401180492943</v>
      </c>
    </row>
    <row r="189" spans="13:49" x14ac:dyDescent="0.15">
      <c r="M189" s="16">
        <v>9</v>
      </c>
      <c r="N189" s="14">
        <f>基础状态预期!D202</f>
        <v>42.643360270022924</v>
      </c>
      <c r="O189" s="14">
        <f>IF(基础状态预期!Q202="",0,求节点($C$31:$C$36,E$31:E$36,基础状态预期!Q202)*基础状态预期!G202)</f>
        <v>0</v>
      </c>
      <c r="P189" s="14">
        <f>IF(基础状态预期!R202="",0,求节点($C$31:$C$36,F$31:F$36,基础状态预期!R202)*基础状态预期!H202)</f>
        <v>0</v>
      </c>
      <c r="Q189" s="14">
        <f>IF(基础状态预期!S202="",0,求节点($C$31:$C$36,G$31:G$36,基础状态预期!S202)*基础状态预期!I202)</f>
        <v>43.406438788833007</v>
      </c>
      <c r="R189" s="14">
        <f>IF(基础状态预期!T202="",0,求节点($C$31:$C$36,H$31:H$36,基础状态预期!T202)*基础状态预期!J202)</f>
        <v>0</v>
      </c>
      <c r="S189" s="14"/>
      <c r="T189" s="14">
        <f>IF(基础状态预期!P202="",0,求节点($C$40:$C$45,D$40:D$45,基础状态预期!P202))</f>
        <v>0</v>
      </c>
      <c r="U189" s="14">
        <f>IF(基础状态预期!Q202="",0,求节点($C$40:$C$45,E$40:E$45,基础状态预期!Q202))</f>
        <v>0</v>
      </c>
      <c r="V189" s="14">
        <f>IF(基础状态预期!R202="",0,求节点($C$40:$C$45,F$40:F$45,基础状态预期!R202))</f>
        <v>0</v>
      </c>
      <c r="W189" s="14">
        <f>IF(基础状态预期!S202="",0,求节点($C$40:$C$45,G$40:G$45,基础状态预期!S202))</f>
        <v>229376.25859222005</v>
      </c>
      <c r="X189" s="14">
        <f>IF(基础状态预期!T202="",0,求节点($C$40:$C$45,H$40:H$45,基础状态预期!T202))</f>
        <v>0</v>
      </c>
      <c r="Y189" s="14">
        <f>MAX(SUMPRODUCT(T189:X189,基础状态预期!F202:J202),Y188)</f>
        <v>1376257.5515533204</v>
      </c>
      <c r="AC189" s="29">
        <v>60</v>
      </c>
      <c r="AD189" s="29">
        <v>0</v>
      </c>
      <c r="AE189" s="29">
        <v>0</v>
      </c>
      <c r="AF189" s="29">
        <v>0</v>
      </c>
      <c r="AG189" s="29">
        <v>0</v>
      </c>
      <c r="AH189" s="29">
        <f>AD189*(INDEX([2]非r将兵属性验证!$S$7:$S$166,$AC189,1)+INDEX([2]非r将兵属性验证!$AG$7:$AG$166,$AC189,1))</f>
        <v>0</v>
      </c>
      <c r="AI189" s="29">
        <f>AE189*INDEX([2]非r将兵属性验证!T$7:T$166,$AC189,1)</f>
        <v>0</v>
      </c>
      <c r="AJ189" s="29">
        <f>AF189*INDEX([2]非r将兵属性验证!U$7:U$166,$AC189,1)</f>
        <v>0</v>
      </c>
      <c r="AK189" s="29">
        <f>AG189*INDEX([2]非r将兵属性验证!$AM$7:$AM$166,$AC189,1)</f>
        <v>0</v>
      </c>
      <c r="AL189" s="14">
        <f t="shared" si="46"/>
        <v>0</v>
      </c>
      <c r="AP189" s="29">
        <f t="shared" si="47"/>
        <v>42.643360270022924</v>
      </c>
      <c r="AQ189" s="14"/>
      <c r="AR189" s="14">
        <f t="shared" si="48"/>
        <v>1376257.5515533204</v>
      </c>
      <c r="AS189" s="14">
        <f>(AR189-AR188)*INDEX('[1]功能-付费相关'!$AU$6:$AU$165,$AP189,1)+AS188</f>
        <v>2480.6259393867513</v>
      </c>
      <c r="AU189" s="29">
        <v>60</v>
      </c>
      <c r="AV189" s="29">
        <f t="shared" si="44"/>
        <v>0</v>
      </c>
      <c r="AW189" s="29">
        <f t="shared" si="45"/>
        <v>17979.017693220536</v>
      </c>
    </row>
    <row r="190" spans="13:49" x14ac:dyDescent="0.15">
      <c r="M190" s="16">
        <v>10</v>
      </c>
      <c r="N190" s="14">
        <f>基础状态预期!D203</f>
        <v>48.493134765265182</v>
      </c>
      <c r="O190" s="14">
        <f>IF(基础状态预期!Q203="",0,求节点($C$31:$C$36,E$31:E$36,基础状态预期!Q203)*基础状态预期!G203)</f>
        <v>0</v>
      </c>
      <c r="P190" s="14">
        <f>IF(基础状态预期!R203="",0,求节点($C$31:$C$36,F$31:F$36,基础状态预期!R203)*基础状态预期!H203)</f>
        <v>0</v>
      </c>
      <c r="Q190" s="14">
        <f>IF(基础状态预期!S203="",0,求节点($C$31:$C$36,G$31:G$36,基础状态预期!S203)*基础状态预期!I203)</f>
        <v>51.830114061981867</v>
      </c>
      <c r="R190" s="14">
        <f>IF(基础状态预期!T203="",0,求节点($C$31:$C$36,H$31:H$36,基础状态预期!T203)*基础状态预期!J203)</f>
        <v>0</v>
      </c>
      <c r="S190" s="14"/>
      <c r="T190" s="14">
        <f>IF(基础状态预期!P203="",0,求节点($C$40:$C$45,D$40:D$45,基础状态预期!P203))</f>
        <v>0</v>
      </c>
      <c r="U190" s="14">
        <f>IF(基础状态预期!Q203="",0,求节点($C$40:$C$45,E$40:E$45,基础状态预期!Q203))</f>
        <v>0</v>
      </c>
      <c r="V190" s="14">
        <f>IF(基础状态预期!R203="",0,求节点($C$40:$C$45,F$40:F$45,基础状态预期!R203))</f>
        <v>0</v>
      </c>
      <c r="W190" s="14">
        <f>IF(基础状态预期!S203="",0,求节点($C$40:$C$45,G$40:G$45,基础状态预期!S203))</f>
        <v>285534.09374654572</v>
      </c>
      <c r="X190" s="14">
        <f>IF(基础状态预期!T203="",0,求节点($C$40:$C$45,H$40:H$45,基础状态预期!T203))</f>
        <v>0</v>
      </c>
      <c r="Y190" s="14">
        <f>MAX(SUMPRODUCT(T190:X190,基础状态预期!F203:J203),Y189)</f>
        <v>1713204.5624792743</v>
      </c>
      <c r="AC190" s="29">
        <v>70</v>
      </c>
      <c r="AD190" s="29">
        <v>0</v>
      </c>
      <c r="AE190" s="29">
        <v>0</v>
      </c>
      <c r="AF190" s="29">
        <v>0</v>
      </c>
      <c r="AG190" s="29">
        <v>0</v>
      </c>
      <c r="AH190" s="29">
        <f>AD190*(INDEX([2]非r将兵属性验证!$S$7:$S$166,$AC190,1)+INDEX([2]非r将兵属性验证!$AG$7:$AG$166,$AC190,1))</f>
        <v>0</v>
      </c>
      <c r="AI190" s="29">
        <f>AE190*INDEX([2]非r将兵属性验证!T$7:T$166,$AC190,1)</f>
        <v>0</v>
      </c>
      <c r="AJ190" s="29">
        <f>AF190*INDEX([2]非r将兵属性验证!U$7:U$166,$AC190,1)</f>
        <v>0</v>
      </c>
      <c r="AK190" s="29">
        <f>AG190*INDEX([2]非r将兵属性验证!$AM$7:$AM$166,$AC190,1)</f>
        <v>0</v>
      </c>
      <c r="AL190" s="14">
        <f t="shared" si="46"/>
        <v>0</v>
      </c>
      <c r="AP190" s="29">
        <f t="shared" si="47"/>
        <v>48.493134765265182</v>
      </c>
      <c r="AQ190" s="14"/>
      <c r="AR190" s="14">
        <f t="shared" si="48"/>
        <v>1713204.5624792743</v>
      </c>
      <c r="AS190" s="14">
        <f>(AR190-AR189)*INDEX('[1]功能-付费相关'!$AU$6:$AU$165,$AP190,1)+AS189</f>
        <v>2959.2438526338451</v>
      </c>
      <c r="AU190" s="29">
        <v>70</v>
      </c>
      <c r="AV190" s="29">
        <f t="shared" si="44"/>
        <v>0</v>
      </c>
      <c r="AW190" s="29">
        <f t="shared" si="45"/>
        <v>41076.011314736199</v>
      </c>
    </row>
    <row r="191" spans="13:49" x14ac:dyDescent="0.15">
      <c r="M191" s="16">
        <v>11</v>
      </c>
      <c r="N191" s="14">
        <f>基础状态预期!D204</f>
        <v>52.559419343629337</v>
      </c>
      <c r="O191" s="14">
        <f>IF(基础状态预期!Q204="",0,求节点($C$31:$C$36,E$31:E$36,基础状态预期!Q204)*基础状态预期!G204)</f>
        <v>0</v>
      </c>
      <c r="P191" s="14">
        <f>IF(基础状态预期!R204="",0,求节点($C$31:$C$36,F$31:F$36,基础状态预期!R204)*基础状态预期!H204)</f>
        <v>0</v>
      </c>
      <c r="Q191" s="14">
        <f>IF(基础状态预期!S204="",0,求节点($C$31:$C$36,G$31:G$36,基础状态预期!S204)*基础状态预期!I204)</f>
        <v>51.142606424710394</v>
      </c>
      <c r="R191" s="14">
        <f>IF(基础状态预期!T204="",0,求节点($C$31:$C$36,H$31:H$36,基础状态预期!T204)*基础状态预期!J204)</f>
        <v>10.842781927413119</v>
      </c>
      <c r="S191" s="14"/>
      <c r="T191" s="14">
        <f>IF(基础状态预期!P204="",0,求节点($C$40:$C$45,D$40:D$45,基础状态预期!P204))</f>
        <v>0</v>
      </c>
      <c r="U191" s="14">
        <f>IF(基础状态预期!Q204="",0,求节点($C$40:$C$45,E$40:E$45,基础状态预期!Q204))</f>
        <v>0</v>
      </c>
      <c r="V191" s="14">
        <f>IF(基础状态预期!R204="",0,求节点($C$40:$C$45,F$40:F$45,基础状态预期!R204))</f>
        <v>0</v>
      </c>
      <c r="W191" s="14">
        <f>IF(基础状态预期!S204="",0,求节点($C$40:$C$45,G$40:G$45,基础状态预期!S204))</f>
        <v>545704.25698841596</v>
      </c>
      <c r="X191" s="14">
        <f>IF(基础状态预期!T204="",0,求节点($C$40:$C$45,H$40:H$45,基础状态预期!T204))</f>
        <v>1637112.7709652476</v>
      </c>
      <c r="Y191" s="14">
        <f>MAX(SUMPRODUCT(T191:X191,基础状态预期!F204:J204),Y190)</f>
        <v>4365634.0559073277</v>
      </c>
      <c r="AC191" s="29">
        <v>80</v>
      </c>
      <c r="AD191" s="29">
        <v>0</v>
      </c>
      <c r="AE191" s="29">
        <v>0</v>
      </c>
      <c r="AF191" s="29">
        <v>0</v>
      </c>
      <c r="AG191" s="29">
        <v>0</v>
      </c>
      <c r="AH191" s="29">
        <f>AD191*(INDEX([2]非r将兵属性验证!$S$7:$S$166,$AC191,1)+INDEX([2]非r将兵属性验证!$AG$7:$AG$166,$AC191,1))</f>
        <v>0</v>
      </c>
      <c r="AI191" s="29">
        <f>AE191*INDEX([2]非r将兵属性验证!T$7:T$166,$AC191,1)</f>
        <v>0</v>
      </c>
      <c r="AJ191" s="29">
        <f>AF191*INDEX([2]非r将兵属性验证!U$7:U$166,$AC191,1)</f>
        <v>0</v>
      </c>
      <c r="AK191" s="29">
        <f>AG191*INDEX([2]非r将兵属性验证!$AM$7:$AM$166,$AC191,1)</f>
        <v>0</v>
      </c>
      <c r="AL191" s="14">
        <f t="shared" si="46"/>
        <v>0</v>
      </c>
      <c r="AP191" s="29">
        <f t="shared" si="47"/>
        <v>52.559419343629337</v>
      </c>
      <c r="AQ191" s="14"/>
      <c r="AR191" s="14">
        <f t="shared" si="48"/>
        <v>4365634.0559073277</v>
      </c>
      <c r="AS191" s="14">
        <f>(AR191-AR190)*INDEX('[1]功能-付费相关'!$AU$6:$AU$165,$AP191,1)+AS190</f>
        <v>6563.0882730523954</v>
      </c>
      <c r="AU191" s="29">
        <v>80</v>
      </c>
      <c r="AV191" s="29">
        <f t="shared" si="44"/>
        <v>0</v>
      </c>
      <c r="AW191" s="29">
        <f t="shared" si="45"/>
        <v>149306.00928633986</v>
      </c>
    </row>
    <row r="192" spans="13:49" x14ac:dyDescent="0.15">
      <c r="M192" s="16">
        <v>12</v>
      </c>
      <c r="N192" s="14">
        <f>基础状态预期!D205</f>
        <v>58.560986008166232</v>
      </c>
      <c r="O192" s="14">
        <f>IF(基础状态预期!Q205="",0,求节点($C$31:$C$36,E$31:E$36,基础状态预期!Q205)*基础状态预期!G205)</f>
        <v>0</v>
      </c>
      <c r="P192" s="14">
        <f>IF(基础状态预期!R205="",0,求节点($C$31:$C$36,F$31:F$36,基础状态预期!R205)*基础状态预期!H205)</f>
        <v>0</v>
      </c>
      <c r="Q192" s="14">
        <f>IF(基础状态预期!S205="",0,求节点($C$31:$C$36,G$31:G$36,基础状态预期!S205)*基础状态预期!I205)</f>
        <v>52.437093135679177</v>
      </c>
      <c r="R192" s="14">
        <f>IF(基础状态预期!T205="",0,求节点($C$31:$C$36,H$31:H$36,基础状态预期!T205)*基础状态预期!J205)</f>
        <v>30.327819851759383</v>
      </c>
      <c r="S192" s="14"/>
      <c r="T192" s="14">
        <f>IF(基础状态预期!P205="",0,求节点($C$40:$C$45,D$40:D$45,基础状态预期!P205))</f>
        <v>0</v>
      </c>
      <c r="U192" s="14">
        <f>IF(基础状态预期!Q205="",0,求节点($C$40:$C$45,E$40:E$45,基础状态预期!Q205))</f>
        <v>0</v>
      </c>
      <c r="V192" s="14">
        <f>IF(基础状态预期!R205="",0,求节点($C$40:$C$45,F$40:F$45,基础状态预期!R205))</f>
        <v>0</v>
      </c>
      <c r="W192" s="14">
        <f>IF(基础状态预期!S205="",0,求节点($C$40:$C$45,G$40:G$45,基础状态预期!S205))</f>
        <v>1121854.6567839589</v>
      </c>
      <c r="X192" s="14">
        <f>IF(基础状态预期!T205="",0,求节点($C$40:$C$45,H$40:H$45,基础状态预期!T205))</f>
        <v>3365563.9703518767</v>
      </c>
      <c r="Y192" s="14">
        <f>MAX(SUMPRODUCT(T192:X192,基础状态预期!F205:J205),Y191)</f>
        <v>11218546.567839589</v>
      </c>
      <c r="AC192" s="29">
        <v>90</v>
      </c>
      <c r="AD192" s="29">
        <v>0</v>
      </c>
      <c r="AE192" s="29">
        <v>0</v>
      </c>
      <c r="AF192" s="29">
        <v>0</v>
      </c>
      <c r="AG192" s="29">
        <v>0</v>
      </c>
      <c r="AH192" s="29">
        <f>AD192*(INDEX([2]非r将兵属性验证!$S$7:$S$166,$AC192,1)+INDEX([2]非r将兵属性验证!$AG$7:$AG$166,$AC192,1))</f>
        <v>0</v>
      </c>
      <c r="AI192" s="29">
        <f>AE192*INDEX([2]非r将兵属性验证!T$7:T$166,$AC192,1)</f>
        <v>0</v>
      </c>
      <c r="AJ192" s="29">
        <f>AF192*INDEX([2]非r将兵属性验证!U$7:U$166,$AC192,1)</f>
        <v>0</v>
      </c>
      <c r="AK192" s="29">
        <f>AG192*INDEX([2]非r将兵属性验证!$AM$7:$AM$166,$AC192,1)</f>
        <v>0</v>
      </c>
      <c r="AL192" s="14">
        <f t="shared" si="46"/>
        <v>0</v>
      </c>
      <c r="AP192" s="29">
        <f t="shared" si="47"/>
        <v>58.560986008166232</v>
      </c>
      <c r="AQ192" s="14"/>
      <c r="AR192" s="14">
        <f t="shared" si="48"/>
        <v>11218546.567839589</v>
      </c>
      <c r="AS192" s="14">
        <f>(AR192-AR191)*INDEX('[1]功能-付费相关'!$AU$6:$AU$165,$AP192,1)+AS191</f>
        <v>15304.048109700687</v>
      </c>
      <c r="AU192" s="29">
        <v>90</v>
      </c>
      <c r="AV192" s="29">
        <f t="shared" si="44"/>
        <v>0</v>
      </c>
      <c r="AW192" s="29">
        <f t="shared" si="45"/>
        <v>320780.63869955053</v>
      </c>
    </row>
    <row r="193" spans="13:49" x14ac:dyDescent="0.15">
      <c r="M193" s="16">
        <v>13</v>
      </c>
      <c r="N193" s="14">
        <f>基础状态预期!D206</f>
        <v>64.247064283227857</v>
      </c>
      <c r="O193" s="14">
        <f>IF(基础状态预期!Q206="",0,求节点($C$31:$C$36,E$31:E$36,基础状态预期!Q206)*基础状态预期!G206)</f>
        <v>0</v>
      </c>
      <c r="P193" s="14">
        <f>IF(基础状态预期!R206="",0,求节点($C$31:$C$36,F$31:F$36,基础状态预期!R206)*基础状态预期!H206)</f>
        <v>0</v>
      </c>
      <c r="Q193" s="14">
        <f>IF(基础状态预期!S206="",0,求节点($C$31:$C$36,G$31:G$36,基础状态预期!S206)*基础状态预期!I206)</f>
        <v>47.515772567848117</v>
      </c>
      <c r="R193" s="14">
        <f>IF(基础状态预期!T206="",0,求节点($C$31:$C$36,H$31:H$36,基础状态预期!T206)*基础状态预期!J206)</f>
        <v>57.773658851772176</v>
      </c>
      <c r="S193" s="14"/>
      <c r="T193" s="14">
        <f>IF(基础状态预期!P206="",0,求节点($C$40:$C$45,D$40:D$45,基础状态预期!P206))</f>
        <v>0</v>
      </c>
      <c r="U193" s="14">
        <f>IF(基础状态预期!Q206="",0,求节点($C$40:$C$45,E$40:E$45,基础状态预期!Q206))</f>
        <v>0</v>
      </c>
      <c r="V193" s="14">
        <f>IF(基础状态预期!R206="",0,求节点($C$40:$C$45,F$40:F$45,基础状态预期!R206))</f>
        <v>0</v>
      </c>
      <c r="W193" s="14">
        <f>IF(基础状态预期!S206="",0,求节点($C$40:$C$45,G$40:G$45,基础状态预期!S206))</f>
        <v>1667718.1711898746</v>
      </c>
      <c r="X193" s="14">
        <f>IF(基础状态预期!T206="",0,求节点($C$40:$C$45,H$40:H$45,基础状态预期!T206))</f>
        <v>5003154.5135696242</v>
      </c>
      <c r="Y193" s="14">
        <f>MAX(SUMPRODUCT(T193:X193,基础状态预期!F206:J206),Y192)</f>
        <v>20012618.054278497</v>
      </c>
      <c r="AC193" s="29">
        <v>100</v>
      </c>
      <c r="AD193" s="29">
        <v>0</v>
      </c>
      <c r="AE193" s="29">
        <v>0</v>
      </c>
      <c r="AF193" s="29">
        <v>0</v>
      </c>
      <c r="AG193" s="29">
        <v>0</v>
      </c>
      <c r="AH193" s="29">
        <f>AD193*(INDEX([2]非r将兵属性验证!$S$7:$S$166,$AC193,1)+INDEX([2]非r将兵属性验证!$AG$7:$AG$166,$AC193,1))</f>
        <v>0</v>
      </c>
      <c r="AI193" s="29">
        <f>AE193*INDEX([2]非r将兵属性验证!T$7:T$166,$AC193,1)</f>
        <v>0</v>
      </c>
      <c r="AJ193" s="29">
        <f>AF193*INDEX([2]非r将兵属性验证!U$7:U$166,$AC193,1)</f>
        <v>0</v>
      </c>
      <c r="AK193" s="29">
        <f>AG193*INDEX([2]非r将兵属性验证!$AM$7:$AM$166,$AC193,1)</f>
        <v>0</v>
      </c>
      <c r="AL193" s="14">
        <f t="shared" si="46"/>
        <v>0</v>
      </c>
      <c r="AP193" s="29">
        <f t="shared" si="47"/>
        <v>64.247064283227857</v>
      </c>
      <c r="AQ193" s="14"/>
      <c r="AR193" s="14">
        <f t="shared" si="48"/>
        <v>20012618.054278497</v>
      </c>
      <c r="AS193" s="14">
        <f>(AR193-AR192)*INDEX('[1]功能-付费相关'!$AU$6:$AU$165,$AP193,1)+AS192</f>
        <v>25873.845569362835</v>
      </c>
      <c r="AU193" s="29">
        <v>100</v>
      </c>
      <c r="AV193" s="29">
        <f t="shared" si="44"/>
        <v>0</v>
      </c>
      <c r="AW193" s="29">
        <f t="shared" si="45"/>
        <v>616506.36626113055</v>
      </c>
    </row>
    <row r="194" spans="13:49" x14ac:dyDescent="0.15">
      <c r="M194" s="16">
        <v>14</v>
      </c>
      <c r="N194" s="14">
        <f>基础状态预期!D207</f>
        <v>68.518369035696878</v>
      </c>
      <c r="O194" s="14">
        <f>IF(基础状态预期!Q207="",0,求节点($C$31:$C$36,E$31:E$36,基础状态预期!Q207)*基础状态预期!G207)</f>
        <v>0</v>
      </c>
      <c r="P194" s="14">
        <f>IF(基础状态预期!R207="",0,求节点($C$31:$C$36,F$31:F$36,基础状态预期!R207)*基础状态预期!H207)</f>
        <v>0</v>
      </c>
      <c r="Q194" s="14">
        <f>IF(基础状态预期!S207="",0,求节点($C$31:$C$36,G$31:G$36,基础状态预期!S207)*基础状态预期!I207)</f>
        <v>35.777634274269005</v>
      </c>
      <c r="R194" s="14">
        <f>IF(基础状态预期!T207="",0,求节点($C$31:$C$36,H$31:H$36,基础状态预期!T207)*基础状态预期!J207)</f>
        <v>89.332902822807014</v>
      </c>
      <c r="S194" s="14"/>
      <c r="T194" s="14">
        <f>IF(基础状态预期!P207="",0,求节点($C$40:$C$45,D$40:D$45,基础状态预期!P207))</f>
        <v>0</v>
      </c>
      <c r="U194" s="14">
        <f>IF(基础状态预期!Q207="",0,求节点($C$40:$C$45,E$40:E$45,基础状态预期!Q207))</f>
        <v>0</v>
      </c>
      <c r="V194" s="14">
        <f>IF(基础状态预期!R207="",0,求节点($C$40:$C$45,F$40:F$45,基础状态预期!R207))</f>
        <v>0</v>
      </c>
      <c r="W194" s="14">
        <f>IF(基础状态预期!S207="",0,求节点($C$40:$C$45,G$40:G$45,基础状态预期!S207))</f>
        <v>2077763.4274269005</v>
      </c>
      <c r="X194" s="14">
        <f>IF(基础状态预期!T207="",0,求节点($C$40:$C$45,H$40:H$45,基础状态预期!T207))</f>
        <v>6233290.2822807012</v>
      </c>
      <c r="Y194" s="14">
        <f>MAX(SUMPRODUCT(T194:X194,基础状态预期!F207:J207),Y193)</f>
        <v>29088687.983976606</v>
      </c>
      <c r="AC194" s="29">
        <v>110</v>
      </c>
      <c r="AD194" s="29">
        <v>0</v>
      </c>
      <c r="AE194" s="29">
        <v>0</v>
      </c>
      <c r="AF194" s="29">
        <v>0</v>
      </c>
      <c r="AG194" s="29">
        <v>0</v>
      </c>
      <c r="AH194" s="29">
        <f>AD194*(INDEX([2]非r将兵属性验证!$S$7:$S$166,$AC194,1)+INDEX([2]非r将兵属性验证!$AG$7:$AG$166,$AC194,1))</f>
        <v>0</v>
      </c>
      <c r="AI194" s="29">
        <f>AE194*INDEX([2]非r将兵属性验证!T$7:T$166,$AC194,1)</f>
        <v>0</v>
      </c>
      <c r="AJ194" s="29">
        <f>AF194*INDEX([2]非r将兵属性验证!U$7:U$166,$AC194,1)</f>
        <v>0</v>
      </c>
      <c r="AK194" s="29">
        <f>AG194*INDEX([2]非r将兵属性验证!$AM$7:$AM$166,$AC194,1)</f>
        <v>0</v>
      </c>
      <c r="AL194" s="14">
        <f t="shared" ref="AL194:AL199" si="49">SUM(AH194:AK194)</f>
        <v>0</v>
      </c>
      <c r="AP194" s="29">
        <f t="shared" si="47"/>
        <v>68.518369035696878</v>
      </c>
      <c r="AQ194" s="14"/>
      <c r="AR194" s="14">
        <f t="shared" si="48"/>
        <v>29088687.983976606</v>
      </c>
      <c r="AS194" s="14">
        <f>(AR194-AR193)*INDEX('[1]功能-付费相关'!$AU$6:$AU$165,$AP194,1)+AS193</f>
        <v>36378.556136143052</v>
      </c>
      <c r="AU194" s="29">
        <v>110</v>
      </c>
      <c r="AV194" s="29">
        <f t="shared" ref="AV194:AV199" si="50">求节点($AP$184:$AP$222,AQ$184:AQ$222,$AU194)</f>
        <v>0</v>
      </c>
      <c r="AW194" s="29">
        <f t="shared" ref="AW194:AW199" si="51">求节点($AP$184:$AP$222,AS$184:AS$222,$AU194)</f>
        <v>2545792.5412570918</v>
      </c>
    </row>
    <row r="195" spans="13:49" x14ac:dyDescent="0.15">
      <c r="M195" s="16">
        <v>15</v>
      </c>
      <c r="N195" s="14">
        <f>基础状态预期!D208</f>
        <v>71.7664716439551</v>
      </c>
      <c r="O195" s="14">
        <f>IF(基础状态预期!Q208="",0,求节点($C$31:$C$36,E$31:E$36,基础状态预期!Q208)*基础状态预期!G208)</f>
        <v>0</v>
      </c>
      <c r="P195" s="14">
        <f>IF(基础状态预期!R208="",0,求节点($C$31:$C$36,F$31:F$36,基础状态预期!R208)*基础状态预期!H208)</f>
        <v>0</v>
      </c>
      <c r="Q195" s="14">
        <f>IF(基础状态预期!S208="",0,求节点($C$31:$C$36,G$31:G$36,基础状态预期!S208)*基础状态预期!I208)</f>
        <v>19.447906389098449</v>
      </c>
      <c r="R195" s="14">
        <f>IF(基础状态预期!T208="",0,求节点($C$31:$C$36,H$31:H$36,基础状态预期!T208)*基础状态预期!J208)</f>
        <v>123.35929791823835</v>
      </c>
      <c r="S195" s="14"/>
      <c r="T195" s="14">
        <f>IF(基础状态预期!P208="",0,求节点($C$40:$C$45,D$40:D$45,基础状态预期!P208))</f>
        <v>0</v>
      </c>
      <c r="U195" s="14">
        <f>IF(基础状态预期!Q208="",0,求节点($C$40:$C$45,E$40:E$45,基础状态预期!Q208))</f>
        <v>0</v>
      </c>
      <c r="V195" s="14">
        <f>IF(基础状态预期!R208="",0,求节点($C$40:$C$45,F$40:F$45,基础状态预期!R208))</f>
        <v>0</v>
      </c>
      <c r="W195" s="14">
        <f>IF(基础状态预期!S208="",0,求节点($C$40:$C$45,G$40:G$45,基础状态预期!S208))</f>
        <v>2389581.2778196894</v>
      </c>
      <c r="X195" s="14">
        <f>IF(基础状态预期!T208="",0,求节点($C$40:$C$45,H$40:H$45,基础状态预期!T208))</f>
        <v>7168743.8334590681</v>
      </c>
      <c r="Y195" s="14">
        <f>MAX(SUMPRODUCT(T195:X195,基础状态预期!F208:J208),Y194)</f>
        <v>38233300.44511503</v>
      </c>
      <c r="AC195" s="29">
        <v>120</v>
      </c>
      <c r="AD195" s="29">
        <v>0</v>
      </c>
      <c r="AE195" s="29">
        <v>0</v>
      </c>
      <c r="AF195" s="29">
        <v>0</v>
      </c>
      <c r="AG195" s="29">
        <v>0</v>
      </c>
      <c r="AH195" s="29">
        <f>AD195*(INDEX([2]非r将兵属性验证!$S$7:$S$166,$AC195,1)+INDEX([2]非r将兵属性验证!$AG$7:$AG$166,$AC195,1))</f>
        <v>0</v>
      </c>
      <c r="AI195" s="29">
        <f>AE195*INDEX([2]非r将兵属性验证!T$7:T$166,$AC195,1)</f>
        <v>0</v>
      </c>
      <c r="AJ195" s="29">
        <f>AF195*INDEX([2]非r将兵属性验证!U$7:U$166,$AC195,1)</f>
        <v>0</v>
      </c>
      <c r="AK195" s="29">
        <f>AG195*INDEX([2]非r将兵属性验证!$AM$7:$AM$166,$AC195,1)</f>
        <v>0</v>
      </c>
      <c r="AL195" s="14">
        <f t="shared" si="49"/>
        <v>0</v>
      </c>
      <c r="AP195" s="29">
        <f t="shared" si="47"/>
        <v>71.7664716439551</v>
      </c>
      <c r="AQ195" s="14"/>
      <c r="AR195" s="14">
        <f t="shared" si="48"/>
        <v>38233300.44511503</v>
      </c>
      <c r="AS195" s="14">
        <f>(AR195-AR194)*INDEX('[1]功能-付费相关'!$AU$6:$AU$165,$AP195,1)+AS194</f>
        <v>46676.543141929564</v>
      </c>
      <c r="AU195" s="29">
        <v>120</v>
      </c>
      <c r="AV195" s="29">
        <f t="shared" si="50"/>
        <v>0</v>
      </c>
      <c r="AW195" s="29">
        <f t="shared" si="51"/>
        <v>4481099.0450873785</v>
      </c>
    </row>
    <row r="196" spans="13:49" x14ac:dyDescent="0.15">
      <c r="M196" s="16">
        <v>16</v>
      </c>
      <c r="N196" s="14">
        <f>基础状态预期!D209</f>
        <v>74.370993278111257</v>
      </c>
      <c r="O196" s="14">
        <f>IF(基础状态预期!Q209="",0,求节点($C$31:$C$36,E$31:E$36,基础状态预期!Q209)*基础状态预期!G209)</f>
        <v>0</v>
      </c>
      <c r="P196" s="14">
        <f>IF(基础状态预期!R209="",0,求节点($C$31:$C$36,F$31:F$36,基础状态预期!R209)*基础状态预期!H209)</f>
        <v>0</v>
      </c>
      <c r="Q196" s="14">
        <f>IF(基础状态预期!S209="",0,求节点($C$31:$C$36,G$31:G$36,基础状态预期!S209)*基础状态预期!I209)</f>
        <v>10.349038386746701</v>
      </c>
      <c r="R196" s="14">
        <f>IF(基础状态预期!T209="",0,求节点($C$31:$C$36,H$31:H$36,基础状态预期!T209)*基础状态预期!J209)</f>
        <v>146.00913338132057</v>
      </c>
      <c r="S196" s="14"/>
      <c r="T196" s="14">
        <f>IF(基础状态预期!P209="",0,求节点($C$40:$C$45,D$40:D$45,基础状态预期!P209))</f>
        <v>0</v>
      </c>
      <c r="U196" s="14">
        <f>IF(基础状态预期!Q209="",0,求节点($C$40:$C$45,E$40:E$45,基础状态预期!Q209))</f>
        <v>0</v>
      </c>
      <c r="V196" s="14">
        <f>IF(基础状态预期!R209="",0,求节点($C$40:$C$45,F$40:F$45,基础状态预期!R209))</f>
        <v>0</v>
      </c>
      <c r="W196" s="14">
        <f>IF(基础状态预期!S209="",0,求节点($C$40:$C$45,G$40:G$45,基础状态预期!S209))</f>
        <v>2639615.3546986803</v>
      </c>
      <c r="X196" s="14">
        <f>IF(基础状态预期!T209="",0,求节点($C$40:$C$45,H$40:H$45,基础状态预期!T209))</f>
        <v>7918846.064096041</v>
      </c>
      <c r="Y196" s="14">
        <f>MAX(SUMPRODUCT(T196:X196,基础状态预期!F209:J209),Y195)</f>
        <v>44873461.029877573</v>
      </c>
      <c r="AC196" s="29">
        <v>130</v>
      </c>
      <c r="AD196" s="29">
        <v>0</v>
      </c>
      <c r="AE196" s="29">
        <v>0</v>
      </c>
      <c r="AF196" s="29">
        <v>0</v>
      </c>
      <c r="AG196" s="29">
        <v>0</v>
      </c>
      <c r="AH196" s="29">
        <f>AD196*(INDEX([2]非r将兵属性验证!$S$7:$S$166,$AC196,1)+INDEX([2]非r将兵属性验证!$AG$7:$AG$166,$AC196,1))</f>
        <v>0</v>
      </c>
      <c r="AI196" s="29">
        <f>AE196*INDEX([2]非r将兵属性验证!T$7:T$166,$AC196,1)</f>
        <v>0</v>
      </c>
      <c r="AJ196" s="29">
        <f>AF196*INDEX([2]非r将兵属性验证!U$7:U$166,$AC196,1)</f>
        <v>0</v>
      </c>
      <c r="AK196" s="29">
        <f>AG196*INDEX([2]非r将兵属性验证!$AM$7:$AM$166,$AC196,1)</f>
        <v>0</v>
      </c>
      <c r="AL196" s="14">
        <f t="shared" si="49"/>
        <v>0</v>
      </c>
      <c r="AP196" s="29">
        <f t="shared" si="47"/>
        <v>74.370993278111257</v>
      </c>
      <c r="AQ196" s="14"/>
      <c r="AR196" s="14">
        <f t="shared" si="48"/>
        <v>44873461.029877573</v>
      </c>
      <c r="AS196" s="14">
        <f>(AR196-AR195)*INDEX('[1]功能-付费相关'!$AU$6:$AU$165,$AP196,1)+AS195</f>
        <v>53957.42097609902</v>
      </c>
      <c r="AU196" s="29">
        <v>130</v>
      </c>
      <c r="AV196" s="29">
        <f t="shared" si="50"/>
        <v>0</v>
      </c>
      <c r="AW196" s="29">
        <f t="shared" si="51"/>
        <v>5405150.4522744399</v>
      </c>
    </row>
    <row r="197" spans="13:49" x14ac:dyDescent="0.15">
      <c r="M197" s="16">
        <v>17</v>
      </c>
      <c r="N197" s="14">
        <f>基础状态预期!D210</f>
        <v>77.234275947206214</v>
      </c>
      <c r="O197" s="14">
        <f>IF(基础状态预期!Q210="",0,求节点($C$31:$C$36,E$31:E$36,基础状态预期!Q210)*基础状态预期!G210)</f>
        <v>0</v>
      </c>
      <c r="P197" s="14">
        <f>IF(基础状态预期!R210="",0,求节点($C$31:$C$36,F$31:F$36,基础状态预期!R210)*基础状态预期!H210)</f>
        <v>0</v>
      </c>
      <c r="Q197" s="14">
        <f>IF(基础状态预期!S210="",0,求节点($C$31:$C$36,G$31:G$36,基础状态预期!S210)*基础状态预期!I210)</f>
        <v>0</v>
      </c>
      <c r="R197" s="14">
        <f>IF(基础状态预期!T210="",0,求节点($C$31:$C$36,H$31:H$36,基础状态预期!T210)*基础状态预期!J210)</f>
        <v>178.08678681988471</v>
      </c>
      <c r="S197" s="14"/>
      <c r="T197" s="14">
        <f>IF(基础状态预期!P210="",0,求节点($C$40:$C$45,D$40:D$45,基础状态预期!P210))</f>
        <v>0</v>
      </c>
      <c r="U197" s="14">
        <f>IF(基础状态预期!Q210="",0,求节点($C$40:$C$45,E$40:E$45,基础状态预期!Q210))</f>
        <v>0</v>
      </c>
      <c r="V197" s="14">
        <f>IF(基础状态预期!R210="",0,求节点($C$40:$C$45,F$40:F$45,基础状态预期!R210))</f>
        <v>0</v>
      </c>
      <c r="W197" s="14">
        <f>IF(基础状态预期!S210="",0,求节点($C$40:$C$45,G$40:G$45,基础状态预期!S210))</f>
        <v>0</v>
      </c>
      <c r="X197" s="14">
        <f>IF(基础状态预期!T210="",0,求节点($C$40:$C$45,H$40:H$45,基础状态预期!T210))</f>
        <v>14534714.727953885</v>
      </c>
      <c r="Y197" s="14">
        <f>MAX(SUMPRODUCT(T197:X197,基础状态预期!F210:J210),Y196)</f>
        <v>87208288.367723316</v>
      </c>
      <c r="AC197" s="29">
        <v>140</v>
      </c>
      <c r="AD197" s="29">
        <v>0</v>
      </c>
      <c r="AE197" s="29">
        <v>0</v>
      </c>
      <c r="AF197" s="29">
        <v>0</v>
      </c>
      <c r="AG197" s="29">
        <v>0</v>
      </c>
      <c r="AH197" s="29">
        <f>AD197*(INDEX([2]非r将兵属性验证!$S$7:$S$166,$AC197,1)+INDEX([2]非r将兵属性验证!$AG$7:$AG$166,$AC197,1))</f>
        <v>0</v>
      </c>
      <c r="AI197" s="29">
        <f>AE197*INDEX([2]非r将兵属性验证!T$7:T$166,$AC197,1)</f>
        <v>0</v>
      </c>
      <c r="AJ197" s="29">
        <f>AF197*INDEX([2]非r将兵属性验证!U$7:U$166,$AC197,1)</f>
        <v>0</v>
      </c>
      <c r="AK197" s="29">
        <f>AG197*INDEX([2]非r将兵属性验证!$AM$7:$AM$166,$AC197,1)</f>
        <v>0</v>
      </c>
      <c r="AL197" s="14">
        <f t="shared" si="49"/>
        <v>0</v>
      </c>
      <c r="AP197" s="29">
        <f t="shared" si="47"/>
        <v>77.234275947206214</v>
      </c>
      <c r="AQ197" s="14"/>
      <c r="AR197" s="14">
        <f t="shared" si="48"/>
        <v>87208288.367723316</v>
      </c>
      <c r="AS197" s="14">
        <f>(AR197-AR196)*INDEX('[1]功能-付费相关'!$AU$6:$AU$165,$AP197,1)+AS196</f>
        <v>99186.937362686353</v>
      </c>
      <c r="AU197" s="29">
        <v>140</v>
      </c>
      <c r="AV197" s="29">
        <f t="shared" si="50"/>
        <v>0</v>
      </c>
      <c r="AW197" s="29">
        <f t="shared" si="51"/>
        <v>5405150.4522744399</v>
      </c>
    </row>
    <row r="198" spans="13:49" x14ac:dyDescent="0.15">
      <c r="M198" s="16">
        <v>18</v>
      </c>
      <c r="N198" s="14">
        <f>基础状态预期!D211</f>
        <v>79.725666247801229</v>
      </c>
      <c r="O198" s="14">
        <f>IF(基础状态预期!Q211="",0,求节点($C$31:$C$36,E$31:E$36,基础状态预期!Q211)*基础状态预期!G211)</f>
        <v>0</v>
      </c>
      <c r="P198" s="14">
        <f>IF(基础状态预期!R211="",0,求节点($C$31:$C$36,F$31:F$36,基础状态预期!R211)*基础状态预期!H211)</f>
        <v>0</v>
      </c>
      <c r="Q198" s="14">
        <f>IF(基础状态预期!S211="",0,求节点($C$31:$C$36,G$31:G$36,基础状态预期!S211)*基础状态预期!I211)</f>
        <v>0</v>
      </c>
      <c r="R198" s="14">
        <f>IF(基础状态预期!T211="",0,求节点($C$31:$C$36,H$31:H$36,基础状态预期!T211)*基础状态预期!J211)</f>
        <v>196.02479698416886</v>
      </c>
      <c r="S198" s="14"/>
      <c r="T198" s="14">
        <f>IF(基础状态预期!P211="",0,求节点($C$40:$C$45,D$40:D$45,基础状态预期!P211))</f>
        <v>0</v>
      </c>
      <c r="U198" s="14">
        <f>IF(基础状态预期!Q211="",0,求节点($C$40:$C$45,E$40:E$45,基础状态预期!Q211))</f>
        <v>0</v>
      </c>
      <c r="V198" s="14">
        <f>IF(基础状态预期!R211="",0,求节点($C$40:$C$45,F$40:F$45,基础状态预期!R211))</f>
        <v>0</v>
      </c>
      <c r="W198" s="14">
        <f>IF(基础状态预期!S211="",0,求节点($C$40:$C$45,G$40:G$45,基础状态预期!S211))</f>
        <v>0</v>
      </c>
      <c r="X198" s="14">
        <f>IF(基础状态预期!T211="",0,求节点($C$40:$C$45,H$40:H$45,基础状态预期!T211))</f>
        <v>21709918.793667544</v>
      </c>
      <c r="Y198" s="14">
        <f>MAX(SUMPRODUCT(T198:X198,基础状态预期!F211:J211),Y197)</f>
        <v>130259512.76200527</v>
      </c>
      <c r="AC198" s="29">
        <v>150</v>
      </c>
      <c r="AD198" s="29">
        <v>0</v>
      </c>
      <c r="AE198" s="29">
        <v>0</v>
      </c>
      <c r="AF198" s="29">
        <v>0</v>
      </c>
      <c r="AG198" s="29">
        <v>0</v>
      </c>
      <c r="AH198" s="29">
        <f>AD198*(INDEX([2]非r将兵属性验证!$S$7:$S$166,$AC198,1)+INDEX([2]非r将兵属性验证!$AG$7:$AG$166,$AC198,1))</f>
        <v>0</v>
      </c>
      <c r="AI198" s="29">
        <f>AE198*INDEX([2]非r将兵属性验证!T$7:T$166,$AC198,1)</f>
        <v>0</v>
      </c>
      <c r="AJ198" s="29">
        <f>AF198*INDEX([2]非r将兵属性验证!U$7:U$166,$AC198,1)</f>
        <v>0</v>
      </c>
      <c r="AK198" s="29">
        <f>AG198*INDEX([2]非r将兵属性验证!$AM$7:$AM$166,$AC198,1)</f>
        <v>0</v>
      </c>
      <c r="AL198" s="14">
        <f t="shared" si="49"/>
        <v>0</v>
      </c>
      <c r="AP198" s="29">
        <f t="shared" si="47"/>
        <v>79.725666247801229</v>
      </c>
      <c r="AQ198" s="14"/>
      <c r="AR198" s="14">
        <f t="shared" si="48"/>
        <v>130259512.76200527</v>
      </c>
      <c r="AS198" s="14">
        <f>(AR198-AR197)*INDEX('[1]功能-付费相关'!$AU$6:$AU$165,$AP198,1)+AS197</f>
        <v>144408.8117264279</v>
      </c>
      <c r="AU198" s="29">
        <v>150</v>
      </c>
      <c r="AV198" s="29">
        <f t="shared" si="50"/>
        <v>0</v>
      </c>
      <c r="AW198" s="29">
        <f t="shared" si="51"/>
        <v>5405150.4522744399</v>
      </c>
    </row>
    <row r="199" spans="13:49" x14ac:dyDescent="0.15">
      <c r="M199" s="16">
        <v>19</v>
      </c>
      <c r="N199" s="14">
        <f>基础状态预期!D212</f>
        <v>81.863982387630472</v>
      </c>
      <c r="O199" s="14">
        <f>IF(基础状态预期!Q212="",0,求节点($C$31:$C$36,E$31:E$36,基础状态预期!Q212)*基础状态预期!G212)</f>
        <v>0</v>
      </c>
      <c r="P199" s="14">
        <f>IF(基础状态预期!R212="",0,求节点($C$31:$C$36,F$31:F$36,基础状态预期!R212)*基础状态预期!H212)</f>
        <v>0</v>
      </c>
      <c r="Q199" s="14">
        <f>IF(基础状态预期!S212="",0,求节点($C$31:$C$36,G$31:G$36,基础状态预期!S212)*基础状态预期!I212)</f>
        <v>0</v>
      </c>
      <c r="R199" s="14">
        <f>IF(基础状态预期!T212="",0,求节点($C$31:$C$36,H$31:H$36,基础状态预期!T212)*基础状态预期!J212)</f>
        <v>211.4206731909394</v>
      </c>
      <c r="S199" s="14"/>
      <c r="T199" s="14">
        <f>IF(基础状态预期!P212="",0,求节点($C$40:$C$45,D$40:D$45,基础状态预期!P212))</f>
        <v>0</v>
      </c>
      <c r="U199" s="14">
        <f>IF(基础状态预期!Q212="",0,求节点($C$40:$C$45,E$40:E$45,基础状态预期!Q212))</f>
        <v>0</v>
      </c>
      <c r="V199" s="14">
        <f>IF(基础状态预期!R212="",0,求节点($C$40:$C$45,F$40:F$45,基础状态预期!R212))</f>
        <v>0</v>
      </c>
      <c r="W199" s="14">
        <f>IF(基础状态预期!S212="",0,求节点($C$40:$C$45,G$40:G$45,基础状态预期!S212))</f>
        <v>0</v>
      </c>
      <c r="X199" s="14">
        <f>IF(基础状态预期!T212="",0,求节点($C$40:$C$45,H$40:H$45,基础状态预期!T212))</f>
        <v>27868269.276375767</v>
      </c>
      <c r="Y199" s="14">
        <f>MAX(SUMPRODUCT(T199:X199,基础状态预期!F212:J212),Y198)</f>
        <v>167209615.65825459</v>
      </c>
      <c r="AC199" s="29">
        <v>160</v>
      </c>
      <c r="AD199" s="29">
        <v>0</v>
      </c>
      <c r="AE199" s="29">
        <v>0</v>
      </c>
      <c r="AF199" s="29">
        <v>0</v>
      </c>
      <c r="AG199" s="29">
        <v>0</v>
      </c>
      <c r="AH199" s="29">
        <f>AD199*(INDEX([2]非r将兵属性验证!$S$7:$S$166,$AC199,1)+INDEX([2]非r将兵属性验证!$AG$7:$AG$166,$AC199,1))</f>
        <v>0</v>
      </c>
      <c r="AI199" s="29">
        <f>AE199*INDEX([2]非r将兵属性验证!T$7:T$166,$AC199,1)</f>
        <v>0</v>
      </c>
      <c r="AJ199" s="29">
        <f>AF199*INDEX([2]非r将兵属性验证!U$7:U$166,$AC199,1)</f>
        <v>0</v>
      </c>
      <c r="AK199" s="29">
        <f>AG199*INDEX([2]非r将兵属性验证!$AM$7:$AM$166,$AC199,1)</f>
        <v>0</v>
      </c>
      <c r="AL199" s="14">
        <f t="shared" si="49"/>
        <v>0</v>
      </c>
      <c r="AP199" s="29">
        <f t="shared" si="47"/>
        <v>81.863982387630472</v>
      </c>
      <c r="AQ199" s="14"/>
      <c r="AR199" s="14">
        <f t="shared" si="48"/>
        <v>167209615.65825459</v>
      </c>
      <c r="AS199" s="14">
        <f>(AR199-AR198)*INDEX('[1]功能-付费相关'!$AU$6:$AU$165,$AP199,1)+AS198</f>
        <v>182580.40562751191</v>
      </c>
      <c r="AU199" s="29">
        <v>160</v>
      </c>
      <c r="AV199" s="29">
        <f t="shared" si="50"/>
        <v>0</v>
      </c>
      <c r="AW199" s="29">
        <f t="shared" si="51"/>
        <v>5405150.4522744399</v>
      </c>
    </row>
    <row r="200" spans="13:49" x14ac:dyDescent="0.15">
      <c r="M200" s="16">
        <v>20</v>
      </c>
      <c r="N200" s="14">
        <f>基础状态预期!D213</f>
        <v>83.667042947574714</v>
      </c>
      <c r="O200" s="14">
        <f>IF(基础状态预期!Q213="",0,求节点($C$31:$C$36,E$31:E$36,基础状态预期!Q213)*基础状态预期!G213)</f>
        <v>0</v>
      </c>
      <c r="P200" s="14">
        <f>IF(基础状态预期!R213="",0,求节点($C$31:$C$36,F$31:F$36,基础状态预期!R213)*基础状态预期!H213)</f>
        <v>0</v>
      </c>
      <c r="Q200" s="14">
        <f>IF(基础状态预期!S213="",0,求节点($C$31:$C$36,G$31:G$36,基础状态预期!S213)*基础状态预期!I213)</f>
        <v>0</v>
      </c>
      <c r="R200" s="14">
        <f>IF(基础状态预期!T213="",0,求节点($C$31:$C$36,H$31:H$36,基础状态预期!T213)*基础状态预期!J213)</f>
        <v>224.40270922253791</v>
      </c>
      <c r="S200" s="14"/>
      <c r="T200" s="14">
        <f>IF(基础状态预期!P213="",0,求节点($C$40:$C$45,D$40:D$45,基础状态预期!P213))</f>
        <v>0</v>
      </c>
      <c r="U200" s="14">
        <f>IF(基础状态预期!Q213="",0,求节点($C$40:$C$45,E$40:E$45,基础状态预期!Q213))</f>
        <v>0</v>
      </c>
      <c r="V200" s="14">
        <f>IF(基础状态预期!R213="",0,求节点($C$40:$C$45,F$40:F$45,基础状态预期!R213))</f>
        <v>0</v>
      </c>
      <c r="W200" s="14">
        <f>IF(基础状态预期!S213="",0,求节点($C$40:$C$45,G$40:G$45,基础状态预期!S213))</f>
        <v>0</v>
      </c>
      <c r="X200" s="14">
        <f>IF(基础状态预期!T213="",0,求节点($C$40:$C$45,H$40:H$45,基础状态预期!T213))</f>
        <v>33061083.689015165</v>
      </c>
      <c r="Y200" s="14">
        <f>MAX(SUMPRODUCT(T200:X200,基础状态预期!F213:J213),Y199)</f>
        <v>198366502.13409099</v>
      </c>
      <c r="AP200" s="29">
        <f t="shared" si="47"/>
        <v>83.667042947574714</v>
      </c>
      <c r="AQ200" s="14"/>
      <c r="AR200" s="14">
        <f t="shared" si="48"/>
        <v>198366502.13409099</v>
      </c>
      <c r="AS200" s="14">
        <f>(AR200-AR199)*INDEX('[1]功能-付费相关'!$AU$6:$AU$165,$AP200,1)+AS199</f>
        <v>214243.9081436058</v>
      </c>
    </row>
    <row r="201" spans="13:49" x14ac:dyDescent="0.15">
      <c r="M201" s="16">
        <v>21</v>
      </c>
      <c r="N201" s="14">
        <f>基础状态预期!D214</f>
        <v>86.154780808490059</v>
      </c>
      <c r="O201" s="14">
        <f>IF(基础状态预期!Q214="",0,求节点($C$31:$C$36,E$31:E$36,基础状态预期!Q214)*基础状态预期!G214)</f>
        <v>0</v>
      </c>
      <c r="P201" s="14">
        <f>IF(基础状态预期!R214="",0,求节点($C$31:$C$36,F$31:F$36,基础状态预期!R214)*基础状态预期!H214)</f>
        <v>0</v>
      </c>
      <c r="Q201" s="14">
        <f>IF(基础状态预期!S214="",0,求节点($C$31:$C$36,G$31:G$36,基础状态预期!S214)*基础状态预期!I214)</f>
        <v>0</v>
      </c>
      <c r="R201" s="14">
        <f>IF(基础状态预期!T214="",0,求节点($C$31:$C$36,H$31:H$36,基础状态预期!T214)*基础状态预期!J214)</f>
        <v>242.31442182112846</v>
      </c>
      <c r="S201" s="14"/>
      <c r="T201" s="14">
        <f>IF(基础状态预期!P214="",0,求节点($C$40:$C$45,D$40:D$45,基础状态预期!P214))</f>
        <v>0</v>
      </c>
      <c r="U201" s="14">
        <f>IF(基础状态预期!Q214="",0,求节点($C$40:$C$45,E$40:E$45,基础状态预期!Q214))</f>
        <v>0</v>
      </c>
      <c r="V201" s="14">
        <f>IF(基础状态预期!R214="",0,求节点($C$40:$C$45,F$40:F$45,基础状态预期!R214))</f>
        <v>0</v>
      </c>
      <c r="W201" s="14">
        <f>IF(基础状态预期!S214="",0,求节点($C$40:$C$45,G$40:G$45,基础状态预期!S214))</f>
        <v>0</v>
      </c>
      <c r="X201" s="14">
        <f>IF(基础状态预期!T214="",0,求节点($C$40:$C$45,H$40:H$45,基础状态预期!T214))</f>
        <v>40225768.728451371</v>
      </c>
      <c r="Y201" s="14">
        <f>MAX(SUMPRODUCT(T201:X201,基础状态预期!F214:J214),Y200)</f>
        <v>241354612.37070823</v>
      </c>
      <c r="AP201" s="29">
        <f t="shared" si="47"/>
        <v>86.154780808490059</v>
      </c>
      <c r="AQ201" s="14"/>
      <c r="AR201" s="14">
        <f t="shared" si="48"/>
        <v>241354612.37070823</v>
      </c>
      <c r="AS201" s="14">
        <f>(AR201-AR200)*INDEX('[1]功能-付费相关'!$AU$6:$AU$165,$AP201,1)+AS200</f>
        <v>256890.84290215466</v>
      </c>
    </row>
    <row r="202" spans="13:49" x14ac:dyDescent="0.15">
      <c r="M202" s="16">
        <v>22</v>
      </c>
      <c r="N202" s="14">
        <f>基础状态预期!D215</f>
        <v>90.480184629206022</v>
      </c>
      <c r="O202" s="14">
        <f>IF(基础状态预期!Q215="",0,求节点($C$31:$C$36,E$31:E$36,基础状态预期!Q215)*基础状态预期!G215)</f>
        <v>0</v>
      </c>
      <c r="P202" s="14">
        <f>IF(基础状态预期!R215="",0,求节点($C$31:$C$36,F$31:F$36,基础状态预期!R215)*基础状态预期!H215)</f>
        <v>0</v>
      </c>
      <c r="Q202" s="14">
        <f>IF(基础状态预期!S215="",0,求节点($C$31:$C$36,G$31:G$36,基础状态预期!S215)*基础状态预期!I215)</f>
        <v>0</v>
      </c>
      <c r="R202" s="14">
        <f>IF(基础状态预期!T215="",0,求节点($C$31:$C$36,H$31:H$36,基础状态预期!T215)*基础状态预期!J215)</f>
        <v>273.4573293302833</v>
      </c>
      <c r="S202" s="14"/>
      <c r="T202" s="14">
        <f>IF(基础状态预期!P215="",0,求节点($C$40:$C$45,D$40:D$45,基础状态预期!P215))</f>
        <v>0</v>
      </c>
      <c r="U202" s="14">
        <f>IF(基础状态预期!Q215="",0,求节点($C$40:$C$45,E$40:E$45,基础状态预期!Q215))</f>
        <v>0</v>
      </c>
      <c r="V202" s="14">
        <f>IF(基础状态预期!R215="",0,求节点($C$40:$C$45,F$40:F$45,基础状态预期!R215))</f>
        <v>0</v>
      </c>
      <c r="W202" s="14">
        <f>IF(基础状态预期!S215="",0,求节点($C$40:$C$45,G$40:G$45,基础状态预期!S215))</f>
        <v>0</v>
      </c>
      <c r="X202" s="14">
        <f>IF(基础状态预期!T215="",0,求节点($C$40:$C$45,H$40:H$45,基础状态预期!T215))</f>
        <v>52682931.732113332</v>
      </c>
      <c r="Y202" s="14">
        <f>MAX(SUMPRODUCT(T202:X202,基础状态预期!F215:J215),Y201)</f>
        <v>316097590.39267999</v>
      </c>
      <c r="AP202" s="29">
        <f t="shared" si="47"/>
        <v>90.480184629206022</v>
      </c>
      <c r="AQ202" s="14"/>
      <c r="AR202" s="14">
        <f t="shared" si="48"/>
        <v>316097590.39267999</v>
      </c>
      <c r="AS202" s="14">
        <f>(AR202-AR201)*INDEX('[1]功能-付费相关'!$AU$6:$AU$165,$AP202,1)+AS201</f>
        <v>328759.09100020444</v>
      </c>
    </row>
    <row r="203" spans="13:49" x14ac:dyDescent="0.15">
      <c r="M203" s="16">
        <v>23</v>
      </c>
      <c r="N203" s="14">
        <f>基础状态预期!D216</f>
        <v>93.6774218048877</v>
      </c>
      <c r="O203" s="14">
        <f>IF(基础状态预期!Q216="",0,求节点($C$31:$C$36,E$31:E$36,基础状态预期!Q216)*基础状态预期!G216)</f>
        <v>0</v>
      </c>
      <c r="P203" s="14">
        <f>IF(基础状态预期!R216="",0,求节点($C$31:$C$36,F$31:F$36,基础状态预期!R216)*基础状态预期!H216)</f>
        <v>0</v>
      </c>
      <c r="Q203" s="14">
        <f>IF(基础状态预期!S216="",0,求节点($C$31:$C$36,G$31:G$36,基础状态预期!S216)*基础状态预期!I216)</f>
        <v>0</v>
      </c>
      <c r="R203" s="14">
        <f>IF(基础状态预期!T216="",0,求节点($C$31:$C$36,H$31:H$36,基础状态预期!T216)*基础状态预期!J216)</f>
        <v>296.4774369951914</v>
      </c>
      <c r="S203" s="14"/>
      <c r="T203" s="14">
        <f>IF(基础状态预期!P216="",0,求节点($C$40:$C$45,D$40:D$45,基础状态预期!P216))</f>
        <v>0</v>
      </c>
      <c r="U203" s="14">
        <f>IF(基础状态预期!Q216="",0,求节点($C$40:$C$45,E$40:E$45,基础状态预期!Q216))</f>
        <v>0</v>
      </c>
      <c r="V203" s="14">
        <f>IF(基础状态预期!R216="",0,求节点($C$40:$C$45,F$40:F$45,基础状态预期!R216))</f>
        <v>0</v>
      </c>
      <c r="W203" s="14">
        <f>IF(基础状态预期!S216="",0,求节点($C$40:$C$45,G$40:G$45,基础状态预期!S216))</f>
        <v>0</v>
      </c>
      <c r="X203" s="14">
        <f>IF(基础状态预期!T216="",0,求节点($C$40:$C$45,H$40:H$45,基础状态预期!T216))</f>
        <v>61890974.798076563</v>
      </c>
      <c r="Y203" s="14">
        <f>MAX(SUMPRODUCT(T203:X203,基础状态预期!F216:J216),Y202)</f>
        <v>371345848.78845936</v>
      </c>
      <c r="AP203" s="29">
        <f t="shared" si="47"/>
        <v>93.6774218048877</v>
      </c>
      <c r="AQ203" s="14"/>
      <c r="AR203" s="14">
        <f t="shared" si="48"/>
        <v>371345848.78845936</v>
      </c>
      <c r="AS203" s="14">
        <f>(AR203-AR202)*INDEX('[1]功能-付费相关'!$AU$6:$AU$165,$AP203,1)+AS202</f>
        <v>380684.14588345576</v>
      </c>
    </row>
    <row r="204" spans="13:49" x14ac:dyDescent="0.15">
      <c r="M204" s="16">
        <v>24</v>
      </c>
      <c r="N204" s="14">
        <f>基础状态预期!D217</f>
        <v>97.125654465362558</v>
      </c>
      <c r="O204" s="14">
        <f>IF(基础状态预期!Q217="",0,求节点($C$31:$C$36,E$31:E$36,基础状态预期!Q217)*基础状态预期!G217)</f>
        <v>0</v>
      </c>
      <c r="P204" s="14">
        <f>IF(基础状态预期!R217="",0,求节点($C$31:$C$36,F$31:F$36,基础状态预期!R217)*基础状态预期!H217)</f>
        <v>0</v>
      </c>
      <c r="Q204" s="14">
        <f>IF(基础状态预期!S217="",0,求节点($C$31:$C$36,G$31:G$36,基础状态预期!S217)*基础状态预期!I217)</f>
        <v>0</v>
      </c>
      <c r="R204" s="14">
        <f>IF(基础状态预期!T217="",0,求节点($C$31:$C$36,H$31:H$36,基础状态预期!T217)*基础状态预期!J217)</f>
        <v>321.3047121506105</v>
      </c>
      <c r="S204" s="14"/>
      <c r="T204" s="14">
        <f>IF(基础状态预期!P217="",0,求节点($C$40:$C$45,D$40:D$45,基础状态预期!P217))</f>
        <v>0</v>
      </c>
      <c r="U204" s="14">
        <f>IF(基础状态预期!Q217="",0,求节点($C$40:$C$45,E$40:E$45,基础状态预期!Q217))</f>
        <v>0</v>
      </c>
      <c r="V204" s="14">
        <f>IF(基础状态预期!R217="",0,求节点($C$40:$C$45,F$40:F$45,基础状态预期!R217))</f>
        <v>0</v>
      </c>
      <c r="W204" s="14">
        <f>IF(基础状态预期!S217="",0,求节点($C$40:$C$45,G$40:G$45,基础状态预期!S217))</f>
        <v>0</v>
      </c>
      <c r="X204" s="14">
        <f>IF(基础状态预期!T217="",0,求节点($C$40:$C$45,H$40:H$45,基础状态预期!T217))</f>
        <v>71821884.860244185</v>
      </c>
      <c r="Y204" s="14">
        <f>MAX(SUMPRODUCT(T204:X204,基础状态预期!F217:J217),Y203)</f>
        <v>430931309.16146511</v>
      </c>
      <c r="AP204" s="29">
        <f t="shared" si="47"/>
        <v>97.125654465362558</v>
      </c>
      <c r="AQ204" s="14"/>
      <c r="AR204" s="14">
        <f t="shared" si="48"/>
        <v>430931309.16146511</v>
      </c>
      <c r="AS204" s="14">
        <f>(AR204-AR203)*INDEX('[1]功能-付费相关'!$AU$6:$AU$165,$AP204,1)+AS203</f>
        <v>435050.44184422743</v>
      </c>
    </row>
    <row r="205" spans="13:49" x14ac:dyDescent="0.15">
      <c r="M205" s="16">
        <v>25</v>
      </c>
      <c r="N205" s="14">
        <f>基础状态预期!D218</f>
        <v>100.89689545435591</v>
      </c>
      <c r="O205" s="14">
        <f>IF(基础状态预期!Q218="",0,求节点($C$31:$C$36,E$31:E$36,基础状态预期!Q218)*基础状态预期!G218)</f>
        <v>0</v>
      </c>
      <c r="P205" s="14">
        <f>IF(基础状态预期!R218="",0,求节点($C$31:$C$36,F$31:F$36,基础状态预期!R218)*基础状态预期!H218)</f>
        <v>0</v>
      </c>
      <c r="Q205" s="14">
        <f>IF(基础状态预期!S218="",0,求节点($C$31:$C$36,G$31:G$36,基础状态预期!S218)*基础状态预期!I218)</f>
        <v>0</v>
      </c>
      <c r="R205" s="14">
        <f>IF(基础状态预期!T218="",0,求节点($C$31:$C$36,H$31:H$36,基础状态预期!T218)*基础状态预期!J218)</f>
        <v>352.76274545227102</v>
      </c>
      <c r="S205" s="14"/>
      <c r="T205" s="14">
        <f>IF(基础状态预期!P218="",0,求节点($C$40:$C$45,D$40:D$45,基础状态预期!P218))</f>
        <v>0</v>
      </c>
      <c r="U205" s="14">
        <f>IF(基础状态预期!Q218="",0,求节点($C$40:$C$45,E$40:E$45,基础状态预期!Q218))</f>
        <v>0</v>
      </c>
      <c r="V205" s="14">
        <f>IF(基础状态预期!R218="",0,求节点($C$40:$C$45,F$40:F$45,基础状态预期!R218))</f>
        <v>0</v>
      </c>
      <c r="W205" s="14">
        <f>IF(基础状态预期!S218="",0,求节点($C$40:$C$45,G$40:G$45,基础状态预期!S218))</f>
        <v>0</v>
      </c>
      <c r="X205" s="14">
        <f>IF(基础状态预期!T218="",0,求节点($C$40:$C$45,H$40:H$45,基础状态预期!T218))</f>
        <v>116262824.71963057</v>
      </c>
      <c r="Y205" s="14">
        <f>MAX(SUMPRODUCT(T205:X205,基础状态预期!F218:J218),Y204)</f>
        <v>697576948.31778336</v>
      </c>
      <c r="AP205" s="29">
        <f t="shared" si="47"/>
        <v>100.89689545435591</v>
      </c>
      <c r="AQ205" s="14"/>
      <c r="AR205" s="14">
        <f t="shared" si="48"/>
        <v>697576948.31778336</v>
      </c>
      <c r="AS205" s="14">
        <f>(AR205-AR204)*INDEX('[1]功能-付费相关'!$AU$6:$AU$165,$AP205,1)+AS204</f>
        <v>673126.90537665447</v>
      </c>
    </row>
    <row r="206" spans="13:49" x14ac:dyDescent="0.15">
      <c r="M206" s="16">
        <v>26</v>
      </c>
      <c r="N206" s="14">
        <f>基础状态预期!D219</f>
        <v>104.52148587104635</v>
      </c>
      <c r="O206" s="14">
        <f>IF(基础状态预期!Q219="",0,求节点($C$31:$C$36,E$31:E$36,基础状态预期!Q219)*基础状态预期!G219)</f>
        <v>0</v>
      </c>
      <c r="P206" s="14">
        <f>IF(基础状态预期!R219="",0,求节点($C$31:$C$36,F$31:F$36,基础状态预期!R219)*基础状态预期!H219)</f>
        <v>0</v>
      </c>
      <c r="Q206" s="14">
        <f>IF(基础状态预期!S219="",0,求节点($C$31:$C$36,G$31:G$36,基础状态预期!S219)*基础状态预期!I219)</f>
        <v>0</v>
      </c>
      <c r="R206" s="14">
        <f>IF(基础状态预期!T219="",0,求节点($C$31:$C$36,H$31:H$36,基础状态预期!T219)*基础状态预期!J219)</f>
        <v>396.25783045255622</v>
      </c>
      <c r="S206" s="14"/>
      <c r="T206" s="14">
        <f>IF(基础状态预期!P219="",0,求节点($C$40:$C$45,D$40:D$45,基础状态预期!P219))</f>
        <v>0</v>
      </c>
      <c r="U206" s="14">
        <f>IF(基础状态预期!Q219="",0,求节点($C$40:$C$45,E$40:E$45,基础状态预期!Q219))</f>
        <v>0</v>
      </c>
      <c r="V206" s="14">
        <f>IF(基础状态预期!R219="",0,求节点($C$40:$C$45,F$40:F$45,基础状态预期!R219))</f>
        <v>0</v>
      </c>
      <c r="W206" s="14">
        <f>IF(基础状态预期!S219="",0,求节点($C$40:$C$45,G$40:G$45,基础状态预期!S219))</f>
        <v>0</v>
      </c>
      <c r="X206" s="14">
        <f>IF(基础状态预期!T219="",0,求节点($C$40:$C$45,H$40:H$45,基础状态预期!T219))</f>
        <v>262406310.3205888</v>
      </c>
      <c r="Y206" s="14">
        <f>MAX(SUMPRODUCT(T206:X206,基础状态预期!F219:J219),Y205)</f>
        <v>1574437861.9235327</v>
      </c>
      <c r="AP206" s="29">
        <f t="shared" si="47"/>
        <v>104.52148587104635</v>
      </c>
      <c r="AQ206" s="14"/>
      <c r="AR206" s="14">
        <f t="shared" si="48"/>
        <v>1574437861.9235327</v>
      </c>
      <c r="AS206" s="14">
        <f>(AR206-AR205)*INDEX('[1]功能-付费相关'!$AU$6:$AU$165,$AP206,1)+AS205</f>
        <v>1434290.8928816454</v>
      </c>
    </row>
    <row r="207" spans="13:49" x14ac:dyDescent="0.15">
      <c r="M207" s="16">
        <v>27</v>
      </c>
      <c r="N207" s="14">
        <f>基础状态预期!D220</f>
        <v>108.05586950728798</v>
      </c>
      <c r="O207" s="14">
        <f>IF(基础状态预期!Q220="",0,求节点($C$31:$C$36,E$31:E$36,基础状态预期!Q220)*基础状态预期!G220)</f>
        <v>0</v>
      </c>
      <c r="P207" s="14">
        <f>IF(基础状态预期!R220="",0,求节点($C$31:$C$36,F$31:F$36,基础状态预期!R220)*基础状态预期!H220)</f>
        <v>0</v>
      </c>
      <c r="Q207" s="14">
        <f>IF(基础状态预期!S220="",0,求节点($C$31:$C$36,G$31:G$36,基础状态预期!S220)*基础状态预期!I220)</f>
        <v>0</v>
      </c>
      <c r="R207" s="14">
        <f>IF(基础状态预期!T220="",0,求节点($C$31:$C$36,H$31:H$36,基础状态预期!T220)*基础状态预期!J220)</f>
        <v>438.67043408745576</v>
      </c>
      <c r="S207" s="14"/>
      <c r="T207" s="14">
        <f>IF(基础状态预期!P220="",0,求节点($C$40:$C$45,D$40:D$45,基础状态预期!P220))</f>
        <v>0</v>
      </c>
      <c r="U207" s="14">
        <f>IF(基础状态预期!Q220="",0,求节点($C$40:$C$45,E$40:E$45,基础状态预期!Q220))</f>
        <v>0</v>
      </c>
      <c r="V207" s="14">
        <f>IF(基础状态预期!R220="",0,求节点($C$40:$C$45,F$40:F$45,基础状态预期!R220))</f>
        <v>0</v>
      </c>
      <c r="W207" s="14">
        <f>IF(基础状态预期!S220="",0,求节点($C$40:$C$45,G$40:G$45,基础状态预期!S220))</f>
        <v>0</v>
      </c>
      <c r="X207" s="14">
        <f>IF(基础状态预期!T220="",0,求节点($C$40:$C$45,H$40:H$45,基础状态预期!T220))</f>
        <v>404912658.53385144</v>
      </c>
      <c r="Y207" s="14">
        <f>MAX(SUMPRODUCT(T207:X207,基础状态预期!F220:J220),Y206)</f>
        <v>2429475951.2031088</v>
      </c>
      <c r="AP207" s="29">
        <f t="shared" si="47"/>
        <v>108.05586950728798</v>
      </c>
      <c r="AQ207" s="14"/>
      <c r="AR207" s="14">
        <f t="shared" si="48"/>
        <v>2429475951.2031088</v>
      </c>
      <c r="AS207" s="14">
        <f>(AR207-AR206)*INDEX('[1]功能-付费相关'!$AU$6:$AU$165,$AP207,1)+AS206</f>
        <v>2156451.4412596659</v>
      </c>
    </row>
    <row r="208" spans="13:49" x14ac:dyDescent="0.15">
      <c r="M208" s="16">
        <v>28</v>
      </c>
      <c r="N208" s="14">
        <f>基础状态预期!D221</f>
        <v>111.54601176466306</v>
      </c>
      <c r="O208" s="14">
        <f>IF(基础状态预期!Q221="",0,求节点($C$31:$C$36,E$31:E$36,基础状态预期!Q221)*基础状态预期!G221)</f>
        <v>0</v>
      </c>
      <c r="P208" s="14">
        <f>IF(基础状态预期!R221="",0,求节点($C$31:$C$36,F$31:F$36,基础状态预期!R221)*基础状态预期!H221)</f>
        <v>0</v>
      </c>
      <c r="Q208" s="14">
        <f>IF(基础状态预期!S221="",0,求节点($C$31:$C$36,G$31:G$36,基础状态预期!S221)*基础状态预期!I221)</f>
        <v>0</v>
      </c>
      <c r="R208" s="14">
        <f>IF(基础状态预期!T221="",0,求节点($C$31:$C$36,H$31:H$36,基础状态预期!T221)*基础状态预期!J221)</f>
        <v>480.55214117595665</v>
      </c>
      <c r="S208" s="14"/>
      <c r="T208" s="14">
        <f>IF(基础状态预期!P221="",0,求节点($C$40:$C$45,D$40:D$45,基础状态预期!P221))</f>
        <v>0</v>
      </c>
      <c r="U208" s="14">
        <f>IF(基础状态预期!Q221="",0,求节点($C$40:$C$45,E$40:E$45,基础状态预期!Q221))</f>
        <v>0</v>
      </c>
      <c r="V208" s="14">
        <f>IF(基础状态预期!R221="",0,求节点($C$40:$C$45,F$40:F$45,基础状态预期!R221))</f>
        <v>0</v>
      </c>
      <c r="W208" s="14">
        <f>IF(基础状态预期!S221="",0,求节点($C$40:$C$45,G$40:G$45,基础状态预期!S221))</f>
        <v>0</v>
      </c>
      <c r="X208" s="14">
        <f>IF(基础状态预期!T221="",0,求节点($C$40:$C$45,H$40:H$45,基础状态预期!T221))</f>
        <v>545635194.35121441</v>
      </c>
      <c r="Y208" s="14">
        <f>MAX(SUMPRODUCT(T208:X208,基础状态预期!F221:J221),Y207)</f>
        <v>3273811166.1072865</v>
      </c>
      <c r="AP208" s="29">
        <f t="shared" si="47"/>
        <v>111.54601176466306</v>
      </c>
      <c r="AQ208" s="14"/>
      <c r="AR208" s="14">
        <f t="shared" si="48"/>
        <v>3273811166.1072865</v>
      </c>
      <c r="AS208" s="14">
        <f>(AR208-AR207)*INDEX('[1]功能-付费相关'!$AU$6:$AU$165,$AP208,1)+AS207</f>
        <v>2855404.4337300118</v>
      </c>
    </row>
    <row r="209" spans="13:45" x14ac:dyDescent="0.15">
      <c r="M209" s="16">
        <v>29</v>
      </c>
      <c r="N209" s="14">
        <f>基础状态预期!D222</f>
        <v>115.20444967370992</v>
      </c>
      <c r="O209" s="14">
        <f>IF(基础状态预期!Q222="",0,求节点($C$31:$C$36,E$31:E$36,基础状态预期!Q222)*基础状态预期!G222)</f>
        <v>0</v>
      </c>
      <c r="P209" s="14">
        <f>IF(基础状态预期!R222="",0,求节点($C$31:$C$36,F$31:F$36,基础状态预期!R222)*基础状态预期!H222)</f>
        <v>0</v>
      </c>
      <c r="Q209" s="14">
        <f>IF(基础状态预期!S222="",0,求节点($C$31:$C$36,G$31:G$36,基础状态预期!S222)*基础状态预期!I222)</f>
        <v>0</v>
      </c>
      <c r="R209" s="14">
        <f>IF(基础状态预期!T222="",0,求节点($C$31:$C$36,H$31:H$36,基础状态预期!T222)*基础状态预期!J222)</f>
        <v>524.45339608451889</v>
      </c>
      <c r="S209" s="14"/>
      <c r="T209" s="14">
        <f>IF(基础状态预期!P222="",0,求节点($C$40:$C$45,D$40:D$45,基础状态预期!P222))</f>
        <v>0</v>
      </c>
      <c r="U209" s="14">
        <f>IF(基础状态预期!Q222="",0,求节点($C$40:$C$45,E$40:E$45,基础状态预期!Q222))</f>
        <v>0</v>
      </c>
      <c r="V209" s="14">
        <f>IF(基础状态预期!R222="",0,求节点($C$40:$C$45,F$40:F$45,基础状态预期!R222))</f>
        <v>0</v>
      </c>
      <c r="W209" s="14">
        <f>IF(基础状态预期!S222="",0,求节点($C$40:$C$45,G$40:G$45,基础状态预期!S222))</f>
        <v>0</v>
      </c>
      <c r="X209" s="14">
        <f>IF(基础状态预期!T222="",0,求节点($C$40:$C$45,H$40:H$45,基础状态预期!T222))</f>
        <v>693143410.84398353</v>
      </c>
      <c r="Y209" s="14">
        <f>MAX(SUMPRODUCT(T209:X209,基础状态预期!F222:J222),Y208)</f>
        <v>4158860465.0639009</v>
      </c>
      <c r="AP209" s="29">
        <f t="shared" si="47"/>
        <v>115.20444967370992</v>
      </c>
      <c r="AQ209" s="14"/>
      <c r="AR209" s="14">
        <f t="shared" si="48"/>
        <v>4158860465.0639009</v>
      </c>
      <c r="AS209" s="14">
        <f>(AR209-AR208)*INDEX('[1]功能-付费相关'!$AU$6:$AU$165,$AP209,1)+AS208</f>
        <v>3569153.8683724431</v>
      </c>
    </row>
    <row r="210" spans="13:45" x14ac:dyDescent="0.15">
      <c r="M210" s="16">
        <v>30</v>
      </c>
      <c r="N210" s="14">
        <f>基础状态预期!D223</f>
        <v>118.75432507225094</v>
      </c>
      <c r="O210" s="14">
        <f>IF(基础状态预期!Q223="",0,求节点($C$31:$C$36,E$31:E$36,基础状态预期!Q223)*基础状态预期!G223)</f>
        <v>0</v>
      </c>
      <c r="P210" s="14">
        <f>IF(基础状态预期!R223="",0,求节点($C$31:$C$36,F$31:F$36,基础状态预期!R223)*基础状态预期!H223)</f>
        <v>0</v>
      </c>
      <c r="Q210" s="14">
        <f>IF(基础状态预期!S223="",0,求节点($C$31:$C$36,G$31:G$36,基础状态预期!S223)*基础状态预期!I223)</f>
        <v>0</v>
      </c>
      <c r="R210" s="14">
        <f>IF(基础状态预期!T223="",0,求节点($C$31:$C$36,H$31:H$36,基础状态预期!T223)*基础状态预期!J223)</f>
        <v>567.05190086701134</v>
      </c>
      <c r="S210" s="14"/>
      <c r="T210" s="14">
        <f>IF(基础状态预期!P223="",0,求节点($C$40:$C$45,D$40:D$45,基础状态预期!P223))</f>
        <v>0</v>
      </c>
      <c r="U210" s="14">
        <f>IF(基础状态预期!Q223="",0,求节点($C$40:$C$45,E$40:E$45,基础状态预期!Q223))</f>
        <v>0</v>
      </c>
      <c r="V210" s="14">
        <f>IF(基础状态预期!R223="",0,求节点($C$40:$C$45,F$40:F$45,基础状态预期!R223))</f>
        <v>0</v>
      </c>
      <c r="W210" s="14">
        <f>IF(基础状态预期!S223="",0,求节点($C$40:$C$45,G$40:G$45,基础状态预期!S223))</f>
        <v>0</v>
      </c>
      <c r="X210" s="14">
        <f>IF(基础状态预期!T223="",0,求节点($C$40:$C$45,H$40:H$45,基础状态预期!T223))</f>
        <v>836274386.91315806</v>
      </c>
      <c r="Y210" s="14">
        <f>MAX(SUMPRODUCT(T210:X210,基础状态预期!F223:J223),Y209)</f>
        <v>5017646321.4789486</v>
      </c>
      <c r="AP210" s="29">
        <f t="shared" si="47"/>
        <v>118.75432507225094</v>
      </c>
      <c r="AQ210" s="14"/>
      <c r="AR210" s="14">
        <f t="shared" si="48"/>
        <v>5017646321.4789486</v>
      </c>
      <c r="AS210" s="14">
        <f>(AR210-AR209)*INDEX('[1]功能-付费相关'!$AU$6:$AU$165,$AP210,1)+AS209</f>
        <v>4248573.0585742211</v>
      </c>
    </row>
    <row r="211" spans="13:45" x14ac:dyDescent="0.15">
      <c r="M211" s="16">
        <v>31</v>
      </c>
      <c r="N211" s="14">
        <f>基础状态预期!D224</f>
        <v>122.26514676047371</v>
      </c>
      <c r="O211" s="14">
        <f>IF(基础状态预期!Q224="",0,求节点($C$31:$C$36,E$31:E$36,基础状态预期!Q224)*基础状态预期!G224)</f>
        <v>0</v>
      </c>
      <c r="P211" s="14">
        <f>IF(基础状态预期!R224="",0,求节点($C$31:$C$36,F$31:F$36,基础状态预期!R224)*基础状态预期!H224)</f>
        <v>0</v>
      </c>
      <c r="Q211" s="14">
        <f>IF(基础状态预期!S224="",0,求节点($C$31:$C$36,G$31:G$36,基础状态预期!S224)*基础状态预期!I224)</f>
        <v>0</v>
      </c>
      <c r="R211" s="14">
        <f>IF(基础状态预期!T224="",0,求节点($C$31:$C$36,H$31:H$36,基础状态预期!T224)*基础状态预期!J224)</f>
        <v>609.18176112568449</v>
      </c>
      <c r="S211" s="14"/>
      <c r="T211" s="14">
        <f>IF(基础状态预期!P224="",0,求节点($C$40:$C$45,D$40:D$45,基础状态预期!P224))</f>
        <v>0</v>
      </c>
      <c r="U211" s="14">
        <f>IF(基础状态预期!Q224="",0,求节点($C$40:$C$45,E$40:E$45,基础状态预期!Q224))</f>
        <v>0</v>
      </c>
      <c r="V211" s="14">
        <f>IF(基础状态预期!R224="",0,求节点($C$40:$C$45,F$40:F$45,基础状态预期!R224))</f>
        <v>0</v>
      </c>
      <c r="W211" s="14">
        <f>IF(基础状态预期!S224="",0,求节点($C$40:$C$45,G$40:G$45,基础状态预期!S224))</f>
        <v>0</v>
      </c>
      <c r="X211" s="14">
        <f>IF(基础状态预期!T224="",0,求节点($C$40:$C$45,H$40:H$45,基础状态预期!T224))</f>
        <v>977830717.3822999</v>
      </c>
      <c r="Y211" s="14">
        <f>MAX(SUMPRODUCT(T211:X211,基础状态预期!F224:J224),Y210)</f>
        <v>5866984304.2937994</v>
      </c>
      <c r="AP211" s="29">
        <f t="shared" si="47"/>
        <v>122.26514676047371</v>
      </c>
      <c r="AQ211" s="14"/>
      <c r="AR211" s="14">
        <f t="shared" si="48"/>
        <v>5866984304.2937994</v>
      </c>
      <c r="AS211" s="14">
        <f>(AR211-AR210)*INDEX('[1]功能-付费相关'!$AU$6:$AU$165,$AP211,1)+AS210</f>
        <v>4903926.440375803</v>
      </c>
    </row>
    <row r="212" spans="13:45" x14ac:dyDescent="0.15">
      <c r="M212" s="16">
        <v>32</v>
      </c>
      <c r="N212" s="14">
        <f>基础状态预期!D225</f>
        <v>125.84855083483956</v>
      </c>
      <c r="O212" s="14">
        <f>IF(基础状态预期!Q225="",0,求节点($C$31:$C$36,E$31:E$36,基础状态预期!Q225)*基础状态预期!G225)</f>
        <v>0</v>
      </c>
      <c r="P212" s="14">
        <f>IF(基础状态预期!R225="",0,求节点($C$31:$C$36,F$31:F$36,基础状态预期!R225)*基础状态预期!H225)</f>
        <v>0</v>
      </c>
      <c r="Q212" s="14">
        <f>IF(基础状态预期!S225="",0,求节点($C$31:$C$36,G$31:G$36,基础状态预期!S225)*基础状态预期!I225)</f>
        <v>0</v>
      </c>
      <c r="R212" s="14">
        <f>IF(基础状态预期!T225="",0,求节点($C$31:$C$36,H$31:H$36,基础状态预期!T225)*基础状态预期!J225)</f>
        <v>642</v>
      </c>
      <c r="S212" s="14"/>
      <c r="T212" s="14">
        <f>IF(基础状态预期!P225="",0,求节点($C$40:$C$45,D$40:D$45,基础状态预期!P225))</f>
        <v>0</v>
      </c>
      <c r="U212" s="14">
        <f>IF(基础状态预期!Q225="",0,求节点($C$40:$C$45,E$40:E$45,基础状态预期!Q225))</f>
        <v>0</v>
      </c>
      <c r="V212" s="14">
        <f>IF(基础状态预期!R225="",0,求节点($C$40:$C$45,F$40:F$45,基础状态预期!R225))</f>
        <v>0</v>
      </c>
      <c r="W212" s="14">
        <f>IF(基础状态预期!S225="",0,求节点($C$40:$C$45,G$40:G$45,基础状态预期!S225))</f>
        <v>0</v>
      </c>
      <c r="X212" s="14">
        <f>IF(基础状态预期!T225="",0,求节点($C$40:$C$45,H$40:H$45,基础状态预期!T225))</f>
        <v>1088100000</v>
      </c>
      <c r="Y212" s="14">
        <f>MAX(SUMPRODUCT(T212:X212,基础状态预期!F225:J225),Y211)</f>
        <v>6528600000</v>
      </c>
      <c r="AP212" s="29">
        <f t="shared" si="47"/>
        <v>125.84855083483956</v>
      </c>
      <c r="AQ212" s="14"/>
      <c r="AR212" s="14">
        <f t="shared" si="48"/>
        <v>6528600000</v>
      </c>
      <c r="AS212" s="14">
        <f>(AR212-AR211)*INDEX('[1]功能-付费相关'!$AU$6:$AU$165,$AP212,1)+AS211</f>
        <v>5405150.4522744399</v>
      </c>
    </row>
    <row r="213" spans="13:45" x14ac:dyDescent="0.15">
      <c r="M213" s="16">
        <v>33</v>
      </c>
      <c r="N213" s="14">
        <f>基础状态预期!D226</f>
        <v>129.43528964176323</v>
      </c>
      <c r="O213" s="14">
        <f>IF(基础状态预期!Q226="",0,求节点($C$31:$C$36,E$31:E$36,基础状态预期!Q226)*基础状态预期!G226)</f>
        <v>0</v>
      </c>
      <c r="P213" s="14">
        <f>IF(基础状态预期!R226="",0,求节点($C$31:$C$36,F$31:F$36,基础状态预期!R226)*基础状态预期!H226)</f>
        <v>0</v>
      </c>
      <c r="Q213" s="14">
        <f>IF(基础状态预期!S226="",0,求节点($C$31:$C$36,G$31:G$36,基础状态预期!S226)*基础状态预期!I226)</f>
        <v>0</v>
      </c>
      <c r="R213" s="14">
        <f>IF(基础状态预期!T226="",0,求节点($C$31:$C$36,H$31:H$36,基础状态预期!T226)*基础状态预期!J226)</f>
        <v>642</v>
      </c>
      <c r="S213" s="14"/>
      <c r="T213" s="14">
        <f>IF(基础状态预期!P226="",0,求节点($C$40:$C$45,D$40:D$45,基础状态预期!P226))</f>
        <v>0</v>
      </c>
      <c r="U213" s="14">
        <f>IF(基础状态预期!Q226="",0,求节点($C$40:$C$45,E$40:E$45,基础状态预期!Q226))</f>
        <v>0</v>
      </c>
      <c r="V213" s="14">
        <f>IF(基础状态预期!R226="",0,求节点($C$40:$C$45,F$40:F$45,基础状态预期!R226))</f>
        <v>0</v>
      </c>
      <c r="W213" s="14">
        <f>IF(基础状态预期!S226="",0,求节点($C$40:$C$45,G$40:G$45,基础状态预期!S226))</f>
        <v>0</v>
      </c>
      <c r="X213" s="14">
        <f>IF(基础状态预期!T226="",0,求节点($C$40:$C$45,H$40:H$45,基础状态预期!T226))</f>
        <v>1088100000</v>
      </c>
      <c r="Y213" s="14">
        <f>MAX(SUMPRODUCT(T213:X213,基础状态预期!F226:J226),Y212)</f>
        <v>6528600000</v>
      </c>
      <c r="AP213" s="29">
        <f t="shared" si="47"/>
        <v>129.43528964176323</v>
      </c>
      <c r="AQ213" s="14"/>
      <c r="AR213" s="14">
        <f t="shared" si="48"/>
        <v>6528600000</v>
      </c>
      <c r="AS213" s="14">
        <f>(AR213-AR212)*INDEX('[1]功能-付费相关'!$AU$6:$AU$165,$AP213,1)+AS212</f>
        <v>5405150.4522744399</v>
      </c>
    </row>
    <row r="214" spans="13:45" x14ac:dyDescent="0.15">
      <c r="M214" s="16">
        <v>34</v>
      </c>
      <c r="N214" s="14">
        <f>基础状态预期!D227</f>
        <v>133.03192104200832</v>
      </c>
      <c r="O214" s="14">
        <f>IF(基础状态预期!Q227="",0,求节点($C$31:$C$36,E$31:E$36,基础状态预期!Q227)*基础状态预期!G227)</f>
        <v>0</v>
      </c>
      <c r="P214" s="14">
        <f>IF(基础状态预期!R227="",0,求节点($C$31:$C$36,F$31:F$36,基础状态预期!R227)*基础状态预期!H227)</f>
        <v>0</v>
      </c>
      <c r="Q214" s="14">
        <f>IF(基础状态预期!S227="",0,求节点($C$31:$C$36,G$31:G$36,基础状态预期!S227)*基础状态预期!I227)</f>
        <v>0</v>
      </c>
      <c r="R214" s="14">
        <f>IF(基础状态预期!T227="",0,求节点($C$31:$C$36,H$31:H$36,基础状态预期!T227)*基础状态预期!J227)</f>
        <v>642</v>
      </c>
      <c r="S214" s="14"/>
      <c r="T214" s="14">
        <f>IF(基础状态预期!P227="",0,求节点($C$40:$C$45,D$40:D$45,基础状态预期!P227))</f>
        <v>0</v>
      </c>
      <c r="U214" s="14">
        <f>IF(基础状态预期!Q227="",0,求节点($C$40:$C$45,E$40:E$45,基础状态预期!Q227))</f>
        <v>0</v>
      </c>
      <c r="V214" s="14">
        <f>IF(基础状态预期!R227="",0,求节点($C$40:$C$45,F$40:F$45,基础状态预期!R227))</f>
        <v>0</v>
      </c>
      <c r="W214" s="14">
        <f>IF(基础状态预期!S227="",0,求节点($C$40:$C$45,G$40:G$45,基础状态预期!S227))</f>
        <v>0</v>
      </c>
      <c r="X214" s="14">
        <f>IF(基础状态预期!T227="",0,求节点($C$40:$C$45,H$40:H$45,基础状态预期!T227))</f>
        <v>1088100000</v>
      </c>
      <c r="Y214" s="14">
        <f>MAX(SUMPRODUCT(T214:X214,基础状态预期!F227:J227),Y213)</f>
        <v>6528600000</v>
      </c>
      <c r="AP214" s="29">
        <f t="shared" si="47"/>
        <v>133.03192104200832</v>
      </c>
      <c r="AQ214" s="14"/>
      <c r="AR214" s="14">
        <f t="shared" si="48"/>
        <v>6528600000</v>
      </c>
      <c r="AS214" s="14">
        <f>(AR214-AR213)*INDEX('[1]功能-付费相关'!$AU$6:$AU$165,$AP214,1)+AS213</f>
        <v>5405150.4522744399</v>
      </c>
    </row>
    <row r="215" spans="13:45" x14ac:dyDescent="0.15">
      <c r="M215" s="16">
        <v>35</v>
      </c>
      <c r="N215" s="14">
        <f>基础状态预期!D228</f>
        <v>136.45508882162355</v>
      </c>
      <c r="O215" s="14">
        <f>IF(基础状态预期!Q228="",0,求节点($C$31:$C$36,E$31:E$36,基础状态预期!Q228)*基础状态预期!G228)</f>
        <v>0</v>
      </c>
      <c r="P215" s="14">
        <f>IF(基础状态预期!R228="",0,求节点($C$31:$C$36,F$31:F$36,基础状态预期!R228)*基础状态预期!H228)</f>
        <v>0</v>
      </c>
      <c r="Q215" s="14">
        <f>IF(基础状态预期!S228="",0,求节点($C$31:$C$36,G$31:G$36,基础状态预期!S228)*基础状态预期!I228)</f>
        <v>0</v>
      </c>
      <c r="R215" s="14">
        <f>IF(基础状态预期!T228="",0,求节点($C$31:$C$36,H$31:H$36,基础状态预期!T228)*基础状态预期!J228)</f>
        <v>642</v>
      </c>
      <c r="S215" s="14"/>
      <c r="T215" s="14">
        <f>IF(基础状态预期!P228="",0,求节点($C$40:$C$45,D$40:D$45,基础状态预期!P228))</f>
        <v>0</v>
      </c>
      <c r="U215" s="14">
        <f>IF(基础状态预期!Q228="",0,求节点($C$40:$C$45,E$40:E$45,基础状态预期!Q228))</f>
        <v>0</v>
      </c>
      <c r="V215" s="14">
        <f>IF(基础状态预期!R228="",0,求节点($C$40:$C$45,F$40:F$45,基础状态预期!R228))</f>
        <v>0</v>
      </c>
      <c r="W215" s="14">
        <f>IF(基础状态预期!S228="",0,求节点($C$40:$C$45,G$40:G$45,基础状态预期!S228))</f>
        <v>0</v>
      </c>
      <c r="X215" s="14">
        <f>IF(基础状态预期!T228="",0,求节点($C$40:$C$45,H$40:H$45,基础状态预期!T228))</f>
        <v>1088100000</v>
      </c>
      <c r="Y215" s="14">
        <f>MAX(SUMPRODUCT(T215:X215,基础状态预期!F228:J228),Y214)</f>
        <v>6528600000</v>
      </c>
      <c r="AP215" s="29">
        <f t="shared" si="47"/>
        <v>136.45508882162355</v>
      </c>
      <c r="AQ215" s="14"/>
      <c r="AR215" s="14">
        <f t="shared" si="48"/>
        <v>6528600000</v>
      </c>
      <c r="AS215" s="14">
        <f>(AR215-AR214)*INDEX('[1]功能-付费相关'!$AU$6:$AU$165,$AP215,1)+AS214</f>
        <v>5405150.4522744399</v>
      </c>
    </row>
    <row r="216" spans="13:45" x14ac:dyDescent="0.15">
      <c r="M216" s="16">
        <v>36</v>
      </c>
      <c r="N216" s="14">
        <f>基础状态预期!D229</f>
        <v>140.08772492574531</v>
      </c>
      <c r="O216" s="14">
        <f>IF(基础状态预期!Q229="",0,求节点($C$31:$C$36,E$31:E$36,基础状态预期!Q229)*基础状态预期!G229)</f>
        <v>0</v>
      </c>
      <c r="P216" s="14">
        <f>IF(基础状态预期!R229="",0,求节点($C$31:$C$36,F$31:F$36,基础状态预期!R229)*基础状态预期!H229)</f>
        <v>0</v>
      </c>
      <c r="Q216" s="14">
        <f>IF(基础状态预期!S229="",0,求节点($C$31:$C$36,G$31:G$36,基础状态预期!S229)*基础状态预期!I229)</f>
        <v>0</v>
      </c>
      <c r="R216" s="14">
        <f>IF(基础状态预期!T229="",0,求节点($C$31:$C$36,H$31:H$36,基础状态预期!T229)*基础状态预期!J229)</f>
        <v>642</v>
      </c>
      <c r="S216" s="14"/>
      <c r="T216" s="14">
        <f>IF(基础状态预期!P229="",0,求节点($C$40:$C$45,D$40:D$45,基础状态预期!P229))</f>
        <v>0</v>
      </c>
      <c r="U216" s="14">
        <f>IF(基础状态预期!Q229="",0,求节点($C$40:$C$45,E$40:E$45,基础状态预期!Q229))</f>
        <v>0</v>
      </c>
      <c r="V216" s="14">
        <f>IF(基础状态预期!R229="",0,求节点($C$40:$C$45,F$40:F$45,基础状态预期!R229))</f>
        <v>0</v>
      </c>
      <c r="W216" s="14">
        <f>IF(基础状态预期!S229="",0,求节点($C$40:$C$45,G$40:G$45,基础状态预期!S229))</f>
        <v>0</v>
      </c>
      <c r="X216" s="14">
        <f>IF(基础状态预期!T229="",0,求节点($C$40:$C$45,H$40:H$45,基础状态预期!T229))</f>
        <v>1088100000</v>
      </c>
      <c r="Y216" s="14">
        <f>MAX(SUMPRODUCT(T216:X216,基础状态预期!F229:J229),Y215)</f>
        <v>6528600000</v>
      </c>
      <c r="AP216" s="29">
        <f t="shared" si="47"/>
        <v>140.08772492574531</v>
      </c>
      <c r="AQ216" s="14"/>
      <c r="AR216" s="14">
        <f t="shared" si="48"/>
        <v>6528600000</v>
      </c>
      <c r="AS216" s="14">
        <f>(AR216-AR215)*INDEX('[1]功能-付费相关'!$AU$6:$AU$165,$AP216,1)+AS215</f>
        <v>5405150.4522744399</v>
      </c>
    </row>
    <row r="217" spans="13:45" x14ac:dyDescent="0.15">
      <c r="M217" s="16">
        <v>37</v>
      </c>
      <c r="N217" s="14">
        <f>基础状态预期!D230</f>
        <v>143.51956656528549</v>
      </c>
      <c r="O217" s="14">
        <f>IF(基础状态预期!Q230="",0,求节点($C$31:$C$36,E$31:E$36,基础状态预期!Q230)*基础状态预期!G230)</f>
        <v>0</v>
      </c>
      <c r="P217" s="14">
        <f>IF(基础状态预期!R230="",0,求节点($C$31:$C$36,F$31:F$36,基础状态预期!R230)*基础状态预期!H230)</f>
        <v>0</v>
      </c>
      <c r="Q217" s="14">
        <f>IF(基础状态预期!S230="",0,求节点($C$31:$C$36,G$31:G$36,基础状态预期!S230)*基础状态预期!I230)</f>
        <v>0</v>
      </c>
      <c r="R217" s="14">
        <f>IF(基础状态预期!T230="",0,求节点($C$31:$C$36,H$31:H$36,基础状态预期!T230)*基础状态预期!J230)</f>
        <v>642</v>
      </c>
      <c r="S217" s="14"/>
      <c r="T217" s="14">
        <f>IF(基础状态预期!P230="",0,求节点($C$40:$C$45,D$40:D$45,基础状态预期!P230))</f>
        <v>0</v>
      </c>
      <c r="U217" s="14">
        <f>IF(基础状态预期!Q230="",0,求节点($C$40:$C$45,E$40:E$45,基础状态预期!Q230))</f>
        <v>0</v>
      </c>
      <c r="V217" s="14">
        <f>IF(基础状态预期!R230="",0,求节点($C$40:$C$45,F$40:F$45,基础状态预期!R230))</f>
        <v>0</v>
      </c>
      <c r="W217" s="14">
        <f>IF(基础状态预期!S230="",0,求节点($C$40:$C$45,G$40:G$45,基础状态预期!S230))</f>
        <v>0</v>
      </c>
      <c r="X217" s="14">
        <f>IF(基础状态预期!T230="",0,求节点($C$40:$C$45,H$40:H$45,基础状态预期!T230))</f>
        <v>1088100000</v>
      </c>
      <c r="Y217" s="14">
        <f>MAX(SUMPRODUCT(T217:X217,基础状态预期!F230:J230),Y216)</f>
        <v>6528600000</v>
      </c>
      <c r="AP217" s="29">
        <f t="shared" si="47"/>
        <v>143.51956656528549</v>
      </c>
      <c r="AQ217" s="14"/>
      <c r="AR217" s="14">
        <f t="shared" si="48"/>
        <v>6528600000</v>
      </c>
      <c r="AS217" s="14">
        <f>(AR217-AR216)*INDEX('[1]功能-付费相关'!$AU$6:$AU$165,$AP217,1)+AS216</f>
        <v>5405150.4522744399</v>
      </c>
    </row>
    <row r="218" spans="13:45" x14ac:dyDescent="0.15">
      <c r="M218" s="16">
        <v>38</v>
      </c>
      <c r="N218" s="14">
        <f>基础状态预期!D231</f>
        <v>147.17868266109423</v>
      </c>
      <c r="O218" s="14">
        <f>IF(基础状态预期!Q231="",0,求节点($C$31:$C$36,E$31:E$36,基础状态预期!Q231)*基础状态预期!G231)</f>
        <v>0</v>
      </c>
      <c r="P218" s="14">
        <f>IF(基础状态预期!R231="",0,求节点($C$31:$C$36,F$31:F$36,基础状态预期!R231)*基础状态预期!H231)</f>
        <v>0</v>
      </c>
      <c r="Q218" s="14">
        <f>IF(基础状态预期!S231="",0,求节点($C$31:$C$36,G$31:G$36,基础状态预期!S231)*基础状态预期!I231)</f>
        <v>0</v>
      </c>
      <c r="R218" s="14">
        <f>IF(基础状态预期!T231="",0,求节点($C$31:$C$36,H$31:H$36,基础状态预期!T231)*基础状态预期!J231)</f>
        <v>642</v>
      </c>
      <c r="S218" s="14"/>
      <c r="T218" s="14">
        <f>IF(基础状态预期!P231="",0,求节点($C$40:$C$45,D$40:D$45,基础状态预期!P231))</f>
        <v>0</v>
      </c>
      <c r="U218" s="14">
        <f>IF(基础状态预期!Q231="",0,求节点($C$40:$C$45,E$40:E$45,基础状态预期!Q231))</f>
        <v>0</v>
      </c>
      <c r="V218" s="14">
        <f>IF(基础状态预期!R231="",0,求节点($C$40:$C$45,F$40:F$45,基础状态预期!R231))</f>
        <v>0</v>
      </c>
      <c r="W218" s="14">
        <f>IF(基础状态预期!S231="",0,求节点($C$40:$C$45,G$40:G$45,基础状态预期!S231))</f>
        <v>0</v>
      </c>
      <c r="X218" s="14">
        <f>IF(基础状态预期!T231="",0,求节点($C$40:$C$45,H$40:H$45,基础状态预期!T231))</f>
        <v>1088100000</v>
      </c>
      <c r="Y218" s="14">
        <f>MAX(SUMPRODUCT(T218:X218,基础状态预期!F231:J231),Y217)</f>
        <v>6528600000</v>
      </c>
      <c r="AP218" s="29">
        <f t="shared" si="47"/>
        <v>147.17868266109423</v>
      </c>
      <c r="AQ218" s="14"/>
      <c r="AR218" s="14">
        <f t="shared" si="48"/>
        <v>6528600000</v>
      </c>
      <c r="AS218" s="14">
        <f>(AR218-AR217)*INDEX('[1]功能-付费相关'!$AU$6:$AU$165,$AP218,1)+AS217</f>
        <v>5405150.4522744399</v>
      </c>
    </row>
    <row r="219" spans="13:45" x14ac:dyDescent="0.15">
      <c r="M219" s="16">
        <v>39</v>
      </c>
      <c r="N219" s="14">
        <f>基础状态预期!D232</f>
        <v>150.49637054967232</v>
      </c>
      <c r="O219" s="14">
        <f>IF(基础状态预期!Q232="",0,求节点($C$31:$C$36,E$31:E$36,基础状态预期!Q232)*基础状态预期!G232)</f>
        <v>0</v>
      </c>
      <c r="P219" s="14">
        <f>IF(基础状态预期!R232="",0,求节点($C$31:$C$36,F$31:F$36,基础状态预期!R232)*基础状态预期!H232)</f>
        <v>0</v>
      </c>
      <c r="Q219" s="14">
        <f>IF(基础状态预期!S232="",0,求节点($C$31:$C$36,G$31:G$36,基础状态预期!S232)*基础状态预期!I232)</f>
        <v>0</v>
      </c>
      <c r="R219" s="14">
        <f>IF(基础状态预期!T232="",0,求节点($C$31:$C$36,H$31:H$36,基础状态预期!T232)*基础状态预期!J232)</f>
        <v>642</v>
      </c>
      <c r="S219" s="14"/>
      <c r="T219" s="14">
        <f>IF(基础状态预期!P232="",0,求节点($C$40:$C$45,D$40:D$45,基础状态预期!P232))</f>
        <v>0</v>
      </c>
      <c r="U219" s="14">
        <f>IF(基础状态预期!Q232="",0,求节点($C$40:$C$45,E$40:E$45,基础状态预期!Q232))</f>
        <v>0</v>
      </c>
      <c r="V219" s="14">
        <f>IF(基础状态预期!R232="",0,求节点($C$40:$C$45,F$40:F$45,基础状态预期!R232))</f>
        <v>0</v>
      </c>
      <c r="W219" s="14">
        <f>IF(基础状态预期!S232="",0,求节点($C$40:$C$45,G$40:G$45,基础状态预期!S232))</f>
        <v>0</v>
      </c>
      <c r="X219" s="14">
        <f>IF(基础状态预期!T232="",0,求节点($C$40:$C$45,H$40:H$45,基础状态预期!T232))</f>
        <v>1088100000</v>
      </c>
      <c r="Y219" s="14">
        <f>MAX(SUMPRODUCT(T219:X219,基础状态预期!F232:J232),Y218)</f>
        <v>6528600000</v>
      </c>
      <c r="AP219" s="29">
        <f t="shared" si="47"/>
        <v>150.49637054967232</v>
      </c>
      <c r="AQ219" s="14"/>
      <c r="AR219" s="14">
        <f t="shared" si="48"/>
        <v>6528600000</v>
      </c>
      <c r="AS219" s="14">
        <f>(AR219-AR218)*INDEX('[1]功能-付费相关'!$AU$6:$AU$165,$AP219,1)+AS218</f>
        <v>5405150.4522744399</v>
      </c>
    </row>
    <row r="220" spans="13:45" x14ac:dyDescent="0.15">
      <c r="M220" s="16">
        <v>40</v>
      </c>
      <c r="N220" s="14">
        <f>基础状态预期!D233</f>
        <v>151.40240982411487</v>
      </c>
      <c r="O220" s="14">
        <f>IF(基础状态预期!Q233="",0,求节点($C$31:$C$36,E$31:E$36,基础状态预期!Q233)*基础状态预期!G233)</f>
        <v>0</v>
      </c>
      <c r="P220" s="14">
        <f>IF(基础状态预期!R233="",0,求节点($C$31:$C$36,F$31:F$36,基础状态预期!R233)*基础状态预期!H233)</f>
        <v>0</v>
      </c>
      <c r="Q220" s="14">
        <f>IF(基础状态预期!S233="",0,求节点($C$31:$C$36,G$31:G$36,基础状态预期!S233)*基础状态预期!I233)</f>
        <v>0</v>
      </c>
      <c r="R220" s="14">
        <f>IF(基础状态预期!T233="",0,求节点($C$31:$C$36,H$31:H$36,基础状态预期!T233)*基础状态预期!J233)</f>
        <v>642</v>
      </c>
      <c r="S220" s="14"/>
      <c r="T220" s="14">
        <f>IF(基础状态预期!P233="",0,求节点($C$40:$C$45,D$40:D$45,基础状态预期!P233))</f>
        <v>0</v>
      </c>
      <c r="U220" s="14">
        <f>IF(基础状态预期!Q233="",0,求节点($C$40:$C$45,E$40:E$45,基础状态预期!Q233))</f>
        <v>0</v>
      </c>
      <c r="V220" s="14">
        <f>IF(基础状态预期!R233="",0,求节点($C$40:$C$45,F$40:F$45,基础状态预期!R233))</f>
        <v>0</v>
      </c>
      <c r="W220" s="14">
        <f>IF(基础状态预期!S233="",0,求节点($C$40:$C$45,G$40:G$45,基础状态预期!S233))</f>
        <v>0</v>
      </c>
      <c r="X220" s="14">
        <f>IF(基础状态预期!T233="",0,求节点($C$40:$C$45,H$40:H$45,基础状态预期!T233))</f>
        <v>1088100000</v>
      </c>
      <c r="Y220" s="14">
        <f>MAX(SUMPRODUCT(T220:X220,基础状态预期!F233:J233),Y219)</f>
        <v>6528600000</v>
      </c>
      <c r="AP220" s="29">
        <f t="shared" si="47"/>
        <v>151.40240982411487</v>
      </c>
      <c r="AQ220" s="14"/>
      <c r="AR220" s="14">
        <f t="shared" si="48"/>
        <v>6528600000</v>
      </c>
      <c r="AS220" s="14">
        <f>(AR220-AR219)*INDEX('[1]功能-付费相关'!$AU$6:$AU$165,$AP220,1)+AS219</f>
        <v>5405150.4522744399</v>
      </c>
    </row>
    <row r="221" spans="13:45" x14ac:dyDescent="0.15">
      <c r="M221" s="16">
        <v>41</v>
      </c>
      <c r="N221" s="14">
        <f>基础状态预期!D234</f>
        <v>152.00526961196863</v>
      </c>
      <c r="O221" s="14">
        <f>IF(基础状态预期!Q234="",0,求节点($C$31:$C$36,E$31:E$36,基础状态预期!Q234)*基础状态预期!G234)</f>
        <v>0</v>
      </c>
      <c r="P221" s="14">
        <f>IF(基础状态预期!R234="",0,求节点($C$31:$C$36,F$31:F$36,基础状态预期!R234)*基础状态预期!H234)</f>
        <v>0</v>
      </c>
      <c r="Q221" s="14">
        <f>IF(基础状态预期!S234="",0,求节点($C$31:$C$36,G$31:G$36,基础状态预期!S234)*基础状态预期!I234)</f>
        <v>0</v>
      </c>
      <c r="R221" s="14">
        <f>IF(基础状态预期!T234="",0,求节点($C$31:$C$36,H$31:H$36,基础状态预期!T234)*基础状态预期!J234)</f>
        <v>642</v>
      </c>
      <c r="S221" s="14"/>
      <c r="T221" s="14">
        <f>IF(基础状态预期!P234="",0,求节点($C$40:$C$45,D$40:D$45,基础状态预期!P234))</f>
        <v>0</v>
      </c>
      <c r="U221" s="14">
        <f>IF(基础状态预期!Q234="",0,求节点($C$40:$C$45,E$40:E$45,基础状态预期!Q234))</f>
        <v>0</v>
      </c>
      <c r="V221" s="14">
        <f>IF(基础状态预期!R234="",0,求节点($C$40:$C$45,F$40:F$45,基础状态预期!R234))</f>
        <v>0</v>
      </c>
      <c r="W221" s="14">
        <f>IF(基础状态预期!S234="",0,求节点($C$40:$C$45,G$40:G$45,基础状态预期!S234))</f>
        <v>0</v>
      </c>
      <c r="X221" s="14">
        <f>IF(基础状态预期!T234="",0,求节点($C$40:$C$45,H$40:H$45,基础状态预期!T234))</f>
        <v>1088100000</v>
      </c>
      <c r="Y221" s="14">
        <f>MAX(SUMPRODUCT(T221:X221,基础状态预期!F234:J234),Y220)</f>
        <v>6528600000</v>
      </c>
      <c r="AP221" s="29">
        <f t="shared" si="47"/>
        <v>152.00526961196863</v>
      </c>
      <c r="AQ221" s="14"/>
      <c r="AR221" s="14">
        <f t="shared" si="48"/>
        <v>6528600000</v>
      </c>
      <c r="AS221" s="14">
        <f>(AR221-AR220)*INDEX('[1]功能-付费相关'!$AU$6:$AU$165,$AP221,1)+AS220</f>
        <v>5405150.4522744399</v>
      </c>
    </row>
    <row r="222" spans="13:45" x14ac:dyDescent="0.15">
      <c r="M222" s="16">
        <v>42</v>
      </c>
      <c r="N222" s="14">
        <f>基础状态预期!D235</f>
        <v>152.38629594951036</v>
      </c>
      <c r="O222" s="14">
        <f>IF(基础状态预期!Q235="",0,求节点($C$31:$C$36,E$31:E$36,基础状态预期!Q235)*基础状态预期!G235)</f>
        <v>0</v>
      </c>
      <c r="P222" s="14">
        <f>IF(基础状态预期!R235="",0,求节点($C$31:$C$36,F$31:F$36,基础状态预期!R235)*基础状态预期!H235)</f>
        <v>0</v>
      </c>
      <c r="Q222" s="14">
        <f>IF(基础状态预期!S235="",0,求节点($C$31:$C$36,G$31:G$36,基础状态预期!S235)*基础状态预期!I235)</f>
        <v>0</v>
      </c>
      <c r="R222" s="14">
        <f>IF(基础状态预期!T235="",0,求节点($C$31:$C$36,H$31:H$36,基础状态预期!T235)*基础状态预期!J235)</f>
        <v>642</v>
      </c>
      <c r="S222" s="14"/>
      <c r="T222" s="14">
        <f>IF(基础状态预期!P235="",0,求节点($C$40:$C$45,D$40:D$45,基础状态预期!P235))</f>
        <v>0</v>
      </c>
      <c r="U222" s="14">
        <f>IF(基础状态预期!Q235="",0,求节点($C$40:$C$45,E$40:E$45,基础状态预期!Q235))</f>
        <v>0</v>
      </c>
      <c r="V222" s="14">
        <f>IF(基础状态预期!R235="",0,求节点($C$40:$C$45,F$40:F$45,基础状态预期!R235))</f>
        <v>0</v>
      </c>
      <c r="W222" s="14">
        <f>IF(基础状态预期!S235="",0,求节点($C$40:$C$45,G$40:G$45,基础状态预期!S235))</f>
        <v>0</v>
      </c>
      <c r="X222" s="14">
        <f>IF(基础状态预期!T235="",0,求节点($C$40:$C$45,H$40:H$45,基础状态预期!T235))</f>
        <v>1088100000</v>
      </c>
      <c r="Y222" s="14">
        <f>MAX(SUMPRODUCT(T222:X222,基础状态预期!F235:J235),Y221)</f>
        <v>6528600000</v>
      </c>
      <c r="AP222" s="29">
        <f t="shared" si="47"/>
        <v>152.38629594951036</v>
      </c>
      <c r="AQ222" s="14"/>
      <c r="AR222" s="14">
        <f t="shared" si="48"/>
        <v>6528600000</v>
      </c>
      <c r="AS222" s="14">
        <f>(AR222-AR221)*INDEX('[1]功能-付费相关'!$AU$6:$AU$165,$AP222,1)+AS221</f>
        <v>5405150.4522744399</v>
      </c>
    </row>
    <row r="223" spans="13:45" x14ac:dyDescent="0.15">
      <c r="M223" s="16">
        <v>43</v>
      </c>
    </row>
    <row r="224" spans="13:45" x14ac:dyDescent="0.15">
      <c r="M224" s="16">
        <v>44</v>
      </c>
    </row>
    <row r="225" spans="13:13" x14ac:dyDescent="0.15">
      <c r="M225" s="16">
        <v>45</v>
      </c>
    </row>
  </sheetData>
  <mergeCells count="36">
    <mergeCell ref="O2:S2"/>
    <mergeCell ref="O47:S47"/>
    <mergeCell ref="T2:Y2"/>
    <mergeCell ref="T47:Y47"/>
    <mergeCell ref="B12:B19"/>
    <mergeCell ref="B21:B28"/>
    <mergeCell ref="T137:Y137"/>
    <mergeCell ref="B3:B10"/>
    <mergeCell ref="B48:B55"/>
    <mergeCell ref="T182:Y182"/>
    <mergeCell ref="O137:S137"/>
    <mergeCell ref="O182:S182"/>
    <mergeCell ref="B30:B37"/>
    <mergeCell ref="B39:B46"/>
    <mergeCell ref="T92:Y92"/>
    <mergeCell ref="O92:S92"/>
    <mergeCell ref="AH2:AL2"/>
    <mergeCell ref="AH47:AL47"/>
    <mergeCell ref="AH92:AL92"/>
    <mergeCell ref="AH137:AL137"/>
    <mergeCell ref="AH182:AL182"/>
    <mergeCell ref="AD2:AG2"/>
    <mergeCell ref="AD47:AG47"/>
    <mergeCell ref="AD92:AG92"/>
    <mergeCell ref="AD137:AG137"/>
    <mergeCell ref="AD182:AG182"/>
    <mergeCell ref="AQ137:AS137"/>
    <mergeCell ref="AV137:AW137"/>
    <mergeCell ref="AQ182:AS182"/>
    <mergeCell ref="AV182:AW182"/>
    <mergeCell ref="AQ2:AS2"/>
    <mergeCell ref="AV2:AW2"/>
    <mergeCell ref="AQ47:AS47"/>
    <mergeCell ref="AV47:AW47"/>
    <mergeCell ref="AQ92:AS92"/>
    <mergeCell ref="AV92:AW92"/>
  </mergeCells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2:BY226"/>
  <sheetViews>
    <sheetView workbookViewId="0">
      <selection activeCell="Q37" sqref="Q37"/>
    </sheetView>
  </sheetViews>
  <sheetFormatPr defaultColWidth="6.625" defaultRowHeight="11.25" x14ac:dyDescent="0.15"/>
  <cols>
    <col min="1" max="8" width="6.625" style="61"/>
    <col min="9" max="9" width="7.5" style="61" bestFit="1" customWidth="1"/>
    <col min="10" max="10" width="6.625" style="61"/>
    <col min="11" max="11" width="6.625" style="68"/>
    <col min="12" max="51" width="6.625" style="61"/>
    <col min="52" max="52" width="6.625" style="68"/>
    <col min="53" max="64" width="6.625" style="61"/>
    <col min="65" max="65" width="6.625" style="68"/>
    <col min="66" max="16384" width="6.625" style="61"/>
  </cols>
  <sheetData>
    <row r="2" spans="2:77" x14ac:dyDescent="0.15">
      <c r="F2" s="61">
        <f>F5/F4</f>
        <v>10</v>
      </c>
      <c r="G2" s="61">
        <f t="shared" ref="G2:I2" si="0">G5/G4</f>
        <v>25</v>
      </c>
      <c r="H2" s="61">
        <f t="shared" si="0"/>
        <v>40</v>
      </c>
      <c r="I2" s="61">
        <f t="shared" si="0"/>
        <v>60</v>
      </c>
      <c r="L2" s="61">
        <v>1</v>
      </c>
      <c r="BB2" s="80" t="s">
        <v>291</v>
      </c>
      <c r="BC2" s="194" t="s">
        <v>55</v>
      </c>
      <c r="BD2" s="195"/>
      <c r="BE2" s="195"/>
      <c r="BF2" s="196"/>
      <c r="BG2" s="197" t="s">
        <v>290</v>
      </c>
      <c r="BH2" s="197"/>
      <c r="BI2" s="197"/>
      <c r="BJ2" s="197"/>
      <c r="BK2" s="197"/>
      <c r="BO2" s="80" t="s">
        <v>291</v>
      </c>
      <c r="BP2" s="197" t="s">
        <v>306</v>
      </c>
      <c r="BQ2" s="197"/>
      <c r="BR2" s="197"/>
      <c r="BS2" s="197"/>
      <c r="BU2" s="80" t="s">
        <v>291</v>
      </c>
      <c r="BV2" s="197" t="s">
        <v>308</v>
      </c>
      <c r="BW2" s="197"/>
      <c r="BX2" s="197"/>
    </row>
    <row r="3" spans="2:77" x14ac:dyDescent="0.15">
      <c r="B3" s="198" t="s">
        <v>275</v>
      </c>
      <c r="C3" s="80" t="s">
        <v>269</v>
      </c>
      <c r="D3" s="80" t="s">
        <v>3</v>
      </c>
      <c r="E3" s="80" t="s">
        <v>1</v>
      </c>
      <c r="F3" s="80" t="s">
        <v>2</v>
      </c>
      <c r="G3" s="80" t="s">
        <v>0</v>
      </c>
      <c r="H3" s="80" t="s">
        <v>545</v>
      </c>
      <c r="I3" s="80" t="s">
        <v>30</v>
      </c>
      <c r="L3" s="61">
        <v>2</v>
      </c>
      <c r="M3" s="80" t="s">
        <v>96</v>
      </c>
      <c r="N3" s="197" t="s">
        <v>285</v>
      </c>
      <c r="O3" s="197"/>
      <c r="P3" s="197"/>
      <c r="Q3" s="197"/>
      <c r="R3" s="197"/>
      <c r="S3" s="197"/>
      <c r="T3" s="197" t="s">
        <v>380</v>
      </c>
      <c r="U3" s="197"/>
      <c r="V3" s="197"/>
      <c r="W3" s="197"/>
      <c r="X3" s="197"/>
      <c r="Y3" s="194" t="s">
        <v>461</v>
      </c>
      <c r="Z3" s="195"/>
      <c r="AA3" s="195"/>
      <c r="AB3" s="195"/>
      <c r="AC3" s="195"/>
      <c r="AD3" s="196"/>
      <c r="AE3" s="194" t="s">
        <v>462</v>
      </c>
      <c r="AF3" s="195"/>
      <c r="AG3" s="195"/>
      <c r="AH3" s="195"/>
      <c r="AI3" s="195"/>
      <c r="AJ3" s="196"/>
      <c r="AL3" s="80" t="s">
        <v>96</v>
      </c>
      <c r="AM3" s="194" t="s">
        <v>461</v>
      </c>
      <c r="AN3" s="195"/>
      <c r="AO3" s="195"/>
      <c r="AP3" s="195"/>
      <c r="AQ3" s="195"/>
      <c r="AR3" s="196"/>
      <c r="AS3" s="194" t="s">
        <v>462</v>
      </c>
      <c r="AT3" s="195"/>
      <c r="AU3" s="195"/>
      <c r="AV3" s="195"/>
      <c r="AW3" s="195"/>
      <c r="AX3" s="196"/>
      <c r="BB3" s="80" t="s">
        <v>478</v>
      </c>
      <c r="BC3" s="80" t="s">
        <v>152</v>
      </c>
      <c r="BD3" s="80" t="s">
        <v>250</v>
      </c>
      <c r="BE3" s="80" t="s">
        <v>251</v>
      </c>
      <c r="BF3" s="80" t="s">
        <v>295</v>
      </c>
      <c r="BG3" s="80" t="s">
        <v>152</v>
      </c>
      <c r="BH3" s="80" t="s">
        <v>250</v>
      </c>
      <c r="BI3" s="80" t="s">
        <v>251</v>
      </c>
      <c r="BJ3" s="80" t="s">
        <v>295</v>
      </c>
      <c r="BK3" s="80" t="s">
        <v>293</v>
      </c>
      <c r="BO3" s="80" t="s">
        <v>478</v>
      </c>
      <c r="BP3" s="80" t="s">
        <v>311</v>
      </c>
      <c r="BQ3" s="80" t="s">
        <v>340</v>
      </c>
      <c r="BR3" s="80" t="s">
        <v>312</v>
      </c>
      <c r="BS3" s="80" t="s">
        <v>309</v>
      </c>
      <c r="BU3" s="80" t="s">
        <v>478</v>
      </c>
      <c r="BV3" s="80" t="s">
        <v>311</v>
      </c>
      <c r="BW3" s="80" t="s">
        <v>312</v>
      </c>
      <c r="BX3" s="80" t="s">
        <v>313</v>
      </c>
      <c r="BY3" s="80" t="s">
        <v>472</v>
      </c>
    </row>
    <row r="4" spans="2:77" x14ac:dyDescent="0.15">
      <c r="B4" s="199"/>
      <c r="C4" s="80">
        <v>1</v>
      </c>
      <c r="D4" s="80"/>
      <c r="E4" s="80"/>
      <c r="F4" s="80">
        <v>10000</v>
      </c>
      <c r="G4" s="80">
        <v>20000</v>
      </c>
      <c r="H4" s="80">
        <v>50000</v>
      </c>
      <c r="I4" s="80">
        <v>200000</v>
      </c>
      <c r="L4" s="61">
        <v>3</v>
      </c>
      <c r="M4" s="80" t="s">
        <v>478</v>
      </c>
      <c r="N4" s="80" t="s">
        <v>3</v>
      </c>
      <c r="O4" s="80" t="s">
        <v>1</v>
      </c>
      <c r="P4" s="80" t="s">
        <v>2</v>
      </c>
      <c r="Q4" s="80" t="s">
        <v>0</v>
      </c>
      <c r="R4" s="80" t="s">
        <v>545</v>
      </c>
      <c r="S4" s="80" t="s">
        <v>274</v>
      </c>
      <c r="T4" s="80" t="s">
        <v>3</v>
      </c>
      <c r="U4" s="80" t="s">
        <v>1</v>
      </c>
      <c r="V4" s="80" t="s">
        <v>2</v>
      </c>
      <c r="W4" s="80" t="s">
        <v>0</v>
      </c>
      <c r="X4" s="80" t="s">
        <v>545</v>
      </c>
      <c r="Y4" s="80" t="s">
        <v>443</v>
      </c>
      <c r="Z4" s="80" t="s">
        <v>438</v>
      </c>
      <c r="AA4" s="80" t="s">
        <v>439</v>
      </c>
      <c r="AB4" s="80" t="s">
        <v>440</v>
      </c>
      <c r="AC4" s="80" t="s">
        <v>441</v>
      </c>
      <c r="AD4" s="80" t="s">
        <v>442</v>
      </c>
      <c r="AE4" s="80" t="s">
        <v>443</v>
      </c>
      <c r="AF4" s="80" t="s">
        <v>438</v>
      </c>
      <c r="AG4" s="80" t="s">
        <v>439</v>
      </c>
      <c r="AH4" s="80" t="s">
        <v>440</v>
      </c>
      <c r="AI4" s="80" t="s">
        <v>441</v>
      </c>
      <c r="AJ4" s="80" t="s">
        <v>442</v>
      </c>
      <c r="AL4" s="80" t="s">
        <v>478</v>
      </c>
      <c r="AM4" s="80" t="s">
        <v>443</v>
      </c>
      <c r="AN4" s="80" t="s">
        <v>438</v>
      </c>
      <c r="AO4" s="80" t="s">
        <v>439</v>
      </c>
      <c r="AP4" s="80" t="s">
        <v>440</v>
      </c>
      <c r="AQ4" s="80" t="s">
        <v>441</v>
      </c>
      <c r="AR4" s="80" t="s">
        <v>442</v>
      </c>
      <c r="AS4" s="80" t="s">
        <v>443</v>
      </c>
      <c r="AT4" s="80" t="s">
        <v>438</v>
      </c>
      <c r="AU4" s="80" t="s">
        <v>439</v>
      </c>
      <c r="AV4" s="80" t="s">
        <v>440</v>
      </c>
      <c r="AW4" s="80" t="s">
        <v>441</v>
      </c>
      <c r="AX4" s="80" t="s">
        <v>442</v>
      </c>
      <c r="BB4" s="80">
        <v>10</v>
      </c>
      <c r="BC4" s="80"/>
      <c r="BD4" s="80"/>
      <c r="BE4" s="80"/>
      <c r="BF4" s="80"/>
      <c r="BG4" s="80"/>
      <c r="BH4" s="80"/>
      <c r="BI4" s="80"/>
      <c r="BJ4" s="80"/>
      <c r="BK4" s="80">
        <f>SUM(BG4:BJ4)</f>
        <v>0</v>
      </c>
      <c r="BO4" s="80">
        <f>$M5</f>
        <v>10</v>
      </c>
      <c r="BP4" s="80">
        <f>$S5</f>
        <v>0</v>
      </c>
      <c r="BQ4" s="60">
        <f>BP4*INDEX('[1]功能-付费相关'!$AQ$6:$AQ$165,$BO4,1)</f>
        <v>0</v>
      </c>
      <c r="BR4" s="80"/>
      <c r="BS4" s="80"/>
      <c r="BU4" s="80">
        <v>10</v>
      </c>
      <c r="BV4" s="80">
        <f t="shared" ref="BV4:BV19" si="1">求节点($BO$4:$BO$42,BQ$4:BQ$42,$BU4)</f>
        <v>0</v>
      </c>
      <c r="BW4" s="80">
        <f>INDEX('[1]功能-行军令'!$N$4:$R$163,BU4,1)*INDEX('[1]功能-付费相关'!$H$6:$L$6,1,1)*'[1]功能-行军令'!$AD$17</f>
        <v>138</v>
      </c>
      <c r="BX4" s="80"/>
      <c r="BY4" s="80">
        <f>SUM(BV4:BX4)</f>
        <v>138</v>
      </c>
    </row>
    <row r="5" spans="2:77" x14ac:dyDescent="0.15">
      <c r="B5" s="199"/>
      <c r="C5" s="80">
        <v>2</v>
      </c>
      <c r="D5" s="80"/>
      <c r="E5" s="80"/>
      <c r="F5" s="80">
        <v>100000</v>
      </c>
      <c r="G5" s="80">
        <v>500000</v>
      </c>
      <c r="H5" s="80">
        <v>2000000</v>
      </c>
      <c r="I5" s="80">
        <v>12000000</v>
      </c>
      <c r="L5" s="61">
        <v>4</v>
      </c>
      <c r="M5" s="80">
        <f>基础状态预期!D17</f>
        <v>10</v>
      </c>
      <c r="N5" s="80">
        <f>IF(基础状态预期!F17="",0,IF(基础状态预期!Z17&lt;=1,基础状态预期!Z17*D$4,1*D$4+(基础状态预期!Z17-1)*武将觉醒!D$5))</f>
        <v>0</v>
      </c>
      <c r="O5" s="80">
        <f>IF(基础状态预期!G17="",0,IF(基础状态预期!AA17&lt;=1,基础状态预期!AA17*E$4,1*E$4+(基础状态预期!AA17-1)*武将觉醒!E$5))</f>
        <v>0</v>
      </c>
      <c r="P5" s="80">
        <f>IF(基础状态预期!H17="",0,IF(基础状态预期!AB17&lt;=1,基础状态预期!AB17*F$4,1*F$4+(基础状态预期!AB17-1)*武将觉醒!F$5))</f>
        <v>0</v>
      </c>
      <c r="Q5" s="80">
        <f>IF(基础状态预期!I17="",0,IF(基础状态预期!AC17&lt;=1,基础状态预期!AC17*G$4,1*G$4+(基础状态预期!AC17-1)*武将觉醒!G$5))</f>
        <v>0</v>
      </c>
      <c r="R5" s="80">
        <f>IF(基础状态预期!J17="",0,IF(基础状态预期!AD17&lt;=1,基础状态预期!AD17*H$4,1*H$4+(基础状态预期!AD17-1)*武将觉醒!H$5))</f>
        <v>0</v>
      </c>
      <c r="S5" s="80">
        <f>MAX(SUMPRODUCT(N5:R5,基础状态预期!F17:J17),S4)</f>
        <v>0</v>
      </c>
      <c r="T5" s="80">
        <f>IF(基础状态预期!Z17="",0,IFERROR(基础状态预期!F17*求节点($C$62:$C$63,D$62:D$63,基础状态预期!Z17),0)+IFERROR(基础状态预期!$J17*求节点($C$71:$C$72,D$71:D$72,基础状态预期!$AD17),0))</f>
        <v>0</v>
      </c>
      <c r="U5" s="80">
        <f>IF(基础状态预期!AA17="",0,IFERROR(基础状态预期!G17*求节点($C$62:$C$63,E$62:E$63,基础状态预期!AA17),0)+IFERROR(基础状态预期!$J17*求节点($C$71:$C$72,E$71:E$72,基础状态预期!$AD17),0))</f>
        <v>0</v>
      </c>
      <c r="V5" s="80">
        <f>IF(基础状态预期!AB17="",0,IFERROR(基础状态预期!H17*求节点($C$62:$C$63,F$62:F$63,基础状态预期!AB17),0)+IFERROR(基础状态预期!$J17*求节点($C$71:$C$72,F$71:F$72,基础状态预期!$AD17),0))</f>
        <v>0</v>
      </c>
      <c r="W5" s="80">
        <f>IF(基础状态预期!AC17="",0,IFERROR(基础状态预期!I17*求节点($C$62:$C$63,G$62:G$63,基础状态预期!AC17),0)+IFERROR(基础状态预期!$J17*求节点($C$71:$C$72,G$71:G$72,基础状态预期!$AD17),0))</f>
        <v>0</v>
      </c>
      <c r="X5" s="80">
        <f>IF(基础状态预期!AD17="",0,IFERROR(基础状态预期!J17*求节点($C$62:$C$63,H$62:H$63,基础状态预期!AD17),0)+IFERROR(基础状态预期!$J17*求节点($C$71:$C$72,H$71:H$72,基础状态预期!$AD17),0))</f>
        <v>0</v>
      </c>
      <c r="Y5" s="80">
        <f>IF(基础状态预期!$H17="",0,IF(基础状态预期!$AB17&lt;=1,基础状态预期!$AB17*D$18,D$18)*基础状态预期!$H17)+
IF(基础状态预期!$I17="",0,IF(基础状态预期!$AC17&lt;=1,基础状态预期!$AC17*D$19,D$19)*基础状态预期!$I17)+
IF(基础状态预期!$J17="",0,IF(基础状态预期!$AD17&lt;=1,基础状态预期!$AD17*D$20,D$20)*基础状态预期!$J17)</f>
        <v>0</v>
      </c>
      <c r="Z5" s="80">
        <f>IF(基础状态预期!$H17="",0,IF(基础状态预期!$AB17&lt;=1,基础状态预期!$AB17*E$18,E$18)*基础状态预期!$H17)+
IF(基础状态预期!$I17="",0,IF(基础状态预期!$AC17&lt;=1,基础状态预期!$AC17*E$19,E$19)*基础状态预期!$I17)+
IF(基础状态预期!$J17="",0,IF(基础状态预期!$AD17&lt;=1,基础状态预期!$AD17*E$20,E$20)*基础状态预期!$J17)</f>
        <v>0</v>
      </c>
      <c r="AA5" s="80">
        <f>IF(基础状态预期!$H17="",0,IF(基础状态预期!$AB17&lt;=1,基础状态预期!$AB17*F$18,F$18)*基础状态预期!$H17)+
IF(基础状态预期!$I17="",0,IF(基础状态预期!$AC17&lt;=1,基础状态预期!$AC17*F$19,F$19)*基础状态预期!$I17)+
IF(基础状态预期!$J17="",0,IF(基础状态预期!$AD17&lt;=1,基础状态预期!$AD17*F$20,F$20)*基础状态预期!$J17)</f>
        <v>0</v>
      </c>
      <c r="AB5" s="67">
        <f>IF(基础状态预期!$H17="",0,IF(基础状态预期!$AB17&lt;=1,0,(基础状态预期!$AB17-1)*G$26)*基础状态预期!$H17)+
IF(基础状态预期!$I17="",0,IF(基础状态预期!$AC17&lt;=1,0,(基础状态预期!$AC17-1)*G$27)*基础状态预期!$I17)+
IF(基础状态预期!$J17="",0,IF(基础状态预期!$AD17&lt;=1,0,(基础状态预期!$AD17-1)*G$28)*基础状态预期!$J17)</f>
        <v>0</v>
      </c>
      <c r="AC5" s="67">
        <f>IF(基础状态预期!$H17="",0,IF(基础状态预期!$AB17&lt;=1,0,(基础状态预期!$AB17-1)*H$26)*基础状态预期!$H17)+
IF(基础状态预期!$I17="",0,IF(基础状态预期!$AC17&lt;=1,0,(基础状态预期!$AC17-1)*H$27)*基础状态预期!$I17)+
IF(基础状态预期!$J17="",0,IF(基础状态预期!$AD17&lt;=1,0,(基础状态预期!$AD17-1)*H$28)*基础状态预期!$J17)</f>
        <v>0</v>
      </c>
      <c r="AD5" s="67">
        <f>IF(基础状态预期!$H17="",0,IF(基础状态预期!$AB17&lt;=1,0,(基础状态预期!$AB17-1)*I$26)*基础状态预期!$H17)+
IF(基础状态预期!$I17="",0,IF(基础状态预期!$AC17&lt;=1,0,(基础状态预期!$AC17-1)*I$27)*基础状态预期!$I17)+
IF(基础状态预期!$J17="",0,IF(基础状态预期!$AD17&lt;=1,0,(基础状态预期!$AD17-1)*I$28)*基础状态预期!$J17)</f>
        <v>0</v>
      </c>
      <c r="AE5" s="80">
        <f>IF(各r阵容卡情况!$H11=0,0,IF(各r阵容卡情况!$AB11&lt;=1,各r阵容卡情况!$AB11*D$18,1*D$18)*各r阵容卡情况!$H11)+
IF(各r阵容卡情况!$I11=0,0,IF(各r阵容卡情况!$AC11&lt;=1,各r阵容卡情况!$AC11*D$19,1*D$19)*各r阵容卡情况!$I11)+
IF(各r阵容卡情况!$J11=0,0,IF(各r阵容卡情况!$AD11&lt;=1,各r阵容卡情况!$AD11*D$20,1*D$20)*各r阵容卡情况!$J11)</f>
        <v>0</v>
      </c>
      <c r="AF5" s="80">
        <f>IF(各r阵容卡情况!$H11=0,0,IF(各r阵容卡情况!$AB11&lt;=1,各r阵容卡情况!$AB11*E$18,1*E$18)*各r阵容卡情况!$H11)+
IF(各r阵容卡情况!$I11=0,0,IF(各r阵容卡情况!$AC11&lt;=1,各r阵容卡情况!$AC11*E$19,1*E$19)*各r阵容卡情况!$I11)+
IF(各r阵容卡情况!$J11=0,0,IF(各r阵容卡情况!$AD11&lt;=1,各r阵容卡情况!$AD11*E$20,1*E$20)*各r阵容卡情况!$J11)</f>
        <v>0</v>
      </c>
      <c r="AG5" s="80">
        <f>IF(各r阵容卡情况!$H11=0,0,IF(各r阵容卡情况!$AB11&lt;=1,各r阵容卡情况!$AB11*F$18,1*F$18)*各r阵容卡情况!$H11)+
IF(各r阵容卡情况!$I11=0,0,IF(各r阵容卡情况!$AC11&lt;=1,各r阵容卡情况!$AC11*F$19,1*F$19)*各r阵容卡情况!$I11)+
IF(各r阵容卡情况!$J11=0,0,IF(各r阵容卡情况!$AD11&lt;=1,各r阵容卡情况!$AD11*F$20,1*F$20)*各r阵容卡情况!$J11)</f>
        <v>0</v>
      </c>
      <c r="AH5" s="67">
        <f>IF(各r阵容卡情况!$H11=0,0,IF(各r阵容卡情况!$AB11&lt;=1,0,(各r阵容卡情况!$AB11-1)*G$26)*各r阵容卡情况!$H11)+
IF(各r阵容卡情况!$I11=0,0,IF(各r阵容卡情况!$AC11&lt;=1,0,(各r阵容卡情况!$AC11-1)*G$27)*各r阵容卡情况!$I11)+
IF(各r阵容卡情况!$J11=0,0,IF(各r阵容卡情况!$AD11&lt;=1,0,(各r阵容卡情况!$AD11-1)*G$28)*各r阵容卡情况!$J11)</f>
        <v>0</v>
      </c>
      <c r="AI5" s="67">
        <f>IF(各r阵容卡情况!$H11=0,0,IF(各r阵容卡情况!$AB11&lt;=1,0,(各r阵容卡情况!$AB11-1)*H$26)*各r阵容卡情况!$H11)+
IF(各r阵容卡情况!$I11=0,0,IF(各r阵容卡情况!$AC11&lt;=1,0,(各r阵容卡情况!$AC11-1)*H$27)*各r阵容卡情况!$I11)+
IF(各r阵容卡情况!$J11=0,0,IF(各r阵容卡情况!$AD11&lt;=1,0,(各r阵容卡情况!$AD11-1)*H$28)*各r阵容卡情况!$J11)</f>
        <v>0</v>
      </c>
      <c r="AJ5" s="67">
        <f>IF(各r阵容卡情况!$H11=0,0,IF(各r阵容卡情况!$AB11&lt;=1,0,(各r阵容卡情况!$AB11-1)*I$26)*各r阵容卡情况!$H11)+
IF(各r阵容卡情况!$I11=0,0,IF(各r阵容卡情况!$AC11&lt;=1,0,(各r阵容卡情况!$AC11-1)*I$27)*各r阵容卡情况!$I11)+
IF(各r阵容卡情况!$J11=0,0,IF(各r阵容卡情况!$AD11&lt;=1,0,(各r阵容卡情况!$AD11-1)*I$28)*各r阵容卡情况!$J11)</f>
        <v>0</v>
      </c>
      <c r="AL5" s="14">
        <v>10</v>
      </c>
      <c r="AM5" s="80">
        <f t="shared" ref="AM5:AM20" si="2">求节点($M$5:$M$43,Y$5:Y$43,$AL5)</f>
        <v>0</v>
      </c>
      <c r="AN5" s="80">
        <f t="shared" ref="AN5:AN20" si="3">求节点($M$5:$M$43,Z$5:Z$43,$AL5)</f>
        <v>0</v>
      </c>
      <c r="AO5" s="80">
        <f t="shared" ref="AO5:AO20" si="4">求节点($M$5:$M$43,AA$5:AA$43,$AL5)</f>
        <v>0</v>
      </c>
      <c r="AP5" s="80">
        <f t="shared" ref="AP5:AP20" si="5">求节点($M$5:$M$43,AB$5:AB$43,$AL5)</f>
        <v>0</v>
      </c>
      <c r="AQ5" s="80">
        <f t="shared" ref="AQ5:AQ20" si="6">求节点($M$5:$M$43,AC$5:AC$43,$AL5)</f>
        <v>0</v>
      </c>
      <c r="AR5" s="80">
        <f t="shared" ref="AR5:AR20" si="7">求节点($M$5:$M$43,AD$5:AD$43,$AL5)</f>
        <v>0</v>
      </c>
      <c r="AS5" s="80">
        <f t="shared" ref="AS5:AS20" si="8">求节点($M$5:$M$43,AE$5:AE$43,$AL5)</f>
        <v>0</v>
      </c>
      <c r="AT5" s="80">
        <f t="shared" ref="AT5:AT20" si="9">求节点($M$5:$M$43,AF$5:AF$43,$AL5)</f>
        <v>0</v>
      </c>
      <c r="AU5" s="80">
        <f t="shared" ref="AU5:AU20" si="10">求节点($M$5:$M$43,AG$5:AG$43,$AL5)</f>
        <v>0</v>
      </c>
      <c r="AV5" s="80">
        <f t="shared" ref="AV5:AV20" si="11">求节点($M$5:$M$43,AH$5:AH$43,$AL5)</f>
        <v>0</v>
      </c>
      <c r="AW5" s="80">
        <f t="shared" ref="AW5:AW20" si="12">求节点($M$5:$M$43,AI$5:AI$43,$AL5)</f>
        <v>0</v>
      </c>
      <c r="AX5" s="80">
        <f t="shared" ref="AX5:AX20" si="13">求节点($M$5:$M$43,AJ$5:AJ$43,$AL5)</f>
        <v>0</v>
      </c>
      <c r="AY5" s="61" t="e">
        <f>SUMPRODUCT(AM5:AR5/'[1]功能-行军令'!$GI$26:$GN$26+AS5:AX5/'[1]功能-行军令'!$GI$26:$GN$26)/0.18</f>
        <v>#DIV/0!</v>
      </c>
      <c r="BB5" s="80">
        <v>20</v>
      </c>
      <c r="BC5" s="80"/>
      <c r="BD5" s="80"/>
      <c r="BE5" s="80"/>
      <c r="BF5" s="80"/>
      <c r="BG5" s="80"/>
      <c r="BH5" s="80"/>
      <c r="BI5" s="80"/>
      <c r="BJ5" s="80"/>
      <c r="BK5" s="80">
        <f t="shared" ref="BK5:BK13" si="14">SUM(BG5:BJ5)</f>
        <v>0</v>
      </c>
      <c r="BO5" s="80">
        <f t="shared" ref="BO5:BO42" si="15">$M6</f>
        <v>20</v>
      </c>
      <c r="BP5" s="80">
        <f t="shared" ref="BP5:BP42" si="16">$S6</f>
        <v>120000</v>
      </c>
      <c r="BQ5" s="80">
        <f>(BP5-BP4)*INDEX('[1]功能-付费相关'!$AQ$6:$AQ$165,$BO5,1)+BQ4</f>
        <v>250</v>
      </c>
      <c r="BR5" s="80"/>
      <c r="BS5" s="80"/>
      <c r="BU5" s="80">
        <v>20</v>
      </c>
      <c r="BV5" s="80">
        <f t="shared" si="1"/>
        <v>250</v>
      </c>
      <c r="BW5" s="80">
        <f>INDEX('[1]功能-行军令'!$N$4:$R$163,BU5,1)*INDEX('[1]功能-付费相关'!$H$6:$L$6,1,1)*'[1]功能-行军令'!$AD$17</f>
        <v>414</v>
      </c>
      <c r="BX5" s="80"/>
      <c r="BY5" s="80">
        <f t="shared" ref="BY5:BY13" si="17">SUM(BV5:BX5)</f>
        <v>664</v>
      </c>
    </row>
    <row r="6" spans="2:77" x14ac:dyDescent="0.15">
      <c r="B6" s="199"/>
      <c r="C6" s="80"/>
      <c r="D6" s="80"/>
      <c r="E6" s="80"/>
      <c r="F6" s="80"/>
      <c r="G6" s="80"/>
      <c r="H6" s="80"/>
      <c r="I6" s="80"/>
      <c r="L6" s="61">
        <v>5</v>
      </c>
      <c r="M6" s="80">
        <f>基础状态预期!D18</f>
        <v>20</v>
      </c>
      <c r="N6" s="80">
        <f>IF(基础状态预期!F18="",0,IF(基础状态预期!Z18&lt;=1,基础状态预期!Z18*D$4,1*D$4+(基础状态预期!Z18-1)*武将觉醒!D$5))</f>
        <v>0</v>
      </c>
      <c r="O6" s="80">
        <f>IF(基础状态预期!G18="",0,IF(基础状态预期!AA18&lt;=1,基础状态预期!AA18*E$4,1*E$4+(基础状态预期!AA18-1)*武将觉醒!E$5))</f>
        <v>0</v>
      </c>
      <c r="P6" s="80">
        <f>IF(基础状态预期!H18="",0,IF(基础状态预期!AB18&lt;=1,基础状态预期!AB18*F$4,1*F$4+(基础状态预期!AB18-1)*武将觉醒!F$5))</f>
        <v>0</v>
      </c>
      <c r="Q6" s="80">
        <f>IF(基础状态预期!I18="",0,IF(基础状态预期!AC18&lt;=1,基础状态预期!AC18*G$4,1*G$4+(基础状态预期!AC18-1)*武将觉醒!G$5))</f>
        <v>20000</v>
      </c>
      <c r="R6" s="80">
        <f>IF(基础状态预期!J18="",0,IF(基础状态预期!AD18&lt;=1,基础状态预期!AD18*H$4,1*H$4+(基础状态预期!AD18-1)*武将觉醒!H$5))</f>
        <v>0</v>
      </c>
      <c r="S6" s="80">
        <f>MAX(SUMPRODUCT(N6:R6,基础状态预期!F18:J18),S5)</f>
        <v>120000</v>
      </c>
      <c r="T6" s="80">
        <f>IF(基础状态预期!Z18="",0,IFERROR(基础状态预期!F18*求节点($C$62:$C$63,D$62:D$63,基础状态预期!Z18),0)+IFERROR(基础状态预期!$J18*求节点($C$71:$C$72,D$71:D$72,基础状态预期!$AD18),0))</f>
        <v>0</v>
      </c>
      <c r="U6" s="80">
        <f>IF(基础状态预期!AA18="",0,IFERROR(基础状态预期!G18*求节点($C$62:$C$63,E$62:E$63,基础状态预期!AA18),0)+IFERROR(基础状态预期!$J18*求节点($C$71:$C$72,E$71:E$72,基础状态预期!$AD18),0))</f>
        <v>0</v>
      </c>
      <c r="V6" s="80">
        <f>IF(基础状态预期!AB18="",0,IFERROR(基础状态预期!H18*求节点($C$62:$C$63,F$62:F$63,基础状态预期!AB18),0)+IFERROR(基础状态预期!$J18*求节点($C$71:$C$72,F$71:F$72,基础状态预期!$AD18),0))</f>
        <v>0</v>
      </c>
      <c r="W6" s="80">
        <f>IF(基础状态预期!AC18="",0,IFERROR(基础状态预期!I18*求节点($C$62:$C$63,G$62:G$63,基础状态预期!AC18),0)+IFERROR(基础状态预期!$J18*求节点($C$71:$C$72,G$71:G$72,基础状态预期!$AD18),0))</f>
        <v>0</v>
      </c>
      <c r="X6" s="80">
        <f>IF(基础状态预期!AD18="",0,IFERROR(基础状态预期!J18*求节点($C$62:$C$63,H$62:H$63,基础状态预期!AD18),0)+IFERROR(基础状态预期!$J18*求节点($C$71:$C$72,H$71:H$72,基础状态预期!$AD18),0))</f>
        <v>0</v>
      </c>
      <c r="Y6" s="80">
        <f>IF(基础状态预期!$H18="",0,IF(基础状态预期!$AB18&lt;=1,基础状态预期!$AB18*D$18,D$18)*基础状态预期!$H18)+
IF(基础状态预期!$I18="",0,IF(基础状态预期!$AC18&lt;=1,基础状态预期!$AC18*D$19,D$19)*基础状态预期!$I18)+
IF(基础状态预期!$J18="",0,IF(基础状态预期!$AD18&lt;=1,基础状态预期!$AD18*D$20,D$20)*基础状态预期!$J18)</f>
        <v>36</v>
      </c>
      <c r="Z6" s="80">
        <f>IF(基础状态预期!$H18="",0,IF(基础状态预期!$AB18&lt;=1,基础状态预期!$AB18*E$18,E$18)*基础状态预期!$H18)+
IF(基础状态预期!$I18="",0,IF(基础状态预期!$AC18&lt;=1,基础状态预期!$AC18*E$19,E$19)*基础状态预期!$I18)+
IF(基础状态预期!$J18="",0,IF(基础状态预期!$AD18&lt;=1,基础状态预期!$AD18*E$20,E$20)*基础状态预期!$J18)</f>
        <v>0</v>
      </c>
      <c r="AA6" s="80">
        <f>IF(基础状态预期!$H18="",0,IF(基础状态预期!$AB18&lt;=1,基础状态预期!$AB18*F$18,F$18)*基础状态预期!$H18)+
IF(基础状态预期!$I18="",0,IF(基础状态预期!$AC18&lt;=1,基础状态预期!$AC18*F$19,F$19)*基础状态预期!$I18)+
IF(基础状态预期!$J18="",0,IF(基础状态预期!$AD18&lt;=1,基础状态预期!$AD18*F$20,F$20)*基础状态预期!$J18)</f>
        <v>0</v>
      </c>
      <c r="AB6" s="67">
        <f>IF(基础状态预期!$H18="",0,IF(基础状态预期!$AB18&lt;=1,0,(基础状态预期!$AB18-1)*G$26)*基础状态预期!$H18)+
IF(基础状态预期!$I18="",0,IF(基础状态预期!$AC18&lt;=1,0,(基础状态预期!$AC18-1)*G$27)*基础状态预期!$I18)+
IF(基础状态预期!$J18="",0,IF(基础状态预期!$AD18&lt;=1,0,(基础状态预期!$AD18-1)*G$28)*基础状态预期!$J18)</f>
        <v>0</v>
      </c>
      <c r="AC6" s="67">
        <f>IF(基础状态预期!$H18="",0,IF(基础状态预期!$AB18&lt;=1,0,(基础状态预期!$AB18-1)*H$26)*基础状态预期!$H18)+
IF(基础状态预期!$I18="",0,IF(基础状态预期!$AC18&lt;=1,0,(基础状态预期!$AC18-1)*H$27)*基础状态预期!$I18)+
IF(基础状态预期!$J18="",0,IF(基础状态预期!$AD18&lt;=1,0,(基础状态预期!$AD18-1)*H$28)*基础状态预期!$J18)</f>
        <v>0</v>
      </c>
      <c r="AD6" s="67">
        <f>IF(基础状态预期!$H18="",0,IF(基础状态预期!$AB18&lt;=1,0,(基础状态预期!$AB18-1)*I$26)*基础状态预期!$H18)+
IF(基础状态预期!$I18="",0,IF(基础状态预期!$AC18&lt;=1,0,(基础状态预期!$AC18-1)*I$27)*基础状态预期!$I18)+
IF(基础状态预期!$J18="",0,IF(基础状态预期!$AD18&lt;=1,0,(基础状态预期!$AD18-1)*I$28)*基础状态预期!$J18)</f>
        <v>0</v>
      </c>
      <c r="AE6" s="80">
        <f>IF(各r阵容卡情况!$H12=0,0,IF(各r阵容卡情况!$AB12&lt;=1,各r阵容卡情况!$AB12*D$18,1*D$18)*各r阵容卡情况!$H12)+
IF(各r阵容卡情况!$I12=0,0,IF(各r阵容卡情况!$AC12&lt;=1,各r阵容卡情况!$AC12*D$19,1*D$19)*各r阵容卡情况!$I12)+
IF(各r阵容卡情况!$J12=0,0,IF(各r阵容卡情况!$AD12&lt;=1,各r阵容卡情况!$AD12*D$20,1*D$20)*各r阵容卡情况!$J12)</f>
        <v>0</v>
      </c>
      <c r="AF6" s="80">
        <f>IF(各r阵容卡情况!$H12=0,0,IF(各r阵容卡情况!$AB12&lt;=1,各r阵容卡情况!$AB12*E$18,1*E$18)*各r阵容卡情况!$H12)+
IF(各r阵容卡情况!$I12=0,0,IF(各r阵容卡情况!$AC12&lt;=1,各r阵容卡情况!$AC12*E$19,1*E$19)*各r阵容卡情况!$I12)+
IF(各r阵容卡情况!$J12=0,0,IF(各r阵容卡情况!$AD12&lt;=1,各r阵容卡情况!$AD12*E$20,1*E$20)*各r阵容卡情况!$J12)</f>
        <v>0</v>
      </c>
      <c r="AG6" s="80">
        <f>IF(各r阵容卡情况!$H12=0,0,IF(各r阵容卡情况!$AB12&lt;=1,各r阵容卡情况!$AB12*F$18,1*F$18)*各r阵容卡情况!$H12)+
IF(各r阵容卡情况!$I12=0,0,IF(各r阵容卡情况!$AC12&lt;=1,各r阵容卡情况!$AC12*F$19,1*F$19)*各r阵容卡情况!$I12)+
IF(各r阵容卡情况!$J12=0,0,IF(各r阵容卡情况!$AD12&lt;=1,各r阵容卡情况!$AD12*F$20,1*F$20)*各r阵容卡情况!$J12)</f>
        <v>0</v>
      </c>
      <c r="AH6" s="67">
        <f>IF(各r阵容卡情况!$H12=0,0,IF(各r阵容卡情况!$AB12&lt;=1,0,(各r阵容卡情况!$AB12-1)*G$26)*各r阵容卡情况!$H12)+
IF(各r阵容卡情况!$I12=0,0,IF(各r阵容卡情况!$AC12&lt;=1,0,(各r阵容卡情况!$AC12-1)*G$27)*各r阵容卡情况!$I12)+
IF(各r阵容卡情况!$J12=0,0,IF(各r阵容卡情况!$AD12&lt;=1,0,(各r阵容卡情况!$AD12-1)*G$28)*各r阵容卡情况!$J12)</f>
        <v>0</v>
      </c>
      <c r="AI6" s="67">
        <f>IF(各r阵容卡情况!$H12=0,0,IF(各r阵容卡情况!$AB12&lt;=1,0,(各r阵容卡情况!$AB12-1)*H$26)*各r阵容卡情况!$H12)+
IF(各r阵容卡情况!$I12=0,0,IF(各r阵容卡情况!$AC12&lt;=1,0,(各r阵容卡情况!$AC12-1)*H$27)*各r阵容卡情况!$I12)+
IF(各r阵容卡情况!$J12=0,0,IF(各r阵容卡情况!$AD12&lt;=1,0,(各r阵容卡情况!$AD12-1)*H$28)*各r阵容卡情况!$J12)</f>
        <v>0</v>
      </c>
      <c r="AJ6" s="67">
        <f>IF(各r阵容卡情况!$H12=0,0,IF(各r阵容卡情况!$AB12&lt;=1,0,(各r阵容卡情况!$AB12-1)*I$26)*各r阵容卡情况!$H12)+
IF(各r阵容卡情况!$I12=0,0,IF(各r阵容卡情况!$AC12&lt;=1,0,(各r阵容卡情况!$AC12-1)*I$27)*各r阵容卡情况!$I12)+
IF(各r阵容卡情况!$J12=0,0,IF(各r阵容卡情况!$AD12&lt;=1,0,(各r阵容卡情况!$AD12-1)*I$28)*各r阵容卡情况!$J12)</f>
        <v>0</v>
      </c>
      <c r="AL6" s="14">
        <v>15</v>
      </c>
      <c r="AM6" s="80">
        <f t="shared" si="2"/>
        <v>18</v>
      </c>
      <c r="AN6" s="80">
        <f t="shared" si="3"/>
        <v>0</v>
      </c>
      <c r="AO6" s="80">
        <f t="shared" si="4"/>
        <v>0</v>
      </c>
      <c r="AP6" s="80">
        <f t="shared" si="5"/>
        <v>0</v>
      </c>
      <c r="AQ6" s="80">
        <f t="shared" si="6"/>
        <v>0</v>
      </c>
      <c r="AR6" s="80">
        <f t="shared" si="7"/>
        <v>0</v>
      </c>
      <c r="AS6" s="80">
        <f t="shared" si="8"/>
        <v>0</v>
      </c>
      <c r="AT6" s="80">
        <f t="shared" si="9"/>
        <v>0</v>
      </c>
      <c r="AU6" s="80">
        <f t="shared" si="10"/>
        <v>0</v>
      </c>
      <c r="AV6" s="80">
        <f t="shared" si="11"/>
        <v>0</v>
      </c>
      <c r="AW6" s="80">
        <f t="shared" si="12"/>
        <v>0</v>
      </c>
      <c r="AX6" s="80">
        <f t="shared" si="13"/>
        <v>0</v>
      </c>
      <c r="AY6" s="61" t="e">
        <f>SUMPRODUCT(AM6:AR6/'[1]功能-行军令'!$GI$26:$GN$26+AS6:AX6/'[1]功能-行军令'!$GI$26:$GN$26)/0.18</f>
        <v>#DIV/0!</v>
      </c>
      <c r="BB6" s="80">
        <v>30</v>
      </c>
      <c r="BC6" s="80"/>
      <c r="BD6" s="80"/>
      <c r="BE6" s="80"/>
      <c r="BF6" s="80"/>
      <c r="BG6" s="80"/>
      <c r="BH6" s="80"/>
      <c r="BI6" s="80"/>
      <c r="BJ6" s="80"/>
      <c r="BK6" s="80">
        <f t="shared" si="14"/>
        <v>0</v>
      </c>
      <c r="BO6" s="80">
        <f t="shared" si="15"/>
        <v>28.071211008105138</v>
      </c>
      <c r="BP6" s="80">
        <f t="shared" si="16"/>
        <v>120000</v>
      </c>
      <c r="BQ6" s="80">
        <f>(BP6-BP5)*INDEX('[1]功能-付费相关'!$AQ$6:$AQ$165,$BO6,1)+BQ5</f>
        <v>250</v>
      </c>
      <c r="BR6" s="80"/>
      <c r="BS6" s="80"/>
      <c r="BU6" s="80">
        <v>30</v>
      </c>
      <c r="BV6" s="80">
        <f t="shared" si="1"/>
        <v>646.57376763223419</v>
      </c>
      <c r="BW6" s="80">
        <f>INDEX('[1]功能-行军令'!$N$4:$R$163,BU6,1)*INDEX('[1]功能-付费相关'!$H$6:$L$6,1,1)*'[1]功能-行军令'!$AD$17</f>
        <v>966</v>
      </c>
      <c r="BX6" s="80"/>
      <c r="BY6" s="80">
        <f t="shared" si="17"/>
        <v>1612.5737676322342</v>
      </c>
    </row>
    <row r="7" spans="2:77" x14ac:dyDescent="0.15">
      <c r="B7" s="199"/>
      <c r="C7" s="80"/>
      <c r="D7" s="80"/>
      <c r="E7" s="80"/>
      <c r="F7" s="80"/>
      <c r="G7" s="80"/>
      <c r="H7" s="80"/>
      <c r="I7" s="80"/>
      <c r="L7" s="61">
        <v>6</v>
      </c>
      <c r="M7" s="80">
        <f>基础状态预期!D19</f>
        <v>28.071211008105138</v>
      </c>
      <c r="N7" s="80">
        <f>IF(基础状态预期!F19="",0,IF(基础状态预期!Z19&lt;=1,基础状态预期!Z19*D$4,1*D$4+(基础状态预期!Z19-1)*武将觉醒!D$5))</f>
        <v>0</v>
      </c>
      <c r="O7" s="80">
        <f>IF(基础状态预期!G19="",0,IF(基础状态预期!AA19&lt;=1,基础状态预期!AA19*E$4,1*E$4+(基础状态预期!AA19-1)*武将觉醒!E$5))</f>
        <v>0</v>
      </c>
      <c r="P7" s="80">
        <f>IF(基础状态预期!H19="",0,IF(基础状态预期!AB19&lt;=1,基础状态预期!AB19*F$4,1*F$4+(基础状态预期!AB19-1)*武将觉醒!F$5))</f>
        <v>0</v>
      </c>
      <c r="Q7" s="80">
        <f>IF(基础状态预期!I19="",0,IF(基础状态预期!AC19&lt;=1,基础状态预期!AC19*G$4,1*G$4+(基础状态预期!AC19-1)*武将觉醒!G$5))</f>
        <v>20000</v>
      </c>
      <c r="R7" s="80">
        <f>IF(基础状态预期!J19="",0,IF(基础状态预期!AD19&lt;=1,基础状态预期!AD19*H$4,1*H$4+(基础状态预期!AD19-1)*武将觉醒!H$5))</f>
        <v>0</v>
      </c>
      <c r="S7" s="80">
        <f>MAX(SUMPRODUCT(N7:R7,基础状态预期!F19:J19),S6)</f>
        <v>120000</v>
      </c>
      <c r="T7" s="80">
        <f>IF(基础状态预期!Z19="",0,IFERROR(基础状态预期!F19*求节点($C$62:$C$63,D$62:D$63,基础状态预期!Z19),0)+IFERROR(基础状态预期!$J19*求节点($C$71:$C$72,D$71:D$72,基础状态预期!$AD19),0))</f>
        <v>0</v>
      </c>
      <c r="U7" s="80">
        <f>IF(基础状态预期!AA19="",0,IFERROR(基础状态预期!G19*求节点($C$62:$C$63,E$62:E$63,基础状态预期!AA19),0)+IFERROR(基础状态预期!$J19*求节点($C$71:$C$72,E$71:E$72,基础状态预期!$AD19),0))</f>
        <v>0</v>
      </c>
      <c r="V7" s="80">
        <f>IF(基础状态预期!AB19="",0,IFERROR(基础状态预期!H19*求节点($C$62:$C$63,F$62:F$63,基础状态预期!AB19),0)+IFERROR(基础状态预期!$J19*求节点($C$71:$C$72,F$71:F$72,基础状态预期!$AD19),0))</f>
        <v>0</v>
      </c>
      <c r="W7" s="80">
        <f>IF(基础状态预期!AC19="",0,IFERROR(基础状态预期!I19*求节点($C$62:$C$63,G$62:G$63,基础状态预期!AC19),0)+IFERROR(基础状态预期!$J19*求节点($C$71:$C$72,G$71:G$72,基础状态预期!$AD19),0))</f>
        <v>0</v>
      </c>
      <c r="X7" s="80">
        <f>IF(基础状态预期!AD19="",0,IFERROR(基础状态预期!J19*求节点($C$62:$C$63,H$62:H$63,基础状态预期!AD19),0)+IFERROR(基础状态预期!$J19*求节点($C$71:$C$72,H$71:H$72,基础状态预期!$AD19),0))</f>
        <v>0</v>
      </c>
      <c r="Y7" s="80">
        <f>IF(基础状态预期!$H19="",0,IF(基础状态预期!$AB19&lt;=1,基础状态预期!$AB19*D$18,D$18)*基础状态预期!$H19)+
IF(基础状态预期!$I19="",0,IF(基础状态预期!$AC19&lt;=1,基础状态预期!$AC19*D$19,D$19)*基础状态预期!$I19)+
IF(基础状态预期!$J19="",0,IF(基础状态预期!$AD19&lt;=1,基础状态预期!$AD19*D$20,D$20)*基础状态预期!$J19)</f>
        <v>36</v>
      </c>
      <c r="Z7" s="80">
        <f>IF(基础状态预期!$H19="",0,IF(基础状态预期!$AB19&lt;=1,基础状态预期!$AB19*E$18,E$18)*基础状态预期!$H19)+
IF(基础状态预期!$I19="",0,IF(基础状态预期!$AC19&lt;=1,基础状态预期!$AC19*E$19,E$19)*基础状态预期!$I19)+
IF(基础状态预期!$J19="",0,IF(基础状态预期!$AD19&lt;=1,基础状态预期!$AD19*E$20,E$20)*基础状态预期!$J19)</f>
        <v>0</v>
      </c>
      <c r="AA7" s="80">
        <f>IF(基础状态预期!$H19="",0,IF(基础状态预期!$AB19&lt;=1,基础状态预期!$AB19*F$18,F$18)*基础状态预期!$H19)+
IF(基础状态预期!$I19="",0,IF(基础状态预期!$AC19&lt;=1,基础状态预期!$AC19*F$19,F$19)*基础状态预期!$I19)+
IF(基础状态预期!$J19="",0,IF(基础状态预期!$AD19&lt;=1,基础状态预期!$AD19*F$20,F$20)*基础状态预期!$J19)</f>
        <v>0</v>
      </c>
      <c r="AB7" s="67">
        <f>IF(基础状态预期!$H19="",0,IF(基础状态预期!$AB19&lt;=1,0,(基础状态预期!$AB19-1)*G$26)*基础状态预期!$H19)+
IF(基础状态预期!$I19="",0,IF(基础状态预期!$AC19&lt;=1,0,(基础状态预期!$AC19-1)*G$27)*基础状态预期!$I19)+
IF(基础状态预期!$J19="",0,IF(基础状态预期!$AD19&lt;=1,0,(基础状态预期!$AD19-1)*G$28)*基础状态预期!$J19)</f>
        <v>0</v>
      </c>
      <c r="AC7" s="67">
        <f>IF(基础状态预期!$H19="",0,IF(基础状态预期!$AB19&lt;=1,0,(基础状态预期!$AB19-1)*H$26)*基础状态预期!$H19)+
IF(基础状态预期!$I19="",0,IF(基础状态预期!$AC19&lt;=1,0,(基础状态预期!$AC19-1)*H$27)*基础状态预期!$I19)+
IF(基础状态预期!$J19="",0,IF(基础状态预期!$AD19&lt;=1,0,(基础状态预期!$AD19-1)*H$28)*基础状态预期!$J19)</f>
        <v>0</v>
      </c>
      <c r="AD7" s="67">
        <f>IF(基础状态预期!$H19="",0,IF(基础状态预期!$AB19&lt;=1,0,(基础状态预期!$AB19-1)*I$26)*基础状态预期!$H19)+
IF(基础状态预期!$I19="",0,IF(基础状态预期!$AC19&lt;=1,0,(基础状态预期!$AC19-1)*I$27)*基础状态预期!$I19)+
IF(基础状态预期!$J19="",0,IF(基础状态预期!$AD19&lt;=1,0,(基础状态预期!$AD19-1)*I$28)*基础状态预期!$J19)</f>
        <v>0</v>
      </c>
      <c r="AE7" s="80">
        <f>IF(各r阵容卡情况!$H13=0,0,IF(各r阵容卡情况!$AB13&lt;=1,各r阵容卡情况!$AB13*D$18,1*D$18)*各r阵容卡情况!$H13)+
IF(各r阵容卡情况!$I13=0,0,IF(各r阵容卡情况!$AC13&lt;=1,各r阵容卡情况!$AC13*D$19,1*D$19)*各r阵容卡情况!$I13)+
IF(各r阵容卡情况!$J13=0,0,IF(各r阵容卡情况!$AD13&lt;=1,各r阵容卡情况!$AD13*D$20,1*D$20)*各r阵容卡情况!$J13)</f>
        <v>0</v>
      </c>
      <c r="AF7" s="80">
        <f>IF(各r阵容卡情况!$H13=0,0,IF(各r阵容卡情况!$AB13&lt;=1,各r阵容卡情况!$AB13*E$18,1*E$18)*各r阵容卡情况!$H13)+
IF(各r阵容卡情况!$I13=0,0,IF(各r阵容卡情况!$AC13&lt;=1,各r阵容卡情况!$AC13*E$19,1*E$19)*各r阵容卡情况!$I13)+
IF(各r阵容卡情况!$J13=0,0,IF(各r阵容卡情况!$AD13&lt;=1,各r阵容卡情况!$AD13*E$20,1*E$20)*各r阵容卡情况!$J13)</f>
        <v>0</v>
      </c>
      <c r="AG7" s="80">
        <f>IF(各r阵容卡情况!$H13=0,0,IF(各r阵容卡情况!$AB13&lt;=1,各r阵容卡情况!$AB13*F$18,1*F$18)*各r阵容卡情况!$H13)+
IF(各r阵容卡情况!$I13=0,0,IF(各r阵容卡情况!$AC13&lt;=1,各r阵容卡情况!$AC13*F$19,1*F$19)*各r阵容卡情况!$I13)+
IF(各r阵容卡情况!$J13=0,0,IF(各r阵容卡情况!$AD13&lt;=1,各r阵容卡情况!$AD13*F$20,1*F$20)*各r阵容卡情况!$J13)</f>
        <v>0</v>
      </c>
      <c r="AH7" s="67">
        <f>IF(各r阵容卡情况!$H13=0,0,IF(各r阵容卡情况!$AB13&lt;=1,0,(各r阵容卡情况!$AB13-1)*G$26)*各r阵容卡情况!$H13)+
IF(各r阵容卡情况!$I13=0,0,IF(各r阵容卡情况!$AC13&lt;=1,0,(各r阵容卡情况!$AC13-1)*G$27)*各r阵容卡情况!$I13)+
IF(各r阵容卡情况!$J13=0,0,IF(各r阵容卡情况!$AD13&lt;=1,0,(各r阵容卡情况!$AD13-1)*G$28)*各r阵容卡情况!$J13)</f>
        <v>0</v>
      </c>
      <c r="AI7" s="67">
        <f>IF(各r阵容卡情况!$H13=0,0,IF(各r阵容卡情况!$AB13&lt;=1,0,(各r阵容卡情况!$AB13-1)*H$26)*各r阵容卡情况!$H13)+
IF(各r阵容卡情况!$I13=0,0,IF(各r阵容卡情况!$AC13&lt;=1,0,(各r阵容卡情况!$AC13-1)*H$27)*各r阵容卡情况!$I13)+
IF(各r阵容卡情况!$J13=0,0,IF(各r阵容卡情况!$AD13&lt;=1,0,(各r阵容卡情况!$AD13-1)*H$28)*各r阵容卡情况!$J13)</f>
        <v>0</v>
      </c>
      <c r="AJ7" s="67">
        <f>IF(各r阵容卡情况!$H13=0,0,IF(各r阵容卡情况!$AB13&lt;=1,0,(各r阵容卡情况!$AB13-1)*I$26)*各r阵容卡情况!$H13)+
IF(各r阵容卡情况!$I13=0,0,IF(各r阵容卡情况!$AC13&lt;=1,0,(各r阵容卡情况!$AC13-1)*I$27)*各r阵容卡情况!$I13)+
IF(各r阵容卡情况!$J13=0,0,IF(各r阵容卡情况!$AD13&lt;=1,0,(各r阵容卡情况!$AD13-1)*I$28)*各r阵容卡情况!$J13)</f>
        <v>0</v>
      </c>
      <c r="AL7" s="14">
        <v>20</v>
      </c>
      <c r="AM7" s="80">
        <f t="shared" si="2"/>
        <v>36</v>
      </c>
      <c r="AN7" s="80">
        <f t="shared" si="3"/>
        <v>0</v>
      </c>
      <c r="AO7" s="80">
        <f t="shared" si="4"/>
        <v>0</v>
      </c>
      <c r="AP7" s="80">
        <f t="shared" si="5"/>
        <v>0</v>
      </c>
      <c r="AQ7" s="80">
        <f t="shared" si="6"/>
        <v>0</v>
      </c>
      <c r="AR7" s="80">
        <f t="shared" si="7"/>
        <v>0</v>
      </c>
      <c r="AS7" s="80">
        <f t="shared" si="8"/>
        <v>0</v>
      </c>
      <c r="AT7" s="80">
        <f t="shared" si="9"/>
        <v>0</v>
      </c>
      <c r="AU7" s="80">
        <f t="shared" si="10"/>
        <v>0</v>
      </c>
      <c r="AV7" s="80">
        <f t="shared" si="11"/>
        <v>0</v>
      </c>
      <c r="AW7" s="80">
        <f t="shared" si="12"/>
        <v>0</v>
      </c>
      <c r="AX7" s="80">
        <f t="shared" si="13"/>
        <v>0</v>
      </c>
      <c r="AY7" s="61" t="e">
        <f>SUMPRODUCT(AM7:AR7/'[1]功能-行军令'!$GI$26:$GN$26+AS7:AX7/'[1]功能-行军令'!$GI$26:$GN$26)/0.18</f>
        <v>#DIV/0!</v>
      </c>
      <c r="BB7" s="80">
        <v>40</v>
      </c>
      <c r="BC7" s="80"/>
      <c r="BD7" s="80"/>
      <c r="BE7" s="80"/>
      <c r="BF7" s="80"/>
      <c r="BG7" s="80"/>
      <c r="BH7" s="80"/>
      <c r="BI7" s="80"/>
      <c r="BJ7" s="80"/>
      <c r="BK7" s="80">
        <f t="shared" si="14"/>
        <v>0</v>
      </c>
      <c r="BO7" s="80">
        <f t="shared" si="15"/>
        <v>34.585942742481357</v>
      </c>
      <c r="BP7" s="80">
        <f t="shared" si="16"/>
        <v>912971.37124067871</v>
      </c>
      <c r="BQ7" s="80">
        <f>(BP7-BP6)*INDEX('[1]功能-付费相关'!$AQ$6:$AQ$165,$BO7,1)+BQ6</f>
        <v>1589.4786676362817</v>
      </c>
      <c r="BR7" s="80"/>
      <c r="BS7" s="80"/>
      <c r="BU7" s="80">
        <v>40</v>
      </c>
      <c r="BV7" s="80">
        <f t="shared" si="1"/>
        <v>5037.9609000727214</v>
      </c>
      <c r="BW7" s="80">
        <f>INDEX('[1]功能-行军令'!$N$4:$R$163,BU7,1)*INDEX('[1]功能-付费相关'!$H$6:$L$6,1,1)*'[1]功能-行军令'!$AD$17</f>
        <v>2070</v>
      </c>
      <c r="BX7" s="80"/>
      <c r="BY7" s="80">
        <f t="shared" si="17"/>
        <v>7107.9609000727214</v>
      </c>
    </row>
    <row r="8" spans="2:77" x14ac:dyDescent="0.15">
      <c r="B8" s="199"/>
      <c r="C8" s="80"/>
      <c r="D8" s="80"/>
      <c r="E8" s="80"/>
      <c r="F8" s="80"/>
      <c r="G8" s="80"/>
      <c r="H8" s="80"/>
      <c r="I8" s="80"/>
      <c r="L8" s="61">
        <v>7</v>
      </c>
      <c r="M8" s="80">
        <f>基础状态预期!D20</f>
        <v>34.585942742481357</v>
      </c>
      <c r="N8" s="80">
        <f>IF(基础状态预期!F20="",0,IF(基础状态预期!Z20&lt;=1,基础状态预期!Z20*D$4,1*D$4+(基础状态预期!Z20-1)*武将觉醒!D$5))</f>
        <v>0</v>
      </c>
      <c r="O8" s="80">
        <f>IF(基础状态预期!G20="",0,IF(基础状态预期!AA20&lt;=1,基础状态预期!AA20*E$4,1*E$4+(基础状态预期!AA20-1)*武将觉醒!E$5))</f>
        <v>0</v>
      </c>
      <c r="P8" s="80">
        <f>IF(基础状态预期!H20="",0,IF(基础状态预期!AB20&lt;=1,基础状态预期!AB20*F$4,1*F$4+(基础状态预期!AB20-1)*武将觉醒!F$5))</f>
        <v>0</v>
      </c>
      <c r="Q8" s="80">
        <f>IF(基础状态预期!I20="",0,IF(基础状态预期!AC20&lt;=1,基础状态预期!AC20*G$4,1*G$4+(基础状态预期!AC20-1)*武将觉醒!G$5))</f>
        <v>152161.89520677979</v>
      </c>
      <c r="R8" s="80">
        <f>IF(基础状态预期!J20="",0,IF(基础状态预期!AD20&lt;=1,基础状态预期!AD20*H$4,1*H$4+(基础状态预期!AD20-1)*武将觉醒!H$5))</f>
        <v>0</v>
      </c>
      <c r="S8" s="80">
        <f>MAX(SUMPRODUCT(N8:R8,基础状态预期!F20:J20),S7)</f>
        <v>912971.37124067871</v>
      </c>
      <c r="T8" s="80">
        <f>IF(基础状态预期!Z20="",0,IFERROR(基础状态预期!F20*求节点($C$62:$C$63,D$62:D$63,基础状态预期!Z20),0)+IFERROR(基础状态预期!$J20*求节点($C$71:$C$72,D$71:D$72,基础状态预期!$AD20),0))</f>
        <v>0</v>
      </c>
      <c r="U8" s="80">
        <f>IF(基础状态预期!AA20="",0,IFERROR(基础状态预期!G20*求节点($C$62:$C$63,E$62:E$63,基础状态预期!AA20),0)+IFERROR(基础状态预期!$J20*求节点($C$71:$C$72,E$71:E$72,基础状态预期!$AD20),0))</f>
        <v>0</v>
      </c>
      <c r="V8" s="80">
        <f>IF(基础状态预期!AB20="",0,IFERROR(基础状态预期!H20*求节点($C$62:$C$63,F$62:F$63,基础状态预期!AB20),0)+IFERROR(基础状态预期!$J20*求节点($C$71:$C$72,F$71:F$72,基础状态预期!$AD20),0))</f>
        <v>0</v>
      </c>
      <c r="W8" s="80">
        <f>IF(基础状态预期!AC20="",0,IFERROR(基础状态预期!I20*求节点($C$62:$C$63,G$62:G$63,基础状态预期!AC20),0)+IFERROR(基础状态预期!$J20*求节点($C$71:$C$72,G$71:G$72,基础状态预期!$AD20),0))</f>
        <v>1.5859427424813575</v>
      </c>
      <c r="X8" s="80">
        <f>IF(基础状态预期!AD20="",0,IFERROR(基础状态预期!J20*求节点($C$62:$C$63,H$62:H$63,基础状态预期!AD20),0)+IFERROR(基础状态预期!$J20*求节点($C$71:$C$72,H$71:H$72,基础状态预期!$AD20),0))</f>
        <v>0</v>
      </c>
      <c r="Y8" s="80">
        <f>IF(基础状态预期!$H20="",0,IF(基础状态预期!$AB20&lt;=1,基础状态预期!$AB20*D$18,D$18)*基础状态预期!$H20)+
IF(基础状态预期!$I20="",0,IF(基础状态预期!$AC20&lt;=1,基础状态预期!$AC20*D$19,D$19)*基础状态预期!$I20)+
IF(基础状态预期!$J20="",0,IF(基础状态预期!$AD20&lt;=1,基础状态预期!$AD20*D$20,D$20)*基础状态预期!$J20)</f>
        <v>36</v>
      </c>
      <c r="Z8" s="80">
        <f>IF(基础状态预期!$H20="",0,IF(基础状态预期!$AB20&lt;=1,基础状态预期!$AB20*E$18,E$18)*基础状态预期!$H20)+
IF(基础状态预期!$I20="",0,IF(基础状态预期!$AC20&lt;=1,基础状态预期!$AC20*E$19,E$19)*基础状态预期!$I20)+
IF(基础状态预期!$J20="",0,IF(基础状态预期!$AD20&lt;=1,基础状态预期!$AD20*E$20,E$20)*基础状态预期!$J20)</f>
        <v>0</v>
      </c>
      <c r="AA8" s="80">
        <f>IF(基础状态预期!$H20="",0,IF(基础状态预期!$AB20&lt;=1,基础状态预期!$AB20*F$18,F$18)*基础状态预期!$H20)+
IF(基础状态预期!$I20="",0,IF(基础状态预期!$AC20&lt;=1,基础状态预期!$AC20*F$19,F$19)*基础状态预期!$I20)+
IF(基础状态预期!$J20="",0,IF(基础状态预期!$AD20&lt;=1,基础状态预期!$AD20*F$20,F$20)*基础状态预期!$J20)</f>
        <v>0</v>
      </c>
      <c r="AB8" s="67">
        <f>IF(基础状态预期!$H20="",0,IF(基础状态预期!$AB20&lt;=1,0,(基础状态预期!$AB20-1)*G$26)*基础状态预期!$H20)+
IF(基础状态预期!$I20="",0,IF(基础状态预期!$AC20&lt;=1,0,(基础状态预期!$AC20-1)*G$27)*基础状态预期!$I20)+
IF(基础状态预期!$J20="",0,IF(基础状态预期!$AD20&lt;=1,0,(基础状态预期!$AD20-1)*G$28)*基础状态预期!$J20)</f>
        <v>47.578282274440724</v>
      </c>
      <c r="AC8" s="67">
        <f>IF(基础状态预期!$H20="",0,IF(基础状态预期!$AB20&lt;=1,0,(基础状态预期!$AB20-1)*H$26)*基础状态预期!$H20)+
IF(基础状态预期!$I20="",0,IF(基础状态预期!$AC20&lt;=1,0,(基础状态预期!$AC20-1)*H$27)*基础状态预期!$I20)+
IF(基础状态预期!$J20="",0,IF(基础状态预期!$AD20&lt;=1,0,(基础状态预期!$AD20-1)*H$28)*基础状态预期!$J20)</f>
        <v>0</v>
      </c>
      <c r="AD8" s="67">
        <f>IF(基础状态预期!$H20="",0,IF(基础状态预期!$AB20&lt;=1,0,(基础状态预期!$AB20-1)*I$26)*基础状态预期!$H20)+
IF(基础状态预期!$I20="",0,IF(基础状态预期!$AC20&lt;=1,0,(基础状态预期!$AC20-1)*I$27)*基础状态预期!$I20)+
IF(基础状态预期!$J20="",0,IF(基础状态预期!$AD20&lt;=1,0,(基础状态预期!$AD20-1)*I$28)*基础状态预期!$J20)</f>
        <v>0</v>
      </c>
      <c r="AE8" s="80">
        <f>IF(各r阵容卡情况!$H14=0,0,IF(各r阵容卡情况!$AB14&lt;=1,各r阵容卡情况!$AB14*D$18,1*D$18)*各r阵容卡情况!$H14)+
IF(各r阵容卡情况!$I14=0,0,IF(各r阵容卡情况!$AC14&lt;=1,各r阵容卡情况!$AC14*D$19,1*D$19)*各r阵容卡情况!$I14)+
IF(各r阵容卡情况!$J14=0,0,IF(各r阵容卡情况!$AD14&lt;=1,各r阵容卡情况!$AD14*D$20,1*D$20)*各r阵容卡情况!$J14)</f>
        <v>8</v>
      </c>
      <c r="AF8" s="80">
        <f>IF(各r阵容卡情况!$H14=0,0,IF(各r阵容卡情况!$AB14&lt;=1,各r阵容卡情况!$AB14*E$18,1*E$18)*各r阵容卡情况!$H14)+
IF(各r阵容卡情况!$I14=0,0,IF(各r阵容卡情况!$AC14&lt;=1,各r阵容卡情况!$AC14*E$19,1*E$19)*各r阵容卡情况!$I14)+
IF(各r阵容卡情况!$J14=0,0,IF(各r阵容卡情况!$AD14&lt;=1,各r阵容卡情况!$AD14*E$20,1*E$20)*各r阵容卡情况!$J14)</f>
        <v>0</v>
      </c>
      <c r="AG8" s="80">
        <f>IF(各r阵容卡情况!$H14=0,0,IF(各r阵容卡情况!$AB14&lt;=1,各r阵容卡情况!$AB14*F$18,1*F$18)*各r阵容卡情况!$H14)+
IF(各r阵容卡情况!$I14=0,0,IF(各r阵容卡情况!$AC14&lt;=1,各r阵容卡情况!$AC14*F$19,1*F$19)*各r阵容卡情况!$I14)+
IF(各r阵容卡情况!$J14=0,0,IF(各r阵容卡情况!$AD14&lt;=1,各r阵容卡情况!$AD14*F$20,1*F$20)*各r阵容卡情况!$J14)</f>
        <v>0</v>
      </c>
      <c r="AH8" s="67">
        <f>IF(各r阵容卡情况!$H14=0,0,IF(各r阵容卡情况!$AB14&lt;=1,0,(各r阵容卡情况!$AB14-1)*G$26)*各r阵容卡情况!$H14)+
IF(各r阵容卡情况!$I14=0,0,IF(各r阵容卡情况!$AC14&lt;=1,0,(各r阵容卡情况!$AC14-1)*G$27)*各r阵容卡情况!$I14)+
IF(各r阵容卡情况!$J14=0,0,IF(各r阵容卡情况!$AD14&lt;=1,0,(各r阵容卡情况!$AD14-1)*G$28)*各r阵容卡情况!$J14)</f>
        <v>10.572951616542383</v>
      </c>
      <c r="AI8" s="67">
        <f>IF(各r阵容卡情况!$H14=0,0,IF(各r阵容卡情况!$AB14&lt;=1,0,(各r阵容卡情况!$AB14-1)*H$26)*各r阵容卡情况!$H14)+
IF(各r阵容卡情况!$I14=0,0,IF(各r阵容卡情况!$AC14&lt;=1,0,(各r阵容卡情况!$AC14-1)*H$27)*各r阵容卡情况!$I14)+
IF(各r阵容卡情况!$J14=0,0,IF(各r阵容卡情况!$AD14&lt;=1,0,(各r阵容卡情况!$AD14-1)*H$28)*各r阵容卡情况!$J14)</f>
        <v>0</v>
      </c>
      <c r="AJ8" s="67">
        <f>IF(各r阵容卡情况!$H14=0,0,IF(各r阵容卡情况!$AB14&lt;=1,0,(各r阵容卡情况!$AB14-1)*I$26)*各r阵容卡情况!$H14)+
IF(各r阵容卡情况!$I14=0,0,IF(各r阵容卡情况!$AC14&lt;=1,0,(各r阵容卡情况!$AC14-1)*I$27)*各r阵容卡情况!$I14)+
IF(各r阵容卡情况!$J14=0,0,IF(各r阵容卡情况!$AD14&lt;=1,0,(各r阵容卡情况!$AD14-1)*I$28)*各r阵容卡情况!$J14)</f>
        <v>0</v>
      </c>
      <c r="AL8" s="14">
        <v>25</v>
      </c>
      <c r="AM8" s="80">
        <f t="shared" si="2"/>
        <v>36</v>
      </c>
      <c r="AN8" s="80">
        <f t="shared" si="3"/>
        <v>0</v>
      </c>
      <c r="AO8" s="80">
        <f t="shared" si="4"/>
        <v>0</v>
      </c>
      <c r="AP8" s="80">
        <f t="shared" si="5"/>
        <v>0</v>
      </c>
      <c r="AQ8" s="80">
        <f t="shared" si="6"/>
        <v>0</v>
      </c>
      <c r="AR8" s="80">
        <f t="shared" si="7"/>
        <v>0</v>
      </c>
      <c r="AS8" s="80">
        <f t="shared" si="8"/>
        <v>0</v>
      </c>
      <c r="AT8" s="80">
        <f t="shared" si="9"/>
        <v>0</v>
      </c>
      <c r="AU8" s="80">
        <f t="shared" si="10"/>
        <v>0</v>
      </c>
      <c r="AV8" s="80">
        <f t="shared" si="11"/>
        <v>0</v>
      </c>
      <c r="AW8" s="80">
        <f t="shared" si="12"/>
        <v>0</v>
      </c>
      <c r="AX8" s="80">
        <f t="shared" si="13"/>
        <v>0</v>
      </c>
      <c r="AY8" s="61" t="e">
        <f>SUMPRODUCT(AM8:AR8/'[1]功能-行军令'!$GI$26:$GN$26+AS8:AX8/'[1]功能-行军令'!$GI$26:$GN$26)/0.18</f>
        <v>#DIV/0!</v>
      </c>
      <c r="BB8" s="80">
        <v>50</v>
      </c>
      <c r="BC8" s="80"/>
      <c r="BD8" s="80"/>
      <c r="BE8" s="80"/>
      <c r="BF8" s="80"/>
      <c r="BG8" s="80"/>
      <c r="BH8" s="80"/>
      <c r="BI8" s="80"/>
      <c r="BJ8" s="80"/>
      <c r="BK8" s="80">
        <f t="shared" si="14"/>
        <v>0</v>
      </c>
      <c r="BO8" s="80">
        <f t="shared" si="15"/>
        <v>40</v>
      </c>
      <c r="BP8" s="80">
        <f t="shared" si="16"/>
        <v>3120000</v>
      </c>
      <c r="BQ8" s="80">
        <f>(BP8-BP7)*INDEX('[1]功能-付费相关'!$AQ$6:$AQ$165,$BO8,1)+BQ7</f>
        <v>5037.9609000727214</v>
      </c>
      <c r="BR8" s="80"/>
      <c r="BS8" s="80"/>
      <c r="BU8" s="80">
        <v>50</v>
      </c>
      <c r="BV8" s="80">
        <f t="shared" si="1"/>
        <v>5275.8669083959576</v>
      </c>
      <c r="BW8" s="80">
        <f>INDEX('[1]功能-行军令'!$N$4:$R$163,BU8,1)*INDEX('[1]功能-付费相关'!$H$6:$L$6,1,1)*'[1]功能-行军令'!$AD$17</f>
        <v>4278</v>
      </c>
      <c r="BX8" s="80"/>
      <c r="BY8" s="80">
        <f t="shared" si="17"/>
        <v>9553.8669083959576</v>
      </c>
    </row>
    <row r="9" spans="2:77" x14ac:dyDescent="0.15">
      <c r="B9" s="199"/>
      <c r="C9" s="80"/>
      <c r="D9" s="80"/>
      <c r="E9" s="80"/>
      <c r="F9" s="80"/>
      <c r="G9" s="80"/>
      <c r="H9" s="80"/>
      <c r="I9" s="80"/>
      <c r="L9" s="61">
        <v>8</v>
      </c>
      <c r="M9" s="80">
        <f>基础状态预期!D21</f>
        <v>40</v>
      </c>
      <c r="N9" s="80">
        <f>IF(基础状态预期!F21="",0,IF(基础状态预期!Z21&lt;=1,基础状态预期!Z21*D$4,1*D$4+(基础状态预期!Z21-1)*武将觉醒!D$5))</f>
        <v>0</v>
      </c>
      <c r="O9" s="80">
        <f>IF(基础状态预期!G21="",0,IF(基础状态预期!AA21&lt;=1,基础状态预期!AA21*E$4,1*E$4+(基础状态预期!AA21-1)*武将觉醒!E$5))</f>
        <v>0</v>
      </c>
      <c r="P9" s="80">
        <f>IF(基础状态预期!H21="",0,IF(基础状态预期!AB21&lt;=1,基础状态预期!AB21*F$4,1*F$4+(基础状态预期!AB21-1)*武将觉醒!F$5))</f>
        <v>0</v>
      </c>
      <c r="Q9" s="80">
        <f>IF(基础状态预期!I21="",0,IF(基础状态预期!AC21&lt;=1,基础状态预期!AC21*G$4,1*G$4+(基础状态预期!AC21-1)*武将觉醒!G$5))</f>
        <v>520000</v>
      </c>
      <c r="R9" s="80">
        <f>IF(基础状态预期!J21="",0,IF(基础状态预期!AD21&lt;=1,基础状态预期!AD21*H$4,1*H$4+(基础状态预期!AD21-1)*武将觉醒!H$5))</f>
        <v>0</v>
      </c>
      <c r="S9" s="80">
        <f>MAX(SUMPRODUCT(N9:R9,基础状态预期!F21:J21),S8)</f>
        <v>3120000</v>
      </c>
      <c r="T9" s="80">
        <f>IF(基础状态预期!Z21="",0,IFERROR(基础状态预期!F21*求节点($C$62:$C$63,D$62:D$63,基础状态预期!Z21),0)+IFERROR(基础状态预期!$J21*求节点($C$71:$C$72,D$71:D$72,基础状态预期!$AD21),0))</f>
        <v>0</v>
      </c>
      <c r="U9" s="80">
        <f>IF(基础状态预期!AA21="",0,IFERROR(基础状态预期!G21*求节点($C$62:$C$63,E$62:E$63,基础状态预期!AA21),0)+IFERROR(基础状态预期!$J21*求节点($C$71:$C$72,E$71:E$72,基础状态预期!$AD21),0))</f>
        <v>0</v>
      </c>
      <c r="V9" s="80">
        <f>IF(基础状态预期!AB21="",0,IFERROR(基础状态预期!H21*求节点($C$62:$C$63,F$62:F$63,基础状态预期!AB21),0)+IFERROR(基础状态预期!$J21*求节点($C$71:$C$72,F$71:F$72,基础状态预期!$AD21),0))</f>
        <v>0</v>
      </c>
      <c r="W9" s="80">
        <f>IF(基础状态预期!AC21="",0,IFERROR(基础状态预期!I21*求节点($C$62:$C$63,G$62:G$63,基础状态预期!AC21),0)+IFERROR(基础状态预期!$J21*求节点($C$71:$C$72,G$71:G$72,基础状态预期!$AD21),0))</f>
        <v>6</v>
      </c>
      <c r="X9" s="80">
        <f>IF(基础状态预期!AD21="",0,IFERROR(基础状态预期!J21*求节点($C$62:$C$63,H$62:H$63,基础状态预期!AD21),0)+IFERROR(基础状态预期!$J21*求节点($C$71:$C$72,H$71:H$72,基础状态预期!$AD21),0))</f>
        <v>0</v>
      </c>
      <c r="Y9" s="80">
        <f>IF(基础状态预期!$H21="",0,IF(基础状态预期!$AB21&lt;=1,基础状态预期!$AB21*D$18,D$18)*基础状态预期!$H21)+
IF(基础状态预期!$I21="",0,IF(基础状态预期!$AC21&lt;=1,基础状态预期!$AC21*D$19,D$19)*基础状态预期!$I21)+
IF(基础状态预期!$J21="",0,IF(基础状态预期!$AD21&lt;=1,基础状态预期!$AD21*D$20,D$20)*基础状态预期!$J21)</f>
        <v>36</v>
      </c>
      <c r="Z9" s="80">
        <f>IF(基础状态预期!$H21="",0,IF(基础状态预期!$AB21&lt;=1,基础状态预期!$AB21*E$18,E$18)*基础状态预期!$H21)+
IF(基础状态预期!$I21="",0,IF(基础状态预期!$AC21&lt;=1,基础状态预期!$AC21*E$19,E$19)*基础状态预期!$I21)+
IF(基础状态预期!$J21="",0,IF(基础状态预期!$AD21&lt;=1,基础状态预期!$AD21*E$20,E$20)*基础状态预期!$J21)</f>
        <v>0</v>
      </c>
      <c r="AA9" s="80">
        <f>IF(基础状态预期!$H21="",0,IF(基础状态预期!$AB21&lt;=1,基础状态预期!$AB21*F$18,F$18)*基础状态预期!$H21)+
IF(基础状态预期!$I21="",0,IF(基础状态预期!$AC21&lt;=1,基础状态预期!$AC21*F$19,F$19)*基础状态预期!$I21)+
IF(基础状态预期!$J21="",0,IF(基础状态预期!$AD21&lt;=1,基础状态预期!$AD21*F$20,F$20)*基础状态预期!$J21)</f>
        <v>0</v>
      </c>
      <c r="AB9" s="67">
        <f>IF(基础状态预期!$H21="",0,IF(基础状态预期!$AB21&lt;=1,0,(基础状态预期!$AB21-1)*G$26)*基础状态预期!$H21)+
IF(基础状态预期!$I21="",0,IF(基础状态预期!$AC21&lt;=1,0,(基础状态预期!$AC21-1)*G$27)*基础状态预期!$I21)+
IF(基础状态预期!$J21="",0,IF(基础状态预期!$AD21&lt;=1,0,(基础状态预期!$AD21-1)*G$28)*基础状态预期!$J21)</f>
        <v>180</v>
      </c>
      <c r="AC9" s="67">
        <f>IF(基础状态预期!$H21="",0,IF(基础状态预期!$AB21&lt;=1,0,(基础状态预期!$AB21-1)*H$26)*基础状态预期!$H21)+
IF(基础状态预期!$I21="",0,IF(基础状态预期!$AC21&lt;=1,0,(基础状态预期!$AC21-1)*H$27)*基础状态预期!$I21)+
IF(基础状态预期!$J21="",0,IF(基础状态预期!$AD21&lt;=1,0,(基础状态预期!$AD21-1)*H$28)*基础状态预期!$J21)</f>
        <v>0</v>
      </c>
      <c r="AD9" s="67">
        <f>IF(基础状态预期!$H21="",0,IF(基础状态预期!$AB21&lt;=1,0,(基础状态预期!$AB21-1)*I$26)*基础状态预期!$H21)+
IF(基础状态预期!$I21="",0,IF(基础状态预期!$AC21&lt;=1,0,(基础状态预期!$AC21-1)*I$27)*基础状态预期!$I21)+
IF(基础状态预期!$J21="",0,IF(基础状态预期!$AD21&lt;=1,0,(基础状态预期!$AD21-1)*I$28)*基础状态预期!$J21)</f>
        <v>0</v>
      </c>
      <c r="AE9" s="80">
        <f>IF(各r阵容卡情况!$H15=0,0,IF(各r阵容卡情况!$AB15&lt;=1,各r阵容卡情况!$AB15*D$18,1*D$18)*各r阵容卡情况!$H15)+
IF(各r阵容卡情况!$I15=0,0,IF(各r阵容卡情况!$AC15&lt;=1,各r阵容卡情况!$AC15*D$19,1*D$19)*各r阵容卡情况!$I15)+
IF(各r阵容卡情况!$J15=0,0,IF(各r阵容卡情况!$AD15&lt;=1,各r阵容卡情况!$AD15*D$20,1*D$20)*各r阵容卡情况!$J15)</f>
        <v>16</v>
      </c>
      <c r="AF9" s="80">
        <f>IF(各r阵容卡情况!$H15=0,0,IF(各r阵容卡情况!$AB15&lt;=1,各r阵容卡情况!$AB15*E$18,1*E$18)*各r阵容卡情况!$H15)+
IF(各r阵容卡情况!$I15=0,0,IF(各r阵容卡情况!$AC15&lt;=1,各r阵容卡情况!$AC15*E$19,1*E$19)*各r阵容卡情况!$I15)+
IF(各r阵容卡情况!$J15=0,0,IF(各r阵容卡情况!$AD15&lt;=1,各r阵容卡情况!$AD15*E$20,1*E$20)*各r阵容卡情况!$J15)</f>
        <v>0</v>
      </c>
      <c r="AG9" s="80">
        <f>IF(各r阵容卡情况!$H15=0,0,IF(各r阵容卡情况!$AB15&lt;=1,各r阵容卡情况!$AB15*F$18,1*F$18)*各r阵容卡情况!$H15)+
IF(各r阵容卡情况!$I15=0,0,IF(各r阵容卡情况!$AC15&lt;=1,各r阵容卡情况!$AC15*F$19,1*F$19)*各r阵容卡情况!$I15)+
IF(各r阵容卡情况!$J15=0,0,IF(各r阵容卡情况!$AD15&lt;=1,各r阵容卡情况!$AD15*F$20,1*F$20)*各r阵容卡情况!$J15)</f>
        <v>0</v>
      </c>
      <c r="AH9" s="67">
        <f>IF(各r阵容卡情况!$H15=0,0,IF(各r阵容卡情况!$AB15&lt;=1,0,(各r阵容卡情况!$AB15-1)*G$26)*各r阵容卡情况!$H15)+
IF(各r阵容卡情况!$I15=0,0,IF(各r阵容卡情况!$AC15&lt;=1,0,(各r阵容卡情况!$AC15-1)*G$27)*各r阵容卡情况!$I15)+
IF(各r阵容卡情况!$J15=0,0,IF(各r阵容卡情况!$AD15&lt;=1,0,(各r阵容卡情况!$AD15-1)*G$28)*各r阵容卡情况!$J15)</f>
        <v>80</v>
      </c>
      <c r="AI9" s="67">
        <f>IF(各r阵容卡情况!$H15=0,0,IF(各r阵容卡情况!$AB15&lt;=1,0,(各r阵容卡情况!$AB15-1)*H$26)*各r阵容卡情况!$H15)+
IF(各r阵容卡情况!$I15=0,0,IF(各r阵容卡情况!$AC15&lt;=1,0,(各r阵容卡情况!$AC15-1)*H$27)*各r阵容卡情况!$I15)+
IF(各r阵容卡情况!$J15=0,0,IF(各r阵容卡情况!$AD15&lt;=1,0,(各r阵容卡情况!$AD15-1)*H$28)*各r阵容卡情况!$J15)</f>
        <v>0</v>
      </c>
      <c r="AJ9" s="67">
        <f>IF(各r阵容卡情况!$H15=0,0,IF(各r阵容卡情况!$AB15&lt;=1,0,(各r阵容卡情况!$AB15-1)*I$26)*各r阵容卡情况!$H15)+
IF(各r阵容卡情况!$I15=0,0,IF(各r阵容卡情况!$AC15&lt;=1,0,(各r阵容卡情况!$AC15-1)*I$27)*各r阵容卡情况!$I15)+
IF(各r阵容卡情况!$J15=0,0,IF(各r阵容卡情况!$AD15&lt;=1,0,(各r阵容卡情况!$AD15-1)*I$28)*各r阵容卡情况!$J15)</f>
        <v>0</v>
      </c>
      <c r="AL9" s="14">
        <v>30</v>
      </c>
      <c r="AM9" s="80">
        <f t="shared" si="2"/>
        <v>36</v>
      </c>
      <c r="AN9" s="80">
        <f t="shared" si="3"/>
        <v>0</v>
      </c>
      <c r="AO9" s="80">
        <f t="shared" si="4"/>
        <v>0</v>
      </c>
      <c r="AP9" s="80">
        <f t="shared" si="5"/>
        <v>14.086300226296958</v>
      </c>
      <c r="AQ9" s="80">
        <f t="shared" si="6"/>
        <v>0</v>
      </c>
      <c r="AR9" s="80">
        <f t="shared" si="7"/>
        <v>0</v>
      </c>
      <c r="AS9" s="80">
        <f t="shared" si="8"/>
        <v>2.3685260674262185</v>
      </c>
      <c r="AT9" s="80">
        <f t="shared" si="9"/>
        <v>0</v>
      </c>
      <c r="AU9" s="80">
        <f t="shared" si="10"/>
        <v>0</v>
      </c>
      <c r="AV9" s="80">
        <f t="shared" si="11"/>
        <v>3.130288939177102</v>
      </c>
      <c r="AW9" s="80">
        <f t="shared" si="12"/>
        <v>0</v>
      </c>
      <c r="AX9" s="80">
        <f t="shared" si="13"/>
        <v>0</v>
      </c>
      <c r="AY9" s="61" t="e">
        <f>SUMPRODUCT(AM9:AR9/'[1]功能-行军令'!$GI$26:$GN$26+AS9:AX9/'[1]功能-行军令'!$GI$26:$GN$26)/0.18</f>
        <v>#DIV/0!</v>
      </c>
      <c r="BB9" s="80">
        <v>60</v>
      </c>
      <c r="BC9" s="80"/>
      <c r="BD9" s="80"/>
      <c r="BE9" s="80"/>
      <c r="BF9" s="80"/>
      <c r="BG9" s="80"/>
      <c r="BH9" s="80"/>
      <c r="BI9" s="80"/>
      <c r="BJ9" s="80"/>
      <c r="BK9" s="80">
        <f t="shared" si="14"/>
        <v>0</v>
      </c>
      <c r="BO9" s="80">
        <f t="shared" si="15"/>
        <v>43.920692243099523</v>
      </c>
      <c r="BP9" s="80">
        <f t="shared" si="16"/>
        <v>3120000</v>
      </c>
      <c r="BQ9" s="80">
        <f>(BP9-BP8)*INDEX('[1]功能-付费相关'!$AQ$6:$AQ$165,$BO9,1)+BQ8</f>
        <v>5037.9609000727214</v>
      </c>
      <c r="BR9" s="80"/>
      <c r="BS9" s="80"/>
      <c r="BU9" s="80">
        <v>60</v>
      </c>
      <c r="BV9" s="80">
        <f t="shared" si="1"/>
        <v>9246.9836821799709</v>
      </c>
      <c r="BW9" s="80">
        <f>INDEX('[1]功能-行军令'!$N$4:$R$163,BU9,1)*INDEX('[1]功能-付费相关'!$H$6:$L$6,1,1)*'[1]功能-行军令'!$AD$17</f>
        <v>8694</v>
      </c>
      <c r="BX9" s="80"/>
      <c r="BY9" s="80">
        <f t="shared" si="17"/>
        <v>17940.983682179969</v>
      </c>
    </row>
    <row r="10" spans="2:77" x14ac:dyDescent="0.15">
      <c r="B10" s="200"/>
      <c r="C10" s="80"/>
      <c r="D10" s="80"/>
      <c r="E10" s="80"/>
      <c r="F10" s="80"/>
      <c r="G10" s="80"/>
      <c r="H10" s="80"/>
      <c r="I10" s="80"/>
      <c r="L10" s="61">
        <v>9</v>
      </c>
      <c r="M10" s="80">
        <f>基础状态预期!D22</f>
        <v>43.920692243099523</v>
      </c>
      <c r="N10" s="80">
        <f>IF(基础状态预期!F22="",0,IF(基础状态预期!Z22&lt;=1,基础状态预期!Z22*D$4,1*D$4+(基础状态预期!Z22-1)*武将觉醒!D$5))</f>
        <v>0</v>
      </c>
      <c r="O10" s="80">
        <f>IF(基础状态预期!G22="",0,IF(基础状态预期!AA22&lt;=1,基础状态预期!AA22*E$4,1*E$4+(基础状态预期!AA22-1)*武将觉醒!E$5))</f>
        <v>0</v>
      </c>
      <c r="P10" s="80">
        <f>IF(基础状态预期!H22="",0,IF(基础状态预期!AB22&lt;=1,基础状态预期!AB22*F$4,1*F$4+(基础状态预期!AB22-1)*武将觉醒!F$5))</f>
        <v>0</v>
      </c>
      <c r="Q10" s="80">
        <f>IF(基础状态预期!I22="",0,IF(基础状态预期!AC22&lt;=1,基础状态预期!AC22*G$4,1*G$4+(基础状态预期!AC22-1)*武将觉醒!G$5))</f>
        <v>520000</v>
      </c>
      <c r="R10" s="80">
        <f>IF(基础状态预期!J22="",0,IF(基础状态预期!AD22&lt;=1,基础状态预期!AD22*H$4,1*H$4+(基础状态预期!AD22-1)*武将觉醒!H$5))</f>
        <v>0</v>
      </c>
      <c r="S10" s="80">
        <f>MAX(SUMPRODUCT(N10:R10,基础状态预期!F22:J22),S9)</f>
        <v>3120000</v>
      </c>
      <c r="T10" s="80">
        <f>IF(基础状态预期!Z22="",0,IFERROR(基础状态预期!F22*求节点($C$62:$C$63,D$62:D$63,基础状态预期!Z22),0)+IFERROR(基础状态预期!$J22*求节点($C$71:$C$72,D$71:D$72,基础状态预期!$AD22),0))</f>
        <v>0</v>
      </c>
      <c r="U10" s="80">
        <f>IF(基础状态预期!AA22="",0,IFERROR(基础状态预期!G22*求节点($C$62:$C$63,E$62:E$63,基础状态预期!AA22),0)+IFERROR(基础状态预期!$J22*求节点($C$71:$C$72,E$71:E$72,基础状态预期!$AD22),0))</f>
        <v>0</v>
      </c>
      <c r="V10" s="80">
        <f>IF(基础状态预期!AB22="",0,IFERROR(基础状态预期!H22*求节点($C$62:$C$63,F$62:F$63,基础状态预期!AB22),0)+IFERROR(基础状态预期!$J22*求节点($C$71:$C$72,F$71:F$72,基础状态预期!$AD22),0))</f>
        <v>0</v>
      </c>
      <c r="W10" s="80">
        <f>IF(基础状态预期!AC22="",0,IFERROR(基础状态预期!I22*求节点($C$62:$C$63,G$62:G$63,基础状态预期!AC22),0)+IFERROR(基础状态预期!$J22*求节点($C$71:$C$72,G$71:G$72,基础状态预期!$AD22),0))</f>
        <v>6</v>
      </c>
      <c r="X10" s="80">
        <f>IF(基础状态预期!AD22="",0,IFERROR(基础状态预期!J22*求节点($C$62:$C$63,H$62:H$63,基础状态预期!AD22),0)+IFERROR(基础状态预期!$J22*求节点($C$71:$C$72,H$71:H$72,基础状态预期!$AD22),0))</f>
        <v>0</v>
      </c>
      <c r="Y10" s="80">
        <f>IF(基础状态预期!$H22="",0,IF(基础状态预期!$AB22&lt;=1,基础状态预期!$AB22*D$18,D$18)*基础状态预期!$H22)+
IF(基础状态预期!$I22="",0,IF(基础状态预期!$AC22&lt;=1,基础状态预期!$AC22*D$19,D$19)*基础状态预期!$I22)+
IF(基础状态预期!$J22="",0,IF(基础状态预期!$AD22&lt;=1,基础状态预期!$AD22*D$20,D$20)*基础状态预期!$J22)</f>
        <v>36</v>
      </c>
      <c r="Z10" s="80">
        <f>IF(基础状态预期!$H22="",0,IF(基础状态预期!$AB22&lt;=1,基础状态预期!$AB22*E$18,E$18)*基础状态预期!$H22)+
IF(基础状态预期!$I22="",0,IF(基础状态预期!$AC22&lt;=1,基础状态预期!$AC22*E$19,E$19)*基础状态预期!$I22)+
IF(基础状态预期!$J22="",0,IF(基础状态预期!$AD22&lt;=1,基础状态预期!$AD22*E$20,E$20)*基础状态预期!$J22)</f>
        <v>0</v>
      </c>
      <c r="AA10" s="80">
        <f>IF(基础状态预期!$H22="",0,IF(基础状态预期!$AB22&lt;=1,基础状态预期!$AB22*F$18,F$18)*基础状态预期!$H22)+
IF(基础状态预期!$I22="",0,IF(基础状态预期!$AC22&lt;=1,基础状态预期!$AC22*F$19,F$19)*基础状态预期!$I22)+
IF(基础状态预期!$J22="",0,IF(基础状态预期!$AD22&lt;=1,基础状态预期!$AD22*F$20,F$20)*基础状态预期!$J22)</f>
        <v>0</v>
      </c>
      <c r="AB10" s="67">
        <f>IF(基础状态预期!$H22="",0,IF(基础状态预期!$AB22&lt;=1,0,(基础状态预期!$AB22-1)*G$26)*基础状态预期!$H22)+
IF(基础状态预期!$I22="",0,IF(基础状态预期!$AC22&lt;=1,0,(基础状态预期!$AC22-1)*G$27)*基础状态预期!$I22)+
IF(基础状态预期!$J22="",0,IF(基础状态预期!$AD22&lt;=1,0,(基础状态预期!$AD22-1)*G$28)*基础状态预期!$J22)</f>
        <v>180</v>
      </c>
      <c r="AC10" s="67">
        <f>IF(基础状态预期!$H22="",0,IF(基础状态预期!$AB22&lt;=1,0,(基础状态预期!$AB22-1)*H$26)*基础状态预期!$H22)+
IF(基础状态预期!$I22="",0,IF(基础状态预期!$AC22&lt;=1,0,(基础状态预期!$AC22-1)*H$27)*基础状态预期!$I22)+
IF(基础状态预期!$J22="",0,IF(基础状态预期!$AD22&lt;=1,0,(基础状态预期!$AD22-1)*H$28)*基础状态预期!$J22)</f>
        <v>0</v>
      </c>
      <c r="AD10" s="67">
        <f>IF(基础状态预期!$H22="",0,IF(基础状态预期!$AB22&lt;=1,0,(基础状态预期!$AB22-1)*I$26)*基础状态预期!$H22)+
IF(基础状态预期!$I22="",0,IF(基础状态预期!$AC22&lt;=1,0,(基础状态预期!$AC22-1)*I$27)*基础状态预期!$I22)+
IF(基础状态预期!$J22="",0,IF(基础状态预期!$AD22&lt;=1,0,(基础状态预期!$AD22-1)*I$28)*基础状态预期!$J22)</f>
        <v>0</v>
      </c>
      <c r="AE10" s="80">
        <f>IF(各r阵容卡情况!$H16=0,0,IF(各r阵容卡情况!$AB16&lt;=1,各r阵容卡情况!$AB16*D$18,1*D$18)*各r阵容卡情况!$H16)+
IF(各r阵容卡情况!$I16=0,0,IF(各r阵容卡情况!$AC16&lt;=1,各r阵容卡情况!$AC16*D$19,1*D$19)*各r阵容卡情况!$I16)+
IF(各r阵容卡情况!$J16=0,0,IF(各r阵容卡情况!$AD16&lt;=1,各r阵容卡情况!$AD16*D$20,1*D$20)*各r阵容卡情况!$J16)</f>
        <v>24</v>
      </c>
      <c r="AF10" s="80">
        <f>IF(各r阵容卡情况!$H16=0,0,IF(各r阵容卡情况!$AB16&lt;=1,各r阵容卡情况!$AB16*E$18,1*E$18)*各r阵容卡情况!$H16)+
IF(各r阵容卡情况!$I16=0,0,IF(各r阵容卡情况!$AC16&lt;=1,各r阵容卡情况!$AC16*E$19,1*E$19)*各r阵容卡情况!$I16)+
IF(各r阵容卡情况!$J16=0,0,IF(各r阵容卡情况!$AD16&lt;=1,各r阵容卡情况!$AD16*E$20,1*E$20)*各r阵容卡情况!$J16)</f>
        <v>0</v>
      </c>
      <c r="AG10" s="80">
        <f>IF(各r阵容卡情况!$H16=0,0,IF(各r阵容卡情况!$AB16&lt;=1,各r阵容卡情况!$AB16*F$18,1*F$18)*各r阵容卡情况!$H16)+
IF(各r阵容卡情况!$I16=0,0,IF(各r阵容卡情况!$AC16&lt;=1,各r阵容卡情况!$AC16*F$19,1*F$19)*各r阵容卡情况!$I16)+
IF(各r阵容卡情况!$J16=0,0,IF(各r阵容卡情况!$AD16&lt;=1,各r阵容卡情况!$AD16*F$20,1*F$20)*各r阵容卡情况!$J16)</f>
        <v>0</v>
      </c>
      <c r="AH10" s="67">
        <f>IF(各r阵容卡情况!$H16=0,0,IF(各r阵容卡情况!$AB16&lt;=1,0,(各r阵容卡情况!$AB16-1)*G$26)*各r阵容卡情况!$H16)+
IF(各r阵容卡情况!$I16=0,0,IF(各r阵容卡情况!$AC16&lt;=1,0,(各r阵容卡情况!$AC16-1)*G$27)*各r阵容卡情况!$I16)+
IF(各r阵容卡情况!$J16=0,0,IF(各r阵容卡情况!$AD16&lt;=1,0,(各r阵容卡情况!$AD16-1)*G$28)*各r阵容卡情况!$J16)</f>
        <v>120</v>
      </c>
      <c r="AI10" s="67">
        <f>IF(各r阵容卡情况!$H16=0,0,IF(各r阵容卡情况!$AB16&lt;=1,0,(各r阵容卡情况!$AB16-1)*H$26)*各r阵容卡情况!$H16)+
IF(各r阵容卡情况!$I16=0,0,IF(各r阵容卡情况!$AC16&lt;=1,0,(各r阵容卡情况!$AC16-1)*H$27)*各r阵容卡情况!$I16)+
IF(各r阵容卡情况!$J16=0,0,IF(各r阵容卡情况!$AD16&lt;=1,0,(各r阵容卡情况!$AD16-1)*H$28)*各r阵容卡情况!$J16)</f>
        <v>0</v>
      </c>
      <c r="AJ10" s="67">
        <f>IF(各r阵容卡情况!$H16=0,0,IF(各r阵容卡情况!$AB16&lt;=1,0,(各r阵容卡情况!$AB16-1)*I$26)*各r阵容卡情况!$H16)+
IF(各r阵容卡情况!$I16=0,0,IF(各r阵容卡情况!$AC16&lt;=1,0,(各r阵容卡情况!$AC16-1)*I$27)*各r阵容卡情况!$I16)+
IF(各r阵容卡情况!$J16=0,0,IF(各r阵容卡情况!$AD16&lt;=1,0,(各r阵容卡情况!$AD16-1)*I$28)*各r阵容卡情况!$J16)</f>
        <v>0</v>
      </c>
      <c r="AL10" s="14">
        <v>35</v>
      </c>
      <c r="AM10" s="80">
        <f t="shared" si="2"/>
        <v>36</v>
      </c>
      <c r="AN10" s="80">
        <f t="shared" si="3"/>
        <v>0</v>
      </c>
      <c r="AO10" s="80">
        <f t="shared" si="4"/>
        <v>0</v>
      </c>
      <c r="AP10" s="80">
        <f t="shared" si="5"/>
        <v>57.705654533241422</v>
      </c>
      <c r="AQ10" s="80">
        <f t="shared" si="6"/>
        <v>0</v>
      </c>
      <c r="AR10" s="80">
        <f t="shared" si="7"/>
        <v>0</v>
      </c>
      <c r="AS10" s="80">
        <f t="shared" si="8"/>
        <v>8.6118254578022881</v>
      </c>
      <c r="AT10" s="80">
        <f t="shared" si="9"/>
        <v>0</v>
      </c>
      <c r="AU10" s="80">
        <f t="shared" si="10"/>
        <v>0</v>
      </c>
      <c r="AV10" s="80">
        <f t="shared" si="11"/>
        <v>15.882606074176199</v>
      </c>
      <c r="AW10" s="80">
        <f t="shared" si="12"/>
        <v>0</v>
      </c>
      <c r="AX10" s="80">
        <f t="shared" si="13"/>
        <v>0</v>
      </c>
      <c r="AY10" s="61" t="e">
        <f>SUMPRODUCT(AM10:AR10/'[1]功能-行军令'!$GI$26:$GN$26+AS10:AX10/'[1]功能-行军令'!$GI$26:$GN$26)/0.18</f>
        <v>#DIV/0!</v>
      </c>
      <c r="BB10" s="80">
        <v>70</v>
      </c>
      <c r="BC10" s="80"/>
      <c r="BD10" s="80"/>
      <c r="BE10" s="80"/>
      <c r="BF10" s="80"/>
      <c r="BG10" s="80"/>
      <c r="BH10" s="80"/>
      <c r="BI10" s="80"/>
      <c r="BJ10" s="80"/>
      <c r="BK10" s="80">
        <f t="shared" si="14"/>
        <v>0</v>
      </c>
      <c r="BO10" s="80">
        <f t="shared" si="15"/>
        <v>49.533352307096472</v>
      </c>
      <c r="BP10" s="80">
        <f t="shared" si="16"/>
        <v>3120000</v>
      </c>
      <c r="BQ10" s="80">
        <f>(BP10-BP9)*INDEX('[1]功能-付费相关'!$AQ$6:$AQ$165,$BO10,1)+BQ9</f>
        <v>5037.9609000727214</v>
      </c>
      <c r="BR10" s="80"/>
      <c r="BS10" s="80"/>
      <c r="BU10" s="80">
        <v>70</v>
      </c>
      <c r="BV10" s="80">
        <f t="shared" si="1"/>
        <v>13039.042747992606</v>
      </c>
      <c r="BW10" s="86">
        <f>BW9*1.5</f>
        <v>13041</v>
      </c>
      <c r="BX10" s="80"/>
      <c r="BY10" s="80">
        <f t="shared" si="17"/>
        <v>26080.042747992607</v>
      </c>
    </row>
    <row r="11" spans="2:77" ht="11.25" customHeight="1" x14ac:dyDescent="0.15">
      <c r="B11" s="66"/>
      <c r="L11" s="61">
        <v>10</v>
      </c>
      <c r="M11" s="80">
        <f>基础状态预期!D23</f>
        <v>49.533352307096472</v>
      </c>
      <c r="N11" s="80">
        <f>IF(基础状态预期!F23="",0,IF(基础状态预期!Z23&lt;=1,基础状态预期!Z23*D$4,1*D$4+(基础状态预期!Z23-1)*武将觉醒!D$5))</f>
        <v>0</v>
      </c>
      <c r="O11" s="80">
        <f>IF(基础状态预期!G23="",0,IF(基础状态预期!AA23&lt;=1,基础状态预期!AA23*E$4,1*E$4+(基础状态预期!AA23-1)*武将觉醒!E$5))</f>
        <v>0</v>
      </c>
      <c r="P11" s="80">
        <f>IF(基础状态预期!H23="",0,IF(基础状态预期!AB23&lt;=1,基础状态预期!AB23*F$4,1*F$4+(基础状态预期!AB23-1)*武将觉醒!F$5))</f>
        <v>0</v>
      </c>
      <c r="Q11" s="80">
        <f>IF(基础状态预期!I23="",0,IF(基础状态预期!AC23&lt;=1,基础状态预期!AC23*G$4,1*G$4+(基础状态预期!AC23-1)*武将觉醒!G$5))</f>
        <v>520000</v>
      </c>
      <c r="R11" s="80">
        <f>IF(基础状态预期!J23="",0,IF(基础状态预期!AD23&lt;=1,基础状态预期!AD23*H$4,1*H$4+(基础状态预期!AD23-1)*武将觉醒!H$5))</f>
        <v>0</v>
      </c>
      <c r="S11" s="80">
        <f>MAX(SUMPRODUCT(N11:R11,基础状态预期!F23:J23),S10)</f>
        <v>3120000</v>
      </c>
      <c r="T11" s="80">
        <f>IF(基础状态预期!Z23="",0,IFERROR(基础状态预期!F23*求节点($C$62:$C$63,D$62:D$63,基础状态预期!Z23),0)+IFERROR(基础状态预期!$J23*求节点($C$71:$C$72,D$71:D$72,基础状态预期!$AD23),0))</f>
        <v>0</v>
      </c>
      <c r="U11" s="80">
        <f>IF(基础状态预期!AA23="",0,IFERROR(基础状态预期!G23*求节点($C$62:$C$63,E$62:E$63,基础状态预期!AA23),0)+IFERROR(基础状态预期!$J23*求节点($C$71:$C$72,E$71:E$72,基础状态预期!$AD23),0))</f>
        <v>0</v>
      </c>
      <c r="V11" s="80">
        <f>IF(基础状态预期!AB23="",0,IFERROR(基础状态预期!H23*求节点($C$62:$C$63,F$62:F$63,基础状态预期!AB23),0)+IFERROR(基础状态预期!$J23*求节点($C$71:$C$72,F$71:F$72,基础状态预期!$AD23),0))</f>
        <v>0</v>
      </c>
      <c r="W11" s="80">
        <f>IF(基础状态预期!AC23="",0,IFERROR(基础状态预期!I23*求节点($C$62:$C$63,G$62:G$63,基础状态预期!AC23),0)+IFERROR(基础状态预期!$J23*求节点($C$71:$C$72,G$71:G$72,基础状态预期!$AD23),0))</f>
        <v>6</v>
      </c>
      <c r="X11" s="80">
        <f>IF(基础状态预期!AD23="",0,IFERROR(基础状态预期!J23*求节点($C$62:$C$63,H$62:H$63,基础状态预期!AD23),0)+IFERROR(基础状态预期!$J23*求节点($C$71:$C$72,H$71:H$72,基础状态预期!$AD23),0))</f>
        <v>0</v>
      </c>
      <c r="Y11" s="80">
        <f>IF(基础状态预期!$H23="",0,IF(基础状态预期!$AB23&lt;=1,基础状态预期!$AB23*D$18,D$18)*基础状态预期!$H23)+
IF(基础状态预期!$I23="",0,IF(基础状态预期!$AC23&lt;=1,基础状态预期!$AC23*D$19,D$19)*基础状态预期!$I23)+
IF(基础状态预期!$J23="",0,IF(基础状态预期!$AD23&lt;=1,基础状态预期!$AD23*D$20,D$20)*基础状态预期!$J23)</f>
        <v>36</v>
      </c>
      <c r="Z11" s="80">
        <f>IF(基础状态预期!$H23="",0,IF(基础状态预期!$AB23&lt;=1,基础状态预期!$AB23*E$18,E$18)*基础状态预期!$H23)+
IF(基础状态预期!$I23="",0,IF(基础状态预期!$AC23&lt;=1,基础状态预期!$AC23*E$19,E$19)*基础状态预期!$I23)+
IF(基础状态预期!$J23="",0,IF(基础状态预期!$AD23&lt;=1,基础状态预期!$AD23*E$20,E$20)*基础状态预期!$J23)</f>
        <v>0</v>
      </c>
      <c r="AA11" s="80">
        <f>IF(基础状态预期!$H23="",0,IF(基础状态预期!$AB23&lt;=1,基础状态预期!$AB23*F$18,F$18)*基础状态预期!$H23)+
IF(基础状态预期!$I23="",0,IF(基础状态预期!$AC23&lt;=1,基础状态预期!$AC23*F$19,F$19)*基础状态预期!$I23)+
IF(基础状态预期!$J23="",0,IF(基础状态预期!$AD23&lt;=1,基础状态预期!$AD23*F$20,F$20)*基础状态预期!$J23)</f>
        <v>0</v>
      </c>
      <c r="AB11" s="67">
        <f>IF(基础状态预期!$H23="",0,IF(基础状态预期!$AB23&lt;=1,0,(基础状态预期!$AB23-1)*G$26)*基础状态预期!$H23)+
IF(基础状态预期!$I23="",0,IF(基础状态预期!$AC23&lt;=1,0,(基础状态预期!$AC23-1)*G$27)*基础状态预期!$I23)+
IF(基础状态预期!$J23="",0,IF(基础状态预期!$AD23&lt;=1,0,(基础状态预期!$AD23-1)*G$28)*基础状态预期!$J23)</f>
        <v>180</v>
      </c>
      <c r="AC11" s="67">
        <f>IF(基础状态预期!$H23="",0,IF(基础状态预期!$AB23&lt;=1,0,(基础状态预期!$AB23-1)*H$26)*基础状态预期!$H23)+
IF(基础状态预期!$I23="",0,IF(基础状态预期!$AC23&lt;=1,0,(基础状态预期!$AC23-1)*H$27)*基础状态预期!$I23)+
IF(基础状态预期!$J23="",0,IF(基础状态预期!$AD23&lt;=1,0,(基础状态预期!$AD23-1)*H$28)*基础状态预期!$J23)</f>
        <v>0</v>
      </c>
      <c r="AD11" s="67">
        <f>IF(基础状态预期!$H23="",0,IF(基础状态预期!$AB23&lt;=1,0,(基础状态预期!$AB23-1)*I$26)*基础状态预期!$H23)+
IF(基础状态预期!$I23="",0,IF(基础状态预期!$AC23&lt;=1,0,(基础状态预期!$AC23-1)*I$27)*基础状态预期!$I23)+
IF(基础状态预期!$J23="",0,IF(基础状态预期!$AD23&lt;=1,0,(基础状态预期!$AD23-1)*I$28)*基础状态预期!$J23)</f>
        <v>0</v>
      </c>
      <c r="AE11" s="80">
        <f>IF(各r阵容卡情况!$H17=0,0,IF(各r阵容卡情况!$AB17&lt;=1,各r阵容卡情况!$AB17*D$18,1*D$18)*各r阵容卡情况!$H17)+
IF(各r阵容卡情况!$I17=0,0,IF(各r阵容卡情况!$AC17&lt;=1,各r阵容卡情况!$AC17*D$19,1*D$19)*各r阵容卡情况!$I17)+
IF(各r阵容卡情况!$J17=0,0,IF(各r阵容卡情况!$AD17&lt;=1,各r阵容卡情况!$AD17*D$20,1*D$20)*各r阵容卡情况!$J17)</f>
        <v>32</v>
      </c>
      <c r="AF11" s="80">
        <f>IF(各r阵容卡情况!$H17=0,0,IF(各r阵容卡情况!$AB17&lt;=1,各r阵容卡情况!$AB17*E$18,1*E$18)*各r阵容卡情况!$H17)+
IF(各r阵容卡情况!$I17=0,0,IF(各r阵容卡情况!$AC17&lt;=1,各r阵容卡情况!$AC17*E$19,1*E$19)*各r阵容卡情况!$I17)+
IF(各r阵容卡情况!$J17=0,0,IF(各r阵容卡情况!$AD17&lt;=1,各r阵容卡情况!$AD17*E$20,1*E$20)*各r阵容卡情况!$J17)</f>
        <v>0</v>
      </c>
      <c r="AG11" s="80">
        <f>IF(各r阵容卡情况!$H17=0,0,IF(各r阵容卡情况!$AB17&lt;=1,各r阵容卡情况!$AB17*F$18,1*F$18)*各r阵容卡情况!$H17)+
IF(各r阵容卡情况!$I17=0,0,IF(各r阵容卡情况!$AC17&lt;=1,各r阵容卡情况!$AC17*F$19,1*F$19)*各r阵容卡情况!$I17)+
IF(各r阵容卡情况!$J17=0,0,IF(各r阵容卡情况!$AD17&lt;=1,各r阵容卡情况!$AD17*F$20,1*F$20)*各r阵容卡情况!$J17)</f>
        <v>0</v>
      </c>
      <c r="AH11" s="67">
        <f>IF(各r阵容卡情况!$H17=0,0,IF(各r阵容卡情况!$AB17&lt;=1,0,(各r阵容卡情况!$AB17-1)*G$26)*各r阵容卡情况!$H17)+
IF(各r阵容卡情况!$I17=0,0,IF(各r阵容卡情况!$AC17&lt;=1,0,(各r阵容卡情况!$AC17-1)*G$27)*各r阵容卡情况!$I17)+
IF(各r阵容卡情况!$J17=0,0,IF(各r阵容卡情况!$AD17&lt;=1,0,(各r阵容卡情况!$AD17-1)*G$28)*各r阵容卡情况!$J17)</f>
        <v>160</v>
      </c>
      <c r="AI11" s="67">
        <f>IF(各r阵容卡情况!$H17=0,0,IF(各r阵容卡情况!$AB17&lt;=1,0,(各r阵容卡情况!$AB17-1)*H$26)*各r阵容卡情况!$H17)+
IF(各r阵容卡情况!$I17=0,0,IF(各r阵容卡情况!$AC17&lt;=1,0,(各r阵容卡情况!$AC17-1)*H$27)*各r阵容卡情况!$I17)+
IF(各r阵容卡情况!$J17=0,0,IF(各r阵容卡情况!$AD17&lt;=1,0,(各r阵容卡情况!$AD17-1)*H$28)*各r阵容卡情况!$J17)</f>
        <v>0</v>
      </c>
      <c r="AJ11" s="67">
        <f>IF(各r阵容卡情况!$H17=0,0,IF(各r阵容卡情况!$AB17&lt;=1,0,(各r阵容卡情况!$AB17-1)*I$26)*各r阵容卡情况!$H17)+
IF(各r阵容卡情况!$I17=0,0,IF(各r阵容卡情况!$AC17&lt;=1,0,(各r阵容卡情况!$AC17-1)*I$27)*各r阵容卡情况!$I17)+
IF(各r阵容卡情况!$J17=0,0,IF(各r阵容卡情况!$AD17&lt;=1,0,(各r阵容卡情况!$AD17-1)*I$28)*各r阵容卡情况!$J17)</f>
        <v>0</v>
      </c>
      <c r="AL11" s="14">
        <v>40</v>
      </c>
      <c r="AM11" s="80">
        <f t="shared" si="2"/>
        <v>36</v>
      </c>
      <c r="AN11" s="80">
        <f t="shared" si="3"/>
        <v>0</v>
      </c>
      <c r="AO11" s="80">
        <f t="shared" si="4"/>
        <v>0</v>
      </c>
      <c r="AP11" s="80">
        <f t="shared" si="5"/>
        <v>180</v>
      </c>
      <c r="AQ11" s="80">
        <f t="shared" si="6"/>
        <v>0</v>
      </c>
      <c r="AR11" s="80">
        <f t="shared" si="7"/>
        <v>0</v>
      </c>
      <c r="AS11" s="80">
        <f t="shared" si="8"/>
        <v>16</v>
      </c>
      <c r="AT11" s="80">
        <f t="shared" si="9"/>
        <v>0</v>
      </c>
      <c r="AU11" s="80">
        <f t="shared" si="10"/>
        <v>0</v>
      </c>
      <c r="AV11" s="80">
        <f t="shared" si="11"/>
        <v>80</v>
      </c>
      <c r="AW11" s="80">
        <f t="shared" si="12"/>
        <v>0</v>
      </c>
      <c r="AX11" s="80">
        <f t="shared" si="13"/>
        <v>0</v>
      </c>
      <c r="AY11" s="61" t="e">
        <f>SUMPRODUCT(AM11:AR11/'[1]功能-行军令'!$GI$26:$GN$26+AS11:AX11/'[1]功能-行军令'!$GI$26:$GN$26)/0.18</f>
        <v>#DIV/0!</v>
      </c>
      <c r="BB11" s="80">
        <v>80</v>
      </c>
      <c r="BC11" s="80"/>
      <c r="BD11" s="80"/>
      <c r="BE11" s="80"/>
      <c r="BF11" s="80"/>
      <c r="BG11" s="80"/>
      <c r="BH11" s="80"/>
      <c r="BI11" s="80"/>
      <c r="BJ11" s="80"/>
      <c r="BK11" s="80">
        <f t="shared" si="14"/>
        <v>0</v>
      </c>
      <c r="BO11" s="80">
        <f t="shared" si="15"/>
        <v>53.567039423670657</v>
      </c>
      <c r="BP11" s="80">
        <f t="shared" si="16"/>
        <v>4650000</v>
      </c>
      <c r="BQ11" s="80">
        <f>(BP11-BP10)*INDEX('[1]功能-付费相关'!$AQ$6:$AQ$165,$BO11,1)+BQ10</f>
        <v>7094.4125129759468</v>
      </c>
      <c r="BR11" s="80"/>
      <c r="BS11" s="80"/>
      <c r="BU11" s="80">
        <v>80</v>
      </c>
      <c r="BV11" s="80">
        <f t="shared" si="1"/>
        <v>15965.959189681667</v>
      </c>
      <c r="BW11" s="86">
        <f>BW10</f>
        <v>13041</v>
      </c>
      <c r="BX11" s="80"/>
      <c r="BY11" s="80">
        <f t="shared" si="17"/>
        <v>29006.959189681667</v>
      </c>
    </row>
    <row r="12" spans="2:77" x14ac:dyDescent="0.15">
      <c r="B12" s="66"/>
      <c r="L12" s="61">
        <v>11</v>
      </c>
      <c r="M12" s="80">
        <f>基础状态预期!D24</f>
        <v>53.567039423670657</v>
      </c>
      <c r="N12" s="80">
        <f>IF(基础状态预期!F24="",0,IF(基础状态预期!Z24&lt;=1,基础状态预期!Z24*D$4,1*D$4+(基础状态预期!Z24-1)*武将觉醒!D$5))</f>
        <v>0</v>
      </c>
      <c r="O12" s="80">
        <f>IF(基础状态预期!G24="",0,IF(基础状态预期!AA24&lt;=1,基础状态预期!AA24*E$4,1*E$4+(基础状态预期!AA24-1)*武将觉醒!E$5))</f>
        <v>0</v>
      </c>
      <c r="P12" s="80">
        <f>IF(基础状态预期!H24="",0,IF(基础状态预期!AB24&lt;=1,基础状态预期!AB24*F$4,1*F$4+(基础状态预期!AB24-1)*武将觉醒!F$5))</f>
        <v>0</v>
      </c>
      <c r="Q12" s="80">
        <f>IF(基础状态预期!I24="",0,IF(基础状态预期!AC24&lt;=1,基础状态预期!AC24*G$4,1*G$4+(基础状态预期!AC24-1)*武将觉醒!G$5))</f>
        <v>520000</v>
      </c>
      <c r="R12" s="80">
        <f>IF(基础状态预期!J24="",0,IF(基础状态预期!AD24&lt;=1,基础状态预期!AD24*H$4,1*H$4+(基础状态预期!AD24-1)*武将觉醒!H$5))</f>
        <v>2050000</v>
      </c>
      <c r="S12" s="80">
        <f>MAX(SUMPRODUCT(N12:R12,基础状态预期!F24:J24),S11)</f>
        <v>4650000</v>
      </c>
      <c r="T12" s="80">
        <f>IF(基础状态预期!Z24="",0,IFERROR(基础状态预期!F24*求节点($C$62:$C$63,D$62:D$63,基础状态预期!Z24),0)+IFERROR(基础状态预期!$J24*求节点($C$71:$C$72,D$71:D$72,基础状态预期!$AD24),0))</f>
        <v>0</v>
      </c>
      <c r="U12" s="80">
        <f>IF(基础状态预期!AA24="",0,IFERROR(基础状态预期!G24*求节点($C$62:$C$63,E$62:E$63,基础状态预期!AA24),0)+IFERROR(基础状态预期!$J24*求节点($C$71:$C$72,E$71:E$72,基础状态预期!$AD24),0))</f>
        <v>0</v>
      </c>
      <c r="V12" s="80">
        <f>IF(基础状态预期!AB24="",0,IFERROR(基础状态预期!H24*求节点($C$62:$C$63,F$62:F$63,基础状态预期!AB24),0)+IFERROR(基础状态预期!$J24*求节点($C$71:$C$72,F$71:F$72,基础状态预期!$AD24),0))</f>
        <v>0</v>
      </c>
      <c r="W12" s="80">
        <f>IF(基础状态预期!AC24="",0,IFERROR(基础状态预期!I24*求节点($C$62:$C$63,G$62:G$63,基础状态预期!AC24),0)+IFERROR(基础状态预期!$J24*求节点($C$71:$C$72,G$71:G$72,基础状态预期!$AD24),0))</f>
        <v>8</v>
      </c>
      <c r="X12" s="80">
        <f>IF(基础状态预期!AD24="",0,IFERROR(基础状态预期!J24*求节点($C$62:$C$63,H$62:H$63,基础状态预期!AD24),0)+IFERROR(基础状态预期!$J24*求节点($C$71:$C$72,H$71:H$72,基础状态预期!$AD24),0))</f>
        <v>0</v>
      </c>
      <c r="Y12" s="80">
        <f>IF(基础状态预期!$H24="",0,IF(基础状态预期!$AB24&lt;=1,基础状态预期!$AB24*D$18,D$18)*基础状态预期!$H24)+
IF(基础状态预期!$I24="",0,IF(基础状态预期!$AC24&lt;=1,基础状态预期!$AC24*D$19,D$19)*基础状态预期!$I24)+
IF(基础状态预期!$J24="",0,IF(基础状态预期!$AD24&lt;=1,基础状态预期!$AD24*D$20,D$20)*基础状态预期!$J24)</f>
        <v>38</v>
      </c>
      <c r="Z12" s="80">
        <f>IF(基础状态预期!$H24="",0,IF(基础状态预期!$AB24&lt;=1,基础状态预期!$AB24*E$18,E$18)*基础状态预期!$H24)+
IF(基础状态预期!$I24="",0,IF(基础状态预期!$AC24&lt;=1,基础状态预期!$AC24*E$19,E$19)*基础状态预期!$I24)+
IF(基础状态预期!$J24="",0,IF(基础状态预期!$AD24&lt;=1,基础状态预期!$AD24*E$20,E$20)*基础状态预期!$J24)</f>
        <v>0</v>
      </c>
      <c r="AA12" s="80">
        <f>IF(基础状态预期!$H24="",0,IF(基础状态预期!$AB24&lt;=1,基础状态预期!$AB24*F$18,F$18)*基础状态预期!$H24)+
IF(基础状态预期!$I24="",0,IF(基础状态预期!$AC24&lt;=1,基础状态预期!$AC24*F$19,F$19)*基础状态预期!$I24)+
IF(基础状态预期!$J24="",0,IF(基础状态预期!$AD24&lt;=1,基础状态预期!$AD24*F$20,F$20)*基础状态预期!$J24)</f>
        <v>0</v>
      </c>
      <c r="AB12" s="67">
        <f>IF(基础状态预期!$H24="",0,IF(基础状态预期!$AB24&lt;=1,0,(基础状态预期!$AB24-1)*G$26)*基础状态预期!$H24)+
IF(基础状态预期!$I24="",0,IF(基础状态预期!$AC24&lt;=1,0,(基础状态预期!$AC24-1)*G$27)*基础状态预期!$I24)+
IF(基础状态预期!$J24="",0,IF(基础状态预期!$AD24&lt;=1,0,(基础状态预期!$AD24-1)*G$28)*基础状态预期!$J24)</f>
        <v>190</v>
      </c>
      <c r="AC12" s="67">
        <f>IF(基础状态预期!$H24="",0,IF(基础状态预期!$AB24&lt;=1,0,(基础状态预期!$AB24-1)*H$26)*基础状态预期!$H24)+
IF(基础状态预期!$I24="",0,IF(基础状态预期!$AC24&lt;=1,0,(基础状态预期!$AC24-1)*H$27)*基础状态预期!$I24)+
IF(基础状态预期!$J24="",0,IF(基础状态预期!$AD24&lt;=1,0,(基础状态预期!$AD24-1)*H$28)*基础状态预期!$J24)</f>
        <v>0</v>
      </c>
      <c r="AD12" s="67">
        <f>IF(基础状态预期!$H24="",0,IF(基础状态预期!$AB24&lt;=1,0,(基础状态预期!$AB24-1)*I$26)*基础状态预期!$H24)+
IF(基础状态预期!$I24="",0,IF(基础状态预期!$AC24&lt;=1,0,(基础状态预期!$AC24-1)*I$27)*基础状态预期!$I24)+
IF(基础状态预期!$J24="",0,IF(基础状态预期!$AD24&lt;=1,0,(基础状态预期!$AD24-1)*I$28)*基础状态预期!$J24)</f>
        <v>0</v>
      </c>
      <c r="AE12" s="80">
        <f>IF(各r阵容卡情况!$H18=0,0,IF(各r阵容卡情况!$AB18&lt;=1,各r阵容卡情况!$AB18*D$18,1*D$18)*各r阵容卡情况!$H18)+
IF(各r阵容卡情况!$I18=0,0,IF(各r阵容卡情况!$AC18&lt;=1,各r阵容卡情况!$AC18*D$19,1*D$19)*各r阵容卡情况!$I18)+
IF(各r阵容卡情况!$J18=0,0,IF(各r阵容卡情况!$AD18&lt;=1,各r阵容卡情况!$AD18*D$20,1*D$20)*各r阵容卡情况!$J18)</f>
        <v>40</v>
      </c>
      <c r="AF12" s="80">
        <f>IF(各r阵容卡情况!$H18=0,0,IF(各r阵容卡情况!$AB18&lt;=1,各r阵容卡情况!$AB18*E$18,1*E$18)*各r阵容卡情况!$H18)+
IF(各r阵容卡情况!$I18=0,0,IF(各r阵容卡情况!$AC18&lt;=1,各r阵容卡情况!$AC18*E$19,1*E$19)*各r阵容卡情况!$I18)+
IF(各r阵容卡情况!$J18=0,0,IF(各r阵容卡情况!$AD18&lt;=1,各r阵容卡情况!$AD18*E$20,1*E$20)*各r阵容卡情况!$J18)</f>
        <v>0</v>
      </c>
      <c r="AG12" s="80">
        <f>IF(各r阵容卡情况!$H18=0,0,IF(各r阵容卡情况!$AB18&lt;=1,各r阵容卡情况!$AB18*F$18,1*F$18)*各r阵容卡情况!$H18)+
IF(各r阵容卡情况!$I18=0,0,IF(各r阵容卡情况!$AC18&lt;=1,各r阵容卡情况!$AC18*F$19,1*F$19)*各r阵容卡情况!$I18)+
IF(各r阵容卡情况!$J18=0,0,IF(各r阵容卡情况!$AD18&lt;=1,各r阵容卡情况!$AD18*F$20,1*F$20)*各r阵容卡情况!$J18)</f>
        <v>0</v>
      </c>
      <c r="AH12" s="67">
        <f>IF(各r阵容卡情况!$H18=0,0,IF(各r阵容卡情况!$AB18&lt;=1,0,(各r阵容卡情况!$AB18-1)*G$26)*各r阵容卡情况!$H18)+
IF(各r阵容卡情况!$I18=0,0,IF(各r阵容卡情况!$AC18&lt;=1,0,(各r阵容卡情况!$AC18-1)*G$27)*各r阵容卡情况!$I18)+
IF(各r阵容卡情况!$J18=0,0,IF(各r阵容卡情况!$AD18&lt;=1,0,(各r阵容卡情况!$AD18-1)*G$28)*各r阵容卡情况!$J18)</f>
        <v>200</v>
      </c>
      <c r="AI12" s="67">
        <f>IF(各r阵容卡情况!$H18=0,0,IF(各r阵容卡情况!$AB18&lt;=1,0,(各r阵容卡情况!$AB18-1)*H$26)*各r阵容卡情况!$H18)+
IF(各r阵容卡情况!$I18=0,0,IF(各r阵容卡情况!$AC18&lt;=1,0,(各r阵容卡情况!$AC18-1)*H$27)*各r阵容卡情况!$I18)+
IF(各r阵容卡情况!$J18=0,0,IF(各r阵容卡情况!$AD18&lt;=1,0,(各r阵容卡情况!$AD18-1)*H$28)*各r阵容卡情况!$J18)</f>
        <v>0</v>
      </c>
      <c r="AJ12" s="67">
        <f>IF(各r阵容卡情况!$H18=0,0,IF(各r阵容卡情况!$AB18&lt;=1,0,(各r阵容卡情况!$AB18-1)*I$26)*各r阵容卡情况!$H18)+
IF(各r阵容卡情况!$I18=0,0,IF(各r阵容卡情况!$AC18&lt;=1,0,(各r阵容卡情况!$AC18-1)*I$27)*各r阵容卡情况!$I18)+
IF(各r阵容卡情况!$J18=0,0,IF(各r阵容卡情况!$AD18&lt;=1,0,(各r阵容卡情况!$AD18-1)*I$28)*各r阵容卡情况!$J18)</f>
        <v>0</v>
      </c>
      <c r="AL12" s="14">
        <v>45</v>
      </c>
      <c r="AM12" s="80">
        <f t="shared" si="2"/>
        <v>36</v>
      </c>
      <c r="AN12" s="80">
        <f t="shared" si="3"/>
        <v>0</v>
      </c>
      <c r="AO12" s="80">
        <f t="shared" si="4"/>
        <v>0</v>
      </c>
      <c r="AP12" s="80">
        <f t="shared" si="5"/>
        <v>180</v>
      </c>
      <c r="AQ12" s="80">
        <f t="shared" si="6"/>
        <v>0</v>
      </c>
      <c r="AR12" s="80">
        <f t="shared" si="7"/>
        <v>0</v>
      </c>
      <c r="AS12" s="80">
        <f t="shared" si="8"/>
        <v>25.538390345531624</v>
      </c>
      <c r="AT12" s="80">
        <f t="shared" si="9"/>
        <v>0</v>
      </c>
      <c r="AU12" s="80">
        <f t="shared" si="10"/>
        <v>0</v>
      </c>
      <c r="AV12" s="80">
        <f t="shared" si="11"/>
        <v>127.69195172765812</v>
      </c>
      <c r="AW12" s="80">
        <f t="shared" si="12"/>
        <v>0</v>
      </c>
      <c r="AX12" s="80">
        <f t="shared" si="13"/>
        <v>0</v>
      </c>
      <c r="AY12" s="61" t="e">
        <f>SUMPRODUCT(AM12:AR12/'[1]功能-行军令'!$GI$26:$GN$26+AS12:AX12/'[1]功能-行军令'!$GI$26:$GN$26)/0.18</f>
        <v>#DIV/0!</v>
      </c>
      <c r="BB12" s="80">
        <v>90</v>
      </c>
      <c r="BC12" s="80"/>
      <c r="BD12" s="80"/>
      <c r="BE12" s="80"/>
      <c r="BF12" s="80"/>
      <c r="BG12" s="80"/>
      <c r="BH12" s="80"/>
      <c r="BI12" s="80"/>
      <c r="BJ12" s="80"/>
      <c r="BK12" s="80">
        <f t="shared" si="14"/>
        <v>0</v>
      </c>
      <c r="BO12" s="80">
        <f t="shared" si="15"/>
        <v>59.300028460644697</v>
      </c>
      <c r="BP12" s="80">
        <f t="shared" si="16"/>
        <v>6180000</v>
      </c>
      <c r="BQ12" s="80">
        <f>(BP12-BP11)*INDEX('[1]功能-付费相关'!$AQ$6:$AQ$165,$BO12,1)+BQ11</f>
        <v>9026.2306947941288</v>
      </c>
      <c r="BR12" s="80"/>
      <c r="BS12" s="80"/>
      <c r="BU12" s="80">
        <v>90</v>
      </c>
      <c r="BV12" s="80">
        <f t="shared" si="1"/>
        <v>15965.959189681667</v>
      </c>
      <c r="BW12" s="86">
        <f t="shared" ref="BW12:BW19" si="18">BW11</f>
        <v>13041</v>
      </c>
      <c r="BX12" s="80"/>
      <c r="BY12" s="80">
        <f t="shared" si="17"/>
        <v>29006.959189681667</v>
      </c>
    </row>
    <row r="13" spans="2:77" x14ac:dyDescent="0.15">
      <c r="B13" s="66"/>
      <c r="C13" s="61" t="s">
        <v>452</v>
      </c>
      <c r="D13" s="61">
        <f>'[1]资源-贡品'!D$3</f>
        <v>2</v>
      </c>
      <c r="E13" s="61">
        <f>'[1]资源-贡品'!E$3</f>
        <v>3</v>
      </c>
      <c r="F13" s="61">
        <f>'[1]资源-贡品'!F$3</f>
        <v>4</v>
      </c>
      <c r="G13" s="61">
        <f>'[1]资源-贡品'!G$3</f>
        <v>4</v>
      </c>
      <c r="H13" s="61">
        <f>'[1]资源-贡品'!H$3</f>
        <v>4</v>
      </c>
      <c r="I13" s="61">
        <f>'[1]资源-贡品'!I$3</f>
        <v>4</v>
      </c>
      <c r="L13" s="61">
        <v>12</v>
      </c>
      <c r="M13" s="80">
        <f>基础状态预期!D25</f>
        <v>59.300028460644697</v>
      </c>
      <c r="N13" s="80">
        <f>IF(基础状态预期!F25="",0,IF(基础状态预期!Z25&lt;=1,基础状态预期!Z25*D$4,1*D$4+(基础状态预期!Z25-1)*武将觉醒!D$5))</f>
        <v>0</v>
      </c>
      <c r="O13" s="80">
        <f>IF(基础状态预期!G25="",0,IF(基础状态预期!AA25&lt;=1,基础状态预期!AA25*E$4,1*E$4+(基础状态预期!AA25-1)*武将觉醒!E$5))</f>
        <v>0</v>
      </c>
      <c r="P13" s="80">
        <f>IF(基础状态预期!H25="",0,IF(基础状态预期!AB25&lt;=1,基础状态预期!AB25*F$4,1*F$4+(基础状态预期!AB25-1)*武将觉醒!F$5))</f>
        <v>0</v>
      </c>
      <c r="Q13" s="80">
        <f>IF(基础状态预期!I25="",0,IF(基础状态预期!AC25&lt;=1,基础状态预期!AC25*G$4,1*G$4+(基础状态预期!AC25-1)*武将觉醒!G$5))</f>
        <v>520000</v>
      </c>
      <c r="R13" s="80">
        <f>IF(基础状态预期!J25="",0,IF(基础状态预期!AD25&lt;=1,基础状态预期!AD25*H$4,1*H$4+(基础状态预期!AD25-1)*武将觉醒!H$5))</f>
        <v>2050000</v>
      </c>
      <c r="S13" s="80">
        <f>MAX(SUMPRODUCT(N13:R13,基础状态预期!F25:J25),S12)</f>
        <v>6180000</v>
      </c>
      <c r="T13" s="80">
        <f>IF(基础状态预期!Z25="",0,IFERROR(基础状态预期!F25*求节点($C$62:$C$63,D$62:D$63,基础状态预期!Z25),0)+IFERROR(基础状态预期!$J25*求节点($C$71:$C$72,D$71:D$72,基础状态预期!$AD25),0))</f>
        <v>0</v>
      </c>
      <c r="U13" s="80">
        <f>IF(基础状态预期!AA25="",0,IFERROR(基础状态预期!G25*求节点($C$62:$C$63,E$62:E$63,基础状态预期!AA25),0)+IFERROR(基础状态预期!$J25*求节点($C$71:$C$72,E$71:E$72,基础状态预期!$AD25),0))</f>
        <v>0</v>
      </c>
      <c r="V13" s="80">
        <f>IF(基础状态预期!AB25="",0,IFERROR(基础状态预期!H25*求节点($C$62:$C$63,F$62:F$63,基础状态预期!AB25),0)+IFERROR(基础状态预期!$J25*求节点($C$71:$C$72,F$71:F$72,基础状态预期!$AD25),0))</f>
        <v>0</v>
      </c>
      <c r="W13" s="80">
        <f>IF(基础状态预期!AC25="",0,IFERROR(基础状态预期!I25*求节点($C$62:$C$63,G$62:G$63,基础状态预期!AC25),0)+IFERROR(基础状态预期!$J25*求节点($C$71:$C$72,G$71:G$72,基础状态预期!$AD25),0))</f>
        <v>10</v>
      </c>
      <c r="X13" s="80">
        <f>IF(基础状态预期!AD25="",0,IFERROR(基础状态预期!J25*求节点($C$62:$C$63,H$62:H$63,基础状态预期!AD25),0)+IFERROR(基础状态预期!$J25*求节点($C$71:$C$72,H$71:H$72,基础状态预期!$AD25),0))</f>
        <v>0</v>
      </c>
      <c r="Y13" s="80">
        <f>IF(基础状态预期!$H25="",0,IF(基础状态预期!$AB25&lt;=1,基础状态预期!$AB25*D$18,D$18)*基础状态预期!$H25)+
IF(基础状态预期!$I25="",0,IF(基础状态预期!$AC25&lt;=1,基础状态预期!$AC25*D$19,D$19)*基础状态预期!$I25)+
IF(基础状态预期!$J25="",0,IF(基础状态预期!$AD25&lt;=1,基础状态预期!$AD25*D$20,D$20)*基础状态预期!$J25)</f>
        <v>40</v>
      </c>
      <c r="Z13" s="80">
        <f>IF(基础状态预期!$H25="",0,IF(基础状态预期!$AB25&lt;=1,基础状态预期!$AB25*E$18,E$18)*基础状态预期!$H25)+
IF(基础状态预期!$I25="",0,IF(基础状态预期!$AC25&lt;=1,基础状态预期!$AC25*E$19,E$19)*基础状态预期!$I25)+
IF(基础状态预期!$J25="",0,IF(基础状态预期!$AD25&lt;=1,基础状态预期!$AD25*E$20,E$20)*基础状态预期!$J25)</f>
        <v>0</v>
      </c>
      <c r="AA13" s="80">
        <f>IF(基础状态预期!$H25="",0,IF(基础状态预期!$AB25&lt;=1,基础状态预期!$AB25*F$18,F$18)*基础状态预期!$H25)+
IF(基础状态预期!$I25="",0,IF(基础状态预期!$AC25&lt;=1,基础状态预期!$AC25*F$19,F$19)*基础状态预期!$I25)+
IF(基础状态预期!$J25="",0,IF(基础状态预期!$AD25&lt;=1,基础状态预期!$AD25*F$20,F$20)*基础状态预期!$J25)</f>
        <v>0</v>
      </c>
      <c r="AB13" s="67">
        <f>IF(基础状态预期!$H25="",0,IF(基础状态预期!$AB25&lt;=1,0,(基础状态预期!$AB25-1)*G$26)*基础状态预期!$H25)+
IF(基础状态预期!$I25="",0,IF(基础状态预期!$AC25&lt;=1,0,(基础状态预期!$AC25-1)*G$27)*基础状态预期!$I25)+
IF(基础状态预期!$J25="",0,IF(基础状态预期!$AD25&lt;=1,0,(基础状态预期!$AD25-1)*G$28)*基础状态预期!$J25)</f>
        <v>200</v>
      </c>
      <c r="AC13" s="67">
        <f>IF(基础状态预期!$H25="",0,IF(基础状态预期!$AB25&lt;=1,0,(基础状态预期!$AB25-1)*H$26)*基础状态预期!$H25)+
IF(基础状态预期!$I25="",0,IF(基础状态预期!$AC25&lt;=1,0,(基础状态预期!$AC25-1)*H$27)*基础状态预期!$I25)+
IF(基础状态预期!$J25="",0,IF(基础状态预期!$AD25&lt;=1,0,(基础状态预期!$AD25-1)*H$28)*基础状态预期!$J25)</f>
        <v>0</v>
      </c>
      <c r="AD13" s="67">
        <f>IF(基础状态预期!$H25="",0,IF(基础状态预期!$AB25&lt;=1,0,(基础状态预期!$AB25-1)*I$26)*基础状态预期!$H25)+
IF(基础状态预期!$I25="",0,IF(基础状态预期!$AC25&lt;=1,0,(基础状态预期!$AC25-1)*I$27)*基础状态预期!$I25)+
IF(基础状态预期!$J25="",0,IF(基础状态预期!$AD25&lt;=1,0,(基础状态预期!$AD25-1)*I$28)*基础状态预期!$J25)</f>
        <v>0</v>
      </c>
      <c r="AE13" s="80">
        <f>IF(各r阵容卡情况!$H19=0,0,IF(各r阵容卡情况!$AB19&lt;=1,各r阵容卡情况!$AB19*D$18,1*D$18)*各r阵容卡情况!$H19)+
IF(各r阵容卡情况!$I19=0,0,IF(各r阵容卡情况!$AC19&lt;=1,各r阵容卡情况!$AC19*D$19,1*D$19)*各r阵容卡情况!$I19)+
IF(各r阵容卡情况!$J19=0,0,IF(各r阵容卡情况!$AD19&lt;=1,各r阵容卡情况!$AD19*D$20,1*D$20)*各r阵容卡情况!$J19)</f>
        <v>58</v>
      </c>
      <c r="AF13" s="80">
        <f>IF(各r阵容卡情况!$H19=0,0,IF(各r阵容卡情况!$AB19&lt;=1,各r阵容卡情况!$AB19*E$18,1*E$18)*各r阵容卡情况!$H19)+
IF(各r阵容卡情况!$I19=0,0,IF(各r阵容卡情况!$AC19&lt;=1,各r阵容卡情况!$AC19*E$19,1*E$19)*各r阵容卡情况!$I19)+
IF(各r阵容卡情况!$J19=0,0,IF(各r阵容卡情况!$AD19&lt;=1,各r阵容卡情况!$AD19*E$20,1*E$20)*各r阵容卡情况!$J19)</f>
        <v>0</v>
      </c>
      <c r="AG13" s="80">
        <f>IF(各r阵容卡情况!$H19=0,0,IF(各r阵容卡情况!$AB19&lt;=1,各r阵容卡情况!$AB19*F$18,1*F$18)*各r阵容卡情况!$H19)+
IF(各r阵容卡情况!$I19=0,0,IF(各r阵容卡情况!$AC19&lt;=1,各r阵容卡情况!$AC19*F$19,1*F$19)*各r阵容卡情况!$I19)+
IF(各r阵容卡情况!$J19=0,0,IF(各r阵容卡情况!$AD19&lt;=1,各r阵容卡情况!$AD19*F$20,1*F$20)*各r阵容卡情况!$J19)</f>
        <v>0</v>
      </c>
      <c r="AH13" s="67">
        <f>IF(各r阵容卡情况!$H19=0,0,IF(各r阵容卡情况!$AB19&lt;=1,0,(各r阵容卡情况!$AB19-1)*G$26)*各r阵容卡情况!$H19)+
IF(各r阵容卡情况!$I19=0,0,IF(各r阵容卡情况!$AC19&lt;=1,0,(各r阵容卡情况!$AC19-1)*G$27)*各r阵容卡情况!$I19)+
IF(各r阵容卡情况!$J19=0,0,IF(各r阵容卡情况!$AD19&lt;=1,0,(各r阵容卡情况!$AD19-1)*G$28)*各r阵容卡情况!$J19)</f>
        <v>290</v>
      </c>
      <c r="AI13" s="67">
        <f>IF(各r阵容卡情况!$H19=0,0,IF(各r阵容卡情况!$AB19&lt;=1,0,(各r阵容卡情况!$AB19-1)*H$26)*各r阵容卡情况!$H19)+
IF(各r阵容卡情况!$I19=0,0,IF(各r阵容卡情况!$AC19&lt;=1,0,(各r阵容卡情况!$AC19-1)*H$27)*各r阵容卡情况!$I19)+
IF(各r阵容卡情况!$J19=0,0,IF(各r阵容卡情况!$AD19&lt;=1,0,(各r阵容卡情况!$AD19-1)*H$28)*各r阵容卡情况!$J19)</f>
        <v>0</v>
      </c>
      <c r="AJ13" s="67">
        <f>IF(各r阵容卡情况!$H19=0,0,IF(各r阵容卡情况!$AB19&lt;=1,0,(各r阵容卡情况!$AB19-1)*I$26)*各r阵容卡情况!$H19)+
IF(各r阵容卡情况!$I19=0,0,IF(各r阵容卡情况!$AC19&lt;=1,0,(各r阵容卡情况!$AC19-1)*I$27)*各r阵容卡情况!$I19)+
IF(各r阵容卡情况!$J19=0,0,IF(各r阵容卡情况!$AD19&lt;=1,0,(各r阵容卡情况!$AD19-1)*I$28)*各r阵容卡情况!$J19)</f>
        <v>0</v>
      </c>
      <c r="AL13" s="14">
        <v>50</v>
      </c>
      <c r="AM13" s="80">
        <f t="shared" si="2"/>
        <v>36.23137525515358</v>
      </c>
      <c r="AN13" s="80">
        <f t="shared" si="3"/>
        <v>0</v>
      </c>
      <c r="AO13" s="80">
        <f t="shared" si="4"/>
        <v>0</v>
      </c>
      <c r="AP13" s="80">
        <f t="shared" si="5"/>
        <v>181.1568762757679</v>
      </c>
      <c r="AQ13" s="80">
        <f t="shared" si="6"/>
        <v>0</v>
      </c>
      <c r="AR13" s="80">
        <f t="shared" si="7"/>
        <v>0</v>
      </c>
      <c r="AS13" s="80">
        <f t="shared" si="8"/>
        <v>32.92550102061432</v>
      </c>
      <c r="AT13" s="80">
        <f t="shared" si="9"/>
        <v>0</v>
      </c>
      <c r="AU13" s="80">
        <f t="shared" si="10"/>
        <v>0</v>
      </c>
      <c r="AV13" s="80">
        <f t="shared" si="11"/>
        <v>164.62750510307157</v>
      </c>
      <c r="AW13" s="80">
        <f t="shared" si="12"/>
        <v>0</v>
      </c>
      <c r="AX13" s="80">
        <f t="shared" si="13"/>
        <v>0</v>
      </c>
      <c r="AY13" s="61" t="e">
        <f>SUMPRODUCT(AM13:AR13/'[1]功能-行军令'!$GI$26:$GN$26+AS13:AX13/'[1]功能-行军令'!$GI$26:$GN$26)/0.18</f>
        <v>#DIV/0!</v>
      </c>
      <c r="BB13" s="80">
        <v>100</v>
      </c>
      <c r="BC13" s="80"/>
      <c r="BD13" s="80"/>
      <c r="BE13" s="80"/>
      <c r="BF13" s="80"/>
      <c r="BG13" s="80"/>
      <c r="BH13" s="80"/>
      <c r="BI13" s="80"/>
      <c r="BJ13" s="80"/>
      <c r="BK13" s="80">
        <f t="shared" si="14"/>
        <v>0</v>
      </c>
      <c r="BO13" s="80">
        <f t="shared" si="15"/>
        <v>65.075479910097457</v>
      </c>
      <c r="BP13" s="80">
        <f t="shared" si="16"/>
        <v>7710000</v>
      </c>
      <c r="BQ13" s="80">
        <f>(BP13-BP12)*INDEX('[1]功能-付费相关'!$AQ$6:$AQ$165,$BO13,1)+BQ12</f>
        <v>10847.659266222701</v>
      </c>
      <c r="BR13" s="80"/>
      <c r="BS13" s="80"/>
      <c r="BU13" s="80">
        <v>100</v>
      </c>
      <c r="BV13" s="80">
        <f t="shared" si="1"/>
        <v>15965.959189681667</v>
      </c>
      <c r="BW13" s="86">
        <f t="shared" si="18"/>
        <v>13041</v>
      </c>
      <c r="BX13" s="80"/>
      <c r="BY13" s="80">
        <f t="shared" si="17"/>
        <v>29006.959189681667</v>
      </c>
    </row>
    <row r="14" spans="2:77" x14ac:dyDescent="0.15">
      <c r="L14" s="61">
        <v>13</v>
      </c>
      <c r="M14" s="80">
        <f>基础状态预期!D26</f>
        <v>65.075479910097457</v>
      </c>
      <c r="N14" s="80">
        <f>IF(基础状态预期!F26="",0,IF(基础状态预期!Z26&lt;=1,基础状态预期!Z26*D$4,1*D$4+(基础状态预期!Z26-1)*武将觉醒!D$5))</f>
        <v>0</v>
      </c>
      <c r="O14" s="80">
        <f>IF(基础状态预期!G26="",0,IF(基础状态预期!AA26&lt;=1,基础状态预期!AA26*E$4,1*E$4+(基础状态预期!AA26-1)*武将觉醒!E$5))</f>
        <v>0</v>
      </c>
      <c r="P14" s="80">
        <f>IF(基础状态预期!H26="",0,IF(基础状态预期!AB26&lt;=1,基础状态预期!AB26*F$4,1*F$4+(基础状态预期!AB26-1)*武将觉醒!F$5))</f>
        <v>0</v>
      </c>
      <c r="Q14" s="80">
        <f>IF(基础状态预期!I26="",0,IF(基础状态预期!AC26&lt;=1,基础状态预期!AC26*G$4,1*G$4+(基础状态预期!AC26-1)*武将觉醒!G$5))</f>
        <v>520000</v>
      </c>
      <c r="R14" s="80">
        <f>IF(基础状态预期!J26="",0,IF(基础状态预期!AD26&lt;=1,基础状态预期!AD26*H$4,1*H$4+(基础状态预期!AD26-1)*武将觉醒!H$5))</f>
        <v>2050000</v>
      </c>
      <c r="S14" s="80">
        <f>MAX(SUMPRODUCT(N14:R14,基础状态预期!F26:J26),S13)</f>
        <v>7710000</v>
      </c>
      <c r="T14" s="80">
        <f>IF(基础状态预期!Z26="",0,IFERROR(基础状态预期!F26*求节点($C$62:$C$63,D$62:D$63,基础状态预期!Z26),0)+IFERROR(基础状态预期!$J26*求节点($C$71:$C$72,D$71:D$72,基础状态预期!$AD26),0))</f>
        <v>0</v>
      </c>
      <c r="U14" s="80">
        <f>IF(基础状态预期!AA26="",0,IFERROR(基础状态预期!G26*求节点($C$62:$C$63,E$62:E$63,基础状态预期!AA26),0)+IFERROR(基础状态预期!$J26*求节点($C$71:$C$72,E$71:E$72,基础状态预期!$AD26),0))</f>
        <v>0</v>
      </c>
      <c r="V14" s="80">
        <f>IF(基础状态预期!AB26="",0,IFERROR(基础状态预期!H26*求节点($C$62:$C$63,F$62:F$63,基础状态预期!AB26),0)+IFERROR(基础状态预期!$J26*求节点($C$71:$C$72,F$71:F$72,基础状态预期!$AD26),0))</f>
        <v>0</v>
      </c>
      <c r="W14" s="80">
        <f>IF(基础状态预期!AC26="",0,IFERROR(基础状态预期!I26*求节点($C$62:$C$63,G$62:G$63,基础状态预期!AC26),0)+IFERROR(基础状态预期!$J26*求节点($C$71:$C$72,G$71:G$72,基础状态预期!$AD26),0))</f>
        <v>12</v>
      </c>
      <c r="X14" s="80">
        <f>IF(基础状态预期!AD26="",0,IFERROR(基础状态预期!J26*求节点($C$62:$C$63,H$62:H$63,基础状态预期!AD26),0)+IFERROR(基础状态预期!$J26*求节点($C$71:$C$72,H$71:H$72,基础状态预期!$AD26),0))</f>
        <v>0</v>
      </c>
      <c r="Y14" s="80">
        <f>IF(基础状态预期!$H26="",0,IF(基础状态预期!$AB26&lt;=1,基础状态预期!$AB26*D$18,D$18)*基础状态预期!$H26)+
IF(基础状态预期!$I26="",0,IF(基础状态预期!$AC26&lt;=1,基础状态预期!$AC26*D$19,D$19)*基础状态预期!$I26)+
IF(基础状态预期!$J26="",0,IF(基础状态预期!$AD26&lt;=1,基础状态预期!$AD26*D$20,D$20)*基础状态预期!$J26)</f>
        <v>42</v>
      </c>
      <c r="Z14" s="80">
        <f>IF(基础状态预期!$H26="",0,IF(基础状态预期!$AB26&lt;=1,基础状态预期!$AB26*E$18,E$18)*基础状态预期!$H26)+
IF(基础状态预期!$I26="",0,IF(基础状态预期!$AC26&lt;=1,基础状态预期!$AC26*E$19,E$19)*基础状态预期!$I26)+
IF(基础状态预期!$J26="",0,IF(基础状态预期!$AD26&lt;=1,基础状态预期!$AD26*E$20,E$20)*基础状态预期!$J26)</f>
        <v>0</v>
      </c>
      <c r="AA14" s="80">
        <f>IF(基础状态预期!$H26="",0,IF(基础状态预期!$AB26&lt;=1,基础状态预期!$AB26*F$18,F$18)*基础状态预期!$H26)+
IF(基础状态预期!$I26="",0,IF(基础状态预期!$AC26&lt;=1,基础状态预期!$AC26*F$19,F$19)*基础状态预期!$I26)+
IF(基础状态预期!$J26="",0,IF(基础状态预期!$AD26&lt;=1,基础状态预期!$AD26*F$20,F$20)*基础状态预期!$J26)</f>
        <v>0</v>
      </c>
      <c r="AB14" s="67">
        <f>IF(基础状态预期!$H26="",0,IF(基础状态预期!$AB26&lt;=1,0,(基础状态预期!$AB26-1)*G$26)*基础状态预期!$H26)+
IF(基础状态预期!$I26="",0,IF(基础状态预期!$AC26&lt;=1,0,(基础状态预期!$AC26-1)*G$27)*基础状态预期!$I26)+
IF(基础状态预期!$J26="",0,IF(基础状态预期!$AD26&lt;=1,0,(基础状态预期!$AD26-1)*G$28)*基础状态预期!$J26)</f>
        <v>210</v>
      </c>
      <c r="AC14" s="67">
        <f>IF(基础状态预期!$H26="",0,IF(基础状态预期!$AB26&lt;=1,0,(基础状态预期!$AB26-1)*H$26)*基础状态预期!$H26)+
IF(基础状态预期!$I26="",0,IF(基础状态预期!$AC26&lt;=1,0,(基础状态预期!$AC26-1)*H$27)*基础状态预期!$I26)+
IF(基础状态预期!$J26="",0,IF(基础状态预期!$AD26&lt;=1,0,(基础状态预期!$AD26-1)*H$28)*基础状态预期!$J26)</f>
        <v>0</v>
      </c>
      <c r="AD14" s="67">
        <f>IF(基础状态预期!$H26="",0,IF(基础状态预期!$AB26&lt;=1,0,(基础状态预期!$AB26-1)*I$26)*基础状态预期!$H26)+
IF(基础状态预期!$I26="",0,IF(基础状态预期!$AC26&lt;=1,0,(基础状态预期!$AC26-1)*I$27)*基础状态预期!$I26)+
IF(基础状态预期!$J26="",0,IF(基础状态预期!$AD26&lt;=1,0,(基础状态预期!$AD26-1)*I$28)*基础状态预期!$J26)</f>
        <v>0</v>
      </c>
      <c r="AE14" s="80">
        <f>IF(各r阵容卡情况!$H20=0,0,IF(各r阵容卡情况!$AB20&lt;=1,各r阵容卡情况!$AB20*D$18,1*D$18)*各r阵容卡情况!$H20)+
IF(各r阵容卡情况!$I20=0,0,IF(各r阵容卡情况!$AC20&lt;=1,各r阵容卡情况!$AC20*D$19,1*D$19)*各r阵容卡情况!$I20)+
IF(各r阵容卡情况!$J20=0,0,IF(各r阵容卡情况!$AD20&lt;=1,各r阵容卡情况!$AD20*D$20,1*D$20)*各r阵容卡情况!$J20)</f>
        <v>70</v>
      </c>
      <c r="AF14" s="80">
        <f>IF(各r阵容卡情况!$H20=0,0,IF(各r阵容卡情况!$AB20&lt;=1,各r阵容卡情况!$AB20*E$18,1*E$18)*各r阵容卡情况!$H20)+
IF(各r阵容卡情况!$I20=0,0,IF(各r阵容卡情况!$AC20&lt;=1,各r阵容卡情况!$AC20*E$19,1*E$19)*各r阵容卡情况!$I20)+
IF(各r阵容卡情况!$J20=0,0,IF(各r阵容卡情况!$AD20&lt;=1,各r阵容卡情况!$AD20*E$20,1*E$20)*各r阵容卡情况!$J20)</f>
        <v>0</v>
      </c>
      <c r="AG14" s="80">
        <f>IF(各r阵容卡情况!$H20=0,0,IF(各r阵容卡情况!$AB20&lt;=1,各r阵容卡情况!$AB20*F$18,1*F$18)*各r阵容卡情况!$H20)+
IF(各r阵容卡情况!$I20=0,0,IF(各r阵容卡情况!$AC20&lt;=1,各r阵容卡情况!$AC20*F$19,1*F$19)*各r阵容卡情况!$I20)+
IF(各r阵容卡情况!$J20=0,0,IF(各r阵容卡情况!$AD20&lt;=1,各r阵容卡情况!$AD20*F$20,1*F$20)*各r阵容卡情况!$J20)</f>
        <v>0</v>
      </c>
      <c r="AH14" s="67">
        <f>IF(各r阵容卡情况!$H20=0,0,IF(各r阵容卡情况!$AB20&lt;=1,0,(各r阵容卡情况!$AB20-1)*G$26)*各r阵容卡情况!$H20)+
IF(各r阵容卡情况!$I20=0,0,IF(各r阵容卡情况!$AC20&lt;=1,0,(各r阵容卡情况!$AC20-1)*G$27)*各r阵容卡情况!$I20)+
IF(各r阵容卡情况!$J20=0,0,IF(各r阵容卡情况!$AD20&lt;=1,0,(各r阵容卡情况!$AD20-1)*G$28)*各r阵容卡情况!$J20)</f>
        <v>350</v>
      </c>
      <c r="AI14" s="67">
        <f>IF(各r阵容卡情况!$H20=0,0,IF(各r阵容卡情况!$AB20&lt;=1,0,(各r阵容卡情况!$AB20-1)*H$26)*各r阵容卡情况!$H20)+
IF(各r阵容卡情况!$I20=0,0,IF(各r阵容卡情况!$AC20&lt;=1,0,(各r阵容卡情况!$AC20-1)*H$27)*各r阵容卡情况!$I20)+
IF(各r阵容卡情况!$J20=0,0,IF(各r阵容卡情况!$AD20&lt;=1,0,(各r阵容卡情况!$AD20-1)*H$28)*各r阵容卡情况!$J20)</f>
        <v>0</v>
      </c>
      <c r="AJ14" s="67">
        <f>IF(各r阵容卡情况!$H20=0,0,IF(各r阵容卡情况!$AB20&lt;=1,0,(各r阵容卡情况!$AB20-1)*I$26)*各r阵容卡情况!$H20)+
IF(各r阵容卡情况!$I20=0,0,IF(各r阵容卡情况!$AC20&lt;=1,0,(各r阵容卡情况!$AC20-1)*I$27)*各r阵容卡情况!$I20)+
IF(各r阵容卡情况!$J20=0,0,IF(各r阵容卡情况!$AD20&lt;=1,0,(各r阵容卡情况!$AD20-1)*I$28)*各r阵容卡情况!$J20)</f>
        <v>0</v>
      </c>
      <c r="AL14" s="14">
        <v>55</v>
      </c>
      <c r="AM14" s="80">
        <f t="shared" si="2"/>
        <v>38.499899988326398</v>
      </c>
      <c r="AN14" s="80">
        <f t="shared" si="3"/>
        <v>0</v>
      </c>
      <c r="AO14" s="80">
        <f t="shared" si="4"/>
        <v>0</v>
      </c>
      <c r="AP14" s="80">
        <f t="shared" si="5"/>
        <v>192.499499941632</v>
      </c>
      <c r="AQ14" s="80">
        <f t="shared" si="6"/>
        <v>0</v>
      </c>
      <c r="AR14" s="80">
        <f t="shared" si="7"/>
        <v>0</v>
      </c>
      <c r="AS14" s="80">
        <f t="shared" si="8"/>
        <v>44.499099894937572</v>
      </c>
      <c r="AT14" s="80">
        <f t="shared" si="9"/>
        <v>0</v>
      </c>
      <c r="AU14" s="80">
        <f t="shared" si="10"/>
        <v>0</v>
      </c>
      <c r="AV14" s="80">
        <f t="shared" si="11"/>
        <v>222.49549947468788</v>
      </c>
      <c r="AW14" s="80">
        <f t="shared" si="12"/>
        <v>0</v>
      </c>
      <c r="AX14" s="80">
        <f t="shared" si="13"/>
        <v>0</v>
      </c>
      <c r="AY14" s="61" t="e">
        <f>SUMPRODUCT(AM14:AR14/'[1]功能-行军令'!$GI$26:$GN$26+AS14:AX14/'[1]功能-行军令'!$GI$26:$GN$26)/0.18</f>
        <v>#DIV/0!</v>
      </c>
      <c r="BB14" s="80">
        <v>110</v>
      </c>
      <c r="BC14" s="80"/>
      <c r="BD14" s="80"/>
      <c r="BE14" s="80"/>
      <c r="BF14" s="80"/>
      <c r="BG14" s="80"/>
      <c r="BH14" s="80"/>
      <c r="BI14" s="80"/>
      <c r="BJ14" s="80"/>
      <c r="BK14" s="80">
        <f t="shared" ref="BK14:BK19" si="19">SUM(BG14:BJ14)</f>
        <v>0</v>
      </c>
      <c r="BO14" s="80">
        <f t="shared" si="15"/>
        <v>69.18336653741882</v>
      </c>
      <c r="BP14" s="80">
        <f t="shared" si="16"/>
        <v>9240000</v>
      </c>
      <c r="BQ14" s="80">
        <f>(BP14-BP13)*INDEX('[1]功能-付费相关'!$AQ$6:$AQ$165,$BO14,1)+BQ13</f>
        <v>12602.246422186005</v>
      </c>
      <c r="BR14" s="80"/>
      <c r="BS14" s="80"/>
      <c r="BU14" s="80">
        <v>110</v>
      </c>
      <c r="BV14" s="80">
        <f t="shared" si="1"/>
        <v>15965.959189681667</v>
      </c>
      <c r="BW14" s="86">
        <f t="shared" si="18"/>
        <v>13041</v>
      </c>
      <c r="BX14" s="80"/>
      <c r="BY14" s="80">
        <f t="shared" ref="BY14:BY19" si="20">SUM(BV14:BX14)</f>
        <v>29006.959189681667</v>
      </c>
    </row>
    <row r="15" spans="2:77" x14ac:dyDescent="0.15">
      <c r="B15" s="198" t="s">
        <v>453</v>
      </c>
      <c r="C15" s="80" t="s">
        <v>431</v>
      </c>
      <c r="D15" s="80" t="s">
        <v>444</v>
      </c>
      <c r="E15" s="80" t="s">
        <v>445</v>
      </c>
      <c r="F15" s="80" t="s">
        <v>446</v>
      </c>
      <c r="G15" s="80" t="s">
        <v>447</v>
      </c>
      <c r="H15" s="80" t="s">
        <v>448</v>
      </c>
      <c r="I15" s="80" t="s">
        <v>451</v>
      </c>
      <c r="L15" s="61">
        <v>14</v>
      </c>
      <c r="M15" s="80">
        <f>基础状态预期!D27</f>
        <v>69.18336653741882</v>
      </c>
      <c r="N15" s="80">
        <f>IF(基础状态预期!F27="",0,IF(基础状态预期!Z27&lt;=1,基础状态预期!Z27*D$4,1*D$4+(基础状态预期!Z27-1)*武将觉醒!D$5))</f>
        <v>0</v>
      </c>
      <c r="O15" s="80">
        <f>IF(基础状态预期!G27="",0,IF(基础状态预期!AA27&lt;=1,基础状态预期!AA27*E$4,1*E$4+(基础状态预期!AA27-1)*武将觉醒!E$5))</f>
        <v>0</v>
      </c>
      <c r="P15" s="80">
        <f>IF(基础状态预期!H27="",0,IF(基础状态预期!AB27&lt;=1,基础状态预期!AB27*F$4,1*F$4+(基础状态预期!AB27-1)*武将觉醒!F$5))</f>
        <v>0</v>
      </c>
      <c r="Q15" s="80">
        <f>IF(基础状态预期!I27="",0,IF(基础状态预期!AC27&lt;=1,基础状态预期!AC27*G$4,1*G$4+(基础状态预期!AC27-1)*武将觉醒!G$5))</f>
        <v>520000</v>
      </c>
      <c r="R15" s="80">
        <f>IF(基础状态预期!J27="",0,IF(基础状态预期!AD27&lt;=1,基础状态预期!AD27*H$4,1*H$4+(基础状态预期!AD27-1)*武将觉醒!H$5))</f>
        <v>2050000</v>
      </c>
      <c r="S15" s="80">
        <f>MAX(SUMPRODUCT(N15:R15,基础状态预期!F27:J27),S14)</f>
        <v>9240000</v>
      </c>
      <c r="T15" s="80">
        <f>IF(基础状态预期!Z27="",0,IFERROR(基础状态预期!F27*求节点($C$62:$C$63,D$62:D$63,基础状态预期!Z27),0)+IFERROR(基础状态预期!$J27*求节点($C$71:$C$72,D$71:D$72,基础状态预期!$AD27),0))</f>
        <v>0</v>
      </c>
      <c r="U15" s="80">
        <f>IF(基础状态预期!AA27="",0,IFERROR(基础状态预期!G27*求节点($C$62:$C$63,E$62:E$63,基础状态预期!AA27),0)+IFERROR(基础状态预期!$J27*求节点($C$71:$C$72,E$71:E$72,基础状态预期!$AD27),0))</f>
        <v>0</v>
      </c>
      <c r="V15" s="80">
        <f>IF(基础状态预期!AB27="",0,IFERROR(基础状态预期!H27*求节点($C$62:$C$63,F$62:F$63,基础状态预期!AB27),0)+IFERROR(基础状态预期!$J27*求节点($C$71:$C$72,F$71:F$72,基础状态预期!$AD27),0))</f>
        <v>0</v>
      </c>
      <c r="W15" s="80">
        <f>IF(基础状态预期!AC27="",0,IFERROR(基础状态预期!I27*求节点($C$62:$C$63,G$62:G$63,基础状态预期!AC27),0)+IFERROR(基础状态预期!$J27*求节点($C$71:$C$72,G$71:G$72,基础状态预期!$AD27),0))</f>
        <v>14</v>
      </c>
      <c r="X15" s="80">
        <f>IF(基础状态预期!AD27="",0,IFERROR(基础状态预期!J27*求节点($C$62:$C$63,H$62:H$63,基础状态预期!AD27),0)+IFERROR(基础状态预期!$J27*求节点($C$71:$C$72,H$71:H$72,基础状态预期!$AD27),0))</f>
        <v>0</v>
      </c>
      <c r="Y15" s="80">
        <f>IF(基础状态预期!$H27="",0,IF(基础状态预期!$AB27&lt;=1,基础状态预期!$AB27*D$18,D$18)*基础状态预期!$H27)+
IF(基础状态预期!$I27="",0,IF(基础状态预期!$AC27&lt;=1,基础状态预期!$AC27*D$19,D$19)*基础状态预期!$I27)+
IF(基础状态预期!$J27="",0,IF(基础状态预期!$AD27&lt;=1,基础状态预期!$AD27*D$20,D$20)*基础状态预期!$J27)</f>
        <v>44</v>
      </c>
      <c r="Z15" s="80">
        <f>IF(基础状态预期!$H27="",0,IF(基础状态预期!$AB27&lt;=1,基础状态预期!$AB27*E$18,E$18)*基础状态预期!$H27)+
IF(基础状态预期!$I27="",0,IF(基础状态预期!$AC27&lt;=1,基础状态预期!$AC27*E$19,E$19)*基础状态预期!$I27)+
IF(基础状态预期!$J27="",0,IF(基础状态预期!$AD27&lt;=1,基础状态预期!$AD27*E$20,E$20)*基础状态预期!$J27)</f>
        <v>0</v>
      </c>
      <c r="AA15" s="80">
        <f>IF(基础状态预期!$H27="",0,IF(基础状态预期!$AB27&lt;=1,基础状态预期!$AB27*F$18,F$18)*基础状态预期!$H27)+
IF(基础状态预期!$I27="",0,IF(基础状态预期!$AC27&lt;=1,基础状态预期!$AC27*F$19,F$19)*基础状态预期!$I27)+
IF(基础状态预期!$J27="",0,IF(基础状态预期!$AD27&lt;=1,基础状态预期!$AD27*F$20,F$20)*基础状态预期!$J27)</f>
        <v>0</v>
      </c>
      <c r="AB15" s="67">
        <f>IF(基础状态预期!$H27="",0,IF(基础状态预期!$AB27&lt;=1,0,(基础状态预期!$AB27-1)*G$26)*基础状态预期!$H27)+
IF(基础状态预期!$I27="",0,IF(基础状态预期!$AC27&lt;=1,0,(基础状态预期!$AC27-1)*G$27)*基础状态预期!$I27)+
IF(基础状态预期!$J27="",0,IF(基础状态预期!$AD27&lt;=1,0,(基础状态预期!$AD27-1)*G$28)*基础状态预期!$J27)</f>
        <v>220</v>
      </c>
      <c r="AC15" s="67">
        <f>IF(基础状态预期!$H27="",0,IF(基础状态预期!$AB27&lt;=1,0,(基础状态预期!$AB27-1)*H$26)*基础状态预期!$H27)+
IF(基础状态预期!$I27="",0,IF(基础状态预期!$AC27&lt;=1,0,(基础状态预期!$AC27-1)*H$27)*基础状态预期!$I27)+
IF(基础状态预期!$J27="",0,IF(基础状态预期!$AD27&lt;=1,0,(基础状态预期!$AD27-1)*H$28)*基础状态预期!$J27)</f>
        <v>0</v>
      </c>
      <c r="AD15" s="67">
        <f>IF(基础状态预期!$H27="",0,IF(基础状态预期!$AB27&lt;=1,0,(基础状态预期!$AB27-1)*I$26)*基础状态预期!$H27)+
IF(基础状态预期!$I27="",0,IF(基础状态预期!$AC27&lt;=1,0,(基础状态预期!$AC27-1)*I$27)*基础状态预期!$I27)+
IF(基础状态预期!$J27="",0,IF(基础状态预期!$AD27&lt;=1,0,(基础状态预期!$AD27-1)*I$28)*基础状态预期!$J27)</f>
        <v>0</v>
      </c>
      <c r="AE15" s="80">
        <f>IF(各r阵容卡情况!$H21=0,0,IF(各r阵容卡情况!$AB21&lt;=1,各r阵容卡情况!$AB21*D$18,1*D$18)*各r阵容卡情况!$H21)+
IF(各r阵容卡情况!$I21=0,0,IF(各r阵容卡情况!$AC21&lt;=1,各r阵容卡情况!$AC21*D$19,1*D$19)*各r阵容卡情况!$I21)+
IF(各r阵容卡情况!$J21=0,0,IF(各r阵容卡情况!$AD21&lt;=1,各r阵容卡情况!$AD21*D$20,1*D$20)*各r阵容卡情况!$J21)</f>
        <v>86</v>
      </c>
      <c r="AF15" s="80">
        <f>IF(各r阵容卡情况!$H21=0,0,IF(各r阵容卡情况!$AB21&lt;=1,各r阵容卡情况!$AB21*E$18,1*E$18)*各r阵容卡情况!$H21)+
IF(各r阵容卡情况!$I21=0,0,IF(各r阵容卡情况!$AC21&lt;=1,各r阵容卡情况!$AC21*E$19,1*E$19)*各r阵容卡情况!$I21)+
IF(各r阵容卡情况!$J21=0,0,IF(各r阵容卡情况!$AD21&lt;=1,各r阵容卡情况!$AD21*E$20,1*E$20)*各r阵容卡情况!$J21)</f>
        <v>0</v>
      </c>
      <c r="AG15" s="80">
        <f>IF(各r阵容卡情况!$H21=0,0,IF(各r阵容卡情况!$AB21&lt;=1,各r阵容卡情况!$AB21*F$18,1*F$18)*各r阵容卡情况!$H21)+
IF(各r阵容卡情况!$I21=0,0,IF(各r阵容卡情况!$AC21&lt;=1,各r阵容卡情况!$AC21*F$19,1*F$19)*各r阵容卡情况!$I21)+
IF(各r阵容卡情况!$J21=0,0,IF(各r阵容卡情况!$AD21&lt;=1,各r阵容卡情况!$AD21*F$20,1*F$20)*各r阵容卡情况!$J21)</f>
        <v>0</v>
      </c>
      <c r="AH15" s="67">
        <f>IF(各r阵容卡情况!$H21=0,0,IF(各r阵容卡情况!$AB21&lt;=1,0,(各r阵容卡情况!$AB21-1)*G$26)*各r阵容卡情况!$H21)+
IF(各r阵容卡情况!$I21=0,0,IF(各r阵容卡情况!$AC21&lt;=1,0,(各r阵容卡情况!$AC21-1)*G$27)*各r阵容卡情况!$I21)+
IF(各r阵容卡情况!$J21=0,0,IF(各r阵容卡情况!$AD21&lt;=1,0,(各r阵容卡情况!$AD21-1)*G$28)*各r阵容卡情况!$J21)</f>
        <v>430</v>
      </c>
      <c r="AI15" s="67">
        <f>IF(各r阵容卡情况!$H21=0,0,IF(各r阵容卡情况!$AB21&lt;=1,0,(各r阵容卡情况!$AB21-1)*H$26)*各r阵容卡情况!$H21)+
IF(各r阵容卡情况!$I21=0,0,IF(各r阵容卡情况!$AC21&lt;=1,0,(各r阵容卡情况!$AC21-1)*H$27)*各r阵容卡情况!$I21)+
IF(各r阵容卡情况!$J21=0,0,IF(各r阵容卡情况!$AD21&lt;=1,0,(各r阵容卡情况!$AD21-1)*H$28)*各r阵容卡情况!$J21)</f>
        <v>0</v>
      </c>
      <c r="AJ15" s="67">
        <f>IF(各r阵容卡情况!$H21=0,0,IF(各r阵容卡情况!$AB21&lt;=1,0,(各r阵容卡情况!$AB21-1)*I$26)*各r阵容卡情况!$H21)+
IF(各r阵容卡情况!$I21=0,0,IF(各r阵容卡情况!$AC21&lt;=1,0,(各r阵容卡情况!$AC21-1)*I$27)*各r阵容卡情况!$I21)+
IF(各r阵容卡情况!$J21=0,0,IF(各r阵容卡情况!$AD21&lt;=1,0,(各r阵容卡情况!$AD21-1)*I$28)*各r阵容卡情况!$J21)</f>
        <v>0</v>
      </c>
      <c r="AL15" s="14">
        <v>60</v>
      </c>
      <c r="AM15" s="80">
        <f t="shared" si="2"/>
        <v>40.242395437129552</v>
      </c>
      <c r="AN15" s="80">
        <f t="shared" si="3"/>
        <v>0</v>
      </c>
      <c r="AO15" s="80">
        <f t="shared" si="4"/>
        <v>0</v>
      </c>
      <c r="AP15" s="80">
        <f t="shared" si="5"/>
        <v>201.21197718564775</v>
      </c>
      <c r="AQ15" s="80">
        <f t="shared" si="6"/>
        <v>0</v>
      </c>
      <c r="AR15" s="80">
        <f t="shared" si="7"/>
        <v>0</v>
      </c>
      <c r="AS15" s="80">
        <f t="shared" si="8"/>
        <v>59.454372622777313</v>
      </c>
      <c r="AT15" s="80">
        <f t="shared" si="9"/>
        <v>0</v>
      </c>
      <c r="AU15" s="80">
        <f t="shared" si="10"/>
        <v>0</v>
      </c>
      <c r="AV15" s="80">
        <f t="shared" si="11"/>
        <v>297.27186311388658</v>
      </c>
      <c r="AW15" s="80">
        <f t="shared" si="12"/>
        <v>0</v>
      </c>
      <c r="AX15" s="80">
        <f t="shared" si="13"/>
        <v>0</v>
      </c>
      <c r="AY15" s="61" t="e">
        <f>SUMPRODUCT(AM15:AR15/'[1]功能-行军令'!$GI$26:$GN$26+AS15:AX15/'[1]功能-行军令'!$GI$26:$GN$26)/0.18</f>
        <v>#DIV/0!</v>
      </c>
      <c r="BB15" s="80">
        <v>120</v>
      </c>
      <c r="BC15" s="80"/>
      <c r="BD15" s="80"/>
      <c r="BE15" s="80"/>
      <c r="BF15" s="80"/>
      <c r="BG15" s="80"/>
      <c r="BH15" s="80"/>
      <c r="BI15" s="80"/>
      <c r="BJ15" s="80"/>
      <c r="BK15" s="80">
        <f t="shared" si="19"/>
        <v>0</v>
      </c>
      <c r="BO15" s="80">
        <f t="shared" si="15"/>
        <v>72.375871759353331</v>
      </c>
      <c r="BP15" s="80">
        <f t="shared" si="16"/>
        <v>10770000</v>
      </c>
      <c r="BQ15" s="80">
        <f>(BP15-BP14)*INDEX('[1]功能-付费相关'!$AQ$6:$AQ$165,$BO15,1)+BQ14</f>
        <v>14309.835707900291</v>
      </c>
      <c r="BR15" s="80"/>
      <c r="BS15" s="80"/>
      <c r="BU15" s="80">
        <v>120</v>
      </c>
      <c r="BV15" s="80">
        <f t="shared" si="1"/>
        <v>15965.959189681667</v>
      </c>
      <c r="BW15" s="86">
        <f t="shared" si="18"/>
        <v>13041</v>
      </c>
      <c r="BX15" s="80"/>
      <c r="BY15" s="80">
        <f t="shared" si="20"/>
        <v>29006.959189681667</v>
      </c>
    </row>
    <row r="16" spans="2:77" x14ac:dyDescent="0.15">
      <c r="B16" s="199"/>
      <c r="C16" s="80" t="s">
        <v>3</v>
      </c>
      <c r="D16" s="80"/>
      <c r="E16" s="80"/>
      <c r="F16" s="80"/>
      <c r="G16" s="80"/>
      <c r="H16" s="80"/>
      <c r="I16" s="80"/>
      <c r="L16" s="61">
        <v>15</v>
      </c>
      <c r="M16" s="80">
        <f>基础状态预期!D28</f>
        <v>72.375871759353331</v>
      </c>
      <c r="N16" s="80">
        <f>IF(基础状态预期!F28="",0,IF(基础状态预期!Z28&lt;=1,基础状态预期!Z28*D$4,1*D$4+(基础状态预期!Z28-1)*武将觉醒!D$5))</f>
        <v>0</v>
      </c>
      <c r="O16" s="80">
        <f>IF(基础状态预期!G28="",0,IF(基础状态预期!AA28&lt;=1,基础状态预期!AA28*E$4,1*E$4+(基础状态预期!AA28-1)*武将觉醒!E$5))</f>
        <v>0</v>
      </c>
      <c r="P16" s="80">
        <f>IF(基础状态预期!H28="",0,IF(基础状态预期!AB28&lt;=1,基础状态预期!AB28*F$4,1*F$4+(基础状态预期!AB28-1)*武将觉醒!F$5))</f>
        <v>0</v>
      </c>
      <c r="Q16" s="80">
        <f>IF(基础状态预期!I28="",0,IF(基础状态预期!AC28&lt;=1,基础状态预期!AC28*G$4,1*G$4+(基础状态预期!AC28-1)*武将觉醒!G$5))</f>
        <v>520000</v>
      </c>
      <c r="R16" s="80">
        <f>IF(基础状态预期!J28="",0,IF(基础状态预期!AD28&lt;=1,基础状态预期!AD28*H$4,1*H$4+(基础状态预期!AD28-1)*武将觉醒!H$5))</f>
        <v>2050000</v>
      </c>
      <c r="S16" s="80">
        <f>MAX(SUMPRODUCT(N16:R16,基础状态预期!F28:J28),S15)</f>
        <v>10770000</v>
      </c>
      <c r="T16" s="80">
        <f>IF(基础状态预期!Z28="",0,IFERROR(基础状态预期!F28*求节点($C$62:$C$63,D$62:D$63,基础状态预期!Z28),0)+IFERROR(基础状态预期!$J28*求节点($C$71:$C$72,D$71:D$72,基础状态预期!$AD28),0))</f>
        <v>0</v>
      </c>
      <c r="U16" s="80">
        <f>IF(基础状态预期!AA28="",0,IFERROR(基础状态预期!G28*求节点($C$62:$C$63,E$62:E$63,基础状态预期!AA28),0)+IFERROR(基础状态预期!$J28*求节点($C$71:$C$72,E$71:E$72,基础状态预期!$AD28),0))</f>
        <v>0</v>
      </c>
      <c r="V16" s="80">
        <f>IF(基础状态预期!AB28="",0,IFERROR(基础状态预期!H28*求节点($C$62:$C$63,F$62:F$63,基础状态预期!AB28),0)+IFERROR(基础状态预期!$J28*求节点($C$71:$C$72,F$71:F$72,基础状态预期!$AD28),0))</f>
        <v>0</v>
      </c>
      <c r="W16" s="80">
        <f>IF(基础状态预期!AC28="",0,IFERROR(基础状态预期!I28*求节点($C$62:$C$63,G$62:G$63,基础状态预期!AC28),0)+IFERROR(基础状态预期!$J28*求节点($C$71:$C$72,G$71:G$72,基础状态预期!$AD28),0))</f>
        <v>16</v>
      </c>
      <c r="X16" s="80">
        <f>IF(基础状态预期!AD28="",0,IFERROR(基础状态预期!J28*求节点($C$62:$C$63,H$62:H$63,基础状态预期!AD28),0)+IFERROR(基础状态预期!$J28*求节点($C$71:$C$72,H$71:H$72,基础状态预期!$AD28),0))</f>
        <v>0</v>
      </c>
      <c r="Y16" s="80">
        <f>IF(基础状态预期!$H28="",0,IF(基础状态预期!$AB28&lt;=1,基础状态预期!$AB28*D$18,D$18)*基础状态预期!$H28)+
IF(基础状态预期!$I28="",0,IF(基础状态预期!$AC28&lt;=1,基础状态预期!$AC28*D$19,D$19)*基础状态预期!$I28)+
IF(基础状态预期!$J28="",0,IF(基础状态预期!$AD28&lt;=1,基础状态预期!$AD28*D$20,D$20)*基础状态预期!$J28)</f>
        <v>46</v>
      </c>
      <c r="Z16" s="80">
        <f>IF(基础状态预期!$H28="",0,IF(基础状态预期!$AB28&lt;=1,基础状态预期!$AB28*E$18,E$18)*基础状态预期!$H28)+
IF(基础状态预期!$I28="",0,IF(基础状态预期!$AC28&lt;=1,基础状态预期!$AC28*E$19,E$19)*基础状态预期!$I28)+
IF(基础状态预期!$J28="",0,IF(基础状态预期!$AD28&lt;=1,基础状态预期!$AD28*E$20,E$20)*基础状态预期!$J28)</f>
        <v>0</v>
      </c>
      <c r="AA16" s="80">
        <f>IF(基础状态预期!$H28="",0,IF(基础状态预期!$AB28&lt;=1,基础状态预期!$AB28*F$18,F$18)*基础状态预期!$H28)+
IF(基础状态预期!$I28="",0,IF(基础状态预期!$AC28&lt;=1,基础状态预期!$AC28*F$19,F$19)*基础状态预期!$I28)+
IF(基础状态预期!$J28="",0,IF(基础状态预期!$AD28&lt;=1,基础状态预期!$AD28*F$20,F$20)*基础状态预期!$J28)</f>
        <v>0</v>
      </c>
      <c r="AB16" s="67">
        <f>IF(基础状态预期!$H28="",0,IF(基础状态预期!$AB28&lt;=1,0,(基础状态预期!$AB28-1)*G$26)*基础状态预期!$H28)+
IF(基础状态预期!$I28="",0,IF(基础状态预期!$AC28&lt;=1,0,(基础状态预期!$AC28-1)*G$27)*基础状态预期!$I28)+
IF(基础状态预期!$J28="",0,IF(基础状态预期!$AD28&lt;=1,0,(基础状态预期!$AD28-1)*G$28)*基础状态预期!$J28)</f>
        <v>230</v>
      </c>
      <c r="AC16" s="67">
        <f>IF(基础状态预期!$H28="",0,IF(基础状态预期!$AB28&lt;=1,0,(基础状态预期!$AB28-1)*H$26)*基础状态预期!$H28)+
IF(基础状态预期!$I28="",0,IF(基础状态预期!$AC28&lt;=1,0,(基础状态预期!$AC28-1)*H$27)*基础状态预期!$I28)+
IF(基础状态预期!$J28="",0,IF(基础状态预期!$AD28&lt;=1,0,(基础状态预期!$AD28-1)*H$28)*基础状态预期!$J28)</f>
        <v>0</v>
      </c>
      <c r="AD16" s="67">
        <f>IF(基础状态预期!$H28="",0,IF(基础状态预期!$AB28&lt;=1,0,(基础状态预期!$AB28-1)*I$26)*基础状态预期!$H28)+
IF(基础状态预期!$I28="",0,IF(基础状态预期!$AC28&lt;=1,0,(基础状态预期!$AC28-1)*I$27)*基础状态预期!$I28)+
IF(基础状态预期!$J28="",0,IF(基础状态预期!$AD28&lt;=1,0,(基础状态预期!$AD28-1)*I$28)*基础状态预期!$J28)</f>
        <v>0</v>
      </c>
      <c r="AE16" s="80">
        <f>IF(各r阵容卡情况!$H22=0,0,IF(各r阵容卡情况!$AB22&lt;=1,各r阵容卡情况!$AB22*D$18,1*D$18)*各r阵容卡情况!$H22)+
IF(各r阵容卡情况!$I22=0,0,IF(各r阵容卡情况!$AC22&lt;=1,各r阵容卡情况!$AC22*D$19,1*D$19)*各r阵容卡情况!$I22)+
IF(各r阵容卡情况!$J22=0,0,IF(各r阵容卡情况!$AD22&lt;=1,各r阵容卡情况!$AD22*D$20,1*D$20)*各r阵容卡情况!$J22)</f>
        <v>96</v>
      </c>
      <c r="AF16" s="80">
        <f>IF(各r阵容卡情况!$H22=0,0,IF(各r阵容卡情况!$AB22&lt;=1,各r阵容卡情况!$AB22*E$18,1*E$18)*各r阵容卡情况!$H22)+
IF(各r阵容卡情况!$I22=0,0,IF(各r阵容卡情况!$AC22&lt;=1,各r阵容卡情况!$AC22*E$19,1*E$19)*各r阵容卡情况!$I22)+
IF(各r阵容卡情况!$J22=0,0,IF(各r阵容卡情况!$AD22&lt;=1,各r阵容卡情况!$AD22*E$20,1*E$20)*各r阵容卡情况!$J22)</f>
        <v>0</v>
      </c>
      <c r="AG16" s="80">
        <f>IF(各r阵容卡情况!$H22=0,0,IF(各r阵容卡情况!$AB22&lt;=1,各r阵容卡情况!$AB22*F$18,1*F$18)*各r阵容卡情况!$H22)+
IF(各r阵容卡情况!$I22=0,0,IF(各r阵容卡情况!$AC22&lt;=1,各r阵容卡情况!$AC22*F$19,1*F$19)*各r阵容卡情况!$I22)+
IF(各r阵容卡情况!$J22=0,0,IF(各r阵容卡情况!$AD22&lt;=1,各r阵容卡情况!$AD22*F$20,1*F$20)*各r阵容卡情况!$J22)</f>
        <v>0</v>
      </c>
      <c r="AH16" s="67">
        <f>IF(各r阵容卡情况!$H22=0,0,IF(各r阵容卡情况!$AB22&lt;=1,0,(各r阵容卡情况!$AB22-1)*G$26)*各r阵容卡情况!$H22)+
IF(各r阵容卡情况!$I22=0,0,IF(各r阵容卡情况!$AC22&lt;=1,0,(各r阵容卡情况!$AC22-1)*G$27)*各r阵容卡情况!$I22)+
IF(各r阵容卡情况!$J22=0,0,IF(各r阵容卡情况!$AD22&lt;=1,0,(各r阵容卡情况!$AD22-1)*G$28)*各r阵容卡情况!$J22)</f>
        <v>480</v>
      </c>
      <c r="AI16" s="67">
        <f>IF(各r阵容卡情况!$H22=0,0,IF(各r阵容卡情况!$AB22&lt;=1,0,(各r阵容卡情况!$AB22-1)*H$26)*各r阵容卡情况!$H22)+
IF(各r阵容卡情况!$I22=0,0,IF(各r阵容卡情况!$AC22&lt;=1,0,(各r阵容卡情况!$AC22-1)*H$27)*各r阵容卡情况!$I22)+
IF(各r阵容卡情况!$J22=0,0,IF(各r阵容卡情况!$AD22&lt;=1,0,(各r阵容卡情况!$AD22-1)*H$28)*各r阵容卡情况!$J22)</f>
        <v>0</v>
      </c>
      <c r="AJ16" s="67">
        <f>IF(各r阵容卡情况!$H22=0,0,IF(各r阵容卡情况!$AB22&lt;=1,0,(各r阵容卡情况!$AB22-1)*I$26)*各r阵容卡情况!$H22)+
IF(各r阵容卡情况!$I22=0,0,IF(各r阵容卡情况!$AC22&lt;=1,0,(各r阵容卡情况!$AC22-1)*I$27)*各r阵容卡情况!$I22)+
IF(各r阵容卡情况!$J22=0,0,IF(各r阵容卡情况!$AD22&lt;=1,0,(各r阵容卡情况!$AD22-1)*I$28)*各r阵容卡情况!$J22)</f>
        <v>0</v>
      </c>
      <c r="AL16" s="14">
        <v>65</v>
      </c>
      <c r="AM16" s="80">
        <f t="shared" si="2"/>
        <v>41.973861814696889</v>
      </c>
      <c r="AN16" s="80">
        <f t="shared" si="3"/>
        <v>0</v>
      </c>
      <c r="AO16" s="80">
        <f t="shared" si="4"/>
        <v>0</v>
      </c>
      <c r="AP16" s="80">
        <f t="shared" si="5"/>
        <v>209.86930907348446</v>
      </c>
      <c r="AQ16" s="80">
        <f t="shared" si="6"/>
        <v>0</v>
      </c>
      <c r="AR16" s="80">
        <f t="shared" si="7"/>
        <v>0</v>
      </c>
      <c r="AS16" s="80">
        <f t="shared" si="8"/>
        <v>69.843170888181334</v>
      </c>
      <c r="AT16" s="80">
        <f t="shared" si="9"/>
        <v>0</v>
      </c>
      <c r="AU16" s="80">
        <f t="shared" si="10"/>
        <v>0</v>
      </c>
      <c r="AV16" s="80">
        <f t="shared" si="11"/>
        <v>349.2158544409067</v>
      </c>
      <c r="AW16" s="80">
        <f t="shared" si="12"/>
        <v>0</v>
      </c>
      <c r="AX16" s="80">
        <f t="shared" si="13"/>
        <v>0</v>
      </c>
      <c r="AY16" s="61" t="e">
        <f>SUMPRODUCT(AM16:AR16/'[1]功能-行军令'!$GI$26:$GN$26+AS16:AX16/'[1]功能-行军令'!$GI$26:$GN$26)/0.18</f>
        <v>#DIV/0!</v>
      </c>
      <c r="BB16" s="80">
        <v>130</v>
      </c>
      <c r="BC16" s="80"/>
      <c r="BD16" s="80"/>
      <c r="BE16" s="80"/>
      <c r="BF16" s="80"/>
      <c r="BG16" s="80"/>
      <c r="BH16" s="80"/>
      <c r="BI16" s="80"/>
      <c r="BJ16" s="80"/>
      <c r="BK16" s="80">
        <f t="shared" si="19"/>
        <v>0</v>
      </c>
      <c r="BO16" s="80">
        <f t="shared" si="15"/>
        <v>74.998404927577795</v>
      </c>
      <c r="BP16" s="80">
        <f t="shared" si="16"/>
        <v>11535000</v>
      </c>
      <c r="BQ16" s="80">
        <f>(BP16-BP15)*INDEX('[1]功能-付费相关'!$AQ$6:$AQ$165,$BO16,1)+BQ15</f>
        <v>15148.651497373976</v>
      </c>
      <c r="BR16" s="80"/>
      <c r="BS16" s="80"/>
      <c r="BU16" s="80">
        <v>130</v>
      </c>
      <c r="BV16" s="80">
        <f t="shared" si="1"/>
        <v>15965.959189681667</v>
      </c>
      <c r="BW16" s="86">
        <f t="shared" si="18"/>
        <v>13041</v>
      </c>
      <c r="BX16" s="80"/>
      <c r="BY16" s="80">
        <f t="shared" si="20"/>
        <v>29006.959189681667</v>
      </c>
    </row>
    <row r="17" spans="2:77" x14ac:dyDescent="0.15">
      <c r="B17" s="199"/>
      <c r="C17" s="80" t="s">
        <v>1</v>
      </c>
      <c r="D17" s="80"/>
      <c r="E17" s="80"/>
      <c r="F17" s="80"/>
      <c r="G17" s="80"/>
      <c r="H17" s="80"/>
      <c r="I17" s="80"/>
      <c r="L17" s="61">
        <v>16</v>
      </c>
      <c r="M17" s="80">
        <f>基础状态预期!D29</f>
        <v>74.998404927577795</v>
      </c>
      <c r="N17" s="80">
        <f>IF(基础状态预期!F29="",0,IF(基础状态预期!Z29&lt;=1,基础状态预期!Z29*D$4,1*D$4+(基础状态预期!Z29-1)*武将觉醒!D$5))</f>
        <v>0</v>
      </c>
      <c r="O17" s="80">
        <f>IF(基础状态预期!G29="",0,IF(基础状态预期!AA29&lt;=1,基础状态预期!AA29*E$4,1*E$4+(基础状态预期!AA29-1)*武将觉醒!E$5))</f>
        <v>0</v>
      </c>
      <c r="P17" s="80">
        <f>IF(基础状态预期!H29="",0,IF(基础状态预期!AB29&lt;=1,基础状态预期!AB29*F$4,1*F$4+(基础状态预期!AB29-1)*武将觉醒!F$5))</f>
        <v>0</v>
      </c>
      <c r="Q17" s="80">
        <f>IF(基础状态预期!I29="",0,IF(基础状态预期!AC29&lt;=1,基础状态预期!AC29*G$4,1*G$4+(基础状态预期!AC29-1)*武将觉醒!G$5))</f>
        <v>520000</v>
      </c>
      <c r="R17" s="80">
        <f>IF(基础状态预期!J29="",0,IF(基础状态预期!AD29&lt;=1,基础状态预期!AD29*H$4,1*H$4+(基础状态预期!AD29-1)*武将觉醒!H$5))</f>
        <v>2050000</v>
      </c>
      <c r="S17" s="80">
        <f>MAX(SUMPRODUCT(N17:R17,基础状态预期!F29:J29),S16)</f>
        <v>11535000</v>
      </c>
      <c r="T17" s="80">
        <f>IF(基础状态预期!Z29="",0,IFERROR(基础状态预期!F29*求节点($C$62:$C$63,D$62:D$63,基础状态预期!Z29),0)+IFERROR(基础状态预期!$J29*求节点($C$71:$C$72,D$71:D$72,基础状态预期!$AD29),0))</f>
        <v>0</v>
      </c>
      <c r="U17" s="80">
        <f>IF(基础状态预期!AA29="",0,IFERROR(基础状态预期!G29*求节点($C$62:$C$63,E$62:E$63,基础状态预期!AA29),0)+IFERROR(基础状态预期!$J29*求节点($C$71:$C$72,E$71:E$72,基础状态预期!$AD29),0))</f>
        <v>0</v>
      </c>
      <c r="V17" s="80">
        <f>IF(基础状态预期!AB29="",0,IFERROR(基础状态预期!H29*求节点($C$62:$C$63,F$62:F$63,基础状态预期!AB29),0)+IFERROR(基础状态预期!$J29*求节点($C$71:$C$72,F$71:F$72,基础状态预期!$AD29),0))</f>
        <v>0</v>
      </c>
      <c r="W17" s="80">
        <f>IF(基础状态预期!AC29="",0,IFERROR(基础状态预期!I29*求节点($C$62:$C$63,G$62:G$63,基础状态预期!AC29),0)+IFERROR(基础状态预期!$J29*求节点($C$71:$C$72,G$71:G$72,基础状态预期!$AD29),0))</f>
        <v>17</v>
      </c>
      <c r="X17" s="80">
        <f>IF(基础状态预期!AD29="",0,IFERROR(基础状态预期!J29*求节点($C$62:$C$63,H$62:H$63,基础状态预期!AD29),0)+IFERROR(基础状态预期!$J29*求节点($C$71:$C$72,H$71:H$72,基础状态预期!$AD29),0))</f>
        <v>0</v>
      </c>
      <c r="Y17" s="80">
        <f>IF(基础状态预期!$H29="",0,IF(基础状态预期!$AB29&lt;=1,基础状态预期!$AB29*D$18,D$18)*基础状态预期!$H29)+
IF(基础状态预期!$I29="",0,IF(基础状态预期!$AC29&lt;=1,基础状态预期!$AC29*D$19,D$19)*基础状态预期!$I29)+
IF(基础状态预期!$J29="",0,IF(基础状态预期!$AD29&lt;=1,基础状态预期!$AD29*D$20,D$20)*基础状态预期!$J29)</f>
        <v>47</v>
      </c>
      <c r="Z17" s="80">
        <f>IF(基础状态预期!$H29="",0,IF(基础状态预期!$AB29&lt;=1,基础状态预期!$AB29*E$18,E$18)*基础状态预期!$H29)+
IF(基础状态预期!$I29="",0,IF(基础状态预期!$AC29&lt;=1,基础状态预期!$AC29*E$19,E$19)*基础状态预期!$I29)+
IF(基础状态预期!$J29="",0,IF(基础状态预期!$AD29&lt;=1,基础状态预期!$AD29*E$20,E$20)*基础状态预期!$J29)</f>
        <v>0</v>
      </c>
      <c r="AA17" s="80">
        <f>IF(基础状态预期!$H29="",0,IF(基础状态预期!$AB29&lt;=1,基础状态预期!$AB29*F$18,F$18)*基础状态预期!$H29)+
IF(基础状态预期!$I29="",0,IF(基础状态预期!$AC29&lt;=1,基础状态预期!$AC29*F$19,F$19)*基础状态预期!$I29)+
IF(基础状态预期!$J29="",0,IF(基础状态预期!$AD29&lt;=1,基础状态预期!$AD29*F$20,F$20)*基础状态预期!$J29)</f>
        <v>0</v>
      </c>
      <c r="AB17" s="67">
        <f>IF(基础状态预期!$H29="",0,IF(基础状态预期!$AB29&lt;=1,0,(基础状态预期!$AB29-1)*G$26)*基础状态预期!$H29)+
IF(基础状态预期!$I29="",0,IF(基础状态预期!$AC29&lt;=1,0,(基础状态预期!$AC29-1)*G$27)*基础状态预期!$I29)+
IF(基础状态预期!$J29="",0,IF(基础状态预期!$AD29&lt;=1,0,(基础状态预期!$AD29-1)*G$28)*基础状态预期!$J29)</f>
        <v>235</v>
      </c>
      <c r="AC17" s="67">
        <f>IF(基础状态预期!$H29="",0,IF(基础状态预期!$AB29&lt;=1,0,(基础状态预期!$AB29-1)*H$26)*基础状态预期!$H29)+
IF(基础状态预期!$I29="",0,IF(基础状态预期!$AC29&lt;=1,0,(基础状态预期!$AC29-1)*H$27)*基础状态预期!$I29)+
IF(基础状态预期!$J29="",0,IF(基础状态预期!$AD29&lt;=1,0,(基础状态预期!$AD29-1)*H$28)*基础状态预期!$J29)</f>
        <v>0</v>
      </c>
      <c r="AD17" s="67">
        <f>IF(基础状态预期!$H29="",0,IF(基础状态预期!$AB29&lt;=1,0,(基础状态预期!$AB29-1)*I$26)*基础状态预期!$H29)+
IF(基础状态预期!$I29="",0,IF(基础状态预期!$AC29&lt;=1,0,(基础状态预期!$AC29-1)*I$27)*基础状态预期!$I29)+
IF(基础状态预期!$J29="",0,IF(基础状态预期!$AD29&lt;=1,0,(基础状态预期!$AD29-1)*I$28)*基础状态预期!$J29)</f>
        <v>0</v>
      </c>
      <c r="AE17" s="80">
        <f>IF(各r阵容卡情况!$H23=0,0,IF(各r阵容卡情况!$AB23&lt;=1,各r阵容卡情况!$AB23*D$18,1*D$18)*各r阵容卡情况!$H23)+
IF(各r阵容卡情况!$I23=0,0,IF(各r阵容卡情况!$AC23&lt;=1,各r阵容卡情况!$AC23*D$19,1*D$19)*各r阵容卡情况!$I23)+
IF(各r阵容卡情况!$J23=0,0,IF(各r阵容卡情况!$AD23&lt;=1,各r阵容卡情况!$AD23*D$20,1*D$20)*各r阵容卡情况!$J23)</f>
        <v>106</v>
      </c>
      <c r="AF17" s="80">
        <f>IF(各r阵容卡情况!$H23=0,0,IF(各r阵容卡情况!$AB23&lt;=1,各r阵容卡情况!$AB23*E$18,1*E$18)*各r阵容卡情况!$H23)+
IF(各r阵容卡情况!$I23=0,0,IF(各r阵容卡情况!$AC23&lt;=1,各r阵容卡情况!$AC23*E$19,1*E$19)*各r阵容卡情况!$I23)+
IF(各r阵容卡情况!$J23=0,0,IF(各r阵容卡情况!$AD23&lt;=1,各r阵容卡情况!$AD23*E$20,1*E$20)*各r阵容卡情况!$J23)</f>
        <v>0</v>
      </c>
      <c r="AG17" s="80">
        <f>IF(各r阵容卡情况!$H23=0,0,IF(各r阵容卡情况!$AB23&lt;=1,各r阵容卡情况!$AB23*F$18,1*F$18)*各r阵容卡情况!$H23)+
IF(各r阵容卡情况!$I23=0,0,IF(各r阵容卡情况!$AC23&lt;=1,各r阵容卡情况!$AC23*F$19,1*F$19)*各r阵容卡情况!$I23)+
IF(各r阵容卡情况!$J23=0,0,IF(各r阵容卡情况!$AD23&lt;=1,各r阵容卡情况!$AD23*F$20,1*F$20)*各r阵容卡情况!$J23)</f>
        <v>0</v>
      </c>
      <c r="AH17" s="67">
        <f>IF(各r阵容卡情况!$H23=0,0,IF(各r阵容卡情况!$AB23&lt;=1,0,(各r阵容卡情况!$AB23-1)*G$26)*各r阵容卡情况!$H23)+
IF(各r阵容卡情况!$I23=0,0,IF(各r阵容卡情况!$AC23&lt;=1,0,(各r阵容卡情况!$AC23-1)*G$27)*各r阵容卡情况!$I23)+
IF(各r阵容卡情况!$J23=0,0,IF(各r阵容卡情况!$AD23&lt;=1,0,(各r阵容卡情况!$AD23-1)*G$28)*各r阵容卡情况!$J23)</f>
        <v>530</v>
      </c>
      <c r="AI17" s="67">
        <f>IF(各r阵容卡情况!$H23=0,0,IF(各r阵容卡情况!$AB23&lt;=1,0,(各r阵容卡情况!$AB23-1)*H$26)*各r阵容卡情况!$H23)+
IF(各r阵容卡情况!$I23=0,0,IF(各r阵容卡情况!$AC23&lt;=1,0,(各r阵容卡情况!$AC23-1)*H$27)*各r阵容卡情况!$I23)+
IF(各r阵容卡情况!$J23=0,0,IF(各r阵容卡情况!$AD23&lt;=1,0,(各r阵容卡情况!$AD23-1)*H$28)*各r阵容卡情况!$J23)</f>
        <v>0</v>
      </c>
      <c r="AJ17" s="67">
        <f>IF(各r阵容卡情况!$H23=0,0,IF(各r阵容卡情况!$AB23&lt;=1,0,(各r阵容卡情况!$AB23-1)*I$26)*各r阵容卡情况!$H23)+
IF(各r阵容卡情况!$I23=0,0,IF(各r阵容卡情况!$AC23&lt;=1,0,(各r阵容卡情况!$AC23-1)*I$27)*各r阵容卡情况!$I23)+
IF(各r阵容卡情况!$J23=0,0,IF(各r阵容卡情况!$AD23&lt;=1,0,(各r阵容卡情况!$AD23-1)*I$28)*各r阵容卡情况!$J23)</f>
        <v>0</v>
      </c>
      <c r="AL17" s="14">
        <v>70</v>
      </c>
      <c r="AM17" s="80">
        <f t="shared" si="2"/>
        <v>44.511594128003551</v>
      </c>
      <c r="AN17" s="80">
        <f t="shared" si="3"/>
        <v>0</v>
      </c>
      <c r="AO17" s="80">
        <f t="shared" si="4"/>
        <v>0</v>
      </c>
      <c r="AP17" s="80">
        <f t="shared" si="5"/>
        <v>222.55797064001774</v>
      </c>
      <c r="AQ17" s="80">
        <f t="shared" si="6"/>
        <v>0</v>
      </c>
      <c r="AR17" s="80">
        <f t="shared" si="7"/>
        <v>0</v>
      </c>
      <c r="AS17" s="80">
        <f t="shared" si="8"/>
        <v>88.557970640017743</v>
      </c>
      <c r="AT17" s="80">
        <f t="shared" si="9"/>
        <v>0</v>
      </c>
      <c r="AU17" s="80">
        <f t="shared" si="10"/>
        <v>0</v>
      </c>
      <c r="AV17" s="80">
        <f t="shared" si="11"/>
        <v>442.78985320008871</v>
      </c>
      <c r="AW17" s="80">
        <f t="shared" si="12"/>
        <v>0</v>
      </c>
      <c r="AX17" s="80">
        <f t="shared" si="13"/>
        <v>0</v>
      </c>
      <c r="AY17" s="61" t="e">
        <f>SUMPRODUCT(AM17:AR17/'[1]功能-行军令'!$GI$26:$GN$26+AS17:AX17/'[1]功能-行军令'!$GI$26:$GN$26)/0.18</f>
        <v>#DIV/0!</v>
      </c>
      <c r="BB17" s="80">
        <v>140</v>
      </c>
      <c r="BC17" s="80"/>
      <c r="BD17" s="80"/>
      <c r="BE17" s="80"/>
      <c r="BF17" s="80"/>
      <c r="BG17" s="80"/>
      <c r="BH17" s="80"/>
      <c r="BI17" s="80"/>
      <c r="BJ17" s="80"/>
      <c r="BK17" s="80">
        <f t="shared" si="19"/>
        <v>0</v>
      </c>
      <c r="BO17" s="80">
        <f t="shared" si="15"/>
        <v>77.875308029777003</v>
      </c>
      <c r="BP17" s="80">
        <f t="shared" si="16"/>
        <v>12300000</v>
      </c>
      <c r="BQ17" s="80">
        <f>(BP17-BP16)*INDEX('[1]功能-付费相关'!$AQ$6:$AQ$165,$BO17,1)+BQ16</f>
        <v>15965.959189681667</v>
      </c>
      <c r="BR17" s="80"/>
      <c r="BS17" s="80"/>
      <c r="BU17" s="80">
        <v>140</v>
      </c>
      <c r="BV17" s="80">
        <f t="shared" si="1"/>
        <v>15965.959189681667</v>
      </c>
      <c r="BW17" s="86">
        <f t="shared" si="18"/>
        <v>13041</v>
      </c>
      <c r="BX17" s="80"/>
      <c r="BY17" s="80">
        <f t="shared" si="20"/>
        <v>29006.959189681667</v>
      </c>
    </row>
    <row r="18" spans="2:77" x14ac:dyDescent="0.15">
      <c r="B18" s="199"/>
      <c r="C18" s="80" t="s">
        <v>2</v>
      </c>
      <c r="D18" s="80">
        <v>4</v>
      </c>
      <c r="E18" s="80"/>
      <c r="F18" s="80"/>
      <c r="G18" s="80"/>
      <c r="H18" s="80"/>
      <c r="I18" s="80"/>
      <c r="L18" s="61">
        <v>17</v>
      </c>
      <c r="M18" s="80">
        <f>基础状态预期!D30</f>
        <v>77.875308029777003</v>
      </c>
      <c r="N18" s="80">
        <f>IF(基础状态预期!F30="",0,IF(基础状态预期!Z30&lt;=1,基础状态预期!Z30*D$4,1*D$4+(基础状态预期!Z30-1)*武将觉醒!D$5))</f>
        <v>0</v>
      </c>
      <c r="O18" s="80">
        <f>IF(基础状态预期!G30="",0,IF(基础状态预期!AA30&lt;=1,基础状态预期!AA30*E$4,1*E$4+(基础状态预期!AA30-1)*武将觉醒!E$5))</f>
        <v>0</v>
      </c>
      <c r="P18" s="80">
        <f>IF(基础状态预期!H30="",0,IF(基础状态预期!AB30&lt;=1,基础状态预期!AB30*F$4,1*F$4+(基础状态预期!AB30-1)*武将觉醒!F$5))</f>
        <v>0</v>
      </c>
      <c r="Q18" s="80">
        <f>IF(基础状态预期!I30="",0,IF(基础状态预期!AC30&lt;=1,基础状态预期!AC30*G$4,1*G$4+(基础状态预期!AC30-1)*武将觉醒!G$5))</f>
        <v>0</v>
      </c>
      <c r="R18" s="80">
        <f>IF(基础状态预期!J30="",0,IF(基础状态预期!AD30&lt;=1,基础状态预期!AD30*H$4,1*H$4+(基础状态预期!AD30-1)*武将觉醒!H$5))</f>
        <v>2050000</v>
      </c>
      <c r="S18" s="80">
        <f>MAX(SUMPRODUCT(N18:R18,基础状态预期!F30:J30),S17)</f>
        <v>12300000</v>
      </c>
      <c r="T18" s="80">
        <f>IF(基础状态预期!Z30="",0,IFERROR(基础状态预期!F30*求节点($C$62:$C$63,D$62:D$63,基础状态预期!Z30),0)+IFERROR(基础状态预期!$J30*求节点($C$71:$C$72,D$71:D$72,基础状态预期!$AD30),0))</f>
        <v>0</v>
      </c>
      <c r="U18" s="80">
        <f>IF(基础状态预期!AA30="",0,IFERROR(基础状态预期!G30*求节点($C$62:$C$63,E$62:E$63,基础状态预期!AA30),0)+IFERROR(基础状态预期!$J30*求节点($C$71:$C$72,E$71:E$72,基础状态预期!$AD30),0))</f>
        <v>0</v>
      </c>
      <c r="V18" s="80">
        <f>IF(基础状态预期!AB30="",0,IFERROR(基础状态预期!H30*求节点($C$62:$C$63,F$62:F$63,基础状态预期!AB30),0)+IFERROR(基础状态预期!$J30*求节点($C$71:$C$72,F$71:F$72,基础状态预期!$AD30),0))</f>
        <v>0</v>
      </c>
      <c r="W18" s="80">
        <f>IF(基础状态预期!AC30="",0,IFERROR(基础状态预期!I30*求节点($C$62:$C$63,G$62:G$63,基础状态预期!AC30),0)+IFERROR(基础状态预期!$J30*求节点($C$71:$C$72,G$71:G$72,基础状态预期!$AD30),0))</f>
        <v>0</v>
      </c>
      <c r="X18" s="80">
        <f>IF(基础状态预期!AD30="",0,IFERROR(基础状态预期!J30*求节点($C$62:$C$63,H$62:H$63,基础状态预期!AD30),0)+IFERROR(基础状态预期!$J30*求节点($C$71:$C$72,H$71:H$72,基础状态预期!$AD30),0))</f>
        <v>0</v>
      </c>
      <c r="Y18" s="80">
        <f>IF(基础状态预期!$H30="",0,IF(基础状态预期!$AB30&lt;=1,基础状态预期!$AB30*D$18,D$18)*基础状态预期!$H30)+
IF(基础状态预期!$I30="",0,IF(基础状态预期!$AC30&lt;=1,基础状态预期!$AC30*D$19,D$19)*基础状态预期!$I30)+
IF(基础状态预期!$J30="",0,IF(基础状态预期!$AD30&lt;=1,基础状态预期!$AD30*D$20,D$20)*基础状态预期!$J30)</f>
        <v>48</v>
      </c>
      <c r="Z18" s="80">
        <f>IF(基础状态预期!$H30="",0,IF(基础状态预期!$AB30&lt;=1,基础状态预期!$AB30*E$18,E$18)*基础状态预期!$H30)+
IF(基础状态预期!$I30="",0,IF(基础状态预期!$AC30&lt;=1,基础状态预期!$AC30*E$19,E$19)*基础状态预期!$I30)+
IF(基础状态预期!$J30="",0,IF(基础状态预期!$AD30&lt;=1,基础状态预期!$AD30*E$20,E$20)*基础状态预期!$J30)</f>
        <v>0</v>
      </c>
      <c r="AA18" s="80">
        <f>IF(基础状态预期!$H30="",0,IF(基础状态预期!$AB30&lt;=1,基础状态预期!$AB30*F$18,F$18)*基础状态预期!$H30)+
IF(基础状态预期!$I30="",0,IF(基础状态预期!$AC30&lt;=1,基础状态预期!$AC30*F$19,F$19)*基础状态预期!$I30)+
IF(基础状态预期!$J30="",0,IF(基础状态预期!$AD30&lt;=1,基础状态预期!$AD30*F$20,F$20)*基础状态预期!$J30)</f>
        <v>0</v>
      </c>
      <c r="AB18" s="67">
        <f>IF(基础状态预期!$H30="",0,IF(基础状态预期!$AB30&lt;=1,0,(基础状态预期!$AB30-1)*G$26)*基础状态预期!$H30)+
IF(基础状态预期!$I30="",0,IF(基础状态预期!$AC30&lt;=1,0,(基础状态预期!$AC30-1)*G$27)*基础状态预期!$I30)+
IF(基础状态预期!$J30="",0,IF(基础状态预期!$AD30&lt;=1,0,(基础状态预期!$AD30-1)*G$28)*基础状态预期!$J30)</f>
        <v>240</v>
      </c>
      <c r="AC18" s="67">
        <f>IF(基础状态预期!$H30="",0,IF(基础状态预期!$AB30&lt;=1,0,(基础状态预期!$AB30-1)*H$26)*基础状态预期!$H30)+
IF(基础状态预期!$I30="",0,IF(基础状态预期!$AC30&lt;=1,0,(基础状态预期!$AC30-1)*H$27)*基础状态预期!$I30)+
IF(基础状态预期!$J30="",0,IF(基础状态预期!$AD30&lt;=1,0,(基础状态预期!$AD30-1)*H$28)*基础状态预期!$J30)</f>
        <v>0</v>
      </c>
      <c r="AD18" s="67">
        <f>IF(基础状态预期!$H30="",0,IF(基础状态预期!$AB30&lt;=1,0,(基础状态预期!$AB30-1)*I$26)*基础状态预期!$H30)+
IF(基础状态预期!$I30="",0,IF(基础状态预期!$AC30&lt;=1,0,(基础状态预期!$AC30-1)*I$27)*基础状态预期!$I30)+
IF(基础状态预期!$J30="",0,IF(基础状态预期!$AD30&lt;=1,0,(基础状态预期!$AD30-1)*I$28)*基础状态预期!$J30)</f>
        <v>0</v>
      </c>
      <c r="AE18" s="80">
        <f>IF(各r阵容卡情况!$H24=0,0,IF(各r阵容卡情况!$AB24&lt;=1,各r阵容卡情况!$AB24*D$18,1*D$18)*各r阵容卡情况!$H24)+
IF(各r阵容卡情况!$I24=0,0,IF(各r阵容卡情况!$AC24&lt;=1,各r阵容卡情况!$AC24*D$19,1*D$19)*各r阵容卡情况!$I24)+
IF(各r阵容卡情况!$J24=0,0,IF(各r阵容卡情况!$AD24&lt;=1,各r阵容卡情况!$AD24*D$20,1*D$20)*各r阵容卡情况!$J24)</f>
        <v>112</v>
      </c>
      <c r="AF18" s="80">
        <f>IF(各r阵容卡情况!$H24=0,0,IF(各r阵容卡情况!$AB24&lt;=1,各r阵容卡情况!$AB24*E$18,1*E$18)*各r阵容卡情况!$H24)+
IF(各r阵容卡情况!$I24=0,0,IF(各r阵容卡情况!$AC24&lt;=1,各r阵容卡情况!$AC24*E$19,1*E$19)*各r阵容卡情况!$I24)+
IF(各r阵容卡情况!$J24=0,0,IF(各r阵容卡情况!$AD24&lt;=1,各r阵容卡情况!$AD24*E$20,1*E$20)*各r阵容卡情况!$J24)</f>
        <v>0</v>
      </c>
      <c r="AG18" s="80">
        <f>IF(各r阵容卡情况!$H24=0,0,IF(各r阵容卡情况!$AB24&lt;=1,各r阵容卡情况!$AB24*F$18,1*F$18)*各r阵容卡情况!$H24)+
IF(各r阵容卡情况!$I24=0,0,IF(各r阵容卡情况!$AC24&lt;=1,各r阵容卡情况!$AC24*F$19,1*F$19)*各r阵容卡情况!$I24)+
IF(各r阵容卡情况!$J24=0,0,IF(各r阵容卡情况!$AD24&lt;=1,各r阵容卡情况!$AD24*F$20,1*F$20)*各r阵容卡情况!$J24)</f>
        <v>0</v>
      </c>
      <c r="AH18" s="67">
        <f>IF(各r阵容卡情况!$H24=0,0,IF(各r阵容卡情况!$AB24&lt;=1,0,(各r阵容卡情况!$AB24-1)*G$26)*各r阵容卡情况!$H24)+
IF(各r阵容卡情况!$I24=0,0,IF(各r阵容卡情况!$AC24&lt;=1,0,(各r阵容卡情况!$AC24-1)*G$27)*各r阵容卡情况!$I24)+
IF(各r阵容卡情况!$J24=0,0,IF(各r阵容卡情况!$AD24&lt;=1,0,(各r阵容卡情况!$AD24-1)*G$28)*各r阵容卡情况!$J24)</f>
        <v>560</v>
      </c>
      <c r="AI18" s="67">
        <f>IF(各r阵容卡情况!$H24=0,0,IF(各r阵容卡情况!$AB24&lt;=1,0,(各r阵容卡情况!$AB24-1)*H$26)*各r阵容卡情况!$H24)+
IF(各r阵容卡情况!$I24=0,0,IF(各r阵容卡情况!$AC24&lt;=1,0,(各r阵容卡情况!$AC24-1)*H$27)*各r阵容卡情况!$I24)+
IF(各r阵容卡情况!$J24=0,0,IF(各r阵容卡情况!$AD24&lt;=1,0,(各r阵容卡情况!$AD24-1)*H$28)*各r阵容卡情况!$J24)</f>
        <v>0</v>
      </c>
      <c r="AJ18" s="67">
        <f>IF(各r阵容卡情况!$H24=0,0,IF(各r阵容卡情况!$AB24&lt;=1,0,(各r阵容卡情况!$AB24-1)*I$26)*各r阵容卡情况!$H24)+
IF(各r阵容卡情况!$I24=0,0,IF(各r阵容卡情况!$AC24&lt;=1,0,(各r阵容卡情况!$AC24-1)*I$27)*各r阵容卡情况!$I24)+
IF(各r阵容卡情况!$J24=0,0,IF(各r阵容卡情况!$AD24&lt;=1,0,(各r阵容卡情况!$AD24-1)*I$28)*各r阵容卡情况!$J24)</f>
        <v>0</v>
      </c>
      <c r="AL18" s="14">
        <v>75</v>
      </c>
      <c r="AM18" s="80">
        <f t="shared" si="2"/>
        <v>47.000554440787731</v>
      </c>
      <c r="AN18" s="80">
        <f t="shared" si="3"/>
        <v>0</v>
      </c>
      <c r="AO18" s="80">
        <f t="shared" si="4"/>
        <v>0</v>
      </c>
      <c r="AP18" s="80">
        <f t="shared" si="5"/>
        <v>235.00277220393866</v>
      </c>
      <c r="AQ18" s="80">
        <f t="shared" si="6"/>
        <v>0</v>
      </c>
      <c r="AR18" s="80">
        <f t="shared" si="7"/>
        <v>0</v>
      </c>
      <c r="AS18" s="80">
        <f t="shared" si="8"/>
        <v>106.00332664472637</v>
      </c>
      <c r="AT18" s="80">
        <f t="shared" si="9"/>
        <v>0</v>
      </c>
      <c r="AU18" s="80">
        <f t="shared" si="10"/>
        <v>0</v>
      </c>
      <c r="AV18" s="80">
        <f t="shared" si="11"/>
        <v>530.01663322363186</v>
      </c>
      <c r="AW18" s="80">
        <f t="shared" si="12"/>
        <v>0</v>
      </c>
      <c r="AX18" s="80">
        <f t="shared" si="13"/>
        <v>0</v>
      </c>
      <c r="AY18" s="61" t="e">
        <f>SUMPRODUCT(AM18:AR18/'[1]功能-行军令'!$GI$26:$GN$26+AS18:AX18/'[1]功能-行军令'!$GI$26:$GN$26)/0.18</f>
        <v>#DIV/0!</v>
      </c>
      <c r="BB18" s="80">
        <v>150</v>
      </c>
      <c r="BC18" s="80"/>
      <c r="BD18" s="80"/>
      <c r="BE18" s="80"/>
      <c r="BF18" s="80"/>
      <c r="BG18" s="80"/>
      <c r="BH18" s="80"/>
      <c r="BI18" s="80"/>
      <c r="BJ18" s="80"/>
      <c r="BK18" s="80">
        <f t="shared" si="19"/>
        <v>0</v>
      </c>
      <c r="BO18" s="80">
        <f t="shared" si="15"/>
        <v>80.272123558064706</v>
      </c>
      <c r="BP18" s="80">
        <f t="shared" si="16"/>
        <v>12300000</v>
      </c>
      <c r="BQ18" s="80">
        <f>(BP18-BP17)*INDEX('[1]功能-付费相关'!$AQ$6:$AQ$165,$BO18,1)+BQ17</f>
        <v>15965.959189681667</v>
      </c>
      <c r="BR18" s="80"/>
      <c r="BS18" s="80"/>
      <c r="BU18" s="80">
        <v>150</v>
      </c>
      <c r="BV18" s="80">
        <f t="shared" si="1"/>
        <v>15965.959189681667</v>
      </c>
      <c r="BW18" s="86">
        <f t="shared" si="18"/>
        <v>13041</v>
      </c>
      <c r="BX18" s="80"/>
      <c r="BY18" s="80">
        <f t="shared" si="20"/>
        <v>29006.959189681667</v>
      </c>
    </row>
    <row r="19" spans="2:77" x14ac:dyDescent="0.15">
      <c r="B19" s="199"/>
      <c r="C19" s="80" t="s">
        <v>0</v>
      </c>
      <c r="D19" s="80">
        <v>6</v>
      </c>
      <c r="E19" s="80"/>
      <c r="F19" s="80"/>
      <c r="G19" s="80"/>
      <c r="H19" s="80"/>
      <c r="I19" s="80"/>
      <c r="L19" s="61">
        <v>18</v>
      </c>
      <c r="M19" s="80">
        <f>基础状态预期!D31</f>
        <v>80.272123558064706</v>
      </c>
      <c r="N19" s="80">
        <f>IF(基础状态预期!F31="",0,IF(基础状态预期!Z31&lt;=1,基础状态预期!Z31*D$4,1*D$4+(基础状态预期!Z31-1)*武将觉醒!D$5))</f>
        <v>0</v>
      </c>
      <c r="O19" s="80">
        <f>IF(基础状态预期!G31="",0,IF(基础状态预期!AA31&lt;=1,基础状态预期!AA31*E$4,1*E$4+(基础状态预期!AA31-1)*武将觉醒!E$5))</f>
        <v>0</v>
      </c>
      <c r="P19" s="80">
        <f>IF(基础状态预期!H31="",0,IF(基础状态预期!AB31&lt;=1,基础状态预期!AB31*F$4,1*F$4+(基础状态预期!AB31-1)*武将觉醒!F$5))</f>
        <v>0</v>
      </c>
      <c r="Q19" s="80">
        <f>IF(基础状态预期!I31="",0,IF(基础状态预期!AC31&lt;=1,基础状态预期!AC31*G$4,1*G$4+(基础状态预期!AC31-1)*武将觉醒!G$5))</f>
        <v>0</v>
      </c>
      <c r="R19" s="80">
        <f>IF(基础状态预期!J31="",0,IF(基础状态预期!AD31&lt;=1,基础状态预期!AD31*H$4,1*H$4+(基础状态预期!AD31-1)*武将觉醒!H$5))</f>
        <v>2050000</v>
      </c>
      <c r="S19" s="80">
        <f>MAX(SUMPRODUCT(N19:R19,基础状态预期!F31:J31),S18)</f>
        <v>12300000</v>
      </c>
      <c r="T19" s="80">
        <f>IF(基础状态预期!Z31="",0,IFERROR(基础状态预期!F31*求节点($C$62:$C$63,D$62:D$63,基础状态预期!Z31),0)+IFERROR(基础状态预期!$J31*求节点($C$71:$C$72,D$71:D$72,基础状态预期!$AD31),0))</f>
        <v>0</v>
      </c>
      <c r="U19" s="80">
        <f>IF(基础状态预期!AA31="",0,IFERROR(基础状态预期!G31*求节点($C$62:$C$63,E$62:E$63,基础状态预期!AA31),0)+IFERROR(基础状态预期!$J31*求节点($C$71:$C$72,E$71:E$72,基础状态预期!$AD31),0))</f>
        <v>0</v>
      </c>
      <c r="V19" s="80">
        <f>IF(基础状态预期!AB31="",0,IFERROR(基础状态预期!H31*求节点($C$62:$C$63,F$62:F$63,基础状态预期!AB31),0)+IFERROR(基础状态预期!$J31*求节点($C$71:$C$72,F$71:F$72,基础状态预期!$AD31),0))</f>
        <v>0</v>
      </c>
      <c r="W19" s="80">
        <f>IF(基础状态预期!AC31="",0,IFERROR(基础状态预期!I31*求节点($C$62:$C$63,G$62:G$63,基础状态预期!AC31),0)+IFERROR(基础状态预期!$J31*求节点($C$71:$C$72,G$71:G$72,基础状态预期!$AD31),0))</f>
        <v>0</v>
      </c>
      <c r="X19" s="80">
        <f>IF(基础状态预期!AD31="",0,IFERROR(基础状态预期!J31*求节点($C$62:$C$63,H$62:H$63,基础状态预期!AD31),0)+IFERROR(基础状态预期!$J31*求节点($C$71:$C$72,H$71:H$72,基础状态预期!$AD31),0))</f>
        <v>0</v>
      </c>
      <c r="Y19" s="80">
        <f>IF(基础状态预期!$H31="",0,IF(基础状态预期!$AB31&lt;=1,基础状态预期!$AB31*D$18,D$18)*基础状态预期!$H31)+
IF(基础状态预期!$I31="",0,IF(基础状态预期!$AC31&lt;=1,基础状态预期!$AC31*D$19,D$19)*基础状态预期!$I31)+
IF(基础状态预期!$J31="",0,IF(基础状态预期!$AD31&lt;=1,基础状态预期!$AD31*D$20,D$20)*基础状态预期!$J31)</f>
        <v>48</v>
      </c>
      <c r="Z19" s="80">
        <f>IF(基础状态预期!$H31="",0,IF(基础状态预期!$AB31&lt;=1,基础状态预期!$AB31*E$18,E$18)*基础状态预期!$H31)+
IF(基础状态预期!$I31="",0,IF(基础状态预期!$AC31&lt;=1,基础状态预期!$AC31*E$19,E$19)*基础状态预期!$I31)+
IF(基础状态预期!$J31="",0,IF(基础状态预期!$AD31&lt;=1,基础状态预期!$AD31*E$20,E$20)*基础状态预期!$J31)</f>
        <v>0</v>
      </c>
      <c r="AA19" s="80">
        <f>IF(基础状态预期!$H31="",0,IF(基础状态预期!$AB31&lt;=1,基础状态预期!$AB31*F$18,F$18)*基础状态预期!$H31)+
IF(基础状态预期!$I31="",0,IF(基础状态预期!$AC31&lt;=1,基础状态预期!$AC31*F$19,F$19)*基础状态预期!$I31)+
IF(基础状态预期!$J31="",0,IF(基础状态预期!$AD31&lt;=1,基础状态预期!$AD31*F$20,F$20)*基础状态预期!$J31)</f>
        <v>0</v>
      </c>
      <c r="AB19" s="67">
        <f>IF(基础状态预期!$H31="",0,IF(基础状态预期!$AB31&lt;=1,0,(基础状态预期!$AB31-1)*G$26)*基础状态预期!$H31)+
IF(基础状态预期!$I31="",0,IF(基础状态预期!$AC31&lt;=1,0,(基础状态预期!$AC31-1)*G$27)*基础状态预期!$I31)+
IF(基础状态预期!$J31="",0,IF(基础状态预期!$AD31&lt;=1,0,(基础状态预期!$AD31-1)*G$28)*基础状态预期!$J31)</f>
        <v>240</v>
      </c>
      <c r="AC19" s="67">
        <f>IF(基础状态预期!$H31="",0,IF(基础状态预期!$AB31&lt;=1,0,(基础状态预期!$AB31-1)*H$26)*基础状态预期!$H31)+
IF(基础状态预期!$I31="",0,IF(基础状态预期!$AC31&lt;=1,0,(基础状态预期!$AC31-1)*H$27)*基础状态预期!$I31)+
IF(基础状态预期!$J31="",0,IF(基础状态预期!$AD31&lt;=1,0,(基础状态预期!$AD31-1)*H$28)*基础状态预期!$J31)</f>
        <v>0</v>
      </c>
      <c r="AD19" s="67">
        <f>IF(基础状态预期!$H31="",0,IF(基础状态预期!$AB31&lt;=1,0,(基础状态预期!$AB31-1)*I$26)*基础状态预期!$H31)+
IF(基础状态预期!$I31="",0,IF(基础状态预期!$AC31&lt;=1,0,(基础状态预期!$AC31-1)*I$27)*基础状态预期!$I31)+
IF(基础状态预期!$J31="",0,IF(基础状态预期!$AD31&lt;=1,0,(基础状态预期!$AD31-1)*I$28)*基础状态预期!$J31)</f>
        <v>0</v>
      </c>
      <c r="AE19" s="80">
        <f>IF(各r阵容卡情况!$H25=0,0,IF(各r阵容卡情况!$AB25&lt;=1,各r阵容卡情况!$AB25*D$18,1*D$18)*各r阵容卡情况!$H25)+
IF(各r阵容卡情况!$I25=0,0,IF(各r阵容卡情况!$AC25&lt;=1,各r阵容卡情况!$AC25*D$19,1*D$19)*各r阵容卡情况!$I25)+
IF(各r阵容卡情况!$J25=0,0,IF(各r阵容卡情况!$AD25&lt;=1,各r阵容卡情况!$AD25*D$20,1*D$20)*各r阵容卡情况!$J25)</f>
        <v>116</v>
      </c>
      <c r="AF19" s="80">
        <f>IF(各r阵容卡情况!$H25=0,0,IF(各r阵容卡情况!$AB25&lt;=1,各r阵容卡情况!$AB25*E$18,1*E$18)*各r阵容卡情况!$H25)+
IF(各r阵容卡情况!$I25=0,0,IF(各r阵容卡情况!$AC25&lt;=1,各r阵容卡情况!$AC25*E$19,1*E$19)*各r阵容卡情况!$I25)+
IF(各r阵容卡情况!$J25=0,0,IF(各r阵容卡情况!$AD25&lt;=1,各r阵容卡情况!$AD25*E$20,1*E$20)*各r阵容卡情况!$J25)</f>
        <v>0</v>
      </c>
      <c r="AG19" s="80">
        <f>IF(各r阵容卡情况!$H25=0,0,IF(各r阵容卡情况!$AB25&lt;=1,各r阵容卡情况!$AB25*F$18,1*F$18)*各r阵容卡情况!$H25)+
IF(各r阵容卡情况!$I25=0,0,IF(各r阵容卡情况!$AC25&lt;=1,各r阵容卡情况!$AC25*F$19,1*F$19)*各r阵容卡情况!$I25)+
IF(各r阵容卡情况!$J25=0,0,IF(各r阵容卡情况!$AD25&lt;=1,各r阵容卡情况!$AD25*F$20,1*F$20)*各r阵容卡情况!$J25)</f>
        <v>0</v>
      </c>
      <c r="AH19" s="67">
        <f>IF(各r阵容卡情况!$H25=0,0,IF(各r阵容卡情况!$AB25&lt;=1,0,(各r阵容卡情况!$AB25-1)*G$26)*各r阵容卡情况!$H25)+
IF(各r阵容卡情况!$I25=0,0,IF(各r阵容卡情况!$AC25&lt;=1,0,(各r阵容卡情况!$AC25-1)*G$27)*各r阵容卡情况!$I25)+
IF(各r阵容卡情况!$J25=0,0,IF(各r阵容卡情况!$AD25&lt;=1,0,(各r阵容卡情况!$AD25-1)*G$28)*各r阵容卡情况!$J25)</f>
        <v>580</v>
      </c>
      <c r="AI19" s="67">
        <f>IF(各r阵容卡情况!$H25=0,0,IF(各r阵容卡情况!$AB25&lt;=1,0,(各r阵容卡情况!$AB25-1)*H$26)*各r阵容卡情况!$H25)+
IF(各r阵容卡情况!$I25=0,0,IF(各r阵容卡情况!$AC25&lt;=1,0,(各r阵容卡情况!$AC25-1)*H$27)*各r阵容卡情况!$I25)+
IF(各r阵容卡情况!$J25=0,0,IF(各r阵容卡情况!$AD25&lt;=1,0,(各r阵容卡情况!$AD25-1)*H$28)*各r阵容卡情况!$J25)</f>
        <v>0</v>
      </c>
      <c r="AJ19" s="67">
        <f>IF(各r阵容卡情况!$H25=0,0,IF(各r阵容卡情况!$AB25&lt;=1,0,(各r阵容卡情况!$AB25-1)*I$26)*各r阵容卡情况!$H25)+
IF(各r阵容卡情况!$I25=0,0,IF(各r阵容卡情况!$AC25&lt;=1,0,(各r阵容卡情况!$AC25-1)*I$27)*各r阵容卡情况!$I25)+
IF(各r阵容卡情况!$J25=0,0,IF(各r阵容卡情况!$AD25&lt;=1,0,(各r阵容卡情况!$AD25-1)*I$28)*各r阵容卡情况!$J25)</f>
        <v>0</v>
      </c>
      <c r="AL19" s="14">
        <v>80</v>
      </c>
      <c r="AM19" s="80">
        <f t="shared" si="2"/>
        <v>48</v>
      </c>
      <c r="AN19" s="80">
        <f t="shared" si="3"/>
        <v>0</v>
      </c>
      <c r="AO19" s="80">
        <f t="shared" si="4"/>
        <v>0</v>
      </c>
      <c r="AP19" s="80">
        <f t="shared" si="5"/>
        <v>240</v>
      </c>
      <c r="AQ19" s="80">
        <f t="shared" si="6"/>
        <v>0</v>
      </c>
      <c r="AR19" s="80">
        <f t="shared" si="7"/>
        <v>0</v>
      </c>
      <c r="AS19" s="80">
        <f t="shared" si="8"/>
        <v>115.54585815244761</v>
      </c>
      <c r="AT19" s="80">
        <f t="shared" si="9"/>
        <v>0</v>
      </c>
      <c r="AU19" s="80">
        <f t="shared" si="10"/>
        <v>0</v>
      </c>
      <c r="AV19" s="80">
        <f t="shared" si="11"/>
        <v>577.72929076223807</v>
      </c>
      <c r="AW19" s="80">
        <f t="shared" si="12"/>
        <v>0</v>
      </c>
      <c r="AX19" s="80">
        <f t="shared" si="13"/>
        <v>0</v>
      </c>
      <c r="AY19" s="61" t="e">
        <f>SUMPRODUCT(AM19:AR19/'[1]功能-行军令'!$GI$26:$GN$26+AS19:AX19/'[1]功能-行军令'!$GI$26:$GN$26)/0.18</f>
        <v>#DIV/0!</v>
      </c>
      <c r="BB19" s="80">
        <v>160</v>
      </c>
      <c r="BC19" s="80"/>
      <c r="BD19" s="80"/>
      <c r="BE19" s="80"/>
      <c r="BF19" s="80"/>
      <c r="BG19" s="80"/>
      <c r="BH19" s="80"/>
      <c r="BI19" s="80"/>
      <c r="BJ19" s="80"/>
      <c r="BK19" s="80">
        <f t="shared" si="19"/>
        <v>0</v>
      </c>
      <c r="BO19" s="80">
        <f t="shared" si="15"/>
        <v>82.328492296001457</v>
      </c>
      <c r="BP19" s="80">
        <f t="shared" si="16"/>
        <v>12300000</v>
      </c>
      <c r="BQ19" s="80">
        <f>(BP19-BP18)*INDEX('[1]功能-付费相关'!$AQ$6:$AQ$165,$BO19,1)+BQ18</f>
        <v>15965.959189681667</v>
      </c>
      <c r="BR19" s="80"/>
      <c r="BS19" s="80"/>
      <c r="BU19" s="80">
        <v>160</v>
      </c>
      <c r="BV19" s="80">
        <f t="shared" si="1"/>
        <v>15965.959189681667</v>
      </c>
      <c r="BW19" s="86">
        <f t="shared" si="18"/>
        <v>13041</v>
      </c>
      <c r="BX19" s="80"/>
      <c r="BY19" s="80">
        <f t="shared" si="20"/>
        <v>29006.959189681667</v>
      </c>
    </row>
    <row r="20" spans="2:77" x14ac:dyDescent="0.15">
      <c r="B20" s="199"/>
      <c r="C20" s="80" t="s">
        <v>545</v>
      </c>
      <c r="D20" s="80">
        <v>8</v>
      </c>
      <c r="E20" s="80"/>
      <c r="F20" s="80"/>
      <c r="G20" s="80"/>
      <c r="H20" s="80"/>
      <c r="I20" s="80"/>
      <c r="L20" s="61">
        <v>19</v>
      </c>
      <c r="M20" s="80">
        <f>基础状态预期!D32</f>
        <v>82.328492296001457</v>
      </c>
      <c r="N20" s="80">
        <f>IF(基础状态预期!F32="",0,IF(基础状态预期!Z32&lt;=1,基础状态预期!Z32*D$4,1*D$4+(基础状态预期!Z32-1)*武将觉醒!D$5))</f>
        <v>0</v>
      </c>
      <c r="O20" s="80">
        <f>IF(基础状态预期!G32="",0,IF(基础状态预期!AA32&lt;=1,基础状态预期!AA32*E$4,1*E$4+(基础状态预期!AA32-1)*武将觉醒!E$5))</f>
        <v>0</v>
      </c>
      <c r="P20" s="80">
        <f>IF(基础状态预期!H32="",0,IF(基础状态预期!AB32&lt;=1,基础状态预期!AB32*F$4,1*F$4+(基础状态预期!AB32-1)*武将觉醒!F$5))</f>
        <v>0</v>
      </c>
      <c r="Q20" s="80">
        <f>IF(基础状态预期!I32="",0,IF(基础状态预期!AC32&lt;=1,基础状态预期!AC32*G$4,1*G$4+(基础状态预期!AC32-1)*武将觉醒!G$5))</f>
        <v>0</v>
      </c>
      <c r="R20" s="80">
        <f>IF(基础状态预期!J32="",0,IF(基础状态预期!AD32&lt;=1,基础状态预期!AD32*H$4,1*H$4+(基础状态预期!AD32-1)*武将觉醒!H$5))</f>
        <v>2050000</v>
      </c>
      <c r="S20" s="80">
        <f>MAX(SUMPRODUCT(N20:R20,基础状态预期!F32:J32),S19)</f>
        <v>12300000</v>
      </c>
      <c r="T20" s="80">
        <f>IF(基础状态预期!Z32="",0,IFERROR(基础状态预期!F32*求节点($C$62:$C$63,D$62:D$63,基础状态预期!Z32),0)+IFERROR(基础状态预期!$J32*求节点($C$71:$C$72,D$71:D$72,基础状态预期!$AD32),0))</f>
        <v>0</v>
      </c>
      <c r="U20" s="80">
        <f>IF(基础状态预期!AA32="",0,IFERROR(基础状态预期!G32*求节点($C$62:$C$63,E$62:E$63,基础状态预期!AA32),0)+IFERROR(基础状态预期!$J32*求节点($C$71:$C$72,E$71:E$72,基础状态预期!$AD32),0))</f>
        <v>0</v>
      </c>
      <c r="V20" s="80">
        <f>IF(基础状态预期!AB32="",0,IFERROR(基础状态预期!H32*求节点($C$62:$C$63,F$62:F$63,基础状态预期!AB32),0)+IFERROR(基础状态预期!$J32*求节点($C$71:$C$72,F$71:F$72,基础状态预期!$AD32),0))</f>
        <v>0</v>
      </c>
      <c r="W20" s="80">
        <f>IF(基础状态预期!AC32="",0,IFERROR(基础状态预期!I32*求节点($C$62:$C$63,G$62:G$63,基础状态预期!AC32),0)+IFERROR(基础状态预期!$J32*求节点($C$71:$C$72,G$71:G$72,基础状态预期!$AD32),0))</f>
        <v>0</v>
      </c>
      <c r="X20" s="80">
        <f>IF(基础状态预期!AD32="",0,IFERROR(基础状态预期!J32*求节点($C$62:$C$63,H$62:H$63,基础状态预期!AD32),0)+IFERROR(基础状态预期!$J32*求节点($C$71:$C$72,H$71:H$72,基础状态预期!$AD32),0))</f>
        <v>0</v>
      </c>
      <c r="Y20" s="80">
        <f>IF(基础状态预期!$H32="",0,IF(基础状态预期!$AB32&lt;=1,基础状态预期!$AB32*D$18,D$18)*基础状态预期!$H32)+
IF(基础状态预期!$I32="",0,IF(基础状态预期!$AC32&lt;=1,基础状态预期!$AC32*D$19,D$19)*基础状态预期!$I32)+
IF(基础状态预期!$J32="",0,IF(基础状态预期!$AD32&lt;=1,基础状态预期!$AD32*D$20,D$20)*基础状态预期!$J32)</f>
        <v>48</v>
      </c>
      <c r="Z20" s="80">
        <f>IF(基础状态预期!$H32="",0,IF(基础状态预期!$AB32&lt;=1,基础状态预期!$AB32*E$18,E$18)*基础状态预期!$H32)+
IF(基础状态预期!$I32="",0,IF(基础状态预期!$AC32&lt;=1,基础状态预期!$AC32*E$19,E$19)*基础状态预期!$I32)+
IF(基础状态预期!$J32="",0,IF(基础状态预期!$AD32&lt;=1,基础状态预期!$AD32*E$20,E$20)*基础状态预期!$J32)</f>
        <v>0</v>
      </c>
      <c r="AA20" s="80">
        <f>IF(基础状态预期!$H32="",0,IF(基础状态预期!$AB32&lt;=1,基础状态预期!$AB32*F$18,F$18)*基础状态预期!$H32)+
IF(基础状态预期!$I32="",0,IF(基础状态预期!$AC32&lt;=1,基础状态预期!$AC32*F$19,F$19)*基础状态预期!$I32)+
IF(基础状态预期!$J32="",0,IF(基础状态预期!$AD32&lt;=1,基础状态预期!$AD32*F$20,F$20)*基础状态预期!$J32)</f>
        <v>0</v>
      </c>
      <c r="AB20" s="67">
        <f>IF(基础状态预期!$H32="",0,IF(基础状态预期!$AB32&lt;=1,0,(基础状态预期!$AB32-1)*G$26)*基础状态预期!$H32)+
IF(基础状态预期!$I32="",0,IF(基础状态预期!$AC32&lt;=1,0,(基础状态预期!$AC32-1)*G$27)*基础状态预期!$I32)+
IF(基础状态预期!$J32="",0,IF(基础状态预期!$AD32&lt;=1,0,(基础状态预期!$AD32-1)*G$28)*基础状态预期!$J32)</f>
        <v>240</v>
      </c>
      <c r="AC20" s="67">
        <f>IF(基础状态预期!$H32="",0,IF(基础状态预期!$AB32&lt;=1,0,(基础状态预期!$AB32-1)*H$26)*基础状态预期!$H32)+
IF(基础状态预期!$I32="",0,IF(基础状态预期!$AC32&lt;=1,0,(基础状态预期!$AC32-1)*H$27)*基础状态预期!$I32)+
IF(基础状态预期!$J32="",0,IF(基础状态预期!$AD32&lt;=1,0,(基础状态预期!$AD32-1)*H$28)*基础状态预期!$J32)</f>
        <v>0</v>
      </c>
      <c r="AD20" s="67">
        <f>IF(基础状态预期!$H32="",0,IF(基础状态预期!$AB32&lt;=1,0,(基础状态预期!$AB32-1)*I$26)*基础状态预期!$H32)+
IF(基础状态预期!$I32="",0,IF(基础状态预期!$AC32&lt;=1,0,(基础状态预期!$AC32-1)*I$27)*基础状态预期!$I32)+
IF(基础状态预期!$J32="",0,IF(基础状态预期!$AD32&lt;=1,0,(基础状态预期!$AD32-1)*I$28)*基础状态预期!$J32)</f>
        <v>0</v>
      </c>
      <c r="AE20" s="80">
        <f>IF(各r阵容卡情况!$H26=0,0,IF(各r阵容卡情况!$AB26&lt;=1,各r阵容卡情况!$AB26*D$18,1*D$18)*各r阵容卡情况!$H26)+
IF(各r阵容卡情况!$I26=0,0,IF(各r阵容卡情况!$AC26&lt;=1,各r阵容卡情况!$AC26*D$19,1*D$19)*各r阵容卡情况!$I26)+
IF(各r阵容卡情况!$J26=0,0,IF(各r阵容卡情况!$AD26&lt;=1,各r阵容卡情况!$AD26*D$20,1*D$20)*各r阵容卡情况!$J26)</f>
        <v>120</v>
      </c>
      <c r="AF20" s="80">
        <f>IF(各r阵容卡情况!$H26=0,0,IF(各r阵容卡情况!$AB26&lt;=1,各r阵容卡情况!$AB26*E$18,1*E$18)*各r阵容卡情况!$H26)+
IF(各r阵容卡情况!$I26=0,0,IF(各r阵容卡情况!$AC26&lt;=1,各r阵容卡情况!$AC26*E$19,1*E$19)*各r阵容卡情况!$I26)+
IF(各r阵容卡情况!$J26=0,0,IF(各r阵容卡情况!$AD26&lt;=1,各r阵容卡情况!$AD26*E$20,1*E$20)*各r阵容卡情况!$J26)</f>
        <v>0</v>
      </c>
      <c r="AG20" s="80">
        <f>IF(各r阵容卡情况!$H26=0,0,IF(各r阵容卡情况!$AB26&lt;=1,各r阵容卡情况!$AB26*F$18,1*F$18)*各r阵容卡情况!$H26)+
IF(各r阵容卡情况!$I26=0,0,IF(各r阵容卡情况!$AC26&lt;=1,各r阵容卡情况!$AC26*F$19,1*F$19)*各r阵容卡情况!$I26)+
IF(各r阵容卡情况!$J26=0,0,IF(各r阵容卡情况!$AD26&lt;=1,各r阵容卡情况!$AD26*F$20,1*F$20)*各r阵容卡情况!$J26)</f>
        <v>0</v>
      </c>
      <c r="AH20" s="67">
        <f>IF(各r阵容卡情况!$H26=0,0,IF(各r阵容卡情况!$AB26&lt;=1,0,(各r阵容卡情况!$AB26-1)*G$26)*各r阵容卡情况!$H26)+
IF(各r阵容卡情况!$I26=0,0,IF(各r阵容卡情况!$AC26&lt;=1,0,(各r阵容卡情况!$AC26-1)*G$27)*各r阵容卡情况!$I26)+
IF(各r阵容卡情况!$J26=0,0,IF(各r阵容卡情况!$AD26&lt;=1,0,(各r阵容卡情况!$AD26-1)*G$28)*各r阵容卡情况!$J26)</f>
        <v>600</v>
      </c>
      <c r="AI20" s="67">
        <f>IF(各r阵容卡情况!$H26=0,0,IF(各r阵容卡情况!$AB26&lt;=1,0,(各r阵容卡情况!$AB26-1)*H$26)*各r阵容卡情况!$H26)+
IF(各r阵容卡情况!$I26=0,0,IF(各r阵容卡情况!$AC26&lt;=1,0,(各r阵容卡情况!$AC26-1)*H$27)*各r阵容卡情况!$I26)+
IF(各r阵容卡情况!$J26=0,0,IF(各r阵容卡情况!$AD26&lt;=1,0,(各r阵容卡情况!$AD26-1)*H$28)*各r阵容卡情况!$J26)</f>
        <v>0</v>
      </c>
      <c r="AJ20" s="67">
        <f>IF(各r阵容卡情况!$H26=0,0,IF(各r阵容卡情况!$AB26&lt;=1,0,(各r阵容卡情况!$AB26-1)*I$26)*各r阵容卡情况!$H26)+
IF(各r阵容卡情况!$I26=0,0,IF(各r阵容卡情况!$AC26&lt;=1,0,(各r阵容卡情况!$AC26-1)*I$27)*各r阵容卡情况!$I26)+
IF(各r阵容卡情况!$J26=0,0,IF(各r阵容卡情况!$AD26&lt;=1,0,(各r阵容卡情况!$AD26-1)*I$28)*各r阵容卡情况!$J26)</f>
        <v>0</v>
      </c>
      <c r="AL20" s="14">
        <v>85</v>
      </c>
      <c r="AM20" s="80">
        <f t="shared" si="2"/>
        <v>48</v>
      </c>
      <c r="AN20" s="80">
        <f t="shared" si="3"/>
        <v>0</v>
      </c>
      <c r="AO20" s="80">
        <f t="shared" si="4"/>
        <v>0</v>
      </c>
      <c r="AP20" s="80">
        <f t="shared" si="5"/>
        <v>240</v>
      </c>
      <c r="AQ20" s="80">
        <f t="shared" si="6"/>
        <v>0</v>
      </c>
      <c r="AR20" s="80">
        <f t="shared" si="7"/>
        <v>0</v>
      </c>
      <c r="AS20" s="80">
        <f t="shared" si="8"/>
        <v>90.455195441822354</v>
      </c>
      <c r="AT20" s="80">
        <f t="shared" si="9"/>
        <v>0</v>
      </c>
      <c r="AU20" s="80">
        <f t="shared" si="10"/>
        <v>0</v>
      </c>
      <c r="AV20" s="80">
        <f t="shared" si="11"/>
        <v>452.27597720911177</v>
      </c>
      <c r="AW20" s="80">
        <f t="shared" si="12"/>
        <v>0</v>
      </c>
      <c r="AX20" s="80">
        <f t="shared" si="13"/>
        <v>0</v>
      </c>
      <c r="AY20" s="61" t="e">
        <f>SUMPRODUCT(AM20:AR20/'[1]功能-行军令'!$GI$26:$GN$26+AS20:AX20/'[1]功能-行军令'!$GI$26:$GN$26)/0.18</f>
        <v>#DIV/0!</v>
      </c>
      <c r="BO20" s="80">
        <f t="shared" si="15"/>
        <v>84.132234338875293</v>
      </c>
      <c r="BP20" s="80">
        <f t="shared" si="16"/>
        <v>12300000</v>
      </c>
      <c r="BQ20" s="80">
        <f>(BP20-BP19)*INDEX('[1]功能-付费相关'!$AQ$6:$AQ$165,$BO20,1)+BQ19</f>
        <v>15965.959189681667</v>
      </c>
      <c r="BR20" s="80"/>
      <c r="BS20" s="80"/>
    </row>
    <row r="21" spans="2:77" x14ac:dyDescent="0.15">
      <c r="B21" s="199"/>
      <c r="C21" s="80" t="s">
        <v>30</v>
      </c>
      <c r="D21" s="80">
        <v>10</v>
      </c>
      <c r="E21" s="80"/>
      <c r="F21" s="80"/>
      <c r="G21" s="80"/>
      <c r="H21" s="80"/>
      <c r="I21" s="80"/>
      <c r="L21" s="61">
        <v>20</v>
      </c>
      <c r="M21" s="80">
        <f>基础状态预期!D33</f>
        <v>84.132234338875293</v>
      </c>
      <c r="N21" s="80">
        <f>IF(基础状态预期!F33="",0,IF(基础状态预期!Z33&lt;=1,基础状态预期!Z33*D$4,1*D$4+(基础状态预期!Z33-1)*武将觉醒!D$5))</f>
        <v>0</v>
      </c>
      <c r="O21" s="80">
        <f>IF(基础状态预期!G33="",0,IF(基础状态预期!AA33&lt;=1,基础状态预期!AA33*E$4,1*E$4+(基础状态预期!AA33-1)*武将觉醒!E$5))</f>
        <v>0</v>
      </c>
      <c r="P21" s="80">
        <f>IF(基础状态预期!H33="",0,IF(基础状态预期!AB33&lt;=1,基础状态预期!AB33*F$4,1*F$4+(基础状态预期!AB33-1)*武将觉醒!F$5))</f>
        <v>0</v>
      </c>
      <c r="Q21" s="80">
        <f>IF(基础状态预期!I33="",0,IF(基础状态预期!AC33&lt;=1,基础状态预期!AC33*G$4,1*G$4+(基础状态预期!AC33-1)*武将觉醒!G$5))</f>
        <v>0</v>
      </c>
      <c r="R21" s="80">
        <f>IF(基础状态预期!J33="",0,IF(基础状态预期!AD33&lt;=1,基础状态预期!AD33*H$4,1*H$4+(基础状态预期!AD33-1)*武将觉醒!H$5))</f>
        <v>2050000</v>
      </c>
      <c r="S21" s="80">
        <f>MAX(SUMPRODUCT(N21:R21,基础状态预期!F33:J33),S20)</f>
        <v>12300000</v>
      </c>
      <c r="T21" s="80">
        <f>IF(基础状态预期!Z33="",0,IFERROR(基础状态预期!F33*求节点($C$62:$C$63,D$62:D$63,基础状态预期!Z33),0)+IFERROR(基础状态预期!$J33*求节点($C$71:$C$72,D$71:D$72,基础状态预期!$AD33),0))</f>
        <v>0</v>
      </c>
      <c r="U21" s="80">
        <f>IF(基础状态预期!AA33="",0,IFERROR(基础状态预期!G33*求节点($C$62:$C$63,E$62:E$63,基础状态预期!AA33),0)+IFERROR(基础状态预期!$J33*求节点($C$71:$C$72,E$71:E$72,基础状态预期!$AD33),0))</f>
        <v>0</v>
      </c>
      <c r="V21" s="80">
        <f>IF(基础状态预期!AB33="",0,IFERROR(基础状态预期!H33*求节点($C$62:$C$63,F$62:F$63,基础状态预期!AB33),0)+IFERROR(基础状态预期!$J33*求节点($C$71:$C$72,F$71:F$72,基础状态预期!$AD33),0))</f>
        <v>0</v>
      </c>
      <c r="W21" s="80">
        <f>IF(基础状态预期!AC33="",0,IFERROR(基础状态预期!I33*求节点($C$62:$C$63,G$62:G$63,基础状态预期!AC33),0)+IFERROR(基础状态预期!$J33*求节点($C$71:$C$72,G$71:G$72,基础状态预期!$AD33),0))</f>
        <v>0</v>
      </c>
      <c r="X21" s="80">
        <f>IF(基础状态预期!AD33="",0,IFERROR(基础状态预期!J33*求节点($C$62:$C$63,H$62:H$63,基础状态预期!AD33),0)+IFERROR(基础状态预期!$J33*求节点($C$71:$C$72,H$71:H$72,基础状态预期!$AD33),0))</f>
        <v>0</v>
      </c>
      <c r="Y21" s="80">
        <f>IF(基础状态预期!$H33="",0,IF(基础状态预期!$AB33&lt;=1,基础状态预期!$AB33*D$18,D$18)*基础状态预期!$H33)+
IF(基础状态预期!$I33="",0,IF(基础状态预期!$AC33&lt;=1,基础状态预期!$AC33*D$19,D$19)*基础状态预期!$I33)+
IF(基础状态预期!$J33="",0,IF(基础状态预期!$AD33&lt;=1,基础状态预期!$AD33*D$20,D$20)*基础状态预期!$J33)</f>
        <v>48</v>
      </c>
      <c r="Z21" s="80">
        <f>IF(基础状态预期!$H33="",0,IF(基础状态预期!$AB33&lt;=1,基础状态预期!$AB33*E$18,E$18)*基础状态预期!$H33)+
IF(基础状态预期!$I33="",0,IF(基础状态预期!$AC33&lt;=1,基础状态预期!$AC33*E$19,E$19)*基础状态预期!$I33)+
IF(基础状态预期!$J33="",0,IF(基础状态预期!$AD33&lt;=1,基础状态预期!$AD33*E$20,E$20)*基础状态预期!$J33)</f>
        <v>0</v>
      </c>
      <c r="AA21" s="80">
        <f>IF(基础状态预期!$H33="",0,IF(基础状态预期!$AB33&lt;=1,基础状态预期!$AB33*F$18,F$18)*基础状态预期!$H33)+
IF(基础状态预期!$I33="",0,IF(基础状态预期!$AC33&lt;=1,基础状态预期!$AC33*F$19,F$19)*基础状态预期!$I33)+
IF(基础状态预期!$J33="",0,IF(基础状态预期!$AD33&lt;=1,基础状态预期!$AD33*F$20,F$20)*基础状态预期!$J33)</f>
        <v>0</v>
      </c>
      <c r="AB21" s="67">
        <f>IF(基础状态预期!$H33="",0,IF(基础状态预期!$AB33&lt;=1,0,(基础状态预期!$AB33-1)*G$26)*基础状态预期!$H33)+
IF(基础状态预期!$I33="",0,IF(基础状态预期!$AC33&lt;=1,0,(基础状态预期!$AC33-1)*G$27)*基础状态预期!$I33)+
IF(基础状态预期!$J33="",0,IF(基础状态预期!$AD33&lt;=1,0,(基础状态预期!$AD33-1)*G$28)*基础状态预期!$J33)</f>
        <v>240</v>
      </c>
      <c r="AC21" s="67">
        <f>IF(基础状态预期!$H33="",0,IF(基础状态预期!$AB33&lt;=1,0,(基础状态预期!$AB33-1)*H$26)*基础状态预期!$H33)+
IF(基础状态预期!$I33="",0,IF(基础状态预期!$AC33&lt;=1,0,(基础状态预期!$AC33-1)*H$27)*基础状态预期!$I33)+
IF(基础状态预期!$J33="",0,IF(基础状态预期!$AD33&lt;=1,0,(基础状态预期!$AD33-1)*H$28)*基础状态预期!$J33)</f>
        <v>0</v>
      </c>
      <c r="AD21" s="67">
        <f>IF(基础状态预期!$H33="",0,IF(基础状态预期!$AB33&lt;=1,0,(基础状态预期!$AB33-1)*I$26)*基础状态预期!$H33)+
IF(基础状态预期!$I33="",0,IF(基础状态预期!$AC33&lt;=1,0,(基础状态预期!$AC33-1)*I$27)*基础状态预期!$I33)+
IF(基础状态预期!$J33="",0,IF(基础状态预期!$AD33&lt;=1,0,(基础状态预期!$AD33-1)*I$28)*基础状态预期!$J33)</f>
        <v>0</v>
      </c>
      <c r="AE21" s="80">
        <f>IF(各r阵容卡情况!$H49=0,0,IF(各r阵容卡情况!$AB49&lt;=1,各r阵容卡情况!$AB49*D$18,1*D$18)*各r阵容卡情况!$H49)+
IF(各r阵容卡情况!$I49=0,0,IF(各r阵容卡情况!$AC49&lt;=1,各r阵容卡情况!$AC49*D$19,1*D$19)*各r阵容卡情况!$I49)+
IF(各r阵容卡情况!$J49=0,0,IF(各r阵容卡情况!$AD49&lt;=1,各r阵容卡情况!$AD49*D$20,1*D$20)*各r阵容卡情况!$J49)</f>
        <v>144</v>
      </c>
      <c r="AF21" s="80">
        <f>IF(各r阵容卡情况!$H49=0,0,IF(各r阵容卡情况!$AB49&lt;=1,各r阵容卡情况!$AB49*E$18,1*E$18)*各r阵容卡情况!$H49)+
IF(各r阵容卡情况!$I49=0,0,IF(各r阵容卡情况!$AC49&lt;=1,各r阵容卡情况!$AC49*E$19,1*E$19)*各r阵容卡情况!$I49)+
IF(各r阵容卡情况!$J49=0,0,IF(各r阵容卡情况!$AD49&lt;=1,各r阵容卡情况!$AD49*E$20,1*E$20)*各r阵容卡情况!$J49)</f>
        <v>0</v>
      </c>
      <c r="AG21" s="80">
        <f>IF(各r阵容卡情况!$H49=0,0,IF(各r阵容卡情况!$AB49&lt;=1,各r阵容卡情况!$AB49*F$18,1*F$18)*各r阵容卡情况!$H49)+
IF(各r阵容卡情况!$I49=0,0,IF(各r阵容卡情况!$AC49&lt;=1,各r阵容卡情况!$AC49*F$19,1*F$19)*各r阵容卡情况!$I49)+
IF(各r阵容卡情况!$J49=0,0,IF(各r阵容卡情况!$AD49&lt;=1,各r阵容卡情况!$AD49*F$20,1*F$20)*各r阵容卡情况!$J49)</f>
        <v>0</v>
      </c>
      <c r="AH21" s="67">
        <f>IF(各r阵容卡情况!$H49=0,0,IF(各r阵容卡情况!$AB49&lt;=1,0,(各r阵容卡情况!$AB49-1)*G$26)*各r阵容卡情况!$H49)+
IF(各r阵容卡情况!$I49=0,0,IF(各r阵容卡情况!$AC49&lt;=1,0,(各r阵容卡情况!$AC49-1)*G$27)*各r阵容卡情况!$I49)+
IF(各r阵容卡情况!$J49=0,0,IF(各r阵容卡情况!$AD49&lt;=1,0,(各r阵容卡情况!$AD49-1)*G$28)*各r阵容卡情况!$J49)</f>
        <v>720</v>
      </c>
      <c r="AI21" s="67">
        <f>IF(各r阵容卡情况!$H49=0,0,IF(各r阵容卡情况!$AB49&lt;=1,0,(各r阵容卡情况!$AB49-1)*H$26)*各r阵容卡情况!$H49)+
IF(各r阵容卡情况!$I49=0,0,IF(各r阵容卡情况!$AC49&lt;=1,0,(各r阵容卡情况!$AC49-1)*H$27)*各r阵容卡情况!$I49)+
IF(各r阵容卡情况!$J49=0,0,IF(各r阵容卡情况!$AD49&lt;=1,0,(各r阵容卡情况!$AD49-1)*H$28)*各r阵容卡情况!$J49)</f>
        <v>0</v>
      </c>
      <c r="AJ21" s="67">
        <f>IF(各r阵容卡情况!$H49=0,0,IF(各r阵容卡情况!$AB49&lt;=1,0,(各r阵容卡情况!$AB49-1)*I$26)*各r阵容卡情况!$H49)+
IF(各r阵容卡情况!$I49=0,0,IF(各r阵容卡情况!$AC49&lt;=1,0,(各r阵容卡情况!$AC49-1)*I$27)*各r阵容卡情况!$I49)+
IF(各r阵容卡情况!$J49=0,0,IF(各r阵容卡情况!$AD49&lt;=1,0,(各r阵容卡情况!$AD49-1)*I$28)*各r阵容卡情况!$J49)</f>
        <v>0</v>
      </c>
      <c r="AL21" s="14">
        <v>90</v>
      </c>
      <c r="AM21" s="80">
        <f t="shared" ref="AM21:AM43" si="21">求节点($M$5:$M$43,Y$5:Y$43,$AL21)</f>
        <v>48</v>
      </c>
      <c r="AN21" s="80">
        <f t="shared" ref="AN21:AN43" si="22">求节点($M$5:$M$43,Z$5:Z$43,$AL21)</f>
        <v>0</v>
      </c>
      <c r="AO21" s="80">
        <f t="shared" ref="AO21:AO43" si="23">求节点($M$5:$M$43,AA$5:AA$43,$AL21)</f>
        <v>0</v>
      </c>
      <c r="AP21" s="80">
        <f t="shared" ref="AP21:AP43" si="24">求节点($M$5:$M$43,AB$5:AB$43,$AL21)</f>
        <v>240</v>
      </c>
      <c r="AQ21" s="80">
        <f t="shared" ref="AQ21:AQ43" si="25">求节点($M$5:$M$43,AC$5:AC$43,$AL21)</f>
        <v>0</v>
      </c>
      <c r="AR21" s="80">
        <f t="shared" ref="AR21:AR43" si="26">求节点($M$5:$M$43,AD$5:AD$43,$AL21)</f>
        <v>0</v>
      </c>
      <c r="AS21" s="80">
        <f t="shared" ref="AS21:AS43" si="27">求节点($M$5:$M$43,AE$5:AE$43,$AL21)</f>
        <v>0</v>
      </c>
      <c r="AT21" s="80">
        <f t="shared" ref="AT21:AT43" si="28">求节点($M$5:$M$43,AF$5:AF$43,$AL21)</f>
        <v>0</v>
      </c>
      <c r="AU21" s="80">
        <f t="shared" ref="AU21:AU43" si="29">求节点($M$5:$M$43,AG$5:AG$43,$AL21)</f>
        <v>0</v>
      </c>
      <c r="AV21" s="80">
        <f t="shared" ref="AV21:AV43" si="30">求节点($M$5:$M$43,AH$5:AH$43,$AL21)</f>
        <v>0</v>
      </c>
      <c r="AW21" s="80">
        <f t="shared" ref="AW21:AW43" si="31">求节点($M$5:$M$43,AI$5:AI$43,$AL21)</f>
        <v>0</v>
      </c>
      <c r="AX21" s="80">
        <f t="shared" ref="AX21:AX43" si="32">求节点($M$5:$M$43,AJ$5:AJ$43,$AL21)</f>
        <v>0</v>
      </c>
      <c r="AY21" s="61" t="e">
        <f>SUMPRODUCT(AM21:AR21/'[1]功能-行军令'!$GI$26:$GN$26+AS21:AX21/'[1]功能-行军令'!$GI$26:$GN$26)/0.18</f>
        <v>#DIV/0!</v>
      </c>
      <c r="BO21" s="80">
        <f t="shared" si="15"/>
        <v>86.465948248806328</v>
      </c>
      <c r="BP21" s="80">
        <f t="shared" si="16"/>
        <v>12300000</v>
      </c>
      <c r="BQ21" s="80">
        <f>(BP21-BP20)*INDEX('[1]功能-付费相关'!$AQ$6:$AQ$165,$BO21,1)+BQ20</f>
        <v>15965.959189681667</v>
      </c>
      <c r="BR21" s="80"/>
      <c r="BS21" s="80"/>
    </row>
    <row r="22" spans="2:77" x14ac:dyDescent="0.15">
      <c r="B22" s="200"/>
      <c r="C22" s="80" t="s">
        <v>450</v>
      </c>
      <c r="D22" s="80">
        <f>SUM(D16:D21)</f>
        <v>28</v>
      </c>
      <c r="E22" s="80">
        <f t="shared" ref="E22:I22" si="33">SUM(E16:E21)</f>
        <v>0</v>
      </c>
      <c r="F22" s="80">
        <f t="shared" si="33"/>
        <v>0</v>
      </c>
      <c r="G22" s="80">
        <f t="shared" si="33"/>
        <v>0</v>
      </c>
      <c r="H22" s="80">
        <f t="shared" si="33"/>
        <v>0</v>
      </c>
      <c r="I22" s="80">
        <f t="shared" si="33"/>
        <v>0</v>
      </c>
      <c r="L22" s="61">
        <v>21</v>
      </c>
      <c r="M22" s="80">
        <f>基础状态预期!D34</f>
        <v>86.465948248806328</v>
      </c>
      <c r="N22" s="80">
        <f>IF(基础状态预期!F34="",0,IF(基础状态预期!Z34&lt;=1,基础状态预期!Z34*D$4,1*D$4+(基础状态预期!Z34-1)*武将觉醒!D$5))</f>
        <v>0</v>
      </c>
      <c r="O22" s="80">
        <f>IF(基础状态预期!G34="",0,IF(基础状态预期!AA34&lt;=1,基础状态预期!AA34*E$4,1*E$4+(基础状态预期!AA34-1)*武将觉醒!E$5))</f>
        <v>0</v>
      </c>
      <c r="P22" s="80">
        <f>IF(基础状态预期!H34="",0,IF(基础状态预期!AB34&lt;=1,基础状态预期!AB34*F$4,1*F$4+(基础状态预期!AB34-1)*武将觉醒!F$5))</f>
        <v>0</v>
      </c>
      <c r="Q22" s="80">
        <f>IF(基础状态预期!I34="",0,IF(基础状态预期!AC34&lt;=1,基础状态预期!AC34*G$4,1*G$4+(基础状态预期!AC34-1)*武将觉醒!G$5))</f>
        <v>0</v>
      </c>
      <c r="R22" s="80">
        <f>IF(基础状态预期!J34="",0,IF(基础状态预期!AD34&lt;=1,基础状态预期!AD34*H$4,1*H$4+(基础状态预期!AD34-1)*武将觉醒!H$5))</f>
        <v>2050000</v>
      </c>
      <c r="S22" s="80">
        <f>MAX(SUMPRODUCT(N22:R22,基础状态预期!F34:J34),S21)</f>
        <v>12300000</v>
      </c>
      <c r="T22" s="80">
        <f>IF(基础状态预期!Z34="",0,IFERROR(基础状态预期!F34*求节点($C$62:$C$63,D$62:D$63,基础状态预期!Z34),0)+IFERROR(基础状态预期!$J34*求节点($C$71:$C$72,D$71:D$72,基础状态预期!$AD34),0))</f>
        <v>0</v>
      </c>
      <c r="U22" s="80">
        <f>IF(基础状态预期!AA34="",0,IFERROR(基础状态预期!G34*求节点($C$62:$C$63,E$62:E$63,基础状态预期!AA34),0)+IFERROR(基础状态预期!$J34*求节点($C$71:$C$72,E$71:E$72,基础状态预期!$AD34),0))</f>
        <v>0</v>
      </c>
      <c r="V22" s="80">
        <f>IF(基础状态预期!AB34="",0,IFERROR(基础状态预期!H34*求节点($C$62:$C$63,F$62:F$63,基础状态预期!AB34),0)+IFERROR(基础状态预期!$J34*求节点($C$71:$C$72,F$71:F$72,基础状态预期!$AD34),0))</f>
        <v>0</v>
      </c>
      <c r="W22" s="80">
        <f>IF(基础状态预期!AC34="",0,IFERROR(基础状态预期!I34*求节点($C$62:$C$63,G$62:G$63,基础状态预期!AC34),0)+IFERROR(基础状态预期!$J34*求节点($C$71:$C$72,G$71:G$72,基础状态预期!$AD34),0))</f>
        <v>0</v>
      </c>
      <c r="X22" s="80">
        <f>IF(基础状态预期!AD34="",0,IFERROR(基础状态预期!J34*求节点($C$62:$C$63,H$62:H$63,基础状态预期!AD34),0)+IFERROR(基础状态预期!$J34*求节点($C$71:$C$72,H$71:H$72,基础状态预期!$AD34),0))</f>
        <v>0</v>
      </c>
      <c r="Y22" s="80">
        <f>IF(基础状态预期!$H34="",0,IF(基础状态预期!$AB34&lt;=1,基础状态预期!$AB34*D$18,D$18)*基础状态预期!$H34)+
IF(基础状态预期!$I34="",0,IF(基础状态预期!$AC34&lt;=1,基础状态预期!$AC34*D$19,D$19)*基础状态预期!$I34)+
IF(基础状态预期!$J34="",0,IF(基础状态预期!$AD34&lt;=1,基础状态预期!$AD34*D$20,D$20)*基础状态预期!$J34)</f>
        <v>48</v>
      </c>
      <c r="Z22" s="80">
        <f>IF(基础状态预期!$H34="",0,IF(基础状态预期!$AB34&lt;=1,基础状态预期!$AB34*E$18,E$18)*基础状态预期!$H34)+
IF(基础状态预期!$I34="",0,IF(基础状态预期!$AC34&lt;=1,基础状态预期!$AC34*E$19,E$19)*基础状态预期!$I34)+
IF(基础状态预期!$J34="",0,IF(基础状态预期!$AD34&lt;=1,基础状态预期!$AD34*E$20,E$20)*基础状态预期!$J34)</f>
        <v>0</v>
      </c>
      <c r="AA22" s="80">
        <f>IF(基础状态预期!$H34="",0,IF(基础状态预期!$AB34&lt;=1,基础状态预期!$AB34*F$18,F$18)*基础状态预期!$H34)+
IF(基础状态预期!$I34="",0,IF(基础状态预期!$AC34&lt;=1,基础状态预期!$AC34*F$19,F$19)*基础状态预期!$I34)+
IF(基础状态预期!$J34="",0,IF(基础状态预期!$AD34&lt;=1,基础状态预期!$AD34*F$20,F$20)*基础状态预期!$J34)</f>
        <v>0</v>
      </c>
      <c r="AB22" s="67">
        <f>IF(基础状态预期!$H34="",0,IF(基础状态预期!$AB34&lt;=1,0,(基础状态预期!$AB34-1)*G$26)*基础状态预期!$H34)+
IF(基础状态预期!$I34="",0,IF(基础状态预期!$AC34&lt;=1,0,(基础状态预期!$AC34-1)*G$27)*基础状态预期!$I34)+
IF(基础状态预期!$J34="",0,IF(基础状态预期!$AD34&lt;=1,0,(基础状态预期!$AD34-1)*G$28)*基础状态预期!$J34)</f>
        <v>240</v>
      </c>
      <c r="AC22" s="67">
        <f>IF(基础状态预期!$H34="",0,IF(基础状态预期!$AB34&lt;=1,0,(基础状态预期!$AB34-1)*H$26)*基础状态预期!$H34)+
IF(基础状态预期!$I34="",0,IF(基础状态预期!$AC34&lt;=1,0,(基础状态预期!$AC34-1)*H$27)*基础状态预期!$I34)+
IF(基础状态预期!$J34="",0,IF(基础状态预期!$AD34&lt;=1,0,(基础状态预期!$AD34-1)*H$28)*基础状态预期!$J34)</f>
        <v>0</v>
      </c>
      <c r="AD22" s="67">
        <f>IF(基础状态预期!$H34="",0,IF(基础状态预期!$AB34&lt;=1,0,(基础状态预期!$AB34-1)*I$26)*基础状态预期!$H34)+
IF(基础状态预期!$I34="",0,IF(基础状态预期!$AC34&lt;=1,0,(基础状态预期!$AC34-1)*I$27)*基础状态预期!$I34)+
IF(基础状态预期!$J34="",0,IF(基础状态预期!$AD34&lt;=1,0,(基础状态预期!$AD34-1)*I$28)*基础状态预期!$J34)</f>
        <v>0</v>
      </c>
      <c r="AE22" s="80">
        <f>IF(各r阵容卡情况!$H50=0,0,IF(各r阵容卡情况!$AB50&lt;=1,各r阵容卡情况!$AB50*D$18,1*D$18)*各r阵容卡情况!$H50)+
IF(各r阵容卡情况!$I50=0,0,IF(各r阵容卡情况!$AC50&lt;=1,各r阵容卡情况!$AC50*D$19,1*D$19)*各r阵容卡情况!$I50)+
IF(各r阵容卡情况!$J50=0,0,IF(各r阵容卡情况!$AD50&lt;=1,各r阵容卡情况!$AD50*D$20,1*D$20)*各r阵容卡情况!$J50)</f>
        <v>0</v>
      </c>
      <c r="AF22" s="80">
        <f>IF(各r阵容卡情况!$H50=0,0,IF(各r阵容卡情况!$AB50&lt;=1,各r阵容卡情况!$AB50*E$18,1*E$18)*各r阵容卡情况!$H50)+
IF(各r阵容卡情况!$I50=0,0,IF(各r阵容卡情况!$AC50&lt;=1,各r阵容卡情况!$AC50*E$19,1*E$19)*各r阵容卡情况!$I50)+
IF(各r阵容卡情况!$J50=0,0,IF(各r阵容卡情况!$AD50&lt;=1,各r阵容卡情况!$AD50*E$20,1*E$20)*各r阵容卡情况!$J50)</f>
        <v>0</v>
      </c>
      <c r="AG22" s="80">
        <f>IF(各r阵容卡情况!$H50=0,0,IF(各r阵容卡情况!$AB50&lt;=1,各r阵容卡情况!$AB50*F$18,1*F$18)*各r阵容卡情况!$H50)+
IF(各r阵容卡情况!$I50=0,0,IF(各r阵容卡情况!$AC50&lt;=1,各r阵容卡情况!$AC50*F$19,1*F$19)*各r阵容卡情况!$I50)+
IF(各r阵容卡情况!$J50=0,0,IF(各r阵容卡情况!$AD50&lt;=1,各r阵容卡情况!$AD50*F$20,1*F$20)*各r阵容卡情况!$J50)</f>
        <v>0</v>
      </c>
      <c r="AH22" s="67">
        <f>IF(各r阵容卡情况!$H50=0,0,IF(各r阵容卡情况!$AB50&lt;=1,0,(各r阵容卡情况!$AB50-1)*G$26)*各r阵容卡情况!$H50)+
IF(各r阵容卡情况!$I50=0,0,IF(各r阵容卡情况!$AC50&lt;=1,0,(各r阵容卡情况!$AC50-1)*G$27)*各r阵容卡情况!$I50)+
IF(各r阵容卡情况!$J50=0,0,IF(各r阵容卡情况!$AD50&lt;=1,0,(各r阵容卡情况!$AD50-1)*G$28)*各r阵容卡情况!$J50)</f>
        <v>0</v>
      </c>
      <c r="AI22" s="67">
        <f>IF(各r阵容卡情况!$H50=0,0,IF(各r阵容卡情况!$AB50&lt;=1,0,(各r阵容卡情况!$AB50-1)*H$26)*各r阵容卡情况!$H50)+
IF(各r阵容卡情况!$I50=0,0,IF(各r阵容卡情况!$AC50&lt;=1,0,(各r阵容卡情况!$AC50-1)*H$27)*各r阵容卡情况!$I50)+
IF(各r阵容卡情况!$J50=0,0,IF(各r阵容卡情况!$AD50&lt;=1,0,(各r阵容卡情况!$AD50-1)*H$28)*各r阵容卡情况!$J50)</f>
        <v>0</v>
      </c>
      <c r="AJ22" s="67">
        <f>IF(各r阵容卡情况!$H50=0,0,IF(各r阵容卡情况!$AB50&lt;=1,0,(各r阵容卡情况!$AB50-1)*I$26)*各r阵容卡情况!$H50)+
IF(各r阵容卡情况!$I50=0,0,IF(各r阵容卡情况!$AC50&lt;=1,0,(各r阵容卡情况!$AC50-1)*I$27)*各r阵容卡情况!$I50)+
IF(各r阵容卡情况!$J50=0,0,IF(各r阵容卡情况!$AD50&lt;=1,0,(各r阵容卡情况!$AD50-1)*I$28)*各r阵容卡情况!$J50)</f>
        <v>0</v>
      </c>
      <c r="AL22" s="14">
        <v>95</v>
      </c>
      <c r="AM22" s="80">
        <f t="shared" si="21"/>
        <v>48</v>
      </c>
      <c r="AN22" s="80">
        <f t="shared" si="22"/>
        <v>0</v>
      </c>
      <c r="AO22" s="80">
        <f t="shared" si="23"/>
        <v>0</v>
      </c>
      <c r="AP22" s="80">
        <f t="shared" si="24"/>
        <v>240</v>
      </c>
      <c r="AQ22" s="80">
        <f t="shared" si="25"/>
        <v>0</v>
      </c>
      <c r="AR22" s="80">
        <f t="shared" si="26"/>
        <v>0</v>
      </c>
      <c r="AS22" s="80">
        <f t="shared" si="27"/>
        <v>0</v>
      </c>
      <c r="AT22" s="80">
        <f t="shared" si="28"/>
        <v>0</v>
      </c>
      <c r="AU22" s="80">
        <f t="shared" si="29"/>
        <v>0</v>
      </c>
      <c r="AV22" s="80">
        <f t="shared" si="30"/>
        <v>0</v>
      </c>
      <c r="AW22" s="80">
        <f t="shared" si="31"/>
        <v>0</v>
      </c>
      <c r="AX22" s="80">
        <f t="shared" si="32"/>
        <v>0</v>
      </c>
      <c r="AY22" s="61" t="e">
        <f>SUMPRODUCT(AM22:AR22/'[1]功能-行军令'!$GI$26:$GN$26+AS22:AX22/'[1]功能-行军令'!$GI$26:$GN$26)/0.18</f>
        <v>#DIV/0!</v>
      </c>
      <c r="BO22" s="80">
        <f t="shared" si="15"/>
        <v>90.244911202258237</v>
      </c>
      <c r="BP22" s="80">
        <f t="shared" si="16"/>
        <v>12300000</v>
      </c>
      <c r="BQ22" s="80">
        <f>(BP22-BP21)*INDEX('[1]功能-付费相关'!$AQ$6:$AQ$165,$BO22,1)+BQ21</f>
        <v>15965.959189681667</v>
      </c>
      <c r="BR22" s="80"/>
      <c r="BS22" s="80"/>
    </row>
    <row r="23" spans="2:77" x14ac:dyDescent="0.15">
      <c r="B23" s="198" t="s">
        <v>454</v>
      </c>
      <c r="C23" s="80" t="s">
        <v>431</v>
      </c>
      <c r="D23" s="80" t="s">
        <v>444</v>
      </c>
      <c r="E23" s="80" t="s">
        <v>445</v>
      </c>
      <c r="F23" s="80" t="s">
        <v>446</v>
      </c>
      <c r="G23" s="80" t="s">
        <v>447</v>
      </c>
      <c r="H23" s="80" t="s">
        <v>448</v>
      </c>
      <c r="I23" s="80" t="s">
        <v>449</v>
      </c>
      <c r="L23" s="61">
        <v>22</v>
      </c>
      <c r="M23" s="80">
        <f>基础状态预期!D35</f>
        <v>90.244911202258237</v>
      </c>
      <c r="N23" s="80">
        <f>IF(基础状态预期!F35="",0,IF(基础状态预期!Z35&lt;=1,基础状态预期!Z35*D$4,1*D$4+(基础状态预期!Z35-1)*武将觉醒!D$5))</f>
        <v>0</v>
      </c>
      <c r="O23" s="80">
        <f>IF(基础状态预期!G35="",0,IF(基础状态预期!AA35&lt;=1,基础状态预期!AA35*E$4,1*E$4+(基础状态预期!AA35-1)*武将觉醒!E$5))</f>
        <v>0</v>
      </c>
      <c r="P23" s="80">
        <f>IF(基础状态预期!H35="",0,IF(基础状态预期!AB35&lt;=1,基础状态预期!AB35*F$4,1*F$4+(基础状态预期!AB35-1)*武将觉醒!F$5))</f>
        <v>0</v>
      </c>
      <c r="Q23" s="80">
        <f>IF(基础状态预期!I35="",0,IF(基础状态预期!AC35&lt;=1,基础状态预期!AC35*G$4,1*G$4+(基础状态预期!AC35-1)*武将觉醒!G$5))</f>
        <v>0</v>
      </c>
      <c r="R23" s="80">
        <f>IF(基础状态预期!J35="",0,IF(基础状态预期!AD35&lt;=1,基础状态预期!AD35*H$4,1*H$4+(基础状态预期!AD35-1)*武将觉醒!H$5))</f>
        <v>2050000</v>
      </c>
      <c r="S23" s="80">
        <f>MAX(SUMPRODUCT(N23:R23,基础状态预期!F35:J35),S22)</f>
        <v>12300000</v>
      </c>
      <c r="T23" s="80">
        <f>IF(基础状态预期!Z35="",0,IFERROR(基础状态预期!F35*求节点($C$62:$C$63,D$62:D$63,基础状态预期!Z35),0)+IFERROR(基础状态预期!$J35*求节点($C$71:$C$72,D$71:D$72,基础状态预期!$AD35),0))</f>
        <v>0</v>
      </c>
      <c r="U23" s="80">
        <f>IF(基础状态预期!AA35="",0,IFERROR(基础状态预期!G35*求节点($C$62:$C$63,E$62:E$63,基础状态预期!AA35),0)+IFERROR(基础状态预期!$J35*求节点($C$71:$C$72,E$71:E$72,基础状态预期!$AD35),0))</f>
        <v>0</v>
      </c>
      <c r="V23" s="80">
        <f>IF(基础状态预期!AB35="",0,IFERROR(基础状态预期!H35*求节点($C$62:$C$63,F$62:F$63,基础状态预期!AB35),0)+IFERROR(基础状态预期!$J35*求节点($C$71:$C$72,F$71:F$72,基础状态预期!$AD35),0))</f>
        <v>0</v>
      </c>
      <c r="W23" s="80">
        <f>IF(基础状态预期!AC35="",0,IFERROR(基础状态预期!I35*求节点($C$62:$C$63,G$62:G$63,基础状态预期!AC35),0)+IFERROR(基础状态预期!$J35*求节点($C$71:$C$72,G$71:G$72,基础状态预期!$AD35),0))</f>
        <v>0</v>
      </c>
      <c r="X23" s="80">
        <f>IF(基础状态预期!AD35="",0,IFERROR(基础状态预期!J35*求节点($C$62:$C$63,H$62:H$63,基础状态预期!AD35),0)+IFERROR(基础状态预期!$J35*求节点($C$71:$C$72,H$71:H$72,基础状态预期!$AD35),0))</f>
        <v>0</v>
      </c>
      <c r="Y23" s="80">
        <f>IF(基础状态预期!$H35="",0,IF(基础状态预期!$AB35&lt;=1,基础状态预期!$AB35*D$18,D$18)*基础状态预期!$H35)+
IF(基础状态预期!$I35="",0,IF(基础状态预期!$AC35&lt;=1,基础状态预期!$AC35*D$19,D$19)*基础状态预期!$I35)+
IF(基础状态预期!$J35="",0,IF(基础状态预期!$AD35&lt;=1,基础状态预期!$AD35*D$20,D$20)*基础状态预期!$J35)</f>
        <v>48</v>
      </c>
      <c r="Z23" s="80">
        <f>IF(基础状态预期!$H35="",0,IF(基础状态预期!$AB35&lt;=1,基础状态预期!$AB35*E$18,E$18)*基础状态预期!$H35)+
IF(基础状态预期!$I35="",0,IF(基础状态预期!$AC35&lt;=1,基础状态预期!$AC35*E$19,E$19)*基础状态预期!$I35)+
IF(基础状态预期!$J35="",0,IF(基础状态预期!$AD35&lt;=1,基础状态预期!$AD35*E$20,E$20)*基础状态预期!$J35)</f>
        <v>0</v>
      </c>
      <c r="AA23" s="80">
        <f>IF(基础状态预期!$H35="",0,IF(基础状态预期!$AB35&lt;=1,基础状态预期!$AB35*F$18,F$18)*基础状态预期!$H35)+
IF(基础状态预期!$I35="",0,IF(基础状态预期!$AC35&lt;=1,基础状态预期!$AC35*F$19,F$19)*基础状态预期!$I35)+
IF(基础状态预期!$J35="",0,IF(基础状态预期!$AD35&lt;=1,基础状态预期!$AD35*F$20,F$20)*基础状态预期!$J35)</f>
        <v>0</v>
      </c>
      <c r="AB23" s="67">
        <f>IF(基础状态预期!$H35="",0,IF(基础状态预期!$AB35&lt;=1,0,(基础状态预期!$AB35-1)*G$26)*基础状态预期!$H35)+
IF(基础状态预期!$I35="",0,IF(基础状态预期!$AC35&lt;=1,0,(基础状态预期!$AC35-1)*G$27)*基础状态预期!$I35)+
IF(基础状态预期!$J35="",0,IF(基础状态预期!$AD35&lt;=1,0,(基础状态预期!$AD35-1)*G$28)*基础状态预期!$J35)</f>
        <v>240</v>
      </c>
      <c r="AC23" s="67">
        <f>IF(基础状态预期!$H35="",0,IF(基础状态预期!$AB35&lt;=1,0,(基础状态预期!$AB35-1)*H$26)*基础状态预期!$H35)+
IF(基础状态预期!$I35="",0,IF(基础状态预期!$AC35&lt;=1,0,(基础状态预期!$AC35-1)*H$27)*基础状态预期!$I35)+
IF(基础状态预期!$J35="",0,IF(基础状态预期!$AD35&lt;=1,0,(基础状态预期!$AD35-1)*H$28)*基础状态预期!$J35)</f>
        <v>0</v>
      </c>
      <c r="AD23" s="67">
        <f>IF(基础状态预期!$H35="",0,IF(基础状态预期!$AB35&lt;=1,0,(基础状态预期!$AB35-1)*I$26)*基础状态预期!$H35)+
IF(基础状态预期!$I35="",0,IF(基础状态预期!$AC35&lt;=1,0,(基础状态预期!$AC35-1)*I$27)*基础状态预期!$I35)+
IF(基础状态预期!$J35="",0,IF(基础状态预期!$AD35&lt;=1,0,(基础状态预期!$AD35-1)*I$28)*基础状态预期!$J35)</f>
        <v>0</v>
      </c>
      <c r="AE23" s="80">
        <f>IF(各r阵容卡情况!$H51=0,0,IF(各r阵容卡情况!$AB51&lt;=1,各r阵容卡情况!$AB51*D$18,1*D$18)*各r阵容卡情况!$H51)+
IF(各r阵容卡情况!$I51=0,0,IF(各r阵容卡情况!$AC51&lt;=1,各r阵容卡情况!$AC51*D$19,1*D$19)*各r阵容卡情况!$I51)+
IF(各r阵容卡情况!$J51=0,0,IF(各r阵容卡情况!$AD51&lt;=1,各r阵容卡情况!$AD51*D$20,1*D$20)*各r阵容卡情况!$J51)</f>
        <v>0</v>
      </c>
      <c r="AF23" s="80">
        <f>IF(各r阵容卡情况!$H51=0,0,IF(各r阵容卡情况!$AB51&lt;=1,各r阵容卡情况!$AB51*E$18,1*E$18)*各r阵容卡情况!$H51)+
IF(各r阵容卡情况!$I51=0,0,IF(各r阵容卡情况!$AC51&lt;=1,各r阵容卡情况!$AC51*E$19,1*E$19)*各r阵容卡情况!$I51)+
IF(各r阵容卡情况!$J51=0,0,IF(各r阵容卡情况!$AD51&lt;=1,各r阵容卡情况!$AD51*E$20,1*E$20)*各r阵容卡情况!$J51)</f>
        <v>0</v>
      </c>
      <c r="AG23" s="80">
        <f>IF(各r阵容卡情况!$H51=0,0,IF(各r阵容卡情况!$AB51&lt;=1,各r阵容卡情况!$AB51*F$18,1*F$18)*各r阵容卡情况!$H51)+
IF(各r阵容卡情况!$I51=0,0,IF(各r阵容卡情况!$AC51&lt;=1,各r阵容卡情况!$AC51*F$19,1*F$19)*各r阵容卡情况!$I51)+
IF(各r阵容卡情况!$J51=0,0,IF(各r阵容卡情况!$AD51&lt;=1,各r阵容卡情况!$AD51*F$20,1*F$20)*各r阵容卡情况!$J51)</f>
        <v>0</v>
      </c>
      <c r="AH23" s="67">
        <f>IF(各r阵容卡情况!$H51=0,0,IF(各r阵容卡情况!$AB51&lt;=1,0,(各r阵容卡情况!$AB51-1)*G$26)*各r阵容卡情况!$H51)+
IF(各r阵容卡情况!$I51=0,0,IF(各r阵容卡情况!$AC51&lt;=1,0,(各r阵容卡情况!$AC51-1)*G$27)*各r阵容卡情况!$I51)+
IF(各r阵容卡情况!$J51=0,0,IF(各r阵容卡情况!$AD51&lt;=1,0,(各r阵容卡情况!$AD51-1)*G$28)*各r阵容卡情况!$J51)</f>
        <v>0</v>
      </c>
      <c r="AI23" s="67">
        <f>IF(各r阵容卡情况!$H51=0,0,IF(各r阵容卡情况!$AB51&lt;=1,0,(各r阵容卡情况!$AB51-1)*H$26)*各r阵容卡情况!$H51)+
IF(各r阵容卡情况!$I51=0,0,IF(各r阵容卡情况!$AC51&lt;=1,0,(各r阵容卡情况!$AC51-1)*H$27)*各r阵容卡情况!$I51)+
IF(各r阵容卡情况!$J51=0,0,IF(各r阵容卡情况!$AD51&lt;=1,0,(各r阵容卡情况!$AD51-1)*H$28)*各r阵容卡情况!$J51)</f>
        <v>0</v>
      </c>
      <c r="AJ23" s="67">
        <f>IF(各r阵容卡情况!$H51=0,0,IF(各r阵容卡情况!$AB51&lt;=1,0,(各r阵容卡情况!$AB51-1)*I$26)*各r阵容卡情况!$H51)+
IF(各r阵容卡情况!$I51=0,0,IF(各r阵容卡情况!$AC51&lt;=1,0,(各r阵容卡情况!$AC51-1)*I$27)*各r阵容卡情况!$I51)+
IF(各r阵容卡情况!$J51=0,0,IF(各r阵容卡情况!$AD51&lt;=1,0,(各r阵容卡情况!$AD51-1)*I$28)*各r阵容卡情况!$J51)</f>
        <v>0</v>
      </c>
      <c r="AL23" s="14">
        <v>100</v>
      </c>
      <c r="AM23" s="80">
        <f t="shared" si="21"/>
        <v>48</v>
      </c>
      <c r="AN23" s="80">
        <f t="shared" si="22"/>
        <v>0</v>
      </c>
      <c r="AO23" s="80">
        <f t="shared" si="23"/>
        <v>0</v>
      </c>
      <c r="AP23" s="80">
        <f t="shared" si="24"/>
        <v>240</v>
      </c>
      <c r="AQ23" s="80">
        <f t="shared" si="25"/>
        <v>0</v>
      </c>
      <c r="AR23" s="80">
        <f t="shared" si="26"/>
        <v>0</v>
      </c>
      <c r="AS23" s="80">
        <f t="shared" si="27"/>
        <v>0</v>
      </c>
      <c r="AT23" s="80">
        <f t="shared" si="28"/>
        <v>0</v>
      </c>
      <c r="AU23" s="80">
        <f t="shared" si="29"/>
        <v>0</v>
      </c>
      <c r="AV23" s="80">
        <f t="shared" si="30"/>
        <v>0</v>
      </c>
      <c r="AW23" s="80">
        <f t="shared" si="31"/>
        <v>0</v>
      </c>
      <c r="AX23" s="80">
        <f t="shared" si="32"/>
        <v>0</v>
      </c>
      <c r="AY23" s="61" t="e">
        <f>SUMPRODUCT(AM23:AR23/'[1]功能-行军令'!$GI$26:$GN$26+AS23:AX23/'[1]功能-行军令'!$GI$26:$GN$26)/0.18</f>
        <v>#DIV/0!</v>
      </c>
      <c r="BO23" s="80">
        <f t="shared" si="15"/>
        <v>93.235489905456092</v>
      </c>
      <c r="BP23" s="80">
        <f t="shared" si="16"/>
        <v>12300000</v>
      </c>
      <c r="BQ23" s="80">
        <f>(BP23-BP22)*INDEX('[1]功能-付费相关'!$AQ$6:$AQ$165,$BO23,1)+BQ22</f>
        <v>15965.959189681667</v>
      </c>
      <c r="BR23" s="80"/>
      <c r="BS23" s="80"/>
    </row>
    <row r="24" spans="2:77" x14ac:dyDescent="0.15">
      <c r="B24" s="199"/>
      <c r="C24" s="80" t="s">
        <v>3</v>
      </c>
      <c r="D24" s="80"/>
      <c r="E24" s="80"/>
      <c r="F24" s="80"/>
      <c r="G24" s="80"/>
      <c r="H24" s="80"/>
      <c r="I24" s="80"/>
      <c r="L24" s="61">
        <v>23</v>
      </c>
      <c r="M24" s="80">
        <f>基础状态预期!D36</f>
        <v>93.235489905456092</v>
      </c>
      <c r="N24" s="80">
        <f>IF(基础状态预期!F36="",0,IF(基础状态预期!Z36&lt;=1,基础状态预期!Z36*D$4,1*D$4+(基础状态预期!Z36-1)*武将觉醒!D$5))</f>
        <v>0</v>
      </c>
      <c r="O24" s="80">
        <f>IF(基础状态预期!G36="",0,IF(基础状态预期!AA36&lt;=1,基础状态预期!AA36*E$4,1*E$4+(基础状态预期!AA36-1)*武将觉醒!E$5))</f>
        <v>0</v>
      </c>
      <c r="P24" s="80">
        <f>IF(基础状态预期!H36="",0,IF(基础状态预期!AB36&lt;=1,基础状态预期!AB36*F$4,1*F$4+(基础状态预期!AB36-1)*武将觉醒!F$5))</f>
        <v>0</v>
      </c>
      <c r="Q24" s="80">
        <f>IF(基础状态预期!I36="",0,IF(基础状态预期!AC36&lt;=1,基础状态预期!AC36*G$4,1*G$4+(基础状态预期!AC36-1)*武将觉醒!G$5))</f>
        <v>0</v>
      </c>
      <c r="R24" s="80">
        <f>IF(基础状态预期!J36="",0,IF(基础状态预期!AD36&lt;=1,基础状态预期!AD36*H$4,1*H$4+(基础状态预期!AD36-1)*武将觉醒!H$5))</f>
        <v>2050000</v>
      </c>
      <c r="S24" s="80">
        <f>MAX(SUMPRODUCT(N24:R24,基础状态预期!F36:J36),S23)</f>
        <v>12300000</v>
      </c>
      <c r="T24" s="80">
        <f>IF(基础状态预期!Z36="",0,IFERROR(基础状态预期!F36*求节点($C$62:$C$63,D$62:D$63,基础状态预期!Z36),0)+IFERROR(基础状态预期!$J36*求节点($C$71:$C$72,D$71:D$72,基础状态预期!$AD36),0))</f>
        <v>0</v>
      </c>
      <c r="U24" s="80">
        <f>IF(基础状态预期!AA36="",0,IFERROR(基础状态预期!G36*求节点($C$62:$C$63,E$62:E$63,基础状态预期!AA36),0)+IFERROR(基础状态预期!$J36*求节点($C$71:$C$72,E$71:E$72,基础状态预期!$AD36),0))</f>
        <v>0</v>
      </c>
      <c r="V24" s="80">
        <f>IF(基础状态预期!AB36="",0,IFERROR(基础状态预期!H36*求节点($C$62:$C$63,F$62:F$63,基础状态预期!AB36),0)+IFERROR(基础状态预期!$J36*求节点($C$71:$C$72,F$71:F$72,基础状态预期!$AD36),0))</f>
        <v>0</v>
      </c>
      <c r="W24" s="80">
        <f>IF(基础状态预期!AC36="",0,IFERROR(基础状态预期!I36*求节点($C$62:$C$63,G$62:G$63,基础状态预期!AC36),0)+IFERROR(基础状态预期!$J36*求节点($C$71:$C$72,G$71:G$72,基础状态预期!$AD36),0))</f>
        <v>0</v>
      </c>
      <c r="X24" s="80">
        <f>IF(基础状态预期!AD36="",0,IFERROR(基础状态预期!J36*求节点($C$62:$C$63,H$62:H$63,基础状态预期!AD36),0)+IFERROR(基础状态预期!$J36*求节点($C$71:$C$72,H$71:H$72,基础状态预期!$AD36),0))</f>
        <v>0</v>
      </c>
      <c r="Y24" s="80">
        <f>IF(基础状态预期!$H36="",0,IF(基础状态预期!$AB36&lt;=1,基础状态预期!$AB36*D$18,D$18)*基础状态预期!$H36)+
IF(基础状态预期!$I36="",0,IF(基础状态预期!$AC36&lt;=1,基础状态预期!$AC36*D$19,D$19)*基础状态预期!$I36)+
IF(基础状态预期!$J36="",0,IF(基础状态预期!$AD36&lt;=1,基础状态预期!$AD36*D$20,D$20)*基础状态预期!$J36)</f>
        <v>48</v>
      </c>
      <c r="Z24" s="80">
        <f>IF(基础状态预期!$H36="",0,IF(基础状态预期!$AB36&lt;=1,基础状态预期!$AB36*E$18,E$18)*基础状态预期!$H36)+
IF(基础状态预期!$I36="",0,IF(基础状态预期!$AC36&lt;=1,基础状态预期!$AC36*E$19,E$19)*基础状态预期!$I36)+
IF(基础状态预期!$J36="",0,IF(基础状态预期!$AD36&lt;=1,基础状态预期!$AD36*E$20,E$20)*基础状态预期!$J36)</f>
        <v>0</v>
      </c>
      <c r="AA24" s="80">
        <f>IF(基础状态预期!$H36="",0,IF(基础状态预期!$AB36&lt;=1,基础状态预期!$AB36*F$18,F$18)*基础状态预期!$H36)+
IF(基础状态预期!$I36="",0,IF(基础状态预期!$AC36&lt;=1,基础状态预期!$AC36*F$19,F$19)*基础状态预期!$I36)+
IF(基础状态预期!$J36="",0,IF(基础状态预期!$AD36&lt;=1,基础状态预期!$AD36*F$20,F$20)*基础状态预期!$J36)</f>
        <v>0</v>
      </c>
      <c r="AB24" s="67">
        <f>IF(基础状态预期!$H36="",0,IF(基础状态预期!$AB36&lt;=1,0,(基础状态预期!$AB36-1)*G$26)*基础状态预期!$H36)+
IF(基础状态预期!$I36="",0,IF(基础状态预期!$AC36&lt;=1,0,(基础状态预期!$AC36-1)*G$27)*基础状态预期!$I36)+
IF(基础状态预期!$J36="",0,IF(基础状态预期!$AD36&lt;=1,0,(基础状态预期!$AD36-1)*G$28)*基础状态预期!$J36)</f>
        <v>240</v>
      </c>
      <c r="AC24" s="67">
        <f>IF(基础状态预期!$H36="",0,IF(基础状态预期!$AB36&lt;=1,0,(基础状态预期!$AB36-1)*H$26)*基础状态预期!$H36)+
IF(基础状态预期!$I36="",0,IF(基础状态预期!$AC36&lt;=1,0,(基础状态预期!$AC36-1)*H$27)*基础状态预期!$I36)+
IF(基础状态预期!$J36="",0,IF(基础状态预期!$AD36&lt;=1,0,(基础状态预期!$AD36-1)*H$28)*基础状态预期!$J36)</f>
        <v>0</v>
      </c>
      <c r="AD24" s="67">
        <f>IF(基础状态预期!$H36="",0,IF(基础状态预期!$AB36&lt;=1,0,(基础状态预期!$AB36-1)*I$26)*基础状态预期!$H36)+
IF(基础状态预期!$I36="",0,IF(基础状态预期!$AC36&lt;=1,0,(基础状态预期!$AC36-1)*I$27)*基础状态预期!$I36)+
IF(基础状态预期!$J36="",0,IF(基础状态预期!$AD36&lt;=1,0,(基础状态预期!$AD36-1)*I$28)*基础状态预期!$J36)</f>
        <v>0</v>
      </c>
      <c r="AE24" s="80">
        <f>IF(各r阵容卡情况!$H52=0,0,IF(各r阵容卡情况!$AB52&lt;=1,各r阵容卡情况!$AB52*D$18,1*D$18)*各r阵容卡情况!$H52)+
IF(各r阵容卡情况!$I52=0,0,IF(各r阵容卡情况!$AC52&lt;=1,各r阵容卡情况!$AC52*D$19,1*D$19)*各r阵容卡情况!$I52)+
IF(各r阵容卡情况!$J52=0,0,IF(各r阵容卡情况!$AD52&lt;=1,各r阵容卡情况!$AD52*D$20,1*D$20)*各r阵容卡情况!$J52)</f>
        <v>0</v>
      </c>
      <c r="AF24" s="80">
        <f>IF(各r阵容卡情况!$H52=0,0,IF(各r阵容卡情况!$AB52&lt;=1,各r阵容卡情况!$AB52*E$18,1*E$18)*各r阵容卡情况!$H52)+
IF(各r阵容卡情况!$I52=0,0,IF(各r阵容卡情况!$AC52&lt;=1,各r阵容卡情况!$AC52*E$19,1*E$19)*各r阵容卡情况!$I52)+
IF(各r阵容卡情况!$J52=0,0,IF(各r阵容卡情况!$AD52&lt;=1,各r阵容卡情况!$AD52*E$20,1*E$20)*各r阵容卡情况!$J52)</f>
        <v>0</v>
      </c>
      <c r="AG24" s="80">
        <f>IF(各r阵容卡情况!$H52=0,0,IF(各r阵容卡情况!$AB52&lt;=1,各r阵容卡情况!$AB52*F$18,1*F$18)*各r阵容卡情况!$H52)+
IF(各r阵容卡情况!$I52=0,0,IF(各r阵容卡情况!$AC52&lt;=1,各r阵容卡情况!$AC52*F$19,1*F$19)*各r阵容卡情况!$I52)+
IF(各r阵容卡情况!$J52=0,0,IF(各r阵容卡情况!$AD52&lt;=1,各r阵容卡情况!$AD52*F$20,1*F$20)*各r阵容卡情况!$J52)</f>
        <v>0</v>
      </c>
      <c r="AH24" s="67">
        <f>IF(各r阵容卡情况!$H52=0,0,IF(各r阵容卡情况!$AB52&lt;=1,0,(各r阵容卡情况!$AB52-1)*G$26)*各r阵容卡情况!$H52)+
IF(各r阵容卡情况!$I52=0,0,IF(各r阵容卡情况!$AC52&lt;=1,0,(各r阵容卡情况!$AC52-1)*G$27)*各r阵容卡情况!$I52)+
IF(各r阵容卡情况!$J52=0,0,IF(各r阵容卡情况!$AD52&lt;=1,0,(各r阵容卡情况!$AD52-1)*G$28)*各r阵容卡情况!$J52)</f>
        <v>0</v>
      </c>
      <c r="AI24" s="67">
        <f>IF(各r阵容卡情况!$H52=0,0,IF(各r阵容卡情况!$AB52&lt;=1,0,(各r阵容卡情况!$AB52-1)*H$26)*各r阵容卡情况!$H52)+
IF(各r阵容卡情况!$I52=0,0,IF(各r阵容卡情况!$AC52&lt;=1,0,(各r阵容卡情况!$AC52-1)*H$27)*各r阵容卡情况!$I52)+
IF(各r阵容卡情况!$J52=0,0,IF(各r阵容卡情况!$AD52&lt;=1,0,(各r阵容卡情况!$AD52-1)*H$28)*各r阵容卡情况!$J52)</f>
        <v>0</v>
      </c>
      <c r="AJ24" s="67">
        <f>IF(各r阵容卡情况!$H52=0,0,IF(各r阵容卡情况!$AB52&lt;=1,0,(各r阵容卡情况!$AB52-1)*I$26)*各r阵容卡情况!$H52)+
IF(各r阵容卡情况!$I52=0,0,IF(各r阵容卡情况!$AC52&lt;=1,0,(各r阵容卡情况!$AC52-1)*I$27)*各r阵容卡情况!$I52)+
IF(各r阵容卡情况!$J52=0,0,IF(各r阵容卡情况!$AD52&lt;=1,0,(各r阵容卡情况!$AD52-1)*I$28)*各r阵容卡情况!$J52)</f>
        <v>0</v>
      </c>
      <c r="AL24" s="14">
        <v>105</v>
      </c>
      <c r="AM24" s="80">
        <f t="shared" si="21"/>
        <v>48</v>
      </c>
      <c r="AN24" s="80">
        <f t="shared" si="22"/>
        <v>0</v>
      </c>
      <c r="AO24" s="80">
        <f t="shared" si="23"/>
        <v>0</v>
      </c>
      <c r="AP24" s="80">
        <f t="shared" si="24"/>
        <v>240</v>
      </c>
      <c r="AQ24" s="80">
        <f t="shared" si="25"/>
        <v>0</v>
      </c>
      <c r="AR24" s="80">
        <f t="shared" si="26"/>
        <v>0</v>
      </c>
      <c r="AS24" s="80">
        <f t="shared" si="27"/>
        <v>0</v>
      </c>
      <c r="AT24" s="80">
        <f t="shared" si="28"/>
        <v>0</v>
      </c>
      <c r="AU24" s="80">
        <f t="shared" si="29"/>
        <v>0</v>
      </c>
      <c r="AV24" s="80">
        <f t="shared" si="30"/>
        <v>0</v>
      </c>
      <c r="AW24" s="80">
        <f t="shared" si="31"/>
        <v>0</v>
      </c>
      <c r="AX24" s="80">
        <f t="shared" si="32"/>
        <v>0</v>
      </c>
      <c r="AY24" s="61" t="e">
        <f>SUMPRODUCT(AM24:AR24/'[1]功能-行军令'!$GI$26:$GN$26+AS24:AX24/'[1]功能-行军令'!$GI$26:$GN$26)/0.18</f>
        <v>#DIV/0!</v>
      </c>
      <c r="BO24" s="80">
        <f t="shared" si="15"/>
        <v>96.807063977001675</v>
      </c>
      <c r="BP24" s="80">
        <f t="shared" si="16"/>
        <v>12300000</v>
      </c>
      <c r="BQ24" s="80">
        <f>(BP24-BP23)*INDEX('[1]功能-付费相关'!$AQ$6:$AQ$165,$BO24,1)+BQ23</f>
        <v>15965.959189681667</v>
      </c>
      <c r="BR24" s="80"/>
      <c r="BS24" s="80"/>
    </row>
    <row r="25" spans="2:77" x14ac:dyDescent="0.15">
      <c r="B25" s="199"/>
      <c r="C25" s="80" t="s">
        <v>1</v>
      </c>
      <c r="D25" s="80"/>
      <c r="E25" s="80"/>
      <c r="F25" s="80"/>
      <c r="G25" s="80"/>
      <c r="H25" s="80"/>
      <c r="I25" s="80"/>
      <c r="L25" s="61">
        <v>24</v>
      </c>
      <c r="M25" s="80">
        <f>基础状态预期!D37</f>
        <v>96.807063977001675</v>
      </c>
      <c r="N25" s="80">
        <f>IF(基础状态预期!F37="",0,IF(基础状态预期!Z37&lt;=1,基础状态预期!Z37*D$4,1*D$4+(基础状态预期!Z37-1)*武将觉醒!D$5))</f>
        <v>0</v>
      </c>
      <c r="O25" s="80">
        <f>IF(基础状态预期!G37="",0,IF(基础状态预期!AA37&lt;=1,基础状态预期!AA37*E$4,1*E$4+(基础状态预期!AA37-1)*武将觉醒!E$5))</f>
        <v>0</v>
      </c>
      <c r="P25" s="80">
        <f>IF(基础状态预期!H37="",0,IF(基础状态预期!AB37&lt;=1,基础状态预期!AB37*F$4,1*F$4+(基础状态预期!AB37-1)*武将觉醒!F$5))</f>
        <v>0</v>
      </c>
      <c r="Q25" s="80">
        <f>IF(基础状态预期!I37="",0,IF(基础状态预期!AC37&lt;=1,基础状态预期!AC37*G$4,1*G$4+(基础状态预期!AC37-1)*武将觉醒!G$5))</f>
        <v>0</v>
      </c>
      <c r="R25" s="80">
        <f>IF(基础状态预期!J37="",0,IF(基础状态预期!AD37&lt;=1,基础状态预期!AD37*H$4,1*H$4+(基础状态预期!AD37-1)*武将觉醒!H$5))</f>
        <v>2050000</v>
      </c>
      <c r="S25" s="80">
        <f>MAX(SUMPRODUCT(N25:R25,基础状态预期!F37:J37),S24)</f>
        <v>12300000</v>
      </c>
      <c r="T25" s="80">
        <f>IF(基础状态预期!Z37="",0,IFERROR(基础状态预期!F37*求节点($C$62:$C$63,D$62:D$63,基础状态预期!Z37),0)+IFERROR(基础状态预期!$J37*求节点($C$71:$C$72,D$71:D$72,基础状态预期!$AD37),0))</f>
        <v>0</v>
      </c>
      <c r="U25" s="80">
        <f>IF(基础状态预期!AA37="",0,IFERROR(基础状态预期!G37*求节点($C$62:$C$63,E$62:E$63,基础状态预期!AA37),0)+IFERROR(基础状态预期!$J37*求节点($C$71:$C$72,E$71:E$72,基础状态预期!$AD37),0))</f>
        <v>0</v>
      </c>
      <c r="V25" s="80">
        <f>IF(基础状态预期!AB37="",0,IFERROR(基础状态预期!H37*求节点($C$62:$C$63,F$62:F$63,基础状态预期!AB37),0)+IFERROR(基础状态预期!$J37*求节点($C$71:$C$72,F$71:F$72,基础状态预期!$AD37),0))</f>
        <v>0</v>
      </c>
      <c r="W25" s="80">
        <f>IF(基础状态预期!AC37="",0,IFERROR(基础状态预期!I37*求节点($C$62:$C$63,G$62:G$63,基础状态预期!AC37),0)+IFERROR(基础状态预期!$J37*求节点($C$71:$C$72,G$71:G$72,基础状态预期!$AD37),0))</f>
        <v>0</v>
      </c>
      <c r="X25" s="80">
        <f>IF(基础状态预期!AD37="",0,IFERROR(基础状态预期!J37*求节点($C$62:$C$63,H$62:H$63,基础状态预期!AD37),0)+IFERROR(基础状态预期!$J37*求节点($C$71:$C$72,H$71:H$72,基础状态预期!$AD37),0))</f>
        <v>0</v>
      </c>
      <c r="Y25" s="80">
        <f>IF(基础状态预期!$H37="",0,IF(基础状态预期!$AB37&lt;=1,基础状态预期!$AB37*D$18,D$18)*基础状态预期!$H37)+
IF(基础状态预期!$I37="",0,IF(基础状态预期!$AC37&lt;=1,基础状态预期!$AC37*D$19,D$19)*基础状态预期!$I37)+
IF(基础状态预期!$J37="",0,IF(基础状态预期!$AD37&lt;=1,基础状态预期!$AD37*D$20,D$20)*基础状态预期!$J37)</f>
        <v>48</v>
      </c>
      <c r="Z25" s="80">
        <f>IF(基础状态预期!$H37="",0,IF(基础状态预期!$AB37&lt;=1,基础状态预期!$AB37*E$18,E$18)*基础状态预期!$H37)+
IF(基础状态预期!$I37="",0,IF(基础状态预期!$AC37&lt;=1,基础状态预期!$AC37*E$19,E$19)*基础状态预期!$I37)+
IF(基础状态预期!$J37="",0,IF(基础状态预期!$AD37&lt;=1,基础状态预期!$AD37*E$20,E$20)*基础状态预期!$J37)</f>
        <v>0</v>
      </c>
      <c r="AA25" s="80">
        <f>IF(基础状态预期!$H37="",0,IF(基础状态预期!$AB37&lt;=1,基础状态预期!$AB37*F$18,F$18)*基础状态预期!$H37)+
IF(基础状态预期!$I37="",0,IF(基础状态预期!$AC37&lt;=1,基础状态预期!$AC37*F$19,F$19)*基础状态预期!$I37)+
IF(基础状态预期!$J37="",0,IF(基础状态预期!$AD37&lt;=1,基础状态预期!$AD37*F$20,F$20)*基础状态预期!$J37)</f>
        <v>0</v>
      </c>
      <c r="AB25" s="67">
        <f>IF(基础状态预期!$H37="",0,IF(基础状态预期!$AB37&lt;=1,0,(基础状态预期!$AB37-1)*G$26)*基础状态预期!$H37)+
IF(基础状态预期!$I37="",0,IF(基础状态预期!$AC37&lt;=1,0,(基础状态预期!$AC37-1)*G$27)*基础状态预期!$I37)+
IF(基础状态预期!$J37="",0,IF(基础状态预期!$AD37&lt;=1,0,(基础状态预期!$AD37-1)*G$28)*基础状态预期!$J37)</f>
        <v>240</v>
      </c>
      <c r="AC25" s="67">
        <f>IF(基础状态预期!$H37="",0,IF(基础状态预期!$AB37&lt;=1,0,(基础状态预期!$AB37-1)*H$26)*基础状态预期!$H37)+
IF(基础状态预期!$I37="",0,IF(基础状态预期!$AC37&lt;=1,0,(基础状态预期!$AC37-1)*H$27)*基础状态预期!$I37)+
IF(基础状态预期!$J37="",0,IF(基础状态预期!$AD37&lt;=1,0,(基础状态预期!$AD37-1)*H$28)*基础状态预期!$J37)</f>
        <v>0</v>
      </c>
      <c r="AD25" s="67">
        <f>IF(基础状态预期!$H37="",0,IF(基础状态预期!$AB37&lt;=1,0,(基础状态预期!$AB37-1)*I$26)*基础状态预期!$H37)+
IF(基础状态预期!$I37="",0,IF(基础状态预期!$AC37&lt;=1,0,(基础状态预期!$AC37-1)*I$27)*基础状态预期!$I37)+
IF(基础状态预期!$J37="",0,IF(基础状态预期!$AD37&lt;=1,0,(基础状态预期!$AD37-1)*I$28)*基础状态预期!$J37)</f>
        <v>0</v>
      </c>
      <c r="AE25" s="80">
        <f>IF(各r阵容卡情况!$H53=0,0,IF(各r阵容卡情况!$AB53&lt;=1,各r阵容卡情况!$AB53*D$18,1*D$18)*各r阵容卡情况!$H53)+
IF(各r阵容卡情况!$I53=0,0,IF(各r阵容卡情况!$AC53&lt;=1,各r阵容卡情况!$AC53*D$19,1*D$19)*各r阵容卡情况!$I53)+
IF(各r阵容卡情况!$J53=0,0,IF(各r阵容卡情况!$AD53&lt;=1,各r阵容卡情况!$AD53*D$20,1*D$20)*各r阵容卡情况!$J53)</f>
        <v>0</v>
      </c>
      <c r="AF25" s="80">
        <f>IF(各r阵容卡情况!$H53=0,0,IF(各r阵容卡情况!$AB53&lt;=1,各r阵容卡情况!$AB53*E$18,1*E$18)*各r阵容卡情况!$H53)+
IF(各r阵容卡情况!$I53=0,0,IF(各r阵容卡情况!$AC53&lt;=1,各r阵容卡情况!$AC53*E$19,1*E$19)*各r阵容卡情况!$I53)+
IF(各r阵容卡情况!$J53=0,0,IF(各r阵容卡情况!$AD53&lt;=1,各r阵容卡情况!$AD53*E$20,1*E$20)*各r阵容卡情况!$J53)</f>
        <v>0</v>
      </c>
      <c r="AG25" s="80">
        <f>IF(各r阵容卡情况!$H53=0,0,IF(各r阵容卡情况!$AB53&lt;=1,各r阵容卡情况!$AB53*F$18,1*F$18)*各r阵容卡情况!$H53)+
IF(各r阵容卡情况!$I53=0,0,IF(各r阵容卡情况!$AC53&lt;=1,各r阵容卡情况!$AC53*F$19,1*F$19)*各r阵容卡情况!$I53)+
IF(各r阵容卡情况!$J53=0,0,IF(各r阵容卡情况!$AD53&lt;=1,各r阵容卡情况!$AD53*F$20,1*F$20)*各r阵容卡情况!$J53)</f>
        <v>0</v>
      </c>
      <c r="AH25" s="67">
        <f>IF(各r阵容卡情况!$H53=0,0,IF(各r阵容卡情况!$AB53&lt;=1,0,(各r阵容卡情况!$AB53-1)*G$26)*各r阵容卡情况!$H53)+
IF(各r阵容卡情况!$I53=0,0,IF(各r阵容卡情况!$AC53&lt;=1,0,(各r阵容卡情况!$AC53-1)*G$27)*各r阵容卡情况!$I53)+
IF(各r阵容卡情况!$J53=0,0,IF(各r阵容卡情况!$AD53&lt;=1,0,(各r阵容卡情况!$AD53-1)*G$28)*各r阵容卡情况!$J53)</f>
        <v>0</v>
      </c>
      <c r="AI25" s="67">
        <f>IF(各r阵容卡情况!$H53=0,0,IF(各r阵容卡情况!$AB53&lt;=1,0,(各r阵容卡情况!$AB53-1)*H$26)*各r阵容卡情况!$H53)+
IF(各r阵容卡情况!$I53=0,0,IF(各r阵容卡情况!$AC53&lt;=1,0,(各r阵容卡情况!$AC53-1)*H$27)*各r阵容卡情况!$I53)+
IF(各r阵容卡情况!$J53=0,0,IF(各r阵容卡情况!$AD53&lt;=1,0,(各r阵容卡情况!$AD53-1)*H$28)*各r阵容卡情况!$J53)</f>
        <v>0</v>
      </c>
      <c r="AJ25" s="67">
        <f>IF(各r阵容卡情况!$H53=0,0,IF(各r阵容卡情况!$AB53&lt;=1,0,(各r阵容卡情况!$AB53-1)*I$26)*各r阵容卡情况!$H53)+
IF(各r阵容卡情况!$I53=0,0,IF(各r阵容卡情况!$AC53&lt;=1,0,(各r阵容卡情况!$AC53-1)*I$27)*各r阵容卡情况!$I53)+
IF(各r阵容卡情况!$J53=0,0,IF(各r阵容卡情况!$AD53&lt;=1,0,(各r阵容卡情况!$AD53-1)*I$28)*各r阵容卡情况!$J53)</f>
        <v>0</v>
      </c>
      <c r="AL25" s="14">
        <v>110</v>
      </c>
      <c r="AM25" s="80">
        <f t="shared" si="21"/>
        <v>48</v>
      </c>
      <c r="AN25" s="80">
        <f t="shared" si="22"/>
        <v>0</v>
      </c>
      <c r="AO25" s="80">
        <f t="shared" si="23"/>
        <v>0</v>
      </c>
      <c r="AP25" s="80">
        <f t="shared" si="24"/>
        <v>240</v>
      </c>
      <c r="AQ25" s="80">
        <f t="shared" si="25"/>
        <v>0</v>
      </c>
      <c r="AR25" s="80">
        <f t="shared" si="26"/>
        <v>0</v>
      </c>
      <c r="AS25" s="80">
        <f t="shared" si="27"/>
        <v>0</v>
      </c>
      <c r="AT25" s="80">
        <f t="shared" si="28"/>
        <v>0</v>
      </c>
      <c r="AU25" s="80">
        <f t="shared" si="29"/>
        <v>0</v>
      </c>
      <c r="AV25" s="80">
        <f t="shared" si="30"/>
        <v>0</v>
      </c>
      <c r="AW25" s="80">
        <f t="shared" si="31"/>
        <v>0</v>
      </c>
      <c r="AX25" s="80">
        <f t="shared" si="32"/>
        <v>0</v>
      </c>
      <c r="AY25" s="61" t="e">
        <f>SUMPRODUCT(AM25:AR25/'[1]功能-行军令'!$GI$26:$GN$26+AS25:AX25/'[1]功能-行军令'!$GI$26:$GN$26)/0.18</f>
        <v>#DIV/0!</v>
      </c>
      <c r="BO25" s="80">
        <f t="shared" si="15"/>
        <v>100.50342858241972</v>
      </c>
      <c r="BP25" s="80">
        <f t="shared" si="16"/>
        <v>12300000</v>
      </c>
      <c r="BQ25" s="80">
        <f>(BP25-BP24)*INDEX('[1]功能-付费相关'!$AQ$6:$AQ$165,$BO25,1)+BQ24</f>
        <v>15965.959189681667</v>
      </c>
      <c r="BR25" s="80"/>
      <c r="BS25" s="80"/>
    </row>
    <row r="26" spans="2:77" x14ac:dyDescent="0.15">
      <c r="B26" s="199"/>
      <c r="C26" s="80" t="s">
        <v>2</v>
      </c>
      <c r="D26" s="80"/>
      <c r="E26" s="80"/>
      <c r="F26" s="80"/>
      <c r="G26" s="80">
        <v>20</v>
      </c>
      <c r="H26" s="80"/>
      <c r="I26" s="80"/>
      <c r="L26" s="61">
        <v>25</v>
      </c>
      <c r="M26" s="80">
        <f>基础状态预期!D38</f>
        <v>100.50342858241972</v>
      </c>
      <c r="N26" s="80">
        <f>IF(基础状态预期!F38="",0,IF(基础状态预期!Z38&lt;=1,基础状态预期!Z38*D$4,1*D$4+(基础状态预期!Z38-1)*武将觉醒!D$5))</f>
        <v>0</v>
      </c>
      <c r="O26" s="80">
        <f>IF(基础状态预期!G38="",0,IF(基础状态预期!AA38&lt;=1,基础状态预期!AA38*E$4,1*E$4+(基础状态预期!AA38-1)*武将觉醒!E$5))</f>
        <v>0</v>
      </c>
      <c r="P26" s="80">
        <f>IF(基础状态预期!H38="",0,IF(基础状态预期!AB38&lt;=1,基础状态预期!AB38*F$4,1*F$4+(基础状态预期!AB38-1)*武将觉醒!F$5))</f>
        <v>0</v>
      </c>
      <c r="Q26" s="80">
        <f>IF(基础状态预期!I38="",0,IF(基础状态预期!AC38&lt;=1,基础状态预期!AC38*G$4,1*G$4+(基础状态预期!AC38-1)*武将觉醒!G$5))</f>
        <v>0</v>
      </c>
      <c r="R26" s="80">
        <f>IF(基础状态预期!J38="",0,IF(基础状态预期!AD38&lt;=1,基础状态预期!AD38*H$4,1*H$4+(基础状态预期!AD38-1)*武将觉醒!H$5))</f>
        <v>2050000</v>
      </c>
      <c r="S26" s="80">
        <f>MAX(SUMPRODUCT(N26:R26,基础状态预期!F38:J38),S25)</f>
        <v>12300000</v>
      </c>
      <c r="T26" s="80">
        <f>IF(基础状态预期!Z38="",0,IFERROR(基础状态预期!F38*求节点($C$62:$C$63,D$62:D$63,基础状态预期!Z38),0)+IFERROR(基础状态预期!$J38*求节点($C$71:$C$72,D$71:D$72,基础状态预期!$AD38),0))</f>
        <v>0</v>
      </c>
      <c r="U26" s="80">
        <f>IF(基础状态预期!AA38="",0,IFERROR(基础状态预期!G38*求节点($C$62:$C$63,E$62:E$63,基础状态预期!AA38),0)+IFERROR(基础状态预期!$J38*求节点($C$71:$C$72,E$71:E$72,基础状态预期!$AD38),0))</f>
        <v>0</v>
      </c>
      <c r="V26" s="80">
        <f>IF(基础状态预期!AB38="",0,IFERROR(基础状态预期!H38*求节点($C$62:$C$63,F$62:F$63,基础状态预期!AB38),0)+IFERROR(基础状态预期!$J38*求节点($C$71:$C$72,F$71:F$72,基础状态预期!$AD38),0))</f>
        <v>0</v>
      </c>
      <c r="W26" s="80">
        <f>IF(基础状态预期!AC38="",0,IFERROR(基础状态预期!I38*求节点($C$62:$C$63,G$62:G$63,基础状态预期!AC38),0)+IFERROR(基础状态预期!$J38*求节点($C$71:$C$72,G$71:G$72,基础状态预期!$AD38),0))</f>
        <v>0</v>
      </c>
      <c r="X26" s="80">
        <f>IF(基础状态预期!AD38="",0,IFERROR(基础状态预期!J38*求节点($C$62:$C$63,H$62:H$63,基础状态预期!AD38),0)+IFERROR(基础状态预期!$J38*求节点($C$71:$C$72,H$71:H$72,基础状态预期!$AD38),0))</f>
        <v>0</v>
      </c>
      <c r="Y26" s="80">
        <f>IF(基础状态预期!$H38="",0,IF(基础状态预期!$AB38&lt;=1,基础状态预期!$AB38*D$18,D$18)*基础状态预期!$H38)+
IF(基础状态预期!$I38="",0,IF(基础状态预期!$AC38&lt;=1,基础状态预期!$AC38*D$19,D$19)*基础状态预期!$I38)+
IF(基础状态预期!$J38="",0,IF(基础状态预期!$AD38&lt;=1,基础状态预期!$AD38*D$20,D$20)*基础状态预期!$J38)</f>
        <v>48</v>
      </c>
      <c r="Z26" s="80">
        <f>IF(基础状态预期!$H38="",0,IF(基础状态预期!$AB38&lt;=1,基础状态预期!$AB38*E$18,E$18)*基础状态预期!$H38)+
IF(基础状态预期!$I38="",0,IF(基础状态预期!$AC38&lt;=1,基础状态预期!$AC38*E$19,E$19)*基础状态预期!$I38)+
IF(基础状态预期!$J38="",0,IF(基础状态预期!$AD38&lt;=1,基础状态预期!$AD38*E$20,E$20)*基础状态预期!$J38)</f>
        <v>0</v>
      </c>
      <c r="AA26" s="80">
        <f>IF(基础状态预期!$H38="",0,IF(基础状态预期!$AB38&lt;=1,基础状态预期!$AB38*F$18,F$18)*基础状态预期!$H38)+
IF(基础状态预期!$I38="",0,IF(基础状态预期!$AC38&lt;=1,基础状态预期!$AC38*F$19,F$19)*基础状态预期!$I38)+
IF(基础状态预期!$J38="",0,IF(基础状态预期!$AD38&lt;=1,基础状态预期!$AD38*F$20,F$20)*基础状态预期!$J38)</f>
        <v>0</v>
      </c>
      <c r="AB26" s="67">
        <f>IF(基础状态预期!$H38="",0,IF(基础状态预期!$AB38&lt;=1,0,(基础状态预期!$AB38-1)*G$26)*基础状态预期!$H38)+
IF(基础状态预期!$I38="",0,IF(基础状态预期!$AC38&lt;=1,0,(基础状态预期!$AC38-1)*G$27)*基础状态预期!$I38)+
IF(基础状态预期!$J38="",0,IF(基础状态预期!$AD38&lt;=1,0,(基础状态预期!$AD38-1)*G$28)*基础状态预期!$J38)</f>
        <v>240</v>
      </c>
      <c r="AC26" s="67">
        <f>IF(基础状态预期!$H38="",0,IF(基础状态预期!$AB38&lt;=1,0,(基础状态预期!$AB38-1)*H$26)*基础状态预期!$H38)+
IF(基础状态预期!$I38="",0,IF(基础状态预期!$AC38&lt;=1,0,(基础状态预期!$AC38-1)*H$27)*基础状态预期!$I38)+
IF(基础状态预期!$J38="",0,IF(基础状态预期!$AD38&lt;=1,0,(基础状态预期!$AD38-1)*H$28)*基础状态预期!$J38)</f>
        <v>0</v>
      </c>
      <c r="AD26" s="67">
        <f>IF(基础状态预期!$H38="",0,IF(基础状态预期!$AB38&lt;=1,0,(基础状态预期!$AB38-1)*I$26)*基础状态预期!$H38)+
IF(基础状态预期!$I38="",0,IF(基础状态预期!$AC38&lt;=1,0,(基础状态预期!$AC38-1)*I$27)*基础状态预期!$I38)+
IF(基础状态预期!$J38="",0,IF(基础状态预期!$AD38&lt;=1,0,(基础状态预期!$AD38-1)*I$28)*基础状态预期!$J38)</f>
        <v>0</v>
      </c>
      <c r="AE26" s="80">
        <f>IF(各r阵容卡情况!$H54=0,0,IF(各r阵容卡情况!$AB54&lt;=1,各r阵容卡情况!$AB54*D$18,1*D$18)*各r阵容卡情况!$H54)+
IF(各r阵容卡情况!$I54=0,0,IF(各r阵容卡情况!$AC54&lt;=1,各r阵容卡情况!$AC54*D$19,1*D$19)*各r阵容卡情况!$I54)+
IF(各r阵容卡情况!$J54=0,0,IF(各r阵容卡情况!$AD54&lt;=1,各r阵容卡情况!$AD54*D$20,1*D$20)*各r阵容卡情况!$J54)</f>
        <v>0</v>
      </c>
      <c r="AF26" s="80">
        <f>IF(各r阵容卡情况!$H54=0,0,IF(各r阵容卡情况!$AB54&lt;=1,各r阵容卡情况!$AB54*E$18,1*E$18)*各r阵容卡情况!$H54)+
IF(各r阵容卡情况!$I54=0,0,IF(各r阵容卡情况!$AC54&lt;=1,各r阵容卡情况!$AC54*E$19,1*E$19)*各r阵容卡情况!$I54)+
IF(各r阵容卡情况!$J54=0,0,IF(各r阵容卡情况!$AD54&lt;=1,各r阵容卡情况!$AD54*E$20,1*E$20)*各r阵容卡情况!$J54)</f>
        <v>0</v>
      </c>
      <c r="AG26" s="80">
        <f>IF(各r阵容卡情况!$H54=0,0,IF(各r阵容卡情况!$AB54&lt;=1,各r阵容卡情况!$AB54*F$18,1*F$18)*各r阵容卡情况!$H54)+
IF(各r阵容卡情况!$I54=0,0,IF(各r阵容卡情况!$AC54&lt;=1,各r阵容卡情况!$AC54*F$19,1*F$19)*各r阵容卡情况!$I54)+
IF(各r阵容卡情况!$J54=0,0,IF(各r阵容卡情况!$AD54&lt;=1,各r阵容卡情况!$AD54*F$20,1*F$20)*各r阵容卡情况!$J54)</f>
        <v>0</v>
      </c>
      <c r="AH26" s="67">
        <f>IF(各r阵容卡情况!$H54=0,0,IF(各r阵容卡情况!$AB54&lt;=1,0,(各r阵容卡情况!$AB54-1)*G$26)*各r阵容卡情况!$H54)+
IF(各r阵容卡情况!$I54=0,0,IF(各r阵容卡情况!$AC54&lt;=1,0,(各r阵容卡情况!$AC54-1)*G$27)*各r阵容卡情况!$I54)+
IF(各r阵容卡情况!$J54=0,0,IF(各r阵容卡情况!$AD54&lt;=1,0,(各r阵容卡情况!$AD54-1)*G$28)*各r阵容卡情况!$J54)</f>
        <v>0</v>
      </c>
      <c r="AI26" s="67">
        <f>IF(各r阵容卡情况!$H54=0,0,IF(各r阵容卡情况!$AB54&lt;=1,0,(各r阵容卡情况!$AB54-1)*H$26)*各r阵容卡情况!$H54)+
IF(各r阵容卡情况!$I54=0,0,IF(各r阵容卡情况!$AC54&lt;=1,0,(各r阵容卡情况!$AC54-1)*H$27)*各r阵容卡情况!$I54)+
IF(各r阵容卡情况!$J54=0,0,IF(各r阵容卡情况!$AD54&lt;=1,0,(各r阵容卡情况!$AD54-1)*H$28)*各r阵容卡情况!$J54)</f>
        <v>0</v>
      </c>
      <c r="AJ26" s="67">
        <f>IF(各r阵容卡情况!$H54=0,0,IF(各r阵容卡情况!$AB54&lt;=1,0,(各r阵容卡情况!$AB54-1)*I$26)*各r阵容卡情况!$H54)+
IF(各r阵容卡情况!$I54=0,0,IF(各r阵容卡情况!$AC54&lt;=1,0,(各r阵容卡情况!$AC54-1)*I$27)*各r阵容卡情况!$I54)+
IF(各r阵容卡情况!$J54=0,0,IF(各r阵容卡情况!$AD54&lt;=1,0,(各r阵容卡情况!$AD54-1)*I$28)*各r阵容卡情况!$J54)</f>
        <v>0</v>
      </c>
      <c r="AL26" s="14">
        <v>115</v>
      </c>
      <c r="AM26" s="80">
        <f t="shared" si="21"/>
        <v>48</v>
      </c>
      <c r="AN26" s="80">
        <f t="shared" si="22"/>
        <v>0</v>
      </c>
      <c r="AO26" s="80">
        <f t="shared" si="23"/>
        <v>0</v>
      </c>
      <c r="AP26" s="80">
        <f t="shared" si="24"/>
        <v>240</v>
      </c>
      <c r="AQ26" s="80">
        <f t="shared" si="25"/>
        <v>0</v>
      </c>
      <c r="AR26" s="80">
        <f t="shared" si="26"/>
        <v>0</v>
      </c>
      <c r="AS26" s="80">
        <f t="shared" si="27"/>
        <v>1.1070912420880132</v>
      </c>
      <c r="AT26" s="80">
        <f t="shared" si="28"/>
        <v>0</v>
      </c>
      <c r="AU26" s="80">
        <f t="shared" si="29"/>
        <v>0</v>
      </c>
      <c r="AV26" s="80">
        <f t="shared" si="30"/>
        <v>1.1539637987090181</v>
      </c>
      <c r="AW26" s="80">
        <f t="shared" si="31"/>
        <v>0</v>
      </c>
      <c r="AX26" s="80">
        <f t="shared" si="32"/>
        <v>0</v>
      </c>
      <c r="AY26" s="61" t="e">
        <f>SUMPRODUCT(AM26:AR26/'[1]功能-行军令'!$GI$26:$GN$26+AS26:AX26/'[1]功能-行军令'!$GI$26:$GN$26)/0.18</f>
        <v>#DIV/0!</v>
      </c>
      <c r="BO26" s="80">
        <f t="shared" si="15"/>
        <v>104.10129967499306</v>
      </c>
      <c r="BP26" s="80">
        <f t="shared" si="16"/>
        <v>12300000</v>
      </c>
      <c r="BQ26" s="80">
        <f>(BP26-BP25)*INDEX('[1]功能-付费相关'!$AQ$6:$AQ$165,$BO26,1)+BQ25</f>
        <v>15965.959189681667</v>
      </c>
      <c r="BR26" s="80"/>
      <c r="BS26" s="80"/>
    </row>
    <row r="27" spans="2:77" x14ac:dyDescent="0.15">
      <c r="B27" s="199"/>
      <c r="C27" s="80" t="s">
        <v>0</v>
      </c>
      <c r="D27" s="80"/>
      <c r="E27" s="80"/>
      <c r="F27" s="80"/>
      <c r="G27" s="80">
        <v>30</v>
      </c>
      <c r="H27" s="80"/>
      <c r="I27" s="80"/>
      <c r="L27" s="61">
        <v>26</v>
      </c>
      <c r="M27" s="80">
        <f>基础状态预期!D39</f>
        <v>104.10129967499306</v>
      </c>
      <c r="N27" s="80">
        <f>IF(基础状态预期!F39="",0,IF(基础状态预期!Z39&lt;=1,基础状态预期!Z39*D$4,1*D$4+(基础状态预期!Z39-1)*武将觉醒!D$5))</f>
        <v>0</v>
      </c>
      <c r="O27" s="80">
        <f>IF(基础状态预期!G39="",0,IF(基础状态预期!AA39&lt;=1,基础状态预期!AA39*E$4,1*E$4+(基础状态预期!AA39-1)*武将觉醒!E$5))</f>
        <v>0</v>
      </c>
      <c r="P27" s="80">
        <f>IF(基础状态预期!H39="",0,IF(基础状态预期!AB39&lt;=1,基础状态预期!AB39*F$4,1*F$4+(基础状态预期!AB39-1)*武将觉醒!F$5))</f>
        <v>0</v>
      </c>
      <c r="Q27" s="80">
        <f>IF(基础状态预期!I39="",0,IF(基础状态预期!AC39&lt;=1,基础状态预期!AC39*G$4,1*G$4+(基础状态预期!AC39-1)*武将觉醒!G$5))</f>
        <v>0</v>
      </c>
      <c r="R27" s="80">
        <f>IF(基础状态预期!J39="",0,IF(基础状态预期!AD39&lt;=1,基础状态预期!AD39*H$4,1*H$4+(基础状态预期!AD39-1)*武将觉醒!H$5))</f>
        <v>2050000</v>
      </c>
      <c r="S27" s="80">
        <f>MAX(SUMPRODUCT(N27:R27,基础状态预期!F39:J39),S26)</f>
        <v>12300000</v>
      </c>
      <c r="T27" s="80">
        <f>IF(基础状态预期!Z39="",0,IFERROR(基础状态预期!F39*求节点($C$62:$C$63,D$62:D$63,基础状态预期!Z39),0)+IFERROR(基础状态预期!$J39*求节点($C$71:$C$72,D$71:D$72,基础状态预期!$AD39),0))</f>
        <v>0</v>
      </c>
      <c r="U27" s="80">
        <f>IF(基础状态预期!AA39="",0,IFERROR(基础状态预期!G39*求节点($C$62:$C$63,E$62:E$63,基础状态预期!AA39),0)+IFERROR(基础状态预期!$J39*求节点($C$71:$C$72,E$71:E$72,基础状态预期!$AD39),0))</f>
        <v>0</v>
      </c>
      <c r="V27" s="80">
        <f>IF(基础状态预期!AB39="",0,IFERROR(基础状态预期!H39*求节点($C$62:$C$63,F$62:F$63,基础状态预期!AB39),0)+IFERROR(基础状态预期!$J39*求节点($C$71:$C$72,F$71:F$72,基础状态预期!$AD39),0))</f>
        <v>0</v>
      </c>
      <c r="W27" s="80">
        <f>IF(基础状态预期!AC39="",0,IFERROR(基础状态预期!I39*求节点($C$62:$C$63,G$62:G$63,基础状态预期!AC39),0)+IFERROR(基础状态预期!$J39*求节点($C$71:$C$72,G$71:G$72,基础状态预期!$AD39),0))</f>
        <v>0</v>
      </c>
      <c r="X27" s="80">
        <f>IF(基础状态预期!AD39="",0,IFERROR(基础状态预期!J39*求节点($C$62:$C$63,H$62:H$63,基础状态预期!AD39),0)+IFERROR(基础状态预期!$J39*求节点($C$71:$C$72,H$71:H$72,基础状态预期!$AD39),0))</f>
        <v>0</v>
      </c>
      <c r="Y27" s="80">
        <f>IF(基础状态预期!$H39="",0,IF(基础状态预期!$AB39&lt;=1,基础状态预期!$AB39*D$18,D$18)*基础状态预期!$H39)+
IF(基础状态预期!$I39="",0,IF(基础状态预期!$AC39&lt;=1,基础状态预期!$AC39*D$19,D$19)*基础状态预期!$I39)+
IF(基础状态预期!$J39="",0,IF(基础状态预期!$AD39&lt;=1,基础状态预期!$AD39*D$20,D$20)*基础状态预期!$J39)</f>
        <v>48</v>
      </c>
      <c r="Z27" s="80">
        <f>IF(基础状态预期!$H39="",0,IF(基础状态预期!$AB39&lt;=1,基础状态预期!$AB39*E$18,E$18)*基础状态预期!$H39)+
IF(基础状态预期!$I39="",0,IF(基础状态预期!$AC39&lt;=1,基础状态预期!$AC39*E$19,E$19)*基础状态预期!$I39)+
IF(基础状态预期!$J39="",0,IF(基础状态预期!$AD39&lt;=1,基础状态预期!$AD39*E$20,E$20)*基础状态预期!$J39)</f>
        <v>0</v>
      </c>
      <c r="AA27" s="80">
        <f>IF(基础状态预期!$H39="",0,IF(基础状态预期!$AB39&lt;=1,基础状态预期!$AB39*F$18,F$18)*基础状态预期!$H39)+
IF(基础状态预期!$I39="",0,IF(基础状态预期!$AC39&lt;=1,基础状态预期!$AC39*F$19,F$19)*基础状态预期!$I39)+
IF(基础状态预期!$J39="",0,IF(基础状态预期!$AD39&lt;=1,基础状态预期!$AD39*F$20,F$20)*基础状态预期!$J39)</f>
        <v>0</v>
      </c>
      <c r="AB27" s="67">
        <f>IF(基础状态预期!$H39="",0,IF(基础状态预期!$AB39&lt;=1,0,(基础状态预期!$AB39-1)*G$26)*基础状态预期!$H39)+
IF(基础状态预期!$I39="",0,IF(基础状态预期!$AC39&lt;=1,0,(基础状态预期!$AC39-1)*G$27)*基础状态预期!$I39)+
IF(基础状态预期!$J39="",0,IF(基础状态预期!$AD39&lt;=1,0,(基础状态预期!$AD39-1)*G$28)*基础状态预期!$J39)</f>
        <v>240</v>
      </c>
      <c r="AC27" s="67">
        <f>IF(基础状态预期!$H39="",0,IF(基础状态预期!$AB39&lt;=1,0,(基础状态预期!$AB39-1)*H$26)*基础状态预期!$H39)+
IF(基础状态预期!$I39="",0,IF(基础状态预期!$AC39&lt;=1,0,(基础状态预期!$AC39-1)*H$27)*基础状态预期!$I39)+
IF(基础状态预期!$J39="",0,IF(基础状态预期!$AD39&lt;=1,0,(基础状态预期!$AD39-1)*H$28)*基础状态预期!$J39)</f>
        <v>0</v>
      </c>
      <c r="AD27" s="67">
        <f>IF(基础状态预期!$H39="",0,IF(基础状态预期!$AB39&lt;=1,0,(基础状态预期!$AB39-1)*I$26)*基础状态预期!$H39)+
IF(基础状态预期!$I39="",0,IF(基础状态预期!$AC39&lt;=1,0,(基础状态预期!$AC39-1)*I$27)*基础状态预期!$I39)+
IF(基础状态预期!$J39="",0,IF(基础状态预期!$AD39&lt;=1,0,(基础状态预期!$AD39-1)*I$28)*基础状态预期!$J39)</f>
        <v>0</v>
      </c>
      <c r="AE27" s="80" t="e">
        <f>IF(各r阵容卡情况!$H55=0,0,IF(各r阵容卡情况!$AB55&lt;=1,各r阵容卡情况!$AB55*D$18,1*D$18)*各r阵容卡情况!$H55)+
IF(各r阵容卡情况!$I55=0,0,IF(各r阵容卡情况!$AC55&lt;=1,各r阵容卡情况!$AC55*D$19,1*D$19)*各r阵容卡情况!$I55)+
IF(各r阵容卡情况!$J55=0,0,IF(各r阵容卡情况!$AD55&lt;=1,各r阵容卡情况!$AD55*D$20,1*D$20)*各r阵容卡情况!$J55)</f>
        <v>#VALUE!</v>
      </c>
      <c r="AF27" s="80" t="e">
        <f>IF(各r阵容卡情况!$H55=0,0,IF(各r阵容卡情况!$AB55&lt;=1,各r阵容卡情况!$AB55*E$18,1*E$18)*各r阵容卡情况!$H55)+
IF(各r阵容卡情况!$I55=0,0,IF(各r阵容卡情况!$AC55&lt;=1,各r阵容卡情况!$AC55*E$19,1*E$19)*各r阵容卡情况!$I55)+
IF(各r阵容卡情况!$J55=0,0,IF(各r阵容卡情况!$AD55&lt;=1,各r阵容卡情况!$AD55*E$20,1*E$20)*各r阵容卡情况!$J55)</f>
        <v>#VALUE!</v>
      </c>
      <c r="AG27" s="80" t="e">
        <f>IF(各r阵容卡情况!$H55=0,0,IF(各r阵容卡情况!$AB55&lt;=1,各r阵容卡情况!$AB55*F$18,1*F$18)*各r阵容卡情况!$H55)+
IF(各r阵容卡情况!$I55=0,0,IF(各r阵容卡情况!$AC55&lt;=1,各r阵容卡情况!$AC55*F$19,1*F$19)*各r阵容卡情况!$I55)+
IF(各r阵容卡情况!$J55=0,0,IF(各r阵容卡情况!$AD55&lt;=1,各r阵容卡情况!$AD55*F$20,1*F$20)*各r阵容卡情况!$J55)</f>
        <v>#VALUE!</v>
      </c>
      <c r="AH27" s="67" t="e">
        <f>IF(各r阵容卡情况!$H55=0,0,IF(各r阵容卡情况!$AB55&lt;=1,0,(各r阵容卡情况!$AB55-1)*G$26)*各r阵容卡情况!$H55)+
IF(各r阵容卡情况!$I55=0,0,IF(各r阵容卡情况!$AC55&lt;=1,0,(各r阵容卡情况!$AC55-1)*G$27)*各r阵容卡情况!$I55)+
IF(各r阵容卡情况!$J55=0,0,IF(各r阵容卡情况!$AD55&lt;=1,0,(各r阵容卡情况!$AD55-1)*G$28)*各r阵容卡情况!$J55)</f>
        <v>#VALUE!</v>
      </c>
      <c r="AI27" s="67" t="e">
        <f>IF(各r阵容卡情况!$H55=0,0,IF(各r阵容卡情况!$AB55&lt;=1,0,(各r阵容卡情况!$AB55-1)*H$26)*各r阵容卡情况!$H55)+
IF(各r阵容卡情况!$I55=0,0,IF(各r阵容卡情况!$AC55&lt;=1,0,(各r阵容卡情况!$AC55-1)*H$27)*各r阵容卡情况!$I55)+
IF(各r阵容卡情况!$J55=0,0,IF(各r阵容卡情况!$AD55&lt;=1,0,(各r阵容卡情况!$AD55-1)*H$28)*各r阵容卡情况!$J55)</f>
        <v>#VALUE!</v>
      </c>
      <c r="AJ27" s="67" t="e">
        <f>IF(各r阵容卡情况!$H55=0,0,IF(各r阵容卡情况!$AB55&lt;=1,0,(各r阵容卡情况!$AB55-1)*I$26)*各r阵容卡情况!$H55)+
IF(各r阵容卡情况!$I55=0,0,IF(各r阵容卡情况!$AC55&lt;=1,0,(各r阵容卡情况!$AC55-1)*I$27)*各r阵容卡情况!$I55)+
IF(各r阵容卡情况!$J55=0,0,IF(各r阵容卡情况!$AD55&lt;=1,0,(各r阵容卡情况!$AD55-1)*I$28)*各r阵容卡情况!$J55)</f>
        <v>#VALUE!</v>
      </c>
      <c r="AL27" s="14">
        <v>120</v>
      </c>
      <c r="AM27" s="80">
        <f t="shared" si="21"/>
        <v>48</v>
      </c>
      <c r="AN27" s="80">
        <f t="shared" si="22"/>
        <v>0</v>
      </c>
      <c r="AO27" s="80">
        <f t="shared" si="23"/>
        <v>0</v>
      </c>
      <c r="AP27" s="80">
        <f t="shared" si="24"/>
        <v>240</v>
      </c>
      <c r="AQ27" s="80">
        <f t="shared" si="25"/>
        <v>0</v>
      </c>
      <c r="AR27" s="80">
        <f t="shared" si="26"/>
        <v>0</v>
      </c>
      <c r="AS27" s="80">
        <f t="shared" si="27"/>
        <v>12.539474923662565</v>
      </c>
      <c r="AT27" s="80">
        <f t="shared" si="28"/>
        <v>0</v>
      </c>
      <c r="AU27" s="80">
        <f t="shared" si="29"/>
        <v>0</v>
      </c>
      <c r="AV27" s="80">
        <f t="shared" si="30"/>
        <v>49.00178767284941</v>
      </c>
      <c r="AW27" s="80">
        <f t="shared" si="31"/>
        <v>0</v>
      </c>
      <c r="AX27" s="80">
        <f t="shared" si="32"/>
        <v>0</v>
      </c>
      <c r="AY27" s="61" t="e">
        <f>SUMPRODUCT(AM27:AR27/'[1]功能-行军令'!$GI$26:$GN$26+AS27:AX27/'[1]功能-行军令'!$GI$26:$GN$26)/0.18</f>
        <v>#DIV/0!</v>
      </c>
      <c r="BO27" s="80">
        <f t="shared" si="15"/>
        <v>107.48165553683219</v>
      </c>
      <c r="BP27" s="80">
        <f t="shared" si="16"/>
        <v>12300000</v>
      </c>
      <c r="BQ27" s="80">
        <f>(BP27-BP26)*INDEX('[1]功能-付费相关'!$AQ$6:$AQ$165,$BO27,1)+BQ26</f>
        <v>15965.959189681667</v>
      </c>
      <c r="BR27" s="80"/>
      <c r="BS27" s="80"/>
    </row>
    <row r="28" spans="2:77" x14ac:dyDescent="0.15">
      <c r="B28" s="199"/>
      <c r="C28" s="80" t="s">
        <v>545</v>
      </c>
      <c r="D28" s="80"/>
      <c r="E28" s="80"/>
      <c r="F28" s="80"/>
      <c r="G28" s="80">
        <v>40</v>
      </c>
      <c r="H28" s="80"/>
      <c r="I28" s="80"/>
      <c r="L28" s="61">
        <v>27</v>
      </c>
      <c r="M28" s="80">
        <f>基础状态预期!D40</f>
        <v>107.48165553683219</v>
      </c>
      <c r="N28" s="80">
        <f>IF(基础状态预期!F40="",0,IF(基础状态预期!Z40&lt;=1,基础状态预期!Z40*D$4,1*D$4+(基础状态预期!Z40-1)*武将觉醒!D$5))</f>
        <v>0</v>
      </c>
      <c r="O28" s="80">
        <f>IF(基础状态预期!G40="",0,IF(基础状态预期!AA40&lt;=1,基础状态预期!AA40*E$4,1*E$4+(基础状态预期!AA40-1)*武将觉醒!E$5))</f>
        <v>0</v>
      </c>
      <c r="P28" s="80">
        <f>IF(基础状态预期!H40="",0,IF(基础状态预期!AB40&lt;=1,基础状态预期!AB40*F$4,1*F$4+(基础状态预期!AB40-1)*武将觉醒!F$5))</f>
        <v>0</v>
      </c>
      <c r="Q28" s="80">
        <f>IF(基础状态预期!I40="",0,IF(基础状态预期!AC40&lt;=1,基础状态预期!AC40*G$4,1*G$4+(基础状态预期!AC40-1)*武将觉醒!G$5))</f>
        <v>0</v>
      </c>
      <c r="R28" s="80">
        <f>IF(基础状态预期!J40="",0,IF(基础状态预期!AD40&lt;=1,基础状态预期!AD40*H$4,1*H$4+(基础状态预期!AD40-1)*武将觉醒!H$5))</f>
        <v>2050000</v>
      </c>
      <c r="S28" s="80">
        <f>MAX(SUMPRODUCT(N28:R28,基础状态预期!F40:J40),S27)</f>
        <v>12300000</v>
      </c>
      <c r="T28" s="80">
        <f>IF(基础状态预期!Z40="",0,IFERROR(基础状态预期!F40*求节点($C$62:$C$63,D$62:D$63,基础状态预期!Z40),0)+IFERROR(基础状态预期!$J40*求节点($C$71:$C$72,D$71:D$72,基础状态预期!$AD40),0))</f>
        <v>0</v>
      </c>
      <c r="U28" s="80">
        <f>IF(基础状态预期!AA40="",0,IFERROR(基础状态预期!G40*求节点($C$62:$C$63,E$62:E$63,基础状态预期!AA40),0)+IFERROR(基础状态预期!$J40*求节点($C$71:$C$72,E$71:E$72,基础状态预期!$AD40),0))</f>
        <v>0</v>
      </c>
      <c r="V28" s="80">
        <f>IF(基础状态预期!AB40="",0,IFERROR(基础状态预期!H40*求节点($C$62:$C$63,F$62:F$63,基础状态预期!AB40),0)+IFERROR(基础状态预期!$J40*求节点($C$71:$C$72,F$71:F$72,基础状态预期!$AD40),0))</f>
        <v>0</v>
      </c>
      <c r="W28" s="80">
        <f>IF(基础状态预期!AC40="",0,IFERROR(基础状态预期!I40*求节点($C$62:$C$63,G$62:G$63,基础状态预期!AC40),0)+IFERROR(基础状态预期!$J40*求节点($C$71:$C$72,G$71:G$72,基础状态预期!$AD40),0))</f>
        <v>0</v>
      </c>
      <c r="X28" s="80">
        <f>IF(基础状态预期!AD40="",0,IFERROR(基础状态预期!J40*求节点($C$62:$C$63,H$62:H$63,基础状态预期!AD40),0)+IFERROR(基础状态预期!$J40*求节点($C$71:$C$72,H$71:H$72,基础状态预期!$AD40),0))</f>
        <v>0</v>
      </c>
      <c r="Y28" s="80">
        <f>IF(基础状态预期!$H40="",0,IF(基础状态预期!$AB40&lt;=1,基础状态预期!$AB40*D$18,D$18)*基础状态预期!$H40)+
IF(基础状态预期!$I40="",0,IF(基础状态预期!$AC40&lt;=1,基础状态预期!$AC40*D$19,D$19)*基础状态预期!$I40)+
IF(基础状态预期!$J40="",0,IF(基础状态预期!$AD40&lt;=1,基础状态预期!$AD40*D$20,D$20)*基础状态预期!$J40)</f>
        <v>48</v>
      </c>
      <c r="Z28" s="80">
        <f>IF(基础状态预期!$H40="",0,IF(基础状态预期!$AB40&lt;=1,基础状态预期!$AB40*E$18,E$18)*基础状态预期!$H40)+
IF(基础状态预期!$I40="",0,IF(基础状态预期!$AC40&lt;=1,基础状态预期!$AC40*E$19,E$19)*基础状态预期!$I40)+
IF(基础状态预期!$J40="",0,IF(基础状态预期!$AD40&lt;=1,基础状态预期!$AD40*E$20,E$20)*基础状态预期!$J40)</f>
        <v>0</v>
      </c>
      <c r="AA28" s="80">
        <f>IF(基础状态预期!$H40="",0,IF(基础状态预期!$AB40&lt;=1,基础状态预期!$AB40*F$18,F$18)*基础状态预期!$H40)+
IF(基础状态预期!$I40="",0,IF(基础状态预期!$AC40&lt;=1,基础状态预期!$AC40*F$19,F$19)*基础状态预期!$I40)+
IF(基础状态预期!$J40="",0,IF(基础状态预期!$AD40&lt;=1,基础状态预期!$AD40*F$20,F$20)*基础状态预期!$J40)</f>
        <v>0</v>
      </c>
      <c r="AB28" s="67">
        <f>IF(基础状态预期!$H40="",0,IF(基础状态预期!$AB40&lt;=1,0,(基础状态预期!$AB40-1)*G$26)*基础状态预期!$H40)+
IF(基础状态预期!$I40="",0,IF(基础状态预期!$AC40&lt;=1,0,(基础状态预期!$AC40-1)*G$27)*基础状态预期!$I40)+
IF(基础状态预期!$J40="",0,IF(基础状态预期!$AD40&lt;=1,0,(基础状态预期!$AD40-1)*G$28)*基础状态预期!$J40)</f>
        <v>240</v>
      </c>
      <c r="AC28" s="67">
        <f>IF(基础状态预期!$H40="",0,IF(基础状态预期!$AB40&lt;=1,0,(基础状态预期!$AB40-1)*H$26)*基础状态预期!$H40)+
IF(基础状态预期!$I40="",0,IF(基础状态预期!$AC40&lt;=1,0,(基础状态预期!$AC40-1)*H$27)*基础状态预期!$I40)+
IF(基础状态预期!$J40="",0,IF(基础状态预期!$AD40&lt;=1,0,(基础状态预期!$AD40-1)*H$28)*基础状态预期!$J40)</f>
        <v>0</v>
      </c>
      <c r="AD28" s="67">
        <f>IF(基础状态预期!$H40="",0,IF(基础状态预期!$AB40&lt;=1,0,(基础状态预期!$AB40-1)*I$26)*基础状态预期!$H40)+
IF(基础状态预期!$I40="",0,IF(基础状态预期!$AC40&lt;=1,0,(基础状态预期!$AC40-1)*I$27)*基础状态预期!$I40)+
IF(基础状态预期!$J40="",0,IF(基础状态预期!$AD40&lt;=1,0,(基础状态预期!$AD40-1)*I$28)*基础状态预期!$J40)</f>
        <v>0</v>
      </c>
      <c r="AE28" s="80">
        <f>IF(各r阵容卡情况!$H56=0,0,IF(各r阵容卡情况!$AB56&lt;=1,各r阵容卡情况!$AB56*D$18,1*D$18)*各r阵容卡情况!$H56)+
IF(各r阵容卡情况!$I56=0,0,IF(各r阵容卡情况!$AC56&lt;=1,各r阵容卡情况!$AC56*D$19,1*D$19)*各r阵容卡情况!$I56)+
IF(各r阵容卡情况!$J56=0,0,IF(各r阵容卡情况!$AD56&lt;=1,各r阵容卡情况!$AD56*D$20,1*D$20)*各r阵容卡情况!$J56)</f>
        <v>0</v>
      </c>
      <c r="AF28" s="80">
        <f>IF(各r阵容卡情况!$H56=0,0,IF(各r阵容卡情况!$AB56&lt;=1,各r阵容卡情况!$AB56*E$18,1*E$18)*各r阵容卡情况!$H56)+
IF(各r阵容卡情况!$I56=0,0,IF(各r阵容卡情况!$AC56&lt;=1,各r阵容卡情况!$AC56*E$19,1*E$19)*各r阵容卡情况!$I56)+
IF(各r阵容卡情况!$J56=0,0,IF(各r阵容卡情况!$AD56&lt;=1,各r阵容卡情况!$AD56*E$20,1*E$20)*各r阵容卡情况!$J56)</f>
        <v>0</v>
      </c>
      <c r="AG28" s="80">
        <f>IF(各r阵容卡情况!$H56=0,0,IF(各r阵容卡情况!$AB56&lt;=1,各r阵容卡情况!$AB56*F$18,1*F$18)*各r阵容卡情况!$H56)+
IF(各r阵容卡情况!$I56=0,0,IF(各r阵容卡情况!$AC56&lt;=1,各r阵容卡情况!$AC56*F$19,1*F$19)*各r阵容卡情况!$I56)+
IF(各r阵容卡情况!$J56=0,0,IF(各r阵容卡情况!$AD56&lt;=1,各r阵容卡情况!$AD56*F$20,1*F$20)*各r阵容卡情况!$J56)</f>
        <v>0</v>
      </c>
      <c r="AH28" s="67">
        <f>IF(各r阵容卡情况!$H56=0,0,IF(各r阵容卡情况!$AB56&lt;=1,0,(各r阵容卡情况!$AB56-1)*G$26)*各r阵容卡情况!$H56)+
IF(各r阵容卡情况!$I56=0,0,IF(各r阵容卡情况!$AC56&lt;=1,0,(各r阵容卡情况!$AC56-1)*G$27)*各r阵容卡情况!$I56)+
IF(各r阵容卡情况!$J56=0,0,IF(各r阵容卡情况!$AD56&lt;=1,0,(各r阵容卡情况!$AD56-1)*G$28)*各r阵容卡情况!$J56)</f>
        <v>0</v>
      </c>
      <c r="AI28" s="67">
        <f>IF(各r阵容卡情况!$H56=0,0,IF(各r阵容卡情况!$AB56&lt;=1,0,(各r阵容卡情况!$AB56-1)*H$26)*各r阵容卡情况!$H56)+
IF(各r阵容卡情况!$I56=0,0,IF(各r阵容卡情况!$AC56&lt;=1,0,(各r阵容卡情况!$AC56-1)*H$27)*各r阵容卡情况!$I56)+
IF(各r阵容卡情况!$J56=0,0,IF(各r阵容卡情况!$AD56&lt;=1,0,(各r阵容卡情况!$AD56-1)*H$28)*各r阵容卡情况!$J56)</f>
        <v>0</v>
      </c>
      <c r="AJ28" s="67">
        <f>IF(各r阵容卡情况!$H56=0,0,IF(各r阵容卡情况!$AB56&lt;=1,0,(各r阵容卡情况!$AB56-1)*I$26)*各r阵容卡情况!$H56)+
IF(各r阵容卡情况!$I56=0,0,IF(各r阵容卡情况!$AC56&lt;=1,0,(各r阵容卡情况!$AC56-1)*I$27)*各r阵容卡情况!$I56)+
IF(各r阵容卡情况!$J56=0,0,IF(各r阵容卡情况!$AD56&lt;=1,0,(各r阵容卡情况!$AD56-1)*I$28)*各r阵容卡情况!$J56)</f>
        <v>0</v>
      </c>
      <c r="AL28" s="14">
        <v>125</v>
      </c>
      <c r="AM28" s="80">
        <f t="shared" si="21"/>
        <v>48</v>
      </c>
      <c r="AN28" s="80">
        <f t="shared" si="22"/>
        <v>0</v>
      </c>
      <c r="AO28" s="80">
        <f t="shared" si="23"/>
        <v>0</v>
      </c>
      <c r="AP28" s="80">
        <f t="shared" si="24"/>
        <v>240</v>
      </c>
      <c r="AQ28" s="80">
        <f t="shared" si="25"/>
        <v>0</v>
      </c>
      <c r="AR28" s="80">
        <f t="shared" si="26"/>
        <v>0</v>
      </c>
      <c r="AS28" s="80">
        <f t="shared" si="27"/>
        <v>23.954454061838018</v>
      </c>
      <c r="AT28" s="80">
        <f t="shared" si="28"/>
        <v>0</v>
      </c>
      <c r="AU28" s="80">
        <f t="shared" si="29"/>
        <v>0</v>
      </c>
      <c r="AV28" s="80">
        <f t="shared" si="30"/>
        <v>119.77227030919008</v>
      </c>
      <c r="AW28" s="80">
        <f t="shared" si="31"/>
        <v>0</v>
      </c>
      <c r="AX28" s="80">
        <f t="shared" si="32"/>
        <v>0</v>
      </c>
      <c r="AY28" s="61" t="e">
        <f>SUMPRODUCT(AM28:AR28/'[1]功能-行军令'!$GI$26:$GN$26+AS28:AX28/'[1]功能-行军令'!$GI$26:$GN$26)/0.18</f>
        <v>#DIV/0!</v>
      </c>
      <c r="BO28" s="80">
        <f t="shared" si="15"/>
        <v>111.03813549320469</v>
      </c>
      <c r="BP28" s="80">
        <f t="shared" si="16"/>
        <v>12300000</v>
      </c>
      <c r="BQ28" s="80">
        <f>(BP28-BP27)*INDEX('[1]功能-付费相关'!$AQ$6:$AQ$165,$BO28,1)+BQ27</f>
        <v>15965.959189681667</v>
      </c>
      <c r="BR28" s="80"/>
      <c r="BS28" s="80"/>
    </row>
    <row r="29" spans="2:77" x14ac:dyDescent="0.15">
      <c r="B29" s="199"/>
      <c r="C29" s="80" t="s">
        <v>30</v>
      </c>
      <c r="D29" s="80"/>
      <c r="E29" s="80"/>
      <c r="F29" s="80"/>
      <c r="G29" s="80">
        <v>50</v>
      </c>
      <c r="H29" s="80"/>
      <c r="I29" s="80"/>
      <c r="L29" s="61">
        <v>28</v>
      </c>
      <c r="M29" s="80">
        <f>基础状态预期!D41</f>
        <v>111.03813549320469</v>
      </c>
      <c r="N29" s="80">
        <f>IF(基础状态预期!F41="",0,IF(基础状态预期!Z41&lt;=1,基础状态预期!Z41*D$4,1*D$4+(基础状态预期!Z41-1)*武将觉醒!D$5))</f>
        <v>0</v>
      </c>
      <c r="O29" s="80">
        <f>IF(基础状态预期!G41="",0,IF(基础状态预期!AA41&lt;=1,基础状态预期!AA41*E$4,1*E$4+(基础状态预期!AA41-1)*武将觉醒!E$5))</f>
        <v>0</v>
      </c>
      <c r="P29" s="80">
        <f>IF(基础状态预期!H41="",0,IF(基础状态预期!AB41&lt;=1,基础状态预期!AB41*F$4,1*F$4+(基础状态预期!AB41-1)*武将觉醒!F$5))</f>
        <v>0</v>
      </c>
      <c r="Q29" s="80">
        <f>IF(基础状态预期!I41="",0,IF(基础状态预期!AC41&lt;=1,基础状态预期!AC41*G$4,1*G$4+(基础状态预期!AC41-1)*武将觉醒!G$5))</f>
        <v>0</v>
      </c>
      <c r="R29" s="80">
        <f>IF(基础状态预期!J41="",0,IF(基础状态预期!AD41&lt;=1,基础状态预期!AD41*H$4,1*H$4+(基础状态预期!AD41-1)*武将觉醒!H$5))</f>
        <v>2050000</v>
      </c>
      <c r="S29" s="80">
        <f>MAX(SUMPRODUCT(N29:R29,基础状态预期!F41:J41),S28)</f>
        <v>12300000</v>
      </c>
      <c r="T29" s="80">
        <f>IF(基础状态预期!Z41="",0,IFERROR(基础状态预期!F41*求节点($C$62:$C$63,D$62:D$63,基础状态预期!Z41),0)+IFERROR(基础状态预期!$J41*求节点($C$71:$C$72,D$71:D$72,基础状态预期!$AD41),0))</f>
        <v>0</v>
      </c>
      <c r="U29" s="80">
        <f>IF(基础状态预期!AA41="",0,IFERROR(基础状态预期!G41*求节点($C$62:$C$63,E$62:E$63,基础状态预期!AA41),0)+IFERROR(基础状态预期!$J41*求节点($C$71:$C$72,E$71:E$72,基础状态预期!$AD41),0))</f>
        <v>0</v>
      </c>
      <c r="V29" s="80">
        <f>IF(基础状态预期!AB41="",0,IFERROR(基础状态预期!H41*求节点($C$62:$C$63,F$62:F$63,基础状态预期!AB41),0)+IFERROR(基础状态预期!$J41*求节点($C$71:$C$72,F$71:F$72,基础状态预期!$AD41),0))</f>
        <v>0</v>
      </c>
      <c r="W29" s="80">
        <f>IF(基础状态预期!AC41="",0,IFERROR(基础状态预期!I41*求节点($C$62:$C$63,G$62:G$63,基础状态预期!AC41),0)+IFERROR(基础状态预期!$J41*求节点($C$71:$C$72,G$71:G$72,基础状态预期!$AD41),0))</f>
        <v>0</v>
      </c>
      <c r="X29" s="80">
        <f>IF(基础状态预期!AD41="",0,IFERROR(基础状态预期!J41*求节点($C$62:$C$63,H$62:H$63,基础状态预期!AD41),0)+IFERROR(基础状态预期!$J41*求节点($C$71:$C$72,H$71:H$72,基础状态预期!$AD41),0))</f>
        <v>0</v>
      </c>
      <c r="Y29" s="80">
        <f>IF(基础状态预期!$H41="",0,IF(基础状态预期!$AB41&lt;=1,基础状态预期!$AB41*D$18,D$18)*基础状态预期!$H41)+
IF(基础状态预期!$I41="",0,IF(基础状态预期!$AC41&lt;=1,基础状态预期!$AC41*D$19,D$19)*基础状态预期!$I41)+
IF(基础状态预期!$J41="",0,IF(基础状态预期!$AD41&lt;=1,基础状态预期!$AD41*D$20,D$20)*基础状态预期!$J41)</f>
        <v>48</v>
      </c>
      <c r="Z29" s="80">
        <f>IF(基础状态预期!$H41="",0,IF(基础状态预期!$AB41&lt;=1,基础状态预期!$AB41*E$18,E$18)*基础状态预期!$H41)+
IF(基础状态预期!$I41="",0,IF(基础状态预期!$AC41&lt;=1,基础状态预期!$AC41*E$19,E$19)*基础状态预期!$I41)+
IF(基础状态预期!$J41="",0,IF(基础状态预期!$AD41&lt;=1,基础状态预期!$AD41*E$20,E$20)*基础状态预期!$J41)</f>
        <v>0</v>
      </c>
      <c r="AA29" s="80">
        <f>IF(基础状态预期!$H41="",0,IF(基础状态预期!$AB41&lt;=1,基础状态预期!$AB41*F$18,F$18)*基础状态预期!$H41)+
IF(基础状态预期!$I41="",0,IF(基础状态预期!$AC41&lt;=1,基础状态预期!$AC41*F$19,F$19)*基础状态预期!$I41)+
IF(基础状态预期!$J41="",0,IF(基础状态预期!$AD41&lt;=1,基础状态预期!$AD41*F$20,F$20)*基础状态预期!$J41)</f>
        <v>0</v>
      </c>
      <c r="AB29" s="67">
        <f>IF(基础状态预期!$H41="",0,IF(基础状态预期!$AB41&lt;=1,0,(基础状态预期!$AB41-1)*G$26)*基础状态预期!$H41)+
IF(基础状态预期!$I41="",0,IF(基础状态预期!$AC41&lt;=1,0,(基础状态预期!$AC41-1)*G$27)*基础状态预期!$I41)+
IF(基础状态预期!$J41="",0,IF(基础状态预期!$AD41&lt;=1,0,(基础状态预期!$AD41-1)*G$28)*基础状态预期!$J41)</f>
        <v>240</v>
      </c>
      <c r="AC29" s="67">
        <f>IF(基础状态预期!$H41="",0,IF(基础状态预期!$AB41&lt;=1,0,(基础状态预期!$AB41-1)*H$26)*基础状态预期!$H41)+
IF(基础状态预期!$I41="",0,IF(基础状态预期!$AC41&lt;=1,0,(基础状态预期!$AC41-1)*H$27)*基础状态预期!$I41)+
IF(基础状态预期!$J41="",0,IF(基础状态预期!$AD41&lt;=1,0,(基础状态预期!$AD41-1)*H$28)*基础状态预期!$J41)</f>
        <v>0</v>
      </c>
      <c r="AD29" s="67">
        <f>IF(基础状态预期!$H41="",0,IF(基础状态预期!$AB41&lt;=1,0,(基础状态预期!$AB41-1)*I$26)*基础状态预期!$H41)+
IF(基础状态预期!$I41="",0,IF(基础状态预期!$AC41&lt;=1,0,(基础状态预期!$AC41-1)*I$27)*基础状态预期!$I41)+
IF(基础状态预期!$J41="",0,IF(基础状态预期!$AD41&lt;=1,0,(基础状态预期!$AD41-1)*I$28)*基础状态预期!$J41)</f>
        <v>0</v>
      </c>
      <c r="AE29" s="80">
        <f>IF(各r阵容卡情况!$H57=0,0,IF(各r阵容卡情况!$AB57&lt;=1,各r阵容卡情况!$AB57*D$18,1*D$18)*各r阵容卡情况!$H57)+
IF(各r阵容卡情况!$I57=0,0,IF(各r阵容卡情况!$AC57&lt;=1,各r阵容卡情况!$AC57*D$19,1*D$19)*各r阵容卡情况!$I57)+
IF(各r阵容卡情况!$J57=0,0,IF(各r阵容卡情况!$AD57&lt;=1,各r阵容卡情况!$AD57*D$20,1*D$20)*各r阵容卡情况!$J57)</f>
        <v>0</v>
      </c>
      <c r="AF29" s="80">
        <f>IF(各r阵容卡情况!$H57=0,0,IF(各r阵容卡情况!$AB57&lt;=1,各r阵容卡情况!$AB57*E$18,1*E$18)*各r阵容卡情况!$H57)+
IF(各r阵容卡情况!$I57=0,0,IF(各r阵容卡情况!$AC57&lt;=1,各r阵容卡情况!$AC57*E$19,1*E$19)*各r阵容卡情况!$I57)+
IF(各r阵容卡情况!$J57=0,0,IF(各r阵容卡情况!$AD57&lt;=1,各r阵容卡情况!$AD57*E$20,1*E$20)*各r阵容卡情况!$J57)</f>
        <v>0</v>
      </c>
      <c r="AG29" s="80">
        <f>IF(各r阵容卡情况!$H57=0,0,IF(各r阵容卡情况!$AB57&lt;=1,各r阵容卡情况!$AB57*F$18,1*F$18)*各r阵容卡情况!$H57)+
IF(各r阵容卡情况!$I57=0,0,IF(各r阵容卡情况!$AC57&lt;=1,各r阵容卡情况!$AC57*F$19,1*F$19)*各r阵容卡情况!$I57)+
IF(各r阵容卡情况!$J57=0,0,IF(各r阵容卡情况!$AD57&lt;=1,各r阵容卡情况!$AD57*F$20,1*F$20)*各r阵容卡情况!$J57)</f>
        <v>0</v>
      </c>
      <c r="AH29" s="67">
        <f>IF(各r阵容卡情况!$H57=0,0,IF(各r阵容卡情况!$AB57&lt;=1,0,(各r阵容卡情况!$AB57-1)*G$26)*各r阵容卡情况!$H57)+
IF(各r阵容卡情况!$I57=0,0,IF(各r阵容卡情况!$AC57&lt;=1,0,(各r阵容卡情况!$AC57-1)*G$27)*各r阵容卡情况!$I57)+
IF(各r阵容卡情况!$J57=0,0,IF(各r阵容卡情况!$AD57&lt;=1,0,(各r阵容卡情况!$AD57-1)*G$28)*各r阵容卡情况!$J57)</f>
        <v>0</v>
      </c>
      <c r="AI29" s="67">
        <f>IF(各r阵容卡情况!$H57=0,0,IF(各r阵容卡情况!$AB57&lt;=1,0,(各r阵容卡情况!$AB57-1)*H$26)*各r阵容卡情况!$H57)+
IF(各r阵容卡情况!$I57=0,0,IF(各r阵容卡情况!$AC57&lt;=1,0,(各r阵容卡情况!$AC57-1)*H$27)*各r阵容卡情况!$I57)+
IF(各r阵容卡情况!$J57=0,0,IF(各r阵容卡情况!$AD57&lt;=1,0,(各r阵容卡情况!$AD57-1)*H$28)*各r阵容卡情况!$J57)</f>
        <v>0</v>
      </c>
      <c r="AJ29" s="67">
        <f>IF(各r阵容卡情况!$H57=0,0,IF(各r阵容卡情况!$AB57&lt;=1,0,(各r阵容卡情况!$AB57-1)*I$26)*各r阵容卡情况!$H57)+
IF(各r阵容卡情况!$I57=0,0,IF(各r阵容卡情况!$AC57&lt;=1,0,(各r阵容卡情况!$AC57-1)*I$27)*各r阵容卡情况!$I57)+
IF(各r阵容卡情况!$J57=0,0,IF(各r阵容卡情况!$AD57&lt;=1,0,(各r阵容卡情况!$AD57-1)*I$28)*各r阵容卡情况!$J57)</f>
        <v>0</v>
      </c>
      <c r="AL29" s="14">
        <v>130</v>
      </c>
      <c r="AM29" s="80">
        <f t="shared" si="21"/>
        <v>48</v>
      </c>
      <c r="AN29" s="80">
        <f t="shared" si="22"/>
        <v>0</v>
      </c>
      <c r="AO29" s="80">
        <f t="shared" si="23"/>
        <v>0</v>
      </c>
      <c r="AP29" s="80">
        <f t="shared" si="24"/>
        <v>240</v>
      </c>
      <c r="AQ29" s="80">
        <f t="shared" si="25"/>
        <v>0</v>
      </c>
      <c r="AR29" s="80">
        <f t="shared" si="26"/>
        <v>0</v>
      </c>
      <c r="AS29" s="80">
        <f t="shared" si="27"/>
        <v>35.269706925837085</v>
      </c>
      <c r="AT29" s="80">
        <f t="shared" si="28"/>
        <v>0</v>
      </c>
      <c r="AU29" s="80">
        <f t="shared" si="29"/>
        <v>0</v>
      </c>
      <c r="AV29" s="80">
        <f t="shared" si="30"/>
        <v>176.34853462918542</v>
      </c>
      <c r="AW29" s="80">
        <f t="shared" si="31"/>
        <v>0</v>
      </c>
      <c r="AX29" s="80">
        <f t="shared" si="32"/>
        <v>0</v>
      </c>
      <c r="AY29" s="61" t="e">
        <f>SUMPRODUCT(AM29:AR29/'[1]功能-行军令'!$GI$26:$GN$26+AS29:AX29/'[1]功能-行军令'!$GI$26:$GN$26)/0.18</f>
        <v>#DIV/0!</v>
      </c>
      <c r="BO29" s="80">
        <f t="shared" si="15"/>
        <v>114.50860608277577</v>
      </c>
      <c r="BP29" s="80">
        <f t="shared" si="16"/>
        <v>12300000</v>
      </c>
      <c r="BQ29" s="80">
        <f>(BP29-BP28)*INDEX('[1]功能-付费相关'!$AQ$6:$AQ$165,$BO29,1)+BQ28</f>
        <v>15965.959189681667</v>
      </c>
      <c r="BR29" s="80"/>
      <c r="BS29" s="80"/>
    </row>
    <row r="30" spans="2:77" x14ac:dyDescent="0.15">
      <c r="B30" s="200"/>
      <c r="C30" s="80" t="s">
        <v>450</v>
      </c>
      <c r="D30" s="80">
        <f>SUM(D24:D29)</f>
        <v>0</v>
      </c>
      <c r="E30" s="80">
        <f t="shared" ref="E30" si="34">SUM(E24:E29)</f>
        <v>0</v>
      </c>
      <c r="F30" s="80">
        <f t="shared" ref="F30" si="35">SUM(F24:F29)</f>
        <v>0</v>
      </c>
      <c r="G30" s="80">
        <f t="shared" ref="G30" si="36">SUM(G24:G29)</f>
        <v>140</v>
      </c>
      <c r="H30" s="80">
        <f t="shared" ref="H30" si="37">SUM(H24:H29)</f>
        <v>0</v>
      </c>
      <c r="I30" s="80">
        <f t="shared" ref="I30" si="38">SUM(I24:I29)</f>
        <v>0</v>
      </c>
      <c r="L30" s="61">
        <v>29</v>
      </c>
      <c r="M30" s="80">
        <f>基础状态预期!D42</f>
        <v>114.50860608277577</v>
      </c>
      <c r="N30" s="80">
        <f>IF(基础状态预期!F42="",0,IF(基础状态预期!Z42&lt;=1,基础状态预期!Z42*D$4,1*D$4+(基础状态预期!Z42-1)*武将觉醒!D$5))</f>
        <v>0</v>
      </c>
      <c r="O30" s="80">
        <f>IF(基础状态预期!G42="",0,IF(基础状态预期!AA42&lt;=1,基础状态预期!AA42*E$4,1*E$4+(基础状态预期!AA42-1)*武将觉醒!E$5))</f>
        <v>0</v>
      </c>
      <c r="P30" s="80">
        <f>IF(基础状态预期!H42="",0,IF(基础状态预期!AB42&lt;=1,基础状态预期!AB42*F$4,1*F$4+(基础状态预期!AB42-1)*武将觉醒!F$5))</f>
        <v>0</v>
      </c>
      <c r="Q30" s="80">
        <f>IF(基础状态预期!I42="",0,IF(基础状态预期!AC42&lt;=1,基础状态预期!AC42*G$4,1*G$4+(基础状态预期!AC42-1)*武将觉醒!G$5))</f>
        <v>0</v>
      </c>
      <c r="R30" s="80">
        <f>IF(基础状态预期!J42="",0,IF(基础状态预期!AD42&lt;=1,基础状态预期!AD42*H$4,1*H$4+(基础状态预期!AD42-1)*武将觉醒!H$5))</f>
        <v>2050000</v>
      </c>
      <c r="S30" s="80">
        <f>MAX(SUMPRODUCT(N30:R30,基础状态预期!F42:J42),S29)</f>
        <v>12300000</v>
      </c>
      <c r="T30" s="80">
        <f>IF(基础状态预期!Z42="",0,IFERROR(基础状态预期!F42*求节点($C$62:$C$63,D$62:D$63,基础状态预期!Z42),0)+IFERROR(基础状态预期!$J42*求节点($C$71:$C$72,D$71:D$72,基础状态预期!$AD42),0))</f>
        <v>0</v>
      </c>
      <c r="U30" s="80">
        <f>IF(基础状态预期!AA42="",0,IFERROR(基础状态预期!G42*求节点($C$62:$C$63,E$62:E$63,基础状态预期!AA42),0)+IFERROR(基础状态预期!$J42*求节点($C$71:$C$72,E$71:E$72,基础状态预期!$AD42),0))</f>
        <v>0</v>
      </c>
      <c r="V30" s="80">
        <f>IF(基础状态预期!AB42="",0,IFERROR(基础状态预期!H42*求节点($C$62:$C$63,F$62:F$63,基础状态预期!AB42),0)+IFERROR(基础状态预期!$J42*求节点($C$71:$C$72,F$71:F$72,基础状态预期!$AD42),0))</f>
        <v>0</v>
      </c>
      <c r="W30" s="80">
        <f>IF(基础状态预期!AC42="",0,IFERROR(基础状态预期!I42*求节点($C$62:$C$63,G$62:G$63,基础状态预期!AC42),0)+IFERROR(基础状态预期!$J42*求节点($C$71:$C$72,G$71:G$72,基础状态预期!$AD42),0))</f>
        <v>0</v>
      </c>
      <c r="X30" s="80">
        <f>IF(基础状态预期!AD42="",0,IFERROR(基础状态预期!J42*求节点($C$62:$C$63,H$62:H$63,基础状态预期!AD42),0)+IFERROR(基础状态预期!$J42*求节点($C$71:$C$72,H$71:H$72,基础状态预期!$AD42),0))</f>
        <v>0</v>
      </c>
      <c r="Y30" s="80">
        <f>IF(基础状态预期!$H42="",0,IF(基础状态预期!$AB42&lt;=1,基础状态预期!$AB42*D$18,D$18)*基础状态预期!$H42)+
IF(基础状态预期!$I42="",0,IF(基础状态预期!$AC42&lt;=1,基础状态预期!$AC42*D$19,D$19)*基础状态预期!$I42)+
IF(基础状态预期!$J42="",0,IF(基础状态预期!$AD42&lt;=1,基础状态预期!$AD42*D$20,D$20)*基础状态预期!$J42)</f>
        <v>48</v>
      </c>
      <c r="Z30" s="80">
        <f>IF(基础状态预期!$H42="",0,IF(基础状态预期!$AB42&lt;=1,基础状态预期!$AB42*E$18,E$18)*基础状态预期!$H42)+
IF(基础状态预期!$I42="",0,IF(基础状态预期!$AC42&lt;=1,基础状态预期!$AC42*E$19,E$19)*基础状态预期!$I42)+
IF(基础状态预期!$J42="",0,IF(基础状态预期!$AD42&lt;=1,基础状态预期!$AD42*E$20,E$20)*基础状态预期!$J42)</f>
        <v>0</v>
      </c>
      <c r="AA30" s="80">
        <f>IF(基础状态预期!$H42="",0,IF(基础状态预期!$AB42&lt;=1,基础状态预期!$AB42*F$18,F$18)*基础状态预期!$H42)+
IF(基础状态预期!$I42="",0,IF(基础状态预期!$AC42&lt;=1,基础状态预期!$AC42*F$19,F$19)*基础状态预期!$I42)+
IF(基础状态预期!$J42="",0,IF(基础状态预期!$AD42&lt;=1,基础状态预期!$AD42*F$20,F$20)*基础状态预期!$J42)</f>
        <v>0</v>
      </c>
      <c r="AB30" s="67">
        <f>IF(基础状态预期!$H42="",0,IF(基础状态预期!$AB42&lt;=1,0,(基础状态预期!$AB42-1)*G$26)*基础状态预期!$H42)+
IF(基础状态预期!$I42="",0,IF(基础状态预期!$AC42&lt;=1,0,(基础状态预期!$AC42-1)*G$27)*基础状态预期!$I42)+
IF(基础状态预期!$J42="",0,IF(基础状态预期!$AD42&lt;=1,0,(基础状态预期!$AD42-1)*G$28)*基础状态预期!$J42)</f>
        <v>240</v>
      </c>
      <c r="AC30" s="67">
        <f>IF(基础状态预期!$H42="",0,IF(基础状态预期!$AB42&lt;=1,0,(基础状态预期!$AB42-1)*H$26)*基础状态预期!$H42)+
IF(基础状态预期!$I42="",0,IF(基础状态预期!$AC42&lt;=1,0,(基础状态预期!$AC42-1)*H$27)*基础状态预期!$I42)+
IF(基础状态预期!$J42="",0,IF(基础状态预期!$AD42&lt;=1,0,(基础状态预期!$AD42-1)*H$28)*基础状态预期!$J42)</f>
        <v>0</v>
      </c>
      <c r="AD30" s="67">
        <f>IF(基础状态预期!$H42="",0,IF(基础状态预期!$AB42&lt;=1,0,(基础状态预期!$AB42-1)*I$26)*基础状态预期!$H42)+
IF(基础状态预期!$I42="",0,IF(基础状态预期!$AC42&lt;=1,0,(基础状态预期!$AC42-1)*I$27)*基础状态预期!$I42)+
IF(基础状态预期!$J42="",0,IF(基础状态预期!$AD42&lt;=1,0,(基础状态预期!$AD42-1)*I$28)*基础状态预期!$J42)</f>
        <v>0</v>
      </c>
      <c r="AE30" s="80">
        <f>IF(各r阵容卡情况!$H58=0,0,IF(各r阵容卡情况!$AB58&lt;=1,各r阵容卡情况!$AB58*D$18,1*D$18)*各r阵容卡情况!$H58)+
IF(各r阵容卡情况!$I58=0,0,IF(各r阵容卡情况!$AC58&lt;=1,各r阵容卡情况!$AC58*D$19,1*D$19)*各r阵容卡情况!$I58)+
IF(各r阵容卡情况!$J58=0,0,IF(各r阵容卡情况!$AD58&lt;=1,各r阵容卡情况!$AD58*D$20,1*D$20)*各r阵容卡情况!$J58)</f>
        <v>0</v>
      </c>
      <c r="AF30" s="80">
        <f>IF(各r阵容卡情况!$H58=0,0,IF(各r阵容卡情况!$AB58&lt;=1,各r阵容卡情况!$AB58*E$18,1*E$18)*各r阵容卡情况!$H58)+
IF(各r阵容卡情况!$I58=0,0,IF(各r阵容卡情况!$AC58&lt;=1,各r阵容卡情况!$AC58*E$19,1*E$19)*各r阵容卡情况!$I58)+
IF(各r阵容卡情况!$J58=0,0,IF(各r阵容卡情况!$AD58&lt;=1,各r阵容卡情况!$AD58*E$20,1*E$20)*各r阵容卡情况!$J58)</f>
        <v>0</v>
      </c>
      <c r="AG30" s="80">
        <f>IF(各r阵容卡情况!$H58=0,0,IF(各r阵容卡情况!$AB58&lt;=1,各r阵容卡情况!$AB58*F$18,1*F$18)*各r阵容卡情况!$H58)+
IF(各r阵容卡情况!$I58=0,0,IF(各r阵容卡情况!$AC58&lt;=1,各r阵容卡情况!$AC58*F$19,1*F$19)*各r阵容卡情况!$I58)+
IF(各r阵容卡情况!$J58=0,0,IF(各r阵容卡情况!$AD58&lt;=1,各r阵容卡情况!$AD58*F$20,1*F$20)*各r阵容卡情况!$J58)</f>
        <v>0</v>
      </c>
      <c r="AH30" s="67">
        <f>IF(各r阵容卡情况!$H58=0,0,IF(各r阵容卡情况!$AB58&lt;=1,0,(各r阵容卡情况!$AB58-1)*G$26)*各r阵容卡情况!$H58)+
IF(各r阵容卡情况!$I58=0,0,IF(各r阵容卡情况!$AC58&lt;=1,0,(各r阵容卡情况!$AC58-1)*G$27)*各r阵容卡情况!$I58)+
IF(各r阵容卡情况!$J58=0,0,IF(各r阵容卡情况!$AD58&lt;=1,0,(各r阵容卡情况!$AD58-1)*G$28)*各r阵容卡情况!$J58)</f>
        <v>0</v>
      </c>
      <c r="AI30" s="67">
        <f>IF(各r阵容卡情况!$H58=0,0,IF(各r阵容卡情况!$AB58&lt;=1,0,(各r阵容卡情况!$AB58-1)*H$26)*各r阵容卡情况!$H58)+
IF(各r阵容卡情况!$I58=0,0,IF(各r阵容卡情况!$AC58&lt;=1,0,(各r阵容卡情况!$AC58-1)*H$27)*各r阵容卡情况!$I58)+
IF(各r阵容卡情况!$J58=0,0,IF(各r阵容卡情况!$AD58&lt;=1,0,(各r阵容卡情况!$AD58-1)*H$28)*各r阵容卡情况!$J58)</f>
        <v>0</v>
      </c>
      <c r="AJ30" s="67">
        <f>IF(各r阵容卡情况!$H58=0,0,IF(各r阵容卡情况!$AB58&lt;=1,0,(各r阵容卡情况!$AB58-1)*I$26)*各r阵容卡情况!$H58)+
IF(各r阵容卡情况!$I58=0,0,IF(各r阵容卡情况!$AC58&lt;=1,0,(各r阵容卡情况!$AC58-1)*I$27)*各r阵容卡情况!$I58)+
IF(各r阵容卡情况!$J58=0,0,IF(各r阵容卡情况!$AD58&lt;=1,0,(各r阵容卡情况!$AD58-1)*I$28)*各r阵容卡情况!$J58)</f>
        <v>0</v>
      </c>
      <c r="AL30" s="14">
        <v>135</v>
      </c>
      <c r="AM30" s="80">
        <f t="shared" si="21"/>
        <v>48</v>
      </c>
      <c r="AN30" s="80">
        <f t="shared" si="22"/>
        <v>0</v>
      </c>
      <c r="AO30" s="80">
        <f t="shared" si="23"/>
        <v>0</v>
      </c>
      <c r="AP30" s="80">
        <f t="shared" si="24"/>
        <v>240</v>
      </c>
      <c r="AQ30" s="80">
        <f t="shared" si="25"/>
        <v>0</v>
      </c>
      <c r="AR30" s="80">
        <f t="shared" si="26"/>
        <v>0</v>
      </c>
      <c r="AS30" s="80">
        <f t="shared" si="27"/>
        <v>66.949441349766218</v>
      </c>
      <c r="AT30" s="80">
        <f t="shared" si="28"/>
        <v>0</v>
      </c>
      <c r="AU30" s="80">
        <f t="shared" si="29"/>
        <v>0</v>
      </c>
      <c r="AV30" s="80">
        <f t="shared" si="30"/>
        <v>334.7472067488311</v>
      </c>
      <c r="AW30" s="80">
        <f t="shared" si="31"/>
        <v>0</v>
      </c>
      <c r="AX30" s="80">
        <f t="shared" si="32"/>
        <v>0</v>
      </c>
      <c r="AY30" s="61" t="e">
        <f>SUMPRODUCT(AM30:AR30/'[1]功能-行军令'!$GI$26:$GN$26+AS30:AX30/'[1]功能-行军令'!$GI$26:$GN$26)/0.18</f>
        <v>#DIV/0!</v>
      </c>
      <c r="BO30" s="80">
        <f t="shared" si="15"/>
        <v>118.05948896247369</v>
      </c>
      <c r="BP30" s="80">
        <f t="shared" si="16"/>
        <v>12300000</v>
      </c>
      <c r="BQ30" s="80">
        <f>(BP30-BP29)*INDEX('[1]功能-付费相关'!$AQ$6:$AQ$165,$BO30,1)+BQ29</f>
        <v>15965.959189681667</v>
      </c>
      <c r="BR30" s="80"/>
      <c r="BS30" s="80"/>
    </row>
    <row r="31" spans="2:77" x14ac:dyDescent="0.15">
      <c r="B31" s="66"/>
      <c r="L31" s="61">
        <v>30</v>
      </c>
      <c r="M31" s="80">
        <f>基础状态预期!D43</f>
        <v>118.05948896247369</v>
      </c>
      <c r="N31" s="80">
        <f>IF(基础状态预期!F43="",0,IF(基础状态预期!Z43&lt;=1,基础状态预期!Z43*D$4,1*D$4+(基础状态预期!Z43-1)*武将觉醒!D$5))</f>
        <v>0</v>
      </c>
      <c r="O31" s="80">
        <f>IF(基础状态预期!G43="",0,IF(基础状态预期!AA43&lt;=1,基础状态预期!AA43*E$4,1*E$4+(基础状态预期!AA43-1)*武将觉醒!E$5))</f>
        <v>0</v>
      </c>
      <c r="P31" s="80">
        <f>IF(基础状态预期!H43="",0,IF(基础状态预期!AB43&lt;=1,基础状态预期!AB43*F$4,1*F$4+(基础状态预期!AB43-1)*武将觉醒!F$5))</f>
        <v>0</v>
      </c>
      <c r="Q31" s="80">
        <f>IF(基础状态预期!I43="",0,IF(基础状态预期!AC43&lt;=1,基础状态预期!AC43*G$4,1*G$4+(基础状态预期!AC43-1)*武将觉醒!G$5))</f>
        <v>0</v>
      </c>
      <c r="R31" s="80">
        <f>IF(基础状态预期!J43="",0,IF(基础状态预期!AD43&lt;=1,基础状态预期!AD43*H$4,1*H$4+(基础状态预期!AD43-1)*武将觉醒!H$5))</f>
        <v>2050000</v>
      </c>
      <c r="S31" s="80">
        <f>MAX(SUMPRODUCT(N31:R31,基础状态预期!F43:J43),S30)</f>
        <v>12300000</v>
      </c>
      <c r="T31" s="80">
        <f>IF(基础状态预期!Z43="",0,IFERROR(基础状态预期!F43*求节点($C$62:$C$63,D$62:D$63,基础状态预期!Z43),0)+IFERROR(基础状态预期!$J43*求节点($C$71:$C$72,D$71:D$72,基础状态预期!$AD43),0))</f>
        <v>0</v>
      </c>
      <c r="U31" s="80">
        <f>IF(基础状态预期!AA43="",0,IFERROR(基础状态预期!G43*求节点($C$62:$C$63,E$62:E$63,基础状态预期!AA43),0)+IFERROR(基础状态预期!$J43*求节点($C$71:$C$72,E$71:E$72,基础状态预期!$AD43),0))</f>
        <v>0</v>
      </c>
      <c r="V31" s="80">
        <f>IF(基础状态预期!AB43="",0,IFERROR(基础状态预期!H43*求节点($C$62:$C$63,F$62:F$63,基础状态预期!AB43),0)+IFERROR(基础状态预期!$J43*求节点($C$71:$C$72,F$71:F$72,基础状态预期!$AD43),0))</f>
        <v>0</v>
      </c>
      <c r="W31" s="80">
        <f>IF(基础状态预期!AC43="",0,IFERROR(基础状态预期!I43*求节点($C$62:$C$63,G$62:G$63,基础状态预期!AC43),0)+IFERROR(基础状态预期!$J43*求节点($C$71:$C$72,G$71:G$72,基础状态预期!$AD43),0))</f>
        <v>0</v>
      </c>
      <c r="X31" s="80">
        <f>IF(基础状态预期!AD43="",0,IFERROR(基础状态预期!J43*求节点($C$62:$C$63,H$62:H$63,基础状态预期!AD43),0)+IFERROR(基础状态预期!$J43*求节点($C$71:$C$72,H$71:H$72,基础状态预期!$AD43),0))</f>
        <v>0</v>
      </c>
      <c r="Y31" s="80">
        <f>IF(基础状态预期!$H43="",0,IF(基础状态预期!$AB43&lt;=1,基础状态预期!$AB43*D$18,D$18)*基础状态预期!$H43)+
IF(基础状态预期!$I43="",0,IF(基础状态预期!$AC43&lt;=1,基础状态预期!$AC43*D$19,D$19)*基础状态预期!$I43)+
IF(基础状态预期!$J43="",0,IF(基础状态预期!$AD43&lt;=1,基础状态预期!$AD43*D$20,D$20)*基础状态预期!$J43)</f>
        <v>48</v>
      </c>
      <c r="Z31" s="80">
        <f>IF(基础状态预期!$H43="",0,IF(基础状态预期!$AB43&lt;=1,基础状态预期!$AB43*E$18,E$18)*基础状态预期!$H43)+
IF(基础状态预期!$I43="",0,IF(基础状态预期!$AC43&lt;=1,基础状态预期!$AC43*E$19,E$19)*基础状态预期!$I43)+
IF(基础状态预期!$J43="",0,IF(基础状态预期!$AD43&lt;=1,基础状态预期!$AD43*E$20,E$20)*基础状态预期!$J43)</f>
        <v>0</v>
      </c>
      <c r="AA31" s="80">
        <f>IF(基础状态预期!$H43="",0,IF(基础状态预期!$AB43&lt;=1,基础状态预期!$AB43*F$18,F$18)*基础状态预期!$H43)+
IF(基础状态预期!$I43="",0,IF(基础状态预期!$AC43&lt;=1,基础状态预期!$AC43*F$19,F$19)*基础状态预期!$I43)+
IF(基础状态预期!$J43="",0,IF(基础状态预期!$AD43&lt;=1,基础状态预期!$AD43*F$20,F$20)*基础状态预期!$J43)</f>
        <v>0</v>
      </c>
      <c r="AB31" s="67">
        <f>IF(基础状态预期!$H43="",0,IF(基础状态预期!$AB43&lt;=1,0,(基础状态预期!$AB43-1)*G$26)*基础状态预期!$H43)+
IF(基础状态预期!$I43="",0,IF(基础状态预期!$AC43&lt;=1,0,(基础状态预期!$AC43-1)*G$27)*基础状态预期!$I43)+
IF(基础状态预期!$J43="",0,IF(基础状态预期!$AD43&lt;=1,0,(基础状态预期!$AD43-1)*G$28)*基础状态预期!$J43)</f>
        <v>240</v>
      </c>
      <c r="AC31" s="67">
        <f>IF(基础状态预期!$H43="",0,IF(基础状态预期!$AB43&lt;=1,0,(基础状态预期!$AB43-1)*H$26)*基础状态预期!$H43)+
IF(基础状态预期!$I43="",0,IF(基础状态预期!$AC43&lt;=1,0,(基础状态预期!$AC43-1)*H$27)*基础状态预期!$I43)+
IF(基础状态预期!$J43="",0,IF(基础状态预期!$AD43&lt;=1,0,(基础状态预期!$AD43-1)*H$28)*基础状态预期!$J43)</f>
        <v>0</v>
      </c>
      <c r="AD31" s="67">
        <f>IF(基础状态预期!$H43="",0,IF(基础状态预期!$AB43&lt;=1,0,(基础状态预期!$AB43-1)*I$26)*基础状态预期!$H43)+
IF(基础状态预期!$I43="",0,IF(基础状态预期!$AC43&lt;=1,0,(基础状态预期!$AC43-1)*I$27)*基础状态预期!$I43)+
IF(基础状态预期!$J43="",0,IF(基础状态预期!$AD43&lt;=1,0,(基础状态预期!$AD43-1)*I$28)*基础状态预期!$J43)</f>
        <v>0</v>
      </c>
      <c r="AE31" s="80">
        <f>IF(各r阵容卡情况!$H59=0,0,IF(各r阵容卡情况!$AB59&lt;=1,各r阵容卡情况!$AB59*D$18,1*D$18)*各r阵容卡情况!$H59)+
IF(各r阵容卡情况!$I59=0,0,IF(各r阵容卡情况!$AC59&lt;=1,各r阵容卡情况!$AC59*D$19,1*D$19)*各r阵容卡情况!$I59)+
IF(各r阵容卡情况!$J59=0,0,IF(各r阵容卡情况!$AD59&lt;=1,各r阵容卡情况!$AD59*D$20,1*D$20)*各r阵容卡情况!$J59)</f>
        <v>8</v>
      </c>
      <c r="AF31" s="80">
        <f>IF(各r阵容卡情况!$H59=0,0,IF(各r阵容卡情况!$AB59&lt;=1,各r阵容卡情况!$AB59*E$18,1*E$18)*各r阵容卡情况!$H59)+
IF(各r阵容卡情况!$I59=0,0,IF(各r阵容卡情况!$AC59&lt;=1,各r阵容卡情况!$AC59*E$19,1*E$19)*各r阵容卡情况!$I59)+
IF(各r阵容卡情况!$J59=0,0,IF(各r阵容卡情况!$AD59&lt;=1,各r阵容卡情况!$AD59*E$20,1*E$20)*各r阵容卡情况!$J59)</f>
        <v>0</v>
      </c>
      <c r="AG31" s="80">
        <f>IF(各r阵容卡情况!$H59=0,0,IF(各r阵容卡情况!$AB59&lt;=1,各r阵容卡情况!$AB59*F$18,1*F$18)*各r阵容卡情况!$H59)+
IF(各r阵容卡情况!$I59=0,0,IF(各r阵容卡情况!$AC59&lt;=1,各r阵容卡情况!$AC59*F$19,1*F$19)*各r阵容卡情况!$I59)+
IF(各r阵容卡情况!$J59=0,0,IF(各r阵容卡情况!$AD59&lt;=1,各r阵容卡情况!$AD59*F$20,1*F$20)*各r阵容卡情况!$J59)</f>
        <v>0</v>
      </c>
      <c r="AH31" s="67">
        <f>IF(各r阵容卡情况!$H59=0,0,IF(各r阵容卡情况!$AB59&lt;=1,0,(各r阵容卡情况!$AB59-1)*G$26)*各r阵容卡情况!$H59)+
IF(各r阵容卡情况!$I59=0,0,IF(各r阵容卡情况!$AC59&lt;=1,0,(各r阵容卡情况!$AC59-1)*G$27)*各r阵容卡情况!$I59)+
IF(各r阵容卡情况!$J59=0,0,IF(各r阵容卡情况!$AD59&lt;=1,0,(各r阵容卡情况!$AD59-1)*G$28)*各r阵容卡情况!$J59)</f>
        <v>8.3387078126106484</v>
      </c>
      <c r="AI31" s="67">
        <f>IF(各r阵容卡情况!$H59=0,0,IF(各r阵容卡情况!$AB59&lt;=1,0,(各r阵容卡情况!$AB59-1)*H$26)*各r阵容卡情况!$H59)+
IF(各r阵容卡情况!$I59=0,0,IF(各r阵容卡情况!$AC59&lt;=1,0,(各r阵容卡情况!$AC59-1)*H$27)*各r阵容卡情况!$I59)+
IF(各r阵容卡情况!$J59=0,0,IF(各r阵容卡情况!$AD59&lt;=1,0,(各r阵容卡情况!$AD59-1)*H$28)*各r阵容卡情况!$J59)</f>
        <v>0</v>
      </c>
      <c r="AJ31" s="67">
        <f>IF(各r阵容卡情况!$H59=0,0,IF(各r阵容卡情况!$AB59&lt;=1,0,(各r阵容卡情况!$AB59-1)*I$26)*各r阵容卡情况!$H59)+
IF(各r阵容卡情况!$I59=0,0,IF(各r阵容卡情况!$AC59&lt;=1,0,(各r阵容卡情况!$AC59-1)*I$27)*各r阵容卡情况!$I59)+
IF(各r阵容卡情况!$J59=0,0,IF(各r阵容卡情况!$AD59&lt;=1,0,(各r阵容卡情况!$AD59-1)*I$28)*各r阵容卡情况!$J59)</f>
        <v>0</v>
      </c>
      <c r="AL31" s="14">
        <v>140</v>
      </c>
      <c r="AM31" s="80">
        <f t="shared" si="21"/>
        <v>48</v>
      </c>
      <c r="AN31" s="80">
        <f t="shared" si="22"/>
        <v>0</v>
      </c>
      <c r="AO31" s="80">
        <f t="shared" si="23"/>
        <v>0</v>
      </c>
      <c r="AP31" s="80">
        <f t="shared" si="24"/>
        <v>240</v>
      </c>
      <c r="AQ31" s="80">
        <f t="shared" si="25"/>
        <v>0</v>
      </c>
      <c r="AR31" s="80">
        <f t="shared" si="26"/>
        <v>0</v>
      </c>
      <c r="AS31" s="80">
        <f t="shared" si="27"/>
        <v>94.182701034915013</v>
      </c>
      <c r="AT31" s="80">
        <f t="shared" si="28"/>
        <v>0</v>
      </c>
      <c r="AU31" s="80">
        <f t="shared" si="29"/>
        <v>0</v>
      </c>
      <c r="AV31" s="80">
        <f t="shared" si="30"/>
        <v>470.91350517457511</v>
      </c>
      <c r="AW31" s="80">
        <f t="shared" si="31"/>
        <v>0</v>
      </c>
      <c r="AX31" s="80">
        <f t="shared" si="32"/>
        <v>0</v>
      </c>
      <c r="AY31" s="61" t="e">
        <f>SUMPRODUCT(AM31:AR31/'[1]功能-行军令'!$GI$26:$GN$26+AS31:AX31/'[1]功能-行军令'!$GI$26:$GN$26)/0.18</f>
        <v>#DIV/0!</v>
      </c>
      <c r="BO31" s="80">
        <f t="shared" si="15"/>
        <v>121.47928719052189</v>
      </c>
      <c r="BP31" s="80">
        <f t="shared" si="16"/>
        <v>12300000</v>
      </c>
      <c r="BQ31" s="80">
        <f>(BP31-BP30)*INDEX('[1]功能-付费相关'!$AQ$6:$AQ$165,$BO31,1)+BQ30</f>
        <v>15965.959189681667</v>
      </c>
      <c r="BR31" s="80"/>
      <c r="BS31" s="80"/>
    </row>
    <row r="32" spans="2:77" x14ac:dyDescent="0.15">
      <c r="B32" s="201" t="s">
        <v>550</v>
      </c>
      <c r="C32" s="80" t="s">
        <v>272</v>
      </c>
      <c r="D32" s="80" t="s">
        <v>3</v>
      </c>
      <c r="E32" s="80" t="s">
        <v>1</v>
      </c>
      <c r="F32" s="80" t="s">
        <v>2</v>
      </c>
      <c r="G32" s="80" t="s">
        <v>0</v>
      </c>
      <c r="H32" s="80" t="s">
        <v>545</v>
      </c>
      <c r="I32" s="80" t="s">
        <v>30</v>
      </c>
      <c r="L32" s="61">
        <v>31</v>
      </c>
      <c r="M32" s="80">
        <f>基础状态预期!D44</f>
        <v>121.47928719052189</v>
      </c>
      <c r="N32" s="80">
        <f>IF(基础状态预期!F44="",0,IF(基础状态预期!Z44&lt;=1,基础状态预期!Z44*D$4,1*D$4+(基础状态预期!Z44-1)*武将觉醒!D$5))</f>
        <v>0</v>
      </c>
      <c r="O32" s="80">
        <f>IF(基础状态预期!G44="",0,IF(基础状态预期!AA44&lt;=1,基础状态预期!AA44*E$4,1*E$4+(基础状态预期!AA44-1)*武将觉醒!E$5))</f>
        <v>0</v>
      </c>
      <c r="P32" s="80">
        <f>IF(基础状态预期!H44="",0,IF(基础状态预期!AB44&lt;=1,基础状态预期!AB44*F$4,1*F$4+(基础状态预期!AB44-1)*武将觉醒!F$5))</f>
        <v>0</v>
      </c>
      <c r="Q32" s="80">
        <f>IF(基础状态预期!I44="",0,IF(基础状态预期!AC44&lt;=1,基础状态预期!AC44*G$4,1*G$4+(基础状态预期!AC44-1)*武将觉醒!G$5))</f>
        <v>0</v>
      </c>
      <c r="R32" s="80">
        <f>IF(基础状态预期!J44="",0,IF(基础状态预期!AD44&lt;=1,基础状态预期!AD44*H$4,1*H$4+(基础状态预期!AD44-1)*武将觉醒!H$5))</f>
        <v>2050000</v>
      </c>
      <c r="S32" s="80">
        <f>MAX(SUMPRODUCT(N32:R32,基础状态预期!F44:J44),S31)</f>
        <v>12300000</v>
      </c>
      <c r="T32" s="80">
        <f>IF(基础状态预期!Z44="",0,IFERROR(基础状态预期!F44*求节点($C$62:$C$63,D$62:D$63,基础状态预期!Z44),0)+IFERROR(基础状态预期!$J44*求节点($C$71:$C$72,D$71:D$72,基础状态预期!$AD44),0))</f>
        <v>0</v>
      </c>
      <c r="U32" s="80">
        <f>IF(基础状态预期!AA44="",0,IFERROR(基础状态预期!G44*求节点($C$62:$C$63,E$62:E$63,基础状态预期!AA44),0)+IFERROR(基础状态预期!$J44*求节点($C$71:$C$72,E$71:E$72,基础状态预期!$AD44),0))</f>
        <v>0</v>
      </c>
      <c r="V32" s="80">
        <f>IF(基础状态预期!AB44="",0,IFERROR(基础状态预期!H44*求节点($C$62:$C$63,F$62:F$63,基础状态预期!AB44),0)+IFERROR(基础状态预期!$J44*求节点($C$71:$C$72,F$71:F$72,基础状态预期!$AD44),0))</f>
        <v>0</v>
      </c>
      <c r="W32" s="80">
        <f>IF(基础状态预期!AC44="",0,IFERROR(基础状态预期!I44*求节点($C$62:$C$63,G$62:G$63,基础状态预期!AC44),0)+IFERROR(基础状态预期!$J44*求节点($C$71:$C$72,G$71:G$72,基础状态预期!$AD44),0))</f>
        <v>0</v>
      </c>
      <c r="X32" s="80">
        <f>IF(基础状态预期!AD44="",0,IFERROR(基础状态预期!J44*求节点($C$62:$C$63,H$62:H$63,基础状态预期!AD44),0)+IFERROR(基础状态预期!$J44*求节点($C$71:$C$72,H$71:H$72,基础状态预期!$AD44),0))</f>
        <v>0</v>
      </c>
      <c r="Y32" s="80">
        <f>IF(基础状态预期!$H44="",0,IF(基础状态预期!$AB44&lt;=1,基础状态预期!$AB44*D$18,D$18)*基础状态预期!$H44)+
IF(基础状态预期!$I44="",0,IF(基础状态预期!$AC44&lt;=1,基础状态预期!$AC44*D$19,D$19)*基础状态预期!$I44)+
IF(基础状态预期!$J44="",0,IF(基础状态预期!$AD44&lt;=1,基础状态预期!$AD44*D$20,D$20)*基础状态预期!$J44)</f>
        <v>48</v>
      </c>
      <c r="Z32" s="80">
        <f>IF(基础状态预期!$H44="",0,IF(基础状态预期!$AB44&lt;=1,基础状态预期!$AB44*E$18,E$18)*基础状态预期!$H44)+
IF(基础状态预期!$I44="",0,IF(基础状态预期!$AC44&lt;=1,基础状态预期!$AC44*E$19,E$19)*基础状态预期!$I44)+
IF(基础状态预期!$J44="",0,IF(基础状态预期!$AD44&lt;=1,基础状态预期!$AD44*E$20,E$20)*基础状态预期!$J44)</f>
        <v>0</v>
      </c>
      <c r="AA32" s="80">
        <f>IF(基础状态预期!$H44="",0,IF(基础状态预期!$AB44&lt;=1,基础状态预期!$AB44*F$18,F$18)*基础状态预期!$H44)+
IF(基础状态预期!$I44="",0,IF(基础状态预期!$AC44&lt;=1,基础状态预期!$AC44*F$19,F$19)*基础状态预期!$I44)+
IF(基础状态预期!$J44="",0,IF(基础状态预期!$AD44&lt;=1,基础状态预期!$AD44*F$20,F$20)*基础状态预期!$J44)</f>
        <v>0</v>
      </c>
      <c r="AB32" s="67">
        <f>IF(基础状态预期!$H44="",0,IF(基础状态预期!$AB44&lt;=1,0,(基础状态预期!$AB44-1)*G$26)*基础状态预期!$H44)+
IF(基础状态预期!$I44="",0,IF(基础状态预期!$AC44&lt;=1,0,(基础状态预期!$AC44-1)*G$27)*基础状态预期!$I44)+
IF(基础状态预期!$J44="",0,IF(基础状态预期!$AD44&lt;=1,0,(基础状态预期!$AD44-1)*G$28)*基础状态预期!$J44)</f>
        <v>240</v>
      </c>
      <c r="AC32" s="67">
        <f>IF(基础状态预期!$H44="",0,IF(基础状态预期!$AB44&lt;=1,0,(基础状态预期!$AB44-1)*H$26)*基础状态预期!$H44)+
IF(基础状态预期!$I44="",0,IF(基础状态预期!$AC44&lt;=1,0,(基础状态预期!$AC44-1)*H$27)*基础状态预期!$I44)+
IF(基础状态预期!$J44="",0,IF(基础状态预期!$AD44&lt;=1,0,(基础状态预期!$AD44-1)*H$28)*基础状态预期!$J44)</f>
        <v>0</v>
      </c>
      <c r="AD32" s="67">
        <f>IF(基础状态预期!$H44="",0,IF(基础状态预期!$AB44&lt;=1,0,(基础状态预期!$AB44-1)*I$26)*基础状态预期!$H44)+
IF(基础状态预期!$I44="",0,IF(基础状态预期!$AC44&lt;=1,0,(基础状态预期!$AC44-1)*I$27)*基础状态预期!$I44)+
IF(基础状态预期!$J44="",0,IF(基础状态预期!$AD44&lt;=1,0,(基础状态预期!$AD44-1)*I$28)*基础状态预期!$J44)</f>
        <v>0</v>
      </c>
      <c r="AE32" s="80">
        <f>IF(各r阵容卡情况!$H60=0,0,IF(各r阵容卡情况!$AB60&lt;=1,各r阵容卡情况!$AB60*D$18,1*D$18)*各r阵容卡情况!$H60)+
IF(各r阵容卡情况!$I60=0,0,IF(各r阵容卡情况!$AC60&lt;=1,各r阵容卡情况!$AC60*D$19,1*D$19)*各r阵容卡情况!$I60)+
IF(各r阵容卡情况!$J60=0,0,IF(各r阵容卡情况!$AD60&lt;=1,各r阵容卡情况!$AD60*D$20,1*D$20)*各r阵容卡情况!$J60)</f>
        <v>16</v>
      </c>
      <c r="AF32" s="80">
        <f>IF(各r阵容卡情况!$H60=0,0,IF(各r阵容卡情况!$AB60&lt;=1,各r阵容卡情况!$AB60*E$18,1*E$18)*各r阵容卡情况!$H60)+
IF(各r阵容卡情况!$I60=0,0,IF(各r阵容卡情况!$AC60&lt;=1,各r阵容卡情况!$AC60*E$19,1*E$19)*各r阵容卡情况!$I60)+
IF(各r阵容卡情况!$J60=0,0,IF(各r阵容卡情况!$AD60&lt;=1,各r阵容卡情况!$AD60*E$20,1*E$20)*各r阵容卡情况!$J60)</f>
        <v>0</v>
      </c>
      <c r="AG32" s="80">
        <f>IF(各r阵容卡情况!$H60=0,0,IF(各r阵容卡情况!$AB60&lt;=1,各r阵容卡情况!$AB60*F$18,1*F$18)*各r阵容卡情况!$H60)+
IF(各r阵容卡情况!$I60=0,0,IF(各r阵容卡情况!$AC60&lt;=1,各r阵容卡情况!$AC60*F$19,1*F$19)*各r阵容卡情况!$I60)+
IF(各r阵容卡情况!$J60=0,0,IF(各r阵容卡情况!$AD60&lt;=1,各r阵容卡情况!$AD60*F$20,1*F$20)*各r阵容卡情况!$J60)</f>
        <v>0</v>
      </c>
      <c r="AH32" s="67">
        <f>IF(各r阵容卡情况!$H60=0,0,IF(各r阵容卡情况!$AB60&lt;=1,0,(各r阵容卡情况!$AB60-1)*G$26)*各r阵容卡情况!$H60)+
IF(各r阵容卡情况!$I60=0,0,IF(各r阵容卡情况!$AC60&lt;=1,0,(各r阵容卡情况!$AC60-1)*G$27)*各r阵容卡情况!$I60)+
IF(各r阵容卡情况!$J60=0,0,IF(各r阵容卡情况!$AD60&lt;=1,0,(各r阵容卡情况!$AD60-1)*G$28)*各r阵容卡情况!$J60)</f>
        <v>80</v>
      </c>
      <c r="AI32" s="67">
        <f>IF(各r阵容卡情况!$H60=0,0,IF(各r阵容卡情况!$AB60&lt;=1,0,(各r阵容卡情况!$AB60-1)*H$26)*各r阵容卡情况!$H60)+
IF(各r阵容卡情况!$I60=0,0,IF(各r阵容卡情况!$AC60&lt;=1,0,(各r阵容卡情况!$AC60-1)*H$27)*各r阵容卡情况!$I60)+
IF(各r阵容卡情况!$J60=0,0,IF(各r阵容卡情况!$AD60&lt;=1,0,(各r阵容卡情况!$AD60-1)*H$28)*各r阵容卡情况!$J60)</f>
        <v>0</v>
      </c>
      <c r="AJ32" s="67">
        <f>IF(各r阵容卡情况!$H60=0,0,IF(各r阵容卡情况!$AB60&lt;=1,0,(各r阵容卡情况!$AB60-1)*I$26)*各r阵容卡情况!$H60)+
IF(各r阵容卡情况!$I60=0,0,IF(各r阵容卡情况!$AC60&lt;=1,0,(各r阵容卡情况!$AC60-1)*I$27)*各r阵容卡情况!$I60)+
IF(各r阵容卡情况!$J60=0,0,IF(各r阵容卡情况!$AD60&lt;=1,0,(各r阵容卡情况!$AD60-1)*I$28)*各r阵容卡情况!$J60)</f>
        <v>0</v>
      </c>
      <c r="AL32" s="14">
        <v>145</v>
      </c>
      <c r="AM32" s="80">
        <f t="shared" si="21"/>
        <v>48</v>
      </c>
      <c r="AN32" s="80">
        <f t="shared" si="22"/>
        <v>0</v>
      </c>
      <c r="AO32" s="80">
        <f t="shared" si="23"/>
        <v>0</v>
      </c>
      <c r="AP32" s="80">
        <f t="shared" si="24"/>
        <v>240</v>
      </c>
      <c r="AQ32" s="80">
        <f t="shared" si="25"/>
        <v>0</v>
      </c>
      <c r="AR32" s="80">
        <f t="shared" si="26"/>
        <v>0</v>
      </c>
      <c r="AS32" s="80">
        <f t="shared" si="27"/>
        <v>114.12183106196603</v>
      </c>
      <c r="AT32" s="80">
        <f t="shared" si="28"/>
        <v>0</v>
      </c>
      <c r="AU32" s="80">
        <f t="shared" si="29"/>
        <v>0</v>
      </c>
      <c r="AV32" s="80">
        <f t="shared" si="30"/>
        <v>570.60915530983016</v>
      </c>
      <c r="AW32" s="80">
        <f t="shared" si="31"/>
        <v>0</v>
      </c>
      <c r="AX32" s="80">
        <f t="shared" si="32"/>
        <v>0</v>
      </c>
      <c r="AY32" s="61" t="e">
        <f>SUMPRODUCT(AM32:AR32/'[1]功能-行军令'!$GI$26:$GN$26+AS32:AX32/'[1]功能-行军令'!$GI$26:$GN$26)/0.18</f>
        <v>#DIV/0!</v>
      </c>
      <c r="BO32" s="80">
        <f t="shared" si="15"/>
        <v>125.02015904129435</v>
      </c>
      <c r="BP32" s="80">
        <f t="shared" si="16"/>
        <v>12300000</v>
      </c>
      <c r="BQ32" s="80">
        <f>(BP32-BP31)*INDEX('[1]功能-付费相关'!$AQ$6:$AQ$165,$BO32,1)+BQ31</f>
        <v>15965.959189681667</v>
      </c>
      <c r="BR32" s="80"/>
      <c r="BS32" s="80"/>
    </row>
    <row r="33" spans="2:77" x14ac:dyDescent="0.15">
      <c r="B33" s="201"/>
      <c r="C33" s="80">
        <v>1</v>
      </c>
      <c r="D33" s="80"/>
      <c r="E33" s="80"/>
      <c r="F33" s="80">
        <v>0</v>
      </c>
      <c r="G33" s="80">
        <v>0</v>
      </c>
      <c r="H33" s="80"/>
      <c r="I33" s="80"/>
      <c r="L33" s="61">
        <v>32</v>
      </c>
      <c r="M33" s="80">
        <f>基础状态预期!D45</f>
        <v>125.02015904129435</v>
      </c>
      <c r="N33" s="80">
        <f>IF(基础状态预期!F45="",0,IF(基础状态预期!Z45&lt;=1,基础状态预期!Z45*D$4,1*D$4+(基础状态预期!Z45-1)*武将觉醒!D$5))</f>
        <v>0</v>
      </c>
      <c r="O33" s="80">
        <f>IF(基础状态预期!G45="",0,IF(基础状态预期!AA45&lt;=1,基础状态预期!AA45*E$4,1*E$4+(基础状态预期!AA45-1)*武将觉醒!E$5))</f>
        <v>0</v>
      </c>
      <c r="P33" s="80">
        <f>IF(基础状态预期!H45="",0,IF(基础状态预期!AB45&lt;=1,基础状态预期!AB45*F$4,1*F$4+(基础状态预期!AB45-1)*武将觉醒!F$5))</f>
        <v>0</v>
      </c>
      <c r="Q33" s="80">
        <f>IF(基础状态预期!I45="",0,IF(基础状态预期!AC45&lt;=1,基础状态预期!AC45*G$4,1*G$4+(基础状态预期!AC45-1)*武将觉醒!G$5))</f>
        <v>0</v>
      </c>
      <c r="R33" s="80">
        <f>IF(基础状态预期!J45="",0,IF(基础状态预期!AD45&lt;=1,基础状态预期!AD45*H$4,1*H$4+(基础状态预期!AD45-1)*武将觉醒!H$5))</f>
        <v>2050000</v>
      </c>
      <c r="S33" s="80">
        <f>MAX(SUMPRODUCT(N33:R33,基础状态预期!F45:J45),S32)</f>
        <v>12300000</v>
      </c>
      <c r="T33" s="80">
        <f>IF(基础状态预期!Z45="",0,IFERROR(基础状态预期!F45*求节点($C$62:$C$63,D$62:D$63,基础状态预期!Z45),0)+IFERROR(基础状态预期!$J45*求节点($C$71:$C$72,D$71:D$72,基础状态预期!$AD45),0))</f>
        <v>0</v>
      </c>
      <c r="U33" s="80">
        <f>IF(基础状态预期!AA45="",0,IFERROR(基础状态预期!G45*求节点($C$62:$C$63,E$62:E$63,基础状态预期!AA45),0)+IFERROR(基础状态预期!$J45*求节点($C$71:$C$72,E$71:E$72,基础状态预期!$AD45),0))</f>
        <v>0</v>
      </c>
      <c r="V33" s="80">
        <f>IF(基础状态预期!AB45="",0,IFERROR(基础状态预期!H45*求节点($C$62:$C$63,F$62:F$63,基础状态预期!AB45),0)+IFERROR(基础状态预期!$J45*求节点($C$71:$C$72,F$71:F$72,基础状态预期!$AD45),0))</f>
        <v>0</v>
      </c>
      <c r="W33" s="80">
        <f>IF(基础状态预期!AC45="",0,IFERROR(基础状态预期!I45*求节点($C$62:$C$63,G$62:G$63,基础状态预期!AC45),0)+IFERROR(基础状态预期!$J45*求节点($C$71:$C$72,G$71:G$72,基础状态预期!$AD45),0))</f>
        <v>0</v>
      </c>
      <c r="X33" s="80">
        <f>IF(基础状态预期!AD45="",0,IFERROR(基础状态预期!J45*求节点($C$62:$C$63,H$62:H$63,基础状态预期!AD45),0)+IFERROR(基础状态预期!$J45*求节点($C$71:$C$72,H$71:H$72,基础状态预期!$AD45),0))</f>
        <v>0</v>
      </c>
      <c r="Y33" s="80">
        <f>IF(基础状态预期!$H45="",0,IF(基础状态预期!$AB45&lt;=1,基础状态预期!$AB45*D$18,D$18)*基础状态预期!$H45)+
IF(基础状态预期!$I45="",0,IF(基础状态预期!$AC45&lt;=1,基础状态预期!$AC45*D$19,D$19)*基础状态预期!$I45)+
IF(基础状态预期!$J45="",0,IF(基础状态预期!$AD45&lt;=1,基础状态预期!$AD45*D$20,D$20)*基础状态预期!$J45)</f>
        <v>48</v>
      </c>
      <c r="Z33" s="80">
        <f>IF(基础状态预期!$H45="",0,IF(基础状态预期!$AB45&lt;=1,基础状态预期!$AB45*E$18,E$18)*基础状态预期!$H45)+
IF(基础状态预期!$I45="",0,IF(基础状态预期!$AC45&lt;=1,基础状态预期!$AC45*E$19,E$19)*基础状态预期!$I45)+
IF(基础状态预期!$J45="",0,IF(基础状态预期!$AD45&lt;=1,基础状态预期!$AD45*E$20,E$20)*基础状态预期!$J45)</f>
        <v>0</v>
      </c>
      <c r="AA33" s="80">
        <f>IF(基础状态预期!$H45="",0,IF(基础状态预期!$AB45&lt;=1,基础状态预期!$AB45*F$18,F$18)*基础状态预期!$H45)+
IF(基础状态预期!$I45="",0,IF(基础状态预期!$AC45&lt;=1,基础状态预期!$AC45*F$19,F$19)*基础状态预期!$I45)+
IF(基础状态预期!$J45="",0,IF(基础状态预期!$AD45&lt;=1,基础状态预期!$AD45*F$20,F$20)*基础状态预期!$J45)</f>
        <v>0</v>
      </c>
      <c r="AB33" s="67">
        <f>IF(基础状态预期!$H45="",0,IF(基础状态预期!$AB45&lt;=1,0,(基础状态预期!$AB45-1)*G$26)*基础状态预期!$H45)+
IF(基础状态预期!$I45="",0,IF(基础状态预期!$AC45&lt;=1,0,(基础状态预期!$AC45-1)*G$27)*基础状态预期!$I45)+
IF(基础状态预期!$J45="",0,IF(基础状态预期!$AD45&lt;=1,0,(基础状态预期!$AD45-1)*G$28)*基础状态预期!$J45)</f>
        <v>240</v>
      </c>
      <c r="AC33" s="67">
        <f>IF(基础状态预期!$H45="",0,IF(基础状态预期!$AB45&lt;=1,0,(基础状态预期!$AB45-1)*H$26)*基础状态预期!$H45)+
IF(基础状态预期!$I45="",0,IF(基础状态预期!$AC45&lt;=1,0,(基础状态预期!$AC45-1)*H$27)*基础状态预期!$I45)+
IF(基础状态预期!$J45="",0,IF(基础状态预期!$AD45&lt;=1,0,(基础状态预期!$AD45-1)*H$28)*基础状态预期!$J45)</f>
        <v>0</v>
      </c>
      <c r="AD33" s="67">
        <f>IF(基础状态预期!$H45="",0,IF(基础状态预期!$AB45&lt;=1,0,(基础状态预期!$AB45-1)*I$26)*基础状态预期!$H45)+
IF(基础状态预期!$I45="",0,IF(基础状态预期!$AC45&lt;=1,0,(基础状态预期!$AC45-1)*I$27)*基础状态预期!$I45)+
IF(基础状态预期!$J45="",0,IF(基础状态预期!$AD45&lt;=1,0,(基础状态预期!$AD45-1)*I$28)*基础状态预期!$J45)</f>
        <v>0</v>
      </c>
      <c r="AE33" s="80">
        <f>IF(各r阵容卡情况!$H61=0,0,IF(各r阵容卡情况!$AB61&lt;=1,各r阵容卡情况!$AB61*D$18,1*D$18)*各r阵容卡情况!$H61)+
IF(各r阵容卡情况!$I61=0,0,IF(各r阵容卡情况!$AC61&lt;=1,各r阵容卡情况!$AC61*D$19,1*D$19)*各r阵容卡情况!$I61)+
IF(各r阵容卡情况!$J61=0,0,IF(各r阵容卡情况!$AD61&lt;=1,各r阵容卡情况!$AD61*D$20,1*D$20)*各r阵容卡情况!$J61)</f>
        <v>24</v>
      </c>
      <c r="AF33" s="80">
        <f>IF(各r阵容卡情况!$H61=0,0,IF(各r阵容卡情况!$AB61&lt;=1,各r阵容卡情况!$AB61*E$18,1*E$18)*各r阵容卡情况!$H61)+
IF(各r阵容卡情况!$I61=0,0,IF(各r阵容卡情况!$AC61&lt;=1,各r阵容卡情况!$AC61*E$19,1*E$19)*各r阵容卡情况!$I61)+
IF(各r阵容卡情况!$J61=0,0,IF(各r阵容卡情况!$AD61&lt;=1,各r阵容卡情况!$AD61*E$20,1*E$20)*各r阵容卡情况!$J61)</f>
        <v>0</v>
      </c>
      <c r="AG33" s="80">
        <f>IF(各r阵容卡情况!$H61=0,0,IF(各r阵容卡情况!$AB61&lt;=1,各r阵容卡情况!$AB61*F$18,1*F$18)*各r阵容卡情况!$H61)+
IF(各r阵容卡情况!$I61=0,0,IF(各r阵容卡情况!$AC61&lt;=1,各r阵容卡情况!$AC61*F$19,1*F$19)*各r阵容卡情况!$I61)+
IF(各r阵容卡情况!$J61=0,0,IF(各r阵容卡情况!$AD61&lt;=1,各r阵容卡情况!$AD61*F$20,1*F$20)*各r阵容卡情况!$J61)</f>
        <v>0</v>
      </c>
      <c r="AH33" s="67">
        <f>IF(各r阵容卡情况!$H61=0,0,IF(各r阵容卡情况!$AB61&lt;=1,0,(各r阵容卡情况!$AB61-1)*G$26)*各r阵容卡情况!$H61)+
IF(各r阵容卡情况!$I61=0,0,IF(各r阵容卡情况!$AC61&lt;=1,0,(各r阵容卡情况!$AC61-1)*G$27)*各r阵容卡情况!$I61)+
IF(各r阵容卡情况!$J61=0,0,IF(各r阵容卡情况!$AD61&lt;=1,0,(各r阵容卡情况!$AD61-1)*G$28)*各r阵容卡情况!$J61)</f>
        <v>120</v>
      </c>
      <c r="AI33" s="67">
        <f>IF(各r阵容卡情况!$H61=0,0,IF(各r阵容卡情况!$AB61&lt;=1,0,(各r阵容卡情况!$AB61-1)*H$26)*各r阵容卡情况!$H61)+
IF(各r阵容卡情况!$I61=0,0,IF(各r阵容卡情况!$AC61&lt;=1,0,(各r阵容卡情况!$AC61-1)*H$27)*各r阵容卡情况!$I61)+
IF(各r阵容卡情况!$J61=0,0,IF(各r阵容卡情况!$AD61&lt;=1,0,(各r阵容卡情况!$AD61-1)*H$28)*各r阵容卡情况!$J61)</f>
        <v>0</v>
      </c>
      <c r="AJ33" s="67">
        <f>IF(各r阵容卡情况!$H61=0,0,IF(各r阵容卡情况!$AB61&lt;=1,0,(各r阵容卡情况!$AB61-1)*I$26)*各r阵容卡情况!$H61)+
IF(各r阵容卡情况!$I61=0,0,IF(各r阵容卡情况!$AC61&lt;=1,0,(各r阵容卡情况!$AC61-1)*I$27)*各r阵容卡情况!$I61)+
IF(各r阵容卡情况!$J61=0,0,IF(各r阵容卡情况!$AD61&lt;=1,0,(各r阵容卡情况!$AD61-1)*I$28)*各r阵容卡情况!$J61)</f>
        <v>0</v>
      </c>
      <c r="AL33" s="14">
        <v>150</v>
      </c>
      <c r="AM33" s="80">
        <f t="shared" si="21"/>
        <v>48</v>
      </c>
      <c r="AN33" s="80">
        <f t="shared" si="22"/>
        <v>0</v>
      </c>
      <c r="AO33" s="80">
        <f t="shared" si="23"/>
        <v>0</v>
      </c>
      <c r="AP33" s="80">
        <f t="shared" si="24"/>
        <v>240</v>
      </c>
      <c r="AQ33" s="80">
        <f t="shared" si="25"/>
        <v>0</v>
      </c>
      <c r="AR33" s="80">
        <f t="shared" si="26"/>
        <v>0</v>
      </c>
      <c r="AS33" s="80">
        <f t="shared" si="27"/>
        <v>120.54461121373133</v>
      </c>
      <c r="AT33" s="80">
        <f t="shared" si="28"/>
        <v>0</v>
      </c>
      <c r="AU33" s="80">
        <f t="shared" si="29"/>
        <v>0</v>
      </c>
      <c r="AV33" s="80">
        <f t="shared" si="30"/>
        <v>602.72305606865666</v>
      </c>
      <c r="AW33" s="80">
        <f t="shared" si="31"/>
        <v>0</v>
      </c>
      <c r="AX33" s="80">
        <f t="shared" si="32"/>
        <v>0</v>
      </c>
      <c r="AY33" s="61" t="e">
        <f>SUMPRODUCT(AM33:AR33/'[1]功能-行军令'!$GI$26:$GN$26+AS33:AX33/'[1]功能-行军令'!$GI$26:$GN$26)/0.18</f>
        <v>#DIV/0!</v>
      </c>
      <c r="BO33" s="80">
        <f t="shared" si="15"/>
        <v>128.56549059889721</v>
      </c>
      <c r="BP33" s="80">
        <f t="shared" si="16"/>
        <v>12300000</v>
      </c>
      <c r="BQ33" s="80">
        <f>(BP33-BP32)*INDEX('[1]功能-付费相关'!$AQ$6:$AQ$165,$BO33,1)+BQ32</f>
        <v>15965.959189681667</v>
      </c>
      <c r="BR33" s="80"/>
      <c r="BS33" s="80"/>
    </row>
    <row r="34" spans="2:77" x14ac:dyDescent="0.15">
      <c r="B34" s="201"/>
      <c r="C34" s="80">
        <v>2</v>
      </c>
      <c r="D34" s="80"/>
      <c r="E34" s="80"/>
      <c r="F34" s="80">
        <v>5</v>
      </c>
      <c r="G34" s="80">
        <v>1</v>
      </c>
      <c r="H34" s="80"/>
      <c r="I34" s="80"/>
      <c r="L34" s="61">
        <v>33</v>
      </c>
      <c r="M34" s="80">
        <f>基础状态预期!D46</f>
        <v>128.56549059889721</v>
      </c>
      <c r="N34" s="80">
        <f>IF(基础状态预期!F46="",0,IF(基础状态预期!Z46&lt;=1,基础状态预期!Z46*D$4,1*D$4+(基础状态预期!Z46-1)*武将觉醒!D$5))</f>
        <v>0</v>
      </c>
      <c r="O34" s="80">
        <f>IF(基础状态预期!G46="",0,IF(基础状态预期!AA46&lt;=1,基础状态预期!AA46*E$4,1*E$4+(基础状态预期!AA46-1)*武将觉醒!E$5))</f>
        <v>0</v>
      </c>
      <c r="P34" s="80">
        <f>IF(基础状态预期!H46="",0,IF(基础状态预期!AB46&lt;=1,基础状态预期!AB46*F$4,1*F$4+(基础状态预期!AB46-1)*武将觉醒!F$5))</f>
        <v>0</v>
      </c>
      <c r="Q34" s="80">
        <f>IF(基础状态预期!I46="",0,IF(基础状态预期!AC46&lt;=1,基础状态预期!AC46*G$4,1*G$4+(基础状态预期!AC46-1)*武将觉醒!G$5))</f>
        <v>0</v>
      </c>
      <c r="R34" s="80">
        <f>IF(基础状态预期!J46="",0,IF(基础状态预期!AD46&lt;=1,基础状态预期!AD46*H$4,1*H$4+(基础状态预期!AD46-1)*武将觉醒!H$5))</f>
        <v>2050000</v>
      </c>
      <c r="S34" s="80">
        <f>MAX(SUMPRODUCT(N34:R34,基础状态预期!F46:J46),S33)</f>
        <v>12300000</v>
      </c>
      <c r="T34" s="80">
        <f>IF(基础状态预期!Z46="",0,IFERROR(基础状态预期!F46*求节点($C$62:$C$63,D$62:D$63,基础状态预期!Z46),0)+IFERROR(基础状态预期!$J46*求节点($C$71:$C$72,D$71:D$72,基础状态预期!$AD46),0))</f>
        <v>0</v>
      </c>
      <c r="U34" s="80">
        <f>IF(基础状态预期!AA46="",0,IFERROR(基础状态预期!G46*求节点($C$62:$C$63,E$62:E$63,基础状态预期!AA46),0)+IFERROR(基础状态预期!$J46*求节点($C$71:$C$72,E$71:E$72,基础状态预期!$AD46),0))</f>
        <v>0</v>
      </c>
      <c r="V34" s="80">
        <f>IF(基础状态预期!AB46="",0,IFERROR(基础状态预期!H46*求节点($C$62:$C$63,F$62:F$63,基础状态预期!AB46),0)+IFERROR(基础状态预期!$J46*求节点($C$71:$C$72,F$71:F$72,基础状态预期!$AD46),0))</f>
        <v>0</v>
      </c>
      <c r="W34" s="80">
        <f>IF(基础状态预期!AC46="",0,IFERROR(基础状态预期!I46*求节点($C$62:$C$63,G$62:G$63,基础状态预期!AC46),0)+IFERROR(基础状态预期!$J46*求节点($C$71:$C$72,G$71:G$72,基础状态预期!$AD46),0))</f>
        <v>0</v>
      </c>
      <c r="X34" s="80">
        <f>IF(基础状态预期!AD46="",0,IFERROR(基础状态预期!J46*求节点($C$62:$C$63,H$62:H$63,基础状态预期!AD46),0)+IFERROR(基础状态预期!$J46*求节点($C$71:$C$72,H$71:H$72,基础状态预期!$AD46),0))</f>
        <v>0</v>
      </c>
      <c r="Y34" s="80">
        <f>IF(基础状态预期!$H46="",0,IF(基础状态预期!$AB46&lt;=1,基础状态预期!$AB46*D$18,D$18)*基础状态预期!$H46)+
IF(基础状态预期!$I46="",0,IF(基础状态预期!$AC46&lt;=1,基础状态预期!$AC46*D$19,D$19)*基础状态预期!$I46)+
IF(基础状态预期!$J46="",0,IF(基础状态预期!$AD46&lt;=1,基础状态预期!$AD46*D$20,D$20)*基础状态预期!$J46)</f>
        <v>48</v>
      </c>
      <c r="Z34" s="80">
        <f>IF(基础状态预期!$H46="",0,IF(基础状态预期!$AB46&lt;=1,基础状态预期!$AB46*E$18,E$18)*基础状态预期!$H46)+
IF(基础状态预期!$I46="",0,IF(基础状态预期!$AC46&lt;=1,基础状态预期!$AC46*E$19,E$19)*基础状态预期!$I46)+
IF(基础状态预期!$J46="",0,IF(基础状态预期!$AD46&lt;=1,基础状态预期!$AD46*E$20,E$20)*基础状态预期!$J46)</f>
        <v>0</v>
      </c>
      <c r="AA34" s="80">
        <f>IF(基础状态预期!$H46="",0,IF(基础状态预期!$AB46&lt;=1,基础状态预期!$AB46*F$18,F$18)*基础状态预期!$H46)+
IF(基础状态预期!$I46="",0,IF(基础状态预期!$AC46&lt;=1,基础状态预期!$AC46*F$19,F$19)*基础状态预期!$I46)+
IF(基础状态预期!$J46="",0,IF(基础状态预期!$AD46&lt;=1,基础状态预期!$AD46*F$20,F$20)*基础状态预期!$J46)</f>
        <v>0</v>
      </c>
      <c r="AB34" s="67">
        <f>IF(基础状态预期!$H46="",0,IF(基础状态预期!$AB46&lt;=1,0,(基础状态预期!$AB46-1)*G$26)*基础状态预期!$H46)+
IF(基础状态预期!$I46="",0,IF(基础状态预期!$AC46&lt;=1,0,(基础状态预期!$AC46-1)*G$27)*基础状态预期!$I46)+
IF(基础状态预期!$J46="",0,IF(基础状态预期!$AD46&lt;=1,0,(基础状态预期!$AD46-1)*G$28)*基础状态预期!$J46)</f>
        <v>240</v>
      </c>
      <c r="AC34" s="67">
        <f>IF(基础状态预期!$H46="",0,IF(基础状态预期!$AB46&lt;=1,0,(基础状态预期!$AB46-1)*H$26)*基础状态预期!$H46)+
IF(基础状态预期!$I46="",0,IF(基础状态预期!$AC46&lt;=1,0,(基础状态预期!$AC46-1)*H$27)*基础状态预期!$I46)+
IF(基础状态预期!$J46="",0,IF(基础状态预期!$AD46&lt;=1,0,(基础状态预期!$AD46-1)*H$28)*基础状态预期!$J46)</f>
        <v>0</v>
      </c>
      <c r="AD34" s="67">
        <f>IF(基础状态预期!$H46="",0,IF(基础状态预期!$AB46&lt;=1,0,(基础状态预期!$AB46-1)*I$26)*基础状态预期!$H46)+
IF(基础状态预期!$I46="",0,IF(基础状态预期!$AC46&lt;=1,0,(基础状态预期!$AC46-1)*I$27)*基础状态预期!$I46)+
IF(基础状态预期!$J46="",0,IF(基础状态预期!$AD46&lt;=1,0,(基础状态预期!$AD46-1)*I$28)*基础状态预期!$J46)</f>
        <v>0</v>
      </c>
      <c r="AE34" s="80">
        <f>IF(各r阵容卡情况!$H62=0,0,IF(各r阵容卡情况!$AB62&lt;=1,各r阵容卡情况!$AB62*D$18,1*D$18)*各r阵容卡情况!$H62)+
IF(各r阵容卡情况!$I62=0,0,IF(各r阵容卡情况!$AC62&lt;=1,各r阵容卡情况!$AC62*D$19,1*D$19)*各r阵容卡情况!$I62)+
IF(各r阵容卡情况!$J62=0,0,IF(各r阵容卡情况!$AD62&lt;=1,各r阵容卡情况!$AD62*D$20,1*D$20)*各r阵容卡情况!$J62)</f>
        <v>32</v>
      </c>
      <c r="AF34" s="80">
        <f>IF(各r阵容卡情况!$H62=0,0,IF(各r阵容卡情况!$AB62&lt;=1,各r阵容卡情况!$AB62*E$18,1*E$18)*各r阵容卡情况!$H62)+
IF(各r阵容卡情况!$I62=0,0,IF(各r阵容卡情况!$AC62&lt;=1,各r阵容卡情况!$AC62*E$19,1*E$19)*各r阵容卡情况!$I62)+
IF(各r阵容卡情况!$J62=0,0,IF(各r阵容卡情况!$AD62&lt;=1,各r阵容卡情况!$AD62*E$20,1*E$20)*各r阵容卡情况!$J62)</f>
        <v>0</v>
      </c>
      <c r="AG34" s="80">
        <f>IF(各r阵容卡情况!$H62=0,0,IF(各r阵容卡情况!$AB62&lt;=1,各r阵容卡情况!$AB62*F$18,1*F$18)*各r阵容卡情况!$H62)+
IF(各r阵容卡情况!$I62=0,0,IF(各r阵容卡情况!$AC62&lt;=1,各r阵容卡情况!$AC62*F$19,1*F$19)*各r阵容卡情况!$I62)+
IF(各r阵容卡情况!$J62=0,0,IF(各r阵容卡情况!$AD62&lt;=1,各r阵容卡情况!$AD62*F$20,1*F$20)*各r阵容卡情况!$J62)</f>
        <v>0</v>
      </c>
      <c r="AH34" s="67">
        <f>IF(各r阵容卡情况!$H62=0,0,IF(各r阵容卡情况!$AB62&lt;=1,0,(各r阵容卡情况!$AB62-1)*G$26)*各r阵容卡情况!$H62)+
IF(各r阵容卡情况!$I62=0,0,IF(各r阵容卡情况!$AC62&lt;=1,0,(各r阵容卡情况!$AC62-1)*G$27)*各r阵容卡情况!$I62)+
IF(各r阵容卡情况!$J62=0,0,IF(各r阵容卡情况!$AD62&lt;=1,0,(各r阵容卡情况!$AD62-1)*G$28)*各r阵容卡情况!$J62)</f>
        <v>160</v>
      </c>
      <c r="AI34" s="67">
        <f>IF(各r阵容卡情况!$H62=0,0,IF(各r阵容卡情况!$AB62&lt;=1,0,(各r阵容卡情况!$AB62-1)*H$26)*各r阵容卡情况!$H62)+
IF(各r阵容卡情况!$I62=0,0,IF(各r阵容卡情况!$AC62&lt;=1,0,(各r阵容卡情况!$AC62-1)*H$27)*各r阵容卡情况!$I62)+
IF(各r阵容卡情况!$J62=0,0,IF(各r阵容卡情况!$AD62&lt;=1,0,(各r阵容卡情况!$AD62-1)*H$28)*各r阵容卡情况!$J62)</f>
        <v>0</v>
      </c>
      <c r="AJ34" s="67">
        <f>IF(各r阵容卡情况!$H62=0,0,IF(各r阵容卡情况!$AB62&lt;=1,0,(各r阵容卡情况!$AB62-1)*I$26)*各r阵容卡情况!$H62)+
IF(各r阵容卡情况!$I62=0,0,IF(各r阵容卡情况!$AC62&lt;=1,0,(各r阵容卡情况!$AC62-1)*I$27)*各r阵容卡情况!$I62)+
IF(各r阵容卡情况!$J62=0,0,IF(各r阵容卡情况!$AD62&lt;=1,0,(各r阵容卡情况!$AD62-1)*I$28)*各r阵容卡情况!$J62)</f>
        <v>0</v>
      </c>
      <c r="AL34" s="14">
        <v>155</v>
      </c>
      <c r="AM34" s="80">
        <f t="shared" si="21"/>
        <v>48</v>
      </c>
      <c r="AN34" s="80">
        <f t="shared" si="22"/>
        <v>0</v>
      </c>
      <c r="AO34" s="80">
        <f t="shared" si="23"/>
        <v>0</v>
      </c>
      <c r="AP34" s="80">
        <f t="shared" si="24"/>
        <v>240</v>
      </c>
      <c r="AQ34" s="80">
        <f t="shared" si="25"/>
        <v>0</v>
      </c>
      <c r="AR34" s="80">
        <f t="shared" si="26"/>
        <v>0</v>
      </c>
      <c r="AS34" s="80">
        <f t="shared" si="27"/>
        <v>126.25920093639022</v>
      </c>
      <c r="AT34" s="80">
        <f t="shared" si="28"/>
        <v>0</v>
      </c>
      <c r="AU34" s="80">
        <f t="shared" si="29"/>
        <v>0</v>
      </c>
      <c r="AV34" s="80">
        <f t="shared" si="30"/>
        <v>631.2960046819511</v>
      </c>
      <c r="AW34" s="80">
        <f t="shared" si="31"/>
        <v>0</v>
      </c>
      <c r="AX34" s="80">
        <f t="shared" si="32"/>
        <v>0</v>
      </c>
      <c r="AY34" s="61" t="e">
        <f>SUMPRODUCT(AM34:AR34/'[1]功能-行军令'!$GI$26:$GN$26+AS34:AX34/'[1]功能-行军令'!$GI$26:$GN$26)/0.18</f>
        <v>#DIV/0!</v>
      </c>
      <c r="BO34" s="80">
        <f t="shared" si="15"/>
        <v>132.07530828871487</v>
      </c>
      <c r="BP34" s="80">
        <f t="shared" si="16"/>
        <v>12300000</v>
      </c>
      <c r="BQ34" s="80">
        <f>(BP34-BP33)*INDEX('[1]功能-付费相关'!$AQ$6:$AQ$165,$BO34,1)+BQ33</f>
        <v>15965.959189681667</v>
      </c>
      <c r="BR34" s="80"/>
      <c r="BS34" s="80"/>
    </row>
    <row r="35" spans="2:77" x14ac:dyDescent="0.15">
      <c r="B35" s="201"/>
      <c r="C35" s="80"/>
      <c r="D35" s="80"/>
      <c r="E35" s="80"/>
      <c r="F35" s="80"/>
      <c r="G35" s="80"/>
      <c r="H35" s="80"/>
      <c r="I35" s="80"/>
      <c r="L35" s="61">
        <v>34</v>
      </c>
      <c r="M35" s="80">
        <f>基础状态预期!D47</f>
        <v>132.07530828871487</v>
      </c>
      <c r="N35" s="80">
        <f>IF(基础状态预期!F47="",0,IF(基础状态预期!Z47&lt;=1,基础状态预期!Z47*D$4,1*D$4+(基础状态预期!Z47-1)*武将觉醒!D$5))</f>
        <v>0</v>
      </c>
      <c r="O35" s="80">
        <f>IF(基础状态预期!G47="",0,IF(基础状态预期!AA47&lt;=1,基础状态预期!AA47*E$4,1*E$4+(基础状态预期!AA47-1)*武将觉醒!E$5))</f>
        <v>0</v>
      </c>
      <c r="P35" s="80">
        <f>IF(基础状态预期!H47="",0,IF(基础状态预期!AB47&lt;=1,基础状态预期!AB47*F$4,1*F$4+(基础状态预期!AB47-1)*武将觉醒!F$5))</f>
        <v>0</v>
      </c>
      <c r="Q35" s="80">
        <f>IF(基础状态预期!I47="",0,IF(基础状态预期!AC47&lt;=1,基础状态预期!AC47*G$4,1*G$4+(基础状态预期!AC47-1)*武将觉醒!G$5))</f>
        <v>0</v>
      </c>
      <c r="R35" s="80">
        <f>IF(基础状态预期!J47="",0,IF(基础状态预期!AD47&lt;=1,基础状态预期!AD47*H$4,1*H$4+(基础状态预期!AD47-1)*武将觉醒!H$5))</f>
        <v>2050000</v>
      </c>
      <c r="S35" s="80">
        <f>MAX(SUMPRODUCT(N35:R35,基础状态预期!F47:J47),S34)</f>
        <v>12300000</v>
      </c>
      <c r="T35" s="80">
        <f>IF(基础状态预期!Z47="",0,IFERROR(基础状态预期!F47*求节点($C$62:$C$63,D$62:D$63,基础状态预期!Z47),0)+IFERROR(基础状态预期!$J47*求节点($C$71:$C$72,D$71:D$72,基础状态预期!$AD47),0))</f>
        <v>0</v>
      </c>
      <c r="U35" s="80">
        <f>IF(基础状态预期!AA47="",0,IFERROR(基础状态预期!G47*求节点($C$62:$C$63,E$62:E$63,基础状态预期!AA47),0)+IFERROR(基础状态预期!$J47*求节点($C$71:$C$72,E$71:E$72,基础状态预期!$AD47),0))</f>
        <v>0</v>
      </c>
      <c r="V35" s="80">
        <f>IF(基础状态预期!AB47="",0,IFERROR(基础状态预期!H47*求节点($C$62:$C$63,F$62:F$63,基础状态预期!AB47),0)+IFERROR(基础状态预期!$J47*求节点($C$71:$C$72,F$71:F$72,基础状态预期!$AD47),0))</f>
        <v>0</v>
      </c>
      <c r="W35" s="80">
        <f>IF(基础状态预期!AC47="",0,IFERROR(基础状态预期!I47*求节点($C$62:$C$63,G$62:G$63,基础状态预期!AC47),0)+IFERROR(基础状态预期!$J47*求节点($C$71:$C$72,G$71:G$72,基础状态预期!$AD47),0))</f>
        <v>0</v>
      </c>
      <c r="X35" s="80">
        <f>IF(基础状态预期!AD47="",0,IFERROR(基础状态预期!J47*求节点($C$62:$C$63,H$62:H$63,基础状态预期!AD47),0)+IFERROR(基础状态预期!$J47*求节点($C$71:$C$72,H$71:H$72,基础状态预期!$AD47),0))</f>
        <v>0</v>
      </c>
      <c r="Y35" s="80">
        <f>IF(基础状态预期!$H47="",0,IF(基础状态预期!$AB47&lt;=1,基础状态预期!$AB47*D$18,D$18)*基础状态预期!$H47)+
IF(基础状态预期!$I47="",0,IF(基础状态预期!$AC47&lt;=1,基础状态预期!$AC47*D$19,D$19)*基础状态预期!$I47)+
IF(基础状态预期!$J47="",0,IF(基础状态预期!$AD47&lt;=1,基础状态预期!$AD47*D$20,D$20)*基础状态预期!$J47)</f>
        <v>48</v>
      </c>
      <c r="Z35" s="80">
        <f>IF(基础状态预期!$H47="",0,IF(基础状态预期!$AB47&lt;=1,基础状态预期!$AB47*E$18,E$18)*基础状态预期!$H47)+
IF(基础状态预期!$I47="",0,IF(基础状态预期!$AC47&lt;=1,基础状态预期!$AC47*E$19,E$19)*基础状态预期!$I47)+
IF(基础状态预期!$J47="",0,IF(基础状态预期!$AD47&lt;=1,基础状态预期!$AD47*E$20,E$20)*基础状态预期!$J47)</f>
        <v>0</v>
      </c>
      <c r="AA35" s="80">
        <f>IF(基础状态预期!$H47="",0,IF(基础状态预期!$AB47&lt;=1,基础状态预期!$AB47*F$18,F$18)*基础状态预期!$H47)+
IF(基础状态预期!$I47="",0,IF(基础状态预期!$AC47&lt;=1,基础状态预期!$AC47*F$19,F$19)*基础状态预期!$I47)+
IF(基础状态预期!$J47="",0,IF(基础状态预期!$AD47&lt;=1,基础状态预期!$AD47*F$20,F$20)*基础状态预期!$J47)</f>
        <v>0</v>
      </c>
      <c r="AB35" s="67">
        <f>IF(基础状态预期!$H47="",0,IF(基础状态预期!$AB47&lt;=1,0,(基础状态预期!$AB47-1)*G$26)*基础状态预期!$H47)+
IF(基础状态预期!$I47="",0,IF(基础状态预期!$AC47&lt;=1,0,(基础状态预期!$AC47-1)*G$27)*基础状态预期!$I47)+
IF(基础状态预期!$J47="",0,IF(基础状态预期!$AD47&lt;=1,0,(基础状态预期!$AD47-1)*G$28)*基础状态预期!$J47)</f>
        <v>240</v>
      </c>
      <c r="AC35" s="67">
        <f>IF(基础状态预期!$H47="",0,IF(基础状态预期!$AB47&lt;=1,0,(基础状态预期!$AB47-1)*H$26)*基础状态预期!$H47)+
IF(基础状态预期!$I47="",0,IF(基础状态预期!$AC47&lt;=1,0,(基础状态预期!$AC47-1)*H$27)*基础状态预期!$I47)+
IF(基础状态预期!$J47="",0,IF(基础状态预期!$AD47&lt;=1,0,(基础状态预期!$AD47-1)*H$28)*基础状态预期!$J47)</f>
        <v>0</v>
      </c>
      <c r="AD35" s="67">
        <f>IF(基础状态预期!$H47="",0,IF(基础状态预期!$AB47&lt;=1,0,(基础状态预期!$AB47-1)*I$26)*基础状态预期!$H47)+
IF(基础状态预期!$I47="",0,IF(基础状态预期!$AC47&lt;=1,0,(基础状态预期!$AC47-1)*I$27)*基础状态预期!$I47)+
IF(基础状态预期!$J47="",0,IF(基础状态预期!$AD47&lt;=1,0,(基础状态预期!$AD47-1)*I$28)*基础状态预期!$J47)</f>
        <v>0</v>
      </c>
      <c r="AE35" s="80">
        <f>IF(各r阵容卡情况!$H63=0,0,IF(各r阵容卡情况!$AB63&lt;=1,各r阵容卡情况!$AB63*D$18,1*D$18)*各r阵容卡情况!$H63)+
IF(各r阵容卡情况!$I63=0,0,IF(各r阵容卡情况!$AC63&lt;=1,各r阵容卡情况!$AC63*D$19,1*D$19)*各r阵容卡情况!$I63)+
IF(各r阵容卡情况!$J63=0,0,IF(各r阵容卡情况!$AD63&lt;=1,各r阵容卡情况!$AD63*D$20,1*D$20)*各r阵容卡情况!$J63)</f>
        <v>40</v>
      </c>
      <c r="AF35" s="80">
        <f>IF(各r阵容卡情况!$H63=0,0,IF(各r阵容卡情况!$AB63&lt;=1,各r阵容卡情况!$AB63*E$18,1*E$18)*各r阵容卡情况!$H63)+
IF(各r阵容卡情况!$I63=0,0,IF(各r阵容卡情况!$AC63&lt;=1,各r阵容卡情况!$AC63*E$19,1*E$19)*各r阵容卡情况!$I63)+
IF(各r阵容卡情况!$J63=0,0,IF(各r阵容卡情况!$AD63&lt;=1,各r阵容卡情况!$AD63*E$20,1*E$20)*各r阵容卡情况!$J63)</f>
        <v>0</v>
      </c>
      <c r="AG35" s="80">
        <f>IF(各r阵容卡情况!$H63=0,0,IF(各r阵容卡情况!$AB63&lt;=1,各r阵容卡情况!$AB63*F$18,1*F$18)*各r阵容卡情况!$H63)+
IF(各r阵容卡情况!$I63=0,0,IF(各r阵容卡情况!$AC63&lt;=1,各r阵容卡情况!$AC63*F$19,1*F$19)*各r阵容卡情况!$I63)+
IF(各r阵容卡情况!$J63=0,0,IF(各r阵容卡情况!$AD63&lt;=1,各r阵容卡情况!$AD63*F$20,1*F$20)*各r阵容卡情况!$J63)</f>
        <v>0</v>
      </c>
      <c r="AH35" s="67">
        <f>IF(各r阵容卡情况!$H63=0,0,IF(各r阵容卡情况!$AB63&lt;=1,0,(各r阵容卡情况!$AB63-1)*G$26)*各r阵容卡情况!$H63)+
IF(各r阵容卡情况!$I63=0,0,IF(各r阵容卡情况!$AC63&lt;=1,0,(各r阵容卡情况!$AC63-1)*G$27)*各r阵容卡情况!$I63)+
IF(各r阵容卡情况!$J63=0,0,IF(各r阵容卡情况!$AD63&lt;=1,0,(各r阵容卡情况!$AD63-1)*G$28)*各r阵容卡情况!$J63)</f>
        <v>200</v>
      </c>
      <c r="AI35" s="67">
        <f>IF(各r阵容卡情况!$H63=0,0,IF(各r阵容卡情况!$AB63&lt;=1,0,(各r阵容卡情况!$AB63-1)*H$26)*各r阵容卡情况!$H63)+
IF(各r阵容卡情况!$I63=0,0,IF(各r阵容卡情况!$AC63&lt;=1,0,(各r阵容卡情况!$AC63-1)*H$27)*各r阵容卡情况!$I63)+
IF(各r阵容卡情况!$J63=0,0,IF(各r阵容卡情况!$AD63&lt;=1,0,(各r阵容卡情况!$AD63-1)*H$28)*各r阵容卡情况!$J63)</f>
        <v>0</v>
      </c>
      <c r="AJ35" s="67">
        <f>IF(各r阵容卡情况!$H63=0,0,IF(各r阵容卡情况!$AB63&lt;=1,0,(各r阵容卡情况!$AB63-1)*I$26)*各r阵容卡情况!$H63)+
IF(各r阵容卡情况!$I63=0,0,IF(各r阵容卡情况!$AC63&lt;=1,0,(各r阵容卡情况!$AC63-1)*I$27)*各r阵容卡情况!$I63)+
IF(各r阵容卡情况!$J63=0,0,IF(各r阵容卡情况!$AD63&lt;=1,0,(各r阵容卡情况!$AD63-1)*I$28)*各r阵容卡情况!$J63)</f>
        <v>0</v>
      </c>
      <c r="AL35" s="14">
        <v>160</v>
      </c>
      <c r="AM35" s="80">
        <f t="shared" si="21"/>
        <v>48</v>
      </c>
      <c r="AN35" s="80">
        <f t="shared" si="22"/>
        <v>0</v>
      </c>
      <c r="AO35" s="80">
        <f t="shared" si="23"/>
        <v>0</v>
      </c>
      <c r="AP35" s="80">
        <f t="shared" si="24"/>
        <v>240</v>
      </c>
      <c r="AQ35" s="80">
        <f t="shared" si="25"/>
        <v>0</v>
      </c>
      <c r="AR35" s="80">
        <f t="shared" si="26"/>
        <v>0</v>
      </c>
      <c r="AS35" s="80">
        <f t="shared" si="27"/>
        <v>132</v>
      </c>
      <c r="AT35" s="80">
        <f t="shared" si="28"/>
        <v>0</v>
      </c>
      <c r="AU35" s="80">
        <f t="shared" si="29"/>
        <v>0</v>
      </c>
      <c r="AV35" s="80">
        <f t="shared" si="30"/>
        <v>660</v>
      </c>
      <c r="AW35" s="80">
        <f t="shared" si="31"/>
        <v>0</v>
      </c>
      <c r="AX35" s="80">
        <f t="shared" si="32"/>
        <v>0</v>
      </c>
      <c r="AY35" s="61" t="e">
        <f>SUMPRODUCT(AM35:AR35/'[1]功能-行军令'!$GI$26:$GN$26+AS35:AX35/'[1]功能-行军令'!$GI$26:$GN$26)/0.18</f>
        <v>#DIV/0!</v>
      </c>
      <c r="BO35" s="80">
        <f t="shared" si="15"/>
        <v>135.54811255008914</v>
      </c>
      <c r="BP35" s="80">
        <f t="shared" si="16"/>
        <v>12300000</v>
      </c>
      <c r="BQ35" s="80">
        <f>(BP35-BP34)*INDEX('[1]功能-付费相关'!$AQ$6:$AQ$165,$BO35,1)+BQ34</f>
        <v>15965.959189681667</v>
      </c>
      <c r="BR35" s="80"/>
      <c r="BS35" s="80"/>
    </row>
    <row r="36" spans="2:77" x14ac:dyDescent="0.15">
      <c r="B36" s="201"/>
      <c r="C36" s="80"/>
      <c r="D36" s="80"/>
      <c r="E36" s="80"/>
      <c r="F36" s="80"/>
      <c r="G36" s="80"/>
      <c r="H36" s="80"/>
      <c r="I36" s="80"/>
      <c r="L36" s="61">
        <v>35</v>
      </c>
      <c r="M36" s="80">
        <f>基础状态预期!D48</f>
        <v>135.54811255008914</v>
      </c>
      <c r="N36" s="80">
        <f>IF(基础状态预期!F48="",0,IF(基础状态预期!Z48&lt;=1,基础状态预期!Z48*D$4,1*D$4+(基础状态预期!Z48-1)*武将觉醒!D$5))</f>
        <v>0</v>
      </c>
      <c r="O36" s="80">
        <f>IF(基础状态预期!G48="",0,IF(基础状态预期!AA48&lt;=1,基础状态预期!AA48*E$4,1*E$4+(基础状态预期!AA48-1)*武将觉醒!E$5))</f>
        <v>0</v>
      </c>
      <c r="P36" s="80">
        <f>IF(基础状态预期!H48="",0,IF(基础状态预期!AB48&lt;=1,基础状态预期!AB48*F$4,1*F$4+(基础状态预期!AB48-1)*武将觉醒!F$5))</f>
        <v>0</v>
      </c>
      <c r="Q36" s="80">
        <f>IF(基础状态预期!I48="",0,IF(基础状态预期!AC48&lt;=1,基础状态预期!AC48*G$4,1*G$4+(基础状态预期!AC48-1)*武将觉醒!G$5))</f>
        <v>0</v>
      </c>
      <c r="R36" s="80">
        <f>IF(基础状态预期!J48="",0,IF(基础状态预期!AD48&lt;=1,基础状态预期!AD48*H$4,1*H$4+(基础状态预期!AD48-1)*武将觉醒!H$5))</f>
        <v>2050000</v>
      </c>
      <c r="S36" s="80">
        <f>MAX(SUMPRODUCT(N36:R36,基础状态预期!F48:J48),S35)</f>
        <v>12300000</v>
      </c>
      <c r="T36" s="80">
        <f>IF(基础状态预期!Z48="",0,IFERROR(基础状态预期!F48*求节点($C$62:$C$63,D$62:D$63,基础状态预期!Z48),0)+IFERROR(基础状态预期!$J48*求节点($C$71:$C$72,D$71:D$72,基础状态预期!$AD48),0))</f>
        <v>0</v>
      </c>
      <c r="U36" s="80">
        <f>IF(基础状态预期!AA48="",0,IFERROR(基础状态预期!G48*求节点($C$62:$C$63,E$62:E$63,基础状态预期!AA48),0)+IFERROR(基础状态预期!$J48*求节点($C$71:$C$72,E$71:E$72,基础状态预期!$AD48),0))</f>
        <v>0</v>
      </c>
      <c r="V36" s="80">
        <f>IF(基础状态预期!AB48="",0,IFERROR(基础状态预期!H48*求节点($C$62:$C$63,F$62:F$63,基础状态预期!AB48),0)+IFERROR(基础状态预期!$J48*求节点($C$71:$C$72,F$71:F$72,基础状态预期!$AD48),0))</f>
        <v>0</v>
      </c>
      <c r="W36" s="80">
        <f>IF(基础状态预期!AC48="",0,IFERROR(基础状态预期!I48*求节点($C$62:$C$63,G$62:G$63,基础状态预期!AC48),0)+IFERROR(基础状态预期!$J48*求节点($C$71:$C$72,G$71:G$72,基础状态预期!$AD48),0))</f>
        <v>0</v>
      </c>
      <c r="X36" s="80">
        <f>IF(基础状态预期!AD48="",0,IFERROR(基础状态预期!J48*求节点($C$62:$C$63,H$62:H$63,基础状态预期!AD48),0)+IFERROR(基础状态预期!$J48*求节点($C$71:$C$72,H$71:H$72,基础状态预期!$AD48),0))</f>
        <v>0</v>
      </c>
      <c r="Y36" s="80">
        <f>IF(基础状态预期!$H48="",0,IF(基础状态预期!$AB48&lt;=1,基础状态预期!$AB48*D$18,D$18)*基础状态预期!$H48)+
IF(基础状态预期!$I48="",0,IF(基础状态预期!$AC48&lt;=1,基础状态预期!$AC48*D$19,D$19)*基础状态预期!$I48)+
IF(基础状态预期!$J48="",0,IF(基础状态预期!$AD48&lt;=1,基础状态预期!$AD48*D$20,D$20)*基础状态预期!$J48)</f>
        <v>48</v>
      </c>
      <c r="Z36" s="80">
        <f>IF(基础状态预期!$H48="",0,IF(基础状态预期!$AB48&lt;=1,基础状态预期!$AB48*E$18,E$18)*基础状态预期!$H48)+
IF(基础状态预期!$I48="",0,IF(基础状态预期!$AC48&lt;=1,基础状态预期!$AC48*E$19,E$19)*基础状态预期!$I48)+
IF(基础状态预期!$J48="",0,IF(基础状态预期!$AD48&lt;=1,基础状态预期!$AD48*E$20,E$20)*基础状态预期!$J48)</f>
        <v>0</v>
      </c>
      <c r="AA36" s="80">
        <f>IF(基础状态预期!$H48="",0,IF(基础状态预期!$AB48&lt;=1,基础状态预期!$AB48*F$18,F$18)*基础状态预期!$H48)+
IF(基础状态预期!$I48="",0,IF(基础状态预期!$AC48&lt;=1,基础状态预期!$AC48*F$19,F$19)*基础状态预期!$I48)+
IF(基础状态预期!$J48="",0,IF(基础状态预期!$AD48&lt;=1,基础状态预期!$AD48*F$20,F$20)*基础状态预期!$J48)</f>
        <v>0</v>
      </c>
      <c r="AB36" s="67">
        <f>IF(基础状态预期!$H48="",0,IF(基础状态预期!$AB48&lt;=1,0,(基础状态预期!$AB48-1)*G$26)*基础状态预期!$H48)+
IF(基础状态预期!$I48="",0,IF(基础状态预期!$AC48&lt;=1,0,(基础状态预期!$AC48-1)*G$27)*基础状态预期!$I48)+
IF(基础状态预期!$J48="",0,IF(基础状态预期!$AD48&lt;=1,0,(基础状态预期!$AD48-1)*G$28)*基础状态预期!$J48)</f>
        <v>240</v>
      </c>
      <c r="AC36" s="67">
        <f>IF(基础状态预期!$H48="",0,IF(基础状态预期!$AB48&lt;=1,0,(基础状态预期!$AB48-1)*H$26)*基础状态预期!$H48)+
IF(基础状态预期!$I48="",0,IF(基础状态预期!$AC48&lt;=1,0,(基础状态预期!$AC48-1)*H$27)*基础状态预期!$I48)+
IF(基础状态预期!$J48="",0,IF(基础状态预期!$AD48&lt;=1,0,(基础状态预期!$AD48-1)*H$28)*基础状态预期!$J48)</f>
        <v>0</v>
      </c>
      <c r="AD36" s="67">
        <f>IF(基础状态预期!$H48="",0,IF(基础状态预期!$AB48&lt;=1,0,(基础状态预期!$AB48-1)*I$26)*基础状态预期!$H48)+
IF(基础状态预期!$I48="",0,IF(基础状态预期!$AC48&lt;=1,0,(基础状态预期!$AC48-1)*I$27)*基础状态预期!$I48)+
IF(基础状态预期!$J48="",0,IF(基础状态预期!$AD48&lt;=1,0,(基础状态预期!$AD48-1)*I$28)*基础状态预期!$J48)</f>
        <v>0</v>
      </c>
      <c r="AE36" s="80">
        <f>IF(各r阵容卡情况!$H64=0,0,IF(各r阵容卡情况!$AB64&lt;=1,各r阵容卡情况!$AB64*D$18,1*D$18)*各r阵容卡情况!$H64)+
IF(各r阵容卡情况!$I64=0,0,IF(各r阵容卡情况!$AC64&lt;=1,各r阵容卡情况!$AC64*D$19,1*D$19)*各r阵容卡情况!$I64)+
IF(各r阵容卡情况!$J64=0,0,IF(各r阵容卡情况!$AD64&lt;=1,各r阵容卡情况!$AD64*D$20,1*D$20)*各r阵容卡情况!$J64)</f>
        <v>72</v>
      </c>
      <c r="AF36" s="80">
        <f>IF(各r阵容卡情况!$H64=0,0,IF(各r阵容卡情况!$AB64&lt;=1,各r阵容卡情况!$AB64*E$18,1*E$18)*各r阵容卡情况!$H64)+
IF(各r阵容卡情况!$I64=0,0,IF(各r阵容卡情况!$AC64&lt;=1,各r阵容卡情况!$AC64*E$19,1*E$19)*各r阵容卡情况!$I64)+
IF(各r阵容卡情况!$J64=0,0,IF(各r阵容卡情况!$AD64&lt;=1,各r阵容卡情况!$AD64*E$20,1*E$20)*各r阵容卡情况!$J64)</f>
        <v>0</v>
      </c>
      <c r="AG36" s="80">
        <f>IF(各r阵容卡情况!$H64=0,0,IF(各r阵容卡情况!$AB64&lt;=1,各r阵容卡情况!$AB64*F$18,1*F$18)*各r阵容卡情况!$H64)+
IF(各r阵容卡情况!$I64=0,0,IF(各r阵容卡情况!$AC64&lt;=1,各r阵容卡情况!$AC64*F$19,1*F$19)*各r阵容卡情况!$I64)+
IF(各r阵容卡情况!$J64=0,0,IF(各r阵容卡情况!$AD64&lt;=1,各r阵容卡情况!$AD64*F$20,1*F$20)*各r阵容卡情况!$J64)</f>
        <v>0</v>
      </c>
      <c r="AH36" s="67">
        <f>IF(各r阵容卡情况!$H64=0,0,IF(各r阵容卡情况!$AB64&lt;=1,0,(各r阵容卡情况!$AB64-1)*G$26)*各r阵容卡情况!$H64)+
IF(各r阵容卡情况!$I64=0,0,IF(各r阵容卡情况!$AC64&lt;=1,0,(各r阵容卡情况!$AC64-1)*G$27)*各r阵容卡情况!$I64)+
IF(各r阵容卡情况!$J64=0,0,IF(各r阵容卡情况!$AD64&lt;=1,0,(各r阵容卡情况!$AD64-1)*G$28)*各r阵容卡情况!$J64)</f>
        <v>360</v>
      </c>
      <c r="AI36" s="67">
        <f>IF(各r阵容卡情况!$H64=0,0,IF(各r阵容卡情况!$AB64&lt;=1,0,(各r阵容卡情况!$AB64-1)*H$26)*各r阵容卡情况!$H64)+
IF(各r阵容卡情况!$I64=0,0,IF(各r阵容卡情况!$AC64&lt;=1,0,(各r阵容卡情况!$AC64-1)*H$27)*各r阵容卡情况!$I64)+
IF(各r阵容卡情况!$J64=0,0,IF(各r阵容卡情况!$AD64&lt;=1,0,(各r阵容卡情况!$AD64-1)*H$28)*各r阵容卡情况!$J64)</f>
        <v>0</v>
      </c>
      <c r="AJ36" s="67">
        <f>IF(各r阵容卡情况!$H64=0,0,IF(各r阵容卡情况!$AB64&lt;=1,0,(各r阵容卡情况!$AB64-1)*I$26)*各r阵容卡情况!$H64)+
IF(各r阵容卡情况!$I64=0,0,IF(各r阵容卡情况!$AC64&lt;=1,0,(各r阵容卡情况!$AC64-1)*I$27)*各r阵容卡情况!$I64)+
IF(各r阵容卡情况!$J64=0,0,IF(各r阵容卡情况!$AD64&lt;=1,0,(各r阵容卡情况!$AD64-1)*I$28)*各r阵容卡情况!$J64)</f>
        <v>0</v>
      </c>
      <c r="AL36" s="14">
        <v>165</v>
      </c>
      <c r="AM36" s="80">
        <f t="shared" si="21"/>
        <v>48</v>
      </c>
      <c r="AN36" s="80">
        <f t="shared" si="22"/>
        <v>0</v>
      </c>
      <c r="AO36" s="80">
        <f t="shared" si="23"/>
        <v>0</v>
      </c>
      <c r="AP36" s="80">
        <f t="shared" si="24"/>
        <v>240</v>
      </c>
      <c r="AQ36" s="80">
        <f t="shared" si="25"/>
        <v>0</v>
      </c>
      <c r="AR36" s="80">
        <f t="shared" si="26"/>
        <v>0</v>
      </c>
      <c r="AS36" s="80">
        <f t="shared" si="27"/>
        <v>132</v>
      </c>
      <c r="AT36" s="80">
        <f t="shared" si="28"/>
        <v>0</v>
      </c>
      <c r="AU36" s="80">
        <f t="shared" si="29"/>
        <v>0</v>
      </c>
      <c r="AV36" s="80">
        <f t="shared" si="30"/>
        <v>660</v>
      </c>
      <c r="AW36" s="80">
        <f t="shared" si="31"/>
        <v>0</v>
      </c>
      <c r="AX36" s="80">
        <f t="shared" si="32"/>
        <v>0</v>
      </c>
      <c r="AY36" s="61" t="e">
        <f>SUMPRODUCT(AM36:AR36/'[1]功能-行军令'!$GI$26:$GN$26+AS36:AX36/'[1]功能-行军令'!$GI$26:$GN$26)/0.18</f>
        <v>#DIV/0!</v>
      </c>
      <c r="BO36" s="80">
        <f t="shared" si="15"/>
        <v>139.0493876099641</v>
      </c>
      <c r="BP36" s="80">
        <f t="shared" si="16"/>
        <v>12300000</v>
      </c>
      <c r="BQ36" s="80">
        <f>(BP36-BP35)*INDEX('[1]功能-付费相关'!$AQ$6:$AQ$165,$BO36,1)+BQ35</f>
        <v>15965.959189681667</v>
      </c>
      <c r="BR36" s="80"/>
      <c r="BS36" s="80"/>
    </row>
    <row r="37" spans="2:77" x14ac:dyDescent="0.15">
      <c r="B37" s="201"/>
      <c r="C37" s="80"/>
      <c r="D37" s="80"/>
      <c r="E37" s="80"/>
      <c r="F37" s="80"/>
      <c r="G37" s="80"/>
      <c r="H37" s="80"/>
      <c r="I37" s="80"/>
      <c r="L37" s="61">
        <v>36</v>
      </c>
      <c r="M37" s="80">
        <f>基础状态预期!D49</f>
        <v>139.0493876099641</v>
      </c>
      <c r="N37" s="80">
        <f>IF(基础状态预期!F49="",0,IF(基础状态预期!Z49&lt;=1,基础状态预期!Z49*D$4,1*D$4+(基础状态预期!Z49-1)*武将觉醒!D$5))</f>
        <v>0</v>
      </c>
      <c r="O37" s="80">
        <f>IF(基础状态预期!G49="",0,IF(基础状态预期!AA49&lt;=1,基础状态预期!AA49*E$4,1*E$4+(基础状态预期!AA49-1)*武将觉醒!E$5))</f>
        <v>0</v>
      </c>
      <c r="P37" s="80">
        <f>IF(基础状态预期!H49="",0,IF(基础状态预期!AB49&lt;=1,基础状态预期!AB49*F$4,1*F$4+(基础状态预期!AB49-1)*武将觉醒!F$5))</f>
        <v>0</v>
      </c>
      <c r="Q37" s="80">
        <f>IF(基础状态预期!I49="",0,IF(基础状态预期!AC49&lt;=1,基础状态预期!AC49*G$4,1*G$4+(基础状态预期!AC49-1)*武将觉醒!G$5))</f>
        <v>0</v>
      </c>
      <c r="R37" s="80">
        <f>IF(基础状态预期!J49="",0,IF(基础状态预期!AD49&lt;=1,基础状态预期!AD49*H$4,1*H$4+(基础状态预期!AD49-1)*武将觉醒!H$5))</f>
        <v>2050000</v>
      </c>
      <c r="S37" s="80">
        <f>MAX(SUMPRODUCT(N37:R37,基础状态预期!F49:J49),S36)</f>
        <v>12300000</v>
      </c>
      <c r="T37" s="80">
        <f>IF(基础状态预期!Z49="",0,IFERROR(基础状态预期!F49*求节点($C$62:$C$63,D$62:D$63,基础状态预期!Z49),0)+IFERROR(基础状态预期!$J49*求节点($C$71:$C$72,D$71:D$72,基础状态预期!$AD49),0))</f>
        <v>0</v>
      </c>
      <c r="U37" s="80">
        <f>IF(基础状态预期!AA49="",0,IFERROR(基础状态预期!G49*求节点($C$62:$C$63,E$62:E$63,基础状态预期!AA49),0)+IFERROR(基础状态预期!$J49*求节点($C$71:$C$72,E$71:E$72,基础状态预期!$AD49),0))</f>
        <v>0</v>
      </c>
      <c r="V37" s="80">
        <f>IF(基础状态预期!AB49="",0,IFERROR(基础状态预期!H49*求节点($C$62:$C$63,F$62:F$63,基础状态预期!AB49),0)+IFERROR(基础状态预期!$J49*求节点($C$71:$C$72,F$71:F$72,基础状态预期!$AD49),0))</f>
        <v>0</v>
      </c>
      <c r="W37" s="80">
        <f>IF(基础状态预期!AC49="",0,IFERROR(基础状态预期!I49*求节点($C$62:$C$63,G$62:G$63,基础状态预期!AC49),0)+IFERROR(基础状态预期!$J49*求节点($C$71:$C$72,G$71:G$72,基础状态预期!$AD49),0))</f>
        <v>0</v>
      </c>
      <c r="X37" s="80">
        <f>IF(基础状态预期!AD49="",0,IFERROR(基础状态预期!J49*求节点($C$62:$C$63,H$62:H$63,基础状态预期!AD49),0)+IFERROR(基础状态预期!$J49*求节点($C$71:$C$72,H$71:H$72,基础状态预期!$AD49),0))</f>
        <v>0</v>
      </c>
      <c r="Y37" s="80">
        <f>IF(基础状态预期!$H49="",0,IF(基础状态预期!$AB49&lt;=1,基础状态预期!$AB49*D$18,D$18)*基础状态预期!$H49)+
IF(基础状态预期!$I49="",0,IF(基础状态预期!$AC49&lt;=1,基础状态预期!$AC49*D$19,D$19)*基础状态预期!$I49)+
IF(基础状态预期!$J49="",0,IF(基础状态预期!$AD49&lt;=1,基础状态预期!$AD49*D$20,D$20)*基础状态预期!$J49)</f>
        <v>48</v>
      </c>
      <c r="Z37" s="80">
        <f>IF(基础状态预期!$H49="",0,IF(基础状态预期!$AB49&lt;=1,基础状态预期!$AB49*E$18,E$18)*基础状态预期!$H49)+
IF(基础状态预期!$I49="",0,IF(基础状态预期!$AC49&lt;=1,基础状态预期!$AC49*E$19,E$19)*基础状态预期!$I49)+
IF(基础状态预期!$J49="",0,IF(基础状态预期!$AD49&lt;=1,基础状态预期!$AD49*E$20,E$20)*基础状态预期!$J49)</f>
        <v>0</v>
      </c>
      <c r="AA37" s="80">
        <f>IF(基础状态预期!$H49="",0,IF(基础状态预期!$AB49&lt;=1,基础状态预期!$AB49*F$18,F$18)*基础状态预期!$H49)+
IF(基础状态预期!$I49="",0,IF(基础状态预期!$AC49&lt;=1,基础状态预期!$AC49*F$19,F$19)*基础状态预期!$I49)+
IF(基础状态预期!$J49="",0,IF(基础状态预期!$AD49&lt;=1,基础状态预期!$AD49*F$20,F$20)*基础状态预期!$J49)</f>
        <v>0</v>
      </c>
      <c r="AB37" s="67">
        <f>IF(基础状态预期!$H49="",0,IF(基础状态预期!$AB49&lt;=1,0,(基础状态预期!$AB49-1)*G$26)*基础状态预期!$H49)+
IF(基础状态预期!$I49="",0,IF(基础状态预期!$AC49&lt;=1,0,(基础状态预期!$AC49-1)*G$27)*基础状态预期!$I49)+
IF(基础状态预期!$J49="",0,IF(基础状态预期!$AD49&lt;=1,0,(基础状态预期!$AD49-1)*G$28)*基础状态预期!$J49)</f>
        <v>240</v>
      </c>
      <c r="AC37" s="67">
        <f>IF(基础状态预期!$H49="",0,IF(基础状态预期!$AB49&lt;=1,0,(基础状态预期!$AB49-1)*H$26)*基础状态预期!$H49)+
IF(基础状态预期!$I49="",0,IF(基础状态预期!$AC49&lt;=1,0,(基础状态预期!$AC49-1)*H$27)*基础状态预期!$I49)+
IF(基础状态预期!$J49="",0,IF(基础状态预期!$AD49&lt;=1,0,(基础状态预期!$AD49-1)*H$28)*基础状态预期!$J49)</f>
        <v>0</v>
      </c>
      <c r="AD37" s="67">
        <f>IF(基础状态预期!$H49="",0,IF(基础状态预期!$AB49&lt;=1,0,(基础状态预期!$AB49-1)*I$26)*基础状态预期!$H49)+
IF(基础状态预期!$I49="",0,IF(基础状态预期!$AC49&lt;=1,0,(基础状态预期!$AC49-1)*I$27)*基础状态预期!$I49)+
IF(基础状态预期!$J49="",0,IF(基础状态预期!$AD49&lt;=1,0,(基础状态预期!$AD49-1)*I$28)*基础状态预期!$J49)</f>
        <v>0</v>
      </c>
      <c r="AE37" s="80">
        <f>IF(各r阵容卡情况!$H65=0,0,IF(各r阵容卡情况!$AB65&lt;=1,各r阵容卡情况!$AB65*D$18,1*D$18)*各r阵容卡情况!$H65)+
IF(各r阵容卡情况!$I65=0,0,IF(各r阵容卡情况!$AC65&lt;=1,各r阵容卡情况!$AC65*D$19,1*D$19)*各r阵容卡情况!$I65)+
IF(各r阵容卡情况!$J65=0,0,IF(各r阵容卡情况!$AD65&lt;=1,各r阵容卡情况!$AD65*D$20,1*D$20)*各r阵容卡情况!$J65)</f>
        <v>92</v>
      </c>
      <c r="AF37" s="80">
        <f>IF(各r阵容卡情况!$H65=0,0,IF(各r阵容卡情况!$AB65&lt;=1,各r阵容卡情况!$AB65*E$18,1*E$18)*各r阵容卡情况!$H65)+
IF(各r阵容卡情况!$I65=0,0,IF(各r阵容卡情况!$AC65&lt;=1,各r阵容卡情况!$AC65*E$19,1*E$19)*各r阵容卡情况!$I65)+
IF(各r阵容卡情况!$J65=0,0,IF(各r阵容卡情况!$AD65&lt;=1,各r阵容卡情况!$AD65*E$20,1*E$20)*各r阵容卡情况!$J65)</f>
        <v>0</v>
      </c>
      <c r="AG37" s="80">
        <f>IF(各r阵容卡情况!$H65=0,0,IF(各r阵容卡情况!$AB65&lt;=1,各r阵容卡情况!$AB65*F$18,1*F$18)*各r阵容卡情况!$H65)+
IF(各r阵容卡情况!$I65=0,0,IF(各r阵容卡情况!$AC65&lt;=1,各r阵容卡情况!$AC65*F$19,1*F$19)*各r阵容卡情况!$I65)+
IF(各r阵容卡情况!$J65=0,0,IF(各r阵容卡情况!$AD65&lt;=1,各r阵容卡情况!$AD65*F$20,1*F$20)*各r阵容卡情况!$J65)</f>
        <v>0</v>
      </c>
      <c r="AH37" s="67">
        <f>IF(各r阵容卡情况!$H65=0,0,IF(各r阵容卡情况!$AB65&lt;=1,0,(各r阵容卡情况!$AB65-1)*G$26)*各r阵容卡情况!$H65)+
IF(各r阵容卡情况!$I65=0,0,IF(各r阵容卡情况!$AC65&lt;=1,0,(各r阵容卡情况!$AC65-1)*G$27)*各r阵容卡情况!$I65)+
IF(各r阵容卡情况!$J65=0,0,IF(各r阵容卡情况!$AD65&lt;=1,0,(各r阵容卡情况!$AD65-1)*G$28)*各r阵容卡情况!$J65)</f>
        <v>460</v>
      </c>
      <c r="AI37" s="67">
        <f>IF(各r阵容卡情况!$H65=0,0,IF(各r阵容卡情况!$AB65&lt;=1,0,(各r阵容卡情况!$AB65-1)*H$26)*各r阵容卡情况!$H65)+
IF(各r阵容卡情况!$I65=0,0,IF(各r阵容卡情况!$AC65&lt;=1,0,(各r阵容卡情况!$AC65-1)*H$27)*各r阵容卡情况!$I65)+
IF(各r阵容卡情况!$J65=0,0,IF(各r阵容卡情况!$AD65&lt;=1,0,(各r阵容卡情况!$AD65-1)*H$28)*各r阵容卡情况!$J65)</f>
        <v>0</v>
      </c>
      <c r="AJ37" s="67">
        <f>IF(各r阵容卡情况!$H65=0,0,IF(各r阵容卡情况!$AB65&lt;=1,0,(各r阵容卡情况!$AB65-1)*I$26)*各r阵容卡情况!$H65)+
IF(各r阵容卡情况!$I65=0,0,IF(各r阵容卡情况!$AC65&lt;=1,0,(各r阵容卡情况!$AC65-1)*I$27)*各r阵容卡情况!$I65)+
IF(各r阵容卡情况!$J65=0,0,IF(各r阵容卡情况!$AD65&lt;=1,0,(各r阵容卡情况!$AD65-1)*I$28)*各r阵容卡情况!$J65)</f>
        <v>0</v>
      </c>
      <c r="AL37" s="14">
        <v>170</v>
      </c>
      <c r="AM37" s="80">
        <f t="shared" si="21"/>
        <v>48</v>
      </c>
      <c r="AN37" s="80">
        <f t="shared" si="22"/>
        <v>0</v>
      </c>
      <c r="AO37" s="80">
        <f t="shared" si="23"/>
        <v>0</v>
      </c>
      <c r="AP37" s="80">
        <f t="shared" si="24"/>
        <v>240</v>
      </c>
      <c r="AQ37" s="80">
        <f t="shared" si="25"/>
        <v>0</v>
      </c>
      <c r="AR37" s="80">
        <f t="shared" si="26"/>
        <v>0</v>
      </c>
      <c r="AS37" s="80">
        <f t="shared" si="27"/>
        <v>132</v>
      </c>
      <c r="AT37" s="80">
        <f t="shared" si="28"/>
        <v>0</v>
      </c>
      <c r="AU37" s="80">
        <f t="shared" si="29"/>
        <v>0</v>
      </c>
      <c r="AV37" s="80">
        <f t="shared" si="30"/>
        <v>660</v>
      </c>
      <c r="AW37" s="80">
        <f t="shared" si="31"/>
        <v>0</v>
      </c>
      <c r="AX37" s="80">
        <f t="shared" si="32"/>
        <v>0</v>
      </c>
      <c r="AY37" s="61" t="e">
        <f>SUMPRODUCT(AM37:AR37/'[1]功能-行军令'!$GI$26:$GN$26+AS37:AX37/'[1]功能-行军令'!$GI$26:$GN$26)/0.18</f>
        <v>#DIV/0!</v>
      </c>
      <c r="BO37" s="80">
        <f t="shared" si="15"/>
        <v>142.53355653582128</v>
      </c>
      <c r="BP37" s="80">
        <f t="shared" si="16"/>
        <v>12300000</v>
      </c>
      <c r="BQ37" s="80">
        <f>(BP37-BP36)*INDEX('[1]功能-付费相关'!$AQ$6:$AQ$165,$BO37,1)+BQ36</f>
        <v>15965.959189681667</v>
      </c>
      <c r="BR37" s="80"/>
      <c r="BS37" s="80"/>
    </row>
    <row r="38" spans="2:77" x14ac:dyDescent="0.15">
      <c r="B38" s="201"/>
      <c r="C38" s="80"/>
      <c r="D38" s="80"/>
      <c r="E38" s="80"/>
      <c r="F38" s="80"/>
      <c r="G38" s="80"/>
      <c r="H38" s="80"/>
      <c r="I38" s="80"/>
      <c r="L38" s="61">
        <v>37</v>
      </c>
      <c r="M38" s="80">
        <f>基础状态预期!D50</f>
        <v>142.53355653582128</v>
      </c>
      <c r="N38" s="80">
        <f>IF(基础状态预期!F50="",0,IF(基础状态预期!Z50&lt;=1,基础状态预期!Z50*D$4,1*D$4+(基础状态预期!Z50-1)*武将觉醒!D$5))</f>
        <v>0</v>
      </c>
      <c r="O38" s="80">
        <f>IF(基础状态预期!G50="",0,IF(基础状态预期!AA50&lt;=1,基础状态预期!AA50*E$4,1*E$4+(基础状态预期!AA50-1)*武将觉醒!E$5))</f>
        <v>0</v>
      </c>
      <c r="P38" s="80">
        <f>IF(基础状态预期!H50="",0,IF(基础状态预期!AB50&lt;=1,基础状态预期!AB50*F$4,1*F$4+(基础状态预期!AB50-1)*武将觉醒!F$5))</f>
        <v>0</v>
      </c>
      <c r="Q38" s="80">
        <f>IF(基础状态预期!I50="",0,IF(基础状态预期!AC50&lt;=1,基础状态预期!AC50*G$4,1*G$4+(基础状态预期!AC50-1)*武将觉醒!G$5))</f>
        <v>0</v>
      </c>
      <c r="R38" s="80">
        <f>IF(基础状态预期!J50="",0,IF(基础状态预期!AD50&lt;=1,基础状态预期!AD50*H$4,1*H$4+(基础状态预期!AD50-1)*武将觉醒!H$5))</f>
        <v>2050000</v>
      </c>
      <c r="S38" s="80">
        <f>MAX(SUMPRODUCT(N38:R38,基础状态预期!F50:J50),S37)</f>
        <v>12300000</v>
      </c>
      <c r="T38" s="80">
        <f>IF(基础状态预期!Z50="",0,IFERROR(基础状态预期!F50*求节点($C$62:$C$63,D$62:D$63,基础状态预期!Z50),0)+IFERROR(基础状态预期!$J50*求节点($C$71:$C$72,D$71:D$72,基础状态预期!$AD50),0))</f>
        <v>0</v>
      </c>
      <c r="U38" s="80">
        <f>IF(基础状态预期!AA50="",0,IFERROR(基础状态预期!G50*求节点($C$62:$C$63,E$62:E$63,基础状态预期!AA50),0)+IFERROR(基础状态预期!$J50*求节点($C$71:$C$72,E$71:E$72,基础状态预期!$AD50),0))</f>
        <v>0</v>
      </c>
      <c r="V38" s="80">
        <f>IF(基础状态预期!AB50="",0,IFERROR(基础状态预期!H50*求节点($C$62:$C$63,F$62:F$63,基础状态预期!AB50),0)+IFERROR(基础状态预期!$J50*求节点($C$71:$C$72,F$71:F$72,基础状态预期!$AD50),0))</f>
        <v>0</v>
      </c>
      <c r="W38" s="80">
        <f>IF(基础状态预期!AC50="",0,IFERROR(基础状态预期!I50*求节点($C$62:$C$63,G$62:G$63,基础状态预期!AC50),0)+IFERROR(基础状态预期!$J50*求节点($C$71:$C$72,G$71:G$72,基础状态预期!$AD50),0))</f>
        <v>0</v>
      </c>
      <c r="X38" s="80">
        <f>IF(基础状态预期!AD50="",0,IFERROR(基础状态预期!J50*求节点($C$62:$C$63,H$62:H$63,基础状态预期!AD50),0)+IFERROR(基础状态预期!$J50*求节点($C$71:$C$72,H$71:H$72,基础状态预期!$AD50),0))</f>
        <v>0</v>
      </c>
      <c r="Y38" s="80">
        <f>IF(基础状态预期!$H50="",0,IF(基础状态预期!$AB50&lt;=1,基础状态预期!$AB50*D$18,D$18)*基础状态预期!$H50)+
IF(基础状态预期!$I50="",0,IF(基础状态预期!$AC50&lt;=1,基础状态预期!$AC50*D$19,D$19)*基础状态预期!$I50)+
IF(基础状态预期!$J50="",0,IF(基础状态预期!$AD50&lt;=1,基础状态预期!$AD50*D$20,D$20)*基础状态预期!$J50)</f>
        <v>48</v>
      </c>
      <c r="Z38" s="80">
        <f>IF(基础状态预期!$H50="",0,IF(基础状态预期!$AB50&lt;=1,基础状态预期!$AB50*E$18,E$18)*基础状态预期!$H50)+
IF(基础状态预期!$I50="",0,IF(基础状态预期!$AC50&lt;=1,基础状态预期!$AC50*E$19,E$19)*基础状态预期!$I50)+
IF(基础状态预期!$J50="",0,IF(基础状态预期!$AD50&lt;=1,基础状态预期!$AD50*E$20,E$20)*基础状态预期!$J50)</f>
        <v>0</v>
      </c>
      <c r="AA38" s="80">
        <f>IF(基础状态预期!$H50="",0,IF(基础状态预期!$AB50&lt;=1,基础状态预期!$AB50*F$18,F$18)*基础状态预期!$H50)+
IF(基础状态预期!$I50="",0,IF(基础状态预期!$AC50&lt;=1,基础状态预期!$AC50*F$19,F$19)*基础状态预期!$I50)+
IF(基础状态预期!$J50="",0,IF(基础状态预期!$AD50&lt;=1,基础状态预期!$AD50*F$20,F$20)*基础状态预期!$J50)</f>
        <v>0</v>
      </c>
      <c r="AB38" s="67">
        <f>IF(基础状态预期!$H50="",0,IF(基础状态预期!$AB50&lt;=1,0,(基础状态预期!$AB50-1)*G$26)*基础状态预期!$H50)+
IF(基础状态预期!$I50="",0,IF(基础状态预期!$AC50&lt;=1,0,(基础状态预期!$AC50-1)*G$27)*基础状态预期!$I50)+
IF(基础状态预期!$J50="",0,IF(基础状态预期!$AD50&lt;=1,0,(基础状态预期!$AD50-1)*G$28)*基础状态预期!$J50)</f>
        <v>240</v>
      </c>
      <c r="AC38" s="67">
        <f>IF(基础状态预期!$H50="",0,IF(基础状态预期!$AB50&lt;=1,0,(基础状态预期!$AB50-1)*H$26)*基础状态预期!$H50)+
IF(基础状态预期!$I50="",0,IF(基础状态预期!$AC50&lt;=1,0,(基础状态预期!$AC50-1)*H$27)*基础状态预期!$I50)+
IF(基础状态预期!$J50="",0,IF(基础状态预期!$AD50&lt;=1,0,(基础状态预期!$AD50-1)*H$28)*基础状态预期!$J50)</f>
        <v>0</v>
      </c>
      <c r="AD38" s="67">
        <f>IF(基础状态预期!$H50="",0,IF(基础状态预期!$AB50&lt;=1,0,(基础状态预期!$AB50-1)*I$26)*基础状态预期!$H50)+
IF(基础状态预期!$I50="",0,IF(基础状态预期!$AC50&lt;=1,0,(基础状态预期!$AC50-1)*I$27)*基础状态预期!$I50)+
IF(基础状态预期!$J50="",0,IF(基础状态预期!$AD50&lt;=1,0,(基础状态预期!$AD50-1)*I$28)*基础状态预期!$J50)</f>
        <v>0</v>
      </c>
      <c r="AE38" s="80">
        <f>IF(各r阵容卡情况!$H66=0,0,IF(各r阵容卡情况!$AB66&lt;=1,各r阵容卡情况!$AB66*D$18,1*D$18)*各r阵容卡情况!$H66)+
IF(各r阵容卡情况!$I66=0,0,IF(各r阵容卡情况!$AC66&lt;=1,各r阵容卡情况!$AC66*D$19,1*D$19)*各r阵容卡情况!$I66)+
IF(各r阵容卡情况!$J66=0,0,IF(各r阵容卡情况!$AD66&lt;=1,各r阵容卡情况!$AD66*D$20,1*D$20)*各r阵容卡情况!$J66)</f>
        <v>100</v>
      </c>
      <c r="AF38" s="80">
        <f>IF(各r阵容卡情况!$H66=0,0,IF(各r阵容卡情况!$AB66&lt;=1,各r阵容卡情况!$AB66*E$18,1*E$18)*各r阵容卡情况!$H66)+
IF(各r阵容卡情况!$I66=0,0,IF(各r阵容卡情况!$AC66&lt;=1,各r阵容卡情况!$AC66*E$19,1*E$19)*各r阵容卡情况!$I66)+
IF(各r阵容卡情况!$J66=0,0,IF(各r阵容卡情况!$AD66&lt;=1,各r阵容卡情况!$AD66*E$20,1*E$20)*各r阵容卡情况!$J66)</f>
        <v>0</v>
      </c>
      <c r="AG38" s="80">
        <f>IF(各r阵容卡情况!$H66=0,0,IF(各r阵容卡情况!$AB66&lt;=1,各r阵容卡情况!$AB66*F$18,1*F$18)*各r阵容卡情况!$H66)+
IF(各r阵容卡情况!$I66=0,0,IF(各r阵容卡情况!$AC66&lt;=1,各r阵容卡情况!$AC66*F$19,1*F$19)*各r阵容卡情况!$I66)+
IF(各r阵容卡情况!$J66=0,0,IF(各r阵容卡情况!$AD66&lt;=1,各r阵容卡情况!$AD66*F$20,1*F$20)*各r阵容卡情况!$J66)</f>
        <v>0</v>
      </c>
      <c r="AH38" s="67">
        <f>IF(各r阵容卡情况!$H66=0,0,IF(各r阵容卡情况!$AB66&lt;=1,0,(各r阵容卡情况!$AB66-1)*G$26)*各r阵容卡情况!$H66)+
IF(各r阵容卡情况!$I66=0,0,IF(各r阵容卡情况!$AC66&lt;=1,0,(各r阵容卡情况!$AC66-1)*G$27)*各r阵容卡情况!$I66)+
IF(各r阵容卡情况!$J66=0,0,IF(各r阵容卡情况!$AD66&lt;=1,0,(各r阵容卡情况!$AD66-1)*G$28)*各r阵容卡情况!$J66)</f>
        <v>500</v>
      </c>
      <c r="AI38" s="67">
        <f>IF(各r阵容卡情况!$H66=0,0,IF(各r阵容卡情况!$AB66&lt;=1,0,(各r阵容卡情况!$AB66-1)*H$26)*各r阵容卡情况!$H66)+
IF(各r阵容卡情况!$I66=0,0,IF(各r阵容卡情况!$AC66&lt;=1,0,(各r阵容卡情况!$AC66-1)*H$27)*各r阵容卡情况!$I66)+
IF(各r阵容卡情况!$J66=0,0,IF(各r阵容卡情况!$AD66&lt;=1,0,(各r阵容卡情况!$AD66-1)*H$28)*各r阵容卡情况!$J66)</f>
        <v>0</v>
      </c>
      <c r="AJ38" s="67">
        <f>IF(各r阵容卡情况!$H66=0,0,IF(各r阵容卡情况!$AB66&lt;=1,0,(各r阵容卡情况!$AB66-1)*I$26)*各r阵容卡情况!$H66)+
IF(各r阵容卡情况!$I66=0,0,IF(各r阵容卡情况!$AC66&lt;=1,0,(各r阵容卡情况!$AC66-1)*I$27)*各r阵容卡情况!$I66)+
IF(各r阵容卡情况!$J66=0,0,IF(各r阵容卡情况!$AD66&lt;=1,0,(各r阵容卡情况!$AD66-1)*I$28)*各r阵容卡情况!$J66)</f>
        <v>0</v>
      </c>
      <c r="AL38" s="14">
        <v>175</v>
      </c>
      <c r="AM38" s="80">
        <f t="shared" si="21"/>
        <v>48</v>
      </c>
      <c r="AN38" s="80">
        <f t="shared" si="22"/>
        <v>0</v>
      </c>
      <c r="AO38" s="80">
        <f t="shared" si="23"/>
        <v>0</v>
      </c>
      <c r="AP38" s="80">
        <f t="shared" si="24"/>
        <v>240</v>
      </c>
      <c r="AQ38" s="80">
        <f t="shared" si="25"/>
        <v>0</v>
      </c>
      <c r="AR38" s="80">
        <f t="shared" si="26"/>
        <v>0</v>
      </c>
      <c r="AS38" s="80">
        <f t="shared" si="27"/>
        <v>132</v>
      </c>
      <c r="AT38" s="80">
        <f t="shared" si="28"/>
        <v>0</v>
      </c>
      <c r="AU38" s="80">
        <f t="shared" si="29"/>
        <v>0</v>
      </c>
      <c r="AV38" s="80">
        <f t="shared" si="30"/>
        <v>660</v>
      </c>
      <c r="AW38" s="80">
        <f t="shared" si="31"/>
        <v>0</v>
      </c>
      <c r="AX38" s="80">
        <f t="shared" si="32"/>
        <v>0</v>
      </c>
      <c r="AY38" s="61" t="e">
        <f>SUMPRODUCT(AM38:AR38/'[1]功能-行军令'!$GI$26:$GN$26+AS38:AX38/'[1]功能-行军令'!$GI$26:$GN$26)/0.18</f>
        <v>#DIV/0!</v>
      </c>
      <c r="BO38" s="80">
        <f t="shared" si="15"/>
        <v>146.02664953963369</v>
      </c>
      <c r="BP38" s="80">
        <f t="shared" si="16"/>
        <v>12300000</v>
      </c>
      <c r="BQ38" s="80">
        <f>(BP38-BP37)*INDEX('[1]功能-付费相关'!$AQ$6:$AQ$165,$BO38,1)+BQ37</f>
        <v>15965.959189681667</v>
      </c>
      <c r="BR38" s="80"/>
      <c r="BS38" s="80"/>
    </row>
    <row r="39" spans="2:77" x14ac:dyDescent="0.15">
      <c r="B39" s="201"/>
      <c r="C39" s="80"/>
      <c r="D39" s="80"/>
      <c r="E39" s="80"/>
      <c r="F39" s="80"/>
      <c r="G39" s="80"/>
      <c r="H39" s="80"/>
      <c r="I39" s="80"/>
      <c r="L39" s="61">
        <v>38</v>
      </c>
      <c r="M39" s="80">
        <f>基础状态预期!D51</f>
        <v>146.02664953963369</v>
      </c>
      <c r="N39" s="80">
        <f>IF(基础状态预期!F51="",0,IF(基础状态预期!Z51&lt;=1,基础状态预期!Z51*D$4,1*D$4+(基础状态预期!Z51-1)*武将觉醒!D$5))</f>
        <v>0</v>
      </c>
      <c r="O39" s="80">
        <f>IF(基础状态预期!G51="",0,IF(基础状态预期!AA51&lt;=1,基础状态预期!AA51*E$4,1*E$4+(基础状态预期!AA51-1)*武将觉醒!E$5))</f>
        <v>0</v>
      </c>
      <c r="P39" s="80">
        <f>IF(基础状态预期!H51="",0,IF(基础状态预期!AB51&lt;=1,基础状态预期!AB51*F$4,1*F$4+(基础状态预期!AB51-1)*武将觉醒!F$5))</f>
        <v>0</v>
      </c>
      <c r="Q39" s="80">
        <f>IF(基础状态预期!I51="",0,IF(基础状态预期!AC51&lt;=1,基础状态预期!AC51*G$4,1*G$4+(基础状态预期!AC51-1)*武将觉醒!G$5))</f>
        <v>0</v>
      </c>
      <c r="R39" s="80">
        <f>IF(基础状态预期!J51="",0,IF(基础状态预期!AD51&lt;=1,基础状态预期!AD51*H$4,1*H$4+(基础状态预期!AD51-1)*武将觉醒!H$5))</f>
        <v>2050000</v>
      </c>
      <c r="S39" s="80">
        <f>MAX(SUMPRODUCT(N39:R39,基础状态预期!F51:J51),S38)</f>
        <v>12300000</v>
      </c>
      <c r="T39" s="80">
        <f>IF(基础状态预期!Z51="",0,IFERROR(基础状态预期!F51*求节点($C$62:$C$63,D$62:D$63,基础状态预期!Z51),0)+IFERROR(基础状态预期!$J51*求节点($C$71:$C$72,D$71:D$72,基础状态预期!$AD51),0))</f>
        <v>0</v>
      </c>
      <c r="U39" s="80">
        <f>IF(基础状态预期!AA51="",0,IFERROR(基础状态预期!G51*求节点($C$62:$C$63,E$62:E$63,基础状态预期!AA51),0)+IFERROR(基础状态预期!$J51*求节点($C$71:$C$72,E$71:E$72,基础状态预期!$AD51),0))</f>
        <v>0</v>
      </c>
      <c r="V39" s="80">
        <f>IF(基础状态预期!AB51="",0,IFERROR(基础状态预期!H51*求节点($C$62:$C$63,F$62:F$63,基础状态预期!AB51),0)+IFERROR(基础状态预期!$J51*求节点($C$71:$C$72,F$71:F$72,基础状态预期!$AD51),0))</f>
        <v>0</v>
      </c>
      <c r="W39" s="80">
        <f>IF(基础状态预期!AC51="",0,IFERROR(基础状态预期!I51*求节点($C$62:$C$63,G$62:G$63,基础状态预期!AC51),0)+IFERROR(基础状态预期!$J51*求节点($C$71:$C$72,G$71:G$72,基础状态预期!$AD51),0))</f>
        <v>0</v>
      </c>
      <c r="X39" s="80">
        <f>IF(基础状态预期!AD51="",0,IFERROR(基础状态预期!J51*求节点($C$62:$C$63,H$62:H$63,基础状态预期!AD51),0)+IFERROR(基础状态预期!$J51*求节点($C$71:$C$72,H$71:H$72,基础状态预期!$AD51),0))</f>
        <v>0</v>
      </c>
      <c r="Y39" s="80">
        <f>IF(基础状态预期!$H51="",0,IF(基础状态预期!$AB51&lt;=1,基础状态预期!$AB51*D$18,D$18)*基础状态预期!$H51)+
IF(基础状态预期!$I51="",0,IF(基础状态预期!$AC51&lt;=1,基础状态预期!$AC51*D$19,D$19)*基础状态预期!$I51)+
IF(基础状态预期!$J51="",0,IF(基础状态预期!$AD51&lt;=1,基础状态预期!$AD51*D$20,D$20)*基础状态预期!$J51)</f>
        <v>48</v>
      </c>
      <c r="Z39" s="80">
        <f>IF(基础状态预期!$H51="",0,IF(基础状态预期!$AB51&lt;=1,基础状态预期!$AB51*E$18,E$18)*基础状态预期!$H51)+
IF(基础状态预期!$I51="",0,IF(基础状态预期!$AC51&lt;=1,基础状态预期!$AC51*E$19,E$19)*基础状态预期!$I51)+
IF(基础状态预期!$J51="",0,IF(基础状态预期!$AD51&lt;=1,基础状态预期!$AD51*E$20,E$20)*基础状态预期!$J51)</f>
        <v>0</v>
      </c>
      <c r="AA39" s="80">
        <f>IF(基础状态预期!$H51="",0,IF(基础状态预期!$AB51&lt;=1,基础状态预期!$AB51*F$18,F$18)*基础状态预期!$H51)+
IF(基础状态预期!$I51="",0,IF(基础状态预期!$AC51&lt;=1,基础状态预期!$AC51*F$19,F$19)*基础状态预期!$I51)+
IF(基础状态预期!$J51="",0,IF(基础状态预期!$AD51&lt;=1,基础状态预期!$AD51*F$20,F$20)*基础状态预期!$J51)</f>
        <v>0</v>
      </c>
      <c r="AB39" s="67">
        <f>IF(基础状态预期!$H51="",0,IF(基础状态预期!$AB51&lt;=1,0,(基础状态预期!$AB51-1)*G$26)*基础状态预期!$H51)+
IF(基础状态预期!$I51="",0,IF(基础状态预期!$AC51&lt;=1,0,(基础状态预期!$AC51-1)*G$27)*基础状态预期!$I51)+
IF(基础状态预期!$J51="",0,IF(基础状态预期!$AD51&lt;=1,0,(基础状态预期!$AD51-1)*G$28)*基础状态预期!$J51)</f>
        <v>240</v>
      </c>
      <c r="AC39" s="67">
        <f>IF(基础状态预期!$H51="",0,IF(基础状态预期!$AB51&lt;=1,0,(基础状态预期!$AB51-1)*H$26)*基础状态预期!$H51)+
IF(基础状态预期!$I51="",0,IF(基础状态预期!$AC51&lt;=1,0,(基础状态预期!$AC51-1)*H$27)*基础状态预期!$I51)+
IF(基础状态预期!$J51="",0,IF(基础状态预期!$AD51&lt;=1,0,(基础状态预期!$AD51-1)*H$28)*基础状态预期!$J51)</f>
        <v>0</v>
      </c>
      <c r="AD39" s="67">
        <f>IF(基础状态预期!$H51="",0,IF(基础状态预期!$AB51&lt;=1,0,(基础状态预期!$AB51-1)*I$26)*基础状态预期!$H51)+
IF(基础状态预期!$I51="",0,IF(基础状态预期!$AC51&lt;=1,0,(基础状态预期!$AC51-1)*I$27)*基础状态预期!$I51)+
IF(基础状态预期!$J51="",0,IF(基础状态预期!$AD51&lt;=1,0,(基础状态预期!$AD51-1)*I$28)*基础状态预期!$J51)</f>
        <v>0</v>
      </c>
      <c r="AE39" s="80">
        <f>IF(各r阵容卡情况!$H67=0,0,IF(各r阵容卡情况!$AB67&lt;=1,各r阵容卡情况!$AB67*D$18,1*D$18)*各r阵容卡情况!$H67)+
IF(各r阵容卡情况!$I67=0,0,IF(各r阵容卡情况!$AC67&lt;=1,各r阵容卡情况!$AC67*D$19,1*D$19)*各r阵容卡情况!$I67)+
IF(各r阵容卡情况!$J67=0,0,IF(各r阵容卡情况!$AD67&lt;=1,各r阵容卡情况!$AD67*D$20,1*D$20)*各r阵容卡情况!$J67)</f>
        <v>120</v>
      </c>
      <c r="AF39" s="80">
        <f>IF(各r阵容卡情况!$H67=0,0,IF(各r阵容卡情况!$AB67&lt;=1,各r阵容卡情况!$AB67*E$18,1*E$18)*各r阵容卡情况!$H67)+
IF(各r阵容卡情况!$I67=0,0,IF(各r阵容卡情况!$AC67&lt;=1,各r阵容卡情况!$AC67*E$19,1*E$19)*各r阵容卡情况!$I67)+
IF(各r阵容卡情况!$J67=0,0,IF(各r阵容卡情况!$AD67&lt;=1,各r阵容卡情况!$AD67*E$20,1*E$20)*各r阵容卡情况!$J67)</f>
        <v>0</v>
      </c>
      <c r="AG39" s="80">
        <f>IF(各r阵容卡情况!$H67=0,0,IF(各r阵容卡情况!$AB67&lt;=1,各r阵容卡情况!$AB67*F$18,1*F$18)*各r阵容卡情况!$H67)+
IF(各r阵容卡情况!$I67=0,0,IF(各r阵容卡情况!$AC67&lt;=1,各r阵容卡情况!$AC67*F$19,1*F$19)*各r阵容卡情况!$I67)+
IF(各r阵容卡情况!$J67=0,0,IF(各r阵容卡情况!$AD67&lt;=1,各r阵容卡情况!$AD67*F$20,1*F$20)*各r阵容卡情况!$J67)</f>
        <v>0</v>
      </c>
      <c r="AH39" s="67">
        <f>IF(各r阵容卡情况!$H67=0,0,IF(各r阵容卡情况!$AB67&lt;=1,0,(各r阵容卡情况!$AB67-1)*G$26)*各r阵容卡情况!$H67)+
IF(各r阵容卡情况!$I67=0,0,IF(各r阵容卡情况!$AC67&lt;=1,0,(各r阵容卡情况!$AC67-1)*G$27)*各r阵容卡情况!$I67)+
IF(各r阵容卡情况!$J67=0,0,IF(各r阵容卡情况!$AD67&lt;=1,0,(各r阵容卡情况!$AD67-1)*G$28)*各r阵容卡情况!$J67)</f>
        <v>600</v>
      </c>
      <c r="AI39" s="67">
        <f>IF(各r阵容卡情况!$H67=0,0,IF(各r阵容卡情况!$AB67&lt;=1,0,(各r阵容卡情况!$AB67-1)*H$26)*各r阵容卡情况!$H67)+
IF(各r阵容卡情况!$I67=0,0,IF(各r阵容卡情况!$AC67&lt;=1,0,(各r阵容卡情况!$AC67-1)*H$27)*各r阵容卡情况!$I67)+
IF(各r阵容卡情况!$J67=0,0,IF(各r阵容卡情况!$AD67&lt;=1,0,(各r阵容卡情况!$AD67-1)*H$28)*各r阵容卡情况!$J67)</f>
        <v>0</v>
      </c>
      <c r="AJ39" s="67">
        <f>IF(各r阵容卡情况!$H67=0,0,IF(各r阵容卡情况!$AB67&lt;=1,0,(各r阵容卡情况!$AB67-1)*I$26)*各r阵容卡情况!$H67)+
IF(各r阵容卡情况!$I67=0,0,IF(各r阵容卡情况!$AC67&lt;=1,0,(各r阵容卡情况!$AC67-1)*I$27)*各r阵容卡情况!$I67)+
IF(各r阵容卡情况!$J67=0,0,IF(各r阵容卡情况!$AD67&lt;=1,0,(各r阵容卡情况!$AD67-1)*I$28)*各r阵容卡情况!$J67)</f>
        <v>0</v>
      </c>
      <c r="AL39" s="14">
        <v>180</v>
      </c>
      <c r="AM39" s="80">
        <f t="shared" si="21"/>
        <v>48</v>
      </c>
      <c r="AN39" s="80">
        <f t="shared" si="22"/>
        <v>0</v>
      </c>
      <c r="AO39" s="80">
        <f t="shared" si="23"/>
        <v>0</v>
      </c>
      <c r="AP39" s="80">
        <f t="shared" si="24"/>
        <v>240</v>
      </c>
      <c r="AQ39" s="80">
        <f t="shared" si="25"/>
        <v>0</v>
      </c>
      <c r="AR39" s="80">
        <f t="shared" si="26"/>
        <v>0</v>
      </c>
      <c r="AS39" s="80">
        <f t="shared" si="27"/>
        <v>132</v>
      </c>
      <c r="AT39" s="80">
        <f t="shared" si="28"/>
        <v>0</v>
      </c>
      <c r="AU39" s="80">
        <f t="shared" si="29"/>
        <v>0</v>
      </c>
      <c r="AV39" s="80">
        <f t="shared" si="30"/>
        <v>660</v>
      </c>
      <c r="AW39" s="80">
        <f t="shared" si="31"/>
        <v>0</v>
      </c>
      <c r="AX39" s="80">
        <f t="shared" si="32"/>
        <v>0</v>
      </c>
      <c r="AY39" s="61" t="e">
        <f>SUMPRODUCT(AM39:AR39/'[1]功能-行军令'!$GI$26:$GN$26+AS39:AX39/'[1]功能-行军令'!$GI$26:$GN$26)/0.18</f>
        <v>#DIV/0!</v>
      </c>
      <c r="BO39" s="80">
        <f t="shared" si="15"/>
        <v>149.52287096243165</v>
      </c>
      <c r="BP39" s="80">
        <f t="shared" si="16"/>
        <v>12300000</v>
      </c>
      <c r="BQ39" s="80">
        <f>(BP39-BP38)*INDEX('[1]功能-付费相关'!$AQ$6:$AQ$165,$BO39,1)+BQ38</f>
        <v>15965.959189681667</v>
      </c>
      <c r="BR39" s="80"/>
      <c r="BS39" s="80"/>
    </row>
    <row r="40" spans="2:77" x14ac:dyDescent="0.15">
      <c r="B40" s="201"/>
      <c r="C40" s="80"/>
      <c r="D40" s="80"/>
      <c r="E40" s="80"/>
      <c r="F40" s="80"/>
      <c r="G40" s="80"/>
      <c r="H40" s="80"/>
      <c r="I40" s="80"/>
      <c r="L40" s="61">
        <v>39</v>
      </c>
      <c r="M40" s="80">
        <f>基础状态预期!D52</f>
        <v>149.52287096243165</v>
      </c>
      <c r="N40" s="80">
        <f>IF(基础状态预期!F52="",0,IF(基础状态预期!Z52&lt;=1,基础状态预期!Z52*D$4,1*D$4+(基础状态预期!Z52-1)*武将觉醒!D$5))</f>
        <v>0</v>
      </c>
      <c r="O40" s="80">
        <f>IF(基础状态预期!G52="",0,IF(基础状态预期!AA52&lt;=1,基础状态预期!AA52*E$4,1*E$4+(基础状态预期!AA52-1)*武将觉醒!E$5))</f>
        <v>0</v>
      </c>
      <c r="P40" s="80">
        <f>IF(基础状态预期!H52="",0,IF(基础状态预期!AB52&lt;=1,基础状态预期!AB52*F$4,1*F$4+(基础状态预期!AB52-1)*武将觉醒!F$5))</f>
        <v>0</v>
      </c>
      <c r="Q40" s="80">
        <f>IF(基础状态预期!I52="",0,IF(基础状态预期!AC52&lt;=1,基础状态预期!AC52*G$4,1*G$4+(基础状态预期!AC52-1)*武将觉醒!G$5))</f>
        <v>0</v>
      </c>
      <c r="R40" s="80">
        <f>IF(基础状态预期!J52="",0,IF(基础状态预期!AD52&lt;=1,基础状态预期!AD52*H$4,1*H$4+(基础状态预期!AD52-1)*武将觉醒!H$5))</f>
        <v>2050000</v>
      </c>
      <c r="S40" s="80">
        <f>MAX(SUMPRODUCT(N40:R40,基础状态预期!F52:J52),S39)</f>
        <v>12300000</v>
      </c>
      <c r="T40" s="80">
        <f>IF(基础状态预期!Z52="",0,IFERROR(基础状态预期!F52*求节点($C$62:$C$63,D$62:D$63,基础状态预期!Z52),0)+IFERROR(基础状态预期!$J52*求节点($C$71:$C$72,D$71:D$72,基础状态预期!$AD52),0))</f>
        <v>0</v>
      </c>
      <c r="U40" s="80">
        <f>IF(基础状态预期!AA52="",0,IFERROR(基础状态预期!G52*求节点($C$62:$C$63,E$62:E$63,基础状态预期!AA52),0)+IFERROR(基础状态预期!$J52*求节点($C$71:$C$72,E$71:E$72,基础状态预期!$AD52),0))</f>
        <v>0</v>
      </c>
      <c r="V40" s="80">
        <f>IF(基础状态预期!AB52="",0,IFERROR(基础状态预期!H52*求节点($C$62:$C$63,F$62:F$63,基础状态预期!AB52),0)+IFERROR(基础状态预期!$J52*求节点($C$71:$C$72,F$71:F$72,基础状态预期!$AD52),0))</f>
        <v>0</v>
      </c>
      <c r="W40" s="80">
        <f>IF(基础状态预期!AC52="",0,IFERROR(基础状态预期!I52*求节点($C$62:$C$63,G$62:G$63,基础状态预期!AC52),0)+IFERROR(基础状态预期!$J52*求节点($C$71:$C$72,G$71:G$72,基础状态预期!$AD52),0))</f>
        <v>0</v>
      </c>
      <c r="X40" s="80">
        <f>IF(基础状态预期!AD52="",0,IFERROR(基础状态预期!J52*求节点($C$62:$C$63,H$62:H$63,基础状态预期!AD52),0)+IFERROR(基础状态预期!$J52*求节点($C$71:$C$72,H$71:H$72,基础状态预期!$AD52),0))</f>
        <v>0</v>
      </c>
      <c r="Y40" s="80">
        <f>IF(基础状态预期!$H52="",0,IF(基础状态预期!$AB52&lt;=1,基础状态预期!$AB52*D$18,D$18)*基础状态预期!$H52)+
IF(基础状态预期!$I52="",0,IF(基础状态预期!$AC52&lt;=1,基础状态预期!$AC52*D$19,D$19)*基础状态预期!$I52)+
IF(基础状态预期!$J52="",0,IF(基础状态预期!$AD52&lt;=1,基础状态预期!$AD52*D$20,D$20)*基础状态预期!$J52)</f>
        <v>48</v>
      </c>
      <c r="Z40" s="80">
        <f>IF(基础状态预期!$H52="",0,IF(基础状态预期!$AB52&lt;=1,基础状态预期!$AB52*E$18,E$18)*基础状态预期!$H52)+
IF(基础状态预期!$I52="",0,IF(基础状态预期!$AC52&lt;=1,基础状态预期!$AC52*E$19,E$19)*基础状态预期!$I52)+
IF(基础状态预期!$J52="",0,IF(基础状态预期!$AD52&lt;=1,基础状态预期!$AD52*E$20,E$20)*基础状态预期!$J52)</f>
        <v>0</v>
      </c>
      <c r="AA40" s="80">
        <f>IF(基础状态预期!$H52="",0,IF(基础状态预期!$AB52&lt;=1,基础状态预期!$AB52*F$18,F$18)*基础状态预期!$H52)+
IF(基础状态预期!$I52="",0,IF(基础状态预期!$AC52&lt;=1,基础状态预期!$AC52*F$19,F$19)*基础状态预期!$I52)+
IF(基础状态预期!$J52="",0,IF(基础状态预期!$AD52&lt;=1,基础状态预期!$AD52*F$20,F$20)*基础状态预期!$J52)</f>
        <v>0</v>
      </c>
      <c r="AB40" s="67">
        <f>IF(基础状态预期!$H52="",0,IF(基础状态预期!$AB52&lt;=1,0,(基础状态预期!$AB52-1)*G$26)*基础状态预期!$H52)+
IF(基础状态预期!$I52="",0,IF(基础状态预期!$AC52&lt;=1,0,(基础状态预期!$AC52-1)*G$27)*基础状态预期!$I52)+
IF(基础状态预期!$J52="",0,IF(基础状态预期!$AD52&lt;=1,0,(基础状态预期!$AD52-1)*G$28)*基础状态预期!$J52)</f>
        <v>240</v>
      </c>
      <c r="AC40" s="67">
        <f>IF(基础状态预期!$H52="",0,IF(基础状态预期!$AB52&lt;=1,0,(基础状态预期!$AB52-1)*H$26)*基础状态预期!$H52)+
IF(基础状态预期!$I52="",0,IF(基础状态预期!$AC52&lt;=1,0,(基础状态预期!$AC52-1)*H$27)*基础状态预期!$I52)+
IF(基础状态预期!$J52="",0,IF(基础状态预期!$AD52&lt;=1,0,(基础状态预期!$AD52-1)*H$28)*基础状态预期!$J52)</f>
        <v>0</v>
      </c>
      <c r="AD40" s="67">
        <f>IF(基础状态预期!$H52="",0,IF(基础状态预期!$AB52&lt;=1,0,(基础状态预期!$AB52-1)*I$26)*基础状态预期!$H52)+
IF(基础状态预期!$I52="",0,IF(基础状态预期!$AC52&lt;=1,0,(基础状态预期!$AC52-1)*I$27)*基础状态预期!$I52)+
IF(基础状态预期!$J52="",0,IF(基础状态预期!$AD52&lt;=1,0,(基础状态预期!$AD52-1)*I$28)*基础状态预期!$J52)</f>
        <v>0</v>
      </c>
      <c r="AE40" s="80">
        <f>IF(各r阵容卡情况!$H68=0,0,IF(各r阵容卡情况!$AB68&lt;=1,各r阵容卡情况!$AB68*D$18,1*D$18)*各r阵容卡情况!$H68)+
IF(各r阵容卡情况!$I68=0,0,IF(各r阵容卡情况!$AC68&lt;=1,各r阵容卡情况!$AC68*D$19,1*D$19)*各r阵容卡情况!$I68)+
IF(各r阵容卡情况!$J68=0,0,IF(各r阵容卡情况!$AD68&lt;=1,各r阵容卡情况!$AD68*D$20,1*D$20)*各r阵容卡情况!$J68)</f>
        <v>120</v>
      </c>
      <c r="AF40" s="80">
        <f>IF(各r阵容卡情况!$H68=0,0,IF(各r阵容卡情况!$AB68&lt;=1,各r阵容卡情况!$AB68*E$18,1*E$18)*各r阵容卡情况!$H68)+
IF(各r阵容卡情况!$I68=0,0,IF(各r阵容卡情况!$AC68&lt;=1,各r阵容卡情况!$AC68*E$19,1*E$19)*各r阵容卡情况!$I68)+
IF(各r阵容卡情况!$J68=0,0,IF(各r阵容卡情况!$AD68&lt;=1,各r阵容卡情况!$AD68*E$20,1*E$20)*各r阵容卡情况!$J68)</f>
        <v>0</v>
      </c>
      <c r="AG40" s="80">
        <f>IF(各r阵容卡情况!$H68=0,0,IF(各r阵容卡情况!$AB68&lt;=1,各r阵容卡情况!$AB68*F$18,1*F$18)*各r阵容卡情况!$H68)+
IF(各r阵容卡情况!$I68=0,0,IF(各r阵容卡情况!$AC68&lt;=1,各r阵容卡情况!$AC68*F$19,1*F$19)*各r阵容卡情况!$I68)+
IF(各r阵容卡情况!$J68=0,0,IF(各r阵容卡情况!$AD68&lt;=1,各r阵容卡情况!$AD68*F$20,1*F$20)*各r阵容卡情况!$J68)</f>
        <v>0</v>
      </c>
      <c r="AH40" s="67">
        <f>IF(各r阵容卡情况!$H68=0,0,IF(各r阵容卡情况!$AB68&lt;=1,0,(各r阵容卡情况!$AB68-1)*G$26)*各r阵容卡情况!$H68)+
IF(各r阵容卡情况!$I68=0,0,IF(各r阵容卡情况!$AC68&lt;=1,0,(各r阵容卡情况!$AC68-1)*G$27)*各r阵容卡情况!$I68)+
IF(各r阵容卡情况!$J68=0,0,IF(各r阵容卡情况!$AD68&lt;=1,0,(各r阵容卡情况!$AD68-1)*G$28)*各r阵容卡情况!$J68)</f>
        <v>600</v>
      </c>
      <c r="AI40" s="67">
        <f>IF(各r阵容卡情况!$H68=0,0,IF(各r阵容卡情况!$AB68&lt;=1,0,(各r阵容卡情况!$AB68-1)*H$26)*各r阵容卡情况!$H68)+
IF(各r阵容卡情况!$I68=0,0,IF(各r阵容卡情况!$AC68&lt;=1,0,(各r阵容卡情况!$AC68-1)*H$27)*各r阵容卡情况!$I68)+
IF(各r阵容卡情况!$J68=0,0,IF(各r阵容卡情况!$AD68&lt;=1,0,(各r阵容卡情况!$AD68-1)*H$28)*各r阵容卡情况!$J68)</f>
        <v>0</v>
      </c>
      <c r="AJ40" s="67">
        <f>IF(各r阵容卡情况!$H68=0,0,IF(各r阵容卡情况!$AB68&lt;=1,0,(各r阵容卡情况!$AB68-1)*I$26)*各r阵容卡情况!$H68)+
IF(各r阵容卡情况!$I68=0,0,IF(各r阵容卡情况!$AC68&lt;=1,0,(各r阵容卡情况!$AC68-1)*I$27)*各r阵容卡情况!$I68)+
IF(各r阵容卡情况!$J68=0,0,IF(各r阵容卡情况!$AD68&lt;=1,0,(各r阵容卡情况!$AD68-1)*I$28)*各r阵容卡情况!$J68)</f>
        <v>0</v>
      </c>
      <c r="AL40" s="14">
        <v>185</v>
      </c>
      <c r="AM40" s="80">
        <f t="shared" si="21"/>
        <v>48</v>
      </c>
      <c r="AN40" s="80">
        <f t="shared" si="22"/>
        <v>0</v>
      </c>
      <c r="AO40" s="80">
        <f t="shared" si="23"/>
        <v>0</v>
      </c>
      <c r="AP40" s="80">
        <f t="shared" si="24"/>
        <v>240</v>
      </c>
      <c r="AQ40" s="80">
        <f t="shared" si="25"/>
        <v>0</v>
      </c>
      <c r="AR40" s="80">
        <f t="shared" si="26"/>
        <v>0</v>
      </c>
      <c r="AS40" s="80">
        <f t="shared" si="27"/>
        <v>132</v>
      </c>
      <c r="AT40" s="80">
        <f t="shared" si="28"/>
        <v>0</v>
      </c>
      <c r="AU40" s="80">
        <f t="shared" si="29"/>
        <v>0</v>
      </c>
      <c r="AV40" s="80">
        <f t="shared" si="30"/>
        <v>660</v>
      </c>
      <c r="AW40" s="80">
        <f t="shared" si="31"/>
        <v>0</v>
      </c>
      <c r="AX40" s="80">
        <f t="shared" si="32"/>
        <v>0</v>
      </c>
      <c r="AY40" s="61" t="e">
        <f>SUMPRODUCT(AM40:AR40/'[1]功能-行军令'!$GI$26:$GN$26+AS40:AX40/'[1]功能-行军令'!$GI$26:$GN$26)/0.18</f>
        <v>#DIV/0!</v>
      </c>
      <c r="BO40" s="80">
        <f t="shared" si="15"/>
        <v>153.02723536432757</v>
      </c>
      <c r="BP40" s="80">
        <f t="shared" si="16"/>
        <v>12300000</v>
      </c>
      <c r="BQ40" s="80">
        <f>(BP40-BP39)*INDEX('[1]功能-付费相关'!$AQ$6:$AQ$165,$BO40,1)+BQ39</f>
        <v>15965.959189681667</v>
      </c>
      <c r="BR40" s="80"/>
      <c r="BS40" s="80"/>
    </row>
    <row r="41" spans="2:77" x14ac:dyDescent="0.15">
      <c r="B41" s="201" t="s">
        <v>551</v>
      </c>
      <c r="C41" s="80" t="s">
        <v>14</v>
      </c>
      <c r="D41" s="80" t="s">
        <v>3</v>
      </c>
      <c r="E41" s="80" t="s">
        <v>1</v>
      </c>
      <c r="F41" s="80" t="s">
        <v>2</v>
      </c>
      <c r="G41" s="80" t="s">
        <v>0</v>
      </c>
      <c r="H41" s="80" t="s">
        <v>545</v>
      </c>
      <c r="I41" s="80" t="s">
        <v>30</v>
      </c>
      <c r="L41" s="61">
        <v>40</v>
      </c>
      <c r="M41" s="80">
        <f>基础状态预期!D53</f>
        <v>153.02723536432757</v>
      </c>
      <c r="N41" s="80">
        <f>IF(基础状态预期!F53="",0,IF(基础状态预期!Z53&lt;=1,基础状态预期!Z53*D$4,1*D$4+(基础状态预期!Z53-1)*武将觉醒!D$5))</f>
        <v>0</v>
      </c>
      <c r="O41" s="80">
        <f>IF(基础状态预期!G53="",0,IF(基础状态预期!AA53&lt;=1,基础状态预期!AA53*E$4,1*E$4+(基础状态预期!AA53-1)*武将觉醒!E$5))</f>
        <v>0</v>
      </c>
      <c r="P41" s="80">
        <f>IF(基础状态预期!H53="",0,IF(基础状态预期!AB53&lt;=1,基础状态预期!AB53*F$4,1*F$4+(基础状态预期!AB53-1)*武将觉醒!F$5))</f>
        <v>0</v>
      </c>
      <c r="Q41" s="80">
        <f>IF(基础状态预期!I53="",0,IF(基础状态预期!AC53&lt;=1,基础状态预期!AC53*G$4,1*G$4+(基础状态预期!AC53-1)*武将觉醒!G$5))</f>
        <v>0</v>
      </c>
      <c r="R41" s="80">
        <f>IF(基础状态预期!J53="",0,IF(基础状态预期!AD53&lt;=1,基础状态预期!AD53*H$4,1*H$4+(基础状态预期!AD53-1)*武将觉醒!H$5))</f>
        <v>2050000</v>
      </c>
      <c r="S41" s="80">
        <f>MAX(SUMPRODUCT(N41:R41,基础状态预期!F53:J53),S40)</f>
        <v>12300000</v>
      </c>
      <c r="T41" s="80">
        <f>IF(基础状态预期!Z53="",0,IFERROR(基础状态预期!F53*求节点($C$62:$C$63,D$62:D$63,基础状态预期!Z53),0)+IFERROR(基础状态预期!$J53*求节点($C$71:$C$72,D$71:D$72,基础状态预期!$AD53),0))</f>
        <v>0</v>
      </c>
      <c r="U41" s="80">
        <f>IF(基础状态预期!AA53="",0,IFERROR(基础状态预期!G53*求节点($C$62:$C$63,E$62:E$63,基础状态预期!AA53),0)+IFERROR(基础状态预期!$J53*求节点($C$71:$C$72,E$71:E$72,基础状态预期!$AD53),0))</f>
        <v>0</v>
      </c>
      <c r="V41" s="80">
        <f>IF(基础状态预期!AB53="",0,IFERROR(基础状态预期!H53*求节点($C$62:$C$63,F$62:F$63,基础状态预期!AB53),0)+IFERROR(基础状态预期!$J53*求节点($C$71:$C$72,F$71:F$72,基础状态预期!$AD53),0))</f>
        <v>0</v>
      </c>
      <c r="W41" s="80">
        <f>IF(基础状态预期!AC53="",0,IFERROR(基础状态预期!I53*求节点($C$62:$C$63,G$62:G$63,基础状态预期!AC53),0)+IFERROR(基础状态预期!$J53*求节点($C$71:$C$72,G$71:G$72,基础状态预期!$AD53),0))</f>
        <v>0</v>
      </c>
      <c r="X41" s="80">
        <f>IF(基础状态预期!AD53="",0,IFERROR(基础状态预期!J53*求节点($C$62:$C$63,H$62:H$63,基础状态预期!AD53),0)+IFERROR(基础状态预期!$J53*求节点($C$71:$C$72,H$71:H$72,基础状态预期!$AD53),0))</f>
        <v>0</v>
      </c>
      <c r="Y41" s="80">
        <f>IF(基础状态预期!$H53="",0,IF(基础状态预期!$AB53&lt;=1,基础状态预期!$AB53*D$18,D$18)*基础状态预期!$H53)+
IF(基础状态预期!$I53="",0,IF(基础状态预期!$AC53&lt;=1,基础状态预期!$AC53*D$19,D$19)*基础状态预期!$I53)+
IF(基础状态预期!$J53="",0,IF(基础状态预期!$AD53&lt;=1,基础状态预期!$AD53*D$20,D$20)*基础状态预期!$J53)</f>
        <v>48</v>
      </c>
      <c r="Z41" s="80">
        <f>IF(基础状态预期!$H53="",0,IF(基础状态预期!$AB53&lt;=1,基础状态预期!$AB53*E$18,E$18)*基础状态预期!$H53)+
IF(基础状态预期!$I53="",0,IF(基础状态预期!$AC53&lt;=1,基础状态预期!$AC53*E$19,E$19)*基础状态预期!$I53)+
IF(基础状态预期!$J53="",0,IF(基础状态预期!$AD53&lt;=1,基础状态预期!$AD53*E$20,E$20)*基础状态预期!$J53)</f>
        <v>0</v>
      </c>
      <c r="AA41" s="80">
        <f>IF(基础状态预期!$H53="",0,IF(基础状态预期!$AB53&lt;=1,基础状态预期!$AB53*F$18,F$18)*基础状态预期!$H53)+
IF(基础状态预期!$I53="",0,IF(基础状态预期!$AC53&lt;=1,基础状态预期!$AC53*F$19,F$19)*基础状态预期!$I53)+
IF(基础状态预期!$J53="",0,IF(基础状态预期!$AD53&lt;=1,基础状态预期!$AD53*F$20,F$20)*基础状态预期!$J53)</f>
        <v>0</v>
      </c>
      <c r="AB41" s="67">
        <f>IF(基础状态预期!$H53="",0,IF(基础状态预期!$AB53&lt;=1,0,(基础状态预期!$AB53-1)*G$26)*基础状态预期!$H53)+
IF(基础状态预期!$I53="",0,IF(基础状态预期!$AC53&lt;=1,0,(基础状态预期!$AC53-1)*G$27)*基础状态预期!$I53)+
IF(基础状态预期!$J53="",0,IF(基础状态预期!$AD53&lt;=1,0,(基础状态预期!$AD53-1)*G$28)*基础状态预期!$J53)</f>
        <v>240</v>
      </c>
      <c r="AC41" s="67">
        <f>IF(基础状态预期!$H53="",0,IF(基础状态预期!$AB53&lt;=1,0,(基础状态预期!$AB53-1)*H$26)*基础状态预期!$H53)+
IF(基础状态预期!$I53="",0,IF(基础状态预期!$AC53&lt;=1,0,(基础状态预期!$AC53-1)*H$27)*基础状态预期!$I53)+
IF(基础状态预期!$J53="",0,IF(基础状态预期!$AD53&lt;=1,0,(基础状态预期!$AD53-1)*H$28)*基础状态预期!$J53)</f>
        <v>0</v>
      </c>
      <c r="AD41" s="67">
        <f>IF(基础状态预期!$H53="",0,IF(基础状态预期!$AB53&lt;=1,0,(基础状态预期!$AB53-1)*I$26)*基础状态预期!$H53)+
IF(基础状态预期!$I53="",0,IF(基础状态预期!$AC53&lt;=1,0,(基础状态预期!$AC53-1)*I$27)*基础状态预期!$I53)+
IF(基础状态预期!$J53="",0,IF(基础状态预期!$AD53&lt;=1,0,(基础状态预期!$AD53-1)*I$28)*基础状态预期!$J53)</f>
        <v>0</v>
      </c>
      <c r="AE41" s="80">
        <f>IF(各r阵容卡情况!$H69=0,0,IF(各r阵容卡情况!$AB69&lt;=1,各r阵容卡情况!$AB69*D$18,1*D$18)*各r阵容卡情况!$H69)+
IF(各r阵容卡情况!$I69=0,0,IF(各r阵容卡情况!$AC69&lt;=1,各r阵容卡情况!$AC69*D$19,1*D$19)*各r阵容卡情况!$I69)+
IF(各r阵容卡情况!$J69=0,0,IF(各r阵容卡情况!$AD69&lt;=1,各r阵容卡情况!$AD69*D$20,1*D$20)*各r阵容卡情况!$J69)</f>
        <v>124</v>
      </c>
      <c r="AF41" s="80">
        <f>IF(各r阵容卡情况!$H69=0,0,IF(各r阵容卡情况!$AB69&lt;=1,各r阵容卡情况!$AB69*E$18,1*E$18)*各r阵容卡情况!$H69)+
IF(各r阵容卡情况!$I69=0,0,IF(各r阵容卡情况!$AC69&lt;=1,各r阵容卡情况!$AC69*E$19,1*E$19)*各r阵容卡情况!$I69)+
IF(各r阵容卡情况!$J69=0,0,IF(各r阵容卡情况!$AD69&lt;=1,各r阵容卡情况!$AD69*E$20,1*E$20)*各r阵容卡情况!$J69)</f>
        <v>0</v>
      </c>
      <c r="AG41" s="80">
        <f>IF(各r阵容卡情况!$H69=0,0,IF(各r阵容卡情况!$AB69&lt;=1,各r阵容卡情况!$AB69*F$18,1*F$18)*各r阵容卡情况!$H69)+
IF(各r阵容卡情况!$I69=0,0,IF(各r阵容卡情况!$AC69&lt;=1,各r阵容卡情况!$AC69*F$19,1*F$19)*各r阵容卡情况!$I69)+
IF(各r阵容卡情况!$J69=0,0,IF(各r阵容卡情况!$AD69&lt;=1,各r阵容卡情况!$AD69*F$20,1*F$20)*各r阵容卡情况!$J69)</f>
        <v>0</v>
      </c>
      <c r="AH41" s="67">
        <f>IF(各r阵容卡情况!$H69=0,0,IF(各r阵容卡情况!$AB69&lt;=1,0,(各r阵容卡情况!$AB69-1)*G$26)*各r阵容卡情况!$H69)+
IF(各r阵容卡情况!$I69=0,0,IF(各r阵容卡情况!$AC69&lt;=1,0,(各r阵容卡情况!$AC69-1)*G$27)*各r阵容卡情况!$I69)+
IF(各r阵容卡情况!$J69=0,0,IF(各r阵容卡情况!$AD69&lt;=1,0,(各r阵容卡情况!$AD69-1)*G$28)*各r阵容卡情况!$J69)</f>
        <v>620</v>
      </c>
      <c r="AI41" s="67">
        <f>IF(各r阵容卡情况!$H69=0,0,IF(各r阵容卡情况!$AB69&lt;=1,0,(各r阵容卡情况!$AB69-1)*H$26)*各r阵容卡情况!$H69)+
IF(各r阵容卡情况!$I69=0,0,IF(各r阵容卡情况!$AC69&lt;=1,0,(各r阵容卡情况!$AC69-1)*H$27)*各r阵容卡情况!$I69)+
IF(各r阵容卡情况!$J69=0,0,IF(各r阵容卡情况!$AD69&lt;=1,0,(各r阵容卡情况!$AD69-1)*H$28)*各r阵容卡情况!$J69)</f>
        <v>0</v>
      </c>
      <c r="AJ41" s="67">
        <f>IF(各r阵容卡情况!$H69=0,0,IF(各r阵容卡情况!$AB69&lt;=1,0,(各r阵容卡情况!$AB69-1)*I$26)*各r阵容卡情况!$H69)+
IF(各r阵容卡情况!$I69=0,0,IF(各r阵容卡情况!$AC69&lt;=1,0,(各r阵容卡情况!$AC69-1)*I$27)*各r阵容卡情况!$I69)+
IF(各r阵容卡情况!$J69=0,0,IF(各r阵容卡情况!$AD69&lt;=1,0,(各r阵容卡情况!$AD69-1)*I$28)*各r阵容卡情况!$J69)</f>
        <v>0</v>
      </c>
      <c r="AL41" s="14">
        <v>190</v>
      </c>
      <c r="AM41" s="80">
        <f t="shared" si="21"/>
        <v>48</v>
      </c>
      <c r="AN41" s="80">
        <f t="shared" si="22"/>
        <v>0</v>
      </c>
      <c r="AO41" s="80">
        <f t="shared" si="23"/>
        <v>0</v>
      </c>
      <c r="AP41" s="80">
        <f t="shared" si="24"/>
        <v>240</v>
      </c>
      <c r="AQ41" s="80">
        <f t="shared" si="25"/>
        <v>0</v>
      </c>
      <c r="AR41" s="80">
        <f t="shared" si="26"/>
        <v>0</v>
      </c>
      <c r="AS41" s="80">
        <f t="shared" si="27"/>
        <v>132</v>
      </c>
      <c r="AT41" s="80">
        <f t="shared" si="28"/>
        <v>0</v>
      </c>
      <c r="AU41" s="80">
        <f t="shared" si="29"/>
        <v>0</v>
      </c>
      <c r="AV41" s="80">
        <f t="shared" si="30"/>
        <v>660</v>
      </c>
      <c r="AW41" s="80">
        <f t="shared" si="31"/>
        <v>0</v>
      </c>
      <c r="AX41" s="80">
        <f t="shared" si="32"/>
        <v>0</v>
      </c>
      <c r="AY41" s="61" t="e">
        <f>SUMPRODUCT(AM41:AR41/'[1]功能-行军令'!$GI$26:$GN$26+AS41:AX41/'[1]功能-行军令'!$GI$26:$GN$26)/0.18</f>
        <v>#DIV/0!</v>
      </c>
      <c r="BO41" s="80">
        <f t="shared" si="15"/>
        <v>156.52008914974525</v>
      </c>
      <c r="BP41" s="80">
        <f t="shared" si="16"/>
        <v>12300000</v>
      </c>
      <c r="BQ41" s="80">
        <f>(BP41-BP40)*INDEX('[1]功能-付费相关'!$AQ$6:$AQ$165,$BO41,1)+BQ40</f>
        <v>15965.959189681667</v>
      </c>
      <c r="BR41" s="80"/>
      <c r="BS41" s="80"/>
    </row>
    <row r="42" spans="2:77" x14ac:dyDescent="0.15">
      <c r="B42" s="201"/>
      <c r="C42" s="80">
        <v>1</v>
      </c>
      <c r="D42" s="80"/>
      <c r="E42" s="80"/>
      <c r="F42" s="80"/>
      <c r="G42" s="80">
        <v>0</v>
      </c>
      <c r="H42" s="80"/>
      <c r="I42" s="80"/>
      <c r="L42" s="61">
        <v>41</v>
      </c>
      <c r="M42" s="80">
        <f>基础状态预期!D54</f>
        <v>156.52008914974525</v>
      </c>
      <c r="N42" s="80">
        <f>IF(基础状态预期!F54="",0,IF(基础状态预期!Z54&lt;=1,基础状态预期!Z54*D$4,1*D$4+(基础状态预期!Z54-1)*武将觉醒!D$5))</f>
        <v>0</v>
      </c>
      <c r="O42" s="80">
        <f>IF(基础状态预期!G54="",0,IF(基础状态预期!AA54&lt;=1,基础状态预期!AA54*E$4,1*E$4+(基础状态预期!AA54-1)*武将觉醒!E$5))</f>
        <v>0</v>
      </c>
      <c r="P42" s="80">
        <f>IF(基础状态预期!H54="",0,IF(基础状态预期!AB54&lt;=1,基础状态预期!AB54*F$4,1*F$4+(基础状态预期!AB54-1)*武将觉醒!F$5))</f>
        <v>0</v>
      </c>
      <c r="Q42" s="80">
        <f>IF(基础状态预期!I54="",0,IF(基础状态预期!AC54&lt;=1,基础状态预期!AC54*G$4,1*G$4+(基础状态预期!AC54-1)*武将觉醒!G$5))</f>
        <v>0</v>
      </c>
      <c r="R42" s="80">
        <f>IF(基础状态预期!J54="",0,IF(基础状态预期!AD54&lt;=1,基础状态预期!AD54*H$4,1*H$4+(基础状态预期!AD54-1)*武将觉醒!H$5))</f>
        <v>2050000</v>
      </c>
      <c r="S42" s="80">
        <f>MAX(SUMPRODUCT(N42:R42,基础状态预期!F54:J54),S41)</f>
        <v>12300000</v>
      </c>
      <c r="T42" s="80">
        <f>IF(基础状态预期!Z54="",0,IFERROR(基础状态预期!F54*求节点($C$62:$C$63,D$62:D$63,基础状态预期!Z54),0)+IFERROR(基础状态预期!$J54*求节点($C$71:$C$72,D$71:D$72,基础状态预期!$AD54),0))</f>
        <v>0</v>
      </c>
      <c r="U42" s="80">
        <f>IF(基础状态预期!AA54="",0,IFERROR(基础状态预期!G54*求节点($C$62:$C$63,E$62:E$63,基础状态预期!AA54),0)+IFERROR(基础状态预期!$J54*求节点($C$71:$C$72,E$71:E$72,基础状态预期!$AD54),0))</f>
        <v>0</v>
      </c>
      <c r="V42" s="80">
        <f>IF(基础状态预期!AB54="",0,IFERROR(基础状态预期!H54*求节点($C$62:$C$63,F$62:F$63,基础状态预期!AB54),0)+IFERROR(基础状态预期!$J54*求节点($C$71:$C$72,F$71:F$72,基础状态预期!$AD54),0))</f>
        <v>0</v>
      </c>
      <c r="W42" s="80">
        <f>IF(基础状态预期!AC54="",0,IFERROR(基础状态预期!I54*求节点($C$62:$C$63,G$62:G$63,基础状态预期!AC54),0)+IFERROR(基础状态预期!$J54*求节点($C$71:$C$72,G$71:G$72,基础状态预期!$AD54),0))</f>
        <v>0</v>
      </c>
      <c r="X42" s="80">
        <f>IF(基础状态预期!AD54="",0,IFERROR(基础状态预期!J54*求节点($C$62:$C$63,H$62:H$63,基础状态预期!AD54),0)+IFERROR(基础状态预期!$J54*求节点($C$71:$C$72,H$71:H$72,基础状态预期!$AD54),0))</f>
        <v>0</v>
      </c>
      <c r="Y42" s="80">
        <f>IF(基础状态预期!$H54="",0,IF(基础状态预期!$AB54&lt;=1,基础状态预期!$AB54*D$18,D$18)*基础状态预期!$H54)+
IF(基础状态预期!$I54="",0,IF(基础状态预期!$AC54&lt;=1,基础状态预期!$AC54*D$19,D$19)*基础状态预期!$I54)+
IF(基础状态预期!$J54="",0,IF(基础状态预期!$AD54&lt;=1,基础状态预期!$AD54*D$20,D$20)*基础状态预期!$J54)</f>
        <v>48</v>
      </c>
      <c r="Z42" s="80">
        <f>IF(基础状态预期!$H54="",0,IF(基础状态预期!$AB54&lt;=1,基础状态预期!$AB54*E$18,E$18)*基础状态预期!$H54)+
IF(基础状态预期!$I54="",0,IF(基础状态预期!$AC54&lt;=1,基础状态预期!$AC54*E$19,E$19)*基础状态预期!$I54)+
IF(基础状态预期!$J54="",0,IF(基础状态预期!$AD54&lt;=1,基础状态预期!$AD54*E$20,E$20)*基础状态预期!$J54)</f>
        <v>0</v>
      </c>
      <c r="AA42" s="80">
        <f>IF(基础状态预期!$H54="",0,IF(基础状态预期!$AB54&lt;=1,基础状态预期!$AB54*F$18,F$18)*基础状态预期!$H54)+
IF(基础状态预期!$I54="",0,IF(基础状态预期!$AC54&lt;=1,基础状态预期!$AC54*F$19,F$19)*基础状态预期!$I54)+
IF(基础状态预期!$J54="",0,IF(基础状态预期!$AD54&lt;=1,基础状态预期!$AD54*F$20,F$20)*基础状态预期!$J54)</f>
        <v>0</v>
      </c>
      <c r="AB42" s="67">
        <f>IF(基础状态预期!$H54="",0,IF(基础状态预期!$AB54&lt;=1,0,(基础状态预期!$AB54-1)*G$26)*基础状态预期!$H54)+
IF(基础状态预期!$I54="",0,IF(基础状态预期!$AC54&lt;=1,0,(基础状态预期!$AC54-1)*G$27)*基础状态预期!$I54)+
IF(基础状态预期!$J54="",0,IF(基础状态预期!$AD54&lt;=1,0,(基础状态预期!$AD54-1)*G$28)*基础状态预期!$J54)</f>
        <v>240</v>
      </c>
      <c r="AC42" s="67">
        <f>IF(基础状态预期!$H54="",0,IF(基础状态预期!$AB54&lt;=1,0,(基础状态预期!$AB54-1)*H$26)*基础状态预期!$H54)+
IF(基础状态预期!$I54="",0,IF(基础状态预期!$AC54&lt;=1,0,(基础状态预期!$AC54-1)*H$27)*基础状态预期!$I54)+
IF(基础状态预期!$J54="",0,IF(基础状态预期!$AD54&lt;=1,0,(基础状态预期!$AD54-1)*H$28)*基础状态预期!$J54)</f>
        <v>0</v>
      </c>
      <c r="AD42" s="67">
        <f>IF(基础状态预期!$H54="",0,IF(基础状态预期!$AB54&lt;=1,0,(基础状态预期!$AB54-1)*I$26)*基础状态预期!$H54)+
IF(基础状态预期!$I54="",0,IF(基础状态预期!$AC54&lt;=1,0,(基础状态预期!$AC54-1)*I$27)*基础状态预期!$I54)+
IF(基础状态预期!$J54="",0,IF(基础状态预期!$AD54&lt;=1,0,(基础状态预期!$AD54-1)*I$28)*基础状态预期!$J54)</f>
        <v>0</v>
      </c>
      <c r="AE42" s="80">
        <f>IF(各r阵容卡情况!$H70=0,0,IF(各r阵容卡情况!$AB70&lt;=1,各r阵容卡情况!$AB70*D$18,1*D$18)*各r阵容卡情况!$H70)+
IF(各r阵容卡情况!$I70=0,0,IF(各r阵容卡情况!$AC70&lt;=1,各r阵容卡情况!$AC70*D$19,1*D$19)*各r阵容卡情况!$I70)+
IF(各r阵容卡情况!$J70=0,0,IF(各r阵容卡情况!$AD70&lt;=1,各r阵容卡情况!$AD70*D$20,1*D$20)*各r阵容卡情况!$J70)</f>
        <v>128</v>
      </c>
      <c r="AF42" s="80">
        <f>IF(各r阵容卡情况!$H70=0,0,IF(各r阵容卡情况!$AB70&lt;=1,各r阵容卡情况!$AB70*E$18,1*E$18)*各r阵容卡情况!$H70)+
IF(各r阵容卡情况!$I70=0,0,IF(各r阵容卡情况!$AC70&lt;=1,各r阵容卡情况!$AC70*E$19,1*E$19)*各r阵容卡情况!$I70)+
IF(各r阵容卡情况!$J70=0,0,IF(各r阵容卡情况!$AD70&lt;=1,各r阵容卡情况!$AD70*E$20,1*E$20)*各r阵容卡情况!$J70)</f>
        <v>0</v>
      </c>
      <c r="AG42" s="80">
        <f>IF(各r阵容卡情况!$H70=0,0,IF(各r阵容卡情况!$AB70&lt;=1,各r阵容卡情况!$AB70*F$18,1*F$18)*各r阵容卡情况!$H70)+
IF(各r阵容卡情况!$I70=0,0,IF(各r阵容卡情况!$AC70&lt;=1,各r阵容卡情况!$AC70*F$19,1*F$19)*各r阵容卡情况!$I70)+
IF(各r阵容卡情况!$J70=0,0,IF(各r阵容卡情况!$AD70&lt;=1,各r阵容卡情况!$AD70*F$20,1*F$20)*各r阵容卡情况!$J70)</f>
        <v>0</v>
      </c>
      <c r="AH42" s="67">
        <f>IF(各r阵容卡情况!$H70=0,0,IF(各r阵容卡情况!$AB70&lt;=1,0,(各r阵容卡情况!$AB70-1)*G$26)*各r阵容卡情况!$H70)+
IF(各r阵容卡情况!$I70=0,0,IF(各r阵容卡情况!$AC70&lt;=1,0,(各r阵容卡情况!$AC70-1)*G$27)*各r阵容卡情况!$I70)+
IF(各r阵容卡情况!$J70=0,0,IF(各r阵容卡情况!$AD70&lt;=1,0,(各r阵容卡情况!$AD70-1)*G$28)*各r阵容卡情况!$J70)</f>
        <v>640</v>
      </c>
      <c r="AI42" s="67">
        <f>IF(各r阵容卡情况!$H70=0,0,IF(各r阵容卡情况!$AB70&lt;=1,0,(各r阵容卡情况!$AB70-1)*H$26)*各r阵容卡情况!$H70)+
IF(各r阵容卡情况!$I70=0,0,IF(各r阵容卡情况!$AC70&lt;=1,0,(各r阵容卡情况!$AC70-1)*H$27)*各r阵容卡情况!$I70)+
IF(各r阵容卡情况!$J70=0,0,IF(各r阵容卡情况!$AD70&lt;=1,0,(各r阵容卡情况!$AD70-1)*H$28)*各r阵容卡情况!$J70)</f>
        <v>0</v>
      </c>
      <c r="AJ42" s="67">
        <f>IF(各r阵容卡情况!$H70=0,0,IF(各r阵容卡情况!$AB70&lt;=1,0,(各r阵容卡情况!$AB70-1)*I$26)*各r阵容卡情况!$H70)+
IF(各r阵容卡情况!$I70=0,0,IF(各r阵容卡情况!$AC70&lt;=1,0,(各r阵容卡情况!$AC70-1)*I$27)*各r阵容卡情况!$I70)+
IF(各r阵容卡情况!$J70=0,0,IF(各r阵容卡情况!$AD70&lt;=1,0,(各r阵容卡情况!$AD70-1)*I$28)*各r阵容卡情况!$J70)</f>
        <v>0</v>
      </c>
      <c r="AL42" s="14">
        <v>195</v>
      </c>
      <c r="AM42" s="80">
        <f t="shared" si="21"/>
        <v>48</v>
      </c>
      <c r="AN42" s="80">
        <f t="shared" si="22"/>
        <v>0</v>
      </c>
      <c r="AO42" s="80">
        <f t="shared" si="23"/>
        <v>0</v>
      </c>
      <c r="AP42" s="80">
        <f t="shared" si="24"/>
        <v>240</v>
      </c>
      <c r="AQ42" s="80">
        <f t="shared" si="25"/>
        <v>0</v>
      </c>
      <c r="AR42" s="80">
        <f t="shared" si="26"/>
        <v>0</v>
      </c>
      <c r="AS42" s="80">
        <f t="shared" si="27"/>
        <v>132</v>
      </c>
      <c r="AT42" s="80">
        <f t="shared" si="28"/>
        <v>0</v>
      </c>
      <c r="AU42" s="80">
        <f t="shared" si="29"/>
        <v>0</v>
      </c>
      <c r="AV42" s="80">
        <f t="shared" si="30"/>
        <v>660</v>
      </c>
      <c r="AW42" s="80">
        <f t="shared" si="31"/>
        <v>0</v>
      </c>
      <c r="AX42" s="80">
        <f t="shared" si="32"/>
        <v>0</v>
      </c>
      <c r="AY42" s="61" t="e">
        <f>SUMPRODUCT(AM42:AR42/'[1]功能-行军令'!$GI$26:$GN$26+AS42:AX42/'[1]功能-行军令'!$GI$26:$GN$26)/0.18</f>
        <v>#DIV/0!</v>
      </c>
      <c r="BO42" s="80">
        <f t="shared" si="15"/>
        <v>159.99202506384199</v>
      </c>
      <c r="BP42" s="80">
        <f t="shared" si="16"/>
        <v>12300000</v>
      </c>
      <c r="BQ42" s="80">
        <f>(BP42-BP41)*INDEX('[1]功能-付费相关'!$AQ$6:$AQ$165,$BO42,1)+BQ41</f>
        <v>15965.959189681667</v>
      </c>
      <c r="BR42" s="80"/>
      <c r="BS42" s="80"/>
    </row>
    <row r="43" spans="2:77" x14ac:dyDescent="0.15">
      <c r="B43" s="201"/>
      <c r="C43" s="80">
        <v>2</v>
      </c>
      <c r="D43" s="80"/>
      <c r="E43" s="80"/>
      <c r="F43" s="80"/>
      <c r="G43" s="80">
        <v>3</v>
      </c>
      <c r="H43" s="80"/>
      <c r="I43" s="80"/>
      <c r="L43" s="61">
        <v>42</v>
      </c>
      <c r="M43" s="80">
        <f>基础状态预期!D55</f>
        <v>159.99202506384199</v>
      </c>
      <c r="N43" s="80">
        <f>IF(基础状态预期!F55="",0,IF(基础状态预期!Z55&lt;=1,基础状态预期!Z55*D$4,1*D$4+(基础状态预期!Z55-1)*武将觉醒!D$5))</f>
        <v>0</v>
      </c>
      <c r="O43" s="80">
        <f>IF(基础状态预期!G55="",0,IF(基础状态预期!AA55&lt;=1,基础状态预期!AA55*E$4,1*E$4+(基础状态预期!AA55-1)*武将觉醒!E$5))</f>
        <v>0</v>
      </c>
      <c r="P43" s="80">
        <f>IF(基础状态预期!H55="",0,IF(基础状态预期!AB55&lt;=1,基础状态预期!AB55*F$4,1*F$4+(基础状态预期!AB55-1)*武将觉醒!F$5))</f>
        <v>0</v>
      </c>
      <c r="Q43" s="80">
        <f>IF(基础状态预期!I55="",0,IF(基础状态预期!AC55&lt;=1,基础状态预期!AC55*G$4,1*G$4+(基础状态预期!AC55-1)*武将觉醒!G$5))</f>
        <v>0</v>
      </c>
      <c r="R43" s="80">
        <f>IF(基础状态预期!J55="",0,IF(基础状态预期!AD55&lt;=1,基础状态预期!AD55*H$4,1*H$4+(基础状态预期!AD55-1)*武将觉醒!H$5))</f>
        <v>2050000</v>
      </c>
      <c r="S43" s="80">
        <f>MAX(SUMPRODUCT(N43:R43,基础状态预期!F55:J55),S42)</f>
        <v>12300000</v>
      </c>
      <c r="T43" s="80">
        <f>IF(基础状态预期!Z55="",0,IFERROR(基础状态预期!F55*求节点($C$62:$C$63,D$62:D$63,基础状态预期!Z55),0)+IFERROR(基础状态预期!$J55*求节点($C$71:$C$72,D$71:D$72,基础状态预期!$AD55),0))</f>
        <v>0</v>
      </c>
      <c r="U43" s="80">
        <f>IF(基础状态预期!AA55="",0,IFERROR(基础状态预期!G55*求节点($C$62:$C$63,E$62:E$63,基础状态预期!AA55),0)+IFERROR(基础状态预期!$J55*求节点($C$71:$C$72,E$71:E$72,基础状态预期!$AD55),0))</f>
        <v>0</v>
      </c>
      <c r="V43" s="80">
        <f>IF(基础状态预期!AB55="",0,IFERROR(基础状态预期!H55*求节点($C$62:$C$63,F$62:F$63,基础状态预期!AB55),0)+IFERROR(基础状态预期!$J55*求节点($C$71:$C$72,F$71:F$72,基础状态预期!$AD55),0))</f>
        <v>0</v>
      </c>
      <c r="W43" s="80">
        <f>IF(基础状态预期!AC55="",0,IFERROR(基础状态预期!I55*求节点($C$62:$C$63,G$62:G$63,基础状态预期!AC55),0)+IFERROR(基础状态预期!$J55*求节点($C$71:$C$72,G$71:G$72,基础状态预期!$AD55),0))</f>
        <v>0</v>
      </c>
      <c r="X43" s="80">
        <f>IF(基础状态预期!AD55="",0,IFERROR(基础状态预期!J55*求节点($C$62:$C$63,H$62:H$63,基础状态预期!AD55),0)+IFERROR(基础状态预期!$J55*求节点($C$71:$C$72,H$71:H$72,基础状态预期!$AD55),0))</f>
        <v>0</v>
      </c>
      <c r="Y43" s="80">
        <f>IF(基础状态预期!$H55="",0,IF(基础状态预期!$AB55&lt;=1,基础状态预期!$AB55*D$18,D$18)*基础状态预期!$H55)+
IF(基础状态预期!$I55="",0,IF(基础状态预期!$AC55&lt;=1,基础状态预期!$AC55*D$19,D$19)*基础状态预期!$I55)+
IF(基础状态预期!$J55="",0,IF(基础状态预期!$AD55&lt;=1,基础状态预期!$AD55*D$20,D$20)*基础状态预期!$J55)</f>
        <v>48</v>
      </c>
      <c r="Z43" s="80">
        <f>IF(基础状态预期!$H55="",0,IF(基础状态预期!$AB55&lt;=1,基础状态预期!$AB55*E$18,E$18)*基础状态预期!$H55)+
IF(基础状态预期!$I55="",0,IF(基础状态预期!$AC55&lt;=1,基础状态预期!$AC55*E$19,E$19)*基础状态预期!$I55)+
IF(基础状态预期!$J55="",0,IF(基础状态预期!$AD55&lt;=1,基础状态预期!$AD55*E$20,E$20)*基础状态预期!$J55)</f>
        <v>0</v>
      </c>
      <c r="AA43" s="80">
        <f>IF(基础状态预期!$H55="",0,IF(基础状态预期!$AB55&lt;=1,基础状态预期!$AB55*F$18,F$18)*基础状态预期!$H55)+
IF(基础状态预期!$I55="",0,IF(基础状态预期!$AC55&lt;=1,基础状态预期!$AC55*F$19,F$19)*基础状态预期!$I55)+
IF(基础状态预期!$J55="",0,IF(基础状态预期!$AD55&lt;=1,基础状态预期!$AD55*F$20,F$20)*基础状态预期!$J55)</f>
        <v>0</v>
      </c>
      <c r="AB43" s="67">
        <f>IF(基础状态预期!$H55="",0,IF(基础状态预期!$AB55&lt;=1,0,(基础状态预期!$AB55-1)*G$26)*基础状态预期!$H55)+
IF(基础状态预期!$I55="",0,IF(基础状态预期!$AC55&lt;=1,0,(基础状态预期!$AC55-1)*G$27)*基础状态预期!$I55)+
IF(基础状态预期!$J55="",0,IF(基础状态预期!$AD55&lt;=1,0,(基础状态预期!$AD55-1)*G$28)*基础状态预期!$J55)</f>
        <v>240</v>
      </c>
      <c r="AC43" s="67">
        <f>IF(基础状态预期!$H55="",0,IF(基础状态预期!$AB55&lt;=1,0,(基础状态预期!$AB55-1)*H$26)*基础状态预期!$H55)+
IF(基础状态预期!$I55="",0,IF(基础状态预期!$AC55&lt;=1,0,(基础状态预期!$AC55-1)*H$27)*基础状态预期!$I55)+
IF(基础状态预期!$J55="",0,IF(基础状态预期!$AD55&lt;=1,0,(基础状态预期!$AD55-1)*H$28)*基础状态预期!$J55)</f>
        <v>0</v>
      </c>
      <c r="AD43" s="67">
        <f>IF(基础状态预期!$H55="",0,IF(基础状态预期!$AB55&lt;=1,0,(基础状态预期!$AB55-1)*I$26)*基础状态预期!$H55)+
IF(基础状态预期!$I55="",0,IF(基础状态预期!$AC55&lt;=1,0,(基础状态预期!$AC55-1)*I$27)*基础状态预期!$I55)+
IF(基础状态预期!$J55="",0,IF(基础状态预期!$AD55&lt;=1,0,(基础状态预期!$AD55-1)*I$28)*基础状态预期!$J55)</f>
        <v>0</v>
      </c>
      <c r="AE43" s="80">
        <f>IF(各r阵容卡情况!$H71=0,0,IF(各r阵容卡情况!$AB71&lt;=1,各r阵容卡情况!$AB71*D$18,1*D$18)*各r阵容卡情况!$H71)+
IF(各r阵容卡情况!$I71=0,0,IF(各r阵容卡情况!$AC71&lt;=1,各r阵容卡情况!$AC71*D$19,1*D$19)*各r阵容卡情况!$I71)+
IF(各r阵容卡情况!$J71=0,0,IF(各r阵容卡情况!$AD71&lt;=1,各r阵容卡情况!$AD71*D$20,1*D$20)*各r阵容卡情况!$J71)</f>
        <v>132</v>
      </c>
      <c r="AF43" s="80">
        <f>IF(各r阵容卡情况!$H71=0,0,IF(各r阵容卡情况!$AB71&lt;=1,各r阵容卡情况!$AB71*E$18,1*E$18)*各r阵容卡情况!$H71)+
IF(各r阵容卡情况!$I71=0,0,IF(各r阵容卡情况!$AC71&lt;=1,各r阵容卡情况!$AC71*E$19,1*E$19)*各r阵容卡情况!$I71)+
IF(各r阵容卡情况!$J71=0,0,IF(各r阵容卡情况!$AD71&lt;=1,各r阵容卡情况!$AD71*E$20,1*E$20)*各r阵容卡情况!$J71)</f>
        <v>0</v>
      </c>
      <c r="AG43" s="80">
        <f>IF(各r阵容卡情况!$H71=0,0,IF(各r阵容卡情况!$AB71&lt;=1,各r阵容卡情况!$AB71*F$18,1*F$18)*各r阵容卡情况!$H71)+
IF(各r阵容卡情况!$I71=0,0,IF(各r阵容卡情况!$AC71&lt;=1,各r阵容卡情况!$AC71*F$19,1*F$19)*各r阵容卡情况!$I71)+
IF(各r阵容卡情况!$J71=0,0,IF(各r阵容卡情况!$AD71&lt;=1,各r阵容卡情况!$AD71*F$20,1*F$20)*各r阵容卡情况!$J71)</f>
        <v>0</v>
      </c>
      <c r="AH43" s="67">
        <f>IF(各r阵容卡情况!$H71=0,0,IF(各r阵容卡情况!$AB71&lt;=1,0,(各r阵容卡情况!$AB71-1)*G$26)*各r阵容卡情况!$H71)+
IF(各r阵容卡情况!$I71=0,0,IF(各r阵容卡情况!$AC71&lt;=1,0,(各r阵容卡情况!$AC71-1)*G$27)*各r阵容卡情况!$I71)+
IF(各r阵容卡情况!$J71=0,0,IF(各r阵容卡情况!$AD71&lt;=1,0,(各r阵容卡情况!$AD71-1)*G$28)*各r阵容卡情况!$J71)</f>
        <v>660</v>
      </c>
      <c r="AI43" s="67">
        <f>IF(各r阵容卡情况!$H71=0,0,IF(各r阵容卡情况!$AB71&lt;=1,0,(各r阵容卡情况!$AB71-1)*H$26)*各r阵容卡情况!$H71)+
IF(各r阵容卡情况!$I71=0,0,IF(各r阵容卡情况!$AC71&lt;=1,0,(各r阵容卡情况!$AC71-1)*H$27)*各r阵容卡情况!$I71)+
IF(各r阵容卡情况!$J71=0,0,IF(各r阵容卡情况!$AD71&lt;=1,0,(各r阵容卡情况!$AD71-1)*H$28)*各r阵容卡情况!$J71)</f>
        <v>0</v>
      </c>
      <c r="AJ43" s="67">
        <f>IF(各r阵容卡情况!$H71=0,0,IF(各r阵容卡情况!$AB71&lt;=1,0,(各r阵容卡情况!$AB71-1)*I$26)*各r阵容卡情况!$H71)+
IF(各r阵容卡情况!$I71=0,0,IF(各r阵容卡情况!$AC71&lt;=1,0,(各r阵容卡情况!$AC71-1)*I$27)*各r阵容卡情况!$I71)+
IF(各r阵容卡情况!$J71=0,0,IF(各r阵容卡情况!$AD71&lt;=1,0,(各r阵容卡情况!$AD71-1)*I$28)*各r阵容卡情况!$J71)</f>
        <v>0</v>
      </c>
      <c r="AL43" s="14">
        <v>200</v>
      </c>
      <c r="AM43" s="80">
        <f t="shared" si="21"/>
        <v>48</v>
      </c>
      <c r="AN43" s="80">
        <f t="shared" si="22"/>
        <v>0</v>
      </c>
      <c r="AO43" s="80">
        <f t="shared" si="23"/>
        <v>0</v>
      </c>
      <c r="AP43" s="80">
        <f t="shared" si="24"/>
        <v>240</v>
      </c>
      <c r="AQ43" s="80">
        <f t="shared" si="25"/>
        <v>0</v>
      </c>
      <c r="AR43" s="80">
        <f t="shared" si="26"/>
        <v>0</v>
      </c>
      <c r="AS43" s="80">
        <f t="shared" si="27"/>
        <v>132</v>
      </c>
      <c r="AT43" s="80">
        <f t="shared" si="28"/>
        <v>0</v>
      </c>
      <c r="AU43" s="80">
        <f t="shared" si="29"/>
        <v>0</v>
      </c>
      <c r="AV43" s="80">
        <f t="shared" si="30"/>
        <v>660</v>
      </c>
      <c r="AW43" s="80">
        <f t="shared" si="31"/>
        <v>0</v>
      </c>
      <c r="AX43" s="80">
        <f t="shared" si="32"/>
        <v>0</v>
      </c>
      <c r="AY43" s="61" t="e">
        <f>SUMPRODUCT(AM43:AR43/'[1]功能-行军令'!$GI$26:$GN$26+AS43:AX43/'[1]功能-行军令'!$GI$26:$GN$26)/0.18</f>
        <v>#DIV/0!</v>
      </c>
    </row>
    <row r="44" spans="2:77" x14ac:dyDescent="0.15">
      <c r="B44" s="201"/>
      <c r="C44" s="80"/>
      <c r="D44" s="80"/>
      <c r="E44" s="80"/>
      <c r="F44" s="80"/>
      <c r="G44" s="80"/>
      <c r="H44" s="80"/>
      <c r="I44" s="80"/>
      <c r="L44" s="61">
        <v>43</v>
      </c>
    </row>
    <row r="45" spans="2:77" x14ac:dyDescent="0.15">
      <c r="B45" s="201"/>
      <c r="C45" s="80"/>
      <c r="D45" s="80"/>
      <c r="E45" s="80"/>
      <c r="F45" s="80"/>
      <c r="G45" s="80"/>
      <c r="H45" s="80"/>
      <c r="I45" s="80"/>
      <c r="L45" s="61">
        <v>44</v>
      </c>
    </row>
    <row r="46" spans="2:77" x14ac:dyDescent="0.15">
      <c r="B46" s="201"/>
      <c r="C46" s="80"/>
      <c r="D46" s="80"/>
      <c r="E46" s="80"/>
      <c r="F46" s="80"/>
      <c r="G46" s="80"/>
      <c r="H46" s="80"/>
      <c r="I46" s="80"/>
      <c r="L46" s="61">
        <v>45</v>
      </c>
    </row>
    <row r="47" spans="2:77" x14ac:dyDescent="0.15">
      <c r="B47" s="201"/>
      <c r="C47" s="80"/>
      <c r="D47" s="80"/>
      <c r="E47" s="80"/>
      <c r="F47" s="80"/>
      <c r="G47" s="80"/>
      <c r="H47" s="80"/>
      <c r="I47" s="80"/>
      <c r="L47" s="61">
        <v>1</v>
      </c>
      <c r="BB47" s="80" t="s">
        <v>97</v>
      </c>
      <c r="BC47" s="194" t="s">
        <v>55</v>
      </c>
      <c r="BD47" s="195"/>
      <c r="BE47" s="195"/>
      <c r="BF47" s="196"/>
      <c r="BG47" s="197" t="s">
        <v>290</v>
      </c>
      <c r="BH47" s="197"/>
      <c r="BI47" s="197"/>
      <c r="BJ47" s="197"/>
      <c r="BK47" s="197"/>
      <c r="BO47" s="80" t="s">
        <v>76</v>
      </c>
      <c r="BP47" s="197" t="s">
        <v>306</v>
      </c>
      <c r="BQ47" s="197"/>
      <c r="BR47" s="197"/>
      <c r="BS47" s="197"/>
      <c r="BU47" s="80" t="s">
        <v>97</v>
      </c>
      <c r="BV47" s="197" t="s">
        <v>308</v>
      </c>
      <c r="BW47" s="197"/>
      <c r="BX47" s="197"/>
    </row>
    <row r="48" spans="2:77" x14ac:dyDescent="0.15">
      <c r="B48" s="201"/>
      <c r="C48" s="80"/>
      <c r="D48" s="80"/>
      <c r="E48" s="80"/>
      <c r="F48" s="80"/>
      <c r="G48" s="80"/>
      <c r="H48" s="80"/>
      <c r="I48" s="80"/>
      <c r="L48" s="61">
        <v>2</v>
      </c>
      <c r="M48" s="80" t="s">
        <v>76</v>
      </c>
      <c r="N48" s="197" t="s">
        <v>296</v>
      </c>
      <c r="O48" s="197"/>
      <c r="P48" s="197"/>
      <c r="Q48" s="197"/>
      <c r="R48" s="197"/>
      <c r="S48" s="197"/>
      <c r="T48" s="197" t="s">
        <v>380</v>
      </c>
      <c r="U48" s="197"/>
      <c r="V48" s="197"/>
      <c r="W48" s="197"/>
      <c r="X48" s="197"/>
      <c r="Y48" s="194" t="s">
        <v>461</v>
      </c>
      <c r="Z48" s="195"/>
      <c r="AA48" s="195"/>
      <c r="AB48" s="195"/>
      <c r="AC48" s="195"/>
      <c r="AD48" s="196"/>
      <c r="AE48" s="194" t="s">
        <v>462</v>
      </c>
      <c r="AF48" s="195"/>
      <c r="AG48" s="195"/>
      <c r="AH48" s="195"/>
      <c r="AI48" s="195"/>
      <c r="AJ48" s="196"/>
      <c r="AL48" s="80" t="s">
        <v>76</v>
      </c>
      <c r="AM48" s="194" t="s">
        <v>461</v>
      </c>
      <c r="AN48" s="195"/>
      <c r="AO48" s="195"/>
      <c r="AP48" s="195"/>
      <c r="AQ48" s="195"/>
      <c r="AR48" s="196"/>
      <c r="AS48" s="194" t="s">
        <v>462</v>
      </c>
      <c r="AT48" s="195"/>
      <c r="AU48" s="195"/>
      <c r="AV48" s="195"/>
      <c r="AW48" s="195"/>
      <c r="AX48" s="196"/>
      <c r="BB48" s="80" t="s">
        <v>478</v>
      </c>
      <c r="BC48" s="80" t="s">
        <v>152</v>
      </c>
      <c r="BD48" s="80" t="s">
        <v>250</v>
      </c>
      <c r="BE48" s="80" t="s">
        <v>251</v>
      </c>
      <c r="BF48" s="80" t="s">
        <v>295</v>
      </c>
      <c r="BG48" s="80" t="s">
        <v>152</v>
      </c>
      <c r="BH48" s="80" t="s">
        <v>250</v>
      </c>
      <c r="BI48" s="80" t="s">
        <v>251</v>
      </c>
      <c r="BJ48" s="80" t="s">
        <v>295</v>
      </c>
      <c r="BK48" s="80" t="s">
        <v>293</v>
      </c>
      <c r="BO48" s="80" t="s">
        <v>478</v>
      </c>
      <c r="BP48" s="80" t="s">
        <v>311</v>
      </c>
      <c r="BQ48" s="80" t="s">
        <v>340</v>
      </c>
      <c r="BR48" s="80" t="s">
        <v>312</v>
      </c>
      <c r="BS48" s="80" t="s">
        <v>313</v>
      </c>
      <c r="BU48" s="80" t="s">
        <v>478</v>
      </c>
      <c r="BV48" s="80" t="s">
        <v>311</v>
      </c>
      <c r="BW48" s="80" t="s">
        <v>312</v>
      </c>
      <c r="BX48" s="80" t="s">
        <v>313</v>
      </c>
      <c r="BY48" s="80" t="s">
        <v>472</v>
      </c>
    </row>
    <row r="49" spans="1:77" x14ac:dyDescent="0.15">
      <c r="B49" s="201"/>
      <c r="C49" s="80"/>
      <c r="D49" s="80"/>
      <c r="E49" s="80"/>
      <c r="F49" s="80"/>
      <c r="G49" s="80"/>
      <c r="H49" s="80"/>
      <c r="I49" s="80"/>
      <c r="L49" s="61">
        <v>3</v>
      </c>
      <c r="M49" s="80" t="s">
        <v>478</v>
      </c>
      <c r="N49" s="80" t="s">
        <v>3</v>
      </c>
      <c r="O49" s="80" t="s">
        <v>1</v>
      </c>
      <c r="P49" s="80" t="s">
        <v>2</v>
      </c>
      <c r="Q49" s="80" t="s">
        <v>0</v>
      </c>
      <c r="R49" s="80" t="s">
        <v>545</v>
      </c>
      <c r="S49" s="80" t="s">
        <v>273</v>
      </c>
      <c r="T49" s="80" t="s">
        <v>3</v>
      </c>
      <c r="U49" s="80" t="s">
        <v>1</v>
      </c>
      <c r="V49" s="80" t="s">
        <v>2</v>
      </c>
      <c r="W49" s="80" t="s">
        <v>0</v>
      </c>
      <c r="X49" s="80" t="s">
        <v>545</v>
      </c>
      <c r="Y49" s="80" t="s">
        <v>443</v>
      </c>
      <c r="Z49" s="80" t="s">
        <v>438</v>
      </c>
      <c r="AA49" s="80" t="s">
        <v>439</v>
      </c>
      <c r="AB49" s="80" t="s">
        <v>440</v>
      </c>
      <c r="AC49" s="80" t="s">
        <v>441</v>
      </c>
      <c r="AD49" s="80" t="s">
        <v>442</v>
      </c>
      <c r="AE49" s="80" t="s">
        <v>443</v>
      </c>
      <c r="AF49" s="80" t="s">
        <v>438</v>
      </c>
      <c r="AG49" s="80" t="s">
        <v>439</v>
      </c>
      <c r="AH49" s="80" t="s">
        <v>440</v>
      </c>
      <c r="AI49" s="80" t="s">
        <v>441</v>
      </c>
      <c r="AJ49" s="80" t="s">
        <v>442</v>
      </c>
      <c r="AL49" s="80" t="s">
        <v>478</v>
      </c>
      <c r="AM49" s="80" t="s">
        <v>443</v>
      </c>
      <c r="AN49" s="80" t="s">
        <v>438</v>
      </c>
      <c r="AO49" s="80" t="s">
        <v>439</v>
      </c>
      <c r="AP49" s="80" t="s">
        <v>440</v>
      </c>
      <c r="AQ49" s="80" t="s">
        <v>441</v>
      </c>
      <c r="AR49" s="80" t="s">
        <v>442</v>
      </c>
      <c r="AS49" s="80" t="s">
        <v>443</v>
      </c>
      <c r="AT49" s="80" t="s">
        <v>438</v>
      </c>
      <c r="AU49" s="80" t="s">
        <v>439</v>
      </c>
      <c r="AV49" s="80" t="s">
        <v>440</v>
      </c>
      <c r="AW49" s="80" t="s">
        <v>441</v>
      </c>
      <c r="AX49" s="80" t="s">
        <v>442</v>
      </c>
      <c r="BB49" s="80">
        <v>10</v>
      </c>
      <c r="BC49" s="80"/>
      <c r="BD49" s="80"/>
      <c r="BE49" s="80"/>
      <c r="BF49" s="80"/>
      <c r="BG49" s="80"/>
      <c r="BH49" s="80"/>
      <c r="BI49" s="80"/>
      <c r="BJ49" s="80"/>
      <c r="BK49" s="80">
        <f>SUM(BG49:BJ49)</f>
        <v>0</v>
      </c>
      <c r="BO49" s="80">
        <f t="shared" ref="BO49:BO64" si="39">$M50</f>
        <v>9.9592453074578113</v>
      </c>
      <c r="BP49" s="80">
        <f t="shared" ref="BP49:BP64" si="40">$S50</f>
        <v>7251.2416967022891</v>
      </c>
      <c r="BQ49" s="60">
        <f>BP49*INDEX('[1]功能-付费相关'!$AR$6:$AR$165,$BO49,1)</f>
        <v>18.498065552811962</v>
      </c>
      <c r="BR49" s="80"/>
      <c r="BS49" s="80"/>
      <c r="BU49" s="80">
        <v>10</v>
      </c>
      <c r="BV49" s="80">
        <f t="shared" ref="BV49:BV64" si="41">求节点($BO$49:$BO$87,BQ$49:BQ$87,$BU49)</f>
        <v>19.490691541939267</v>
      </c>
      <c r="BW49" s="80">
        <f>INDEX('[1]功能-行军令'!$N$4:$R$163,BU49,1)*INDEX('[1]功能-付费相关'!$H$6:$L$6,1,2)*'[1]功能-行军令'!$AD$17</f>
        <v>220.8</v>
      </c>
      <c r="BX49" s="80"/>
      <c r="BY49" s="80">
        <f>SUM(BV49:BX49)</f>
        <v>240.29069154193928</v>
      </c>
    </row>
    <row r="50" spans="1:77" x14ac:dyDescent="0.15">
      <c r="B50" s="201" t="s">
        <v>707</v>
      </c>
      <c r="C50" s="80" t="s">
        <v>14</v>
      </c>
      <c r="D50" s="80" t="s">
        <v>3</v>
      </c>
      <c r="E50" s="80" t="s">
        <v>1</v>
      </c>
      <c r="F50" s="80" t="s">
        <v>2</v>
      </c>
      <c r="G50" s="80" t="s">
        <v>0</v>
      </c>
      <c r="H50" s="80" t="s">
        <v>545</v>
      </c>
      <c r="I50" s="80" t="s">
        <v>30</v>
      </c>
      <c r="L50" s="61">
        <v>4</v>
      </c>
      <c r="M50" s="80">
        <f>基础状态预期!D62</f>
        <v>9.9592453074578113</v>
      </c>
      <c r="N50" s="80">
        <f>IF(基础状态预期!F62="",0,IF(基础状态预期!Z62&lt;=1,基础状态预期!Z62*D$4,1*D$4+(基础状态预期!Z62-1)*武将觉醒!D$5))</f>
        <v>0</v>
      </c>
      <c r="O50" s="80">
        <f>IF(基础状态预期!G62="",0,IF(基础状态预期!AA62&lt;=1,基础状态预期!AA62*E$4,1*E$4+(基础状态预期!AA62-1)*武将觉醒!E$5))</f>
        <v>0</v>
      </c>
      <c r="P50" s="80">
        <f>IF(基础状态预期!H62="",0,IF(基础状态预期!AB62&lt;=1,基础状态预期!AB62*F$4,1*F$4+(基础状态预期!AB62-1)*武将觉醒!F$5))</f>
        <v>725.12416967022887</v>
      </c>
      <c r="Q50" s="80">
        <f>IF(基础状态预期!I62="",0,IF(基础状态预期!AC62&lt;=1,基础状态预期!AC62*G$4,1*G$4+(基础状态预期!AC62-1)*武将觉醒!G$5))</f>
        <v>1450.2483393404577</v>
      </c>
      <c r="R50" s="80">
        <f>IF(基础状态预期!J62="",0,IF(基础状态预期!AD62&lt;=1,基础状态预期!AD62*H$4,1*H$4+(基础状态预期!AD62-1)*武将觉醒!H$5))</f>
        <v>0</v>
      </c>
      <c r="S50" s="80">
        <f>MAX(SUMPRODUCT(N50:R50,基础状态预期!F62:J62),S49)</f>
        <v>7251.2416967022891</v>
      </c>
      <c r="T50" s="80">
        <f>IF(基础状态预期!Z62="",0,IFERROR(基础状态预期!F62*求节点($C$62:$C$63,D$62:D$63,基础状态预期!Z62),0)+IFERROR(基础状态预期!$J62*求节点($C$71:$C$72,D$71:D$72,基础状态预期!$AD62),0))</f>
        <v>0</v>
      </c>
      <c r="U50" s="80">
        <f>IF(基础状态预期!AA62="",0,IFERROR(基础状态预期!G62*求节点($C$62:$C$63,E$62:E$63,基础状态预期!AA62),0)+IFERROR(基础状态预期!$J62*求节点($C$71:$C$72,E$71:E$72,基础状态预期!$AD62),0))</f>
        <v>0</v>
      </c>
      <c r="V50" s="80">
        <f>IF(基础状态预期!AB62="",0,IFERROR(基础状态预期!H62*求节点($C$62:$C$63,F$62:F$63,基础状态预期!AB62),0)+IFERROR(基础状态预期!$J62*求节点($C$71:$C$72,F$71:F$72,基础状态预期!$AD62),0))</f>
        <v>0</v>
      </c>
      <c r="W50" s="80">
        <f>IF(基础状态预期!AC62="",0,IFERROR(基础状态预期!I62*求节点($C$62:$C$63,G$62:G$63,基础状态预期!AC62),0)+IFERROR(基础状态预期!$J62*求节点($C$71:$C$72,G$71:G$72,基础状态预期!$AD62),0))</f>
        <v>0</v>
      </c>
      <c r="X50" s="80">
        <f>IF(基础状态预期!AD62="",0,IFERROR(基础状态预期!J62*求节点($C$62:$C$63,H$62:H$63,基础状态预期!AD62),0)+IFERROR(基础状态预期!$J62*求节点($C$71:$C$72,H$71:H$72,基础状态预期!$AD62),0))</f>
        <v>0</v>
      </c>
      <c r="Y50" s="80">
        <f>IF(基础状态预期!$H62="",0,IF(基础状态预期!$AB62&lt;=1,基础状态预期!$AB62*D$18,D$18)*基础状态预期!$H62)+
IF(基础状态预期!$I62="",0,IF(基础状态预期!$AC62&lt;=1,基础状态预期!$AC62*D$19,D$19)*基础状态预期!$I62)+
IF(基础状态预期!$J62="",0,IF(基础状态预期!$AD62&lt;=1,基础状态预期!$AD62*D$20,D$20)*基础状态预期!$J62)</f>
        <v>2.3203973429447324</v>
      </c>
      <c r="Z50" s="80">
        <f>IF(基础状态预期!$H62="",0,IF(基础状态预期!$AB62&lt;=1,基础状态预期!$AB62*E$18,E$18)*基础状态预期!$H62)+
IF(基础状态预期!$I62="",0,IF(基础状态预期!$AC62&lt;=1,基础状态预期!$AC62*E$19,E$19)*基础状态预期!$I62)+
IF(基础状态预期!$J62="",0,IF(基础状态预期!$AD62&lt;=1,基础状态预期!$AD62*E$20,E$20)*基础状态预期!$J62)</f>
        <v>0</v>
      </c>
      <c r="AA50" s="80">
        <f>IF(基础状态预期!$H62="",0,IF(基础状态预期!$AB62&lt;=1,基础状态预期!$AB62*F$18,F$18)*基础状态预期!$H62)+
IF(基础状态预期!$I62="",0,IF(基础状态预期!$AC62&lt;=1,基础状态预期!$AC62*F$19,F$19)*基础状态预期!$I62)+
IF(基础状态预期!$J62="",0,IF(基础状态预期!$AD62&lt;=1,基础状态预期!$AD62*F$20,F$20)*基础状态预期!$J62)</f>
        <v>0</v>
      </c>
      <c r="AB50" s="67">
        <f>IF(基础状态预期!$H62="",0,IF(基础状态预期!$AB62&lt;=1,0,(基础状态预期!$AB62-1)*G$26)*基础状态预期!$H62)+
IF(基础状态预期!$I62="",0,IF(基础状态预期!$AC62&lt;=1,0,(基础状态预期!$AC62-1)*G$27)*基础状态预期!$I62)+
IF(基础状态预期!$J62="",0,IF(基础状态预期!$AD62&lt;=1,0,(基础状态预期!$AD62-1)*G$28)*基础状态预期!$J62)</f>
        <v>0</v>
      </c>
      <c r="AC50" s="67">
        <f>IF(基础状态预期!$H62="",0,IF(基础状态预期!$AB62&lt;=1,0,(基础状态预期!$AB62-1)*H$26)*基础状态预期!$H62)+
IF(基础状态预期!$I62="",0,IF(基础状态预期!$AC62&lt;=1,0,(基础状态预期!$AC62-1)*H$27)*基础状态预期!$I62)+
IF(基础状态预期!$J62="",0,IF(基础状态预期!$AD62&lt;=1,0,(基础状态预期!$AD62-1)*H$28)*基础状态预期!$J62)</f>
        <v>0</v>
      </c>
      <c r="AD50" s="67">
        <f>IF(基础状态预期!$H62="",0,IF(基础状态预期!$AB62&lt;=1,0,(基础状态预期!$AB62-1)*I$26)*基础状态预期!$H62)+
IF(基础状态预期!$I62="",0,IF(基础状态预期!$AC62&lt;=1,0,(基础状态预期!$AC62-1)*I$27)*基础状态预期!$I62)+
IF(基础状态预期!$J62="",0,IF(基础状态预期!$AD62&lt;=1,0,(基础状态预期!$AD62-1)*I$28)*基础状态预期!$J62)</f>
        <v>0</v>
      </c>
      <c r="AE50" s="80">
        <f>IF(各r阵容卡情况!$H56=0,0,IF(各r阵容卡情况!$AB56&lt;=1,各r阵容卡情况!$AB56*D$18,1*D$18)*各r阵容卡情况!$H56)+
IF(各r阵容卡情况!$I56=0,0,IF(各r阵容卡情况!$AC56&lt;=1,各r阵容卡情况!$AC56*D$19,1*D$19)*各r阵容卡情况!$I56)+
IF(各r阵容卡情况!$J56=0,0,IF(各r阵容卡情况!$AD56&lt;=1,各r阵容卡情况!$AD56*D$20,1*D$20)*各r阵容卡情况!$J56)</f>
        <v>0</v>
      </c>
      <c r="AF50" s="80">
        <f>IF(各r阵容卡情况!$H56=0,0,IF(各r阵容卡情况!$AB56&lt;=1,各r阵容卡情况!$AB56*E$18,1*E$18)*各r阵容卡情况!$H56)+
IF(各r阵容卡情况!$I56=0,0,IF(各r阵容卡情况!$AC56&lt;=1,各r阵容卡情况!$AC56*E$19,1*E$19)*各r阵容卡情况!$I56)+
IF(各r阵容卡情况!$J56=0,0,IF(各r阵容卡情况!$AD56&lt;=1,各r阵容卡情况!$AD56*E$20,1*E$20)*各r阵容卡情况!$J56)</f>
        <v>0</v>
      </c>
      <c r="AG50" s="80">
        <f>IF(各r阵容卡情况!$H56=0,0,IF(各r阵容卡情况!$AB56&lt;=1,各r阵容卡情况!$AB56*F$18,1*F$18)*各r阵容卡情况!$H56)+
IF(各r阵容卡情况!$I56=0,0,IF(各r阵容卡情况!$AC56&lt;=1,各r阵容卡情况!$AC56*F$19,1*F$19)*各r阵容卡情况!$I56)+
IF(各r阵容卡情况!$J56=0,0,IF(各r阵容卡情况!$AD56&lt;=1,各r阵容卡情况!$AD56*F$20,1*F$20)*各r阵容卡情况!$J56)</f>
        <v>0</v>
      </c>
      <c r="AH50" s="67">
        <f>IF(各r阵容卡情况!$H56=0,0,IF(各r阵容卡情况!$AB56&lt;=1,0,(各r阵容卡情况!$AB56-1)*G$26)*各r阵容卡情况!$H56)+
IF(各r阵容卡情况!$I56=0,0,IF(各r阵容卡情况!$AC56&lt;=1,0,(各r阵容卡情况!$AC56-1)*G$27)*各r阵容卡情况!$I56)+
IF(各r阵容卡情况!$J56=0,0,IF(各r阵容卡情况!$AD56&lt;=1,0,(各r阵容卡情况!$AD56-1)*G$28)*各r阵容卡情况!$J56)</f>
        <v>0</v>
      </c>
      <c r="AI50" s="67">
        <f>IF(各r阵容卡情况!$H56=0,0,IF(各r阵容卡情况!$AB56&lt;=1,0,(各r阵容卡情况!$AB56-1)*H$26)*各r阵容卡情况!$H56)+
IF(各r阵容卡情况!$I56=0,0,IF(各r阵容卡情况!$AC56&lt;=1,0,(各r阵容卡情况!$AC56-1)*H$27)*各r阵容卡情况!$I56)+
IF(各r阵容卡情况!$J56=0,0,IF(各r阵容卡情况!$AD56&lt;=1,0,(各r阵容卡情况!$AD56-1)*H$28)*各r阵容卡情况!$J56)</f>
        <v>0</v>
      </c>
      <c r="AJ50" s="67">
        <f>IF(各r阵容卡情况!$H56=0,0,IF(各r阵容卡情况!$AB56&lt;=1,0,(各r阵容卡情况!$AB56-1)*I$26)*各r阵容卡情况!$H56)+
IF(各r阵容卡情况!$I56=0,0,IF(各r阵容卡情况!$AC56&lt;=1,0,(各r阵容卡情况!$AC56-1)*I$27)*各r阵容卡情况!$I56)+
IF(各r阵容卡情况!$J56=0,0,IF(各r阵容卡情况!$AD56&lt;=1,0,(各r阵容卡情况!$AD56-1)*I$28)*各r阵容卡情况!$J56)</f>
        <v>0</v>
      </c>
      <c r="AL50" s="80">
        <f t="shared" ref="AL50:AL65" si="42">AL5</f>
        <v>10</v>
      </c>
      <c r="AM50" s="80">
        <f t="shared" ref="AM50:AM65" si="43">求节点($M$50:$M$88,Y$50:Y$88,$AL50)</f>
        <v>2.4603505425956329</v>
      </c>
      <c r="AN50" s="80">
        <f t="shared" ref="AN50:AN65" si="44">求节点($M$50:$M$88,Z$50:Z$88,$AL50)</f>
        <v>0</v>
      </c>
      <c r="AO50" s="80">
        <f t="shared" ref="AO50:AO65" si="45">求节点($M$50:$M$88,AA$50:AA$88,$AL50)</f>
        <v>0</v>
      </c>
      <c r="AP50" s="80">
        <f t="shared" ref="AP50:AP65" si="46">求节点($M$50:$M$88,AB$50:AB$88,$AL50)</f>
        <v>0</v>
      </c>
      <c r="AQ50" s="80">
        <f t="shared" ref="AQ50:AQ65" si="47">求节点($M$50:$M$88,AC$50:AC$88,$AL50)</f>
        <v>0</v>
      </c>
      <c r="AR50" s="80">
        <f t="shared" ref="AR50:AR65" si="48">求节点($M$50:$M$88,AD$50:AD$88,$AL50)</f>
        <v>0</v>
      </c>
      <c r="AS50" s="80">
        <f t="shared" ref="AS50:AS65" si="49">求节点($M$50:$M$88,AE$50:AE$88,$AL50)</f>
        <v>0</v>
      </c>
      <c r="AT50" s="80">
        <f t="shared" ref="AT50:AT65" si="50">求节点($M$50:$M$88,AF$50:AF$88,$AL50)</f>
        <v>0</v>
      </c>
      <c r="AU50" s="80">
        <f t="shared" ref="AU50:AU65" si="51">求节点($M$50:$M$88,AG$50:AG$88,$AL50)</f>
        <v>0</v>
      </c>
      <c r="AV50" s="80">
        <f t="shared" ref="AV50:AV65" si="52">求节点($M$50:$M$88,AH$50:AH$88,$AL50)</f>
        <v>0</v>
      </c>
      <c r="AW50" s="80">
        <f t="shared" ref="AW50:AW65" si="53">求节点($M$50:$M$88,AI$50:AI$88,$AL50)</f>
        <v>0</v>
      </c>
      <c r="AX50" s="80">
        <f t="shared" ref="AX50:AX65" si="54">求节点($M$50:$M$88,AJ$50:AJ$88,$AL50)</f>
        <v>0</v>
      </c>
      <c r="AY50" s="61" t="e">
        <f>SUMPRODUCT(AM50:AR50/'[1]功能-行军令'!$GI$26:$GN$26+AS50:AX50/'[1]功能-行军令'!$GI$26:$GN$26)/0.18</f>
        <v>#DIV/0!</v>
      </c>
      <c r="BB50" s="80">
        <v>20</v>
      </c>
      <c r="BC50" s="80"/>
      <c r="BD50" s="80"/>
      <c r="BE50" s="80"/>
      <c r="BF50" s="80"/>
      <c r="BG50" s="80"/>
      <c r="BH50" s="80"/>
      <c r="BI50" s="80"/>
      <c r="BJ50" s="80"/>
      <c r="BK50" s="80">
        <f t="shared" ref="BK50:BK58" si="55">SUM(BG50:BJ50)</f>
        <v>0</v>
      </c>
      <c r="BO50" s="80">
        <f t="shared" si="39"/>
        <v>19.766822802328868</v>
      </c>
      <c r="BP50" s="80">
        <f t="shared" si="40"/>
        <v>120000</v>
      </c>
      <c r="BQ50" s="80">
        <f>(BP50-BP49)*INDEX('[1]功能-付费相关'!$AR$6:$AR$165,$BO50,1)+BQ49</f>
        <v>257.37255348352744</v>
      </c>
      <c r="BR50" s="80"/>
      <c r="BS50" s="80"/>
      <c r="BU50" s="80">
        <v>20</v>
      </c>
      <c r="BV50" s="80">
        <f t="shared" si="41"/>
        <v>257.37255348352744</v>
      </c>
      <c r="BW50" s="80">
        <f>INDEX('[1]功能-行军令'!$N$4:$R$163,BU50,1)*INDEX('[1]功能-付费相关'!$H$6:$L$6,1,2)*'[1]功能-行军令'!$AD$17</f>
        <v>662.40000000000009</v>
      </c>
      <c r="BX50" s="80"/>
      <c r="BY50" s="80">
        <f t="shared" ref="BY50:BY58" si="56">SUM(BV50:BX50)</f>
        <v>919.77255348352753</v>
      </c>
    </row>
    <row r="51" spans="1:77" x14ac:dyDescent="0.15">
      <c r="B51" s="201"/>
      <c r="C51" s="80">
        <v>1</v>
      </c>
      <c r="D51" s="80"/>
      <c r="E51" s="80"/>
      <c r="F51" s="80"/>
      <c r="G51" s="80">
        <v>0</v>
      </c>
      <c r="H51" s="80"/>
      <c r="I51" s="80"/>
      <c r="L51" s="61">
        <v>5</v>
      </c>
      <c r="M51" s="80">
        <f>基础状态预期!D63</f>
        <v>19.766822802328868</v>
      </c>
      <c r="N51" s="80">
        <f>IF(基础状态预期!F63="",0,IF(基础状态预期!Z63&lt;=1,基础状态预期!Z63*D$4,1*D$4+(基础状态预期!Z63-1)*武将觉醒!D$5))</f>
        <v>0</v>
      </c>
      <c r="O51" s="80">
        <f>IF(基础状态预期!G63="",0,IF(基础状态预期!AA63&lt;=1,基础状态预期!AA63*E$4,1*E$4+(基础状态预期!AA63-1)*武将觉醒!E$5))</f>
        <v>0</v>
      </c>
      <c r="P51" s="80">
        <f>IF(基础状态预期!H63="",0,IF(基础状态预期!AB63&lt;=1,基础状态预期!AB63*F$4,1*F$4+(基础状态预期!AB63-1)*武将觉醒!F$5))</f>
        <v>0</v>
      </c>
      <c r="Q51" s="80">
        <f>IF(基础状态预期!I63="",0,IF(基础状态预期!AC63&lt;=1,基础状态预期!AC63*G$4,1*G$4+(基础状态预期!AC63-1)*武将觉醒!G$5))</f>
        <v>20000</v>
      </c>
      <c r="R51" s="80">
        <f>IF(基础状态预期!J63="",0,IF(基础状态预期!AD63&lt;=1,基础状态预期!AD63*H$4,1*H$4+(基础状态预期!AD63-1)*武将觉醒!H$5))</f>
        <v>0</v>
      </c>
      <c r="S51" s="80">
        <f>MAX(SUMPRODUCT(N51:R51,基础状态预期!F63:J63),S50)</f>
        <v>120000</v>
      </c>
      <c r="T51" s="80">
        <f>IF(基础状态预期!Z63="",0,IFERROR(基础状态预期!F63*求节点($C$62:$C$63,D$62:D$63,基础状态预期!Z63),0)+IFERROR(基础状态预期!$J63*求节点($C$71:$C$72,D$71:D$72,基础状态预期!$AD63),0))</f>
        <v>0</v>
      </c>
      <c r="U51" s="80">
        <f>IF(基础状态预期!AA63="",0,IFERROR(基础状态预期!G63*求节点($C$62:$C$63,E$62:E$63,基础状态预期!AA63),0)+IFERROR(基础状态预期!$J63*求节点($C$71:$C$72,E$71:E$72,基础状态预期!$AD63),0))</f>
        <v>0</v>
      </c>
      <c r="V51" s="80">
        <f>IF(基础状态预期!AB63="",0,IFERROR(基础状态预期!H63*求节点($C$62:$C$63,F$62:F$63,基础状态预期!AB63),0)+IFERROR(基础状态预期!$J63*求节点($C$71:$C$72,F$71:F$72,基础状态预期!$AD63),0))</f>
        <v>0</v>
      </c>
      <c r="W51" s="80">
        <f>IF(基础状态预期!AC63="",0,IFERROR(基础状态预期!I63*求节点($C$62:$C$63,G$62:G$63,基础状态预期!AC63),0)+IFERROR(基础状态预期!$J63*求节点($C$71:$C$72,G$71:G$72,基础状态预期!$AD63),0))</f>
        <v>0</v>
      </c>
      <c r="X51" s="80">
        <f>IF(基础状态预期!AD63="",0,IFERROR(基础状态预期!J63*求节点($C$62:$C$63,H$62:H$63,基础状态预期!AD63),0)+IFERROR(基础状态预期!$J63*求节点($C$71:$C$72,H$71:H$72,基础状态预期!$AD63),0))</f>
        <v>0</v>
      </c>
      <c r="Y51" s="80">
        <f>IF(基础状态预期!$H63="",0,IF(基础状态预期!$AB63&lt;=1,基础状态预期!$AB63*D$18,D$18)*基础状态预期!$H63)+
IF(基础状态预期!$I63="",0,IF(基础状态预期!$AC63&lt;=1,基础状态预期!$AC63*D$19,D$19)*基础状态预期!$I63)+
IF(基础状态预期!$J63="",0,IF(基础状态预期!$AD63&lt;=1,基础状态预期!$AD63*D$20,D$20)*基础状态预期!$J63)</f>
        <v>36</v>
      </c>
      <c r="Z51" s="80">
        <f>IF(基础状态预期!$H63="",0,IF(基础状态预期!$AB63&lt;=1,基础状态预期!$AB63*E$18,E$18)*基础状态预期!$H63)+
IF(基础状态预期!$I63="",0,IF(基础状态预期!$AC63&lt;=1,基础状态预期!$AC63*E$19,E$19)*基础状态预期!$I63)+
IF(基础状态预期!$J63="",0,IF(基础状态预期!$AD63&lt;=1,基础状态预期!$AD63*E$20,E$20)*基础状态预期!$J63)</f>
        <v>0</v>
      </c>
      <c r="AA51" s="80">
        <f>IF(基础状态预期!$H63="",0,IF(基础状态预期!$AB63&lt;=1,基础状态预期!$AB63*F$18,F$18)*基础状态预期!$H63)+
IF(基础状态预期!$I63="",0,IF(基础状态预期!$AC63&lt;=1,基础状态预期!$AC63*F$19,F$19)*基础状态预期!$I63)+
IF(基础状态预期!$J63="",0,IF(基础状态预期!$AD63&lt;=1,基础状态预期!$AD63*F$20,F$20)*基础状态预期!$J63)</f>
        <v>0</v>
      </c>
      <c r="AB51" s="67">
        <f>IF(基础状态预期!$H63="",0,IF(基础状态预期!$AB63&lt;=1,0,(基础状态预期!$AB63-1)*G$26)*基础状态预期!$H63)+
IF(基础状态预期!$I63="",0,IF(基础状态预期!$AC63&lt;=1,0,(基础状态预期!$AC63-1)*G$27)*基础状态预期!$I63)+
IF(基础状态预期!$J63="",0,IF(基础状态预期!$AD63&lt;=1,0,(基础状态预期!$AD63-1)*G$28)*基础状态预期!$J63)</f>
        <v>0</v>
      </c>
      <c r="AC51" s="67">
        <f>IF(基础状态预期!$H63="",0,IF(基础状态预期!$AB63&lt;=1,0,(基础状态预期!$AB63-1)*H$26)*基础状态预期!$H63)+
IF(基础状态预期!$I63="",0,IF(基础状态预期!$AC63&lt;=1,0,(基础状态预期!$AC63-1)*H$27)*基础状态预期!$I63)+
IF(基础状态预期!$J63="",0,IF(基础状态预期!$AD63&lt;=1,0,(基础状态预期!$AD63-1)*H$28)*基础状态预期!$J63)</f>
        <v>0</v>
      </c>
      <c r="AD51" s="67">
        <f>IF(基础状态预期!$H63="",0,IF(基础状态预期!$AB63&lt;=1,0,(基础状态预期!$AB63-1)*I$26)*基础状态预期!$H63)+
IF(基础状态预期!$I63="",0,IF(基础状态预期!$AC63&lt;=1,0,(基础状态预期!$AC63-1)*I$27)*基础状态预期!$I63)+
IF(基础状态预期!$J63="",0,IF(基础状态预期!$AD63&lt;=1,0,(基础状态预期!$AD63-1)*I$28)*基础状态预期!$J63)</f>
        <v>0</v>
      </c>
      <c r="AE51" s="80">
        <f>IF(各r阵容卡情况!$H57=0,0,IF(各r阵容卡情况!$AB57&lt;=1,各r阵容卡情况!$AB57*D$18,1*D$18)*各r阵容卡情况!$H57)+
IF(各r阵容卡情况!$I57=0,0,IF(各r阵容卡情况!$AC57&lt;=1,各r阵容卡情况!$AC57*D$19,1*D$19)*各r阵容卡情况!$I57)+
IF(各r阵容卡情况!$J57=0,0,IF(各r阵容卡情况!$AD57&lt;=1,各r阵容卡情况!$AD57*D$20,1*D$20)*各r阵容卡情况!$J57)</f>
        <v>0</v>
      </c>
      <c r="AF51" s="80">
        <f>IF(各r阵容卡情况!$H57=0,0,IF(各r阵容卡情况!$AB57&lt;=1,各r阵容卡情况!$AB57*E$18,1*E$18)*各r阵容卡情况!$H57)+
IF(各r阵容卡情况!$I57=0,0,IF(各r阵容卡情况!$AC57&lt;=1,各r阵容卡情况!$AC57*E$19,1*E$19)*各r阵容卡情况!$I57)+
IF(各r阵容卡情况!$J57=0,0,IF(各r阵容卡情况!$AD57&lt;=1,各r阵容卡情况!$AD57*E$20,1*E$20)*各r阵容卡情况!$J57)</f>
        <v>0</v>
      </c>
      <c r="AG51" s="80">
        <f>IF(各r阵容卡情况!$H57=0,0,IF(各r阵容卡情况!$AB57&lt;=1,各r阵容卡情况!$AB57*F$18,1*F$18)*各r阵容卡情况!$H57)+
IF(各r阵容卡情况!$I57=0,0,IF(各r阵容卡情况!$AC57&lt;=1,各r阵容卡情况!$AC57*F$19,1*F$19)*各r阵容卡情况!$I57)+
IF(各r阵容卡情况!$J57=0,0,IF(各r阵容卡情况!$AD57&lt;=1,各r阵容卡情况!$AD57*F$20,1*F$20)*各r阵容卡情况!$J57)</f>
        <v>0</v>
      </c>
      <c r="AH51" s="67">
        <f>IF(各r阵容卡情况!$H57=0,0,IF(各r阵容卡情况!$AB57&lt;=1,0,(各r阵容卡情况!$AB57-1)*G$26)*各r阵容卡情况!$H57)+
IF(各r阵容卡情况!$I57=0,0,IF(各r阵容卡情况!$AC57&lt;=1,0,(各r阵容卡情况!$AC57-1)*G$27)*各r阵容卡情况!$I57)+
IF(各r阵容卡情况!$J57=0,0,IF(各r阵容卡情况!$AD57&lt;=1,0,(各r阵容卡情况!$AD57-1)*G$28)*各r阵容卡情况!$J57)</f>
        <v>0</v>
      </c>
      <c r="AI51" s="67">
        <f>IF(各r阵容卡情况!$H57=0,0,IF(各r阵容卡情况!$AB57&lt;=1,0,(各r阵容卡情况!$AB57-1)*H$26)*各r阵容卡情况!$H57)+
IF(各r阵容卡情况!$I57=0,0,IF(各r阵容卡情况!$AC57&lt;=1,0,(各r阵容卡情况!$AC57-1)*H$27)*各r阵容卡情况!$I57)+
IF(各r阵容卡情况!$J57=0,0,IF(各r阵容卡情况!$AD57&lt;=1,0,(各r阵容卡情况!$AD57-1)*H$28)*各r阵容卡情况!$J57)</f>
        <v>0</v>
      </c>
      <c r="AJ51" s="67">
        <f>IF(各r阵容卡情况!$H57=0,0,IF(各r阵容卡情况!$AB57&lt;=1,0,(各r阵容卡情况!$AB57-1)*I$26)*各r阵容卡情况!$H57)+
IF(各r阵容卡情况!$I57=0,0,IF(各r阵容卡情况!$AC57&lt;=1,0,(各r阵容卡情况!$AC57-1)*I$27)*各r阵容卡情况!$I57)+
IF(各r阵容卡情况!$J57=0,0,IF(各r阵容卡情况!$AD57&lt;=1,0,(各r阵容卡情况!$AD57-1)*I$28)*各r阵容卡情况!$J57)</f>
        <v>0</v>
      </c>
      <c r="AL51" s="80">
        <f t="shared" si="42"/>
        <v>15</v>
      </c>
      <c r="AM51" s="80">
        <f t="shared" si="43"/>
        <v>19.630545055291691</v>
      </c>
      <c r="AN51" s="80">
        <f t="shared" si="44"/>
        <v>0</v>
      </c>
      <c r="AO51" s="80">
        <f t="shared" si="45"/>
        <v>0</v>
      </c>
      <c r="AP51" s="80">
        <f t="shared" si="46"/>
        <v>0</v>
      </c>
      <c r="AQ51" s="80">
        <f t="shared" si="47"/>
        <v>0</v>
      </c>
      <c r="AR51" s="80">
        <f t="shared" si="48"/>
        <v>0</v>
      </c>
      <c r="AS51" s="80">
        <f t="shared" si="49"/>
        <v>0</v>
      </c>
      <c r="AT51" s="80">
        <f t="shared" si="50"/>
        <v>0</v>
      </c>
      <c r="AU51" s="80">
        <f t="shared" si="51"/>
        <v>0</v>
      </c>
      <c r="AV51" s="80">
        <f t="shared" si="52"/>
        <v>0</v>
      </c>
      <c r="AW51" s="80">
        <f t="shared" si="53"/>
        <v>0</v>
      </c>
      <c r="AX51" s="80">
        <f t="shared" si="54"/>
        <v>0</v>
      </c>
      <c r="AY51" s="61" t="e">
        <f>SUMPRODUCT(AM51:AR51/'[1]功能-行军令'!$GI$26:$GN$26+AS51:AX51/'[1]功能-行军令'!$GI$26:$GN$26)/0.18</f>
        <v>#DIV/0!</v>
      </c>
      <c r="BB51" s="80">
        <v>30</v>
      </c>
      <c r="BC51" s="80"/>
      <c r="BD51" s="80"/>
      <c r="BE51" s="80"/>
      <c r="BF51" s="80"/>
      <c r="BG51" s="80"/>
      <c r="BH51" s="80"/>
      <c r="BI51" s="80"/>
      <c r="BJ51" s="80"/>
      <c r="BK51" s="80">
        <f t="shared" si="55"/>
        <v>0</v>
      </c>
      <c r="BO51" s="80">
        <f t="shared" si="39"/>
        <v>27.773265580596355</v>
      </c>
      <c r="BP51" s="80">
        <f t="shared" si="40"/>
        <v>120000</v>
      </c>
      <c r="BQ51" s="80">
        <f>(BP51-BP50)*INDEX('[1]功能-付费相关'!$AR$6:$AR$165,$BO51,1)+BQ50</f>
        <v>257.37255348352744</v>
      </c>
      <c r="BR51" s="80"/>
      <c r="BS51" s="80"/>
      <c r="BU51" s="80">
        <v>30</v>
      </c>
      <c r="BV51" s="80">
        <f t="shared" si="41"/>
        <v>1143.9193853363804</v>
      </c>
      <c r="BW51" s="80">
        <f>INDEX('[1]功能-行军令'!$N$4:$R$163,BU51,1)*INDEX('[1]功能-付费相关'!$H$6:$L$6,1,2)*'[1]功能-行军令'!$AD$17</f>
        <v>1545.6000000000001</v>
      </c>
      <c r="BX51" s="80"/>
      <c r="BY51" s="80">
        <f t="shared" si="56"/>
        <v>2689.5193853363808</v>
      </c>
    </row>
    <row r="52" spans="1:77" x14ac:dyDescent="0.15">
      <c r="B52" s="201"/>
      <c r="C52" s="80">
        <v>2</v>
      </c>
      <c r="D52" s="80"/>
      <c r="E52" s="80"/>
      <c r="F52" s="80"/>
      <c r="G52" s="80">
        <v>6</v>
      </c>
      <c r="H52" s="80"/>
      <c r="I52" s="80"/>
      <c r="L52" s="61">
        <v>6</v>
      </c>
      <c r="M52" s="80">
        <f>基础状态预期!D64</f>
        <v>27.773265580596355</v>
      </c>
      <c r="N52" s="80">
        <f>IF(基础状态预期!F64="",0,IF(基础状态预期!Z64&lt;=1,基础状态预期!Z64*D$4,1*D$4+(基础状态预期!Z64-1)*武将觉醒!D$5))</f>
        <v>0</v>
      </c>
      <c r="O52" s="80">
        <f>IF(基础状态预期!G64="",0,IF(基础状态预期!AA64&lt;=1,基础状态预期!AA64*E$4,1*E$4+(基础状态预期!AA64-1)*武将觉醒!E$5))</f>
        <v>0</v>
      </c>
      <c r="P52" s="80">
        <f>IF(基础状态预期!H64="",0,IF(基础状态预期!AB64&lt;=1,基础状态预期!AB64*F$4,1*F$4+(基础状态预期!AB64-1)*武将觉醒!F$5))</f>
        <v>0</v>
      </c>
      <c r="Q52" s="80">
        <f>IF(基础状态预期!I64="",0,IF(基础状态预期!AC64&lt;=1,基础状态预期!AC64*G$4,1*G$4+(基础状态预期!AC64-1)*武将觉醒!G$5))</f>
        <v>20000</v>
      </c>
      <c r="R52" s="80">
        <f>IF(基础状态预期!J64="",0,IF(基础状态预期!AD64&lt;=1,基础状态预期!AD64*H$4,1*H$4+(基础状态预期!AD64-1)*武将觉醒!H$5))</f>
        <v>0</v>
      </c>
      <c r="S52" s="80">
        <f>MAX(SUMPRODUCT(N52:R52,基础状态预期!F64:J64),S51)</f>
        <v>120000</v>
      </c>
      <c r="T52" s="80">
        <f>IF(基础状态预期!Z64="",0,IFERROR(基础状态预期!F64*求节点($C$62:$C$63,D$62:D$63,基础状态预期!Z64),0)+IFERROR(基础状态预期!$J64*求节点($C$71:$C$72,D$71:D$72,基础状态预期!$AD64),0))</f>
        <v>0</v>
      </c>
      <c r="U52" s="80">
        <f>IF(基础状态预期!AA64="",0,IFERROR(基础状态预期!G64*求节点($C$62:$C$63,E$62:E$63,基础状态预期!AA64),0)+IFERROR(基础状态预期!$J64*求节点($C$71:$C$72,E$71:E$72,基础状态预期!$AD64),0))</f>
        <v>0</v>
      </c>
      <c r="V52" s="80">
        <f>IF(基础状态预期!AB64="",0,IFERROR(基础状态预期!H64*求节点($C$62:$C$63,F$62:F$63,基础状态预期!AB64),0)+IFERROR(基础状态预期!$J64*求节点($C$71:$C$72,F$71:F$72,基础状态预期!$AD64),0))</f>
        <v>0</v>
      </c>
      <c r="W52" s="80">
        <f>IF(基础状态预期!AC64="",0,IFERROR(基础状态预期!I64*求节点($C$62:$C$63,G$62:G$63,基础状态预期!AC64),0)+IFERROR(基础状态预期!$J64*求节点($C$71:$C$72,G$71:G$72,基础状态预期!$AD64),0))</f>
        <v>0</v>
      </c>
      <c r="X52" s="80">
        <f>IF(基础状态预期!AD64="",0,IFERROR(基础状态预期!J64*求节点($C$62:$C$63,H$62:H$63,基础状态预期!AD64),0)+IFERROR(基础状态预期!$J64*求节点($C$71:$C$72,H$71:H$72,基础状态预期!$AD64),0))</f>
        <v>0</v>
      </c>
      <c r="Y52" s="80">
        <f>IF(基础状态预期!$H64="",0,IF(基础状态预期!$AB64&lt;=1,基础状态预期!$AB64*D$18,D$18)*基础状态预期!$H64)+
IF(基础状态预期!$I64="",0,IF(基础状态预期!$AC64&lt;=1,基础状态预期!$AC64*D$19,D$19)*基础状态预期!$I64)+
IF(基础状态预期!$J64="",0,IF(基础状态预期!$AD64&lt;=1,基础状态预期!$AD64*D$20,D$20)*基础状态预期!$J64)</f>
        <v>36</v>
      </c>
      <c r="Z52" s="80">
        <f>IF(基础状态预期!$H64="",0,IF(基础状态预期!$AB64&lt;=1,基础状态预期!$AB64*E$18,E$18)*基础状态预期!$H64)+
IF(基础状态预期!$I64="",0,IF(基础状态预期!$AC64&lt;=1,基础状态预期!$AC64*E$19,E$19)*基础状态预期!$I64)+
IF(基础状态预期!$J64="",0,IF(基础状态预期!$AD64&lt;=1,基础状态预期!$AD64*E$20,E$20)*基础状态预期!$J64)</f>
        <v>0</v>
      </c>
      <c r="AA52" s="80">
        <f>IF(基础状态预期!$H64="",0,IF(基础状态预期!$AB64&lt;=1,基础状态预期!$AB64*F$18,F$18)*基础状态预期!$H64)+
IF(基础状态预期!$I64="",0,IF(基础状态预期!$AC64&lt;=1,基础状态预期!$AC64*F$19,F$19)*基础状态预期!$I64)+
IF(基础状态预期!$J64="",0,IF(基础状态预期!$AD64&lt;=1,基础状态预期!$AD64*F$20,F$20)*基础状态预期!$J64)</f>
        <v>0</v>
      </c>
      <c r="AB52" s="67">
        <f>IF(基础状态预期!$H64="",0,IF(基础状态预期!$AB64&lt;=1,0,(基础状态预期!$AB64-1)*G$26)*基础状态预期!$H64)+
IF(基础状态预期!$I64="",0,IF(基础状态预期!$AC64&lt;=1,0,(基础状态预期!$AC64-1)*G$27)*基础状态预期!$I64)+
IF(基础状态预期!$J64="",0,IF(基础状态预期!$AD64&lt;=1,0,(基础状态预期!$AD64-1)*G$28)*基础状态预期!$J64)</f>
        <v>0</v>
      </c>
      <c r="AC52" s="67">
        <f>IF(基础状态预期!$H64="",0,IF(基础状态预期!$AB64&lt;=1,0,(基础状态预期!$AB64-1)*H$26)*基础状态预期!$H64)+
IF(基础状态预期!$I64="",0,IF(基础状态预期!$AC64&lt;=1,0,(基础状态预期!$AC64-1)*H$27)*基础状态预期!$I64)+
IF(基础状态预期!$J64="",0,IF(基础状态预期!$AD64&lt;=1,0,(基础状态预期!$AD64-1)*H$28)*基础状态预期!$J64)</f>
        <v>0</v>
      </c>
      <c r="AD52" s="67">
        <f>IF(基础状态预期!$H64="",0,IF(基础状态预期!$AB64&lt;=1,0,(基础状态预期!$AB64-1)*I$26)*基础状态预期!$H64)+
IF(基础状态预期!$I64="",0,IF(基础状态预期!$AC64&lt;=1,0,(基础状态预期!$AC64-1)*I$27)*基础状态预期!$I64)+
IF(基础状态预期!$J64="",0,IF(基础状态预期!$AD64&lt;=1,0,(基础状态预期!$AD64-1)*I$28)*基础状态预期!$J64)</f>
        <v>0</v>
      </c>
      <c r="AE52" s="80">
        <f>IF(各r阵容卡情况!$H58=0,0,IF(各r阵容卡情况!$AB58&lt;=1,各r阵容卡情况!$AB58*D$18,1*D$18)*各r阵容卡情况!$H58)+
IF(各r阵容卡情况!$I58=0,0,IF(各r阵容卡情况!$AC58&lt;=1,各r阵容卡情况!$AC58*D$19,1*D$19)*各r阵容卡情况!$I58)+
IF(各r阵容卡情况!$J58=0,0,IF(各r阵容卡情况!$AD58&lt;=1,各r阵容卡情况!$AD58*D$20,1*D$20)*各r阵容卡情况!$J58)</f>
        <v>0</v>
      </c>
      <c r="AF52" s="80">
        <f>IF(各r阵容卡情况!$H58=0,0,IF(各r阵容卡情况!$AB58&lt;=1,各r阵容卡情况!$AB58*E$18,1*E$18)*各r阵容卡情况!$H58)+
IF(各r阵容卡情况!$I58=0,0,IF(各r阵容卡情况!$AC58&lt;=1,各r阵容卡情况!$AC58*E$19,1*E$19)*各r阵容卡情况!$I58)+
IF(各r阵容卡情况!$J58=0,0,IF(各r阵容卡情况!$AD58&lt;=1,各r阵容卡情况!$AD58*E$20,1*E$20)*各r阵容卡情况!$J58)</f>
        <v>0</v>
      </c>
      <c r="AG52" s="80">
        <f>IF(各r阵容卡情况!$H58=0,0,IF(各r阵容卡情况!$AB58&lt;=1,各r阵容卡情况!$AB58*F$18,1*F$18)*各r阵容卡情况!$H58)+
IF(各r阵容卡情况!$I58=0,0,IF(各r阵容卡情况!$AC58&lt;=1,各r阵容卡情况!$AC58*F$19,1*F$19)*各r阵容卡情况!$I58)+
IF(各r阵容卡情况!$J58=0,0,IF(各r阵容卡情况!$AD58&lt;=1,各r阵容卡情况!$AD58*F$20,1*F$20)*各r阵容卡情况!$J58)</f>
        <v>0</v>
      </c>
      <c r="AH52" s="67">
        <f>IF(各r阵容卡情况!$H58=0,0,IF(各r阵容卡情况!$AB58&lt;=1,0,(各r阵容卡情况!$AB58-1)*G$26)*各r阵容卡情况!$H58)+
IF(各r阵容卡情况!$I58=0,0,IF(各r阵容卡情况!$AC58&lt;=1,0,(各r阵容卡情况!$AC58-1)*G$27)*各r阵容卡情况!$I58)+
IF(各r阵容卡情况!$J58=0,0,IF(各r阵容卡情况!$AD58&lt;=1,0,(各r阵容卡情况!$AD58-1)*G$28)*各r阵容卡情况!$J58)</f>
        <v>0</v>
      </c>
      <c r="AI52" s="67">
        <f>IF(各r阵容卡情况!$H58=0,0,IF(各r阵容卡情况!$AB58&lt;=1,0,(各r阵容卡情况!$AB58-1)*H$26)*各r阵容卡情况!$H58)+
IF(各r阵容卡情况!$I58=0,0,IF(各r阵容卡情况!$AC58&lt;=1,0,(各r阵容卡情况!$AC58-1)*H$27)*各r阵容卡情况!$I58)+
IF(各r阵容卡情况!$J58=0,0,IF(各r阵容卡情况!$AD58&lt;=1,0,(各r阵容卡情况!$AD58-1)*H$28)*各r阵容卡情况!$J58)</f>
        <v>0</v>
      </c>
      <c r="AJ52" s="67">
        <f>IF(各r阵容卡情况!$H58=0,0,IF(各r阵容卡情况!$AB58&lt;=1,0,(各r阵容卡情况!$AB58-1)*I$26)*各r阵容卡情况!$H58)+
IF(各r阵容卡情况!$I58=0,0,IF(各r阵容卡情况!$AC58&lt;=1,0,(各r阵容卡情况!$AC58-1)*I$27)*各r阵容卡情况!$I58)+
IF(各r阵容卡情况!$J58=0,0,IF(各r阵容卡情况!$AD58&lt;=1,0,(各r阵容卡情况!$AD58-1)*I$28)*各r阵容卡情况!$J58)</f>
        <v>0</v>
      </c>
      <c r="AL52" s="80">
        <f t="shared" si="42"/>
        <v>20</v>
      </c>
      <c r="AM52" s="80">
        <f t="shared" si="43"/>
        <v>36</v>
      </c>
      <c r="AN52" s="80">
        <f t="shared" si="44"/>
        <v>0</v>
      </c>
      <c r="AO52" s="80">
        <f t="shared" si="45"/>
        <v>0</v>
      </c>
      <c r="AP52" s="80">
        <f t="shared" si="46"/>
        <v>0</v>
      </c>
      <c r="AQ52" s="80">
        <f t="shared" si="47"/>
        <v>0</v>
      </c>
      <c r="AR52" s="80">
        <f t="shared" si="48"/>
        <v>0</v>
      </c>
      <c r="AS52" s="80">
        <f t="shared" si="49"/>
        <v>0</v>
      </c>
      <c r="AT52" s="80">
        <f t="shared" si="50"/>
        <v>0</v>
      </c>
      <c r="AU52" s="80">
        <f t="shared" si="51"/>
        <v>0</v>
      </c>
      <c r="AV52" s="80">
        <f t="shared" si="52"/>
        <v>0</v>
      </c>
      <c r="AW52" s="80">
        <f t="shared" si="53"/>
        <v>0</v>
      </c>
      <c r="AX52" s="80">
        <f t="shared" si="54"/>
        <v>0</v>
      </c>
      <c r="AY52" s="61" t="e">
        <f>SUMPRODUCT(AM52:AR52/'[1]功能-行军令'!$GI$26:$GN$26+AS52:AX52/'[1]功能-行军令'!$GI$26:$GN$26)/0.18</f>
        <v>#DIV/0!</v>
      </c>
      <c r="BB52" s="80">
        <v>40</v>
      </c>
      <c r="BC52" s="80"/>
      <c r="BD52" s="80"/>
      <c r="BE52" s="80"/>
      <c r="BF52" s="80"/>
      <c r="BG52" s="80"/>
      <c r="BH52" s="80"/>
      <c r="BI52" s="80"/>
      <c r="BJ52" s="80"/>
      <c r="BK52" s="80">
        <f t="shared" si="55"/>
        <v>0</v>
      </c>
      <c r="BO52" s="80">
        <f t="shared" si="39"/>
        <v>34.250806171891597</v>
      </c>
      <c r="BP52" s="80">
        <f t="shared" si="40"/>
        <v>1646740.0904692635</v>
      </c>
      <c r="BQ52" s="80">
        <f>(BP52-BP51)*INDEX('[1]功能-付费相关'!$AR$6:$AR$165,$BO52,1)+BQ51</f>
        <v>2836.3254090059322</v>
      </c>
      <c r="BR52" s="80"/>
      <c r="BS52" s="80"/>
      <c r="BU52" s="80">
        <v>40</v>
      </c>
      <c r="BV52" s="80">
        <f t="shared" si="41"/>
        <v>5167.432860795072</v>
      </c>
      <c r="BW52" s="80">
        <f>INDEX('[1]功能-行军令'!$N$4:$R$163,BU52,1)*INDEX('[1]功能-付费相关'!$H$6:$L$6,1,2)*'[1]功能-行军令'!$AD$17</f>
        <v>3312</v>
      </c>
      <c r="BX52" s="80"/>
      <c r="BY52" s="80">
        <f t="shared" si="56"/>
        <v>8479.432860795072</v>
      </c>
    </row>
    <row r="53" spans="1:77" x14ac:dyDescent="0.15">
      <c r="B53" s="201"/>
      <c r="C53" s="80"/>
      <c r="D53" s="80"/>
      <c r="E53" s="80"/>
      <c r="F53" s="80"/>
      <c r="G53" s="80"/>
      <c r="H53" s="80"/>
      <c r="I53" s="80"/>
      <c r="L53" s="61">
        <v>7</v>
      </c>
      <c r="M53" s="80">
        <f>基础状态预期!D65</f>
        <v>34.250806171891597</v>
      </c>
      <c r="N53" s="80">
        <f>IF(基础状态预期!F65="",0,IF(基础状态预期!Z65&lt;=1,基础状态预期!Z65*D$4,1*D$4+(基础状态预期!Z65-1)*武将觉醒!D$5))</f>
        <v>0</v>
      </c>
      <c r="O53" s="80">
        <f>IF(基础状态预期!G65="",0,IF(基础状态预期!AA65&lt;=1,基础状态预期!AA65*E$4,1*E$4+(基础状态预期!AA65-1)*武将觉醒!E$5))</f>
        <v>0</v>
      </c>
      <c r="P53" s="80">
        <f>IF(基础状态预期!H65="",0,IF(基础状态预期!AB65&lt;=1,基础状态预期!AB65*F$4,1*F$4+(基础状态预期!AB65-1)*武将觉醒!F$5))</f>
        <v>0</v>
      </c>
      <c r="Q53" s="80">
        <f>IF(基础状态预期!I65="",0,IF(基础状态预期!AC65&lt;=1,基础状态预期!AC65*G$4,1*G$4+(基础状态预期!AC65-1)*武将觉醒!G$5))</f>
        <v>274456.68174487725</v>
      </c>
      <c r="R53" s="80">
        <f>IF(基础状态预期!J65="",0,IF(基础状态预期!AD65&lt;=1,基础状态预期!AD65*H$4,1*H$4+(基础状态预期!AD65-1)*武将觉醒!H$5))</f>
        <v>0</v>
      </c>
      <c r="S53" s="80">
        <f>MAX(SUMPRODUCT(N53:R53,基础状态预期!F65:J65),S52)</f>
        <v>1646740.0904692635</v>
      </c>
      <c r="T53" s="80">
        <f>IF(基础状态预期!Z65="",0,IFERROR(基础状态预期!F65*求节点($C$62:$C$63,D$62:D$63,基础状态预期!Z65),0)+IFERROR(基础状态预期!$J65*求节点($C$71:$C$72,D$71:D$72,基础状态预期!$AD65),0))</f>
        <v>0</v>
      </c>
      <c r="U53" s="80">
        <f>IF(基础状态预期!AA65="",0,IFERROR(基础状态预期!G65*求节点($C$62:$C$63,E$62:E$63,基础状态预期!AA65),0)+IFERROR(基础状态预期!$J65*求节点($C$71:$C$72,E$71:E$72,基础状态预期!$AD65),0))</f>
        <v>0</v>
      </c>
      <c r="V53" s="80">
        <f>IF(基础状态预期!AB65="",0,IFERROR(基础状态预期!H65*求节点($C$62:$C$63,F$62:F$63,基础状态预期!AB65),0)+IFERROR(基础状态预期!$J65*求节点($C$71:$C$72,F$71:F$72,基础状态预期!$AD65),0))</f>
        <v>0</v>
      </c>
      <c r="W53" s="80">
        <f>IF(基础状态预期!AC65="",0,IFERROR(基础状态预期!I65*求节点($C$62:$C$63,G$62:G$63,基础状态预期!AC65),0)+IFERROR(基础状态预期!$J65*求节点($C$71:$C$72,G$71:G$72,基础状态预期!$AD65),0))</f>
        <v>3.0534801809385268</v>
      </c>
      <c r="X53" s="80">
        <f>IF(基础状态预期!AD65="",0,IFERROR(基础状态预期!J65*求节点($C$62:$C$63,H$62:H$63,基础状态预期!AD65),0)+IFERROR(基础状态预期!$J65*求节点($C$71:$C$72,H$71:H$72,基础状态预期!$AD65),0))</f>
        <v>0</v>
      </c>
      <c r="Y53" s="80">
        <f>IF(基础状态预期!$H65="",0,IF(基础状态预期!$AB65&lt;=1,基础状态预期!$AB65*D$18,D$18)*基础状态预期!$H65)+
IF(基础状态预期!$I65="",0,IF(基础状态预期!$AC65&lt;=1,基础状态预期!$AC65*D$19,D$19)*基础状态预期!$I65)+
IF(基础状态预期!$J65="",0,IF(基础状态预期!$AD65&lt;=1,基础状态预期!$AD65*D$20,D$20)*基础状态预期!$J65)</f>
        <v>36</v>
      </c>
      <c r="Z53" s="80">
        <f>IF(基础状态预期!$H65="",0,IF(基础状态预期!$AB65&lt;=1,基础状态预期!$AB65*E$18,E$18)*基础状态预期!$H65)+
IF(基础状态预期!$I65="",0,IF(基础状态预期!$AC65&lt;=1,基础状态预期!$AC65*E$19,E$19)*基础状态预期!$I65)+
IF(基础状态预期!$J65="",0,IF(基础状态预期!$AD65&lt;=1,基础状态预期!$AD65*E$20,E$20)*基础状态预期!$J65)</f>
        <v>0</v>
      </c>
      <c r="AA53" s="80">
        <f>IF(基础状态预期!$H65="",0,IF(基础状态预期!$AB65&lt;=1,基础状态预期!$AB65*F$18,F$18)*基础状态预期!$H65)+
IF(基础状态预期!$I65="",0,IF(基础状态预期!$AC65&lt;=1,基础状态预期!$AC65*F$19,F$19)*基础状态预期!$I65)+
IF(基础状态预期!$J65="",0,IF(基础状态预期!$AD65&lt;=1,基础状态预期!$AD65*F$20,F$20)*基础状态预期!$J65)</f>
        <v>0</v>
      </c>
      <c r="AB53" s="67">
        <f>IF(基础状态预期!$H65="",0,IF(基础状态预期!$AB65&lt;=1,0,(基础状态预期!$AB65-1)*G$26)*基础状态预期!$H65)+
IF(基础状态预期!$I65="",0,IF(基础状态预期!$AC65&lt;=1,0,(基础状态预期!$AC65-1)*G$27)*基础状态预期!$I65)+
IF(基础状态预期!$J65="",0,IF(基础状态预期!$AD65&lt;=1,0,(基础状态预期!$AD65-1)*G$28)*基础状态预期!$J65)</f>
        <v>91.6044054281558</v>
      </c>
      <c r="AC53" s="67">
        <f>IF(基础状态预期!$H65="",0,IF(基础状态预期!$AB65&lt;=1,0,(基础状态预期!$AB65-1)*H$26)*基础状态预期!$H65)+
IF(基础状态预期!$I65="",0,IF(基础状态预期!$AC65&lt;=1,0,(基础状态预期!$AC65-1)*H$27)*基础状态预期!$I65)+
IF(基础状态预期!$J65="",0,IF(基础状态预期!$AD65&lt;=1,0,(基础状态预期!$AD65-1)*H$28)*基础状态预期!$J65)</f>
        <v>0</v>
      </c>
      <c r="AD53" s="67">
        <f>IF(基础状态预期!$H65="",0,IF(基础状态预期!$AB65&lt;=1,0,(基础状态预期!$AB65-1)*I$26)*基础状态预期!$H65)+
IF(基础状态预期!$I65="",0,IF(基础状态预期!$AC65&lt;=1,0,(基础状态预期!$AC65-1)*I$27)*基础状态预期!$I65)+
IF(基础状态预期!$J65="",0,IF(基础状态预期!$AD65&lt;=1,0,(基础状态预期!$AD65-1)*I$28)*基础状态预期!$J65)</f>
        <v>0</v>
      </c>
      <c r="AE53" s="80">
        <f>IF(各r阵容卡情况!$H59=0,0,IF(各r阵容卡情况!$AB59&lt;=1,各r阵容卡情况!$AB59*D$18,1*D$18)*各r阵容卡情况!$H59)+
IF(各r阵容卡情况!$I59=0,0,IF(各r阵容卡情况!$AC59&lt;=1,各r阵容卡情况!$AC59*D$19,1*D$19)*各r阵容卡情况!$I59)+
IF(各r阵容卡情况!$J59=0,0,IF(各r阵容卡情况!$AD59&lt;=1,各r阵容卡情况!$AD59*D$20,1*D$20)*各r阵容卡情况!$J59)</f>
        <v>8</v>
      </c>
      <c r="AF53" s="80">
        <f>IF(各r阵容卡情况!$H59=0,0,IF(各r阵容卡情况!$AB59&lt;=1,各r阵容卡情况!$AB59*E$18,1*E$18)*各r阵容卡情况!$H59)+
IF(各r阵容卡情况!$I59=0,0,IF(各r阵容卡情况!$AC59&lt;=1,各r阵容卡情况!$AC59*E$19,1*E$19)*各r阵容卡情况!$I59)+
IF(各r阵容卡情况!$J59=0,0,IF(各r阵容卡情况!$AD59&lt;=1,各r阵容卡情况!$AD59*E$20,1*E$20)*各r阵容卡情况!$J59)</f>
        <v>0</v>
      </c>
      <c r="AG53" s="80">
        <f>IF(各r阵容卡情况!$H59=0,0,IF(各r阵容卡情况!$AB59&lt;=1,各r阵容卡情况!$AB59*F$18,1*F$18)*各r阵容卡情况!$H59)+
IF(各r阵容卡情况!$I59=0,0,IF(各r阵容卡情况!$AC59&lt;=1,各r阵容卡情况!$AC59*F$19,1*F$19)*各r阵容卡情况!$I59)+
IF(各r阵容卡情况!$J59=0,0,IF(各r阵容卡情况!$AD59&lt;=1,各r阵容卡情况!$AD59*F$20,1*F$20)*各r阵容卡情况!$J59)</f>
        <v>0</v>
      </c>
      <c r="AH53" s="67">
        <f>IF(各r阵容卡情况!$H59=0,0,IF(各r阵容卡情况!$AB59&lt;=1,0,(各r阵容卡情况!$AB59-1)*G$26)*各r阵容卡情况!$H59)+
IF(各r阵容卡情况!$I59=0,0,IF(各r阵容卡情况!$AC59&lt;=1,0,(各r阵容卡情况!$AC59-1)*G$27)*各r阵容卡情况!$I59)+
IF(各r阵容卡情况!$J59=0,0,IF(各r阵容卡情况!$AD59&lt;=1,0,(各r阵容卡情况!$AD59-1)*G$28)*各r阵容卡情况!$J59)</f>
        <v>8.3387078126106484</v>
      </c>
      <c r="AI53" s="67">
        <f>IF(各r阵容卡情况!$H59=0,0,IF(各r阵容卡情况!$AB59&lt;=1,0,(各r阵容卡情况!$AB59-1)*H$26)*各r阵容卡情况!$H59)+
IF(各r阵容卡情况!$I59=0,0,IF(各r阵容卡情况!$AC59&lt;=1,0,(各r阵容卡情况!$AC59-1)*H$27)*各r阵容卡情况!$I59)+
IF(各r阵容卡情况!$J59=0,0,IF(各r阵容卡情况!$AD59&lt;=1,0,(各r阵容卡情况!$AD59-1)*H$28)*各r阵容卡情况!$J59)</f>
        <v>0</v>
      </c>
      <c r="AJ53" s="67">
        <f>IF(各r阵容卡情况!$H59=0,0,IF(各r阵容卡情况!$AB59&lt;=1,0,(各r阵容卡情况!$AB59-1)*I$26)*各r阵容卡情况!$H59)+
IF(各r阵容卡情况!$I59=0,0,IF(各r阵容卡情况!$AC59&lt;=1,0,(各r阵容卡情况!$AC59-1)*I$27)*各r阵容卡情况!$I59)+
IF(各r阵容卡情况!$J59=0,0,IF(各r阵容卡情况!$AD59&lt;=1,0,(各r阵容卡情况!$AD59-1)*I$28)*各r阵容卡情况!$J59)</f>
        <v>0</v>
      </c>
      <c r="AL53" s="80">
        <f t="shared" si="42"/>
        <v>25</v>
      </c>
      <c r="AM53" s="80">
        <f t="shared" si="43"/>
        <v>36</v>
      </c>
      <c r="AN53" s="80">
        <f t="shared" si="44"/>
        <v>0</v>
      </c>
      <c r="AO53" s="80">
        <f t="shared" si="45"/>
        <v>0</v>
      </c>
      <c r="AP53" s="80">
        <f t="shared" si="46"/>
        <v>0</v>
      </c>
      <c r="AQ53" s="80">
        <f t="shared" si="47"/>
        <v>0</v>
      </c>
      <c r="AR53" s="80">
        <f t="shared" si="48"/>
        <v>0</v>
      </c>
      <c r="AS53" s="80">
        <f t="shared" si="49"/>
        <v>0</v>
      </c>
      <c r="AT53" s="80">
        <f t="shared" si="50"/>
        <v>0</v>
      </c>
      <c r="AU53" s="80">
        <f t="shared" si="51"/>
        <v>0</v>
      </c>
      <c r="AV53" s="80">
        <f t="shared" si="52"/>
        <v>0</v>
      </c>
      <c r="AW53" s="80">
        <f t="shared" si="53"/>
        <v>0</v>
      </c>
      <c r="AX53" s="80">
        <f t="shared" si="54"/>
        <v>0</v>
      </c>
      <c r="AY53" s="61" t="e">
        <f>SUMPRODUCT(AM53:AR53/'[1]功能-行军令'!$GI$26:$GN$26+AS53:AX53/'[1]功能-行军令'!$GI$26:$GN$26)/0.18</f>
        <v>#DIV/0!</v>
      </c>
      <c r="BB53" s="80">
        <v>50</v>
      </c>
      <c r="BC53" s="80"/>
      <c r="BD53" s="80"/>
      <c r="BE53" s="80"/>
      <c r="BF53" s="80"/>
      <c r="BG53" s="80"/>
      <c r="BH53" s="80"/>
      <c r="BI53" s="80"/>
      <c r="BJ53" s="80"/>
      <c r="BK53" s="80">
        <f t="shared" si="55"/>
        <v>0</v>
      </c>
      <c r="BO53" s="80">
        <f t="shared" si="39"/>
        <v>39.661158518499626</v>
      </c>
      <c r="BP53" s="80">
        <f t="shared" si="40"/>
        <v>3120000</v>
      </c>
      <c r="BQ53" s="80">
        <f>(BP53-BP52)*INDEX('[1]功能-付费相关'!$AR$6:$AR$165,$BO53,1)+BQ52</f>
        <v>5167.432860795072</v>
      </c>
      <c r="BR53" s="80"/>
      <c r="BS53" s="80"/>
      <c r="BU53" s="80">
        <v>50</v>
      </c>
      <c r="BV53" s="80">
        <f t="shared" si="41"/>
        <v>5584.680792940454</v>
      </c>
      <c r="BW53" s="80">
        <f>INDEX('[1]功能-行军令'!$N$4:$R$163,BU53,1)*INDEX('[1]功能-付费相关'!$H$6:$L$6,1,2)*'[1]功能-行军令'!$AD$17</f>
        <v>6844.8</v>
      </c>
      <c r="BX53" s="80"/>
      <c r="BY53" s="80">
        <f t="shared" si="56"/>
        <v>12429.480792940454</v>
      </c>
    </row>
    <row r="54" spans="1:77" x14ac:dyDescent="0.15">
      <c r="B54" s="201"/>
      <c r="C54" s="80"/>
      <c r="D54" s="80"/>
      <c r="E54" s="80"/>
      <c r="F54" s="80"/>
      <c r="G54" s="80"/>
      <c r="H54" s="80"/>
      <c r="I54" s="80"/>
      <c r="L54" s="61">
        <v>8</v>
      </c>
      <c r="M54" s="80">
        <f>基础状态预期!D66</f>
        <v>39.661158518499626</v>
      </c>
      <c r="N54" s="80">
        <f>IF(基础状态预期!F66="",0,IF(基础状态预期!Z66&lt;=1,基础状态预期!Z66*D$4,1*D$4+(基础状态预期!Z66-1)*武将觉醒!D$5))</f>
        <v>0</v>
      </c>
      <c r="O54" s="80">
        <f>IF(基础状态预期!G66="",0,IF(基础状态预期!AA66&lt;=1,基础状态预期!AA66*E$4,1*E$4+(基础状态预期!AA66-1)*武将觉醒!E$5))</f>
        <v>0</v>
      </c>
      <c r="P54" s="80">
        <f>IF(基础状态预期!H66="",0,IF(基础状态预期!AB66&lt;=1,基础状态预期!AB66*F$4,1*F$4+(基础状态预期!AB66-1)*武将觉醒!F$5))</f>
        <v>0</v>
      </c>
      <c r="Q54" s="80">
        <f>IF(基础状态预期!I66="",0,IF(基础状态预期!AC66&lt;=1,基础状态预期!AC66*G$4,1*G$4+(基础状态预期!AC66-1)*武将觉醒!G$5))</f>
        <v>520000</v>
      </c>
      <c r="R54" s="80">
        <f>IF(基础状态预期!J66="",0,IF(基础状态预期!AD66&lt;=1,基础状态预期!AD66*H$4,1*H$4+(基础状态预期!AD66-1)*武将觉醒!H$5))</f>
        <v>0</v>
      </c>
      <c r="S54" s="80">
        <f>MAX(SUMPRODUCT(N54:R54,基础状态预期!F66:J66),S53)</f>
        <v>3120000</v>
      </c>
      <c r="T54" s="80">
        <f>IF(基础状态预期!Z66="",0,IFERROR(基础状态预期!F66*求节点($C$62:$C$63,D$62:D$63,基础状态预期!Z66),0)+IFERROR(基础状态预期!$J66*求节点($C$71:$C$72,D$71:D$72,基础状态预期!$AD66),0))</f>
        <v>0</v>
      </c>
      <c r="U54" s="80">
        <f>IF(基础状态预期!AA66="",0,IFERROR(基础状态预期!G66*求节点($C$62:$C$63,E$62:E$63,基础状态预期!AA66),0)+IFERROR(基础状态预期!$J66*求节点($C$71:$C$72,E$71:E$72,基础状态预期!$AD66),0))</f>
        <v>0</v>
      </c>
      <c r="V54" s="80">
        <f>IF(基础状态预期!AB66="",0,IFERROR(基础状态预期!H66*求节点($C$62:$C$63,F$62:F$63,基础状态预期!AB66),0)+IFERROR(基础状态预期!$J66*求节点($C$71:$C$72,F$71:F$72,基础状态预期!$AD66),0))</f>
        <v>0</v>
      </c>
      <c r="W54" s="80">
        <f>IF(基础状态预期!AC66="",0,IFERROR(基础状态预期!I66*求节点($C$62:$C$63,G$62:G$63,基础状态预期!AC66),0)+IFERROR(基础状态预期!$J66*求节点($C$71:$C$72,G$71:G$72,基础状态预期!$AD66),0))</f>
        <v>6</v>
      </c>
      <c r="X54" s="80">
        <f>IF(基础状态预期!AD66="",0,IFERROR(基础状态预期!J66*求节点($C$62:$C$63,H$62:H$63,基础状态预期!AD66),0)+IFERROR(基础状态预期!$J66*求节点($C$71:$C$72,H$71:H$72,基础状态预期!$AD66),0))</f>
        <v>0</v>
      </c>
      <c r="Y54" s="80">
        <f>IF(基础状态预期!$H66="",0,IF(基础状态预期!$AB66&lt;=1,基础状态预期!$AB66*D$18,D$18)*基础状态预期!$H66)+
IF(基础状态预期!$I66="",0,IF(基础状态预期!$AC66&lt;=1,基础状态预期!$AC66*D$19,D$19)*基础状态预期!$I66)+
IF(基础状态预期!$J66="",0,IF(基础状态预期!$AD66&lt;=1,基础状态预期!$AD66*D$20,D$20)*基础状态预期!$J66)</f>
        <v>36</v>
      </c>
      <c r="Z54" s="80">
        <f>IF(基础状态预期!$H66="",0,IF(基础状态预期!$AB66&lt;=1,基础状态预期!$AB66*E$18,E$18)*基础状态预期!$H66)+
IF(基础状态预期!$I66="",0,IF(基础状态预期!$AC66&lt;=1,基础状态预期!$AC66*E$19,E$19)*基础状态预期!$I66)+
IF(基础状态预期!$J66="",0,IF(基础状态预期!$AD66&lt;=1,基础状态预期!$AD66*E$20,E$20)*基础状态预期!$J66)</f>
        <v>0</v>
      </c>
      <c r="AA54" s="80">
        <f>IF(基础状态预期!$H66="",0,IF(基础状态预期!$AB66&lt;=1,基础状态预期!$AB66*F$18,F$18)*基础状态预期!$H66)+
IF(基础状态预期!$I66="",0,IF(基础状态预期!$AC66&lt;=1,基础状态预期!$AC66*F$19,F$19)*基础状态预期!$I66)+
IF(基础状态预期!$J66="",0,IF(基础状态预期!$AD66&lt;=1,基础状态预期!$AD66*F$20,F$20)*基础状态预期!$J66)</f>
        <v>0</v>
      </c>
      <c r="AB54" s="67">
        <f>IF(基础状态预期!$H66="",0,IF(基础状态预期!$AB66&lt;=1,0,(基础状态预期!$AB66-1)*G$26)*基础状态预期!$H66)+
IF(基础状态预期!$I66="",0,IF(基础状态预期!$AC66&lt;=1,0,(基础状态预期!$AC66-1)*G$27)*基础状态预期!$I66)+
IF(基础状态预期!$J66="",0,IF(基础状态预期!$AD66&lt;=1,0,(基础状态预期!$AD66-1)*G$28)*基础状态预期!$J66)</f>
        <v>180</v>
      </c>
      <c r="AC54" s="67">
        <f>IF(基础状态预期!$H66="",0,IF(基础状态预期!$AB66&lt;=1,0,(基础状态预期!$AB66-1)*H$26)*基础状态预期!$H66)+
IF(基础状态预期!$I66="",0,IF(基础状态预期!$AC66&lt;=1,0,(基础状态预期!$AC66-1)*H$27)*基础状态预期!$I66)+
IF(基础状态预期!$J66="",0,IF(基础状态预期!$AD66&lt;=1,0,(基础状态预期!$AD66-1)*H$28)*基础状态预期!$J66)</f>
        <v>0</v>
      </c>
      <c r="AD54" s="67">
        <f>IF(基础状态预期!$H66="",0,IF(基础状态预期!$AB66&lt;=1,0,(基础状态预期!$AB66-1)*I$26)*基础状态预期!$H66)+
IF(基础状态预期!$I66="",0,IF(基础状态预期!$AC66&lt;=1,0,(基础状态预期!$AC66-1)*I$27)*基础状态预期!$I66)+
IF(基础状态预期!$J66="",0,IF(基础状态预期!$AD66&lt;=1,0,(基础状态预期!$AD66-1)*I$28)*基础状态预期!$J66)</f>
        <v>0</v>
      </c>
      <c r="AE54" s="80">
        <f>IF(各r阵容卡情况!$H60=0,0,IF(各r阵容卡情况!$AB60&lt;=1,各r阵容卡情况!$AB60*D$18,1*D$18)*各r阵容卡情况!$H60)+
IF(各r阵容卡情况!$I60=0,0,IF(各r阵容卡情况!$AC60&lt;=1,各r阵容卡情况!$AC60*D$19,1*D$19)*各r阵容卡情况!$I60)+
IF(各r阵容卡情况!$J60=0,0,IF(各r阵容卡情况!$AD60&lt;=1,各r阵容卡情况!$AD60*D$20,1*D$20)*各r阵容卡情况!$J60)</f>
        <v>16</v>
      </c>
      <c r="AF54" s="80">
        <f>IF(各r阵容卡情况!$H60=0,0,IF(各r阵容卡情况!$AB60&lt;=1,各r阵容卡情况!$AB60*E$18,1*E$18)*各r阵容卡情况!$H60)+
IF(各r阵容卡情况!$I60=0,0,IF(各r阵容卡情况!$AC60&lt;=1,各r阵容卡情况!$AC60*E$19,1*E$19)*各r阵容卡情况!$I60)+
IF(各r阵容卡情况!$J60=0,0,IF(各r阵容卡情况!$AD60&lt;=1,各r阵容卡情况!$AD60*E$20,1*E$20)*各r阵容卡情况!$J60)</f>
        <v>0</v>
      </c>
      <c r="AG54" s="80">
        <f>IF(各r阵容卡情况!$H60=0,0,IF(各r阵容卡情况!$AB60&lt;=1,各r阵容卡情况!$AB60*F$18,1*F$18)*各r阵容卡情况!$H60)+
IF(各r阵容卡情况!$I60=0,0,IF(各r阵容卡情况!$AC60&lt;=1,各r阵容卡情况!$AC60*F$19,1*F$19)*各r阵容卡情况!$I60)+
IF(各r阵容卡情况!$J60=0,0,IF(各r阵容卡情况!$AD60&lt;=1,各r阵容卡情况!$AD60*F$20,1*F$20)*各r阵容卡情况!$J60)</f>
        <v>0</v>
      </c>
      <c r="AH54" s="67">
        <f>IF(各r阵容卡情况!$H60=0,0,IF(各r阵容卡情况!$AB60&lt;=1,0,(各r阵容卡情况!$AB60-1)*G$26)*各r阵容卡情况!$H60)+
IF(各r阵容卡情况!$I60=0,0,IF(各r阵容卡情况!$AC60&lt;=1,0,(各r阵容卡情况!$AC60-1)*G$27)*各r阵容卡情况!$I60)+
IF(各r阵容卡情况!$J60=0,0,IF(各r阵容卡情况!$AD60&lt;=1,0,(各r阵容卡情况!$AD60-1)*G$28)*各r阵容卡情况!$J60)</f>
        <v>80</v>
      </c>
      <c r="AI54" s="67">
        <f>IF(各r阵容卡情况!$H60=0,0,IF(各r阵容卡情况!$AB60&lt;=1,0,(各r阵容卡情况!$AB60-1)*H$26)*各r阵容卡情况!$H60)+
IF(各r阵容卡情况!$I60=0,0,IF(各r阵容卡情况!$AC60&lt;=1,0,(各r阵容卡情况!$AC60-1)*H$27)*各r阵容卡情况!$I60)+
IF(各r阵容卡情况!$J60=0,0,IF(各r阵容卡情况!$AD60&lt;=1,0,(各r阵容卡情况!$AD60-1)*H$28)*各r阵容卡情况!$J60)</f>
        <v>0</v>
      </c>
      <c r="AJ54" s="67">
        <f>IF(各r阵容卡情况!$H60=0,0,IF(各r阵容卡情况!$AB60&lt;=1,0,(各r阵容卡情况!$AB60-1)*I$26)*各r阵容卡情况!$H60)+
IF(各r阵容卡情况!$I60=0,0,IF(各r阵容卡情况!$AC60&lt;=1,0,(各r阵容卡情况!$AC60-1)*I$27)*各r阵容卡情况!$I60)+
IF(各r阵容卡情况!$J60=0,0,IF(各r阵容卡情况!$AD60&lt;=1,0,(各r阵容卡情况!$AD60-1)*I$28)*各r阵容卡情况!$J60)</f>
        <v>0</v>
      </c>
      <c r="AL54" s="80">
        <f t="shared" si="42"/>
        <v>30</v>
      </c>
      <c r="AM54" s="80">
        <f t="shared" si="43"/>
        <v>36</v>
      </c>
      <c r="AN54" s="80">
        <f t="shared" si="44"/>
        <v>0</v>
      </c>
      <c r="AO54" s="80">
        <f t="shared" si="45"/>
        <v>0</v>
      </c>
      <c r="AP54" s="80">
        <f t="shared" si="46"/>
        <v>31.490143467413336</v>
      </c>
      <c r="AQ54" s="80">
        <f t="shared" si="47"/>
        <v>0</v>
      </c>
      <c r="AR54" s="80">
        <f t="shared" si="48"/>
        <v>0</v>
      </c>
      <c r="AS54" s="80">
        <f t="shared" si="49"/>
        <v>2.7500986067409752</v>
      </c>
      <c r="AT54" s="80">
        <f t="shared" si="50"/>
        <v>0</v>
      </c>
      <c r="AU54" s="80">
        <f t="shared" si="51"/>
        <v>0</v>
      </c>
      <c r="AV54" s="80">
        <f t="shared" si="52"/>
        <v>2.8665335921850787</v>
      </c>
      <c r="AW54" s="80">
        <f t="shared" si="53"/>
        <v>0</v>
      </c>
      <c r="AX54" s="80">
        <f t="shared" si="54"/>
        <v>0</v>
      </c>
      <c r="AY54" s="61" t="e">
        <f>SUMPRODUCT(AM54:AR54/'[1]功能-行军令'!$GI$26:$GN$26+AS54:AX54/'[1]功能-行军令'!$GI$26:$GN$26)/0.18</f>
        <v>#DIV/0!</v>
      </c>
      <c r="BB54" s="80">
        <v>60</v>
      </c>
      <c r="BC54" s="80"/>
      <c r="BD54" s="80"/>
      <c r="BE54" s="80"/>
      <c r="BF54" s="80"/>
      <c r="BG54" s="80"/>
      <c r="BH54" s="80"/>
      <c r="BI54" s="80"/>
      <c r="BJ54" s="80"/>
      <c r="BK54" s="80">
        <f t="shared" si="55"/>
        <v>0</v>
      </c>
      <c r="BO54" s="80">
        <f t="shared" si="39"/>
        <v>43.535389560453282</v>
      </c>
      <c r="BP54" s="80">
        <f t="shared" si="40"/>
        <v>3120000</v>
      </c>
      <c r="BQ54" s="80">
        <f>(BP54-BP53)*INDEX('[1]功能-付费相关'!$AR$6:$AR$165,$BO54,1)+BQ53</f>
        <v>5167.432860795072</v>
      </c>
      <c r="BR54" s="80"/>
      <c r="BS54" s="80"/>
      <c r="BU54" s="80">
        <v>60</v>
      </c>
      <c r="BV54" s="80">
        <f t="shared" si="41"/>
        <v>9469.4916409327925</v>
      </c>
      <c r="BW54" s="80">
        <f>INDEX('[1]功能-行军令'!$N$4:$R$163,BU54,1)*INDEX('[1]功能-付费相关'!$H$6:$L$6,1,2)*'[1]功能-行军令'!$AD$17</f>
        <v>13910.400000000001</v>
      </c>
      <c r="BX54" s="80"/>
      <c r="BY54" s="80">
        <f t="shared" si="56"/>
        <v>23379.891640932794</v>
      </c>
    </row>
    <row r="55" spans="1:77" x14ac:dyDescent="0.15">
      <c r="B55" s="201"/>
      <c r="C55" s="80"/>
      <c r="D55" s="80"/>
      <c r="E55" s="80"/>
      <c r="F55" s="80"/>
      <c r="G55" s="80"/>
      <c r="H55" s="80"/>
      <c r="I55" s="80"/>
      <c r="L55" s="61">
        <v>9</v>
      </c>
      <c r="M55" s="80">
        <f>基础状态预期!D67</f>
        <v>43.535389560453282</v>
      </c>
      <c r="N55" s="80">
        <f>IF(基础状态预期!F67="",0,IF(基础状态预期!Z67&lt;=1,基础状态预期!Z67*D$4,1*D$4+(基础状态预期!Z67-1)*武将觉醒!D$5))</f>
        <v>0</v>
      </c>
      <c r="O55" s="80">
        <f>IF(基础状态预期!G67="",0,IF(基础状态预期!AA67&lt;=1,基础状态预期!AA67*E$4,1*E$4+(基础状态预期!AA67-1)*武将觉醒!E$5))</f>
        <v>0</v>
      </c>
      <c r="P55" s="80">
        <f>IF(基础状态预期!H67="",0,IF(基础状态预期!AB67&lt;=1,基础状态预期!AB67*F$4,1*F$4+(基础状态预期!AB67-1)*武将觉醒!F$5))</f>
        <v>0</v>
      </c>
      <c r="Q55" s="80">
        <f>IF(基础状态预期!I67="",0,IF(基础状态预期!AC67&lt;=1,基础状态预期!AC67*G$4,1*G$4+(基础状态预期!AC67-1)*武将觉醒!G$5))</f>
        <v>520000</v>
      </c>
      <c r="R55" s="80">
        <f>IF(基础状态预期!J67="",0,IF(基础状态预期!AD67&lt;=1,基础状态预期!AD67*H$4,1*H$4+(基础状态预期!AD67-1)*武将觉醒!H$5))</f>
        <v>0</v>
      </c>
      <c r="S55" s="80">
        <f>MAX(SUMPRODUCT(N55:R55,基础状态预期!F67:J67),S54)</f>
        <v>3120000</v>
      </c>
      <c r="T55" s="80">
        <f>IF(基础状态预期!Z67="",0,IFERROR(基础状态预期!F67*求节点($C$62:$C$63,D$62:D$63,基础状态预期!Z67),0)+IFERROR(基础状态预期!$J67*求节点($C$71:$C$72,D$71:D$72,基础状态预期!$AD67),0))</f>
        <v>0</v>
      </c>
      <c r="U55" s="80">
        <f>IF(基础状态预期!AA67="",0,IFERROR(基础状态预期!G67*求节点($C$62:$C$63,E$62:E$63,基础状态预期!AA67),0)+IFERROR(基础状态预期!$J67*求节点($C$71:$C$72,E$71:E$72,基础状态预期!$AD67),0))</f>
        <v>0</v>
      </c>
      <c r="V55" s="80">
        <f>IF(基础状态预期!AB67="",0,IFERROR(基础状态预期!H67*求节点($C$62:$C$63,F$62:F$63,基础状态预期!AB67),0)+IFERROR(基础状态预期!$J67*求节点($C$71:$C$72,F$71:F$72,基础状态预期!$AD67),0))</f>
        <v>0</v>
      </c>
      <c r="W55" s="80">
        <f>IF(基础状态预期!AC67="",0,IFERROR(基础状态预期!I67*求节点($C$62:$C$63,G$62:G$63,基础状态预期!AC67),0)+IFERROR(基础状态预期!$J67*求节点($C$71:$C$72,G$71:G$72,基础状态预期!$AD67),0))</f>
        <v>6</v>
      </c>
      <c r="X55" s="80">
        <f>IF(基础状态预期!AD67="",0,IFERROR(基础状态预期!J67*求节点($C$62:$C$63,H$62:H$63,基础状态预期!AD67),0)+IFERROR(基础状态预期!$J67*求节点($C$71:$C$72,H$71:H$72,基础状态预期!$AD67),0))</f>
        <v>0</v>
      </c>
      <c r="Y55" s="80">
        <f>IF(基础状态预期!$H67="",0,IF(基础状态预期!$AB67&lt;=1,基础状态预期!$AB67*D$18,D$18)*基础状态预期!$H67)+
IF(基础状态预期!$I67="",0,IF(基础状态预期!$AC67&lt;=1,基础状态预期!$AC67*D$19,D$19)*基础状态预期!$I67)+
IF(基础状态预期!$J67="",0,IF(基础状态预期!$AD67&lt;=1,基础状态预期!$AD67*D$20,D$20)*基础状态预期!$J67)</f>
        <v>36</v>
      </c>
      <c r="Z55" s="80">
        <f>IF(基础状态预期!$H67="",0,IF(基础状态预期!$AB67&lt;=1,基础状态预期!$AB67*E$18,E$18)*基础状态预期!$H67)+
IF(基础状态预期!$I67="",0,IF(基础状态预期!$AC67&lt;=1,基础状态预期!$AC67*E$19,E$19)*基础状态预期!$I67)+
IF(基础状态预期!$J67="",0,IF(基础状态预期!$AD67&lt;=1,基础状态预期!$AD67*E$20,E$20)*基础状态预期!$J67)</f>
        <v>0</v>
      </c>
      <c r="AA55" s="80">
        <f>IF(基础状态预期!$H67="",0,IF(基础状态预期!$AB67&lt;=1,基础状态预期!$AB67*F$18,F$18)*基础状态预期!$H67)+
IF(基础状态预期!$I67="",0,IF(基础状态预期!$AC67&lt;=1,基础状态预期!$AC67*F$19,F$19)*基础状态预期!$I67)+
IF(基础状态预期!$J67="",0,IF(基础状态预期!$AD67&lt;=1,基础状态预期!$AD67*F$20,F$20)*基础状态预期!$J67)</f>
        <v>0</v>
      </c>
      <c r="AB55" s="67">
        <f>IF(基础状态预期!$H67="",0,IF(基础状态预期!$AB67&lt;=1,0,(基础状态预期!$AB67-1)*G$26)*基础状态预期!$H67)+
IF(基础状态预期!$I67="",0,IF(基础状态预期!$AC67&lt;=1,0,(基础状态预期!$AC67-1)*G$27)*基础状态预期!$I67)+
IF(基础状态预期!$J67="",0,IF(基础状态预期!$AD67&lt;=1,0,(基础状态预期!$AD67-1)*G$28)*基础状态预期!$J67)</f>
        <v>180</v>
      </c>
      <c r="AC55" s="67">
        <f>IF(基础状态预期!$H67="",0,IF(基础状态预期!$AB67&lt;=1,0,(基础状态预期!$AB67-1)*H$26)*基础状态预期!$H67)+
IF(基础状态预期!$I67="",0,IF(基础状态预期!$AC67&lt;=1,0,(基础状态预期!$AC67-1)*H$27)*基础状态预期!$I67)+
IF(基础状态预期!$J67="",0,IF(基础状态预期!$AD67&lt;=1,0,(基础状态预期!$AD67-1)*H$28)*基础状态预期!$J67)</f>
        <v>0</v>
      </c>
      <c r="AD55" s="67">
        <f>IF(基础状态预期!$H67="",0,IF(基础状态预期!$AB67&lt;=1,0,(基础状态预期!$AB67-1)*I$26)*基础状态预期!$H67)+
IF(基础状态预期!$I67="",0,IF(基础状态预期!$AC67&lt;=1,0,(基础状态预期!$AC67-1)*I$27)*基础状态预期!$I67)+
IF(基础状态预期!$J67="",0,IF(基础状态预期!$AD67&lt;=1,0,(基础状态预期!$AD67-1)*I$28)*基础状态预期!$J67)</f>
        <v>0</v>
      </c>
      <c r="AE55" s="80">
        <f>IF(各r阵容卡情况!$H61=0,0,IF(各r阵容卡情况!$AB61&lt;=1,各r阵容卡情况!$AB61*D$18,1*D$18)*各r阵容卡情况!$H61)+
IF(各r阵容卡情况!$I61=0,0,IF(各r阵容卡情况!$AC61&lt;=1,各r阵容卡情况!$AC61*D$19,1*D$19)*各r阵容卡情况!$I61)+
IF(各r阵容卡情况!$J61=0,0,IF(各r阵容卡情况!$AD61&lt;=1,各r阵容卡情况!$AD61*D$20,1*D$20)*各r阵容卡情况!$J61)</f>
        <v>24</v>
      </c>
      <c r="AF55" s="80">
        <f>IF(各r阵容卡情况!$H61=0,0,IF(各r阵容卡情况!$AB61&lt;=1,各r阵容卡情况!$AB61*E$18,1*E$18)*各r阵容卡情况!$H61)+
IF(各r阵容卡情况!$I61=0,0,IF(各r阵容卡情况!$AC61&lt;=1,各r阵容卡情况!$AC61*E$19,1*E$19)*各r阵容卡情况!$I61)+
IF(各r阵容卡情况!$J61=0,0,IF(各r阵容卡情况!$AD61&lt;=1,各r阵容卡情况!$AD61*E$20,1*E$20)*各r阵容卡情况!$J61)</f>
        <v>0</v>
      </c>
      <c r="AG55" s="80">
        <f>IF(各r阵容卡情况!$H61=0,0,IF(各r阵容卡情况!$AB61&lt;=1,各r阵容卡情况!$AB61*F$18,1*F$18)*各r阵容卡情况!$H61)+
IF(各r阵容卡情况!$I61=0,0,IF(各r阵容卡情况!$AC61&lt;=1,各r阵容卡情况!$AC61*F$19,1*F$19)*各r阵容卡情况!$I61)+
IF(各r阵容卡情况!$J61=0,0,IF(各r阵容卡情况!$AD61&lt;=1,各r阵容卡情况!$AD61*F$20,1*F$20)*各r阵容卡情况!$J61)</f>
        <v>0</v>
      </c>
      <c r="AH55" s="67">
        <f>IF(各r阵容卡情况!$H61=0,0,IF(各r阵容卡情况!$AB61&lt;=1,0,(各r阵容卡情况!$AB61-1)*G$26)*各r阵容卡情况!$H61)+
IF(各r阵容卡情况!$I61=0,0,IF(各r阵容卡情况!$AC61&lt;=1,0,(各r阵容卡情况!$AC61-1)*G$27)*各r阵容卡情况!$I61)+
IF(各r阵容卡情况!$J61=0,0,IF(各r阵容卡情况!$AD61&lt;=1,0,(各r阵容卡情况!$AD61-1)*G$28)*各r阵容卡情况!$J61)</f>
        <v>120</v>
      </c>
      <c r="AI55" s="67">
        <f>IF(各r阵容卡情况!$H61=0,0,IF(各r阵容卡情况!$AB61&lt;=1,0,(各r阵容卡情况!$AB61-1)*H$26)*各r阵容卡情况!$H61)+
IF(各r阵容卡情况!$I61=0,0,IF(各r阵容卡情况!$AC61&lt;=1,0,(各r阵容卡情况!$AC61-1)*H$27)*各r阵容卡情况!$I61)+
IF(各r阵容卡情况!$J61=0,0,IF(各r阵容卡情况!$AD61&lt;=1,0,(各r阵容卡情况!$AD61-1)*H$28)*各r阵容卡情况!$J61)</f>
        <v>0</v>
      </c>
      <c r="AJ55" s="67">
        <f>IF(各r阵容卡情况!$H61=0,0,IF(各r阵容卡情况!$AB61&lt;=1,0,(各r阵容卡情况!$AB61-1)*I$26)*各r阵容卡情况!$H61)+
IF(各r阵容卡情况!$I61=0,0,IF(各r阵容卡情况!$AC61&lt;=1,0,(各r阵容卡情况!$AC61-1)*I$27)*各r阵容卡情况!$I61)+
IF(各r阵容卡情况!$J61=0,0,IF(各r阵容卡情况!$AD61&lt;=1,0,(各r阵容卡情况!$AD61-1)*I$28)*各r阵容卡情况!$J61)</f>
        <v>0</v>
      </c>
      <c r="AL55" s="80">
        <f t="shared" si="42"/>
        <v>35</v>
      </c>
      <c r="AM55" s="80">
        <f t="shared" si="43"/>
        <v>36</v>
      </c>
      <c r="AN55" s="80">
        <f t="shared" si="44"/>
        <v>0</v>
      </c>
      <c r="AO55" s="80">
        <f t="shared" si="45"/>
        <v>0</v>
      </c>
      <c r="AP55" s="80">
        <f t="shared" si="46"/>
        <v>103.84490838296202</v>
      </c>
      <c r="AQ55" s="80">
        <f t="shared" si="47"/>
        <v>0</v>
      </c>
      <c r="AR55" s="80">
        <f t="shared" si="48"/>
        <v>0</v>
      </c>
      <c r="AS55" s="80">
        <f t="shared" si="49"/>
        <v>9.1077930310074589</v>
      </c>
      <c r="AT55" s="80">
        <f t="shared" si="50"/>
        <v>0</v>
      </c>
      <c r="AU55" s="80">
        <f t="shared" si="51"/>
        <v>0</v>
      </c>
      <c r="AV55" s="80">
        <f t="shared" si="52"/>
        <v>18.261942822383045</v>
      </c>
      <c r="AW55" s="80">
        <f t="shared" si="53"/>
        <v>0</v>
      </c>
      <c r="AX55" s="80">
        <f t="shared" si="54"/>
        <v>0</v>
      </c>
      <c r="AY55" s="61" t="e">
        <f>SUMPRODUCT(AM55:AR55/'[1]功能-行军令'!$GI$26:$GN$26+AS55:AX55/'[1]功能-行军令'!$GI$26:$GN$26)/0.18</f>
        <v>#DIV/0!</v>
      </c>
      <c r="BB55" s="80">
        <v>70</v>
      </c>
      <c r="BC55" s="80"/>
      <c r="BD55" s="80"/>
      <c r="BE55" s="80"/>
      <c r="BF55" s="80"/>
      <c r="BG55" s="80"/>
      <c r="BH55" s="80"/>
      <c r="BI55" s="80"/>
      <c r="BJ55" s="80"/>
      <c r="BK55" s="80">
        <f t="shared" si="55"/>
        <v>0</v>
      </c>
      <c r="BO55" s="80">
        <f t="shared" si="39"/>
        <v>49.178590903134719</v>
      </c>
      <c r="BP55" s="80">
        <f t="shared" si="40"/>
        <v>3120000</v>
      </c>
      <c r="BQ55" s="80">
        <f>(BP55-BP54)*INDEX('[1]功能-付费相关'!$AR$6:$AR$165,$BO55,1)+BQ54</f>
        <v>5167.432860795072</v>
      </c>
      <c r="BR55" s="80"/>
      <c r="BS55" s="80"/>
      <c r="BU55" s="80">
        <v>70</v>
      </c>
      <c r="BV55" s="80">
        <f t="shared" si="41"/>
        <v>13343.478645721165</v>
      </c>
      <c r="BW55" s="86">
        <f>BW54*1.5</f>
        <v>20865.600000000002</v>
      </c>
      <c r="BX55" s="80"/>
      <c r="BY55" s="80">
        <f t="shared" si="56"/>
        <v>34209.078645721165</v>
      </c>
    </row>
    <row r="56" spans="1:77" x14ac:dyDescent="0.15">
      <c r="A56" s="81"/>
      <c r="B56" s="201"/>
      <c r="C56" s="80"/>
      <c r="D56" s="80"/>
      <c r="E56" s="80"/>
      <c r="F56" s="80"/>
      <c r="G56" s="80"/>
      <c r="H56" s="80"/>
      <c r="I56" s="80"/>
      <c r="J56" s="81"/>
      <c r="L56" s="61">
        <v>10</v>
      </c>
      <c r="M56" s="80">
        <f>基础状态预期!D68</f>
        <v>49.178590903134719</v>
      </c>
      <c r="N56" s="80">
        <f>IF(基础状态预期!F68="",0,IF(基础状态预期!Z68&lt;=1,基础状态预期!Z68*D$4,1*D$4+(基础状态预期!Z68-1)*武将觉醒!D$5))</f>
        <v>0</v>
      </c>
      <c r="O56" s="80">
        <f>IF(基础状态预期!G68="",0,IF(基础状态预期!AA68&lt;=1,基础状态预期!AA68*E$4,1*E$4+(基础状态预期!AA68-1)*武将觉醒!E$5))</f>
        <v>0</v>
      </c>
      <c r="P56" s="80">
        <f>IF(基础状态预期!H68="",0,IF(基础状态预期!AB68&lt;=1,基础状态预期!AB68*F$4,1*F$4+(基础状态预期!AB68-1)*武将觉醒!F$5))</f>
        <v>0</v>
      </c>
      <c r="Q56" s="80">
        <f>IF(基础状态预期!I68="",0,IF(基础状态预期!AC68&lt;=1,基础状态预期!AC68*G$4,1*G$4+(基础状态预期!AC68-1)*武将觉醒!G$5))</f>
        <v>520000</v>
      </c>
      <c r="R56" s="80">
        <f>IF(基础状态预期!J68="",0,IF(基础状态预期!AD68&lt;=1,基础状态预期!AD68*H$4,1*H$4+(基础状态预期!AD68-1)*武将觉醒!H$5))</f>
        <v>0</v>
      </c>
      <c r="S56" s="80">
        <f>MAX(SUMPRODUCT(N56:R56,基础状态预期!F68:J68),S55)</f>
        <v>3120000</v>
      </c>
      <c r="T56" s="80">
        <f>IF(基础状态预期!Z68="",0,IFERROR(基础状态预期!F68*求节点($C$62:$C$63,D$62:D$63,基础状态预期!Z68),0)+IFERROR(基础状态预期!$J68*求节点($C$71:$C$72,D$71:D$72,基础状态预期!$AD68),0))</f>
        <v>0</v>
      </c>
      <c r="U56" s="80">
        <f>IF(基础状态预期!AA68="",0,IFERROR(基础状态预期!G68*求节点($C$62:$C$63,E$62:E$63,基础状态预期!AA68),0)+IFERROR(基础状态预期!$J68*求节点($C$71:$C$72,E$71:E$72,基础状态预期!$AD68),0))</f>
        <v>0</v>
      </c>
      <c r="V56" s="80">
        <f>IF(基础状态预期!AB68="",0,IFERROR(基础状态预期!H68*求节点($C$62:$C$63,F$62:F$63,基础状态预期!AB68),0)+IFERROR(基础状态预期!$J68*求节点($C$71:$C$72,F$71:F$72,基础状态预期!$AD68),0))</f>
        <v>0</v>
      </c>
      <c r="W56" s="80">
        <f>IF(基础状态预期!AC68="",0,IFERROR(基础状态预期!I68*求节点($C$62:$C$63,G$62:G$63,基础状态预期!AC68),0)+IFERROR(基础状态预期!$J68*求节点($C$71:$C$72,G$71:G$72,基础状态预期!$AD68),0))</f>
        <v>6</v>
      </c>
      <c r="X56" s="80">
        <f>IF(基础状态预期!AD68="",0,IFERROR(基础状态预期!J68*求节点($C$62:$C$63,H$62:H$63,基础状态预期!AD68),0)+IFERROR(基础状态预期!$J68*求节点($C$71:$C$72,H$71:H$72,基础状态预期!$AD68),0))</f>
        <v>0</v>
      </c>
      <c r="Y56" s="80">
        <f>IF(基础状态预期!$H68="",0,IF(基础状态预期!$AB68&lt;=1,基础状态预期!$AB68*D$18,D$18)*基础状态预期!$H68)+
IF(基础状态预期!$I68="",0,IF(基础状态预期!$AC68&lt;=1,基础状态预期!$AC68*D$19,D$19)*基础状态预期!$I68)+
IF(基础状态预期!$J68="",0,IF(基础状态预期!$AD68&lt;=1,基础状态预期!$AD68*D$20,D$20)*基础状态预期!$J68)</f>
        <v>36</v>
      </c>
      <c r="Z56" s="80">
        <f>IF(基础状态预期!$H68="",0,IF(基础状态预期!$AB68&lt;=1,基础状态预期!$AB68*E$18,E$18)*基础状态预期!$H68)+
IF(基础状态预期!$I68="",0,IF(基础状态预期!$AC68&lt;=1,基础状态预期!$AC68*E$19,E$19)*基础状态预期!$I68)+
IF(基础状态预期!$J68="",0,IF(基础状态预期!$AD68&lt;=1,基础状态预期!$AD68*E$20,E$20)*基础状态预期!$J68)</f>
        <v>0</v>
      </c>
      <c r="AA56" s="80">
        <f>IF(基础状态预期!$H68="",0,IF(基础状态预期!$AB68&lt;=1,基础状态预期!$AB68*F$18,F$18)*基础状态预期!$H68)+
IF(基础状态预期!$I68="",0,IF(基础状态预期!$AC68&lt;=1,基础状态预期!$AC68*F$19,F$19)*基础状态预期!$I68)+
IF(基础状态预期!$J68="",0,IF(基础状态预期!$AD68&lt;=1,基础状态预期!$AD68*F$20,F$20)*基础状态预期!$J68)</f>
        <v>0</v>
      </c>
      <c r="AB56" s="67">
        <f>IF(基础状态预期!$H68="",0,IF(基础状态预期!$AB68&lt;=1,0,(基础状态预期!$AB68-1)*G$26)*基础状态预期!$H68)+
IF(基础状态预期!$I68="",0,IF(基础状态预期!$AC68&lt;=1,0,(基础状态预期!$AC68-1)*G$27)*基础状态预期!$I68)+
IF(基础状态预期!$J68="",0,IF(基础状态预期!$AD68&lt;=1,0,(基础状态预期!$AD68-1)*G$28)*基础状态预期!$J68)</f>
        <v>180</v>
      </c>
      <c r="AC56" s="67">
        <f>IF(基础状态预期!$H68="",0,IF(基础状态预期!$AB68&lt;=1,0,(基础状态预期!$AB68-1)*H$26)*基础状态预期!$H68)+
IF(基础状态预期!$I68="",0,IF(基础状态预期!$AC68&lt;=1,0,(基础状态预期!$AC68-1)*H$27)*基础状态预期!$I68)+
IF(基础状态预期!$J68="",0,IF(基础状态预期!$AD68&lt;=1,0,(基础状态预期!$AD68-1)*H$28)*基础状态预期!$J68)</f>
        <v>0</v>
      </c>
      <c r="AD56" s="67">
        <f>IF(基础状态预期!$H68="",0,IF(基础状态预期!$AB68&lt;=1,0,(基础状态预期!$AB68-1)*I$26)*基础状态预期!$H68)+
IF(基础状态预期!$I68="",0,IF(基础状态预期!$AC68&lt;=1,0,(基础状态预期!$AC68-1)*I$27)*基础状态预期!$I68)+
IF(基础状态预期!$J68="",0,IF(基础状态预期!$AD68&lt;=1,0,(基础状态预期!$AD68-1)*I$28)*基础状态预期!$J68)</f>
        <v>0</v>
      </c>
      <c r="AE56" s="80">
        <f>IF(各r阵容卡情况!$H62=0,0,IF(各r阵容卡情况!$AB62&lt;=1,各r阵容卡情况!$AB62*D$18,1*D$18)*各r阵容卡情况!$H62)+
IF(各r阵容卡情况!$I62=0,0,IF(各r阵容卡情况!$AC62&lt;=1,各r阵容卡情况!$AC62*D$19,1*D$19)*各r阵容卡情况!$I62)+
IF(各r阵容卡情况!$J62=0,0,IF(各r阵容卡情况!$AD62&lt;=1,各r阵容卡情况!$AD62*D$20,1*D$20)*各r阵容卡情况!$J62)</f>
        <v>32</v>
      </c>
      <c r="AF56" s="80">
        <f>IF(各r阵容卡情况!$H62=0,0,IF(各r阵容卡情况!$AB62&lt;=1,各r阵容卡情况!$AB62*E$18,1*E$18)*各r阵容卡情况!$H62)+
IF(各r阵容卡情况!$I62=0,0,IF(各r阵容卡情况!$AC62&lt;=1,各r阵容卡情况!$AC62*E$19,1*E$19)*各r阵容卡情况!$I62)+
IF(各r阵容卡情况!$J62=0,0,IF(各r阵容卡情况!$AD62&lt;=1,各r阵容卡情况!$AD62*E$20,1*E$20)*各r阵容卡情况!$J62)</f>
        <v>0</v>
      </c>
      <c r="AG56" s="80">
        <f>IF(各r阵容卡情况!$H62=0,0,IF(各r阵容卡情况!$AB62&lt;=1,各r阵容卡情况!$AB62*F$18,1*F$18)*各r阵容卡情况!$H62)+
IF(各r阵容卡情况!$I62=0,0,IF(各r阵容卡情况!$AC62&lt;=1,各r阵容卡情况!$AC62*F$19,1*F$19)*各r阵容卡情况!$I62)+
IF(各r阵容卡情况!$J62=0,0,IF(各r阵容卡情况!$AD62&lt;=1,各r阵容卡情况!$AD62*F$20,1*F$20)*各r阵容卡情况!$J62)</f>
        <v>0</v>
      </c>
      <c r="AH56" s="67">
        <f>IF(各r阵容卡情况!$H62=0,0,IF(各r阵容卡情况!$AB62&lt;=1,0,(各r阵容卡情况!$AB62-1)*G$26)*各r阵容卡情况!$H62)+
IF(各r阵容卡情况!$I62=0,0,IF(各r阵容卡情况!$AC62&lt;=1,0,(各r阵容卡情况!$AC62-1)*G$27)*各r阵容卡情况!$I62)+
IF(各r阵容卡情况!$J62=0,0,IF(各r阵容卡情况!$AD62&lt;=1,0,(各r阵容卡情况!$AD62-1)*G$28)*各r阵容卡情况!$J62)</f>
        <v>160</v>
      </c>
      <c r="AI56" s="67">
        <f>IF(各r阵容卡情况!$H62=0,0,IF(各r阵容卡情况!$AB62&lt;=1,0,(各r阵容卡情况!$AB62-1)*H$26)*各r阵容卡情况!$H62)+
IF(各r阵容卡情况!$I62=0,0,IF(各r阵容卡情况!$AC62&lt;=1,0,(各r阵容卡情况!$AC62-1)*H$27)*各r阵容卡情况!$I62)+
IF(各r阵容卡情况!$J62=0,0,IF(各r阵容卡情况!$AD62&lt;=1,0,(各r阵容卡情况!$AD62-1)*H$28)*各r阵容卡情况!$J62)</f>
        <v>0</v>
      </c>
      <c r="AJ56" s="67">
        <f>IF(各r阵容卡情况!$H62=0,0,IF(各r阵容卡情况!$AB62&lt;=1,0,(各r阵容卡情况!$AB62-1)*I$26)*各r阵容卡情况!$H62)+
IF(各r阵容卡情况!$I62=0,0,IF(各r阵容卡情况!$AC62&lt;=1,0,(各r阵容卡情况!$AC62-1)*I$27)*各r阵容卡情况!$I62)+
IF(各r阵容卡情况!$J62=0,0,IF(各r阵容卡情况!$AD62&lt;=1,0,(各r阵容卡情况!$AD62-1)*I$28)*各r阵容卡情况!$J62)</f>
        <v>0</v>
      </c>
      <c r="AL56" s="80">
        <f t="shared" si="42"/>
        <v>40</v>
      </c>
      <c r="AM56" s="80">
        <f t="shared" si="43"/>
        <v>36</v>
      </c>
      <c r="AN56" s="80">
        <f t="shared" si="44"/>
        <v>0</v>
      </c>
      <c r="AO56" s="80">
        <f t="shared" si="45"/>
        <v>0</v>
      </c>
      <c r="AP56" s="80">
        <f t="shared" si="46"/>
        <v>180</v>
      </c>
      <c r="AQ56" s="80">
        <f t="shared" si="47"/>
        <v>0</v>
      </c>
      <c r="AR56" s="80">
        <f t="shared" si="48"/>
        <v>0</v>
      </c>
      <c r="AS56" s="80">
        <f t="shared" si="49"/>
        <v>16.699682549297847</v>
      </c>
      <c r="AT56" s="80">
        <f t="shared" si="50"/>
        <v>0</v>
      </c>
      <c r="AU56" s="80">
        <f t="shared" si="51"/>
        <v>0</v>
      </c>
      <c r="AV56" s="80">
        <f t="shared" si="52"/>
        <v>83.498412746489237</v>
      </c>
      <c r="AW56" s="80">
        <f t="shared" si="53"/>
        <v>0</v>
      </c>
      <c r="AX56" s="80">
        <f t="shared" si="54"/>
        <v>0</v>
      </c>
      <c r="AY56" s="61" t="e">
        <f>SUMPRODUCT(AM56:AR56/'[1]功能-行军令'!$GI$26:$GN$26+AS56:AX56/'[1]功能-行军令'!$GI$26:$GN$26)/0.18</f>
        <v>#DIV/0!</v>
      </c>
      <c r="BB56" s="80">
        <v>80</v>
      </c>
      <c r="BC56" s="80"/>
      <c r="BD56" s="80"/>
      <c r="BE56" s="80"/>
      <c r="BF56" s="80"/>
      <c r="BG56" s="80"/>
      <c r="BH56" s="80"/>
      <c r="BI56" s="80"/>
      <c r="BJ56" s="80"/>
      <c r="BK56" s="80">
        <f t="shared" si="55"/>
        <v>0</v>
      </c>
      <c r="BO56" s="80">
        <f t="shared" si="39"/>
        <v>53.226994578658328</v>
      </c>
      <c r="BP56" s="80">
        <f t="shared" si="40"/>
        <v>4650000</v>
      </c>
      <c r="BQ56" s="80">
        <f>(BP56-BP55)*INDEX('[1]功能-付费相关'!$AR$6:$AR$165,$BO56,1)+BQ55</f>
        <v>7223.8844736982974</v>
      </c>
      <c r="BR56" s="80"/>
      <c r="BS56" s="80"/>
      <c r="BU56" s="80">
        <v>80</v>
      </c>
      <c r="BV56" s="80">
        <f t="shared" si="41"/>
        <v>16129.191064037783</v>
      </c>
      <c r="BW56" s="86">
        <f>BW55</f>
        <v>20865.600000000002</v>
      </c>
      <c r="BX56" s="80"/>
      <c r="BY56" s="80">
        <f t="shared" si="56"/>
        <v>36994.791064037781</v>
      </c>
    </row>
    <row r="57" spans="1:77" x14ac:dyDescent="0.15">
      <c r="A57" s="81"/>
      <c r="B57" s="201"/>
      <c r="C57" s="80"/>
      <c r="D57" s="80"/>
      <c r="E57" s="80"/>
      <c r="F57" s="80"/>
      <c r="G57" s="80"/>
      <c r="H57" s="80"/>
      <c r="I57" s="80"/>
      <c r="J57" s="81"/>
      <c r="L57" s="61">
        <v>11</v>
      </c>
      <c r="M57" s="80">
        <f>基础状态预期!D69</f>
        <v>53.226994578658328</v>
      </c>
      <c r="N57" s="80">
        <f>IF(基础状态预期!F69="",0,IF(基础状态预期!Z69&lt;=1,基础状态预期!Z69*D$4,1*D$4+(基础状态预期!Z69-1)*武将觉醒!D$5))</f>
        <v>0</v>
      </c>
      <c r="O57" s="80">
        <f>IF(基础状态预期!G69="",0,IF(基础状态预期!AA69&lt;=1,基础状态预期!AA69*E$4,1*E$4+(基础状态预期!AA69-1)*武将觉醒!E$5))</f>
        <v>0</v>
      </c>
      <c r="P57" s="80">
        <f>IF(基础状态预期!H69="",0,IF(基础状态预期!AB69&lt;=1,基础状态预期!AB69*F$4,1*F$4+(基础状态预期!AB69-1)*武将觉醒!F$5))</f>
        <v>0</v>
      </c>
      <c r="Q57" s="80">
        <f>IF(基础状态预期!I69="",0,IF(基础状态预期!AC69&lt;=1,基础状态预期!AC69*G$4,1*G$4+(基础状态预期!AC69-1)*武将觉醒!G$5))</f>
        <v>520000</v>
      </c>
      <c r="R57" s="80">
        <f>IF(基础状态预期!J69="",0,IF(基础状态预期!AD69&lt;=1,基础状态预期!AD69*H$4,1*H$4+(基础状态预期!AD69-1)*武将觉醒!H$5))</f>
        <v>2050000</v>
      </c>
      <c r="S57" s="80">
        <f>MAX(SUMPRODUCT(N57:R57,基础状态预期!F69:J69),S56)</f>
        <v>4650000</v>
      </c>
      <c r="T57" s="80">
        <f>IF(基础状态预期!Z69="",0,IFERROR(基础状态预期!F69*求节点($C$62:$C$63,D$62:D$63,基础状态预期!Z69),0)+IFERROR(基础状态预期!$J69*求节点($C$71:$C$72,D$71:D$72,基础状态预期!$AD69),0))</f>
        <v>0</v>
      </c>
      <c r="U57" s="80">
        <f>IF(基础状态预期!AA69="",0,IFERROR(基础状态预期!G69*求节点($C$62:$C$63,E$62:E$63,基础状态预期!AA69),0)+IFERROR(基础状态预期!$J69*求节点($C$71:$C$72,E$71:E$72,基础状态预期!$AD69),0))</f>
        <v>0</v>
      </c>
      <c r="V57" s="80">
        <f>IF(基础状态预期!AB69="",0,IFERROR(基础状态预期!H69*求节点($C$62:$C$63,F$62:F$63,基础状态预期!AB69),0)+IFERROR(基础状态预期!$J69*求节点($C$71:$C$72,F$71:F$72,基础状态预期!$AD69),0))</f>
        <v>0</v>
      </c>
      <c r="W57" s="80">
        <f>IF(基础状态预期!AC69="",0,IFERROR(基础状态预期!I69*求节点($C$62:$C$63,G$62:G$63,基础状态预期!AC69),0)+IFERROR(基础状态预期!$J69*求节点($C$71:$C$72,G$71:G$72,基础状态预期!$AD69),0))</f>
        <v>8</v>
      </c>
      <c r="X57" s="80">
        <f>IF(基础状态预期!AD69="",0,IFERROR(基础状态预期!J69*求节点($C$62:$C$63,H$62:H$63,基础状态预期!AD69),0)+IFERROR(基础状态预期!$J69*求节点($C$71:$C$72,H$71:H$72,基础状态预期!$AD69),0))</f>
        <v>0</v>
      </c>
      <c r="Y57" s="80">
        <f>IF(基础状态预期!$H69="",0,IF(基础状态预期!$AB69&lt;=1,基础状态预期!$AB69*D$18,D$18)*基础状态预期!$H69)+
IF(基础状态预期!$I69="",0,IF(基础状态预期!$AC69&lt;=1,基础状态预期!$AC69*D$19,D$19)*基础状态预期!$I69)+
IF(基础状态预期!$J69="",0,IF(基础状态预期!$AD69&lt;=1,基础状态预期!$AD69*D$20,D$20)*基础状态预期!$J69)</f>
        <v>38</v>
      </c>
      <c r="Z57" s="80">
        <f>IF(基础状态预期!$H69="",0,IF(基础状态预期!$AB69&lt;=1,基础状态预期!$AB69*E$18,E$18)*基础状态预期!$H69)+
IF(基础状态预期!$I69="",0,IF(基础状态预期!$AC69&lt;=1,基础状态预期!$AC69*E$19,E$19)*基础状态预期!$I69)+
IF(基础状态预期!$J69="",0,IF(基础状态预期!$AD69&lt;=1,基础状态预期!$AD69*E$20,E$20)*基础状态预期!$J69)</f>
        <v>0</v>
      </c>
      <c r="AA57" s="80">
        <f>IF(基础状态预期!$H69="",0,IF(基础状态预期!$AB69&lt;=1,基础状态预期!$AB69*F$18,F$18)*基础状态预期!$H69)+
IF(基础状态预期!$I69="",0,IF(基础状态预期!$AC69&lt;=1,基础状态预期!$AC69*F$19,F$19)*基础状态预期!$I69)+
IF(基础状态预期!$J69="",0,IF(基础状态预期!$AD69&lt;=1,基础状态预期!$AD69*F$20,F$20)*基础状态预期!$J69)</f>
        <v>0</v>
      </c>
      <c r="AB57" s="67">
        <f>IF(基础状态预期!$H69="",0,IF(基础状态预期!$AB69&lt;=1,0,(基础状态预期!$AB69-1)*G$26)*基础状态预期!$H69)+
IF(基础状态预期!$I69="",0,IF(基础状态预期!$AC69&lt;=1,0,(基础状态预期!$AC69-1)*G$27)*基础状态预期!$I69)+
IF(基础状态预期!$J69="",0,IF(基础状态预期!$AD69&lt;=1,0,(基础状态预期!$AD69-1)*G$28)*基础状态预期!$J69)</f>
        <v>190</v>
      </c>
      <c r="AC57" s="67">
        <f>IF(基础状态预期!$H69="",0,IF(基础状态预期!$AB69&lt;=1,0,(基础状态预期!$AB69-1)*H$26)*基础状态预期!$H69)+
IF(基础状态预期!$I69="",0,IF(基础状态预期!$AC69&lt;=1,0,(基础状态预期!$AC69-1)*H$27)*基础状态预期!$I69)+
IF(基础状态预期!$J69="",0,IF(基础状态预期!$AD69&lt;=1,0,(基础状态预期!$AD69-1)*H$28)*基础状态预期!$J69)</f>
        <v>0</v>
      </c>
      <c r="AD57" s="67">
        <f>IF(基础状态预期!$H69="",0,IF(基础状态预期!$AB69&lt;=1,0,(基础状态预期!$AB69-1)*I$26)*基础状态预期!$H69)+
IF(基础状态预期!$I69="",0,IF(基础状态预期!$AC69&lt;=1,0,(基础状态预期!$AC69-1)*I$27)*基础状态预期!$I69)+
IF(基础状态预期!$J69="",0,IF(基础状态预期!$AD69&lt;=1,0,(基础状态预期!$AD69-1)*I$28)*基础状态预期!$J69)</f>
        <v>0</v>
      </c>
      <c r="AE57" s="80">
        <f>IF(各r阵容卡情况!$H63=0,0,IF(各r阵容卡情况!$AB63&lt;=1,各r阵容卡情况!$AB63*D$18,1*D$18)*各r阵容卡情况!$H63)+
IF(各r阵容卡情况!$I63=0,0,IF(各r阵容卡情况!$AC63&lt;=1,各r阵容卡情况!$AC63*D$19,1*D$19)*各r阵容卡情况!$I63)+
IF(各r阵容卡情况!$J63=0,0,IF(各r阵容卡情况!$AD63&lt;=1,各r阵容卡情况!$AD63*D$20,1*D$20)*各r阵容卡情况!$J63)</f>
        <v>40</v>
      </c>
      <c r="AF57" s="80">
        <f>IF(各r阵容卡情况!$H63=0,0,IF(各r阵容卡情况!$AB63&lt;=1,各r阵容卡情况!$AB63*E$18,1*E$18)*各r阵容卡情况!$H63)+
IF(各r阵容卡情况!$I63=0,0,IF(各r阵容卡情况!$AC63&lt;=1,各r阵容卡情况!$AC63*E$19,1*E$19)*各r阵容卡情况!$I63)+
IF(各r阵容卡情况!$J63=0,0,IF(各r阵容卡情况!$AD63&lt;=1,各r阵容卡情况!$AD63*E$20,1*E$20)*各r阵容卡情况!$J63)</f>
        <v>0</v>
      </c>
      <c r="AG57" s="80">
        <f>IF(各r阵容卡情况!$H63=0,0,IF(各r阵容卡情况!$AB63&lt;=1,各r阵容卡情况!$AB63*F$18,1*F$18)*各r阵容卡情况!$H63)+
IF(各r阵容卡情况!$I63=0,0,IF(各r阵容卡情况!$AC63&lt;=1,各r阵容卡情况!$AC63*F$19,1*F$19)*各r阵容卡情况!$I63)+
IF(各r阵容卡情况!$J63=0,0,IF(各r阵容卡情况!$AD63&lt;=1,各r阵容卡情况!$AD63*F$20,1*F$20)*各r阵容卡情况!$J63)</f>
        <v>0</v>
      </c>
      <c r="AH57" s="67">
        <f>IF(各r阵容卡情况!$H63=0,0,IF(各r阵容卡情况!$AB63&lt;=1,0,(各r阵容卡情况!$AB63-1)*G$26)*各r阵容卡情况!$H63)+
IF(各r阵容卡情况!$I63=0,0,IF(各r阵容卡情况!$AC63&lt;=1,0,(各r阵容卡情况!$AC63-1)*G$27)*各r阵容卡情况!$I63)+
IF(各r阵容卡情况!$J63=0,0,IF(各r阵容卡情况!$AD63&lt;=1,0,(各r阵容卡情况!$AD63-1)*G$28)*各r阵容卡情况!$J63)</f>
        <v>200</v>
      </c>
      <c r="AI57" s="67">
        <f>IF(各r阵容卡情况!$H63=0,0,IF(各r阵容卡情况!$AB63&lt;=1,0,(各r阵容卡情况!$AB63-1)*H$26)*各r阵容卡情况!$H63)+
IF(各r阵容卡情况!$I63=0,0,IF(各r阵容卡情况!$AC63&lt;=1,0,(各r阵容卡情况!$AC63-1)*H$27)*各r阵容卡情况!$I63)+
IF(各r阵容卡情况!$J63=0,0,IF(各r阵容卡情况!$AD63&lt;=1,0,(各r阵容卡情况!$AD63-1)*H$28)*各r阵容卡情况!$J63)</f>
        <v>0</v>
      </c>
      <c r="AJ57" s="67">
        <f>IF(各r阵容卡情况!$H63=0,0,IF(各r阵容卡情况!$AB63&lt;=1,0,(各r阵容卡情况!$AB63-1)*I$26)*各r阵容卡情况!$H63)+
IF(各r阵容卡情况!$I63=0,0,IF(各r阵容卡情况!$AC63&lt;=1,0,(各r阵容卡情况!$AC63-1)*I$27)*各r阵容卡情况!$I63)+
IF(各r阵容卡情况!$J63=0,0,IF(各r阵容卡情况!$AD63&lt;=1,0,(各r阵容卡情况!$AD63-1)*I$28)*各r阵容卡情况!$J63)</f>
        <v>0</v>
      </c>
      <c r="AL57" s="80">
        <f t="shared" si="42"/>
        <v>45</v>
      </c>
      <c r="AM57" s="80">
        <f t="shared" si="43"/>
        <v>36</v>
      </c>
      <c r="AN57" s="80">
        <f t="shared" si="44"/>
        <v>0</v>
      </c>
      <c r="AO57" s="80">
        <f t="shared" si="45"/>
        <v>0</v>
      </c>
      <c r="AP57" s="80">
        <f t="shared" si="46"/>
        <v>180</v>
      </c>
      <c r="AQ57" s="80">
        <f t="shared" si="47"/>
        <v>0</v>
      </c>
      <c r="AR57" s="80">
        <f t="shared" si="48"/>
        <v>0</v>
      </c>
      <c r="AS57" s="80">
        <f t="shared" si="49"/>
        <v>26.076283089131518</v>
      </c>
      <c r="AT57" s="80">
        <f t="shared" si="50"/>
        <v>0</v>
      </c>
      <c r="AU57" s="80">
        <f t="shared" si="51"/>
        <v>0</v>
      </c>
      <c r="AV57" s="80">
        <f t="shared" si="52"/>
        <v>130.38141544565758</v>
      </c>
      <c r="AW57" s="80">
        <f t="shared" si="53"/>
        <v>0</v>
      </c>
      <c r="AX57" s="80">
        <f t="shared" si="54"/>
        <v>0</v>
      </c>
      <c r="AY57" s="61" t="e">
        <f>SUMPRODUCT(AM57:AR57/'[1]功能-行军令'!$GI$26:$GN$26+AS57:AX57/'[1]功能-行军令'!$GI$26:$GN$26)/0.18</f>
        <v>#DIV/0!</v>
      </c>
      <c r="BB57" s="80">
        <v>90</v>
      </c>
      <c r="BC57" s="80"/>
      <c r="BD57" s="80"/>
      <c r="BE57" s="80"/>
      <c r="BF57" s="80"/>
      <c r="BG57" s="80"/>
      <c r="BH57" s="80"/>
      <c r="BI57" s="80"/>
      <c r="BJ57" s="80"/>
      <c r="BK57" s="80">
        <f t="shared" si="55"/>
        <v>0</v>
      </c>
      <c r="BO57" s="80">
        <f t="shared" si="39"/>
        <v>59.016342740868758</v>
      </c>
      <c r="BP57" s="80">
        <f t="shared" si="40"/>
        <v>6180000</v>
      </c>
      <c r="BQ57" s="80">
        <f>(BP57-BP56)*INDEX('[1]功能-付费相关'!$AR$6:$AR$165,$BO57,1)+BQ56</f>
        <v>9155.7026555164794</v>
      </c>
      <c r="BR57" s="80"/>
      <c r="BS57" s="80"/>
      <c r="BU57" s="80">
        <v>90</v>
      </c>
      <c r="BV57" s="80">
        <f t="shared" si="41"/>
        <v>16129.191064037783</v>
      </c>
      <c r="BW57" s="86">
        <f t="shared" ref="BW57:BW64" si="57">BW56</f>
        <v>20865.600000000002</v>
      </c>
      <c r="BX57" s="80"/>
      <c r="BY57" s="80">
        <f t="shared" si="56"/>
        <v>36994.791064037781</v>
      </c>
    </row>
    <row r="58" spans="1:77" x14ac:dyDescent="0.15">
      <c r="A58" s="81"/>
      <c r="B58" s="201"/>
      <c r="C58" s="80"/>
      <c r="D58" s="80"/>
      <c r="E58" s="80"/>
      <c r="F58" s="80"/>
      <c r="G58" s="80"/>
      <c r="H58" s="80"/>
      <c r="I58" s="80"/>
      <c r="J58" s="81"/>
      <c r="L58" s="61">
        <v>12</v>
      </c>
      <c r="M58" s="80">
        <f>基础状态预期!D70</f>
        <v>59.016342740868758</v>
      </c>
      <c r="N58" s="80">
        <f>IF(基础状态预期!F70="",0,IF(基础状态预期!Z70&lt;=1,基础状态预期!Z70*D$4,1*D$4+(基础状态预期!Z70-1)*武将觉醒!D$5))</f>
        <v>0</v>
      </c>
      <c r="O58" s="80">
        <f>IF(基础状态预期!G70="",0,IF(基础状态预期!AA70&lt;=1,基础状态预期!AA70*E$4,1*E$4+(基础状态预期!AA70-1)*武将觉醒!E$5))</f>
        <v>0</v>
      </c>
      <c r="P58" s="80">
        <f>IF(基础状态预期!H70="",0,IF(基础状态预期!AB70&lt;=1,基础状态预期!AB70*F$4,1*F$4+(基础状态预期!AB70-1)*武将觉醒!F$5))</f>
        <v>0</v>
      </c>
      <c r="Q58" s="80">
        <f>IF(基础状态预期!I70="",0,IF(基础状态预期!AC70&lt;=1,基础状态预期!AC70*G$4,1*G$4+(基础状态预期!AC70-1)*武将觉醒!G$5))</f>
        <v>520000</v>
      </c>
      <c r="R58" s="80">
        <f>IF(基础状态预期!J70="",0,IF(基础状态预期!AD70&lt;=1,基础状态预期!AD70*H$4,1*H$4+(基础状态预期!AD70-1)*武将觉醒!H$5))</f>
        <v>2050000</v>
      </c>
      <c r="S58" s="80">
        <f>MAX(SUMPRODUCT(N58:R58,基础状态预期!F70:J70),S57)</f>
        <v>6180000</v>
      </c>
      <c r="T58" s="80">
        <f>IF(基础状态预期!Z70="",0,IFERROR(基础状态预期!F70*求节点($C$62:$C$63,D$62:D$63,基础状态预期!Z70),0)+IFERROR(基础状态预期!$J70*求节点($C$71:$C$72,D$71:D$72,基础状态预期!$AD70),0))</f>
        <v>0</v>
      </c>
      <c r="U58" s="80">
        <f>IF(基础状态预期!AA70="",0,IFERROR(基础状态预期!G70*求节点($C$62:$C$63,E$62:E$63,基础状态预期!AA70),0)+IFERROR(基础状态预期!$J70*求节点($C$71:$C$72,E$71:E$72,基础状态预期!$AD70),0))</f>
        <v>0</v>
      </c>
      <c r="V58" s="80">
        <f>IF(基础状态预期!AB70="",0,IFERROR(基础状态预期!H70*求节点($C$62:$C$63,F$62:F$63,基础状态预期!AB70),0)+IFERROR(基础状态预期!$J70*求节点($C$71:$C$72,F$71:F$72,基础状态预期!$AD70),0))</f>
        <v>0</v>
      </c>
      <c r="W58" s="80">
        <f>IF(基础状态预期!AC70="",0,IFERROR(基础状态预期!I70*求节点($C$62:$C$63,G$62:G$63,基础状态预期!AC70),0)+IFERROR(基础状态预期!$J70*求节点($C$71:$C$72,G$71:G$72,基础状态预期!$AD70),0))</f>
        <v>10</v>
      </c>
      <c r="X58" s="80">
        <f>IF(基础状态预期!AD70="",0,IFERROR(基础状态预期!J70*求节点($C$62:$C$63,H$62:H$63,基础状态预期!AD70),0)+IFERROR(基础状态预期!$J70*求节点($C$71:$C$72,H$71:H$72,基础状态预期!$AD70),0))</f>
        <v>0</v>
      </c>
      <c r="Y58" s="80">
        <f>IF(基础状态预期!$H70="",0,IF(基础状态预期!$AB70&lt;=1,基础状态预期!$AB70*D$18,D$18)*基础状态预期!$H70)+
IF(基础状态预期!$I70="",0,IF(基础状态预期!$AC70&lt;=1,基础状态预期!$AC70*D$19,D$19)*基础状态预期!$I70)+
IF(基础状态预期!$J70="",0,IF(基础状态预期!$AD70&lt;=1,基础状态预期!$AD70*D$20,D$20)*基础状态预期!$J70)</f>
        <v>40</v>
      </c>
      <c r="Z58" s="80">
        <f>IF(基础状态预期!$H70="",0,IF(基础状态预期!$AB70&lt;=1,基础状态预期!$AB70*E$18,E$18)*基础状态预期!$H70)+
IF(基础状态预期!$I70="",0,IF(基础状态预期!$AC70&lt;=1,基础状态预期!$AC70*E$19,E$19)*基础状态预期!$I70)+
IF(基础状态预期!$J70="",0,IF(基础状态预期!$AD70&lt;=1,基础状态预期!$AD70*E$20,E$20)*基础状态预期!$J70)</f>
        <v>0</v>
      </c>
      <c r="AA58" s="80">
        <f>IF(基础状态预期!$H70="",0,IF(基础状态预期!$AB70&lt;=1,基础状态预期!$AB70*F$18,F$18)*基础状态预期!$H70)+
IF(基础状态预期!$I70="",0,IF(基础状态预期!$AC70&lt;=1,基础状态预期!$AC70*F$19,F$19)*基础状态预期!$I70)+
IF(基础状态预期!$J70="",0,IF(基础状态预期!$AD70&lt;=1,基础状态预期!$AD70*F$20,F$20)*基础状态预期!$J70)</f>
        <v>0</v>
      </c>
      <c r="AB58" s="67">
        <f>IF(基础状态预期!$H70="",0,IF(基础状态预期!$AB70&lt;=1,0,(基础状态预期!$AB70-1)*G$26)*基础状态预期!$H70)+
IF(基础状态预期!$I70="",0,IF(基础状态预期!$AC70&lt;=1,0,(基础状态预期!$AC70-1)*G$27)*基础状态预期!$I70)+
IF(基础状态预期!$J70="",0,IF(基础状态预期!$AD70&lt;=1,0,(基础状态预期!$AD70-1)*G$28)*基础状态预期!$J70)</f>
        <v>200</v>
      </c>
      <c r="AC58" s="67">
        <f>IF(基础状态预期!$H70="",0,IF(基础状态预期!$AB70&lt;=1,0,(基础状态预期!$AB70-1)*H$26)*基础状态预期!$H70)+
IF(基础状态预期!$I70="",0,IF(基础状态预期!$AC70&lt;=1,0,(基础状态预期!$AC70-1)*H$27)*基础状态预期!$I70)+
IF(基础状态预期!$J70="",0,IF(基础状态预期!$AD70&lt;=1,0,(基础状态预期!$AD70-1)*H$28)*基础状态预期!$J70)</f>
        <v>0</v>
      </c>
      <c r="AD58" s="67">
        <f>IF(基础状态预期!$H70="",0,IF(基础状态预期!$AB70&lt;=1,0,(基础状态预期!$AB70-1)*I$26)*基础状态预期!$H70)+
IF(基础状态预期!$I70="",0,IF(基础状态预期!$AC70&lt;=1,0,(基础状态预期!$AC70-1)*I$27)*基础状态预期!$I70)+
IF(基础状态预期!$J70="",0,IF(基础状态预期!$AD70&lt;=1,0,(基础状态预期!$AD70-1)*I$28)*基础状态预期!$J70)</f>
        <v>0</v>
      </c>
      <c r="AE58" s="80">
        <f>IF(各r阵容卡情况!$H64=0,0,IF(各r阵容卡情况!$AB64&lt;=1,各r阵容卡情况!$AB64*D$18,1*D$18)*各r阵容卡情况!$H64)+
IF(各r阵容卡情况!$I64=0,0,IF(各r阵容卡情况!$AC64&lt;=1,各r阵容卡情况!$AC64*D$19,1*D$19)*各r阵容卡情况!$I64)+
IF(各r阵容卡情况!$J64=0,0,IF(各r阵容卡情况!$AD64&lt;=1,各r阵容卡情况!$AD64*D$20,1*D$20)*各r阵容卡情况!$J64)</f>
        <v>72</v>
      </c>
      <c r="AF58" s="80">
        <f>IF(各r阵容卡情况!$H64=0,0,IF(各r阵容卡情况!$AB64&lt;=1,各r阵容卡情况!$AB64*E$18,1*E$18)*各r阵容卡情况!$H64)+
IF(各r阵容卡情况!$I64=0,0,IF(各r阵容卡情况!$AC64&lt;=1,各r阵容卡情况!$AC64*E$19,1*E$19)*各r阵容卡情况!$I64)+
IF(各r阵容卡情况!$J64=0,0,IF(各r阵容卡情况!$AD64&lt;=1,各r阵容卡情况!$AD64*E$20,1*E$20)*各r阵容卡情况!$J64)</f>
        <v>0</v>
      </c>
      <c r="AG58" s="80">
        <f>IF(各r阵容卡情况!$H64=0,0,IF(各r阵容卡情况!$AB64&lt;=1,各r阵容卡情况!$AB64*F$18,1*F$18)*各r阵容卡情况!$H64)+
IF(各r阵容卡情况!$I64=0,0,IF(各r阵容卡情况!$AC64&lt;=1,各r阵容卡情况!$AC64*F$19,1*F$19)*各r阵容卡情况!$I64)+
IF(各r阵容卡情况!$J64=0,0,IF(各r阵容卡情况!$AD64&lt;=1,各r阵容卡情况!$AD64*F$20,1*F$20)*各r阵容卡情况!$J64)</f>
        <v>0</v>
      </c>
      <c r="AH58" s="67">
        <f>IF(各r阵容卡情况!$H64=0,0,IF(各r阵容卡情况!$AB64&lt;=1,0,(各r阵容卡情况!$AB64-1)*G$26)*各r阵容卡情况!$H64)+
IF(各r阵容卡情况!$I64=0,0,IF(各r阵容卡情况!$AC64&lt;=1,0,(各r阵容卡情况!$AC64-1)*G$27)*各r阵容卡情况!$I64)+
IF(各r阵容卡情况!$J64=0,0,IF(各r阵容卡情况!$AD64&lt;=1,0,(各r阵容卡情况!$AD64-1)*G$28)*各r阵容卡情况!$J64)</f>
        <v>360</v>
      </c>
      <c r="AI58" s="67">
        <f>IF(各r阵容卡情况!$H64=0,0,IF(各r阵容卡情况!$AB64&lt;=1,0,(各r阵容卡情况!$AB64-1)*H$26)*各r阵容卡情况!$H64)+
IF(各r阵容卡情况!$I64=0,0,IF(各r阵容卡情况!$AC64&lt;=1,0,(各r阵容卡情况!$AC64-1)*H$27)*各r阵容卡情况!$I64)+
IF(各r阵容卡情况!$J64=0,0,IF(各r阵容卡情况!$AD64&lt;=1,0,(各r阵容卡情况!$AD64-1)*H$28)*各r阵容卡情况!$J64)</f>
        <v>0</v>
      </c>
      <c r="AJ58" s="67">
        <f>IF(各r阵容卡情况!$H64=0,0,IF(各r阵容卡情况!$AB64&lt;=1,0,(各r阵容卡情况!$AB64-1)*I$26)*各r阵容卡情况!$H64)+
IF(各r阵容卡情况!$I64=0,0,IF(各r阵容卡情况!$AC64&lt;=1,0,(各r阵容卡情况!$AC64-1)*I$27)*各r阵容卡情况!$I64)+
IF(各r阵容卡情况!$J64=0,0,IF(各r阵容卡情况!$AD64&lt;=1,0,(各r阵容卡情况!$AD64-1)*I$28)*各r阵容卡情况!$J64)</f>
        <v>0</v>
      </c>
      <c r="AL58" s="80">
        <f t="shared" si="42"/>
        <v>50</v>
      </c>
      <c r="AM58" s="80">
        <f t="shared" si="43"/>
        <v>36.40579406734139</v>
      </c>
      <c r="AN58" s="80">
        <f t="shared" si="44"/>
        <v>0</v>
      </c>
      <c r="AO58" s="80">
        <f t="shared" si="45"/>
        <v>0</v>
      </c>
      <c r="AP58" s="80">
        <f t="shared" si="46"/>
        <v>182.02897033670695</v>
      </c>
      <c r="AQ58" s="80">
        <f t="shared" si="47"/>
        <v>0</v>
      </c>
      <c r="AR58" s="80">
        <f t="shared" si="48"/>
        <v>0</v>
      </c>
      <c r="AS58" s="80">
        <f t="shared" si="49"/>
        <v>33.623176269365565</v>
      </c>
      <c r="AT58" s="80">
        <f t="shared" si="50"/>
        <v>0</v>
      </c>
      <c r="AU58" s="80">
        <f t="shared" si="51"/>
        <v>0</v>
      </c>
      <c r="AV58" s="80">
        <f t="shared" si="52"/>
        <v>168.11588134682782</v>
      </c>
      <c r="AW58" s="80">
        <f t="shared" si="53"/>
        <v>0</v>
      </c>
      <c r="AX58" s="80">
        <f t="shared" si="54"/>
        <v>0</v>
      </c>
      <c r="AY58" s="61" t="e">
        <f>SUMPRODUCT(AM58:AR58/'[1]功能-行军令'!$GI$26:$GN$26+AS58:AX58/'[1]功能-行军令'!$GI$26:$GN$26)/0.18</f>
        <v>#DIV/0!</v>
      </c>
      <c r="BB58" s="80">
        <v>100</v>
      </c>
      <c r="BC58" s="80"/>
      <c r="BD58" s="80"/>
      <c r="BE58" s="80"/>
      <c r="BF58" s="80"/>
      <c r="BG58" s="80"/>
      <c r="BH58" s="80"/>
      <c r="BI58" s="80"/>
      <c r="BJ58" s="80"/>
      <c r="BK58" s="80">
        <f t="shared" si="55"/>
        <v>0</v>
      </c>
      <c r="BO58" s="80">
        <f t="shared" si="39"/>
        <v>64.781009552500748</v>
      </c>
      <c r="BP58" s="80">
        <f t="shared" si="40"/>
        <v>7710000</v>
      </c>
      <c r="BQ58" s="80">
        <f>(BP58-BP57)*INDEX('[1]功能-付费相关'!$AR$6:$AR$165,$BO58,1)+BQ57</f>
        <v>10994.644963208788</v>
      </c>
      <c r="BR58" s="80"/>
      <c r="BS58" s="80"/>
      <c r="BU58" s="80">
        <v>100</v>
      </c>
      <c r="BV58" s="80">
        <f t="shared" si="41"/>
        <v>16129.191064037783</v>
      </c>
      <c r="BW58" s="86">
        <f t="shared" si="57"/>
        <v>20865.600000000002</v>
      </c>
      <c r="BX58" s="80"/>
      <c r="BY58" s="80">
        <f t="shared" si="56"/>
        <v>36994.791064037781</v>
      </c>
    </row>
    <row r="59" spans="1:77" x14ac:dyDescent="0.15">
      <c r="B59" s="66"/>
      <c r="L59" s="61">
        <v>13</v>
      </c>
      <c r="M59" s="80">
        <f>基础状态预期!D71</f>
        <v>64.781009552500748</v>
      </c>
      <c r="N59" s="80">
        <f>IF(基础状态预期!F71="",0,IF(基础状态预期!Z71&lt;=1,基础状态预期!Z71*D$4,1*D$4+(基础状态预期!Z71-1)*武将觉醒!D$5))</f>
        <v>0</v>
      </c>
      <c r="O59" s="80">
        <f>IF(基础状态预期!G71="",0,IF(基础状态预期!AA71&lt;=1,基础状态预期!AA71*E$4,1*E$4+(基础状态预期!AA71-1)*武将觉醒!E$5))</f>
        <v>0</v>
      </c>
      <c r="P59" s="80">
        <f>IF(基础状态预期!H71="",0,IF(基础状态预期!AB71&lt;=1,基础状态预期!AB71*F$4,1*F$4+(基础状态预期!AB71-1)*武将觉醒!F$5))</f>
        <v>0</v>
      </c>
      <c r="Q59" s="80">
        <f>IF(基础状态预期!I71="",0,IF(基础状态预期!AC71&lt;=1,基础状态预期!AC71*G$4,1*G$4+(基础状态预期!AC71-1)*武将觉醒!G$5))</f>
        <v>520000</v>
      </c>
      <c r="R59" s="80">
        <f>IF(基础状态预期!J71="",0,IF(基础状态预期!AD71&lt;=1,基础状态预期!AD71*H$4,1*H$4+(基础状态预期!AD71-1)*武将觉醒!H$5))</f>
        <v>2050000</v>
      </c>
      <c r="S59" s="80">
        <f>MAX(SUMPRODUCT(N59:R59,基础状态预期!F71:J71),S58)</f>
        <v>7710000</v>
      </c>
      <c r="T59" s="80">
        <f>IF(基础状态预期!Z71="",0,IFERROR(基础状态预期!F71*求节点($C$62:$C$63,D$62:D$63,基础状态预期!Z71),0)+IFERROR(基础状态预期!$J71*求节点($C$71:$C$72,D$71:D$72,基础状态预期!$AD71),0))</f>
        <v>0</v>
      </c>
      <c r="U59" s="80">
        <f>IF(基础状态预期!AA71="",0,IFERROR(基础状态预期!G71*求节点($C$62:$C$63,E$62:E$63,基础状态预期!AA71),0)+IFERROR(基础状态预期!$J71*求节点($C$71:$C$72,E$71:E$72,基础状态预期!$AD71),0))</f>
        <v>0</v>
      </c>
      <c r="V59" s="80">
        <f>IF(基础状态预期!AB71="",0,IFERROR(基础状态预期!H71*求节点($C$62:$C$63,F$62:F$63,基础状态预期!AB71),0)+IFERROR(基础状态预期!$J71*求节点($C$71:$C$72,F$71:F$72,基础状态预期!$AD71),0))</f>
        <v>0</v>
      </c>
      <c r="W59" s="80">
        <f>IF(基础状态预期!AC71="",0,IFERROR(基础状态预期!I71*求节点($C$62:$C$63,G$62:G$63,基础状态预期!AC71),0)+IFERROR(基础状态预期!$J71*求节点($C$71:$C$72,G$71:G$72,基础状态预期!$AD71),0))</f>
        <v>12</v>
      </c>
      <c r="X59" s="80">
        <f>IF(基础状态预期!AD71="",0,IFERROR(基础状态预期!J71*求节点($C$62:$C$63,H$62:H$63,基础状态预期!AD71),0)+IFERROR(基础状态预期!$J71*求节点($C$71:$C$72,H$71:H$72,基础状态预期!$AD71),0))</f>
        <v>0</v>
      </c>
      <c r="Y59" s="80">
        <f>IF(基础状态预期!$H71="",0,IF(基础状态预期!$AB71&lt;=1,基础状态预期!$AB71*D$18,D$18)*基础状态预期!$H71)+
IF(基础状态预期!$I71="",0,IF(基础状态预期!$AC71&lt;=1,基础状态预期!$AC71*D$19,D$19)*基础状态预期!$I71)+
IF(基础状态预期!$J71="",0,IF(基础状态预期!$AD71&lt;=1,基础状态预期!$AD71*D$20,D$20)*基础状态预期!$J71)</f>
        <v>42</v>
      </c>
      <c r="Z59" s="80">
        <f>IF(基础状态预期!$H71="",0,IF(基础状态预期!$AB71&lt;=1,基础状态预期!$AB71*E$18,E$18)*基础状态预期!$H71)+
IF(基础状态预期!$I71="",0,IF(基础状态预期!$AC71&lt;=1,基础状态预期!$AC71*E$19,E$19)*基础状态预期!$I71)+
IF(基础状态预期!$J71="",0,IF(基础状态预期!$AD71&lt;=1,基础状态预期!$AD71*E$20,E$20)*基础状态预期!$J71)</f>
        <v>0</v>
      </c>
      <c r="AA59" s="80">
        <f>IF(基础状态预期!$H71="",0,IF(基础状态预期!$AB71&lt;=1,基础状态预期!$AB71*F$18,F$18)*基础状态预期!$H71)+
IF(基础状态预期!$I71="",0,IF(基础状态预期!$AC71&lt;=1,基础状态预期!$AC71*F$19,F$19)*基础状态预期!$I71)+
IF(基础状态预期!$J71="",0,IF(基础状态预期!$AD71&lt;=1,基础状态预期!$AD71*F$20,F$20)*基础状态预期!$J71)</f>
        <v>0</v>
      </c>
      <c r="AB59" s="67">
        <f>IF(基础状态预期!$H71="",0,IF(基础状态预期!$AB71&lt;=1,0,(基础状态预期!$AB71-1)*G$26)*基础状态预期!$H71)+
IF(基础状态预期!$I71="",0,IF(基础状态预期!$AC71&lt;=1,0,(基础状态预期!$AC71-1)*G$27)*基础状态预期!$I71)+
IF(基础状态预期!$J71="",0,IF(基础状态预期!$AD71&lt;=1,0,(基础状态预期!$AD71-1)*G$28)*基础状态预期!$J71)</f>
        <v>210</v>
      </c>
      <c r="AC59" s="67">
        <f>IF(基础状态预期!$H71="",0,IF(基础状态预期!$AB71&lt;=1,0,(基础状态预期!$AB71-1)*H$26)*基础状态预期!$H71)+
IF(基础状态预期!$I71="",0,IF(基础状态预期!$AC71&lt;=1,0,(基础状态预期!$AC71-1)*H$27)*基础状态预期!$I71)+
IF(基础状态预期!$J71="",0,IF(基础状态预期!$AD71&lt;=1,0,(基础状态预期!$AD71-1)*H$28)*基础状态预期!$J71)</f>
        <v>0</v>
      </c>
      <c r="AD59" s="67">
        <f>IF(基础状态预期!$H71="",0,IF(基础状态预期!$AB71&lt;=1,0,(基础状态预期!$AB71-1)*I$26)*基础状态预期!$H71)+
IF(基础状态预期!$I71="",0,IF(基础状态预期!$AC71&lt;=1,0,(基础状态预期!$AC71-1)*I$27)*基础状态预期!$I71)+
IF(基础状态预期!$J71="",0,IF(基础状态预期!$AD71&lt;=1,0,(基础状态预期!$AD71-1)*I$28)*基础状态预期!$J71)</f>
        <v>0</v>
      </c>
      <c r="AE59" s="80">
        <f>IF(各r阵容卡情况!$H65=0,0,IF(各r阵容卡情况!$AB65&lt;=1,各r阵容卡情况!$AB65*D$18,1*D$18)*各r阵容卡情况!$H65)+
IF(各r阵容卡情况!$I65=0,0,IF(各r阵容卡情况!$AC65&lt;=1,各r阵容卡情况!$AC65*D$19,1*D$19)*各r阵容卡情况!$I65)+
IF(各r阵容卡情况!$J65=0,0,IF(各r阵容卡情况!$AD65&lt;=1,各r阵容卡情况!$AD65*D$20,1*D$20)*各r阵容卡情况!$J65)</f>
        <v>92</v>
      </c>
      <c r="AF59" s="80">
        <f>IF(各r阵容卡情况!$H65=0,0,IF(各r阵容卡情况!$AB65&lt;=1,各r阵容卡情况!$AB65*E$18,1*E$18)*各r阵容卡情况!$H65)+
IF(各r阵容卡情况!$I65=0,0,IF(各r阵容卡情况!$AC65&lt;=1,各r阵容卡情况!$AC65*E$19,1*E$19)*各r阵容卡情况!$I65)+
IF(各r阵容卡情况!$J65=0,0,IF(各r阵容卡情况!$AD65&lt;=1,各r阵容卡情况!$AD65*E$20,1*E$20)*各r阵容卡情况!$J65)</f>
        <v>0</v>
      </c>
      <c r="AG59" s="80">
        <f>IF(各r阵容卡情况!$H65=0,0,IF(各r阵容卡情况!$AB65&lt;=1,各r阵容卡情况!$AB65*F$18,1*F$18)*各r阵容卡情况!$H65)+
IF(各r阵容卡情况!$I65=0,0,IF(各r阵容卡情况!$AC65&lt;=1,各r阵容卡情况!$AC65*F$19,1*F$19)*各r阵容卡情况!$I65)+
IF(各r阵容卡情况!$J65=0,0,IF(各r阵容卡情况!$AD65&lt;=1,各r阵容卡情况!$AD65*F$20,1*F$20)*各r阵容卡情况!$J65)</f>
        <v>0</v>
      </c>
      <c r="AH59" s="67">
        <f>IF(各r阵容卡情况!$H65=0,0,IF(各r阵容卡情况!$AB65&lt;=1,0,(各r阵容卡情况!$AB65-1)*G$26)*各r阵容卡情况!$H65)+
IF(各r阵容卡情况!$I65=0,0,IF(各r阵容卡情况!$AC65&lt;=1,0,(各r阵容卡情况!$AC65-1)*G$27)*各r阵容卡情况!$I65)+
IF(各r阵容卡情况!$J65=0,0,IF(各r阵容卡情况!$AD65&lt;=1,0,(各r阵容卡情况!$AD65-1)*G$28)*各r阵容卡情况!$J65)</f>
        <v>460</v>
      </c>
      <c r="AI59" s="67">
        <f>IF(各r阵容卡情况!$H65=0,0,IF(各r阵容卡情况!$AB65&lt;=1,0,(各r阵容卡情况!$AB65-1)*H$26)*各r阵容卡情况!$H65)+
IF(各r阵容卡情况!$I65=0,0,IF(各r阵容卡情况!$AC65&lt;=1,0,(各r阵容卡情况!$AC65-1)*H$27)*各r阵容卡情况!$I65)+
IF(各r阵容卡情况!$J65=0,0,IF(各r阵容卡情况!$AD65&lt;=1,0,(各r阵容卡情况!$AD65-1)*H$28)*各r阵容卡情况!$J65)</f>
        <v>0</v>
      </c>
      <c r="AJ59" s="67">
        <f>IF(各r阵容卡情况!$H65=0,0,IF(各r阵容卡情况!$AB65&lt;=1,0,(各r阵容卡情况!$AB65-1)*I$26)*各r阵容卡情况!$H65)+
IF(各r阵容卡情况!$I65=0,0,IF(各r阵容卡情况!$AC65&lt;=1,0,(各r阵容卡情况!$AC65-1)*I$27)*各r阵容卡情况!$I65)+
IF(各r阵容卡情况!$J65=0,0,IF(各r阵容卡情况!$AD65&lt;=1,0,(各r阵容卡情况!$AD65-1)*I$28)*各r阵容卡情况!$J65)</f>
        <v>0</v>
      </c>
      <c r="AL59" s="80">
        <f t="shared" si="42"/>
        <v>55</v>
      </c>
      <c r="AM59" s="80">
        <f t="shared" si="43"/>
        <v>38.612506061706512</v>
      </c>
      <c r="AN59" s="80">
        <f t="shared" si="44"/>
        <v>0</v>
      </c>
      <c r="AO59" s="80">
        <f t="shared" si="45"/>
        <v>0</v>
      </c>
      <c r="AP59" s="80">
        <f t="shared" si="46"/>
        <v>193.06253030853256</v>
      </c>
      <c r="AQ59" s="80">
        <f t="shared" si="47"/>
        <v>0</v>
      </c>
      <c r="AR59" s="80">
        <f t="shared" si="48"/>
        <v>0</v>
      </c>
      <c r="AS59" s="80">
        <f t="shared" si="49"/>
        <v>49.800096987304194</v>
      </c>
      <c r="AT59" s="80">
        <f t="shared" si="50"/>
        <v>0</v>
      </c>
      <c r="AU59" s="80">
        <f t="shared" si="51"/>
        <v>0</v>
      </c>
      <c r="AV59" s="80">
        <f t="shared" si="52"/>
        <v>249.00048493652096</v>
      </c>
      <c r="AW59" s="80">
        <f t="shared" si="53"/>
        <v>0</v>
      </c>
      <c r="AX59" s="80">
        <f t="shared" si="54"/>
        <v>0</v>
      </c>
      <c r="AY59" s="61" t="e">
        <f>SUMPRODUCT(AM59:AR59/'[1]功能-行军令'!$GI$26:$GN$26+AS59:AX59/'[1]功能-行军令'!$GI$26:$GN$26)/0.18</f>
        <v>#DIV/0!</v>
      </c>
      <c r="BB59" s="80">
        <v>110</v>
      </c>
      <c r="BC59" s="80"/>
      <c r="BD59" s="80"/>
      <c r="BE59" s="80"/>
      <c r="BF59" s="80"/>
      <c r="BG59" s="80"/>
      <c r="BH59" s="80"/>
      <c r="BI59" s="80"/>
      <c r="BJ59" s="80"/>
      <c r="BK59" s="80">
        <f t="shared" ref="BK59:BK64" si="58">SUM(BG59:BJ59)</f>
        <v>0</v>
      </c>
      <c r="BO59" s="80">
        <f t="shared" si="39"/>
        <v>68.923431594456531</v>
      </c>
      <c r="BP59" s="80">
        <f t="shared" si="40"/>
        <v>9240000</v>
      </c>
      <c r="BQ59" s="80">
        <f>(BP59-BP58)*INDEX('[1]功能-付费相关'!$AR$6:$AR$165,$BO59,1)+BQ58</f>
        <v>12765.478296542122</v>
      </c>
      <c r="BR59" s="80"/>
      <c r="BS59" s="80"/>
      <c r="BU59" s="80">
        <v>110</v>
      </c>
      <c r="BV59" s="80">
        <f t="shared" si="41"/>
        <v>16129.191064037783</v>
      </c>
      <c r="BW59" s="86">
        <f t="shared" si="57"/>
        <v>20865.600000000002</v>
      </c>
      <c r="BX59" s="80"/>
      <c r="BY59" s="80">
        <f t="shared" ref="BY59:BY64" si="59">SUM(BV59:BX59)</f>
        <v>36994.791064037781</v>
      </c>
    </row>
    <row r="60" spans="1:77" x14ac:dyDescent="0.15">
      <c r="L60" s="61">
        <v>14</v>
      </c>
      <c r="M60" s="80">
        <f>基础状态预期!D72</f>
        <v>68.923431594456531</v>
      </c>
      <c r="N60" s="80">
        <f>IF(基础状态预期!F72="",0,IF(基础状态预期!Z72&lt;=1,基础状态预期!Z72*D$4,1*D$4+(基础状态预期!Z72-1)*武将觉醒!D$5))</f>
        <v>0</v>
      </c>
      <c r="O60" s="80">
        <f>IF(基础状态预期!G72="",0,IF(基础状态预期!AA72&lt;=1,基础状态预期!AA72*E$4,1*E$4+(基础状态预期!AA72-1)*武将觉醒!E$5))</f>
        <v>0</v>
      </c>
      <c r="P60" s="80">
        <f>IF(基础状态预期!H72="",0,IF(基础状态预期!AB72&lt;=1,基础状态预期!AB72*F$4,1*F$4+(基础状态预期!AB72-1)*武将觉醒!F$5))</f>
        <v>0</v>
      </c>
      <c r="Q60" s="80">
        <f>IF(基础状态预期!I72="",0,IF(基础状态预期!AC72&lt;=1,基础状态预期!AC72*G$4,1*G$4+(基础状态预期!AC72-1)*武将觉醒!G$5))</f>
        <v>520000</v>
      </c>
      <c r="R60" s="80">
        <f>IF(基础状态预期!J72="",0,IF(基础状态预期!AD72&lt;=1,基础状态预期!AD72*H$4,1*H$4+(基础状态预期!AD72-1)*武将觉醒!H$5))</f>
        <v>2050000</v>
      </c>
      <c r="S60" s="80">
        <f>MAX(SUMPRODUCT(N60:R60,基础状态预期!F72:J72),S59)</f>
        <v>9240000</v>
      </c>
      <c r="T60" s="80">
        <f>IF(基础状态预期!Z72="",0,IFERROR(基础状态预期!F72*求节点($C$62:$C$63,D$62:D$63,基础状态预期!Z72),0)+IFERROR(基础状态预期!$J72*求节点($C$71:$C$72,D$71:D$72,基础状态预期!$AD72),0))</f>
        <v>0</v>
      </c>
      <c r="U60" s="80">
        <f>IF(基础状态预期!AA72="",0,IFERROR(基础状态预期!G72*求节点($C$62:$C$63,E$62:E$63,基础状态预期!AA72),0)+IFERROR(基础状态预期!$J72*求节点($C$71:$C$72,E$71:E$72,基础状态预期!$AD72),0))</f>
        <v>0</v>
      </c>
      <c r="V60" s="80">
        <f>IF(基础状态预期!AB72="",0,IFERROR(基础状态预期!H72*求节点($C$62:$C$63,F$62:F$63,基础状态预期!AB72),0)+IFERROR(基础状态预期!$J72*求节点($C$71:$C$72,F$71:F$72,基础状态预期!$AD72),0))</f>
        <v>0</v>
      </c>
      <c r="W60" s="80">
        <f>IF(基础状态预期!AC72="",0,IFERROR(基础状态预期!I72*求节点($C$62:$C$63,G$62:G$63,基础状态预期!AC72),0)+IFERROR(基础状态预期!$J72*求节点($C$71:$C$72,G$71:G$72,基础状态预期!$AD72),0))</f>
        <v>14</v>
      </c>
      <c r="X60" s="80">
        <f>IF(基础状态预期!AD72="",0,IFERROR(基础状态预期!J72*求节点($C$62:$C$63,H$62:H$63,基础状态预期!AD72),0)+IFERROR(基础状态预期!$J72*求节点($C$71:$C$72,H$71:H$72,基础状态预期!$AD72),0))</f>
        <v>0</v>
      </c>
      <c r="Y60" s="80">
        <f>IF(基础状态预期!$H72="",0,IF(基础状态预期!$AB72&lt;=1,基础状态预期!$AB72*D$18,D$18)*基础状态预期!$H72)+
IF(基础状态预期!$I72="",0,IF(基础状态预期!$AC72&lt;=1,基础状态预期!$AC72*D$19,D$19)*基础状态预期!$I72)+
IF(基础状态预期!$J72="",0,IF(基础状态预期!$AD72&lt;=1,基础状态预期!$AD72*D$20,D$20)*基础状态预期!$J72)</f>
        <v>44</v>
      </c>
      <c r="Z60" s="80">
        <f>IF(基础状态预期!$H72="",0,IF(基础状态预期!$AB72&lt;=1,基础状态预期!$AB72*E$18,E$18)*基础状态预期!$H72)+
IF(基础状态预期!$I72="",0,IF(基础状态预期!$AC72&lt;=1,基础状态预期!$AC72*E$19,E$19)*基础状态预期!$I72)+
IF(基础状态预期!$J72="",0,IF(基础状态预期!$AD72&lt;=1,基础状态预期!$AD72*E$20,E$20)*基础状态预期!$J72)</f>
        <v>0</v>
      </c>
      <c r="AA60" s="80">
        <f>IF(基础状态预期!$H72="",0,IF(基础状态预期!$AB72&lt;=1,基础状态预期!$AB72*F$18,F$18)*基础状态预期!$H72)+
IF(基础状态预期!$I72="",0,IF(基础状态预期!$AC72&lt;=1,基础状态预期!$AC72*F$19,F$19)*基础状态预期!$I72)+
IF(基础状态预期!$J72="",0,IF(基础状态预期!$AD72&lt;=1,基础状态预期!$AD72*F$20,F$20)*基础状态预期!$J72)</f>
        <v>0</v>
      </c>
      <c r="AB60" s="67">
        <f>IF(基础状态预期!$H72="",0,IF(基础状态预期!$AB72&lt;=1,0,(基础状态预期!$AB72-1)*G$26)*基础状态预期!$H72)+
IF(基础状态预期!$I72="",0,IF(基础状态预期!$AC72&lt;=1,0,(基础状态预期!$AC72-1)*G$27)*基础状态预期!$I72)+
IF(基础状态预期!$J72="",0,IF(基础状态预期!$AD72&lt;=1,0,(基础状态预期!$AD72-1)*G$28)*基础状态预期!$J72)</f>
        <v>220</v>
      </c>
      <c r="AC60" s="67">
        <f>IF(基础状态预期!$H72="",0,IF(基础状态预期!$AB72&lt;=1,0,(基础状态预期!$AB72-1)*H$26)*基础状态预期!$H72)+
IF(基础状态预期!$I72="",0,IF(基础状态预期!$AC72&lt;=1,0,(基础状态预期!$AC72-1)*H$27)*基础状态预期!$I72)+
IF(基础状态预期!$J72="",0,IF(基础状态预期!$AD72&lt;=1,0,(基础状态预期!$AD72-1)*H$28)*基础状态预期!$J72)</f>
        <v>0</v>
      </c>
      <c r="AD60" s="67">
        <f>IF(基础状态预期!$H72="",0,IF(基础状态预期!$AB72&lt;=1,0,(基础状态预期!$AB72-1)*I$26)*基础状态预期!$H72)+
IF(基础状态预期!$I72="",0,IF(基础状态预期!$AC72&lt;=1,0,(基础状态预期!$AC72-1)*I$27)*基础状态预期!$I72)+
IF(基础状态预期!$J72="",0,IF(基础状态预期!$AD72&lt;=1,0,(基础状态预期!$AD72-1)*I$28)*基础状态预期!$J72)</f>
        <v>0</v>
      </c>
      <c r="AE60" s="80">
        <f>IF(各r阵容卡情况!$H66=0,0,IF(各r阵容卡情况!$AB66&lt;=1,各r阵容卡情况!$AB66*D$18,1*D$18)*各r阵容卡情况!$H66)+
IF(各r阵容卡情况!$I66=0,0,IF(各r阵容卡情况!$AC66&lt;=1,各r阵容卡情况!$AC66*D$19,1*D$19)*各r阵容卡情况!$I66)+
IF(各r阵容卡情况!$J66=0,0,IF(各r阵容卡情况!$AD66&lt;=1,各r阵容卡情况!$AD66*D$20,1*D$20)*各r阵容卡情况!$J66)</f>
        <v>100</v>
      </c>
      <c r="AF60" s="80">
        <f>IF(各r阵容卡情况!$H66=0,0,IF(各r阵容卡情况!$AB66&lt;=1,各r阵容卡情况!$AB66*E$18,1*E$18)*各r阵容卡情况!$H66)+
IF(各r阵容卡情况!$I66=0,0,IF(各r阵容卡情况!$AC66&lt;=1,各r阵容卡情况!$AC66*E$19,1*E$19)*各r阵容卡情况!$I66)+
IF(各r阵容卡情况!$J66=0,0,IF(各r阵容卡情况!$AD66&lt;=1,各r阵容卡情况!$AD66*E$20,1*E$20)*各r阵容卡情况!$J66)</f>
        <v>0</v>
      </c>
      <c r="AG60" s="80">
        <f>IF(各r阵容卡情况!$H66=0,0,IF(各r阵容卡情况!$AB66&lt;=1,各r阵容卡情况!$AB66*F$18,1*F$18)*各r阵容卡情况!$H66)+
IF(各r阵容卡情况!$I66=0,0,IF(各r阵容卡情况!$AC66&lt;=1,各r阵容卡情况!$AC66*F$19,1*F$19)*各r阵容卡情况!$I66)+
IF(各r阵容卡情况!$J66=0,0,IF(各r阵容卡情况!$AD66&lt;=1,各r阵容卡情况!$AD66*F$20,1*F$20)*各r阵容卡情况!$J66)</f>
        <v>0</v>
      </c>
      <c r="AH60" s="67">
        <f>IF(各r阵容卡情况!$H66=0,0,IF(各r阵容卡情况!$AB66&lt;=1,0,(各r阵容卡情况!$AB66-1)*G$26)*各r阵容卡情况!$H66)+
IF(各r阵容卡情况!$I66=0,0,IF(各r阵容卡情况!$AC66&lt;=1,0,(各r阵容卡情况!$AC66-1)*G$27)*各r阵容卡情况!$I66)+
IF(各r阵容卡情况!$J66=0,0,IF(各r阵容卡情况!$AD66&lt;=1,0,(各r阵容卡情况!$AD66-1)*G$28)*各r阵容卡情况!$J66)</f>
        <v>500</v>
      </c>
      <c r="AI60" s="67">
        <f>IF(各r阵容卡情况!$H66=0,0,IF(各r阵容卡情况!$AB66&lt;=1,0,(各r阵容卡情况!$AB66-1)*H$26)*各r阵容卡情况!$H66)+
IF(各r阵容卡情况!$I66=0,0,IF(各r阵容卡情况!$AC66&lt;=1,0,(各r阵容卡情况!$AC66-1)*H$27)*各r阵容卡情况!$I66)+
IF(各r阵容卡情况!$J66=0,0,IF(各r阵容卡情况!$AD66&lt;=1,0,(各r阵容卡情况!$AD66-1)*H$28)*各r阵容卡情况!$J66)</f>
        <v>0</v>
      </c>
      <c r="AJ60" s="67">
        <f>IF(各r阵容卡情况!$H66=0,0,IF(各r阵容卡情况!$AB66&lt;=1,0,(各r阵容卡情况!$AB66-1)*I$26)*各r阵容卡情况!$H66)+
IF(各r阵容卡情况!$I66=0,0,IF(各r阵容卡情况!$AC66&lt;=1,0,(各r阵容卡情况!$AC66-1)*I$27)*各r阵容卡情况!$I66)+
IF(各r阵容卡情况!$J66=0,0,IF(各r阵容卡情况!$AD66&lt;=1,0,(各r阵容卡情况!$AD66-1)*I$28)*各r阵容卡情况!$J66)</f>
        <v>0</v>
      </c>
      <c r="AL60" s="80">
        <f t="shared" si="42"/>
        <v>60</v>
      </c>
      <c r="AM60" s="80">
        <f t="shared" si="43"/>
        <v>40.341271157995259</v>
      </c>
      <c r="AN60" s="80">
        <f t="shared" si="44"/>
        <v>0</v>
      </c>
      <c r="AO60" s="80">
        <f t="shared" si="45"/>
        <v>0</v>
      </c>
      <c r="AP60" s="80">
        <f t="shared" si="46"/>
        <v>201.7063557899763</v>
      </c>
      <c r="AQ60" s="80">
        <f t="shared" si="47"/>
        <v>0</v>
      </c>
      <c r="AR60" s="80">
        <f t="shared" si="48"/>
        <v>0</v>
      </c>
      <c r="AS60" s="80">
        <f t="shared" si="49"/>
        <v>75.412711579952585</v>
      </c>
      <c r="AT60" s="80">
        <f t="shared" si="50"/>
        <v>0</v>
      </c>
      <c r="AU60" s="80">
        <f t="shared" si="51"/>
        <v>0</v>
      </c>
      <c r="AV60" s="80">
        <f t="shared" si="52"/>
        <v>377.06355789976294</v>
      </c>
      <c r="AW60" s="80">
        <f t="shared" si="53"/>
        <v>0</v>
      </c>
      <c r="AX60" s="80">
        <f t="shared" si="54"/>
        <v>0</v>
      </c>
      <c r="AY60" s="61" t="e">
        <f>SUMPRODUCT(AM60:AR60/'[1]功能-行军令'!$GI$26:$GN$26+AS60:AX60/'[1]功能-行军令'!$GI$26:$GN$26)/0.18</f>
        <v>#DIV/0!</v>
      </c>
      <c r="BB60" s="80">
        <v>120</v>
      </c>
      <c r="BC60" s="80"/>
      <c r="BD60" s="80"/>
      <c r="BE60" s="80"/>
      <c r="BF60" s="80"/>
      <c r="BG60" s="80"/>
      <c r="BH60" s="80"/>
      <c r="BI60" s="80"/>
      <c r="BJ60" s="80"/>
      <c r="BK60" s="80">
        <f t="shared" si="58"/>
        <v>0</v>
      </c>
      <c r="BO60" s="80">
        <f t="shared" si="39"/>
        <v>72.103942950990486</v>
      </c>
      <c r="BP60" s="80">
        <f t="shared" si="40"/>
        <v>10770000</v>
      </c>
      <c r="BQ60" s="80">
        <f>(BP60-BP59)*INDEX('[1]功能-付费相关'!$AR$6:$AR$165,$BO60,1)+BQ59</f>
        <v>14473.067582256408</v>
      </c>
      <c r="BR60" s="80"/>
      <c r="BS60" s="80"/>
      <c r="BU60" s="80">
        <v>120</v>
      </c>
      <c r="BV60" s="80">
        <f t="shared" si="41"/>
        <v>16129.191064037783</v>
      </c>
      <c r="BW60" s="86">
        <f t="shared" si="57"/>
        <v>20865.600000000002</v>
      </c>
      <c r="BX60" s="80"/>
      <c r="BY60" s="80">
        <f t="shared" si="59"/>
        <v>36994.791064037781</v>
      </c>
    </row>
    <row r="61" spans="1:77" x14ac:dyDescent="0.15">
      <c r="B61" s="201" t="s">
        <v>552</v>
      </c>
      <c r="C61" s="80" t="s">
        <v>272</v>
      </c>
      <c r="D61" s="80" t="s">
        <v>3</v>
      </c>
      <c r="E61" s="80" t="s">
        <v>1</v>
      </c>
      <c r="F61" s="80" t="s">
        <v>2</v>
      </c>
      <c r="G61" s="80" t="s">
        <v>0</v>
      </c>
      <c r="H61" s="80" t="s">
        <v>545</v>
      </c>
      <c r="I61" s="80" t="s">
        <v>30</v>
      </c>
      <c r="L61" s="61">
        <v>15</v>
      </c>
      <c r="M61" s="80">
        <f>基础状态预期!D73</f>
        <v>72.103942950990486</v>
      </c>
      <c r="N61" s="80">
        <f>IF(基础状态预期!F73="",0,IF(基础状态预期!Z73&lt;=1,基础状态预期!Z73*D$4,1*D$4+(基础状态预期!Z73-1)*武将觉醒!D$5))</f>
        <v>0</v>
      </c>
      <c r="O61" s="80">
        <f>IF(基础状态预期!G73="",0,IF(基础状态预期!AA73&lt;=1,基础状态预期!AA73*E$4,1*E$4+(基础状态预期!AA73-1)*武将觉醒!E$5))</f>
        <v>0</v>
      </c>
      <c r="P61" s="80">
        <f>IF(基础状态预期!H73="",0,IF(基础状态预期!AB73&lt;=1,基础状态预期!AB73*F$4,1*F$4+(基础状态预期!AB73-1)*武将觉醒!F$5))</f>
        <v>0</v>
      </c>
      <c r="Q61" s="80">
        <f>IF(基础状态预期!I73="",0,IF(基础状态预期!AC73&lt;=1,基础状态预期!AC73*G$4,1*G$4+(基础状态预期!AC73-1)*武将觉醒!G$5))</f>
        <v>520000</v>
      </c>
      <c r="R61" s="80">
        <f>IF(基础状态预期!J73="",0,IF(基础状态预期!AD73&lt;=1,基础状态预期!AD73*H$4,1*H$4+(基础状态预期!AD73-1)*武将觉醒!H$5))</f>
        <v>2050000</v>
      </c>
      <c r="S61" s="80">
        <f>MAX(SUMPRODUCT(N61:R61,基础状态预期!F73:J73),S60)</f>
        <v>10770000</v>
      </c>
      <c r="T61" s="80">
        <f>IF(基础状态预期!Z73="",0,IFERROR(基础状态预期!F73*求节点($C$62:$C$63,D$62:D$63,基础状态预期!Z73),0)+IFERROR(基础状态预期!$J73*求节点($C$71:$C$72,D$71:D$72,基础状态预期!$AD73),0))</f>
        <v>0</v>
      </c>
      <c r="U61" s="80">
        <f>IF(基础状态预期!AA73="",0,IFERROR(基础状态预期!G73*求节点($C$62:$C$63,E$62:E$63,基础状态预期!AA73),0)+IFERROR(基础状态预期!$J73*求节点($C$71:$C$72,E$71:E$72,基础状态预期!$AD73),0))</f>
        <v>0</v>
      </c>
      <c r="V61" s="80">
        <f>IF(基础状态预期!AB73="",0,IFERROR(基础状态预期!H73*求节点($C$62:$C$63,F$62:F$63,基础状态预期!AB73),0)+IFERROR(基础状态预期!$J73*求节点($C$71:$C$72,F$71:F$72,基础状态预期!$AD73),0))</f>
        <v>0</v>
      </c>
      <c r="W61" s="80">
        <f>IF(基础状态预期!AC73="",0,IFERROR(基础状态预期!I73*求节点($C$62:$C$63,G$62:G$63,基础状态预期!AC73),0)+IFERROR(基础状态预期!$J73*求节点($C$71:$C$72,G$71:G$72,基础状态预期!$AD73),0))</f>
        <v>16</v>
      </c>
      <c r="X61" s="80">
        <f>IF(基础状态预期!AD73="",0,IFERROR(基础状态预期!J73*求节点($C$62:$C$63,H$62:H$63,基础状态预期!AD73),0)+IFERROR(基础状态预期!$J73*求节点($C$71:$C$72,H$71:H$72,基础状态预期!$AD73),0))</f>
        <v>0</v>
      </c>
      <c r="Y61" s="80">
        <f>IF(基础状态预期!$H73="",0,IF(基础状态预期!$AB73&lt;=1,基础状态预期!$AB73*D$18,D$18)*基础状态预期!$H73)+
IF(基础状态预期!$I73="",0,IF(基础状态预期!$AC73&lt;=1,基础状态预期!$AC73*D$19,D$19)*基础状态预期!$I73)+
IF(基础状态预期!$J73="",0,IF(基础状态预期!$AD73&lt;=1,基础状态预期!$AD73*D$20,D$20)*基础状态预期!$J73)</f>
        <v>46</v>
      </c>
      <c r="Z61" s="80">
        <f>IF(基础状态预期!$H73="",0,IF(基础状态预期!$AB73&lt;=1,基础状态预期!$AB73*E$18,E$18)*基础状态预期!$H73)+
IF(基础状态预期!$I73="",0,IF(基础状态预期!$AC73&lt;=1,基础状态预期!$AC73*E$19,E$19)*基础状态预期!$I73)+
IF(基础状态预期!$J73="",0,IF(基础状态预期!$AD73&lt;=1,基础状态预期!$AD73*E$20,E$20)*基础状态预期!$J73)</f>
        <v>0</v>
      </c>
      <c r="AA61" s="80">
        <f>IF(基础状态预期!$H73="",0,IF(基础状态预期!$AB73&lt;=1,基础状态预期!$AB73*F$18,F$18)*基础状态预期!$H73)+
IF(基础状态预期!$I73="",0,IF(基础状态预期!$AC73&lt;=1,基础状态预期!$AC73*F$19,F$19)*基础状态预期!$I73)+
IF(基础状态预期!$J73="",0,IF(基础状态预期!$AD73&lt;=1,基础状态预期!$AD73*F$20,F$20)*基础状态预期!$J73)</f>
        <v>0</v>
      </c>
      <c r="AB61" s="67">
        <f>IF(基础状态预期!$H73="",0,IF(基础状态预期!$AB73&lt;=1,0,(基础状态预期!$AB73-1)*G$26)*基础状态预期!$H73)+
IF(基础状态预期!$I73="",0,IF(基础状态预期!$AC73&lt;=1,0,(基础状态预期!$AC73-1)*G$27)*基础状态预期!$I73)+
IF(基础状态预期!$J73="",0,IF(基础状态预期!$AD73&lt;=1,0,(基础状态预期!$AD73-1)*G$28)*基础状态预期!$J73)</f>
        <v>230</v>
      </c>
      <c r="AC61" s="67">
        <f>IF(基础状态预期!$H73="",0,IF(基础状态预期!$AB73&lt;=1,0,(基础状态预期!$AB73-1)*H$26)*基础状态预期!$H73)+
IF(基础状态预期!$I73="",0,IF(基础状态预期!$AC73&lt;=1,0,(基础状态预期!$AC73-1)*H$27)*基础状态预期!$I73)+
IF(基础状态预期!$J73="",0,IF(基础状态预期!$AD73&lt;=1,0,(基础状态预期!$AD73-1)*H$28)*基础状态预期!$J73)</f>
        <v>0</v>
      </c>
      <c r="AD61" s="67">
        <f>IF(基础状态预期!$H73="",0,IF(基础状态预期!$AB73&lt;=1,0,(基础状态预期!$AB73-1)*I$26)*基础状态预期!$H73)+
IF(基础状态预期!$I73="",0,IF(基础状态预期!$AC73&lt;=1,0,(基础状态预期!$AC73-1)*I$27)*基础状态预期!$I73)+
IF(基础状态预期!$J73="",0,IF(基础状态预期!$AD73&lt;=1,0,(基础状态预期!$AD73-1)*I$28)*基础状态预期!$J73)</f>
        <v>0</v>
      </c>
      <c r="AE61" s="80">
        <f>IF(各r阵容卡情况!$H67=0,0,IF(各r阵容卡情况!$AB67&lt;=1,各r阵容卡情况!$AB67*D$18,1*D$18)*各r阵容卡情况!$H67)+
IF(各r阵容卡情况!$I67=0,0,IF(各r阵容卡情况!$AC67&lt;=1,各r阵容卡情况!$AC67*D$19,1*D$19)*各r阵容卡情况!$I67)+
IF(各r阵容卡情况!$J67=0,0,IF(各r阵容卡情况!$AD67&lt;=1,各r阵容卡情况!$AD67*D$20,1*D$20)*各r阵容卡情况!$J67)</f>
        <v>120</v>
      </c>
      <c r="AF61" s="80">
        <f>IF(各r阵容卡情况!$H67=0,0,IF(各r阵容卡情况!$AB67&lt;=1,各r阵容卡情况!$AB67*E$18,1*E$18)*各r阵容卡情况!$H67)+
IF(各r阵容卡情况!$I67=0,0,IF(各r阵容卡情况!$AC67&lt;=1,各r阵容卡情况!$AC67*E$19,1*E$19)*各r阵容卡情况!$I67)+
IF(各r阵容卡情况!$J67=0,0,IF(各r阵容卡情况!$AD67&lt;=1,各r阵容卡情况!$AD67*E$20,1*E$20)*各r阵容卡情况!$J67)</f>
        <v>0</v>
      </c>
      <c r="AG61" s="80">
        <f>IF(各r阵容卡情况!$H67=0,0,IF(各r阵容卡情况!$AB67&lt;=1,各r阵容卡情况!$AB67*F$18,1*F$18)*各r阵容卡情况!$H67)+
IF(各r阵容卡情况!$I67=0,0,IF(各r阵容卡情况!$AC67&lt;=1,各r阵容卡情况!$AC67*F$19,1*F$19)*各r阵容卡情况!$I67)+
IF(各r阵容卡情况!$J67=0,0,IF(各r阵容卡情况!$AD67&lt;=1,各r阵容卡情况!$AD67*F$20,1*F$20)*各r阵容卡情况!$J67)</f>
        <v>0</v>
      </c>
      <c r="AH61" s="67">
        <f>IF(各r阵容卡情况!$H67=0,0,IF(各r阵容卡情况!$AB67&lt;=1,0,(各r阵容卡情况!$AB67-1)*G$26)*各r阵容卡情况!$H67)+
IF(各r阵容卡情况!$I67=0,0,IF(各r阵容卡情况!$AC67&lt;=1,0,(各r阵容卡情况!$AC67-1)*G$27)*各r阵容卡情况!$I67)+
IF(各r阵容卡情况!$J67=0,0,IF(各r阵容卡情况!$AD67&lt;=1,0,(各r阵容卡情况!$AD67-1)*G$28)*各r阵容卡情况!$J67)</f>
        <v>600</v>
      </c>
      <c r="AI61" s="67">
        <f>IF(各r阵容卡情况!$H67=0,0,IF(各r阵容卡情况!$AB67&lt;=1,0,(各r阵容卡情况!$AB67-1)*H$26)*各r阵容卡情况!$H67)+
IF(各r阵容卡情况!$I67=0,0,IF(各r阵容卡情况!$AC67&lt;=1,0,(各r阵容卡情况!$AC67-1)*H$27)*各r阵容卡情况!$I67)+
IF(各r阵容卡情况!$J67=0,0,IF(各r阵容卡情况!$AD67&lt;=1,0,(各r阵容卡情况!$AD67-1)*H$28)*各r阵容卡情况!$J67)</f>
        <v>0</v>
      </c>
      <c r="AJ61" s="67">
        <f>IF(各r阵容卡情况!$H67=0,0,IF(各r阵容卡情况!$AB67&lt;=1,0,(各r阵容卡情况!$AB67-1)*I$26)*各r阵容卡情况!$H67)+
IF(各r阵容卡情况!$I67=0,0,IF(各r阵容卡情况!$AC67&lt;=1,0,(各r阵容卡情况!$AC67-1)*I$27)*各r阵容卡情况!$I67)+
IF(各r阵容卡情况!$J67=0,0,IF(各r阵容卡情况!$AD67&lt;=1,0,(各r阵容卡情况!$AD67-1)*I$28)*各r阵容卡情况!$J67)</f>
        <v>0</v>
      </c>
      <c r="AL61" s="80">
        <f t="shared" si="42"/>
        <v>65</v>
      </c>
      <c r="AM61" s="80">
        <f t="shared" si="43"/>
        <v>42.105730630670294</v>
      </c>
      <c r="AN61" s="80">
        <f t="shared" si="44"/>
        <v>0</v>
      </c>
      <c r="AO61" s="80">
        <f t="shared" si="45"/>
        <v>0</v>
      </c>
      <c r="AP61" s="80">
        <f t="shared" si="46"/>
        <v>210.52865315335146</v>
      </c>
      <c r="AQ61" s="80">
        <f t="shared" si="47"/>
        <v>0</v>
      </c>
      <c r="AR61" s="80">
        <f t="shared" si="48"/>
        <v>0</v>
      </c>
      <c r="AS61" s="80">
        <f t="shared" si="49"/>
        <v>92.422922522681162</v>
      </c>
      <c r="AT61" s="80">
        <f t="shared" si="50"/>
        <v>0</v>
      </c>
      <c r="AU61" s="80">
        <f t="shared" si="51"/>
        <v>0</v>
      </c>
      <c r="AV61" s="80">
        <f t="shared" si="52"/>
        <v>462.11461261340582</v>
      </c>
      <c r="AW61" s="80">
        <f t="shared" si="53"/>
        <v>0</v>
      </c>
      <c r="AX61" s="80">
        <f t="shared" si="54"/>
        <v>0</v>
      </c>
      <c r="AY61" s="61" t="e">
        <f>SUMPRODUCT(AM61:AR61/'[1]功能-行军令'!$GI$26:$GN$26+AS61:AX61/'[1]功能-行军令'!$GI$26:$GN$26)/0.18</f>
        <v>#DIV/0!</v>
      </c>
      <c r="BB61" s="80">
        <v>130</v>
      </c>
      <c r="BC61" s="80"/>
      <c r="BD61" s="80"/>
      <c r="BE61" s="80"/>
      <c r="BF61" s="80"/>
      <c r="BG61" s="80"/>
      <c r="BH61" s="80"/>
      <c r="BI61" s="80"/>
      <c r="BJ61" s="80"/>
      <c r="BK61" s="80">
        <f t="shared" si="58"/>
        <v>0</v>
      </c>
      <c r="BO61" s="80">
        <f t="shared" si="39"/>
        <v>74.74003809013405</v>
      </c>
      <c r="BP61" s="80">
        <f t="shared" si="40"/>
        <v>11535000</v>
      </c>
      <c r="BQ61" s="80">
        <f>(BP61-BP60)*INDEX('[1]功能-付费相关'!$AR$6:$AR$165,$BO61,1)+BQ60</f>
        <v>15311.883371730091</v>
      </c>
      <c r="BR61" s="80"/>
      <c r="BS61" s="80"/>
      <c r="BU61" s="80">
        <v>130</v>
      </c>
      <c r="BV61" s="80">
        <f t="shared" si="41"/>
        <v>16129.191064037783</v>
      </c>
      <c r="BW61" s="86">
        <f t="shared" si="57"/>
        <v>20865.600000000002</v>
      </c>
      <c r="BX61" s="80"/>
      <c r="BY61" s="80">
        <f t="shared" si="59"/>
        <v>36994.791064037781</v>
      </c>
    </row>
    <row r="62" spans="1:77" x14ac:dyDescent="0.15">
      <c r="B62" s="201"/>
      <c r="C62" s="80">
        <v>1</v>
      </c>
      <c r="D62" s="80">
        <f>SUM(D$33:D33)</f>
        <v>0</v>
      </c>
      <c r="E62" s="80">
        <f>SUM(E$33:E33)</f>
        <v>0</v>
      </c>
      <c r="F62" s="80">
        <f>SUM(F$33:F33)</f>
        <v>0</v>
      </c>
      <c r="G62" s="80">
        <f>SUM(G$33:G33)</f>
        <v>0</v>
      </c>
      <c r="H62" s="80">
        <f>SUM(H$33:H33)</f>
        <v>0</v>
      </c>
      <c r="I62" s="80"/>
      <c r="L62" s="61">
        <v>16</v>
      </c>
      <c r="M62" s="80">
        <f>基础状态预期!D74</f>
        <v>74.74003809013405</v>
      </c>
      <c r="N62" s="80">
        <f>IF(基础状态预期!F74="",0,IF(基础状态预期!Z74&lt;=1,基础状态预期!Z74*D$4,1*D$4+(基础状态预期!Z74-1)*武将觉醒!D$5))</f>
        <v>0</v>
      </c>
      <c r="O62" s="80">
        <f>IF(基础状态预期!G74="",0,IF(基础状态预期!AA74&lt;=1,基础状态预期!AA74*E$4,1*E$4+(基础状态预期!AA74-1)*武将觉醒!E$5))</f>
        <v>0</v>
      </c>
      <c r="P62" s="80">
        <f>IF(基础状态预期!H74="",0,IF(基础状态预期!AB74&lt;=1,基础状态预期!AB74*F$4,1*F$4+(基础状态预期!AB74-1)*武将觉醒!F$5))</f>
        <v>0</v>
      </c>
      <c r="Q62" s="80">
        <f>IF(基础状态预期!I74="",0,IF(基础状态预期!AC74&lt;=1,基础状态预期!AC74*G$4,1*G$4+(基础状态预期!AC74-1)*武将觉醒!G$5))</f>
        <v>520000</v>
      </c>
      <c r="R62" s="80">
        <f>IF(基础状态预期!J74="",0,IF(基础状态预期!AD74&lt;=1,基础状态预期!AD74*H$4,1*H$4+(基础状态预期!AD74-1)*武将觉醒!H$5))</f>
        <v>2050000</v>
      </c>
      <c r="S62" s="80">
        <f>MAX(SUMPRODUCT(N62:R62,基础状态预期!F74:J74),S61)</f>
        <v>11535000</v>
      </c>
      <c r="T62" s="80">
        <f>IF(基础状态预期!Z74="",0,IFERROR(基础状态预期!F74*求节点($C$62:$C$63,D$62:D$63,基础状态预期!Z74),0)+IFERROR(基础状态预期!$J74*求节点($C$71:$C$72,D$71:D$72,基础状态预期!$AD74),0))</f>
        <v>0</v>
      </c>
      <c r="U62" s="80">
        <f>IF(基础状态预期!AA74="",0,IFERROR(基础状态预期!G74*求节点($C$62:$C$63,E$62:E$63,基础状态预期!AA74),0)+IFERROR(基础状态预期!$J74*求节点($C$71:$C$72,E$71:E$72,基础状态预期!$AD74),0))</f>
        <v>0</v>
      </c>
      <c r="V62" s="80">
        <f>IF(基础状态预期!AB74="",0,IFERROR(基础状态预期!H74*求节点($C$62:$C$63,F$62:F$63,基础状态预期!AB74),0)+IFERROR(基础状态预期!$J74*求节点($C$71:$C$72,F$71:F$72,基础状态预期!$AD74),0))</f>
        <v>0</v>
      </c>
      <c r="W62" s="80">
        <f>IF(基础状态预期!AC74="",0,IFERROR(基础状态预期!I74*求节点($C$62:$C$63,G$62:G$63,基础状态预期!AC74),0)+IFERROR(基础状态预期!$J74*求节点($C$71:$C$72,G$71:G$72,基础状态预期!$AD74),0))</f>
        <v>17</v>
      </c>
      <c r="X62" s="80">
        <f>IF(基础状态预期!AD74="",0,IFERROR(基础状态预期!J74*求节点($C$62:$C$63,H$62:H$63,基础状态预期!AD74),0)+IFERROR(基础状态预期!$J74*求节点($C$71:$C$72,H$71:H$72,基础状态预期!$AD74),0))</f>
        <v>0</v>
      </c>
      <c r="Y62" s="80">
        <f>IF(基础状态预期!$H74="",0,IF(基础状态预期!$AB74&lt;=1,基础状态预期!$AB74*D$18,D$18)*基础状态预期!$H74)+
IF(基础状态预期!$I74="",0,IF(基础状态预期!$AC74&lt;=1,基础状态预期!$AC74*D$19,D$19)*基础状态预期!$I74)+
IF(基础状态预期!$J74="",0,IF(基础状态预期!$AD74&lt;=1,基础状态预期!$AD74*D$20,D$20)*基础状态预期!$J74)</f>
        <v>47</v>
      </c>
      <c r="Z62" s="80">
        <f>IF(基础状态预期!$H74="",0,IF(基础状态预期!$AB74&lt;=1,基础状态预期!$AB74*E$18,E$18)*基础状态预期!$H74)+
IF(基础状态预期!$I74="",0,IF(基础状态预期!$AC74&lt;=1,基础状态预期!$AC74*E$19,E$19)*基础状态预期!$I74)+
IF(基础状态预期!$J74="",0,IF(基础状态预期!$AD74&lt;=1,基础状态预期!$AD74*E$20,E$20)*基础状态预期!$J74)</f>
        <v>0</v>
      </c>
      <c r="AA62" s="80">
        <f>IF(基础状态预期!$H74="",0,IF(基础状态预期!$AB74&lt;=1,基础状态预期!$AB74*F$18,F$18)*基础状态预期!$H74)+
IF(基础状态预期!$I74="",0,IF(基础状态预期!$AC74&lt;=1,基础状态预期!$AC74*F$19,F$19)*基础状态预期!$I74)+
IF(基础状态预期!$J74="",0,IF(基础状态预期!$AD74&lt;=1,基础状态预期!$AD74*F$20,F$20)*基础状态预期!$J74)</f>
        <v>0</v>
      </c>
      <c r="AB62" s="67">
        <f>IF(基础状态预期!$H74="",0,IF(基础状态预期!$AB74&lt;=1,0,(基础状态预期!$AB74-1)*G$26)*基础状态预期!$H74)+
IF(基础状态预期!$I74="",0,IF(基础状态预期!$AC74&lt;=1,0,(基础状态预期!$AC74-1)*G$27)*基础状态预期!$I74)+
IF(基础状态预期!$J74="",0,IF(基础状态预期!$AD74&lt;=1,0,(基础状态预期!$AD74-1)*G$28)*基础状态预期!$J74)</f>
        <v>235</v>
      </c>
      <c r="AC62" s="67">
        <f>IF(基础状态预期!$H74="",0,IF(基础状态预期!$AB74&lt;=1,0,(基础状态预期!$AB74-1)*H$26)*基础状态预期!$H74)+
IF(基础状态预期!$I74="",0,IF(基础状态预期!$AC74&lt;=1,0,(基础状态预期!$AC74-1)*H$27)*基础状态预期!$I74)+
IF(基础状态预期!$J74="",0,IF(基础状态预期!$AD74&lt;=1,0,(基础状态预期!$AD74-1)*H$28)*基础状态预期!$J74)</f>
        <v>0</v>
      </c>
      <c r="AD62" s="67">
        <f>IF(基础状态预期!$H74="",0,IF(基础状态预期!$AB74&lt;=1,0,(基础状态预期!$AB74-1)*I$26)*基础状态预期!$H74)+
IF(基础状态预期!$I74="",0,IF(基础状态预期!$AC74&lt;=1,0,(基础状态预期!$AC74-1)*I$27)*基础状态预期!$I74)+
IF(基础状态预期!$J74="",0,IF(基础状态预期!$AD74&lt;=1,0,(基础状态预期!$AD74-1)*I$28)*基础状态预期!$J74)</f>
        <v>0</v>
      </c>
      <c r="AE62" s="80">
        <f>IF(各r阵容卡情况!$H68=0,0,IF(各r阵容卡情况!$AB68&lt;=1,各r阵容卡情况!$AB68*D$18,1*D$18)*各r阵容卡情况!$H68)+
IF(各r阵容卡情况!$I68=0,0,IF(各r阵容卡情况!$AC68&lt;=1,各r阵容卡情况!$AC68*D$19,1*D$19)*各r阵容卡情况!$I68)+
IF(各r阵容卡情况!$J68=0,0,IF(各r阵容卡情况!$AD68&lt;=1,各r阵容卡情况!$AD68*D$20,1*D$20)*各r阵容卡情况!$J68)</f>
        <v>120</v>
      </c>
      <c r="AF62" s="80">
        <f>IF(各r阵容卡情况!$H68=0,0,IF(各r阵容卡情况!$AB68&lt;=1,各r阵容卡情况!$AB68*E$18,1*E$18)*各r阵容卡情况!$H68)+
IF(各r阵容卡情况!$I68=0,0,IF(各r阵容卡情况!$AC68&lt;=1,各r阵容卡情况!$AC68*E$19,1*E$19)*各r阵容卡情况!$I68)+
IF(各r阵容卡情况!$J68=0,0,IF(各r阵容卡情况!$AD68&lt;=1,各r阵容卡情况!$AD68*E$20,1*E$20)*各r阵容卡情况!$J68)</f>
        <v>0</v>
      </c>
      <c r="AG62" s="80">
        <f>IF(各r阵容卡情况!$H68=0,0,IF(各r阵容卡情况!$AB68&lt;=1,各r阵容卡情况!$AB68*F$18,1*F$18)*各r阵容卡情况!$H68)+
IF(各r阵容卡情况!$I68=0,0,IF(各r阵容卡情况!$AC68&lt;=1,各r阵容卡情况!$AC68*F$19,1*F$19)*各r阵容卡情况!$I68)+
IF(各r阵容卡情况!$J68=0,0,IF(各r阵容卡情况!$AD68&lt;=1,各r阵容卡情况!$AD68*F$20,1*F$20)*各r阵容卡情况!$J68)</f>
        <v>0</v>
      </c>
      <c r="AH62" s="67">
        <f>IF(各r阵容卡情况!$H68=0,0,IF(各r阵容卡情况!$AB68&lt;=1,0,(各r阵容卡情况!$AB68-1)*G$26)*各r阵容卡情况!$H68)+
IF(各r阵容卡情况!$I68=0,0,IF(各r阵容卡情况!$AC68&lt;=1,0,(各r阵容卡情况!$AC68-1)*G$27)*各r阵容卡情况!$I68)+
IF(各r阵容卡情况!$J68=0,0,IF(各r阵容卡情况!$AD68&lt;=1,0,(各r阵容卡情况!$AD68-1)*G$28)*各r阵容卡情况!$J68)</f>
        <v>600</v>
      </c>
      <c r="AI62" s="67">
        <f>IF(各r阵容卡情况!$H68=0,0,IF(各r阵容卡情况!$AB68&lt;=1,0,(各r阵容卡情况!$AB68-1)*H$26)*各r阵容卡情况!$H68)+
IF(各r阵容卡情况!$I68=0,0,IF(各r阵容卡情况!$AC68&lt;=1,0,(各r阵容卡情况!$AC68-1)*H$27)*各r阵容卡情况!$I68)+
IF(各r阵容卡情况!$J68=0,0,IF(各r阵容卡情况!$AD68&lt;=1,0,(各r阵容卡情况!$AD68-1)*H$28)*各r阵容卡情况!$J68)</f>
        <v>0</v>
      </c>
      <c r="AJ62" s="67">
        <f>IF(各r阵容卡情况!$H68=0,0,IF(各r阵容卡情况!$AB68&lt;=1,0,(各r阵容卡情况!$AB68-1)*I$26)*各r阵容卡情况!$H68)+
IF(各r阵容卡情况!$I68=0,0,IF(各r阵容卡情况!$AC68&lt;=1,0,(各r阵容卡情况!$AC68-1)*I$27)*各r阵容卡情况!$I68)+
IF(各r阵容卡情况!$J68=0,0,IF(各r阵容卡情况!$AD68&lt;=1,0,(各r阵容卡情况!$AD68-1)*I$28)*各r阵容卡情况!$J68)</f>
        <v>0</v>
      </c>
      <c r="AL62" s="80">
        <f t="shared" si="42"/>
        <v>70</v>
      </c>
      <c r="AM62" s="80">
        <f t="shared" si="43"/>
        <v>44.67697818675088</v>
      </c>
      <c r="AN62" s="80">
        <f t="shared" si="44"/>
        <v>0</v>
      </c>
      <c r="AO62" s="80">
        <f t="shared" si="45"/>
        <v>0</v>
      </c>
      <c r="AP62" s="80">
        <f t="shared" si="46"/>
        <v>223.38489093375441</v>
      </c>
      <c r="AQ62" s="80">
        <f t="shared" si="47"/>
        <v>0</v>
      </c>
      <c r="AR62" s="80">
        <f t="shared" si="48"/>
        <v>0</v>
      </c>
      <c r="AS62" s="80">
        <f t="shared" si="49"/>
        <v>106.7697818675088</v>
      </c>
      <c r="AT62" s="80">
        <f t="shared" si="50"/>
        <v>0</v>
      </c>
      <c r="AU62" s="80">
        <f t="shared" si="51"/>
        <v>0</v>
      </c>
      <c r="AV62" s="80">
        <f t="shared" si="52"/>
        <v>533.848909337544</v>
      </c>
      <c r="AW62" s="80">
        <f t="shared" si="53"/>
        <v>0</v>
      </c>
      <c r="AX62" s="80">
        <f t="shared" si="54"/>
        <v>0</v>
      </c>
      <c r="AY62" s="61" t="e">
        <f>SUMPRODUCT(AM62:AR62/'[1]功能-行军令'!$GI$26:$GN$26+AS62:AX62/'[1]功能-行军令'!$GI$26:$GN$26)/0.18</f>
        <v>#DIV/0!</v>
      </c>
      <c r="BB62" s="80">
        <v>140</v>
      </c>
      <c r="BC62" s="80"/>
      <c r="BD62" s="80"/>
      <c r="BE62" s="80"/>
      <c r="BF62" s="80"/>
      <c r="BG62" s="80"/>
      <c r="BH62" s="80"/>
      <c r="BI62" s="80"/>
      <c r="BJ62" s="80"/>
      <c r="BK62" s="80">
        <f t="shared" si="58"/>
        <v>0</v>
      </c>
      <c r="BO62" s="80">
        <f t="shared" si="39"/>
        <v>77.609642525433856</v>
      </c>
      <c r="BP62" s="80">
        <f t="shared" si="40"/>
        <v>12300000</v>
      </c>
      <c r="BQ62" s="80">
        <f>(BP62-BP61)*INDEX('[1]功能-付费相关'!$AR$6:$AR$165,$BO62,1)+BQ61</f>
        <v>16129.191064037783</v>
      </c>
      <c r="BR62" s="80"/>
      <c r="BS62" s="80"/>
      <c r="BU62" s="80">
        <v>140</v>
      </c>
      <c r="BV62" s="80">
        <f t="shared" si="41"/>
        <v>16129.191064037783</v>
      </c>
      <c r="BW62" s="86">
        <f t="shared" si="57"/>
        <v>20865.600000000002</v>
      </c>
      <c r="BX62" s="80"/>
      <c r="BY62" s="80">
        <f t="shared" si="59"/>
        <v>36994.791064037781</v>
      </c>
    </row>
    <row r="63" spans="1:77" x14ac:dyDescent="0.15">
      <c r="B63" s="201"/>
      <c r="C63" s="80">
        <v>2</v>
      </c>
      <c r="D63" s="80">
        <f>SUM(D$33:D34)</f>
        <v>0</v>
      </c>
      <c r="E63" s="80">
        <f>SUM(E$33:E34)</f>
        <v>0</v>
      </c>
      <c r="F63" s="80">
        <f>SUM(F$33:F34)</f>
        <v>5</v>
      </c>
      <c r="G63" s="80">
        <f>SUM(G$33:G34)</f>
        <v>1</v>
      </c>
      <c r="H63" s="80">
        <f>SUM(H$33:H34)</f>
        <v>0</v>
      </c>
      <c r="I63" s="80"/>
      <c r="L63" s="61">
        <v>17</v>
      </c>
      <c r="M63" s="80">
        <f>基础状态预期!D75</f>
        <v>77.609642525433856</v>
      </c>
      <c r="N63" s="80">
        <f>IF(基础状态预期!F75="",0,IF(基础状态预期!Z75&lt;=1,基础状态预期!Z75*D$4,1*D$4+(基础状态预期!Z75-1)*武将觉醒!D$5))</f>
        <v>0</v>
      </c>
      <c r="O63" s="80">
        <f>IF(基础状态预期!G75="",0,IF(基础状态预期!AA75&lt;=1,基础状态预期!AA75*E$4,1*E$4+(基础状态预期!AA75-1)*武将觉醒!E$5))</f>
        <v>0</v>
      </c>
      <c r="P63" s="80">
        <f>IF(基础状态预期!H75="",0,IF(基础状态预期!AB75&lt;=1,基础状态预期!AB75*F$4,1*F$4+(基础状态预期!AB75-1)*武将觉醒!F$5))</f>
        <v>0</v>
      </c>
      <c r="Q63" s="80">
        <f>IF(基础状态预期!I75="",0,IF(基础状态预期!AC75&lt;=1,基础状态预期!AC75*G$4,1*G$4+(基础状态预期!AC75-1)*武将觉醒!G$5))</f>
        <v>0</v>
      </c>
      <c r="R63" s="80">
        <f>IF(基础状态预期!J75="",0,IF(基础状态预期!AD75&lt;=1,基础状态预期!AD75*H$4,1*H$4+(基础状态预期!AD75-1)*武将觉醒!H$5))</f>
        <v>2050000</v>
      </c>
      <c r="S63" s="80">
        <f>MAX(SUMPRODUCT(N63:R63,基础状态预期!F75:J75),S62)</f>
        <v>12300000</v>
      </c>
      <c r="T63" s="80">
        <f>IF(基础状态预期!Z75="",0,IFERROR(基础状态预期!F75*求节点($C$62:$C$63,D$62:D$63,基础状态预期!Z75),0)+IFERROR(基础状态预期!$J75*求节点($C$71:$C$72,D$71:D$72,基础状态预期!$AD75),0))</f>
        <v>0</v>
      </c>
      <c r="U63" s="80">
        <f>IF(基础状态预期!AA75="",0,IFERROR(基础状态预期!G75*求节点($C$62:$C$63,E$62:E$63,基础状态预期!AA75),0)+IFERROR(基础状态预期!$J75*求节点($C$71:$C$72,E$71:E$72,基础状态预期!$AD75),0))</f>
        <v>0</v>
      </c>
      <c r="V63" s="80">
        <f>IF(基础状态预期!AB75="",0,IFERROR(基础状态预期!H75*求节点($C$62:$C$63,F$62:F$63,基础状态预期!AB75),0)+IFERROR(基础状态预期!$J75*求节点($C$71:$C$72,F$71:F$72,基础状态预期!$AD75),0))</f>
        <v>0</v>
      </c>
      <c r="W63" s="80">
        <f>IF(基础状态预期!AC75="",0,IFERROR(基础状态预期!I75*求节点($C$62:$C$63,G$62:G$63,基础状态预期!AC75),0)+IFERROR(基础状态预期!$J75*求节点($C$71:$C$72,G$71:G$72,基础状态预期!$AD75),0))</f>
        <v>0</v>
      </c>
      <c r="X63" s="80">
        <f>IF(基础状态预期!AD75="",0,IFERROR(基础状态预期!J75*求节点($C$62:$C$63,H$62:H$63,基础状态预期!AD75),0)+IFERROR(基础状态预期!$J75*求节点($C$71:$C$72,H$71:H$72,基础状态预期!$AD75),0))</f>
        <v>0</v>
      </c>
      <c r="Y63" s="80">
        <f>IF(基础状态预期!$H75="",0,IF(基础状态预期!$AB75&lt;=1,基础状态预期!$AB75*D$18,D$18)*基础状态预期!$H75)+
IF(基础状态预期!$I75="",0,IF(基础状态预期!$AC75&lt;=1,基础状态预期!$AC75*D$19,D$19)*基础状态预期!$I75)+
IF(基础状态预期!$J75="",0,IF(基础状态预期!$AD75&lt;=1,基础状态预期!$AD75*D$20,D$20)*基础状态预期!$J75)</f>
        <v>48</v>
      </c>
      <c r="Z63" s="80">
        <f>IF(基础状态预期!$H75="",0,IF(基础状态预期!$AB75&lt;=1,基础状态预期!$AB75*E$18,E$18)*基础状态预期!$H75)+
IF(基础状态预期!$I75="",0,IF(基础状态预期!$AC75&lt;=1,基础状态预期!$AC75*E$19,E$19)*基础状态预期!$I75)+
IF(基础状态预期!$J75="",0,IF(基础状态预期!$AD75&lt;=1,基础状态预期!$AD75*E$20,E$20)*基础状态预期!$J75)</f>
        <v>0</v>
      </c>
      <c r="AA63" s="80">
        <f>IF(基础状态预期!$H75="",0,IF(基础状态预期!$AB75&lt;=1,基础状态预期!$AB75*F$18,F$18)*基础状态预期!$H75)+
IF(基础状态预期!$I75="",0,IF(基础状态预期!$AC75&lt;=1,基础状态预期!$AC75*F$19,F$19)*基础状态预期!$I75)+
IF(基础状态预期!$J75="",0,IF(基础状态预期!$AD75&lt;=1,基础状态预期!$AD75*F$20,F$20)*基础状态预期!$J75)</f>
        <v>0</v>
      </c>
      <c r="AB63" s="67">
        <f>IF(基础状态预期!$H75="",0,IF(基础状态预期!$AB75&lt;=1,0,(基础状态预期!$AB75-1)*G$26)*基础状态预期!$H75)+
IF(基础状态预期!$I75="",0,IF(基础状态预期!$AC75&lt;=1,0,(基础状态预期!$AC75-1)*G$27)*基础状态预期!$I75)+
IF(基础状态预期!$J75="",0,IF(基础状态预期!$AD75&lt;=1,0,(基础状态预期!$AD75-1)*G$28)*基础状态预期!$J75)</f>
        <v>240</v>
      </c>
      <c r="AC63" s="67">
        <f>IF(基础状态预期!$H75="",0,IF(基础状态预期!$AB75&lt;=1,0,(基础状态预期!$AB75-1)*H$26)*基础状态预期!$H75)+
IF(基础状态预期!$I75="",0,IF(基础状态预期!$AC75&lt;=1,0,(基础状态预期!$AC75-1)*H$27)*基础状态预期!$I75)+
IF(基础状态预期!$J75="",0,IF(基础状态预期!$AD75&lt;=1,0,(基础状态预期!$AD75-1)*H$28)*基础状态预期!$J75)</f>
        <v>0</v>
      </c>
      <c r="AD63" s="67">
        <f>IF(基础状态预期!$H75="",0,IF(基础状态预期!$AB75&lt;=1,0,(基础状态预期!$AB75-1)*I$26)*基础状态预期!$H75)+
IF(基础状态预期!$I75="",0,IF(基础状态预期!$AC75&lt;=1,0,(基础状态预期!$AC75-1)*I$27)*基础状态预期!$I75)+
IF(基础状态预期!$J75="",0,IF(基础状态预期!$AD75&lt;=1,0,(基础状态预期!$AD75-1)*I$28)*基础状态预期!$J75)</f>
        <v>0</v>
      </c>
      <c r="AE63" s="80">
        <f>IF(各r阵容卡情况!$H69=0,0,IF(各r阵容卡情况!$AB69&lt;=1,各r阵容卡情况!$AB69*D$18,1*D$18)*各r阵容卡情况!$H69)+
IF(各r阵容卡情况!$I69=0,0,IF(各r阵容卡情况!$AC69&lt;=1,各r阵容卡情况!$AC69*D$19,1*D$19)*各r阵容卡情况!$I69)+
IF(各r阵容卡情况!$J69=0,0,IF(各r阵容卡情况!$AD69&lt;=1,各r阵容卡情况!$AD69*D$20,1*D$20)*各r阵容卡情况!$J69)</f>
        <v>124</v>
      </c>
      <c r="AF63" s="80">
        <f>IF(各r阵容卡情况!$H69=0,0,IF(各r阵容卡情况!$AB69&lt;=1,各r阵容卡情况!$AB69*E$18,1*E$18)*各r阵容卡情况!$H69)+
IF(各r阵容卡情况!$I69=0,0,IF(各r阵容卡情况!$AC69&lt;=1,各r阵容卡情况!$AC69*E$19,1*E$19)*各r阵容卡情况!$I69)+
IF(各r阵容卡情况!$J69=0,0,IF(各r阵容卡情况!$AD69&lt;=1,各r阵容卡情况!$AD69*E$20,1*E$20)*各r阵容卡情况!$J69)</f>
        <v>0</v>
      </c>
      <c r="AG63" s="80">
        <f>IF(各r阵容卡情况!$H69=0,0,IF(各r阵容卡情况!$AB69&lt;=1,各r阵容卡情况!$AB69*F$18,1*F$18)*各r阵容卡情况!$H69)+
IF(各r阵容卡情况!$I69=0,0,IF(各r阵容卡情况!$AC69&lt;=1,各r阵容卡情况!$AC69*F$19,1*F$19)*各r阵容卡情况!$I69)+
IF(各r阵容卡情况!$J69=0,0,IF(各r阵容卡情况!$AD69&lt;=1,各r阵容卡情况!$AD69*F$20,1*F$20)*各r阵容卡情况!$J69)</f>
        <v>0</v>
      </c>
      <c r="AH63" s="67">
        <f>IF(各r阵容卡情况!$H69=0,0,IF(各r阵容卡情况!$AB69&lt;=1,0,(各r阵容卡情况!$AB69-1)*G$26)*各r阵容卡情况!$H69)+
IF(各r阵容卡情况!$I69=0,0,IF(各r阵容卡情况!$AC69&lt;=1,0,(各r阵容卡情况!$AC69-1)*G$27)*各r阵容卡情况!$I69)+
IF(各r阵容卡情况!$J69=0,0,IF(各r阵容卡情况!$AD69&lt;=1,0,(各r阵容卡情况!$AD69-1)*G$28)*各r阵容卡情况!$J69)</f>
        <v>620</v>
      </c>
      <c r="AI63" s="67">
        <f>IF(各r阵容卡情况!$H69=0,0,IF(各r阵容卡情况!$AB69&lt;=1,0,(各r阵容卡情况!$AB69-1)*H$26)*各r阵容卡情况!$H69)+
IF(各r阵容卡情况!$I69=0,0,IF(各r阵容卡情况!$AC69&lt;=1,0,(各r阵容卡情况!$AC69-1)*H$27)*各r阵容卡情况!$I69)+
IF(各r阵容卡情况!$J69=0,0,IF(各r阵容卡情况!$AD69&lt;=1,0,(各r阵容卡情况!$AD69-1)*H$28)*各r阵容卡情况!$J69)</f>
        <v>0</v>
      </c>
      <c r="AJ63" s="67">
        <f>IF(各r阵容卡情况!$H69=0,0,IF(各r阵容卡情况!$AB69&lt;=1,0,(各r阵容卡情况!$AB69-1)*I$26)*各r阵容卡情况!$H69)+
IF(各r阵容卡情况!$I69=0,0,IF(各r阵容卡情况!$AC69&lt;=1,0,(各r阵容卡情况!$AC69-1)*I$27)*各r阵容卡情况!$I69)+
IF(各r阵容卡情况!$J69=0,0,IF(各r阵容卡情况!$AD69&lt;=1,0,(各r阵容卡情况!$AD69-1)*I$28)*各r阵容卡情况!$J69)</f>
        <v>0</v>
      </c>
      <c r="AL63" s="80">
        <f t="shared" si="42"/>
        <v>75</v>
      </c>
      <c r="AM63" s="80">
        <f t="shared" si="43"/>
        <v>47.090591548670638</v>
      </c>
      <c r="AN63" s="80">
        <f t="shared" si="44"/>
        <v>0</v>
      </c>
      <c r="AO63" s="80">
        <f t="shared" si="45"/>
        <v>0</v>
      </c>
      <c r="AP63" s="80">
        <f t="shared" si="46"/>
        <v>235.45295774335321</v>
      </c>
      <c r="AQ63" s="80">
        <f t="shared" si="47"/>
        <v>0</v>
      </c>
      <c r="AR63" s="80">
        <f t="shared" si="48"/>
        <v>0</v>
      </c>
      <c r="AS63" s="80">
        <f t="shared" si="49"/>
        <v>120.36236619468256</v>
      </c>
      <c r="AT63" s="80">
        <f t="shared" si="50"/>
        <v>0</v>
      </c>
      <c r="AU63" s="80">
        <f t="shared" si="51"/>
        <v>0</v>
      </c>
      <c r="AV63" s="80">
        <f t="shared" si="52"/>
        <v>601.81183097341284</v>
      </c>
      <c r="AW63" s="80">
        <f t="shared" si="53"/>
        <v>0</v>
      </c>
      <c r="AX63" s="80">
        <f t="shared" si="54"/>
        <v>0</v>
      </c>
      <c r="AY63" s="61" t="e">
        <f>SUMPRODUCT(AM63:AR63/'[1]功能-行军令'!$GI$26:$GN$26+AS63:AX63/'[1]功能-行军令'!$GI$26:$GN$26)/0.18</f>
        <v>#DIV/0!</v>
      </c>
      <c r="BB63" s="80">
        <v>150</v>
      </c>
      <c r="BC63" s="80"/>
      <c r="BD63" s="80"/>
      <c r="BE63" s="80"/>
      <c r="BF63" s="80"/>
      <c r="BG63" s="80"/>
      <c r="BH63" s="80"/>
      <c r="BI63" s="80"/>
      <c r="BJ63" s="80"/>
      <c r="BK63" s="80">
        <f t="shared" si="58"/>
        <v>0</v>
      </c>
      <c r="BO63" s="80">
        <f t="shared" si="39"/>
        <v>79.994335665275713</v>
      </c>
      <c r="BP63" s="80">
        <f t="shared" si="40"/>
        <v>12300000</v>
      </c>
      <c r="BQ63" s="80">
        <f>(BP63-BP62)*INDEX('[1]功能-付费相关'!$AR$6:$AR$165,$BO63,1)+BQ62</f>
        <v>16129.191064037783</v>
      </c>
      <c r="BR63" s="80"/>
      <c r="BS63" s="80"/>
      <c r="BU63" s="80">
        <v>150</v>
      </c>
      <c r="BV63" s="80">
        <f t="shared" si="41"/>
        <v>16129.191064037783</v>
      </c>
      <c r="BW63" s="86">
        <f t="shared" si="57"/>
        <v>20865.600000000002</v>
      </c>
      <c r="BX63" s="80"/>
      <c r="BY63" s="80">
        <f t="shared" si="59"/>
        <v>36994.791064037781</v>
      </c>
    </row>
    <row r="64" spans="1:77" x14ac:dyDescent="0.15">
      <c r="B64" s="201"/>
      <c r="C64" s="80"/>
      <c r="D64" s="80"/>
      <c r="E64" s="80"/>
      <c r="F64" s="80"/>
      <c r="G64" s="80"/>
      <c r="H64" s="80"/>
      <c r="I64" s="80"/>
      <c r="L64" s="61">
        <v>18</v>
      </c>
      <c r="M64" s="80">
        <f>基础状态预期!D76</f>
        <v>79.994335665275713</v>
      </c>
      <c r="N64" s="80">
        <f>IF(基础状态预期!F76="",0,IF(基础状态预期!Z76&lt;=1,基础状态预期!Z76*D$4,1*D$4+(基础状态预期!Z76-1)*武将觉醒!D$5))</f>
        <v>0</v>
      </c>
      <c r="O64" s="80">
        <f>IF(基础状态预期!G76="",0,IF(基础状态预期!AA76&lt;=1,基础状态预期!AA76*E$4,1*E$4+(基础状态预期!AA76-1)*武将觉醒!E$5))</f>
        <v>0</v>
      </c>
      <c r="P64" s="80">
        <f>IF(基础状态预期!H76="",0,IF(基础状态预期!AB76&lt;=1,基础状态预期!AB76*F$4,1*F$4+(基础状态预期!AB76-1)*武将觉醒!F$5))</f>
        <v>0</v>
      </c>
      <c r="Q64" s="80">
        <f>IF(基础状态预期!I76="",0,IF(基础状态预期!AC76&lt;=1,基础状态预期!AC76*G$4,1*G$4+(基础状态预期!AC76-1)*武将觉醒!G$5))</f>
        <v>0</v>
      </c>
      <c r="R64" s="80">
        <f>IF(基础状态预期!J76="",0,IF(基础状态预期!AD76&lt;=1,基础状态预期!AD76*H$4,1*H$4+(基础状态预期!AD76-1)*武将觉醒!H$5))</f>
        <v>2050000</v>
      </c>
      <c r="S64" s="80">
        <f>MAX(SUMPRODUCT(N64:R64,基础状态预期!F76:J76),S63)</f>
        <v>12300000</v>
      </c>
      <c r="T64" s="80">
        <f>IF(基础状态预期!Z76="",0,IFERROR(基础状态预期!F76*求节点($C$62:$C$63,D$62:D$63,基础状态预期!Z76),0)+IFERROR(基础状态预期!$J76*求节点($C$71:$C$72,D$71:D$72,基础状态预期!$AD76),0))</f>
        <v>0</v>
      </c>
      <c r="U64" s="80">
        <f>IF(基础状态预期!AA76="",0,IFERROR(基础状态预期!G76*求节点($C$62:$C$63,E$62:E$63,基础状态预期!AA76),0)+IFERROR(基础状态预期!$J76*求节点($C$71:$C$72,E$71:E$72,基础状态预期!$AD76),0))</f>
        <v>0</v>
      </c>
      <c r="V64" s="80">
        <f>IF(基础状态预期!AB76="",0,IFERROR(基础状态预期!H76*求节点($C$62:$C$63,F$62:F$63,基础状态预期!AB76),0)+IFERROR(基础状态预期!$J76*求节点($C$71:$C$72,F$71:F$72,基础状态预期!$AD76),0))</f>
        <v>0</v>
      </c>
      <c r="W64" s="80">
        <f>IF(基础状态预期!AC76="",0,IFERROR(基础状态预期!I76*求节点($C$62:$C$63,G$62:G$63,基础状态预期!AC76),0)+IFERROR(基础状态预期!$J76*求节点($C$71:$C$72,G$71:G$72,基础状态预期!$AD76),0))</f>
        <v>0</v>
      </c>
      <c r="X64" s="80">
        <f>IF(基础状态预期!AD76="",0,IFERROR(基础状态预期!J76*求节点($C$62:$C$63,H$62:H$63,基础状态预期!AD76),0)+IFERROR(基础状态预期!$J76*求节点($C$71:$C$72,H$71:H$72,基础状态预期!$AD76),0))</f>
        <v>0</v>
      </c>
      <c r="Y64" s="80">
        <f>IF(基础状态预期!$H76="",0,IF(基础状态预期!$AB76&lt;=1,基础状态预期!$AB76*D$18,D$18)*基础状态预期!$H76)+
IF(基础状态预期!$I76="",0,IF(基础状态预期!$AC76&lt;=1,基础状态预期!$AC76*D$19,D$19)*基础状态预期!$I76)+
IF(基础状态预期!$J76="",0,IF(基础状态预期!$AD76&lt;=1,基础状态预期!$AD76*D$20,D$20)*基础状态预期!$J76)</f>
        <v>48</v>
      </c>
      <c r="Z64" s="80">
        <f>IF(基础状态预期!$H76="",0,IF(基础状态预期!$AB76&lt;=1,基础状态预期!$AB76*E$18,E$18)*基础状态预期!$H76)+
IF(基础状态预期!$I76="",0,IF(基础状态预期!$AC76&lt;=1,基础状态预期!$AC76*E$19,E$19)*基础状态预期!$I76)+
IF(基础状态预期!$J76="",0,IF(基础状态预期!$AD76&lt;=1,基础状态预期!$AD76*E$20,E$20)*基础状态预期!$J76)</f>
        <v>0</v>
      </c>
      <c r="AA64" s="80">
        <f>IF(基础状态预期!$H76="",0,IF(基础状态预期!$AB76&lt;=1,基础状态预期!$AB76*F$18,F$18)*基础状态预期!$H76)+
IF(基础状态预期!$I76="",0,IF(基础状态预期!$AC76&lt;=1,基础状态预期!$AC76*F$19,F$19)*基础状态预期!$I76)+
IF(基础状态预期!$J76="",0,IF(基础状态预期!$AD76&lt;=1,基础状态预期!$AD76*F$20,F$20)*基础状态预期!$J76)</f>
        <v>0</v>
      </c>
      <c r="AB64" s="67">
        <f>IF(基础状态预期!$H76="",0,IF(基础状态预期!$AB76&lt;=1,0,(基础状态预期!$AB76-1)*G$26)*基础状态预期!$H76)+
IF(基础状态预期!$I76="",0,IF(基础状态预期!$AC76&lt;=1,0,(基础状态预期!$AC76-1)*G$27)*基础状态预期!$I76)+
IF(基础状态预期!$J76="",0,IF(基础状态预期!$AD76&lt;=1,0,(基础状态预期!$AD76-1)*G$28)*基础状态预期!$J76)</f>
        <v>240</v>
      </c>
      <c r="AC64" s="67">
        <f>IF(基础状态预期!$H76="",0,IF(基础状态预期!$AB76&lt;=1,0,(基础状态预期!$AB76-1)*H$26)*基础状态预期!$H76)+
IF(基础状态预期!$I76="",0,IF(基础状态预期!$AC76&lt;=1,0,(基础状态预期!$AC76-1)*H$27)*基础状态预期!$I76)+
IF(基础状态预期!$J76="",0,IF(基础状态预期!$AD76&lt;=1,0,(基础状态预期!$AD76-1)*H$28)*基础状态预期!$J76)</f>
        <v>0</v>
      </c>
      <c r="AD64" s="67">
        <f>IF(基础状态预期!$H76="",0,IF(基础状态预期!$AB76&lt;=1,0,(基础状态预期!$AB76-1)*I$26)*基础状态预期!$H76)+
IF(基础状态预期!$I76="",0,IF(基础状态预期!$AC76&lt;=1,0,(基础状态预期!$AC76-1)*I$27)*基础状态预期!$I76)+
IF(基础状态预期!$J76="",0,IF(基础状态预期!$AD76&lt;=1,0,(基础状态预期!$AD76-1)*I$28)*基础状态预期!$J76)</f>
        <v>0</v>
      </c>
      <c r="AE64" s="80">
        <f>IF(各r阵容卡情况!$H70=0,0,IF(各r阵容卡情况!$AB70&lt;=1,各r阵容卡情况!$AB70*D$18,1*D$18)*各r阵容卡情况!$H70)+
IF(各r阵容卡情况!$I70=0,0,IF(各r阵容卡情况!$AC70&lt;=1,各r阵容卡情况!$AC70*D$19,1*D$19)*各r阵容卡情况!$I70)+
IF(各r阵容卡情况!$J70=0,0,IF(各r阵容卡情况!$AD70&lt;=1,各r阵容卡情况!$AD70*D$20,1*D$20)*各r阵容卡情况!$J70)</f>
        <v>128</v>
      </c>
      <c r="AF64" s="80">
        <f>IF(各r阵容卡情况!$H70=0,0,IF(各r阵容卡情况!$AB70&lt;=1,各r阵容卡情况!$AB70*E$18,1*E$18)*各r阵容卡情况!$H70)+
IF(各r阵容卡情况!$I70=0,0,IF(各r阵容卡情况!$AC70&lt;=1,各r阵容卡情况!$AC70*E$19,1*E$19)*各r阵容卡情况!$I70)+
IF(各r阵容卡情况!$J70=0,0,IF(各r阵容卡情况!$AD70&lt;=1,各r阵容卡情况!$AD70*E$20,1*E$20)*各r阵容卡情况!$J70)</f>
        <v>0</v>
      </c>
      <c r="AG64" s="80">
        <f>IF(各r阵容卡情况!$H70=0,0,IF(各r阵容卡情况!$AB70&lt;=1,各r阵容卡情况!$AB70*F$18,1*F$18)*各r阵容卡情况!$H70)+
IF(各r阵容卡情况!$I70=0,0,IF(各r阵容卡情况!$AC70&lt;=1,各r阵容卡情况!$AC70*F$19,1*F$19)*各r阵容卡情况!$I70)+
IF(各r阵容卡情况!$J70=0,0,IF(各r阵容卡情况!$AD70&lt;=1,各r阵容卡情况!$AD70*F$20,1*F$20)*各r阵容卡情况!$J70)</f>
        <v>0</v>
      </c>
      <c r="AH64" s="67">
        <f>IF(各r阵容卡情况!$H70=0,0,IF(各r阵容卡情况!$AB70&lt;=1,0,(各r阵容卡情况!$AB70-1)*G$26)*各r阵容卡情况!$H70)+
IF(各r阵容卡情况!$I70=0,0,IF(各r阵容卡情况!$AC70&lt;=1,0,(各r阵容卡情况!$AC70-1)*G$27)*各r阵容卡情况!$I70)+
IF(各r阵容卡情况!$J70=0,0,IF(各r阵容卡情况!$AD70&lt;=1,0,(各r阵容卡情况!$AD70-1)*G$28)*各r阵容卡情况!$J70)</f>
        <v>640</v>
      </c>
      <c r="AI64" s="67">
        <f>IF(各r阵容卡情况!$H70=0,0,IF(各r阵容卡情况!$AB70&lt;=1,0,(各r阵容卡情况!$AB70-1)*H$26)*各r阵容卡情况!$H70)+
IF(各r阵容卡情况!$I70=0,0,IF(各r阵容卡情况!$AC70&lt;=1,0,(各r阵容卡情况!$AC70-1)*H$27)*各r阵容卡情况!$I70)+
IF(各r阵容卡情况!$J70=0,0,IF(各r阵容卡情况!$AD70&lt;=1,0,(各r阵容卡情况!$AD70-1)*H$28)*各r阵容卡情况!$J70)</f>
        <v>0</v>
      </c>
      <c r="AJ64" s="67">
        <f>IF(各r阵容卡情况!$H70=0,0,IF(各r阵容卡情况!$AB70&lt;=1,0,(各r阵容卡情况!$AB70-1)*I$26)*各r阵容卡情况!$H70)+
IF(各r阵容卡情况!$I70=0,0,IF(各r阵容卡情况!$AC70&lt;=1,0,(各r阵容卡情况!$AC70-1)*I$27)*各r阵容卡情况!$I70)+
IF(各r阵容卡情况!$J70=0,0,IF(各r阵容卡情况!$AD70&lt;=1,0,(各r阵容卡情况!$AD70-1)*I$28)*各r阵容卡情况!$J70)</f>
        <v>0</v>
      </c>
      <c r="AL64" s="80">
        <f t="shared" si="42"/>
        <v>80</v>
      </c>
      <c r="AM64" s="80">
        <f t="shared" si="43"/>
        <v>48</v>
      </c>
      <c r="AN64" s="80">
        <f t="shared" si="44"/>
        <v>0</v>
      </c>
      <c r="AO64" s="80">
        <f t="shared" si="45"/>
        <v>0</v>
      </c>
      <c r="AP64" s="80">
        <f t="shared" si="46"/>
        <v>240</v>
      </c>
      <c r="AQ64" s="80">
        <f t="shared" si="47"/>
        <v>0</v>
      </c>
      <c r="AR64" s="80">
        <f t="shared" si="48"/>
        <v>0</v>
      </c>
      <c r="AS64" s="80">
        <f t="shared" si="49"/>
        <v>128.01075739201639</v>
      </c>
      <c r="AT64" s="80">
        <f t="shared" si="50"/>
        <v>0</v>
      </c>
      <c r="AU64" s="80">
        <f t="shared" si="51"/>
        <v>0</v>
      </c>
      <c r="AV64" s="80">
        <f t="shared" si="52"/>
        <v>640.05378696008199</v>
      </c>
      <c r="AW64" s="80">
        <f t="shared" si="53"/>
        <v>0</v>
      </c>
      <c r="AX64" s="80">
        <f t="shared" si="54"/>
        <v>0</v>
      </c>
      <c r="AY64" s="61" t="e">
        <f>SUMPRODUCT(AM64:AR64/'[1]功能-行军令'!$GI$26:$GN$26+AS64:AX64/'[1]功能-行军令'!$GI$26:$GN$26)/0.18</f>
        <v>#DIV/0!</v>
      </c>
      <c r="BB64" s="80">
        <v>160</v>
      </c>
      <c r="BC64" s="80"/>
      <c r="BD64" s="80"/>
      <c r="BE64" s="80"/>
      <c r="BF64" s="80"/>
      <c r="BG64" s="80"/>
      <c r="BH64" s="80"/>
      <c r="BI64" s="80"/>
      <c r="BJ64" s="80"/>
      <c r="BK64" s="80">
        <f t="shared" si="58"/>
        <v>0</v>
      </c>
      <c r="BO64" s="80">
        <f t="shared" si="39"/>
        <v>82.100546804797787</v>
      </c>
      <c r="BP64" s="80">
        <f t="shared" si="40"/>
        <v>12300000</v>
      </c>
      <c r="BQ64" s="80">
        <f>(BP64-BP63)*INDEX('[1]功能-付费相关'!$AR$6:$AR$165,$BO64,1)+BQ63</f>
        <v>16129.191064037783</v>
      </c>
      <c r="BR64" s="80"/>
      <c r="BS64" s="80"/>
      <c r="BU64" s="80">
        <v>160</v>
      </c>
      <c r="BV64" s="80">
        <f t="shared" si="41"/>
        <v>16129.191064037783</v>
      </c>
      <c r="BW64" s="86">
        <f t="shared" si="57"/>
        <v>20865.600000000002</v>
      </c>
      <c r="BX64" s="80"/>
      <c r="BY64" s="80">
        <f t="shared" si="59"/>
        <v>36994.791064037781</v>
      </c>
    </row>
    <row r="65" spans="2:71" x14ac:dyDescent="0.15">
      <c r="B65" s="201"/>
      <c r="C65" s="80"/>
      <c r="D65" s="80"/>
      <c r="E65" s="80"/>
      <c r="F65" s="80"/>
      <c r="G65" s="80"/>
      <c r="H65" s="80"/>
      <c r="I65" s="80"/>
      <c r="L65" s="61">
        <v>19</v>
      </c>
      <c r="M65" s="80">
        <f>基础状态预期!D77</f>
        <v>82.100546804797787</v>
      </c>
      <c r="N65" s="80">
        <f>IF(基础状态预期!F77="",0,IF(基础状态预期!Z77&lt;=1,基础状态预期!Z77*D$4,1*D$4+(基础状态预期!Z77-1)*武将觉醒!D$5))</f>
        <v>0</v>
      </c>
      <c r="O65" s="80">
        <f>IF(基础状态预期!G77="",0,IF(基础状态预期!AA77&lt;=1,基础状态预期!AA77*E$4,1*E$4+(基础状态预期!AA77-1)*武将觉醒!E$5))</f>
        <v>0</v>
      </c>
      <c r="P65" s="80">
        <f>IF(基础状态预期!H77="",0,IF(基础状态预期!AB77&lt;=1,基础状态预期!AB77*F$4,1*F$4+(基础状态预期!AB77-1)*武将觉醒!F$5))</f>
        <v>0</v>
      </c>
      <c r="Q65" s="80">
        <f>IF(基础状态预期!I77="",0,IF(基础状态预期!AC77&lt;=1,基础状态预期!AC77*G$4,1*G$4+(基础状态预期!AC77-1)*武将觉醒!G$5))</f>
        <v>0</v>
      </c>
      <c r="R65" s="80">
        <f>IF(基础状态预期!J77="",0,IF(基础状态预期!AD77&lt;=1,基础状态预期!AD77*H$4,1*H$4+(基础状态预期!AD77-1)*武将觉醒!H$5))</f>
        <v>2050000</v>
      </c>
      <c r="S65" s="80">
        <f>MAX(SUMPRODUCT(N65:R65,基础状态预期!F77:J77),S64)</f>
        <v>12300000</v>
      </c>
      <c r="T65" s="80">
        <f>IF(基础状态预期!Z77="",0,IFERROR(基础状态预期!F77*求节点($C$62:$C$63,D$62:D$63,基础状态预期!Z77),0)+IFERROR(基础状态预期!$J77*求节点($C$71:$C$72,D$71:D$72,基础状态预期!$AD77),0))</f>
        <v>0</v>
      </c>
      <c r="U65" s="80">
        <f>IF(基础状态预期!AA77="",0,IFERROR(基础状态预期!G77*求节点($C$62:$C$63,E$62:E$63,基础状态预期!AA77),0)+IFERROR(基础状态预期!$J77*求节点($C$71:$C$72,E$71:E$72,基础状态预期!$AD77),0))</f>
        <v>0</v>
      </c>
      <c r="V65" s="80">
        <f>IF(基础状态预期!AB77="",0,IFERROR(基础状态预期!H77*求节点($C$62:$C$63,F$62:F$63,基础状态预期!AB77),0)+IFERROR(基础状态预期!$J77*求节点($C$71:$C$72,F$71:F$72,基础状态预期!$AD77),0))</f>
        <v>0</v>
      </c>
      <c r="W65" s="80">
        <f>IF(基础状态预期!AC77="",0,IFERROR(基础状态预期!I77*求节点($C$62:$C$63,G$62:G$63,基础状态预期!AC77),0)+IFERROR(基础状态预期!$J77*求节点($C$71:$C$72,G$71:G$72,基础状态预期!$AD77),0))</f>
        <v>0</v>
      </c>
      <c r="X65" s="80">
        <f>IF(基础状态预期!AD77="",0,IFERROR(基础状态预期!J77*求节点($C$62:$C$63,H$62:H$63,基础状态预期!AD77),0)+IFERROR(基础状态预期!$J77*求节点($C$71:$C$72,H$71:H$72,基础状态预期!$AD77),0))</f>
        <v>0</v>
      </c>
      <c r="Y65" s="80">
        <f>IF(基础状态预期!$H77="",0,IF(基础状态预期!$AB77&lt;=1,基础状态预期!$AB77*D$18,D$18)*基础状态预期!$H77)+
IF(基础状态预期!$I77="",0,IF(基础状态预期!$AC77&lt;=1,基础状态预期!$AC77*D$19,D$19)*基础状态预期!$I77)+
IF(基础状态预期!$J77="",0,IF(基础状态预期!$AD77&lt;=1,基础状态预期!$AD77*D$20,D$20)*基础状态预期!$J77)</f>
        <v>48</v>
      </c>
      <c r="Z65" s="80">
        <f>IF(基础状态预期!$H77="",0,IF(基础状态预期!$AB77&lt;=1,基础状态预期!$AB77*E$18,E$18)*基础状态预期!$H77)+
IF(基础状态预期!$I77="",0,IF(基础状态预期!$AC77&lt;=1,基础状态预期!$AC77*E$19,E$19)*基础状态预期!$I77)+
IF(基础状态预期!$J77="",0,IF(基础状态预期!$AD77&lt;=1,基础状态预期!$AD77*E$20,E$20)*基础状态预期!$J77)</f>
        <v>0</v>
      </c>
      <c r="AA65" s="80">
        <f>IF(基础状态预期!$H77="",0,IF(基础状态预期!$AB77&lt;=1,基础状态预期!$AB77*F$18,F$18)*基础状态预期!$H77)+
IF(基础状态预期!$I77="",0,IF(基础状态预期!$AC77&lt;=1,基础状态预期!$AC77*F$19,F$19)*基础状态预期!$I77)+
IF(基础状态预期!$J77="",0,IF(基础状态预期!$AD77&lt;=1,基础状态预期!$AD77*F$20,F$20)*基础状态预期!$J77)</f>
        <v>0</v>
      </c>
      <c r="AB65" s="67">
        <f>IF(基础状态预期!$H77="",0,IF(基础状态预期!$AB77&lt;=1,0,(基础状态预期!$AB77-1)*G$26)*基础状态预期!$H77)+
IF(基础状态预期!$I77="",0,IF(基础状态预期!$AC77&lt;=1,0,(基础状态预期!$AC77-1)*G$27)*基础状态预期!$I77)+
IF(基础状态预期!$J77="",0,IF(基础状态预期!$AD77&lt;=1,0,(基础状态预期!$AD77-1)*G$28)*基础状态预期!$J77)</f>
        <v>240</v>
      </c>
      <c r="AC65" s="67">
        <f>IF(基础状态预期!$H77="",0,IF(基础状态预期!$AB77&lt;=1,0,(基础状态预期!$AB77-1)*H$26)*基础状态预期!$H77)+
IF(基础状态预期!$I77="",0,IF(基础状态预期!$AC77&lt;=1,0,(基础状态预期!$AC77-1)*H$27)*基础状态预期!$I77)+
IF(基础状态预期!$J77="",0,IF(基础状态预期!$AD77&lt;=1,0,(基础状态预期!$AD77-1)*H$28)*基础状态预期!$J77)</f>
        <v>0</v>
      </c>
      <c r="AD65" s="67">
        <f>IF(基础状态预期!$H77="",0,IF(基础状态预期!$AB77&lt;=1,0,(基础状态预期!$AB77-1)*I$26)*基础状态预期!$H77)+
IF(基础状态预期!$I77="",0,IF(基础状态预期!$AC77&lt;=1,0,(基础状态预期!$AC77-1)*I$27)*基础状态预期!$I77)+
IF(基础状态预期!$J77="",0,IF(基础状态预期!$AD77&lt;=1,0,(基础状态预期!$AD77-1)*I$28)*基础状态预期!$J77)</f>
        <v>0</v>
      </c>
      <c r="AE65" s="80">
        <f>IF(各r阵容卡情况!$H71=0,0,IF(各r阵容卡情况!$AB71&lt;=1,各r阵容卡情况!$AB71*D$18,1*D$18)*各r阵容卡情况!$H71)+
IF(各r阵容卡情况!$I71=0,0,IF(各r阵容卡情况!$AC71&lt;=1,各r阵容卡情况!$AC71*D$19,1*D$19)*各r阵容卡情况!$I71)+
IF(各r阵容卡情况!$J71=0,0,IF(各r阵容卡情况!$AD71&lt;=1,各r阵容卡情况!$AD71*D$20,1*D$20)*各r阵容卡情况!$J71)</f>
        <v>132</v>
      </c>
      <c r="AF65" s="80">
        <f>IF(各r阵容卡情况!$H71=0,0,IF(各r阵容卡情况!$AB71&lt;=1,各r阵容卡情况!$AB71*E$18,1*E$18)*各r阵容卡情况!$H71)+
IF(各r阵容卡情况!$I71=0,0,IF(各r阵容卡情况!$AC71&lt;=1,各r阵容卡情况!$AC71*E$19,1*E$19)*各r阵容卡情况!$I71)+
IF(各r阵容卡情况!$J71=0,0,IF(各r阵容卡情况!$AD71&lt;=1,各r阵容卡情况!$AD71*E$20,1*E$20)*各r阵容卡情况!$J71)</f>
        <v>0</v>
      </c>
      <c r="AG65" s="80">
        <f>IF(各r阵容卡情况!$H71=0,0,IF(各r阵容卡情况!$AB71&lt;=1,各r阵容卡情况!$AB71*F$18,1*F$18)*各r阵容卡情况!$H71)+
IF(各r阵容卡情况!$I71=0,0,IF(各r阵容卡情况!$AC71&lt;=1,各r阵容卡情况!$AC71*F$19,1*F$19)*各r阵容卡情况!$I71)+
IF(各r阵容卡情况!$J71=0,0,IF(各r阵容卡情况!$AD71&lt;=1,各r阵容卡情况!$AD71*F$20,1*F$20)*各r阵容卡情况!$J71)</f>
        <v>0</v>
      </c>
      <c r="AH65" s="67">
        <f>IF(各r阵容卡情况!$H71=0,0,IF(各r阵容卡情况!$AB71&lt;=1,0,(各r阵容卡情况!$AB71-1)*G$26)*各r阵容卡情况!$H71)+
IF(各r阵容卡情况!$I71=0,0,IF(各r阵容卡情况!$AC71&lt;=1,0,(各r阵容卡情况!$AC71-1)*G$27)*各r阵容卡情况!$I71)+
IF(各r阵容卡情况!$J71=0,0,IF(各r阵容卡情况!$AD71&lt;=1,0,(各r阵容卡情况!$AD71-1)*G$28)*各r阵容卡情况!$J71)</f>
        <v>660</v>
      </c>
      <c r="AI65" s="67">
        <f>IF(各r阵容卡情况!$H71=0,0,IF(各r阵容卡情况!$AB71&lt;=1,0,(各r阵容卡情况!$AB71-1)*H$26)*各r阵容卡情况!$H71)+
IF(各r阵容卡情况!$I71=0,0,IF(各r阵容卡情况!$AC71&lt;=1,0,(各r阵容卡情况!$AC71-1)*H$27)*各r阵容卡情况!$I71)+
IF(各r阵容卡情况!$J71=0,0,IF(各r阵容卡情况!$AD71&lt;=1,0,(各r阵容卡情况!$AD71-1)*H$28)*各r阵容卡情况!$J71)</f>
        <v>0</v>
      </c>
      <c r="AJ65" s="67">
        <f>IF(各r阵容卡情况!$H71=0,0,IF(各r阵容卡情况!$AB71&lt;=1,0,(各r阵容卡情况!$AB71-1)*I$26)*各r阵容卡情况!$H71)+
IF(各r阵容卡情况!$I71=0,0,IF(各r阵容卡情况!$AC71&lt;=1,0,(各r阵容卡情况!$AC71-1)*I$27)*各r阵容卡情况!$I71)+
IF(各r阵容卡情况!$J71=0,0,IF(各r阵容卡情况!$AD71&lt;=1,0,(各r阵容卡情况!$AD71-1)*I$28)*各r阵容卡情况!$J71)</f>
        <v>0</v>
      </c>
      <c r="AL65" s="80">
        <f t="shared" si="42"/>
        <v>85</v>
      </c>
      <c r="AM65" s="80">
        <f t="shared" si="43"/>
        <v>48</v>
      </c>
      <c r="AN65" s="80">
        <f t="shared" si="44"/>
        <v>0</v>
      </c>
      <c r="AO65" s="80">
        <f t="shared" si="45"/>
        <v>0</v>
      </c>
      <c r="AP65" s="80">
        <f t="shared" si="46"/>
        <v>240</v>
      </c>
      <c r="AQ65" s="80">
        <f t="shared" si="47"/>
        <v>0</v>
      </c>
      <c r="AR65" s="80">
        <f t="shared" si="48"/>
        <v>0</v>
      </c>
      <c r="AS65" s="80">
        <f t="shared" si="49"/>
        <v>76.038205809646783</v>
      </c>
      <c r="AT65" s="80">
        <f t="shared" si="50"/>
        <v>0</v>
      </c>
      <c r="AU65" s="80">
        <f t="shared" si="51"/>
        <v>0</v>
      </c>
      <c r="AV65" s="80">
        <f t="shared" si="52"/>
        <v>380.19102904823393</v>
      </c>
      <c r="AW65" s="80">
        <f t="shared" si="53"/>
        <v>0</v>
      </c>
      <c r="AX65" s="80">
        <f t="shared" si="54"/>
        <v>0</v>
      </c>
      <c r="AY65" s="61" t="e">
        <f>SUMPRODUCT(AM65:AR65/'[1]功能-行军令'!$GI$26:$GN$26+AS65:AX65/'[1]功能-行军令'!$GI$26:$GN$26)/0.18</f>
        <v>#DIV/0!</v>
      </c>
      <c r="BO65" s="80">
        <f t="shared" ref="BO65:BO87" si="60">$M66</f>
        <v>83.885420957389968</v>
      </c>
      <c r="BP65" s="80">
        <f t="shared" ref="BP65:BP87" si="61">$S66</f>
        <v>12300000</v>
      </c>
      <c r="BQ65" s="80">
        <f>(BP65-BP64)*INDEX('[1]功能-付费相关'!$AR$6:$AR$165,$BO65,1)+BQ64</f>
        <v>16129.191064037783</v>
      </c>
      <c r="BR65" s="80"/>
      <c r="BS65" s="80"/>
    </row>
    <row r="66" spans="2:71" x14ac:dyDescent="0.15">
      <c r="B66" s="201"/>
      <c r="C66" s="80"/>
      <c r="D66" s="80"/>
      <c r="E66" s="80"/>
      <c r="F66" s="80"/>
      <c r="G66" s="80"/>
      <c r="H66" s="80"/>
      <c r="I66" s="80"/>
      <c r="L66" s="61">
        <v>20</v>
      </c>
      <c r="M66" s="80">
        <f>基础状态预期!D78</f>
        <v>83.885420957389968</v>
      </c>
      <c r="N66" s="80">
        <f>IF(基础状态预期!F78="",0,IF(基础状态预期!Z78&lt;=1,基础状态预期!Z78*D$4,1*D$4+(基础状态预期!Z78-1)*武将觉醒!D$5))</f>
        <v>0</v>
      </c>
      <c r="O66" s="80">
        <f>IF(基础状态预期!G78="",0,IF(基础状态预期!AA78&lt;=1,基础状态预期!AA78*E$4,1*E$4+(基础状态预期!AA78-1)*武将觉醒!E$5))</f>
        <v>0</v>
      </c>
      <c r="P66" s="80">
        <f>IF(基础状态预期!H78="",0,IF(基础状态预期!AB78&lt;=1,基础状态预期!AB78*F$4,1*F$4+(基础状态预期!AB78-1)*武将觉醒!F$5))</f>
        <v>0</v>
      </c>
      <c r="Q66" s="80">
        <f>IF(基础状态预期!I78="",0,IF(基础状态预期!AC78&lt;=1,基础状态预期!AC78*G$4,1*G$4+(基础状态预期!AC78-1)*武将觉醒!G$5))</f>
        <v>0</v>
      </c>
      <c r="R66" s="80">
        <f>IF(基础状态预期!J78="",0,IF(基础状态预期!AD78&lt;=1,基础状态预期!AD78*H$4,1*H$4+(基础状态预期!AD78-1)*武将觉醒!H$5))</f>
        <v>2050000</v>
      </c>
      <c r="S66" s="80">
        <f>MAX(SUMPRODUCT(N66:R66,基础状态预期!F78:J78),S65)</f>
        <v>12300000</v>
      </c>
      <c r="T66" s="80">
        <f>IF(基础状态预期!Z78="",0,IFERROR(基础状态预期!F78*求节点($C$62:$C$63,D$62:D$63,基础状态预期!Z78),0)+IFERROR(基础状态预期!$J78*求节点($C$71:$C$72,D$71:D$72,基础状态预期!$AD78),0))</f>
        <v>0</v>
      </c>
      <c r="U66" s="80">
        <f>IF(基础状态预期!AA78="",0,IFERROR(基础状态预期!G78*求节点($C$62:$C$63,E$62:E$63,基础状态预期!AA78),0)+IFERROR(基础状态预期!$J78*求节点($C$71:$C$72,E$71:E$72,基础状态预期!$AD78),0))</f>
        <v>0</v>
      </c>
      <c r="V66" s="80">
        <f>IF(基础状态预期!AB78="",0,IFERROR(基础状态预期!H78*求节点($C$62:$C$63,F$62:F$63,基础状态预期!AB78),0)+IFERROR(基础状态预期!$J78*求节点($C$71:$C$72,F$71:F$72,基础状态预期!$AD78),0))</f>
        <v>0</v>
      </c>
      <c r="W66" s="80">
        <f>IF(基础状态预期!AC78="",0,IFERROR(基础状态预期!I78*求节点($C$62:$C$63,G$62:G$63,基础状态预期!AC78),0)+IFERROR(基础状态预期!$J78*求节点($C$71:$C$72,G$71:G$72,基础状态预期!$AD78),0))</f>
        <v>0</v>
      </c>
      <c r="X66" s="80">
        <f>IF(基础状态预期!AD78="",0,IFERROR(基础状态预期!J78*求节点($C$62:$C$63,H$62:H$63,基础状态预期!AD78),0)+IFERROR(基础状态预期!$J78*求节点($C$71:$C$72,H$71:H$72,基础状态预期!$AD78),0))</f>
        <v>0</v>
      </c>
      <c r="Y66" s="80">
        <f>IF(基础状态预期!$H78="",0,IF(基础状态预期!$AB78&lt;=1,基础状态预期!$AB78*D$18,D$18)*基础状态预期!$H78)+
IF(基础状态预期!$I78="",0,IF(基础状态预期!$AC78&lt;=1,基础状态预期!$AC78*D$19,D$19)*基础状态预期!$I78)+
IF(基础状态预期!$J78="",0,IF(基础状态预期!$AD78&lt;=1,基础状态预期!$AD78*D$20,D$20)*基础状态预期!$J78)</f>
        <v>48</v>
      </c>
      <c r="Z66" s="80">
        <f>IF(基础状态预期!$H78="",0,IF(基础状态预期!$AB78&lt;=1,基础状态预期!$AB78*E$18,E$18)*基础状态预期!$H78)+
IF(基础状态预期!$I78="",0,IF(基础状态预期!$AC78&lt;=1,基础状态预期!$AC78*E$19,E$19)*基础状态预期!$I78)+
IF(基础状态预期!$J78="",0,IF(基础状态预期!$AD78&lt;=1,基础状态预期!$AD78*E$20,E$20)*基础状态预期!$J78)</f>
        <v>0</v>
      </c>
      <c r="AA66" s="80">
        <f>IF(基础状态预期!$H78="",0,IF(基础状态预期!$AB78&lt;=1,基础状态预期!$AB78*F$18,F$18)*基础状态预期!$H78)+
IF(基础状态预期!$I78="",0,IF(基础状态预期!$AC78&lt;=1,基础状态预期!$AC78*F$19,F$19)*基础状态预期!$I78)+
IF(基础状态预期!$J78="",0,IF(基础状态预期!$AD78&lt;=1,基础状态预期!$AD78*F$20,F$20)*基础状态预期!$J78)</f>
        <v>0</v>
      </c>
      <c r="AB66" s="67">
        <f>IF(基础状态预期!$H78="",0,IF(基础状态预期!$AB78&lt;=1,0,(基础状态预期!$AB78-1)*G$26)*基础状态预期!$H78)+
IF(基础状态预期!$I78="",0,IF(基础状态预期!$AC78&lt;=1,0,(基础状态预期!$AC78-1)*G$27)*基础状态预期!$I78)+
IF(基础状态预期!$J78="",0,IF(基础状态预期!$AD78&lt;=1,0,(基础状态预期!$AD78-1)*G$28)*基础状态预期!$J78)</f>
        <v>240</v>
      </c>
      <c r="AC66" s="67">
        <f>IF(基础状态预期!$H78="",0,IF(基础状态预期!$AB78&lt;=1,0,(基础状态预期!$AB78-1)*H$26)*基础状态预期!$H78)+
IF(基础状态预期!$I78="",0,IF(基础状态预期!$AC78&lt;=1,0,(基础状态预期!$AC78-1)*H$27)*基础状态预期!$I78)+
IF(基础状态预期!$J78="",0,IF(基础状态预期!$AD78&lt;=1,0,(基础状态预期!$AD78-1)*H$28)*基础状态预期!$J78)</f>
        <v>0</v>
      </c>
      <c r="AD66" s="67">
        <f>IF(基础状态预期!$H78="",0,IF(基础状态预期!$AB78&lt;=1,0,(基础状态预期!$AB78-1)*I$26)*基础状态预期!$H78)+
IF(基础状态预期!$I78="",0,IF(基础状态预期!$AC78&lt;=1,0,(基础状态预期!$AC78-1)*I$27)*基础状态预期!$I78)+
IF(基础状态预期!$J78="",0,IF(基础状态预期!$AD78&lt;=1,0,(基础状态预期!$AD78-1)*I$28)*基础状态预期!$J78)</f>
        <v>0</v>
      </c>
      <c r="AE66" s="80">
        <f>IF(各r阵容卡情况!$H94=0,0,IF(各r阵容卡情况!$AB94&lt;=1,各r阵容卡情况!$AB94*D$18,1*D$18)*各r阵容卡情况!$H94)+
IF(各r阵容卡情况!$I94=0,0,IF(各r阵容卡情况!$AC94&lt;=1,各r阵容卡情况!$AC94*D$19,1*D$19)*各r阵容卡情况!$I94)+
IF(各r阵容卡情况!$J94=0,0,IF(各r阵容卡情况!$AD94&lt;=1,各r阵容卡情况!$AD94*D$20,1*D$20)*各r阵容卡情况!$J94)</f>
        <v>144</v>
      </c>
      <c r="AF66" s="80">
        <f>IF(各r阵容卡情况!$H94=0,0,IF(各r阵容卡情况!$AB94&lt;=1,各r阵容卡情况!$AB94*E$18,1*E$18)*各r阵容卡情况!$H94)+
IF(各r阵容卡情况!$I94=0,0,IF(各r阵容卡情况!$AC94&lt;=1,各r阵容卡情况!$AC94*E$19,1*E$19)*各r阵容卡情况!$I94)+
IF(各r阵容卡情况!$J94=0,0,IF(各r阵容卡情况!$AD94&lt;=1,各r阵容卡情况!$AD94*E$20,1*E$20)*各r阵容卡情况!$J94)</f>
        <v>0</v>
      </c>
      <c r="AG66" s="80">
        <f>IF(各r阵容卡情况!$H94=0,0,IF(各r阵容卡情况!$AB94&lt;=1,各r阵容卡情况!$AB94*F$18,1*F$18)*各r阵容卡情况!$H94)+
IF(各r阵容卡情况!$I94=0,0,IF(各r阵容卡情况!$AC94&lt;=1,各r阵容卡情况!$AC94*F$19,1*F$19)*各r阵容卡情况!$I94)+
IF(各r阵容卡情况!$J94=0,0,IF(各r阵容卡情况!$AD94&lt;=1,各r阵容卡情况!$AD94*F$20,1*F$20)*各r阵容卡情况!$J94)</f>
        <v>0</v>
      </c>
      <c r="AH66" s="67">
        <f>IF(各r阵容卡情况!$H94=0,0,IF(各r阵容卡情况!$AB94&lt;=1,0,(各r阵容卡情况!$AB94-1)*G$26)*各r阵容卡情况!$H94)+
IF(各r阵容卡情况!$I94=0,0,IF(各r阵容卡情况!$AC94&lt;=1,0,(各r阵容卡情况!$AC94-1)*G$27)*各r阵容卡情况!$I94)+
IF(各r阵容卡情况!$J94=0,0,IF(各r阵容卡情况!$AD94&lt;=1,0,(各r阵容卡情况!$AD94-1)*G$28)*各r阵容卡情况!$J94)</f>
        <v>720</v>
      </c>
      <c r="AI66" s="67">
        <f>IF(各r阵容卡情况!$H94=0,0,IF(各r阵容卡情况!$AB94&lt;=1,0,(各r阵容卡情况!$AB94-1)*H$26)*各r阵容卡情况!$H94)+
IF(各r阵容卡情况!$I94=0,0,IF(各r阵容卡情况!$AC94&lt;=1,0,(各r阵容卡情况!$AC94-1)*H$27)*各r阵容卡情况!$I94)+
IF(各r阵容卡情况!$J94=0,0,IF(各r阵容卡情况!$AD94&lt;=1,0,(各r阵容卡情况!$AD94-1)*H$28)*各r阵容卡情况!$J94)</f>
        <v>0</v>
      </c>
      <c r="AJ66" s="67">
        <f>IF(各r阵容卡情况!$H94=0,0,IF(各r阵容卡情况!$AB94&lt;=1,0,(各r阵容卡情况!$AB94-1)*I$26)*各r阵容卡情况!$H94)+
IF(各r阵容卡情况!$I94=0,0,IF(各r阵容卡情况!$AC94&lt;=1,0,(各r阵容卡情况!$AC94-1)*I$27)*各r阵容卡情况!$I94)+
IF(各r阵容卡情况!$J94=0,0,IF(各r阵容卡情况!$AD94&lt;=1,0,(各r阵容卡情况!$AD94-1)*I$28)*各r阵容卡情况!$J94)</f>
        <v>0</v>
      </c>
      <c r="AL66" s="80">
        <f t="shared" ref="AL66:AL88" si="62">AL21</f>
        <v>90</v>
      </c>
      <c r="AM66" s="80">
        <f t="shared" ref="AM66:AM88" si="63">求节点($M$50:$M$88,Y$50:Y$88,$AL66)</f>
        <v>48</v>
      </c>
      <c r="AN66" s="80">
        <f t="shared" ref="AN66:AN88" si="64">求节点($M$50:$M$88,Z$50:Z$88,$AL66)</f>
        <v>0</v>
      </c>
      <c r="AO66" s="80">
        <f t="shared" ref="AO66:AO88" si="65">求节点($M$50:$M$88,AA$50:AA$88,$AL66)</f>
        <v>0</v>
      </c>
      <c r="AP66" s="80">
        <f t="shared" ref="AP66:AP88" si="66">求节点($M$50:$M$88,AB$50:AB$88,$AL66)</f>
        <v>240</v>
      </c>
      <c r="AQ66" s="80">
        <f t="shared" ref="AQ66:AQ88" si="67">求节点($M$50:$M$88,AC$50:AC$88,$AL66)</f>
        <v>0</v>
      </c>
      <c r="AR66" s="80">
        <f t="shared" ref="AR66:AR88" si="68">求节点($M$50:$M$88,AD$50:AD$88,$AL66)</f>
        <v>0</v>
      </c>
      <c r="AS66" s="80">
        <f t="shared" ref="AS66:AS88" si="69">求节点($M$50:$M$88,AE$50:AE$88,$AL66)</f>
        <v>0</v>
      </c>
      <c r="AT66" s="80">
        <f t="shared" ref="AT66:AT88" si="70">求节点($M$50:$M$88,AF$50:AF$88,$AL66)</f>
        <v>0</v>
      </c>
      <c r="AU66" s="80">
        <f t="shared" ref="AU66:AU88" si="71">求节点($M$50:$M$88,AG$50:AG$88,$AL66)</f>
        <v>0</v>
      </c>
      <c r="AV66" s="80">
        <f t="shared" ref="AV66:AV88" si="72">求节点($M$50:$M$88,AH$50:AH$88,$AL66)</f>
        <v>0</v>
      </c>
      <c r="AW66" s="80">
        <f t="shared" ref="AW66:AW88" si="73">求节点($M$50:$M$88,AI$50:AI$88,$AL66)</f>
        <v>0</v>
      </c>
      <c r="AX66" s="80">
        <f t="shared" ref="AX66:AX88" si="74">求节点($M$50:$M$88,AJ$50:AJ$88,$AL66)</f>
        <v>0</v>
      </c>
      <c r="AY66" s="61" t="e">
        <f>SUMPRODUCT(AM66:AR66/'[1]功能-行军令'!$GI$26:$GN$26+AS66:AX66/'[1]功能-行军令'!$GI$26:$GN$26)/0.18</f>
        <v>#DIV/0!</v>
      </c>
      <c r="BO66" s="80">
        <f t="shared" si="60"/>
        <v>86.247032860782397</v>
      </c>
      <c r="BP66" s="80">
        <f t="shared" si="61"/>
        <v>12300000</v>
      </c>
      <c r="BQ66" s="80">
        <f>(BP66-BP65)*INDEX('[1]功能-付费相关'!$AR$6:$AR$165,$BO66,1)+BQ65</f>
        <v>16129.191064037783</v>
      </c>
      <c r="BR66" s="80"/>
      <c r="BS66" s="80"/>
    </row>
    <row r="67" spans="2:71" x14ac:dyDescent="0.15">
      <c r="B67" s="201"/>
      <c r="C67" s="80"/>
      <c r="D67" s="80"/>
      <c r="E67" s="80"/>
      <c r="F67" s="80"/>
      <c r="G67" s="80"/>
      <c r="H67" s="80"/>
      <c r="I67" s="80"/>
      <c r="L67" s="61">
        <v>21</v>
      </c>
      <c r="M67" s="80">
        <f>基础状态预期!D79</f>
        <v>86.247032860782397</v>
      </c>
      <c r="N67" s="80">
        <f>IF(基础状态预期!F79="",0,IF(基础状态预期!Z79&lt;=1,基础状态预期!Z79*D$4,1*D$4+(基础状态预期!Z79-1)*武将觉醒!D$5))</f>
        <v>0</v>
      </c>
      <c r="O67" s="80">
        <f>IF(基础状态预期!G79="",0,IF(基础状态预期!AA79&lt;=1,基础状态预期!AA79*E$4,1*E$4+(基础状态预期!AA79-1)*武将觉醒!E$5))</f>
        <v>0</v>
      </c>
      <c r="P67" s="80">
        <f>IF(基础状态预期!H79="",0,IF(基础状态预期!AB79&lt;=1,基础状态预期!AB79*F$4,1*F$4+(基础状态预期!AB79-1)*武将觉醒!F$5))</f>
        <v>0</v>
      </c>
      <c r="Q67" s="80">
        <f>IF(基础状态预期!I79="",0,IF(基础状态预期!AC79&lt;=1,基础状态预期!AC79*G$4,1*G$4+(基础状态预期!AC79-1)*武将觉醒!G$5))</f>
        <v>0</v>
      </c>
      <c r="R67" s="80">
        <f>IF(基础状态预期!J79="",0,IF(基础状态预期!AD79&lt;=1,基础状态预期!AD79*H$4,1*H$4+(基础状态预期!AD79-1)*武将觉醒!H$5))</f>
        <v>2050000</v>
      </c>
      <c r="S67" s="80">
        <f>MAX(SUMPRODUCT(N67:R67,基础状态预期!F79:J79),S66)</f>
        <v>12300000</v>
      </c>
      <c r="T67" s="80">
        <f>IF(基础状态预期!Z79="",0,IFERROR(基础状态预期!F79*求节点($C$62:$C$63,D$62:D$63,基础状态预期!Z79),0)+IFERROR(基础状态预期!$J79*求节点($C$71:$C$72,D$71:D$72,基础状态预期!$AD79),0))</f>
        <v>0</v>
      </c>
      <c r="U67" s="80">
        <f>IF(基础状态预期!AA79="",0,IFERROR(基础状态预期!G79*求节点($C$62:$C$63,E$62:E$63,基础状态预期!AA79),0)+IFERROR(基础状态预期!$J79*求节点($C$71:$C$72,E$71:E$72,基础状态预期!$AD79),0))</f>
        <v>0</v>
      </c>
      <c r="V67" s="80">
        <f>IF(基础状态预期!AB79="",0,IFERROR(基础状态预期!H79*求节点($C$62:$C$63,F$62:F$63,基础状态预期!AB79),0)+IFERROR(基础状态预期!$J79*求节点($C$71:$C$72,F$71:F$72,基础状态预期!$AD79),0))</f>
        <v>0</v>
      </c>
      <c r="W67" s="80">
        <f>IF(基础状态预期!AC79="",0,IFERROR(基础状态预期!I79*求节点($C$62:$C$63,G$62:G$63,基础状态预期!AC79),0)+IFERROR(基础状态预期!$J79*求节点($C$71:$C$72,G$71:G$72,基础状态预期!$AD79),0))</f>
        <v>0</v>
      </c>
      <c r="X67" s="80">
        <f>IF(基础状态预期!AD79="",0,IFERROR(基础状态预期!J79*求节点($C$62:$C$63,H$62:H$63,基础状态预期!AD79),0)+IFERROR(基础状态预期!$J79*求节点($C$71:$C$72,H$71:H$72,基础状态预期!$AD79),0))</f>
        <v>0</v>
      </c>
      <c r="Y67" s="80">
        <f>IF(基础状态预期!$H79="",0,IF(基础状态预期!$AB79&lt;=1,基础状态预期!$AB79*D$18,D$18)*基础状态预期!$H79)+
IF(基础状态预期!$I79="",0,IF(基础状态预期!$AC79&lt;=1,基础状态预期!$AC79*D$19,D$19)*基础状态预期!$I79)+
IF(基础状态预期!$J79="",0,IF(基础状态预期!$AD79&lt;=1,基础状态预期!$AD79*D$20,D$20)*基础状态预期!$J79)</f>
        <v>48</v>
      </c>
      <c r="Z67" s="80">
        <f>IF(基础状态预期!$H79="",0,IF(基础状态预期!$AB79&lt;=1,基础状态预期!$AB79*E$18,E$18)*基础状态预期!$H79)+
IF(基础状态预期!$I79="",0,IF(基础状态预期!$AC79&lt;=1,基础状态预期!$AC79*E$19,E$19)*基础状态预期!$I79)+
IF(基础状态预期!$J79="",0,IF(基础状态预期!$AD79&lt;=1,基础状态预期!$AD79*E$20,E$20)*基础状态预期!$J79)</f>
        <v>0</v>
      </c>
      <c r="AA67" s="80">
        <f>IF(基础状态预期!$H79="",0,IF(基础状态预期!$AB79&lt;=1,基础状态预期!$AB79*F$18,F$18)*基础状态预期!$H79)+
IF(基础状态预期!$I79="",0,IF(基础状态预期!$AC79&lt;=1,基础状态预期!$AC79*F$19,F$19)*基础状态预期!$I79)+
IF(基础状态预期!$J79="",0,IF(基础状态预期!$AD79&lt;=1,基础状态预期!$AD79*F$20,F$20)*基础状态预期!$J79)</f>
        <v>0</v>
      </c>
      <c r="AB67" s="67">
        <f>IF(基础状态预期!$H79="",0,IF(基础状态预期!$AB79&lt;=1,0,(基础状态预期!$AB79-1)*G$26)*基础状态预期!$H79)+
IF(基础状态预期!$I79="",0,IF(基础状态预期!$AC79&lt;=1,0,(基础状态预期!$AC79-1)*G$27)*基础状态预期!$I79)+
IF(基础状态预期!$J79="",0,IF(基础状态预期!$AD79&lt;=1,0,(基础状态预期!$AD79-1)*G$28)*基础状态预期!$J79)</f>
        <v>240</v>
      </c>
      <c r="AC67" s="67">
        <f>IF(基础状态预期!$H79="",0,IF(基础状态预期!$AB79&lt;=1,0,(基础状态预期!$AB79-1)*H$26)*基础状态预期!$H79)+
IF(基础状态预期!$I79="",0,IF(基础状态预期!$AC79&lt;=1,0,(基础状态预期!$AC79-1)*H$27)*基础状态预期!$I79)+
IF(基础状态预期!$J79="",0,IF(基础状态预期!$AD79&lt;=1,0,(基础状态预期!$AD79-1)*H$28)*基础状态预期!$J79)</f>
        <v>0</v>
      </c>
      <c r="AD67" s="67">
        <f>IF(基础状态预期!$H79="",0,IF(基础状态预期!$AB79&lt;=1,0,(基础状态预期!$AB79-1)*I$26)*基础状态预期!$H79)+
IF(基础状态预期!$I79="",0,IF(基础状态预期!$AC79&lt;=1,0,(基础状态预期!$AC79-1)*I$27)*基础状态预期!$I79)+
IF(基础状态预期!$J79="",0,IF(基础状态预期!$AD79&lt;=1,0,(基础状态预期!$AD79-1)*I$28)*基础状态预期!$J79)</f>
        <v>0</v>
      </c>
      <c r="AE67" s="80">
        <f>IF(各r阵容卡情况!$H95=0,0,IF(各r阵容卡情况!$AB95&lt;=1,各r阵容卡情况!$AB95*D$18,1*D$18)*各r阵容卡情况!$H95)+
IF(各r阵容卡情况!$I95=0,0,IF(各r阵容卡情况!$AC95&lt;=1,各r阵容卡情况!$AC95*D$19,1*D$19)*各r阵容卡情况!$I95)+
IF(各r阵容卡情况!$J95=0,0,IF(各r阵容卡情况!$AD95&lt;=1,各r阵容卡情况!$AD95*D$20,1*D$20)*各r阵容卡情况!$J95)</f>
        <v>0</v>
      </c>
      <c r="AF67" s="80">
        <f>IF(各r阵容卡情况!$H95=0,0,IF(各r阵容卡情况!$AB95&lt;=1,各r阵容卡情况!$AB95*E$18,1*E$18)*各r阵容卡情况!$H95)+
IF(各r阵容卡情况!$I95=0,0,IF(各r阵容卡情况!$AC95&lt;=1,各r阵容卡情况!$AC95*E$19,1*E$19)*各r阵容卡情况!$I95)+
IF(各r阵容卡情况!$J95=0,0,IF(各r阵容卡情况!$AD95&lt;=1,各r阵容卡情况!$AD95*E$20,1*E$20)*各r阵容卡情况!$J95)</f>
        <v>0</v>
      </c>
      <c r="AG67" s="80">
        <f>IF(各r阵容卡情况!$H95=0,0,IF(各r阵容卡情况!$AB95&lt;=1,各r阵容卡情况!$AB95*F$18,1*F$18)*各r阵容卡情况!$H95)+
IF(各r阵容卡情况!$I95=0,0,IF(各r阵容卡情况!$AC95&lt;=1,各r阵容卡情况!$AC95*F$19,1*F$19)*各r阵容卡情况!$I95)+
IF(各r阵容卡情况!$J95=0,0,IF(各r阵容卡情况!$AD95&lt;=1,各r阵容卡情况!$AD95*F$20,1*F$20)*各r阵容卡情况!$J95)</f>
        <v>0</v>
      </c>
      <c r="AH67" s="67">
        <f>IF(各r阵容卡情况!$H95=0,0,IF(各r阵容卡情况!$AB95&lt;=1,0,(各r阵容卡情况!$AB95-1)*G$26)*各r阵容卡情况!$H95)+
IF(各r阵容卡情况!$I95=0,0,IF(各r阵容卡情况!$AC95&lt;=1,0,(各r阵容卡情况!$AC95-1)*G$27)*各r阵容卡情况!$I95)+
IF(各r阵容卡情况!$J95=0,0,IF(各r阵容卡情况!$AD95&lt;=1,0,(各r阵容卡情况!$AD95-1)*G$28)*各r阵容卡情况!$J95)</f>
        <v>0</v>
      </c>
      <c r="AI67" s="67">
        <f>IF(各r阵容卡情况!$H95=0,0,IF(各r阵容卡情况!$AB95&lt;=1,0,(各r阵容卡情况!$AB95-1)*H$26)*各r阵容卡情况!$H95)+
IF(各r阵容卡情况!$I95=0,0,IF(各r阵容卡情况!$AC95&lt;=1,0,(各r阵容卡情况!$AC95-1)*H$27)*各r阵容卡情况!$I95)+
IF(各r阵容卡情况!$J95=0,0,IF(各r阵容卡情况!$AD95&lt;=1,0,(各r阵容卡情况!$AD95-1)*H$28)*各r阵容卡情况!$J95)</f>
        <v>0</v>
      </c>
      <c r="AJ67" s="67">
        <f>IF(各r阵容卡情况!$H95=0,0,IF(各r阵容卡情况!$AB95&lt;=1,0,(各r阵容卡情况!$AB95-1)*I$26)*各r阵容卡情况!$H95)+
IF(各r阵容卡情况!$I95=0,0,IF(各r阵容卡情况!$AC95&lt;=1,0,(各r阵容卡情况!$AC95-1)*I$27)*各r阵容卡情况!$I95)+
IF(各r阵容卡情况!$J95=0,0,IF(各r阵容卡情况!$AD95&lt;=1,0,(各r阵容卡情况!$AD95-1)*I$28)*各r阵容卡情况!$J95)</f>
        <v>0</v>
      </c>
      <c r="AL67" s="80">
        <f t="shared" si="62"/>
        <v>95</v>
      </c>
      <c r="AM67" s="80">
        <f t="shared" si="63"/>
        <v>48</v>
      </c>
      <c r="AN67" s="80">
        <f t="shared" si="64"/>
        <v>0</v>
      </c>
      <c r="AO67" s="80">
        <f t="shared" si="65"/>
        <v>0</v>
      </c>
      <c r="AP67" s="80">
        <f t="shared" si="66"/>
        <v>240</v>
      </c>
      <c r="AQ67" s="80">
        <f t="shared" si="67"/>
        <v>0</v>
      </c>
      <c r="AR67" s="80">
        <f t="shared" si="68"/>
        <v>0</v>
      </c>
      <c r="AS67" s="80">
        <f t="shared" si="69"/>
        <v>0</v>
      </c>
      <c r="AT67" s="80">
        <f t="shared" si="70"/>
        <v>0</v>
      </c>
      <c r="AU67" s="80">
        <f t="shared" si="71"/>
        <v>0</v>
      </c>
      <c r="AV67" s="80">
        <f t="shared" si="72"/>
        <v>0</v>
      </c>
      <c r="AW67" s="80">
        <f t="shared" si="73"/>
        <v>0</v>
      </c>
      <c r="AX67" s="80">
        <f t="shared" si="74"/>
        <v>0</v>
      </c>
      <c r="AY67" s="61" t="e">
        <f>SUMPRODUCT(AM67:AR67/'[1]功能-行军令'!$GI$26:$GN$26+AS67:AX67/'[1]功能-行军令'!$GI$26:$GN$26)/0.18</f>
        <v>#DIV/0!</v>
      </c>
      <c r="BO67" s="80">
        <f t="shared" si="60"/>
        <v>90.122782504866933</v>
      </c>
      <c r="BP67" s="80">
        <f t="shared" si="61"/>
        <v>12300000</v>
      </c>
      <c r="BQ67" s="80">
        <f>(BP67-BP66)*INDEX('[1]功能-付费相关'!$AR$6:$AR$165,$BO67,1)+BQ66</f>
        <v>16129.191064037783</v>
      </c>
      <c r="BR67" s="80"/>
      <c r="BS67" s="80"/>
    </row>
    <row r="68" spans="2:71" x14ac:dyDescent="0.15">
      <c r="B68" s="201"/>
      <c r="C68" s="80"/>
      <c r="D68" s="80"/>
      <c r="E68" s="80"/>
      <c r="F68" s="80"/>
      <c r="G68" s="80"/>
      <c r="H68" s="80"/>
      <c r="I68" s="80"/>
      <c r="L68" s="61">
        <v>22</v>
      </c>
      <c r="M68" s="80">
        <f>基础状态预期!D80</f>
        <v>90.122782504866933</v>
      </c>
      <c r="N68" s="80">
        <f>IF(基础状态预期!F80="",0,IF(基础状态预期!Z80&lt;=1,基础状态预期!Z80*D$4,1*D$4+(基础状态预期!Z80-1)*武将觉醒!D$5))</f>
        <v>0</v>
      </c>
      <c r="O68" s="80">
        <f>IF(基础状态预期!G80="",0,IF(基础状态预期!AA80&lt;=1,基础状态预期!AA80*E$4,1*E$4+(基础状态预期!AA80-1)*武将觉醒!E$5))</f>
        <v>0</v>
      </c>
      <c r="P68" s="80">
        <f>IF(基础状态预期!H80="",0,IF(基础状态预期!AB80&lt;=1,基础状态预期!AB80*F$4,1*F$4+(基础状态预期!AB80-1)*武将觉醒!F$5))</f>
        <v>0</v>
      </c>
      <c r="Q68" s="80">
        <f>IF(基础状态预期!I80="",0,IF(基础状态预期!AC80&lt;=1,基础状态预期!AC80*G$4,1*G$4+(基础状态预期!AC80-1)*武将觉醒!G$5))</f>
        <v>0</v>
      </c>
      <c r="R68" s="80">
        <f>IF(基础状态预期!J80="",0,IF(基础状态预期!AD80&lt;=1,基础状态预期!AD80*H$4,1*H$4+(基础状态预期!AD80-1)*武将觉醒!H$5))</f>
        <v>2050000</v>
      </c>
      <c r="S68" s="80">
        <f>MAX(SUMPRODUCT(N68:R68,基础状态预期!F80:J80),S67)</f>
        <v>12300000</v>
      </c>
      <c r="T68" s="80">
        <f>IF(基础状态预期!Z80="",0,IFERROR(基础状态预期!F80*求节点($C$62:$C$63,D$62:D$63,基础状态预期!Z80),0)+IFERROR(基础状态预期!$J80*求节点($C$71:$C$72,D$71:D$72,基础状态预期!$AD80),0))</f>
        <v>0</v>
      </c>
      <c r="U68" s="80">
        <f>IF(基础状态预期!AA80="",0,IFERROR(基础状态预期!G80*求节点($C$62:$C$63,E$62:E$63,基础状态预期!AA80),0)+IFERROR(基础状态预期!$J80*求节点($C$71:$C$72,E$71:E$72,基础状态预期!$AD80),0))</f>
        <v>0</v>
      </c>
      <c r="V68" s="80">
        <f>IF(基础状态预期!AB80="",0,IFERROR(基础状态预期!H80*求节点($C$62:$C$63,F$62:F$63,基础状态预期!AB80),0)+IFERROR(基础状态预期!$J80*求节点($C$71:$C$72,F$71:F$72,基础状态预期!$AD80),0))</f>
        <v>0</v>
      </c>
      <c r="W68" s="80">
        <f>IF(基础状态预期!AC80="",0,IFERROR(基础状态预期!I80*求节点($C$62:$C$63,G$62:G$63,基础状态预期!AC80),0)+IFERROR(基础状态预期!$J80*求节点($C$71:$C$72,G$71:G$72,基础状态预期!$AD80),0))</f>
        <v>0</v>
      </c>
      <c r="X68" s="80">
        <f>IF(基础状态预期!AD80="",0,IFERROR(基础状态预期!J80*求节点($C$62:$C$63,H$62:H$63,基础状态预期!AD80),0)+IFERROR(基础状态预期!$J80*求节点($C$71:$C$72,H$71:H$72,基础状态预期!$AD80),0))</f>
        <v>0</v>
      </c>
      <c r="Y68" s="80">
        <f>IF(基础状态预期!$H80="",0,IF(基础状态预期!$AB80&lt;=1,基础状态预期!$AB80*D$18,D$18)*基础状态预期!$H80)+
IF(基础状态预期!$I80="",0,IF(基础状态预期!$AC80&lt;=1,基础状态预期!$AC80*D$19,D$19)*基础状态预期!$I80)+
IF(基础状态预期!$J80="",0,IF(基础状态预期!$AD80&lt;=1,基础状态预期!$AD80*D$20,D$20)*基础状态预期!$J80)</f>
        <v>48</v>
      </c>
      <c r="Z68" s="80">
        <f>IF(基础状态预期!$H80="",0,IF(基础状态预期!$AB80&lt;=1,基础状态预期!$AB80*E$18,E$18)*基础状态预期!$H80)+
IF(基础状态预期!$I80="",0,IF(基础状态预期!$AC80&lt;=1,基础状态预期!$AC80*E$19,E$19)*基础状态预期!$I80)+
IF(基础状态预期!$J80="",0,IF(基础状态预期!$AD80&lt;=1,基础状态预期!$AD80*E$20,E$20)*基础状态预期!$J80)</f>
        <v>0</v>
      </c>
      <c r="AA68" s="80">
        <f>IF(基础状态预期!$H80="",0,IF(基础状态预期!$AB80&lt;=1,基础状态预期!$AB80*F$18,F$18)*基础状态预期!$H80)+
IF(基础状态预期!$I80="",0,IF(基础状态预期!$AC80&lt;=1,基础状态预期!$AC80*F$19,F$19)*基础状态预期!$I80)+
IF(基础状态预期!$J80="",0,IF(基础状态预期!$AD80&lt;=1,基础状态预期!$AD80*F$20,F$20)*基础状态预期!$J80)</f>
        <v>0</v>
      </c>
      <c r="AB68" s="67">
        <f>IF(基础状态预期!$H80="",0,IF(基础状态预期!$AB80&lt;=1,0,(基础状态预期!$AB80-1)*G$26)*基础状态预期!$H80)+
IF(基础状态预期!$I80="",0,IF(基础状态预期!$AC80&lt;=1,0,(基础状态预期!$AC80-1)*G$27)*基础状态预期!$I80)+
IF(基础状态预期!$J80="",0,IF(基础状态预期!$AD80&lt;=1,0,(基础状态预期!$AD80-1)*G$28)*基础状态预期!$J80)</f>
        <v>240</v>
      </c>
      <c r="AC68" s="67">
        <f>IF(基础状态预期!$H80="",0,IF(基础状态预期!$AB80&lt;=1,0,(基础状态预期!$AB80-1)*H$26)*基础状态预期!$H80)+
IF(基础状态预期!$I80="",0,IF(基础状态预期!$AC80&lt;=1,0,(基础状态预期!$AC80-1)*H$27)*基础状态预期!$I80)+
IF(基础状态预期!$J80="",0,IF(基础状态预期!$AD80&lt;=1,0,(基础状态预期!$AD80-1)*H$28)*基础状态预期!$J80)</f>
        <v>0</v>
      </c>
      <c r="AD68" s="67">
        <f>IF(基础状态预期!$H80="",0,IF(基础状态预期!$AB80&lt;=1,0,(基础状态预期!$AB80-1)*I$26)*基础状态预期!$H80)+
IF(基础状态预期!$I80="",0,IF(基础状态预期!$AC80&lt;=1,0,(基础状态预期!$AC80-1)*I$27)*基础状态预期!$I80)+
IF(基础状态预期!$J80="",0,IF(基础状态预期!$AD80&lt;=1,0,(基础状态预期!$AD80-1)*I$28)*基础状态预期!$J80)</f>
        <v>0</v>
      </c>
      <c r="AE68" s="80">
        <f>IF(各r阵容卡情况!$H96=0,0,IF(各r阵容卡情况!$AB96&lt;=1,各r阵容卡情况!$AB96*D$18,1*D$18)*各r阵容卡情况!$H96)+
IF(各r阵容卡情况!$I96=0,0,IF(各r阵容卡情况!$AC96&lt;=1,各r阵容卡情况!$AC96*D$19,1*D$19)*各r阵容卡情况!$I96)+
IF(各r阵容卡情况!$J96=0,0,IF(各r阵容卡情况!$AD96&lt;=1,各r阵容卡情况!$AD96*D$20,1*D$20)*各r阵容卡情况!$J96)</f>
        <v>0</v>
      </c>
      <c r="AF68" s="80">
        <f>IF(各r阵容卡情况!$H96=0,0,IF(各r阵容卡情况!$AB96&lt;=1,各r阵容卡情况!$AB96*E$18,1*E$18)*各r阵容卡情况!$H96)+
IF(各r阵容卡情况!$I96=0,0,IF(各r阵容卡情况!$AC96&lt;=1,各r阵容卡情况!$AC96*E$19,1*E$19)*各r阵容卡情况!$I96)+
IF(各r阵容卡情况!$J96=0,0,IF(各r阵容卡情况!$AD96&lt;=1,各r阵容卡情况!$AD96*E$20,1*E$20)*各r阵容卡情况!$J96)</f>
        <v>0</v>
      </c>
      <c r="AG68" s="80">
        <f>IF(各r阵容卡情况!$H96=0,0,IF(各r阵容卡情况!$AB96&lt;=1,各r阵容卡情况!$AB96*F$18,1*F$18)*各r阵容卡情况!$H96)+
IF(各r阵容卡情况!$I96=0,0,IF(各r阵容卡情况!$AC96&lt;=1,各r阵容卡情况!$AC96*F$19,1*F$19)*各r阵容卡情况!$I96)+
IF(各r阵容卡情况!$J96=0,0,IF(各r阵容卡情况!$AD96&lt;=1,各r阵容卡情况!$AD96*F$20,1*F$20)*各r阵容卡情况!$J96)</f>
        <v>0</v>
      </c>
      <c r="AH68" s="67">
        <f>IF(各r阵容卡情况!$H96=0,0,IF(各r阵容卡情况!$AB96&lt;=1,0,(各r阵容卡情况!$AB96-1)*G$26)*各r阵容卡情况!$H96)+
IF(各r阵容卡情况!$I96=0,0,IF(各r阵容卡情况!$AC96&lt;=1,0,(各r阵容卡情况!$AC96-1)*G$27)*各r阵容卡情况!$I96)+
IF(各r阵容卡情况!$J96=0,0,IF(各r阵容卡情况!$AD96&lt;=1,0,(各r阵容卡情况!$AD96-1)*G$28)*各r阵容卡情况!$J96)</f>
        <v>0</v>
      </c>
      <c r="AI68" s="67">
        <f>IF(各r阵容卡情况!$H96=0,0,IF(各r阵容卡情况!$AB96&lt;=1,0,(各r阵容卡情况!$AB96-1)*H$26)*各r阵容卡情况!$H96)+
IF(各r阵容卡情况!$I96=0,0,IF(各r阵容卡情况!$AC96&lt;=1,0,(各r阵容卡情况!$AC96-1)*H$27)*各r阵容卡情况!$I96)+
IF(各r阵容卡情况!$J96=0,0,IF(各r阵容卡情况!$AD96&lt;=1,0,(各r阵容卡情况!$AD96-1)*H$28)*各r阵容卡情况!$J96)</f>
        <v>0</v>
      </c>
      <c r="AJ68" s="67">
        <f>IF(各r阵容卡情况!$H96=0,0,IF(各r阵容卡情况!$AB96&lt;=1,0,(各r阵容卡情况!$AB96-1)*I$26)*各r阵容卡情况!$H96)+
IF(各r阵容卡情况!$I96=0,0,IF(各r阵容卡情况!$AC96&lt;=1,0,(各r阵容卡情况!$AC96-1)*I$27)*各r阵容卡情况!$I96)+
IF(各r阵容卡情况!$J96=0,0,IF(各r阵容卡情况!$AD96&lt;=1,0,(各r阵容卡情况!$AD96-1)*I$28)*各r阵容卡情况!$J96)</f>
        <v>0</v>
      </c>
      <c r="AL68" s="80">
        <f t="shared" si="62"/>
        <v>100</v>
      </c>
      <c r="AM68" s="80">
        <f t="shared" si="63"/>
        <v>48</v>
      </c>
      <c r="AN68" s="80">
        <f t="shared" si="64"/>
        <v>0</v>
      </c>
      <c r="AO68" s="80">
        <f t="shared" si="65"/>
        <v>0</v>
      </c>
      <c r="AP68" s="80">
        <f t="shared" si="66"/>
        <v>240</v>
      </c>
      <c r="AQ68" s="80">
        <f t="shared" si="67"/>
        <v>0</v>
      </c>
      <c r="AR68" s="80">
        <f t="shared" si="68"/>
        <v>0</v>
      </c>
      <c r="AS68" s="80">
        <f t="shared" si="69"/>
        <v>0</v>
      </c>
      <c r="AT68" s="80">
        <f t="shared" si="70"/>
        <v>0</v>
      </c>
      <c r="AU68" s="80">
        <f t="shared" si="71"/>
        <v>0</v>
      </c>
      <c r="AV68" s="80">
        <f t="shared" si="72"/>
        <v>0</v>
      </c>
      <c r="AW68" s="80">
        <f t="shared" si="73"/>
        <v>0</v>
      </c>
      <c r="AX68" s="80">
        <f t="shared" si="74"/>
        <v>0</v>
      </c>
      <c r="AY68" s="61" t="e">
        <f>SUMPRODUCT(AM68:AR68/'[1]功能-行军令'!$GI$26:$GN$26+AS68:AX68/'[1]功能-行军令'!$GI$26:$GN$26)/0.18</f>
        <v>#DIV/0!</v>
      </c>
      <c r="BO68" s="80">
        <f t="shared" si="60"/>
        <v>93.149045658279036</v>
      </c>
      <c r="BP68" s="80">
        <f t="shared" si="61"/>
        <v>12300000</v>
      </c>
      <c r="BQ68" s="80">
        <f>(BP68-BP67)*INDEX('[1]功能-付费相关'!$AR$6:$AR$165,$BO68,1)+BQ67</f>
        <v>16129.191064037783</v>
      </c>
      <c r="BR68" s="80"/>
      <c r="BS68" s="80"/>
    </row>
    <row r="69" spans="2:71" x14ac:dyDescent="0.15">
      <c r="B69" s="201"/>
      <c r="C69" s="80"/>
      <c r="D69" s="80"/>
      <c r="E69" s="80"/>
      <c r="F69" s="80"/>
      <c r="G69" s="80"/>
      <c r="H69" s="80"/>
      <c r="I69" s="80"/>
      <c r="L69" s="61">
        <v>23</v>
      </c>
      <c r="M69" s="80">
        <f>基础状态预期!D81</f>
        <v>93.149045658279036</v>
      </c>
      <c r="N69" s="80">
        <f>IF(基础状态预期!F81="",0,IF(基础状态预期!Z81&lt;=1,基础状态预期!Z81*D$4,1*D$4+(基础状态预期!Z81-1)*武将觉醒!D$5))</f>
        <v>0</v>
      </c>
      <c r="O69" s="80">
        <f>IF(基础状态预期!G81="",0,IF(基础状态预期!AA81&lt;=1,基础状态预期!AA81*E$4,1*E$4+(基础状态预期!AA81-1)*武将觉醒!E$5))</f>
        <v>0</v>
      </c>
      <c r="P69" s="80">
        <f>IF(基础状态预期!H81="",0,IF(基础状态预期!AB81&lt;=1,基础状态预期!AB81*F$4,1*F$4+(基础状态预期!AB81-1)*武将觉醒!F$5))</f>
        <v>0</v>
      </c>
      <c r="Q69" s="80">
        <f>IF(基础状态预期!I81="",0,IF(基础状态预期!AC81&lt;=1,基础状态预期!AC81*G$4,1*G$4+(基础状态预期!AC81-1)*武将觉醒!G$5))</f>
        <v>0</v>
      </c>
      <c r="R69" s="80">
        <f>IF(基础状态预期!J81="",0,IF(基础状态预期!AD81&lt;=1,基础状态预期!AD81*H$4,1*H$4+(基础状态预期!AD81-1)*武将觉醒!H$5))</f>
        <v>2050000</v>
      </c>
      <c r="S69" s="80">
        <f>MAX(SUMPRODUCT(N69:R69,基础状态预期!F81:J81),S68)</f>
        <v>12300000</v>
      </c>
      <c r="T69" s="80">
        <f>IF(基础状态预期!Z81="",0,IFERROR(基础状态预期!F81*求节点($C$62:$C$63,D$62:D$63,基础状态预期!Z81),0)+IFERROR(基础状态预期!$J81*求节点($C$71:$C$72,D$71:D$72,基础状态预期!$AD81),0))</f>
        <v>0</v>
      </c>
      <c r="U69" s="80">
        <f>IF(基础状态预期!AA81="",0,IFERROR(基础状态预期!G81*求节点($C$62:$C$63,E$62:E$63,基础状态预期!AA81),0)+IFERROR(基础状态预期!$J81*求节点($C$71:$C$72,E$71:E$72,基础状态预期!$AD81),0))</f>
        <v>0</v>
      </c>
      <c r="V69" s="80">
        <f>IF(基础状态预期!AB81="",0,IFERROR(基础状态预期!H81*求节点($C$62:$C$63,F$62:F$63,基础状态预期!AB81),0)+IFERROR(基础状态预期!$J81*求节点($C$71:$C$72,F$71:F$72,基础状态预期!$AD81),0))</f>
        <v>0</v>
      </c>
      <c r="W69" s="80">
        <f>IF(基础状态预期!AC81="",0,IFERROR(基础状态预期!I81*求节点($C$62:$C$63,G$62:G$63,基础状态预期!AC81),0)+IFERROR(基础状态预期!$J81*求节点($C$71:$C$72,G$71:G$72,基础状态预期!$AD81),0))</f>
        <v>0</v>
      </c>
      <c r="X69" s="80">
        <f>IF(基础状态预期!AD81="",0,IFERROR(基础状态预期!J81*求节点($C$62:$C$63,H$62:H$63,基础状态预期!AD81),0)+IFERROR(基础状态预期!$J81*求节点($C$71:$C$72,H$71:H$72,基础状态预期!$AD81),0))</f>
        <v>0</v>
      </c>
      <c r="Y69" s="80">
        <f>IF(基础状态预期!$H81="",0,IF(基础状态预期!$AB81&lt;=1,基础状态预期!$AB81*D$18,D$18)*基础状态预期!$H81)+
IF(基础状态预期!$I81="",0,IF(基础状态预期!$AC81&lt;=1,基础状态预期!$AC81*D$19,D$19)*基础状态预期!$I81)+
IF(基础状态预期!$J81="",0,IF(基础状态预期!$AD81&lt;=1,基础状态预期!$AD81*D$20,D$20)*基础状态预期!$J81)</f>
        <v>48</v>
      </c>
      <c r="Z69" s="80">
        <f>IF(基础状态预期!$H81="",0,IF(基础状态预期!$AB81&lt;=1,基础状态预期!$AB81*E$18,E$18)*基础状态预期!$H81)+
IF(基础状态预期!$I81="",0,IF(基础状态预期!$AC81&lt;=1,基础状态预期!$AC81*E$19,E$19)*基础状态预期!$I81)+
IF(基础状态预期!$J81="",0,IF(基础状态预期!$AD81&lt;=1,基础状态预期!$AD81*E$20,E$20)*基础状态预期!$J81)</f>
        <v>0</v>
      </c>
      <c r="AA69" s="80">
        <f>IF(基础状态预期!$H81="",0,IF(基础状态预期!$AB81&lt;=1,基础状态预期!$AB81*F$18,F$18)*基础状态预期!$H81)+
IF(基础状态预期!$I81="",0,IF(基础状态预期!$AC81&lt;=1,基础状态预期!$AC81*F$19,F$19)*基础状态预期!$I81)+
IF(基础状态预期!$J81="",0,IF(基础状态预期!$AD81&lt;=1,基础状态预期!$AD81*F$20,F$20)*基础状态预期!$J81)</f>
        <v>0</v>
      </c>
      <c r="AB69" s="67">
        <f>IF(基础状态预期!$H81="",0,IF(基础状态预期!$AB81&lt;=1,0,(基础状态预期!$AB81-1)*G$26)*基础状态预期!$H81)+
IF(基础状态预期!$I81="",0,IF(基础状态预期!$AC81&lt;=1,0,(基础状态预期!$AC81-1)*G$27)*基础状态预期!$I81)+
IF(基础状态预期!$J81="",0,IF(基础状态预期!$AD81&lt;=1,0,(基础状态预期!$AD81-1)*G$28)*基础状态预期!$J81)</f>
        <v>240</v>
      </c>
      <c r="AC69" s="67">
        <f>IF(基础状态预期!$H81="",0,IF(基础状态预期!$AB81&lt;=1,0,(基础状态预期!$AB81-1)*H$26)*基础状态预期!$H81)+
IF(基础状态预期!$I81="",0,IF(基础状态预期!$AC81&lt;=1,0,(基础状态预期!$AC81-1)*H$27)*基础状态预期!$I81)+
IF(基础状态预期!$J81="",0,IF(基础状态预期!$AD81&lt;=1,0,(基础状态预期!$AD81-1)*H$28)*基础状态预期!$J81)</f>
        <v>0</v>
      </c>
      <c r="AD69" s="67">
        <f>IF(基础状态预期!$H81="",0,IF(基础状态预期!$AB81&lt;=1,0,(基础状态预期!$AB81-1)*I$26)*基础状态预期!$H81)+
IF(基础状态预期!$I81="",0,IF(基础状态预期!$AC81&lt;=1,0,(基础状态预期!$AC81-1)*I$27)*基础状态预期!$I81)+
IF(基础状态预期!$J81="",0,IF(基础状态预期!$AD81&lt;=1,0,(基础状态预期!$AD81-1)*I$28)*基础状态预期!$J81)</f>
        <v>0</v>
      </c>
      <c r="AE69" s="80">
        <f>IF(各r阵容卡情况!$H97=0,0,IF(各r阵容卡情况!$AB97&lt;=1,各r阵容卡情况!$AB97*D$18,1*D$18)*各r阵容卡情况!$H97)+
IF(各r阵容卡情况!$I97=0,0,IF(各r阵容卡情况!$AC97&lt;=1,各r阵容卡情况!$AC97*D$19,1*D$19)*各r阵容卡情况!$I97)+
IF(各r阵容卡情况!$J97=0,0,IF(各r阵容卡情况!$AD97&lt;=1,各r阵容卡情况!$AD97*D$20,1*D$20)*各r阵容卡情况!$J97)</f>
        <v>0</v>
      </c>
      <c r="AF69" s="80">
        <f>IF(各r阵容卡情况!$H97=0,0,IF(各r阵容卡情况!$AB97&lt;=1,各r阵容卡情况!$AB97*E$18,1*E$18)*各r阵容卡情况!$H97)+
IF(各r阵容卡情况!$I97=0,0,IF(各r阵容卡情况!$AC97&lt;=1,各r阵容卡情况!$AC97*E$19,1*E$19)*各r阵容卡情况!$I97)+
IF(各r阵容卡情况!$J97=0,0,IF(各r阵容卡情况!$AD97&lt;=1,各r阵容卡情况!$AD97*E$20,1*E$20)*各r阵容卡情况!$J97)</f>
        <v>0</v>
      </c>
      <c r="AG69" s="80">
        <f>IF(各r阵容卡情况!$H97=0,0,IF(各r阵容卡情况!$AB97&lt;=1,各r阵容卡情况!$AB97*F$18,1*F$18)*各r阵容卡情况!$H97)+
IF(各r阵容卡情况!$I97=0,0,IF(各r阵容卡情况!$AC97&lt;=1,各r阵容卡情况!$AC97*F$19,1*F$19)*各r阵容卡情况!$I97)+
IF(各r阵容卡情况!$J97=0,0,IF(各r阵容卡情况!$AD97&lt;=1,各r阵容卡情况!$AD97*F$20,1*F$20)*各r阵容卡情况!$J97)</f>
        <v>0</v>
      </c>
      <c r="AH69" s="67">
        <f>IF(各r阵容卡情况!$H97=0,0,IF(各r阵容卡情况!$AB97&lt;=1,0,(各r阵容卡情况!$AB97-1)*G$26)*各r阵容卡情况!$H97)+
IF(各r阵容卡情况!$I97=0,0,IF(各r阵容卡情况!$AC97&lt;=1,0,(各r阵容卡情况!$AC97-1)*G$27)*各r阵容卡情况!$I97)+
IF(各r阵容卡情况!$J97=0,0,IF(各r阵容卡情况!$AD97&lt;=1,0,(各r阵容卡情况!$AD97-1)*G$28)*各r阵容卡情况!$J97)</f>
        <v>0</v>
      </c>
      <c r="AI69" s="67">
        <f>IF(各r阵容卡情况!$H97=0,0,IF(各r阵容卡情况!$AB97&lt;=1,0,(各r阵容卡情况!$AB97-1)*H$26)*各r阵容卡情况!$H97)+
IF(各r阵容卡情况!$I97=0,0,IF(各r阵容卡情况!$AC97&lt;=1,0,(各r阵容卡情况!$AC97-1)*H$27)*各r阵容卡情况!$I97)+
IF(各r阵容卡情况!$J97=0,0,IF(各r阵容卡情况!$AD97&lt;=1,0,(各r阵容卡情况!$AD97-1)*H$28)*各r阵容卡情况!$J97)</f>
        <v>0</v>
      </c>
      <c r="AJ69" s="67">
        <f>IF(各r阵容卡情况!$H97=0,0,IF(各r阵容卡情况!$AB97&lt;=1,0,(各r阵容卡情况!$AB97-1)*I$26)*各r阵容卡情况!$H97)+
IF(各r阵容卡情况!$I97=0,0,IF(各r阵容卡情况!$AC97&lt;=1,0,(各r阵容卡情况!$AC97-1)*I$27)*各r阵容卡情况!$I97)+
IF(各r阵容卡情况!$J97=0,0,IF(各r阵容卡情况!$AD97&lt;=1,0,(各r阵容卡情况!$AD97-1)*I$28)*各r阵容卡情况!$J97)</f>
        <v>0</v>
      </c>
      <c r="AL69" s="80">
        <f t="shared" si="62"/>
        <v>105</v>
      </c>
      <c r="AM69" s="80">
        <f t="shared" si="63"/>
        <v>48</v>
      </c>
      <c r="AN69" s="80">
        <f t="shared" si="64"/>
        <v>0</v>
      </c>
      <c r="AO69" s="80">
        <f t="shared" si="65"/>
        <v>0</v>
      </c>
      <c r="AP69" s="80">
        <f t="shared" si="66"/>
        <v>240</v>
      </c>
      <c r="AQ69" s="80">
        <f t="shared" si="67"/>
        <v>0</v>
      </c>
      <c r="AR69" s="80">
        <f t="shared" si="68"/>
        <v>0</v>
      </c>
      <c r="AS69" s="80">
        <f t="shared" si="69"/>
        <v>0</v>
      </c>
      <c r="AT69" s="80">
        <f t="shared" si="70"/>
        <v>0</v>
      </c>
      <c r="AU69" s="80">
        <f t="shared" si="71"/>
        <v>0</v>
      </c>
      <c r="AV69" s="80">
        <f t="shared" si="72"/>
        <v>0</v>
      </c>
      <c r="AW69" s="80">
        <f t="shared" si="73"/>
        <v>0</v>
      </c>
      <c r="AX69" s="80">
        <f t="shared" si="74"/>
        <v>0</v>
      </c>
      <c r="AY69" s="61" t="e">
        <f>SUMPRODUCT(AM69:AR69/'[1]功能-行军令'!$GI$26:$GN$26+AS69:AX69/'[1]功能-行军令'!$GI$26:$GN$26)/0.18</f>
        <v>#DIV/0!</v>
      </c>
      <c r="BO69" s="80">
        <f t="shared" si="60"/>
        <v>96.770480813454071</v>
      </c>
      <c r="BP69" s="80">
        <f t="shared" si="61"/>
        <v>12300000</v>
      </c>
      <c r="BQ69" s="80">
        <f>(BP69-BP68)*INDEX('[1]功能-付费相关'!$AR$6:$AR$165,$BO69,1)+BQ68</f>
        <v>16129.191064037783</v>
      </c>
      <c r="BR69" s="80"/>
      <c r="BS69" s="80"/>
    </row>
    <row r="70" spans="2:71" x14ac:dyDescent="0.15">
      <c r="B70" s="201" t="s">
        <v>553</v>
      </c>
      <c r="C70" s="80" t="s">
        <v>14</v>
      </c>
      <c r="D70" s="80" t="s">
        <v>3</v>
      </c>
      <c r="E70" s="80" t="s">
        <v>1</v>
      </c>
      <c r="F70" s="80" t="s">
        <v>2</v>
      </c>
      <c r="G70" s="80" t="s">
        <v>0</v>
      </c>
      <c r="H70" s="80" t="s">
        <v>545</v>
      </c>
      <c r="I70" s="80" t="s">
        <v>30</v>
      </c>
      <c r="L70" s="61">
        <v>24</v>
      </c>
      <c r="M70" s="80">
        <f>基础状态预期!D82</f>
        <v>96.770480813454071</v>
      </c>
      <c r="N70" s="80">
        <f>IF(基础状态预期!F82="",0,IF(基础状态预期!Z82&lt;=1,基础状态预期!Z82*D$4,1*D$4+(基础状态预期!Z82-1)*武将觉醒!D$5))</f>
        <v>0</v>
      </c>
      <c r="O70" s="80">
        <f>IF(基础状态预期!G82="",0,IF(基础状态预期!AA82&lt;=1,基础状态预期!AA82*E$4,1*E$4+(基础状态预期!AA82-1)*武将觉醒!E$5))</f>
        <v>0</v>
      </c>
      <c r="P70" s="80">
        <f>IF(基础状态预期!H82="",0,IF(基础状态预期!AB82&lt;=1,基础状态预期!AB82*F$4,1*F$4+(基础状态预期!AB82-1)*武将觉醒!F$5))</f>
        <v>0</v>
      </c>
      <c r="Q70" s="80">
        <f>IF(基础状态预期!I82="",0,IF(基础状态预期!AC82&lt;=1,基础状态预期!AC82*G$4,1*G$4+(基础状态预期!AC82-1)*武将觉醒!G$5))</f>
        <v>0</v>
      </c>
      <c r="R70" s="80">
        <f>IF(基础状态预期!J82="",0,IF(基础状态预期!AD82&lt;=1,基础状态预期!AD82*H$4,1*H$4+(基础状态预期!AD82-1)*武将觉醒!H$5))</f>
        <v>2050000</v>
      </c>
      <c r="S70" s="80">
        <f>MAX(SUMPRODUCT(N70:R70,基础状态预期!F82:J82),S69)</f>
        <v>12300000</v>
      </c>
      <c r="T70" s="80">
        <f>IF(基础状态预期!Z82="",0,IFERROR(基础状态预期!F82*求节点($C$62:$C$63,D$62:D$63,基础状态预期!Z82),0)+IFERROR(基础状态预期!$J82*求节点($C$71:$C$72,D$71:D$72,基础状态预期!$AD82),0))</f>
        <v>0</v>
      </c>
      <c r="U70" s="80">
        <f>IF(基础状态预期!AA82="",0,IFERROR(基础状态预期!G82*求节点($C$62:$C$63,E$62:E$63,基础状态预期!AA82),0)+IFERROR(基础状态预期!$J82*求节点($C$71:$C$72,E$71:E$72,基础状态预期!$AD82),0))</f>
        <v>0</v>
      </c>
      <c r="V70" s="80">
        <f>IF(基础状态预期!AB82="",0,IFERROR(基础状态预期!H82*求节点($C$62:$C$63,F$62:F$63,基础状态预期!AB82),0)+IFERROR(基础状态预期!$J82*求节点($C$71:$C$72,F$71:F$72,基础状态预期!$AD82),0))</f>
        <v>0</v>
      </c>
      <c r="W70" s="80">
        <f>IF(基础状态预期!AC82="",0,IFERROR(基础状态预期!I82*求节点($C$62:$C$63,G$62:G$63,基础状态预期!AC82),0)+IFERROR(基础状态预期!$J82*求节点($C$71:$C$72,G$71:G$72,基础状态预期!$AD82),0))</f>
        <v>0</v>
      </c>
      <c r="X70" s="80">
        <f>IF(基础状态预期!AD82="",0,IFERROR(基础状态预期!J82*求节点($C$62:$C$63,H$62:H$63,基础状态预期!AD82),0)+IFERROR(基础状态预期!$J82*求节点($C$71:$C$72,H$71:H$72,基础状态预期!$AD82),0))</f>
        <v>0</v>
      </c>
      <c r="Y70" s="80">
        <f>IF(基础状态预期!$H82="",0,IF(基础状态预期!$AB82&lt;=1,基础状态预期!$AB82*D$18,D$18)*基础状态预期!$H82)+
IF(基础状态预期!$I82="",0,IF(基础状态预期!$AC82&lt;=1,基础状态预期!$AC82*D$19,D$19)*基础状态预期!$I82)+
IF(基础状态预期!$J82="",0,IF(基础状态预期!$AD82&lt;=1,基础状态预期!$AD82*D$20,D$20)*基础状态预期!$J82)</f>
        <v>48</v>
      </c>
      <c r="Z70" s="80">
        <f>IF(基础状态预期!$H82="",0,IF(基础状态预期!$AB82&lt;=1,基础状态预期!$AB82*E$18,E$18)*基础状态预期!$H82)+
IF(基础状态预期!$I82="",0,IF(基础状态预期!$AC82&lt;=1,基础状态预期!$AC82*E$19,E$19)*基础状态预期!$I82)+
IF(基础状态预期!$J82="",0,IF(基础状态预期!$AD82&lt;=1,基础状态预期!$AD82*E$20,E$20)*基础状态预期!$J82)</f>
        <v>0</v>
      </c>
      <c r="AA70" s="80">
        <f>IF(基础状态预期!$H82="",0,IF(基础状态预期!$AB82&lt;=1,基础状态预期!$AB82*F$18,F$18)*基础状态预期!$H82)+
IF(基础状态预期!$I82="",0,IF(基础状态预期!$AC82&lt;=1,基础状态预期!$AC82*F$19,F$19)*基础状态预期!$I82)+
IF(基础状态预期!$J82="",0,IF(基础状态预期!$AD82&lt;=1,基础状态预期!$AD82*F$20,F$20)*基础状态预期!$J82)</f>
        <v>0</v>
      </c>
      <c r="AB70" s="67">
        <f>IF(基础状态预期!$H82="",0,IF(基础状态预期!$AB82&lt;=1,0,(基础状态预期!$AB82-1)*G$26)*基础状态预期!$H82)+
IF(基础状态预期!$I82="",0,IF(基础状态预期!$AC82&lt;=1,0,(基础状态预期!$AC82-1)*G$27)*基础状态预期!$I82)+
IF(基础状态预期!$J82="",0,IF(基础状态预期!$AD82&lt;=1,0,(基础状态预期!$AD82-1)*G$28)*基础状态预期!$J82)</f>
        <v>240</v>
      </c>
      <c r="AC70" s="67">
        <f>IF(基础状态预期!$H82="",0,IF(基础状态预期!$AB82&lt;=1,0,(基础状态预期!$AB82-1)*H$26)*基础状态预期!$H82)+
IF(基础状态预期!$I82="",0,IF(基础状态预期!$AC82&lt;=1,0,(基础状态预期!$AC82-1)*H$27)*基础状态预期!$I82)+
IF(基础状态预期!$J82="",0,IF(基础状态预期!$AD82&lt;=1,0,(基础状态预期!$AD82-1)*H$28)*基础状态预期!$J82)</f>
        <v>0</v>
      </c>
      <c r="AD70" s="67">
        <f>IF(基础状态预期!$H82="",0,IF(基础状态预期!$AB82&lt;=1,0,(基础状态预期!$AB82-1)*I$26)*基础状态预期!$H82)+
IF(基础状态预期!$I82="",0,IF(基础状态预期!$AC82&lt;=1,0,(基础状态预期!$AC82-1)*I$27)*基础状态预期!$I82)+
IF(基础状态预期!$J82="",0,IF(基础状态预期!$AD82&lt;=1,0,(基础状态预期!$AD82-1)*I$28)*基础状态预期!$J82)</f>
        <v>0</v>
      </c>
      <c r="AE70" s="80">
        <f>IF(各r阵容卡情况!$H98=0,0,IF(各r阵容卡情况!$AB98&lt;=1,各r阵容卡情况!$AB98*D$18,1*D$18)*各r阵容卡情况!$H98)+
IF(各r阵容卡情况!$I98=0,0,IF(各r阵容卡情况!$AC98&lt;=1,各r阵容卡情况!$AC98*D$19,1*D$19)*各r阵容卡情况!$I98)+
IF(各r阵容卡情况!$J98=0,0,IF(各r阵容卡情况!$AD98&lt;=1,各r阵容卡情况!$AD98*D$20,1*D$20)*各r阵容卡情况!$J98)</f>
        <v>0</v>
      </c>
      <c r="AF70" s="80">
        <f>IF(各r阵容卡情况!$H98=0,0,IF(各r阵容卡情况!$AB98&lt;=1,各r阵容卡情况!$AB98*E$18,1*E$18)*各r阵容卡情况!$H98)+
IF(各r阵容卡情况!$I98=0,0,IF(各r阵容卡情况!$AC98&lt;=1,各r阵容卡情况!$AC98*E$19,1*E$19)*各r阵容卡情况!$I98)+
IF(各r阵容卡情况!$J98=0,0,IF(各r阵容卡情况!$AD98&lt;=1,各r阵容卡情况!$AD98*E$20,1*E$20)*各r阵容卡情况!$J98)</f>
        <v>0</v>
      </c>
      <c r="AG70" s="80">
        <f>IF(各r阵容卡情况!$H98=0,0,IF(各r阵容卡情况!$AB98&lt;=1,各r阵容卡情况!$AB98*F$18,1*F$18)*各r阵容卡情况!$H98)+
IF(各r阵容卡情况!$I98=0,0,IF(各r阵容卡情况!$AC98&lt;=1,各r阵容卡情况!$AC98*F$19,1*F$19)*各r阵容卡情况!$I98)+
IF(各r阵容卡情况!$J98=0,0,IF(各r阵容卡情况!$AD98&lt;=1,各r阵容卡情况!$AD98*F$20,1*F$20)*各r阵容卡情况!$J98)</f>
        <v>0</v>
      </c>
      <c r="AH70" s="67">
        <f>IF(各r阵容卡情况!$H98=0,0,IF(各r阵容卡情况!$AB98&lt;=1,0,(各r阵容卡情况!$AB98-1)*G$26)*各r阵容卡情况!$H98)+
IF(各r阵容卡情况!$I98=0,0,IF(各r阵容卡情况!$AC98&lt;=1,0,(各r阵容卡情况!$AC98-1)*G$27)*各r阵容卡情况!$I98)+
IF(各r阵容卡情况!$J98=0,0,IF(各r阵容卡情况!$AD98&lt;=1,0,(各r阵容卡情况!$AD98-1)*G$28)*各r阵容卡情况!$J98)</f>
        <v>0</v>
      </c>
      <c r="AI70" s="67">
        <f>IF(各r阵容卡情况!$H98=0,0,IF(各r阵容卡情况!$AB98&lt;=1,0,(各r阵容卡情况!$AB98-1)*H$26)*各r阵容卡情况!$H98)+
IF(各r阵容卡情况!$I98=0,0,IF(各r阵容卡情况!$AC98&lt;=1,0,(各r阵容卡情况!$AC98-1)*H$27)*各r阵容卡情况!$I98)+
IF(各r阵容卡情况!$J98=0,0,IF(各r阵容卡情况!$AD98&lt;=1,0,(各r阵容卡情况!$AD98-1)*H$28)*各r阵容卡情况!$J98)</f>
        <v>0</v>
      </c>
      <c r="AJ70" s="67">
        <f>IF(各r阵容卡情况!$H98=0,0,IF(各r阵容卡情况!$AB98&lt;=1,0,(各r阵容卡情况!$AB98-1)*I$26)*各r阵容卡情况!$H98)+
IF(各r阵容卡情况!$I98=0,0,IF(各r阵容卡情况!$AC98&lt;=1,0,(各r阵容卡情况!$AC98-1)*I$27)*各r阵容卡情况!$I98)+
IF(各r阵容卡情况!$J98=0,0,IF(各r阵容卡情况!$AD98&lt;=1,0,(各r阵容卡情况!$AD98-1)*I$28)*各r阵容卡情况!$J98)</f>
        <v>0</v>
      </c>
      <c r="AL70" s="80">
        <f t="shared" si="62"/>
        <v>110</v>
      </c>
      <c r="AM70" s="80">
        <f t="shared" si="63"/>
        <v>48</v>
      </c>
      <c r="AN70" s="80">
        <f t="shared" si="64"/>
        <v>0</v>
      </c>
      <c r="AO70" s="80">
        <f t="shared" si="65"/>
        <v>0</v>
      </c>
      <c r="AP70" s="80">
        <f t="shared" si="66"/>
        <v>240</v>
      </c>
      <c r="AQ70" s="80">
        <f t="shared" si="67"/>
        <v>0</v>
      </c>
      <c r="AR70" s="80">
        <f t="shared" si="68"/>
        <v>0</v>
      </c>
      <c r="AS70" s="80">
        <f t="shared" si="69"/>
        <v>0</v>
      </c>
      <c r="AT70" s="80">
        <f t="shared" si="70"/>
        <v>0</v>
      </c>
      <c r="AU70" s="80">
        <f t="shared" si="71"/>
        <v>0</v>
      </c>
      <c r="AV70" s="80">
        <f t="shared" si="72"/>
        <v>0</v>
      </c>
      <c r="AW70" s="80">
        <f t="shared" si="73"/>
        <v>0</v>
      </c>
      <c r="AX70" s="80">
        <f t="shared" si="74"/>
        <v>0</v>
      </c>
      <c r="AY70" s="61" t="e">
        <f>SUMPRODUCT(AM70:AR70/'[1]功能-行军令'!$GI$26:$GN$26+AS70:AX70/'[1]功能-行军令'!$GI$26:$GN$26)/0.18</f>
        <v>#DIV/0!</v>
      </c>
      <c r="BO70" s="80">
        <f t="shared" si="60"/>
        <v>100.40175326279811</v>
      </c>
      <c r="BP70" s="80">
        <f t="shared" si="61"/>
        <v>12300000</v>
      </c>
      <c r="BQ70" s="80">
        <f>(BP70-BP69)*INDEX('[1]功能-付费相关'!$AR$6:$AR$165,$BO70,1)+BQ69</f>
        <v>16129.191064037783</v>
      </c>
      <c r="BR70" s="80"/>
      <c r="BS70" s="80"/>
    </row>
    <row r="71" spans="2:71" x14ac:dyDescent="0.15">
      <c r="B71" s="201"/>
      <c r="C71" s="80">
        <v>1</v>
      </c>
      <c r="D71" s="80">
        <f>SUM(D$42:D42)</f>
        <v>0</v>
      </c>
      <c r="E71" s="80">
        <f>SUM(E$42:E42)</f>
        <v>0</v>
      </c>
      <c r="F71" s="80">
        <f>SUM(F$42:F42)</f>
        <v>0</v>
      </c>
      <c r="G71" s="80">
        <f>SUM(G$42:G42)</f>
        <v>0</v>
      </c>
      <c r="H71" s="80">
        <f>SUM(H$42:H42)</f>
        <v>0</v>
      </c>
      <c r="I71" s="80"/>
      <c r="L71" s="61">
        <v>25</v>
      </c>
      <c r="M71" s="80">
        <f>基础状态预期!D83</f>
        <v>100.40175326279811</v>
      </c>
      <c r="N71" s="80">
        <f>IF(基础状态预期!F83="",0,IF(基础状态预期!Z83&lt;=1,基础状态预期!Z83*D$4,1*D$4+(基础状态预期!Z83-1)*武将觉醒!D$5))</f>
        <v>0</v>
      </c>
      <c r="O71" s="80">
        <f>IF(基础状态预期!G83="",0,IF(基础状态预期!AA83&lt;=1,基础状态预期!AA83*E$4,1*E$4+(基础状态预期!AA83-1)*武将觉醒!E$5))</f>
        <v>0</v>
      </c>
      <c r="P71" s="80">
        <f>IF(基础状态预期!H83="",0,IF(基础状态预期!AB83&lt;=1,基础状态预期!AB83*F$4,1*F$4+(基础状态预期!AB83-1)*武将觉醒!F$5))</f>
        <v>0</v>
      </c>
      <c r="Q71" s="80">
        <f>IF(基础状态预期!I83="",0,IF(基础状态预期!AC83&lt;=1,基础状态预期!AC83*G$4,1*G$4+(基础状态预期!AC83-1)*武将觉醒!G$5))</f>
        <v>0</v>
      </c>
      <c r="R71" s="80">
        <f>IF(基础状态预期!J83="",0,IF(基础状态预期!AD83&lt;=1,基础状态预期!AD83*H$4,1*H$4+(基础状态预期!AD83-1)*武将觉醒!H$5))</f>
        <v>2050000</v>
      </c>
      <c r="S71" s="80">
        <f>MAX(SUMPRODUCT(N71:R71,基础状态预期!F83:J83),S70)</f>
        <v>12300000</v>
      </c>
      <c r="T71" s="80">
        <f>IF(基础状态预期!Z83="",0,IFERROR(基础状态预期!F83*求节点($C$62:$C$63,D$62:D$63,基础状态预期!Z83),0)+IFERROR(基础状态预期!$J83*求节点($C$71:$C$72,D$71:D$72,基础状态预期!$AD83),0))</f>
        <v>0</v>
      </c>
      <c r="U71" s="80">
        <f>IF(基础状态预期!AA83="",0,IFERROR(基础状态预期!G83*求节点($C$62:$C$63,E$62:E$63,基础状态预期!AA83),0)+IFERROR(基础状态预期!$J83*求节点($C$71:$C$72,E$71:E$72,基础状态预期!$AD83),0))</f>
        <v>0</v>
      </c>
      <c r="V71" s="80">
        <f>IF(基础状态预期!AB83="",0,IFERROR(基础状态预期!H83*求节点($C$62:$C$63,F$62:F$63,基础状态预期!AB83),0)+IFERROR(基础状态预期!$J83*求节点($C$71:$C$72,F$71:F$72,基础状态预期!$AD83),0))</f>
        <v>0</v>
      </c>
      <c r="W71" s="80">
        <f>IF(基础状态预期!AC83="",0,IFERROR(基础状态预期!I83*求节点($C$62:$C$63,G$62:G$63,基础状态预期!AC83),0)+IFERROR(基础状态预期!$J83*求节点($C$71:$C$72,G$71:G$72,基础状态预期!$AD83),0))</f>
        <v>0</v>
      </c>
      <c r="X71" s="80">
        <f>IF(基础状态预期!AD83="",0,IFERROR(基础状态预期!J83*求节点($C$62:$C$63,H$62:H$63,基础状态预期!AD83),0)+IFERROR(基础状态预期!$J83*求节点($C$71:$C$72,H$71:H$72,基础状态预期!$AD83),0))</f>
        <v>0</v>
      </c>
      <c r="Y71" s="80">
        <f>IF(基础状态预期!$H83="",0,IF(基础状态预期!$AB83&lt;=1,基础状态预期!$AB83*D$18,D$18)*基础状态预期!$H83)+
IF(基础状态预期!$I83="",0,IF(基础状态预期!$AC83&lt;=1,基础状态预期!$AC83*D$19,D$19)*基础状态预期!$I83)+
IF(基础状态预期!$J83="",0,IF(基础状态预期!$AD83&lt;=1,基础状态预期!$AD83*D$20,D$20)*基础状态预期!$J83)</f>
        <v>48</v>
      </c>
      <c r="Z71" s="80">
        <f>IF(基础状态预期!$H83="",0,IF(基础状态预期!$AB83&lt;=1,基础状态预期!$AB83*E$18,E$18)*基础状态预期!$H83)+
IF(基础状态预期!$I83="",0,IF(基础状态预期!$AC83&lt;=1,基础状态预期!$AC83*E$19,E$19)*基础状态预期!$I83)+
IF(基础状态预期!$J83="",0,IF(基础状态预期!$AD83&lt;=1,基础状态预期!$AD83*E$20,E$20)*基础状态预期!$J83)</f>
        <v>0</v>
      </c>
      <c r="AA71" s="80">
        <f>IF(基础状态预期!$H83="",0,IF(基础状态预期!$AB83&lt;=1,基础状态预期!$AB83*F$18,F$18)*基础状态预期!$H83)+
IF(基础状态预期!$I83="",0,IF(基础状态预期!$AC83&lt;=1,基础状态预期!$AC83*F$19,F$19)*基础状态预期!$I83)+
IF(基础状态预期!$J83="",0,IF(基础状态预期!$AD83&lt;=1,基础状态预期!$AD83*F$20,F$20)*基础状态预期!$J83)</f>
        <v>0</v>
      </c>
      <c r="AB71" s="67">
        <f>IF(基础状态预期!$H83="",0,IF(基础状态预期!$AB83&lt;=1,0,(基础状态预期!$AB83-1)*G$26)*基础状态预期!$H83)+
IF(基础状态预期!$I83="",0,IF(基础状态预期!$AC83&lt;=1,0,(基础状态预期!$AC83-1)*G$27)*基础状态预期!$I83)+
IF(基础状态预期!$J83="",0,IF(基础状态预期!$AD83&lt;=1,0,(基础状态预期!$AD83-1)*G$28)*基础状态预期!$J83)</f>
        <v>240</v>
      </c>
      <c r="AC71" s="67">
        <f>IF(基础状态预期!$H83="",0,IF(基础状态预期!$AB83&lt;=1,0,(基础状态预期!$AB83-1)*H$26)*基础状态预期!$H83)+
IF(基础状态预期!$I83="",0,IF(基础状态预期!$AC83&lt;=1,0,(基础状态预期!$AC83-1)*H$27)*基础状态预期!$I83)+
IF(基础状态预期!$J83="",0,IF(基础状态预期!$AD83&lt;=1,0,(基础状态预期!$AD83-1)*H$28)*基础状态预期!$J83)</f>
        <v>0</v>
      </c>
      <c r="AD71" s="67">
        <f>IF(基础状态预期!$H83="",0,IF(基础状态预期!$AB83&lt;=1,0,(基础状态预期!$AB83-1)*I$26)*基础状态预期!$H83)+
IF(基础状态预期!$I83="",0,IF(基础状态预期!$AC83&lt;=1,0,(基础状态预期!$AC83-1)*I$27)*基础状态预期!$I83)+
IF(基础状态预期!$J83="",0,IF(基础状态预期!$AD83&lt;=1,0,(基础状态预期!$AD83-1)*I$28)*基础状态预期!$J83)</f>
        <v>0</v>
      </c>
      <c r="AE71" s="80">
        <f>IF(各r阵容卡情况!$H99=0,0,IF(各r阵容卡情况!$AB99&lt;=1,各r阵容卡情况!$AB99*D$18,1*D$18)*各r阵容卡情况!$H99)+
IF(各r阵容卡情况!$I99=0,0,IF(各r阵容卡情况!$AC99&lt;=1,各r阵容卡情况!$AC99*D$19,1*D$19)*各r阵容卡情况!$I99)+
IF(各r阵容卡情况!$J99=0,0,IF(各r阵容卡情况!$AD99&lt;=1,各r阵容卡情况!$AD99*D$20,1*D$20)*各r阵容卡情况!$J99)</f>
        <v>0</v>
      </c>
      <c r="AF71" s="80">
        <f>IF(各r阵容卡情况!$H99=0,0,IF(各r阵容卡情况!$AB99&lt;=1,各r阵容卡情况!$AB99*E$18,1*E$18)*各r阵容卡情况!$H99)+
IF(各r阵容卡情况!$I99=0,0,IF(各r阵容卡情况!$AC99&lt;=1,各r阵容卡情况!$AC99*E$19,1*E$19)*各r阵容卡情况!$I99)+
IF(各r阵容卡情况!$J99=0,0,IF(各r阵容卡情况!$AD99&lt;=1,各r阵容卡情况!$AD99*E$20,1*E$20)*各r阵容卡情况!$J99)</f>
        <v>0</v>
      </c>
      <c r="AG71" s="80">
        <f>IF(各r阵容卡情况!$H99=0,0,IF(各r阵容卡情况!$AB99&lt;=1,各r阵容卡情况!$AB99*F$18,1*F$18)*各r阵容卡情况!$H99)+
IF(各r阵容卡情况!$I99=0,0,IF(各r阵容卡情况!$AC99&lt;=1,各r阵容卡情况!$AC99*F$19,1*F$19)*各r阵容卡情况!$I99)+
IF(各r阵容卡情况!$J99=0,0,IF(各r阵容卡情况!$AD99&lt;=1,各r阵容卡情况!$AD99*F$20,1*F$20)*各r阵容卡情况!$J99)</f>
        <v>0</v>
      </c>
      <c r="AH71" s="67">
        <f>IF(各r阵容卡情况!$H99=0,0,IF(各r阵容卡情况!$AB99&lt;=1,0,(各r阵容卡情况!$AB99-1)*G$26)*各r阵容卡情况!$H99)+
IF(各r阵容卡情况!$I99=0,0,IF(各r阵容卡情况!$AC99&lt;=1,0,(各r阵容卡情况!$AC99-1)*G$27)*各r阵容卡情况!$I99)+
IF(各r阵容卡情况!$J99=0,0,IF(各r阵容卡情况!$AD99&lt;=1,0,(各r阵容卡情况!$AD99-1)*G$28)*各r阵容卡情况!$J99)</f>
        <v>0</v>
      </c>
      <c r="AI71" s="67">
        <f>IF(各r阵容卡情况!$H99=0,0,IF(各r阵容卡情况!$AB99&lt;=1,0,(各r阵容卡情况!$AB99-1)*H$26)*各r阵容卡情况!$H99)+
IF(各r阵容卡情况!$I99=0,0,IF(各r阵容卡情况!$AC99&lt;=1,0,(各r阵容卡情况!$AC99-1)*H$27)*各r阵容卡情况!$I99)+
IF(各r阵容卡情况!$J99=0,0,IF(各r阵容卡情况!$AD99&lt;=1,0,(各r阵容卡情况!$AD99-1)*H$28)*各r阵容卡情况!$J99)</f>
        <v>0</v>
      </c>
      <c r="AJ71" s="67">
        <f>IF(各r阵容卡情况!$H99=0,0,IF(各r阵容卡情况!$AB99&lt;=1,0,(各r阵容卡情况!$AB99-1)*I$26)*各r阵容卡情况!$H99)+
IF(各r阵容卡情况!$I99=0,0,IF(各r阵容卡情况!$AC99&lt;=1,0,(各r阵容卡情况!$AC99-1)*I$27)*各r阵容卡情况!$I99)+
IF(各r阵容卡情况!$J99=0,0,IF(各r阵容卡情况!$AD99&lt;=1,0,(各r阵容卡情况!$AD99-1)*I$28)*各r阵容卡情况!$J99)</f>
        <v>0</v>
      </c>
      <c r="AL71" s="80">
        <f t="shared" si="62"/>
        <v>115</v>
      </c>
      <c r="AM71" s="80">
        <f t="shared" si="63"/>
        <v>48</v>
      </c>
      <c r="AN71" s="80">
        <f t="shared" si="64"/>
        <v>0</v>
      </c>
      <c r="AO71" s="80">
        <f t="shared" si="65"/>
        <v>0</v>
      </c>
      <c r="AP71" s="80">
        <f t="shared" si="66"/>
        <v>240</v>
      </c>
      <c r="AQ71" s="80">
        <f t="shared" si="67"/>
        <v>0</v>
      </c>
      <c r="AR71" s="80">
        <f t="shared" si="68"/>
        <v>0</v>
      </c>
      <c r="AS71" s="80">
        <f t="shared" si="69"/>
        <v>10.925675787478498</v>
      </c>
      <c r="AT71" s="80">
        <f t="shared" si="70"/>
        <v>0</v>
      </c>
      <c r="AU71" s="80">
        <f t="shared" si="71"/>
        <v>0</v>
      </c>
      <c r="AV71" s="80">
        <f t="shared" si="72"/>
        <v>4.0691694560396288</v>
      </c>
      <c r="AW71" s="80">
        <f t="shared" si="73"/>
        <v>0</v>
      </c>
      <c r="AX71" s="80">
        <f t="shared" si="74"/>
        <v>0</v>
      </c>
      <c r="AY71" s="61" t="e">
        <f>SUMPRODUCT(AM71:AR71/'[1]功能-行军令'!$GI$26:$GN$26+AS71:AX71/'[1]功能-行军令'!$GI$26:$GN$26)/0.18</f>
        <v>#DIV/0!</v>
      </c>
      <c r="BO71" s="80">
        <f t="shared" si="60"/>
        <v>104.06236366727887</v>
      </c>
      <c r="BP71" s="80">
        <f t="shared" si="61"/>
        <v>12300000</v>
      </c>
      <c r="BQ71" s="80">
        <f>(BP71-BP70)*INDEX('[1]功能-付费相关'!$AR$6:$AR$165,$BO71,1)+BQ70</f>
        <v>16129.191064037783</v>
      </c>
      <c r="BR71" s="80"/>
      <c r="BS71" s="80"/>
    </row>
    <row r="72" spans="2:71" x14ac:dyDescent="0.15">
      <c r="B72" s="201"/>
      <c r="C72" s="80">
        <v>2</v>
      </c>
      <c r="D72" s="80">
        <f>SUM(D$42:D43)</f>
        <v>0</v>
      </c>
      <c r="E72" s="80">
        <f>SUM(E$42:E43)</f>
        <v>0</v>
      </c>
      <c r="F72" s="80">
        <f>SUM(F$42:F43)</f>
        <v>0</v>
      </c>
      <c r="G72" s="80">
        <f>SUM(G$42:G43)</f>
        <v>3</v>
      </c>
      <c r="H72" s="80">
        <f>SUM(H$42:H43)</f>
        <v>0</v>
      </c>
      <c r="I72" s="80"/>
      <c r="L72" s="61">
        <v>26</v>
      </c>
      <c r="M72" s="80">
        <f>基础状态预期!D84</f>
        <v>104.06236366727887</v>
      </c>
      <c r="N72" s="80">
        <f>IF(基础状态预期!F84="",0,IF(基础状态预期!Z84&lt;=1,基础状态预期!Z84*D$4,1*D$4+(基础状态预期!Z84-1)*武将觉醒!D$5))</f>
        <v>0</v>
      </c>
      <c r="O72" s="80">
        <f>IF(基础状态预期!G84="",0,IF(基础状态预期!AA84&lt;=1,基础状态预期!AA84*E$4,1*E$4+(基础状态预期!AA84-1)*武将觉醒!E$5))</f>
        <v>0</v>
      </c>
      <c r="P72" s="80">
        <f>IF(基础状态预期!H84="",0,IF(基础状态预期!AB84&lt;=1,基础状态预期!AB84*F$4,1*F$4+(基础状态预期!AB84-1)*武将觉醒!F$5))</f>
        <v>0</v>
      </c>
      <c r="Q72" s="80">
        <f>IF(基础状态预期!I84="",0,IF(基础状态预期!AC84&lt;=1,基础状态预期!AC84*G$4,1*G$4+(基础状态预期!AC84-1)*武将觉醒!G$5))</f>
        <v>0</v>
      </c>
      <c r="R72" s="80">
        <f>IF(基础状态预期!J84="",0,IF(基础状态预期!AD84&lt;=1,基础状态预期!AD84*H$4,1*H$4+(基础状态预期!AD84-1)*武将觉醒!H$5))</f>
        <v>2050000</v>
      </c>
      <c r="S72" s="80">
        <f>MAX(SUMPRODUCT(N72:R72,基础状态预期!F84:J84),S71)</f>
        <v>12300000</v>
      </c>
      <c r="T72" s="80">
        <f>IF(基础状态预期!Z84="",0,IFERROR(基础状态预期!F84*求节点($C$62:$C$63,D$62:D$63,基础状态预期!Z84),0)+IFERROR(基础状态预期!$J84*求节点($C$71:$C$72,D$71:D$72,基础状态预期!$AD84),0))</f>
        <v>0</v>
      </c>
      <c r="U72" s="80">
        <f>IF(基础状态预期!AA84="",0,IFERROR(基础状态预期!G84*求节点($C$62:$C$63,E$62:E$63,基础状态预期!AA84),0)+IFERROR(基础状态预期!$J84*求节点($C$71:$C$72,E$71:E$72,基础状态预期!$AD84),0))</f>
        <v>0</v>
      </c>
      <c r="V72" s="80">
        <f>IF(基础状态预期!AB84="",0,IFERROR(基础状态预期!H84*求节点($C$62:$C$63,F$62:F$63,基础状态预期!AB84),0)+IFERROR(基础状态预期!$J84*求节点($C$71:$C$72,F$71:F$72,基础状态预期!$AD84),0))</f>
        <v>0</v>
      </c>
      <c r="W72" s="80">
        <f>IF(基础状态预期!AC84="",0,IFERROR(基础状态预期!I84*求节点($C$62:$C$63,G$62:G$63,基础状态预期!AC84),0)+IFERROR(基础状态预期!$J84*求节点($C$71:$C$72,G$71:G$72,基础状态预期!$AD84),0))</f>
        <v>0</v>
      </c>
      <c r="X72" s="80">
        <f>IF(基础状态预期!AD84="",0,IFERROR(基础状态预期!J84*求节点($C$62:$C$63,H$62:H$63,基础状态预期!AD84),0)+IFERROR(基础状态预期!$J84*求节点($C$71:$C$72,H$71:H$72,基础状态预期!$AD84),0))</f>
        <v>0</v>
      </c>
      <c r="Y72" s="80">
        <f>IF(基础状态预期!$H84="",0,IF(基础状态预期!$AB84&lt;=1,基础状态预期!$AB84*D$18,D$18)*基础状态预期!$H84)+
IF(基础状态预期!$I84="",0,IF(基础状态预期!$AC84&lt;=1,基础状态预期!$AC84*D$19,D$19)*基础状态预期!$I84)+
IF(基础状态预期!$J84="",0,IF(基础状态预期!$AD84&lt;=1,基础状态预期!$AD84*D$20,D$20)*基础状态预期!$J84)</f>
        <v>48</v>
      </c>
      <c r="Z72" s="80">
        <f>IF(基础状态预期!$H84="",0,IF(基础状态预期!$AB84&lt;=1,基础状态预期!$AB84*E$18,E$18)*基础状态预期!$H84)+
IF(基础状态预期!$I84="",0,IF(基础状态预期!$AC84&lt;=1,基础状态预期!$AC84*E$19,E$19)*基础状态预期!$I84)+
IF(基础状态预期!$J84="",0,IF(基础状态预期!$AD84&lt;=1,基础状态预期!$AD84*E$20,E$20)*基础状态预期!$J84)</f>
        <v>0</v>
      </c>
      <c r="AA72" s="80">
        <f>IF(基础状态预期!$H84="",0,IF(基础状态预期!$AB84&lt;=1,基础状态预期!$AB84*F$18,F$18)*基础状态预期!$H84)+
IF(基础状态预期!$I84="",0,IF(基础状态预期!$AC84&lt;=1,基础状态预期!$AC84*F$19,F$19)*基础状态预期!$I84)+
IF(基础状态预期!$J84="",0,IF(基础状态预期!$AD84&lt;=1,基础状态预期!$AD84*F$20,F$20)*基础状态预期!$J84)</f>
        <v>0</v>
      </c>
      <c r="AB72" s="67">
        <f>IF(基础状态预期!$H84="",0,IF(基础状态预期!$AB84&lt;=1,0,(基础状态预期!$AB84-1)*G$26)*基础状态预期!$H84)+
IF(基础状态预期!$I84="",0,IF(基础状态预期!$AC84&lt;=1,0,(基础状态预期!$AC84-1)*G$27)*基础状态预期!$I84)+
IF(基础状态预期!$J84="",0,IF(基础状态预期!$AD84&lt;=1,0,(基础状态预期!$AD84-1)*G$28)*基础状态预期!$J84)</f>
        <v>240</v>
      </c>
      <c r="AC72" s="67">
        <f>IF(基础状态预期!$H84="",0,IF(基础状态预期!$AB84&lt;=1,0,(基础状态预期!$AB84-1)*H$26)*基础状态预期!$H84)+
IF(基础状态预期!$I84="",0,IF(基础状态预期!$AC84&lt;=1,0,(基础状态预期!$AC84-1)*H$27)*基础状态预期!$I84)+
IF(基础状态预期!$J84="",0,IF(基础状态预期!$AD84&lt;=1,0,(基础状态预期!$AD84-1)*H$28)*基础状态预期!$J84)</f>
        <v>0</v>
      </c>
      <c r="AD72" s="67">
        <f>IF(基础状态预期!$H84="",0,IF(基础状态预期!$AB84&lt;=1,0,(基础状态预期!$AB84-1)*I$26)*基础状态预期!$H84)+
IF(基础状态预期!$I84="",0,IF(基础状态预期!$AC84&lt;=1,0,(基础状态预期!$AC84-1)*I$27)*基础状态预期!$I84)+
IF(基础状态预期!$J84="",0,IF(基础状态预期!$AD84&lt;=1,0,(基础状态预期!$AD84-1)*I$28)*基础状态预期!$J84)</f>
        <v>0</v>
      </c>
      <c r="AE72" s="80" t="e">
        <f>IF(各r阵容卡情况!$H100=0,0,IF(各r阵容卡情况!$AB100&lt;=1,各r阵容卡情况!$AB100*D$18,1*D$18)*各r阵容卡情况!$H100)+
IF(各r阵容卡情况!$I100=0,0,IF(各r阵容卡情况!$AC100&lt;=1,各r阵容卡情况!$AC100*D$19,1*D$19)*各r阵容卡情况!$I100)+
IF(各r阵容卡情况!$J100=0,0,IF(各r阵容卡情况!$AD100&lt;=1,各r阵容卡情况!$AD100*D$20,1*D$20)*各r阵容卡情况!$J100)</f>
        <v>#VALUE!</v>
      </c>
      <c r="AF72" s="80" t="e">
        <f>IF(各r阵容卡情况!$H100=0,0,IF(各r阵容卡情况!$AB100&lt;=1,各r阵容卡情况!$AB100*E$18,1*E$18)*各r阵容卡情况!$H100)+
IF(各r阵容卡情况!$I100=0,0,IF(各r阵容卡情况!$AC100&lt;=1,各r阵容卡情况!$AC100*E$19,1*E$19)*各r阵容卡情况!$I100)+
IF(各r阵容卡情况!$J100=0,0,IF(各r阵容卡情况!$AD100&lt;=1,各r阵容卡情况!$AD100*E$20,1*E$20)*各r阵容卡情况!$J100)</f>
        <v>#VALUE!</v>
      </c>
      <c r="AG72" s="80" t="e">
        <f>IF(各r阵容卡情况!$H100=0,0,IF(各r阵容卡情况!$AB100&lt;=1,各r阵容卡情况!$AB100*F$18,1*F$18)*各r阵容卡情况!$H100)+
IF(各r阵容卡情况!$I100=0,0,IF(各r阵容卡情况!$AC100&lt;=1,各r阵容卡情况!$AC100*F$19,1*F$19)*各r阵容卡情况!$I100)+
IF(各r阵容卡情况!$J100=0,0,IF(各r阵容卡情况!$AD100&lt;=1,各r阵容卡情况!$AD100*F$20,1*F$20)*各r阵容卡情况!$J100)</f>
        <v>#VALUE!</v>
      </c>
      <c r="AH72" s="67" t="e">
        <f>IF(各r阵容卡情况!$H100=0,0,IF(各r阵容卡情况!$AB100&lt;=1,0,(各r阵容卡情况!$AB100-1)*G$26)*各r阵容卡情况!$H100)+
IF(各r阵容卡情况!$I100=0,0,IF(各r阵容卡情况!$AC100&lt;=1,0,(各r阵容卡情况!$AC100-1)*G$27)*各r阵容卡情况!$I100)+
IF(各r阵容卡情况!$J100=0,0,IF(各r阵容卡情况!$AD100&lt;=1,0,(各r阵容卡情况!$AD100-1)*G$28)*各r阵容卡情况!$J100)</f>
        <v>#VALUE!</v>
      </c>
      <c r="AI72" s="67" t="e">
        <f>IF(各r阵容卡情况!$H100=0,0,IF(各r阵容卡情况!$AB100&lt;=1,0,(各r阵容卡情况!$AB100-1)*H$26)*各r阵容卡情况!$H100)+
IF(各r阵容卡情况!$I100=0,0,IF(各r阵容卡情况!$AC100&lt;=1,0,(各r阵容卡情况!$AC100-1)*H$27)*各r阵容卡情况!$I100)+
IF(各r阵容卡情况!$J100=0,0,IF(各r阵容卡情况!$AD100&lt;=1,0,(各r阵容卡情况!$AD100-1)*H$28)*各r阵容卡情况!$J100)</f>
        <v>#VALUE!</v>
      </c>
      <c r="AJ72" s="67" t="e">
        <f>IF(各r阵容卡情况!$H100=0,0,IF(各r阵容卡情况!$AB100&lt;=1,0,(各r阵容卡情况!$AB100-1)*I$26)*各r阵容卡情况!$H100)+
IF(各r阵容卡情况!$I100=0,0,IF(各r阵容卡情况!$AC100&lt;=1,0,(各r阵容卡情况!$AC100-1)*I$27)*各r阵容卡情况!$I100)+
IF(各r阵容卡情况!$J100=0,0,IF(各r阵容卡情况!$AD100&lt;=1,0,(各r阵容卡情况!$AD100-1)*I$28)*各r阵容卡情况!$J100)</f>
        <v>#VALUE!</v>
      </c>
      <c r="AL72" s="80">
        <f t="shared" si="62"/>
        <v>120</v>
      </c>
      <c r="AM72" s="80">
        <f t="shared" si="63"/>
        <v>48</v>
      </c>
      <c r="AN72" s="80">
        <f t="shared" si="64"/>
        <v>0</v>
      </c>
      <c r="AO72" s="80">
        <f t="shared" si="65"/>
        <v>0</v>
      </c>
      <c r="AP72" s="80">
        <f t="shared" si="66"/>
        <v>240</v>
      </c>
      <c r="AQ72" s="80">
        <f t="shared" si="67"/>
        <v>0</v>
      </c>
      <c r="AR72" s="80">
        <f t="shared" si="68"/>
        <v>0</v>
      </c>
      <c r="AS72" s="80">
        <f t="shared" si="69"/>
        <v>39.30537289911296</v>
      </c>
      <c r="AT72" s="80">
        <f t="shared" si="70"/>
        <v>0</v>
      </c>
      <c r="AU72" s="80">
        <f t="shared" si="71"/>
        <v>0</v>
      </c>
      <c r="AV72" s="80">
        <f t="shared" si="72"/>
        <v>147.75737694276745</v>
      </c>
      <c r="AW72" s="80">
        <f t="shared" si="73"/>
        <v>0</v>
      </c>
      <c r="AX72" s="80">
        <f t="shared" si="74"/>
        <v>0</v>
      </c>
      <c r="AY72" s="61" t="e">
        <f>SUMPRODUCT(AM72:AR72/'[1]功能-行军令'!$GI$26:$GN$26+AS72:AX72/'[1]功能-行军令'!$GI$26:$GN$26)/0.18</f>
        <v>#DIV/0!</v>
      </c>
      <c r="BO72" s="80">
        <f t="shared" si="60"/>
        <v>107.42257994053838</v>
      </c>
      <c r="BP72" s="80">
        <f t="shared" si="61"/>
        <v>12300000</v>
      </c>
      <c r="BQ72" s="80">
        <f>(BP72-BP71)*INDEX('[1]功能-付费相关'!$AR$6:$AR$165,$BO72,1)+BQ71</f>
        <v>16129.191064037783</v>
      </c>
      <c r="BR72" s="80"/>
      <c r="BS72" s="80"/>
    </row>
    <row r="73" spans="2:71" x14ac:dyDescent="0.15">
      <c r="B73" s="201"/>
      <c r="C73" s="80"/>
      <c r="D73" s="80"/>
      <c r="E73" s="80"/>
      <c r="F73" s="80"/>
      <c r="G73" s="80"/>
      <c r="H73" s="80"/>
      <c r="I73" s="80"/>
      <c r="L73" s="61">
        <v>27</v>
      </c>
      <c r="M73" s="80">
        <f>基础状态预期!D85</f>
        <v>107.42257994053838</v>
      </c>
      <c r="N73" s="80">
        <f>IF(基础状态预期!F85="",0,IF(基础状态预期!Z85&lt;=1,基础状态预期!Z85*D$4,1*D$4+(基础状态预期!Z85-1)*武将觉醒!D$5))</f>
        <v>0</v>
      </c>
      <c r="O73" s="80">
        <f>IF(基础状态预期!G85="",0,IF(基础状态预期!AA85&lt;=1,基础状态预期!AA85*E$4,1*E$4+(基础状态预期!AA85-1)*武将觉醒!E$5))</f>
        <v>0</v>
      </c>
      <c r="P73" s="80">
        <f>IF(基础状态预期!H85="",0,IF(基础状态预期!AB85&lt;=1,基础状态预期!AB85*F$4,1*F$4+(基础状态预期!AB85-1)*武将觉醒!F$5))</f>
        <v>0</v>
      </c>
      <c r="Q73" s="80">
        <f>IF(基础状态预期!I85="",0,IF(基础状态预期!AC85&lt;=1,基础状态预期!AC85*G$4,1*G$4+(基础状态预期!AC85-1)*武将觉醒!G$5))</f>
        <v>0</v>
      </c>
      <c r="R73" s="80">
        <f>IF(基础状态预期!J85="",0,IF(基础状态预期!AD85&lt;=1,基础状态预期!AD85*H$4,1*H$4+(基础状态预期!AD85-1)*武将觉醒!H$5))</f>
        <v>2050000</v>
      </c>
      <c r="S73" s="80">
        <f>MAX(SUMPRODUCT(N73:R73,基础状态预期!F85:J85),S72)</f>
        <v>12300000</v>
      </c>
      <c r="T73" s="80">
        <f>IF(基础状态预期!Z85="",0,IFERROR(基础状态预期!F85*求节点($C$62:$C$63,D$62:D$63,基础状态预期!Z85),0)+IFERROR(基础状态预期!$J85*求节点($C$71:$C$72,D$71:D$72,基础状态预期!$AD85),0))</f>
        <v>0</v>
      </c>
      <c r="U73" s="80">
        <f>IF(基础状态预期!AA85="",0,IFERROR(基础状态预期!G85*求节点($C$62:$C$63,E$62:E$63,基础状态预期!AA85),0)+IFERROR(基础状态预期!$J85*求节点($C$71:$C$72,E$71:E$72,基础状态预期!$AD85),0))</f>
        <v>0</v>
      </c>
      <c r="V73" s="80">
        <f>IF(基础状态预期!AB85="",0,IFERROR(基础状态预期!H85*求节点($C$62:$C$63,F$62:F$63,基础状态预期!AB85),0)+IFERROR(基础状态预期!$J85*求节点($C$71:$C$72,F$71:F$72,基础状态预期!$AD85),0))</f>
        <v>0</v>
      </c>
      <c r="W73" s="80">
        <f>IF(基础状态预期!AC85="",0,IFERROR(基础状态预期!I85*求节点($C$62:$C$63,G$62:G$63,基础状态预期!AC85),0)+IFERROR(基础状态预期!$J85*求节点($C$71:$C$72,G$71:G$72,基础状态预期!$AD85),0))</f>
        <v>0</v>
      </c>
      <c r="X73" s="80">
        <f>IF(基础状态预期!AD85="",0,IFERROR(基础状态预期!J85*求节点($C$62:$C$63,H$62:H$63,基础状态预期!AD85),0)+IFERROR(基础状态预期!$J85*求节点($C$71:$C$72,H$71:H$72,基础状态预期!$AD85),0))</f>
        <v>0</v>
      </c>
      <c r="Y73" s="80">
        <f>IF(基础状态预期!$H85="",0,IF(基础状态预期!$AB85&lt;=1,基础状态预期!$AB85*D$18,D$18)*基础状态预期!$H85)+
IF(基础状态预期!$I85="",0,IF(基础状态预期!$AC85&lt;=1,基础状态预期!$AC85*D$19,D$19)*基础状态预期!$I85)+
IF(基础状态预期!$J85="",0,IF(基础状态预期!$AD85&lt;=1,基础状态预期!$AD85*D$20,D$20)*基础状态预期!$J85)</f>
        <v>48</v>
      </c>
      <c r="Z73" s="80">
        <f>IF(基础状态预期!$H85="",0,IF(基础状态预期!$AB85&lt;=1,基础状态预期!$AB85*E$18,E$18)*基础状态预期!$H85)+
IF(基础状态预期!$I85="",0,IF(基础状态预期!$AC85&lt;=1,基础状态预期!$AC85*E$19,E$19)*基础状态预期!$I85)+
IF(基础状态预期!$J85="",0,IF(基础状态预期!$AD85&lt;=1,基础状态预期!$AD85*E$20,E$20)*基础状态预期!$J85)</f>
        <v>0</v>
      </c>
      <c r="AA73" s="80">
        <f>IF(基础状态预期!$H85="",0,IF(基础状态预期!$AB85&lt;=1,基础状态预期!$AB85*F$18,F$18)*基础状态预期!$H85)+
IF(基础状态预期!$I85="",0,IF(基础状态预期!$AC85&lt;=1,基础状态预期!$AC85*F$19,F$19)*基础状态预期!$I85)+
IF(基础状态预期!$J85="",0,IF(基础状态预期!$AD85&lt;=1,基础状态预期!$AD85*F$20,F$20)*基础状态预期!$J85)</f>
        <v>0</v>
      </c>
      <c r="AB73" s="67">
        <f>IF(基础状态预期!$H85="",0,IF(基础状态预期!$AB85&lt;=1,0,(基础状态预期!$AB85-1)*G$26)*基础状态预期!$H85)+
IF(基础状态预期!$I85="",0,IF(基础状态预期!$AC85&lt;=1,0,(基础状态预期!$AC85-1)*G$27)*基础状态预期!$I85)+
IF(基础状态预期!$J85="",0,IF(基础状态预期!$AD85&lt;=1,0,(基础状态预期!$AD85-1)*G$28)*基础状态预期!$J85)</f>
        <v>240</v>
      </c>
      <c r="AC73" s="67">
        <f>IF(基础状态预期!$H85="",0,IF(基础状态预期!$AB85&lt;=1,0,(基础状态预期!$AB85-1)*H$26)*基础状态预期!$H85)+
IF(基础状态预期!$I85="",0,IF(基础状态预期!$AC85&lt;=1,0,(基础状态预期!$AC85-1)*H$27)*基础状态预期!$I85)+
IF(基础状态预期!$J85="",0,IF(基础状态预期!$AD85&lt;=1,0,(基础状态预期!$AD85-1)*H$28)*基础状态预期!$J85)</f>
        <v>0</v>
      </c>
      <c r="AD73" s="67">
        <f>IF(基础状态预期!$H85="",0,IF(基础状态预期!$AB85&lt;=1,0,(基础状态预期!$AB85-1)*I$26)*基础状态预期!$H85)+
IF(基础状态预期!$I85="",0,IF(基础状态预期!$AC85&lt;=1,0,(基础状态预期!$AC85-1)*I$27)*基础状态预期!$I85)+
IF(基础状态预期!$J85="",0,IF(基础状态预期!$AD85&lt;=1,0,(基础状态预期!$AD85-1)*I$28)*基础状态预期!$J85)</f>
        <v>0</v>
      </c>
      <c r="AE73" s="80">
        <f>IF(各r阵容卡情况!$H101=0,0,IF(各r阵容卡情况!$AB101&lt;=1,各r阵容卡情况!$AB101*D$18,1*D$18)*各r阵容卡情况!$H101)+
IF(各r阵容卡情况!$I101=0,0,IF(各r阵容卡情况!$AC101&lt;=1,各r阵容卡情况!$AC101*D$19,1*D$19)*各r阵容卡情况!$I101)+
IF(各r阵容卡情况!$J101=0,0,IF(各r阵容卡情况!$AD101&lt;=1,各r阵容卡情况!$AD101*D$20,1*D$20)*各r阵容卡情况!$J101)</f>
        <v>0</v>
      </c>
      <c r="AF73" s="80">
        <f>IF(各r阵容卡情况!$H101=0,0,IF(各r阵容卡情况!$AB101&lt;=1,各r阵容卡情况!$AB101*E$18,1*E$18)*各r阵容卡情况!$H101)+
IF(各r阵容卡情况!$I101=0,0,IF(各r阵容卡情况!$AC101&lt;=1,各r阵容卡情况!$AC101*E$19,1*E$19)*各r阵容卡情况!$I101)+
IF(各r阵容卡情况!$J101=0,0,IF(各r阵容卡情况!$AD101&lt;=1,各r阵容卡情况!$AD101*E$20,1*E$20)*各r阵容卡情况!$J101)</f>
        <v>0</v>
      </c>
      <c r="AG73" s="80">
        <f>IF(各r阵容卡情况!$H101=0,0,IF(各r阵容卡情况!$AB101&lt;=1,各r阵容卡情况!$AB101*F$18,1*F$18)*各r阵容卡情况!$H101)+
IF(各r阵容卡情况!$I101=0,0,IF(各r阵容卡情况!$AC101&lt;=1,各r阵容卡情况!$AC101*F$19,1*F$19)*各r阵容卡情况!$I101)+
IF(各r阵容卡情况!$J101=0,0,IF(各r阵容卡情况!$AD101&lt;=1,各r阵容卡情况!$AD101*F$20,1*F$20)*各r阵容卡情况!$J101)</f>
        <v>0</v>
      </c>
      <c r="AH73" s="67">
        <f>IF(各r阵容卡情况!$H101=0,0,IF(各r阵容卡情况!$AB101&lt;=1,0,(各r阵容卡情况!$AB101-1)*G$26)*各r阵容卡情况!$H101)+
IF(各r阵容卡情况!$I101=0,0,IF(各r阵容卡情况!$AC101&lt;=1,0,(各r阵容卡情况!$AC101-1)*G$27)*各r阵容卡情况!$I101)+
IF(各r阵容卡情况!$J101=0,0,IF(各r阵容卡情况!$AD101&lt;=1,0,(各r阵容卡情况!$AD101-1)*G$28)*各r阵容卡情况!$J101)</f>
        <v>0</v>
      </c>
      <c r="AI73" s="67">
        <f>IF(各r阵容卡情况!$H101=0,0,IF(各r阵容卡情况!$AB101&lt;=1,0,(各r阵容卡情况!$AB101-1)*H$26)*各r阵容卡情况!$H101)+
IF(各r阵容卡情况!$I101=0,0,IF(各r阵容卡情况!$AC101&lt;=1,0,(各r阵容卡情况!$AC101-1)*H$27)*各r阵容卡情况!$I101)+
IF(各r阵容卡情况!$J101=0,0,IF(各r阵容卡情况!$AD101&lt;=1,0,(各r阵容卡情况!$AD101-1)*H$28)*各r阵容卡情况!$J101)</f>
        <v>0</v>
      </c>
      <c r="AJ73" s="67">
        <f>IF(各r阵容卡情况!$H101=0,0,IF(各r阵容卡情况!$AB101&lt;=1,0,(各r阵容卡情况!$AB101-1)*I$26)*各r阵容卡情况!$H101)+
IF(各r阵容卡情况!$I101=0,0,IF(各r阵容卡情况!$AC101&lt;=1,0,(各r阵容卡情况!$AC101-1)*I$27)*各r阵容卡情况!$I101)+
IF(各r阵容卡情况!$J101=0,0,IF(各r阵容卡情况!$AD101&lt;=1,0,(各r阵容卡情况!$AD101-1)*I$28)*各r阵容卡情况!$J101)</f>
        <v>0</v>
      </c>
      <c r="AL73" s="80">
        <f t="shared" si="62"/>
        <v>125</v>
      </c>
      <c r="AM73" s="80">
        <f t="shared" si="63"/>
        <v>48</v>
      </c>
      <c r="AN73" s="80">
        <f t="shared" si="64"/>
        <v>0</v>
      </c>
      <c r="AO73" s="80">
        <f t="shared" si="65"/>
        <v>0</v>
      </c>
      <c r="AP73" s="80">
        <f t="shared" si="66"/>
        <v>240</v>
      </c>
      <c r="AQ73" s="80">
        <f t="shared" si="67"/>
        <v>0</v>
      </c>
      <c r="AR73" s="80">
        <f t="shared" si="68"/>
        <v>0</v>
      </c>
      <c r="AS73" s="80">
        <f t="shared" si="69"/>
        <v>67.824686853437441</v>
      </c>
      <c r="AT73" s="80">
        <f t="shared" si="70"/>
        <v>0</v>
      </c>
      <c r="AU73" s="80">
        <f t="shared" si="71"/>
        <v>0</v>
      </c>
      <c r="AV73" s="80">
        <f t="shared" si="72"/>
        <v>339.12343426718724</v>
      </c>
      <c r="AW73" s="80">
        <f t="shared" si="73"/>
        <v>0</v>
      </c>
      <c r="AX73" s="80">
        <f t="shared" si="74"/>
        <v>0</v>
      </c>
      <c r="AY73" s="61" t="e">
        <f>SUMPRODUCT(AM73:AR73/'[1]功能-行军令'!$GI$26:$GN$26+AS73:AX73/'[1]功能-行军令'!$GI$26:$GN$26)/0.18</f>
        <v>#DIV/0!</v>
      </c>
      <c r="BO73" s="80">
        <f t="shared" si="60"/>
        <v>111.00691759243479</v>
      </c>
      <c r="BP73" s="80">
        <f t="shared" si="61"/>
        <v>12300000</v>
      </c>
      <c r="BQ73" s="80">
        <f>(BP73-BP72)*INDEX('[1]功能-付费相关'!$AR$6:$AR$165,$BO73,1)+BQ72</f>
        <v>16129.191064037783</v>
      </c>
      <c r="BR73" s="80"/>
      <c r="BS73" s="80"/>
    </row>
    <row r="74" spans="2:71" x14ac:dyDescent="0.15">
      <c r="B74" s="201"/>
      <c r="C74" s="80"/>
      <c r="D74" s="80"/>
      <c r="E74" s="80"/>
      <c r="F74" s="80"/>
      <c r="G74" s="80"/>
      <c r="H74" s="80"/>
      <c r="I74" s="80"/>
      <c r="L74" s="61">
        <v>28</v>
      </c>
      <c r="M74" s="80">
        <f>基础状态预期!D86</f>
        <v>111.00691759243479</v>
      </c>
      <c r="N74" s="80">
        <f>IF(基础状态预期!F86="",0,IF(基础状态预期!Z86&lt;=1,基础状态预期!Z86*D$4,1*D$4+(基础状态预期!Z86-1)*武将觉醒!D$5))</f>
        <v>0</v>
      </c>
      <c r="O74" s="80">
        <f>IF(基础状态预期!G86="",0,IF(基础状态预期!AA86&lt;=1,基础状态预期!AA86*E$4,1*E$4+(基础状态预期!AA86-1)*武将觉醒!E$5))</f>
        <v>0</v>
      </c>
      <c r="P74" s="80">
        <f>IF(基础状态预期!H86="",0,IF(基础状态预期!AB86&lt;=1,基础状态预期!AB86*F$4,1*F$4+(基础状态预期!AB86-1)*武将觉醒!F$5))</f>
        <v>0</v>
      </c>
      <c r="Q74" s="80">
        <f>IF(基础状态预期!I86="",0,IF(基础状态预期!AC86&lt;=1,基础状态预期!AC86*G$4,1*G$4+(基础状态预期!AC86-1)*武将觉醒!G$5))</f>
        <v>0</v>
      </c>
      <c r="R74" s="80">
        <f>IF(基础状态预期!J86="",0,IF(基础状态预期!AD86&lt;=1,基础状态预期!AD86*H$4,1*H$4+(基础状态预期!AD86-1)*武将觉醒!H$5))</f>
        <v>2050000</v>
      </c>
      <c r="S74" s="80">
        <f>MAX(SUMPRODUCT(N74:R74,基础状态预期!F86:J86),S73)</f>
        <v>12300000</v>
      </c>
      <c r="T74" s="80">
        <f>IF(基础状态预期!Z86="",0,IFERROR(基础状态预期!F86*求节点($C$62:$C$63,D$62:D$63,基础状态预期!Z86),0)+IFERROR(基础状态预期!$J86*求节点($C$71:$C$72,D$71:D$72,基础状态预期!$AD86),0))</f>
        <v>0</v>
      </c>
      <c r="U74" s="80">
        <f>IF(基础状态预期!AA86="",0,IFERROR(基础状态预期!G86*求节点($C$62:$C$63,E$62:E$63,基础状态预期!AA86),0)+IFERROR(基础状态预期!$J86*求节点($C$71:$C$72,E$71:E$72,基础状态预期!$AD86),0))</f>
        <v>0</v>
      </c>
      <c r="V74" s="80">
        <f>IF(基础状态预期!AB86="",0,IFERROR(基础状态预期!H86*求节点($C$62:$C$63,F$62:F$63,基础状态预期!AB86),0)+IFERROR(基础状态预期!$J86*求节点($C$71:$C$72,F$71:F$72,基础状态预期!$AD86),0))</f>
        <v>0</v>
      </c>
      <c r="W74" s="80">
        <f>IF(基础状态预期!AC86="",0,IFERROR(基础状态预期!I86*求节点($C$62:$C$63,G$62:G$63,基础状态预期!AC86),0)+IFERROR(基础状态预期!$J86*求节点($C$71:$C$72,G$71:G$72,基础状态预期!$AD86),0))</f>
        <v>0</v>
      </c>
      <c r="X74" s="80">
        <f>IF(基础状态预期!AD86="",0,IFERROR(基础状态预期!J86*求节点($C$62:$C$63,H$62:H$63,基础状态预期!AD86),0)+IFERROR(基础状态预期!$J86*求节点($C$71:$C$72,H$71:H$72,基础状态预期!$AD86),0))</f>
        <v>0</v>
      </c>
      <c r="Y74" s="80">
        <f>IF(基础状态预期!$H86="",0,IF(基础状态预期!$AB86&lt;=1,基础状态预期!$AB86*D$18,D$18)*基础状态预期!$H86)+
IF(基础状态预期!$I86="",0,IF(基础状态预期!$AC86&lt;=1,基础状态预期!$AC86*D$19,D$19)*基础状态预期!$I86)+
IF(基础状态预期!$J86="",0,IF(基础状态预期!$AD86&lt;=1,基础状态预期!$AD86*D$20,D$20)*基础状态预期!$J86)</f>
        <v>48</v>
      </c>
      <c r="Z74" s="80">
        <f>IF(基础状态预期!$H86="",0,IF(基础状态预期!$AB86&lt;=1,基础状态预期!$AB86*E$18,E$18)*基础状态预期!$H86)+
IF(基础状态预期!$I86="",0,IF(基础状态预期!$AC86&lt;=1,基础状态预期!$AC86*E$19,E$19)*基础状态预期!$I86)+
IF(基础状态预期!$J86="",0,IF(基础状态预期!$AD86&lt;=1,基础状态预期!$AD86*E$20,E$20)*基础状态预期!$J86)</f>
        <v>0</v>
      </c>
      <c r="AA74" s="80">
        <f>IF(基础状态预期!$H86="",0,IF(基础状态预期!$AB86&lt;=1,基础状态预期!$AB86*F$18,F$18)*基础状态预期!$H86)+
IF(基础状态预期!$I86="",0,IF(基础状态预期!$AC86&lt;=1,基础状态预期!$AC86*F$19,F$19)*基础状态预期!$I86)+
IF(基础状态预期!$J86="",0,IF(基础状态预期!$AD86&lt;=1,基础状态预期!$AD86*F$20,F$20)*基础状态预期!$J86)</f>
        <v>0</v>
      </c>
      <c r="AB74" s="67">
        <f>IF(基础状态预期!$H86="",0,IF(基础状态预期!$AB86&lt;=1,0,(基础状态预期!$AB86-1)*G$26)*基础状态预期!$H86)+
IF(基础状态预期!$I86="",0,IF(基础状态预期!$AC86&lt;=1,0,(基础状态预期!$AC86-1)*G$27)*基础状态预期!$I86)+
IF(基础状态预期!$J86="",0,IF(基础状态预期!$AD86&lt;=1,0,(基础状态预期!$AD86-1)*G$28)*基础状态预期!$J86)</f>
        <v>240</v>
      </c>
      <c r="AC74" s="67">
        <f>IF(基础状态预期!$H86="",0,IF(基础状态预期!$AB86&lt;=1,0,(基础状态预期!$AB86-1)*H$26)*基础状态预期!$H86)+
IF(基础状态预期!$I86="",0,IF(基础状态预期!$AC86&lt;=1,0,(基础状态预期!$AC86-1)*H$27)*基础状态预期!$I86)+
IF(基础状态预期!$J86="",0,IF(基础状态预期!$AD86&lt;=1,0,(基础状态预期!$AD86-1)*H$28)*基础状态预期!$J86)</f>
        <v>0</v>
      </c>
      <c r="AD74" s="67">
        <f>IF(基础状态预期!$H86="",0,IF(基础状态预期!$AB86&lt;=1,0,(基础状态预期!$AB86-1)*I$26)*基础状态预期!$H86)+
IF(基础状态预期!$I86="",0,IF(基础状态预期!$AC86&lt;=1,0,(基础状态预期!$AC86-1)*I$27)*基础状态预期!$I86)+
IF(基础状态预期!$J86="",0,IF(基础状态预期!$AD86&lt;=1,0,(基础状态预期!$AD86-1)*I$28)*基础状态预期!$J86)</f>
        <v>0</v>
      </c>
      <c r="AE74" s="80">
        <f>IF(各r阵容卡情况!$H102=0,0,IF(各r阵容卡情况!$AB102&lt;=1,各r阵容卡情况!$AB102*D$18,1*D$18)*各r阵容卡情况!$H102)+
IF(各r阵容卡情况!$I102=0,0,IF(各r阵容卡情况!$AC102&lt;=1,各r阵容卡情况!$AC102*D$19,1*D$19)*各r阵容卡情况!$I102)+
IF(各r阵容卡情况!$J102=0,0,IF(各r阵容卡情况!$AD102&lt;=1,各r阵容卡情况!$AD102*D$20,1*D$20)*各r阵容卡情况!$J102)</f>
        <v>0</v>
      </c>
      <c r="AF74" s="80">
        <f>IF(各r阵容卡情况!$H102=0,0,IF(各r阵容卡情况!$AB102&lt;=1,各r阵容卡情况!$AB102*E$18,1*E$18)*各r阵容卡情况!$H102)+
IF(各r阵容卡情况!$I102=0,0,IF(各r阵容卡情况!$AC102&lt;=1,各r阵容卡情况!$AC102*E$19,1*E$19)*各r阵容卡情况!$I102)+
IF(各r阵容卡情况!$J102=0,0,IF(各r阵容卡情况!$AD102&lt;=1,各r阵容卡情况!$AD102*E$20,1*E$20)*各r阵容卡情况!$J102)</f>
        <v>0</v>
      </c>
      <c r="AG74" s="80">
        <f>IF(各r阵容卡情况!$H102=0,0,IF(各r阵容卡情况!$AB102&lt;=1,各r阵容卡情况!$AB102*F$18,1*F$18)*各r阵容卡情况!$H102)+
IF(各r阵容卡情况!$I102=0,0,IF(各r阵容卡情况!$AC102&lt;=1,各r阵容卡情况!$AC102*F$19,1*F$19)*各r阵容卡情况!$I102)+
IF(各r阵容卡情况!$J102=0,0,IF(各r阵容卡情况!$AD102&lt;=1,各r阵容卡情况!$AD102*F$20,1*F$20)*各r阵容卡情况!$J102)</f>
        <v>0</v>
      </c>
      <c r="AH74" s="67">
        <f>IF(各r阵容卡情况!$H102=0,0,IF(各r阵容卡情况!$AB102&lt;=1,0,(各r阵容卡情况!$AB102-1)*G$26)*各r阵容卡情况!$H102)+
IF(各r阵容卡情况!$I102=0,0,IF(各r阵容卡情况!$AC102&lt;=1,0,(各r阵容卡情况!$AC102-1)*G$27)*各r阵容卡情况!$I102)+
IF(各r阵容卡情况!$J102=0,0,IF(各r阵容卡情况!$AD102&lt;=1,0,(各r阵容卡情况!$AD102-1)*G$28)*各r阵容卡情况!$J102)</f>
        <v>0</v>
      </c>
      <c r="AI74" s="67">
        <f>IF(各r阵容卡情况!$H102=0,0,IF(各r阵容卡情况!$AB102&lt;=1,0,(各r阵容卡情况!$AB102-1)*H$26)*各r阵容卡情况!$H102)+
IF(各r阵容卡情况!$I102=0,0,IF(各r阵容卡情况!$AC102&lt;=1,0,(各r阵容卡情况!$AC102-1)*H$27)*各r阵容卡情况!$I102)+
IF(各r阵容卡情况!$J102=0,0,IF(各r阵容卡情况!$AD102&lt;=1,0,(各r阵容卡情况!$AD102-1)*H$28)*各r阵容卡情况!$J102)</f>
        <v>0</v>
      </c>
      <c r="AJ74" s="67">
        <f>IF(各r阵容卡情况!$H102=0,0,IF(各r阵容卡情况!$AB102&lt;=1,0,(各r阵容卡情况!$AB102-1)*I$26)*各r阵容卡情况!$H102)+
IF(各r阵容卡情况!$I102=0,0,IF(各r阵容卡情况!$AC102&lt;=1,0,(各r阵容卡情况!$AC102-1)*I$27)*各r阵容卡情况!$I102)+
IF(各r阵容卡情况!$J102=0,0,IF(各r阵容卡情况!$AD102&lt;=1,0,(各r阵容卡情况!$AD102-1)*I$28)*各r阵容卡情况!$J102)</f>
        <v>0</v>
      </c>
      <c r="AL74" s="80">
        <f t="shared" si="62"/>
        <v>130</v>
      </c>
      <c r="AM74" s="80">
        <f t="shared" si="63"/>
        <v>48</v>
      </c>
      <c r="AN74" s="80">
        <f t="shared" si="64"/>
        <v>0</v>
      </c>
      <c r="AO74" s="80">
        <f t="shared" si="65"/>
        <v>0</v>
      </c>
      <c r="AP74" s="80">
        <f t="shared" si="66"/>
        <v>240</v>
      </c>
      <c r="AQ74" s="80">
        <f t="shared" si="67"/>
        <v>0</v>
      </c>
      <c r="AR74" s="80">
        <f t="shared" si="68"/>
        <v>0</v>
      </c>
      <c r="AS74" s="80">
        <f t="shared" si="69"/>
        <v>79.165761593838297</v>
      </c>
      <c r="AT74" s="80">
        <f t="shared" si="70"/>
        <v>0</v>
      </c>
      <c r="AU74" s="80">
        <f t="shared" si="71"/>
        <v>0</v>
      </c>
      <c r="AV74" s="80">
        <f t="shared" si="72"/>
        <v>395.82880796919153</v>
      </c>
      <c r="AW74" s="80">
        <f t="shared" si="73"/>
        <v>0</v>
      </c>
      <c r="AX74" s="80">
        <f t="shared" si="74"/>
        <v>0</v>
      </c>
      <c r="AY74" s="61" t="e">
        <f>SUMPRODUCT(AM74:AR74/'[1]功能-行军令'!$GI$26:$GN$26+AS74:AX74/'[1]功能-行军令'!$GI$26:$GN$26)/0.18</f>
        <v>#DIV/0!</v>
      </c>
      <c r="BO74" s="80">
        <f t="shared" si="60"/>
        <v>114.47614359759058</v>
      </c>
      <c r="BP74" s="80">
        <f t="shared" si="61"/>
        <v>12300000</v>
      </c>
      <c r="BQ74" s="80">
        <f>(BP74-BP73)*INDEX('[1]功能-付费相关'!$AR$6:$AR$165,$BO74,1)+BQ73</f>
        <v>16129.191064037783</v>
      </c>
      <c r="BR74" s="80"/>
      <c r="BS74" s="80"/>
    </row>
    <row r="75" spans="2:71" x14ac:dyDescent="0.15">
      <c r="B75" s="201"/>
      <c r="C75" s="80"/>
      <c r="D75" s="80"/>
      <c r="E75" s="80"/>
      <c r="F75" s="80"/>
      <c r="G75" s="80"/>
      <c r="H75" s="80"/>
      <c r="I75" s="80"/>
      <c r="L75" s="61">
        <v>29</v>
      </c>
      <c r="M75" s="80">
        <f>基础状态预期!D87</f>
        <v>114.47614359759058</v>
      </c>
      <c r="N75" s="80">
        <f>IF(基础状态预期!F87="",0,IF(基础状态预期!Z87&lt;=1,基础状态预期!Z87*D$4,1*D$4+(基础状态预期!Z87-1)*武将觉醒!D$5))</f>
        <v>0</v>
      </c>
      <c r="O75" s="80">
        <f>IF(基础状态预期!G87="",0,IF(基础状态预期!AA87&lt;=1,基础状态预期!AA87*E$4,1*E$4+(基础状态预期!AA87-1)*武将觉醒!E$5))</f>
        <v>0</v>
      </c>
      <c r="P75" s="80">
        <f>IF(基础状态预期!H87="",0,IF(基础状态预期!AB87&lt;=1,基础状态预期!AB87*F$4,1*F$4+(基础状态预期!AB87-1)*武将觉醒!F$5))</f>
        <v>0</v>
      </c>
      <c r="Q75" s="80">
        <f>IF(基础状态预期!I87="",0,IF(基础状态预期!AC87&lt;=1,基础状态预期!AC87*G$4,1*G$4+(基础状态预期!AC87-1)*武将觉醒!G$5))</f>
        <v>0</v>
      </c>
      <c r="R75" s="80">
        <f>IF(基础状态预期!J87="",0,IF(基础状态预期!AD87&lt;=1,基础状态预期!AD87*H$4,1*H$4+(基础状态预期!AD87-1)*武将觉醒!H$5))</f>
        <v>2050000</v>
      </c>
      <c r="S75" s="80">
        <f>MAX(SUMPRODUCT(N75:R75,基础状态预期!F87:J87),S74)</f>
        <v>12300000</v>
      </c>
      <c r="T75" s="80">
        <f>IF(基础状态预期!Z87="",0,IFERROR(基础状态预期!F87*求节点($C$62:$C$63,D$62:D$63,基础状态预期!Z87),0)+IFERROR(基础状态预期!$J87*求节点($C$71:$C$72,D$71:D$72,基础状态预期!$AD87),0))</f>
        <v>0</v>
      </c>
      <c r="U75" s="80">
        <f>IF(基础状态预期!AA87="",0,IFERROR(基础状态预期!G87*求节点($C$62:$C$63,E$62:E$63,基础状态预期!AA87),0)+IFERROR(基础状态预期!$J87*求节点($C$71:$C$72,E$71:E$72,基础状态预期!$AD87),0))</f>
        <v>0</v>
      </c>
      <c r="V75" s="80">
        <f>IF(基础状态预期!AB87="",0,IFERROR(基础状态预期!H87*求节点($C$62:$C$63,F$62:F$63,基础状态预期!AB87),0)+IFERROR(基础状态预期!$J87*求节点($C$71:$C$72,F$71:F$72,基础状态预期!$AD87),0))</f>
        <v>0</v>
      </c>
      <c r="W75" s="80">
        <f>IF(基础状态预期!AC87="",0,IFERROR(基础状态预期!I87*求节点($C$62:$C$63,G$62:G$63,基础状态预期!AC87),0)+IFERROR(基础状态预期!$J87*求节点($C$71:$C$72,G$71:G$72,基础状态预期!$AD87),0))</f>
        <v>0</v>
      </c>
      <c r="X75" s="80">
        <f>IF(基础状态预期!AD87="",0,IFERROR(基础状态预期!J87*求节点($C$62:$C$63,H$62:H$63,基础状态预期!AD87),0)+IFERROR(基础状态预期!$J87*求节点($C$71:$C$72,H$71:H$72,基础状态预期!$AD87),0))</f>
        <v>0</v>
      </c>
      <c r="Y75" s="80">
        <f>IF(基础状态预期!$H87="",0,IF(基础状态预期!$AB87&lt;=1,基础状态预期!$AB87*D$18,D$18)*基础状态预期!$H87)+
IF(基础状态预期!$I87="",0,IF(基础状态预期!$AC87&lt;=1,基础状态预期!$AC87*D$19,D$19)*基础状态预期!$I87)+
IF(基础状态预期!$J87="",0,IF(基础状态预期!$AD87&lt;=1,基础状态预期!$AD87*D$20,D$20)*基础状态预期!$J87)</f>
        <v>48</v>
      </c>
      <c r="Z75" s="80">
        <f>IF(基础状态预期!$H87="",0,IF(基础状态预期!$AB87&lt;=1,基础状态预期!$AB87*E$18,E$18)*基础状态预期!$H87)+
IF(基础状态预期!$I87="",0,IF(基础状态预期!$AC87&lt;=1,基础状态预期!$AC87*E$19,E$19)*基础状态预期!$I87)+
IF(基础状态预期!$J87="",0,IF(基础状态预期!$AD87&lt;=1,基础状态预期!$AD87*E$20,E$20)*基础状态预期!$J87)</f>
        <v>0</v>
      </c>
      <c r="AA75" s="80">
        <f>IF(基础状态预期!$H87="",0,IF(基础状态预期!$AB87&lt;=1,基础状态预期!$AB87*F$18,F$18)*基础状态预期!$H87)+
IF(基础状态预期!$I87="",0,IF(基础状态预期!$AC87&lt;=1,基础状态预期!$AC87*F$19,F$19)*基础状态预期!$I87)+
IF(基础状态预期!$J87="",0,IF(基础状态预期!$AD87&lt;=1,基础状态预期!$AD87*F$20,F$20)*基础状态预期!$J87)</f>
        <v>0</v>
      </c>
      <c r="AB75" s="67">
        <f>IF(基础状态预期!$H87="",0,IF(基础状态预期!$AB87&lt;=1,0,(基础状态预期!$AB87-1)*G$26)*基础状态预期!$H87)+
IF(基础状态预期!$I87="",0,IF(基础状态预期!$AC87&lt;=1,0,(基础状态预期!$AC87-1)*G$27)*基础状态预期!$I87)+
IF(基础状态预期!$J87="",0,IF(基础状态预期!$AD87&lt;=1,0,(基础状态预期!$AD87-1)*G$28)*基础状态预期!$J87)</f>
        <v>240</v>
      </c>
      <c r="AC75" s="67">
        <f>IF(基础状态预期!$H87="",0,IF(基础状态预期!$AB87&lt;=1,0,(基础状态预期!$AB87-1)*H$26)*基础状态预期!$H87)+
IF(基础状态预期!$I87="",0,IF(基础状态预期!$AC87&lt;=1,0,(基础状态预期!$AC87-1)*H$27)*基础状态预期!$I87)+
IF(基础状态预期!$J87="",0,IF(基础状态预期!$AD87&lt;=1,0,(基础状态预期!$AD87-1)*H$28)*基础状态预期!$J87)</f>
        <v>0</v>
      </c>
      <c r="AD75" s="67">
        <f>IF(基础状态预期!$H87="",0,IF(基础状态预期!$AB87&lt;=1,0,(基础状态预期!$AB87-1)*I$26)*基础状态预期!$H87)+
IF(基础状态预期!$I87="",0,IF(基础状态预期!$AC87&lt;=1,0,(基础状态预期!$AC87-1)*I$27)*基础状态预期!$I87)+
IF(基础状态预期!$J87="",0,IF(基础状态预期!$AD87&lt;=1,0,(基础状态预期!$AD87-1)*I$28)*基础状态预期!$J87)</f>
        <v>0</v>
      </c>
      <c r="AE75" s="80">
        <f>IF(各r阵容卡情况!$H103=0,0,IF(各r阵容卡情况!$AB103&lt;=1,各r阵容卡情况!$AB103*D$18,1*D$18)*各r阵容卡情况!$H103)+
IF(各r阵容卡情况!$I103=0,0,IF(各r阵容卡情况!$AC103&lt;=1,各r阵容卡情况!$AC103*D$19,1*D$19)*各r阵容卡情况!$I103)+
IF(各r阵容卡情况!$J103=0,0,IF(各r阵容卡情况!$AD103&lt;=1,各r阵容卡情况!$AD103*D$20,1*D$20)*各r阵容卡情况!$J103)</f>
        <v>8</v>
      </c>
      <c r="AF75" s="80">
        <f>IF(各r阵容卡情况!$H103=0,0,IF(各r阵容卡情况!$AB103&lt;=1,各r阵容卡情况!$AB103*E$18,1*E$18)*各r阵容卡情况!$H103)+
IF(各r阵容卡情况!$I103=0,0,IF(各r阵容卡情况!$AC103&lt;=1,各r阵容卡情况!$AC103*E$19,1*E$19)*各r阵容卡情况!$I103)+
IF(各r阵容卡情况!$J103=0,0,IF(各r阵容卡情况!$AD103&lt;=1,各r阵容卡情况!$AD103*E$20,1*E$20)*各r阵容卡情况!$J103)</f>
        <v>0</v>
      </c>
      <c r="AG75" s="80">
        <f>IF(各r阵容卡情况!$H103=0,0,IF(各r阵容卡情况!$AB103&lt;=1,各r阵容卡情况!$AB103*F$18,1*F$18)*各r阵容卡情况!$H103)+
IF(各r阵容卡情况!$I103=0,0,IF(各r阵容卡情况!$AC103&lt;=1,各r阵容卡情况!$AC103*F$19,1*F$19)*各r阵容卡情况!$I103)+
IF(各r阵容卡情况!$J103=0,0,IF(各r阵容卡情况!$AD103&lt;=1,各r阵容卡情况!$AD103*F$20,1*F$20)*各r阵容卡情况!$J103)</f>
        <v>0</v>
      </c>
      <c r="AH75" s="67">
        <f>IF(各r阵容卡情况!$H103=0,0,IF(各r阵容卡情况!$AB103&lt;=1,0,(各r阵容卡情况!$AB103-1)*G$26)*各r阵容卡情况!$H103)+
IF(各r阵容卡情况!$I103=0,0,IF(各r阵容卡情况!$AC103&lt;=1,0,(各r阵容卡情况!$AC103-1)*G$27)*各r阵容卡情况!$I103)+
IF(各r阵容卡情况!$J103=0,0,IF(各r阵容卡情况!$AD103&lt;=1,0,(各r阵容卡情况!$AD103-1)*G$28)*各r阵容卡情况!$J103)</f>
        <v>0</v>
      </c>
      <c r="AI75" s="67">
        <f>IF(各r阵容卡情况!$H103=0,0,IF(各r阵容卡情况!$AB103&lt;=1,0,(各r阵容卡情况!$AB103-1)*H$26)*各r阵容卡情况!$H103)+
IF(各r阵容卡情况!$I103=0,0,IF(各r阵容卡情况!$AC103&lt;=1,0,(各r阵容卡情况!$AC103-1)*H$27)*各r阵容卡情况!$I103)+
IF(各r阵容卡情况!$J103=0,0,IF(各r阵容卡情况!$AD103&lt;=1,0,(各r阵容卡情况!$AD103-1)*H$28)*各r阵容卡情况!$J103)</f>
        <v>0</v>
      </c>
      <c r="AJ75" s="67">
        <f>IF(各r阵容卡情况!$H103=0,0,IF(各r阵容卡情况!$AB103&lt;=1,0,(各r阵容卡情况!$AB103-1)*I$26)*各r阵容卡情况!$H103)+
IF(各r阵容卡情况!$I103=0,0,IF(各r阵容卡情况!$AC103&lt;=1,0,(各r阵容卡情况!$AC103-1)*I$27)*各r阵容卡情况!$I103)+
IF(各r阵容卡情况!$J103=0,0,IF(各r阵容卡情况!$AD103&lt;=1,0,(各r阵容卡情况!$AD103-1)*I$28)*各r阵容卡情况!$J103)</f>
        <v>0</v>
      </c>
      <c r="AL75" s="80">
        <f t="shared" si="62"/>
        <v>135</v>
      </c>
      <c r="AM75" s="80">
        <f t="shared" si="63"/>
        <v>48</v>
      </c>
      <c r="AN75" s="80">
        <f t="shared" si="64"/>
        <v>0</v>
      </c>
      <c r="AO75" s="80">
        <f t="shared" si="65"/>
        <v>0</v>
      </c>
      <c r="AP75" s="80">
        <f t="shared" si="66"/>
        <v>240</v>
      </c>
      <c r="AQ75" s="80">
        <f t="shared" si="67"/>
        <v>0</v>
      </c>
      <c r="AR75" s="80">
        <f t="shared" si="68"/>
        <v>0</v>
      </c>
      <c r="AS75" s="80">
        <f t="shared" si="69"/>
        <v>100.50066142074998</v>
      </c>
      <c r="AT75" s="80">
        <f t="shared" si="70"/>
        <v>0</v>
      </c>
      <c r="AU75" s="80">
        <f t="shared" si="71"/>
        <v>0</v>
      </c>
      <c r="AV75" s="80">
        <f t="shared" si="72"/>
        <v>502.50330710374988</v>
      </c>
      <c r="AW75" s="80">
        <f t="shared" si="73"/>
        <v>0</v>
      </c>
      <c r="AX75" s="80">
        <f t="shared" si="74"/>
        <v>0</v>
      </c>
      <c r="AY75" s="61" t="e">
        <f>SUMPRODUCT(AM75:AR75/'[1]功能-行军令'!$GI$26:$GN$26+AS75:AX75/'[1]功能-行军令'!$GI$26:$GN$26)/0.18</f>
        <v>#DIV/0!</v>
      </c>
      <c r="BO75" s="80">
        <f t="shared" si="60"/>
        <v>118.05724034557241</v>
      </c>
      <c r="BP75" s="80">
        <f t="shared" si="61"/>
        <v>12300000</v>
      </c>
      <c r="BQ75" s="80">
        <f>(BP75-BP74)*INDEX('[1]功能-付费相关'!$AR$6:$AR$165,$BO75,1)+BQ74</f>
        <v>16129.191064037783</v>
      </c>
      <c r="BR75" s="80"/>
      <c r="BS75" s="80"/>
    </row>
    <row r="76" spans="2:71" x14ac:dyDescent="0.15">
      <c r="B76" s="201"/>
      <c r="C76" s="80"/>
      <c r="D76" s="80"/>
      <c r="E76" s="80"/>
      <c r="F76" s="80"/>
      <c r="G76" s="80"/>
      <c r="H76" s="80"/>
      <c r="I76" s="80"/>
      <c r="L76" s="61">
        <v>30</v>
      </c>
      <c r="M76" s="80">
        <f>基础状态预期!D88</f>
        <v>118.05724034557241</v>
      </c>
      <c r="N76" s="80">
        <f>IF(基础状态预期!F88="",0,IF(基础状态预期!Z88&lt;=1,基础状态预期!Z88*D$4,1*D$4+(基础状态预期!Z88-1)*武将觉醒!D$5))</f>
        <v>0</v>
      </c>
      <c r="O76" s="80">
        <f>IF(基础状态预期!G88="",0,IF(基础状态预期!AA88&lt;=1,基础状态预期!AA88*E$4,1*E$4+(基础状态预期!AA88-1)*武将觉醒!E$5))</f>
        <v>0</v>
      </c>
      <c r="P76" s="80">
        <f>IF(基础状态预期!H88="",0,IF(基础状态预期!AB88&lt;=1,基础状态预期!AB88*F$4,1*F$4+(基础状态预期!AB88-1)*武将觉醒!F$5))</f>
        <v>0</v>
      </c>
      <c r="Q76" s="80">
        <f>IF(基础状态预期!I88="",0,IF(基础状态预期!AC88&lt;=1,基础状态预期!AC88*G$4,1*G$4+(基础状态预期!AC88-1)*武将觉醒!G$5))</f>
        <v>0</v>
      </c>
      <c r="R76" s="80">
        <f>IF(基础状态预期!J88="",0,IF(基础状态预期!AD88&lt;=1,基础状态预期!AD88*H$4,1*H$4+(基础状态预期!AD88-1)*武将觉醒!H$5))</f>
        <v>2050000</v>
      </c>
      <c r="S76" s="80">
        <f>MAX(SUMPRODUCT(N76:R76,基础状态预期!F88:J88),S75)</f>
        <v>12300000</v>
      </c>
      <c r="T76" s="80">
        <f>IF(基础状态预期!Z88="",0,IFERROR(基础状态预期!F88*求节点($C$62:$C$63,D$62:D$63,基础状态预期!Z88),0)+IFERROR(基础状态预期!$J88*求节点($C$71:$C$72,D$71:D$72,基础状态预期!$AD88),0))</f>
        <v>0</v>
      </c>
      <c r="U76" s="80">
        <f>IF(基础状态预期!AA88="",0,IFERROR(基础状态预期!G88*求节点($C$62:$C$63,E$62:E$63,基础状态预期!AA88),0)+IFERROR(基础状态预期!$J88*求节点($C$71:$C$72,E$71:E$72,基础状态预期!$AD88),0))</f>
        <v>0</v>
      </c>
      <c r="V76" s="80">
        <f>IF(基础状态预期!AB88="",0,IFERROR(基础状态预期!H88*求节点($C$62:$C$63,F$62:F$63,基础状态预期!AB88),0)+IFERROR(基础状态预期!$J88*求节点($C$71:$C$72,F$71:F$72,基础状态预期!$AD88),0))</f>
        <v>0</v>
      </c>
      <c r="W76" s="80">
        <f>IF(基础状态预期!AC88="",0,IFERROR(基础状态预期!I88*求节点($C$62:$C$63,G$62:G$63,基础状态预期!AC88),0)+IFERROR(基础状态预期!$J88*求节点($C$71:$C$72,G$71:G$72,基础状态预期!$AD88),0))</f>
        <v>0</v>
      </c>
      <c r="X76" s="80">
        <f>IF(基础状态预期!AD88="",0,IFERROR(基础状态预期!J88*求节点($C$62:$C$63,H$62:H$63,基础状态预期!AD88),0)+IFERROR(基础状态预期!$J88*求节点($C$71:$C$72,H$71:H$72,基础状态预期!$AD88),0))</f>
        <v>0</v>
      </c>
      <c r="Y76" s="80">
        <f>IF(基础状态预期!$H88="",0,IF(基础状态预期!$AB88&lt;=1,基础状态预期!$AB88*D$18,D$18)*基础状态预期!$H88)+
IF(基础状态预期!$I88="",0,IF(基础状态预期!$AC88&lt;=1,基础状态预期!$AC88*D$19,D$19)*基础状态预期!$I88)+
IF(基础状态预期!$J88="",0,IF(基础状态预期!$AD88&lt;=1,基础状态预期!$AD88*D$20,D$20)*基础状态预期!$J88)</f>
        <v>48</v>
      </c>
      <c r="Z76" s="80">
        <f>IF(基础状态预期!$H88="",0,IF(基础状态预期!$AB88&lt;=1,基础状态预期!$AB88*E$18,E$18)*基础状态预期!$H88)+
IF(基础状态预期!$I88="",0,IF(基础状态预期!$AC88&lt;=1,基础状态预期!$AC88*E$19,E$19)*基础状态预期!$I88)+
IF(基础状态预期!$J88="",0,IF(基础状态预期!$AD88&lt;=1,基础状态预期!$AD88*E$20,E$20)*基础状态预期!$J88)</f>
        <v>0</v>
      </c>
      <c r="AA76" s="80">
        <f>IF(基础状态预期!$H88="",0,IF(基础状态预期!$AB88&lt;=1,基础状态预期!$AB88*F$18,F$18)*基础状态预期!$H88)+
IF(基础状态预期!$I88="",0,IF(基础状态预期!$AC88&lt;=1,基础状态预期!$AC88*F$19,F$19)*基础状态预期!$I88)+
IF(基础状态预期!$J88="",0,IF(基础状态预期!$AD88&lt;=1,基础状态预期!$AD88*F$20,F$20)*基础状态预期!$J88)</f>
        <v>0</v>
      </c>
      <c r="AB76" s="67">
        <f>IF(基础状态预期!$H88="",0,IF(基础状态预期!$AB88&lt;=1,0,(基础状态预期!$AB88-1)*G$26)*基础状态预期!$H88)+
IF(基础状态预期!$I88="",0,IF(基础状态预期!$AC88&lt;=1,0,(基础状态预期!$AC88-1)*G$27)*基础状态预期!$I88)+
IF(基础状态预期!$J88="",0,IF(基础状态预期!$AD88&lt;=1,0,(基础状态预期!$AD88-1)*G$28)*基础状态预期!$J88)</f>
        <v>240</v>
      </c>
      <c r="AC76" s="67">
        <f>IF(基础状态预期!$H88="",0,IF(基础状态预期!$AB88&lt;=1,0,(基础状态预期!$AB88-1)*H$26)*基础状态预期!$H88)+
IF(基础状态预期!$I88="",0,IF(基础状态预期!$AC88&lt;=1,0,(基础状态预期!$AC88-1)*H$27)*基础状态预期!$I88)+
IF(基础状态预期!$J88="",0,IF(基础状态预期!$AD88&lt;=1,0,(基础状态预期!$AD88-1)*H$28)*基础状态预期!$J88)</f>
        <v>0</v>
      </c>
      <c r="AD76" s="67">
        <f>IF(基础状态预期!$H88="",0,IF(基础状态预期!$AB88&lt;=1,0,(基础状态预期!$AB88-1)*I$26)*基础状态预期!$H88)+
IF(基础状态预期!$I88="",0,IF(基础状态预期!$AC88&lt;=1,0,(基础状态预期!$AC88-1)*I$27)*基础状态预期!$I88)+
IF(基础状态预期!$J88="",0,IF(基础状态预期!$AD88&lt;=1,0,(基础状态预期!$AD88-1)*I$28)*基础状态预期!$J88)</f>
        <v>0</v>
      </c>
      <c r="AE76" s="80">
        <f>IF(各r阵容卡情况!$H104=0,0,IF(各r阵容卡情况!$AB104&lt;=1,各r阵容卡情况!$AB104*D$18,1*D$18)*各r阵容卡情况!$H104)+
IF(各r阵容卡情况!$I104=0,0,IF(各r阵容卡情况!$AC104&lt;=1,各r阵容卡情况!$AC104*D$19,1*D$19)*各r阵容卡情况!$I104)+
IF(各r阵容卡情况!$J104=0,0,IF(各r阵容卡情况!$AD104&lt;=1,各r阵容卡情况!$AD104*D$20,1*D$20)*各r阵容卡情况!$J104)</f>
        <v>28</v>
      </c>
      <c r="AF76" s="80">
        <f>IF(各r阵容卡情况!$H104=0,0,IF(各r阵容卡情况!$AB104&lt;=1,各r阵容卡情况!$AB104*E$18,1*E$18)*各r阵容卡情况!$H104)+
IF(各r阵容卡情况!$I104=0,0,IF(各r阵容卡情况!$AC104&lt;=1,各r阵容卡情况!$AC104*E$19,1*E$19)*各r阵容卡情况!$I104)+
IF(各r阵容卡情况!$J104=0,0,IF(各r阵容卡情况!$AD104&lt;=1,各r阵容卡情况!$AD104*E$20,1*E$20)*各r阵容卡情况!$J104)</f>
        <v>0</v>
      </c>
      <c r="AG76" s="80">
        <f>IF(各r阵容卡情况!$H104=0,0,IF(各r阵容卡情况!$AB104&lt;=1,各r阵容卡情况!$AB104*F$18,1*F$18)*各r阵容卡情况!$H104)+
IF(各r阵容卡情况!$I104=0,0,IF(各r阵容卡情况!$AC104&lt;=1,各r阵容卡情况!$AC104*F$19,1*F$19)*各r阵容卡情况!$I104)+
IF(各r阵容卡情况!$J104=0,0,IF(各r阵容卡情况!$AD104&lt;=1,各r阵容卡情况!$AD104*F$20,1*F$20)*各r阵容卡情况!$J104)</f>
        <v>0</v>
      </c>
      <c r="AH76" s="67">
        <f>IF(各r阵容卡情况!$H104=0,0,IF(各r阵容卡情况!$AB104&lt;=1,0,(各r阵容卡情况!$AB104-1)*G$26)*各r阵容卡情况!$H104)+
IF(各r阵容卡情况!$I104=0,0,IF(各r阵容卡情况!$AC104&lt;=1,0,(各r阵容卡情况!$AC104-1)*G$27)*各r阵容卡情况!$I104)+
IF(各r阵容卡情况!$J104=0,0,IF(各r阵容卡情况!$AD104&lt;=1,0,(各r阵容卡情况!$AD104-1)*G$28)*各r阵容卡情况!$J104)</f>
        <v>27.816954109919706</v>
      </c>
      <c r="AI76" s="67">
        <f>IF(各r阵容卡情况!$H104=0,0,IF(各r阵容卡情况!$AB104&lt;=1,0,(各r阵容卡情况!$AB104-1)*H$26)*各r阵容卡情况!$H104)+
IF(各r阵容卡情况!$I104=0,0,IF(各r阵容卡情况!$AC104&lt;=1,0,(各r阵容卡情况!$AC104-1)*H$27)*各r阵容卡情况!$I104)+
IF(各r阵容卡情况!$J104=0,0,IF(各r阵容卡情况!$AD104&lt;=1,0,(各r阵容卡情况!$AD104-1)*H$28)*各r阵容卡情况!$J104)</f>
        <v>0</v>
      </c>
      <c r="AJ76" s="67">
        <f>IF(各r阵容卡情况!$H104=0,0,IF(各r阵容卡情况!$AB104&lt;=1,0,(各r阵容卡情况!$AB104-1)*I$26)*各r阵容卡情况!$H104)+
IF(各r阵容卡情况!$I104=0,0,IF(各r阵容卡情况!$AC104&lt;=1,0,(各r阵容卡情况!$AC104-1)*I$27)*各r阵容卡情况!$I104)+
IF(各r阵容卡情况!$J104=0,0,IF(各r阵容卡情况!$AD104&lt;=1,0,(各r阵容卡情况!$AD104-1)*I$28)*各r阵容卡情况!$J104)</f>
        <v>0</v>
      </c>
      <c r="AL76" s="80">
        <f t="shared" si="62"/>
        <v>140</v>
      </c>
      <c r="AM76" s="80">
        <f t="shared" si="63"/>
        <v>48</v>
      </c>
      <c r="AN76" s="80">
        <f t="shared" si="64"/>
        <v>0</v>
      </c>
      <c r="AO76" s="80">
        <f t="shared" si="65"/>
        <v>0</v>
      </c>
      <c r="AP76" s="80">
        <f t="shared" si="66"/>
        <v>240</v>
      </c>
      <c r="AQ76" s="80">
        <f t="shared" si="67"/>
        <v>0</v>
      </c>
      <c r="AR76" s="80">
        <f t="shared" si="68"/>
        <v>0</v>
      </c>
      <c r="AS76" s="80">
        <f t="shared" si="69"/>
        <v>117.6287756257986</v>
      </c>
      <c r="AT76" s="80">
        <f t="shared" si="70"/>
        <v>0</v>
      </c>
      <c r="AU76" s="80">
        <f t="shared" si="71"/>
        <v>0</v>
      </c>
      <c r="AV76" s="80">
        <f t="shared" si="72"/>
        <v>588.14387812899304</v>
      </c>
      <c r="AW76" s="80">
        <f t="shared" si="73"/>
        <v>0</v>
      </c>
      <c r="AX76" s="80">
        <f t="shared" si="74"/>
        <v>0</v>
      </c>
      <c r="AY76" s="61" t="e">
        <f>SUMPRODUCT(AM76:AR76/'[1]功能-行军令'!$GI$26:$GN$26+AS76:AX76/'[1]功能-行军令'!$GI$26:$GN$26)/0.18</f>
        <v>#DIV/0!</v>
      </c>
      <c r="BO76" s="80">
        <f t="shared" si="60"/>
        <v>121.49411884885473</v>
      </c>
      <c r="BP76" s="80">
        <f t="shared" si="61"/>
        <v>12300000</v>
      </c>
      <c r="BQ76" s="80">
        <f>(BP76-BP75)*INDEX('[1]功能-付费相关'!$AR$6:$AR$165,$BO76,1)+BQ75</f>
        <v>16129.191064037783</v>
      </c>
      <c r="BR76" s="80"/>
      <c r="BS76" s="80"/>
    </row>
    <row r="77" spans="2:71" x14ac:dyDescent="0.15">
      <c r="B77" s="201"/>
      <c r="C77" s="80"/>
      <c r="D77" s="80"/>
      <c r="E77" s="80"/>
      <c r="F77" s="80"/>
      <c r="G77" s="80"/>
      <c r="H77" s="80"/>
      <c r="I77" s="80"/>
      <c r="L77" s="61">
        <v>31</v>
      </c>
      <c r="M77" s="80">
        <f>基础状态预期!D89</f>
        <v>121.49411884885473</v>
      </c>
      <c r="N77" s="80">
        <f>IF(基础状态预期!F89="",0,IF(基础状态预期!Z89&lt;=1,基础状态预期!Z89*D$4,1*D$4+(基础状态预期!Z89-1)*武将觉醒!D$5))</f>
        <v>0</v>
      </c>
      <c r="O77" s="80">
        <f>IF(基础状态预期!G89="",0,IF(基础状态预期!AA89&lt;=1,基础状态预期!AA89*E$4,1*E$4+(基础状态预期!AA89-1)*武将觉醒!E$5))</f>
        <v>0</v>
      </c>
      <c r="P77" s="80">
        <f>IF(基础状态预期!H89="",0,IF(基础状态预期!AB89&lt;=1,基础状态预期!AB89*F$4,1*F$4+(基础状态预期!AB89-1)*武将觉醒!F$5))</f>
        <v>0</v>
      </c>
      <c r="Q77" s="80">
        <f>IF(基础状态预期!I89="",0,IF(基础状态预期!AC89&lt;=1,基础状态预期!AC89*G$4,1*G$4+(基础状态预期!AC89-1)*武将觉醒!G$5))</f>
        <v>0</v>
      </c>
      <c r="R77" s="80">
        <f>IF(基础状态预期!J89="",0,IF(基础状态预期!AD89&lt;=1,基础状态预期!AD89*H$4,1*H$4+(基础状态预期!AD89-1)*武将觉醒!H$5))</f>
        <v>2050000</v>
      </c>
      <c r="S77" s="80">
        <f>MAX(SUMPRODUCT(N77:R77,基础状态预期!F89:J89),S76)</f>
        <v>12300000</v>
      </c>
      <c r="T77" s="80">
        <f>IF(基础状态预期!Z89="",0,IFERROR(基础状态预期!F89*求节点($C$62:$C$63,D$62:D$63,基础状态预期!Z89),0)+IFERROR(基础状态预期!$J89*求节点($C$71:$C$72,D$71:D$72,基础状态预期!$AD89),0))</f>
        <v>0</v>
      </c>
      <c r="U77" s="80">
        <f>IF(基础状态预期!AA89="",0,IFERROR(基础状态预期!G89*求节点($C$62:$C$63,E$62:E$63,基础状态预期!AA89),0)+IFERROR(基础状态预期!$J89*求节点($C$71:$C$72,E$71:E$72,基础状态预期!$AD89),0))</f>
        <v>0</v>
      </c>
      <c r="V77" s="80">
        <f>IF(基础状态预期!AB89="",0,IFERROR(基础状态预期!H89*求节点($C$62:$C$63,F$62:F$63,基础状态预期!AB89),0)+IFERROR(基础状态预期!$J89*求节点($C$71:$C$72,F$71:F$72,基础状态预期!$AD89),0))</f>
        <v>0</v>
      </c>
      <c r="W77" s="80">
        <f>IF(基础状态预期!AC89="",0,IFERROR(基础状态预期!I89*求节点($C$62:$C$63,G$62:G$63,基础状态预期!AC89),0)+IFERROR(基础状态预期!$J89*求节点($C$71:$C$72,G$71:G$72,基础状态预期!$AD89),0))</f>
        <v>0</v>
      </c>
      <c r="X77" s="80">
        <f>IF(基础状态预期!AD89="",0,IFERROR(基础状态预期!J89*求节点($C$62:$C$63,H$62:H$63,基础状态预期!AD89),0)+IFERROR(基础状态预期!$J89*求节点($C$71:$C$72,H$71:H$72,基础状态预期!$AD89),0))</f>
        <v>0</v>
      </c>
      <c r="Y77" s="80">
        <f>IF(基础状态预期!$H89="",0,IF(基础状态预期!$AB89&lt;=1,基础状态预期!$AB89*D$18,D$18)*基础状态预期!$H89)+
IF(基础状态预期!$I89="",0,IF(基础状态预期!$AC89&lt;=1,基础状态预期!$AC89*D$19,D$19)*基础状态预期!$I89)+
IF(基础状态预期!$J89="",0,IF(基础状态预期!$AD89&lt;=1,基础状态预期!$AD89*D$20,D$20)*基础状态预期!$J89)</f>
        <v>48</v>
      </c>
      <c r="Z77" s="80">
        <f>IF(基础状态预期!$H89="",0,IF(基础状态预期!$AB89&lt;=1,基础状态预期!$AB89*E$18,E$18)*基础状态预期!$H89)+
IF(基础状态预期!$I89="",0,IF(基础状态预期!$AC89&lt;=1,基础状态预期!$AC89*E$19,E$19)*基础状态预期!$I89)+
IF(基础状态预期!$J89="",0,IF(基础状态预期!$AD89&lt;=1,基础状态预期!$AD89*E$20,E$20)*基础状态预期!$J89)</f>
        <v>0</v>
      </c>
      <c r="AA77" s="80">
        <f>IF(基础状态预期!$H89="",0,IF(基础状态预期!$AB89&lt;=1,基础状态预期!$AB89*F$18,F$18)*基础状态预期!$H89)+
IF(基础状态预期!$I89="",0,IF(基础状态预期!$AC89&lt;=1,基础状态预期!$AC89*F$19,F$19)*基础状态预期!$I89)+
IF(基础状态预期!$J89="",0,IF(基础状态预期!$AD89&lt;=1,基础状态预期!$AD89*F$20,F$20)*基础状态预期!$J89)</f>
        <v>0</v>
      </c>
      <c r="AB77" s="67">
        <f>IF(基础状态预期!$H89="",0,IF(基础状态预期!$AB89&lt;=1,0,(基础状态预期!$AB89-1)*G$26)*基础状态预期!$H89)+
IF(基础状态预期!$I89="",0,IF(基础状态预期!$AC89&lt;=1,0,(基础状态预期!$AC89-1)*G$27)*基础状态预期!$I89)+
IF(基础状态预期!$J89="",0,IF(基础状态预期!$AD89&lt;=1,0,(基础状态预期!$AD89-1)*G$28)*基础状态预期!$J89)</f>
        <v>240</v>
      </c>
      <c r="AC77" s="67">
        <f>IF(基础状态预期!$H89="",0,IF(基础状态预期!$AB89&lt;=1,0,(基础状态预期!$AB89-1)*H$26)*基础状态预期!$H89)+
IF(基础状态预期!$I89="",0,IF(基础状态预期!$AC89&lt;=1,0,(基础状态预期!$AC89-1)*H$27)*基础状态预期!$I89)+
IF(基础状态预期!$J89="",0,IF(基础状态预期!$AD89&lt;=1,0,(基础状态预期!$AD89-1)*H$28)*基础状态预期!$J89)</f>
        <v>0</v>
      </c>
      <c r="AD77" s="67">
        <f>IF(基础状态预期!$H89="",0,IF(基础状态预期!$AB89&lt;=1,0,(基础状态预期!$AB89-1)*I$26)*基础状态预期!$H89)+
IF(基础状态预期!$I89="",0,IF(基础状态预期!$AC89&lt;=1,0,(基础状态预期!$AC89-1)*I$27)*基础状态预期!$I89)+
IF(基础状态预期!$J89="",0,IF(基础状态预期!$AD89&lt;=1,0,(基础状态预期!$AD89-1)*I$28)*基础状态预期!$J89)</f>
        <v>0</v>
      </c>
      <c r="AE77" s="80">
        <f>IF(各r阵容卡情况!$H105=0,0,IF(各r阵容卡情况!$AB105&lt;=1,各r阵容卡情况!$AB105*D$18,1*D$18)*各r阵容卡情况!$H105)+
IF(各r阵容卡情况!$I105=0,0,IF(各r阵容卡情况!$AC105&lt;=1,各r阵容卡情况!$AC105*D$19,1*D$19)*各r阵容卡情况!$I105)+
IF(各r阵容卡情况!$J105=0,0,IF(各r阵容卡情况!$AD105&lt;=1,各r阵容卡情况!$AD105*D$20,1*D$20)*各r阵容卡情况!$J105)</f>
        <v>48</v>
      </c>
      <c r="AF77" s="80">
        <f>IF(各r阵容卡情况!$H105=0,0,IF(各r阵容卡情况!$AB105&lt;=1,各r阵容卡情况!$AB105*E$18,1*E$18)*各r阵容卡情况!$H105)+
IF(各r阵容卡情况!$I105=0,0,IF(各r阵容卡情况!$AC105&lt;=1,各r阵容卡情况!$AC105*E$19,1*E$19)*各r阵容卡情况!$I105)+
IF(各r阵容卡情况!$J105=0,0,IF(各r阵容卡情况!$AD105&lt;=1,各r阵容卡情况!$AD105*E$20,1*E$20)*各r阵容卡情况!$J105)</f>
        <v>0</v>
      </c>
      <c r="AG77" s="80">
        <f>IF(各r阵容卡情况!$H105=0,0,IF(各r阵容卡情况!$AB105&lt;=1,各r阵容卡情况!$AB105*F$18,1*F$18)*各r阵容卡情况!$H105)+
IF(各r阵容卡情况!$I105=0,0,IF(各r阵容卡情况!$AC105&lt;=1,各r阵容卡情况!$AC105*F$19,1*F$19)*各r阵容卡情况!$I105)+
IF(各r阵容卡情况!$J105=0,0,IF(各r阵容卡情况!$AD105&lt;=1,各r阵容卡情况!$AD105*F$20,1*F$20)*各r阵容卡情况!$J105)</f>
        <v>0</v>
      </c>
      <c r="AH77" s="67">
        <f>IF(各r阵容卡情况!$H105=0,0,IF(各r阵容卡情况!$AB105&lt;=1,0,(各r阵容卡情况!$AB105-1)*G$26)*各r阵容卡情况!$H105)+
IF(各r阵容卡情况!$I105=0,0,IF(各r阵容卡情况!$AC105&lt;=1,0,(各r阵容卡情况!$AC105-1)*G$27)*各r阵容卡情况!$I105)+
IF(各r阵容卡情况!$J105=0,0,IF(各r阵容卡情况!$AD105&lt;=1,0,(各r阵容卡情况!$AD105-1)*G$28)*各r阵容卡情况!$J105)</f>
        <v>240</v>
      </c>
      <c r="AI77" s="67">
        <f>IF(各r阵容卡情况!$H105=0,0,IF(各r阵容卡情况!$AB105&lt;=1,0,(各r阵容卡情况!$AB105-1)*H$26)*各r阵容卡情况!$H105)+
IF(各r阵容卡情况!$I105=0,0,IF(各r阵容卡情况!$AC105&lt;=1,0,(各r阵容卡情况!$AC105-1)*H$27)*各r阵容卡情况!$I105)+
IF(各r阵容卡情况!$J105=0,0,IF(各r阵容卡情况!$AD105&lt;=1,0,(各r阵容卡情况!$AD105-1)*H$28)*各r阵容卡情况!$J105)</f>
        <v>0</v>
      </c>
      <c r="AJ77" s="67">
        <f>IF(各r阵容卡情况!$H105=0,0,IF(各r阵容卡情况!$AB105&lt;=1,0,(各r阵容卡情况!$AB105-1)*I$26)*各r阵容卡情况!$H105)+
IF(各r阵容卡情况!$I105=0,0,IF(各r阵容卡情况!$AC105&lt;=1,0,(各r阵容卡情况!$AC105-1)*I$27)*各r阵容卡情况!$I105)+
IF(各r阵容卡情况!$J105=0,0,IF(各r阵容卡情况!$AD105&lt;=1,0,(各r阵容卡情况!$AD105-1)*I$28)*各r阵容卡情况!$J105)</f>
        <v>0</v>
      </c>
      <c r="AL77" s="80">
        <f t="shared" si="62"/>
        <v>145</v>
      </c>
      <c r="AM77" s="80">
        <f t="shared" si="63"/>
        <v>48</v>
      </c>
      <c r="AN77" s="80">
        <f t="shared" si="64"/>
        <v>0</v>
      </c>
      <c r="AO77" s="80">
        <f t="shared" si="65"/>
        <v>0</v>
      </c>
      <c r="AP77" s="80">
        <f t="shared" si="66"/>
        <v>240</v>
      </c>
      <c r="AQ77" s="80">
        <f t="shared" si="67"/>
        <v>0</v>
      </c>
      <c r="AR77" s="80">
        <f t="shared" si="68"/>
        <v>0</v>
      </c>
      <c r="AS77" s="80">
        <f t="shared" si="69"/>
        <v>130.75757110096694</v>
      </c>
      <c r="AT77" s="80">
        <f t="shared" si="70"/>
        <v>0</v>
      </c>
      <c r="AU77" s="80">
        <f t="shared" si="71"/>
        <v>0</v>
      </c>
      <c r="AV77" s="80">
        <f t="shared" si="72"/>
        <v>653.78785550483474</v>
      </c>
      <c r="AW77" s="80">
        <f t="shared" si="73"/>
        <v>0</v>
      </c>
      <c r="AX77" s="80">
        <f t="shared" si="74"/>
        <v>0</v>
      </c>
      <c r="AY77" s="61" t="e">
        <f>SUMPRODUCT(AM77:AR77/'[1]功能-行军令'!$GI$26:$GN$26+AS77:AX77/'[1]功能-行军令'!$GI$26:$GN$26)/0.18</f>
        <v>#DIV/0!</v>
      </c>
      <c r="BO77" s="80">
        <f t="shared" si="60"/>
        <v>125.03100311549058</v>
      </c>
      <c r="BP77" s="80">
        <f t="shared" si="61"/>
        <v>12300000</v>
      </c>
      <c r="BQ77" s="80">
        <f>(BP77-BP76)*INDEX('[1]功能-付费相关'!$AR$6:$AR$165,$BO77,1)+BQ76</f>
        <v>16129.191064037783</v>
      </c>
      <c r="BR77" s="80"/>
      <c r="BS77" s="80"/>
    </row>
    <row r="78" spans="2:71" x14ac:dyDescent="0.15">
      <c r="B78" s="201"/>
      <c r="C78" s="80"/>
      <c r="D78" s="80"/>
      <c r="E78" s="80"/>
      <c r="F78" s="80"/>
      <c r="G78" s="80"/>
      <c r="H78" s="80"/>
      <c r="I78" s="80"/>
      <c r="L78" s="61">
        <v>32</v>
      </c>
      <c r="M78" s="80">
        <f>基础状态预期!D90</f>
        <v>125.03100311549058</v>
      </c>
      <c r="N78" s="80">
        <f>IF(基础状态预期!F90="",0,IF(基础状态预期!Z90&lt;=1,基础状态预期!Z90*D$4,1*D$4+(基础状态预期!Z90-1)*武将觉醒!D$5))</f>
        <v>0</v>
      </c>
      <c r="O78" s="80">
        <f>IF(基础状态预期!G90="",0,IF(基础状态预期!AA90&lt;=1,基础状态预期!AA90*E$4,1*E$4+(基础状态预期!AA90-1)*武将觉醒!E$5))</f>
        <v>0</v>
      </c>
      <c r="P78" s="80">
        <f>IF(基础状态预期!H90="",0,IF(基础状态预期!AB90&lt;=1,基础状态预期!AB90*F$4,1*F$4+(基础状态预期!AB90-1)*武将觉醒!F$5))</f>
        <v>0</v>
      </c>
      <c r="Q78" s="80">
        <f>IF(基础状态预期!I90="",0,IF(基础状态预期!AC90&lt;=1,基础状态预期!AC90*G$4,1*G$4+(基础状态预期!AC90-1)*武将觉醒!G$5))</f>
        <v>0</v>
      </c>
      <c r="R78" s="80">
        <f>IF(基础状态预期!J90="",0,IF(基础状态预期!AD90&lt;=1,基础状态预期!AD90*H$4,1*H$4+(基础状态预期!AD90-1)*武将觉醒!H$5))</f>
        <v>2050000</v>
      </c>
      <c r="S78" s="80">
        <f>MAX(SUMPRODUCT(N78:R78,基础状态预期!F90:J90),S77)</f>
        <v>12300000</v>
      </c>
      <c r="T78" s="80">
        <f>IF(基础状态预期!Z90="",0,IFERROR(基础状态预期!F90*求节点($C$62:$C$63,D$62:D$63,基础状态预期!Z90),0)+IFERROR(基础状态预期!$J90*求节点($C$71:$C$72,D$71:D$72,基础状态预期!$AD90),0))</f>
        <v>0</v>
      </c>
      <c r="U78" s="80">
        <f>IF(基础状态预期!AA90="",0,IFERROR(基础状态预期!G90*求节点($C$62:$C$63,E$62:E$63,基础状态预期!AA90),0)+IFERROR(基础状态预期!$J90*求节点($C$71:$C$72,E$71:E$72,基础状态预期!$AD90),0))</f>
        <v>0</v>
      </c>
      <c r="V78" s="80">
        <f>IF(基础状态预期!AB90="",0,IFERROR(基础状态预期!H90*求节点($C$62:$C$63,F$62:F$63,基础状态预期!AB90),0)+IFERROR(基础状态预期!$J90*求节点($C$71:$C$72,F$71:F$72,基础状态预期!$AD90),0))</f>
        <v>0</v>
      </c>
      <c r="W78" s="80">
        <f>IF(基础状态预期!AC90="",0,IFERROR(基础状态预期!I90*求节点($C$62:$C$63,G$62:G$63,基础状态预期!AC90),0)+IFERROR(基础状态预期!$J90*求节点($C$71:$C$72,G$71:G$72,基础状态预期!$AD90),0))</f>
        <v>0</v>
      </c>
      <c r="X78" s="80">
        <f>IF(基础状态预期!AD90="",0,IFERROR(基础状态预期!J90*求节点($C$62:$C$63,H$62:H$63,基础状态预期!AD90),0)+IFERROR(基础状态预期!$J90*求节点($C$71:$C$72,H$71:H$72,基础状态预期!$AD90),0))</f>
        <v>0</v>
      </c>
      <c r="Y78" s="80">
        <f>IF(基础状态预期!$H90="",0,IF(基础状态预期!$AB90&lt;=1,基础状态预期!$AB90*D$18,D$18)*基础状态预期!$H90)+
IF(基础状态预期!$I90="",0,IF(基础状态预期!$AC90&lt;=1,基础状态预期!$AC90*D$19,D$19)*基础状态预期!$I90)+
IF(基础状态预期!$J90="",0,IF(基础状态预期!$AD90&lt;=1,基础状态预期!$AD90*D$20,D$20)*基础状态预期!$J90)</f>
        <v>48</v>
      </c>
      <c r="Z78" s="80">
        <f>IF(基础状态预期!$H90="",0,IF(基础状态预期!$AB90&lt;=1,基础状态预期!$AB90*E$18,E$18)*基础状态预期!$H90)+
IF(基础状态预期!$I90="",0,IF(基础状态预期!$AC90&lt;=1,基础状态预期!$AC90*E$19,E$19)*基础状态预期!$I90)+
IF(基础状态预期!$J90="",0,IF(基础状态预期!$AD90&lt;=1,基础状态预期!$AD90*E$20,E$20)*基础状态预期!$J90)</f>
        <v>0</v>
      </c>
      <c r="AA78" s="80">
        <f>IF(基础状态预期!$H90="",0,IF(基础状态预期!$AB90&lt;=1,基础状态预期!$AB90*F$18,F$18)*基础状态预期!$H90)+
IF(基础状态预期!$I90="",0,IF(基础状态预期!$AC90&lt;=1,基础状态预期!$AC90*F$19,F$19)*基础状态预期!$I90)+
IF(基础状态预期!$J90="",0,IF(基础状态预期!$AD90&lt;=1,基础状态预期!$AD90*F$20,F$20)*基础状态预期!$J90)</f>
        <v>0</v>
      </c>
      <c r="AB78" s="67">
        <f>IF(基础状态预期!$H90="",0,IF(基础状态预期!$AB90&lt;=1,0,(基础状态预期!$AB90-1)*G$26)*基础状态预期!$H90)+
IF(基础状态预期!$I90="",0,IF(基础状态预期!$AC90&lt;=1,0,(基础状态预期!$AC90-1)*G$27)*基础状态预期!$I90)+
IF(基础状态预期!$J90="",0,IF(基础状态预期!$AD90&lt;=1,0,(基础状态预期!$AD90-1)*G$28)*基础状态预期!$J90)</f>
        <v>240</v>
      </c>
      <c r="AC78" s="67">
        <f>IF(基础状态预期!$H90="",0,IF(基础状态预期!$AB90&lt;=1,0,(基础状态预期!$AB90-1)*H$26)*基础状态预期!$H90)+
IF(基础状态预期!$I90="",0,IF(基础状态预期!$AC90&lt;=1,0,(基础状态预期!$AC90-1)*H$27)*基础状态预期!$I90)+
IF(基础状态预期!$J90="",0,IF(基础状态预期!$AD90&lt;=1,0,(基础状态预期!$AD90-1)*H$28)*基础状态预期!$J90)</f>
        <v>0</v>
      </c>
      <c r="AD78" s="67">
        <f>IF(基础状态预期!$H90="",0,IF(基础状态预期!$AB90&lt;=1,0,(基础状态预期!$AB90-1)*I$26)*基础状态预期!$H90)+
IF(基础状态预期!$I90="",0,IF(基础状态预期!$AC90&lt;=1,0,(基础状态预期!$AC90-1)*I$27)*基础状态预期!$I90)+
IF(基础状态预期!$J90="",0,IF(基础状态预期!$AD90&lt;=1,0,(基础状态预期!$AD90-1)*I$28)*基础状态预期!$J90)</f>
        <v>0</v>
      </c>
      <c r="AE78" s="80">
        <f>IF(各r阵容卡情况!$H106=0,0,IF(各r阵容卡情况!$AB106&lt;=1,各r阵容卡情况!$AB106*D$18,1*D$18)*各r阵容卡情况!$H106)+
IF(各r阵容卡情况!$I106=0,0,IF(各r阵容卡情况!$AC106&lt;=1,各r阵容卡情况!$AC106*D$19,1*D$19)*各r阵容卡情况!$I106)+
IF(各r阵容卡情况!$J106=0,0,IF(各r阵容卡情况!$AD106&lt;=1,各r阵容卡情况!$AD106*D$20,1*D$20)*各r阵容卡情况!$J106)</f>
        <v>68</v>
      </c>
      <c r="AF78" s="80">
        <f>IF(各r阵容卡情况!$H106=0,0,IF(各r阵容卡情况!$AB106&lt;=1,各r阵容卡情况!$AB106*E$18,1*E$18)*各r阵容卡情况!$H106)+
IF(各r阵容卡情况!$I106=0,0,IF(各r阵容卡情况!$AC106&lt;=1,各r阵容卡情况!$AC106*E$19,1*E$19)*各r阵容卡情况!$I106)+
IF(各r阵容卡情况!$J106=0,0,IF(各r阵容卡情况!$AD106&lt;=1,各r阵容卡情况!$AD106*E$20,1*E$20)*各r阵容卡情况!$J106)</f>
        <v>0</v>
      </c>
      <c r="AG78" s="80">
        <f>IF(各r阵容卡情况!$H106=0,0,IF(各r阵容卡情况!$AB106&lt;=1,各r阵容卡情况!$AB106*F$18,1*F$18)*各r阵容卡情况!$H106)+
IF(各r阵容卡情况!$I106=0,0,IF(各r阵容卡情况!$AC106&lt;=1,各r阵容卡情况!$AC106*F$19,1*F$19)*各r阵容卡情况!$I106)+
IF(各r阵容卡情况!$J106=0,0,IF(各r阵容卡情况!$AD106&lt;=1,各r阵容卡情况!$AD106*F$20,1*F$20)*各r阵容卡情况!$J106)</f>
        <v>0</v>
      </c>
      <c r="AH78" s="67">
        <f>IF(各r阵容卡情况!$H106=0,0,IF(各r阵容卡情况!$AB106&lt;=1,0,(各r阵容卡情况!$AB106-1)*G$26)*各r阵容卡情况!$H106)+
IF(各r阵容卡情况!$I106=0,0,IF(各r阵容卡情况!$AC106&lt;=1,0,(各r阵容卡情况!$AC106-1)*G$27)*各r阵容卡情况!$I106)+
IF(各r阵容卡情况!$J106=0,0,IF(各r阵容卡情况!$AD106&lt;=1,0,(各r阵容卡情况!$AD106-1)*G$28)*各r阵容卡情况!$J106)</f>
        <v>340</v>
      </c>
      <c r="AI78" s="67">
        <f>IF(各r阵容卡情况!$H106=0,0,IF(各r阵容卡情况!$AB106&lt;=1,0,(各r阵容卡情况!$AB106-1)*H$26)*各r阵容卡情况!$H106)+
IF(各r阵容卡情况!$I106=0,0,IF(各r阵容卡情况!$AC106&lt;=1,0,(各r阵容卡情况!$AC106-1)*H$27)*各r阵容卡情况!$I106)+
IF(各r阵容卡情况!$J106=0,0,IF(各r阵容卡情况!$AD106&lt;=1,0,(各r阵容卡情况!$AD106-1)*H$28)*各r阵容卡情况!$J106)</f>
        <v>0</v>
      </c>
      <c r="AJ78" s="67">
        <f>IF(各r阵容卡情况!$H106=0,0,IF(各r阵容卡情况!$AB106&lt;=1,0,(各r阵容卡情况!$AB106-1)*I$26)*各r阵容卡情况!$H106)+
IF(各r阵容卡情况!$I106=0,0,IF(各r阵容卡情况!$AC106&lt;=1,0,(各r阵容卡情况!$AC106-1)*I$27)*各r阵容卡情况!$I106)+
IF(各r阵容卡情况!$J106=0,0,IF(各r阵容卡情况!$AD106&lt;=1,0,(各r阵容卡情况!$AD106-1)*I$28)*各r阵容卡情况!$J106)</f>
        <v>0</v>
      </c>
      <c r="AL78" s="80">
        <f t="shared" si="62"/>
        <v>150</v>
      </c>
      <c r="AM78" s="80">
        <f t="shared" si="63"/>
        <v>48</v>
      </c>
      <c r="AN78" s="80">
        <f t="shared" si="64"/>
        <v>0</v>
      </c>
      <c r="AO78" s="80">
        <f t="shared" si="65"/>
        <v>0</v>
      </c>
      <c r="AP78" s="80">
        <f t="shared" si="66"/>
        <v>240</v>
      </c>
      <c r="AQ78" s="80">
        <f t="shared" si="67"/>
        <v>0</v>
      </c>
      <c r="AR78" s="80">
        <f t="shared" si="68"/>
        <v>0</v>
      </c>
      <c r="AS78" s="80">
        <f t="shared" si="69"/>
        <v>136</v>
      </c>
      <c r="AT78" s="80">
        <f t="shared" si="70"/>
        <v>0</v>
      </c>
      <c r="AU78" s="80">
        <f t="shared" si="71"/>
        <v>0</v>
      </c>
      <c r="AV78" s="80">
        <f t="shared" si="72"/>
        <v>680</v>
      </c>
      <c r="AW78" s="80">
        <f t="shared" si="73"/>
        <v>0</v>
      </c>
      <c r="AX78" s="80">
        <f t="shared" si="74"/>
        <v>0</v>
      </c>
      <c r="AY78" s="61" t="e">
        <f>SUMPRODUCT(AM78:AR78/'[1]功能-行军令'!$GI$26:$GN$26+AS78:AX78/'[1]功能-行军令'!$GI$26:$GN$26)/0.18</f>
        <v>#DIV/0!</v>
      </c>
      <c r="BO78" s="80">
        <f t="shared" si="60"/>
        <v>128.62542789463421</v>
      </c>
      <c r="BP78" s="80">
        <f t="shared" si="61"/>
        <v>12300000</v>
      </c>
      <c r="BQ78" s="80">
        <f>(BP78-BP77)*INDEX('[1]功能-付费相关'!$AR$6:$AR$165,$BO78,1)+BQ77</f>
        <v>16129.191064037783</v>
      </c>
      <c r="BR78" s="80"/>
      <c r="BS78" s="80"/>
    </row>
    <row r="79" spans="2:71" x14ac:dyDescent="0.15">
      <c r="B79" s="201" t="s">
        <v>708</v>
      </c>
      <c r="C79" s="80" t="s">
        <v>14</v>
      </c>
      <c r="D79" s="80" t="s">
        <v>3</v>
      </c>
      <c r="E79" s="80" t="s">
        <v>1</v>
      </c>
      <c r="F79" s="80" t="s">
        <v>2</v>
      </c>
      <c r="G79" s="80" t="s">
        <v>0</v>
      </c>
      <c r="H79" s="80" t="s">
        <v>545</v>
      </c>
      <c r="I79" s="80" t="s">
        <v>30</v>
      </c>
      <c r="L79" s="61">
        <v>33</v>
      </c>
      <c r="M79" s="80">
        <f>基础状态预期!D91</f>
        <v>128.62542789463421</v>
      </c>
      <c r="N79" s="80">
        <f>IF(基础状态预期!F91="",0,IF(基础状态预期!Z91&lt;=1,基础状态预期!Z91*D$4,1*D$4+(基础状态预期!Z91-1)*武将觉醒!D$5))</f>
        <v>0</v>
      </c>
      <c r="O79" s="80">
        <f>IF(基础状态预期!G91="",0,IF(基础状态预期!AA91&lt;=1,基础状态预期!AA91*E$4,1*E$4+(基础状态预期!AA91-1)*武将觉醒!E$5))</f>
        <v>0</v>
      </c>
      <c r="P79" s="80">
        <f>IF(基础状态预期!H91="",0,IF(基础状态预期!AB91&lt;=1,基础状态预期!AB91*F$4,1*F$4+(基础状态预期!AB91-1)*武将觉醒!F$5))</f>
        <v>0</v>
      </c>
      <c r="Q79" s="80">
        <f>IF(基础状态预期!I91="",0,IF(基础状态预期!AC91&lt;=1,基础状态预期!AC91*G$4,1*G$4+(基础状态预期!AC91-1)*武将觉醒!G$5))</f>
        <v>0</v>
      </c>
      <c r="R79" s="80">
        <f>IF(基础状态预期!J91="",0,IF(基础状态预期!AD91&lt;=1,基础状态预期!AD91*H$4,1*H$4+(基础状态预期!AD91-1)*武将觉醒!H$5))</f>
        <v>2050000</v>
      </c>
      <c r="S79" s="80">
        <f>MAX(SUMPRODUCT(N79:R79,基础状态预期!F91:J91),S78)</f>
        <v>12300000</v>
      </c>
      <c r="T79" s="80">
        <f>IF(基础状态预期!Z91="",0,IFERROR(基础状态预期!F91*求节点($C$62:$C$63,D$62:D$63,基础状态预期!Z91),0)+IFERROR(基础状态预期!$J91*求节点($C$71:$C$72,D$71:D$72,基础状态预期!$AD91),0))</f>
        <v>0</v>
      </c>
      <c r="U79" s="80">
        <f>IF(基础状态预期!AA91="",0,IFERROR(基础状态预期!G91*求节点($C$62:$C$63,E$62:E$63,基础状态预期!AA91),0)+IFERROR(基础状态预期!$J91*求节点($C$71:$C$72,E$71:E$72,基础状态预期!$AD91),0))</f>
        <v>0</v>
      </c>
      <c r="V79" s="80">
        <f>IF(基础状态预期!AB91="",0,IFERROR(基础状态预期!H91*求节点($C$62:$C$63,F$62:F$63,基础状态预期!AB91),0)+IFERROR(基础状态预期!$J91*求节点($C$71:$C$72,F$71:F$72,基础状态预期!$AD91),0))</f>
        <v>0</v>
      </c>
      <c r="W79" s="80">
        <f>IF(基础状态预期!AC91="",0,IFERROR(基础状态预期!I91*求节点($C$62:$C$63,G$62:G$63,基础状态预期!AC91),0)+IFERROR(基础状态预期!$J91*求节点($C$71:$C$72,G$71:G$72,基础状态预期!$AD91),0))</f>
        <v>0</v>
      </c>
      <c r="X79" s="80">
        <f>IF(基础状态预期!AD91="",0,IFERROR(基础状态预期!J91*求节点($C$62:$C$63,H$62:H$63,基础状态预期!AD91),0)+IFERROR(基础状态预期!$J91*求节点($C$71:$C$72,H$71:H$72,基础状态预期!$AD91),0))</f>
        <v>0</v>
      </c>
      <c r="Y79" s="80">
        <f>IF(基础状态预期!$H91="",0,IF(基础状态预期!$AB91&lt;=1,基础状态预期!$AB91*D$18,D$18)*基础状态预期!$H91)+
IF(基础状态预期!$I91="",0,IF(基础状态预期!$AC91&lt;=1,基础状态预期!$AC91*D$19,D$19)*基础状态预期!$I91)+
IF(基础状态预期!$J91="",0,IF(基础状态预期!$AD91&lt;=1,基础状态预期!$AD91*D$20,D$20)*基础状态预期!$J91)</f>
        <v>48</v>
      </c>
      <c r="Z79" s="80">
        <f>IF(基础状态预期!$H91="",0,IF(基础状态预期!$AB91&lt;=1,基础状态预期!$AB91*E$18,E$18)*基础状态预期!$H91)+
IF(基础状态预期!$I91="",0,IF(基础状态预期!$AC91&lt;=1,基础状态预期!$AC91*E$19,E$19)*基础状态预期!$I91)+
IF(基础状态预期!$J91="",0,IF(基础状态预期!$AD91&lt;=1,基础状态预期!$AD91*E$20,E$20)*基础状态预期!$J91)</f>
        <v>0</v>
      </c>
      <c r="AA79" s="80">
        <f>IF(基础状态预期!$H91="",0,IF(基础状态预期!$AB91&lt;=1,基础状态预期!$AB91*F$18,F$18)*基础状态预期!$H91)+
IF(基础状态预期!$I91="",0,IF(基础状态预期!$AC91&lt;=1,基础状态预期!$AC91*F$19,F$19)*基础状态预期!$I91)+
IF(基础状态预期!$J91="",0,IF(基础状态预期!$AD91&lt;=1,基础状态预期!$AD91*F$20,F$20)*基础状态预期!$J91)</f>
        <v>0</v>
      </c>
      <c r="AB79" s="67">
        <f>IF(基础状态预期!$H91="",0,IF(基础状态预期!$AB91&lt;=1,0,(基础状态预期!$AB91-1)*G$26)*基础状态预期!$H91)+
IF(基础状态预期!$I91="",0,IF(基础状态预期!$AC91&lt;=1,0,(基础状态预期!$AC91-1)*G$27)*基础状态预期!$I91)+
IF(基础状态预期!$J91="",0,IF(基础状态预期!$AD91&lt;=1,0,(基础状态预期!$AD91-1)*G$28)*基础状态预期!$J91)</f>
        <v>240</v>
      </c>
      <c r="AC79" s="67">
        <f>IF(基础状态预期!$H91="",0,IF(基础状态预期!$AB91&lt;=1,0,(基础状态预期!$AB91-1)*H$26)*基础状态预期!$H91)+
IF(基础状态预期!$I91="",0,IF(基础状态预期!$AC91&lt;=1,0,(基础状态预期!$AC91-1)*H$27)*基础状态预期!$I91)+
IF(基础状态预期!$J91="",0,IF(基础状态预期!$AD91&lt;=1,0,(基础状态预期!$AD91-1)*H$28)*基础状态预期!$J91)</f>
        <v>0</v>
      </c>
      <c r="AD79" s="67">
        <f>IF(基础状态预期!$H91="",0,IF(基础状态预期!$AB91&lt;=1,0,(基础状态预期!$AB91-1)*I$26)*基础状态预期!$H91)+
IF(基础状态预期!$I91="",0,IF(基础状态预期!$AC91&lt;=1,0,(基础状态预期!$AC91-1)*I$27)*基础状态预期!$I91)+
IF(基础状态预期!$J91="",0,IF(基础状态预期!$AD91&lt;=1,0,(基础状态预期!$AD91-1)*I$28)*基础状态预期!$J91)</f>
        <v>0</v>
      </c>
      <c r="AE79" s="80">
        <f>IF(各r阵容卡情况!$H107=0,0,IF(各r阵容卡情况!$AB107&lt;=1,各r阵容卡情况!$AB107*D$18,1*D$18)*各r阵容卡情况!$H107)+
IF(各r阵容卡情况!$I107=0,0,IF(各r阵容卡情况!$AC107&lt;=1,各r阵容卡情况!$AC107*D$19,1*D$19)*各r阵容卡情况!$I107)+
IF(各r阵容卡情况!$J107=0,0,IF(各r阵容卡情况!$AD107&lt;=1,各r阵容卡情况!$AD107*D$20,1*D$20)*各r阵容卡情况!$J107)</f>
        <v>76</v>
      </c>
      <c r="AF79" s="80">
        <f>IF(各r阵容卡情况!$H107=0,0,IF(各r阵容卡情况!$AB107&lt;=1,各r阵容卡情况!$AB107*E$18,1*E$18)*各r阵容卡情况!$H107)+
IF(各r阵容卡情况!$I107=0,0,IF(各r阵容卡情况!$AC107&lt;=1,各r阵容卡情况!$AC107*E$19,1*E$19)*各r阵容卡情况!$I107)+
IF(各r阵容卡情况!$J107=0,0,IF(各r阵容卡情况!$AD107&lt;=1,各r阵容卡情况!$AD107*E$20,1*E$20)*各r阵容卡情况!$J107)</f>
        <v>0</v>
      </c>
      <c r="AG79" s="80">
        <f>IF(各r阵容卡情况!$H107=0,0,IF(各r阵容卡情况!$AB107&lt;=1,各r阵容卡情况!$AB107*F$18,1*F$18)*各r阵容卡情况!$H107)+
IF(各r阵容卡情况!$I107=0,0,IF(各r阵容卡情况!$AC107&lt;=1,各r阵容卡情况!$AC107*F$19,1*F$19)*各r阵容卡情况!$I107)+
IF(各r阵容卡情况!$J107=0,0,IF(各r阵容卡情况!$AD107&lt;=1,各r阵容卡情况!$AD107*F$20,1*F$20)*各r阵容卡情况!$J107)</f>
        <v>0</v>
      </c>
      <c r="AH79" s="67">
        <f>IF(各r阵容卡情况!$H107=0,0,IF(各r阵容卡情况!$AB107&lt;=1,0,(各r阵容卡情况!$AB107-1)*G$26)*各r阵容卡情况!$H107)+
IF(各r阵容卡情况!$I107=0,0,IF(各r阵容卡情况!$AC107&lt;=1,0,(各r阵容卡情况!$AC107-1)*G$27)*各r阵容卡情况!$I107)+
IF(各r阵容卡情况!$J107=0,0,IF(各r阵容卡情况!$AD107&lt;=1,0,(各r阵容卡情况!$AD107-1)*G$28)*各r阵容卡情况!$J107)</f>
        <v>380</v>
      </c>
      <c r="AI79" s="67">
        <f>IF(各r阵容卡情况!$H107=0,0,IF(各r阵容卡情况!$AB107&lt;=1,0,(各r阵容卡情况!$AB107-1)*H$26)*各r阵容卡情况!$H107)+
IF(各r阵容卡情况!$I107=0,0,IF(各r阵容卡情况!$AC107&lt;=1,0,(各r阵容卡情况!$AC107-1)*H$27)*各r阵容卡情况!$I107)+
IF(各r阵容卡情况!$J107=0,0,IF(各r阵容卡情况!$AD107&lt;=1,0,(各r阵容卡情况!$AD107-1)*H$28)*各r阵容卡情况!$J107)</f>
        <v>0</v>
      </c>
      <c r="AJ79" s="67">
        <f>IF(各r阵容卡情况!$H107=0,0,IF(各r阵容卡情况!$AB107&lt;=1,0,(各r阵容卡情况!$AB107-1)*I$26)*各r阵容卡情况!$H107)+
IF(各r阵容卡情况!$I107=0,0,IF(各r阵容卡情况!$AC107&lt;=1,0,(各r阵容卡情况!$AC107-1)*I$27)*各r阵容卡情况!$I107)+
IF(各r阵容卡情况!$J107=0,0,IF(各r阵容卡情况!$AD107&lt;=1,0,(各r阵容卡情况!$AD107-1)*I$28)*各r阵容卡情况!$J107)</f>
        <v>0</v>
      </c>
      <c r="AL79" s="80">
        <f t="shared" si="62"/>
        <v>155</v>
      </c>
      <c r="AM79" s="80">
        <f t="shared" si="63"/>
        <v>48</v>
      </c>
      <c r="AN79" s="80">
        <f t="shared" si="64"/>
        <v>0</v>
      </c>
      <c r="AO79" s="80">
        <f t="shared" si="65"/>
        <v>0</v>
      </c>
      <c r="AP79" s="80">
        <f t="shared" si="66"/>
        <v>240</v>
      </c>
      <c r="AQ79" s="80">
        <f t="shared" si="67"/>
        <v>0</v>
      </c>
      <c r="AR79" s="80">
        <f t="shared" si="68"/>
        <v>0</v>
      </c>
      <c r="AS79" s="80">
        <f t="shared" si="69"/>
        <v>136</v>
      </c>
      <c r="AT79" s="80">
        <f t="shared" si="70"/>
        <v>0</v>
      </c>
      <c r="AU79" s="80">
        <f t="shared" si="71"/>
        <v>0</v>
      </c>
      <c r="AV79" s="80">
        <f t="shared" si="72"/>
        <v>680</v>
      </c>
      <c r="AW79" s="80">
        <f t="shared" si="73"/>
        <v>0</v>
      </c>
      <c r="AX79" s="80">
        <f t="shared" si="74"/>
        <v>0</v>
      </c>
      <c r="AY79" s="61" t="e">
        <f>SUMPRODUCT(AM79:AR79/'[1]功能-行军令'!$GI$26:$GN$26+AS79:AX79/'[1]功能-行军令'!$GI$26:$GN$26)/0.18</f>
        <v>#DIV/0!</v>
      </c>
      <c r="BO79" s="80">
        <f t="shared" si="60"/>
        <v>132.09902390525281</v>
      </c>
      <c r="BP79" s="80">
        <f t="shared" si="61"/>
        <v>12300000</v>
      </c>
      <c r="BQ79" s="80">
        <f>(BP79-BP78)*INDEX('[1]功能-付费相关'!$AR$6:$AR$165,$BO79,1)+BQ78</f>
        <v>16129.191064037783</v>
      </c>
      <c r="BR79" s="80"/>
      <c r="BS79" s="80"/>
    </row>
    <row r="80" spans="2:71" x14ac:dyDescent="0.15">
      <c r="B80" s="201"/>
      <c r="C80" s="80">
        <v>1</v>
      </c>
      <c r="D80" s="80">
        <f>SUM(D$51:D51)</f>
        <v>0</v>
      </c>
      <c r="E80" s="80">
        <f>SUM(E$51:E51)</f>
        <v>0</v>
      </c>
      <c r="F80" s="80">
        <f>SUM(F$51:F51)</f>
        <v>0</v>
      </c>
      <c r="G80" s="80">
        <f>SUM(G$51:G51)</f>
        <v>0</v>
      </c>
      <c r="H80" s="80">
        <f>SUM(H$51:H51)</f>
        <v>0</v>
      </c>
      <c r="I80" s="80">
        <f>SUM(I$51:I51)</f>
        <v>0</v>
      </c>
      <c r="L80" s="61">
        <v>34</v>
      </c>
      <c r="M80" s="80">
        <f>基础状态预期!D92</f>
        <v>132.09902390525281</v>
      </c>
      <c r="N80" s="80">
        <f>IF(基础状态预期!F92="",0,IF(基础状态预期!Z92&lt;=1,基础状态预期!Z92*D$4,1*D$4+(基础状态预期!Z92-1)*武将觉醒!D$5))</f>
        <v>0</v>
      </c>
      <c r="O80" s="80">
        <f>IF(基础状态预期!G92="",0,IF(基础状态预期!AA92&lt;=1,基础状态预期!AA92*E$4,1*E$4+(基础状态预期!AA92-1)*武将觉醒!E$5))</f>
        <v>0</v>
      </c>
      <c r="P80" s="80">
        <f>IF(基础状态预期!H92="",0,IF(基础状态预期!AB92&lt;=1,基础状态预期!AB92*F$4,1*F$4+(基础状态预期!AB92-1)*武将觉醒!F$5))</f>
        <v>0</v>
      </c>
      <c r="Q80" s="80">
        <f>IF(基础状态预期!I92="",0,IF(基础状态预期!AC92&lt;=1,基础状态预期!AC92*G$4,1*G$4+(基础状态预期!AC92-1)*武将觉醒!G$5))</f>
        <v>0</v>
      </c>
      <c r="R80" s="80">
        <f>IF(基础状态预期!J92="",0,IF(基础状态预期!AD92&lt;=1,基础状态预期!AD92*H$4,1*H$4+(基础状态预期!AD92-1)*武将觉醒!H$5))</f>
        <v>2050000</v>
      </c>
      <c r="S80" s="80">
        <f>MAX(SUMPRODUCT(N80:R80,基础状态预期!F92:J92),S79)</f>
        <v>12300000</v>
      </c>
      <c r="T80" s="80">
        <f>IF(基础状态预期!Z92="",0,IFERROR(基础状态预期!F92*求节点($C$62:$C$63,D$62:D$63,基础状态预期!Z92),0)+IFERROR(基础状态预期!$J92*求节点($C$71:$C$72,D$71:D$72,基础状态预期!$AD92),0))</f>
        <v>0</v>
      </c>
      <c r="U80" s="80">
        <f>IF(基础状态预期!AA92="",0,IFERROR(基础状态预期!G92*求节点($C$62:$C$63,E$62:E$63,基础状态预期!AA92),0)+IFERROR(基础状态预期!$J92*求节点($C$71:$C$72,E$71:E$72,基础状态预期!$AD92),0))</f>
        <v>0</v>
      </c>
      <c r="V80" s="80">
        <f>IF(基础状态预期!AB92="",0,IFERROR(基础状态预期!H92*求节点($C$62:$C$63,F$62:F$63,基础状态预期!AB92),0)+IFERROR(基础状态预期!$J92*求节点($C$71:$C$72,F$71:F$72,基础状态预期!$AD92),0))</f>
        <v>0</v>
      </c>
      <c r="W80" s="80">
        <f>IF(基础状态预期!AC92="",0,IFERROR(基础状态预期!I92*求节点($C$62:$C$63,G$62:G$63,基础状态预期!AC92),0)+IFERROR(基础状态预期!$J92*求节点($C$71:$C$72,G$71:G$72,基础状态预期!$AD92),0))</f>
        <v>0</v>
      </c>
      <c r="X80" s="80">
        <f>IF(基础状态预期!AD92="",0,IFERROR(基础状态预期!J92*求节点($C$62:$C$63,H$62:H$63,基础状态预期!AD92),0)+IFERROR(基础状态预期!$J92*求节点($C$71:$C$72,H$71:H$72,基础状态预期!$AD92),0))</f>
        <v>0</v>
      </c>
      <c r="Y80" s="80">
        <f>IF(基础状态预期!$H92="",0,IF(基础状态预期!$AB92&lt;=1,基础状态预期!$AB92*D$18,D$18)*基础状态预期!$H92)+
IF(基础状态预期!$I92="",0,IF(基础状态预期!$AC92&lt;=1,基础状态预期!$AC92*D$19,D$19)*基础状态预期!$I92)+
IF(基础状态预期!$J92="",0,IF(基础状态预期!$AD92&lt;=1,基础状态预期!$AD92*D$20,D$20)*基础状态预期!$J92)</f>
        <v>48</v>
      </c>
      <c r="Z80" s="80">
        <f>IF(基础状态预期!$H92="",0,IF(基础状态预期!$AB92&lt;=1,基础状态预期!$AB92*E$18,E$18)*基础状态预期!$H92)+
IF(基础状态预期!$I92="",0,IF(基础状态预期!$AC92&lt;=1,基础状态预期!$AC92*E$19,E$19)*基础状态预期!$I92)+
IF(基础状态预期!$J92="",0,IF(基础状态预期!$AD92&lt;=1,基础状态预期!$AD92*E$20,E$20)*基础状态预期!$J92)</f>
        <v>0</v>
      </c>
      <c r="AA80" s="80">
        <f>IF(基础状态预期!$H92="",0,IF(基础状态预期!$AB92&lt;=1,基础状态预期!$AB92*F$18,F$18)*基础状态预期!$H92)+
IF(基础状态预期!$I92="",0,IF(基础状态预期!$AC92&lt;=1,基础状态预期!$AC92*F$19,F$19)*基础状态预期!$I92)+
IF(基础状态预期!$J92="",0,IF(基础状态预期!$AD92&lt;=1,基础状态预期!$AD92*F$20,F$20)*基础状态预期!$J92)</f>
        <v>0</v>
      </c>
      <c r="AB80" s="67">
        <f>IF(基础状态预期!$H92="",0,IF(基础状态预期!$AB92&lt;=1,0,(基础状态预期!$AB92-1)*G$26)*基础状态预期!$H92)+
IF(基础状态预期!$I92="",0,IF(基础状态预期!$AC92&lt;=1,0,(基础状态预期!$AC92-1)*G$27)*基础状态预期!$I92)+
IF(基础状态预期!$J92="",0,IF(基础状态预期!$AD92&lt;=1,0,(基础状态预期!$AD92-1)*G$28)*基础状态预期!$J92)</f>
        <v>240</v>
      </c>
      <c r="AC80" s="67">
        <f>IF(基础状态预期!$H92="",0,IF(基础状态预期!$AB92&lt;=1,0,(基础状态预期!$AB92-1)*H$26)*基础状态预期!$H92)+
IF(基础状态预期!$I92="",0,IF(基础状态预期!$AC92&lt;=1,0,(基础状态预期!$AC92-1)*H$27)*基础状态预期!$I92)+
IF(基础状态预期!$J92="",0,IF(基础状态预期!$AD92&lt;=1,0,(基础状态预期!$AD92-1)*H$28)*基础状态预期!$J92)</f>
        <v>0</v>
      </c>
      <c r="AD80" s="67">
        <f>IF(基础状态预期!$H92="",0,IF(基础状态预期!$AB92&lt;=1,0,(基础状态预期!$AB92-1)*I$26)*基础状态预期!$H92)+
IF(基础状态预期!$I92="",0,IF(基础状态预期!$AC92&lt;=1,0,(基础状态预期!$AC92-1)*I$27)*基础状态预期!$I92)+
IF(基础状态预期!$J92="",0,IF(基础状态预期!$AD92&lt;=1,0,(基础状态预期!$AD92-1)*I$28)*基础状态预期!$J92)</f>
        <v>0</v>
      </c>
      <c r="AE80" s="80">
        <f>IF(各r阵容卡情况!$H108=0,0,IF(各r阵容卡情况!$AB108&lt;=1,各r阵容卡情况!$AB108*D$18,1*D$18)*各r阵容卡情况!$H108)+
IF(各r阵容卡情况!$I108=0,0,IF(各r阵容卡情况!$AC108&lt;=1,各r阵容卡情况!$AC108*D$19,1*D$19)*各r阵容卡情况!$I108)+
IF(各r阵容卡情况!$J108=0,0,IF(各r阵容卡情况!$AD108&lt;=1,各r阵容卡情况!$AD108*D$20,1*D$20)*各r阵容卡情况!$J108)</f>
        <v>84</v>
      </c>
      <c r="AF80" s="80">
        <f>IF(各r阵容卡情况!$H108=0,0,IF(各r阵容卡情况!$AB108&lt;=1,各r阵容卡情况!$AB108*E$18,1*E$18)*各r阵容卡情况!$H108)+
IF(各r阵容卡情况!$I108=0,0,IF(各r阵容卡情况!$AC108&lt;=1,各r阵容卡情况!$AC108*E$19,1*E$19)*各r阵容卡情况!$I108)+
IF(各r阵容卡情况!$J108=0,0,IF(各r阵容卡情况!$AD108&lt;=1,各r阵容卡情况!$AD108*E$20,1*E$20)*各r阵容卡情况!$J108)</f>
        <v>0</v>
      </c>
      <c r="AG80" s="80">
        <f>IF(各r阵容卡情况!$H108=0,0,IF(各r阵容卡情况!$AB108&lt;=1,各r阵容卡情况!$AB108*F$18,1*F$18)*各r阵容卡情况!$H108)+
IF(各r阵容卡情况!$I108=0,0,IF(各r阵容卡情况!$AC108&lt;=1,各r阵容卡情况!$AC108*F$19,1*F$19)*各r阵容卡情况!$I108)+
IF(各r阵容卡情况!$J108=0,0,IF(各r阵容卡情况!$AD108&lt;=1,各r阵容卡情况!$AD108*F$20,1*F$20)*各r阵容卡情况!$J108)</f>
        <v>0</v>
      </c>
      <c r="AH80" s="67">
        <f>IF(各r阵容卡情况!$H108=0,0,IF(各r阵容卡情况!$AB108&lt;=1,0,(各r阵容卡情况!$AB108-1)*G$26)*各r阵容卡情况!$H108)+
IF(各r阵容卡情况!$I108=0,0,IF(各r阵容卡情况!$AC108&lt;=1,0,(各r阵容卡情况!$AC108-1)*G$27)*各r阵容卡情况!$I108)+
IF(各r阵容卡情况!$J108=0,0,IF(各r阵容卡情况!$AD108&lt;=1,0,(各r阵容卡情况!$AD108-1)*G$28)*各r阵容卡情况!$J108)</f>
        <v>420</v>
      </c>
      <c r="AI80" s="67">
        <f>IF(各r阵容卡情况!$H108=0,0,IF(各r阵容卡情况!$AB108&lt;=1,0,(各r阵容卡情况!$AB108-1)*H$26)*各r阵容卡情况!$H108)+
IF(各r阵容卡情况!$I108=0,0,IF(各r阵容卡情况!$AC108&lt;=1,0,(各r阵容卡情况!$AC108-1)*H$27)*各r阵容卡情况!$I108)+
IF(各r阵容卡情况!$J108=0,0,IF(各r阵容卡情况!$AD108&lt;=1,0,(各r阵容卡情况!$AD108-1)*H$28)*各r阵容卡情况!$J108)</f>
        <v>0</v>
      </c>
      <c r="AJ80" s="67">
        <f>IF(各r阵容卡情况!$H108=0,0,IF(各r阵容卡情况!$AB108&lt;=1,0,(各r阵容卡情况!$AB108-1)*I$26)*各r阵容卡情况!$H108)+
IF(各r阵容卡情况!$I108=0,0,IF(各r阵容卡情况!$AC108&lt;=1,0,(各r阵容卡情况!$AC108-1)*I$27)*各r阵容卡情况!$I108)+
IF(各r阵容卡情况!$J108=0,0,IF(各r阵容卡情况!$AD108&lt;=1,0,(各r阵容卡情况!$AD108-1)*I$28)*各r阵容卡情况!$J108)</f>
        <v>0</v>
      </c>
      <c r="AL80" s="80">
        <f t="shared" si="62"/>
        <v>160</v>
      </c>
      <c r="AM80" s="80">
        <f t="shared" si="63"/>
        <v>48</v>
      </c>
      <c r="AN80" s="80">
        <f t="shared" si="64"/>
        <v>0</v>
      </c>
      <c r="AO80" s="80">
        <f t="shared" si="65"/>
        <v>0</v>
      </c>
      <c r="AP80" s="80">
        <f t="shared" si="66"/>
        <v>240</v>
      </c>
      <c r="AQ80" s="80">
        <f t="shared" si="67"/>
        <v>0</v>
      </c>
      <c r="AR80" s="80">
        <f t="shared" si="68"/>
        <v>0</v>
      </c>
      <c r="AS80" s="80">
        <f t="shared" si="69"/>
        <v>136</v>
      </c>
      <c r="AT80" s="80">
        <f t="shared" si="70"/>
        <v>0</v>
      </c>
      <c r="AU80" s="80">
        <f t="shared" si="71"/>
        <v>0</v>
      </c>
      <c r="AV80" s="80">
        <f t="shared" si="72"/>
        <v>680</v>
      </c>
      <c r="AW80" s="80">
        <f t="shared" si="73"/>
        <v>0</v>
      </c>
      <c r="AX80" s="80">
        <f t="shared" si="74"/>
        <v>0</v>
      </c>
      <c r="AY80" s="61" t="e">
        <f>SUMPRODUCT(AM80:AR80/'[1]功能-行军令'!$GI$26:$GN$26+AS80:AX80/'[1]功能-行军令'!$GI$26:$GN$26)/0.18</f>
        <v>#DIV/0!</v>
      </c>
      <c r="BO80" s="80">
        <f t="shared" si="60"/>
        <v>135.61521761503846</v>
      </c>
      <c r="BP80" s="80">
        <f t="shared" si="61"/>
        <v>12300000</v>
      </c>
      <c r="BQ80" s="80">
        <f>(BP80-BP79)*INDEX('[1]功能-付费相关'!$AR$6:$AR$165,$BO80,1)+BQ79</f>
        <v>16129.191064037783</v>
      </c>
      <c r="BR80" s="80"/>
      <c r="BS80" s="80"/>
    </row>
    <row r="81" spans="2:77" x14ac:dyDescent="0.15">
      <c r="B81" s="201"/>
      <c r="C81" s="80">
        <v>2</v>
      </c>
      <c r="D81" s="80">
        <f>SUM(D$51:D52)</f>
        <v>0</v>
      </c>
      <c r="E81" s="80">
        <f>SUM(E$51:E52)</f>
        <v>0</v>
      </c>
      <c r="F81" s="80">
        <f>SUM(F$51:F52)</f>
        <v>0</v>
      </c>
      <c r="G81" s="80">
        <f>SUM(G$51:G52)</f>
        <v>6</v>
      </c>
      <c r="H81" s="80">
        <f>SUM(H$51:H52)</f>
        <v>0</v>
      </c>
      <c r="I81" s="80">
        <f>SUM(I$51:I52)</f>
        <v>0</v>
      </c>
      <c r="L81" s="61">
        <v>35</v>
      </c>
      <c r="M81" s="80">
        <f>基础状态预期!D93</f>
        <v>135.61521761503846</v>
      </c>
      <c r="N81" s="80">
        <f>IF(基础状态预期!F93="",0,IF(基础状态预期!Z93&lt;=1,基础状态预期!Z93*D$4,1*D$4+(基础状态预期!Z93-1)*武将觉醒!D$5))</f>
        <v>0</v>
      </c>
      <c r="O81" s="80">
        <f>IF(基础状态预期!G93="",0,IF(基础状态预期!AA93&lt;=1,基础状态预期!AA93*E$4,1*E$4+(基础状态预期!AA93-1)*武将觉醒!E$5))</f>
        <v>0</v>
      </c>
      <c r="P81" s="80">
        <f>IF(基础状态预期!H93="",0,IF(基础状态预期!AB93&lt;=1,基础状态预期!AB93*F$4,1*F$4+(基础状态预期!AB93-1)*武将觉醒!F$5))</f>
        <v>0</v>
      </c>
      <c r="Q81" s="80">
        <f>IF(基础状态预期!I93="",0,IF(基础状态预期!AC93&lt;=1,基础状态预期!AC93*G$4,1*G$4+(基础状态预期!AC93-1)*武将觉醒!G$5))</f>
        <v>0</v>
      </c>
      <c r="R81" s="80">
        <f>IF(基础状态预期!J93="",0,IF(基础状态预期!AD93&lt;=1,基础状态预期!AD93*H$4,1*H$4+(基础状态预期!AD93-1)*武将觉醒!H$5))</f>
        <v>2050000</v>
      </c>
      <c r="S81" s="80">
        <f>MAX(SUMPRODUCT(N81:R81,基础状态预期!F93:J93),S80)</f>
        <v>12300000</v>
      </c>
      <c r="T81" s="80">
        <f>IF(基础状态预期!Z93="",0,IFERROR(基础状态预期!F93*求节点($C$62:$C$63,D$62:D$63,基础状态预期!Z93),0)+IFERROR(基础状态预期!$J93*求节点($C$71:$C$72,D$71:D$72,基础状态预期!$AD93),0))</f>
        <v>0</v>
      </c>
      <c r="U81" s="80">
        <f>IF(基础状态预期!AA93="",0,IFERROR(基础状态预期!G93*求节点($C$62:$C$63,E$62:E$63,基础状态预期!AA93),0)+IFERROR(基础状态预期!$J93*求节点($C$71:$C$72,E$71:E$72,基础状态预期!$AD93),0))</f>
        <v>0</v>
      </c>
      <c r="V81" s="80">
        <f>IF(基础状态预期!AB93="",0,IFERROR(基础状态预期!H93*求节点($C$62:$C$63,F$62:F$63,基础状态预期!AB93),0)+IFERROR(基础状态预期!$J93*求节点($C$71:$C$72,F$71:F$72,基础状态预期!$AD93),0))</f>
        <v>0</v>
      </c>
      <c r="W81" s="80">
        <f>IF(基础状态预期!AC93="",0,IFERROR(基础状态预期!I93*求节点($C$62:$C$63,G$62:G$63,基础状态预期!AC93),0)+IFERROR(基础状态预期!$J93*求节点($C$71:$C$72,G$71:G$72,基础状态预期!$AD93),0))</f>
        <v>0</v>
      </c>
      <c r="X81" s="80">
        <f>IF(基础状态预期!AD93="",0,IFERROR(基础状态预期!J93*求节点($C$62:$C$63,H$62:H$63,基础状态预期!AD93),0)+IFERROR(基础状态预期!$J93*求节点($C$71:$C$72,H$71:H$72,基础状态预期!$AD93),0))</f>
        <v>0</v>
      </c>
      <c r="Y81" s="80">
        <f>IF(基础状态预期!$H93="",0,IF(基础状态预期!$AB93&lt;=1,基础状态预期!$AB93*D$18,D$18)*基础状态预期!$H93)+
IF(基础状态预期!$I93="",0,IF(基础状态预期!$AC93&lt;=1,基础状态预期!$AC93*D$19,D$19)*基础状态预期!$I93)+
IF(基础状态预期!$J93="",0,IF(基础状态预期!$AD93&lt;=1,基础状态预期!$AD93*D$20,D$20)*基础状态预期!$J93)</f>
        <v>48</v>
      </c>
      <c r="Z81" s="80">
        <f>IF(基础状态预期!$H93="",0,IF(基础状态预期!$AB93&lt;=1,基础状态预期!$AB93*E$18,E$18)*基础状态预期!$H93)+
IF(基础状态预期!$I93="",0,IF(基础状态预期!$AC93&lt;=1,基础状态预期!$AC93*E$19,E$19)*基础状态预期!$I93)+
IF(基础状态预期!$J93="",0,IF(基础状态预期!$AD93&lt;=1,基础状态预期!$AD93*E$20,E$20)*基础状态预期!$J93)</f>
        <v>0</v>
      </c>
      <c r="AA81" s="80">
        <f>IF(基础状态预期!$H93="",0,IF(基础状态预期!$AB93&lt;=1,基础状态预期!$AB93*F$18,F$18)*基础状态预期!$H93)+
IF(基础状态预期!$I93="",0,IF(基础状态预期!$AC93&lt;=1,基础状态预期!$AC93*F$19,F$19)*基础状态预期!$I93)+
IF(基础状态预期!$J93="",0,IF(基础状态预期!$AD93&lt;=1,基础状态预期!$AD93*F$20,F$20)*基础状态预期!$J93)</f>
        <v>0</v>
      </c>
      <c r="AB81" s="67">
        <f>IF(基础状态预期!$H93="",0,IF(基础状态预期!$AB93&lt;=1,0,(基础状态预期!$AB93-1)*G$26)*基础状态预期!$H93)+
IF(基础状态预期!$I93="",0,IF(基础状态预期!$AC93&lt;=1,0,(基础状态预期!$AC93-1)*G$27)*基础状态预期!$I93)+
IF(基础状态预期!$J93="",0,IF(基础状态预期!$AD93&lt;=1,0,(基础状态预期!$AD93-1)*G$28)*基础状态预期!$J93)</f>
        <v>240</v>
      </c>
      <c r="AC81" s="67">
        <f>IF(基础状态预期!$H93="",0,IF(基础状态预期!$AB93&lt;=1,0,(基础状态预期!$AB93-1)*H$26)*基础状态预期!$H93)+
IF(基础状态预期!$I93="",0,IF(基础状态预期!$AC93&lt;=1,0,(基础状态预期!$AC93-1)*H$27)*基础状态预期!$I93)+
IF(基础状态预期!$J93="",0,IF(基础状态预期!$AD93&lt;=1,0,(基础状态预期!$AD93-1)*H$28)*基础状态预期!$J93)</f>
        <v>0</v>
      </c>
      <c r="AD81" s="67">
        <f>IF(基础状态预期!$H93="",0,IF(基础状态预期!$AB93&lt;=1,0,(基础状态预期!$AB93-1)*I$26)*基础状态预期!$H93)+
IF(基础状态预期!$I93="",0,IF(基础状态预期!$AC93&lt;=1,0,(基础状态预期!$AC93-1)*I$27)*基础状态预期!$I93)+
IF(基础状态预期!$J93="",0,IF(基础状态预期!$AD93&lt;=1,0,(基础状态预期!$AD93-1)*I$28)*基础状态预期!$J93)</f>
        <v>0</v>
      </c>
      <c r="AE81" s="80">
        <f>IF(各r阵容卡情况!$H109=0,0,IF(各r阵容卡情况!$AB109&lt;=1,各r阵容卡情况!$AB109*D$18,1*D$18)*各r阵容卡情况!$H109)+
IF(各r阵容卡情况!$I109=0,0,IF(各r阵容卡情况!$AC109&lt;=1,各r阵容卡情况!$AC109*D$19,1*D$19)*各r阵容卡情况!$I109)+
IF(各r阵容卡情况!$J109=0,0,IF(各r阵容卡情况!$AD109&lt;=1,各r阵容卡情况!$AD109*D$20,1*D$20)*各r阵容卡情况!$J109)</f>
        <v>104</v>
      </c>
      <c r="AF81" s="80">
        <f>IF(各r阵容卡情况!$H109=0,0,IF(各r阵容卡情况!$AB109&lt;=1,各r阵容卡情况!$AB109*E$18,1*E$18)*各r阵容卡情况!$H109)+
IF(各r阵容卡情况!$I109=0,0,IF(各r阵容卡情况!$AC109&lt;=1,各r阵容卡情况!$AC109*E$19,1*E$19)*各r阵容卡情况!$I109)+
IF(各r阵容卡情况!$J109=0,0,IF(各r阵容卡情况!$AD109&lt;=1,各r阵容卡情况!$AD109*E$20,1*E$20)*各r阵容卡情况!$J109)</f>
        <v>0</v>
      </c>
      <c r="AG81" s="80">
        <f>IF(各r阵容卡情况!$H109=0,0,IF(各r阵容卡情况!$AB109&lt;=1,各r阵容卡情况!$AB109*F$18,1*F$18)*各r阵容卡情况!$H109)+
IF(各r阵容卡情况!$I109=0,0,IF(各r阵容卡情况!$AC109&lt;=1,各r阵容卡情况!$AC109*F$19,1*F$19)*各r阵容卡情况!$I109)+
IF(各r阵容卡情况!$J109=0,0,IF(各r阵容卡情况!$AD109&lt;=1,各r阵容卡情况!$AD109*F$20,1*F$20)*各r阵容卡情况!$J109)</f>
        <v>0</v>
      </c>
      <c r="AH81" s="67">
        <f>IF(各r阵容卡情况!$H109=0,0,IF(各r阵容卡情况!$AB109&lt;=1,0,(各r阵容卡情况!$AB109-1)*G$26)*各r阵容卡情况!$H109)+
IF(各r阵容卡情况!$I109=0,0,IF(各r阵容卡情况!$AC109&lt;=1,0,(各r阵容卡情况!$AC109-1)*G$27)*各r阵容卡情况!$I109)+
IF(各r阵容卡情况!$J109=0,0,IF(各r阵容卡情况!$AD109&lt;=1,0,(各r阵容卡情况!$AD109-1)*G$28)*各r阵容卡情况!$J109)</f>
        <v>520</v>
      </c>
      <c r="AI81" s="67">
        <f>IF(各r阵容卡情况!$H109=0,0,IF(各r阵容卡情况!$AB109&lt;=1,0,(各r阵容卡情况!$AB109-1)*H$26)*各r阵容卡情况!$H109)+
IF(各r阵容卡情况!$I109=0,0,IF(各r阵容卡情况!$AC109&lt;=1,0,(各r阵容卡情况!$AC109-1)*H$27)*各r阵容卡情况!$I109)+
IF(各r阵容卡情况!$J109=0,0,IF(各r阵容卡情况!$AD109&lt;=1,0,(各r阵容卡情况!$AD109-1)*H$28)*各r阵容卡情况!$J109)</f>
        <v>0</v>
      </c>
      <c r="AJ81" s="67">
        <f>IF(各r阵容卡情况!$H109=0,0,IF(各r阵容卡情况!$AB109&lt;=1,0,(各r阵容卡情况!$AB109-1)*I$26)*各r阵容卡情况!$H109)+
IF(各r阵容卡情况!$I109=0,0,IF(各r阵容卡情况!$AC109&lt;=1,0,(各r阵容卡情况!$AC109-1)*I$27)*各r阵容卡情况!$I109)+
IF(各r阵容卡情况!$J109=0,0,IF(各r阵容卡情况!$AD109&lt;=1,0,(各r阵容卡情况!$AD109-1)*I$28)*各r阵容卡情况!$J109)</f>
        <v>0</v>
      </c>
      <c r="AL81" s="80">
        <f t="shared" si="62"/>
        <v>165</v>
      </c>
      <c r="AM81" s="80">
        <f t="shared" si="63"/>
        <v>48</v>
      </c>
      <c r="AN81" s="80">
        <f t="shared" si="64"/>
        <v>0</v>
      </c>
      <c r="AO81" s="80">
        <f t="shared" si="65"/>
        <v>0</v>
      </c>
      <c r="AP81" s="80">
        <f t="shared" si="66"/>
        <v>240</v>
      </c>
      <c r="AQ81" s="80">
        <f t="shared" si="67"/>
        <v>0</v>
      </c>
      <c r="AR81" s="80">
        <f t="shared" si="68"/>
        <v>0</v>
      </c>
      <c r="AS81" s="80">
        <f t="shared" si="69"/>
        <v>136</v>
      </c>
      <c r="AT81" s="80">
        <f t="shared" si="70"/>
        <v>0</v>
      </c>
      <c r="AU81" s="80">
        <f t="shared" si="71"/>
        <v>0</v>
      </c>
      <c r="AV81" s="80">
        <f t="shared" si="72"/>
        <v>680</v>
      </c>
      <c r="AW81" s="80">
        <f t="shared" si="73"/>
        <v>0</v>
      </c>
      <c r="AX81" s="80">
        <f t="shared" si="74"/>
        <v>0</v>
      </c>
      <c r="AY81" s="61" t="e">
        <f>SUMPRODUCT(AM81:AR81/'[1]功能-行军令'!$GI$26:$GN$26+AS81:AX81/'[1]功能-行军令'!$GI$26:$GN$26)/0.18</f>
        <v>#DIV/0!</v>
      </c>
      <c r="BO81" s="80">
        <f t="shared" si="60"/>
        <v>139.08794136138388</v>
      </c>
      <c r="BP81" s="80">
        <f t="shared" si="61"/>
        <v>12300000</v>
      </c>
      <c r="BQ81" s="80">
        <f>(BP81-BP80)*INDEX('[1]功能-付费相关'!$AR$6:$AR$165,$BO81,1)+BQ80</f>
        <v>16129.191064037783</v>
      </c>
      <c r="BR81" s="80"/>
      <c r="BS81" s="80"/>
    </row>
    <row r="82" spans="2:77" x14ac:dyDescent="0.15">
      <c r="B82" s="201"/>
      <c r="C82" s="80"/>
      <c r="D82" s="80"/>
      <c r="E82" s="80"/>
      <c r="F82" s="80"/>
      <c r="G82" s="80"/>
      <c r="H82" s="80"/>
      <c r="I82" s="80"/>
      <c r="L82" s="61">
        <v>36</v>
      </c>
      <c r="M82" s="80">
        <f>基础状态预期!D94</f>
        <v>139.08794136138388</v>
      </c>
      <c r="N82" s="80">
        <f>IF(基础状态预期!F94="",0,IF(基础状态预期!Z94&lt;=1,基础状态预期!Z94*D$4,1*D$4+(基础状态预期!Z94-1)*武将觉醒!D$5))</f>
        <v>0</v>
      </c>
      <c r="O82" s="80">
        <f>IF(基础状态预期!G94="",0,IF(基础状态预期!AA94&lt;=1,基础状态预期!AA94*E$4,1*E$4+(基础状态预期!AA94-1)*武将觉醒!E$5))</f>
        <v>0</v>
      </c>
      <c r="P82" s="80">
        <f>IF(基础状态预期!H94="",0,IF(基础状态预期!AB94&lt;=1,基础状态预期!AB94*F$4,1*F$4+(基础状态预期!AB94-1)*武将觉醒!F$5))</f>
        <v>0</v>
      </c>
      <c r="Q82" s="80">
        <f>IF(基础状态预期!I94="",0,IF(基础状态预期!AC94&lt;=1,基础状态预期!AC94*G$4,1*G$4+(基础状态预期!AC94-1)*武将觉醒!G$5))</f>
        <v>0</v>
      </c>
      <c r="R82" s="80">
        <f>IF(基础状态预期!J94="",0,IF(基础状态预期!AD94&lt;=1,基础状态预期!AD94*H$4,1*H$4+(基础状态预期!AD94-1)*武将觉醒!H$5))</f>
        <v>2050000</v>
      </c>
      <c r="S82" s="80">
        <f>MAX(SUMPRODUCT(N82:R82,基础状态预期!F94:J94),S81)</f>
        <v>12300000</v>
      </c>
      <c r="T82" s="80">
        <f>IF(基础状态预期!Z94="",0,IFERROR(基础状态预期!F94*求节点($C$62:$C$63,D$62:D$63,基础状态预期!Z94),0)+IFERROR(基础状态预期!$J94*求节点($C$71:$C$72,D$71:D$72,基础状态预期!$AD94),0))</f>
        <v>0</v>
      </c>
      <c r="U82" s="80">
        <f>IF(基础状态预期!AA94="",0,IFERROR(基础状态预期!G94*求节点($C$62:$C$63,E$62:E$63,基础状态预期!AA94),0)+IFERROR(基础状态预期!$J94*求节点($C$71:$C$72,E$71:E$72,基础状态预期!$AD94),0))</f>
        <v>0</v>
      </c>
      <c r="V82" s="80">
        <f>IF(基础状态预期!AB94="",0,IFERROR(基础状态预期!H94*求节点($C$62:$C$63,F$62:F$63,基础状态预期!AB94),0)+IFERROR(基础状态预期!$J94*求节点($C$71:$C$72,F$71:F$72,基础状态预期!$AD94),0))</f>
        <v>0</v>
      </c>
      <c r="W82" s="80">
        <f>IF(基础状态预期!AC94="",0,IFERROR(基础状态预期!I94*求节点($C$62:$C$63,G$62:G$63,基础状态预期!AC94),0)+IFERROR(基础状态预期!$J94*求节点($C$71:$C$72,G$71:G$72,基础状态预期!$AD94),0))</f>
        <v>0</v>
      </c>
      <c r="X82" s="80">
        <f>IF(基础状态预期!AD94="",0,IFERROR(基础状态预期!J94*求节点($C$62:$C$63,H$62:H$63,基础状态预期!AD94),0)+IFERROR(基础状态预期!$J94*求节点($C$71:$C$72,H$71:H$72,基础状态预期!$AD94),0))</f>
        <v>0</v>
      </c>
      <c r="Y82" s="80">
        <f>IF(基础状态预期!$H94="",0,IF(基础状态预期!$AB94&lt;=1,基础状态预期!$AB94*D$18,D$18)*基础状态预期!$H94)+
IF(基础状态预期!$I94="",0,IF(基础状态预期!$AC94&lt;=1,基础状态预期!$AC94*D$19,D$19)*基础状态预期!$I94)+
IF(基础状态预期!$J94="",0,IF(基础状态预期!$AD94&lt;=1,基础状态预期!$AD94*D$20,D$20)*基础状态预期!$J94)</f>
        <v>48</v>
      </c>
      <c r="Z82" s="80">
        <f>IF(基础状态预期!$H94="",0,IF(基础状态预期!$AB94&lt;=1,基础状态预期!$AB94*E$18,E$18)*基础状态预期!$H94)+
IF(基础状态预期!$I94="",0,IF(基础状态预期!$AC94&lt;=1,基础状态预期!$AC94*E$19,E$19)*基础状态预期!$I94)+
IF(基础状态预期!$J94="",0,IF(基础状态预期!$AD94&lt;=1,基础状态预期!$AD94*E$20,E$20)*基础状态预期!$J94)</f>
        <v>0</v>
      </c>
      <c r="AA82" s="80">
        <f>IF(基础状态预期!$H94="",0,IF(基础状态预期!$AB94&lt;=1,基础状态预期!$AB94*F$18,F$18)*基础状态预期!$H94)+
IF(基础状态预期!$I94="",0,IF(基础状态预期!$AC94&lt;=1,基础状态预期!$AC94*F$19,F$19)*基础状态预期!$I94)+
IF(基础状态预期!$J94="",0,IF(基础状态预期!$AD94&lt;=1,基础状态预期!$AD94*F$20,F$20)*基础状态预期!$J94)</f>
        <v>0</v>
      </c>
      <c r="AB82" s="67">
        <f>IF(基础状态预期!$H94="",0,IF(基础状态预期!$AB94&lt;=1,0,(基础状态预期!$AB94-1)*G$26)*基础状态预期!$H94)+
IF(基础状态预期!$I94="",0,IF(基础状态预期!$AC94&lt;=1,0,(基础状态预期!$AC94-1)*G$27)*基础状态预期!$I94)+
IF(基础状态预期!$J94="",0,IF(基础状态预期!$AD94&lt;=1,0,(基础状态预期!$AD94-1)*G$28)*基础状态预期!$J94)</f>
        <v>240</v>
      </c>
      <c r="AC82" s="67">
        <f>IF(基础状态预期!$H94="",0,IF(基础状态预期!$AB94&lt;=1,0,(基础状态预期!$AB94-1)*H$26)*基础状态预期!$H94)+
IF(基础状态预期!$I94="",0,IF(基础状态预期!$AC94&lt;=1,0,(基础状态预期!$AC94-1)*H$27)*基础状态预期!$I94)+
IF(基础状态预期!$J94="",0,IF(基础状态预期!$AD94&lt;=1,0,(基础状态预期!$AD94-1)*H$28)*基础状态预期!$J94)</f>
        <v>0</v>
      </c>
      <c r="AD82" s="67">
        <f>IF(基础状态预期!$H94="",0,IF(基础状态预期!$AB94&lt;=1,0,(基础状态预期!$AB94-1)*I$26)*基础状态预期!$H94)+
IF(基础状态预期!$I94="",0,IF(基础状态预期!$AC94&lt;=1,0,(基础状态预期!$AC94-1)*I$27)*基础状态预期!$I94)+
IF(基础状态预期!$J94="",0,IF(基础状态预期!$AD94&lt;=1,0,(基础状态预期!$AD94-1)*I$28)*基础状态预期!$J94)</f>
        <v>0</v>
      </c>
      <c r="AE82" s="80">
        <f>IF(各r阵容卡情况!$H110=0,0,IF(各r阵容卡情况!$AB110&lt;=1,各r阵容卡情况!$AB110*D$18,1*D$18)*各r阵容卡情况!$H110)+
IF(各r阵容卡情况!$I110=0,0,IF(各r阵容卡情况!$AC110&lt;=1,各r阵容卡情况!$AC110*D$19,1*D$19)*各r阵容卡情况!$I110)+
IF(各r阵容卡情况!$J110=0,0,IF(各r阵容卡情况!$AD110&lt;=1,各r阵容卡情况!$AD110*D$20,1*D$20)*各r阵容卡情况!$J110)</f>
        <v>114</v>
      </c>
      <c r="AF82" s="80">
        <f>IF(各r阵容卡情况!$H110=0,0,IF(各r阵容卡情况!$AB110&lt;=1,各r阵容卡情况!$AB110*E$18,1*E$18)*各r阵容卡情况!$H110)+
IF(各r阵容卡情况!$I110=0,0,IF(各r阵容卡情况!$AC110&lt;=1,各r阵容卡情况!$AC110*E$19,1*E$19)*各r阵容卡情况!$I110)+
IF(各r阵容卡情况!$J110=0,0,IF(各r阵容卡情况!$AD110&lt;=1,各r阵容卡情况!$AD110*E$20,1*E$20)*各r阵容卡情况!$J110)</f>
        <v>0</v>
      </c>
      <c r="AG82" s="80">
        <f>IF(各r阵容卡情况!$H110=0,0,IF(各r阵容卡情况!$AB110&lt;=1,各r阵容卡情况!$AB110*F$18,1*F$18)*各r阵容卡情况!$H110)+
IF(各r阵容卡情况!$I110=0,0,IF(各r阵容卡情况!$AC110&lt;=1,各r阵容卡情况!$AC110*F$19,1*F$19)*各r阵容卡情况!$I110)+
IF(各r阵容卡情况!$J110=0,0,IF(各r阵容卡情况!$AD110&lt;=1,各r阵容卡情况!$AD110*F$20,1*F$20)*各r阵容卡情况!$J110)</f>
        <v>0</v>
      </c>
      <c r="AH82" s="67">
        <f>IF(各r阵容卡情况!$H110=0,0,IF(各r阵容卡情况!$AB110&lt;=1,0,(各r阵容卡情况!$AB110-1)*G$26)*各r阵容卡情况!$H110)+
IF(各r阵容卡情况!$I110=0,0,IF(各r阵容卡情况!$AC110&lt;=1,0,(各r阵容卡情况!$AC110-1)*G$27)*各r阵容卡情况!$I110)+
IF(各r阵容卡情况!$J110=0,0,IF(各r阵容卡情况!$AD110&lt;=1,0,(各r阵容卡情况!$AD110-1)*G$28)*各r阵容卡情况!$J110)</f>
        <v>570</v>
      </c>
      <c r="AI82" s="67">
        <f>IF(各r阵容卡情况!$H110=0,0,IF(各r阵容卡情况!$AB110&lt;=1,0,(各r阵容卡情况!$AB110-1)*H$26)*各r阵容卡情况!$H110)+
IF(各r阵容卡情况!$I110=0,0,IF(各r阵容卡情况!$AC110&lt;=1,0,(各r阵容卡情况!$AC110-1)*H$27)*各r阵容卡情况!$I110)+
IF(各r阵容卡情况!$J110=0,0,IF(各r阵容卡情况!$AD110&lt;=1,0,(各r阵容卡情况!$AD110-1)*H$28)*各r阵容卡情况!$J110)</f>
        <v>0</v>
      </c>
      <c r="AJ82" s="67">
        <f>IF(各r阵容卡情况!$H110=0,0,IF(各r阵容卡情况!$AB110&lt;=1,0,(各r阵容卡情况!$AB110-1)*I$26)*各r阵容卡情况!$H110)+
IF(各r阵容卡情况!$I110=0,0,IF(各r阵容卡情况!$AC110&lt;=1,0,(各r阵容卡情况!$AC110-1)*I$27)*各r阵容卡情况!$I110)+
IF(各r阵容卡情况!$J110=0,0,IF(各r阵容卡情况!$AD110&lt;=1,0,(各r阵容卡情况!$AD110-1)*I$28)*各r阵容卡情况!$J110)</f>
        <v>0</v>
      </c>
      <c r="AL82" s="80">
        <f t="shared" si="62"/>
        <v>170</v>
      </c>
      <c r="AM82" s="80">
        <f t="shared" si="63"/>
        <v>48</v>
      </c>
      <c r="AN82" s="80">
        <f t="shared" si="64"/>
        <v>0</v>
      </c>
      <c r="AO82" s="80">
        <f t="shared" si="65"/>
        <v>0</v>
      </c>
      <c r="AP82" s="80">
        <f t="shared" si="66"/>
        <v>240</v>
      </c>
      <c r="AQ82" s="80">
        <f t="shared" si="67"/>
        <v>0</v>
      </c>
      <c r="AR82" s="80">
        <f t="shared" si="68"/>
        <v>0</v>
      </c>
      <c r="AS82" s="80">
        <f t="shared" si="69"/>
        <v>136</v>
      </c>
      <c r="AT82" s="80">
        <f t="shared" si="70"/>
        <v>0</v>
      </c>
      <c r="AU82" s="80">
        <f t="shared" si="71"/>
        <v>0</v>
      </c>
      <c r="AV82" s="80">
        <f t="shared" si="72"/>
        <v>680</v>
      </c>
      <c r="AW82" s="80">
        <f t="shared" si="73"/>
        <v>0</v>
      </c>
      <c r="AX82" s="80">
        <f t="shared" si="74"/>
        <v>0</v>
      </c>
      <c r="AY82" s="61" t="e">
        <f>SUMPRODUCT(AM82:AR82/'[1]功能-行军令'!$GI$26:$GN$26+AS82:AX82/'[1]功能-行军令'!$GI$26:$GN$26)/0.18</f>
        <v>#DIV/0!</v>
      </c>
      <c r="BO82" s="80">
        <f t="shared" si="60"/>
        <v>142.60670974426387</v>
      </c>
      <c r="BP82" s="80">
        <f t="shared" si="61"/>
        <v>12300000</v>
      </c>
      <c r="BQ82" s="80">
        <f>(BP82-BP81)*INDEX('[1]功能-付费相关'!$AR$6:$AR$165,$BO82,1)+BQ81</f>
        <v>16129.191064037783</v>
      </c>
      <c r="BR82" s="80"/>
      <c r="BS82" s="80"/>
    </row>
    <row r="83" spans="2:77" x14ac:dyDescent="0.15">
      <c r="B83" s="201"/>
      <c r="C83" s="80"/>
      <c r="D83" s="80"/>
      <c r="E83" s="80"/>
      <c r="F83" s="80"/>
      <c r="G83" s="80"/>
      <c r="H83" s="80"/>
      <c r="I83" s="80"/>
      <c r="L83" s="61">
        <v>37</v>
      </c>
      <c r="M83" s="80">
        <f>基础状态预期!D95</f>
        <v>142.60670974426387</v>
      </c>
      <c r="N83" s="80">
        <f>IF(基础状态预期!F95="",0,IF(基础状态预期!Z95&lt;=1,基础状态预期!Z95*D$4,1*D$4+(基础状态预期!Z95-1)*武将觉醒!D$5))</f>
        <v>0</v>
      </c>
      <c r="O83" s="80">
        <f>IF(基础状态预期!G95="",0,IF(基础状态预期!AA95&lt;=1,基础状态预期!AA95*E$4,1*E$4+(基础状态预期!AA95-1)*武将觉醒!E$5))</f>
        <v>0</v>
      </c>
      <c r="P83" s="80">
        <f>IF(基础状态预期!H95="",0,IF(基础状态预期!AB95&lt;=1,基础状态预期!AB95*F$4,1*F$4+(基础状态预期!AB95-1)*武将觉醒!F$5))</f>
        <v>0</v>
      </c>
      <c r="Q83" s="80">
        <f>IF(基础状态预期!I95="",0,IF(基础状态预期!AC95&lt;=1,基础状态预期!AC95*G$4,1*G$4+(基础状态预期!AC95-1)*武将觉醒!G$5))</f>
        <v>0</v>
      </c>
      <c r="R83" s="80">
        <f>IF(基础状态预期!J95="",0,IF(基础状态预期!AD95&lt;=1,基础状态预期!AD95*H$4,1*H$4+(基础状态预期!AD95-1)*武将觉醒!H$5))</f>
        <v>2050000</v>
      </c>
      <c r="S83" s="80">
        <f>MAX(SUMPRODUCT(N83:R83,基础状态预期!F95:J95),S82)</f>
        <v>12300000</v>
      </c>
      <c r="T83" s="80">
        <f>IF(基础状态预期!Z95="",0,IFERROR(基础状态预期!F95*求节点($C$62:$C$63,D$62:D$63,基础状态预期!Z95),0)+IFERROR(基础状态预期!$J95*求节点($C$71:$C$72,D$71:D$72,基础状态预期!$AD95),0))</f>
        <v>0</v>
      </c>
      <c r="U83" s="80">
        <f>IF(基础状态预期!AA95="",0,IFERROR(基础状态预期!G95*求节点($C$62:$C$63,E$62:E$63,基础状态预期!AA95),0)+IFERROR(基础状态预期!$J95*求节点($C$71:$C$72,E$71:E$72,基础状态预期!$AD95),0))</f>
        <v>0</v>
      </c>
      <c r="V83" s="80">
        <f>IF(基础状态预期!AB95="",0,IFERROR(基础状态预期!H95*求节点($C$62:$C$63,F$62:F$63,基础状态预期!AB95),0)+IFERROR(基础状态预期!$J95*求节点($C$71:$C$72,F$71:F$72,基础状态预期!$AD95),0))</f>
        <v>0</v>
      </c>
      <c r="W83" s="80">
        <f>IF(基础状态预期!AC95="",0,IFERROR(基础状态预期!I95*求节点($C$62:$C$63,G$62:G$63,基础状态预期!AC95),0)+IFERROR(基础状态预期!$J95*求节点($C$71:$C$72,G$71:G$72,基础状态预期!$AD95),0))</f>
        <v>0</v>
      </c>
      <c r="X83" s="80">
        <f>IF(基础状态预期!AD95="",0,IFERROR(基础状态预期!J95*求节点($C$62:$C$63,H$62:H$63,基础状态预期!AD95),0)+IFERROR(基础状态预期!$J95*求节点($C$71:$C$72,H$71:H$72,基础状态预期!$AD95),0))</f>
        <v>0</v>
      </c>
      <c r="Y83" s="80">
        <f>IF(基础状态预期!$H95="",0,IF(基础状态预期!$AB95&lt;=1,基础状态预期!$AB95*D$18,D$18)*基础状态预期!$H95)+
IF(基础状态预期!$I95="",0,IF(基础状态预期!$AC95&lt;=1,基础状态预期!$AC95*D$19,D$19)*基础状态预期!$I95)+
IF(基础状态预期!$J95="",0,IF(基础状态预期!$AD95&lt;=1,基础状态预期!$AD95*D$20,D$20)*基础状态预期!$J95)</f>
        <v>48</v>
      </c>
      <c r="Z83" s="80">
        <f>IF(基础状态预期!$H95="",0,IF(基础状态预期!$AB95&lt;=1,基础状态预期!$AB95*E$18,E$18)*基础状态预期!$H95)+
IF(基础状态预期!$I95="",0,IF(基础状态预期!$AC95&lt;=1,基础状态预期!$AC95*E$19,E$19)*基础状态预期!$I95)+
IF(基础状态预期!$J95="",0,IF(基础状态预期!$AD95&lt;=1,基础状态预期!$AD95*E$20,E$20)*基础状态预期!$J95)</f>
        <v>0</v>
      </c>
      <c r="AA83" s="80">
        <f>IF(基础状态预期!$H95="",0,IF(基础状态预期!$AB95&lt;=1,基础状态预期!$AB95*F$18,F$18)*基础状态预期!$H95)+
IF(基础状态预期!$I95="",0,IF(基础状态预期!$AC95&lt;=1,基础状态预期!$AC95*F$19,F$19)*基础状态预期!$I95)+
IF(基础状态预期!$J95="",0,IF(基础状态预期!$AD95&lt;=1,基础状态预期!$AD95*F$20,F$20)*基础状态预期!$J95)</f>
        <v>0</v>
      </c>
      <c r="AB83" s="67">
        <f>IF(基础状态预期!$H95="",0,IF(基础状态预期!$AB95&lt;=1,0,(基础状态预期!$AB95-1)*G$26)*基础状态预期!$H95)+
IF(基础状态预期!$I95="",0,IF(基础状态预期!$AC95&lt;=1,0,(基础状态预期!$AC95-1)*G$27)*基础状态预期!$I95)+
IF(基础状态预期!$J95="",0,IF(基础状态预期!$AD95&lt;=1,0,(基础状态预期!$AD95-1)*G$28)*基础状态预期!$J95)</f>
        <v>240</v>
      </c>
      <c r="AC83" s="67">
        <f>IF(基础状态预期!$H95="",0,IF(基础状态预期!$AB95&lt;=1,0,(基础状态预期!$AB95-1)*H$26)*基础状态预期!$H95)+
IF(基础状态预期!$I95="",0,IF(基础状态预期!$AC95&lt;=1,0,(基础状态预期!$AC95-1)*H$27)*基础状态预期!$I95)+
IF(基础状态预期!$J95="",0,IF(基础状态预期!$AD95&lt;=1,0,(基础状态预期!$AD95-1)*H$28)*基础状态预期!$J95)</f>
        <v>0</v>
      </c>
      <c r="AD83" s="67">
        <f>IF(基础状态预期!$H95="",0,IF(基础状态预期!$AB95&lt;=1,0,(基础状态预期!$AB95-1)*I$26)*基础状态预期!$H95)+
IF(基础状态预期!$I95="",0,IF(基础状态预期!$AC95&lt;=1,0,(基础状态预期!$AC95-1)*I$27)*基础状态预期!$I95)+
IF(基础状态预期!$J95="",0,IF(基础状态预期!$AD95&lt;=1,0,(基础状态预期!$AD95-1)*I$28)*基础状态预期!$J95)</f>
        <v>0</v>
      </c>
      <c r="AE83" s="80">
        <f>IF(各r阵容卡情况!$H111=0,0,IF(各r阵容卡情况!$AB111&lt;=1,各r阵容卡情况!$AB111*D$18,1*D$18)*各r阵容卡情况!$H111)+
IF(各r阵容卡情况!$I111=0,0,IF(各r阵容卡情况!$AC111&lt;=1,各r阵容卡情况!$AC111*D$19,1*D$19)*各r阵容卡情况!$I111)+
IF(各r阵容卡情况!$J111=0,0,IF(各r阵容卡情况!$AD111&lt;=1,各r阵容卡情况!$AD111*D$20,1*D$20)*各r阵容卡情况!$J111)</f>
        <v>128</v>
      </c>
      <c r="AF83" s="80">
        <f>IF(各r阵容卡情况!$H111=0,0,IF(各r阵容卡情况!$AB111&lt;=1,各r阵容卡情况!$AB111*E$18,1*E$18)*各r阵容卡情况!$H111)+
IF(各r阵容卡情况!$I111=0,0,IF(各r阵容卡情况!$AC111&lt;=1,各r阵容卡情况!$AC111*E$19,1*E$19)*各r阵容卡情况!$I111)+
IF(各r阵容卡情况!$J111=0,0,IF(各r阵容卡情况!$AD111&lt;=1,各r阵容卡情况!$AD111*E$20,1*E$20)*各r阵容卡情况!$J111)</f>
        <v>0</v>
      </c>
      <c r="AG83" s="80">
        <f>IF(各r阵容卡情况!$H111=0,0,IF(各r阵容卡情况!$AB111&lt;=1,各r阵容卡情况!$AB111*F$18,1*F$18)*各r阵容卡情况!$H111)+
IF(各r阵容卡情况!$I111=0,0,IF(各r阵容卡情况!$AC111&lt;=1,各r阵容卡情况!$AC111*F$19,1*F$19)*各r阵容卡情况!$I111)+
IF(各r阵容卡情况!$J111=0,0,IF(各r阵容卡情况!$AD111&lt;=1,各r阵容卡情况!$AD111*F$20,1*F$20)*各r阵容卡情况!$J111)</f>
        <v>0</v>
      </c>
      <c r="AH83" s="67">
        <f>IF(各r阵容卡情况!$H111=0,0,IF(各r阵容卡情况!$AB111&lt;=1,0,(各r阵容卡情况!$AB111-1)*G$26)*各r阵容卡情况!$H111)+
IF(各r阵容卡情况!$I111=0,0,IF(各r阵容卡情况!$AC111&lt;=1,0,(各r阵容卡情况!$AC111-1)*G$27)*各r阵容卡情况!$I111)+
IF(各r阵容卡情况!$J111=0,0,IF(各r阵容卡情况!$AD111&lt;=1,0,(各r阵容卡情况!$AD111-1)*G$28)*各r阵容卡情况!$J111)</f>
        <v>640</v>
      </c>
      <c r="AI83" s="67">
        <f>IF(各r阵容卡情况!$H111=0,0,IF(各r阵容卡情况!$AB111&lt;=1,0,(各r阵容卡情况!$AB111-1)*H$26)*各r阵容卡情况!$H111)+
IF(各r阵容卡情况!$I111=0,0,IF(各r阵容卡情况!$AC111&lt;=1,0,(各r阵容卡情况!$AC111-1)*H$27)*各r阵容卡情况!$I111)+
IF(各r阵容卡情况!$J111=0,0,IF(各r阵容卡情况!$AD111&lt;=1,0,(各r阵容卡情况!$AD111-1)*H$28)*各r阵容卡情况!$J111)</f>
        <v>0</v>
      </c>
      <c r="AJ83" s="67">
        <f>IF(各r阵容卡情况!$H111=0,0,IF(各r阵容卡情况!$AB111&lt;=1,0,(各r阵容卡情况!$AB111-1)*I$26)*各r阵容卡情况!$H111)+
IF(各r阵容卡情况!$I111=0,0,IF(各r阵容卡情况!$AC111&lt;=1,0,(各r阵容卡情况!$AC111-1)*I$27)*各r阵容卡情况!$I111)+
IF(各r阵容卡情况!$J111=0,0,IF(各r阵容卡情况!$AD111&lt;=1,0,(各r阵容卡情况!$AD111-1)*I$28)*各r阵容卡情况!$J111)</f>
        <v>0</v>
      </c>
      <c r="AL83" s="80">
        <f t="shared" si="62"/>
        <v>175</v>
      </c>
      <c r="AM83" s="80">
        <f t="shared" si="63"/>
        <v>48</v>
      </c>
      <c r="AN83" s="80">
        <f t="shared" si="64"/>
        <v>0</v>
      </c>
      <c r="AO83" s="80">
        <f t="shared" si="65"/>
        <v>0</v>
      </c>
      <c r="AP83" s="80">
        <f t="shared" si="66"/>
        <v>240</v>
      </c>
      <c r="AQ83" s="80">
        <f t="shared" si="67"/>
        <v>0</v>
      </c>
      <c r="AR83" s="80">
        <f t="shared" si="68"/>
        <v>0</v>
      </c>
      <c r="AS83" s="80">
        <f t="shared" si="69"/>
        <v>136</v>
      </c>
      <c r="AT83" s="80">
        <f t="shared" si="70"/>
        <v>0</v>
      </c>
      <c r="AU83" s="80">
        <f t="shared" si="71"/>
        <v>0</v>
      </c>
      <c r="AV83" s="80">
        <f t="shared" si="72"/>
        <v>680</v>
      </c>
      <c r="AW83" s="80">
        <f t="shared" si="73"/>
        <v>0</v>
      </c>
      <c r="AX83" s="80">
        <f t="shared" si="74"/>
        <v>0</v>
      </c>
      <c r="AY83" s="61" t="e">
        <f>SUMPRODUCT(AM83:AR83/'[1]功能-行军令'!$GI$26:$GN$26+AS83:AX83/'[1]功能-行军令'!$GI$26:$GN$26)/0.18</f>
        <v>#DIV/0!</v>
      </c>
      <c r="BO83" s="80">
        <f t="shared" si="60"/>
        <v>146.07830147206653</v>
      </c>
      <c r="BP83" s="80">
        <f t="shared" si="61"/>
        <v>12300000</v>
      </c>
      <c r="BQ83" s="80">
        <f>(BP83-BP82)*INDEX('[1]功能-付费相关'!$AR$6:$AR$165,$BO83,1)+BQ82</f>
        <v>16129.191064037783</v>
      </c>
      <c r="BR83" s="80"/>
      <c r="BS83" s="80"/>
    </row>
    <row r="84" spans="2:77" x14ac:dyDescent="0.15">
      <c r="B84" s="201"/>
      <c r="C84" s="80"/>
      <c r="D84" s="80"/>
      <c r="E84" s="80"/>
      <c r="F84" s="80"/>
      <c r="G84" s="80"/>
      <c r="H84" s="80"/>
      <c r="I84" s="80"/>
      <c r="L84" s="61">
        <v>38</v>
      </c>
      <c r="M84" s="80">
        <f>基础状态预期!D96</f>
        <v>146.07830147206653</v>
      </c>
      <c r="N84" s="80">
        <f>IF(基础状态预期!F96="",0,IF(基础状态预期!Z96&lt;=1,基础状态预期!Z96*D$4,1*D$4+(基础状态预期!Z96-1)*武将觉醒!D$5))</f>
        <v>0</v>
      </c>
      <c r="O84" s="80">
        <f>IF(基础状态预期!G96="",0,IF(基础状态预期!AA96&lt;=1,基础状态预期!AA96*E$4,1*E$4+(基础状态预期!AA96-1)*武将觉醒!E$5))</f>
        <v>0</v>
      </c>
      <c r="P84" s="80">
        <f>IF(基础状态预期!H96="",0,IF(基础状态预期!AB96&lt;=1,基础状态预期!AB96*F$4,1*F$4+(基础状态预期!AB96-1)*武将觉醒!F$5))</f>
        <v>0</v>
      </c>
      <c r="Q84" s="80">
        <f>IF(基础状态预期!I96="",0,IF(基础状态预期!AC96&lt;=1,基础状态预期!AC96*G$4,1*G$4+(基础状态预期!AC96-1)*武将觉醒!G$5))</f>
        <v>0</v>
      </c>
      <c r="R84" s="80">
        <f>IF(基础状态预期!J96="",0,IF(基础状态预期!AD96&lt;=1,基础状态预期!AD96*H$4,1*H$4+(基础状态预期!AD96-1)*武将觉醒!H$5))</f>
        <v>2050000</v>
      </c>
      <c r="S84" s="80">
        <f>MAX(SUMPRODUCT(N84:R84,基础状态预期!F96:J96),S83)</f>
        <v>12300000</v>
      </c>
      <c r="T84" s="80">
        <f>IF(基础状态预期!Z96="",0,IFERROR(基础状态预期!F96*求节点($C$62:$C$63,D$62:D$63,基础状态预期!Z96),0)+IFERROR(基础状态预期!$J96*求节点($C$71:$C$72,D$71:D$72,基础状态预期!$AD96),0))</f>
        <v>0</v>
      </c>
      <c r="U84" s="80">
        <f>IF(基础状态预期!AA96="",0,IFERROR(基础状态预期!G96*求节点($C$62:$C$63,E$62:E$63,基础状态预期!AA96),0)+IFERROR(基础状态预期!$J96*求节点($C$71:$C$72,E$71:E$72,基础状态预期!$AD96),0))</f>
        <v>0</v>
      </c>
      <c r="V84" s="80">
        <f>IF(基础状态预期!AB96="",0,IFERROR(基础状态预期!H96*求节点($C$62:$C$63,F$62:F$63,基础状态预期!AB96),0)+IFERROR(基础状态预期!$J96*求节点($C$71:$C$72,F$71:F$72,基础状态预期!$AD96),0))</f>
        <v>0</v>
      </c>
      <c r="W84" s="80">
        <f>IF(基础状态预期!AC96="",0,IFERROR(基础状态预期!I96*求节点($C$62:$C$63,G$62:G$63,基础状态预期!AC96),0)+IFERROR(基础状态预期!$J96*求节点($C$71:$C$72,G$71:G$72,基础状态预期!$AD96),0))</f>
        <v>0</v>
      </c>
      <c r="X84" s="80">
        <f>IF(基础状态预期!AD96="",0,IFERROR(基础状态预期!J96*求节点($C$62:$C$63,H$62:H$63,基础状态预期!AD96),0)+IFERROR(基础状态预期!$J96*求节点($C$71:$C$72,H$71:H$72,基础状态预期!$AD96),0))</f>
        <v>0</v>
      </c>
      <c r="Y84" s="80">
        <f>IF(基础状态预期!$H96="",0,IF(基础状态预期!$AB96&lt;=1,基础状态预期!$AB96*D$18,D$18)*基础状态预期!$H96)+
IF(基础状态预期!$I96="",0,IF(基础状态预期!$AC96&lt;=1,基础状态预期!$AC96*D$19,D$19)*基础状态预期!$I96)+
IF(基础状态预期!$J96="",0,IF(基础状态预期!$AD96&lt;=1,基础状态预期!$AD96*D$20,D$20)*基础状态预期!$J96)</f>
        <v>48</v>
      </c>
      <c r="Z84" s="80">
        <f>IF(基础状态预期!$H96="",0,IF(基础状态预期!$AB96&lt;=1,基础状态预期!$AB96*E$18,E$18)*基础状态预期!$H96)+
IF(基础状态预期!$I96="",0,IF(基础状态预期!$AC96&lt;=1,基础状态预期!$AC96*E$19,E$19)*基础状态预期!$I96)+
IF(基础状态预期!$J96="",0,IF(基础状态预期!$AD96&lt;=1,基础状态预期!$AD96*E$20,E$20)*基础状态预期!$J96)</f>
        <v>0</v>
      </c>
      <c r="AA84" s="80">
        <f>IF(基础状态预期!$H96="",0,IF(基础状态预期!$AB96&lt;=1,基础状态预期!$AB96*F$18,F$18)*基础状态预期!$H96)+
IF(基础状态预期!$I96="",0,IF(基础状态预期!$AC96&lt;=1,基础状态预期!$AC96*F$19,F$19)*基础状态预期!$I96)+
IF(基础状态预期!$J96="",0,IF(基础状态预期!$AD96&lt;=1,基础状态预期!$AD96*F$20,F$20)*基础状态预期!$J96)</f>
        <v>0</v>
      </c>
      <c r="AB84" s="67">
        <f>IF(基础状态预期!$H96="",0,IF(基础状态预期!$AB96&lt;=1,0,(基础状态预期!$AB96-1)*G$26)*基础状态预期!$H96)+
IF(基础状态预期!$I96="",0,IF(基础状态预期!$AC96&lt;=1,0,(基础状态预期!$AC96-1)*G$27)*基础状态预期!$I96)+
IF(基础状态预期!$J96="",0,IF(基础状态预期!$AD96&lt;=1,0,(基础状态预期!$AD96-1)*G$28)*基础状态预期!$J96)</f>
        <v>240</v>
      </c>
      <c r="AC84" s="67">
        <f>IF(基础状态预期!$H96="",0,IF(基础状态预期!$AB96&lt;=1,0,(基础状态预期!$AB96-1)*H$26)*基础状态预期!$H96)+
IF(基础状态预期!$I96="",0,IF(基础状态预期!$AC96&lt;=1,0,(基础状态预期!$AC96-1)*H$27)*基础状态预期!$I96)+
IF(基础状态预期!$J96="",0,IF(基础状态预期!$AD96&lt;=1,0,(基础状态预期!$AD96-1)*H$28)*基础状态预期!$J96)</f>
        <v>0</v>
      </c>
      <c r="AD84" s="67">
        <f>IF(基础状态预期!$H96="",0,IF(基础状态预期!$AB96&lt;=1,0,(基础状态预期!$AB96-1)*I$26)*基础状态预期!$H96)+
IF(基础状态预期!$I96="",0,IF(基础状态预期!$AC96&lt;=1,0,(基础状态预期!$AC96-1)*I$27)*基础状态预期!$I96)+
IF(基础状态预期!$J96="",0,IF(基础状态预期!$AD96&lt;=1,0,(基础状态预期!$AD96-1)*I$28)*基础状态预期!$J96)</f>
        <v>0</v>
      </c>
      <c r="AE84" s="80">
        <f>IF(各r阵容卡情况!$H112=0,0,IF(各r阵容卡情况!$AB112&lt;=1,各r阵容卡情况!$AB112*D$18,1*D$18)*各r阵容卡情况!$H112)+
IF(各r阵容卡情况!$I112=0,0,IF(各r阵容卡情况!$AC112&lt;=1,各r阵容卡情况!$AC112*D$19,1*D$19)*各r阵容卡情况!$I112)+
IF(各r阵容卡情况!$J112=0,0,IF(各r阵容卡情况!$AD112&lt;=1,各r阵容卡情况!$AD112*D$20,1*D$20)*各r阵容卡情况!$J112)</f>
        <v>132</v>
      </c>
      <c r="AF84" s="80">
        <f>IF(各r阵容卡情况!$H112=0,0,IF(各r阵容卡情况!$AB112&lt;=1,各r阵容卡情况!$AB112*E$18,1*E$18)*各r阵容卡情况!$H112)+
IF(各r阵容卡情况!$I112=0,0,IF(各r阵容卡情况!$AC112&lt;=1,各r阵容卡情况!$AC112*E$19,1*E$19)*各r阵容卡情况!$I112)+
IF(各r阵容卡情况!$J112=0,0,IF(各r阵容卡情况!$AD112&lt;=1,各r阵容卡情况!$AD112*E$20,1*E$20)*各r阵容卡情况!$J112)</f>
        <v>0</v>
      </c>
      <c r="AG84" s="80">
        <f>IF(各r阵容卡情况!$H112=0,0,IF(各r阵容卡情况!$AB112&lt;=1,各r阵容卡情况!$AB112*F$18,1*F$18)*各r阵容卡情况!$H112)+
IF(各r阵容卡情况!$I112=0,0,IF(各r阵容卡情况!$AC112&lt;=1,各r阵容卡情况!$AC112*F$19,1*F$19)*各r阵容卡情况!$I112)+
IF(各r阵容卡情况!$J112=0,0,IF(各r阵容卡情况!$AD112&lt;=1,各r阵容卡情况!$AD112*F$20,1*F$20)*各r阵容卡情况!$J112)</f>
        <v>0</v>
      </c>
      <c r="AH84" s="67">
        <f>IF(各r阵容卡情况!$H112=0,0,IF(各r阵容卡情况!$AB112&lt;=1,0,(各r阵容卡情况!$AB112-1)*G$26)*各r阵容卡情况!$H112)+
IF(各r阵容卡情况!$I112=0,0,IF(各r阵容卡情况!$AC112&lt;=1,0,(各r阵容卡情况!$AC112-1)*G$27)*各r阵容卡情况!$I112)+
IF(各r阵容卡情况!$J112=0,0,IF(各r阵容卡情况!$AD112&lt;=1,0,(各r阵容卡情况!$AD112-1)*G$28)*各r阵容卡情况!$J112)</f>
        <v>660</v>
      </c>
      <c r="AI84" s="67">
        <f>IF(各r阵容卡情况!$H112=0,0,IF(各r阵容卡情况!$AB112&lt;=1,0,(各r阵容卡情况!$AB112-1)*H$26)*各r阵容卡情况!$H112)+
IF(各r阵容卡情况!$I112=0,0,IF(各r阵容卡情况!$AC112&lt;=1,0,(各r阵容卡情况!$AC112-1)*H$27)*各r阵容卡情况!$I112)+
IF(各r阵容卡情况!$J112=0,0,IF(各r阵容卡情况!$AD112&lt;=1,0,(各r阵容卡情况!$AD112-1)*H$28)*各r阵容卡情况!$J112)</f>
        <v>0</v>
      </c>
      <c r="AJ84" s="67">
        <f>IF(各r阵容卡情况!$H112=0,0,IF(各r阵容卡情况!$AB112&lt;=1,0,(各r阵容卡情况!$AB112-1)*I$26)*各r阵容卡情况!$H112)+
IF(各r阵容卡情况!$I112=0,0,IF(各r阵容卡情况!$AC112&lt;=1,0,(各r阵容卡情况!$AC112-1)*I$27)*各r阵容卡情况!$I112)+
IF(各r阵容卡情况!$J112=0,0,IF(各r阵容卡情况!$AD112&lt;=1,0,(各r阵容卡情况!$AD112-1)*I$28)*各r阵容卡情况!$J112)</f>
        <v>0</v>
      </c>
      <c r="AL84" s="80">
        <f t="shared" si="62"/>
        <v>180</v>
      </c>
      <c r="AM84" s="80">
        <f t="shared" si="63"/>
        <v>48</v>
      </c>
      <c r="AN84" s="80">
        <f t="shared" si="64"/>
        <v>0</v>
      </c>
      <c r="AO84" s="80">
        <f t="shared" si="65"/>
        <v>0</v>
      </c>
      <c r="AP84" s="80">
        <f t="shared" si="66"/>
        <v>240</v>
      </c>
      <c r="AQ84" s="80">
        <f t="shared" si="67"/>
        <v>0</v>
      </c>
      <c r="AR84" s="80">
        <f t="shared" si="68"/>
        <v>0</v>
      </c>
      <c r="AS84" s="80">
        <f t="shared" si="69"/>
        <v>136</v>
      </c>
      <c r="AT84" s="80">
        <f t="shared" si="70"/>
        <v>0</v>
      </c>
      <c r="AU84" s="80">
        <f t="shared" si="71"/>
        <v>0</v>
      </c>
      <c r="AV84" s="80">
        <f t="shared" si="72"/>
        <v>680</v>
      </c>
      <c r="AW84" s="80">
        <f t="shared" si="73"/>
        <v>0</v>
      </c>
      <c r="AX84" s="80">
        <f t="shared" si="74"/>
        <v>0</v>
      </c>
      <c r="AY84" s="61" t="e">
        <f>SUMPRODUCT(AM84:AR84/'[1]功能-行军令'!$GI$26:$GN$26+AS84:AX84/'[1]功能-行军令'!$GI$26:$GN$26)/0.18</f>
        <v>#DIV/0!</v>
      </c>
      <c r="BO84" s="80">
        <f t="shared" si="60"/>
        <v>149.61701338734093</v>
      </c>
      <c r="BP84" s="80">
        <f t="shared" si="61"/>
        <v>12300000</v>
      </c>
      <c r="BQ84" s="80">
        <f>(BP84-BP83)*INDEX('[1]功能-付费相关'!$AR$6:$AR$165,$BO84,1)+BQ83</f>
        <v>16129.191064037783</v>
      </c>
      <c r="BR84" s="80"/>
      <c r="BS84" s="80"/>
    </row>
    <row r="85" spans="2:77" x14ac:dyDescent="0.15">
      <c r="B85" s="201"/>
      <c r="C85" s="80"/>
      <c r="D85" s="80"/>
      <c r="E85" s="80"/>
      <c r="F85" s="80"/>
      <c r="G85" s="80"/>
      <c r="H85" s="80"/>
      <c r="I85" s="80"/>
      <c r="L85" s="61">
        <v>39</v>
      </c>
      <c r="M85" s="80">
        <f>基础状态预期!D97</f>
        <v>149.61701338734093</v>
      </c>
      <c r="N85" s="80">
        <f>IF(基础状态预期!F97="",0,IF(基础状态预期!Z97&lt;=1,基础状态预期!Z97*D$4,1*D$4+(基础状态预期!Z97-1)*武将觉醒!D$5))</f>
        <v>0</v>
      </c>
      <c r="O85" s="80">
        <f>IF(基础状态预期!G97="",0,IF(基础状态预期!AA97&lt;=1,基础状态预期!AA97*E$4,1*E$4+(基础状态预期!AA97-1)*武将觉醒!E$5))</f>
        <v>0</v>
      </c>
      <c r="P85" s="80">
        <f>IF(基础状态预期!H97="",0,IF(基础状态预期!AB97&lt;=1,基础状态预期!AB97*F$4,1*F$4+(基础状态预期!AB97-1)*武将觉醒!F$5))</f>
        <v>0</v>
      </c>
      <c r="Q85" s="80">
        <f>IF(基础状态预期!I97="",0,IF(基础状态预期!AC97&lt;=1,基础状态预期!AC97*G$4,1*G$4+(基础状态预期!AC97-1)*武将觉醒!G$5))</f>
        <v>0</v>
      </c>
      <c r="R85" s="80">
        <f>IF(基础状态预期!J97="",0,IF(基础状态预期!AD97&lt;=1,基础状态预期!AD97*H$4,1*H$4+(基础状态预期!AD97-1)*武将觉醒!H$5))</f>
        <v>2050000</v>
      </c>
      <c r="S85" s="80">
        <f>MAX(SUMPRODUCT(N85:R85,基础状态预期!F97:J97),S84)</f>
        <v>12300000</v>
      </c>
      <c r="T85" s="80">
        <f>IF(基础状态预期!Z97="",0,IFERROR(基础状态预期!F97*求节点($C$62:$C$63,D$62:D$63,基础状态预期!Z97),0)+IFERROR(基础状态预期!$J97*求节点($C$71:$C$72,D$71:D$72,基础状态预期!$AD97),0))</f>
        <v>0</v>
      </c>
      <c r="U85" s="80">
        <f>IF(基础状态预期!AA97="",0,IFERROR(基础状态预期!G97*求节点($C$62:$C$63,E$62:E$63,基础状态预期!AA97),0)+IFERROR(基础状态预期!$J97*求节点($C$71:$C$72,E$71:E$72,基础状态预期!$AD97),0))</f>
        <v>0</v>
      </c>
      <c r="V85" s="80">
        <f>IF(基础状态预期!AB97="",0,IFERROR(基础状态预期!H97*求节点($C$62:$C$63,F$62:F$63,基础状态预期!AB97),0)+IFERROR(基础状态预期!$J97*求节点($C$71:$C$72,F$71:F$72,基础状态预期!$AD97),0))</f>
        <v>0</v>
      </c>
      <c r="W85" s="80">
        <f>IF(基础状态预期!AC97="",0,IFERROR(基础状态预期!I97*求节点($C$62:$C$63,G$62:G$63,基础状态预期!AC97),0)+IFERROR(基础状态预期!$J97*求节点($C$71:$C$72,G$71:G$72,基础状态预期!$AD97),0))</f>
        <v>0</v>
      </c>
      <c r="X85" s="80">
        <f>IF(基础状态预期!AD97="",0,IFERROR(基础状态预期!J97*求节点($C$62:$C$63,H$62:H$63,基础状态预期!AD97),0)+IFERROR(基础状态预期!$J97*求节点($C$71:$C$72,H$71:H$72,基础状态预期!$AD97),0))</f>
        <v>0</v>
      </c>
      <c r="Y85" s="80">
        <f>IF(基础状态预期!$H97="",0,IF(基础状态预期!$AB97&lt;=1,基础状态预期!$AB97*D$18,D$18)*基础状态预期!$H97)+
IF(基础状态预期!$I97="",0,IF(基础状态预期!$AC97&lt;=1,基础状态预期!$AC97*D$19,D$19)*基础状态预期!$I97)+
IF(基础状态预期!$J97="",0,IF(基础状态预期!$AD97&lt;=1,基础状态预期!$AD97*D$20,D$20)*基础状态预期!$J97)</f>
        <v>48</v>
      </c>
      <c r="Z85" s="80">
        <f>IF(基础状态预期!$H97="",0,IF(基础状态预期!$AB97&lt;=1,基础状态预期!$AB97*E$18,E$18)*基础状态预期!$H97)+
IF(基础状态预期!$I97="",0,IF(基础状态预期!$AC97&lt;=1,基础状态预期!$AC97*E$19,E$19)*基础状态预期!$I97)+
IF(基础状态预期!$J97="",0,IF(基础状态预期!$AD97&lt;=1,基础状态预期!$AD97*E$20,E$20)*基础状态预期!$J97)</f>
        <v>0</v>
      </c>
      <c r="AA85" s="80">
        <f>IF(基础状态预期!$H97="",0,IF(基础状态预期!$AB97&lt;=1,基础状态预期!$AB97*F$18,F$18)*基础状态预期!$H97)+
IF(基础状态预期!$I97="",0,IF(基础状态预期!$AC97&lt;=1,基础状态预期!$AC97*F$19,F$19)*基础状态预期!$I97)+
IF(基础状态预期!$J97="",0,IF(基础状态预期!$AD97&lt;=1,基础状态预期!$AD97*F$20,F$20)*基础状态预期!$J97)</f>
        <v>0</v>
      </c>
      <c r="AB85" s="67">
        <f>IF(基础状态预期!$H97="",0,IF(基础状态预期!$AB97&lt;=1,0,(基础状态预期!$AB97-1)*G$26)*基础状态预期!$H97)+
IF(基础状态预期!$I97="",0,IF(基础状态预期!$AC97&lt;=1,0,(基础状态预期!$AC97-1)*G$27)*基础状态预期!$I97)+
IF(基础状态预期!$J97="",0,IF(基础状态预期!$AD97&lt;=1,0,(基础状态预期!$AD97-1)*G$28)*基础状态预期!$J97)</f>
        <v>240</v>
      </c>
      <c r="AC85" s="67">
        <f>IF(基础状态预期!$H97="",0,IF(基础状态预期!$AB97&lt;=1,0,(基础状态预期!$AB97-1)*H$26)*基础状态预期!$H97)+
IF(基础状态预期!$I97="",0,IF(基础状态预期!$AC97&lt;=1,0,(基础状态预期!$AC97-1)*H$27)*基础状态预期!$I97)+
IF(基础状态预期!$J97="",0,IF(基础状态预期!$AD97&lt;=1,0,(基础状态预期!$AD97-1)*H$28)*基础状态预期!$J97)</f>
        <v>0</v>
      </c>
      <c r="AD85" s="67">
        <f>IF(基础状态预期!$H97="",0,IF(基础状态预期!$AB97&lt;=1,0,(基础状态预期!$AB97-1)*I$26)*基础状态预期!$H97)+
IF(基础状态预期!$I97="",0,IF(基础状态预期!$AC97&lt;=1,0,(基础状态预期!$AC97-1)*I$27)*基础状态预期!$I97)+
IF(基础状态预期!$J97="",0,IF(基础状态预期!$AD97&lt;=1,0,(基础状态预期!$AD97-1)*I$28)*基础状态预期!$J97)</f>
        <v>0</v>
      </c>
      <c r="AE85" s="80">
        <f>IF(各r阵容卡情况!$H113=0,0,IF(各r阵容卡情况!$AB113&lt;=1,各r阵容卡情况!$AB113*D$18,1*D$18)*各r阵容卡情况!$H113)+
IF(各r阵容卡情况!$I113=0,0,IF(各r阵容卡情况!$AC113&lt;=1,各r阵容卡情况!$AC113*D$19,1*D$19)*各r阵容卡情况!$I113)+
IF(各r阵容卡情况!$J113=0,0,IF(各r阵容卡情况!$AD113&lt;=1,各r阵容卡情况!$AD113*D$20,1*D$20)*各r阵容卡情况!$J113)</f>
        <v>136</v>
      </c>
      <c r="AF85" s="80">
        <f>IF(各r阵容卡情况!$H113=0,0,IF(各r阵容卡情况!$AB113&lt;=1,各r阵容卡情况!$AB113*E$18,1*E$18)*各r阵容卡情况!$H113)+
IF(各r阵容卡情况!$I113=0,0,IF(各r阵容卡情况!$AC113&lt;=1,各r阵容卡情况!$AC113*E$19,1*E$19)*各r阵容卡情况!$I113)+
IF(各r阵容卡情况!$J113=0,0,IF(各r阵容卡情况!$AD113&lt;=1,各r阵容卡情况!$AD113*E$20,1*E$20)*各r阵容卡情况!$J113)</f>
        <v>0</v>
      </c>
      <c r="AG85" s="80">
        <f>IF(各r阵容卡情况!$H113=0,0,IF(各r阵容卡情况!$AB113&lt;=1,各r阵容卡情况!$AB113*F$18,1*F$18)*各r阵容卡情况!$H113)+
IF(各r阵容卡情况!$I113=0,0,IF(各r阵容卡情况!$AC113&lt;=1,各r阵容卡情况!$AC113*F$19,1*F$19)*各r阵容卡情况!$I113)+
IF(各r阵容卡情况!$J113=0,0,IF(各r阵容卡情况!$AD113&lt;=1,各r阵容卡情况!$AD113*F$20,1*F$20)*各r阵容卡情况!$J113)</f>
        <v>0</v>
      </c>
      <c r="AH85" s="67">
        <f>IF(各r阵容卡情况!$H113=0,0,IF(各r阵容卡情况!$AB113&lt;=1,0,(各r阵容卡情况!$AB113-1)*G$26)*各r阵容卡情况!$H113)+
IF(各r阵容卡情况!$I113=0,0,IF(各r阵容卡情况!$AC113&lt;=1,0,(各r阵容卡情况!$AC113-1)*G$27)*各r阵容卡情况!$I113)+
IF(各r阵容卡情况!$J113=0,0,IF(各r阵容卡情况!$AD113&lt;=1,0,(各r阵容卡情况!$AD113-1)*G$28)*各r阵容卡情况!$J113)</f>
        <v>680</v>
      </c>
      <c r="AI85" s="67">
        <f>IF(各r阵容卡情况!$H113=0,0,IF(各r阵容卡情况!$AB113&lt;=1,0,(各r阵容卡情况!$AB113-1)*H$26)*各r阵容卡情况!$H113)+
IF(各r阵容卡情况!$I113=0,0,IF(各r阵容卡情况!$AC113&lt;=1,0,(各r阵容卡情况!$AC113-1)*H$27)*各r阵容卡情况!$I113)+
IF(各r阵容卡情况!$J113=0,0,IF(各r阵容卡情况!$AD113&lt;=1,0,(各r阵容卡情况!$AD113-1)*H$28)*各r阵容卡情况!$J113)</f>
        <v>0</v>
      </c>
      <c r="AJ85" s="67">
        <f>IF(各r阵容卡情况!$H113=0,0,IF(各r阵容卡情况!$AB113&lt;=1,0,(各r阵容卡情况!$AB113-1)*I$26)*各r阵容卡情况!$H113)+
IF(各r阵容卡情况!$I113=0,0,IF(各r阵容卡情况!$AC113&lt;=1,0,(各r阵容卡情况!$AC113-1)*I$27)*各r阵容卡情况!$I113)+
IF(各r阵容卡情况!$J113=0,0,IF(各r阵容卡情况!$AD113&lt;=1,0,(各r阵容卡情况!$AD113-1)*I$28)*各r阵容卡情况!$J113)</f>
        <v>0</v>
      </c>
      <c r="AL85" s="80">
        <f t="shared" si="62"/>
        <v>185</v>
      </c>
      <c r="AM85" s="80">
        <f t="shared" si="63"/>
        <v>48</v>
      </c>
      <c r="AN85" s="80">
        <f t="shared" si="64"/>
        <v>0</v>
      </c>
      <c r="AO85" s="80">
        <f t="shared" si="65"/>
        <v>0</v>
      </c>
      <c r="AP85" s="80">
        <f t="shared" si="66"/>
        <v>240</v>
      </c>
      <c r="AQ85" s="80">
        <f t="shared" si="67"/>
        <v>0</v>
      </c>
      <c r="AR85" s="80">
        <f t="shared" si="68"/>
        <v>0</v>
      </c>
      <c r="AS85" s="80">
        <f t="shared" si="69"/>
        <v>136</v>
      </c>
      <c r="AT85" s="80">
        <f t="shared" si="70"/>
        <v>0</v>
      </c>
      <c r="AU85" s="80">
        <f t="shared" si="71"/>
        <v>0</v>
      </c>
      <c r="AV85" s="80">
        <f t="shared" si="72"/>
        <v>680</v>
      </c>
      <c r="AW85" s="80">
        <f t="shared" si="73"/>
        <v>0</v>
      </c>
      <c r="AX85" s="80">
        <f t="shared" si="74"/>
        <v>0</v>
      </c>
      <c r="AY85" s="61" t="e">
        <f>SUMPRODUCT(AM85:AR85/'[1]功能-行军令'!$GI$26:$GN$26+AS85:AX85/'[1]功能-行军令'!$GI$26:$GN$26)/0.18</f>
        <v>#DIV/0!</v>
      </c>
      <c r="BO85" s="80">
        <f t="shared" si="60"/>
        <v>153.01012120353457</v>
      </c>
      <c r="BP85" s="80">
        <f t="shared" si="61"/>
        <v>12300000</v>
      </c>
      <c r="BQ85" s="80">
        <f>(BP85-BP84)*INDEX('[1]功能-付费相关'!$AR$6:$AR$165,$BO85,1)+BQ84</f>
        <v>16129.191064037783</v>
      </c>
      <c r="BR85" s="80"/>
      <c r="BS85" s="80"/>
    </row>
    <row r="86" spans="2:77" x14ac:dyDescent="0.15">
      <c r="B86" s="201"/>
      <c r="C86" s="80"/>
      <c r="D86" s="80"/>
      <c r="E86" s="80"/>
      <c r="F86" s="80"/>
      <c r="G86" s="80"/>
      <c r="H86" s="80"/>
      <c r="I86" s="80"/>
      <c r="L86" s="61">
        <v>40</v>
      </c>
      <c r="M86" s="80">
        <f>基础状态预期!D98</f>
        <v>153.01012120353457</v>
      </c>
      <c r="N86" s="80">
        <f>IF(基础状态预期!F98="",0,IF(基础状态预期!Z98&lt;=1,基础状态预期!Z98*D$4,1*D$4+(基础状态预期!Z98-1)*武将觉醒!D$5))</f>
        <v>0</v>
      </c>
      <c r="O86" s="80">
        <f>IF(基础状态预期!G98="",0,IF(基础状态预期!AA98&lt;=1,基础状态预期!AA98*E$4,1*E$4+(基础状态预期!AA98-1)*武将觉醒!E$5))</f>
        <v>0</v>
      </c>
      <c r="P86" s="80">
        <f>IF(基础状态预期!H98="",0,IF(基础状态预期!AB98&lt;=1,基础状态预期!AB98*F$4,1*F$4+(基础状态预期!AB98-1)*武将觉醒!F$5))</f>
        <v>0</v>
      </c>
      <c r="Q86" s="80">
        <f>IF(基础状态预期!I98="",0,IF(基础状态预期!AC98&lt;=1,基础状态预期!AC98*G$4,1*G$4+(基础状态预期!AC98-1)*武将觉醒!G$5))</f>
        <v>0</v>
      </c>
      <c r="R86" s="80">
        <f>IF(基础状态预期!J98="",0,IF(基础状态预期!AD98&lt;=1,基础状态预期!AD98*H$4,1*H$4+(基础状态预期!AD98-1)*武将觉醒!H$5))</f>
        <v>2050000</v>
      </c>
      <c r="S86" s="80">
        <f>MAX(SUMPRODUCT(N86:R86,基础状态预期!F98:J98),S85)</f>
        <v>12300000</v>
      </c>
      <c r="T86" s="80">
        <f>IF(基础状态预期!Z98="",0,IFERROR(基础状态预期!F98*求节点($C$62:$C$63,D$62:D$63,基础状态预期!Z98),0)+IFERROR(基础状态预期!$J98*求节点($C$71:$C$72,D$71:D$72,基础状态预期!$AD98),0))</f>
        <v>0</v>
      </c>
      <c r="U86" s="80">
        <f>IF(基础状态预期!AA98="",0,IFERROR(基础状态预期!G98*求节点($C$62:$C$63,E$62:E$63,基础状态预期!AA98),0)+IFERROR(基础状态预期!$J98*求节点($C$71:$C$72,E$71:E$72,基础状态预期!$AD98),0))</f>
        <v>0</v>
      </c>
      <c r="V86" s="80">
        <f>IF(基础状态预期!AB98="",0,IFERROR(基础状态预期!H98*求节点($C$62:$C$63,F$62:F$63,基础状态预期!AB98),0)+IFERROR(基础状态预期!$J98*求节点($C$71:$C$72,F$71:F$72,基础状态预期!$AD98),0))</f>
        <v>0</v>
      </c>
      <c r="W86" s="80">
        <f>IF(基础状态预期!AC98="",0,IFERROR(基础状态预期!I98*求节点($C$62:$C$63,G$62:G$63,基础状态预期!AC98),0)+IFERROR(基础状态预期!$J98*求节点($C$71:$C$72,G$71:G$72,基础状态预期!$AD98),0))</f>
        <v>0</v>
      </c>
      <c r="X86" s="80">
        <f>IF(基础状态预期!AD98="",0,IFERROR(基础状态预期!J98*求节点($C$62:$C$63,H$62:H$63,基础状态预期!AD98),0)+IFERROR(基础状态预期!$J98*求节点($C$71:$C$72,H$71:H$72,基础状态预期!$AD98),0))</f>
        <v>0</v>
      </c>
      <c r="Y86" s="80">
        <f>IF(基础状态预期!$H98="",0,IF(基础状态预期!$AB98&lt;=1,基础状态预期!$AB98*D$18,D$18)*基础状态预期!$H98)+
IF(基础状态预期!$I98="",0,IF(基础状态预期!$AC98&lt;=1,基础状态预期!$AC98*D$19,D$19)*基础状态预期!$I98)+
IF(基础状态预期!$J98="",0,IF(基础状态预期!$AD98&lt;=1,基础状态预期!$AD98*D$20,D$20)*基础状态预期!$J98)</f>
        <v>48</v>
      </c>
      <c r="Z86" s="80">
        <f>IF(基础状态预期!$H98="",0,IF(基础状态预期!$AB98&lt;=1,基础状态预期!$AB98*E$18,E$18)*基础状态预期!$H98)+
IF(基础状态预期!$I98="",0,IF(基础状态预期!$AC98&lt;=1,基础状态预期!$AC98*E$19,E$19)*基础状态预期!$I98)+
IF(基础状态预期!$J98="",0,IF(基础状态预期!$AD98&lt;=1,基础状态预期!$AD98*E$20,E$20)*基础状态预期!$J98)</f>
        <v>0</v>
      </c>
      <c r="AA86" s="80">
        <f>IF(基础状态预期!$H98="",0,IF(基础状态预期!$AB98&lt;=1,基础状态预期!$AB98*F$18,F$18)*基础状态预期!$H98)+
IF(基础状态预期!$I98="",0,IF(基础状态预期!$AC98&lt;=1,基础状态预期!$AC98*F$19,F$19)*基础状态预期!$I98)+
IF(基础状态预期!$J98="",0,IF(基础状态预期!$AD98&lt;=1,基础状态预期!$AD98*F$20,F$20)*基础状态预期!$J98)</f>
        <v>0</v>
      </c>
      <c r="AB86" s="67">
        <f>IF(基础状态预期!$H98="",0,IF(基础状态预期!$AB98&lt;=1,0,(基础状态预期!$AB98-1)*G$26)*基础状态预期!$H98)+
IF(基础状态预期!$I98="",0,IF(基础状态预期!$AC98&lt;=1,0,(基础状态预期!$AC98-1)*G$27)*基础状态预期!$I98)+
IF(基础状态预期!$J98="",0,IF(基础状态预期!$AD98&lt;=1,0,(基础状态预期!$AD98-1)*G$28)*基础状态预期!$J98)</f>
        <v>240</v>
      </c>
      <c r="AC86" s="67">
        <f>IF(基础状态预期!$H98="",0,IF(基础状态预期!$AB98&lt;=1,0,(基础状态预期!$AB98-1)*H$26)*基础状态预期!$H98)+
IF(基础状态预期!$I98="",0,IF(基础状态预期!$AC98&lt;=1,0,(基础状态预期!$AC98-1)*H$27)*基础状态预期!$I98)+
IF(基础状态预期!$J98="",0,IF(基础状态预期!$AD98&lt;=1,0,(基础状态预期!$AD98-1)*H$28)*基础状态预期!$J98)</f>
        <v>0</v>
      </c>
      <c r="AD86" s="67">
        <f>IF(基础状态预期!$H98="",0,IF(基础状态预期!$AB98&lt;=1,0,(基础状态预期!$AB98-1)*I$26)*基础状态预期!$H98)+
IF(基础状态预期!$I98="",0,IF(基础状态预期!$AC98&lt;=1,0,(基础状态预期!$AC98-1)*I$27)*基础状态预期!$I98)+
IF(基础状态预期!$J98="",0,IF(基础状态预期!$AD98&lt;=1,0,(基础状态预期!$AD98-1)*I$28)*基础状态预期!$J98)</f>
        <v>0</v>
      </c>
      <c r="AE86" s="80">
        <f>IF(各r阵容卡情况!$H114=0,0,IF(各r阵容卡情况!$AB114&lt;=1,各r阵容卡情况!$AB114*D$18,1*D$18)*各r阵容卡情况!$H114)+
IF(各r阵容卡情况!$I114=0,0,IF(各r阵容卡情况!$AC114&lt;=1,各r阵容卡情况!$AC114*D$19,1*D$19)*各r阵容卡情况!$I114)+
IF(各r阵容卡情况!$J114=0,0,IF(各r阵容卡情况!$AD114&lt;=1,各r阵容卡情况!$AD114*D$20,1*D$20)*各r阵容卡情况!$J114)</f>
        <v>136</v>
      </c>
      <c r="AF86" s="80">
        <f>IF(各r阵容卡情况!$H114=0,0,IF(各r阵容卡情况!$AB114&lt;=1,各r阵容卡情况!$AB114*E$18,1*E$18)*各r阵容卡情况!$H114)+
IF(各r阵容卡情况!$I114=0,0,IF(各r阵容卡情况!$AC114&lt;=1,各r阵容卡情况!$AC114*E$19,1*E$19)*各r阵容卡情况!$I114)+
IF(各r阵容卡情况!$J114=0,0,IF(各r阵容卡情况!$AD114&lt;=1,各r阵容卡情况!$AD114*E$20,1*E$20)*各r阵容卡情况!$J114)</f>
        <v>0</v>
      </c>
      <c r="AG86" s="80">
        <f>IF(各r阵容卡情况!$H114=0,0,IF(各r阵容卡情况!$AB114&lt;=1,各r阵容卡情况!$AB114*F$18,1*F$18)*各r阵容卡情况!$H114)+
IF(各r阵容卡情况!$I114=0,0,IF(各r阵容卡情况!$AC114&lt;=1,各r阵容卡情况!$AC114*F$19,1*F$19)*各r阵容卡情况!$I114)+
IF(各r阵容卡情况!$J114=0,0,IF(各r阵容卡情况!$AD114&lt;=1,各r阵容卡情况!$AD114*F$20,1*F$20)*各r阵容卡情况!$J114)</f>
        <v>0</v>
      </c>
      <c r="AH86" s="67">
        <f>IF(各r阵容卡情况!$H114=0,0,IF(各r阵容卡情况!$AB114&lt;=1,0,(各r阵容卡情况!$AB114-1)*G$26)*各r阵容卡情况!$H114)+
IF(各r阵容卡情况!$I114=0,0,IF(各r阵容卡情况!$AC114&lt;=1,0,(各r阵容卡情况!$AC114-1)*G$27)*各r阵容卡情况!$I114)+
IF(各r阵容卡情况!$J114=0,0,IF(各r阵容卡情况!$AD114&lt;=1,0,(各r阵容卡情况!$AD114-1)*G$28)*各r阵容卡情况!$J114)</f>
        <v>680</v>
      </c>
      <c r="AI86" s="67">
        <f>IF(各r阵容卡情况!$H114=0,0,IF(各r阵容卡情况!$AB114&lt;=1,0,(各r阵容卡情况!$AB114-1)*H$26)*各r阵容卡情况!$H114)+
IF(各r阵容卡情况!$I114=0,0,IF(各r阵容卡情况!$AC114&lt;=1,0,(各r阵容卡情况!$AC114-1)*H$27)*各r阵容卡情况!$I114)+
IF(各r阵容卡情况!$J114=0,0,IF(各r阵容卡情况!$AD114&lt;=1,0,(各r阵容卡情况!$AD114-1)*H$28)*各r阵容卡情况!$J114)</f>
        <v>0</v>
      </c>
      <c r="AJ86" s="67">
        <f>IF(各r阵容卡情况!$H114=0,0,IF(各r阵容卡情况!$AB114&lt;=1,0,(各r阵容卡情况!$AB114-1)*I$26)*各r阵容卡情况!$H114)+
IF(各r阵容卡情况!$I114=0,0,IF(各r阵容卡情况!$AC114&lt;=1,0,(各r阵容卡情况!$AC114-1)*I$27)*各r阵容卡情况!$I114)+
IF(各r阵容卡情况!$J114=0,0,IF(各r阵容卡情况!$AD114&lt;=1,0,(各r阵容卡情况!$AD114-1)*I$28)*各r阵容卡情况!$J114)</f>
        <v>0</v>
      </c>
      <c r="AL86" s="80">
        <f t="shared" si="62"/>
        <v>190</v>
      </c>
      <c r="AM86" s="80">
        <f t="shared" si="63"/>
        <v>48</v>
      </c>
      <c r="AN86" s="80">
        <f t="shared" si="64"/>
        <v>0</v>
      </c>
      <c r="AO86" s="80">
        <f t="shared" si="65"/>
        <v>0</v>
      </c>
      <c r="AP86" s="80">
        <f t="shared" si="66"/>
        <v>240</v>
      </c>
      <c r="AQ86" s="80">
        <f t="shared" si="67"/>
        <v>0</v>
      </c>
      <c r="AR86" s="80">
        <f t="shared" si="68"/>
        <v>0</v>
      </c>
      <c r="AS86" s="80">
        <f t="shared" si="69"/>
        <v>136</v>
      </c>
      <c r="AT86" s="80">
        <f t="shared" si="70"/>
        <v>0</v>
      </c>
      <c r="AU86" s="80">
        <f t="shared" si="71"/>
        <v>0</v>
      </c>
      <c r="AV86" s="80">
        <f t="shared" si="72"/>
        <v>680</v>
      </c>
      <c r="AW86" s="80">
        <f t="shared" si="73"/>
        <v>0</v>
      </c>
      <c r="AX86" s="80">
        <f t="shared" si="74"/>
        <v>0</v>
      </c>
      <c r="AY86" s="61" t="e">
        <f>SUMPRODUCT(AM86:AR86/'[1]功能-行军令'!$GI$26:$GN$26+AS86:AX86/'[1]功能-行军令'!$GI$26:$GN$26)/0.18</f>
        <v>#DIV/0!</v>
      </c>
      <c r="BO86" s="80">
        <f t="shared" si="60"/>
        <v>154.95970315183646</v>
      </c>
      <c r="BP86" s="80">
        <f t="shared" si="61"/>
        <v>12300000</v>
      </c>
      <c r="BQ86" s="80">
        <f>(BP86-BP85)*INDEX('[1]功能-付费相关'!$AR$6:$AR$165,$BO86,1)+BQ85</f>
        <v>16129.191064037783</v>
      </c>
      <c r="BR86" s="80"/>
      <c r="BS86" s="80"/>
    </row>
    <row r="87" spans="2:77" x14ac:dyDescent="0.15">
      <c r="B87" s="201"/>
      <c r="C87" s="80"/>
      <c r="D87" s="80"/>
      <c r="E87" s="80"/>
      <c r="F87" s="80"/>
      <c r="G87" s="80"/>
      <c r="H87" s="80"/>
      <c r="I87" s="80"/>
      <c r="L87" s="61">
        <v>41</v>
      </c>
      <c r="M87" s="80">
        <f>基础状态预期!D99</f>
        <v>154.95970315183646</v>
      </c>
      <c r="N87" s="80">
        <f>IF(基础状态预期!F99="",0,IF(基础状态预期!Z99&lt;=1,基础状态预期!Z99*D$4,1*D$4+(基础状态预期!Z99-1)*武将觉醒!D$5))</f>
        <v>0</v>
      </c>
      <c r="O87" s="80">
        <f>IF(基础状态预期!G99="",0,IF(基础状态预期!AA99&lt;=1,基础状态预期!AA99*E$4,1*E$4+(基础状态预期!AA99-1)*武将觉醒!E$5))</f>
        <v>0</v>
      </c>
      <c r="P87" s="80">
        <f>IF(基础状态预期!H99="",0,IF(基础状态预期!AB99&lt;=1,基础状态预期!AB99*F$4,1*F$4+(基础状态预期!AB99-1)*武将觉醒!F$5))</f>
        <v>0</v>
      </c>
      <c r="Q87" s="80">
        <f>IF(基础状态预期!I99="",0,IF(基础状态预期!AC99&lt;=1,基础状态预期!AC99*G$4,1*G$4+(基础状态预期!AC99-1)*武将觉醒!G$5))</f>
        <v>0</v>
      </c>
      <c r="R87" s="80">
        <f>IF(基础状态预期!J99="",0,IF(基础状态预期!AD99&lt;=1,基础状态预期!AD99*H$4,1*H$4+(基础状态预期!AD99-1)*武将觉醒!H$5))</f>
        <v>2050000</v>
      </c>
      <c r="S87" s="80">
        <f>MAX(SUMPRODUCT(N87:R87,基础状态预期!F99:J99),S86)</f>
        <v>12300000</v>
      </c>
      <c r="T87" s="80">
        <f>IF(基础状态预期!Z99="",0,IFERROR(基础状态预期!F99*求节点($C$62:$C$63,D$62:D$63,基础状态预期!Z99),0)+IFERROR(基础状态预期!$J99*求节点($C$71:$C$72,D$71:D$72,基础状态预期!$AD99),0))</f>
        <v>0</v>
      </c>
      <c r="U87" s="80">
        <f>IF(基础状态预期!AA99="",0,IFERROR(基础状态预期!G99*求节点($C$62:$C$63,E$62:E$63,基础状态预期!AA99),0)+IFERROR(基础状态预期!$J99*求节点($C$71:$C$72,E$71:E$72,基础状态预期!$AD99),0))</f>
        <v>0</v>
      </c>
      <c r="V87" s="80">
        <f>IF(基础状态预期!AB99="",0,IFERROR(基础状态预期!H99*求节点($C$62:$C$63,F$62:F$63,基础状态预期!AB99),0)+IFERROR(基础状态预期!$J99*求节点($C$71:$C$72,F$71:F$72,基础状态预期!$AD99),0))</f>
        <v>0</v>
      </c>
      <c r="W87" s="80">
        <f>IF(基础状态预期!AC99="",0,IFERROR(基础状态预期!I99*求节点($C$62:$C$63,G$62:G$63,基础状态预期!AC99),0)+IFERROR(基础状态预期!$J99*求节点($C$71:$C$72,G$71:G$72,基础状态预期!$AD99),0))</f>
        <v>0</v>
      </c>
      <c r="X87" s="80">
        <f>IF(基础状态预期!AD99="",0,IFERROR(基础状态预期!J99*求节点($C$62:$C$63,H$62:H$63,基础状态预期!AD99),0)+IFERROR(基础状态预期!$J99*求节点($C$71:$C$72,H$71:H$72,基础状态预期!$AD99),0))</f>
        <v>0</v>
      </c>
      <c r="Y87" s="80">
        <f>IF(基础状态预期!$H99="",0,IF(基础状态预期!$AB99&lt;=1,基础状态预期!$AB99*D$18,D$18)*基础状态预期!$H99)+
IF(基础状态预期!$I99="",0,IF(基础状态预期!$AC99&lt;=1,基础状态预期!$AC99*D$19,D$19)*基础状态预期!$I99)+
IF(基础状态预期!$J99="",0,IF(基础状态预期!$AD99&lt;=1,基础状态预期!$AD99*D$20,D$20)*基础状态预期!$J99)</f>
        <v>48</v>
      </c>
      <c r="Z87" s="80">
        <f>IF(基础状态预期!$H99="",0,IF(基础状态预期!$AB99&lt;=1,基础状态预期!$AB99*E$18,E$18)*基础状态预期!$H99)+
IF(基础状态预期!$I99="",0,IF(基础状态预期!$AC99&lt;=1,基础状态预期!$AC99*E$19,E$19)*基础状态预期!$I99)+
IF(基础状态预期!$J99="",0,IF(基础状态预期!$AD99&lt;=1,基础状态预期!$AD99*E$20,E$20)*基础状态预期!$J99)</f>
        <v>0</v>
      </c>
      <c r="AA87" s="80">
        <f>IF(基础状态预期!$H99="",0,IF(基础状态预期!$AB99&lt;=1,基础状态预期!$AB99*F$18,F$18)*基础状态预期!$H99)+
IF(基础状态预期!$I99="",0,IF(基础状态预期!$AC99&lt;=1,基础状态预期!$AC99*F$19,F$19)*基础状态预期!$I99)+
IF(基础状态预期!$J99="",0,IF(基础状态预期!$AD99&lt;=1,基础状态预期!$AD99*F$20,F$20)*基础状态预期!$J99)</f>
        <v>0</v>
      </c>
      <c r="AB87" s="67">
        <f>IF(基础状态预期!$H99="",0,IF(基础状态预期!$AB99&lt;=1,0,(基础状态预期!$AB99-1)*G$26)*基础状态预期!$H99)+
IF(基础状态预期!$I99="",0,IF(基础状态预期!$AC99&lt;=1,0,(基础状态预期!$AC99-1)*G$27)*基础状态预期!$I99)+
IF(基础状态预期!$J99="",0,IF(基础状态预期!$AD99&lt;=1,0,(基础状态预期!$AD99-1)*G$28)*基础状态预期!$J99)</f>
        <v>240</v>
      </c>
      <c r="AC87" s="67">
        <f>IF(基础状态预期!$H99="",0,IF(基础状态预期!$AB99&lt;=1,0,(基础状态预期!$AB99-1)*H$26)*基础状态预期!$H99)+
IF(基础状态预期!$I99="",0,IF(基础状态预期!$AC99&lt;=1,0,(基础状态预期!$AC99-1)*H$27)*基础状态预期!$I99)+
IF(基础状态预期!$J99="",0,IF(基础状态预期!$AD99&lt;=1,0,(基础状态预期!$AD99-1)*H$28)*基础状态预期!$J99)</f>
        <v>0</v>
      </c>
      <c r="AD87" s="67">
        <f>IF(基础状态预期!$H99="",0,IF(基础状态预期!$AB99&lt;=1,0,(基础状态预期!$AB99-1)*I$26)*基础状态预期!$H99)+
IF(基础状态预期!$I99="",0,IF(基础状态预期!$AC99&lt;=1,0,(基础状态预期!$AC99-1)*I$27)*基础状态预期!$I99)+
IF(基础状态预期!$J99="",0,IF(基础状态预期!$AD99&lt;=1,0,(基础状态预期!$AD99-1)*I$28)*基础状态预期!$J99)</f>
        <v>0</v>
      </c>
      <c r="AE87" s="80">
        <f>IF(各r阵容卡情况!$H115=0,0,IF(各r阵容卡情况!$AB115&lt;=1,各r阵容卡情况!$AB115*D$18,1*D$18)*各r阵容卡情况!$H115)+
IF(各r阵容卡情况!$I115=0,0,IF(各r阵容卡情况!$AC115&lt;=1,各r阵容卡情况!$AC115*D$19,1*D$19)*各r阵容卡情况!$I115)+
IF(各r阵容卡情况!$J115=0,0,IF(各r阵容卡情况!$AD115&lt;=1,各r阵容卡情况!$AD115*D$20,1*D$20)*各r阵容卡情况!$J115)</f>
        <v>136</v>
      </c>
      <c r="AF87" s="80">
        <f>IF(各r阵容卡情况!$H115=0,0,IF(各r阵容卡情况!$AB115&lt;=1,各r阵容卡情况!$AB115*E$18,1*E$18)*各r阵容卡情况!$H115)+
IF(各r阵容卡情况!$I115=0,0,IF(各r阵容卡情况!$AC115&lt;=1,各r阵容卡情况!$AC115*E$19,1*E$19)*各r阵容卡情况!$I115)+
IF(各r阵容卡情况!$J115=0,0,IF(各r阵容卡情况!$AD115&lt;=1,各r阵容卡情况!$AD115*E$20,1*E$20)*各r阵容卡情况!$J115)</f>
        <v>0</v>
      </c>
      <c r="AG87" s="80">
        <f>IF(各r阵容卡情况!$H115=0,0,IF(各r阵容卡情况!$AB115&lt;=1,各r阵容卡情况!$AB115*F$18,1*F$18)*各r阵容卡情况!$H115)+
IF(各r阵容卡情况!$I115=0,0,IF(各r阵容卡情况!$AC115&lt;=1,各r阵容卡情况!$AC115*F$19,1*F$19)*各r阵容卡情况!$I115)+
IF(各r阵容卡情况!$J115=0,0,IF(各r阵容卡情况!$AD115&lt;=1,各r阵容卡情况!$AD115*F$20,1*F$20)*各r阵容卡情况!$J115)</f>
        <v>0</v>
      </c>
      <c r="AH87" s="67">
        <f>IF(各r阵容卡情况!$H115=0,0,IF(各r阵容卡情况!$AB115&lt;=1,0,(各r阵容卡情况!$AB115-1)*G$26)*各r阵容卡情况!$H115)+
IF(各r阵容卡情况!$I115=0,0,IF(各r阵容卡情况!$AC115&lt;=1,0,(各r阵容卡情况!$AC115-1)*G$27)*各r阵容卡情况!$I115)+
IF(各r阵容卡情况!$J115=0,0,IF(各r阵容卡情况!$AD115&lt;=1,0,(各r阵容卡情况!$AD115-1)*G$28)*各r阵容卡情况!$J115)</f>
        <v>680</v>
      </c>
      <c r="AI87" s="67">
        <f>IF(各r阵容卡情况!$H115=0,0,IF(各r阵容卡情况!$AB115&lt;=1,0,(各r阵容卡情况!$AB115-1)*H$26)*各r阵容卡情况!$H115)+
IF(各r阵容卡情况!$I115=0,0,IF(各r阵容卡情况!$AC115&lt;=1,0,(各r阵容卡情况!$AC115-1)*H$27)*各r阵容卡情况!$I115)+
IF(各r阵容卡情况!$J115=0,0,IF(各r阵容卡情况!$AD115&lt;=1,0,(各r阵容卡情况!$AD115-1)*H$28)*各r阵容卡情况!$J115)</f>
        <v>0</v>
      </c>
      <c r="AJ87" s="67">
        <f>IF(各r阵容卡情况!$H115=0,0,IF(各r阵容卡情况!$AB115&lt;=1,0,(各r阵容卡情况!$AB115-1)*I$26)*各r阵容卡情况!$H115)+
IF(各r阵容卡情况!$I115=0,0,IF(各r阵容卡情况!$AC115&lt;=1,0,(各r阵容卡情况!$AC115-1)*I$27)*各r阵容卡情况!$I115)+
IF(各r阵容卡情况!$J115=0,0,IF(各r阵容卡情况!$AD115&lt;=1,0,(各r阵容卡情况!$AD115-1)*I$28)*各r阵容卡情况!$J115)</f>
        <v>0</v>
      </c>
      <c r="AL87" s="80">
        <f t="shared" si="62"/>
        <v>195</v>
      </c>
      <c r="AM87" s="80">
        <f t="shared" si="63"/>
        <v>48</v>
      </c>
      <c r="AN87" s="80">
        <f t="shared" si="64"/>
        <v>0</v>
      </c>
      <c r="AO87" s="80">
        <f t="shared" si="65"/>
        <v>0</v>
      </c>
      <c r="AP87" s="80">
        <f t="shared" si="66"/>
        <v>240</v>
      </c>
      <c r="AQ87" s="80">
        <f t="shared" si="67"/>
        <v>0</v>
      </c>
      <c r="AR87" s="80">
        <f t="shared" si="68"/>
        <v>0</v>
      </c>
      <c r="AS87" s="80">
        <f t="shared" si="69"/>
        <v>136</v>
      </c>
      <c r="AT87" s="80">
        <f t="shared" si="70"/>
        <v>0</v>
      </c>
      <c r="AU87" s="80">
        <f t="shared" si="71"/>
        <v>0</v>
      </c>
      <c r="AV87" s="80">
        <f t="shared" si="72"/>
        <v>680</v>
      </c>
      <c r="AW87" s="80">
        <f t="shared" si="73"/>
        <v>0</v>
      </c>
      <c r="AX87" s="80">
        <f t="shared" si="74"/>
        <v>0</v>
      </c>
      <c r="AY87" s="61" t="e">
        <f>SUMPRODUCT(AM87:AR87/'[1]功能-行军令'!$GI$26:$GN$26+AS87:AX87/'[1]功能-行军令'!$GI$26:$GN$26)/0.18</f>
        <v>#DIV/0!</v>
      </c>
      <c r="BO87" s="80">
        <f t="shared" si="60"/>
        <v>157.63974470288184</v>
      </c>
      <c r="BP87" s="80">
        <f t="shared" si="61"/>
        <v>12300000</v>
      </c>
      <c r="BQ87" s="80">
        <f>(BP87-BP86)*INDEX('[1]功能-付费相关'!$AR$6:$AR$165,$BO87,1)+BQ86</f>
        <v>16129.191064037783</v>
      </c>
      <c r="BR87" s="80"/>
      <c r="BS87" s="80"/>
    </row>
    <row r="88" spans="2:77" x14ac:dyDescent="0.15">
      <c r="L88" s="61">
        <v>42</v>
      </c>
      <c r="M88" s="80">
        <f>基础状态预期!D100</f>
        <v>157.63974470288184</v>
      </c>
      <c r="N88" s="80">
        <f>IF(基础状态预期!F100="",0,IF(基础状态预期!Z100&lt;=1,基础状态预期!Z100*D$4,1*D$4+(基础状态预期!Z100-1)*武将觉醒!D$5))</f>
        <v>0</v>
      </c>
      <c r="O88" s="80">
        <f>IF(基础状态预期!G100="",0,IF(基础状态预期!AA100&lt;=1,基础状态预期!AA100*E$4,1*E$4+(基础状态预期!AA100-1)*武将觉醒!E$5))</f>
        <v>0</v>
      </c>
      <c r="P88" s="80">
        <f>IF(基础状态预期!H100="",0,IF(基础状态预期!AB100&lt;=1,基础状态预期!AB100*F$4,1*F$4+(基础状态预期!AB100-1)*武将觉醒!F$5))</f>
        <v>0</v>
      </c>
      <c r="Q88" s="80">
        <f>IF(基础状态预期!I100="",0,IF(基础状态预期!AC100&lt;=1,基础状态预期!AC100*G$4,1*G$4+(基础状态预期!AC100-1)*武将觉醒!G$5))</f>
        <v>0</v>
      </c>
      <c r="R88" s="80">
        <f>IF(基础状态预期!J100="",0,IF(基础状态预期!AD100&lt;=1,基础状态预期!AD100*H$4,1*H$4+(基础状态预期!AD100-1)*武将觉醒!H$5))</f>
        <v>2050000</v>
      </c>
      <c r="S88" s="80">
        <f>MAX(SUMPRODUCT(N88:R88,基础状态预期!F100:J100),S87)</f>
        <v>12300000</v>
      </c>
      <c r="T88" s="80">
        <f>IF(基础状态预期!Z100="",0,IFERROR(基础状态预期!F100*求节点($C$62:$C$63,D$62:D$63,基础状态预期!Z100),0)+IFERROR(基础状态预期!$J100*求节点($C$71:$C$72,D$71:D$72,基础状态预期!$AD100),0))</f>
        <v>0</v>
      </c>
      <c r="U88" s="80">
        <f>IF(基础状态预期!AA100="",0,IFERROR(基础状态预期!G100*求节点($C$62:$C$63,E$62:E$63,基础状态预期!AA100),0)+IFERROR(基础状态预期!$J100*求节点($C$71:$C$72,E$71:E$72,基础状态预期!$AD100),0))</f>
        <v>0</v>
      </c>
      <c r="V88" s="80">
        <f>IF(基础状态预期!AB100="",0,IFERROR(基础状态预期!H100*求节点($C$62:$C$63,F$62:F$63,基础状态预期!AB100),0)+IFERROR(基础状态预期!$J100*求节点($C$71:$C$72,F$71:F$72,基础状态预期!$AD100),0))</f>
        <v>0</v>
      </c>
      <c r="W88" s="80">
        <f>IF(基础状态预期!AC100="",0,IFERROR(基础状态预期!I100*求节点($C$62:$C$63,G$62:G$63,基础状态预期!AC100),0)+IFERROR(基础状态预期!$J100*求节点($C$71:$C$72,G$71:G$72,基础状态预期!$AD100),0))</f>
        <v>0</v>
      </c>
      <c r="X88" s="80">
        <f>IF(基础状态预期!AD100="",0,IFERROR(基础状态预期!J100*求节点($C$62:$C$63,H$62:H$63,基础状态预期!AD100),0)+IFERROR(基础状态预期!$J100*求节点($C$71:$C$72,H$71:H$72,基础状态预期!$AD100),0))</f>
        <v>0</v>
      </c>
      <c r="Y88" s="80">
        <f>IF(基础状态预期!$H100="",0,IF(基础状态预期!$AB100&lt;=1,基础状态预期!$AB100*D$18,D$18)*基础状态预期!$H100)+
IF(基础状态预期!$I100="",0,IF(基础状态预期!$AC100&lt;=1,基础状态预期!$AC100*D$19,D$19)*基础状态预期!$I100)+
IF(基础状态预期!$J100="",0,IF(基础状态预期!$AD100&lt;=1,基础状态预期!$AD100*D$20,D$20)*基础状态预期!$J100)</f>
        <v>48</v>
      </c>
      <c r="Z88" s="80">
        <f>IF(基础状态预期!$H100="",0,IF(基础状态预期!$AB100&lt;=1,基础状态预期!$AB100*E$18,E$18)*基础状态预期!$H100)+
IF(基础状态预期!$I100="",0,IF(基础状态预期!$AC100&lt;=1,基础状态预期!$AC100*E$19,E$19)*基础状态预期!$I100)+
IF(基础状态预期!$J100="",0,IF(基础状态预期!$AD100&lt;=1,基础状态预期!$AD100*E$20,E$20)*基础状态预期!$J100)</f>
        <v>0</v>
      </c>
      <c r="AA88" s="80">
        <f>IF(基础状态预期!$H100="",0,IF(基础状态预期!$AB100&lt;=1,基础状态预期!$AB100*F$18,F$18)*基础状态预期!$H100)+
IF(基础状态预期!$I100="",0,IF(基础状态预期!$AC100&lt;=1,基础状态预期!$AC100*F$19,F$19)*基础状态预期!$I100)+
IF(基础状态预期!$J100="",0,IF(基础状态预期!$AD100&lt;=1,基础状态预期!$AD100*F$20,F$20)*基础状态预期!$J100)</f>
        <v>0</v>
      </c>
      <c r="AB88" s="67">
        <f>IF(基础状态预期!$H100="",0,IF(基础状态预期!$AB100&lt;=1,0,(基础状态预期!$AB100-1)*G$26)*基础状态预期!$H100)+
IF(基础状态预期!$I100="",0,IF(基础状态预期!$AC100&lt;=1,0,(基础状态预期!$AC100-1)*G$27)*基础状态预期!$I100)+
IF(基础状态预期!$J100="",0,IF(基础状态预期!$AD100&lt;=1,0,(基础状态预期!$AD100-1)*G$28)*基础状态预期!$J100)</f>
        <v>240</v>
      </c>
      <c r="AC88" s="67">
        <f>IF(基础状态预期!$H100="",0,IF(基础状态预期!$AB100&lt;=1,0,(基础状态预期!$AB100-1)*H$26)*基础状态预期!$H100)+
IF(基础状态预期!$I100="",0,IF(基础状态预期!$AC100&lt;=1,0,(基础状态预期!$AC100-1)*H$27)*基础状态预期!$I100)+
IF(基础状态预期!$J100="",0,IF(基础状态预期!$AD100&lt;=1,0,(基础状态预期!$AD100-1)*H$28)*基础状态预期!$J100)</f>
        <v>0</v>
      </c>
      <c r="AD88" s="67">
        <f>IF(基础状态预期!$H100="",0,IF(基础状态预期!$AB100&lt;=1,0,(基础状态预期!$AB100-1)*I$26)*基础状态预期!$H100)+
IF(基础状态预期!$I100="",0,IF(基础状态预期!$AC100&lt;=1,0,(基础状态预期!$AC100-1)*I$27)*基础状态预期!$I100)+
IF(基础状态预期!$J100="",0,IF(基础状态预期!$AD100&lt;=1,0,(基础状态预期!$AD100-1)*I$28)*基础状态预期!$J100)</f>
        <v>0</v>
      </c>
      <c r="AE88" s="80">
        <f>IF(各r阵容卡情况!$H116=0,0,IF(各r阵容卡情况!$AB116&lt;=1,各r阵容卡情况!$AB116*D$18,1*D$18)*各r阵容卡情况!$H116)+
IF(各r阵容卡情况!$I116=0,0,IF(各r阵容卡情况!$AC116&lt;=1,各r阵容卡情况!$AC116*D$19,1*D$19)*各r阵容卡情况!$I116)+
IF(各r阵容卡情况!$J116=0,0,IF(各r阵容卡情况!$AD116&lt;=1,各r阵容卡情况!$AD116*D$20,1*D$20)*各r阵容卡情况!$J116)</f>
        <v>136</v>
      </c>
      <c r="AF88" s="80">
        <f>IF(各r阵容卡情况!$H116=0,0,IF(各r阵容卡情况!$AB116&lt;=1,各r阵容卡情况!$AB116*E$18,1*E$18)*各r阵容卡情况!$H116)+
IF(各r阵容卡情况!$I116=0,0,IF(各r阵容卡情况!$AC116&lt;=1,各r阵容卡情况!$AC116*E$19,1*E$19)*各r阵容卡情况!$I116)+
IF(各r阵容卡情况!$J116=0,0,IF(各r阵容卡情况!$AD116&lt;=1,各r阵容卡情况!$AD116*E$20,1*E$20)*各r阵容卡情况!$J116)</f>
        <v>0</v>
      </c>
      <c r="AG88" s="80">
        <f>IF(各r阵容卡情况!$H116=0,0,IF(各r阵容卡情况!$AB116&lt;=1,各r阵容卡情况!$AB116*F$18,1*F$18)*各r阵容卡情况!$H116)+
IF(各r阵容卡情况!$I116=0,0,IF(各r阵容卡情况!$AC116&lt;=1,各r阵容卡情况!$AC116*F$19,1*F$19)*各r阵容卡情况!$I116)+
IF(各r阵容卡情况!$J116=0,0,IF(各r阵容卡情况!$AD116&lt;=1,各r阵容卡情况!$AD116*F$20,1*F$20)*各r阵容卡情况!$J116)</f>
        <v>0</v>
      </c>
      <c r="AH88" s="67">
        <f>IF(各r阵容卡情况!$H116=0,0,IF(各r阵容卡情况!$AB116&lt;=1,0,(各r阵容卡情况!$AB116-1)*G$26)*各r阵容卡情况!$H116)+
IF(各r阵容卡情况!$I116=0,0,IF(各r阵容卡情况!$AC116&lt;=1,0,(各r阵容卡情况!$AC116-1)*G$27)*各r阵容卡情况!$I116)+
IF(各r阵容卡情况!$J116=0,0,IF(各r阵容卡情况!$AD116&lt;=1,0,(各r阵容卡情况!$AD116-1)*G$28)*各r阵容卡情况!$J116)</f>
        <v>680</v>
      </c>
      <c r="AI88" s="67">
        <f>IF(各r阵容卡情况!$H116=0,0,IF(各r阵容卡情况!$AB116&lt;=1,0,(各r阵容卡情况!$AB116-1)*H$26)*各r阵容卡情况!$H116)+
IF(各r阵容卡情况!$I116=0,0,IF(各r阵容卡情况!$AC116&lt;=1,0,(各r阵容卡情况!$AC116-1)*H$27)*各r阵容卡情况!$I116)+
IF(各r阵容卡情况!$J116=0,0,IF(各r阵容卡情况!$AD116&lt;=1,0,(各r阵容卡情况!$AD116-1)*H$28)*各r阵容卡情况!$J116)</f>
        <v>0</v>
      </c>
      <c r="AJ88" s="67">
        <f>IF(各r阵容卡情况!$H116=0,0,IF(各r阵容卡情况!$AB116&lt;=1,0,(各r阵容卡情况!$AB116-1)*I$26)*各r阵容卡情况!$H116)+
IF(各r阵容卡情况!$I116=0,0,IF(各r阵容卡情况!$AC116&lt;=1,0,(各r阵容卡情况!$AC116-1)*I$27)*各r阵容卡情况!$I116)+
IF(各r阵容卡情况!$J116=0,0,IF(各r阵容卡情况!$AD116&lt;=1,0,(各r阵容卡情况!$AD116-1)*I$28)*各r阵容卡情况!$J116)</f>
        <v>0</v>
      </c>
      <c r="AL88" s="80">
        <f t="shared" si="62"/>
        <v>200</v>
      </c>
      <c r="AM88" s="80">
        <f t="shared" si="63"/>
        <v>48</v>
      </c>
      <c r="AN88" s="80">
        <f t="shared" si="64"/>
        <v>0</v>
      </c>
      <c r="AO88" s="80">
        <f t="shared" si="65"/>
        <v>0</v>
      </c>
      <c r="AP88" s="80">
        <f t="shared" si="66"/>
        <v>240</v>
      </c>
      <c r="AQ88" s="80">
        <f t="shared" si="67"/>
        <v>0</v>
      </c>
      <c r="AR88" s="80">
        <f t="shared" si="68"/>
        <v>0</v>
      </c>
      <c r="AS88" s="80">
        <f t="shared" si="69"/>
        <v>136</v>
      </c>
      <c r="AT88" s="80">
        <f t="shared" si="70"/>
        <v>0</v>
      </c>
      <c r="AU88" s="80">
        <f t="shared" si="71"/>
        <v>0</v>
      </c>
      <c r="AV88" s="80">
        <f t="shared" si="72"/>
        <v>680</v>
      </c>
      <c r="AW88" s="80">
        <f t="shared" si="73"/>
        <v>0</v>
      </c>
      <c r="AX88" s="80">
        <f t="shared" si="74"/>
        <v>0</v>
      </c>
      <c r="AY88" s="61" t="e">
        <f>SUMPRODUCT(AM88:AR88/'[1]功能-行军令'!$GI$26:$GN$26+AS88:AX88/'[1]功能-行军令'!$GI$26:$GN$26)/0.18</f>
        <v>#DIV/0!</v>
      </c>
    </row>
    <row r="89" spans="2:77" x14ac:dyDescent="0.15">
      <c r="L89" s="61">
        <v>43</v>
      </c>
    </row>
    <row r="90" spans="2:77" x14ac:dyDescent="0.15">
      <c r="L90" s="61">
        <v>44</v>
      </c>
    </row>
    <row r="91" spans="2:77" x14ac:dyDescent="0.15">
      <c r="L91" s="61">
        <v>45</v>
      </c>
    </row>
    <row r="92" spans="2:77" x14ac:dyDescent="0.15">
      <c r="L92" s="61">
        <v>1</v>
      </c>
      <c r="BB92" s="80" t="s">
        <v>77</v>
      </c>
      <c r="BC92" s="194" t="s">
        <v>55</v>
      </c>
      <c r="BD92" s="195"/>
      <c r="BE92" s="195"/>
      <c r="BF92" s="196"/>
      <c r="BG92" s="194" t="s">
        <v>290</v>
      </c>
      <c r="BH92" s="195"/>
      <c r="BI92" s="195"/>
      <c r="BJ92" s="195"/>
      <c r="BK92" s="196"/>
      <c r="BO92" s="80" t="s">
        <v>77</v>
      </c>
      <c r="BP92" s="194" t="s">
        <v>306</v>
      </c>
      <c r="BQ92" s="195"/>
      <c r="BR92" s="195"/>
      <c r="BS92" s="196"/>
      <c r="BU92" s="80" t="s">
        <v>77</v>
      </c>
      <c r="BV92" s="194" t="s">
        <v>308</v>
      </c>
      <c r="BW92" s="195"/>
      <c r="BX92" s="196"/>
    </row>
    <row r="93" spans="2:77" x14ac:dyDescent="0.15">
      <c r="L93" s="61">
        <v>2</v>
      </c>
      <c r="M93" s="80" t="s">
        <v>184</v>
      </c>
      <c r="N93" s="194" t="s">
        <v>296</v>
      </c>
      <c r="O93" s="195"/>
      <c r="P93" s="195"/>
      <c r="Q93" s="195"/>
      <c r="R93" s="195"/>
      <c r="S93" s="196"/>
      <c r="T93" s="194" t="s">
        <v>380</v>
      </c>
      <c r="U93" s="195"/>
      <c r="V93" s="195"/>
      <c r="W93" s="195"/>
      <c r="X93" s="196"/>
      <c r="Y93" s="194" t="s">
        <v>461</v>
      </c>
      <c r="Z93" s="195"/>
      <c r="AA93" s="195"/>
      <c r="AB93" s="195"/>
      <c r="AC93" s="195"/>
      <c r="AD93" s="196"/>
      <c r="AE93" s="194" t="s">
        <v>462</v>
      </c>
      <c r="AF93" s="195"/>
      <c r="AG93" s="195"/>
      <c r="AH93" s="195"/>
      <c r="AI93" s="195"/>
      <c r="AJ93" s="196"/>
      <c r="AL93" s="80" t="s">
        <v>77</v>
      </c>
      <c r="AM93" s="194" t="s">
        <v>461</v>
      </c>
      <c r="AN93" s="195"/>
      <c r="AO93" s="195"/>
      <c r="AP93" s="195"/>
      <c r="AQ93" s="195"/>
      <c r="AR93" s="196"/>
      <c r="AS93" s="194" t="s">
        <v>462</v>
      </c>
      <c r="AT93" s="195"/>
      <c r="AU93" s="195"/>
      <c r="AV93" s="195"/>
      <c r="AW93" s="195"/>
      <c r="AX93" s="196"/>
      <c r="BB93" s="80" t="s">
        <v>478</v>
      </c>
      <c r="BC93" s="80" t="s">
        <v>152</v>
      </c>
      <c r="BD93" s="80" t="s">
        <v>250</v>
      </c>
      <c r="BE93" s="80" t="s">
        <v>251</v>
      </c>
      <c r="BF93" s="80" t="s">
        <v>295</v>
      </c>
      <c r="BG93" s="80" t="s">
        <v>152</v>
      </c>
      <c r="BH93" s="80" t="s">
        <v>250</v>
      </c>
      <c r="BI93" s="80" t="s">
        <v>251</v>
      </c>
      <c r="BJ93" s="80" t="s">
        <v>295</v>
      </c>
      <c r="BK93" s="80" t="s">
        <v>293</v>
      </c>
      <c r="BO93" s="80" t="s">
        <v>478</v>
      </c>
      <c r="BP93" s="80" t="s">
        <v>311</v>
      </c>
      <c r="BQ93" s="80" t="s">
        <v>340</v>
      </c>
      <c r="BR93" s="80" t="s">
        <v>312</v>
      </c>
      <c r="BS93" s="80" t="s">
        <v>313</v>
      </c>
      <c r="BU93" s="80" t="s">
        <v>478</v>
      </c>
      <c r="BV93" s="80" t="s">
        <v>311</v>
      </c>
      <c r="BW93" s="80" t="s">
        <v>312</v>
      </c>
      <c r="BX93" s="80" t="s">
        <v>313</v>
      </c>
      <c r="BY93" s="80" t="s">
        <v>472</v>
      </c>
    </row>
    <row r="94" spans="2:77" x14ac:dyDescent="0.15">
      <c r="L94" s="61">
        <v>3</v>
      </c>
      <c r="M94" s="80" t="s">
        <v>478</v>
      </c>
      <c r="N94" s="80" t="s">
        <v>3</v>
      </c>
      <c r="O94" s="80" t="s">
        <v>1</v>
      </c>
      <c r="P94" s="80" t="s">
        <v>2</v>
      </c>
      <c r="Q94" s="80" t="s">
        <v>0</v>
      </c>
      <c r="R94" s="80" t="s">
        <v>545</v>
      </c>
      <c r="S94" s="80" t="s">
        <v>203</v>
      </c>
      <c r="T94" s="80" t="s">
        <v>3</v>
      </c>
      <c r="U94" s="80" t="s">
        <v>1</v>
      </c>
      <c r="V94" s="80" t="s">
        <v>2</v>
      </c>
      <c r="W94" s="80" t="s">
        <v>0</v>
      </c>
      <c r="X94" s="80" t="s">
        <v>545</v>
      </c>
      <c r="Y94" s="80" t="s">
        <v>443</v>
      </c>
      <c r="Z94" s="80" t="s">
        <v>438</v>
      </c>
      <c r="AA94" s="80" t="s">
        <v>439</v>
      </c>
      <c r="AB94" s="80" t="s">
        <v>440</v>
      </c>
      <c r="AC94" s="80" t="s">
        <v>441</v>
      </c>
      <c r="AD94" s="80" t="s">
        <v>442</v>
      </c>
      <c r="AE94" s="80" t="s">
        <v>443</v>
      </c>
      <c r="AF94" s="80" t="s">
        <v>438</v>
      </c>
      <c r="AG94" s="80" t="s">
        <v>439</v>
      </c>
      <c r="AH94" s="80" t="s">
        <v>440</v>
      </c>
      <c r="AI94" s="80" t="s">
        <v>441</v>
      </c>
      <c r="AJ94" s="80" t="s">
        <v>442</v>
      </c>
      <c r="AL94" s="80" t="s">
        <v>478</v>
      </c>
      <c r="AM94" s="80" t="s">
        <v>443</v>
      </c>
      <c r="AN94" s="80" t="s">
        <v>438</v>
      </c>
      <c r="AO94" s="80" t="s">
        <v>439</v>
      </c>
      <c r="AP94" s="80" t="s">
        <v>440</v>
      </c>
      <c r="AQ94" s="80" t="s">
        <v>441</v>
      </c>
      <c r="AR94" s="80" t="s">
        <v>442</v>
      </c>
      <c r="AS94" s="80" t="s">
        <v>443</v>
      </c>
      <c r="AT94" s="80" t="s">
        <v>438</v>
      </c>
      <c r="AU94" s="80" t="s">
        <v>439</v>
      </c>
      <c r="AV94" s="80" t="s">
        <v>440</v>
      </c>
      <c r="AW94" s="80" t="s">
        <v>441</v>
      </c>
      <c r="AX94" s="80" t="s">
        <v>442</v>
      </c>
      <c r="BB94" s="80">
        <v>10</v>
      </c>
      <c r="BC94" s="80"/>
      <c r="BD94" s="80"/>
      <c r="BE94" s="80"/>
      <c r="BF94" s="80"/>
      <c r="BG94" s="80"/>
      <c r="BH94" s="80"/>
      <c r="BI94" s="80"/>
      <c r="BJ94" s="80"/>
      <c r="BK94" s="80">
        <f>SUM(BG94:BJ94)</f>
        <v>0</v>
      </c>
      <c r="BO94" s="80">
        <f t="shared" ref="BO94:BO109" si="75">$M95</f>
        <v>10.099965341977441</v>
      </c>
      <c r="BP94" s="80">
        <f t="shared" ref="BP94:BP109" si="76">$S95</f>
        <v>17866.459977464408</v>
      </c>
      <c r="BQ94" s="60">
        <f>BP94*INDEX('[1]功能-付费相关'!$AS$6:$AS$165,$BO94,1)</f>
        <v>44.666149943661019</v>
      </c>
      <c r="BR94" s="80"/>
      <c r="BS94" s="80"/>
      <c r="BU94" s="80">
        <v>10</v>
      </c>
      <c r="BV94" s="80">
        <f t="shared" ref="BV94:BV109" si="77">求节点($BO$94:$BO$132,BQ$94:BQ$132,$BU94)</f>
        <v>44.224062589620701</v>
      </c>
      <c r="BW94" s="80">
        <f>INDEX('[1]功能-行军令'!$N$4:$R$163,BU94,1)*INDEX('[1]功能-付费相关'!$H$6:$L$6,1,3)*'[1]功能-行军令'!$AD$17</f>
        <v>379.9878787878788</v>
      </c>
      <c r="BX94" s="80"/>
      <c r="BY94" s="80">
        <f>SUM(BV94:BX94)</f>
        <v>424.2119413774995</v>
      </c>
    </row>
    <row r="95" spans="2:77" x14ac:dyDescent="0.15">
      <c r="L95" s="61">
        <v>4</v>
      </c>
      <c r="M95" s="80">
        <f>基础状态预期!D107</f>
        <v>10.099965341977441</v>
      </c>
      <c r="N95" s="80">
        <f>IF(基础状态预期!F107="",0,IF(基础状态预期!Z107&lt;=1,基础状态预期!Z107*D$4,1*D$4+(基础状态预期!Z107-1)*武将觉醒!D$5))</f>
        <v>0</v>
      </c>
      <c r="O95" s="80">
        <f>IF(基础状态预期!G107="",0,IF(基础状态预期!AA107&lt;=1,基础状态预期!AA107*E$4,1*E$4+(基础状态预期!AA107-1)*武将觉醒!E$5))</f>
        <v>0</v>
      </c>
      <c r="P95" s="80">
        <f>IF(基础状态预期!H107="",0,IF(基础状态预期!AB107&lt;=1,基础状态预期!AB107*F$4,1*F$4+(基础状态预期!AB107-1)*武将觉醒!F$5))</f>
        <v>1786.645997746441</v>
      </c>
      <c r="Q95" s="80">
        <f>IF(基础状态预期!I107="",0,IF(基础状态预期!AC107&lt;=1,基础状态预期!AC107*G$4,1*G$4+(基础状态预期!AC107-1)*武将觉醒!G$5))</f>
        <v>3573.2919954928821</v>
      </c>
      <c r="R95" s="80">
        <f>IF(基础状态预期!J107="",0,IF(基础状态预期!AD107&lt;=1,基础状态预期!AD107*H$4,1*H$4+(基础状态预期!AD107-1)*武将觉醒!H$5))</f>
        <v>0</v>
      </c>
      <c r="S95" s="80">
        <f>MAX(SUMPRODUCT(N95:R95,基础状态预期!F107:J107),S94)</f>
        <v>17866.459977464408</v>
      </c>
      <c r="T95" s="80">
        <f>IF(基础状态预期!Z107="",0,IFERROR(基础状态预期!F107*求节点($C$62:$C$63,D$62:D$63,基础状态预期!Z107),0)+IFERROR(基础状态预期!$J107*求节点($C$71:$C$72,D$71:D$72,基础状态预期!$AD107),0))</f>
        <v>0</v>
      </c>
      <c r="U95" s="80">
        <f>IF(基础状态预期!AA107="",0,IFERROR(基础状态预期!G107*求节点($C$62:$C$63,E$62:E$63,基础状态预期!AA107),0)+IFERROR(基础状态预期!$J107*求节点($C$71:$C$72,E$71:E$72,基础状态预期!$AD107),0))</f>
        <v>0</v>
      </c>
      <c r="V95" s="80">
        <f>IF(基础状态预期!AB107="",0,IFERROR(基础状态预期!H107*求节点($C$62:$C$63,F$62:F$63,基础状态预期!AB107),0)+IFERROR(基础状态预期!$J107*求节点($C$71:$C$72,F$71:F$72,基础状态预期!$AD107),0))</f>
        <v>0</v>
      </c>
      <c r="W95" s="80">
        <f>IF(基础状态预期!AC107="",0,IFERROR(基础状态预期!I107*求节点($C$62:$C$63,G$62:G$63,基础状态预期!AC107),0)+IFERROR(基础状态预期!$J107*求节点($C$71:$C$72,G$71:G$72,基础状态预期!$AD107),0))</f>
        <v>0</v>
      </c>
      <c r="X95" s="80">
        <f>IF(基础状态预期!AD107="",0,IFERROR(基础状态预期!J107*求节点($C$62:$C$63,H$62:H$63,基础状态预期!AD107),0)+IFERROR(基础状态预期!$J107*求节点($C$71:$C$72,H$71:H$72,基础状态预期!$AD107),0))</f>
        <v>0</v>
      </c>
      <c r="Y95" s="80">
        <f>IF(基础状态预期!$H107="",0,IF(基础状态预期!$AB107&lt;=1,基础状态预期!$AB107*D$18,D$18)*基础状态预期!$H107)+
IF(基础状态预期!$I107="",0,IF(基础状态预期!$AC107&lt;=1,基础状态预期!$AC107*D$19,D$19)*基础状态预期!$I107)+
IF(基础状态预期!$J107="",0,IF(基础状态预期!$AD107&lt;=1,基础状态预期!$AD107*D$20,D$20)*基础状态预期!$J107)</f>
        <v>5.7172671927886114</v>
      </c>
      <c r="Z95" s="80">
        <f>IF(基础状态预期!$H107="",0,IF(基础状态预期!$AB107&lt;=1,基础状态预期!$AB107*E$18,E$18)*基础状态预期!$H107)+
IF(基础状态预期!$I107="",0,IF(基础状态预期!$AC107&lt;=1,基础状态预期!$AC107*E$19,E$19)*基础状态预期!$I107)+
IF(基础状态预期!$J107="",0,IF(基础状态预期!$AD107&lt;=1,基础状态预期!$AD107*E$20,E$20)*基础状态预期!$J107)</f>
        <v>0</v>
      </c>
      <c r="AA95" s="80">
        <f>IF(基础状态预期!$H107="",0,IF(基础状态预期!$AB107&lt;=1,基础状态预期!$AB107*F$18,F$18)*基础状态预期!$H107)+
IF(基础状态预期!$I107="",0,IF(基础状态预期!$AC107&lt;=1,基础状态预期!$AC107*F$19,F$19)*基础状态预期!$I107)+
IF(基础状态预期!$J107="",0,IF(基础状态预期!$AD107&lt;=1,基础状态预期!$AD107*F$20,F$20)*基础状态预期!$J107)</f>
        <v>0</v>
      </c>
      <c r="AB95" s="67">
        <f>IF(基础状态预期!$H107="",0,IF(基础状态预期!$AB107&lt;=1,0,(基础状态预期!$AB107-1)*G$26)*基础状态预期!$H107)+
IF(基础状态预期!$I107="",0,IF(基础状态预期!$AC107&lt;=1,0,(基础状态预期!$AC107-1)*G$27)*基础状态预期!$I107)+
IF(基础状态预期!$J107="",0,IF(基础状态预期!$AD107&lt;=1,0,(基础状态预期!$AD107-1)*G$28)*基础状态预期!$J107)</f>
        <v>0</v>
      </c>
      <c r="AC95" s="67">
        <f>IF(基础状态预期!$H107="",0,IF(基础状态预期!$AB107&lt;=1,0,(基础状态预期!$AB107-1)*H$26)*基础状态预期!$H107)+
IF(基础状态预期!$I107="",0,IF(基础状态预期!$AC107&lt;=1,0,(基础状态预期!$AC107-1)*H$27)*基础状态预期!$I107)+
IF(基础状态预期!$J107="",0,IF(基础状态预期!$AD107&lt;=1,0,(基础状态预期!$AD107-1)*H$28)*基础状态预期!$J107)</f>
        <v>0</v>
      </c>
      <c r="AD95" s="67">
        <f>IF(基础状态预期!$H107="",0,IF(基础状态预期!$AB107&lt;=1,0,(基础状态预期!$AB107-1)*I$26)*基础状态预期!$H107)+
IF(基础状态预期!$I107="",0,IF(基础状态预期!$AC107&lt;=1,0,(基础状态预期!$AC107-1)*I$27)*基础状态预期!$I107)+
IF(基础状态预期!$J107="",0,IF(基础状态预期!$AD107&lt;=1,0,(基础状态预期!$AD107-1)*I$28)*基础状态预期!$J107)</f>
        <v>0</v>
      </c>
      <c r="AE95" s="80">
        <f>IF(各r阵容卡情况!$H101=0,0,IF(各r阵容卡情况!$AB101&lt;=1,各r阵容卡情况!$AB101*D$18,1*D$18)*各r阵容卡情况!$H101)+
IF(各r阵容卡情况!$I101=0,0,IF(各r阵容卡情况!$AC101&lt;=1,各r阵容卡情况!$AC101*D$19,1*D$19)*各r阵容卡情况!$I101)+
IF(各r阵容卡情况!$J101=0,0,IF(各r阵容卡情况!$AD101&lt;=1,各r阵容卡情况!$AD101*D$20,1*D$20)*各r阵容卡情况!$J101)</f>
        <v>0</v>
      </c>
      <c r="AF95" s="80">
        <f>IF(各r阵容卡情况!$H101=0,0,IF(各r阵容卡情况!$AB101&lt;=1,各r阵容卡情况!$AB101*E$18,1*E$18)*各r阵容卡情况!$H101)+
IF(各r阵容卡情况!$I101=0,0,IF(各r阵容卡情况!$AC101&lt;=1,各r阵容卡情况!$AC101*E$19,1*E$19)*各r阵容卡情况!$I101)+
IF(各r阵容卡情况!$J101=0,0,IF(各r阵容卡情况!$AD101&lt;=1,各r阵容卡情况!$AD101*E$20,1*E$20)*各r阵容卡情况!$J101)</f>
        <v>0</v>
      </c>
      <c r="AG95" s="80">
        <f>IF(各r阵容卡情况!$H101=0,0,IF(各r阵容卡情况!$AB101&lt;=1,各r阵容卡情况!$AB101*F$18,1*F$18)*各r阵容卡情况!$H101)+
IF(各r阵容卡情况!$I101=0,0,IF(各r阵容卡情况!$AC101&lt;=1,各r阵容卡情况!$AC101*F$19,1*F$19)*各r阵容卡情况!$I101)+
IF(各r阵容卡情况!$J101=0,0,IF(各r阵容卡情况!$AD101&lt;=1,各r阵容卡情况!$AD101*F$20,1*F$20)*各r阵容卡情况!$J101)</f>
        <v>0</v>
      </c>
      <c r="AH95" s="67">
        <f>IF(各r阵容卡情况!$H101=0,0,IF(各r阵容卡情况!$AB101&lt;=1,0,(各r阵容卡情况!$AB101-1)*G$26)*各r阵容卡情况!$H101)+
IF(各r阵容卡情况!$I101=0,0,IF(各r阵容卡情况!$AC101&lt;=1,0,(各r阵容卡情况!$AC101-1)*G$27)*各r阵容卡情况!$I101)+
IF(各r阵容卡情况!$J101=0,0,IF(各r阵容卡情况!$AD101&lt;=1,0,(各r阵容卡情况!$AD101-1)*G$28)*各r阵容卡情况!$J101)</f>
        <v>0</v>
      </c>
      <c r="AI95" s="67">
        <f>IF(各r阵容卡情况!$H101=0,0,IF(各r阵容卡情况!$AB101&lt;=1,0,(各r阵容卡情况!$AB101-1)*H$26)*各r阵容卡情况!$H101)+
IF(各r阵容卡情况!$I101=0,0,IF(各r阵容卡情况!$AC101&lt;=1,0,(各r阵容卡情况!$AC101-1)*H$27)*各r阵容卡情况!$I101)+
IF(各r阵容卡情况!$J101=0,0,IF(各r阵容卡情况!$AD101&lt;=1,0,(各r阵容卡情况!$AD101-1)*H$28)*各r阵容卡情况!$J101)</f>
        <v>0</v>
      </c>
      <c r="AJ95" s="67">
        <f>IF(各r阵容卡情况!$H101=0,0,IF(各r阵容卡情况!$AB101&lt;=1,0,(各r阵容卡情况!$AB101-1)*I$26)*各r阵容卡情况!$H101)+
IF(各r阵容卡情况!$I101=0,0,IF(各r阵容卡情况!$AC101&lt;=1,0,(各r阵容卡情况!$AC101-1)*I$27)*各r阵容卡情况!$I101)+
IF(各r阵容卡情况!$J101=0,0,IF(各r阵容卡情况!$AD101&lt;=1,0,(各r阵容卡情况!$AD101-1)*I$28)*各r阵容卡情况!$J101)</f>
        <v>0</v>
      </c>
      <c r="AL95" s="80">
        <f t="shared" ref="AL95:AL110" si="78">AL50</f>
        <v>10</v>
      </c>
      <c r="AM95" s="80">
        <f t="shared" ref="AM95:AM110" si="79">求节点($M$95:$M$133,Y$95:Y$133,$AL95)</f>
        <v>5.6606800114714506</v>
      </c>
      <c r="AN95" s="80">
        <f t="shared" ref="AN95:AN110" si="80">求节点($M$95:$M$133,Z$95:Z$133,$AL95)</f>
        <v>0</v>
      </c>
      <c r="AO95" s="80">
        <f t="shared" ref="AO95:AO110" si="81">求节点($M$95:$M$133,AA$95:AA$133,$AL95)</f>
        <v>0</v>
      </c>
      <c r="AP95" s="80">
        <f t="shared" ref="AP95:AP110" si="82">求节点($M$95:$M$133,AB$95:AB$133,$AL95)</f>
        <v>0</v>
      </c>
      <c r="AQ95" s="80">
        <f t="shared" ref="AQ95:AQ110" si="83">求节点($M$95:$M$133,AC$95:AC$133,$AL95)</f>
        <v>0</v>
      </c>
      <c r="AR95" s="80">
        <f t="shared" ref="AR95:AR110" si="84">求节点($M$95:$M$133,AD$95:AD$133,$AL95)</f>
        <v>0</v>
      </c>
      <c r="AS95" s="80">
        <f t="shared" ref="AS95:AS110" si="85">求节点($M$95:$M$133,AE$95:AE$133,$AL95)</f>
        <v>0</v>
      </c>
      <c r="AT95" s="80">
        <f t="shared" ref="AT95:AT110" si="86">求节点($M$95:$M$133,AF$95:AF$133,$AL95)</f>
        <v>0</v>
      </c>
      <c r="AU95" s="80">
        <f t="shared" ref="AU95:AU110" si="87">求节点($M$95:$M$133,AG$95:AG$133,$AL95)</f>
        <v>0</v>
      </c>
      <c r="AV95" s="80">
        <f t="shared" ref="AV95:AV110" si="88">求节点($M$95:$M$133,AH$95:AH$133,$AL95)</f>
        <v>0</v>
      </c>
      <c r="AW95" s="80">
        <f t="shared" ref="AW95:AW110" si="89">求节点($M$95:$M$133,AI$95:AI$133,$AL95)</f>
        <v>0</v>
      </c>
      <c r="AX95" s="80">
        <f t="shared" ref="AX95:AX110" si="90">求节点($M$95:$M$133,AJ$95:AJ$133,$AL95)</f>
        <v>0</v>
      </c>
      <c r="AY95" s="61" t="e">
        <f>SUMPRODUCT(AM95:AR95/'[1]功能-行军令'!$GI$26:$GN$26+AS95:AX95/'[1]功能-行军令'!$GI$26:$GN$26)/0.18</f>
        <v>#DIV/0!</v>
      </c>
      <c r="BB95" s="80">
        <v>20</v>
      </c>
      <c r="BC95" s="80"/>
      <c r="BD95" s="80"/>
      <c r="BE95" s="80"/>
      <c r="BF95" s="80"/>
      <c r="BG95" s="80"/>
      <c r="BH95" s="80"/>
      <c r="BI95" s="80"/>
      <c r="BJ95" s="80"/>
      <c r="BK95" s="80">
        <f t="shared" ref="BK95:BK103" si="91">SUM(BG95:BJ95)</f>
        <v>0</v>
      </c>
      <c r="BO95" s="80">
        <f t="shared" si="75"/>
        <v>19.800198258084681</v>
      </c>
      <c r="BP95" s="80">
        <f t="shared" si="76"/>
        <v>120000</v>
      </c>
      <c r="BQ95" s="80">
        <f>(BP95-BP94)*INDEX('[1]功能-付费相关'!$AS$6:$AS$165,$BO95,1)+BQ94</f>
        <v>261.05076863547373</v>
      </c>
      <c r="BR95" s="80"/>
      <c r="BS95" s="80"/>
      <c r="BU95" s="80">
        <v>20</v>
      </c>
      <c r="BV95" s="80">
        <f t="shared" si="77"/>
        <v>261.05076863547373</v>
      </c>
      <c r="BW95" s="80">
        <f>INDEX('[1]功能-行军令'!$N$4:$R$163,BU95,1)*INDEX('[1]功能-付费相关'!$H$6:$L$6,1,3)*'[1]功能-行军令'!$AD$17</f>
        <v>1139.9636363636364</v>
      </c>
      <c r="BX95" s="80"/>
      <c r="BY95" s="80">
        <f t="shared" ref="BY95:BY103" si="92">SUM(BV95:BX95)</f>
        <v>1401.0144049991102</v>
      </c>
    </row>
    <row r="96" spans="2:77" x14ac:dyDescent="0.15">
      <c r="L96" s="61">
        <v>5</v>
      </c>
      <c r="M96" s="80">
        <f>基础状态预期!D108</f>
        <v>19.800198258084681</v>
      </c>
      <c r="N96" s="80">
        <f>IF(基础状态预期!F108="",0,IF(基础状态预期!Z108&lt;=1,基础状态预期!Z108*D$4,1*D$4+(基础状态预期!Z108-1)*武将觉醒!D$5))</f>
        <v>0</v>
      </c>
      <c r="O96" s="80">
        <f>IF(基础状态预期!G108="",0,IF(基础状态预期!AA108&lt;=1,基础状态预期!AA108*E$4,1*E$4+(基础状态预期!AA108-1)*武将觉醒!E$5))</f>
        <v>0</v>
      </c>
      <c r="P96" s="80">
        <f>IF(基础状态预期!H108="",0,IF(基础状态预期!AB108&lt;=1,基础状态预期!AB108*F$4,1*F$4+(基础状态预期!AB108-1)*武将觉醒!F$5))</f>
        <v>0</v>
      </c>
      <c r="Q96" s="80">
        <f>IF(基础状态预期!I108="",0,IF(基础状态预期!AC108&lt;=1,基础状态预期!AC108*G$4,1*G$4+(基础状态预期!AC108-1)*武将觉醒!G$5))</f>
        <v>20000</v>
      </c>
      <c r="R96" s="80">
        <f>IF(基础状态预期!J108="",0,IF(基础状态预期!AD108&lt;=1,基础状态预期!AD108*H$4,1*H$4+(基础状态预期!AD108-1)*武将觉醒!H$5))</f>
        <v>0</v>
      </c>
      <c r="S96" s="80">
        <f>MAX(SUMPRODUCT(N96:R96,基础状态预期!F108:J108),S95)</f>
        <v>120000</v>
      </c>
      <c r="T96" s="80">
        <f>IF(基础状态预期!Z108="",0,IFERROR(基础状态预期!F108*求节点($C$62:$C$63,D$62:D$63,基础状态预期!Z108),0)+IFERROR(基础状态预期!$J108*求节点($C$71:$C$72,D$71:D$72,基础状态预期!$AD108),0))</f>
        <v>0</v>
      </c>
      <c r="U96" s="80">
        <f>IF(基础状态预期!AA108="",0,IFERROR(基础状态预期!G108*求节点($C$62:$C$63,E$62:E$63,基础状态预期!AA108),0)+IFERROR(基础状态预期!$J108*求节点($C$71:$C$72,E$71:E$72,基础状态预期!$AD108),0))</f>
        <v>0</v>
      </c>
      <c r="V96" s="80">
        <f>IF(基础状态预期!AB108="",0,IFERROR(基础状态预期!H108*求节点($C$62:$C$63,F$62:F$63,基础状态预期!AB108),0)+IFERROR(基础状态预期!$J108*求节点($C$71:$C$72,F$71:F$72,基础状态预期!$AD108),0))</f>
        <v>0</v>
      </c>
      <c r="W96" s="80">
        <f>IF(基础状态预期!AC108="",0,IFERROR(基础状态预期!I108*求节点($C$62:$C$63,G$62:G$63,基础状态预期!AC108),0)+IFERROR(基础状态预期!$J108*求节点($C$71:$C$72,G$71:G$72,基础状态预期!$AD108),0))</f>
        <v>0</v>
      </c>
      <c r="X96" s="80">
        <f>IF(基础状态预期!AD108="",0,IFERROR(基础状态预期!J108*求节点($C$62:$C$63,H$62:H$63,基础状态预期!AD108),0)+IFERROR(基础状态预期!$J108*求节点($C$71:$C$72,H$71:H$72,基础状态预期!$AD108),0))</f>
        <v>0</v>
      </c>
      <c r="Y96" s="80">
        <f>IF(基础状态预期!$H108="",0,IF(基础状态预期!$AB108&lt;=1,基础状态预期!$AB108*D$18,D$18)*基础状态预期!$H108)+
IF(基础状态预期!$I108="",0,IF(基础状态预期!$AC108&lt;=1,基础状态预期!$AC108*D$19,D$19)*基础状态预期!$I108)+
IF(基础状态预期!$J108="",0,IF(基础状态预期!$AD108&lt;=1,基础状态预期!$AD108*D$20,D$20)*基础状态预期!$J108)</f>
        <v>36</v>
      </c>
      <c r="Z96" s="80">
        <f>IF(基础状态预期!$H108="",0,IF(基础状态预期!$AB108&lt;=1,基础状态预期!$AB108*E$18,E$18)*基础状态预期!$H108)+
IF(基础状态预期!$I108="",0,IF(基础状态预期!$AC108&lt;=1,基础状态预期!$AC108*E$19,E$19)*基础状态预期!$I108)+
IF(基础状态预期!$J108="",0,IF(基础状态预期!$AD108&lt;=1,基础状态预期!$AD108*E$20,E$20)*基础状态预期!$J108)</f>
        <v>0</v>
      </c>
      <c r="AA96" s="80">
        <f>IF(基础状态预期!$H108="",0,IF(基础状态预期!$AB108&lt;=1,基础状态预期!$AB108*F$18,F$18)*基础状态预期!$H108)+
IF(基础状态预期!$I108="",0,IF(基础状态预期!$AC108&lt;=1,基础状态预期!$AC108*F$19,F$19)*基础状态预期!$I108)+
IF(基础状态预期!$J108="",0,IF(基础状态预期!$AD108&lt;=1,基础状态预期!$AD108*F$20,F$20)*基础状态预期!$J108)</f>
        <v>0</v>
      </c>
      <c r="AB96" s="67">
        <f>IF(基础状态预期!$H108="",0,IF(基础状态预期!$AB108&lt;=1,0,(基础状态预期!$AB108-1)*G$26)*基础状态预期!$H108)+
IF(基础状态预期!$I108="",0,IF(基础状态预期!$AC108&lt;=1,0,(基础状态预期!$AC108-1)*G$27)*基础状态预期!$I108)+
IF(基础状态预期!$J108="",0,IF(基础状态预期!$AD108&lt;=1,0,(基础状态预期!$AD108-1)*G$28)*基础状态预期!$J108)</f>
        <v>0</v>
      </c>
      <c r="AC96" s="67">
        <f>IF(基础状态预期!$H108="",0,IF(基础状态预期!$AB108&lt;=1,0,(基础状态预期!$AB108-1)*H$26)*基础状态预期!$H108)+
IF(基础状态预期!$I108="",0,IF(基础状态预期!$AC108&lt;=1,0,(基础状态预期!$AC108-1)*H$27)*基础状态预期!$I108)+
IF(基础状态预期!$J108="",0,IF(基础状态预期!$AD108&lt;=1,0,(基础状态预期!$AD108-1)*H$28)*基础状态预期!$J108)</f>
        <v>0</v>
      </c>
      <c r="AD96" s="67">
        <f>IF(基础状态预期!$H108="",0,IF(基础状态预期!$AB108&lt;=1,0,(基础状态预期!$AB108-1)*I$26)*基础状态预期!$H108)+
IF(基础状态预期!$I108="",0,IF(基础状态预期!$AC108&lt;=1,0,(基础状态预期!$AC108-1)*I$27)*基础状态预期!$I108)+
IF(基础状态预期!$J108="",0,IF(基础状态预期!$AD108&lt;=1,0,(基础状态预期!$AD108-1)*I$28)*基础状态预期!$J108)</f>
        <v>0</v>
      </c>
      <c r="AE96" s="80">
        <f>IF(各r阵容卡情况!$H102=0,0,IF(各r阵容卡情况!$AB102&lt;=1,各r阵容卡情况!$AB102*D$18,1*D$18)*各r阵容卡情况!$H102)+
IF(各r阵容卡情况!$I102=0,0,IF(各r阵容卡情况!$AC102&lt;=1,各r阵容卡情况!$AC102*D$19,1*D$19)*各r阵容卡情况!$I102)+
IF(各r阵容卡情况!$J102=0,0,IF(各r阵容卡情况!$AD102&lt;=1,各r阵容卡情况!$AD102*D$20,1*D$20)*各r阵容卡情况!$J102)</f>
        <v>0</v>
      </c>
      <c r="AF96" s="80">
        <f>IF(各r阵容卡情况!$H102=0,0,IF(各r阵容卡情况!$AB102&lt;=1,各r阵容卡情况!$AB102*E$18,1*E$18)*各r阵容卡情况!$H102)+
IF(各r阵容卡情况!$I102=0,0,IF(各r阵容卡情况!$AC102&lt;=1,各r阵容卡情况!$AC102*E$19,1*E$19)*各r阵容卡情况!$I102)+
IF(各r阵容卡情况!$J102=0,0,IF(各r阵容卡情况!$AD102&lt;=1,各r阵容卡情况!$AD102*E$20,1*E$20)*各r阵容卡情况!$J102)</f>
        <v>0</v>
      </c>
      <c r="AG96" s="80">
        <f>IF(各r阵容卡情况!$H102=0,0,IF(各r阵容卡情况!$AB102&lt;=1,各r阵容卡情况!$AB102*F$18,1*F$18)*各r阵容卡情况!$H102)+
IF(各r阵容卡情况!$I102=0,0,IF(各r阵容卡情况!$AC102&lt;=1,各r阵容卡情况!$AC102*F$19,1*F$19)*各r阵容卡情况!$I102)+
IF(各r阵容卡情况!$J102=0,0,IF(各r阵容卡情况!$AD102&lt;=1,各r阵容卡情况!$AD102*F$20,1*F$20)*各r阵容卡情况!$J102)</f>
        <v>0</v>
      </c>
      <c r="AH96" s="67">
        <f>IF(各r阵容卡情况!$H102=0,0,IF(各r阵容卡情况!$AB102&lt;=1,0,(各r阵容卡情况!$AB102-1)*G$26)*各r阵容卡情况!$H102)+
IF(各r阵容卡情况!$I102=0,0,IF(各r阵容卡情况!$AC102&lt;=1,0,(各r阵容卡情况!$AC102-1)*G$27)*各r阵容卡情况!$I102)+
IF(各r阵容卡情况!$J102=0,0,IF(各r阵容卡情况!$AD102&lt;=1,0,(各r阵容卡情况!$AD102-1)*G$28)*各r阵容卡情况!$J102)</f>
        <v>0</v>
      </c>
      <c r="AI96" s="67">
        <f>IF(各r阵容卡情况!$H102=0,0,IF(各r阵容卡情况!$AB102&lt;=1,0,(各r阵容卡情况!$AB102-1)*H$26)*各r阵容卡情况!$H102)+
IF(各r阵容卡情况!$I102=0,0,IF(各r阵容卡情况!$AC102&lt;=1,0,(各r阵容卡情况!$AC102-1)*H$27)*各r阵容卡情况!$I102)+
IF(各r阵容卡情况!$J102=0,0,IF(各r阵容卡情况!$AD102&lt;=1,0,(各r阵容卡情况!$AD102-1)*H$28)*各r阵容卡情况!$J102)</f>
        <v>0</v>
      </c>
      <c r="AJ96" s="67">
        <f>IF(各r阵容卡情况!$H102=0,0,IF(各r阵容卡情况!$AB102&lt;=1,0,(各r阵容卡情况!$AB102-1)*I$26)*各r阵容卡情况!$H102)+
IF(各r阵容卡情况!$I102=0,0,IF(各r阵容卡情况!$AC102&lt;=1,0,(各r阵容卡情况!$AC102-1)*I$27)*各r阵容卡情况!$I102)+
IF(各r阵容卡情况!$J102=0,0,IF(各r阵容卡情况!$AD102&lt;=1,0,(各r阵容卡情况!$AD102-1)*I$28)*各r阵容卡情况!$J102)</f>
        <v>0</v>
      </c>
      <c r="AL96" s="80">
        <f t="shared" si="78"/>
        <v>15</v>
      </c>
      <c r="AM96" s="80">
        <f t="shared" si="79"/>
        <v>21.014471041221658</v>
      </c>
      <c r="AN96" s="80">
        <f t="shared" si="80"/>
        <v>0</v>
      </c>
      <c r="AO96" s="80">
        <f t="shared" si="81"/>
        <v>0</v>
      </c>
      <c r="AP96" s="80">
        <f t="shared" si="82"/>
        <v>0</v>
      </c>
      <c r="AQ96" s="80">
        <f t="shared" si="83"/>
        <v>0</v>
      </c>
      <c r="AR96" s="80">
        <f t="shared" si="84"/>
        <v>0</v>
      </c>
      <c r="AS96" s="80">
        <f t="shared" si="85"/>
        <v>0</v>
      </c>
      <c r="AT96" s="80">
        <f t="shared" si="86"/>
        <v>0</v>
      </c>
      <c r="AU96" s="80">
        <f t="shared" si="87"/>
        <v>0</v>
      </c>
      <c r="AV96" s="80">
        <f t="shared" si="88"/>
        <v>0</v>
      </c>
      <c r="AW96" s="80">
        <f t="shared" si="89"/>
        <v>0</v>
      </c>
      <c r="AX96" s="80">
        <f t="shared" si="90"/>
        <v>0</v>
      </c>
      <c r="AY96" s="61" t="e">
        <f>SUMPRODUCT(AM96:AR96/'[1]功能-行军令'!$GI$26:$GN$26+AS96:AX96/'[1]功能-行军令'!$GI$26:$GN$26)/0.18</f>
        <v>#DIV/0!</v>
      </c>
      <c r="BB96" s="80">
        <v>30</v>
      </c>
      <c r="BC96" s="80"/>
      <c r="BD96" s="80"/>
      <c r="BE96" s="80"/>
      <c r="BF96" s="80"/>
      <c r="BG96" s="80"/>
      <c r="BH96" s="80"/>
      <c r="BI96" s="80"/>
      <c r="BJ96" s="80"/>
      <c r="BK96" s="80">
        <f t="shared" si="91"/>
        <v>0</v>
      </c>
      <c r="BO96" s="80">
        <f t="shared" si="75"/>
        <v>27.769105021676069</v>
      </c>
      <c r="BP96" s="80">
        <f t="shared" si="76"/>
        <v>120000</v>
      </c>
      <c r="BQ96" s="80">
        <f>(BP96-BP95)*INDEX('[1]功能-付费相关'!$AS$6:$AS$165,$BO96,1)+BQ95</f>
        <v>261.05076863547373</v>
      </c>
      <c r="BR96" s="80"/>
      <c r="BS96" s="80"/>
      <c r="BU96" s="80">
        <v>30</v>
      </c>
      <c r="BV96" s="80">
        <f t="shared" si="77"/>
        <v>1694.3719861158925</v>
      </c>
      <c r="BW96" s="80">
        <f>INDEX('[1]功能-行军令'!$N$4:$R$163,BU96,1)*INDEX('[1]功能-付费相关'!$H$6:$L$6,1,3)*'[1]功能-行军令'!$AD$17</f>
        <v>2659.9151515151516</v>
      </c>
      <c r="BX96" s="80"/>
      <c r="BY96" s="80">
        <f t="shared" si="92"/>
        <v>4354.2871376310441</v>
      </c>
    </row>
    <row r="97" spans="12:77" x14ac:dyDescent="0.15">
      <c r="L97" s="61">
        <v>6</v>
      </c>
      <c r="M97" s="80">
        <f>基础状态预期!D109</f>
        <v>27.769105021676069</v>
      </c>
      <c r="N97" s="80">
        <f>IF(基础状态预期!F109="",0,IF(基础状态预期!Z109&lt;=1,基础状态预期!Z109*D$4,1*D$4+(基础状态预期!Z109-1)*武将觉醒!D$5))</f>
        <v>0</v>
      </c>
      <c r="O97" s="80">
        <f>IF(基础状态预期!G109="",0,IF(基础状态预期!AA109&lt;=1,基础状态预期!AA109*E$4,1*E$4+(基础状态预期!AA109-1)*武将觉醒!E$5))</f>
        <v>0</v>
      </c>
      <c r="P97" s="80">
        <f>IF(基础状态预期!H109="",0,IF(基础状态预期!AB109&lt;=1,基础状态预期!AB109*F$4,1*F$4+(基础状态预期!AB109-1)*武将觉醒!F$5))</f>
        <v>0</v>
      </c>
      <c r="Q97" s="80">
        <f>IF(基础状态预期!I109="",0,IF(基础状态预期!AC109&lt;=1,基础状态预期!AC109*G$4,1*G$4+(基础状态预期!AC109-1)*武将觉醒!G$5))</f>
        <v>20000</v>
      </c>
      <c r="R97" s="80">
        <f>IF(基础状态预期!J109="",0,IF(基础状态预期!AD109&lt;=1,基础状态预期!AD109*H$4,1*H$4+(基础状态预期!AD109-1)*武将觉醒!H$5))</f>
        <v>0</v>
      </c>
      <c r="S97" s="80">
        <f>MAX(SUMPRODUCT(N97:R97,基础状态预期!F109:J109),S96)</f>
        <v>120000</v>
      </c>
      <c r="T97" s="80">
        <f>IF(基础状态预期!Z109="",0,IFERROR(基础状态预期!F109*求节点($C$62:$C$63,D$62:D$63,基础状态预期!Z109),0)+IFERROR(基础状态预期!$J109*求节点($C$71:$C$72,D$71:D$72,基础状态预期!$AD109),0))</f>
        <v>0</v>
      </c>
      <c r="U97" s="80">
        <f>IF(基础状态预期!AA109="",0,IFERROR(基础状态预期!G109*求节点($C$62:$C$63,E$62:E$63,基础状态预期!AA109),0)+IFERROR(基础状态预期!$J109*求节点($C$71:$C$72,E$71:E$72,基础状态预期!$AD109),0))</f>
        <v>0</v>
      </c>
      <c r="V97" s="80">
        <f>IF(基础状态预期!AB109="",0,IFERROR(基础状态预期!H109*求节点($C$62:$C$63,F$62:F$63,基础状态预期!AB109),0)+IFERROR(基础状态预期!$J109*求节点($C$71:$C$72,F$71:F$72,基础状态预期!$AD109),0))</f>
        <v>0</v>
      </c>
      <c r="W97" s="80">
        <f>IF(基础状态预期!AC109="",0,IFERROR(基础状态预期!I109*求节点($C$62:$C$63,G$62:G$63,基础状态预期!AC109),0)+IFERROR(基础状态预期!$J109*求节点($C$71:$C$72,G$71:G$72,基础状态预期!$AD109),0))</f>
        <v>0</v>
      </c>
      <c r="X97" s="80">
        <f>IF(基础状态预期!AD109="",0,IFERROR(基础状态预期!J109*求节点($C$62:$C$63,H$62:H$63,基础状态预期!AD109),0)+IFERROR(基础状态预期!$J109*求节点($C$71:$C$72,H$71:H$72,基础状态预期!$AD109),0))</f>
        <v>0</v>
      </c>
      <c r="Y97" s="80">
        <f>IF(基础状态预期!$H109="",0,IF(基础状态预期!$AB109&lt;=1,基础状态预期!$AB109*D$18,D$18)*基础状态预期!$H109)+
IF(基础状态预期!$I109="",0,IF(基础状态预期!$AC109&lt;=1,基础状态预期!$AC109*D$19,D$19)*基础状态预期!$I109)+
IF(基础状态预期!$J109="",0,IF(基础状态预期!$AD109&lt;=1,基础状态预期!$AD109*D$20,D$20)*基础状态预期!$J109)</f>
        <v>36</v>
      </c>
      <c r="Z97" s="80">
        <f>IF(基础状态预期!$H109="",0,IF(基础状态预期!$AB109&lt;=1,基础状态预期!$AB109*E$18,E$18)*基础状态预期!$H109)+
IF(基础状态预期!$I109="",0,IF(基础状态预期!$AC109&lt;=1,基础状态预期!$AC109*E$19,E$19)*基础状态预期!$I109)+
IF(基础状态预期!$J109="",0,IF(基础状态预期!$AD109&lt;=1,基础状态预期!$AD109*E$20,E$20)*基础状态预期!$J109)</f>
        <v>0</v>
      </c>
      <c r="AA97" s="80">
        <f>IF(基础状态预期!$H109="",0,IF(基础状态预期!$AB109&lt;=1,基础状态预期!$AB109*F$18,F$18)*基础状态预期!$H109)+
IF(基础状态预期!$I109="",0,IF(基础状态预期!$AC109&lt;=1,基础状态预期!$AC109*F$19,F$19)*基础状态预期!$I109)+
IF(基础状态预期!$J109="",0,IF(基础状态预期!$AD109&lt;=1,基础状态预期!$AD109*F$20,F$20)*基础状态预期!$J109)</f>
        <v>0</v>
      </c>
      <c r="AB97" s="67">
        <f>IF(基础状态预期!$H109="",0,IF(基础状态预期!$AB109&lt;=1,0,(基础状态预期!$AB109-1)*G$26)*基础状态预期!$H109)+
IF(基础状态预期!$I109="",0,IF(基础状态预期!$AC109&lt;=1,0,(基础状态预期!$AC109-1)*G$27)*基础状态预期!$I109)+
IF(基础状态预期!$J109="",0,IF(基础状态预期!$AD109&lt;=1,0,(基础状态预期!$AD109-1)*G$28)*基础状态预期!$J109)</f>
        <v>0</v>
      </c>
      <c r="AC97" s="67">
        <f>IF(基础状态预期!$H109="",0,IF(基础状态预期!$AB109&lt;=1,0,(基础状态预期!$AB109-1)*H$26)*基础状态预期!$H109)+
IF(基础状态预期!$I109="",0,IF(基础状态预期!$AC109&lt;=1,0,(基础状态预期!$AC109-1)*H$27)*基础状态预期!$I109)+
IF(基础状态预期!$J109="",0,IF(基础状态预期!$AD109&lt;=1,0,(基础状态预期!$AD109-1)*H$28)*基础状态预期!$J109)</f>
        <v>0</v>
      </c>
      <c r="AD97" s="67">
        <f>IF(基础状态预期!$H109="",0,IF(基础状态预期!$AB109&lt;=1,0,(基础状态预期!$AB109-1)*I$26)*基础状态预期!$H109)+
IF(基础状态预期!$I109="",0,IF(基础状态预期!$AC109&lt;=1,0,(基础状态预期!$AC109-1)*I$27)*基础状态预期!$I109)+
IF(基础状态预期!$J109="",0,IF(基础状态预期!$AD109&lt;=1,0,(基础状态预期!$AD109-1)*I$28)*基础状态预期!$J109)</f>
        <v>0</v>
      </c>
      <c r="AE97" s="80">
        <f>IF(各r阵容卡情况!$H103=0,0,IF(各r阵容卡情况!$AB103&lt;=1,各r阵容卡情况!$AB103*D$18,1*D$18)*各r阵容卡情况!$H103)+
IF(各r阵容卡情况!$I103=0,0,IF(各r阵容卡情况!$AC103&lt;=1,各r阵容卡情况!$AC103*D$19,1*D$19)*各r阵容卡情况!$I103)+
IF(各r阵容卡情况!$J103=0,0,IF(各r阵容卡情况!$AD103&lt;=1,各r阵容卡情况!$AD103*D$20,1*D$20)*各r阵容卡情况!$J103)</f>
        <v>8</v>
      </c>
      <c r="AF97" s="80">
        <f>IF(各r阵容卡情况!$H103=0,0,IF(各r阵容卡情况!$AB103&lt;=1,各r阵容卡情况!$AB103*E$18,1*E$18)*各r阵容卡情况!$H103)+
IF(各r阵容卡情况!$I103=0,0,IF(各r阵容卡情况!$AC103&lt;=1,各r阵容卡情况!$AC103*E$19,1*E$19)*各r阵容卡情况!$I103)+
IF(各r阵容卡情况!$J103=0,0,IF(各r阵容卡情况!$AD103&lt;=1,各r阵容卡情况!$AD103*E$20,1*E$20)*各r阵容卡情况!$J103)</f>
        <v>0</v>
      </c>
      <c r="AG97" s="80">
        <f>IF(各r阵容卡情况!$H103=0,0,IF(各r阵容卡情况!$AB103&lt;=1,各r阵容卡情况!$AB103*F$18,1*F$18)*各r阵容卡情况!$H103)+
IF(各r阵容卡情况!$I103=0,0,IF(各r阵容卡情况!$AC103&lt;=1,各r阵容卡情况!$AC103*F$19,1*F$19)*各r阵容卡情况!$I103)+
IF(各r阵容卡情况!$J103=0,0,IF(各r阵容卡情况!$AD103&lt;=1,各r阵容卡情况!$AD103*F$20,1*F$20)*各r阵容卡情况!$J103)</f>
        <v>0</v>
      </c>
      <c r="AH97" s="67">
        <f>IF(各r阵容卡情况!$H103=0,0,IF(各r阵容卡情况!$AB103&lt;=1,0,(各r阵容卡情况!$AB103-1)*G$26)*各r阵容卡情况!$H103)+
IF(各r阵容卡情况!$I103=0,0,IF(各r阵容卡情况!$AC103&lt;=1,0,(各r阵容卡情况!$AC103-1)*G$27)*各r阵容卡情况!$I103)+
IF(各r阵容卡情况!$J103=0,0,IF(各r阵容卡情况!$AD103&lt;=1,0,(各r阵容卡情况!$AD103-1)*G$28)*各r阵容卡情况!$J103)</f>
        <v>0</v>
      </c>
      <c r="AI97" s="67">
        <f>IF(各r阵容卡情况!$H103=0,0,IF(各r阵容卡情况!$AB103&lt;=1,0,(各r阵容卡情况!$AB103-1)*H$26)*各r阵容卡情况!$H103)+
IF(各r阵容卡情况!$I103=0,0,IF(各r阵容卡情况!$AC103&lt;=1,0,(各r阵容卡情况!$AC103-1)*H$27)*各r阵容卡情况!$I103)+
IF(各r阵容卡情况!$J103=0,0,IF(各r阵容卡情况!$AD103&lt;=1,0,(各r阵容卡情况!$AD103-1)*H$28)*各r阵容卡情况!$J103)</f>
        <v>0</v>
      </c>
      <c r="AJ97" s="67">
        <f>IF(各r阵容卡情况!$H103=0,0,IF(各r阵容卡情况!$AB103&lt;=1,0,(各r阵容卡情况!$AB103-1)*I$26)*各r阵容卡情况!$H103)+
IF(各r阵容卡情况!$I103=0,0,IF(各r阵容卡情况!$AC103&lt;=1,0,(各r阵容卡情况!$AC103-1)*I$27)*各r阵容卡情况!$I103)+
IF(各r阵容卡情况!$J103=0,0,IF(各r阵容卡情况!$AD103&lt;=1,0,(各r阵容卡情况!$AD103-1)*I$28)*各r阵容卡情况!$J103)</f>
        <v>0</v>
      </c>
      <c r="AL97" s="80">
        <f t="shared" si="78"/>
        <v>20</v>
      </c>
      <c r="AM97" s="80">
        <f t="shared" si="79"/>
        <v>36</v>
      </c>
      <c r="AN97" s="80">
        <f t="shared" si="80"/>
        <v>0</v>
      </c>
      <c r="AO97" s="80">
        <f t="shared" si="81"/>
        <v>0</v>
      </c>
      <c r="AP97" s="80">
        <f t="shared" si="82"/>
        <v>0</v>
      </c>
      <c r="AQ97" s="80">
        <f t="shared" si="83"/>
        <v>0</v>
      </c>
      <c r="AR97" s="80">
        <f t="shared" si="84"/>
        <v>0</v>
      </c>
      <c r="AS97" s="80">
        <f t="shared" si="85"/>
        <v>0.20058133226322114</v>
      </c>
      <c r="AT97" s="80">
        <f t="shared" si="86"/>
        <v>0</v>
      </c>
      <c r="AU97" s="80">
        <f t="shared" si="87"/>
        <v>0</v>
      </c>
      <c r="AV97" s="80">
        <f t="shared" si="88"/>
        <v>0</v>
      </c>
      <c r="AW97" s="80">
        <f t="shared" si="89"/>
        <v>0</v>
      </c>
      <c r="AX97" s="80">
        <f t="shared" si="90"/>
        <v>0</v>
      </c>
      <c r="AY97" s="61" t="e">
        <f>SUMPRODUCT(AM97:AR97/'[1]功能-行军令'!$GI$26:$GN$26+AS97:AX97/'[1]功能-行军令'!$GI$26:$GN$26)/0.18</f>
        <v>#DIV/0!</v>
      </c>
      <c r="BB97" s="80">
        <v>40</v>
      </c>
      <c r="BC97" s="80"/>
      <c r="BD97" s="80"/>
      <c r="BE97" s="80"/>
      <c r="BF97" s="80"/>
      <c r="BG97" s="80"/>
      <c r="BH97" s="80"/>
      <c r="BI97" s="80"/>
      <c r="BJ97" s="80"/>
      <c r="BK97" s="80">
        <f t="shared" si="91"/>
        <v>0</v>
      </c>
      <c r="BO97" s="80">
        <f t="shared" si="75"/>
        <v>34.192155176139416</v>
      </c>
      <c r="BP97" s="80">
        <f t="shared" si="76"/>
        <v>2563022.2582489853</v>
      </c>
      <c r="BQ97" s="80">
        <f>(BP97-BP96)*INDEX('[1]功能-付费相关'!$AS$6:$AS$165,$BO97,1)+BQ96</f>
        <v>4387.7775562182196</v>
      </c>
      <c r="BR97" s="80"/>
      <c r="BS97" s="80"/>
      <c r="BU97" s="80">
        <v>40</v>
      </c>
      <c r="BV97" s="80">
        <f t="shared" si="77"/>
        <v>5269.0714513938756</v>
      </c>
      <c r="BW97" s="80">
        <f>INDEX('[1]功能-行军令'!$N$4:$R$163,BU97,1)*INDEX('[1]功能-付费相关'!$H$6:$L$6,1,3)*'[1]功能-行军令'!$AD$17</f>
        <v>5699.8181818181829</v>
      </c>
      <c r="BX97" s="80"/>
      <c r="BY97" s="80">
        <f t="shared" si="92"/>
        <v>10968.889633212058</v>
      </c>
    </row>
    <row r="98" spans="12:77" x14ac:dyDescent="0.15">
      <c r="L98" s="61">
        <v>7</v>
      </c>
      <c r="M98" s="80">
        <f>基础状态预期!D110</f>
        <v>34.192155176139416</v>
      </c>
      <c r="N98" s="80">
        <f>IF(基础状态预期!F110="",0,IF(基础状态预期!Z110&lt;=1,基础状态预期!Z110*D$4,1*D$4+(基础状态预期!Z110-1)*武将觉醒!D$5))</f>
        <v>0</v>
      </c>
      <c r="O98" s="80">
        <f>IF(基础状态预期!G110="",0,IF(基础状态预期!AA110&lt;=1,基础状态预期!AA110*E$4,1*E$4+(基础状态预期!AA110-1)*武将觉醒!E$5))</f>
        <v>0</v>
      </c>
      <c r="P98" s="80">
        <f>IF(基础状态预期!H110="",0,IF(基础状态预期!AB110&lt;=1,基础状态预期!AB110*F$4,1*F$4+(基础状态预期!AB110-1)*武将觉醒!F$5))</f>
        <v>0</v>
      </c>
      <c r="Q98" s="80">
        <f>IF(基础状态预期!I110="",0,IF(基础状态预期!AC110&lt;=1,基础状态预期!AC110*G$4,1*G$4+(基础状态预期!AC110-1)*武将觉醒!G$5))</f>
        <v>427170.3763748309</v>
      </c>
      <c r="R98" s="80">
        <f>IF(基础状态预期!J110="",0,IF(基础状态预期!AD110&lt;=1,基础状态预期!AD110*H$4,1*H$4+(基础状态预期!AD110-1)*武将觉醒!H$5))</f>
        <v>0</v>
      </c>
      <c r="S98" s="80">
        <f>MAX(SUMPRODUCT(N98:R98,基础状态预期!F110:J110),S97)</f>
        <v>2563022.2582489853</v>
      </c>
      <c r="T98" s="80">
        <f>IF(基础状态预期!Z110="",0,IFERROR(基础状态预期!F110*求节点($C$62:$C$63,D$62:D$63,基础状态预期!Z110),0)+IFERROR(基础状态预期!$J110*求节点($C$71:$C$72,D$71:D$72,基础状态预期!$AD110),0))</f>
        <v>0</v>
      </c>
      <c r="U98" s="80">
        <f>IF(基础状态预期!AA110="",0,IFERROR(基础状态预期!G110*求节点($C$62:$C$63,E$62:E$63,基础状态预期!AA110),0)+IFERROR(基础状态预期!$J110*求节点($C$71:$C$72,E$71:E$72,基础状态预期!$AD110),0))</f>
        <v>0</v>
      </c>
      <c r="V98" s="80">
        <f>IF(基础状态预期!AB110="",0,IFERROR(基础状态预期!H110*求节点($C$62:$C$63,F$62:F$63,基础状态预期!AB110),0)+IFERROR(基础状态预期!$J110*求节点($C$71:$C$72,F$71:F$72,基础状态预期!$AD110),0))</f>
        <v>0</v>
      </c>
      <c r="W98" s="80">
        <f>IF(基础状态预期!AC110="",0,IFERROR(基础状态预期!I110*求节点($C$62:$C$63,G$62:G$63,基础状态预期!AC110),0)+IFERROR(基础状态预期!$J110*求节点($C$71:$C$72,G$71:G$72,基础状态预期!$AD110),0))</f>
        <v>4.8860445164979707</v>
      </c>
      <c r="X98" s="80">
        <f>IF(基础状态预期!AD110="",0,IFERROR(基础状态预期!J110*求节点($C$62:$C$63,H$62:H$63,基础状态预期!AD110),0)+IFERROR(基础状态预期!$J110*求节点($C$71:$C$72,H$71:H$72,基础状态预期!$AD110),0))</f>
        <v>0</v>
      </c>
      <c r="Y98" s="80">
        <f>IF(基础状态预期!$H110="",0,IF(基础状态预期!$AB110&lt;=1,基础状态预期!$AB110*D$18,D$18)*基础状态预期!$H110)+
IF(基础状态预期!$I110="",0,IF(基础状态预期!$AC110&lt;=1,基础状态预期!$AC110*D$19,D$19)*基础状态预期!$I110)+
IF(基础状态预期!$J110="",0,IF(基础状态预期!$AD110&lt;=1,基础状态预期!$AD110*D$20,D$20)*基础状态预期!$J110)</f>
        <v>36</v>
      </c>
      <c r="Z98" s="80">
        <f>IF(基础状态预期!$H110="",0,IF(基础状态预期!$AB110&lt;=1,基础状态预期!$AB110*E$18,E$18)*基础状态预期!$H110)+
IF(基础状态预期!$I110="",0,IF(基础状态预期!$AC110&lt;=1,基础状态预期!$AC110*E$19,E$19)*基础状态预期!$I110)+
IF(基础状态预期!$J110="",0,IF(基础状态预期!$AD110&lt;=1,基础状态预期!$AD110*E$20,E$20)*基础状态预期!$J110)</f>
        <v>0</v>
      </c>
      <c r="AA98" s="80">
        <f>IF(基础状态预期!$H110="",0,IF(基础状态预期!$AB110&lt;=1,基础状态预期!$AB110*F$18,F$18)*基础状态预期!$H110)+
IF(基础状态预期!$I110="",0,IF(基础状态预期!$AC110&lt;=1,基础状态预期!$AC110*F$19,F$19)*基础状态预期!$I110)+
IF(基础状态预期!$J110="",0,IF(基础状态预期!$AD110&lt;=1,基础状态预期!$AD110*F$20,F$20)*基础状态预期!$J110)</f>
        <v>0</v>
      </c>
      <c r="AB98" s="67">
        <f>IF(基础状态预期!$H110="",0,IF(基础状态预期!$AB110&lt;=1,0,(基础状态预期!$AB110-1)*G$26)*基础状态预期!$H110)+
IF(基础状态预期!$I110="",0,IF(基础状态预期!$AC110&lt;=1,0,(基础状态预期!$AC110-1)*G$27)*基础状态预期!$I110)+
IF(基础状态预期!$J110="",0,IF(基础状态预期!$AD110&lt;=1,0,(基础状态预期!$AD110-1)*G$28)*基础状态预期!$J110)</f>
        <v>146.58133549493914</v>
      </c>
      <c r="AC98" s="67">
        <f>IF(基础状态预期!$H110="",0,IF(基础状态预期!$AB110&lt;=1,0,(基础状态预期!$AB110-1)*H$26)*基础状态预期!$H110)+
IF(基础状态预期!$I110="",0,IF(基础状态预期!$AC110&lt;=1,0,(基础状态预期!$AC110-1)*H$27)*基础状态预期!$I110)+
IF(基础状态预期!$J110="",0,IF(基础状态预期!$AD110&lt;=1,0,(基础状态预期!$AD110-1)*H$28)*基础状态预期!$J110)</f>
        <v>0</v>
      </c>
      <c r="AD98" s="67">
        <f>IF(基础状态预期!$H110="",0,IF(基础状态预期!$AB110&lt;=1,0,(基础状态预期!$AB110-1)*I$26)*基础状态预期!$H110)+
IF(基础状态预期!$I110="",0,IF(基础状态预期!$AC110&lt;=1,0,(基础状态预期!$AC110-1)*I$27)*基础状态预期!$I110)+
IF(基础状态预期!$J110="",0,IF(基础状态预期!$AD110&lt;=1,0,(基础状态预期!$AD110-1)*I$28)*基础状态预期!$J110)</f>
        <v>0</v>
      </c>
      <c r="AE98" s="80">
        <f>IF(各r阵容卡情况!$H104=0,0,IF(各r阵容卡情况!$AB104&lt;=1,各r阵容卡情况!$AB104*D$18,1*D$18)*各r阵容卡情况!$H104)+
IF(各r阵容卡情况!$I104=0,0,IF(各r阵容卡情况!$AC104&lt;=1,各r阵容卡情况!$AC104*D$19,1*D$19)*各r阵容卡情况!$I104)+
IF(各r阵容卡情况!$J104=0,0,IF(各r阵容卡情况!$AD104&lt;=1,各r阵容卡情况!$AD104*D$20,1*D$20)*各r阵容卡情况!$J104)</f>
        <v>28</v>
      </c>
      <c r="AF98" s="80">
        <f>IF(各r阵容卡情况!$H104=0,0,IF(各r阵容卡情况!$AB104&lt;=1,各r阵容卡情况!$AB104*E$18,1*E$18)*各r阵容卡情况!$H104)+
IF(各r阵容卡情况!$I104=0,0,IF(各r阵容卡情况!$AC104&lt;=1,各r阵容卡情况!$AC104*E$19,1*E$19)*各r阵容卡情况!$I104)+
IF(各r阵容卡情况!$J104=0,0,IF(各r阵容卡情况!$AD104&lt;=1,各r阵容卡情况!$AD104*E$20,1*E$20)*各r阵容卡情况!$J104)</f>
        <v>0</v>
      </c>
      <c r="AG98" s="80">
        <f>IF(各r阵容卡情况!$H104=0,0,IF(各r阵容卡情况!$AB104&lt;=1,各r阵容卡情况!$AB104*F$18,1*F$18)*各r阵容卡情况!$H104)+
IF(各r阵容卡情况!$I104=0,0,IF(各r阵容卡情况!$AC104&lt;=1,各r阵容卡情况!$AC104*F$19,1*F$19)*各r阵容卡情况!$I104)+
IF(各r阵容卡情况!$J104=0,0,IF(各r阵容卡情况!$AD104&lt;=1,各r阵容卡情况!$AD104*F$20,1*F$20)*各r阵容卡情况!$J104)</f>
        <v>0</v>
      </c>
      <c r="AH98" s="67">
        <f>IF(各r阵容卡情况!$H104=0,0,IF(各r阵容卡情况!$AB104&lt;=1,0,(各r阵容卡情况!$AB104-1)*G$26)*各r阵容卡情况!$H104)+
IF(各r阵容卡情况!$I104=0,0,IF(各r阵容卡情况!$AC104&lt;=1,0,(各r阵容卡情况!$AC104-1)*G$27)*各r阵容卡情况!$I104)+
IF(各r阵容卡情况!$J104=0,0,IF(各r阵容卡情况!$AD104&lt;=1,0,(各r阵容卡情况!$AD104-1)*G$28)*各r阵容卡情况!$J104)</f>
        <v>27.816954109919706</v>
      </c>
      <c r="AI98" s="67">
        <f>IF(各r阵容卡情况!$H104=0,0,IF(各r阵容卡情况!$AB104&lt;=1,0,(各r阵容卡情况!$AB104-1)*H$26)*各r阵容卡情况!$H104)+
IF(各r阵容卡情况!$I104=0,0,IF(各r阵容卡情况!$AC104&lt;=1,0,(各r阵容卡情况!$AC104-1)*H$27)*各r阵容卡情况!$I104)+
IF(各r阵容卡情况!$J104=0,0,IF(各r阵容卡情况!$AD104&lt;=1,0,(各r阵容卡情况!$AD104-1)*H$28)*各r阵容卡情况!$J104)</f>
        <v>0</v>
      </c>
      <c r="AJ98" s="67">
        <f>IF(各r阵容卡情况!$H104=0,0,IF(各r阵容卡情况!$AB104&lt;=1,0,(各r阵容卡情况!$AB104-1)*I$26)*各r阵容卡情况!$H104)+
IF(各r阵容卡情况!$I104=0,0,IF(各r阵容卡情况!$AC104&lt;=1,0,(各r阵容卡情况!$AC104-1)*I$27)*各r阵容卡情况!$I104)+
IF(各r阵容卡情况!$J104=0,0,IF(各r阵容卡情况!$AD104&lt;=1,0,(各r阵容卡情况!$AD104-1)*I$28)*各r阵容卡情况!$J104)</f>
        <v>0</v>
      </c>
      <c r="AL98" s="80">
        <f t="shared" si="78"/>
        <v>25</v>
      </c>
      <c r="AM98" s="80">
        <f t="shared" si="79"/>
        <v>36</v>
      </c>
      <c r="AN98" s="80">
        <f t="shared" si="80"/>
        <v>0</v>
      </c>
      <c r="AO98" s="80">
        <f t="shared" si="81"/>
        <v>0</v>
      </c>
      <c r="AP98" s="80">
        <f t="shared" si="82"/>
        <v>0</v>
      </c>
      <c r="AQ98" s="80">
        <f t="shared" si="83"/>
        <v>0</v>
      </c>
      <c r="AR98" s="80">
        <f t="shared" si="84"/>
        <v>0</v>
      </c>
      <c r="AS98" s="80">
        <f t="shared" si="85"/>
        <v>5.2200904301426645</v>
      </c>
      <c r="AT98" s="80">
        <f t="shared" si="86"/>
        <v>0</v>
      </c>
      <c r="AU98" s="80">
        <f t="shared" si="87"/>
        <v>0</v>
      </c>
      <c r="AV98" s="80">
        <f t="shared" si="88"/>
        <v>0</v>
      </c>
      <c r="AW98" s="80">
        <f t="shared" si="89"/>
        <v>0</v>
      </c>
      <c r="AX98" s="80">
        <f t="shared" si="90"/>
        <v>0</v>
      </c>
      <c r="AY98" s="61" t="e">
        <f>SUMPRODUCT(AM98:AR98/'[1]功能-行军令'!$GI$26:$GN$26+AS98:AX98/'[1]功能-行军令'!$GI$26:$GN$26)/0.18</f>
        <v>#DIV/0!</v>
      </c>
      <c r="BB98" s="80">
        <v>50</v>
      </c>
      <c r="BC98" s="80"/>
      <c r="BD98" s="80"/>
      <c r="BE98" s="80"/>
      <c r="BF98" s="80"/>
      <c r="BG98" s="80"/>
      <c r="BH98" s="80"/>
      <c r="BI98" s="80"/>
      <c r="BJ98" s="80"/>
      <c r="BK98" s="80">
        <f t="shared" si="91"/>
        <v>0</v>
      </c>
      <c r="BO98" s="80">
        <f t="shared" si="75"/>
        <v>39.631851677253941</v>
      </c>
      <c r="BP98" s="80">
        <f t="shared" si="76"/>
        <v>3120000</v>
      </c>
      <c r="BQ98" s="80">
        <f>(BP98-BP97)*INDEX('[1]功能-付费相关'!$AS$6:$AS$165,$BO98,1)+BQ97</f>
        <v>5269.0714513938756</v>
      </c>
      <c r="BR98" s="80"/>
      <c r="BS98" s="80"/>
      <c r="BU98" s="80">
        <v>50</v>
      </c>
      <c r="BV98" s="80">
        <f t="shared" si="77"/>
        <v>5683.6197068734682</v>
      </c>
      <c r="BW98" s="80">
        <f>INDEX('[1]功能-行军令'!$N$4:$R$163,BU98,1)*INDEX('[1]功能-付费相关'!$H$6:$L$6,1,3)*'[1]功能-行军令'!$AD$17</f>
        <v>11779.624242424245</v>
      </c>
      <c r="BX98" s="80"/>
      <c r="BY98" s="80">
        <f t="shared" si="92"/>
        <v>17463.243949297714</v>
      </c>
    </row>
    <row r="99" spans="12:77" x14ac:dyDescent="0.15">
      <c r="L99" s="61">
        <v>8</v>
      </c>
      <c r="M99" s="80">
        <f>基础状态预期!D111</f>
        <v>39.631851677253941</v>
      </c>
      <c r="N99" s="80">
        <f>IF(基础状态预期!F111="",0,IF(基础状态预期!Z111&lt;=1,基础状态预期!Z111*D$4,1*D$4+(基础状态预期!Z111-1)*武将觉醒!D$5))</f>
        <v>0</v>
      </c>
      <c r="O99" s="80">
        <f>IF(基础状态预期!G111="",0,IF(基础状态预期!AA111&lt;=1,基础状态预期!AA111*E$4,1*E$4+(基础状态预期!AA111-1)*武将觉醒!E$5))</f>
        <v>0</v>
      </c>
      <c r="P99" s="80">
        <f>IF(基础状态预期!H111="",0,IF(基础状态预期!AB111&lt;=1,基础状态预期!AB111*F$4,1*F$4+(基础状态预期!AB111-1)*武将觉醒!F$5))</f>
        <v>0</v>
      </c>
      <c r="Q99" s="80">
        <f>IF(基础状态预期!I111="",0,IF(基础状态预期!AC111&lt;=1,基础状态预期!AC111*G$4,1*G$4+(基础状态预期!AC111-1)*武将觉醒!G$5))</f>
        <v>520000</v>
      </c>
      <c r="R99" s="80">
        <f>IF(基础状态预期!J111="",0,IF(基础状态预期!AD111&lt;=1,基础状态预期!AD111*H$4,1*H$4+(基础状态预期!AD111-1)*武将觉醒!H$5))</f>
        <v>0</v>
      </c>
      <c r="S99" s="80">
        <f>MAX(SUMPRODUCT(N99:R99,基础状态预期!F111:J111),S98)</f>
        <v>3120000</v>
      </c>
      <c r="T99" s="80">
        <f>IF(基础状态预期!Z111="",0,IFERROR(基础状态预期!F111*求节点($C$62:$C$63,D$62:D$63,基础状态预期!Z111),0)+IFERROR(基础状态预期!$J111*求节点($C$71:$C$72,D$71:D$72,基础状态预期!$AD111),0))</f>
        <v>0</v>
      </c>
      <c r="U99" s="80">
        <f>IF(基础状态预期!AA111="",0,IFERROR(基础状态预期!G111*求节点($C$62:$C$63,E$62:E$63,基础状态预期!AA111),0)+IFERROR(基础状态预期!$J111*求节点($C$71:$C$72,E$71:E$72,基础状态预期!$AD111),0))</f>
        <v>0</v>
      </c>
      <c r="V99" s="80">
        <f>IF(基础状态预期!AB111="",0,IFERROR(基础状态预期!H111*求节点($C$62:$C$63,F$62:F$63,基础状态预期!AB111),0)+IFERROR(基础状态预期!$J111*求节点($C$71:$C$72,F$71:F$72,基础状态预期!$AD111),0))</f>
        <v>0</v>
      </c>
      <c r="W99" s="80">
        <f>IF(基础状态预期!AC111="",0,IFERROR(基础状态预期!I111*求节点($C$62:$C$63,G$62:G$63,基础状态预期!AC111),0)+IFERROR(基础状态预期!$J111*求节点($C$71:$C$72,G$71:G$72,基础状态预期!$AD111),0))</f>
        <v>6</v>
      </c>
      <c r="X99" s="80">
        <f>IF(基础状态预期!AD111="",0,IFERROR(基础状态预期!J111*求节点($C$62:$C$63,H$62:H$63,基础状态预期!AD111),0)+IFERROR(基础状态预期!$J111*求节点($C$71:$C$72,H$71:H$72,基础状态预期!$AD111),0))</f>
        <v>0</v>
      </c>
      <c r="Y99" s="80">
        <f>IF(基础状态预期!$H111="",0,IF(基础状态预期!$AB111&lt;=1,基础状态预期!$AB111*D$18,D$18)*基础状态预期!$H111)+
IF(基础状态预期!$I111="",0,IF(基础状态预期!$AC111&lt;=1,基础状态预期!$AC111*D$19,D$19)*基础状态预期!$I111)+
IF(基础状态预期!$J111="",0,IF(基础状态预期!$AD111&lt;=1,基础状态预期!$AD111*D$20,D$20)*基础状态预期!$J111)</f>
        <v>36</v>
      </c>
      <c r="Z99" s="80">
        <f>IF(基础状态预期!$H111="",0,IF(基础状态预期!$AB111&lt;=1,基础状态预期!$AB111*E$18,E$18)*基础状态预期!$H111)+
IF(基础状态预期!$I111="",0,IF(基础状态预期!$AC111&lt;=1,基础状态预期!$AC111*E$19,E$19)*基础状态预期!$I111)+
IF(基础状态预期!$J111="",0,IF(基础状态预期!$AD111&lt;=1,基础状态预期!$AD111*E$20,E$20)*基础状态预期!$J111)</f>
        <v>0</v>
      </c>
      <c r="AA99" s="80">
        <f>IF(基础状态预期!$H111="",0,IF(基础状态预期!$AB111&lt;=1,基础状态预期!$AB111*F$18,F$18)*基础状态预期!$H111)+
IF(基础状态预期!$I111="",0,IF(基础状态预期!$AC111&lt;=1,基础状态预期!$AC111*F$19,F$19)*基础状态预期!$I111)+
IF(基础状态预期!$J111="",0,IF(基础状态预期!$AD111&lt;=1,基础状态预期!$AD111*F$20,F$20)*基础状态预期!$J111)</f>
        <v>0</v>
      </c>
      <c r="AB99" s="67">
        <f>IF(基础状态预期!$H111="",0,IF(基础状态预期!$AB111&lt;=1,0,(基础状态预期!$AB111-1)*G$26)*基础状态预期!$H111)+
IF(基础状态预期!$I111="",0,IF(基础状态预期!$AC111&lt;=1,0,(基础状态预期!$AC111-1)*G$27)*基础状态预期!$I111)+
IF(基础状态预期!$J111="",0,IF(基础状态预期!$AD111&lt;=1,0,(基础状态预期!$AD111-1)*G$28)*基础状态预期!$J111)</f>
        <v>180</v>
      </c>
      <c r="AC99" s="67">
        <f>IF(基础状态预期!$H111="",0,IF(基础状态预期!$AB111&lt;=1,0,(基础状态预期!$AB111-1)*H$26)*基础状态预期!$H111)+
IF(基础状态预期!$I111="",0,IF(基础状态预期!$AC111&lt;=1,0,(基础状态预期!$AC111-1)*H$27)*基础状态预期!$I111)+
IF(基础状态预期!$J111="",0,IF(基础状态预期!$AD111&lt;=1,0,(基础状态预期!$AD111-1)*H$28)*基础状态预期!$J111)</f>
        <v>0</v>
      </c>
      <c r="AD99" s="67">
        <f>IF(基础状态预期!$H111="",0,IF(基础状态预期!$AB111&lt;=1,0,(基础状态预期!$AB111-1)*I$26)*基础状态预期!$H111)+
IF(基础状态预期!$I111="",0,IF(基础状态预期!$AC111&lt;=1,0,(基础状态预期!$AC111-1)*I$27)*基础状态预期!$I111)+
IF(基础状态预期!$J111="",0,IF(基础状态预期!$AD111&lt;=1,0,(基础状态预期!$AD111-1)*I$28)*基础状态预期!$J111)</f>
        <v>0</v>
      </c>
      <c r="AE99" s="80">
        <f>IF(各r阵容卡情况!$H105=0,0,IF(各r阵容卡情况!$AB105&lt;=1,各r阵容卡情况!$AB105*D$18,1*D$18)*各r阵容卡情况!$H105)+
IF(各r阵容卡情况!$I105=0,0,IF(各r阵容卡情况!$AC105&lt;=1,各r阵容卡情况!$AC105*D$19,1*D$19)*各r阵容卡情况!$I105)+
IF(各r阵容卡情况!$J105=0,0,IF(各r阵容卡情况!$AD105&lt;=1,各r阵容卡情况!$AD105*D$20,1*D$20)*各r阵容卡情况!$J105)</f>
        <v>48</v>
      </c>
      <c r="AF99" s="80">
        <f>IF(各r阵容卡情况!$H105=0,0,IF(各r阵容卡情况!$AB105&lt;=1,各r阵容卡情况!$AB105*E$18,1*E$18)*各r阵容卡情况!$H105)+
IF(各r阵容卡情况!$I105=0,0,IF(各r阵容卡情况!$AC105&lt;=1,各r阵容卡情况!$AC105*E$19,1*E$19)*各r阵容卡情况!$I105)+
IF(各r阵容卡情况!$J105=0,0,IF(各r阵容卡情况!$AD105&lt;=1,各r阵容卡情况!$AD105*E$20,1*E$20)*各r阵容卡情况!$J105)</f>
        <v>0</v>
      </c>
      <c r="AG99" s="80">
        <f>IF(各r阵容卡情况!$H105=0,0,IF(各r阵容卡情况!$AB105&lt;=1,各r阵容卡情况!$AB105*F$18,1*F$18)*各r阵容卡情况!$H105)+
IF(各r阵容卡情况!$I105=0,0,IF(各r阵容卡情况!$AC105&lt;=1,各r阵容卡情况!$AC105*F$19,1*F$19)*各r阵容卡情况!$I105)+
IF(各r阵容卡情况!$J105=0,0,IF(各r阵容卡情况!$AD105&lt;=1,各r阵容卡情况!$AD105*F$20,1*F$20)*各r阵容卡情况!$J105)</f>
        <v>0</v>
      </c>
      <c r="AH99" s="67">
        <f>IF(各r阵容卡情况!$H105=0,0,IF(各r阵容卡情况!$AB105&lt;=1,0,(各r阵容卡情况!$AB105-1)*G$26)*各r阵容卡情况!$H105)+
IF(各r阵容卡情况!$I105=0,0,IF(各r阵容卡情况!$AC105&lt;=1,0,(各r阵容卡情况!$AC105-1)*G$27)*各r阵容卡情况!$I105)+
IF(各r阵容卡情况!$J105=0,0,IF(各r阵容卡情况!$AD105&lt;=1,0,(各r阵容卡情况!$AD105-1)*G$28)*各r阵容卡情况!$J105)</f>
        <v>240</v>
      </c>
      <c r="AI99" s="67">
        <f>IF(各r阵容卡情况!$H105=0,0,IF(各r阵容卡情况!$AB105&lt;=1,0,(各r阵容卡情况!$AB105-1)*H$26)*各r阵容卡情况!$H105)+
IF(各r阵容卡情况!$I105=0,0,IF(各r阵容卡情况!$AC105&lt;=1,0,(各r阵容卡情况!$AC105-1)*H$27)*各r阵容卡情况!$I105)+
IF(各r阵容卡情况!$J105=0,0,IF(各r阵容卡情况!$AD105&lt;=1,0,(各r阵容卡情况!$AD105-1)*H$28)*各r阵容卡情况!$J105)</f>
        <v>0</v>
      </c>
      <c r="AJ99" s="67">
        <f>IF(各r阵容卡情况!$H105=0,0,IF(各r阵容卡情况!$AB105&lt;=1,0,(各r阵容卡情况!$AB105-1)*I$26)*各r阵容卡情况!$H105)+
IF(各r阵容卡情况!$I105=0,0,IF(各r阵容卡情况!$AC105&lt;=1,0,(各r阵容卡情况!$AC105-1)*I$27)*各r阵容卡情况!$I105)+
IF(各r阵容卡情况!$J105=0,0,IF(各r阵容卡情况!$AD105&lt;=1,0,(各r阵容卡情况!$AD105-1)*I$28)*各r阵容卡情况!$J105)</f>
        <v>0</v>
      </c>
      <c r="AL99" s="80">
        <f t="shared" si="78"/>
        <v>30</v>
      </c>
      <c r="AM99" s="80">
        <f t="shared" si="79"/>
        <v>36</v>
      </c>
      <c r="AN99" s="80">
        <f t="shared" si="80"/>
        <v>0</v>
      </c>
      <c r="AO99" s="80">
        <f t="shared" si="81"/>
        <v>0</v>
      </c>
      <c r="AP99" s="80">
        <f t="shared" si="82"/>
        <v>50.911569644904475</v>
      </c>
      <c r="AQ99" s="80">
        <f t="shared" si="83"/>
        <v>0</v>
      </c>
      <c r="AR99" s="80">
        <f t="shared" si="84"/>
        <v>0</v>
      </c>
      <c r="AS99" s="80">
        <f t="shared" si="85"/>
        <v>14.94652828383628</v>
      </c>
      <c r="AT99" s="80">
        <f t="shared" si="86"/>
        <v>0</v>
      </c>
      <c r="AU99" s="80">
        <f t="shared" si="87"/>
        <v>0</v>
      </c>
      <c r="AV99" s="80">
        <f t="shared" si="88"/>
        <v>9.6615629247366552</v>
      </c>
      <c r="AW99" s="80">
        <f t="shared" si="89"/>
        <v>0</v>
      </c>
      <c r="AX99" s="80">
        <f t="shared" si="90"/>
        <v>0</v>
      </c>
      <c r="AY99" s="61" t="e">
        <f>SUMPRODUCT(AM99:AR99/'[1]功能-行军令'!$GI$26:$GN$26+AS99:AX99/'[1]功能-行军令'!$GI$26:$GN$26)/0.18</f>
        <v>#DIV/0!</v>
      </c>
      <c r="BB99" s="80">
        <v>60</v>
      </c>
      <c r="BC99" s="80"/>
      <c r="BD99" s="80"/>
      <c r="BE99" s="80"/>
      <c r="BF99" s="80"/>
      <c r="BG99" s="80"/>
      <c r="BH99" s="80"/>
      <c r="BI99" s="80"/>
      <c r="BJ99" s="80"/>
      <c r="BK99" s="80">
        <f t="shared" si="91"/>
        <v>0</v>
      </c>
      <c r="BO99" s="80">
        <f t="shared" si="75"/>
        <v>43.484929789964411</v>
      </c>
      <c r="BP99" s="80">
        <f t="shared" si="76"/>
        <v>3120000</v>
      </c>
      <c r="BQ99" s="80">
        <f>(BP99-BP98)*INDEX('[1]功能-付费相关'!$AS$6:$AS$165,$BO99,1)+BQ98</f>
        <v>5269.0714513938756</v>
      </c>
      <c r="BR99" s="80"/>
      <c r="BS99" s="80"/>
      <c r="BU99" s="80">
        <v>60</v>
      </c>
      <c r="BV99" s="80">
        <f t="shared" si="77"/>
        <v>9549.1761569819755</v>
      </c>
      <c r="BW99" s="80">
        <f>INDEX('[1]功能-行军令'!$N$4:$R$163,BU99,1)*INDEX('[1]功能-付费相关'!$H$6:$L$6,1,3)*'[1]功能-行军令'!$AD$17</f>
        <v>23939.236363636366</v>
      </c>
      <c r="BX99" s="80"/>
      <c r="BY99" s="80">
        <f t="shared" si="92"/>
        <v>33488.412520618338</v>
      </c>
    </row>
    <row r="100" spans="12:77" x14ac:dyDescent="0.15">
      <c r="L100" s="61">
        <v>9</v>
      </c>
      <c r="M100" s="80">
        <f>基础状态预期!D112</f>
        <v>43.484929789964411</v>
      </c>
      <c r="N100" s="80">
        <f>IF(基础状态预期!F112="",0,IF(基础状态预期!Z112&lt;=1,基础状态预期!Z112*D$4,1*D$4+(基础状态预期!Z112-1)*武将觉醒!D$5))</f>
        <v>0</v>
      </c>
      <c r="O100" s="80">
        <f>IF(基础状态预期!G112="",0,IF(基础状态预期!AA112&lt;=1,基础状态预期!AA112*E$4,1*E$4+(基础状态预期!AA112-1)*武将觉醒!E$5))</f>
        <v>0</v>
      </c>
      <c r="P100" s="80">
        <f>IF(基础状态预期!H112="",0,IF(基础状态预期!AB112&lt;=1,基础状态预期!AB112*F$4,1*F$4+(基础状态预期!AB112-1)*武将觉醒!F$5))</f>
        <v>0</v>
      </c>
      <c r="Q100" s="80">
        <f>IF(基础状态预期!I112="",0,IF(基础状态预期!AC112&lt;=1,基础状态预期!AC112*G$4,1*G$4+(基础状态预期!AC112-1)*武将觉醒!G$5))</f>
        <v>520000</v>
      </c>
      <c r="R100" s="80">
        <f>IF(基础状态预期!J112="",0,IF(基础状态预期!AD112&lt;=1,基础状态预期!AD112*H$4,1*H$4+(基础状态预期!AD112-1)*武将觉醒!H$5))</f>
        <v>0</v>
      </c>
      <c r="S100" s="80">
        <f>MAX(SUMPRODUCT(N100:R100,基础状态预期!F112:J112),S99)</f>
        <v>3120000</v>
      </c>
      <c r="T100" s="80">
        <f>IF(基础状态预期!Z112="",0,IFERROR(基础状态预期!F112*求节点($C$62:$C$63,D$62:D$63,基础状态预期!Z112),0)+IFERROR(基础状态预期!$J112*求节点($C$71:$C$72,D$71:D$72,基础状态预期!$AD112),0))</f>
        <v>0</v>
      </c>
      <c r="U100" s="80">
        <f>IF(基础状态预期!AA112="",0,IFERROR(基础状态预期!G112*求节点($C$62:$C$63,E$62:E$63,基础状态预期!AA112),0)+IFERROR(基础状态预期!$J112*求节点($C$71:$C$72,E$71:E$72,基础状态预期!$AD112),0))</f>
        <v>0</v>
      </c>
      <c r="V100" s="80">
        <f>IF(基础状态预期!AB112="",0,IFERROR(基础状态预期!H112*求节点($C$62:$C$63,F$62:F$63,基础状态预期!AB112),0)+IFERROR(基础状态预期!$J112*求节点($C$71:$C$72,F$71:F$72,基础状态预期!$AD112),0))</f>
        <v>0</v>
      </c>
      <c r="W100" s="80">
        <f>IF(基础状态预期!AC112="",0,IFERROR(基础状态预期!I112*求节点($C$62:$C$63,G$62:G$63,基础状态预期!AC112),0)+IFERROR(基础状态预期!$J112*求节点($C$71:$C$72,G$71:G$72,基础状态预期!$AD112),0))</f>
        <v>6</v>
      </c>
      <c r="X100" s="80">
        <f>IF(基础状态预期!AD112="",0,IFERROR(基础状态预期!J112*求节点($C$62:$C$63,H$62:H$63,基础状态预期!AD112),0)+IFERROR(基础状态预期!$J112*求节点($C$71:$C$72,H$71:H$72,基础状态预期!$AD112),0))</f>
        <v>0</v>
      </c>
      <c r="Y100" s="80">
        <f>IF(基础状态预期!$H112="",0,IF(基础状态预期!$AB112&lt;=1,基础状态预期!$AB112*D$18,D$18)*基础状态预期!$H112)+
IF(基础状态预期!$I112="",0,IF(基础状态预期!$AC112&lt;=1,基础状态预期!$AC112*D$19,D$19)*基础状态预期!$I112)+
IF(基础状态预期!$J112="",0,IF(基础状态预期!$AD112&lt;=1,基础状态预期!$AD112*D$20,D$20)*基础状态预期!$J112)</f>
        <v>36</v>
      </c>
      <c r="Z100" s="80">
        <f>IF(基础状态预期!$H112="",0,IF(基础状态预期!$AB112&lt;=1,基础状态预期!$AB112*E$18,E$18)*基础状态预期!$H112)+
IF(基础状态预期!$I112="",0,IF(基础状态预期!$AC112&lt;=1,基础状态预期!$AC112*E$19,E$19)*基础状态预期!$I112)+
IF(基础状态预期!$J112="",0,IF(基础状态预期!$AD112&lt;=1,基础状态预期!$AD112*E$20,E$20)*基础状态预期!$J112)</f>
        <v>0</v>
      </c>
      <c r="AA100" s="80">
        <f>IF(基础状态预期!$H112="",0,IF(基础状态预期!$AB112&lt;=1,基础状态预期!$AB112*F$18,F$18)*基础状态预期!$H112)+
IF(基础状态预期!$I112="",0,IF(基础状态预期!$AC112&lt;=1,基础状态预期!$AC112*F$19,F$19)*基础状态预期!$I112)+
IF(基础状态预期!$J112="",0,IF(基础状态预期!$AD112&lt;=1,基础状态预期!$AD112*F$20,F$20)*基础状态预期!$J112)</f>
        <v>0</v>
      </c>
      <c r="AB100" s="67">
        <f>IF(基础状态预期!$H112="",0,IF(基础状态预期!$AB112&lt;=1,0,(基础状态预期!$AB112-1)*G$26)*基础状态预期!$H112)+
IF(基础状态预期!$I112="",0,IF(基础状态预期!$AC112&lt;=1,0,(基础状态预期!$AC112-1)*G$27)*基础状态预期!$I112)+
IF(基础状态预期!$J112="",0,IF(基础状态预期!$AD112&lt;=1,0,(基础状态预期!$AD112-1)*G$28)*基础状态预期!$J112)</f>
        <v>180</v>
      </c>
      <c r="AC100" s="67">
        <f>IF(基础状态预期!$H112="",0,IF(基础状态预期!$AB112&lt;=1,0,(基础状态预期!$AB112-1)*H$26)*基础状态预期!$H112)+
IF(基础状态预期!$I112="",0,IF(基础状态预期!$AC112&lt;=1,0,(基础状态预期!$AC112-1)*H$27)*基础状态预期!$I112)+
IF(基础状态预期!$J112="",0,IF(基础状态预期!$AD112&lt;=1,0,(基础状态预期!$AD112-1)*H$28)*基础状态预期!$J112)</f>
        <v>0</v>
      </c>
      <c r="AD100" s="67">
        <f>IF(基础状态预期!$H112="",0,IF(基础状态预期!$AB112&lt;=1,0,(基础状态预期!$AB112-1)*I$26)*基础状态预期!$H112)+
IF(基础状态预期!$I112="",0,IF(基础状态预期!$AC112&lt;=1,0,(基础状态预期!$AC112-1)*I$27)*基础状态预期!$I112)+
IF(基础状态预期!$J112="",0,IF(基础状态预期!$AD112&lt;=1,0,(基础状态预期!$AD112-1)*I$28)*基础状态预期!$J112)</f>
        <v>0</v>
      </c>
      <c r="AE100" s="80">
        <f>IF(各r阵容卡情况!$H106=0,0,IF(各r阵容卡情况!$AB106&lt;=1,各r阵容卡情况!$AB106*D$18,1*D$18)*各r阵容卡情况!$H106)+
IF(各r阵容卡情况!$I106=0,0,IF(各r阵容卡情况!$AC106&lt;=1,各r阵容卡情况!$AC106*D$19,1*D$19)*各r阵容卡情况!$I106)+
IF(各r阵容卡情况!$J106=0,0,IF(各r阵容卡情况!$AD106&lt;=1,各r阵容卡情况!$AD106*D$20,1*D$20)*各r阵容卡情况!$J106)</f>
        <v>68</v>
      </c>
      <c r="AF100" s="80">
        <f>IF(各r阵容卡情况!$H106=0,0,IF(各r阵容卡情况!$AB106&lt;=1,各r阵容卡情况!$AB106*E$18,1*E$18)*各r阵容卡情况!$H106)+
IF(各r阵容卡情况!$I106=0,0,IF(各r阵容卡情况!$AC106&lt;=1,各r阵容卡情况!$AC106*E$19,1*E$19)*各r阵容卡情况!$I106)+
IF(各r阵容卡情况!$J106=0,0,IF(各r阵容卡情况!$AD106&lt;=1,各r阵容卡情况!$AD106*E$20,1*E$20)*各r阵容卡情况!$J106)</f>
        <v>0</v>
      </c>
      <c r="AG100" s="80">
        <f>IF(各r阵容卡情况!$H106=0,0,IF(各r阵容卡情况!$AB106&lt;=1,各r阵容卡情况!$AB106*F$18,1*F$18)*各r阵容卡情况!$H106)+
IF(各r阵容卡情况!$I106=0,0,IF(各r阵容卡情况!$AC106&lt;=1,各r阵容卡情况!$AC106*F$19,1*F$19)*各r阵容卡情况!$I106)+
IF(各r阵容卡情况!$J106=0,0,IF(各r阵容卡情况!$AD106&lt;=1,各r阵容卡情况!$AD106*F$20,1*F$20)*各r阵容卡情况!$J106)</f>
        <v>0</v>
      </c>
      <c r="AH100" s="67">
        <f>IF(各r阵容卡情况!$H106=0,0,IF(各r阵容卡情况!$AB106&lt;=1,0,(各r阵容卡情况!$AB106-1)*G$26)*各r阵容卡情况!$H106)+
IF(各r阵容卡情况!$I106=0,0,IF(各r阵容卡情况!$AC106&lt;=1,0,(各r阵容卡情况!$AC106-1)*G$27)*各r阵容卡情况!$I106)+
IF(各r阵容卡情况!$J106=0,0,IF(各r阵容卡情况!$AD106&lt;=1,0,(各r阵容卡情况!$AD106-1)*G$28)*各r阵容卡情况!$J106)</f>
        <v>340</v>
      </c>
      <c r="AI100" s="67">
        <f>IF(各r阵容卡情况!$H106=0,0,IF(各r阵容卡情况!$AB106&lt;=1,0,(各r阵容卡情况!$AB106-1)*H$26)*各r阵容卡情况!$H106)+
IF(各r阵容卡情况!$I106=0,0,IF(各r阵容卡情况!$AC106&lt;=1,0,(各r阵容卡情况!$AC106-1)*H$27)*各r阵容卡情况!$I106)+
IF(各r阵容卡情况!$J106=0,0,IF(各r阵容卡情况!$AD106&lt;=1,0,(各r阵容卡情况!$AD106-1)*H$28)*各r阵容卡情况!$J106)</f>
        <v>0</v>
      </c>
      <c r="AJ100" s="67">
        <f>IF(各r阵容卡情况!$H106=0,0,IF(各r阵容卡情况!$AB106&lt;=1,0,(各r阵容卡情况!$AB106-1)*I$26)*各r阵容卡情况!$H106)+
IF(各r阵容卡情况!$I106=0,0,IF(各r阵容卡情况!$AC106&lt;=1,0,(各r阵容卡情况!$AC106-1)*I$27)*各r阵容卡情况!$I106)+
IF(各r阵容卡情况!$J106=0,0,IF(各r阵容卡情况!$AD106&lt;=1,0,(各r阵容卡情况!$AD106-1)*I$28)*各r阵容卡情况!$J106)</f>
        <v>0</v>
      </c>
      <c r="AL100" s="80">
        <f t="shared" si="78"/>
        <v>35</v>
      </c>
      <c r="AM100" s="80">
        <f t="shared" si="79"/>
        <v>36</v>
      </c>
      <c r="AN100" s="80">
        <f t="shared" si="80"/>
        <v>0</v>
      </c>
      <c r="AO100" s="80">
        <f t="shared" si="81"/>
        <v>0</v>
      </c>
      <c r="AP100" s="80">
        <f t="shared" si="82"/>
        <v>151.54431369330288</v>
      </c>
      <c r="AQ100" s="80">
        <f t="shared" si="83"/>
        <v>0</v>
      </c>
      <c r="AR100" s="80">
        <f t="shared" si="84"/>
        <v>0</v>
      </c>
      <c r="AS100" s="80">
        <f t="shared" si="85"/>
        <v>30.970183442017646</v>
      </c>
      <c r="AT100" s="80">
        <f t="shared" si="86"/>
        <v>0</v>
      </c>
      <c r="AU100" s="80">
        <f t="shared" si="87"/>
        <v>0</v>
      </c>
      <c r="AV100" s="80">
        <f t="shared" si="88"/>
        <v>59.328082588899051</v>
      </c>
      <c r="AW100" s="80">
        <f t="shared" si="89"/>
        <v>0</v>
      </c>
      <c r="AX100" s="80">
        <f t="shared" si="90"/>
        <v>0</v>
      </c>
      <c r="AY100" s="61" t="e">
        <f>SUMPRODUCT(AM100:AR100/'[1]功能-行军令'!$GI$26:$GN$26+AS100:AX100/'[1]功能-行军令'!$GI$26:$GN$26)/0.18</f>
        <v>#DIV/0!</v>
      </c>
      <c r="BB100" s="80">
        <v>70</v>
      </c>
      <c r="BC100" s="80"/>
      <c r="BD100" s="80"/>
      <c r="BE100" s="80"/>
      <c r="BF100" s="80"/>
      <c r="BG100" s="80"/>
      <c r="BH100" s="80"/>
      <c r="BI100" s="80"/>
      <c r="BJ100" s="80"/>
      <c r="BK100" s="80">
        <f t="shared" si="91"/>
        <v>0</v>
      </c>
      <c r="BO100" s="80">
        <f t="shared" si="75"/>
        <v>49.18886033229559</v>
      </c>
      <c r="BP100" s="80">
        <f t="shared" si="76"/>
        <v>3120000</v>
      </c>
      <c r="BQ100" s="80">
        <f>(BP100-BP99)*INDEX('[1]功能-付费相关'!$AS$6:$AS$165,$BO100,1)+BQ99</f>
        <v>5269.0714513938756</v>
      </c>
      <c r="BR100" s="80"/>
      <c r="BS100" s="80"/>
      <c r="BU100" s="80">
        <v>70</v>
      </c>
      <c r="BV100" s="80">
        <f t="shared" si="77"/>
        <v>13591.193684812579</v>
      </c>
      <c r="BW100" s="86">
        <f>BW99*1.5</f>
        <v>35908.854545454553</v>
      </c>
      <c r="BX100" s="80"/>
      <c r="BY100" s="80">
        <f t="shared" si="92"/>
        <v>49500.04823026713</v>
      </c>
    </row>
    <row r="101" spans="12:77" x14ac:dyDescent="0.15">
      <c r="L101" s="61">
        <v>10</v>
      </c>
      <c r="M101" s="80">
        <f>基础状态预期!D113</f>
        <v>49.18886033229559</v>
      </c>
      <c r="N101" s="80">
        <f>IF(基础状态预期!F113="",0,IF(基础状态预期!Z113&lt;=1,基础状态预期!Z113*D$4,1*D$4+(基础状态预期!Z113-1)*武将觉醒!D$5))</f>
        <v>0</v>
      </c>
      <c r="O101" s="80">
        <f>IF(基础状态预期!G113="",0,IF(基础状态预期!AA113&lt;=1,基础状态预期!AA113*E$4,1*E$4+(基础状态预期!AA113-1)*武将觉醒!E$5))</f>
        <v>0</v>
      </c>
      <c r="P101" s="80">
        <f>IF(基础状态预期!H113="",0,IF(基础状态预期!AB113&lt;=1,基础状态预期!AB113*F$4,1*F$4+(基础状态预期!AB113-1)*武将觉醒!F$5))</f>
        <v>0</v>
      </c>
      <c r="Q101" s="80">
        <f>IF(基础状态预期!I113="",0,IF(基础状态预期!AC113&lt;=1,基础状态预期!AC113*G$4,1*G$4+(基础状态预期!AC113-1)*武将觉醒!G$5))</f>
        <v>520000</v>
      </c>
      <c r="R101" s="80">
        <f>IF(基础状态预期!J113="",0,IF(基础状态预期!AD113&lt;=1,基础状态预期!AD113*H$4,1*H$4+(基础状态预期!AD113-1)*武将觉醒!H$5))</f>
        <v>0</v>
      </c>
      <c r="S101" s="80">
        <f>MAX(SUMPRODUCT(N101:R101,基础状态预期!F113:J113),S100)</f>
        <v>3120000</v>
      </c>
      <c r="T101" s="80">
        <f>IF(基础状态预期!Z113="",0,IFERROR(基础状态预期!F113*求节点($C$62:$C$63,D$62:D$63,基础状态预期!Z113),0)+IFERROR(基础状态预期!$J113*求节点($C$71:$C$72,D$71:D$72,基础状态预期!$AD113),0))</f>
        <v>0</v>
      </c>
      <c r="U101" s="80">
        <f>IF(基础状态预期!AA113="",0,IFERROR(基础状态预期!G113*求节点($C$62:$C$63,E$62:E$63,基础状态预期!AA113),0)+IFERROR(基础状态预期!$J113*求节点($C$71:$C$72,E$71:E$72,基础状态预期!$AD113),0))</f>
        <v>0</v>
      </c>
      <c r="V101" s="80">
        <f>IF(基础状态预期!AB113="",0,IFERROR(基础状态预期!H113*求节点($C$62:$C$63,F$62:F$63,基础状态预期!AB113),0)+IFERROR(基础状态预期!$J113*求节点($C$71:$C$72,F$71:F$72,基础状态预期!$AD113),0))</f>
        <v>0</v>
      </c>
      <c r="W101" s="80">
        <f>IF(基础状态预期!AC113="",0,IFERROR(基础状态预期!I113*求节点($C$62:$C$63,G$62:G$63,基础状态预期!AC113),0)+IFERROR(基础状态预期!$J113*求节点($C$71:$C$72,G$71:G$72,基础状态预期!$AD113),0))</f>
        <v>6</v>
      </c>
      <c r="X101" s="80">
        <f>IF(基础状态预期!AD113="",0,IFERROR(基础状态预期!J113*求节点($C$62:$C$63,H$62:H$63,基础状态预期!AD113),0)+IFERROR(基础状态预期!$J113*求节点($C$71:$C$72,H$71:H$72,基础状态预期!$AD113),0))</f>
        <v>0</v>
      </c>
      <c r="Y101" s="80">
        <f>IF(基础状态预期!$H113="",0,IF(基础状态预期!$AB113&lt;=1,基础状态预期!$AB113*D$18,D$18)*基础状态预期!$H113)+
IF(基础状态预期!$I113="",0,IF(基础状态预期!$AC113&lt;=1,基础状态预期!$AC113*D$19,D$19)*基础状态预期!$I113)+
IF(基础状态预期!$J113="",0,IF(基础状态预期!$AD113&lt;=1,基础状态预期!$AD113*D$20,D$20)*基础状态预期!$J113)</f>
        <v>36</v>
      </c>
      <c r="Z101" s="80">
        <f>IF(基础状态预期!$H113="",0,IF(基础状态预期!$AB113&lt;=1,基础状态预期!$AB113*E$18,E$18)*基础状态预期!$H113)+
IF(基础状态预期!$I113="",0,IF(基础状态预期!$AC113&lt;=1,基础状态预期!$AC113*E$19,E$19)*基础状态预期!$I113)+
IF(基础状态预期!$J113="",0,IF(基础状态预期!$AD113&lt;=1,基础状态预期!$AD113*E$20,E$20)*基础状态预期!$J113)</f>
        <v>0</v>
      </c>
      <c r="AA101" s="80">
        <f>IF(基础状态预期!$H113="",0,IF(基础状态预期!$AB113&lt;=1,基础状态预期!$AB113*F$18,F$18)*基础状态预期!$H113)+
IF(基础状态预期!$I113="",0,IF(基础状态预期!$AC113&lt;=1,基础状态预期!$AC113*F$19,F$19)*基础状态预期!$I113)+
IF(基础状态预期!$J113="",0,IF(基础状态预期!$AD113&lt;=1,基础状态预期!$AD113*F$20,F$20)*基础状态预期!$J113)</f>
        <v>0</v>
      </c>
      <c r="AB101" s="67">
        <f>IF(基础状态预期!$H113="",0,IF(基础状态预期!$AB113&lt;=1,0,(基础状态预期!$AB113-1)*G$26)*基础状态预期!$H113)+
IF(基础状态预期!$I113="",0,IF(基础状态预期!$AC113&lt;=1,0,(基础状态预期!$AC113-1)*G$27)*基础状态预期!$I113)+
IF(基础状态预期!$J113="",0,IF(基础状态预期!$AD113&lt;=1,0,(基础状态预期!$AD113-1)*G$28)*基础状态预期!$J113)</f>
        <v>180</v>
      </c>
      <c r="AC101" s="67">
        <f>IF(基础状态预期!$H113="",0,IF(基础状态预期!$AB113&lt;=1,0,(基础状态预期!$AB113-1)*H$26)*基础状态预期!$H113)+
IF(基础状态预期!$I113="",0,IF(基础状态预期!$AC113&lt;=1,0,(基础状态预期!$AC113-1)*H$27)*基础状态预期!$I113)+
IF(基础状态预期!$J113="",0,IF(基础状态预期!$AD113&lt;=1,0,(基础状态预期!$AD113-1)*H$28)*基础状态预期!$J113)</f>
        <v>0</v>
      </c>
      <c r="AD101" s="67">
        <f>IF(基础状态预期!$H113="",0,IF(基础状态预期!$AB113&lt;=1,0,(基础状态预期!$AB113-1)*I$26)*基础状态预期!$H113)+
IF(基础状态预期!$I113="",0,IF(基础状态预期!$AC113&lt;=1,0,(基础状态预期!$AC113-1)*I$27)*基础状态预期!$I113)+
IF(基础状态预期!$J113="",0,IF(基础状态预期!$AD113&lt;=1,0,(基础状态预期!$AD113-1)*I$28)*基础状态预期!$J113)</f>
        <v>0</v>
      </c>
      <c r="AE101" s="80">
        <f>IF(各r阵容卡情况!$H107=0,0,IF(各r阵容卡情况!$AB107&lt;=1,各r阵容卡情况!$AB107*D$18,1*D$18)*各r阵容卡情况!$H107)+
IF(各r阵容卡情况!$I107=0,0,IF(各r阵容卡情况!$AC107&lt;=1,各r阵容卡情况!$AC107*D$19,1*D$19)*各r阵容卡情况!$I107)+
IF(各r阵容卡情况!$J107=0,0,IF(各r阵容卡情况!$AD107&lt;=1,各r阵容卡情况!$AD107*D$20,1*D$20)*各r阵容卡情况!$J107)</f>
        <v>76</v>
      </c>
      <c r="AF101" s="80">
        <f>IF(各r阵容卡情况!$H107=0,0,IF(各r阵容卡情况!$AB107&lt;=1,各r阵容卡情况!$AB107*E$18,1*E$18)*各r阵容卡情况!$H107)+
IF(各r阵容卡情况!$I107=0,0,IF(各r阵容卡情况!$AC107&lt;=1,各r阵容卡情况!$AC107*E$19,1*E$19)*各r阵容卡情况!$I107)+
IF(各r阵容卡情况!$J107=0,0,IF(各r阵容卡情况!$AD107&lt;=1,各r阵容卡情况!$AD107*E$20,1*E$20)*各r阵容卡情况!$J107)</f>
        <v>0</v>
      </c>
      <c r="AG101" s="80">
        <f>IF(各r阵容卡情况!$H107=0,0,IF(各r阵容卡情况!$AB107&lt;=1,各r阵容卡情况!$AB107*F$18,1*F$18)*各r阵容卡情况!$H107)+
IF(各r阵容卡情况!$I107=0,0,IF(各r阵容卡情况!$AC107&lt;=1,各r阵容卡情况!$AC107*F$19,1*F$19)*各r阵容卡情况!$I107)+
IF(各r阵容卡情况!$J107=0,0,IF(各r阵容卡情况!$AD107&lt;=1,各r阵容卡情况!$AD107*F$20,1*F$20)*各r阵容卡情况!$J107)</f>
        <v>0</v>
      </c>
      <c r="AH101" s="67">
        <f>IF(各r阵容卡情况!$H107=0,0,IF(各r阵容卡情况!$AB107&lt;=1,0,(各r阵容卡情况!$AB107-1)*G$26)*各r阵容卡情况!$H107)+
IF(各r阵容卡情况!$I107=0,0,IF(各r阵容卡情况!$AC107&lt;=1,0,(各r阵容卡情况!$AC107-1)*G$27)*各r阵容卡情况!$I107)+
IF(各r阵容卡情况!$J107=0,0,IF(各r阵容卡情况!$AD107&lt;=1,0,(各r阵容卡情况!$AD107-1)*G$28)*各r阵容卡情况!$J107)</f>
        <v>380</v>
      </c>
      <c r="AI101" s="67">
        <f>IF(各r阵容卡情况!$H107=0,0,IF(各r阵容卡情况!$AB107&lt;=1,0,(各r阵容卡情况!$AB107-1)*H$26)*各r阵容卡情况!$H107)+
IF(各r阵容卡情况!$I107=0,0,IF(各r阵容卡情况!$AC107&lt;=1,0,(各r阵容卡情况!$AC107-1)*H$27)*各r阵容卡情况!$I107)+
IF(各r阵容卡情况!$J107=0,0,IF(各r阵容卡情况!$AD107&lt;=1,0,(各r阵容卡情况!$AD107-1)*H$28)*各r阵容卡情况!$J107)</f>
        <v>0</v>
      </c>
      <c r="AJ101" s="67">
        <f>IF(各r阵容卡情况!$H107=0,0,IF(各r阵容卡情况!$AB107&lt;=1,0,(各r阵容卡情况!$AB107-1)*I$26)*各r阵容卡情况!$H107)+
IF(各r阵容卡情况!$I107=0,0,IF(各r阵容卡情况!$AC107&lt;=1,0,(各r阵容卡情况!$AC107-1)*I$27)*各r阵容卡情况!$I107)+
IF(各r阵容卡情况!$J107=0,0,IF(各r阵容卡情况!$AD107&lt;=1,0,(各r阵容卡情况!$AD107-1)*I$28)*各r阵容卡情况!$J107)</f>
        <v>0</v>
      </c>
      <c r="AL101" s="80">
        <f t="shared" si="78"/>
        <v>40</v>
      </c>
      <c r="AM101" s="80">
        <f t="shared" si="79"/>
        <v>36</v>
      </c>
      <c r="AN101" s="80">
        <f t="shared" si="80"/>
        <v>0</v>
      </c>
      <c r="AO101" s="80">
        <f t="shared" si="81"/>
        <v>0</v>
      </c>
      <c r="AP101" s="80">
        <f t="shared" si="82"/>
        <v>180</v>
      </c>
      <c r="AQ101" s="80">
        <f t="shared" si="83"/>
        <v>0</v>
      </c>
      <c r="AR101" s="80">
        <f t="shared" si="84"/>
        <v>0</v>
      </c>
      <c r="AS101" s="80">
        <f t="shared" si="85"/>
        <v>49.910931011399001</v>
      </c>
      <c r="AT101" s="80">
        <f t="shared" si="86"/>
        <v>0</v>
      </c>
      <c r="AU101" s="80">
        <f t="shared" si="87"/>
        <v>0</v>
      </c>
      <c r="AV101" s="80">
        <f t="shared" si="88"/>
        <v>249.55465505699502</v>
      </c>
      <c r="AW101" s="80">
        <f t="shared" si="89"/>
        <v>0</v>
      </c>
      <c r="AX101" s="80">
        <f t="shared" si="90"/>
        <v>0</v>
      </c>
      <c r="AY101" s="61" t="e">
        <f>SUMPRODUCT(AM101:AR101/'[1]功能-行军令'!$GI$26:$GN$26+AS101:AX101/'[1]功能-行军令'!$GI$26:$GN$26)/0.18</f>
        <v>#DIV/0!</v>
      </c>
      <c r="BB101" s="80">
        <v>80</v>
      </c>
      <c r="BC101" s="80"/>
      <c r="BD101" s="80"/>
      <c r="BE101" s="80"/>
      <c r="BF101" s="80"/>
      <c r="BG101" s="80"/>
      <c r="BH101" s="80"/>
      <c r="BI101" s="80"/>
      <c r="BJ101" s="80"/>
      <c r="BK101" s="80">
        <f t="shared" si="91"/>
        <v>0</v>
      </c>
      <c r="BO101" s="80">
        <f t="shared" si="75"/>
        <v>53.212684955585161</v>
      </c>
      <c r="BP101" s="80">
        <f t="shared" si="76"/>
        <v>4650000</v>
      </c>
      <c r="BQ101" s="80">
        <f>(BP101-BP100)*INDEX('[1]功能-付费相关'!$AS$6:$AS$165,$BO101,1)+BQ100</f>
        <v>7325.5230642971019</v>
      </c>
      <c r="BR101" s="80"/>
      <c r="BS101" s="80"/>
      <c r="BU101" s="80">
        <v>80</v>
      </c>
      <c r="BV101" s="80">
        <f t="shared" si="77"/>
        <v>16400.362618327152</v>
      </c>
      <c r="BW101" s="86">
        <f>BW100</f>
        <v>35908.854545454553</v>
      </c>
      <c r="BX101" s="80"/>
      <c r="BY101" s="80">
        <f t="shared" si="92"/>
        <v>52309.217163781708</v>
      </c>
    </row>
    <row r="102" spans="12:77" x14ac:dyDescent="0.15">
      <c r="L102" s="61">
        <v>11</v>
      </c>
      <c r="M102" s="80">
        <f>基础状态预期!D114</f>
        <v>53.212684955585161</v>
      </c>
      <c r="N102" s="80">
        <f>IF(基础状态预期!F114="",0,IF(基础状态预期!Z114&lt;=1,基础状态预期!Z114*D$4,1*D$4+(基础状态预期!Z114-1)*武将觉醒!D$5))</f>
        <v>0</v>
      </c>
      <c r="O102" s="80">
        <f>IF(基础状态预期!G114="",0,IF(基础状态预期!AA114&lt;=1,基础状态预期!AA114*E$4,1*E$4+(基础状态预期!AA114-1)*武将觉醒!E$5))</f>
        <v>0</v>
      </c>
      <c r="P102" s="80">
        <f>IF(基础状态预期!H114="",0,IF(基础状态预期!AB114&lt;=1,基础状态预期!AB114*F$4,1*F$4+(基础状态预期!AB114-1)*武将觉醒!F$5))</f>
        <v>0</v>
      </c>
      <c r="Q102" s="80">
        <f>IF(基础状态预期!I114="",0,IF(基础状态预期!AC114&lt;=1,基础状态预期!AC114*G$4,1*G$4+(基础状态预期!AC114-1)*武将觉醒!G$5))</f>
        <v>520000</v>
      </c>
      <c r="R102" s="80">
        <f>IF(基础状态预期!J114="",0,IF(基础状态预期!AD114&lt;=1,基础状态预期!AD114*H$4,1*H$4+(基础状态预期!AD114-1)*武将觉醒!H$5))</f>
        <v>2050000</v>
      </c>
      <c r="S102" s="80">
        <f>MAX(SUMPRODUCT(N102:R102,基础状态预期!F114:J114),S101)</f>
        <v>4650000</v>
      </c>
      <c r="T102" s="80">
        <f>IF(基础状态预期!Z114="",0,IFERROR(基础状态预期!F114*求节点($C$62:$C$63,D$62:D$63,基础状态预期!Z114),0)+IFERROR(基础状态预期!$J114*求节点($C$71:$C$72,D$71:D$72,基础状态预期!$AD114),0))</f>
        <v>0</v>
      </c>
      <c r="U102" s="80">
        <f>IF(基础状态预期!AA114="",0,IFERROR(基础状态预期!G114*求节点($C$62:$C$63,E$62:E$63,基础状态预期!AA114),0)+IFERROR(基础状态预期!$J114*求节点($C$71:$C$72,E$71:E$72,基础状态预期!$AD114),0))</f>
        <v>0</v>
      </c>
      <c r="V102" s="80">
        <f>IF(基础状态预期!AB114="",0,IFERROR(基础状态预期!H114*求节点($C$62:$C$63,F$62:F$63,基础状态预期!AB114),0)+IFERROR(基础状态预期!$J114*求节点($C$71:$C$72,F$71:F$72,基础状态预期!$AD114),0))</f>
        <v>0</v>
      </c>
      <c r="W102" s="80">
        <f>IF(基础状态预期!AC114="",0,IFERROR(基础状态预期!I114*求节点($C$62:$C$63,G$62:G$63,基础状态预期!AC114),0)+IFERROR(基础状态预期!$J114*求节点($C$71:$C$72,G$71:G$72,基础状态预期!$AD114),0))</f>
        <v>8</v>
      </c>
      <c r="X102" s="80">
        <f>IF(基础状态预期!AD114="",0,IFERROR(基础状态预期!J114*求节点($C$62:$C$63,H$62:H$63,基础状态预期!AD114),0)+IFERROR(基础状态预期!$J114*求节点($C$71:$C$72,H$71:H$72,基础状态预期!$AD114),0))</f>
        <v>0</v>
      </c>
      <c r="Y102" s="80">
        <f>IF(基础状态预期!$H114="",0,IF(基础状态预期!$AB114&lt;=1,基础状态预期!$AB114*D$18,D$18)*基础状态预期!$H114)+
IF(基础状态预期!$I114="",0,IF(基础状态预期!$AC114&lt;=1,基础状态预期!$AC114*D$19,D$19)*基础状态预期!$I114)+
IF(基础状态预期!$J114="",0,IF(基础状态预期!$AD114&lt;=1,基础状态预期!$AD114*D$20,D$20)*基础状态预期!$J114)</f>
        <v>38</v>
      </c>
      <c r="Z102" s="80">
        <f>IF(基础状态预期!$H114="",0,IF(基础状态预期!$AB114&lt;=1,基础状态预期!$AB114*E$18,E$18)*基础状态预期!$H114)+
IF(基础状态预期!$I114="",0,IF(基础状态预期!$AC114&lt;=1,基础状态预期!$AC114*E$19,E$19)*基础状态预期!$I114)+
IF(基础状态预期!$J114="",0,IF(基础状态预期!$AD114&lt;=1,基础状态预期!$AD114*E$20,E$20)*基础状态预期!$J114)</f>
        <v>0</v>
      </c>
      <c r="AA102" s="80">
        <f>IF(基础状态预期!$H114="",0,IF(基础状态预期!$AB114&lt;=1,基础状态预期!$AB114*F$18,F$18)*基础状态预期!$H114)+
IF(基础状态预期!$I114="",0,IF(基础状态预期!$AC114&lt;=1,基础状态预期!$AC114*F$19,F$19)*基础状态预期!$I114)+
IF(基础状态预期!$J114="",0,IF(基础状态预期!$AD114&lt;=1,基础状态预期!$AD114*F$20,F$20)*基础状态预期!$J114)</f>
        <v>0</v>
      </c>
      <c r="AB102" s="67">
        <f>IF(基础状态预期!$H114="",0,IF(基础状态预期!$AB114&lt;=1,0,(基础状态预期!$AB114-1)*G$26)*基础状态预期!$H114)+
IF(基础状态预期!$I114="",0,IF(基础状态预期!$AC114&lt;=1,0,(基础状态预期!$AC114-1)*G$27)*基础状态预期!$I114)+
IF(基础状态预期!$J114="",0,IF(基础状态预期!$AD114&lt;=1,0,(基础状态预期!$AD114-1)*G$28)*基础状态预期!$J114)</f>
        <v>190</v>
      </c>
      <c r="AC102" s="67">
        <f>IF(基础状态预期!$H114="",0,IF(基础状态预期!$AB114&lt;=1,0,(基础状态预期!$AB114-1)*H$26)*基础状态预期!$H114)+
IF(基础状态预期!$I114="",0,IF(基础状态预期!$AC114&lt;=1,0,(基础状态预期!$AC114-1)*H$27)*基础状态预期!$I114)+
IF(基础状态预期!$J114="",0,IF(基础状态预期!$AD114&lt;=1,0,(基础状态预期!$AD114-1)*H$28)*基础状态预期!$J114)</f>
        <v>0</v>
      </c>
      <c r="AD102" s="67">
        <f>IF(基础状态预期!$H114="",0,IF(基础状态预期!$AB114&lt;=1,0,(基础状态预期!$AB114-1)*I$26)*基础状态预期!$H114)+
IF(基础状态预期!$I114="",0,IF(基础状态预期!$AC114&lt;=1,0,(基础状态预期!$AC114-1)*I$27)*基础状态预期!$I114)+
IF(基础状态预期!$J114="",0,IF(基础状态预期!$AD114&lt;=1,0,(基础状态预期!$AD114-1)*I$28)*基础状态预期!$J114)</f>
        <v>0</v>
      </c>
      <c r="AE102" s="80">
        <f>IF(各r阵容卡情况!$H108=0,0,IF(各r阵容卡情况!$AB108&lt;=1,各r阵容卡情况!$AB108*D$18,1*D$18)*各r阵容卡情况!$H108)+
IF(各r阵容卡情况!$I108=0,0,IF(各r阵容卡情况!$AC108&lt;=1,各r阵容卡情况!$AC108*D$19,1*D$19)*各r阵容卡情况!$I108)+
IF(各r阵容卡情况!$J108=0,0,IF(各r阵容卡情况!$AD108&lt;=1,各r阵容卡情况!$AD108*D$20,1*D$20)*各r阵容卡情况!$J108)</f>
        <v>84</v>
      </c>
      <c r="AF102" s="80">
        <f>IF(各r阵容卡情况!$H108=0,0,IF(各r阵容卡情况!$AB108&lt;=1,各r阵容卡情况!$AB108*E$18,1*E$18)*各r阵容卡情况!$H108)+
IF(各r阵容卡情况!$I108=0,0,IF(各r阵容卡情况!$AC108&lt;=1,各r阵容卡情况!$AC108*E$19,1*E$19)*各r阵容卡情况!$I108)+
IF(各r阵容卡情况!$J108=0,0,IF(各r阵容卡情况!$AD108&lt;=1,各r阵容卡情况!$AD108*E$20,1*E$20)*各r阵容卡情况!$J108)</f>
        <v>0</v>
      </c>
      <c r="AG102" s="80">
        <f>IF(各r阵容卡情况!$H108=0,0,IF(各r阵容卡情况!$AB108&lt;=1,各r阵容卡情况!$AB108*F$18,1*F$18)*各r阵容卡情况!$H108)+
IF(各r阵容卡情况!$I108=0,0,IF(各r阵容卡情况!$AC108&lt;=1,各r阵容卡情况!$AC108*F$19,1*F$19)*各r阵容卡情况!$I108)+
IF(各r阵容卡情况!$J108=0,0,IF(各r阵容卡情况!$AD108&lt;=1,各r阵容卡情况!$AD108*F$20,1*F$20)*各r阵容卡情况!$J108)</f>
        <v>0</v>
      </c>
      <c r="AH102" s="67">
        <f>IF(各r阵容卡情况!$H108=0,0,IF(各r阵容卡情况!$AB108&lt;=1,0,(各r阵容卡情况!$AB108-1)*G$26)*各r阵容卡情况!$H108)+
IF(各r阵容卡情况!$I108=0,0,IF(各r阵容卡情况!$AC108&lt;=1,0,(各r阵容卡情况!$AC108-1)*G$27)*各r阵容卡情况!$I108)+
IF(各r阵容卡情况!$J108=0,0,IF(各r阵容卡情况!$AD108&lt;=1,0,(各r阵容卡情况!$AD108-1)*G$28)*各r阵容卡情况!$J108)</f>
        <v>420</v>
      </c>
      <c r="AI102" s="67">
        <f>IF(各r阵容卡情况!$H108=0,0,IF(各r阵容卡情况!$AB108&lt;=1,0,(各r阵容卡情况!$AB108-1)*H$26)*各r阵容卡情况!$H108)+
IF(各r阵容卡情况!$I108=0,0,IF(各r阵容卡情况!$AC108&lt;=1,0,(各r阵容卡情况!$AC108-1)*H$27)*各r阵容卡情况!$I108)+
IF(各r阵容卡情况!$J108=0,0,IF(各r阵容卡情况!$AD108&lt;=1,0,(各r阵容卡情况!$AD108-1)*H$28)*各r阵容卡情况!$J108)</f>
        <v>0</v>
      </c>
      <c r="AJ102" s="67">
        <f>IF(各r阵容卡情况!$H108=0,0,IF(各r阵容卡情况!$AB108&lt;=1,0,(各r阵容卡情况!$AB108-1)*I$26)*各r阵容卡情况!$H108)+
IF(各r阵容卡情况!$I108=0,0,IF(各r阵容卡情况!$AC108&lt;=1,0,(各r阵容卡情况!$AC108-1)*I$27)*各r阵容卡情况!$I108)+
IF(各r阵容卡情况!$J108=0,0,IF(各r阵容卡情况!$AD108&lt;=1,0,(各r阵容卡情况!$AD108-1)*I$28)*各r阵容卡情况!$J108)</f>
        <v>0</v>
      </c>
      <c r="AL102" s="80">
        <f t="shared" si="78"/>
        <v>45</v>
      </c>
      <c r="AM102" s="80">
        <f t="shared" si="79"/>
        <v>36</v>
      </c>
      <c r="AN102" s="80">
        <f t="shared" si="80"/>
        <v>0</v>
      </c>
      <c r="AO102" s="80">
        <f t="shared" si="81"/>
        <v>0</v>
      </c>
      <c r="AP102" s="80">
        <f t="shared" si="82"/>
        <v>180</v>
      </c>
      <c r="AQ102" s="80">
        <f t="shared" si="83"/>
        <v>0</v>
      </c>
      <c r="AR102" s="80">
        <f t="shared" si="84"/>
        <v>0</v>
      </c>
      <c r="AS102" s="80">
        <f t="shared" si="85"/>
        <v>70.124949031257145</v>
      </c>
      <c r="AT102" s="80">
        <f t="shared" si="86"/>
        <v>0</v>
      </c>
      <c r="AU102" s="80">
        <f t="shared" si="87"/>
        <v>0</v>
      </c>
      <c r="AV102" s="80">
        <f t="shared" si="88"/>
        <v>350.62474515628577</v>
      </c>
      <c r="AW102" s="80">
        <f t="shared" si="89"/>
        <v>0</v>
      </c>
      <c r="AX102" s="80">
        <f t="shared" si="90"/>
        <v>0</v>
      </c>
      <c r="AY102" s="61" t="e">
        <f>SUMPRODUCT(AM102:AR102/'[1]功能-行军令'!$GI$26:$GN$26+AS102:AX102/'[1]功能-行军令'!$GI$26:$GN$26)/0.18</f>
        <v>#DIV/0!</v>
      </c>
      <c r="BB102" s="80">
        <v>90</v>
      </c>
      <c r="BC102" s="80"/>
      <c r="BD102" s="80"/>
      <c r="BE102" s="80"/>
      <c r="BF102" s="80"/>
      <c r="BG102" s="80"/>
      <c r="BH102" s="80"/>
      <c r="BI102" s="80"/>
      <c r="BJ102" s="80"/>
      <c r="BK102" s="80">
        <f t="shared" si="91"/>
        <v>0</v>
      </c>
      <c r="BO102" s="80">
        <f t="shared" si="75"/>
        <v>59.09095196730258</v>
      </c>
      <c r="BP102" s="80">
        <f t="shared" si="76"/>
        <v>6180000</v>
      </c>
      <c r="BQ102" s="80">
        <f>(BP102-BP101)*INDEX('[1]功能-付费相关'!$AS$6:$AS$165,$BO102,1)+BQ101</f>
        <v>9257.3412461152839</v>
      </c>
      <c r="BR102" s="80"/>
      <c r="BS102" s="80"/>
      <c r="BU102" s="80">
        <v>90</v>
      </c>
      <c r="BV102" s="80">
        <f t="shared" si="77"/>
        <v>16400.362618327152</v>
      </c>
      <c r="BW102" s="86">
        <f t="shared" ref="BW102:BW109" si="93">BW101</f>
        <v>35908.854545454553</v>
      </c>
      <c r="BX102" s="80"/>
      <c r="BY102" s="80">
        <f t="shared" si="92"/>
        <v>52309.217163781708</v>
      </c>
    </row>
    <row r="103" spans="12:77" x14ac:dyDescent="0.15">
      <c r="L103" s="61">
        <v>12</v>
      </c>
      <c r="M103" s="80">
        <f>基础状态预期!D115</f>
        <v>59.09095196730258</v>
      </c>
      <c r="N103" s="80">
        <f>IF(基础状态预期!F115="",0,IF(基础状态预期!Z115&lt;=1,基础状态预期!Z115*D$4,1*D$4+(基础状态预期!Z115-1)*武将觉醒!D$5))</f>
        <v>0</v>
      </c>
      <c r="O103" s="80">
        <f>IF(基础状态预期!G115="",0,IF(基础状态预期!AA115&lt;=1,基础状态预期!AA115*E$4,1*E$4+(基础状态预期!AA115-1)*武将觉醒!E$5))</f>
        <v>0</v>
      </c>
      <c r="P103" s="80">
        <f>IF(基础状态预期!H115="",0,IF(基础状态预期!AB115&lt;=1,基础状态预期!AB115*F$4,1*F$4+(基础状态预期!AB115-1)*武将觉醒!F$5))</f>
        <v>0</v>
      </c>
      <c r="Q103" s="80">
        <f>IF(基础状态预期!I115="",0,IF(基础状态预期!AC115&lt;=1,基础状态预期!AC115*G$4,1*G$4+(基础状态预期!AC115-1)*武将觉醒!G$5))</f>
        <v>520000</v>
      </c>
      <c r="R103" s="80">
        <f>IF(基础状态预期!J115="",0,IF(基础状态预期!AD115&lt;=1,基础状态预期!AD115*H$4,1*H$4+(基础状态预期!AD115-1)*武将觉醒!H$5))</f>
        <v>2050000</v>
      </c>
      <c r="S103" s="80">
        <f>MAX(SUMPRODUCT(N103:R103,基础状态预期!F115:J115),S102)</f>
        <v>6180000</v>
      </c>
      <c r="T103" s="80">
        <f>IF(基础状态预期!Z115="",0,IFERROR(基础状态预期!F115*求节点($C$62:$C$63,D$62:D$63,基础状态预期!Z115),0)+IFERROR(基础状态预期!$J115*求节点($C$71:$C$72,D$71:D$72,基础状态预期!$AD115),0))</f>
        <v>0</v>
      </c>
      <c r="U103" s="80">
        <f>IF(基础状态预期!AA115="",0,IFERROR(基础状态预期!G115*求节点($C$62:$C$63,E$62:E$63,基础状态预期!AA115),0)+IFERROR(基础状态预期!$J115*求节点($C$71:$C$72,E$71:E$72,基础状态预期!$AD115),0))</f>
        <v>0</v>
      </c>
      <c r="V103" s="80">
        <f>IF(基础状态预期!AB115="",0,IFERROR(基础状态预期!H115*求节点($C$62:$C$63,F$62:F$63,基础状态预期!AB115),0)+IFERROR(基础状态预期!$J115*求节点($C$71:$C$72,F$71:F$72,基础状态预期!$AD115),0))</f>
        <v>0</v>
      </c>
      <c r="W103" s="80">
        <f>IF(基础状态预期!AC115="",0,IFERROR(基础状态预期!I115*求节点($C$62:$C$63,G$62:G$63,基础状态预期!AC115),0)+IFERROR(基础状态预期!$J115*求节点($C$71:$C$72,G$71:G$72,基础状态预期!$AD115),0))</f>
        <v>10</v>
      </c>
      <c r="X103" s="80">
        <f>IF(基础状态预期!AD115="",0,IFERROR(基础状态预期!J115*求节点($C$62:$C$63,H$62:H$63,基础状态预期!AD115),0)+IFERROR(基础状态预期!$J115*求节点($C$71:$C$72,H$71:H$72,基础状态预期!$AD115),0))</f>
        <v>0</v>
      </c>
      <c r="Y103" s="80">
        <f>IF(基础状态预期!$H115="",0,IF(基础状态预期!$AB115&lt;=1,基础状态预期!$AB115*D$18,D$18)*基础状态预期!$H115)+
IF(基础状态预期!$I115="",0,IF(基础状态预期!$AC115&lt;=1,基础状态预期!$AC115*D$19,D$19)*基础状态预期!$I115)+
IF(基础状态预期!$J115="",0,IF(基础状态预期!$AD115&lt;=1,基础状态预期!$AD115*D$20,D$20)*基础状态预期!$J115)</f>
        <v>40</v>
      </c>
      <c r="Z103" s="80">
        <f>IF(基础状态预期!$H115="",0,IF(基础状态预期!$AB115&lt;=1,基础状态预期!$AB115*E$18,E$18)*基础状态预期!$H115)+
IF(基础状态预期!$I115="",0,IF(基础状态预期!$AC115&lt;=1,基础状态预期!$AC115*E$19,E$19)*基础状态预期!$I115)+
IF(基础状态预期!$J115="",0,IF(基础状态预期!$AD115&lt;=1,基础状态预期!$AD115*E$20,E$20)*基础状态预期!$J115)</f>
        <v>0</v>
      </c>
      <c r="AA103" s="80">
        <f>IF(基础状态预期!$H115="",0,IF(基础状态预期!$AB115&lt;=1,基础状态预期!$AB115*F$18,F$18)*基础状态预期!$H115)+
IF(基础状态预期!$I115="",0,IF(基础状态预期!$AC115&lt;=1,基础状态预期!$AC115*F$19,F$19)*基础状态预期!$I115)+
IF(基础状态预期!$J115="",0,IF(基础状态预期!$AD115&lt;=1,基础状态预期!$AD115*F$20,F$20)*基础状态预期!$J115)</f>
        <v>0</v>
      </c>
      <c r="AB103" s="67">
        <f>IF(基础状态预期!$H115="",0,IF(基础状态预期!$AB115&lt;=1,0,(基础状态预期!$AB115-1)*G$26)*基础状态预期!$H115)+
IF(基础状态预期!$I115="",0,IF(基础状态预期!$AC115&lt;=1,0,(基础状态预期!$AC115-1)*G$27)*基础状态预期!$I115)+
IF(基础状态预期!$J115="",0,IF(基础状态预期!$AD115&lt;=1,0,(基础状态预期!$AD115-1)*G$28)*基础状态预期!$J115)</f>
        <v>200</v>
      </c>
      <c r="AC103" s="67">
        <f>IF(基础状态预期!$H115="",0,IF(基础状态预期!$AB115&lt;=1,0,(基础状态预期!$AB115-1)*H$26)*基础状态预期!$H115)+
IF(基础状态预期!$I115="",0,IF(基础状态预期!$AC115&lt;=1,0,(基础状态预期!$AC115-1)*H$27)*基础状态预期!$I115)+
IF(基础状态预期!$J115="",0,IF(基础状态预期!$AD115&lt;=1,0,(基础状态预期!$AD115-1)*H$28)*基础状态预期!$J115)</f>
        <v>0</v>
      </c>
      <c r="AD103" s="67">
        <f>IF(基础状态预期!$H115="",0,IF(基础状态预期!$AB115&lt;=1,0,(基础状态预期!$AB115-1)*I$26)*基础状态预期!$H115)+
IF(基础状态预期!$I115="",0,IF(基础状态预期!$AC115&lt;=1,0,(基础状态预期!$AC115-1)*I$27)*基础状态预期!$I115)+
IF(基础状态预期!$J115="",0,IF(基础状态预期!$AD115&lt;=1,0,(基础状态预期!$AD115-1)*I$28)*基础状态预期!$J115)</f>
        <v>0</v>
      </c>
      <c r="AE103" s="80">
        <f>IF(各r阵容卡情况!$H109=0,0,IF(各r阵容卡情况!$AB109&lt;=1,各r阵容卡情况!$AB109*D$18,1*D$18)*各r阵容卡情况!$H109)+
IF(各r阵容卡情况!$I109=0,0,IF(各r阵容卡情况!$AC109&lt;=1,各r阵容卡情况!$AC109*D$19,1*D$19)*各r阵容卡情况!$I109)+
IF(各r阵容卡情况!$J109=0,0,IF(各r阵容卡情况!$AD109&lt;=1,各r阵容卡情况!$AD109*D$20,1*D$20)*各r阵容卡情况!$J109)</f>
        <v>104</v>
      </c>
      <c r="AF103" s="80">
        <f>IF(各r阵容卡情况!$H109=0,0,IF(各r阵容卡情况!$AB109&lt;=1,各r阵容卡情况!$AB109*E$18,1*E$18)*各r阵容卡情况!$H109)+
IF(各r阵容卡情况!$I109=0,0,IF(各r阵容卡情况!$AC109&lt;=1,各r阵容卡情况!$AC109*E$19,1*E$19)*各r阵容卡情况!$I109)+
IF(各r阵容卡情况!$J109=0,0,IF(各r阵容卡情况!$AD109&lt;=1,各r阵容卡情况!$AD109*E$20,1*E$20)*各r阵容卡情况!$J109)</f>
        <v>0</v>
      </c>
      <c r="AG103" s="80">
        <f>IF(各r阵容卡情况!$H109=0,0,IF(各r阵容卡情况!$AB109&lt;=1,各r阵容卡情况!$AB109*F$18,1*F$18)*各r阵容卡情况!$H109)+
IF(各r阵容卡情况!$I109=0,0,IF(各r阵容卡情况!$AC109&lt;=1,各r阵容卡情况!$AC109*F$19,1*F$19)*各r阵容卡情况!$I109)+
IF(各r阵容卡情况!$J109=0,0,IF(各r阵容卡情况!$AD109&lt;=1,各r阵容卡情况!$AD109*F$20,1*F$20)*各r阵容卡情况!$J109)</f>
        <v>0</v>
      </c>
      <c r="AH103" s="67">
        <f>IF(各r阵容卡情况!$H109=0,0,IF(各r阵容卡情况!$AB109&lt;=1,0,(各r阵容卡情况!$AB109-1)*G$26)*各r阵容卡情况!$H109)+
IF(各r阵容卡情况!$I109=0,0,IF(各r阵容卡情况!$AC109&lt;=1,0,(各r阵容卡情况!$AC109-1)*G$27)*各r阵容卡情况!$I109)+
IF(各r阵容卡情况!$J109=0,0,IF(各r阵容卡情况!$AD109&lt;=1,0,(各r阵容卡情况!$AD109-1)*G$28)*各r阵容卡情况!$J109)</f>
        <v>520</v>
      </c>
      <c r="AI103" s="67">
        <f>IF(各r阵容卡情况!$H109=0,0,IF(各r阵容卡情况!$AB109&lt;=1,0,(各r阵容卡情况!$AB109-1)*H$26)*各r阵容卡情况!$H109)+
IF(各r阵容卡情况!$I109=0,0,IF(各r阵容卡情况!$AC109&lt;=1,0,(各r阵容卡情况!$AC109-1)*H$27)*各r阵容卡情况!$I109)+
IF(各r阵容卡情况!$J109=0,0,IF(各r阵容卡情况!$AD109&lt;=1,0,(各r阵容卡情况!$AD109-1)*H$28)*各r阵容卡情况!$J109)</f>
        <v>0</v>
      </c>
      <c r="AJ103" s="67">
        <f>IF(各r阵容卡情况!$H109=0,0,IF(各r阵容卡情况!$AB109&lt;=1,0,(各r阵容卡情况!$AB109-1)*I$26)*各r阵容卡情况!$H109)+
IF(各r阵容卡情况!$I109=0,0,IF(各r阵容卡情况!$AC109&lt;=1,0,(各r阵容卡情况!$AC109-1)*I$27)*各r阵容卡情况!$I109)+
IF(各r阵容卡情况!$J109=0,0,IF(各r阵容卡情况!$AD109&lt;=1,0,(各r阵容卡情况!$AD109-1)*I$28)*各r阵容卡情况!$J109)</f>
        <v>0</v>
      </c>
      <c r="AL103" s="80">
        <f t="shared" si="78"/>
        <v>50</v>
      </c>
      <c r="AM103" s="80">
        <f t="shared" si="79"/>
        <v>36.403168499446821</v>
      </c>
      <c r="AN103" s="80">
        <f t="shared" si="80"/>
        <v>0</v>
      </c>
      <c r="AO103" s="80">
        <f t="shared" si="81"/>
        <v>0</v>
      </c>
      <c r="AP103" s="80">
        <f t="shared" si="82"/>
        <v>182.0158424972341</v>
      </c>
      <c r="AQ103" s="80">
        <f t="shared" si="83"/>
        <v>0</v>
      </c>
      <c r="AR103" s="80">
        <f t="shared" si="84"/>
        <v>0</v>
      </c>
      <c r="AS103" s="80">
        <f t="shared" si="85"/>
        <v>77.612673997787283</v>
      </c>
      <c r="AT103" s="80">
        <f t="shared" si="86"/>
        <v>0</v>
      </c>
      <c r="AU103" s="80">
        <f t="shared" si="87"/>
        <v>0</v>
      </c>
      <c r="AV103" s="80">
        <f t="shared" si="88"/>
        <v>388.06336998893642</v>
      </c>
      <c r="AW103" s="80">
        <f t="shared" si="89"/>
        <v>0</v>
      </c>
      <c r="AX103" s="80">
        <f t="shared" si="90"/>
        <v>0</v>
      </c>
      <c r="AY103" s="61" t="e">
        <f>SUMPRODUCT(AM103:AR103/'[1]功能-行军令'!$GI$26:$GN$26+AS103:AX103/'[1]功能-行军令'!$GI$26:$GN$26)/0.18</f>
        <v>#DIV/0!</v>
      </c>
      <c r="BB103" s="80">
        <v>100</v>
      </c>
      <c r="BC103" s="80"/>
      <c r="BD103" s="80"/>
      <c r="BE103" s="80"/>
      <c r="BF103" s="80"/>
      <c r="BG103" s="80"/>
      <c r="BH103" s="80"/>
      <c r="BI103" s="80"/>
      <c r="BJ103" s="80"/>
      <c r="BK103" s="80">
        <f t="shared" si="91"/>
        <v>0</v>
      </c>
      <c r="BO103" s="80">
        <f t="shared" si="75"/>
        <v>64.819145630244321</v>
      </c>
      <c r="BP103" s="80">
        <f t="shared" si="76"/>
        <v>7710000</v>
      </c>
      <c r="BQ103" s="80">
        <f>(BP103-BP102)*INDEX('[1]功能-付费相关'!$AS$6:$AS$165,$BO103,1)+BQ102</f>
        <v>11096.283553807592</v>
      </c>
      <c r="BR103" s="80"/>
      <c r="BS103" s="80"/>
      <c r="BU103" s="80">
        <v>100</v>
      </c>
      <c r="BV103" s="80">
        <f t="shared" si="77"/>
        <v>16400.362618327152</v>
      </c>
      <c r="BW103" s="86">
        <f t="shared" si="93"/>
        <v>35908.854545454553</v>
      </c>
      <c r="BX103" s="80"/>
      <c r="BY103" s="80">
        <f t="shared" si="92"/>
        <v>52309.217163781708</v>
      </c>
    </row>
    <row r="104" spans="12:77" x14ac:dyDescent="0.15">
      <c r="L104" s="61">
        <v>13</v>
      </c>
      <c r="M104" s="80">
        <f>基础状态预期!D116</f>
        <v>64.819145630244321</v>
      </c>
      <c r="N104" s="80">
        <f>IF(基础状态预期!F116="",0,IF(基础状态预期!Z116&lt;=1,基础状态预期!Z116*D$4,1*D$4+(基础状态预期!Z116-1)*武将觉醒!D$5))</f>
        <v>0</v>
      </c>
      <c r="O104" s="80">
        <f>IF(基础状态预期!G116="",0,IF(基础状态预期!AA116&lt;=1,基础状态预期!AA116*E$4,1*E$4+(基础状态预期!AA116-1)*武将觉醒!E$5))</f>
        <v>0</v>
      </c>
      <c r="P104" s="80">
        <f>IF(基础状态预期!H116="",0,IF(基础状态预期!AB116&lt;=1,基础状态预期!AB116*F$4,1*F$4+(基础状态预期!AB116-1)*武将觉醒!F$5))</f>
        <v>0</v>
      </c>
      <c r="Q104" s="80">
        <f>IF(基础状态预期!I116="",0,IF(基础状态预期!AC116&lt;=1,基础状态预期!AC116*G$4,1*G$4+(基础状态预期!AC116-1)*武将觉醒!G$5))</f>
        <v>520000</v>
      </c>
      <c r="R104" s="80">
        <f>IF(基础状态预期!J116="",0,IF(基础状态预期!AD116&lt;=1,基础状态预期!AD116*H$4,1*H$4+(基础状态预期!AD116-1)*武将觉醒!H$5))</f>
        <v>2050000</v>
      </c>
      <c r="S104" s="80">
        <f>MAX(SUMPRODUCT(N104:R104,基础状态预期!F116:J116),S103)</f>
        <v>7710000</v>
      </c>
      <c r="T104" s="80">
        <f>IF(基础状态预期!Z116="",0,IFERROR(基础状态预期!F116*求节点($C$62:$C$63,D$62:D$63,基础状态预期!Z116),0)+IFERROR(基础状态预期!$J116*求节点($C$71:$C$72,D$71:D$72,基础状态预期!$AD116),0))</f>
        <v>0</v>
      </c>
      <c r="U104" s="80">
        <f>IF(基础状态预期!AA116="",0,IFERROR(基础状态预期!G116*求节点($C$62:$C$63,E$62:E$63,基础状态预期!AA116),0)+IFERROR(基础状态预期!$J116*求节点($C$71:$C$72,E$71:E$72,基础状态预期!$AD116),0))</f>
        <v>0</v>
      </c>
      <c r="V104" s="80">
        <f>IF(基础状态预期!AB116="",0,IFERROR(基础状态预期!H116*求节点($C$62:$C$63,F$62:F$63,基础状态预期!AB116),0)+IFERROR(基础状态预期!$J116*求节点($C$71:$C$72,F$71:F$72,基础状态预期!$AD116),0))</f>
        <v>0</v>
      </c>
      <c r="W104" s="80">
        <f>IF(基础状态预期!AC116="",0,IFERROR(基础状态预期!I116*求节点($C$62:$C$63,G$62:G$63,基础状态预期!AC116),0)+IFERROR(基础状态预期!$J116*求节点($C$71:$C$72,G$71:G$72,基础状态预期!$AD116),0))</f>
        <v>12</v>
      </c>
      <c r="X104" s="80">
        <f>IF(基础状态预期!AD116="",0,IFERROR(基础状态预期!J116*求节点($C$62:$C$63,H$62:H$63,基础状态预期!AD116),0)+IFERROR(基础状态预期!$J116*求节点($C$71:$C$72,H$71:H$72,基础状态预期!$AD116),0))</f>
        <v>0</v>
      </c>
      <c r="Y104" s="80">
        <f>IF(基础状态预期!$H116="",0,IF(基础状态预期!$AB116&lt;=1,基础状态预期!$AB116*D$18,D$18)*基础状态预期!$H116)+
IF(基础状态预期!$I116="",0,IF(基础状态预期!$AC116&lt;=1,基础状态预期!$AC116*D$19,D$19)*基础状态预期!$I116)+
IF(基础状态预期!$J116="",0,IF(基础状态预期!$AD116&lt;=1,基础状态预期!$AD116*D$20,D$20)*基础状态预期!$J116)</f>
        <v>42</v>
      </c>
      <c r="Z104" s="80">
        <f>IF(基础状态预期!$H116="",0,IF(基础状态预期!$AB116&lt;=1,基础状态预期!$AB116*E$18,E$18)*基础状态预期!$H116)+
IF(基础状态预期!$I116="",0,IF(基础状态预期!$AC116&lt;=1,基础状态预期!$AC116*E$19,E$19)*基础状态预期!$I116)+
IF(基础状态预期!$J116="",0,IF(基础状态预期!$AD116&lt;=1,基础状态预期!$AD116*E$20,E$20)*基础状态预期!$J116)</f>
        <v>0</v>
      </c>
      <c r="AA104" s="80">
        <f>IF(基础状态预期!$H116="",0,IF(基础状态预期!$AB116&lt;=1,基础状态预期!$AB116*F$18,F$18)*基础状态预期!$H116)+
IF(基础状态预期!$I116="",0,IF(基础状态预期!$AC116&lt;=1,基础状态预期!$AC116*F$19,F$19)*基础状态预期!$I116)+
IF(基础状态预期!$J116="",0,IF(基础状态预期!$AD116&lt;=1,基础状态预期!$AD116*F$20,F$20)*基础状态预期!$J116)</f>
        <v>0</v>
      </c>
      <c r="AB104" s="67">
        <f>IF(基础状态预期!$H116="",0,IF(基础状态预期!$AB116&lt;=1,0,(基础状态预期!$AB116-1)*G$26)*基础状态预期!$H116)+
IF(基础状态预期!$I116="",0,IF(基础状态预期!$AC116&lt;=1,0,(基础状态预期!$AC116-1)*G$27)*基础状态预期!$I116)+
IF(基础状态预期!$J116="",0,IF(基础状态预期!$AD116&lt;=1,0,(基础状态预期!$AD116-1)*G$28)*基础状态预期!$J116)</f>
        <v>210</v>
      </c>
      <c r="AC104" s="67">
        <f>IF(基础状态预期!$H116="",0,IF(基础状态预期!$AB116&lt;=1,0,(基础状态预期!$AB116-1)*H$26)*基础状态预期!$H116)+
IF(基础状态预期!$I116="",0,IF(基础状态预期!$AC116&lt;=1,0,(基础状态预期!$AC116-1)*H$27)*基础状态预期!$I116)+
IF(基础状态预期!$J116="",0,IF(基础状态预期!$AD116&lt;=1,0,(基础状态预期!$AD116-1)*H$28)*基础状态预期!$J116)</f>
        <v>0</v>
      </c>
      <c r="AD104" s="67">
        <f>IF(基础状态预期!$H116="",0,IF(基础状态预期!$AB116&lt;=1,0,(基础状态预期!$AB116-1)*I$26)*基础状态预期!$H116)+
IF(基础状态预期!$I116="",0,IF(基础状态预期!$AC116&lt;=1,0,(基础状态预期!$AC116-1)*I$27)*基础状态预期!$I116)+
IF(基础状态预期!$J116="",0,IF(基础状态预期!$AD116&lt;=1,0,(基础状态预期!$AD116-1)*I$28)*基础状态预期!$J116)</f>
        <v>0</v>
      </c>
      <c r="AE104" s="80">
        <f>IF(各r阵容卡情况!$H110=0,0,IF(各r阵容卡情况!$AB110&lt;=1,各r阵容卡情况!$AB110*D$18,1*D$18)*各r阵容卡情况!$H110)+
IF(各r阵容卡情况!$I110=0,0,IF(各r阵容卡情况!$AC110&lt;=1,各r阵容卡情况!$AC110*D$19,1*D$19)*各r阵容卡情况!$I110)+
IF(各r阵容卡情况!$J110=0,0,IF(各r阵容卡情况!$AD110&lt;=1,各r阵容卡情况!$AD110*D$20,1*D$20)*各r阵容卡情况!$J110)</f>
        <v>114</v>
      </c>
      <c r="AF104" s="80">
        <f>IF(各r阵容卡情况!$H110=0,0,IF(各r阵容卡情况!$AB110&lt;=1,各r阵容卡情况!$AB110*E$18,1*E$18)*各r阵容卡情况!$H110)+
IF(各r阵容卡情况!$I110=0,0,IF(各r阵容卡情况!$AC110&lt;=1,各r阵容卡情况!$AC110*E$19,1*E$19)*各r阵容卡情况!$I110)+
IF(各r阵容卡情况!$J110=0,0,IF(各r阵容卡情况!$AD110&lt;=1,各r阵容卡情况!$AD110*E$20,1*E$20)*各r阵容卡情况!$J110)</f>
        <v>0</v>
      </c>
      <c r="AG104" s="80">
        <f>IF(各r阵容卡情况!$H110=0,0,IF(各r阵容卡情况!$AB110&lt;=1,各r阵容卡情况!$AB110*F$18,1*F$18)*各r阵容卡情况!$H110)+
IF(各r阵容卡情况!$I110=0,0,IF(各r阵容卡情况!$AC110&lt;=1,各r阵容卡情况!$AC110*F$19,1*F$19)*各r阵容卡情况!$I110)+
IF(各r阵容卡情况!$J110=0,0,IF(各r阵容卡情况!$AD110&lt;=1,各r阵容卡情况!$AD110*F$20,1*F$20)*各r阵容卡情况!$J110)</f>
        <v>0</v>
      </c>
      <c r="AH104" s="67">
        <f>IF(各r阵容卡情况!$H110=0,0,IF(各r阵容卡情况!$AB110&lt;=1,0,(各r阵容卡情况!$AB110-1)*G$26)*各r阵容卡情况!$H110)+
IF(各r阵容卡情况!$I110=0,0,IF(各r阵容卡情况!$AC110&lt;=1,0,(各r阵容卡情况!$AC110-1)*G$27)*各r阵容卡情况!$I110)+
IF(各r阵容卡情况!$J110=0,0,IF(各r阵容卡情况!$AD110&lt;=1,0,(各r阵容卡情况!$AD110-1)*G$28)*各r阵容卡情况!$J110)</f>
        <v>570</v>
      </c>
      <c r="AI104" s="67">
        <f>IF(各r阵容卡情况!$H110=0,0,IF(各r阵容卡情况!$AB110&lt;=1,0,(各r阵容卡情况!$AB110-1)*H$26)*各r阵容卡情况!$H110)+
IF(各r阵容卡情况!$I110=0,0,IF(各r阵容卡情况!$AC110&lt;=1,0,(各r阵容卡情况!$AC110-1)*H$27)*各r阵容卡情况!$I110)+
IF(各r阵容卡情况!$J110=0,0,IF(各r阵容卡情况!$AD110&lt;=1,0,(各r阵容卡情况!$AD110-1)*H$28)*各r阵容卡情况!$J110)</f>
        <v>0</v>
      </c>
      <c r="AJ104" s="67">
        <f>IF(各r阵容卡情况!$H110=0,0,IF(各r阵容卡情况!$AB110&lt;=1,0,(各r阵容卡情况!$AB110-1)*I$26)*各r阵容卡情况!$H110)+
IF(各r阵容卡情况!$I110=0,0,IF(各r阵容卡情况!$AC110&lt;=1,0,(各r阵容卡情况!$AC110-1)*I$27)*各r阵容卡情况!$I110)+
IF(各r阵容卡情况!$J110=0,0,IF(各r阵容卡情况!$AD110&lt;=1,0,(各r阵容卡情况!$AD110-1)*I$28)*各r阵容卡情况!$J110)</f>
        <v>0</v>
      </c>
      <c r="AL104" s="80">
        <f t="shared" si="78"/>
        <v>55</v>
      </c>
      <c r="AM104" s="80">
        <f t="shared" si="79"/>
        <v>38.608109512838425</v>
      </c>
      <c r="AN104" s="80">
        <f t="shared" si="80"/>
        <v>0</v>
      </c>
      <c r="AO104" s="80">
        <f t="shared" si="81"/>
        <v>0</v>
      </c>
      <c r="AP104" s="80">
        <f t="shared" si="82"/>
        <v>193.04054756419214</v>
      </c>
      <c r="AQ104" s="80">
        <f t="shared" si="83"/>
        <v>0</v>
      </c>
      <c r="AR104" s="80">
        <f t="shared" si="84"/>
        <v>0</v>
      </c>
      <c r="AS104" s="80">
        <f t="shared" si="85"/>
        <v>90.081095128384277</v>
      </c>
      <c r="AT104" s="80">
        <f t="shared" si="86"/>
        <v>0</v>
      </c>
      <c r="AU104" s="80">
        <f t="shared" si="87"/>
        <v>0</v>
      </c>
      <c r="AV104" s="80">
        <f t="shared" si="88"/>
        <v>450.40547564192138</v>
      </c>
      <c r="AW104" s="80">
        <f t="shared" si="89"/>
        <v>0</v>
      </c>
      <c r="AX104" s="80">
        <f t="shared" si="90"/>
        <v>0</v>
      </c>
      <c r="AY104" s="61" t="e">
        <f>SUMPRODUCT(AM104:AR104/'[1]功能-行军令'!$GI$26:$GN$26+AS104:AX104/'[1]功能-行军令'!$GI$26:$GN$26)/0.18</f>
        <v>#DIV/0!</v>
      </c>
      <c r="BB104" s="80">
        <v>110</v>
      </c>
      <c r="BC104" s="80"/>
      <c r="BD104" s="80"/>
      <c r="BE104" s="80"/>
      <c r="BF104" s="80"/>
      <c r="BG104" s="80"/>
      <c r="BH104" s="80"/>
      <c r="BI104" s="80"/>
      <c r="BJ104" s="80"/>
      <c r="BK104" s="80">
        <f t="shared" ref="BK104:BK109" si="94">SUM(BG104:BJ104)</f>
        <v>0</v>
      </c>
      <c r="BO104" s="80">
        <f t="shared" si="75"/>
        <v>69.01697485309198</v>
      </c>
      <c r="BP104" s="80">
        <f t="shared" si="76"/>
        <v>9240000</v>
      </c>
      <c r="BQ104" s="80">
        <f>(BP104-BP103)*INDEX('[1]功能-付费相关'!$AS$6:$AS$165,$BO104,1)+BQ103</f>
        <v>12850.870709770896</v>
      </c>
      <c r="BR104" s="80"/>
      <c r="BS104" s="80"/>
      <c r="BU104" s="80">
        <v>110</v>
      </c>
      <c r="BV104" s="80">
        <f t="shared" si="77"/>
        <v>16400.362618327152</v>
      </c>
      <c r="BW104" s="86">
        <f t="shared" si="93"/>
        <v>35908.854545454553</v>
      </c>
      <c r="BX104" s="80"/>
      <c r="BY104" s="80">
        <f t="shared" ref="BY104:BY109" si="95">SUM(BV104:BX104)</f>
        <v>52309.217163781708</v>
      </c>
    </row>
    <row r="105" spans="12:77" x14ac:dyDescent="0.15">
      <c r="L105" s="61">
        <v>14</v>
      </c>
      <c r="M105" s="80">
        <f>基础状态预期!D117</f>
        <v>69.01697485309198</v>
      </c>
      <c r="N105" s="80">
        <f>IF(基础状态预期!F117="",0,IF(基础状态预期!Z117&lt;=1,基础状态预期!Z117*D$4,1*D$4+(基础状态预期!Z117-1)*武将觉醒!D$5))</f>
        <v>0</v>
      </c>
      <c r="O105" s="80">
        <f>IF(基础状态预期!G117="",0,IF(基础状态预期!AA117&lt;=1,基础状态预期!AA117*E$4,1*E$4+(基础状态预期!AA117-1)*武将觉醒!E$5))</f>
        <v>0</v>
      </c>
      <c r="P105" s="80">
        <f>IF(基础状态预期!H117="",0,IF(基础状态预期!AB117&lt;=1,基础状态预期!AB117*F$4,1*F$4+(基础状态预期!AB117-1)*武将觉醒!F$5))</f>
        <v>0</v>
      </c>
      <c r="Q105" s="80">
        <f>IF(基础状态预期!I117="",0,IF(基础状态预期!AC117&lt;=1,基础状态预期!AC117*G$4,1*G$4+(基础状态预期!AC117-1)*武将觉醒!G$5))</f>
        <v>520000</v>
      </c>
      <c r="R105" s="80">
        <f>IF(基础状态预期!J117="",0,IF(基础状态预期!AD117&lt;=1,基础状态预期!AD117*H$4,1*H$4+(基础状态预期!AD117-1)*武将觉醒!H$5))</f>
        <v>2050000</v>
      </c>
      <c r="S105" s="80">
        <f>MAX(SUMPRODUCT(N105:R105,基础状态预期!F117:J117),S104)</f>
        <v>9240000</v>
      </c>
      <c r="T105" s="80">
        <f>IF(基础状态预期!Z117="",0,IFERROR(基础状态预期!F117*求节点($C$62:$C$63,D$62:D$63,基础状态预期!Z117),0)+IFERROR(基础状态预期!$J117*求节点($C$71:$C$72,D$71:D$72,基础状态预期!$AD117),0))</f>
        <v>0</v>
      </c>
      <c r="U105" s="80">
        <f>IF(基础状态预期!AA117="",0,IFERROR(基础状态预期!G117*求节点($C$62:$C$63,E$62:E$63,基础状态预期!AA117),0)+IFERROR(基础状态预期!$J117*求节点($C$71:$C$72,E$71:E$72,基础状态预期!$AD117),0))</f>
        <v>0</v>
      </c>
      <c r="V105" s="80">
        <f>IF(基础状态预期!AB117="",0,IFERROR(基础状态预期!H117*求节点($C$62:$C$63,F$62:F$63,基础状态预期!AB117),0)+IFERROR(基础状态预期!$J117*求节点($C$71:$C$72,F$71:F$72,基础状态预期!$AD117),0))</f>
        <v>0</v>
      </c>
      <c r="W105" s="80">
        <f>IF(基础状态预期!AC117="",0,IFERROR(基础状态预期!I117*求节点($C$62:$C$63,G$62:G$63,基础状态预期!AC117),0)+IFERROR(基础状态预期!$J117*求节点($C$71:$C$72,G$71:G$72,基础状态预期!$AD117),0))</f>
        <v>14</v>
      </c>
      <c r="X105" s="80">
        <f>IF(基础状态预期!AD117="",0,IFERROR(基础状态预期!J117*求节点($C$62:$C$63,H$62:H$63,基础状态预期!AD117),0)+IFERROR(基础状态预期!$J117*求节点($C$71:$C$72,H$71:H$72,基础状态预期!$AD117),0))</f>
        <v>0</v>
      </c>
      <c r="Y105" s="80">
        <f>IF(基础状态预期!$H117="",0,IF(基础状态预期!$AB117&lt;=1,基础状态预期!$AB117*D$18,D$18)*基础状态预期!$H117)+
IF(基础状态预期!$I117="",0,IF(基础状态预期!$AC117&lt;=1,基础状态预期!$AC117*D$19,D$19)*基础状态预期!$I117)+
IF(基础状态预期!$J117="",0,IF(基础状态预期!$AD117&lt;=1,基础状态预期!$AD117*D$20,D$20)*基础状态预期!$J117)</f>
        <v>44</v>
      </c>
      <c r="Z105" s="80">
        <f>IF(基础状态预期!$H117="",0,IF(基础状态预期!$AB117&lt;=1,基础状态预期!$AB117*E$18,E$18)*基础状态预期!$H117)+
IF(基础状态预期!$I117="",0,IF(基础状态预期!$AC117&lt;=1,基础状态预期!$AC117*E$19,E$19)*基础状态预期!$I117)+
IF(基础状态预期!$J117="",0,IF(基础状态预期!$AD117&lt;=1,基础状态预期!$AD117*E$20,E$20)*基础状态预期!$J117)</f>
        <v>0</v>
      </c>
      <c r="AA105" s="80">
        <f>IF(基础状态预期!$H117="",0,IF(基础状态预期!$AB117&lt;=1,基础状态预期!$AB117*F$18,F$18)*基础状态预期!$H117)+
IF(基础状态预期!$I117="",0,IF(基础状态预期!$AC117&lt;=1,基础状态预期!$AC117*F$19,F$19)*基础状态预期!$I117)+
IF(基础状态预期!$J117="",0,IF(基础状态预期!$AD117&lt;=1,基础状态预期!$AD117*F$20,F$20)*基础状态预期!$J117)</f>
        <v>0</v>
      </c>
      <c r="AB105" s="67">
        <f>IF(基础状态预期!$H117="",0,IF(基础状态预期!$AB117&lt;=1,0,(基础状态预期!$AB117-1)*G$26)*基础状态预期!$H117)+
IF(基础状态预期!$I117="",0,IF(基础状态预期!$AC117&lt;=1,0,(基础状态预期!$AC117-1)*G$27)*基础状态预期!$I117)+
IF(基础状态预期!$J117="",0,IF(基础状态预期!$AD117&lt;=1,0,(基础状态预期!$AD117-1)*G$28)*基础状态预期!$J117)</f>
        <v>220</v>
      </c>
      <c r="AC105" s="67">
        <f>IF(基础状态预期!$H117="",0,IF(基础状态预期!$AB117&lt;=1,0,(基础状态预期!$AB117-1)*H$26)*基础状态预期!$H117)+
IF(基础状态预期!$I117="",0,IF(基础状态预期!$AC117&lt;=1,0,(基础状态预期!$AC117-1)*H$27)*基础状态预期!$I117)+
IF(基础状态预期!$J117="",0,IF(基础状态预期!$AD117&lt;=1,0,(基础状态预期!$AD117-1)*H$28)*基础状态预期!$J117)</f>
        <v>0</v>
      </c>
      <c r="AD105" s="67">
        <f>IF(基础状态预期!$H117="",0,IF(基础状态预期!$AB117&lt;=1,0,(基础状态预期!$AB117-1)*I$26)*基础状态预期!$H117)+
IF(基础状态预期!$I117="",0,IF(基础状态预期!$AC117&lt;=1,0,(基础状态预期!$AC117-1)*I$27)*基础状态预期!$I117)+
IF(基础状态预期!$J117="",0,IF(基础状态预期!$AD117&lt;=1,0,(基础状态预期!$AD117-1)*I$28)*基础状态预期!$J117)</f>
        <v>0</v>
      </c>
      <c r="AE105" s="80">
        <f>IF(各r阵容卡情况!$H111=0,0,IF(各r阵容卡情况!$AB111&lt;=1,各r阵容卡情况!$AB111*D$18,1*D$18)*各r阵容卡情况!$H111)+
IF(各r阵容卡情况!$I111=0,0,IF(各r阵容卡情况!$AC111&lt;=1,各r阵容卡情况!$AC111*D$19,1*D$19)*各r阵容卡情况!$I111)+
IF(各r阵容卡情况!$J111=0,0,IF(各r阵容卡情况!$AD111&lt;=1,各r阵容卡情况!$AD111*D$20,1*D$20)*各r阵容卡情况!$J111)</f>
        <v>128</v>
      </c>
      <c r="AF105" s="80">
        <f>IF(各r阵容卡情况!$H111=0,0,IF(各r阵容卡情况!$AB111&lt;=1,各r阵容卡情况!$AB111*E$18,1*E$18)*各r阵容卡情况!$H111)+
IF(各r阵容卡情况!$I111=0,0,IF(各r阵容卡情况!$AC111&lt;=1,各r阵容卡情况!$AC111*E$19,1*E$19)*各r阵容卡情况!$I111)+
IF(各r阵容卡情况!$J111=0,0,IF(各r阵容卡情况!$AD111&lt;=1,各r阵容卡情况!$AD111*E$20,1*E$20)*各r阵容卡情况!$J111)</f>
        <v>0</v>
      </c>
      <c r="AG105" s="80">
        <f>IF(各r阵容卡情况!$H111=0,0,IF(各r阵容卡情况!$AB111&lt;=1,各r阵容卡情况!$AB111*F$18,1*F$18)*各r阵容卡情况!$H111)+
IF(各r阵容卡情况!$I111=0,0,IF(各r阵容卡情况!$AC111&lt;=1,各r阵容卡情况!$AC111*F$19,1*F$19)*各r阵容卡情况!$I111)+
IF(各r阵容卡情况!$J111=0,0,IF(各r阵容卡情况!$AD111&lt;=1,各r阵容卡情况!$AD111*F$20,1*F$20)*各r阵容卡情况!$J111)</f>
        <v>0</v>
      </c>
      <c r="AH105" s="67">
        <f>IF(各r阵容卡情况!$H111=0,0,IF(各r阵容卡情况!$AB111&lt;=1,0,(各r阵容卡情况!$AB111-1)*G$26)*各r阵容卡情况!$H111)+
IF(各r阵容卡情况!$I111=0,0,IF(各r阵容卡情况!$AC111&lt;=1,0,(各r阵容卡情况!$AC111-1)*G$27)*各r阵容卡情况!$I111)+
IF(各r阵容卡情况!$J111=0,0,IF(各r阵容卡情况!$AD111&lt;=1,0,(各r阵容卡情况!$AD111-1)*G$28)*各r阵容卡情况!$J111)</f>
        <v>640</v>
      </c>
      <c r="AI105" s="67">
        <f>IF(各r阵容卡情况!$H111=0,0,IF(各r阵容卡情况!$AB111&lt;=1,0,(各r阵容卡情况!$AB111-1)*H$26)*各r阵容卡情况!$H111)+
IF(各r阵容卡情况!$I111=0,0,IF(各r阵容卡情况!$AC111&lt;=1,0,(各r阵容卡情况!$AC111-1)*H$27)*各r阵容卡情况!$I111)+
IF(各r阵容卡情况!$J111=0,0,IF(各r阵容卡情况!$AD111&lt;=1,0,(各r阵容卡情况!$AD111-1)*H$28)*各r阵容卡情况!$J111)</f>
        <v>0</v>
      </c>
      <c r="AJ105" s="67">
        <f>IF(各r阵容卡情况!$H111=0,0,IF(各r阵容卡情况!$AB111&lt;=1,0,(各r阵容卡情况!$AB111-1)*I$26)*各r阵容卡情况!$H111)+
IF(各r阵容卡情况!$I111=0,0,IF(各r阵容卡情况!$AC111&lt;=1,0,(各r阵容卡情况!$AC111-1)*I$27)*各r阵容卡情况!$I111)+
IF(各r阵容卡情况!$J111=0,0,IF(各r阵容卡情况!$AD111&lt;=1,0,(各r阵容卡情况!$AD111-1)*I$28)*各r阵容卡情况!$J111)</f>
        <v>0</v>
      </c>
      <c r="AL105" s="80">
        <f t="shared" si="78"/>
        <v>60</v>
      </c>
      <c r="AM105" s="80">
        <f t="shared" si="79"/>
        <v>40.317394308289003</v>
      </c>
      <c r="AN105" s="80">
        <f t="shared" si="80"/>
        <v>0</v>
      </c>
      <c r="AO105" s="80">
        <f t="shared" si="81"/>
        <v>0</v>
      </c>
      <c r="AP105" s="80">
        <f t="shared" si="82"/>
        <v>201.58697154144502</v>
      </c>
      <c r="AQ105" s="80">
        <f t="shared" si="83"/>
        <v>0</v>
      </c>
      <c r="AR105" s="80">
        <f t="shared" si="84"/>
        <v>0</v>
      </c>
      <c r="AS105" s="80">
        <f t="shared" si="85"/>
        <v>105.58697154144501</v>
      </c>
      <c r="AT105" s="80">
        <f t="shared" si="86"/>
        <v>0</v>
      </c>
      <c r="AU105" s="80">
        <f t="shared" si="87"/>
        <v>0</v>
      </c>
      <c r="AV105" s="80">
        <f t="shared" si="88"/>
        <v>527.93485770722509</v>
      </c>
      <c r="AW105" s="80">
        <f t="shared" si="89"/>
        <v>0</v>
      </c>
      <c r="AX105" s="80">
        <f t="shared" si="90"/>
        <v>0</v>
      </c>
      <c r="AY105" s="61" t="e">
        <f>SUMPRODUCT(AM105:AR105/'[1]功能-行军令'!$GI$26:$GN$26+AS105:AX105/'[1]功能-行军令'!$GI$26:$GN$26)/0.18</f>
        <v>#DIV/0!</v>
      </c>
      <c r="BB105" s="80">
        <v>120</v>
      </c>
      <c r="BC105" s="80"/>
      <c r="BD105" s="80"/>
      <c r="BE105" s="80"/>
      <c r="BF105" s="80"/>
      <c r="BG105" s="80"/>
      <c r="BH105" s="80"/>
      <c r="BI105" s="80"/>
      <c r="BJ105" s="80"/>
      <c r="BK105" s="80">
        <f t="shared" si="94"/>
        <v>0</v>
      </c>
      <c r="BO105" s="80">
        <f t="shared" si="75"/>
        <v>72.23150684883845</v>
      </c>
      <c r="BP105" s="80">
        <f t="shared" si="76"/>
        <v>10770000</v>
      </c>
      <c r="BQ105" s="80">
        <f>(BP165-BP104)*INDEX('[1]功能-付费相关'!$AS$6:$AS$165,$BO165,1)+BQ104</f>
        <v>15271.756785720263</v>
      </c>
      <c r="BR105" s="80"/>
      <c r="BS105" s="80"/>
      <c r="BU105" s="80">
        <v>120</v>
      </c>
      <c r="BV105" s="80">
        <f t="shared" si="77"/>
        <v>16400.362618327152</v>
      </c>
      <c r="BW105" s="86">
        <f t="shared" si="93"/>
        <v>35908.854545454553</v>
      </c>
      <c r="BX105" s="80"/>
      <c r="BY105" s="80">
        <f t="shared" si="95"/>
        <v>52309.217163781708</v>
      </c>
    </row>
    <row r="106" spans="12:77" x14ac:dyDescent="0.15">
      <c r="L106" s="61">
        <v>15</v>
      </c>
      <c r="M106" s="80">
        <f>基础状态预期!D118</f>
        <v>72.23150684883845</v>
      </c>
      <c r="N106" s="80">
        <f>IF(基础状态预期!F118="",0,IF(基础状态预期!Z118&lt;=1,基础状态预期!Z118*D$4,1*D$4+(基础状态预期!Z118-1)*武将觉醒!D$5))</f>
        <v>0</v>
      </c>
      <c r="O106" s="80">
        <f>IF(基础状态预期!G118="",0,IF(基础状态预期!AA118&lt;=1,基础状态预期!AA118*E$4,1*E$4+(基础状态预期!AA118-1)*武将觉醒!E$5))</f>
        <v>0</v>
      </c>
      <c r="P106" s="80">
        <f>IF(基础状态预期!H118="",0,IF(基础状态预期!AB118&lt;=1,基础状态预期!AB118*F$4,1*F$4+(基础状态预期!AB118-1)*武将觉醒!F$5))</f>
        <v>0</v>
      </c>
      <c r="Q106" s="80">
        <f>IF(基础状态预期!I118="",0,IF(基础状态预期!AC118&lt;=1,基础状态预期!AC118*G$4,1*G$4+(基础状态预期!AC118-1)*武将觉醒!G$5))</f>
        <v>520000</v>
      </c>
      <c r="R106" s="80">
        <f>IF(基础状态预期!J118="",0,IF(基础状态预期!AD118&lt;=1,基础状态预期!AD118*H$4,1*H$4+(基础状态预期!AD118-1)*武将觉醒!H$5))</f>
        <v>2050000</v>
      </c>
      <c r="S106" s="80">
        <f>MAX(SUMPRODUCT(N106:R106,基础状态预期!F118:J118),S105)</f>
        <v>10770000</v>
      </c>
      <c r="T106" s="80">
        <f>IF(基础状态预期!Z118="",0,IFERROR(基础状态预期!F118*求节点($C$62:$C$63,D$62:D$63,基础状态预期!Z118),0)+IFERROR(基础状态预期!$J118*求节点($C$71:$C$72,D$71:D$72,基础状态预期!$AD118),0))</f>
        <v>0</v>
      </c>
      <c r="U106" s="80">
        <f>IF(基础状态预期!AA118="",0,IFERROR(基础状态预期!G118*求节点($C$62:$C$63,E$62:E$63,基础状态预期!AA118),0)+IFERROR(基础状态预期!$J118*求节点($C$71:$C$72,E$71:E$72,基础状态预期!$AD118),0))</f>
        <v>0</v>
      </c>
      <c r="V106" s="80">
        <f>IF(基础状态预期!AB118="",0,IFERROR(基础状态预期!H118*求节点($C$62:$C$63,F$62:F$63,基础状态预期!AB118),0)+IFERROR(基础状态预期!$J118*求节点($C$71:$C$72,F$71:F$72,基础状态预期!$AD118),0))</f>
        <v>0</v>
      </c>
      <c r="W106" s="80">
        <f>IF(基础状态预期!AC118="",0,IFERROR(基础状态预期!I118*求节点($C$62:$C$63,G$62:G$63,基础状态预期!AC118),0)+IFERROR(基础状态预期!$J118*求节点($C$71:$C$72,G$71:G$72,基础状态预期!$AD118),0))</f>
        <v>16</v>
      </c>
      <c r="X106" s="80">
        <f>IF(基础状态预期!AD118="",0,IFERROR(基础状态预期!J118*求节点($C$62:$C$63,H$62:H$63,基础状态预期!AD118),0)+IFERROR(基础状态预期!$J118*求节点($C$71:$C$72,H$71:H$72,基础状态预期!$AD118),0))</f>
        <v>0</v>
      </c>
      <c r="Y106" s="80">
        <f>IF(基础状态预期!$H118="",0,IF(基础状态预期!$AB118&lt;=1,基础状态预期!$AB118*D$18,D$18)*基础状态预期!$H118)+
IF(基础状态预期!$I118="",0,IF(基础状态预期!$AC118&lt;=1,基础状态预期!$AC118*D$19,D$19)*基础状态预期!$I118)+
IF(基础状态预期!$J118="",0,IF(基础状态预期!$AD118&lt;=1,基础状态预期!$AD118*D$20,D$20)*基础状态预期!$J118)</f>
        <v>46</v>
      </c>
      <c r="Z106" s="80">
        <f>IF(基础状态预期!$H118="",0,IF(基础状态预期!$AB118&lt;=1,基础状态预期!$AB118*E$18,E$18)*基础状态预期!$H118)+
IF(基础状态预期!$I118="",0,IF(基础状态预期!$AC118&lt;=1,基础状态预期!$AC118*E$19,E$19)*基础状态预期!$I118)+
IF(基础状态预期!$J118="",0,IF(基础状态预期!$AD118&lt;=1,基础状态预期!$AD118*E$20,E$20)*基础状态预期!$J118)</f>
        <v>0</v>
      </c>
      <c r="AA106" s="80">
        <f>IF(基础状态预期!$H118="",0,IF(基础状态预期!$AB118&lt;=1,基础状态预期!$AB118*F$18,F$18)*基础状态预期!$H118)+
IF(基础状态预期!$I118="",0,IF(基础状态预期!$AC118&lt;=1,基础状态预期!$AC118*F$19,F$19)*基础状态预期!$I118)+
IF(基础状态预期!$J118="",0,IF(基础状态预期!$AD118&lt;=1,基础状态预期!$AD118*F$20,F$20)*基础状态预期!$J118)</f>
        <v>0</v>
      </c>
      <c r="AB106" s="67">
        <f>IF(基础状态预期!$H118="",0,IF(基础状态预期!$AB118&lt;=1,0,(基础状态预期!$AB118-1)*G$26)*基础状态预期!$H118)+
IF(基础状态预期!$I118="",0,IF(基础状态预期!$AC118&lt;=1,0,(基础状态预期!$AC118-1)*G$27)*基础状态预期!$I118)+
IF(基础状态预期!$J118="",0,IF(基础状态预期!$AD118&lt;=1,0,(基础状态预期!$AD118-1)*G$28)*基础状态预期!$J118)</f>
        <v>230</v>
      </c>
      <c r="AC106" s="67">
        <f>IF(基础状态预期!$H118="",0,IF(基础状态预期!$AB118&lt;=1,0,(基础状态预期!$AB118-1)*H$26)*基础状态预期!$H118)+
IF(基础状态预期!$I118="",0,IF(基础状态预期!$AC118&lt;=1,0,(基础状态预期!$AC118-1)*H$27)*基础状态预期!$I118)+
IF(基础状态预期!$J118="",0,IF(基础状态预期!$AD118&lt;=1,0,(基础状态预期!$AD118-1)*H$28)*基础状态预期!$J118)</f>
        <v>0</v>
      </c>
      <c r="AD106" s="67">
        <f>IF(基础状态预期!$H118="",0,IF(基础状态预期!$AB118&lt;=1,0,(基础状态预期!$AB118-1)*I$26)*基础状态预期!$H118)+
IF(基础状态预期!$I118="",0,IF(基础状态预期!$AC118&lt;=1,0,(基础状态预期!$AC118-1)*I$27)*基础状态预期!$I118)+
IF(基础状态预期!$J118="",0,IF(基础状态预期!$AD118&lt;=1,0,(基础状态预期!$AD118-1)*I$28)*基础状态预期!$J118)</f>
        <v>0</v>
      </c>
      <c r="AE106" s="80">
        <f>IF(各r阵容卡情况!$H112=0,0,IF(各r阵容卡情况!$AB112&lt;=1,各r阵容卡情况!$AB112*D$18,1*D$18)*各r阵容卡情况!$H112)+
IF(各r阵容卡情况!$I112=0,0,IF(各r阵容卡情况!$AC112&lt;=1,各r阵容卡情况!$AC112*D$19,1*D$19)*各r阵容卡情况!$I112)+
IF(各r阵容卡情况!$J112=0,0,IF(各r阵容卡情况!$AD112&lt;=1,各r阵容卡情况!$AD112*D$20,1*D$20)*各r阵容卡情况!$J112)</f>
        <v>132</v>
      </c>
      <c r="AF106" s="80">
        <f>IF(各r阵容卡情况!$H112=0,0,IF(各r阵容卡情况!$AB112&lt;=1,各r阵容卡情况!$AB112*E$18,1*E$18)*各r阵容卡情况!$H112)+
IF(各r阵容卡情况!$I112=0,0,IF(各r阵容卡情况!$AC112&lt;=1,各r阵容卡情况!$AC112*E$19,1*E$19)*各r阵容卡情况!$I112)+
IF(各r阵容卡情况!$J112=0,0,IF(各r阵容卡情况!$AD112&lt;=1,各r阵容卡情况!$AD112*E$20,1*E$20)*各r阵容卡情况!$J112)</f>
        <v>0</v>
      </c>
      <c r="AG106" s="80">
        <f>IF(各r阵容卡情况!$H112=0,0,IF(各r阵容卡情况!$AB112&lt;=1,各r阵容卡情况!$AB112*F$18,1*F$18)*各r阵容卡情况!$H112)+
IF(各r阵容卡情况!$I112=0,0,IF(各r阵容卡情况!$AC112&lt;=1,各r阵容卡情况!$AC112*F$19,1*F$19)*各r阵容卡情况!$I112)+
IF(各r阵容卡情况!$J112=0,0,IF(各r阵容卡情况!$AD112&lt;=1,各r阵容卡情况!$AD112*F$20,1*F$20)*各r阵容卡情况!$J112)</f>
        <v>0</v>
      </c>
      <c r="AH106" s="67">
        <f>IF(各r阵容卡情况!$H112=0,0,IF(各r阵容卡情况!$AB112&lt;=1,0,(各r阵容卡情况!$AB112-1)*G$26)*各r阵容卡情况!$H112)+
IF(各r阵容卡情况!$I112=0,0,IF(各r阵容卡情况!$AC112&lt;=1,0,(各r阵容卡情况!$AC112-1)*G$27)*各r阵容卡情况!$I112)+
IF(各r阵容卡情况!$J112=0,0,IF(各r阵容卡情况!$AD112&lt;=1,0,(各r阵容卡情况!$AD112-1)*G$28)*各r阵容卡情况!$J112)</f>
        <v>660</v>
      </c>
      <c r="AI106" s="67">
        <f>IF(各r阵容卡情况!$H112=0,0,IF(各r阵容卡情况!$AB112&lt;=1,0,(各r阵容卡情况!$AB112-1)*H$26)*各r阵容卡情况!$H112)+
IF(各r阵容卡情况!$I112=0,0,IF(各r阵容卡情况!$AC112&lt;=1,0,(各r阵容卡情况!$AC112-1)*H$27)*各r阵容卡情况!$I112)+
IF(各r阵容卡情况!$J112=0,0,IF(各r阵容卡情况!$AD112&lt;=1,0,(各r阵容卡情况!$AD112-1)*H$28)*各r阵容卡情况!$J112)</f>
        <v>0</v>
      </c>
      <c r="AJ106" s="67">
        <f>IF(各r阵容卡情况!$H112=0,0,IF(各r阵容卡情况!$AB112&lt;=1,0,(各r阵容卡情况!$AB112-1)*I$26)*各r阵容卡情况!$H112)+
IF(各r阵容卡情况!$I112=0,0,IF(各r阵容卡情况!$AC112&lt;=1,0,(各r阵容卡情况!$AC112-1)*I$27)*各r阵容卡情况!$I112)+
IF(各r阵容卡情况!$J112=0,0,IF(各r阵容卡情况!$AD112&lt;=1,0,(各r阵容卡情况!$AD112-1)*I$28)*各r阵容卡情况!$J112)</f>
        <v>0</v>
      </c>
      <c r="AL106" s="80">
        <f t="shared" si="78"/>
        <v>65</v>
      </c>
      <c r="AM106" s="80">
        <f t="shared" si="79"/>
        <v>42.086165663324913</v>
      </c>
      <c r="AN106" s="80">
        <f t="shared" si="80"/>
        <v>0</v>
      </c>
      <c r="AO106" s="80">
        <f t="shared" si="81"/>
        <v>0</v>
      </c>
      <c r="AP106" s="80">
        <f t="shared" si="82"/>
        <v>210.43082831662454</v>
      </c>
      <c r="AQ106" s="80">
        <f t="shared" si="83"/>
        <v>0</v>
      </c>
      <c r="AR106" s="80">
        <f t="shared" si="84"/>
        <v>0</v>
      </c>
      <c r="AS106" s="80">
        <f t="shared" si="85"/>
        <v>114.60315964327437</v>
      </c>
      <c r="AT106" s="80">
        <f t="shared" si="86"/>
        <v>0</v>
      </c>
      <c r="AU106" s="80">
        <f t="shared" si="87"/>
        <v>0</v>
      </c>
      <c r="AV106" s="80">
        <f t="shared" si="88"/>
        <v>573.01579821637188</v>
      </c>
      <c r="AW106" s="80">
        <f t="shared" si="89"/>
        <v>0</v>
      </c>
      <c r="AX106" s="80">
        <f t="shared" si="90"/>
        <v>0</v>
      </c>
      <c r="AY106" s="61" t="e">
        <f>SUMPRODUCT(AM106:AR106/'[1]功能-行军令'!$GI$26:$GN$26+AS106:AX106/'[1]功能-行军令'!$GI$26:$GN$26)/0.18</f>
        <v>#DIV/0!</v>
      </c>
      <c r="BB106" s="80">
        <v>130</v>
      </c>
      <c r="BC106" s="80"/>
      <c r="BD106" s="80"/>
      <c r="BE106" s="80"/>
      <c r="BF106" s="80"/>
      <c r="BG106" s="80"/>
      <c r="BH106" s="80"/>
      <c r="BI106" s="80"/>
      <c r="BJ106" s="80"/>
      <c r="BK106" s="80">
        <f t="shared" si="94"/>
        <v>0</v>
      </c>
      <c r="BO106" s="80">
        <f t="shared" si="75"/>
        <v>74.840792411391348</v>
      </c>
      <c r="BP106" s="80">
        <f t="shared" si="76"/>
        <v>11535000</v>
      </c>
      <c r="BQ106" s="80">
        <f>(BP106-BP165)*INDEX('[1]功能-付费相关'!$AS$6:$AS$165,$BO106,1)+BQ165</f>
        <v>15583.05492601946</v>
      </c>
      <c r="BR106" s="80"/>
      <c r="BS106" s="80"/>
      <c r="BU106" s="80">
        <v>130</v>
      </c>
      <c r="BV106" s="80">
        <f t="shared" si="77"/>
        <v>16400.362618327152</v>
      </c>
      <c r="BW106" s="86">
        <f t="shared" si="93"/>
        <v>35908.854545454553</v>
      </c>
      <c r="BX106" s="80"/>
      <c r="BY106" s="80">
        <f t="shared" si="95"/>
        <v>52309.217163781708</v>
      </c>
    </row>
    <row r="107" spans="12:77" x14ac:dyDescent="0.15">
      <c r="L107" s="61">
        <v>16</v>
      </c>
      <c r="M107" s="80">
        <f>基础状态预期!D119</f>
        <v>74.840792411391348</v>
      </c>
      <c r="N107" s="80">
        <f>IF(基础状态预期!F119="",0,IF(基础状态预期!Z119&lt;=1,基础状态预期!Z119*D$4,1*D$4+(基础状态预期!Z119-1)*武将觉醒!D$5))</f>
        <v>0</v>
      </c>
      <c r="O107" s="80">
        <f>IF(基础状态预期!G119="",0,IF(基础状态预期!AA119&lt;=1,基础状态预期!AA119*E$4,1*E$4+(基础状态预期!AA119-1)*武将觉醒!E$5))</f>
        <v>0</v>
      </c>
      <c r="P107" s="80">
        <f>IF(基础状态预期!H119="",0,IF(基础状态预期!AB119&lt;=1,基础状态预期!AB119*F$4,1*F$4+(基础状态预期!AB119-1)*武将觉醒!F$5))</f>
        <v>0</v>
      </c>
      <c r="Q107" s="80">
        <f>IF(基础状态预期!I119="",0,IF(基础状态预期!AC119&lt;=1,基础状态预期!AC119*G$4,1*G$4+(基础状态预期!AC119-1)*武将觉醒!G$5))</f>
        <v>520000</v>
      </c>
      <c r="R107" s="80">
        <f>IF(基础状态预期!J119="",0,IF(基础状态预期!AD119&lt;=1,基础状态预期!AD119*H$4,1*H$4+(基础状态预期!AD119-1)*武将觉醒!H$5))</f>
        <v>2050000</v>
      </c>
      <c r="S107" s="80">
        <f>MAX(SUMPRODUCT(N107:R107,基础状态预期!F119:J119),S106)</f>
        <v>11535000</v>
      </c>
      <c r="T107" s="80">
        <f>IF(基础状态预期!Z119="",0,IFERROR(基础状态预期!F119*求节点($C$62:$C$63,D$62:D$63,基础状态预期!Z119),0)+IFERROR(基础状态预期!$J119*求节点($C$71:$C$72,D$71:D$72,基础状态预期!$AD119),0))</f>
        <v>0</v>
      </c>
      <c r="U107" s="80">
        <f>IF(基础状态预期!AA119="",0,IFERROR(基础状态预期!G119*求节点($C$62:$C$63,E$62:E$63,基础状态预期!AA119),0)+IFERROR(基础状态预期!$J119*求节点($C$71:$C$72,E$71:E$72,基础状态预期!$AD119),0))</f>
        <v>0</v>
      </c>
      <c r="V107" s="80">
        <f>IF(基础状态预期!AB119="",0,IFERROR(基础状态预期!H119*求节点($C$62:$C$63,F$62:F$63,基础状态预期!AB119),0)+IFERROR(基础状态预期!$J119*求节点($C$71:$C$72,F$71:F$72,基础状态预期!$AD119),0))</f>
        <v>0</v>
      </c>
      <c r="W107" s="80">
        <f>IF(基础状态预期!AC119="",0,IFERROR(基础状态预期!I119*求节点($C$62:$C$63,G$62:G$63,基础状态预期!AC119),0)+IFERROR(基础状态预期!$J119*求节点($C$71:$C$72,G$71:G$72,基础状态预期!$AD119),0))</f>
        <v>17</v>
      </c>
      <c r="X107" s="80">
        <f>IF(基础状态预期!AD119="",0,IFERROR(基础状态预期!J119*求节点($C$62:$C$63,H$62:H$63,基础状态预期!AD119),0)+IFERROR(基础状态预期!$J119*求节点($C$71:$C$72,H$71:H$72,基础状态预期!$AD119),0))</f>
        <v>0</v>
      </c>
      <c r="Y107" s="80">
        <f>IF(基础状态预期!$H119="",0,IF(基础状态预期!$AB119&lt;=1,基础状态预期!$AB119*D$18,D$18)*基础状态预期!$H119)+
IF(基础状态预期!$I119="",0,IF(基础状态预期!$AC119&lt;=1,基础状态预期!$AC119*D$19,D$19)*基础状态预期!$I119)+
IF(基础状态预期!$J119="",0,IF(基础状态预期!$AD119&lt;=1,基础状态预期!$AD119*D$20,D$20)*基础状态预期!$J119)</f>
        <v>47</v>
      </c>
      <c r="Z107" s="80">
        <f>IF(基础状态预期!$H119="",0,IF(基础状态预期!$AB119&lt;=1,基础状态预期!$AB119*E$18,E$18)*基础状态预期!$H119)+
IF(基础状态预期!$I119="",0,IF(基础状态预期!$AC119&lt;=1,基础状态预期!$AC119*E$19,E$19)*基础状态预期!$I119)+
IF(基础状态预期!$J119="",0,IF(基础状态预期!$AD119&lt;=1,基础状态预期!$AD119*E$20,E$20)*基础状态预期!$J119)</f>
        <v>0</v>
      </c>
      <c r="AA107" s="80">
        <f>IF(基础状态预期!$H119="",0,IF(基础状态预期!$AB119&lt;=1,基础状态预期!$AB119*F$18,F$18)*基础状态预期!$H119)+
IF(基础状态预期!$I119="",0,IF(基础状态预期!$AC119&lt;=1,基础状态预期!$AC119*F$19,F$19)*基础状态预期!$I119)+
IF(基础状态预期!$J119="",0,IF(基础状态预期!$AD119&lt;=1,基础状态预期!$AD119*F$20,F$20)*基础状态预期!$J119)</f>
        <v>0</v>
      </c>
      <c r="AB107" s="67">
        <f>IF(基础状态预期!$H119="",0,IF(基础状态预期!$AB119&lt;=1,0,(基础状态预期!$AB119-1)*G$26)*基础状态预期!$H119)+
IF(基础状态预期!$I119="",0,IF(基础状态预期!$AC119&lt;=1,0,(基础状态预期!$AC119-1)*G$27)*基础状态预期!$I119)+
IF(基础状态预期!$J119="",0,IF(基础状态预期!$AD119&lt;=1,0,(基础状态预期!$AD119-1)*G$28)*基础状态预期!$J119)</f>
        <v>235</v>
      </c>
      <c r="AC107" s="67">
        <f>IF(基础状态预期!$H119="",0,IF(基础状态预期!$AB119&lt;=1,0,(基础状态预期!$AB119-1)*H$26)*基础状态预期!$H119)+
IF(基础状态预期!$I119="",0,IF(基础状态预期!$AC119&lt;=1,0,(基础状态预期!$AC119-1)*H$27)*基础状态预期!$I119)+
IF(基础状态预期!$J119="",0,IF(基础状态预期!$AD119&lt;=1,0,(基础状态预期!$AD119-1)*H$28)*基础状态预期!$J119)</f>
        <v>0</v>
      </c>
      <c r="AD107" s="67">
        <f>IF(基础状态预期!$H119="",0,IF(基础状态预期!$AB119&lt;=1,0,(基础状态预期!$AB119-1)*I$26)*基础状态预期!$H119)+
IF(基础状态预期!$I119="",0,IF(基础状态预期!$AC119&lt;=1,0,(基础状态预期!$AC119-1)*I$27)*基础状态预期!$I119)+
IF(基础状态预期!$J119="",0,IF(基础状态预期!$AD119&lt;=1,0,(基础状态预期!$AD119-1)*I$28)*基础状态预期!$J119)</f>
        <v>0</v>
      </c>
      <c r="AE107" s="80">
        <f>IF(各r阵容卡情况!$H113=0,0,IF(各r阵容卡情况!$AB113&lt;=1,各r阵容卡情况!$AB113*D$18,1*D$18)*各r阵容卡情况!$H113)+
IF(各r阵容卡情况!$I113=0,0,IF(各r阵容卡情况!$AC113&lt;=1,各r阵容卡情况!$AC113*D$19,1*D$19)*各r阵容卡情况!$I113)+
IF(各r阵容卡情况!$J113=0,0,IF(各r阵容卡情况!$AD113&lt;=1,各r阵容卡情况!$AD113*D$20,1*D$20)*各r阵容卡情况!$J113)</f>
        <v>136</v>
      </c>
      <c r="AF107" s="80">
        <f>IF(各r阵容卡情况!$H113=0,0,IF(各r阵容卡情况!$AB113&lt;=1,各r阵容卡情况!$AB113*E$18,1*E$18)*各r阵容卡情况!$H113)+
IF(各r阵容卡情况!$I113=0,0,IF(各r阵容卡情况!$AC113&lt;=1,各r阵容卡情况!$AC113*E$19,1*E$19)*各r阵容卡情况!$I113)+
IF(各r阵容卡情况!$J113=0,0,IF(各r阵容卡情况!$AD113&lt;=1,各r阵容卡情况!$AD113*E$20,1*E$20)*各r阵容卡情况!$J113)</f>
        <v>0</v>
      </c>
      <c r="AG107" s="80">
        <f>IF(各r阵容卡情况!$H113=0,0,IF(各r阵容卡情况!$AB113&lt;=1,各r阵容卡情况!$AB113*F$18,1*F$18)*各r阵容卡情况!$H113)+
IF(各r阵容卡情况!$I113=0,0,IF(各r阵容卡情况!$AC113&lt;=1,各r阵容卡情况!$AC113*F$19,1*F$19)*各r阵容卡情况!$I113)+
IF(各r阵容卡情况!$J113=0,0,IF(各r阵容卡情况!$AD113&lt;=1,各r阵容卡情况!$AD113*F$20,1*F$20)*各r阵容卡情况!$J113)</f>
        <v>0</v>
      </c>
      <c r="AH107" s="67">
        <f>IF(各r阵容卡情况!$H113=0,0,IF(各r阵容卡情况!$AB113&lt;=1,0,(各r阵容卡情况!$AB113-1)*G$26)*各r阵容卡情况!$H113)+
IF(各r阵容卡情况!$I113=0,0,IF(各r阵容卡情况!$AC113&lt;=1,0,(各r阵容卡情况!$AC113-1)*G$27)*各r阵容卡情况!$I113)+
IF(各r阵容卡情况!$J113=0,0,IF(各r阵容卡情况!$AD113&lt;=1,0,(各r阵容卡情况!$AD113-1)*G$28)*各r阵容卡情况!$J113)</f>
        <v>680</v>
      </c>
      <c r="AI107" s="67">
        <f>IF(各r阵容卡情况!$H113=0,0,IF(各r阵容卡情况!$AB113&lt;=1,0,(各r阵容卡情况!$AB113-1)*H$26)*各r阵容卡情况!$H113)+
IF(各r阵容卡情况!$I113=0,0,IF(各r阵容卡情况!$AC113&lt;=1,0,(各r阵容卡情况!$AC113-1)*H$27)*各r阵容卡情况!$I113)+
IF(各r阵容卡情况!$J113=0,0,IF(各r阵容卡情况!$AD113&lt;=1,0,(各r阵容卡情况!$AD113-1)*H$28)*各r阵容卡情况!$J113)</f>
        <v>0</v>
      </c>
      <c r="AJ107" s="67">
        <f>IF(各r阵容卡情况!$H113=0,0,IF(各r阵容卡情况!$AB113&lt;=1,0,(各r阵容卡情况!$AB113-1)*I$26)*各r阵容卡情况!$H113)+
IF(各r阵容卡情况!$I113=0,0,IF(各r阵容卡情况!$AC113&lt;=1,0,(各r阵容卡情况!$AC113-1)*I$27)*各r阵容卡情况!$I113)+
IF(各r阵容卡情况!$J113=0,0,IF(各r阵容卡情况!$AD113&lt;=1,0,(各r阵容卡情况!$AD113-1)*I$28)*各r阵容卡情况!$J113)</f>
        <v>0</v>
      </c>
      <c r="AL107" s="80">
        <f t="shared" si="78"/>
        <v>70</v>
      </c>
      <c r="AM107" s="80">
        <f t="shared" si="79"/>
        <v>44.611613229054043</v>
      </c>
      <c r="AN107" s="80">
        <f t="shared" si="80"/>
        <v>0</v>
      </c>
      <c r="AO107" s="80">
        <f t="shared" si="81"/>
        <v>0</v>
      </c>
      <c r="AP107" s="80">
        <f t="shared" si="82"/>
        <v>223.05806614527023</v>
      </c>
      <c r="AQ107" s="80">
        <f t="shared" si="83"/>
        <v>0</v>
      </c>
      <c r="AR107" s="80">
        <f t="shared" si="84"/>
        <v>0</v>
      </c>
      <c r="AS107" s="80">
        <f t="shared" si="85"/>
        <v>129.22322645810809</v>
      </c>
      <c r="AT107" s="80">
        <f t="shared" si="86"/>
        <v>0</v>
      </c>
      <c r="AU107" s="80">
        <f t="shared" si="87"/>
        <v>0</v>
      </c>
      <c r="AV107" s="80">
        <f t="shared" si="88"/>
        <v>646.11613229054046</v>
      </c>
      <c r="AW107" s="80">
        <f t="shared" si="89"/>
        <v>0</v>
      </c>
      <c r="AX107" s="80">
        <f t="shared" si="90"/>
        <v>0</v>
      </c>
      <c r="AY107" s="61" t="e">
        <f>SUMPRODUCT(AM107:AR107/'[1]功能-行军令'!$GI$26:$GN$26+AS107:AX107/'[1]功能-行军令'!$GI$26:$GN$26)/0.18</f>
        <v>#DIV/0!</v>
      </c>
      <c r="BB107" s="80">
        <v>140</v>
      </c>
      <c r="BC107" s="80"/>
      <c r="BD107" s="80"/>
      <c r="BE107" s="80"/>
      <c r="BF107" s="80"/>
      <c r="BG107" s="80"/>
      <c r="BH107" s="80"/>
      <c r="BI107" s="80"/>
      <c r="BJ107" s="80"/>
      <c r="BK107" s="80">
        <f t="shared" si="94"/>
        <v>0</v>
      </c>
      <c r="BO107" s="80">
        <f t="shared" si="75"/>
        <v>77.697893604818219</v>
      </c>
      <c r="BP107" s="80">
        <f t="shared" si="76"/>
        <v>12300000</v>
      </c>
      <c r="BQ107" s="80">
        <f>(BP107-BP106)*INDEX('[1]功能-付费相关'!$AS$6:$AS$165,$BO107,1)+BQ106</f>
        <v>16400.362618327152</v>
      </c>
      <c r="BR107" s="80"/>
      <c r="BS107" s="80"/>
      <c r="BU107" s="80">
        <v>140</v>
      </c>
      <c r="BV107" s="80">
        <f t="shared" si="77"/>
        <v>16400.362618327152</v>
      </c>
      <c r="BW107" s="86">
        <f t="shared" si="93"/>
        <v>35908.854545454553</v>
      </c>
      <c r="BX107" s="80"/>
      <c r="BY107" s="80">
        <f t="shared" si="95"/>
        <v>52309.217163781708</v>
      </c>
    </row>
    <row r="108" spans="12:77" x14ac:dyDescent="0.15">
      <c r="L108" s="61">
        <v>17</v>
      </c>
      <c r="M108" s="80">
        <f>基础状态预期!D120</f>
        <v>77.697893604818219</v>
      </c>
      <c r="N108" s="80">
        <f>IF(基础状态预期!F120="",0,IF(基础状态预期!Z120&lt;=1,基础状态预期!Z120*D$4,1*D$4+(基础状态预期!Z120-1)*武将觉醒!D$5))</f>
        <v>0</v>
      </c>
      <c r="O108" s="80">
        <f>IF(基础状态预期!G120="",0,IF(基础状态预期!AA120&lt;=1,基础状态预期!AA120*E$4,1*E$4+(基础状态预期!AA120-1)*武将觉醒!E$5))</f>
        <v>0</v>
      </c>
      <c r="P108" s="80">
        <f>IF(基础状态预期!H120="",0,IF(基础状态预期!AB120&lt;=1,基础状态预期!AB120*F$4,1*F$4+(基础状态预期!AB120-1)*武将觉醒!F$5))</f>
        <v>0</v>
      </c>
      <c r="Q108" s="80">
        <f>IF(基础状态预期!I120="",0,IF(基础状态预期!AC120&lt;=1,基础状态预期!AC120*G$4,1*G$4+(基础状态预期!AC120-1)*武将觉醒!G$5))</f>
        <v>0</v>
      </c>
      <c r="R108" s="80">
        <f>IF(基础状态预期!J120="",0,IF(基础状态预期!AD120&lt;=1,基础状态预期!AD120*H$4,1*H$4+(基础状态预期!AD120-1)*武将觉醒!H$5))</f>
        <v>2050000</v>
      </c>
      <c r="S108" s="80">
        <f>MAX(SUMPRODUCT(N108:R108,基础状态预期!F120:J120),S107)</f>
        <v>12300000</v>
      </c>
      <c r="T108" s="80">
        <f>IF(基础状态预期!Z120="",0,IFERROR(基础状态预期!F120*求节点($C$62:$C$63,D$62:D$63,基础状态预期!Z120),0)+IFERROR(基础状态预期!$J120*求节点($C$71:$C$72,D$71:D$72,基础状态预期!$AD120),0))</f>
        <v>0</v>
      </c>
      <c r="U108" s="80">
        <f>IF(基础状态预期!AA120="",0,IFERROR(基础状态预期!G120*求节点($C$62:$C$63,E$62:E$63,基础状态预期!AA120),0)+IFERROR(基础状态预期!$J120*求节点($C$71:$C$72,E$71:E$72,基础状态预期!$AD120),0))</f>
        <v>0</v>
      </c>
      <c r="V108" s="80">
        <f>IF(基础状态预期!AB120="",0,IFERROR(基础状态预期!H120*求节点($C$62:$C$63,F$62:F$63,基础状态预期!AB120),0)+IFERROR(基础状态预期!$J120*求节点($C$71:$C$72,F$71:F$72,基础状态预期!$AD120),0))</f>
        <v>0</v>
      </c>
      <c r="W108" s="80">
        <f>IF(基础状态预期!AC120="",0,IFERROR(基础状态预期!I120*求节点($C$62:$C$63,G$62:G$63,基础状态预期!AC120),0)+IFERROR(基础状态预期!$J120*求节点($C$71:$C$72,G$71:G$72,基础状态预期!$AD120),0))</f>
        <v>0</v>
      </c>
      <c r="X108" s="80">
        <f>IF(基础状态预期!AD120="",0,IFERROR(基础状态预期!J120*求节点($C$62:$C$63,H$62:H$63,基础状态预期!AD120),0)+IFERROR(基础状态预期!$J120*求节点($C$71:$C$72,H$71:H$72,基础状态预期!$AD120),0))</f>
        <v>0</v>
      </c>
      <c r="Y108" s="80">
        <f>IF(基础状态预期!$H120="",0,IF(基础状态预期!$AB120&lt;=1,基础状态预期!$AB120*D$18,D$18)*基础状态预期!$H120)+
IF(基础状态预期!$I120="",0,IF(基础状态预期!$AC120&lt;=1,基础状态预期!$AC120*D$19,D$19)*基础状态预期!$I120)+
IF(基础状态预期!$J120="",0,IF(基础状态预期!$AD120&lt;=1,基础状态预期!$AD120*D$20,D$20)*基础状态预期!$J120)</f>
        <v>48</v>
      </c>
      <c r="Z108" s="80">
        <f>IF(基础状态预期!$H120="",0,IF(基础状态预期!$AB120&lt;=1,基础状态预期!$AB120*E$18,E$18)*基础状态预期!$H120)+
IF(基础状态预期!$I120="",0,IF(基础状态预期!$AC120&lt;=1,基础状态预期!$AC120*E$19,E$19)*基础状态预期!$I120)+
IF(基础状态预期!$J120="",0,IF(基础状态预期!$AD120&lt;=1,基础状态预期!$AD120*E$20,E$20)*基础状态预期!$J120)</f>
        <v>0</v>
      </c>
      <c r="AA108" s="80">
        <f>IF(基础状态预期!$H120="",0,IF(基础状态预期!$AB120&lt;=1,基础状态预期!$AB120*F$18,F$18)*基础状态预期!$H120)+
IF(基础状态预期!$I120="",0,IF(基础状态预期!$AC120&lt;=1,基础状态预期!$AC120*F$19,F$19)*基础状态预期!$I120)+
IF(基础状态预期!$J120="",0,IF(基础状态预期!$AD120&lt;=1,基础状态预期!$AD120*F$20,F$20)*基础状态预期!$J120)</f>
        <v>0</v>
      </c>
      <c r="AB108" s="67">
        <f>IF(基础状态预期!$H120="",0,IF(基础状态预期!$AB120&lt;=1,0,(基础状态预期!$AB120-1)*G$26)*基础状态预期!$H120)+
IF(基础状态预期!$I120="",0,IF(基础状态预期!$AC120&lt;=1,0,(基础状态预期!$AC120-1)*G$27)*基础状态预期!$I120)+
IF(基础状态预期!$J120="",0,IF(基础状态预期!$AD120&lt;=1,0,(基础状态预期!$AD120-1)*G$28)*基础状态预期!$J120)</f>
        <v>240</v>
      </c>
      <c r="AC108" s="67">
        <f>IF(基础状态预期!$H120="",0,IF(基础状态预期!$AB120&lt;=1,0,(基础状态预期!$AB120-1)*H$26)*基础状态预期!$H120)+
IF(基础状态预期!$I120="",0,IF(基础状态预期!$AC120&lt;=1,0,(基础状态预期!$AC120-1)*H$27)*基础状态预期!$I120)+
IF(基础状态预期!$J120="",0,IF(基础状态预期!$AD120&lt;=1,0,(基础状态预期!$AD120-1)*H$28)*基础状态预期!$J120)</f>
        <v>0</v>
      </c>
      <c r="AD108" s="67">
        <f>IF(基础状态预期!$H120="",0,IF(基础状态预期!$AB120&lt;=1,0,(基础状态预期!$AB120-1)*I$26)*基础状态预期!$H120)+
IF(基础状态预期!$I120="",0,IF(基础状态预期!$AC120&lt;=1,0,(基础状态预期!$AC120-1)*I$27)*基础状态预期!$I120)+
IF(基础状态预期!$J120="",0,IF(基础状态预期!$AD120&lt;=1,0,(基础状态预期!$AD120-1)*I$28)*基础状态预期!$J120)</f>
        <v>0</v>
      </c>
      <c r="AE108" s="80">
        <f>IF(各r阵容卡情况!$H114=0,0,IF(各r阵容卡情况!$AB114&lt;=1,各r阵容卡情况!$AB114*D$18,1*D$18)*各r阵容卡情况!$H114)+
IF(各r阵容卡情况!$I114=0,0,IF(各r阵容卡情况!$AC114&lt;=1,各r阵容卡情况!$AC114*D$19,1*D$19)*各r阵容卡情况!$I114)+
IF(各r阵容卡情况!$J114=0,0,IF(各r阵容卡情况!$AD114&lt;=1,各r阵容卡情况!$AD114*D$20,1*D$20)*各r阵容卡情况!$J114)</f>
        <v>136</v>
      </c>
      <c r="AF108" s="80">
        <f>IF(各r阵容卡情况!$H114=0,0,IF(各r阵容卡情况!$AB114&lt;=1,各r阵容卡情况!$AB114*E$18,1*E$18)*各r阵容卡情况!$H114)+
IF(各r阵容卡情况!$I114=0,0,IF(各r阵容卡情况!$AC114&lt;=1,各r阵容卡情况!$AC114*E$19,1*E$19)*各r阵容卡情况!$I114)+
IF(各r阵容卡情况!$J114=0,0,IF(各r阵容卡情况!$AD114&lt;=1,各r阵容卡情况!$AD114*E$20,1*E$20)*各r阵容卡情况!$J114)</f>
        <v>0</v>
      </c>
      <c r="AG108" s="80">
        <f>IF(各r阵容卡情况!$H114=0,0,IF(各r阵容卡情况!$AB114&lt;=1,各r阵容卡情况!$AB114*F$18,1*F$18)*各r阵容卡情况!$H114)+
IF(各r阵容卡情况!$I114=0,0,IF(各r阵容卡情况!$AC114&lt;=1,各r阵容卡情况!$AC114*F$19,1*F$19)*各r阵容卡情况!$I114)+
IF(各r阵容卡情况!$J114=0,0,IF(各r阵容卡情况!$AD114&lt;=1,各r阵容卡情况!$AD114*F$20,1*F$20)*各r阵容卡情况!$J114)</f>
        <v>0</v>
      </c>
      <c r="AH108" s="67">
        <f>IF(各r阵容卡情况!$H114=0,0,IF(各r阵容卡情况!$AB114&lt;=1,0,(各r阵容卡情况!$AB114-1)*G$26)*各r阵容卡情况!$H114)+
IF(各r阵容卡情况!$I114=0,0,IF(各r阵容卡情况!$AC114&lt;=1,0,(各r阵容卡情况!$AC114-1)*G$27)*各r阵容卡情况!$I114)+
IF(各r阵容卡情况!$J114=0,0,IF(各r阵容卡情况!$AD114&lt;=1,0,(各r阵容卡情况!$AD114-1)*G$28)*各r阵容卡情况!$J114)</f>
        <v>680</v>
      </c>
      <c r="AI108" s="67">
        <f>IF(各r阵容卡情况!$H114=0,0,IF(各r阵容卡情况!$AB114&lt;=1,0,(各r阵容卡情况!$AB114-1)*H$26)*各r阵容卡情况!$H114)+
IF(各r阵容卡情况!$I114=0,0,IF(各r阵容卡情况!$AC114&lt;=1,0,(各r阵容卡情况!$AC114-1)*H$27)*各r阵容卡情况!$I114)+
IF(各r阵容卡情况!$J114=0,0,IF(各r阵容卡情况!$AD114&lt;=1,0,(各r阵容卡情况!$AD114-1)*H$28)*各r阵容卡情况!$J114)</f>
        <v>0</v>
      </c>
      <c r="AJ108" s="67">
        <f>IF(各r阵容卡情况!$H114=0,0,IF(各r阵容卡情况!$AB114&lt;=1,0,(各r阵容卡情况!$AB114-1)*I$26)*各r阵容卡情况!$H114)+
IF(各r阵容卡情况!$I114=0,0,IF(各r阵容卡情况!$AC114&lt;=1,0,(各r阵容卡情况!$AC114-1)*I$27)*各r阵容卡情况!$I114)+
IF(各r阵容卡情况!$J114=0,0,IF(各r阵容卡情况!$AD114&lt;=1,0,(各r阵容卡情况!$AD114-1)*I$28)*各r阵容卡情况!$J114)</f>
        <v>0</v>
      </c>
      <c r="AL108" s="80">
        <f t="shared" si="78"/>
        <v>75</v>
      </c>
      <c r="AM108" s="80">
        <f t="shared" si="79"/>
        <v>47.055723468589399</v>
      </c>
      <c r="AN108" s="80">
        <f t="shared" si="80"/>
        <v>0</v>
      </c>
      <c r="AO108" s="80">
        <f t="shared" si="81"/>
        <v>0</v>
      </c>
      <c r="AP108" s="80">
        <f t="shared" si="82"/>
        <v>235.27861734294697</v>
      </c>
      <c r="AQ108" s="80">
        <f t="shared" si="83"/>
        <v>0</v>
      </c>
      <c r="AR108" s="80">
        <f t="shared" si="84"/>
        <v>0</v>
      </c>
      <c r="AS108" s="80">
        <f t="shared" si="85"/>
        <v>136</v>
      </c>
      <c r="AT108" s="80">
        <f t="shared" si="86"/>
        <v>0</v>
      </c>
      <c r="AU108" s="80">
        <f t="shared" si="87"/>
        <v>0</v>
      </c>
      <c r="AV108" s="80">
        <f t="shared" si="88"/>
        <v>680</v>
      </c>
      <c r="AW108" s="80">
        <f t="shared" si="89"/>
        <v>0</v>
      </c>
      <c r="AX108" s="80">
        <f t="shared" si="90"/>
        <v>0</v>
      </c>
      <c r="AY108" s="61" t="e">
        <f>SUMPRODUCT(AM108:AR108/'[1]功能-行军令'!$GI$26:$GN$26+AS108:AX108/'[1]功能-行军令'!$GI$26:$GN$26)/0.18</f>
        <v>#DIV/0!</v>
      </c>
      <c r="BB108" s="80">
        <v>150</v>
      </c>
      <c r="BC108" s="80"/>
      <c r="BD108" s="80"/>
      <c r="BE108" s="80"/>
      <c r="BF108" s="80"/>
      <c r="BG108" s="80"/>
      <c r="BH108" s="80"/>
      <c r="BI108" s="80"/>
      <c r="BJ108" s="80"/>
      <c r="BK108" s="80">
        <f t="shared" si="94"/>
        <v>0</v>
      </c>
      <c r="BO108" s="80">
        <f t="shared" si="75"/>
        <v>80.134867890916794</v>
      </c>
      <c r="BP108" s="80">
        <f t="shared" si="76"/>
        <v>12300000</v>
      </c>
      <c r="BQ108" s="80">
        <f>(BP108-BP107)*INDEX('[1]功能-付费相关'!$AS$6:$AS$165,$BO108,1)+BQ107</f>
        <v>16400.362618327152</v>
      </c>
      <c r="BR108" s="80"/>
      <c r="BS108" s="80"/>
      <c r="BU108" s="80">
        <v>150</v>
      </c>
      <c r="BV108" s="80">
        <f t="shared" si="77"/>
        <v>16400.362618327152</v>
      </c>
      <c r="BW108" s="86">
        <f t="shared" si="93"/>
        <v>35908.854545454553</v>
      </c>
      <c r="BX108" s="80"/>
      <c r="BY108" s="80">
        <f t="shared" si="95"/>
        <v>52309.217163781708</v>
      </c>
    </row>
    <row r="109" spans="12:77" x14ac:dyDescent="0.15">
      <c r="L109" s="61">
        <v>18</v>
      </c>
      <c r="M109" s="80">
        <f>基础状态预期!D121</f>
        <v>80.134867890916794</v>
      </c>
      <c r="N109" s="80">
        <f>IF(基础状态预期!F121="",0,IF(基础状态预期!Z121&lt;=1,基础状态预期!Z121*D$4,1*D$4+(基础状态预期!Z121-1)*武将觉醒!D$5))</f>
        <v>0</v>
      </c>
      <c r="O109" s="80">
        <f>IF(基础状态预期!G121="",0,IF(基础状态预期!AA121&lt;=1,基础状态预期!AA121*E$4,1*E$4+(基础状态预期!AA121-1)*武将觉醒!E$5))</f>
        <v>0</v>
      </c>
      <c r="P109" s="80">
        <f>IF(基础状态预期!H121="",0,IF(基础状态预期!AB121&lt;=1,基础状态预期!AB121*F$4,1*F$4+(基础状态预期!AB121-1)*武将觉醒!F$5))</f>
        <v>0</v>
      </c>
      <c r="Q109" s="80">
        <f>IF(基础状态预期!I121="",0,IF(基础状态预期!AC121&lt;=1,基础状态预期!AC121*G$4,1*G$4+(基础状态预期!AC121-1)*武将觉醒!G$5))</f>
        <v>0</v>
      </c>
      <c r="R109" s="80">
        <f>IF(基础状态预期!J121="",0,IF(基础状态预期!AD121&lt;=1,基础状态预期!AD121*H$4,1*H$4+(基础状态预期!AD121-1)*武将觉醒!H$5))</f>
        <v>2050000</v>
      </c>
      <c r="S109" s="80">
        <f>MAX(SUMPRODUCT(N109:R109,基础状态预期!F121:J121),S108)</f>
        <v>12300000</v>
      </c>
      <c r="T109" s="80">
        <f>IF(基础状态预期!Z121="",0,IFERROR(基础状态预期!F121*求节点($C$62:$C$63,D$62:D$63,基础状态预期!Z121),0)+IFERROR(基础状态预期!$J121*求节点($C$71:$C$72,D$71:D$72,基础状态预期!$AD121),0))</f>
        <v>0</v>
      </c>
      <c r="U109" s="80">
        <f>IF(基础状态预期!AA121="",0,IFERROR(基础状态预期!G121*求节点($C$62:$C$63,E$62:E$63,基础状态预期!AA121),0)+IFERROR(基础状态预期!$J121*求节点($C$71:$C$72,E$71:E$72,基础状态预期!$AD121),0))</f>
        <v>0</v>
      </c>
      <c r="V109" s="80">
        <f>IF(基础状态预期!AB121="",0,IFERROR(基础状态预期!H121*求节点($C$62:$C$63,F$62:F$63,基础状态预期!AB121),0)+IFERROR(基础状态预期!$J121*求节点($C$71:$C$72,F$71:F$72,基础状态预期!$AD121),0))</f>
        <v>0</v>
      </c>
      <c r="W109" s="80">
        <f>IF(基础状态预期!AC121="",0,IFERROR(基础状态预期!I121*求节点($C$62:$C$63,G$62:G$63,基础状态预期!AC121),0)+IFERROR(基础状态预期!$J121*求节点($C$71:$C$72,G$71:G$72,基础状态预期!$AD121),0))</f>
        <v>0</v>
      </c>
      <c r="X109" s="80">
        <f>IF(基础状态预期!AD121="",0,IFERROR(基础状态预期!J121*求节点($C$62:$C$63,H$62:H$63,基础状态预期!AD121),0)+IFERROR(基础状态预期!$J121*求节点($C$71:$C$72,H$71:H$72,基础状态预期!$AD121),0))</f>
        <v>0</v>
      </c>
      <c r="Y109" s="80">
        <f>IF(基础状态预期!$H121="",0,IF(基础状态预期!$AB121&lt;=1,基础状态预期!$AB121*D$18,D$18)*基础状态预期!$H121)+
IF(基础状态预期!$I121="",0,IF(基础状态预期!$AC121&lt;=1,基础状态预期!$AC121*D$19,D$19)*基础状态预期!$I121)+
IF(基础状态预期!$J121="",0,IF(基础状态预期!$AD121&lt;=1,基础状态预期!$AD121*D$20,D$20)*基础状态预期!$J121)</f>
        <v>48</v>
      </c>
      <c r="Z109" s="80">
        <f>IF(基础状态预期!$H121="",0,IF(基础状态预期!$AB121&lt;=1,基础状态预期!$AB121*E$18,E$18)*基础状态预期!$H121)+
IF(基础状态预期!$I121="",0,IF(基础状态预期!$AC121&lt;=1,基础状态预期!$AC121*E$19,E$19)*基础状态预期!$I121)+
IF(基础状态预期!$J121="",0,IF(基础状态预期!$AD121&lt;=1,基础状态预期!$AD121*E$20,E$20)*基础状态预期!$J121)</f>
        <v>0</v>
      </c>
      <c r="AA109" s="80">
        <f>IF(基础状态预期!$H121="",0,IF(基础状态预期!$AB121&lt;=1,基础状态预期!$AB121*F$18,F$18)*基础状态预期!$H121)+
IF(基础状态预期!$I121="",0,IF(基础状态预期!$AC121&lt;=1,基础状态预期!$AC121*F$19,F$19)*基础状态预期!$I121)+
IF(基础状态预期!$J121="",0,IF(基础状态预期!$AD121&lt;=1,基础状态预期!$AD121*F$20,F$20)*基础状态预期!$J121)</f>
        <v>0</v>
      </c>
      <c r="AB109" s="67">
        <f>IF(基础状态预期!$H121="",0,IF(基础状态预期!$AB121&lt;=1,0,(基础状态预期!$AB121-1)*G$26)*基础状态预期!$H121)+
IF(基础状态预期!$I121="",0,IF(基础状态预期!$AC121&lt;=1,0,(基础状态预期!$AC121-1)*G$27)*基础状态预期!$I121)+
IF(基础状态预期!$J121="",0,IF(基础状态预期!$AD121&lt;=1,0,(基础状态预期!$AD121-1)*G$28)*基础状态预期!$J121)</f>
        <v>240</v>
      </c>
      <c r="AC109" s="67">
        <f>IF(基础状态预期!$H121="",0,IF(基础状态预期!$AB121&lt;=1,0,(基础状态预期!$AB121-1)*H$26)*基础状态预期!$H121)+
IF(基础状态预期!$I121="",0,IF(基础状态预期!$AC121&lt;=1,0,(基础状态预期!$AC121-1)*H$27)*基础状态预期!$I121)+
IF(基础状态预期!$J121="",0,IF(基础状态预期!$AD121&lt;=1,0,(基础状态预期!$AD121-1)*H$28)*基础状态预期!$J121)</f>
        <v>0</v>
      </c>
      <c r="AD109" s="67">
        <f>IF(基础状态预期!$H121="",0,IF(基础状态预期!$AB121&lt;=1,0,(基础状态预期!$AB121-1)*I$26)*基础状态预期!$H121)+
IF(基础状态预期!$I121="",0,IF(基础状态预期!$AC121&lt;=1,0,(基础状态预期!$AC121-1)*I$27)*基础状态预期!$I121)+
IF(基础状态预期!$J121="",0,IF(基础状态预期!$AD121&lt;=1,0,(基础状态预期!$AD121-1)*I$28)*基础状态预期!$J121)</f>
        <v>0</v>
      </c>
      <c r="AE109" s="80">
        <f>IF(各r阵容卡情况!$H115=0,0,IF(各r阵容卡情况!$AB115&lt;=1,各r阵容卡情况!$AB115*D$18,1*D$18)*各r阵容卡情况!$H115)+
IF(各r阵容卡情况!$I115=0,0,IF(各r阵容卡情况!$AC115&lt;=1,各r阵容卡情况!$AC115*D$19,1*D$19)*各r阵容卡情况!$I115)+
IF(各r阵容卡情况!$J115=0,0,IF(各r阵容卡情况!$AD115&lt;=1,各r阵容卡情况!$AD115*D$20,1*D$20)*各r阵容卡情况!$J115)</f>
        <v>136</v>
      </c>
      <c r="AF109" s="80">
        <f>IF(各r阵容卡情况!$H115=0,0,IF(各r阵容卡情况!$AB115&lt;=1,各r阵容卡情况!$AB115*E$18,1*E$18)*各r阵容卡情况!$H115)+
IF(各r阵容卡情况!$I115=0,0,IF(各r阵容卡情况!$AC115&lt;=1,各r阵容卡情况!$AC115*E$19,1*E$19)*各r阵容卡情况!$I115)+
IF(各r阵容卡情况!$J115=0,0,IF(各r阵容卡情况!$AD115&lt;=1,各r阵容卡情况!$AD115*E$20,1*E$20)*各r阵容卡情况!$J115)</f>
        <v>0</v>
      </c>
      <c r="AG109" s="80">
        <f>IF(各r阵容卡情况!$H115=0,0,IF(各r阵容卡情况!$AB115&lt;=1,各r阵容卡情况!$AB115*F$18,1*F$18)*各r阵容卡情况!$H115)+
IF(各r阵容卡情况!$I115=0,0,IF(各r阵容卡情况!$AC115&lt;=1,各r阵容卡情况!$AC115*F$19,1*F$19)*各r阵容卡情况!$I115)+
IF(各r阵容卡情况!$J115=0,0,IF(各r阵容卡情况!$AD115&lt;=1,各r阵容卡情况!$AD115*F$20,1*F$20)*各r阵容卡情况!$J115)</f>
        <v>0</v>
      </c>
      <c r="AH109" s="67">
        <f>IF(各r阵容卡情况!$H115=0,0,IF(各r阵容卡情况!$AB115&lt;=1,0,(各r阵容卡情况!$AB115-1)*G$26)*各r阵容卡情况!$H115)+
IF(各r阵容卡情况!$I115=0,0,IF(各r阵容卡情况!$AC115&lt;=1,0,(各r阵容卡情况!$AC115-1)*G$27)*各r阵容卡情况!$I115)+
IF(各r阵容卡情况!$J115=0,0,IF(各r阵容卡情况!$AD115&lt;=1,0,(各r阵容卡情况!$AD115-1)*G$28)*各r阵容卡情况!$J115)</f>
        <v>680</v>
      </c>
      <c r="AI109" s="67">
        <f>IF(各r阵容卡情况!$H115=0,0,IF(各r阵容卡情况!$AB115&lt;=1,0,(各r阵容卡情况!$AB115-1)*H$26)*各r阵容卡情况!$H115)+
IF(各r阵容卡情况!$I115=0,0,IF(各r阵容卡情况!$AC115&lt;=1,0,(各r阵容卡情况!$AC115-1)*H$27)*各r阵容卡情况!$I115)+
IF(各r阵容卡情况!$J115=0,0,IF(各r阵容卡情况!$AD115&lt;=1,0,(各r阵容卡情况!$AD115-1)*H$28)*各r阵容卡情况!$J115)</f>
        <v>0</v>
      </c>
      <c r="AJ109" s="67">
        <f>IF(各r阵容卡情况!$H115=0,0,IF(各r阵容卡情况!$AB115&lt;=1,0,(各r阵容卡情况!$AB115-1)*I$26)*各r阵容卡情况!$H115)+
IF(各r阵容卡情况!$I115=0,0,IF(各r阵容卡情况!$AC115&lt;=1,0,(各r阵容卡情况!$AC115-1)*I$27)*各r阵容卡情况!$I115)+
IF(各r阵容卡情况!$J115=0,0,IF(各r阵容卡情况!$AD115&lt;=1,0,(各r阵容卡情况!$AD115-1)*I$28)*各r阵容卡情况!$J115)</f>
        <v>0</v>
      </c>
      <c r="AL109" s="80">
        <f t="shared" si="78"/>
        <v>80</v>
      </c>
      <c r="AM109" s="80">
        <f t="shared" si="79"/>
        <v>48</v>
      </c>
      <c r="AN109" s="80">
        <f t="shared" si="80"/>
        <v>0</v>
      </c>
      <c r="AO109" s="80">
        <f t="shared" si="81"/>
        <v>0</v>
      </c>
      <c r="AP109" s="80">
        <f t="shared" si="82"/>
        <v>240</v>
      </c>
      <c r="AQ109" s="80">
        <f t="shared" si="83"/>
        <v>0</v>
      </c>
      <c r="AR109" s="80">
        <f t="shared" si="84"/>
        <v>0</v>
      </c>
      <c r="AS109" s="80">
        <f t="shared" si="85"/>
        <v>136</v>
      </c>
      <c r="AT109" s="80">
        <f t="shared" si="86"/>
        <v>0</v>
      </c>
      <c r="AU109" s="80">
        <f t="shared" si="87"/>
        <v>0</v>
      </c>
      <c r="AV109" s="80">
        <f t="shared" si="88"/>
        <v>680</v>
      </c>
      <c r="AW109" s="80">
        <f t="shared" si="89"/>
        <v>0</v>
      </c>
      <c r="AX109" s="80">
        <f t="shared" si="90"/>
        <v>0</v>
      </c>
      <c r="AY109" s="61" t="e">
        <f>SUMPRODUCT(AM109:AR109/'[1]功能-行军令'!$GI$26:$GN$26+AS109:AX109/'[1]功能-行军令'!$GI$26:$GN$26)/0.18</f>
        <v>#DIV/0!</v>
      </c>
      <c r="BB109" s="80">
        <v>160</v>
      </c>
      <c r="BC109" s="80"/>
      <c r="BD109" s="80"/>
      <c r="BE109" s="80"/>
      <c r="BF109" s="80"/>
      <c r="BG109" s="80"/>
      <c r="BH109" s="80"/>
      <c r="BI109" s="80"/>
      <c r="BJ109" s="80"/>
      <c r="BK109" s="80">
        <f t="shared" si="94"/>
        <v>0</v>
      </c>
      <c r="BO109" s="80">
        <f t="shared" si="75"/>
        <v>82.238672852681816</v>
      </c>
      <c r="BP109" s="80">
        <f t="shared" si="76"/>
        <v>12300000</v>
      </c>
      <c r="BQ109" s="80">
        <f>(BP109-BP108)*INDEX('[1]功能-付费相关'!$AS$6:$AS$165,$BO109,1)+BQ108</f>
        <v>16400.362618327152</v>
      </c>
      <c r="BR109" s="80"/>
      <c r="BS109" s="80"/>
      <c r="BU109" s="80">
        <v>160</v>
      </c>
      <c r="BV109" s="80">
        <f t="shared" si="77"/>
        <v>16400.362618327152</v>
      </c>
      <c r="BW109" s="86">
        <f t="shared" si="93"/>
        <v>35908.854545454553</v>
      </c>
      <c r="BX109" s="80"/>
      <c r="BY109" s="80">
        <f t="shared" si="95"/>
        <v>52309.217163781708</v>
      </c>
    </row>
    <row r="110" spans="12:77" x14ac:dyDescent="0.15">
      <c r="L110" s="61">
        <v>19</v>
      </c>
      <c r="M110" s="80">
        <f>基础状态预期!D122</f>
        <v>82.238672852681816</v>
      </c>
      <c r="N110" s="80">
        <f>IF(基础状态预期!F122="",0,IF(基础状态预期!Z122&lt;=1,基础状态预期!Z122*D$4,1*D$4+(基础状态预期!Z122-1)*武将觉醒!D$5))</f>
        <v>0</v>
      </c>
      <c r="O110" s="80">
        <f>IF(基础状态预期!G122="",0,IF(基础状态预期!AA122&lt;=1,基础状态预期!AA122*E$4,1*E$4+(基础状态预期!AA122-1)*武将觉醒!E$5))</f>
        <v>0</v>
      </c>
      <c r="P110" s="80">
        <f>IF(基础状态预期!H122="",0,IF(基础状态预期!AB122&lt;=1,基础状态预期!AB122*F$4,1*F$4+(基础状态预期!AB122-1)*武将觉醒!F$5))</f>
        <v>0</v>
      </c>
      <c r="Q110" s="80">
        <f>IF(基础状态预期!I122="",0,IF(基础状态预期!AC122&lt;=1,基础状态预期!AC122*G$4,1*G$4+(基础状态预期!AC122-1)*武将觉醒!G$5))</f>
        <v>0</v>
      </c>
      <c r="R110" s="80">
        <f>IF(基础状态预期!J122="",0,IF(基础状态预期!AD122&lt;=1,基础状态预期!AD122*H$4,1*H$4+(基础状态预期!AD122-1)*武将觉醒!H$5))</f>
        <v>2050000</v>
      </c>
      <c r="S110" s="80">
        <f>MAX(SUMPRODUCT(N110:R110,基础状态预期!F122:J122),S109)</f>
        <v>12300000</v>
      </c>
      <c r="T110" s="80">
        <f>IF(基础状态预期!Z122="",0,IFERROR(基础状态预期!F122*求节点($C$62:$C$63,D$62:D$63,基础状态预期!Z122),0)+IFERROR(基础状态预期!$J122*求节点($C$71:$C$72,D$71:D$72,基础状态预期!$AD122),0))</f>
        <v>0</v>
      </c>
      <c r="U110" s="80">
        <f>IF(基础状态预期!AA122="",0,IFERROR(基础状态预期!G122*求节点($C$62:$C$63,E$62:E$63,基础状态预期!AA122),0)+IFERROR(基础状态预期!$J122*求节点($C$71:$C$72,E$71:E$72,基础状态预期!$AD122),0))</f>
        <v>0</v>
      </c>
      <c r="V110" s="80">
        <f>IF(基础状态预期!AB122="",0,IFERROR(基础状态预期!H122*求节点($C$62:$C$63,F$62:F$63,基础状态预期!AB122),0)+IFERROR(基础状态预期!$J122*求节点($C$71:$C$72,F$71:F$72,基础状态预期!$AD122),0))</f>
        <v>0</v>
      </c>
      <c r="W110" s="80">
        <f>IF(基础状态预期!AC122="",0,IFERROR(基础状态预期!I122*求节点($C$62:$C$63,G$62:G$63,基础状态预期!AC122),0)+IFERROR(基础状态预期!$J122*求节点($C$71:$C$72,G$71:G$72,基础状态预期!$AD122),0))</f>
        <v>0</v>
      </c>
      <c r="X110" s="80">
        <f>IF(基础状态预期!AD122="",0,IFERROR(基础状态预期!J122*求节点($C$62:$C$63,H$62:H$63,基础状态预期!AD122),0)+IFERROR(基础状态预期!$J122*求节点($C$71:$C$72,H$71:H$72,基础状态预期!$AD122),0))</f>
        <v>0</v>
      </c>
      <c r="Y110" s="80">
        <f>IF(基础状态预期!$H122="",0,IF(基础状态预期!$AB122&lt;=1,基础状态预期!$AB122*D$18,D$18)*基础状态预期!$H122)+
IF(基础状态预期!$I122="",0,IF(基础状态预期!$AC122&lt;=1,基础状态预期!$AC122*D$19,D$19)*基础状态预期!$I122)+
IF(基础状态预期!$J122="",0,IF(基础状态预期!$AD122&lt;=1,基础状态预期!$AD122*D$20,D$20)*基础状态预期!$J122)</f>
        <v>48</v>
      </c>
      <c r="Z110" s="80">
        <f>IF(基础状态预期!$H122="",0,IF(基础状态预期!$AB122&lt;=1,基础状态预期!$AB122*E$18,E$18)*基础状态预期!$H122)+
IF(基础状态预期!$I122="",0,IF(基础状态预期!$AC122&lt;=1,基础状态预期!$AC122*E$19,E$19)*基础状态预期!$I122)+
IF(基础状态预期!$J122="",0,IF(基础状态预期!$AD122&lt;=1,基础状态预期!$AD122*E$20,E$20)*基础状态预期!$J122)</f>
        <v>0</v>
      </c>
      <c r="AA110" s="80">
        <f>IF(基础状态预期!$H122="",0,IF(基础状态预期!$AB122&lt;=1,基础状态预期!$AB122*F$18,F$18)*基础状态预期!$H122)+
IF(基础状态预期!$I122="",0,IF(基础状态预期!$AC122&lt;=1,基础状态预期!$AC122*F$19,F$19)*基础状态预期!$I122)+
IF(基础状态预期!$J122="",0,IF(基础状态预期!$AD122&lt;=1,基础状态预期!$AD122*F$20,F$20)*基础状态预期!$J122)</f>
        <v>0</v>
      </c>
      <c r="AB110" s="67">
        <f>IF(基础状态预期!$H122="",0,IF(基础状态预期!$AB122&lt;=1,0,(基础状态预期!$AB122-1)*G$26)*基础状态预期!$H122)+
IF(基础状态预期!$I122="",0,IF(基础状态预期!$AC122&lt;=1,0,(基础状态预期!$AC122-1)*G$27)*基础状态预期!$I122)+
IF(基础状态预期!$J122="",0,IF(基础状态预期!$AD122&lt;=1,0,(基础状态预期!$AD122-1)*G$28)*基础状态预期!$J122)</f>
        <v>240</v>
      </c>
      <c r="AC110" s="67">
        <f>IF(基础状态预期!$H122="",0,IF(基础状态预期!$AB122&lt;=1,0,(基础状态预期!$AB122-1)*H$26)*基础状态预期!$H122)+
IF(基础状态预期!$I122="",0,IF(基础状态预期!$AC122&lt;=1,0,(基础状态预期!$AC122-1)*H$27)*基础状态预期!$I122)+
IF(基础状态预期!$J122="",0,IF(基础状态预期!$AD122&lt;=1,0,(基础状态预期!$AD122-1)*H$28)*基础状态预期!$J122)</f>
        <v>0</v>
      </c>
      <c r="AD110" s="67">
        <f>IF(基础状态预期!$H122="",0,IF(基础状态预期!$AB122&lt;=1,0,(基础状态预期!$AB122-1)*I$26)*基础状态预期!$H122)+
IF(基础状态预期!$I122="",0,IF(基础状态预期!$AC122&lt;=1,0,(基础状态预期!$AC122-1)*I$27)*基础状态预期!$I122)+
IF(基础状态预期!$J122="",0,IF(基础状态预期!$AD122&lt;=1,0,(基础状态预期!$AD122-1)*I$28)*基础状态预期!$J122)</f>
        <v>0</v>
      </c>
      <c r="AE110" s="80">
        <f>IF(各r阵容卡情况!$H116=0,0,IF(各r阵容卡情况!$AB116&lt;=1,各r阵容卡情况!$AB116*D$18,1*D$18)*各r阵容卡情况!$H116)+
IF(各r阵容卡情况!$I116=0,0,IF(各r阵容卡情况!$AC116&lt;=1,各r阵容卡情况!$AC116*D$19,1*D$19)*各r阵容卡情况!$I116)+
IF(各r阵容卡情况!$J116=0,0,IF(各r阵容卡情况!$AD116&lt;=1,各r阵容卡情况!$AD116*D$20,1*D$20)*各r阵容卡情况!$J116)</f>
        <v>136</v>
      </c>
      <c r="AF110" s="80">
        <f>IF(各r阵容卡情况!$H116=0,0,IF(各r阵容卡情况!$AB116&lt;=1,各r阵容卡情况!$AB116*E$18,1*E$18)*各r阵容卡情况!$H116)+
IF(各r阵容卡情况!$I116=0,0,IF(各r阵容卡情况!$AC116&lt;=1,各r阵容卡情况!$AC116*E$19,1*E$19)*各r阵容卡情况!$I116)+
IF(各r阵容卡情况!$J116=0,0,IF(各r阵容卡情况!$AD116&lt;=1,各r阵容卡情况!$AD116*E$20,1*E$20)*各r阵容卡情况!$J116)</f>
        <v>0</v>
      </c>
      <c r="AG110" s="80">
        <f>IF(各r阵容卡情况!$H116=0,0,IF(各r阵容卡情况!$AB116&lt;=1,各r阵容卡情况!$AB116*F$18,1*F$18)*各r阵容卡情况!$H116)+
IF(各r阵容卡情况!$I116=0,0,IF(各r阵容卡情况!$AC116&lt;=1,各r阵容卡情况!$AC116*F$19,1*F$19)*各r阵容卡情况!$I116)+
IF(各r阵容卡情况!$J116=0,0,IF(各r阵容卡情况!$AD116&lt;=1,各r阵容卡情况!$AD116*F$20,1*F$20)*各r阵容卡情况!$J116)</f>
        <v>0</v>
      </c>
      <c r="AH110" s="67">
        <f>IF(各r阵容卡情况!$H116=0,0,IF(各r阵容卡情况!$AB116&lt;=1,0,(各r阵容卡情况!$AB116-1)*G$26)*各r阵容卡情况!$H116)+
IF(各r阵容卡情况!$I116=0,0,IF(各r阵容卡情况!$AC116&lt;=1,0,(各r阵容卡情况!$AC116-1)*G$27)*各r阵容卡情况!$I116)+
IF(各r阵容卡情况!$J116=0,0,IF(各r阵容卡情况!$AD116&lt;=1,0,(各r阵容卡情况!$AD116-1)*G$28)*各r阵容卡情况!$J116)</f>
        <v>680</v>
      </c>
      <c r="AI110" s="67">
        <f>IF(各r阵容卡情况!$H116=0,0,IF(各r阵容卡情况!$AB116&lt;=1,0,(各r阵容卡情况!$AB116-1)*H$26)*各r阵容卡情况!$H116)+
IF(各r阵容卡情况!$I116=0,0,IF(各r阵容卡情况!$AC116&lt;=1,0,(各r阵容卡情况!$AC116-1)*H$27)*各r阵容卡情况!$I116)+
IF(各r阵容卡情况!$J116=0,0,IF(各r阵容卡情况!$AD116&lt;=1,0,(各r阵容卡情况!$AD116-1)*H$28)*各r阵容卡情况!$J116)</f>
        <v>0</v>
      </c>
      <c r="AJ110" s="67">
        <f>IF(各r阵容卡情况!$H116=0,0,IF(各r阵容卡情况!$AB116&lt;=1,0,(各r阵容卡情况!$AB116-1)*I$26)*各r阵容卡情况!$H116)+
IF(各r阵容卡情况!$I116=0,0,IF(各r阵容卡情况!$AC116&lt;=1,0,(各r阵容卡情况!$AC116-1)*I$27)*各r阵容卡情况!$I116)+
IF(各r阵容卡情况!$J116=0,0,IF(各r阵容卡情况!$AD116&lt;=1,0,(各r阵容卡情况!$AD116-1)*I$28)*各r阵容卡情况!$J116)</f>
        <v>0</v>
      </c>
      <c r="AL110" s="80">
        <f t="shared" si="78"/>
        <v>85</v>
      </c>
      <c r="AM110" s="80">
        <f t="shared" si="79"/>
        <v>48</v>
      </c>
      <c r="AN110" s="80">
        <f t="shared" si="80"/>
        <v>0</v>
      </c>
      <c r="AO110" s="80">
        <f t="shared" si="81"/>
        <v>0</v>
      </c>
      <c r="AP110" s="80">
        <f t="shared" si="82"/>
        <v>240</v>
      </c>
      <c r="AQ110" s="80">
        <f t="shared" si="83"/>
        <v>0</v>
      </c>
      <c r="AR110" s="80">
        <f t="shared" si="84"/>
        <v>0</v>
      </c>
      <c r="AS110" s="80">
        <f t="shared" si="85"/>
        <v>85.188559341582035</v>
      </c>
      <c r="AT110" s="80">
        <f t="shared" si="86"/>
        <v>0</v>
      </c>
      <c r="AU110" s="80">
        <f t="shared" si="87"/>
        <v>0</v>
      </c>
      <c r="AV110" s="80">
        <f t="shared" si="88"/>
        <v>425.94279670791019</v>
      </c>
      <c r="AW110" s="80">
        <f t="shared" si="89"/>
        <v>0</v>
      </c>
      <c r="AX110" s="80">
        <f t="shared" si="90"/>
        <v>0</v>
      </c>
      <c r="AY110" s="61" t="e">
        <f>SUMPRODUCT(AM110:AR110/'[1]功能-行军令'!$GI$26:$GN$26+AS110:AX110/'[1]功能-行军令'!$GI$26:$GN$26)/0.18</f>
        <v>#DIV/0!</v>
      </c>
      <c r="BO110" s="80">
        <f t="shared" ref="BO110:BO132" si="96">$M111</f>
        <v>84.043767921022209</v>
      </c>
      <c r="BP110" s="80">
        <f t="shared" ref="BP110:BP132" si="97">$S111</f>
        <v>12300000</v>
      </c>
      <c r="BQ110" s="80">
        <f>(BP110-BP109)*INDEX('[1]功能-付费相关'!$AS$6:$AS$165,$BO110,1)+BQ109</f>
        <v>16400.362618327152</v>
      </c>
      <c r="BR110" s="80"/>
      <c r="BS110" s="80"/>
    </row>
    <row r="111" spans="12:77" x14ac:dyDescent="0.15">
      <c r="L111" s="61">
        <v>20</v>
      </c>
      <c r="M111" s="80">
        <f>基础状态预期!D123</f>
        <v>84.043767921022209</v>
      </c>
      <c r="N111" s="80">
        <f>IF(基础状态预期!F123="",0,IF(基础状态预期!Z123&lt;=1,基础状态预期!Z123*D$4,1*D$4+(基础状态预期!Z123-1)*武将觉醒!D$5))</f>
        <v>0</v>
      </c>
      <c r="O111" s="80">
        <f>IF(基础状态预期!G123="",0,IF(基础状态预期!AA123&lt;=1,基础状态预期!AA123*E$4,1*E$4+(基础状态预期!AA123-1)*武将觉醒!E$5))</f>
        <v>0</v>
      </c>
      <c r="P111" s="80">
        <f>IF(基础状态预期!H123="",0,IF(基础状态预期!AB123&lt;=1,基础状态预期!AB123*F$4,1*F$4+(基础状态预期!AB123-1)*武将觉醒!F$5))</f>
        <v>0</v>
      </c>
      <c r="Q111" s="80">
        <f>IF(基础状态预期!I123="",0,IF(基础状态预期!AC123&lt;=1,基础状态预期!AC123*G$4,1*G$4+(基础状态预期!AC123-1)*武将觉醒!G$5))</f>
        <v>0</v>
      </c>
      <c r="R111" s="80">
        <f>IF(基础状态预期!J123="",0,IF(基础状态预期!AD123&lt;=1,基础状态预期!AD123*H$4,1*H$4+(基础状态预期!AD123-1)*武将觉醒!H$5))</f>
        <v>2050000</v>
      </c>
      <c r="S111" s="80">
        <f>MAX(SUMPRODUCT(N111:R111,基础状态预期!F123:J123),S110)</f>
        <v>12300000</v>
      </c>
      <c r="T111" s="80">
        <f>IF(基础状态预期!Z123="",0,IFERROR(基础状态预期!F123*求节点($C$62:$C$63,D$62:D$63,基础状态预期!Z123),0)+IFERROR(基础状态预期!$J123*求节点($C$71:$C$72,D$71:D$72,基础状态预期!$AD123),0))</f>
        <v>0</v>
      </c>
      <c r="U111" s="80">
        <f>IF(基础状态预期!AA123="",0,IFERROR(基础状态预期!G123*求节点($C$62:$C$63,E$62:E$63,基础状态预期!AA123),0)+IFERROR(基础状态预期!$J123*求节点($C$71:$C$72,E$71:E$72,基础状态预期!$AD123),0))</f>
        <v>0</v>
      </c>
      <c r="V111" s="80">
        <f>IF(基础状态预期!AB123="",0,IFERROR(基础状态预期!H123*求节点($C$62:$C$63,F$62:F$63,基础状态预期!AB123),0)+IFERROR(基础状态预期!$J123*求节点($C$71:$C$72,F$71:F$72,基础状态预期!$AD123),0))</f>
        <v>0</v>
      </c>
      <c r="W111" s="80">
        <f>IF(基础状态预期!AC123="",0,IFERROR(基础状态预期!I123*求节点($C$62:$C$63,G$62:G$63,基础状态预期!AC123),0)+IFERROR(基础状态预期!$J123*求节点($C$71:$C$72,G$71:G$72,基础状态预期!$AD123),0))</f>
        <v>0</v>
      </c>
      <c r="X111" s="80">
        <f>IF(基础状态预期!AD123="",0,IFERROR(基础状态预期!J123*求节点($C$62:$C$63,H$62:H$63,基础状态预期!AD123),0)+IFERROR(基础状态预期!$J123*求节点($C$71:$C$72,H$71:H$72,基础状态预期!$AD123),0))</f>
        <v>0</v>
      </c>
      <c r="Y111" s="80">
        <f>IF(基础状态预期!$H123="",0,IF(基础状态预期!$AB123&lt;=1,基础状态预期!$AB123*D$18,D$18)*基础状态预期!$H123)+
IF(基础状态预期!$I123="",0,IF(基础状态预期!$AC123&lt;=1,基础状态预期!$AC123*D$19,D$19)*基础状态预期!$I123)+
IF(基础状态预期!$J123="",0,IF(基础状态预期!$AD123&lt;=1,基础状态预期!$AD123*D$20,D$20)*基础状态预期!$J123)</f>
        <v>48</v>
      </c>
      <c r="Z111" s="80">
        <f>IF(基础状态预期!$H123="",0,IF(基础状态预期!$AB123&lt;=1,基础状态预期!$AB123*E$18,E$18)*基础状态预期!$H123)+
IF(基础状态预期!$I123="",0,IF(基础状态预期!$AC123&lt;=1,基础状态预期!$AC123*E$19,E$19)*基础状态预期!$I123)+
IF(基础状态预期!$J123="",0,IF(基础状态预期!$AD123&lt;=1,基础状态预期!$AD123*E$20,E$20)*基础状态预期!$J123)</f>
        <v>0</v>
      </c>
      <c r="AA111" s="80">
        <f>IF(基础状态预期!$H123="",0,IF(基础状态预期!$AB123&lt;=1,基础状态预期!$AB123*F$18,F$18)*基础状态预期!$H123)+
IF(基础状态预期!$I123="",0,IF(基础状态预期!$AC123&lt;=1,基础状态预期!$AC123*F$19,F$19)*基础状态预期!$I123)+
IF(基础状态预期!$J123="",0,IF(基础状态预期!$AD123&lt;=1,基础状态预期!$AD123*F$20,F$20)*基础状态预期!$J123)</f>
        <v>0</v>
      </c>
      <c r="AB111" s="67">
        <f>IF(基础状态预期!$H123="",0,IF(基础状态预期!$AB123&lt;=1,0,(基础状态预期!$AB123-1)*G$26)*基础状态预期!$H123)+
IF(基础状态预期!$I123="",0,IF(基础状态预期!$AC123&lt;=1,0,(基础状态预期!$AC123-1)*G$27)*基础状态预期!$I123)+
IF(基础状态预期!$J123="",0,IF(基础状态预期!$AD123&lt;=1,0,(基础状态预期!$AD123-1)*G$28)*基础状态预期!$J123)</f>
        <v>240</v>
      </c>
      <c r="AC111" s="67">
        <f>IF(基础状态预期!$H123="",0,IF(基础状态预期!$AB123&lt;=1,0,(基础状态预期!$AB123-1)*H$26)*基础状态预期!$H123)+
IF(基础状态预期!$I123="",0,IF(基础状态预期!$AC123&lt;=1,0,(基础状态预期!$AC123-1)*H$27)*基础状态预期!$I123)+
IF(基础状态预期!$J123="",0,IF(基础状态预期!$AD123&lt;=1,0,(基础状态预期!$AD123-1)*H$28)*基础状态预期!$J123)</f>
        <v>0</v>
      </c>
      <c r="AD111" s="67">
        <f>IF(基础状态预期!$H123="",0,IF(基础状态预期!$AB123&lt;=1,0,(基础状态预期!$AB123-1)*I$26)*基础状态预期!$H123)+
IF(基础状态预期!$I123="",0,IF(基础状态预期!$AC123&lt;=1,0,(基础状态预期!$AC123-1)*I$27)*基础状态预期!$I123)+
IF(基础状态预期!$J123="",0,IF(基础状态预期!$AD123&lt;=1,0,(基础状态预期!$AD123-1)*I$28)*基础状态预期!$J123)</f>
        <v>0</v>
      </c>
      <c r="AE111" s="80">
        <f>IF(各r阵容卡情况!$H139=0,0,IF(各r阵容卡情况!$AB139&lt;=1,各r阵容卡情况!$AB139*D$18,1*D$18)*各r阵容卡情况!$H139)+
IF(各r阵容卡情况!$I139=0,0,IF(各r阵容卡情况!$AC139&lt;=1,各r阵容卡情况!$AC139*D$19,1*D$19)*各r阵容卡情况!$I139)+
IF(各r阵容卡情况!$J139=0,0,IF(各r阵容卡情况!$AD139&lt;=1,各r阵容卡情况!$AD139*D$20,1*D$20)*各r阵容卡情况!$J139)</f>
        <v>144</v>
      </c>
      <c r="AF111" s="80">
        <f>IF(各r阵容卡情况!$H139=0,0,IF(各r阵容卡情况!$AB139&lt;=1,各r阵容卡情况!$AB139*E$18,1*E$18)*各r阵容卡情况!$H139)+
IF(各r阵容卡情况!$I139=0,0,IF(各r阵容卡情况!$AC139&lt;=1,各r阵容卡情况!$AC139*E$19,1*E$19)*各r阵容卡情况!$I139)+
IF(各r阵容卡情况!$J139=0,0,IF(各r阵容卡情况!$AD139&lt;=1,各r阵容卡情况!$AD139*E$20,1*E$20)*各r阵容卡情况!$J139)</f>
        <v>0</v>
      </c>
      <c r="AG111" s="80">
        <f>IF(各r阵容卡情况!$H139=0,0,IF(各r阵容卡情况!$AB139&lt;=1,各r阵容卡情况!$AB139*F$18,1*F$18)*各r阵容卡情况!$H139)+
IF(各r阵容卡情况!$I139=0,0,IF(各r阵容卡情况!$AC139&lt;=1,各r阵容卡情况!$AC139*F$19,1*F$19)*各r阵容卡情况!$I139)+
IF(各r阵容卡情况!$J139=0,0,IF(各r阵容卡情况!$AD139&lt;=1,各r阵容卡情况!$AD139*F$20,1*F$20)*各r阵容卡情况!$J139)</f>
        <v>0</v>
      </c>
      <c r="AH111" s="67">
        <f>IF(各r阵容卡情况!$H139=0,0,IF(各r阵容卡情况!$AB139&lt;=1,0,(各r阵容卡情况!$AB139-1)*G$26)*各r阵容卡情况!$H139)+
IF(各r阵容卡情况!$I139=0,0,IF(各r阵容卡情况!$AC139&lt;=1,0,(各r阵容卡情况!$AC139-1)*G$27)*各r阵容卡情况!$I139)+
IF(各r阵容卡情况!$J139=0,0,IF(各r阵容卡情况!$AD139&lt;=1,0,(各r阵容卡情况!$AD139-1)*G$28)*各r阵容卡情况!$J139)</f>
        <v>720</v>
      </c>
      <c r="AI111" s="67">
        <f>IF(各r阵容卡情况!$H139=0,0,IF(各r阵容卡情况!$AB139&lt;=1,0,(各r阵容卡情况!$AB139-1)*H$26)*各r阵容卡情况!$H139)+
IF(各r阵容卡情况!$I139=0,0,IF(各r阵容卡情况!$AC139&lt;=1,0,(各r阵容卡情况!$AC139-1)*H$27)*各r阵容卡情况!$I139)+
IF(各r阵容卡情况!$J139=0,0,IF(各r阵容卡情况!$AD139&lt;=1,0,(各r阵容卡情况!$AD139-1)*H$28)*各r阵容卡情况!$J139)</f>
        <v>0</v>
      </c>
      <c r="AJ111" s="67">
        <f>IF(各r阵容卡情况!$H139=0,0,IF(各r阵容卡情况!$AB139&lt;=1,0,(各r阵容卡情况!$AB139-1)*I$26)*各r阵容卡情况!$H139)+
IF(各r阵容卡情况!$I139=0,0,IF(各r阵容卡情况!$AC139&lt;=1,0,(各r阵容卡情况!$AC139-1)*I$27)*各r阵容卡情况!$I139)+
IF(各r阵容卡情况!$J139=0,0,IF(各r阵容卡情况!$AD139&lt;=1,0,(各r阵容卡情况!$AD139-1)*I$28)*各r阵容卡情况!$J139)</f>
        <v>0</v>
      </c>
      <c r="AL111" s="80">
        <f t="shared" ref="AL111:AL133" si="98">AL66</f>
        <v>90</v>
      </c>
      <c r="AM111" s="80">
        <f t="shared" ref="AM111:AM133" si="99">求节点($M$95:$M$133,Y$95:Y$133,$AL111)</f>
        <v>48</v>
      </c>
      <c r="AN111" s="80">
        <f t="shared" ref="AN111:AN133" si="100">求节点($M$95:$M$133,Z$95:Z$133,$AL111)</f>
        <v>0</v>
      </c>
      <c r="AO111" s="80">
        <f t="shared" ref="AO111:AO133" si="101">求节点($M$95:$M$133,AA$95:AA$133,$AL111)</f>
        <v>0</v>
      </c>
      <c r="AP111" s="80">
        <f t="shared" ref="AP111:AP133" si="102">求节点($M$95:$M$133,AB$95:AB$133,$AL111)</f>
        <v>240</v>
      </c>
      <c r="AQ111" s="80">
        <f t="shared" ref="AQ111:AQ133" si="103">求节点($M$95:$M$133,AC$95:AC$133,$AL111)</f>
        <v>0</v>
      </c>
      <c r="AR111" s="80">
        <f t="shared" ref="AR111:AR133" si="104">求节点($M$95:$M$133,AD$95:AD$133,$AL111)</f>
        <v>0</v>
      </c>
      <c r="AS111" s="80">
        <f t="shared" ref="AS111:AS133" si="105">求节点($M$95:$M$133,AE$95:AE$133,$AL111)</f>
        <v>0</v>
      </c>
      <c r="AT111" s="80">
        <f t="shared" ref="AT111:AT133" si="106">求节点($M$95:$M$133,AF$95:AF$133,$AL111)</f>
        <v>0</v>
      </c>
      <c r="AU111" s="80">
        <f t="shared" ref="AU111:AU133" si="107">求节点($M$95:$M$133,AG$95:AG$133,$AL111)</f>
        <v>0</v>
      </c>
      <c r="AV111" s="80">
        <f t="shared" ref="AV111:AV133" si="108">求节点($M$95:$M$133,AH$95:AH$133,$AL111)</f>
        <v>0</v>
      </c>
      <c r="AW111" s="80">
        <f t="shared" ref="AW111:AW133" si="109">求节点($M$95:$M$133,AI$95:AI$133,$AL111)</f>
        <v>0</v>
      </c>
      <c r="AX111" s="80">
        <f t="shared" ref="AX111:AX133" si="110">求节点($M$95:$M$133,AJ$95:AJ$133,$AL111)</f>
        <v>0</v>
      </c>
      <c r="AY111" s="61" t="e">
        <f>SUMPRODUCT(AM111:AR111/'[1]功能-行军令'!$GI$26:$GN$26+AS111:AX111/'[1]功能-行军令'!$GI$26:$GN$26)/0.18</f>
        <v>#DIV/0!</v>
      </c>
      <c r="BO111" s="80">
        <f t="shared" si="96"/>
        <v>86.385105215793828</v>
      </c>
      <c r="BP111" s="80">
        <f t="shared" si="97"/>
        <v>12300000</v>
      </c>
      <c r="BQ111" s="80">
        <f>(BP111-BP110)*INDEX('[1]功能-付费相关'!$AS$6:$AS$165,$BO111,1)+BQ110</f>
        <v>16400.362618327152</v>
      </c>
      <c r="BR111" s="80"/>
      <c r="BS111" s="80"/>
    </row>
    <row r="112" spans="12:77" x14ac:dyDescent="0.15">
      <c r="L112" s="61">
        <v>21</v>
      </c>
      <c r="M112" s="80">
        <f>基础状态预期!D124</f>
        <v>86.385105215793828</v>
      </c>
      <c r="N112" s="80">
        <f>IF(基础状态预期!F124="",0,IF(基础状态预期!Z124&lt;=1,基础状态预期!Z124*D$4,1*D$4+(基础状态预期!Z124-1)*武将觉醒!D$5))</f>
        <v>0</v>
      </c>
      <c r="O112" s="80">
        <f>IF(基础状态预期!G124="",0,IF(基础状态预期!AA124&lt;=1,基础状态预期!AA124*E$4,1*E$4+(基础状态预期!AA124-1)*武将觉醒!E$5))</f>
        <v>0</v>
      </c>
      <c r="P112" s="80">
        <f>IF(基础状态预期!H124="",0,IF(基础状态预期!AB124&lt;=1,基础状态预期!AB124*F$4,1*F$4+(基础状态预期!AB124-1)*武将觉醒!F$5))</f>
        <v>0</v>
      </c>
      <c r="Q112" s="80">
        <f>IF(基础状态预期!I124="",0,IF(基础状态预期!AC124&lt;=1,基础状态预期!AC124*G$4,1*G$4+(基础状态预期!AC124-1)*武将觉醒!G$5))</f>
        <v>0</v>
      </c>
      <c r="R112" s="80">
        <f>IF(基础状态预期!J124="",0,IF(基础状态预期!AD124&lt;=1,基础状态预期!AD124*H$4,1*H$4+(基础状态预期!AD124-1)*武将觉醒!H$5))</f>
        <v>2050000</v>
      </c>
      <c r="S112" s="80">
        <f>MAX(SUMPRODUCT(N112:R112,基础状态预期!F124:J124),S111)</f>
        <v>12300000</v>
      </c>
      <c r="T112" s="80">
        <f>IF(基础状态预期!Z124="",0,IFERROR(基础状态预期!F124*求节点($C$62:$C$63,D$62:D$63,基础状态预期!Z124),0)+IFERROR(基础状态预期!$J124*求节点($C$71:$C$72,D$71:D$72,基础状态预期!$AD124),0))</f>
        <v>0</v>
      </c>
      <c r="U112" s="80">
        <f>IF(基础状态预期!AA124="",0,IFERROR(基础状态预期!G124*求节点($C$62:$C$63,E$62:E$63,基础状态预期!AA124),0)+IFERROR(基础状态预期!$J124*求节点($C$71:$C$72,E$71:E$72,基础状态预期!$AD124),0))</f>
        <v>0</v>
      </c>
      <c r="V112" s="80">
        <f>IF(基础状态预期!AB124="",0,IFERROR(基础状态预期!H124*求节点($C$62:$C$63,F$62:F$63,基础状态预期!AB124),0)+IFERROR(基础状态预期!$J124*求节点($C$71:$C$72,F$71:F$72,基础状态预期!$AD124),0))</f>
        <v>0</v>
      </c>
      <c r="W112" s="80">
        <f>IF(基础状态预期!AC124="",0,IFERROR(基础状态预期!I124*求节点($C$62:$C$63,G$62:G$63,基础状态预期!AC124),0)+IFERROR(基础状态预期!$J124*求节点($C$71:$C$72,G$71:G$72,基础状态预期!$AD124),0))</f>
        <v>0</v>
      </c>
      <c r="X112" s="80">
        <f>IF(基础状态预期!AD124="",0,IFERROR(基础状态预期!J124*求节点($C$62:$C$63,H$62:H$63,基础状态预期!AD124),0)+IFERROR(基础状态预期!$J124*求节点($C$71:$C$72,H$71:H$72,基础状态预期!$AD124),0))</f>
        <v>0</v>
      </c>
      <c r="Y112" s="80">
        <f>IF(基础状态预期!$H124="",0,IF(基础状态预期!$AB124&lt;=1,基础状态预期!$AB124*D$18,D$18)*基础状态预期!$H124)+
IF(基础状态预期!$I124="",0,IF(基础状态预期!$AC124&lt;=1,基础状态预期!$AC124*D$19,D$19)*基础状态预期!$I124)+
IF(基础状态预期!$J124="",0,IF(基础状态预期!$AD124&lt;=1,基础状态预期!$AD124*D$20,D$20)*基础状态预期!$J124)</f>
        <v>48</v>
      </c>
      <c r="Z112" s="80">
        <f>IF(基础状态预期!$H124="",0,IF(基础状态预期!$AB124&lt;=1,基础状态预期!$AB124*E$18,E$18)*基础状态预期!$H124)+
IF(基础状态预期!$I124="",0,IF(基础状态预期!$AC124&lt;=1,基础状态预期!$AC124*E$19,E$19)*基础状态预期!$I124)+
IF(基础状态预期!$J124="",0,IF(基础状态预期!$AD124&lt;=1,基础状态预期!$AD124*E$20,E$20)*基础状态预期!$J124)</f>
        <v>0</v>
      </c>
      <c r="AA112" s="80">
        <f>IF(基础状态预期!$H124="",0,IF(基础状态预期!$AB124&lt;=1,基础状态预期!$AB124*F$18,F$18)*基础状态预期!$H124)+
IF(基础状态预期!$I124="",0,IF(基础状态预期!$AC124&lt;=1,基础状态预期!$AC124*F$19,F$19)*基础状态预期!$I124)+
IF(基础状态预期!$J124="",0,IF(基础状态预期!$AD124&lt;=1,基础状态预期!$AD124*F$20,F$20)*基础状态预期!$J124)</f>
        <v>0</v>
      </c>
      <c r="AB112" s="67">
        <f>IF(基础状态预期!$H124="",0,IF(基础状态预期!$AB124&lt;=1,0,(基础状态预期!$AB124-1)*G$26)*基础状态预期!$H124)+
IF(基础状态预期!$I124="",0,IF(基础状态预期!$AC124&lt;=1,0,(基础状态预期!$AC124-1)*G$27)*基础状态预期!$I124)+
IF(基础状态预期!$J124="",0,IF(基础状态预期!$AD124&lt;=1,0,(基础状态预期!$AD124-1)*G$28)*基础状态预期!$J124)</f>
        <v>240</v>
      </c>
      <c r="AC112" s="67">
        <f>IF(基础状态预期!$H124="",0,IF(基础状态预期!$AB124&lt;=1,0,(基础状态预期!$AB124-1)*H$26)*基础状态预期!$H124)+
IF(基础状态预期!$I124="",0,IF(基础状态预期!$AC124&lt;=1,0,(基础状态预期!$AC124-1)*H$27)*基础状态预期!$I124)+
IF(基础状态预期!$J124="",0,IF(基础状态预期!$AD124&lt;=1,0,(基础状态预期!$AD124-1)*H$28)*基础状态预期!$J124)</f>
        <v>0</v>
      </c>
      <c r="AD112" s="67">
        <f>IF(基础状态预期!$H124="",0,IF(基础状态预期!$AB124&lt;=1,0,(基础状态预期!$AB124-1)*I$26)*基础状态预期!$H124)+
IF(基础状态预期!$I124="",0,IF(基础状态预期!$AC124&lt;=1,0,(基础状态预期!$AC124-1)*I$27)*基础状态预期!$I124)+
IF(基础状态预期!$J124="",0,IF(基础状态预期!$AD124&lt;=1,0,(基础状态预期!$AD124-1)*I$28)*基础状态预期!$J124)</f>
        <v>0</v>
      </c>
      <c r="AE112" s="80">
        <f>IF(各r阵容卡情况!$H140=0,0,IF(各r阵容卡情况!$AB140&lt;=1,各r阵容卡情况!$AB140*D$18,1*D$18)*各r阵容卡情况!$H140)+
IF(各r阵容卡情况!$I140=0,0,IF(各r阵容卡情况!$AC140&lt;=1,各r阵容卡情况!$AC140*D$19,1*D$19)*各r阵容卡情况!$I140)+
IF(各r阵容卡情况!$J140=0,0,IF(各r阵容卡情况!$AD140&lt;=1,各r阵容卡情况!$AD140*D$20,1*D$20)*各r阵容卡情况!$J140)</f>
        <v>0</v>
      </c>
      <c r="AF112" s="80">
        <f>IF(各r阵容卡情况!$H140=0,0,IF(各r阵容卡情况!$AB140&lt;=1,各r阵容卡情况!$AB140*E$18,1*E$18)*各r阵容卡情况!$H140)+
IF(各r阵容卡情况!$I140=0,0,IF(各r阵容卡情况!$AC140&lt;=1,各r阵容卡情况!$AC140*E$19,1*E$19)*各r阵容卡情况!$I140)+
IF(各r阵容卡情况!$J140=0,0,IF(各r阵容卡情况!$AD140&lt;=1,各r阵容卡情况!$AD140*E$20,1*E$20)*各r阵容卡情况!$J140)</f>
        <v>0</v>
      </c>
      <c r="AG112" s="80">
        <f>IF(各r阵容卡情况!$H140=0,0,IF(各r阵容卡情况!$AB140&lt;=1,各r阵容卡情况!$AB140*F$18,1*F$18)*各r阵容卡情况!$H140)+
IF(各r阵容卡情况!$I140=0,0,IF(各r阵容卡情况!$AC140&lt;=1,各r阵容卡情况!$AC140*F$19,1*F$19)*各r阵容卡情况!$I140)+
IF(各r阵容卡情况!$J140=0,0,IF(各r阵容卡情况!$AD140&lt;=1,各r阵容卡情况!$AD140*F$20,1*F$20)*各r阵容卡情况!$J140)</f>
        <v>0</v>
      </c>
      <c r="AH112" s="67">
        <f>IF(各r阵容卡情况!$H140=0,0,IF(各r阵容卡情况!$AB140&lt;=1,0,(各r阵容卡情况!$AB140-1)*G$26)*各r阵容卡情况!$H140)+
IF(各r阵容卡情况!$I140=0,0,IF(各r阵容卡情况!$AC140&lt;=1,0,(各r阵容卡情况!$AC140-1)*G$27)*各r阵容卡情况!$I140)+
IF(各r阵容卡情况!$J140=0,0,IF(各r阵容卡情况!$AD140&lt;=1,0,(各r阵容卡情况!$AD140-1)*G$28)*各r阵容卡情况!$J140)</f>
        <v>0</v>
      </c>
      <c r="AI112" s="67">
        <f>IF(各r阵容卡情况!$H140=0,0,IF(各r阵容卡情况!$AB140&lt;=1,0,(各r阵容卡情况!$AB140-1)*H$26)*各r阵容卡情况!$H140)+
IF(各r阵容卡情况!$I140=0,0,IF(各r阵容卡情况!$AC140&lt;=1,0,(各r阵容卡情况!$AC140-1)*H$27)*各r阵容卡情况!$I140)+
IF(各r阵容卡情况!$J140=0,0,IF(各r阵容卡情况!$AD140&lt;=1,0,(各r阵容卡情况!$AD140-1)*H$28)*各r阵容卡情况!$J140)</f>
        <v>0</v>
      </c>
      <c r="AJ112" s="67">
        <f>IF(各r阵容卡情况!$H140=0,0,IF(各r阵容卡情况!$AB140&lt;=1,0,(各r阵容卡情况!$AB140-1)*I$26)*各r阵容卡情况!$H140)+
IF(各r阵容卡情况!$I140=0,0,IF(各r阵容卡情况!$AC140&lt;=1,0,(各r阵容卡情况!$AC140-1)*I$27)*各r阵容卡情况!$I140)+
IF(各r阵容卡情况!$J140=0,0,IF(各r阵容卡情况!$AD140&lt;=1,0,(各r阵容卡情况!$AD140-1)*I$28)*各r阵容卡情况!$J140)</f>
        <v>0</v>
      </c>
      <c r="AL112" s="80">
        <f t="shared" si="98"/>
        <v>95</v>
      </c>
      <c r="AM112" s="80">
        <f t="shared" si="99"/>
        <v>48</v>
      </c>
      <c r="AN112" s="80">
        <f t="shared" si="100"/>
        <v>0</v>
      </c>
      <c r="AO112" s="80">
        <f t="shared" si="101"/>
        <v>0</v>
      </c>
      <c r="AP112" s="80">
        <f t="shared" si="102"/>
        <v>240</v>
      </c>
      <c r="AQ112" s="80">
        <f t="shared" si="103"/>
        <v>0</v>
      </c>
      <c r="AR112" s="80">
        <f t="shared" si="104"/>
        <v>0</v>
      </c>
      <c r="AS112" s="80">
        <f t="shared" si="105"/>
        <v>0</v>
      </c>
      <c r="AT112" s="80">
        <f t="shared" si="106"/>
        <v>0</v>
      </c>
      <c r="AU112" s="80">
        <f t="shared" si="107"/>
        <v>0</v>
      </c>
      <c r="AV112" s="80">
        <f t="shared" si="108"/>
        <v>0</v>
      </c>
      <c r="AW112" s="80">
        <f t="shared" si="109"/>
        <v>0</v>
      </c>
      <c r="AX112" s="80">
        <f t="shared" si="110"/>
        <v>0</v>
      </c>
      <c r="AY112" s="61" t="e">
        <f>SUMPRODUCT(AM112:AR112/'[1]功能-行军令'!$GI$26:$GN$26+AS112:AX112/'[1]功能-行军令'!$GI$26:$GN$26)/0.18</f>
        <v>#DIV/0!</v>
      </c>
      <c r="BO112" s="80">
        <f t="shared" si="96"/>
        <v>90.406191748048585</v>
      </c>
      <c r="BP112" s="80">
        <f t="shared" si="97"/>
        <v>12300000</v>
      </c>
      <c r="BQ112" s="80">
        <f>(BP112-BP111)*INDEX('[1]功能-付费相关'!$AS$6:$AS$165,$BO112,1)+BQ111</f>
        <v>16400.362618327152</v>
      </c>
      <c r="BR112" s="80"/>
      <c r="BS112" s="80"/>
    </row>
    <row r="113" spans="12:71" x14ac:dyDescent="0.15">
      <c r="L113" s="61">
        <v>22</v>
      </c>
      <c r="M113" s="80">
        <f>基础状态预期!D125</f>
        <v>90.406191748048585</v>
      </c>
      <c r="N113" s="80">
        <f>IF(基础状态预期!F125="",0,IF(基础状态预期!Z125&lt;=1,基础状态预期!Z125*D$4,1*D$4+(基础状态预期!Z125-1)*武将觉醒!D$5))</f>
        <v>0</v>
      </c>
      <c r="O113" s="80">
        <f>IF(基础状态预期!G125="",0,IF(基础状态预期!AA125&lt;=1,基础状态预期!AA125*E$4,1*E$4+(基础状态预期!AA125-1)*武将觉醒!E$5))</f>
        <v>0</v>
      </c>
      <c r="P113" s="80">
        <f>IF(基础状态预期!H125="",0,IF(基础状态预期!AB125&lt;=1,基础状态预期!AB125*F$4,1*F$4+(基础状态预期!AB125-1)*武将觉醒!F$5))</f>
        <v>0</v>
      </c>
      <c r="Q113" s="80">
        <f>IF(基础状态预期!I125="",0,IF(基础状态预期!AC125&lt;=1,基础状态预期!AC125*G$4,1*G$4+(基础状态预期!AC125-1)*武将觉醒!G$5))</f>
        <v>0</v>
      </c>
      <c r="R113" s="80">
        <f>IF(基础状态预期!J125="",0,IF(基础状态预期!AD125&lt;=1,基础状态预期!AD125*H$4,1*H$4+(基础状态预期!AD125-1)*武将觉醒!H$5))</f>
        <v>2050000</v>
      </c>
      <c r="S113" s="80">
        <f>MAX(SUMPRODUCT(N113:R113,基础状态预期!F125:J125),S112)</f>
        <v>12300000</v>
      </c>
      <c r="T113" s="80">
        <f>IF(基础状态预期!Z125="",0,IFERROR(基础状态预期!F125*求节点($C$62:$C$63,D$62:D$63,基础状态预期!Z125),0)+IFERROR(基础状态预期!$J125*求节点($C$71:$C$72,D$71:D$72,基础状态预期!$AD125),0))</f>
        <v>0</v>
      </c>
      <c r="U113" s="80">
        <f>IF(基础状态预期!AA125="",0,IFERROR(基础状态预期!G125*求节点($C$62:$C$63,E$62:E$63,基础状态预期!AA125),0)+IFERROR(基础状态预期!$J125*求节点($C$71:$C$72,E$71:E$72,基础状态预期!$AD125),0))</f>
        <v>0</v>
      </c>
      <c r="V113" s="80">
        <f>IF(基础状态预期!AB125="",0,IFERROR(基础状态预期!H125*求节点($C$62:$C$63,F$62:F$63,基础状态预期!AB125),0)+IFERROR(基础状态预期!$J125*求节点($C$71:$C$72,F$71:F$72,基础状态预期!$AD125),0))</f>
        <v>0</v>
      </c>
      <c r="W113" s="80">
        <f>IF(基础状态预期!AC125="",0,IFERROR(基础状态预期!I125*求节点($C$62:$C$63,G$62:G$63,基础状态预期!AC125),0)+IFERROR(基础状态预期!$J125*求节点($C$71:$C$72,G$71:G$72,基础状态预期!$AD125),0))</f>
        <v>0</v>
      </c>
      <c r="X113" s="80">
        <f>IF(基础状态预期!AD125="",0,IFERROR(基础状态预期!J125*求节点($C$62:$C$63,H$62:H$63,基础状态预期!AD125),0)+IFERROR(基础状态预期!$J125*求节点($C$71:$C$72,H$71:H$72,基础状态预期!$AD125),0))</f>
        <v>0</v>
      </c>
      <c r="Y113" s="80">
        <f>IF(基础状态预期!$H125="",0,IF(基础状态预期!$AB125&lt;=1,基础状态预期!$AB125*D$18,D$18)*基础状态预期!$H125)+
IF(基础状态预期!$I125="",0,IF(基础状态预期!$AC125&lt;=1,基础状态预期!$AC125*D$19,D$19)*基础状态预期!$I125)+
IF(基础状态预期!$J125="",0,IF(基础状态预期!$AD125&lt;=1,基础状态预期!$AD125*D$20,D$20)*基础状态预期!$J125)</f>
        <v>48</v>
      </c>
      <c r="Z113" s="80">
        <f>IF(基础状态预期!$H125="",0,IF(基础状态预期!$AB125&lt;=1,基础状态预期!$AB125*E$18,E$18)*基础状态预期!$H125)+
IF(基础状态预期!$I125="",0,IF(基础状态预期!$AC125&lt;=1,基础状态预期!$AC125*E$19,E$19)*基础状态预期!$I125)+
IF(基础状态预期!$J125="",0,IF(基础状态预期!$AD125&lt;=1,基础状态预期!$AD125*E$20,E$20)*基础状态预期!$J125)</f>
        <v>0</v>
      </c>
      <c r="AA113" s="80">
        <f>IF(基础状态预期!$H125="",0,IF(基础状态预期!$AB125&lt;=1,基础状态预期!$AB125*F$18,F$18)*基础状态预期!$H125)+
IF(基础状态预期!$I125="",0,IF(基础状态预期!$AC125&lt;=1,基础状态预期!$AC125*F$19,F$19)*基础状态预期!$I125)+
IF(基础状态预期!$J125="",0,IF(基础状态预期!$AD125&lt;=1,基础状态预期!$AD125*F$20,F$20)*基础状态预期!$J125)</f>
        <v>0</v>
      </c>
      <c r="AB113" s="67">
        <f>IF(基础状态预期!$H125="",0,IF(基础状态预期!$AB125&lt;=1,0,(基础状态预期!$AB125-1)*G$26)*基础状态预期!$H125)+
IF(基础状态预期!$I125="",0,IF(基础状态预期!$AC125&lt;=1,0,(基础状态预期!$AC125-1)*G$27)*基础状态预期!$I125)+
IF(基础状态预期!$J125="",0,IF(基础状态预期!$AD125&lt;=1,0,(基础状态预期!$AD125-1)*G$28)*基础状态预期!$J125)</f>
        <v>240</v>
      </c>
      <c r="AC113" s="67">
        <f>IF(基础状态预期!$H125="",0,IF(基础状态预期!$AB125&lt;=1,0,(基础状态预期!$AB125-1)*H$26)*基础状态预期!$H125)+
IF(基础状态预期!$I125="",0,IF(基础状态预期!$AC125&lt;=1,0,(基础状态预期!$AC125-1)*H$27)*基础状态预期!$I125)+
IF(基础状态预期!$J125="",0,IF(基础状态预期!$AD125&lt;=1,0,(基础状态预期!$AD125-1)*H$28)*基础状态预期!$J125)</f>
        <v>0</v>
      </c>
      <c r="AD113" s="67">
        <f>IF(基础状态预期!$H125="",0,IF(基础状态预期!$AB125&lt;=1,0,(基础状态预期!$AB125-1)*I$26)*基础状态预期!$H125)+
IF(基础状态预期!$I125="",0,IF(基础状态预期!$AC125&lt;=1,0,(基础状态预期!$AC125-1)*I$27)*基础状态预期!$I125)+
IF(基础状态预期!$J125="",0,IF(基础状态预期!$AD125&lt;=1,0,(基础状态预期!$AD125-1)*I$28)*基础状态预期!$J125)</f>
        <v>0</v>
      </c>
      <c r="AE113" s="80">
        <f>IF(各r阵容卡情况!$H141=0,0,IF(各r阵容卡情况!$AB141&lt;=1,各r阵容卡情况!$AB141*D$18,1*D$18)*各r阵容卡情况!$H141)+
IF(各r阵容卡情况!$I141=0,0,IF(各r阵容卡情况!$AC141&lt;=1,各r阵容卡情况!$AC141*D$19,1*D$19)*各r阵容卡情况!$I141)+
IF(各r阵容卡情况!$J141=0,0,IF(各r阵容卡情况!$AD141&lt;=1,各r阵容卡情况!$AD141*D$20,1*D$20)*各r阵容卡情况!$J141)</f>
        <v>0</v>
      </c>
      <c r="AF113" s="80">
        <f>IF(各r阵容卡情况!$H141=0,0,IF(各r阵容卡情况!$AB141&lt;=1,各r阵容卡情况!$AB141*E$18,1*E$18)*各r阵容卡情况!$H141)+
IF(各r阵容卡情况!$I141=0,0,IF(各r阵容卡情况!$AC141&lt;=1,各r阵容卡情况!$AC141*E$19,1*E$19)*各r阵容卡情况!$I141)+
IF(各r阵容卡情况!$J141=0,0,IF(各r阵容卡情况!$AD141&lt;=1,各r阵容卡情况!$AD141*E$20,1*E$20)*各r阵容卡情况!$J141)</f>
        <v>0</v>
      </c>
      <c r="AG113" s="80">
        <f>IF(各r阵容卡情况!$H141=0,0,IF(各r阵容卡情况!$AB141&lt;=1,各r阵容卡情况!$AB141*F$18,1*F$18)*各r阵容卡情况!$H141)+
IF(各r阵容卡情况!$I141=0,0,IF(各r阵容卡情况!$AC141&lt;=1,各r阵容卡情况!$AC141*F$19,1*F$19)*各r阵容卡情况!$I141)+
IF(各r阵容卡情况!$J141=0,0,IF(各r阵容卡情况!$AD141&lt;=1,各r阵容卡情况!$AD141*F$20,1*F$20)*各r阵容卡情况!$J141)</f>
        <v>0</v>
      </c>
      <c r="AH113" s="67">
        <f>IF(各r阵容卡情况!$H141=0,0,IF(各r阵容卡情况!$AB141&lt;=1,0,(各r阵容卡情况!$AB141-1)*G$26)*各r阵容卡情况!$H141)+
IF(各r阵容卡情况!$I141=0,0,IF(各r阵容卡情况!$AC141&lt;=1,0,(各r阵容卡情况!$AC141-1)*G$27)*各r阵容卡情况!$I141)+
IF(各r阵容卡情况!$J141=0,0,IF(各r阵容卡情况!$AD141&lt;=1,0,(各r阵容卡情况!$AD141-1)*G$28)*各r阵容卡情况!$J141)</f>
        <v>0</v>
      </c>
      <c r="AI113" s="67">
        <f>IF(各r阵容卡情况!$H141=0,0,IF(各r阵容卡情况!$AB141&lt;=1,0,(各r阵容卡情况!$AB141-1)*H$26)*各r阵容卡情况!$H141)+
IF(各r阵容卡情况!$I141=0,0,IF(各r阵容卡情况!$AC141&lt;=1,0,(各r阵容卡情况!$AC141-1)*H$27)*各r阵容卡情况!$I141)+
IF(各r阵容卡情况!$J141=0,0,IF(各r阵容卡情况!$AD141&lt;=1,0,(各r阵容卡情况!$AD141-1)*H$28)*各r阵容卡情况!$J141)</f>
        <v>0</v>
      </c>
      <c r="AJ113" s="67">
        <f>IF(各r阵容卡情况!$H141=0,0,IF(各r阵容卡情况!$AB141&lt;=1,0,(各r阵容卡情况!$AB141-1)*I$26)*各r阵容卡情况!$H141)+
IF(各r阵容卡情况!$I141=0,0,IF(各r阵容卡情况!$AC141&lt;=1,0,(各r阵容卡情况!$AC141-1)*I$27)*各r阵容卡情况!$I141)+
IF(各r阵容卡情况!$J141=0,0,IF(各r阵容卡情况!$AD141&lt;=1,0,(各r阵容卡情况!$AD141-1)*I$28)*各r阵容卡情况!$J141)</f>
        <v>0</v>
      </c>
      <c r="AL113" s="80">
        <f t="shared" si="98"/>
        <v>100</v>
      </c>
      <c r="AM113" s="80">
        <f t="shared" si="99"/>
        <v>48</v>
      </c>
      <c r="AN113" s="80">
        <f t="shared" si="100"/>
        <v>0</v>
      </c>
      <c r="AO113" s="80">
        <f t="shared" si="101"/>
        <v>0</v>
      </c>
      <c r="AP113" s="80">
        <f t="shared" si="102"/>
        <v>240</v>
      </c>
      <c r="AQ113" s="80">
        <f t="shared" si="103"/>
        <v>0</v>
      </c>
      <c r="AR113" s="80">
        <f t="shared" si="104"/>
        <v>0</v>
      </c>
      <c r="AS113" s="80">
        <f t="shared" si="105"/>
        <v>0</v>
      </c>
      <c r="AT113" s="80">
        <f t="shared" si="106"/>
        <v>0</v>
      </c>
      <c r="AU113" s="80">
        <f t="shared" si="107"/>
        <v>0</v>
      </c>
      <c r="AV113" s="80">
        <f t="shared" si="108"/>
        <v>0</v>
      </c>
      <c r="AW113" s="80">
        <f t="shared" si="109"/>
        <v>0</v>
      </c>
      <c r="AX113" s="80">
        <f t="shared" si="110"/>
        <v>0</v>
      </c>
      <c r="AY113" s="61" t="e">
        <f>SUMPRODUCT(AM113:AR113/'[1]功能-行军令'!$GI$26:$GN$26+AS113:AX113/'[1]功能-行军令'!$GI$26:$GN$26)/0.18</f>
        <v>#DIV/0!</v>
      </c>
      <c r="BO113" s="80">
        <f t="shared" si="96"/>
        <v>93.471491811086082</v>
      </c>
      <c r="BP113" s="80">
        <f t="shared" si="97"/>
        <v>12300000</v>
      </c>
      <c r="BQ113" s="80">
        <f>(BP113-BP112)*INDEX('[1]功能-付费相关'!$AS$6:$AS$165,$BO113,1)+BQ112</f>
        <v>16400.362618327152</v>
      </c>
      <c r="BR113" s="80"/>
      <c r="BS113" s="80"/>
    </row>
    <row r="114" spans="12:71" x14ac:dyDescent="0.15">
      <c r="L114" s="61">
        <v>23</v>
      </c>
      <c r="M114" s="80">
        <f>基础状态预期!D126</f>
        <v>93.471491811086082</v>
      </c>
      <c r="N114" s="80">
        <f>IF(基础状态预期!F126="",0,IF(基础状态预期!Z126&lt;=1,基础状态预期!Z126*D$4,1*D$4+(基础状态预期!Z126-1)*武将觉醒!D$5))</f>
        <v>0</v>
      </c>
      <c r="O114" s="80">
        <f>IF(基础状态预期!G126="",0,IF(基础状态预期!AA126&lt;=1,基础状态预期!AA126*E$4,1*E$4+(基础状态预期!AA126-1)*武将觉醒!E$5))</f>
        <v>0</v>
      </c>
      <c r="P114" s="80">
        <f>IF(基础状态预期!H126="",0,IF(基础状态预期!AB126&lt;=1,基础状态预期!AB126*F$4,1*F$4+(基础状态预期!AB126-1)*武将觉醒!F$5))</f>
        <v>0</v>
      </c>
      <c r="Q114" s="80">
        <f>IF(基础状态预期!I126="",0,IF(基础状态预期!AC126&lt;=1,基础状态预期!AC126*G$4,1*G$4+(基础状态预期!AC126-1)*武将觉醒!G$5))</f>
        <v>0</v>
      </c>
      <c r="R114" s="80">
        <f>IF(基础状态预期!J126="",0,IF(基础状态预期!AD126&lt;=1,基础状态预期!AD126*H$4,1*H$4+(基础状态预期!AD126-1)*武将觉醒!H$5))</f>
        <v>2050000</v>
      </c>
      <c r="S114" s="80">
        <f>MAX(SUMPRODUCT(N114:R114,基础状态预期!F126:J126),S113)</f>
        <v>12300000</v>
      </c>
      <c r="T114" s="80">
        <f>IF(基础状态预期!Z126="",0,IFERROR(基础状态预期!F126*求节点($C$62:$C$63,D$62:D$63,基础状态预期!Z126),0)+IFERROR(基础状态预期!$J126*求节点($C$71:$C$72,D$71:D$72,基础状态预期!$AD126),0))</f>
        <v>0</v>
      </c>
      <c r="U114" s="80">
        <f>IF(基础状态预期!AA126="",0,IFERROR(基础状态预期!G126*求节点($C$62:$C$63,E$62:E$63,基础状态预期!AA126),0)+IFERROR(基础状态预期!$J126*求节点($C$71:$C$72,E$71:E$72,基础状态预期!$AD126),0))</f>
        <v>0</v>
      </c>
      <c r="V114" s="80">
        <f>IF(基础状态预期!AB126="",0,IFERROR(基础状态预期!H126*求节点($C$62:$C$63,F$62:F$63,基础状态预期!AB126),0)+IFERROR(基础状态预期!$J126*求节点($C$71:$C$72,F$71:F$72,基础状态预期!$AD126),0))</f>
        <v>0</v>
      </c>
      <c r="W114" s="80">
        <f>IF(基础状态预期!AC126="",0,IFERROR(基础状态预期!I126*求节点($C$62:$C$63,G$62:G$63,基础状态预期!AC126),0)+IFERROR(基础状态预期!$J126*求节点($C$71:$C$72,G$71:G$72,基础状态预期!$AD126),0))</f>
        <v>0</v>
      </c>
      <c r="X114" s="80">
        <f>IF(基础状态预期!AD126="",0,IFERROR(基础状态预期!J126*求节点($C$62:$C$63,H$62:H$63,基础状态预期!AD126),0)+IFERROR(基础状态预期!$J126*求节点($C$71:$C$72,H$71:H$72,基础状态预期!$AD126),0))</f>
        <v>0</v>
      </c>
      <c r="Y114" s="80">
        <f>IF(基础状态预期!$H126="",0,IF(基础状态预期!$AB126&lt;=1,基础状态预期!$AB126*D$18,D$18)*基础状态预期!$H126)+
IF(基础状态预期!$I126="",0,IF(基础状态预期!$AC126&lt;=1,基础状态预期!$AC126*D$19,D$19)*基础状态预期!$I126)+
IF(基础状态预期!$J126="",0,IF(基础状态预期!$AD126&lt;=1,基础状态预期!$AD126*D$20,D$20)*基础状态预期!$J126)</f>
        <v>48</v>
      </c>
      <c r="Z114" s="80">
        <f>IF(基础状态预期!$H126="",0,IF(基础状态预期!$AB126&lt;=1,基础状态预期!$AB126*E$18,E$18)*基础状态预期!$H126)+
IF(基础状态预期!$I126="",0,IF(基础状态预期!$AC126&lt;=1,基础状态预期!$AC126*E$19,E$19)*基础状态预期!$I126)+
IF(基础状态预期!$J126="",0,IF(基础状态预期!$AD126&lt;=1,基础状态预期!$AD126*E$20,E$20)*基础状态预期!$J126)</f>
        <v>0</v>
      </c>
      <c r="AA114" s="80">
        <f>IF(基础状态预期!$H126="",0,IF(基础状态预期!$AB126&lt;=1,基础状态预期!$AB126*F$18,F$18)*基础状态预期!$H126)+
IF(基础状态预期!$I126="",0,IF(基础状态预期!$AC126&lt;=1,基础状态预期!$AC126*F$19,F$19)*基础状态预期!$I126)+
IF(基础状态预期!$J126="",0,IF(基础状态预期!$AD126&lt;=1,基础状态预期!$AD126*F$20,F$20)*基础状态预期!$J126)</f>
        <v>0</v>
      </c>
      <c r="AB114" s="67">
        <f>IF(基础状态预期!$H126="",0,IF(基础状态预期!$AB126&lt;=1,0,(基础状态预期!$AB126-1)*G$26)*基础状态预期!$H126)+
IF(基础状态预期!$I126="",0,IF(基础状态预期!$AC126&lt;=1,0,(基础状态预期!$AC126-1)*G$27)*基础状态预期!$I126)+
IF(基础状态预期!$J126="",0,IF(基础状态预期!$AD126&lt;=1,0,(基础状态预期!$AD126-1)*G$28)*基础状态预期!$J126)</f>
        <v>240</v>
      </c>
      <c r="AC114" s="67">
        <f>IF(基础状态预期!$H126="",0,IF(基础状态预期!$AB126&lt;=1,0,(基础状态预期!$AB126-1)*H$26)*基础状态预期!$H126)+
IF(基础状态预期!$I126="",0,IF(基础状态预期!$AC126&lt;=1,0,(基础状态预期!$AC126-1)*H$27)*基础状态预期!$I126)+
IF(基础状态预期!$J126="",0,IF(基础状态预期!$AD126&lt;=1,0,(基础状态预期!$AD126-1)*H$28)*基础状态预期!$J126)</f>
        <v>0</v>
      </c>
      <c r="AD114" s="67">
        <f>IF(基础状态预期!$H126="",0,IF(基础状态预期!$AB126&lt;=1,0,(基础状态预期!$AB126-1)*I$26)*基础状态预期!$H126)+
IF(基础状态预期!$I126="",0,IF(基础状态预期!$AC126&lt;=1,0,(基础状态预期!$AC126-1)*I$27)*基础状态预期!$I126)+
IF(基础状态预期!$J126="",0,IF(基础状态预期!$AD126&lt;=1,0,(基础状态预期!$AD126-1)*I$28)*基础状态预期!$J126)</f>
        <v>0</v>
      </c>
      <c r="AE114" s="80">
        <f>IF(各r阵容卡情况!$H142=0,0,IF(各r阵容卡情况!$AB142&lt;=1,各r阵容卡情况!$AB142*D$18,1*D$18)*各r阵容卡情况!$H142)+
IF(各r阵容卡情况!$I142=0,0,IF(各r阵容卡情况!$AC142&lt;=1,各r阵容卡情况!$AC142*D$19,1*D$19)*各r阵容卡情况!$I142)+
IF(各r阵容卡情况!$J142=0,0,IF(各r阵容卡情况!$AD142&lt;=1,各r阵容卡情况!$AD142*D$20,1*D$20)*各r阵容卡情况!$J142)</f>
        <v>0</v>
      </c>
      <c r="AF114" s="80">
        <f>IF(各r阵容卡情况!$H142=0,0,IF(各r阵容卡情况!$AB142&lt;=1,各r阵容卡情况!$AB142*E$18,1*E$18)*各r阵容卡情况!$H142)+
IF(各r阵容卡情况!$I142=0,0,IF(各r阵容卡情况!$AC142&lt;=1,各r阵容卡情况!$AC142*E$19,1*E$19)*各r阵容卡情况!$I142)+
IF(各r阵容卡情况!$J142=0,0,IF(各r阵容卡情况!$AD142&lt;=1,各r阵容卡情况!$AD142*E$20,1*E$20)*各r阵容卡情况!$J142)</f>
        <v>0</v>
      </c>
      <c r="AG114" s="80">
        <f>IF(各r阵容卡情况!$H142=0,0,IF(各r阵容卡情况!$AB142&lt;=1,各r阵容卡情况!$AB142*F$18,1*F$18)*各r阵容卡情况!$H142)+
IF(各r阵容卡情况!$I142=0,0,IF(各r阵容卡情况!$AC142&lt;=1,各r阵容卡情况!$AC142*F$19,1*F$19)*各r阵容卡情况!$I142)+
IF(各r阵容卡情况!$J142=0,0,IF(各r阵容卡情况!$AD142&lt;=1,各r阵容卡情况!$AD142*F$20,1*F$20)*各r阵容卡情况!$J142)</f>
        <v>0</v>
      </c>
      <c r="AH114" s="67">
        <f>IF(各r阵容卡情况!$H142=0,0,IF(各r阵容卡情况!$AB142&lt;=1,0,(各r阵容卡情况!$AB142-1)*G$26)*各r阵容卡情况!$H142)+
IF(各r阵容卡情况!$I142=0,0,IF(各r阵容卡情况!$AC142&lt;=1,0,(各r阵容卡情况!$AC142-1)*G$27)*各r阵容卡情况!$I142)+
IF(各r阵容卡情况!$J142=0,0,IF(各r阵容卡情况!$AD142&lt;=1,0,(各r阵容卡情况!$AD142-1)*G$28)*各r阵容卡情况!$J142)</f>
        <v>0</v>
      </c>
      <c r="AI114" s="67">
        <f>IF(各r阵容卡情况!$H142=0,0,IF(各r阵容卡情况!$AB142&lt;=1,0,(各r阵容卡情况!$AB142-1)*H$26)*各r阵容卡情况!$H142)+
IF(各r阵容卡情况!$I142=0,0,IF(各r阵容卡情况!$AC142&lt;=1,0,(各r阵容卡情况!$AC142-1)*H$27)*各r阵容卡情况!$I142)+
IF(各r阵容卡情况!$J142=0,0,IF(各r阵容卡情况!$AD142&lt;=1,0,(各r阵容卡情况!$AD142-1)*H$28)*各r阵容卡情况!$J142)</f>
        <v>0</v>
      </c>
      <c r="AJ114" s="67">
        <f>IF(各r阵容卡情况!$H142=0,0,IF(各r阵容卡情况!$AB142&lt;=1,0,(各r阵容卡情况!$AB142-1)*I$26)*各r阵容卡情况!$H142)+
IF(各r阵容卡情况!$I142=0,0,IF(各r阵容卡情况!$AC142&lt;=1,0,(各r阵容卡情况!$AC142-1)*I$27)*各r阵容卡情况!$I142)+
IF(各r阵容卡情况!$J142=0,0,IF(各r阵容卡情况!$AD142&lt;=1,0,(各r阵容卡情况!$AD142-1)*I$28)*各r阵容卡情况!$J142)</f>
        <v>0</v>
      </c>
      <c r="AL114" s="80">
        <f t="shared" si="98"/>
        <v>105</v>
      </c>
      <c r="AM114" s="80">
        <f t="shared" si="99"/>
        <v>48</v>
      </c>
      <c r="AN114" s="80">
        <f t="shared" si="100"/>
        <v>0</v>
      </c>
      <c r="AO114" s="80">
        <f t="shared" si="101"/>
        <v>0</v>
      </c>
      <c r="AP114" s="80">
        <f t="shared" si="102"/>
        <v>240</v>
      </c>
      <c r="AQ114" s="80">
        <f t="shared" si="103"/>
        <v>0</v>
      </c>
      <c r="AR114" s="80">
        <f t="shared" si="104"/>
        <v>0</v>
      </c>
      <c r="AS114" s="80">
        <f t="shared" si="105"/>
        <v>0</v>
      </c>
      <c r="AT114" s="80">
        <f t="shared" si="106"/>
        <v>0</v>
      </c>
      <c r="AU114" s="80">
        <f t="shared" si="107"/>
        <v>0</v>
      </c>
      <c r="AV114" s="80">
        <f t="shared" si="108"/>
        <v>0</v>
      </c>
      <c r="AW114" s="80">
        <f t="shared" si="109"/>
        <v>0</v>
      </c>
      <c r="AX114" s="80">
        <f t="shared" si="110"/>
        <v>0</v>
      </c>
      <c r="AY114" s="61" t="e">
        <f>SUMPRODUCT(AM114:AR114/'[1]功能-行军令'!$GI$26:$GN$26+AS114:AX114/'[1]功能-行军令'!$GI$26:$GN$26)/0.18</f>
        <v>#DIV/0!</v>
      </c>
      <c r="BO114" s="80">
        <f t="shared" si="96"/>
        <v>97.107381566993553</v>
      </c>
      <c r="BP114" s="80">
        <f t="shared" si="97"/>
        <v>12300000</v>
      </c>
      <c r="BQ114" s="80">
        <f>(BP114-BP113)*INDEX('[1]功能-付费相关'!$AS$6:$AS$165,$BO114,1)+BQ113</f>
        <v>16400.362618327152</v>
      </c>
      <c r="BR114" s="80"/>
      <c r="BS114" s="80"/>
    </row>
    <row r="115" spans="12:71" x14ac:dyDescent="0.15">
      <c r="L115" s="61">
        <v>24</v>
      </c>
      <c r="M115" s="80">
        <f>基础状态预期!D127</f>
        <v>97.107381566993553</v>
      </c>
      <c r="N115" s="80">
        <f>IF(基础状态预期!F127="",0,IF(基础状态预期!Z127&lt;=1,基础状态预期!Z127*D$4,1*D$4+(基础状态预期!Z127-1)*武将觉醒!D$5))</f>
        <v>0</v>
      </c>
      <c r="O115" s="80">
        <f>IF(基础状态预期!G127="",0,IF(基础状态预期!AA127&lt;=1,基础状态预期!AA127*E$4,1*E$4+(基础状态预期!AA127-1)*武将觉醒!E$5))</f>
        <v>0</v>
      </c>
      <c r="P115" s="80">
        <f>IF(基础状态预期!H127="",0,IF(基础状态预期!AB127&lt;=1,基础状态预期!AB127*F$4,1*F$4+(基础状态预期!AB127-1)*武将觉醒!F$5))</f>
        <v>0</v>
      </c>
      <c r="Q115" s="80">
        <f>IF(基础状态预期!I127="",0,IF(基础状态预期!AC127&lt;=1,基础状态预期!AC127*G$4,1*G$4+(基础状态预期!AC127-1)*武将觉醒!G$5))</f>
        <v>0</v>
      </c>
      <c r="R115" s="80">
        <f>IF(基础状态预期!J127="",0,IF(基础状态预期!AD127&lt;=1,基础状态预期!AD127*H$4,1*H$4+(基础状态预期!AD127-1)*武将觉醒!H$5))</f>
        <v>2050000</v>
      </c>
      <c r="S115" s="80">
        <f>MAX(SUMPRODUCT(N115:R115,基础状态预期!F127:J127),S114)</f>
        <v>12300000</v>
      </c>
      <c r="T115" s="80">
        <f>IF(基础状态预期!Z127="",0,IFERROR(基础状态预期!F127*求节点($C$62:$C$63,D$62:D$63,基础状态预期!Z127),0)+IFERROR(基础状态预期!$J127*求节点($C$71:$C$72,D$71:D$72,基础状态预期!$AD127),0))</f>
        <v>0</v>
      </c>
      <c r="U115" s="80">
        <f>IF(基础状态预期!AA127="",0,IFERROR(基础状态预期!G127*求节点($C$62:$C$63,E$62:E$63,基础状态预期!AA127),0)+IFERROR(基础状态预期!$J127*求节点($C$71:$C$72,E$71:E$72,基础状态预期!$AD127),0))</f>
        <v>0</v>
      </c>
      <c r="V115" s="80">
        <f>IF(基础状态预期!AB127="",0,IFERROR(基础状态预期!H127*求节点($C$62:$C$63,F$62:F$63,基础状态预期!AB127),0)+IFERROR(基础状态预期!$J127*求节点($C$71:$C$72,F$71:F$72,基础状态预期!$AD127),0))</f>
        <v>0</v>
      </c>
      <c r="W115" s="80">
        <f>IF(基础状态预期!AC127="",0,IFERROR(基础状态预期!I127*求节点($C$62:$C$63,G$62:G$63,基础状态预期!AC127),0)+IFERROR(基础状态预期!$J127*求节点($C$71:$C$72,G$71:G$72,基础状态预期!$AD127),0))</f>
        <v>0</v>
      </c>
      <c r="X115" s="80">
        <f>IF(基础状态预期!AD127="",0,IFERROR(基础状态预期!J127*求节点($C$62:$C$63,H$62:H$63,基础状态预期!AD127),0)+IFERROR(基础状态预期!$J127*求节点($C$71:$C$72,H$71:H$72,基础状态预期!$AD127),0))</f>
        <v>0</v>
      </c>
      <c r="Y115" s="80">
        <f>IF(基础状态预期!$H127="",0,IF(基础状态预期!$AB127&lt;=1,基础状态预期!$AB127*D$18,D$18)*基础状态预期!$H127)+
IF(基础状态预期!$I127="",0,IF(基础状态预期!$AC127&lt;=1,基础状态预期!$AC127*D$19,D$19)*基础状态预期!$I127)+
IF(基础状态预期!$J127="",0,IF(基础状态预期!$AD127&lt;=1,基础状态预期!$AD127*D$20,D$20)*基础状态预期!$J127)</f>
        <v>48</v>
      </c>
      <c r="Z115" s="80">
        <f>IF(基础状态预期!$H127="",0,IF(基础状态预期!$AB127&lt;=1,基础状态预期!$AB127*E$18,E$18)*基础状态预期!$H127)+
IF(基础状态预期!$I127="",0,IF(基础状态预期!$AC127&lt;=1,基础状态预期!$AC127*E$19,E$19)*基础状态预期!$I127)+
IF(基础状态预期!$J127="",0,IF(基础状态预期!$AD127&lt;=1,基础状态预期!$AD127*E$20,E$20)*基础状态预期!$J127)</f>
        <v>0</v>
      </c>
      <c r="AA115" s="80">
        <f>IF(基础状态预期!$H127="",0,IF(基础状态预期!$AB127&lt;=1,基础状态预期!$AB127*F$18,F$18)*基础状态预期!$H127)+
IF(基础状态预期!$I127="",0,IF(基础状态预期!$AC127&lt;=1,基础状态预期!$AC127*F$19,F$19)*基础状态预期!$I127)+
IF(基础状态预期!$J127="",0,IF(基础状态预期!$AD127&lt;=1,基础状态预期!$AD127*F$20,F$20)*基础状态预期!$J127)</f>
        <v>0</v>
      </c>
      <c r="AB115" s="67">
        <f>IF(基础状态预期!$H127="",0,IF(基础状态预期!$AB127&lt;=1,0,(基础状态预期!$AB127-1)*G$26)*基础状态预期!$H127)+
IF(基础状态预期!$I127="",0,IF(基础状态预期!$AC127&lt;=1,0,(基础状态预期!$AC127-1)*G$27)*基础状态预期!$I127)+
IF(基础状态预期!$J127="",0,IF(基础状态预期!$AD127&lt;=1,0,(基础状态预期!$AD127-1)*G$28)*基础状态预期!$J127)</f>
        <v>240</v>
      </c>
      <c r="AC115" s="67">
        <f>IF(基础状态预期!$H127="",0,IF(基础状态预期!$AB127&lt;=1,0,(基础状态预期!$AB127-1)*H$26)*基础状态预期!$H127)+
IF(基础状态预期!$I127="",0,IF(基础状态预期!$AC127&lt;=1,0,(基础状态预期!$AC127-1)*H$27)*基础状态预期!$I127)+
IF(基础状态预期!$J127="",0,IF(基础状态预期!$AD127&lt;=1,0,(基础状态预期!$AD127-1)*H$28)*基础状态预期!$J127)</f>
        <v>0</v>
      </c>
      <c r="AD115" s="67">
        <f>IF(基础状态预期!$H127="",0,IF(基础状态预期!$AB127&lt;=1,0,(基础状态预期!$AB127-1)*I$26)*基础状态预期!$H127)+
IF(基础状态预期!$I127="",0,IF(基础状态预期!$AC127&lt;=1,0,(基础状态预期!$AC127-1)*I$27)*基础状态预期!$I127)+
IF(基础状态预期!$J127="",0,IF(基础状态预期!$AD127&lt;=1,0,(基础状态预期!$AD127-1)*I$28)*基础状态预期!$J127)</f>
        <v>0</v>
      </c>
      <c r="AE115" s="80">
        <f>IF(各r阵容卡情况!$H143=0,0,IF(各r阵容卡情况!$AB143&lt;=1,各r阵容卡情况!$AB143*D$18,1*D$18)*各r阵容卡情况!$H143)+
IF(各r阵容卡情况!$I143=0,0,IF(各r阵容卡情况!$AC143&lt;=1,各r阵容卡情况!$AC143*D$19,1*D$19)*各r阵容卡情况!$I143)+
IF(各r阵容卡情况!$J143=0,0,IF(各r阵容卡情况!$AD143&lt;=1,各r阵容卡情况!$AD143*D$20,1*D$20)*各r阵容卡情况!$J143)</f>
        <v>0</v>
      </c>
      <c r="AF115" s="80">
        <f>IF(各r阵容卡情况!$H143=0,0,IF(各r阵容卡情况!$AB143&lt;=1,各r阵容卡情况!$AB143*E$18,1*E$18)*各r阵容卡情况!$H143)+
IF(各r阵容卡情况!$I143=0,0,IF(各r阵容卡情况!$AC143&lt;=1,各r阵容卡情况!$AC143*E$19,1*E$19)*各r阵容卡情况!$I143)+
IF(各r阵容卡情况!$J143=0,0,IF(各r阵容卡情况!$AD143&lt;=1,各r阵容卡情况!$AD143*E$20,1*E$20)*各r阵容卡情况!$J143)</f>
        <v>0</v>
      </c>
      <c r="AG115" s="80">
        <f>IF(各r阵容卡情况!$H143=0,0,IF(各r阵容卡情况!$AB143&lt;=1,各r阵容卡情况!$AB143*F$18,1*F$18)*各r阵容卡情况!$H143)+
IF(各r阵容卡情况!$I143=0,0,IF(各r阵容卡情况!$AC143&lt;=1,各r阵容卡情况!$AC143*F$19,1*F$19)*各r阵容卡情况!$I143)+
IF(各r阵容卡情况!$J143=0,0,IF(各r阵容卡情况!$AD143&lt;=1,各r阵容卡情况!$AD143*F$20,1*F$20)*各r阵容卡情况!$J143)</f>
        <v>0</v>
      </c>
      <c r="AH115" s="67">
        <f>IF(各r阵容卡情况!$H143=0,0,IF(各r阵容卡情况!$AB143&lt;=1,0,(各r阵容卡情况!$AB143-1)*G$26)*各r阵容卡情况!$H143)+
IF(各r阵容卡情况!$I143=0,0,IF(各r阵容卡情况!$AC143&lt;=1,0,(各r阵容卡情况!$AC143-1)*G$27)*各r阵容卡情况!$I143)+
IF(各r阵容卡情况!$J143=0,0,IF(各r阵容卡情况!$AD143&lt;=1,0,(各r阵容卡情况!$AD143-1)*G$28)*各r阵容卡情况!$J143)</f>
        <v>0</v>
      </c>
      <c r="AI115" s="67">
        <f>IF(各r阵容卡情况!$H143=0,0,IF(各r阵容卡情况!$AB143&lt;=1,0,(各r阵容卡情况!$AB143-1)*H$26)*各r阵容卡情况!$H143)+
IF(各r阵容卡情况!$I143=0,0,IF(各r阵容卡情况!$AC143&lt;=1,0,(各r阵容卡情况!$AC143-1)*H$27)*各r阵容卡情况!$I143)+
IF(各r阵容卡情况!$J143=0,0,IF(各r阵容卡情况!$AD143&lt;=1,0,(各r阵容卡情况!$AD143-1)*H$28)*各r阵容卡情况!$J143)</f>
        <v>0</v>
      </c>
      <c r="AJ115" s="67">
        <f>IF(各r阵容卡情况!$H143=0,0,IF(各r阵容卡情况!$AB143&lt;=1,0,(各r阵容卡情况!$AB143-1)*I$26)*各r阵容卡情况!$H143)+
IF(各r阵容卡情况!$I143=0,0,IF(各r阵容卡情况!$AC143&lt;=1,0,(各r阵容卡情况!$AC143-1)*I$27)*各r阵容卡情况!$I143)+
IF(各r阵容卡情况!$J143=0,0,IF(各r阵容卡情况!$AD143&lt;=1,0,(各r阵容卡情况!$AD143-1)*I$28)*各r阵容卡情况!$J143)</f>
        <v>0</v>
      </c>
      <c r="AL115" s="80">
        <f t="shared" si="98"/>
        <v>110</v>
      </c>
      <c r="AM115" s="80">
        <f t="shared" si="99"/>
        <v>48</v>
      </c>
      <c r="AN115" s="80">
        <f t="shared" si="100"/>
        <v>0</v>
      </c>
      <c r="AO115" s="80">
        <f t="shared" si="101"/>
        <v>0</v>
      </c>
      <c r="AP115" s="80">
        <f t="shared" si="102"/>
        <v>240</v>
      </c>
      <c r="AQ115" s="80">
        <f t="shared" si="103"/>
        <v>0</v>
      </c>
      <c r="AR115" s="80">
        <f t="shared" si="104"/>
        <v>0</v>
      </c>
      <c r="AS115" s="80">
        <f t="shared" si="105"/>
        <v>9.8537959431858582</v>
      </c>
      <c r="AT115" s="80">
        <f t="shared" si="106"/>
        <v>0</v>
      </c>
      <c r="AU115" s="80">
        <f t="shared" si="107"/>
        <v>0</v>
      </c>
      <c r="AV115" s="80">
        <f t="shared" si="108"/>
        <v>0</v>
      </c>
      <c r="AW115" s="80">
        <f t="shared" si="109"/>
        <v>0</v>
      </c>
      <c r="AX115" s="80">
        <f t="shared" si="110"/>
        <v>0</v>
      </c>
      <c r="AY115" s="61" t="e">
        <f>SUMPRODUCT(AM115:AR115/'[1]功能-行军令'!$GI$26:$GN$26+AS115:AX115/'[1]功能-行军令'!$GI$26:$GN$26)/0.18</f>
        <v>#DIV/0!</v>
      </c>
      <c r="BO115" s="80">
        <f t="shared" si="96"/>
        <v>100.71243145193914</v>
      </c>
      <c r="BP115" s="80">
        <f t="shared" si="97"/>
        <v>12300000</v>
      </c>
      <c r="BQ115" s="80">
        <f>(BP115-BP114)*INDEX('[1]功能-付费相关'!$AS$6:$AS$165,$BO115,1)+BQ114</f>
        <v>16400.362618327152</v>
      </c>
      <c r="BR115" s="80"/>
      <c r="BS115" s="80"/>
    </row>
    <row r="116" spans="12:71" x14ac:dyDescent="0.15">
      <c r="L116" s="61">
        <v>25</v>
      </c>
      <c r="M116" s="80">
        <f>基础状态预期!D128</f>
        <v>100.71243145193914</v>
      </c>
      <c r="N116" s="80">
        <f>IF(基础状态预期!F128="",0,IF(基础状态预期!Z128&lt;=1,基础状态预期!Z128*D$4,1*D$4+(基础状态预期!Z128-1)*武将觉醒!D$5))</f>
        <v>0</v>
      </c>
      <c r="O116" s="80">
        <f>IF(基础状态预期!G128="",0,IF(基础状态预期!AA128&lt;=1,基础状态预期!AA128*E$4,1*E$4+(基础状态预期!AA128-1)*武将觉醒!E$5))</f>
        <v>0</v>
      </c>
      <c r="P116" s="80">
        <f>IF(基础状态预期!H128="",0,IF(基础状态预期!AB128&lt;=1,基础状态预期!AB128*F$4,1*F$4+(基础状态预期!AB128-1)*武将觉醒!F$5))</f>
        <v>0</v>
      </c>
      <c r="Q116" s="80">
        <f>IF(基础状态预期!I128="",0,IF(基础状态预期!AC128&lt;=1,基础状态预期!AC128*G$4,1*G$4+(基础状态预期!AC128-1)*武将觉醒!G$5))</f>
        <v>0</v>
      </c>
      <c r="R116" s="80">
        <f>IF(基础状态预期!J128="",0,IF(基础状态预期!AD128&lt;=1,基础状态预期!AD128*H$4,1*H$4+(基础状态预期!AD128-1)*武将觉醒!H$5))</f>
        <v>2050000</v>
      </c>
      <c r="S116" s="80">
        <f>MAX(SUMPRODUCT(N116:R116,基础状态预期!F128:J128),S115)</f>
        <v>12300000</v>
      </c>
      <c r="T116" s="80">
        <f>IF(基础状态预期!Z128="",0,IFERROR(基础状态预期!F128*求节点($C$62:$C$63,D$62:D$63,基础状态预期!Z128),0)+IFERROR(基础状态预期!$J128*求节点($C$71:$C$72,D$71:D$72,基础状态预期!$AD128),0))</f>
        <v>0</v>
      </c>
      <c r="U116" s="80">
        <f>IF(基础状态预期!AA128="",0,IFERROR(基础状态预期!G128*求节点($C$62:$C$63,E$62:E$63,基础状态预期!AA128),0)+IFERROR(基础状态预期!$J128*求节点($C$71:$C$72,E$71:E$72,基础状态预期!$AD128),0))</f>
        <v>0</v>
      </c>
      <c r="V116" s="80">
        <f>IF(基础状态预期!AB128="",0,IFERROR(基础状态预期!H128*求节点($C$62:$C$63,F$62:F$63,基础状态预期!AB128),0)+IFERROR(基础状态预期!$J128*求节点($C$71:$C$72,F$71:F$72,基础状态预期!$AD128),0))</f>
        <v>0</v>
      </c>
      <c r="W116" s="80">
        <f>IF(基础状态预期!AC128="",0,IFERROR(基础状态预期!I128*求节点($C$62:$C$63,G$62:G$63,基础状态预期!AC128),0)+IFERROR(基础状态预期!$J128*求节点($C$71:$C$72,G$71:G$72,基础状态预期!$AD128),0))</f>
        <v>0</v>
      </c>
      <c r="X116" s="80">
        <f>IF(基础状态预期!AD128="",0,IFERROR(基础状态预期!J128*求节点($C$62:$C$63,H$62:H$63,基础状态预期!AD128),0)+IFERROR(基础状态预期!$J128*求节点($C$71:$C$72,H$71:H$72,基础状态预期!$AD128),0))</f>
        <v>0</v>
      </c>
      <c r="Y116" s="80">
        <f>IF(基础状态预期!$H128="",0,IF(基础状态预期!$AB128&lt;=1,基础状态预期!$AB128*D$18,D$18)*基础状态预期!$H128)+
IF(基础状态预期!$I128="",0,IF(基础状态预期!$AC128&lt;=1,基础状态预期!$AC128*D$19,D$19)*基础状态预期!$I128)+
IF(基础状态预期!$J128="",0,IF(基础状态预期!$AD128&lt;=1,基础状态预期!$AD128*D$20,D$20)*基础状态预期!$J128)</f>
        <v>48</v>
      </c>
      <c r="Z116" s="80">
        <f>IF(基础状态预期!$H128="",0,IF(基础状态预期!$AB128&lt;=1,基础状态预期!$AB128*E$18,E$18)*基础状态预期!$H128)+
IF(基础状态预期!$I128="",0,IF(基础状态预期!$AC128&lt;=1,基础状态预期!$AC128*E$19,E$19)*基础状态预期!$I128)+
IF(基础状态预期!$J128="",0,IF(基础状态预期!$AD128&lt;=1,基础状态预期!$AD128*E$20,E$20)*基础状态预期!$J128)</f>
        <v>0</v>
      </c>
      <c r="AA116" s="80">
        <f>IF(基础状态预期!$H128="",0,IF(基础状态预期!$AB128&lt;=1,基础状态预期!$AB128*F$18,F$18)*基础状态预期!$H128)+
IF(基础状态预期!$I128="",0,IF(基础状态预期!$AC128&lt;=1,基础状态预期!$AC128*F$19,F$19)*基础状态预期!$I128)+
IF(基础状态预期!$J128="",0,IF(基础状态预期!$AD128&lt;=1,基础状态预期!$AD128*F$20,F$20)*基础状态预期!$J128)</f>
        <v>0</v>
      </c>
      <c r="AB116" s="67">
        <f>IF(基础状态预期!$H128="",0,IF(基础状态预期!$AB128&lt;=1,0,(基础状态预期!$AB128-1)*G$26)*基础状态预期!$H128)+
IF(基础状态预期!$I128="",0,IF(基础状态预期!$AC128&lt;=1,0,(基础状态预期!$AC128-1)*G$27)*基础状态预期!$I128)+
IF(基础状态预期!$J128="",0,IF(基础状态预期!$AD128&lt;=1,0,(基础状态预期!$AD128-1)*G$28)*基础状态预期!$J128)</f>
        <v>240</v>
      </c>
      <c r="AC116" s="67">
        <f>IF(基础状态预期!$H128="",0,IF(基础状态预期!$AB128&lt;=1,0,(基础状态预期!$AB128-1)*H$26)*基础状态预期!$H128)+
IF(基础状态预期!$I128="",0,IF(基础状态预期!$AC128&lt;=1,0,(基础状态预期!$AC128-1)*H$27)*基础状态预期!$I128)+
IF(基础状态预期!$J128="",0,IF(基础状态预期!$AD128&lt;=1,0,(基础状态预期!$AD128-1)*H$28)*基础状态预期!$J128)</f>
        <v>0</v>
      </c>
      <c r="AD116" s="67">
        <f>IF(基础状态预期!$H128="",0,IF(基础状态预期!$AB128&lt;=1,0,(基础状态预期!$AB128-1)*I$26)*基础状态预期!$H128)+
IF(基础状态预期!$I128="",0,IF(基础状态预期!$AC128&lt;=1,0,(基础状态预期!$AC128-1)*I$27)*基础状态预期!$I128)+
IF(基础状态预期!$J128="",0,IF(基础状态预期!$AD128&lt;=1,0,(基础状态预期!$AD128-1)*I$28)*基础状态预期!$J128)</f>
        <v>0</v>
      </c>
      <c r="AE116" s="80">
        <f>IF(各r阵容卡情况!$H144=0,0,IF(各r阵容卡情况!$AB144&lt;=1,各r阵容卡情况!$AB144*D$18,1*D$18)*各r阵容卡情况!$H144)+
IF(各r阵容卡情况!$I144=0,0,IF(各r阵容卡情况!$AC144&lt;=1,各r阵容卡情况!$AC144*D$19,1*D$19)*各r阵容卡情况!$I144)+
IF(各r阵容卡情况!$J144=0,0,IF(各r阵容卡情况!$AD144&lt;=1,各r阵容卡情况!$AD144*D$20,1*D$20)*各r阵容卡情况!$J144)</f>
        <v>0</v>
      </c>
      <c r="AF116" s="80">
        <f>IF(各r阵容卡情况!$H144=0,0,IF(各r阵容卡情况!$AB144&lt;=1,各r阵容卡情况!$AB144*E$18,1*E$18)*各r阵容卡情况!$H144)+
IF(各r阵容卡情况!$I144=0,0,IF(各r阵容卡情况!$AC144&lt;=1,各r阵容卡情况!$AC144*E$19,1*E$19)*各r阵容卡情况!$I144)+
IF(各r阵容卡情况!$J144=0,0,IF(各r阵容卡情况!$AD144&lt;=1,各r阵容卡情况!$AD144*E$20,1*E$20)*各r阵容卡情况!$J144)</f>
        <v>0</v>
      </c>
      <c r="AG116" s="80">
        <f>IF(各r阵容卡情况!$H144=0,0,IF(各r阵容卡情况!$AB144&lt;=1,各r阵容卡情况!$AB144*F$18,1*F$18)*各r阵容卡情况!$H144)+
IF(各r阵容卡情况!$I144=0,0,IF(各r阵容卡情况!$AC144&lt;=1,各r阵容卡情况!$AC144*F$19,1*F$19)*各r阵容卡情况!$I144)+
IF(各r阵容卡情况!$J144=0,0,IF(各r阵容卡情况!$AD144&lt;=1,各r阵容卡情况!$AD144*F$20,1*F$20)*各r阵容卡情况!$J144)</f>
        <v>0</v>
      </c>
      <c r="AH116" s="67">
        <f>IF(各r阵容卡情况!$H144=0,0,IF(各r阵容卡情况!$AB144&lt;=1,0,(各r阵容卡情况!$AB144-1)*G$26)*各r阵容卡情况!$H144)+
IF(各r阵容卡情况!$I144=0,0,IF(各r阵容卡情况!$AC144&lt;=1,0,(各r阵容卡情况!$AC144-1)*G$27)*各r阵容卡情况!$I144)+
IF(各r阵容卡情况!$J144=0,0,IF(各r阵容卡情况!$AD144&lt;=1,0,(各r阵容卡情况!$AD144-1)*G$28)*各r阵容卡情况!$J144)</f>
        <v>0</v>
      </c>
      <c r="AI116" s="67">
        <f>IF(各r阵容卡情况!$H144=0,0,IF(各r阵容卡情况!$AB144&lt;=1,0,(各r阵容卡情况!$AB144-1)*H$26)*各r阵容卡情况!$H144)+
IF(各r阵容卡情况!$I144=0,0,IF(各r阵容卡情况!$AC144&lt;=1,0,(各r阵容卡情况!$AC144-1)*H$27)*各r阵容卡情况!$I144)+
IF(各r阵容卡情况!$J144=0,0,IF(各r阵容卡情况!$AD144&lt;=1,0,(各r阵容卡情况!$AD144-1)*H$28)*各r阵容卡情况!$J144)</f>
        <v>0</v>
      </c>
      <c r="AJ116" s="67">
        <f>IF(各r阵容卡情况!$H144=0,0,IF(各r阵容卡情况!$AB144&lt;=1,0,(各r阵容卡情况!$AB144-1)*I$26)*各r阵容卡情况!$H144)+
IF(各r阵容卡情况!$I144=0,0,IF(各r阵容卡情况!$AC144&lt;=1,0,(各r阵容卡情况!$AC144-1)*I$27)*各r阵容卡情况!$I144)+
IF(各r阵容卡情况!$J144=0,0,IF(各r阵容卡情况!$AD144&lt;=1,0,(各r阵容卡情况!$AD144-1)*I$28)*各r阵容卡情况!$J144)</f>
        <v>0</v>
      </c>
      <c r="AL116" s="80">
        <f t="shared" si="98"/>
        <v>115</v>
      </c>
      <c r="AM116" s="80">
        <f t="shared" si="99"/>
        <v>48</v>
      </c>
      <c r="AN116" s="80">
        <f t="shared" si="100"/>
        <v>0</v>
      </c>
      <c r="AO116" s="80">
        <f t="shared" si="101"/>
        <v>0</v>
      </c>
      <c r="AP116" s="80">
        <f t="shared" si="102"/>
        <v>240</v>
      </c>
      <c r="AQ116" s="80">
        <f t="shared" si="103"/>
        <v>0</v>
      </c>
      <c r="AR116" s="80">
        <f t="shared" si="104"/>
        <v>0</v>
      </c>
      <c r="AS116" s="80">
        <f t="shared" si="105"/>
        <v>24.182887336796696</v>
      </c>
      <c r="AT116" s="80">
        <f t="shared" si="106"/>
        <v>0</v>
      </c>
      <c r="AU116" s="80">
        <f t="shared" si="107"/>
        <v>0</v>
      </c>
      <c r="AV116" s="80">
        <f t="shared" si="108"/>
        <v>0.40975613166676284</v>
      </c>
      <c r="AW116" s="80">
        <f t="shared" si="109"/>
        <v>0</v>
      </c>
      <c r="AX116" s="80">
        <f t="shared" si="110"/>
        <v>0</v>
      </c>
      <c r="AY116" s="61" t="e">
        <f>SUMPRODUCT(AM116:AR116/'[1]功能-行军令'!$GI$26:$GN$26+AS116:AX116/'[1]功能-行军令'!$GI$26:$GN$26)/0.18</f>
        <v>#DIV/0!</v>
      </c>
      <c r="BO116" s="80">
        <f t="shared" si="96"/>
        <v>104.39233713204413</v>
      </c>
      <c r="BP116" s="80">
        <f t="shared" si="97"/>
        <v>12300000</v>
      </c>
      <c r="BQ116" s="80">
        <f>(BP116-BP115)*INDEX('[1]功能-付费相关'!$AS$6:$AS$165,$BO116,1)+BQ115</f>
        <v>16400.362618327152</v>
      </c>
      <c r="BR116" s="80"/>
      <c r="BS116" s="80"/>
    </row>
    <row r="117" spans="12:71" x14ac:dyDescent="0.15">
      <c r="L117" s="61">
        <v>26</v>
      </c>
      <c r="M117" s="80">
        <f>基础状态预期!D129</f>
        <v>104.39233713204413</v>
      </c>
      <c r="N117" s="80">
        <f>IF(基础状态预期!F129="",0,IF(基础状态预期!Z129&lt;=1,基础状态预期!Z129*D$4,1*D$4+(基础状态预期!Z129-1)*武将觉醒!D$5))</f>
        <v>0</v>
      </c>
      <c r="O117" s="80">
        <f>IF(基础状态预期!G129="",0,IF(基础状态预期!AA129&lt;=1,基础状态预期!AA129*E$4,1*E$4+(基础状态预期!AA129-1)*武将觉醒!E$5))</f>
        <v>0</v>
      </c>
      <c r="P117" s="80">
        <f>IF(基础状态预期!H129="",0,IF(基础状态预期!AB129&lt;=1,基础状态预期!AB129*F$4,1*F$4+(基础状态预期!AB129-1)*武将觉醒!F$5))</f>
        <v>0</v>
      </c>
      <c r="Q117" s="80">
        <f>IF(基础状态预期!I129="",0,IF(基础状态预期!AC129&lt;=1,基础状态预期!AC129*G$4,1*G$4+(基础状态预期!AC129-1)*武将觉醒!G$5))</f>
        <v>0</v>
      </c>
      <c r="R117" s="80">
        <f>IF(基础状态预期!J129="",0,IF(基础状态预期!AD129&lt;=1,基础状态预期!AD129*H$4,1*H$4+(基础状态预期!AD129-1)*武将觉醒!H$5))</f>
        <v>2050000</v>
      </c>
      <c r="S117" s="80">
        <f>MAX(SUMPRODUCT(N117:R117,基础状态预期!F129:J129),S116)</f>
        <v>12300000</v>
      </c>
      <c r="T117" s="80">
        <f>IF(基础状态预期!Z129="",0,IFERROR(基础状态预期!F129*求节点($C$62:$C$63,D$62:D$63,基础状态预期!Z129),0)+IFERROR(基础状态预期!$J129*求节点($C$71:$C$72,D$71:D$72,基础状态预期!$AD129),0))</f>
        <v>0</v>
      </c>
      <c r="U117" s="80">
        <f>IF(基础状态预期!AA129="",0,IFERROR(基础状态预期!G129*求节点($C$62:$C$63,E$62:E$63,基础状态预期!AA129),0)+IFERROR(基础状态预期!$J129*求节点($C$71:$C$72,E$71:E$72,基础状态预期!$AD129),0))</f>
        <v>0</v>
      </c>
      <c r="V117" s="80">
        <f>IF(基础状态预期!AB129="",0,IFERROR(基础状态预期!H129*求节点($C$62:$C$63,F$62:F$63,基础状态预期!AB129),0)+IFERROR(基础状态预期!$J129*求节点($C$71:$C$72,F$71:F$72,基础状态预期!$AD129),0))</f>
        <v>0</v>
      </c>
      <c r="W117" s="80">
        <f>IF(基础状态预期!AC129="",0,IFERROR(基础状态预期!I129*求节点($C$62:$C$63,G$62:G$63,基础状态预期!AC129),0)+IFERROR(基础状态预期!$J129*求节点($C$71:$C$72,G$71:G$72,基础状态预期!$AD129),0))</f>
        <v>0</v>
      </c>
      <c r="X117" s="80">
        <f>IF(基础状态预期!AD129="",0,IFERROR(基础状态预期!J129*求节点($C$62:$C$63,H$62:H$63,基础状态预期!AD129),0)+IFERROR(基础状态预期!$J129*求节点($C$71:$C$72,H$71:H$72,基础状态预期!$AD129),0))</f>
        <v>0</v>
      </c>
      <c r="Y117" s="80">
        <f>IF(基础状态预期!$H129="",0,IF(基础状态预期!$AB129&lt;=1,基础状态预期!$AB129*D$18,D$18)*基础状态预期!$H129)+
IF(基础状态预期!$I129="",0,IF(基础状态预期!$AC129&lt;=1,基础状态预期!$AC129*D$19,D$19)*基础状态预期!$I129)+
IF(基础状态预期!$J129="",0,IF(基础状态预期!$AD129&lt;=1,基础状态预期!$AD129*D$20,D$20)*基础状态预期!$J129)</f>
        <v>48</v>
      </c>
      <c r="Z117" s="80">
        <f>IF(基础状态预期!$H129="",0,IF(基础状态预期!$AB129&lt;=1,基础状态预期!$AB129*E$18,E$18)*基础状态预期!$H129)+
IF(基础状态预期!$I129="",0,IF(基础状态预期!$AC129&lt;=1,基础状态预期!$AC129*E$19,E$19)*基础状态预期!$I129)+
IF(基础状态预期!$J129="",0,IF(基础状态预期!$AD129&lt;=1,基础状态预期!$AD129*E$20,E$20)*基础状态预期!$J129)</f>
        <v>0</v>
      </c>
      <c r="AA117" s="80">
        <f>IF(基础状态预期!$H129="",0,IF(基础状态预期!$AB129&lt;=1,基础状态预期!$AB129*F$18,F$18)*基础状态预期!$H129)+
IF(基础状态预期!$I129="",0,IF(基础状态预期!$AC129&lt;=1,基础状态预期!$AC129*F$19,F$19)*基础状态预期!$I129)+
IF(基础状态预期!$J129="",0,IF(基础状态预期!$AD129&lt;=1,基础状态预期!$AD129*F$20,F$20)*基础状态预期!$J129)</f>
        <v>0</v>
      </c>
      <c r="AB117" s="67">
        <f>IF(基础状态预期!$H129="",0,IF(基础状态预期!$AB129&lt;=1,0,(基础状态预期!$AB129-1)*G$26)*基础状态预期!$H129)+
IF(基础状态预期!$I129="",0,IF(基础状态预期!$AC129&lt;=1,0,(基础状态预期!$AC129-1)*G$27)*基础状态预期!$I129)+
IF(基础状态预期!$J129="",0,IF(基础状态预期!$AD129&lt;=1,0,(基础状态预期!$AD129-1)*G$28)*基础状态预期!$J129)</f>
        <v>240</v>
      </c>
      <c r="AC117" s="67">
        <f>IF(基础状态预期!$H129="",0,IF(基础状态预期!$AB129&lt;=1,0,(基础状态预期!$AB129-1)*H$26)*基础状态预期!$H129)+
IF(基础状态预期!$I129="",0,IF(基础状态预期!$AC129&lt;=1,0,(基础状态预期!$AC129-1)*H$27)*基础状态预期!$I129)+
IF(基础状态预期!$J129="",0,IF(基础状态预期!$AD129&lt;=1,0,(基础状态预期!$AD129-1)*H$28)*基础状态预期!$J129)</f>
        <v>0</v>
      </c>
      <c r="AD117" s="67">
        <f>IF(基础状态预期!$H129="",0,IF(基础状态预期!$AB129&lt;=1,0,(基础状态预期!$AB129-1)*I$26)*基础状态预期!$H129)+
IF(基础状态预期!$I129="",0,IF(基础状态预期!$AC129&lt;=1,0,(基础状态预期!$AC129-1)*I$27)*基础状态预期!$I129)+
IF(基础状态预期!$J129="",0,IF(基础状态预期!$AD129&lt;=1,0,(基础状态预期!$AD129-1)*I$28)*基础状态预期!$J129)</f>
        <v>0</v>
      </c>
      <c r="AE117" s="80" t="e">
        <f>IF(各r阵容卡情况!$H145=0,0,IF(各r阵容卡情况!$AB145&lt;=1,各r阵容卡情况!$AB145*D$18,1*D$18)*各r阵容卡情况!$H145)+
IF(各r阵容卡情况!$I145=0,0,IF(各r阵容卡情况!$AC145&lt;=1,各r阵容卡情况!$AC145*D$19,1*D$19)*各r阵容卡情况!$I145)+
IF(各r阵容卡情况!$J145=0,0,IF(各r阵容卡情况!$AD145&lt;=1,各r阵容卡情况!$AD145*D$20,1*D$20)*各r阵容卡情况!$J145)</f>
        <v>#VALUE!</v>
      </c>
      <c r="AF117" s="80" t="e">
        <f>IF(各r阵容卡情况!$H145=0,0,IF(各r阵容卡情况!$AB145&lt;=1,各r阵容卡情况!$AB145*E$18,1*E$18)*各r阵容卡情况!$H145)+
IF(各r阵容卡情况!$I145=0,0,IF(各r阵容卡情况!$AC145&lt;=1,各r阵容卡情况!$AC145*E$19,1*E$19)*各r阵容卡情况!$I145)+
IF(各r阵容卡情况!$J145=0,0,IF(各r阵容卡情况!$AD145&lt;=1,各r阵容卡情况!$AD145*E$20,1*E$20)*各r阵容卡情况!$J145)</f>
        <v>#VALUE!</v>
      </c>
      <c r="AG117" s="80" t="e">
        <f>IF(各r阵容卡情况!$H145=0,0,IF(各r阵容卡情况!$AB145&lt;=1,各r阵容卡情况!$AB145*F$18,1*F$18)*各r阵容卡情况!$H145)+
IF(各r阵容卡情况!$I145=0,0,IF(各r阵容卡情况!$AC145&lt;=1,各r阵容卡情况!$AC145*F$19,1*F$19)*各r阵容卡情况!$I145)+
IF(各r阵容卡情况!$J145=0,0,IF(各r阵容卡情况!$AD145&lt;=1,各r阵容卡情况!$AD145*F$20,1*F$20)*各r阵容卡情况!$J145)</f>
        <v>#VALUE!</v>
      </c>
      <c r="AH117" s="67" t="e">
        <f>IF(各r阵容卡情况!$H145=0,0,IF(各r阵容卡情况!$AB145&lt;=1,0,(各r阵容卡情况!$AB145-1)*G$26)*各r阵容卡情况!$H145)+
IF(各r阵容卡情况!$I145=0,0,IF(各r阵容卡情况!$AC145&lt;=1,0,(各r阵容卡情况!$AC145-1)*G$27)*各r阵容卡情况!$I145)+
IF(各r阵容卡情况!$J145=0,0,IF(各r阵容卡情况!$AD145&lt;=1,0,(各r阵容卡情况!$AD145-1)*G$28)*各r阵容卡情况!$J145)</f>
        <v>#VALUE!</v>
      </c>
      <c r="AI117" s="67" t="e">
        <f>IF(各r阵容卡情况!$H145=0,0,IF(各r阵容卡情况!$AB145&lt;=1,0,(各r阵容卡情况!$AB145-1)*H$26)*各r阵容卡情况!$H145)+
IF(各r阵容卡情况!$I145=0,0,IF(各r阵容卡情况!$AC145&lt;=1,0,(各r阵容卡情况!$AC145-1)*H$27)*各r阵容卡情况!$I145)+
IF(各r阵容卡情况!$J145=0,0,IF(各r阵容卡情况!$AD145&lt;=1,0,(各r阵容卡情况!$AD145-1)*H$28)*各r阵容卡情况!$J145)</f>
        <v>#VALUE!</v>
      </c>
      <c r="AJ117" s="67" t="e">
        <f>IF(各r阵容卡情况!$H145=0,0,IF(各r阵容卡情况!$AB145&lt;=1,0,(各r阵容卡情况!$AB145-1)*I$26)*各r阵容卡情况!$H145)+
IF(各r阵容卡情况!$I145=0,0,IF(各r阵容卡情况!$AC145&lt;=1,0,(各r阵容卡情况!$AC145-1)*I$27)*各r阵容卡情况!$I145)+
IF(各r阵容卡情况!$J145=0,0,IF(各r阵容卡情况!$AD145&lt;=1,0,(各r阵容卡情况!$AD145-1)*I$28)*各r阵容卡情况!$J145)</f>
        <v>#VALUE!</v>
      </c>
      <c r="AL117" s="80">
        <f t="shared" si="98"/>
        <v>120</v>
      </c>
      <c r="AM117" s="80">
        <f t="shared" si="99"/>
        <v>48</v>
      </c>
      <c r="AN117" s="80">
        <f t="shared" si="100"/>
        <v>0</v>
      </c>
      <c r="AO117" s="80">
        <f t="shared" si="101"/>
        <v>0</v>
      </c>
      <c r="AP117" s="80">
        <f t="shared" si="102"/>
        <v>240</v>
      </c>
      <c r="AQ117" s="80">
        <f t="shared" si="103"/>
        <v>0</v>
      </c>
      <c r="AR117" s="80">
        <f t="shared" si="104"/>
        <v>0</v>
      </c>
      <c r="AS117" s="80">
        <f t="shared" si="105"/>
        <v>51.381389642109326</v>
      </c>
      <c r="AT117" s="80">
        <f t="shared" si="106"/>
        <v>0</v>
      </c>
      <c r="AU117" s="80">
        <f t="shared" si="107"/>
        <v>0</v>
      </c>
      <c r="AV117" s="80">
        <f t="shared" si="108"/>
        <v>177.41338325204728</v>
      </c>
      <c r="AW117" s="80">
        <f t="shared" si="109"/>
        <v>0</v>
      </c>
      <c r="AX117" s="80">
        <f t="shared" si="110"/>
        <v>0</v>
      </c>
      <c r="AY117" s="61" t="e">
        <f>SUMPRODUCT(AM117:AR117/'[1]功能-行军令'!$GI$26:$GN$26+AS117:AX117/'[1]功能-行军令'!$GI$26:$GN$26)/0.18</f>
        <v>#DIV/0!</v>
      </c>
      <c r="BO117" s="80">
        <f t="shared" si="96"/>
        <v>107.81562240612369</v>
      </c>
      <c r="BP117" s="80">
        <f t="shared" si="97"/>
        <v>12300000</v>
      </c>
      <c r="BQ117" s="80">
        <f>(BP117-BP116)*INDEX('[1]功能-付费相关'!$AS$6:$AS$165,$BO117,1)+BQ116</f>
        <v>16400.362618327152</v>
      </c>
      <c r="BR117" s="80"/>
      <c r="BS117" s="80"/>
    </row>
    <row r="118" spans="12:71" x14ac:dyDescent="0.15">
      <c r="L118" s="61">
        <v>27</v>
      </c>
      <c r="M118" s="80">
        <f>基础状态预期!D130</f>
        <v>107.81562240612369</v>
      </c>
      <c r="N118" s="80">
        <f>IF(基础状态预期!F130="",0,IF(基础状态预期!Z130&lt;=1,基础状态预期!Z130*D$4,1*D$4+(基础状态预期!Z130-1)*武将觉醒!D$5))</f>
        <v>0</v>
      </c>
      <c r="O118" s="80">
        <f>IF(基础状态预期!G130="",0,IF(基础状态预期!AA130&lt;=1,基础状态预期!AA130*E$4,1*E$4+(基础状态预期!AA130-1)*武将觉醒!E$5))</f>
        <v>0</v>
      </c>
      <c r="P118" s="80">
        <f>IF(基础状态预期!H130="",0,IF(基础状态预期!AB130&lt;=1,基础状态预期!AB130*F$4,1*F$4+(基础状态预期!AB130-1)*武将觉醒!F$5))</f>
        <v>0</v>
      </c>
      <c r="Q118" s="80">
        <f>IF(基础状态预期!I130="",0,IF(基础状态预期!AC130&lt;=1,基础状态预期!AC130*G$4,1*G$4+(基础状态预期!AC130-1)*武将觉醒!G$5))</f>
        <v>0</v>
      </c>
      <c r="R118" s="80">
        <f>IF(基础状态预期!J130="",0,IF(基础状态预期!AD130&lt;=1,基础状态预期!AD130*H$4,1*H$4+(基础状态预期!AD130-1)*武将觉醒!H$5))</f>
        <v>2050000</v>
      </c>
      <c r="S118" s="80">
        <f>MAX(SUMPRODUCT(N118:R118,基础状态预期!F130:J130),S117)</f>
        <v>12300000</v>
      </c>
      <c r="T118" s="80">
        <f>IF(基础状态预期!Z130="",0,IFERROR(基础状态预期!F130*求节点($C$62:$C$63,D$62:D$63,基础状态预期!Z130),0)+IFERROR(基础状态预期!$J130*求节点($C$71:$C$72,D$71:D$72,基础状态预期!$AD130),0))</f>
        <v>0</v>
      </c>
      <c r="U118" s="80">
        <f>IF(基础状态预期!AA130="",0,IFERROR(基础状态预期!G130*求节点($C$62:$C$63,E$62:E$63,基础状态预期!AA130),0)+IFERROR(基础状态预期!$J130*求节点($C$71:$C$72,E$71:E$72,基础状态预期!$AD130),0))</f>
        <v>0</v>
      </c>
      <c r="V118" s="80">
        <f>IF(基础状态预期!AB130="",0,IFERROR(基础状态预期!H130*求节点($C$62:$C$63,F$62:F$63,基础状态预期!AB130),0)+IFERROR(基础状态预期!$J130*求节点($C$71:$C$72,F$71:F$72,基础状态预期!$AD130),0))</f>
        <v>0</v>
      </c>
      <c r="W118" s="80">
        <f>IF(基础状态预期!AC130="",0,IFERROR(基础状态预期!I130*求节点($C$62:$C$63,G$62:G$63,基础状态预期!AC130),0)+IFERROR(基础状态预期!$J130*求节点($C$71:$C$72,G$71:G$72,基础状态预期!$AD130),0))</f>
        <v>0</v>
      </c>
      <c r="X118" s="80">
        <f>IF(基础状态预期!AD130="",0,IFERROR(基础状态预期!J130*求节点($C$62:$C$63,H$62:H$63,基础状态预期!AD130),0)+IFERROR(基础状态预期!$J130*求节点($C$71:$C$72,H$71:H$72,基础状态预期!$AD130),0))</f>
        <v>0</v>
      </c>
      <c r="Y118" s="80">
        <f>IF(基础状态预期!$H130="",0,IF(基础状态预期!$AB130&lt;=1,基础状态预期!$AB130*D$18,D$18)*基础状态预期!$H130)+
IF(基础状态预期!$I130="",0,IF(基础状态预期!$AC130&lt;=1,基础状态预期!$AC130*D$19,D$19)*基础状态预期!$I130)+
IF(基础状态预期!$J130="",0,IF(基础状态预期!$AD130&lt;=1,基础状态预期!$AD130*D$20,D$20)*基础状态预期!$J130)</f>
        <v>48</v>
      </c>
      <c r="Z118" s="80">
        <f>IF(基础状态预期!$H130="",0,IF(基础状态预期!$AB130&lt;=1,基础状态预期!$AB130*E$18,E$18)*基础状态预期!$H130)+
IF(基础状态预期!$I130="",0,IF(基础状态预期!$AC130&lt;=1,基础状态预期!$AC130*E$19,E$19)*基础状态预期!$I130)+
IF(基础状态预期!$J130="",0,IF(基础状态预期!$AD130&lt;=1,基础状态预期!$AD130*E$20,E$20)*基础状态预期!$J130)</f>
        <v>0</v>
      </c>
      <c r="AA118" s="80">
        <f>IF(基础状态预期!$H130="",0,IF(基础状态预期!$AB130&lt;=1,基础状态预期!$AB130*F$18,F$18)*基础状态预期!$H130)+
IF(基础状态预期!$I130="",0,IF(基础状态预期!$AC130&lt;=1,基础状态预期!$AC130*F$19,F$19)*基础状态预期!$I130)+
IF(基础状态预期!$J130="",0,IF(基础状态预期!$AD130&lt;=1,基础状态预期!$AD130*F$20,F$20)*基础状态预期!$J130)</f>
        <v>0</v>
      </c>
      <c r="AB118" s="67">
        <f>IF(基础状态预期!$H130="",0,IF(基础状态预期!$AB130&lt;=1,0,(基础状态预期!$AB130-1)*G$26)*基础状态预期!$H130)+
IF(基础状态预期!$I130="",0,IF(基础状态预期!$AC130&lt;=1,0,(基础状态预期!$AC130-1)*G$27)*基础状态预期!$I130)+
IF(基础状态预期!$J130="",0,IF(基础状态预期!$AD130&lt;=1,0,(基础状态预期!$AD130-1)*G$28)*基础状态预期!$J130)</f>
        <v>240</v>
      </c>
      <c r="AC118" s="67">
        <f>IF(基础状态预期!$H130="",0,IF(基础状态预期!$AB130&lt;=1,0,(基础状态预期!$AB130-1)*H$26)*基础状态预期!$H130)+
IF(基础状态预期!$I130="",0,IF(基础状态预期!$AC130&lt;=1,0,(基础状态预期!$AC130-1)*H$27)*基础状态预期!$I130)+
IF(基础状态预期!$J130="",0,IF(基础状态预期!$AD130&lt;=1,0,(基础状态预期!$AD130-1)*H$28)*基础状态预期!$J130)</f>
        <v>0</v>
      </c>
      <c r="AD118" s="67">
        <f>IF(基础状态预期!$H130="",0,IF(基础状态预期!$AB130&lt;=1,0,(基础状态预期!$AB130-1)*I$26)*基础状态预期!$H130)+
IF(基础状态预期!$I130="",0,IF(基础状态预期!$AC130&lt;=1,0,(基础状态预期!$AC130-1)*I$27)*基础状态预期!$I130)+
IF(基础状态预期!$J130="",0,IF(基础状态预期!$AD130&lt;=1,0,(基础状态预期!$AD130-1)*I$28)*基础状态预期!$J130)</f>
        <v>0</v>
      </c>
      <c r="AE118" s="80">
        <f>IF(各r阵容卡情况!$H146=0,0,IF(各r阵容卡情况!$AB146&lt;=1,各r阵容卡情况!$AB146*D$18,1*D$18)*各r阵容卡情况!$H146)+
IF(各r阵容卡情况!$I146=0,0,IF(各r阵容卡情况!$AC146&lt;=1,各r阵容卡情况!$AC146*D$19,1*D$19)*各r阵容卡情况!$I146)+
IF(各r阵容卡情况!$J146=0,0,IF(各r阵容卡情况!$AD146&lt;=1,各r阵容卡情况!$AD146*D$20,1*D$20)*各r阵容卡情况!$J146)</f>
        <v>3.1588974052084496E-3</v>
      </c>
      <c r="AF118" s="80">
        <f>IF(各r阵容卡情况!$H146=0,0,IF(各r阵容卡情况!$AB146&lt;=1,各r阵容卡情况!$AB146*E$18,1*E$18)*各r阵容卡情况!$H146)+
IF(各r阵容卡情况!$I146=0,0,IF(各r阵容卡情况!$AC146&lt;=1,各r阵容卡情况!$AC146*E$19,1*E$19)*各r阵容卡情况!$I146)+
IF(各r阵容卡情况!$J146=0,0,IF(各r阵容卡情况!$AD146&lt;=1,各r阵容卡情况!$AD146*E$20,1*E$20)*各r阵容卡情况!$J146)</f>
        <v>0</v>
      </c>
      <c r="AG118" s="80">
        <f>IF(各r阵容卡情况!$H146=0,0,IF(各r阵容卡情况!$AB146&lt;=1,各r阵容卡情况!$AB146*F$18,1*F$18)*各r阵容卡情况!$H146)+
IF(各r阵容卡情况!$I146=0,0,IF(各r阵容卡情况!$AC146&lt;=1,各r阵容卡情况!$AC146*F$19,1*F$19)*各r阵容卡情况!$I146)+
IF(各r阵容卡情况!$J146=0,0,IF(各r阵容卡情况!$AD146&lt;=1,各r阵容卡情况!$AD146*F$20,1*F$20)*各r阵容卡情况!$J146)</f>
        <v>0</v>
      </c>
      <c r="AH118" s="67">
        <f>IF(各r阵容卡情况!$H146=0,0,IF(各r阵容卡情况!$AB146&lt;=1,0,(各r阵容卡情况!$AB146-1)*G$26)*各r阵容卡情况!$H146)+
IF(各r阵容卡情况!$I146=0,0,IF(各r阵容卡情况!$AC146&lt;=1,0,(各r阵容卡情况!$AC146-1)*G$27)*各r阵容卡情况!$I146)+
IF(各r阵容卡情况!$J146=0,0,IF(各r阵容卡情况!$AD146&lt;=1,0,(各r阵容卡情况!$AD146-1)*G$28)*各r阵容卡情况!$J146)</f>
        <v>0</v>
      </c>
      <c r="AI118" s="67">
        <f>IF(各r阵容卡情况!$H146=0,0,IF(各r阵容卡情况!$AB146&lt;=1,0,(各r阵容卡情况!$AB146-1)*H$26)*各r阵容卡情况!$H146)+
IF(各r阵容卡情况!$I146=0,0,IF(各r阵容卡情况!$AC146&lt;=1,0,(各r阵容卡情况!$AC146-1)*H$27)*各r阵容卡情况!$I146)+
IF(各r阵容卡情况!$J146=0,0,IF(各r阵容卡情况!$AD146&lt;=1,0,(各r阵容卡情况!$AD146-1)*H$28)*各r阵容卡情况!$J146)</f>
        <v>0</v>
      </c>
      <c r="AJ118" s="67">
        <f>IF(各r阵容卡情况!$H146=0,0,IF(各r阵容卡情况!$AB146&lt;=1,0,(各r阵容卡情况!$AB146-1)*I$26)*各r阵容卡情况!$H146)+
IF(各r阵容卡情况!$I146=0,0,IF(各r阵容卡情况!$AC146&lt;=1,0,(各r阵容卡情况!$AC146-1)*I$27)*各r阵容卡情况!$I146)+
IF(各r阵容卡情况!$J146=0,0,IF(各r阵容卡情况!$AD146&lt;=1,0,(各r阵容卡情况!$AD146-1)*I$28)*各r阵容卡情况!$J146)</f>
        <v>0</v>
      </c>
      <c r="AL118" s="80">
        <f t="shared" si="98"/>
        <v>125</v>
      </c>
      <c r="AM118" s="80">
        <f t="shared" si="99"/>
        <v>48</v>
      </c>
      <c r="AN118" s="80">
        <f t="shared" si="100"/>
        <v>0</v>
      </c>
      <c r="AO118" s="80">
        <f t="shared" si="101"/>
        <v>0</v>
      </c>
      <c r="AP118" s="80">
        <f t="shared" si="102"/>
        <v>240</v>
      </c>
      <c r="AQ118" s="80">
        <f t="shared" si="103"/>
        <v>0</v>
      </c>
      <c r="AR118" s="80">
        <f t="shared" si="104"/>
        <v>0</v>
      </c>
      <c r="AS118" s="80">
        <f t="shared" si="105"/>
        <v>84.78305655929671</v>
      </c>
      <c r="AT118" s="80">
        <f t="shared" si="106"/>
        <v>0</v>
      </c>
      <c r="AU118" s="80">
        <f t="shared" si="107"/>
        <v>0</v>
      </c>
      <c r="AV118" s="80">
        <f t="shared" si="108"/>
        <v>423.91528279648355</v>
      </c>
      <c r="AW118" s="80">
        <f t="shared" si="109"/>
        <v>0</v>
      </c>
      <c r="AX118" s="80">
        <f t="shared" si="110"/>
        <v>0</v>
      </c>
      <c r="AY118" s="61" t="e">
        <f>SUMPRODUCT(AM118:AR118/'[1]功能-行军令'!$GI$26:$GN$26+AS118:AX118/'[1]功能-行军令'!$GI$26:$GN$26)/0.18</f>
        <v>#DIV/0!</v>
      </c>
      <c r="BO118" s="80">
        <f t="shared" si="96"/>
        <v>111.36292001894914</v>
      </c>
      <c r="BP118" s="80">
        <f t="shared" si="97"/>
        <v>12300000</v>
      </c>
      <c r="BQ118" s="80">
        <f>(BP118-BP117)*INDEX('[1]功能-付费相关'!$AS$6:$AS$165,$BO118,1)+BQ117</f>
        <v>16400.362618327152</v>
      </c>
      <c r="BR118" s="80"/>
      <c r="BS118" s="80"/>
    </row>
    <row r="119" spans="12:71" x14ac:dyDescent="0.15">
      <c r="L119" s="61">
        <v>28</v>
      </c>
      <c r="M119" s="80">
        <f>基础状态预期!D131</f>
        <v>111.36292001894914</v>
      </c>
      <c r="N119" s="80">
        <f>IF(基础状态预期!F131="",0,IF(基础状态预期!Z131&lt;=1,基础状态预期!Z131*D$4,1*D$4+(基础状态预期!Z131-1)*武将觉醒!D$5))</f>
        <v>0</v>
      </c>
      <c r="O119" s="80">
        <f>IF(基础状态预期!G131="",0,IF(基础状态预期!AA131&lt;=1,基础状态预期!AA131*E$4,1*E$4+(基础状态预期!AA131-1)*武将觉醒!E$5))</f>
        <v>0</v>
      </c>
      <c r="P119" s="80">
        <f>IF(基础状态预期!H131="",0,IF(基础状态预期!AB131&lt;=1,基础状态预期!AB131*F$4,1*F$4+(基础状态预期!AB131-1)*武将觉醒!F$5))</f>
        <v>0</v>
      </c>
      <c r="Q119" s="80">
        <f>IF(基础状态预期!I131="",0,IF(基础状态预期!AC131&lt;=1,基础状态预期!AC131*G$4,1*G$4+(基础状态预期!AC131-1)*武将觉醒!G$5))</f>
        <v>0</v>
      </c>
      <c r="R119" s="80">
        <f>IF(基础状态预期!J131="",0,IF(基础状态预期!AD131&lt;=1,基础状态预期!AD131*H$4,1*H$4+(基础状态预期!AD131-1)*武将觉醒!H$5))</f>
        <v>2050000</v>
      </c>
      <c r="S119" s="80">
        <f>MAX(SUMPRODUCT(N119:R119,基础状态预期!F131:J131),S118)</f>
        <v>12300000</v>
      </c>
      <c r="T119" s="80">
        <f>IF(基础状态预期!Z131="",0,IFERROR(基础状态预期!F131*求节点($C$62:$C$63,D$62:D$63,基础状态预期!Z131),0)+IFERROR(基础状态预期!$J131*求节点($C$71:$C$72,D$71:D$72,基础状态预期!$AD131),0))</f>
        <v>0</v>
      </c>
      <c r="U119" s="80">
        <f>IF(基础状态预期!AA131="",0,IFERROR(基础状态预期!G131*求节点($C$62:$C$63,E$62:E$63,基础状态预期!AA131),0)+IFERROR(基础状态预期!$J131*求节点($C$71:$C$72,E$71:E$72,基础状态预期!$AD131),0))</f>
        <v>0</v>
      </c>
      <c r="V119" s="80">
        <f>IF(基础状态预期!AB131="",0,IFERROR(基础状态预期!H131*求节点($C$62:$C$63,F$62:F$63,基础状态预期!AB131),0)+IFERROR(基础状态预期!$J131*求节点($C$71:$C$72,F$71:F$72,基础状态预期!$AD131),0))</f>
        <v>0</v>
      </c>
      <c r="W119" s="80">
        <f>IF(基础状态预期!AC131="",0,IFERROR(基础状态预期!I131*求节点($C$62:$C$63,G$62:G$63,基础状态预期!AC131),0)+IFERROR(基础状态预期!$J131*求节点($C$71:$C$72,G$71:G$72,基础状态预期!$AD131),0))</f>
        <v>0</v>
      </c>
      <c r="X119" s="80">
        <f>IF(基础状态预期!AD131="",0,IFERROR(基础状态预期!J131*求节点($C$62:$C$63,H$62:H$63,基础状态预期!AD131),0)+IFERROR(基础状态预期!$J131*求节点($C$71:$C$72,H$71:H$72,基础状态预期!$AD131),0))</f>
        <v>0</v>
      </c>
      <c r="Y119" s="80">
        <f>IF(基础状态预期!$H131="",0,IF(基础状态预期!$AB131&lt;=1,基础状态预期!$AB131*D$18,D$18)*基础状态预期!$H131)+
IF(基础状态预期!$I131="",0,IF(基础状态预期!$AC131&lt;=1,基础状态预期!$AC131*D$19,D$19)*基础状态预期!$I131)+
IF(基础状态预期!$J131="",0,IF(基础状态预期!$AD131&lt;=1,基础状态预期!$AD131*D$20,D$20)*基础状态预期!$J131)</f>
        <v>48</v>
      </c>
      <c r="Z119" s="80">
        <f>IF(基础状态预期!$H131="",0,IF(基础状态预期!$AB131&lt;=1,基础状态预期!$AB131*E$18,E$18)*基础状态预期!$H131)+
IF(基础状态预期!$I131="",0,IF(基础状态预期!$AC131&lt;=1,基础状态预期!$AC131*E$19,E$19)*基础状态预期!$I131)+
IF(基础状态预期!$J131="",0,IF(基础状态预期!$AD131&lt;=1,基础状态预期!$AD131*E$20,E$20)*基础状态预期!$J131)</f>
        <v>0</v>
      </c>
      <c r="AA119" s="80">
        <f>IF(基础状态预期!$H131="",0,IF(基础状态预期!$AB131&lt;=1,基础状态预期!$AB131*F$18,F$18)*基础状态预期!$H131)+
IF(基础状态预期!$I131="",0,IF(基础状态预期!$AC131&lt;=1,基础状态预期!$AC131*F$19,F$19)*基础状态预期!$I131)+
IF(基础状态预期!$J131="",0,IF(基础状态预期!$AD131&lt;=1,基础状态预期!$AD131*F$20,F$20)*基础状态预期!$J131)</f>
        <v>0</v>
      </c>
      <c r="AB119" s="67">
        <f>IF(基础状态预期!$H131="",0,IF(基础状态预期!$AB131&lt;=1,0,(基础状态预期!$AB131-1)*G$26)*基础状态预期!$H131)+
IF(基础状态预期!$I131="",0,IF(基础状态预期!$AC131&lt;=1,0,(基础状态预期!$AC131-1)*G$27)*基础状态预期!$I131)+
IF(基础状态预期!$J131="",0,IF(基础状态预期!$AD131&lt;=1,0,(基础状态预期!$AD131-1)*G$28)*基础状态预期!$J131)</f>
        <v>240</v>
      </c>
      <c r="AC119" s="67">
        <f>IF(基础状态预期!$H131="",0,IF(基础状态预期!$AB131&lt;=1,0,(基础状态预期!$AB131-1)*H$26)*基础状态预期!$H131)+
IF(基础状态预期!$I131="",0,IF(基础状态预期!$AC131&lt;=1,0,(基础状态预期!$AC131-1)*H$27)*基础状态预期!$I131)+
IF(基础状态预期!$J131="",0,IF(基础状态预期!$AD131&lt;=1,0,(基础状态预期!$AD131-1)*H$28)*基础状态预期!$J131)</f>
        <v>0</v>
      </c>
      <c r="AD119" s="67">
        <f>IF(基础状态预期!$H131="",0,IF(基础状态预期!$AB131&lt;=1,0,(基础状态预期!$AB131-1)*I$26)*基础状态预期!$H131)+
IF(基础状态预期!$I131="",0,IF(基础状态预期!$AC131&lt;=1,0,(基础状态预期!$AC131-1)*I$27)*基础状态预期!$I131)+
IF(基础状态预期!$J131="",0,IF(基础状态预期!$AD131&lt;=1,0,(基础状态预期!$AD131-1)*I$28)*基础状态预期!$J131)</f>
        <v>0</v>
      </c>
      <c r="AE119" s="80">
        <f>IF(各r阵容卡情况!$H147=0,0,IF(各r阵容卡情况!$AB147&lt;=1,各r阵容卡情况!$AB147*D$18,1*D$18)*各r阵容卡情况!$H147)+
IF(各r阵容卡情况!$I147=0,0,IF(各r阵容卡情况!$AC147&lt;=1,各r阵容卡情况!$AC147*D$19,1*D$19)*各r阵容卡情况!$I147)+
IF(各r阵容卡情况!$J147=0,0,IF(各r阵容卡情况!$AD147&lt;=1,各r阵容卡情况!$AD147*D$20,1*D$20)*各r阵容卡情况!$J147)</f>
        <v>16</v>
      </c>
      <c r="AF119" s="80">
        <f>IF(各r阵容卡情况!$H147=0,0,IF(各r阵容卡情况!$AB147&lt;=1,各r阵容卡情况!$AB147*E$18,1*E$18)*各r阵容卡情况!$H147)+
IF(各r阵容卡情况!$I147=0,0,IF(各r阵容卡情况!$AC147&lt;=1,各r阵容卡情况!$AC147*E$19,1*E$19)*各r阵容卡情况!$I147)+
IF(各r阵容卡情况!$J147=0,0,IF(各r阵容卡情况!$AD147&lt;=1,各r阵容卡情况!$AD147*E$20,1*E$20)*各r阵容卡情况!$J147)</f>
        <v>0</v>
      </c>
      <c r="AG119" s="80">
        <f>IF(各r阵容卡情况!$H147=0,0,IF(各r阵容卡情况!$AB147&lt;=1,各r阵容卡情况!$AB147*F$18,1*F$18)*各r阵容卡情况!$H147)+
IF(各r阵容卡情况!$I147=0,0,IF(各r阵容卡情况!$AC147&lt;=1,各r阵容卡情况!$AC147*F$19,1*F$19)*各r阵容卡情况!$I147)+
IF(各r阵容卡情况!$J147=0,0,IF(各r阵容卡情况!$AD147&lt;=1,各r阵容卡情况!$AD147*F$20,1*F$20)*各r阵容卡情况!$J147)</f>
        <v>0</v>
      </c>
      <c r="AH119" s="67">
        <f>IF(各r阵容卡情况!$H147=0,0,IF(各r阵容卡情况!$AB147&lt;=1,0,(各r阵容卡情况!$AB147-1)*G$26)*各r阵容卡情况!$H147)+
IF(各r阵容卡情况!$I147=0,0,IF(各r阵容卡情况!$AC147&lt;=1,0,(各r阵容卡情况!$AC147-1)*G$27)*各r阵容卡情况!$I147)+
IF(各r阵容卡情况!$J147=0,0,IF(各r阵容卡情况!$AD147&lt;=1,0,(各r阵容卡情况!$AD147-1)*G$28)*各r阵容卡情况!$J147)</f>
        <v>0</v>
      </c>
      <c r="AI119" s="67">
        <f>IF(各r阵容卡情况!$H147=0,0,IF(各r阵容卡情况!$AB147&lt;=1,0,(各r阵容卡情况!$AB147-1)*H$26)*各r阵容卡情况!$H147)+
IF(各r阵容卡情况!$I147=0,0,IF(各r阵容卡情况!$AC147&lt;=1,0,(各r阵容卡情况!$AC147-1)*H$27)*各r阵容卡情况!$I147)+
IF(各r阵容卡情况!$J147=0,0,IF(各r阵容卡情况!$AD147&lt;=1,0,(各r阵容卡情况!$AD147-1)*H$28)*各r阵容卡情况!$J147)</f>
        <v>0</v>
      </c>
      <c r="AJ119" s="67">
        <f>IF(各r阵容卡情况!$H147=0,0,IF(各r阵容卡情况!$AB147&lt;=1,0,(各r阵容卡情况!$AB147-1)*I$26)*各r阵容卡情况!$H147)+
IF(各r阵容卡情况!$I147=0,0,IF(各r阵容卡情况!$AC147&lt;=1,0,(各r阵容卡情况!$AC147-1)*I$27)*各r阵容卡情况!$I147)+
IF(各r阵容卡情况!$J147=0,0,IF(各r阵容卡情况!$AD147&lt;=1,0,(各r阵容卡情况!$AD147-1)*I$28)*各r阵容卡情况!$J147)</f>
        <v>0</v>
      </c>
      <c r="AL119" s="80">
        <f t="shared" si="98"/>
        <v>130</v>
      </c>
      <c r="AM119" s="80">
        <f t="shared" si="99"/>
        <v>48</v>
      </c>
      <c r="AN119" s="80">
        <f t="shared" si="100"/>
        <v>0</v>
      </c>
      <c r="AO119" s="80">
        <f t="shared" si="101"/>
        <v>0</v>
      </c>
      <c r="AP119" s="80">
        <f t="shared" si="102"/>
        <v>240</v>
      </c>
      <c r="AQ119" s="80">
        <f t="shared" si="103"/>
        <v>0</v>
      </c>
      <c r="AR119" s="80">
        <f t="shared" si="104"/>
        <v>0</v>
      </c>
      <c r="AS119" s="80">
        <f t="shared" si="105"/>
        <v>106.64062535768385</v>
      </c>
      <c r="AT119" s="80">
        <f t="shared" si="106"/>
        <v>0</v>
      </c>
      <c r="AU119" s="80">
        <f t="shared" si="107"/>
        <v>0</v>
      </c>
      <c r="AV119" s="80">
        <f t="shared" si="108"/>
        <v>533.20312678841924</v>
      </c>
      <c r="AW119" s="80">
        <f t="shared" si="109"/>
        <v>0</v>
      </c>
      <c r="AX119" s="80">
        <f t="shared" si="110"/>
        <v>0</v>
      </c>
      <c r="AY119" s="61" t="e">
        <f>SUMPRODUCT(AM119:AR119/'[1]功能-行军令'!$GI$26:$GN$26+AS119:AX119/'[1]功能-行军令'!$GI$26:$GN$26)/0.18</f>
        <v>#DIV/0!</v>
      </c>
      <c r="BO119" s="80">
        <f t="shared" si="96"/>
        <v>114.91934497223426</v>
      </c>
      <c r="BP119" s="80">
        <f t="shared" si="97"/>
        <v>12300000</v>
      </c>
      <c r="BQ119" s="80">
        <f>(BP119-BP118)*INDEX('[1]功能-付费相关'!$AS$6:$AS$165,$BO119,1)+BQ118</f>
        <v>16400.362618327152</v>
      </c>
      <c r="BR119" s="80"/>
      <c r="BS119" s="80"/>
    </row>
    <row r="120" spans="12:71" x14ac:dyDescent="0.15">
      <c r="L120" s="61">
        <v>29</v>
      </c>
      <c r="M120" s="80">
        <f>基础状态预期!D132</f>
        <v>114.91934497223426</v>
      </c>
      <c r="N120" s="80">
        <f>IF(基础状态预期!F132="",0,IF(基础状态预期!Z132&lt;=1,基础状态预期!Z132*D$4,1*D$4+(基础状态预期!Z132-1)*武将觉醒!D$5))</f>
        <v>0</v>
      </c>
      <c r="O120" s="80">
        <f>IF(基础状态预期!G132="",0,IF(基础状态预期!AA132&lt;=1,基础状态预期!AA132*E$4,1*E$4+(基础状态预期!AA132-1)*武将觉醒!E$5))</f>
        <v>0</v>
      </c>
      <c r="P120" s="80">
        <f>IF(基础状态预期!H132="",0,IF(基础状态预期!AB132&lt;=1,基础状态预期!AB132*F$4,1*F$4+(基础状态预期!AB132-1)*武将觉醒!F$5))</f>
        <v>0</v>
      </c>
      <c r="Q120" s="80">
        <f>IF(基础状态预期!I132="",0,IF(基础状态预期!AC132&lt;=1,基础状态预期!AC132*G$4,1*G$4+(基础状态预期!AC132-1)*武将觉醒!G$5))</f>
        <v>0</v>
      </c>
      <c r="R120" s="80">
        <f>IF(基础状态预期!J132="",0,IF(基础状态预期!AD132&lt;=1,基础状态预期!AD132*H$4,1*H$4+(基础状态预期!AD132-1)*武将觉醒!H$5))</f>
        <v>2050000</v>
      </c>
      <c r="S120" s="80">
        <f>MAX(SUMPRODUCT(N120:R120,基础状态预期!F132:J132),S119)</f>
        <v>12300000</v>
      </c>
      <c r="T120" s="80">
        <f>IF(基础状态预期!Z132="",0,IFERROR(基础状态预期!F132*求节点($C$62:$C$63,D$62:D$63,基础状态预期!Z132),0)+IFERROR(基础状态预期!$J132*求节点($C$71:$C$72,D$71:D$72,基础状态预期!$AD132),0))</f>
        <v>0</v>
      </c>
      <c r="U120" s="80">
        <f>IF(基础状态预期!AA132="",0,IFERROR(基础状态预期!G132*求节点($C$62:$C$63,E$62:E$63,基础状态预期!AA132),0)+IFERROR(基础状态预期!$J132*求节点($C$71:$C$72,E$71:E$72,基础状态预期!$AD132),0))</f>
        <v>0</v>
      </c>
      <c r="V120" s="80">
        <f>IF(基础状态预期!AB132="",0,IFERROR(基础状态预期!H132*求节点($C$62:$C$63,F$62:F$63,基础状态预期!AB132),0)+IFERROR(基础状态预期!$J132*求节点($C$71:$C$72,F$71:F$72,基础状态预期!$AD132),0))</f>
        <v>0</v>
      </c>
      <c r="W120" s="80">
        <f>IF(基础状态预期!AC132="",0,IFERROR(基础状态预期!I132*求节点($C$62:$C$63,G$62:G$63,基础状态预期!AC132),0)+IFERROR(基础状态预期!$J132*求节点($C$71:$C$72,G$71:G$72,基础状态预期!$AD132),0))</f>
        <v>0</v>
      </c>
      <c r="X120" s="80">
        <f>IF(基础状态预期!AD132="",0,IFERROR(基础状态预期!J132*求节点($C$62:$C$63,H$62:H$63,基础状态预期!AD132),0)+IFERROR(基础状态预期!$J132*求节点($C$71:$C$72,H$71:H$72,基础状态预期!$AD132),0))</f>
        <v>0</v>
      </c>
      <c r="Y120" s="80">
        <f>IF(基础状态预期!$H132="",0,IF(基础状态预期!$AB132&lt;=1,基础状态预期!$AB132*D$18,D$18)*基础状态预期!$H132)+
IF(基础状态预期!$I132="",0,IF(基础状态预期!$AC132&lt;=1,基础状态预期!$AC132*D$19,D$19)*基础状态预期!$I132)+
IF(基础状态预期!$J132="",0,IF(基础状态预期!$AD132&lt;=1,基础状态预期!$AD132*D$20,D$20)*基础状态预期!$J132)</f>
        <v>48</v>
      </c>
      <c r="Z120" s="80">
        <f>IF(基础状态预期!$H132="",0,IF(基础状态预期!$AB132&lt;=1,基础状态预期!$AB132*E$18,E$18)*基础状态预期!$H132)+
IF(基础状态预期!$I132="",0,IF(基础状态预期!$AC132&lt;=1,基础状态预期!$AC132*E$19,E$19)*基础状态预期!$I132)+
IF(基础状态预期!$J132="",0,IF(基础状态预期!$AD132&lt;=1,基础状态预期!$AD132*E$20,E$20)*基础状态预期!$J132)</f>
        <v>0</v>
      </c>
      <c r="AA120" s="80">
        <f>IF(基础状态预期!$H132="",0,IF(基础状态预期!$AB132&lt;=1,基础状态预期!$AB132*F$18,F$18)*基础状态预期!$H132)+
IF(基础状态预期!$I132="",0,IF(基础状态预期!$AC132&lt;=1,基础状态预期!$AC132*F$19,F$19)*基础状态预期!$I132)+
IF(基础状态预期!$J132="",0,IF(基础状态预期!$AD132&lt;=1,基础状态预期!$AD132*F$20,F$20)*基础状态预期!$J132)</f>
        <v>0</v>
      </c>
      <c r="AB120" s="67">
        <f>IF(基础状态预期!$H132="",0,IF(基础状态预期!$AB132&lt;=1,0,(基础状态预期!$AB132-1)*G$26)*基础状态预期!$H132)+
IF(基础状态预期!$I132="",0,IF(基础状态预期!$AC132&lt;=1,0,(基础状态预期!$AC132-1)*G$27)*基础状态预期!$I132)+
IF(基础状态预期!$J132="",0,IF(基础状态预期!$AD132&lt;=1,0,(基础状态预期!$AD132-1)*G$28)*基础状态预期!$J132)</f>
        <v>240</v>
      </c>
      <c r="AC120" s="67">
        <f>IF(基础状态预期!$H132="",0,IF(基础状态预期!$AB132&lt;=1,0,(基础状态预期!$AB132-1)*H$26)*基础状态预期!$H132)+
IF(基础状态预期!$I132="",0,IF(基础状态预期!$AC132&lt;=1,0,(基础状态预期!$AC132-1)*H$27)*基础状态预期!$I132)+
IF(基础状态预期!$J132="",0,IF(基础状态预期!$AD132&lt;=1,0,(基础状态预期!$AD132-1)*H$28)*基础状态预期!$J132)</f>
        <v>0</v>
      </c>
      <c r="AD120" s="67">
        <f>IF(基础状态预期!$H132="",0,IF(基础状态预期!$AB132&lt;=1,0,(基础状态预期!$AB132-1)*I$26)*基础状态预期!$H132)+
IF(基础状态预期!$I132="",0,IF(基础状态预期!$AC132&lt;=1,0,(基础状态预期!$AC132-1)*I$27)*基础状态预期!$I132)+
IF(基础状态预期!$J132="",0,IF(基础状态预期!$AD132&lt;=1,0,(基础状态预期!$AD132-1)*I$28)*基础状态预期!$J132)</f>
        <v>0</v>
      </c>
      <c r="AE120" s="80">
        <f>IF(各r阵容卡情况!$H148=0,0,IF(各r阵容卡情况!$AB148&lt;=1,各r阵容卡情况!$AB148*D$18,1*D$18)*各r阵容卡情况!$H148)+
IF(各r阵容卡情况!$I148=0,0,IF(各r阵容卡情况!$AC148&lt;=1,各r阵容卡情况!$AC148*D$19,1*D$19)*各r阵容卡情况!$I148)+
IF(各r阵容卡情况!$J148=0,0,IF(各r阵容卡情况!$AD148&lt;=1,各r阵容卡情况!$AD148*D$20,1*D$20)*各r阵容卡情况!$J148)</f>
        <v>24</v>
      </c>
      <c r="AF120" s="80">
        <f>IF(各r阵容卡情况!$H148=0,0,IF(各r阵容卡情况!$AB148&lt;=1,各r阵容卡情况!$AB148*E$18,1*E$18)*各r阵容卡情况!$H148)+
IF(各r阵容卡情况!$I148=0,0,IF(各r阵容卡情况!$AC148&lt;=1,各r阵容卡情况!$AC148*E$19,1*E$19)*各r阵容卡情况!$I148)+
IF(各r阵容卡情况!$J148=0,0,IF(各r阵容卡情况!$AD148&lt;=1,各r阵容卡情况!$AD148*E$20,1*E$20)*各r阵容卡情况!$J148)</f>
        <v>0</v>
      </c>
      <c r="AG120" s="80">
        <f>IF(各r阵容卡情况!$H148=0,0,IF(各r阵容卡情况!$AB148&lt;=1,各r阵容卡情况!$AB148*F$18,1*F$18)*各r阵容卡情况!$H148)+
IF(各r阵容卡情况!$I148=0,0,IF(各r阵容卡情况!$AC148&lt;=1,各r阵容卡情况!$AC148*F$19,1*F$19)*各r阵容卡情况!$I148)+
IF(各r阵容卡情况!$J148=0,0,IF(各r阵容卡情况!$AD148&lt;=1,各r阵容卡情况!$AD148*F$20,1*F$20)*各r阵容卡情况!$J148)</f>
        <v>0</v>
      </c>
      <c r="AH120" s="67">
        <f>IF(各r阵容卡情况!$H148=0,0,IF(各r阵容卡情况!$AB148&lt;=1,0,(各r阵容卡情况!$AB148-1)*G$26)*各r阵容卡情况!$H148)+
IF(各r阵容卡情况!$I148=0,0,IF(各r阵容卡情况!$AC148&lt;=1,0,(各r阵容卡情况!$AC148-1)*G$27)*各r阵容卡情况!$I148)+
IF(各r阵容卡情况!$J148=0,0,IF(各r阵容卡情况!$AD148&lt;=1,0,(各r阵容卡情况!$AD148-1)*G$28)*各r阵容卡情况!$J148)</f>
        <v>0</v>
      </c>
      <c r="AI120" s="67">
        <f>IF(各r阵容卡情况!$H148=0,0,IF(各r阵容卡情况!$AB148&lt;=1,0,(各r阵容卡情况!$AB148-1)*H$26)*各r阵容卡情况!$H148)+
IF(各r阵容卡情况!$I148=0,0,IF(各r阵容卡情况!$AC148&lt;=1,0,(各r阵容卡情况!$AC148-1)*H$27)*各r阵容卡情况!$I148)+
IF(各r阵容卡情况!$J148=0,0,IF(各r阵容卡情况!$AD148&lt;=1,0,(各r阵容卡情况!$AD148-1)*H$28)*各r阵容卡情况!$J148)</f>
        <v>0</v>
      </c>
      <c r="AJ120" s="67">
        <f>IF(各r阵容卡情况!$H148=0,0,IF(各r阵容卡情况!$AB148&lt;=1,0,(各r阵容卡情况!$AB148-1)*I$26)*各r阵容卡情况!$H148)+
IF(各r阵容卡情况!$I148=0,0,IF(各r阵容卡情况!$AC148&lt;=1,0,(各r阵容卡情况!$AC148-1)*I$27)*各r阵容卡情况!$I148)+
IF(各r阵容卡情况!$J148=0,0,IF(各r阵容卡情况!$AD148&lt;=1,0,(各r阵容卡情况!$AD148-1)*I$28)*各r阵容卡情况!$J148)</f>
        <v>0</v>
      </c>
      <c r="AL120" s="80">
        <f t="shared" si="98"/>
        <v>135</v>
      </c>
      <c r="AM120" s="80">
        <f t="shared" si="99"/>
        <v>48</v>
      </c>
      <c r="AN120" s="80">
        <f t="shared" si="100"/>
        <v>0</v>
      </c>
      <c r="AO120" s="80">
        <f t="shared" si="101"/>
        <v>0</v>
      </c>
      <c r="AP120" s="80">
        <f t="shared" si="102"/>
        <v>240</v>
      </c>
      <c r="AQ120" s="80">
        <f t="shared" si="103"/>
        <v>0</v>
      </c>
      <c r="AR120" s="80">
        <f t="shared" si="104"/>
        <v>0</v>
      </c>
      <c r="AS120" s="80">
        <f t="shared" si="105"/>
        <v>123.75860646544652</v>
      </c>
      <c r="AT120" s="80">
        <f t="shared" si="106"/>
        <v>0</v>
      </c>
      <c r="AU120" s="80">
        <f t="shared" si="107"/>
        <v>0</v>
      </c>
      <c r="AV120" s="80">
        <f t="shared" si="108"/>
        <v>618.79303232723259</v>
      </c>
      <c r="AW120" s="80">
        <f t="shared" si="109"/>
        <v>0</v>
      </c>
      <c r="AX120" s="80">
        <f t="shared" si="110"/>
        <v>0</v>
      </c>
      <c r="AY120" s="61" t="e">
        <f>SUMPRODUCT(AM120:AR120/'[1]功能-行军令'!$GI$26:$GN$26+AS120:AX120/'[1]功能-行军令'!$GI$26:$GN$26)/0.18</f>
        <v>#DIV/0!</v>
      </c>
      <c r="BO120" s="80">
        <f t="shared" si="96"/>
        <v>118.44741987029688</v>
      </c>
      <c r="BP120" s="80">
        <f t="shared" si="97"/>
        <v>12300000</v>
      </c>
      <c r="BQ120" s="80">
        <f>(BP120-BP119)*INDEX('[1]功能-付费相关'!$AS$6:$AS$165,$BO120,1)+BQ119</f>
        <v>16400.362618327152</v>
      </c>
      <c r="BR120" s="80"/>
      <c r="BS120" s="80"/>
    </row>
    <row r="121" spans="12:71" x14ac:dyDescent="0.15">
      <c r="L121" s="61">
        <v>30</v>
      </c>
      <c r="M121" s="80">
        <f>基础状态预期!D133</f>
        <v>118.44741987029688</v>
      </c>
      <c r="N121" s="80">
        <f>IF(基础状态预期!F133="",0,IF(基础状态预期!Z133&lt;=1,基础状态预期!Z133*D$4,1*D$4+(基础状态预期!Z133-1)*武将觉醒!D$5))</f>
        <v>0</v>
      </c>
      <c r="O121" s="80">
        <f>IF(基础状态预期!G133="",0,IF(基础状态预期!AA133&lt;=1,基础状态预期!AA133*E$4,1*E$4+(基础状态预期!AA133-1)*武将觉醒!E$5))</f>
        <v>0</v>
      </c>
      <c r="P121" s="80">
        <f>IF(基础状态预期!H133="",0,IF(基础状态预期!AB133&lt;=1,基础状态预期!AB133*F$4,1*F$4+(基础状态预期!AB133-1)*武将觉醒!F$5))</f>
        <v>0</v>
      </c>
      <c r="Q121" s="80">
        <f>IF(基础状态预期!I133="",0,IF(基础状态预期!AC133&lt;=1,基础状态预期!AC133*G$4,1*G$4+(基础状态预期!AC133-1)*武将觉醒!G$5))</f>
        <v>0</v>
      </c>
      <c r="R121" s="80">
        <f>IF(基础状态预期!J133="",0,IF(基础状态预期!AD133&lt;=1,基础状态预期!AD133*H$4,1*H$4+(基础状态预期!AD133-1)*武将觉醒!H$5))</f>
        <v>2050000</v>
      </c>
      <c r="S121" s="80">
        <f>MAX(SUMPRODUCT(N121:R121,基础状态预期!F133:J133),S120)</f>
        <v>12300000</v>
      </c>
      <c r="T121" s="80">
        <f>IF(基础状态预期!Z133="",0,IFERROR(基础状态预期!F133*求节点($C$62:$C$63,D$62:D$63,基础状态预期!Z133),0)+IFERROR(基础状态预期!$J133*求节点($C$71:$C$72,D$71:D$72,基础状态预期!$AD133),0))</f>
        <v>0</v>
      </c>
      <c r="U121" s="80">
        <f>IF(基础状态预期!AA133="",0,IFERROR(基础状态预期!G133*求节点($C$62:$C$63,E$62:E$63,基础状态预期!AA133),0)+IFERROR(基础状态预期!$J133*求节点($C$71:$C$72,E$71:E$72,基础状态预期!$AD133),0))</f>
        <v>0</v>
      </c>
      <c r="V121" s="80">
        <f>IF(基础状态预期!AB133="",0,IFERROR(基础状态预期!H133*求节点($C$62:$C$63,F$62:F$63,基础状态预期!AB133),0)+IFERROR(基础状态预期!$J133*求节点($C$71:$C$72,F$71:F$72,基础状态预期!$AD133),0))</f>
        <v>0</v>
      </c>
      <c r="W121" s="80">
        <f>IF(基础状态预期!AC133="",0,IFERROR(基础状态预期!I133*求节点($C$62:$C$63,G$62:G$63,基础状态预期!AC133),0)+IFERROR(基础状态预期!$J133*求节点($C$71:$C$72,G$71:G$72,基础状态预期!$AD133),0))</f>
        <v>0</v>
      </c>
      <c r="X121" s="80">
        <f>IF(基础状态预期!AD133="",0,IFERROR(基础状态预期!J133*求节点($C$62:$C$63,H$62:H$63,基础状态预期!AD133),0)+IFERROR(基础状态预期!$J133*求节点($C$71:$C$72,H$71:H$72,基础状态预期!$AD133),0))</f>
        <v>0</v>
      </c>
      <c r="Y121" s="80">
        <f>IF(基础状态预期!$H133="",0,IF(基础状态预期!$AB133&lt;=1,基础状态预期!$AB133*D$18,D$18)*基础状态预期!$H133)+
IF(基础状态预期!$I133="",0,IF(基础状态预期!$AC133&lt;=1,基础状态预期!$AC133*D$19,D$19)*基础状态预期!$I133)+
IF(基础状态预期!$J133="",0,IF(基础状态预期!$AD133&lt;=1,基础状态预期!$AD133*D$20,D$20)*基础状态预期!$J133)</f>
        <v>48</v>
      </c>
      <c r="Z121" s="80">
        <f>IF(基础状态预期!$H133="",0,IF(基础状态预期!$AB133&lt;=1,基础状态预期!$AB133*E$18,E$18)*基础状态预期!$H133)+
IF(基础状态预期!$I133="",0,IF(基础状态预期!$AC133&lt;=1,基础状态预期!$AC133*E$19,E$19)*基础状态预期!$I133)+
IF(基础状态预期!$J133="",0,IF(基础状态预期!$AD133&lt;=1,基础状态预期!$AD133*E$20,E$20)*基础状态预期!$J133)</f>
        <v>0</v>
      </c>
      <c r="AA121" s="80">
        <f>IF(基础状态预期!$H133="",0,IF(基础状态预期!$AB133&lt;=1,基础状态预期!$AB133*F$18,F$18)*基础状态预期!$H133)+
IF(基础状态预期!$I133="",0,IF(基础状态预期!$AC133&lt;=1,基础状态预期!$AC133*F$19,F$19)*基础状态预期!$I133)+
IF(基础状态预期!$J133="",0,IF(基础状态预期!$AD133&lt;=1,基础状态预期!$AD133*F$20,F$20)*基础状态预期!$J133)</f>
        <v>0</v>
      </c>
      <c r="AB121" s="67">
        <f>IF(基础状态预期!$H133="",0,IF(基础状态预期!$AB133&lt;=1,0,(基础状态预期!$AB133-1)*G$26)*基础状态预期!$H133)+
IF(基础状态预期!$I133="",0,IF(基础状态预期!$AC133&lt;=1,0,(基础状态预期!$AC133-1)*G$27)*基础状态预期!$I133)+
IF(基础状态预期!$J133="",0,IF(基础状态预期!$AD133&lt;=1,0,(基础状态预期!$AD133-1)*G$28)*基础状态预期!$J133)</f>
        <v>240</v>
      </c>
      <c r="AC121" s="67">
        <f>IF(基础状态预期!$H133="",0,IF(基础状态预期!$AB133&lt;=1,0,(基础状态预期!$AB133-1)*H$26)*基础状态预期!$H133)+
IF(基础状态预期!$I133="",0,IF(基础状态预期!$AC133&lt;=1,0,(基础状态预期!$AC133-1)*H$27)*基础状态预期!$I133)+
IF(基础状态预期!$J133="",0,IF(基础状态预期!$AD133&lt;=1,0,(基础状态预期!$AD133-1)*H$28)*基础状态预期!$J133)</f>
        <v>0</v>
      </c>
      <c r="AD121" s="67">
        <f>IF(基础状态预期!$H133="",0,IF(基础状态预期!$AB133&lt;=1,0,(基础状态预期!$AB133-1)*I$26)*基础状态预期!$H133)+
IF(基础状态预期!$I133="",0,IF(基础状态预期!$AC133&lt;=1,0,(基础状态预期!$AC133-1)*I$27)*基础状态预期!$I133)+
IF(基础状态预期!$J133="",0,IF(基础状态预期!$AD133&lt;=1,0,(基础状态预期!$AD133-1)*I$28)*基础状态预期!$J133)</f>
        <v>0</v>
      </c>
      <c r="AE121" s="80">
        <f>IF(各r阵容卡情况!$H149=0,0,IF(各r阵容卡情况!$AB149&lt;=1,各r阵容卡情况!$AB149*D$18,1*D$18)*各r阵容卡情况!$H149)+
IF(各r阵容卡情况!$I149=0,0,IF(各r阵容卡情况!$AC149&lt;=1,各r阵容卡情况!$AC149*D$19,1*D$19)*各r阵容卡情况!$I149)+
IF(各r阵容卡情况!$J149=0,0,IF(各r阵容卡情况!$AD149&lt;=1,各r阵容卡情况!$AD149*D$20,1*D$20)*各r阵容卡情况!$J149)</f>
        <v>32</v>
      </c>
      <c r="AF121" s="80">
        <f>IF(各r阵容卡情况!$H149=0,0,IF(各r阵容卡情况!$AB149&lt;=1,各r阵容卡情况!$AB149*E$18,1*E$18)*各r阵容卡情况!$H149)+
IF(各r阵容卡情况!$I149=0,0,IF(各r阵容卡情况!$AC149&lt;=1,各r阵容卡情况!$AC149*E$19,1*E$19)*各r阵容卡情况!$I149)+
IF(各r阵容卡情况!$J149=0,0,IF(各r阵容卡情况!$AD149&lt;=1,各r阵容卡情况!$AD149*E$20,1*E$20)*各r阵容卡情况!$J149)</f>
        <v>0</v>
      </c>
      <c r="AG121" s="80">
        <f>IF(各r阵容卡情况!$H149=0,0,IF(各r阵容卡情况!$AB149&lt;=1,各r阵容卡情况!$AB149*F$18,1*F$18)*各r阵容卡情况!$H149)+
IF(各r阵容卡情况!$I149=0,0,IF(各r阵容卡情况!$AC149&lt;=1,各r阵容卡情况!$AC149*F$19,1*F$19)*各r阵容卡情况!$I149)+
IF(各r阵容卡情况!$J149=0,0,IF(各r阵容卡情况!$AD149&lt;=1,各r阵容卡情况!$AD149*F$20,1*F$20)*各r阵容卡情况!$J149)</f>
        <v>0</v>
      </c>
      <c r="AH121" s="67">
        <f>IF(各r阵容卡情况!$H149=0,0,IF(各r阵容卡情况!$AB149&lt;=1,0,(各r阵容卡情况!$AB149-1)*G$26)*各r阵容卡情况!$H149)+
IF(各r阵容卡情况!$I149=0,0,IF(各r阵容卡情况!$AC149&lt;=1,0,(各r阵容卡情况!$AC149-1)*G$27)*各r阵容卡情况!$I149)+
IF(各r阵容卡情况!$J149=0,0,IF(各r阵容卡情况!$AD149&lt;=1,0,(各r阵容卡情况!$AD149-1)*G$28)*各r阵容卡情况!$J149)</f>
        <v>17.923871115134098</v>
      </c>
      <c r="AI121" s="67">
        <f>IF(各r阵容卡情况!$H149=0,0,IF(各r阵容卡情况!$AB149&lt;=1,0,(各r阵容卡情况!$AB149-1)*H$26)*各r阵容卡情况!$H149)+
IF(各r阵容卡情况!$I149=0,0,IF(各r阵容卡情况!$AC149&lt;=1,0,(各r阵容卡情况!$AC149-1)*H$27)*各r阵容卡情况!$I149)+
IF(各r阵容卡情况!$J149=0,0,IF(各r阵容卡情况!$AD149&lt;=1,0,(各r阵容卡情况!$AD149-1)*H$28)*各r阵容卡情况!$J149)</f>
        <v>0</v>
      </c>
      <c r="AJ121" s="67">
        <f>IF(各r阵容卡情况!$H149=0,0,IF(各r阵容卡情况!$AB149&lt;=1,0,(各r阵容卡情况!$AB149-1)*I$26)*各r阵容卡情况!$H149)+
IF(各r阵容卡情况!$I149=0,0,IF(各r阵容卡情况!$AC149&lt;=1,0,(各r阵容卡情况!$AC149-1)*I$27)*各r阵容卡情况!$I149)+
IF(各r阵容卡情况!$J149=0,0,IF(各r阵容卡情况!$AD149&lt;=1,0,(各r阵容卡情况!$AD149-1)*I$28)*各r阵容卡情况!$J149)</f>
        <v>0</v>
      </c>
      <c r="AL121" s="80">
        <f t="shared" si="98"/>
        <v>140</v>
      </c>
      <c r="AM121" s="80">
        <f t="shared" si="99"/>
        <v>48</v>
      </c>
      <c r="AN121" s="80">
        <f t="shared" si="100"/>
        <v>0</v>
      </c>
      <c r="AO121" s="80">
        <f t="shared" si="101"/>
        <v>0</v>
      </c>
      <c r="AP121" s="80">
        <f t="shared" si="102"/>
        <v>240</v>
      </c>
      <c r="AQ121" s="80">
        <f t="shared" si="103"/>
        <v>0</v>
      </c>
      <c r="AR121" s="80">
        <f t="shared" si="104"/>
        <v>0</v>
      </c>
      <c r="AS121" s="80">
        <f t="shared" si="105"/>
        <v>136</v>
      </c>
      <c r="AT121" s="80">
        <f t="shared" si="106"/>
        <v>0</v>
      </c>
      <c r="AU121" s="80">
        <f t="shared" si="107"/>
        <v>0</v>
      </c>
      <c r="AV121" s="80">
        <f t="shared" si="108"/>
        <v>680</v>
      </c>
      <c r="AW121" s="80">
        <f t="shared" si="109"/>
        <v>0</v>
      </c>
      <c r="AX121" s="80">
        <f t="shared" si="110"/>
        <v>0</v>
      </c>
      <c r="AY121" s="61" t="e">
        <f>SUMPRODUCT(AM121:AR121/'[1]功能-行军令'!$GI$26:$GN$26+AS121:AX121/'[1]功能-行军令'!$GI$26:$GN$26)/0.18</f>
        <v>#DIV/0!</v>
      </c>
      <c r="BO121" s="80">
        <f t="shared" si="96"/>
        <v>121.97211685892326</v>
      </c>
      <c r="BP121" s="80">
        <f t="shared" si="97"/>
        <v>12300000</v>
      </c>
      <c r="BQ121" s="80">
        <f>(BP121-BP120)*INDEX('[1]功能-付费相关'!$AS$6:$AS$165,$BO121,1)+BQ120</f>
        <v>16400.362618327152</v>
      </c>
      <c r="BR121" s="80"/>
      <c r="BS121" s="80"/>
    </row>
    <row r="122" spans="12:71" x14ac:dyDescent="0.15">
      <c r="L122" s="61">
        <v>31</v>
      </c>
      <c r="M122" s="80">
        <f>基础状态预期!D134</f>
        <v>121.97211685892326</v>
      </c>
      <c r="N122" s="80">
        <f>IF(基础状态预期!F134="",0,IF(基础状态预期!Z134&lt;=1,基础状态预期!Z134*D$4,1*D$4+(基础状态预期!Z134-1)*武将觉醒!D$5))</f>
        <v>0</v>
      </c>
      <c r="O122" s="80">
        <f>IF(基础状态预期!G134="",0,IF(基础状态预期!AA134&lt;=1,基础状态预期!AA134*E$4,1*E$4+(基础状态预期!AA134-1)*武将觉醒!E$5))</f>
        <v>0</v>
      </c>
      <c r="P122" s="80">
        <f>IF(基础状态预期!H134="",0,IF(基础状态预期!AB134&lt;=1,基础状态预期!AB134*F$4,1*F$4+(基础状态预期!AB134-1)*武将觉醒!F$5))</f>
        <v>0</v>
      </c>
      <c r="Q122" s="80">
        <f>IF(基础状态预期!I134="",0,IF(基础状态预期!AC134&lt;=1,基础状态预期!AC134*G$4,1*G$4+(基础状态预期!AC134-1)*武将觉醒!G$5))</f>
        <v>0</v>
      </c>
      <c r="R122" s="80">
        <f>IF(基础状态预期!J134="",0,IF(基础状态预期!AD134&lt;=1,基础状态预期!AD134*H$4,1*H$4+(基础状态预期!AD134-1)*武将觉醒!H$5))</f>
        <v>2050000</v>
      </c>
      <c r="S122" s="80">
        <f>MAX(SUMPRODUCT(N122:R122,基础状态预期!F134:J134),S121)</f>
        <v>12300000</v>
      </c>
      <c r="T122" s="80">
        <f>IF(基础状态预期!Z134="",0,IFERROR(基础状态预期!F134*求节点($C$62:$C$63,D$62:D$63,基础状态预期!Z134),0)+IFERROR(基础状态预期!$J134*求节点($C$71:$C$72,D$71:D$72,基础状态预期!$AD134),0))</f>
        <v>0</v>
      </c>
      <c r="U122" s="80">
        <f>IF(基础状态预期!AA134="",0,IFERROR(基础状态预期!G134*求节点($C$62:$C$63,E$62:E$63,基础状态预期!AA134),0)+IFERROR(基础状态预期!$J134*求节点($C$71:$C$72,E$71:E$72,基础状态预期!$AD134),0))</f>
        <v>0</v>
      </c>
      <c r="V122" s="80">
        <f>IF(基础状态预期!AB134="",0,IFERROR(基础状态预期!H134*求节点($C$62:$C$63,F$62:F$63,基础状态预期!AB134),0)+IFERROR(基础状态预期!$J134*求节点($C$71:$C$72,F$71:F$72,基础状态预期!$AD134),0))</f>
        <v>0</v>
      </c>
      <c r="W122" s="80">
        <f>IF(基础状态预期!AC134="",0,IFERROR(基础状态预期!I134*求节点($C$62:$C$63,G$62:G$63,基础状态预期!AC134),0)+IFERROR(基础状态预期!$J134*求节点($C$71:$C$72,G$71:G$72,基础状态预期!$AD134),0))</f>
        <v>0</v>
      </c>
      <c r="X122" s="80">
        <f>IF(基础状态预期!AD134="",0,IFERROR(基础状态预期!J134*求节点($C$62:$C$63,H$62:H$63,基础状态预期!AD134),0)+IFERROR(基础状态预期!$J134*求节点($C$71:$C$72,H$71:H$72,基础状态预期!$AD134),0))</f>
        <v>0</v>
      </c>
      <c r="Y122" s="80">
        <f>IF(基础状态预期!$H134="",0,IF(基础状态预期!$AB134&lt;=1,基础状态预期!$AB134*D$18,D$18)*基础状态预期!$H134)+
IF(基础状态预期!$I134="",0,IF(基础状态预期!$AC134&lt;=1,基础状态预期!$AC134*D$19,D$19)*基础状态预期!$I134)+
IF(基础状态预期!$J134="",0,IF(基础状态预期!$AD134&lt;=1,基础状态预期!$AD134*D$20,D$20)*基础状态预期!$J134)</f>
        <v>48</v>
      </c>
      <c r="Z122" s="80">
        <f>IF(基础状态预期!$H134="",0,IF(基础状态预期!$AB134&lt;=1,基础状态预期!$AB134*E$18,E$18)*基础状态预期!$H134)+
IF(基础状态预期!$I134="",0,IF(基础状态预期!$AC134&lt;=1,基础状态预期!$AC134*E$19,E$19)*基础状态预期!$I134)+
IF(基础状态预期!$J134="",0,IF(基础状态预期!$AD134&lt;=1,基础状态预期!$AD134*E$20,E$20)*基础状态预期!$J134)</f>
        <v>0</v>
      </c>
      <c r="AA122" s="80">
        <f>IF(基础状态预期!$H134="",0,IF(基础状态预期!$AB134&lt;=1,基础状态预期!$AB134*F$18,F$18)*基础状态预期!$H134)+
IF(基础状态预期!$I134="",0,IF(基础状态预期!$AC134&lt;=1,基础状态预期!$AC134*F$19,F$19)*基础状态预期!$I134)+
IF(基础状态预期!$J134="",0,IF(基础状态预期!$AD134&lt;=1,基础状态预期!$AD134*F$20,F$20)*基础状态预期!$J134)</f>
        <v>0</v>
      </c>
      <c r="AB122" s="67">
        <f>IF(基础状态预期!$H134="",0,IF(基础状态预期!$AB134&lt;=1,0,(基础状态预期!$AB134-1)*G$26)*基础状态预期!$H134)+
IF(基础状态预期!$I134="",0,IF(基础状态预期!$AC134&lt;=1,0,(基础状态预期!$AC134-1)*G$27)*基础状态预期!$I134)+
IF(基础状态预期!$J134="",0,IF(基础状态预期!$AD134&lt;=1,0,(基础状态预期!$AD134-1)*G$28)*基础状态预期!$J134)</f>
        <v>240</v>
      </c>
      <c r="AC122" s="67">
        <f>IF(基础状态预期!$H134="",0,IF(基础状态预期!$AB134&lt;=1,0,(基础状态预期!$AB134-1)*H$26)*基础状态预期!$H134)+
IF(基础状态预期!$I134="",0,IF(基础状态预期!$AC134&lt;=1,0,(基础状态预期!$AC134-1)*H$27)*基础状态预期!$I134)+
IF(基础状态预期!$J134="",0,IF(基础状态预期!$AD134&lt;=1,0,(基础状态预期!$AD134-1)*H$28)*基础状态预期!$J134)</f>
        <v>0</v>
      </c>
      <c r="AD122" s="67">
        <f>IF(基础状态预期!$H134="",0,IF(基础状态预期!$AB134&lt;=1,0,(基础状态预期!$AB134-1)*I$26)*基础状态预期!$H134)+
IF(基础状态预期!$I134="",0,IF(基础状态预期!$AC134&lt;=1,0,(基础状态预期!$AC134-1)*I$27)*基础状态预期!$I134)+
IF(基础状态预期!$J134="",0,IF(基础状态预期!$AD134&lt;=1,0,(基础状态预期!$AD134-1)*I$28)*基础状态预期!$J134)</f>
        <v>0</v>
      </c>
      <c r="AE122" s="80">
        <f>IF(各r阵容卡情况!$H150=0,0,IF(各r阵容卡情况!$AB150&lt;=1,各r阵容卡情况!$AB150*D$18,1*D$18)*各r阵容卡情况!$H150)+
IF(各r阵容卡情况!$I150=0,0,IF(各r阵容卡情况!$AC150&lt;=1,各r阵容卡情况!$AC150*D$19,1*D$19)*各r阵容卡情况!$I150)+
IF(各r阵容卡情况!$J150=0,0,IF(各r阵容卡情况!$AD150&lt;=1,各r阵容卡情况!$AD150*D$20,1*D$20)*各r阵容卡情况!$J150)</f>
        <v>76</v>
      </c>
      <c r="AF122" s="80">
        <f>IF(各r阵容卡情况!$H150=0,0,IF(各r阵容卡情况!$AB150&lt;=1,各r阵容卡情况!$AB150*E$18,1*E$18)*各r阵容卡情况!$H150)+
IF(各r阵容卡情况!$I150=0,0,IF(各r阵容卡情况!$AC150&lt;=1,各r阵容卡情况!$AC150*E$19,1*E$19)*各r阵容卡情况!$I150)+
IF(各r阵容卡情况!$J150=0,0,IF(各r阵容卡情况!$AD150&lt;=1,各r阵容卡情况!$AD150*E$20,1*E$20)*各r阵容卡情况!$J150)</f>
        <v>0</v>
      </c>
      <c r="AG122" s="80">
        <f>IF(各r阵容卡情况!$H150=0,0,IF(各r阵容卡情况!$AB150&lt;=1,各r阵容卡情况!$AB150*F$18,1*F$18)*各r阵容卡情况!$H150)+
IF(各r阵容卡情况!$I150=0,0,IF(各r阵容卡情况!$AC150&lt;=1,各r阵容卡情况!$AC150*F$19,1*F$19)*各r阵容卡情况!$I150)+
IF(各r阵容卡情况!$J150=0,0,IF(各r阵容卡情况!$AD150&lt;=1,各r阵容卡情况!$AD150*F$20,1*F$20)*各r阵容卡情况!$J150)</f>
        <v>0</v>
      </c>
      <c r="AH122" s="67">
        <f>IF(各r阵容卡情况!$H150=0,0,IF(各r阵容卡情况!$AB150&lt;=1,0,(各r阵容卡情况!$AB150-1)*G$26)*各r阵容卡情况!$H150)+
IF(各r阵容卡情况!$I150=0,0,IF(各r阵容卡情况!$AC150&lt;=1,0,(各r阵容卡情况!$AC150-1)*G$27)*各r阵容卡情况!$I150)+
IF(各r阵容卡情况!$J150=0,0,IF(各r阵容卡情况!$AD150&lt;=1,0,(各r阵容卡情况!$AD150-1)*G$28)*各r阵容卡情况!$J150)</f>
        <v>380</v>
      </c>
      <c r="AI122" s="67">
        <f>IF(各r阵容卡情况!$H150=0,0,IF(各r阵容卡情况!$AB150&lt;=1,0,(各r阵容卡情况!$AB150-1)*H$26)*各r阵容卡情况!$H150)+
IF(各r阵容卡情况!$I150=0,0,IF(各r阵容卡情况!$AC150&lt;=1,0,(各r阵容卡情况!$AC150-1)*H$27)*各r阵容卡情况!$I150)+
IF(各r阵容卡情况!$J150=0,0,IF(各r阵容卡情况!$AD150&lt;=1,0,(各r阵容卡情况!$AD150-1)*H$28)*各r阵容卡情况!$J150)</f>
        <v>0</v>
      </c>
      <c r="AJ122" s="67">
        <f>IF(各r阵容卡情况!$H150=0,0,IF(各r阵容卡情况!$AB150&lt;=1,0,(各r阵容卡情况!$AB150-1)*I$26)*各r阵容卡情况!$H150)+
IF(各r阵容卡情况!$I150=0,0,IF(各r阵容卡情况!$AC150&lt;=1,0,(各r阵容卡情况!$AC150-1)*I$27)*各r阵容卡情况!$I150)+
IF(各r阵容卡情况!$J150=0,0,IF(各r阵容卡情况!$AD150&lt;=1,0,(各r阵容卡情况!$AD150-1)*I$28)*各r阵容卡情况!$J150)</f>
        <v>0</v>
      </c>
      <c r="AL122" s="80">
        <f t="shared" si="98"/>
        <v>145</v>
      </c>
      <c r="AM122" s="80">
        <f t="shared" si="99"/>
        <v>48</v>
      </c>
      <c r="AN122" s="80">
        <f t="shared" si="100"/>
        <v>0</v>
      </c>
      <c r="AO122" s="80">
        <f t="shared" si="101"/>
        <v>0</v>
      </c>
      <c r="AP122" s="80">
        <f t="shared" si="102"/>
        <v>240</v>
      </c>
      <c r="AQ122" s="80">
        <f t="shared" si="103"/>
        <v>0</v>
      </c>
      <c r="AR122" s="80">
        <f t="shared" si="104"/>
        <v>0</v>
      </c>
      <c r="AS122" s="80">
        <f t="shared" si="105"/>
        <v>131.66900664183089</v>
      </c>
      <c r="AT122" s="80">
        <f t="shared" si="106"/>
        <v>0</v>
      </c>
      <c r="AU122" s="80">
        <f t="shared" si="107"/>
        <v>0</v>
      </c>
      <c r="AV122" s="80">
        <f t="shared" si="108"/>
        <v>658.34503320915451</v>
      </c>
      <c r="AW122" s="80">
        <f t="shared" si="109"/>
        <v>0</v>
      </c>
      <c r="AX122" s="80">
        <f t="shared" si="110"/>
        <v>0</v>
      </c>
      <c r="AY122" s="61" t="e">
        <f>SUMPRODUCT(AM122:AR122/'[1]功能-行军令'!$GI$26:$GN$26+AS122:AX122/'[1]功能-行军令'!$GI$26:$GN$26)/0.18</f>
        <v>#DIV/0!</v>
      </c>
      <c r="BO122" s="80">
        <f t="shared" si="96"/>
        <v>125.41953077529134</v>
      </c>
      <c r="BP122" s="80">
        <f t="shared" si="97"/>
        <v>12300000</v>
      </c>
      <c r="BQ122" s="80">
        <f>(BP122-BP121)*INDEX('[1]功能-付费相关'!$AS$6:$AS$165,$BO122,1)+BQ121</f>
        <v>16400.362618327152</v>
      </c>
      <c r="BR122" s="80"/>
      <c r="BS122" s="80"/>
    </row>
    <row r="123" spans="12:71" x14ac:dyDescent="0.15">
      <c r="L123" s="61">
        <v>32</v>
      </c>
      <c r="M123" s="80">
        <f>基础状态预期!D135</f>
        <v>125.41953077529134</v>
      </c>
      <c r="N123" s="80">
        <f>IF(基础状态预期!F135="",0,IF(基础状态预期!Z135&lt;=1,基础状态预期!Z135*D$4,1*D$4+(基础状态预期!Z135-1)*武将觉醒!D$5))</f>
        <v>0</v>
      </c>
      <c r="O123" s="80">
        <f>IF(基础状态预期!G135="",0,IF(基础状态预期!AA135&lt;=1,基础状态预期!AA135*E$4,1*E$4+(基础状态预期!AA135-1)*武将觉醒!E$5))</f>
        <v>0</v>
      </c>
      <c r="P123" s="80">
        <f>IF(基础状态预期!H135="",0,IF(基础状态预期!AB135&lt;=1,基础状态预期!AB135*F$4,1*F$4+(基础状态预期!AB135-1)*武将觉醒!F$5))</f>
        <v>0</v>
      </c>
      <c r="Q123" s="80">
        <f>IF(基础状态预期!I135="",0,IF(基础状态预期!AC135&lt;=1,基础状态预期!AC135*G$4,1*G$4+(基础状态预期!AC135-1)*武将觉醒!G$5))</f>
        <v>0</v>
      </c>
      <c r="R123" s="80">
        <f>IF(基础状态预期!J135="",0,IF(基础状态预期!AD135&lt;=1,基础状态预期!AD135*H$4,1*H$4+(基础状态预期!AD135-1)*武将觉醒!H$5))</f>
        <v>2050000</v>
      </c>
      <c r="S123" s="80">
        <f>MAX(SUMPRODUCT(N123:R123,基础状态预期!F135:J135),S122)</f>
        <v>12300000</v>
      </c>
      <c r="T123" s="80">
        <f>IF(基础状态预期!Z135="",0,IFERROR(基础状态预期!F135*求节点($C$62:$C$63,D$62:D$63,基础状态预期!Z135),0)+IFERROR(基础状态预期!$J135*求节点($C$71:$C$72,D$71:D$72,基础状态预期!$AD135),0))</f>
        <v>0</v>
      </c>
      <c r="U123" s="80">
        <f>IF(基础状态预期!AA135="",0,IFERROR(基础状态预期!G135*求节点($C$62:$C$63,E$62:E$63,基础状态预期!AA135),0)+IFERROR(基础状态预期!$J135*求节点($C$71:$C$72,E$71:E$72,基础状态预期!$AD135),0))</f>
        <v>0</v>
      </c>
      <c r="V123" s="80">
        <f>IF(基础状态预期!AB135="",0,IFERROR(基础状态预期!H135*求节点($C$62:$C$63,F$62:F$63,基础状态预期!AB135),0)+IFERROR(基础状态预期!$J135*求节点($C$71:$C$72,F$71:F$72,基础状态预期!$AD135),0))</f>
        <v>0</v>
      </c>
      <c r="W123" s="80">
        <f>IF(基础状态预期!AC135="",0,IFERROR(基础状态预期!I135*求节点($C$62:$C$63,G$62:G$63,基础状态预期!AC135),0)+IFERROR(基础状态预期!$J135*求节点($C$71:$C$72,G$71:G$72,基础状态预期!$AD135),0))</f>
        <v>0</v>
      </c>
      <c r="X123" s="80">
        <f>IF(基础状态预期!AD135="",0,IFERROR(基础状态预期!J135*求节点($C$62:$C$63,H$62:H$63,基础状态预期!AD135),0)+IFERROR(基础状态预期!$J135*求节点($C$71:$C$72,H$71:H$72,基础状态预期!$AD135),0))</f>
        <v>0</v>
      </c>
      <c r="Y123" s="80">
        <f>IF(基础状态预期!$H135="",0,IF(基础状态预期!$AB135&lt;=1,基础状态预期!$AB135*D$18,D$18)*基础状态预期!$H135)+
IF(基础状态预期!$I135="",0,IF(基础状态预期!$AC135&lt;=1,基础状态预期!$AC135*D$19,D$19)*基础状态预期!$I135)+
IF(基础状态预期!$J135="",0,IF(基础状态预期!$AD135&lt;=1,基础状态预期!$AD135*D$20,D$20)*基础状态预期!$J135)</f>
        <v>48</v>
      </c>
      <c r="Z123" s="80">
        <f>IF(基础状态预期!$H135="",0,IF(基础状态预期!$AB135&lt;=1,基础状态预期!$AB135*E$18,E$18)*基础状态预期!$H135)+
IF(基础状态预期!$I135="",0,IF(基础状态预期!$AC135&lt;=1,基础状态预期!$AC135*E$19,E$19)*基础状态预期!$I135)+
IF(基础状态预期!$J135="",0,IF(基础状态预期!$AD135&lt;=1,基础状态预期!$AD135*E$20,E$20)*基础状态预期!$J135)</f>
        <v>0</v>
      </c>
      <c r="AA123" s="80">
        <f>IF(基础状态预期!$H135="",0,IF(基础状态预期!$AB135&lt;=1,基础状态预期!$AB135*F$18,F$18)*基础状态预期!$H135)+
IF(基础状态预期!$I135="",0,IF(基础状态预期!$AC135&lt;=1,基础状态预期!$AC135*F$19,F$19)*基础状态预期!$I135)+
IF(基础状态预期!$J135="",0,IF(基础状态预期!$AD135&lt;=1,基础状态预期!$AD135*F$20,F$20)*基础状态预期!$J135)</f>
        <v>0</v>
      </c>
      <c r="AB123" s="67">
        <f>IF(基础状态预期!$H135="",0,IF(基础状态预期!$AB135&lt;=1,0,(基础状态预期!$AB135-1)*G$26)*基础状态预期!$H135)+
IF(基础状态预期!$I135="",0,IF(基础状态预期!$AC135&lt;=1,0,(基础状态预期!$AC135-1)*G$27)*基础状态预期!$I135)+
IF(基础状态预期!$J135="",0,IF(基础状态预期!$AD135&lt;=1,0,(基础状态预期!$AD135-1)*G$28)*基础状态预期!$J135)</f>
        <v>240</v>
      </c>
      <c r="AC123" s="67">
        <f>IF(基础状态预期!$H135="",0,IF(基础状态预期!$AB135&lt;=1,0,(基础状态预期!$AB135-1)*H$26)*基础状态预期!$H135)+
IF(基础状态预期!$I135="",0,IF(基础状态预期!$AC135&lt;=1,0,(基础状态预期!$AC135-1)*H$27)*基础状态预期!$I135)+
IF(基础状态预期!$J135="",0,IF(基础状态预期!$AD135&lt;=1,0,(基础状态预期!$AD135-1)*H$28)*基础状态预期!$J135)</f>
        <v>0</v>
      </c>
      <c r="AD123" s="67">
        <f>IF(基础状态预期!$H135="",0,IF(基础状态预期!$AB135&lt;=1,0,(基础状态预期!$AB135-1)*I$26)*基础状态预期!$H135)+
IF(基础状态预期!$I135="",0,IF(基础状态预期!$AC135&lt;=1,0,(基础状态预期!$AC135-1)*I$27)*基础状态预期!$I135)+
IF(基础状态预期!$J135="",0,IF(基础状态预期!$AD135&lt;=1,0,(基础状态预期!$AD135-1)*I$28)*基础状态预期!$J135)</f>
        <v>0</v>
      </c>
      <c r="AE123" s="80">
        <f>IF(各r阵容卡情况!$H151=0,0,IF(各r阵容卡情况!$AB151&lt;=1,各r阵容卡情况!$AB151*D$18,1*D$18)*各r阵容卡情况!$H151)+
IF(各r阵容卡情况!$I151=0,0,IF(各r阵容卡情况!$AC151&lt;=1,各r阵容卡情况!$AC151*D$19,1*D$19)*各r阵容卡情况!$I151)+
IF(各r阵容卡情况!$J151=0,0,IF(各r阵容卡情况!$AD151&lt;=1,各r阵容卡情况!$AD151*D$20,1*D$20)*各r阵容卡情况!$J151)</f>
        <v>86</v>
      </c>
      <c r="AF123" s="80">
        <f>IF(各r阵容卡情况!$H151=0,0,IF(各r阵容卡情况!$AB151&lt;=1,各r阵容卡情况!$AB151*E$18,1*E$18)*各r阵容卡情况!$H151)+
IF(各r阵容卡情况!$I151=0,0,IF(各r阵容卡情况!$AC151&lt;=1,各r阵容卡情况!$AC151*E$19,1*E$19)*各r阵容卡情况!$I151)+
IF(各r阵容卡情况!$J151=0,0,IF(各r阵容卡情况!$AD151&lt;=1,各r阵容卡情况!$AD151*E$20,1*E$20)*各r阵容卡情况!$J151)</f>
        <v>0</v>
      </c>
      <c r="AG123" s="80">
        <f>IF(各r阵容卡情况!$H151=0,0,IF(各r阵容卡情况!$AB151&lt;=1,各r阵容卡情况!$AB151*F$18,1*F$18)*各r阵容卡情况!$H151)+
IF(各r阵容卡情况!$I151=0,0,IF(各r阵容卡情况!$AC151&lt;=1,各r阵容卡情况!$AC151*F$19,1*F$19)*各r阵容卡情况!$I151)+
IF(各r阵容卡情况!$J151=0,0,IF(各r阵容卡情况!$AD151&lt;=1,各r阵容卡情况!$AD151*F$20,1*F$20)*各r阵容卡情况!$J151)</f>
        <v>0</v>
      </c>
      <c r="AH123" s="67">
        <f>IF(各r阵容卡情况!$H151=0,0,IF(各r阵容卡情况!$AB151&lt;=1,0,(各r阵容卡情况!$AB151-1)*G$26)*各r阵容卡情况!$H151)+
IF(各r阵容卡情况!$I151=0,0,IF(各r阵容卡情况!$AC151&lt;=1,0,(各r阵容卡情况!$AC151-1)*G$27)*各r阵容卡情况!$I151)+
IF(各r阵容卡情况!$J151=0,0,IF(各r阵容卡情况!$AD151&lt;=1,0,(各r阵容卡情况!$AD151-1)*G$28)*各r阵容卡情况!$J151)</f>
        <v>430</v>
      </c>
      <c r="AI123" s="67">
        <f>IF(各r阵容卡情况!$H151=0,0,IF(各r阵容卡情况!$AB151&lt;=1,0,(各r阵容卡情况!$AB151-1)*H$26)*各r阵容卡情况!$H151)+
IF(各r阵容卡情况!$I151=0,0,IF(各r阵容卡情况!$AC151&lt;=1,0,(各r阵容卡情况!$AC151-1)*H$27)*各r阵容卡情况!$I151)+
IF(各r阵容卡情况!$J151=0,0,IF(各r阵容卡情况!$AD151&lt;=1,0,(各r阵容卡情况!$AD151-1)*H$28)*各r阵容卡情况!$J151)</f>
        <v>0</v>
      </c>
      <c r="AJ123" s="67">
        <f>IF(各r阵容卡情况!$H151=0,0,IF(各r阵容卡情况!$AB151&lt;=1,0,(各r阵容卡情况!$AB151-1)*I$26)*各r阵容卡情况!$H151)+
IF(各r阵容卡情况!$I151=0,0,IF(各r阵容卡情况!$AC151&lt;=1,0,(各r阵容卡情况!$AC151-1)*I$27)*各r阵容卡情况!$I151)+
IF(各r阵容卡情况!$J151=0,0,IF(各r阵容卡情况!$AD151&lt;=1,0,(各r阵容卡情况!$AD151-1)*I$28)*各r阵容卡情况!$J151)</f>
        <v>0</v>
      </c>
      <c r="AL123" s="80">
        <f t="shared" si="98"/>
        <v>150</v>
      </c>
      <c r="AM123" s="80">
        <f t="shared" si="99"/>
        <v>48</v>
      </c>
      <c r="AN123" s="80">
        <f t="shared" si="100"/>
        <v>0</v>
      </c>
      <c r="AO123" s="80">
        <f t="shared" si="101"/>
        <v>0</v>
      </c>
      <c r="AP123" s="80">
        <f t="shared" si="102"/>
        <v>240</v>
      </c>
      <c r="AQ123" s="80">
        <f t="shared" si="103"/>
        <v>0</v>
      </c>
      <c r="AR123" s="80">
        <f t="shared" si="104"/>
        <v>0</v>
      </c>
      <c r="AS123" s="80">
        <f t="shared" si="105"/>
        <v>143.40693857301812</v>
      </c>
      <c r="AT123" s="80">
        <f t="shared" si="106"/>
        <v>0</v>
      </c>
      <c r="AU123" s="80">
        <f t="shared" si="107"/>
        <v>0</v>
      </c>
      <c r="AV123" s="80">
        <f t="shared" si="108"/>
        <v>717.03469286509062</v>
      </c>
      <c r="AW123" s="80">
        <f t="shared" si="109"/>
        <v>0</v>
      </c>
      <c r="AX123" s="80">
        <f t="shared" si="110"/>
        <v>0</v>
      </c>
      <c r="AY123" s="61" t="e">
        <f>SUMPRODUCT(AM123:AR123/'[1]功能-行军令'!$GI$26:$GN$26+AS123:AX123/'[1]功能-行军令'!$GI$26:$GN$26)/0.18</f>
        <v>#DIV/0!</v>
      </c>
      <c r="BO123" s="80">
        <f t="shared" si="96"/>
        <v>129.09045404756728</v>
      </c>
      <c r="BP123" s="80">
        <f t="shared" si="97"/>
        <v>12300000</v>
      </c>
      <c r="BQ123" s="80">
        <f>(BP123-BP122)*INDEX('[1]功能-付费相关'!$AS$6:$AS$165,$BO123,1)+BQ122</f>
        <v>16400.362618327152</v>
      </c>
      <c r="BR123" s="80"/>
      <c r="BS123" s="80"/>
    </row>
    <row r="124" spans="12:71" x14ac:dyDescent="0.15">
      <c r="L124" s="61">
        <v>33</v>
      </c>
      <c r="M124" s="80">
        <f>基础状态预期!D136</f>
        <v>129.09045404756728</v>
      </c>
      <c r="N124" s="80">
        <f>IF(基础状态预期!F136="",0,IF(基础状态预期!Z136&lt;=1,基础状态预期!Z136*D$4,1*D$4+(基础状态预期!Z136-1)*武将觉醒!D$5))</f>
        <v>0</v>
      </c>
      <c r="O124" s="80">
        <f>IF(基础状态预期!G136="",0,IF(基础状态预期!AA136&lt;=1,基础状态预期!AA136*E$4,1*E$4+(基础状态预期!AA136-1)*武将觉醒!E$5))</f>
        <v>0</v>
      </c>
      <c r="P124" s="80">
        <f>IF(基础状态预期!H136="",0,IF(基础状态预期!AB136&lt;=1,基础状态预期!AB136*F$4,1*F$4+(基础状态预期!AB136-1)*武将觉醒!F$5))</f>
        <v>0</v>
      </c>
      <c r="Q124" s="80">
        <f>IF(基础状态预期!I136="",0,IF(基础状态预期!AC136&lt;=1,基础状态预期!AC136*G$4,1*G$4+(基础状态预期!AC136-1)*武将觉醒!G$5))</f>
        <v>0</v>
      </c>
      <c r="R124" s="80">
        <f>IF(基础状态预期!J136="",0,IF(基础状态预期!AD136&lt;=1,基础状态预期!AD136*H$4,1*H$4+(基础状态预期!AD136-1)*武将觉醒!H$5))</f>
        <v>2050000</v>
      </c>
      <c r="S124" s="80">
        <f>MAX(SUMPRODUCT(N124:R124,基础状态预期!F136:J136),S123)</f>
        <v>12300000</v>
      </c>
      <c r="T124" s="80">
        <f>IF(基础状态预期!Z136="",0,IFERROR(基础状态预期!F136*求节点($C$62:$C$63,D$62:D$63,基础状态预期!Z136),0)+IFERROR(基础状态预期!$J136*求节点($C$71:$C$72,D$71:D$72,基础状态预期!$AD136),0))</f>
        <v>0</v>
      </c>
      <c r="U124" s="80">
        <f>IF(基础状态预期!AA136="",0,IFERROR(基础状态预期!G136*求节点($C$62:$C$63,E$62:E$63,基础状态预期!AA136),0)+IFERROR(基础状态预期!$J136*求节点($C$71:$C$72,E$71:E$72,基础状态预期!$AD136),0))</f>
        <v>0</v>
      </c>
      <c r="V124" s="80">
        <f>IF(基础状态预期!AB136="",0,IFERROR(基础状态预期!H136*求节点($C$62:$C$63,F$62:F$63,基础状态预期!AB136),0)+IFERROR(基础状态预期!$J136*求节点($C$71:$C$72,F$71:F$72,基础状态预期!$AD136),0))</f>
        <v>0</v>
      </c>
      <c r="W124" s="80">
        <f>IF(基础状态预期!AC136="",0,IFERROR(基础状态预期!I136*求节点($C$62:$C$63,G$62:G$63,基础状态预期!AC136),0)+IFERROR(基础状态预期!$J136*求节点($C$71:$C$72,G$71:G$72,基础状态预期!$AD136),0))</f>
        <v>0</v>
      </c>
      <c r="X124" s="80">
        <f>IF(基础状态预期!AD136="",0,IFERROR(基础状态预期!J136*求节点($C$62:$C$63,H$62:H$63,基础状态预期!AD136),0)+IFERROR(基础状态预期!$J136*求节点($C$71:$C$72,H$71:H$72,基础状态预期!$AD136),0))</f>
        <v>0</v>
      </c>
      <c r="Y124" s="80">
        <f>IF(基础状态预期!$H136="",0,IF(基础状态预期!$AB136&lt;=1,基础状态预期!$AB136*D$18,D$18)*基础状态预期!$H136)+
IF(基础状态预期!$I136="",0,IF(基础状态预期!$AC136&lt;=1,基础状态预期!$AC136*D$19,D$19)*基础状态预期!$I136)+
IF(基础状态预期!$J136="",0,IF(基础状态预期!$AD136&lt;=1,基础状态预期!$AD136*D$20,D$20)*基础状态预期!$J136)</f>
        <v>48</v>
      </c>
      <c r="Z124" s="80">
        <f>IF(基础状态预期!$H136="",0,IF(基础状态预期!$AB136&lt;=1,基础状态预期!$AB136*E$18,E$18)*基础状态预期!$H136)+
IF(基础状态预期!$I136="",0,IF(基础状态预期!$AC136&lt;=1,基础状态预期!$AC136*E$19,E$19)*基础状态预期!$I136)+
IF(基础状态预期!$J136="",0,IF(基础状态预期!$AD136&lt;=1,基础状态预期!$AD136*E$20,E$20)*基础状态预期!$J136)</f>
        <v>0</v>
      </c>
      <c r="AA124" s="80">
        <f>IF(基础状态预期!$H136="",0,IF(基础状态预期!$AB136&lt;=1,基础状态预期!$AB136*F$18,F$18)*基础状态预期!$H136)+
IF(基础状态预期!$I136="",0,IF(基础状态预期!$AC136&lt;=1,基础状态预期!$AC136*F$19,F$19)*基础状态预期!$I136)+
IF(基础状态预期!$J136="",0,IF(基础状态预期!$AD136&lt;=1,基础状态预期!$AD136*F$20,F$20)*基础状态预期!$J136)</f>
        <v>0</v>
      </c>
      <c r="AB124" s="67">
        <f>IF(基础状态预期!$H136="",0,IF(基础状态预期!$AB136&lt;=1,0,(基础状态预期!$AB136-1)*G$26)*基础状态预期!$H136)+
IF(基础状态预期!$I136="",0,IF(基础状态预期!$AC136&lt;=1,0,(基础状态预期!$AC136-1)*G$27)*基础状态预期!$I136)+
IF(基础状态预期!$J136="",0,IF(基础状态预期!$AD136&lt;=1,0,(基础状态预期!$AD136-1)*G$28)*基础状态预期!$J136)</f>
        <v>240</v>
      </c>
      <c r="AC124" s="67">
        <f>IF(基础状态预期!$H136="",0,IF(基础状态预期!$AB136&lt;=1,0,(基础状态预期!$AB136-1)*H$26)*基础状态预期!$H136)+
IF(基础状态预期!$I136="",0,IF(基础状态预期!$AC136&lt;=1,0,(基础状态预期!$AC136-1)*H$27)*基础状态预期!$I136)+
IF(基础状态预期!$J136="",0,IF(基础状态预期!$AD136&lt;=1,0,(基础状态预期!$AD136-1)*H$28)*基础状态预期!$J136)</f>
        <v>0</v>
      </c>
      <c r="AD124" s="67">
        <f>IF(基础状态预期!$H136="",0,IF(基础状态预期!$AB136&lt;=1,0,(基础状态预期!$AB136-1)*I$26)*基础状态预期!$H136)+
IF(基础状态预期!$I136="",0,IF(基础状态预期!$AC136&lt;=1,0,(基础状态预期!$AC136-1)*I$27)*基础状态预期!$I136)+
IF(基础状态预期!$J136="",0,IF(基础状态预期!$AD136&lt;=1,0,(基础状态预期!$AD136-1)*I$28)*基础状态预期!$J136)</f>
        <v>0</v>
      </c>
      <c r="AE124" s="80">
        <f>IF(各r阵容卡情况!$H152=0,0,IF(各r阵容卡情况!$AB152&lt;=1,各r阵容卡情况!$AB152*D$18,1*D$18)*各r阵容卡情况!$H152)+
IF(各r阵容卡情况!$I152=0,0,IF(各r阵容卡情况!$AC152&lt;=1,各r阵容卡情况!$AC152*D$19,1*D$19)*各r阵容卡情况!$I152)+
IF(各r阵容卡情况!$J152=0,0,IF(各r阵容卡情况!$AD152&lt;=1,各r阵容卡情况!$AD152*D$20,1*D$20)*各r阵容卡情况!$J152)</f>
        <v>104</v>
      </c>
      <c r="AF124" s="80">
        <f>IF(各r阵容卡情况!$H152=0,0,IF(各r阵容卡情况!$AB152&lt;=1,各r阵容卡情况!$AB152*E$18,1*E$18)*各r阵容卡情况!$H152)+
IF(各r阵容卡情况!$I152=0,0,IF(各r阵容卡情况!$AC152&lt;=1,各r阵容卡情况!$AC152*E$19,1*E$19)*各r阵容卡情况!$I152)+
IF(各r阵容卡情况!$J152=0,0,IF(各r阵容卡情况!$AD152&lt;=1,各r阵容卡情况!$AD152*E$20,1*E$20)*各r阵容卡情况!$J152)</f>
        <v>0</v>
      </c>
      <c r="AG124" s="80">
        <f>IF(各r阵容卡情况!$H152=0,0,IF(各r阵容卡情况!$AB152&lt;=1,各r阵容卡情况!$AB152*F$18,1*F$18)*各r阵容卡情况!$H152)+
IF(各r阵容卡情况!$I152=0,0,IF(各r阵容卡情况!$AC152&lt;=1,各r阵容卡情况!$AC152*F$19,1*F$19)*各r阵容卡情况!$I152)+
IF(各r阵容卡情况!$J152=0,0,IF(各r阵容卡情况!$AD152&lt;=1,各r阵容卡情况!$AD152*F$20,1*F$20)*各r阵容卡情况!$J152)</f>
        <v>0</v>
      </c>
      <c r="AH124" s="67">
        <f>IF(各r阵容卡情况!$H152=0,0,IF(各r阵容卡情况!$AB152&lt;=1,0,(各r阵容卡情况!$AB152-1)*G$26)*各r阵容卡情况!$H152)+
IF(各r阵容卡情况!$I152=0,0,IF(各r阵容卡情况!$AC152&lt;=1,0,(各r阵容卡情况!$AC152-1)*G$27)*各r阵容卡情况!$I152)+
IF(各r阵容卡情况!$J152=0,0,IF(各r阵容卡情况!$AD152&lt;=1,0,(各r阵容卡情况!$AD152-1)*G$28)*各r阵容卡情况!$J152)</f>
        <v>520</v>
      </c>
      <c r="AI124" s="67">
        <f>IF(各r阵容卡情况!$H152=0,0,IF(各r阵容卡情况!$AB152&lt;=1,0,(各r阵容卡情况!$AB152-1)*H$26)*各r阵容卡情况!$H152)+
IF(各r阵容卡情况!$I152=0,0,IF(各r阵容卡情况!$AC152&lt;=1,0,(各r阵容卡情况!$AC152-1)*H$27)*各r阵容卡情况!$I152)+
IF(各r阵容卡情况!$J152=0,0,IF(各r阵容卡情况!$AD152&lt;=1,0,(各r阵容卡情况!$AD152-1)*H$28)*各r阵容卡情况!$J152)</f>
        <v>0</v>
      </c>
      <c r="AJ124" s="67">
        <f>IF(各r阵容卡情况!$H152=0,0,IF(各r阵容卡情况!$AB152&lt;=1,0,(各r阵容卡情况!$AB152-1)*I$26)*各r阵容卡情况!$H152)+
IF(各r阵容卡情况!$I152=0,0,IF(各r阵容卡情况!$AC152&lt;=1,0,(各r阵容卡情况!$AC152-1)*I$27)*各r阵容卡情况!$I152)+
IF(各r阵容卡情况!$J152=0,0,IF(各r阵容卡情况!$AD152&lt;=1,0,(各r阵容卡情况!$AD152-1)*I$28)*各r阵容卡情况!$J152)</f>
        <v>0</v>
      </c>
      <c r="AL124" s="80">
        <f t="shared" si="98"/>
        <v>155</v>
      </c>
      <c r="AM124" s="80">
        <f t="shared" si="99"/>
        <v>48</v>
      </c>
      <c r="AN124" s="80">
        <f t="shared" si="100"/>
        <v>0</v>
      </c>
      <c r="AO124" s="80">
        <f t="shared" si="101"/>
        <v>0</v>
      </c>
      <c r="AP124" s="80">
        <f t="shared" si="102"/>
        <v>240</v>
      </c>
      <c r="AQ124" s="80">
        <f t="shared" si="103"/>
        <v>0</v>
      </c>
      <c r="AR124" s="80">
        <f t="shared" si="104"/>
        <v>0</v>
      </c>
      <c r="AS124" s="80">
        <f t="shared" si="105"/>
        <v>144</v>
      </c>
      <c r="AT124" s="80">
        <f t="shared" si="106"/>
        <v>0</v>
      </c>
      <c r="AU124" s="80">
        <f t="shared" si="107"/>
        <v>0</v>
      </c>
      <c r="AV124" s="80">
        <f t="shared" si="108"/>
        <v>720</v>
      </c>
      <c r="AW124" s="80">
        <f t="shared" si="109"/>
        <v>0</v>
      </c>
      <c r="AX124" s="80">
        <f t="shared" si="110"/>
        <v>0</v>
      </c>
      <c r="AY124" s="61" t="e">
        <f>SUMPRODUCT(AM124:AR124/'[1]功能-行军令'!$GI$26:$GN$26+AS124:AX124/'[1]功能-行军令'!$GI$26:$GN$26)/0.18</f>
        <v>#DIV/0!</v>
      </c>
      <c r="BO124" s="80">
        <f t="shared" si="96"/>
        <v>132.53488795708068</v>
      </c>
      <c r="BP124" s="80">
        <f t="shared" si="97"/>
        <v>12300000</v>
      </c>
      <c r="BQ124" s="80">
        <f>(BP124-BP123)*INDEX('[1]功能-付费相关'!$AS$6:$AS$165,$BO124,1)+BQ123</f>
        <v>16400.362618327152</v>
      </c>
      <c r="BR124" s="80"/>
      <c r="BS124" s="80"/>
    </row>
    <row r="125" spans="12:71" x14ac:dyDescent="0.15">
      <c r="L125" s="61">
        <v>34</v>
      </c>
      <c r="M125" s="80">
        <f>基础状态预期!D137</f>
        <v>132.53488795708068</v>
      </c>
      <c r="N125" s="80">
        <f>IF(基础状态预期!F137="",0,IF(基础状态预期!Z137&lt;=1,基础状态预期!Z137*D$4,1*D$4+(基础状态预期!Z137-1)*武将觉醒!D$5))</f>
        <v>0</v>
      </c>
      <c r="O125" s="80">
        <f>IF(基础状态预期!G137="",0,IF(基础状态预期!AA137&lt;=1,基础状态预期!AA137*E$4,1*E$4+(基础状态预期!AA137-1)*武将觉醒!E$5))</f>
        <v>0</v>
      </c>
      <c r="P125" s="80">
        <f>IF(基础状态预期!H137="",0,IF(基础状态预期!AB137&lt;=1,基础状态预期!AB137*F$4,1*F$4+(基础状态预期!AB137-1)*武将觉醒!F$5))</f>
        <v>0</v>
      </c>
      <c r="Q125" s="80">
        <f>IF(基础状态预期!I137="",0,IF(基础状态预期!AC137&lt;=1,基础状态预期!AC137*G$4,1*G$4+(基础状态预期!AC137-1)*武将觉醒!G$5))</f>
        <v>0</v>
      </c>
      <c r="R125" s="80">
        <f>IF(基础状态预期!J137="",0,IF(基础状态预期!AD137&lt;=1,基础状态预期!AD137*H$4,1*H$4+(基础状态预期!AD137-1)*武将觉醒!H$5))</f>
        <v>2050000</v>
      </c>
      <c r="S125" s="80">
        <f>MAX(SUMPRODUCT(N125:R125,基础状态预期!F137:J137),S124)</f>
        <v>12300000</v>
      </c>
      <c r="T125" s="80">
        <f>IF(基础状态预期!Z137="",0,IFERROR(基础状态预期!F137*求节点($C$62:$C$63,D$62:D$63,基础状态预期!Z137),0)+IFERROR(基础状态预期!$J137*求节点($C$71:$C$72,D$71:D$72,基础状态预期!$AD137),0))</f>
        <v>0</v>
      </c>
      <c r="U125" s="80">
        <f>IF(基础状态预期!AA137="",0,IFERROR(基础状态预期!G137*求节点($C$62:$C$63,E$62:E$63,基础状态预期!AA137),0)+IFERROR(基础状态预期!$J137*求节点($C$71:$C$72,E$71:E$72,基础状态预期!$AD137),0))</f>
        <v>0</v>
      </c>
      <c r="V125" s="80">
        <f>IF(基础状态预期!AB137="",0,IFERROR(基础状态预期!H137*求节点($C$62:$C$63,F$62:F$63,基础状态预期!AB137),0)+IFERROR(基础状态预期!$J137*求节点($C$71:$C$72,F$71:F$72,基础状态预期!$AD137),0))</f>
        <v>0</v>
      </c>
      <c r="W125" s="80">
        <f>IF(基础状态预期!AC137="",0,IFERROR(基础状态预期!I137*求节点($C$62:$C$63,G$62:G$63,基础状态预期!AC137),0)+IFERROR(基础状态预期!$J137*求节点($C$71:$C$72,G$71:G$72,基础状态预期!$AD137),0))</f>
        <v>0</v>
      </c>
      <c r="X125" s="80">
        <f>IF(基础状态预期!AD137="",0,IFERROR(基础状态预期!J137*求节点($C$62:$C$63,H$62:H$63,基础状态预期!AD137),0)+IFERROR(基础状态预期!$J137*求节点($C$71:$C$72,H$71:H$72,基础状态预期!$AD137),0))</f>
        <v>0</v>
      </c>
      <c r="Y125" s="80">
        <f>IF(基础状态预期!$H137="",0,IF(基础状态预期!$AB137&lt;=1,基础状态预期!$AB137*D$18,D$18)*基础状态预期!$H137)+
IF(基础状态预期!$I137="",0,IF(基础状态预期!$AC137&lt;=1,基础状态预期!$AC137*D$19,D$19)*基础状态预期!$I137)+
IF(基础状态预期!$J137="",0,IF(基础状态预期!$AD137&lt;=1,基础状态预期!$AD137*D$20,D$20)*基础状态预期!$J137)</f>
        <v>48</v>
      </c>
      <c r="Z125" s="80">
        <f>IF(基础状态预期!$H137="",0,IF(基础状态预期!$AB137&lt;=1,基础状态预期!$AB137*E$18,E$18)*基础状态预期!$H137)+
IF(基础状态预期!$I137="",0,IF(基础状态预期!$AC137&lt;=1,基础状态预期!$AC137*E$19,E$19)*基础状态预期!$I137)+
IF(基础状态预期!$J137="",0,IF(基础状态预期!$AD137&lt;=1,基础状态预期!$AD137*E$20,E$20)*基础状态预期!$J137)</f>
        <v>0</v>
      </c>
      <c r="AA125" s="80">
        <f>IF(基础状态预期!$H137="",0,IF(基础状态预期!$AB137&lt;=1,基础状态预期!$AB137*F$18,F$18)*基础状态预期!$H137)+
IF(基础状态预期!$I137="",0,IF(基础状态预期!$AC137&lt;=1,基础状态预期!$AC137*F$19,F$19)*基础状态预期!$I137)+
IF(基础状态预期!$J137="",0,IF(基础状态预期!$AD137&lt;=1,基础状态预期!$AD137*F$20,F$20)*基础状态预期!$J137)</f>
        <v>0</v>
      </c>
      <c r="AB125" s="67">
        <f>IF(基础状态预期!$H137="",0,IF(基础状态预期!$AB137&lt;=1,0,(基础状态预期!$AB137-1)*G$26)*基础状态预期!$H137)+
IF(基础状态预期!$I137="",0,IF(基础状态预期!$AC137&lt;=1,0,(基础状态预期!$AC137-1)*G$27)*基础状态预期!$I137)+
IF(基础状态预期!$J137="",0,IF(基础状态预期!$AD137&lt;=1,0,(基础状态预期!$AD137-1)*G$28)*基础状态预期!$J137)</f>
        <v>240</v>
      </c>
      <c r="AC125" s="67">
        <f>IF(基础状态预期!$H137="",0,IF(基础状态预期!$AB137&lt;=1,0,(基础状态预期!$AB137-1)*H$26)*基础状态预期!$H137)+
IF(基础状态预期!$I137="",0,IF(基础状态预期!$AC137&lt;=1,0,(基础状态预期!$AC137-1)*H$27)*基础状态预期!$I137)+
IF(基础状态预期!$J137="",0,IF(基础状态预期!$AD137&lt;=1,0,(基础状态预期!$AD137-1)*H$28)*基础状态预期!$J137)</f>
        <v>0</v>
      </c>
      <c r="AD125" s="67">
        <f>IF(基础状态预期!$H137="",0,IF(基础状态预期!$AB137&lt;=1,0,(基础状态预期!$AB137-1)*I$26)*基础状态预期!$H137)+
IF(基础状态预期!$I137="",0,IF(基础状态预期!$AC137&lt;=1,0,(基础状态预期!$AC137-1)*I$27)*基础状态预期!$I137)+
IF(基础状态预期!$J137="",0,IF(基础状态预期!$AD137&lt;=1,0,(基础状态预期!$AD137-1)*I$28)*基础状态预期!$J137)</f>
        <v>0</v>
      </c>
      <c r="AE125" s="80">
        <f>IF(各r阵容卡情况!$H153=0,0,IF(各r阵容卡情况!$AB153&lt;=1,各r阵容卡情况!$AB153*D$18,1*D$18)*各r阵容卡情况!$H153)+
IF(各r阵容卡情况!$I153=0,0,IF(各r阵容卡情况!$AC153&lt;=1,各r阵容卡情况!$AC153*D$19,1*D$19)*各r阵容卡情况!$I153)+
IF(各r阵容卡情况!$J153=0,0,IF(各r阵容卡情况!$AD153&lt;=1,各r阵容卡情况!$AD153*D$20,1*D$20)*各r阵容卡情况!$J153)</f>
        <v>114</v>
      </c>
      <c r="AF125" s="80">
        <f>IF(各r阵容卡情况!$H153=0,0,IF(各r阵容卡情况!$AB153&lt;=1,各r阵容卡情况!$AB153*E$18,1*E$18)*各r阵容卡情况!$H153)+
IF(各r阵容卡情况!$I153=0,0,IF(各r阵容卡情况!$AC153&lt;=1,各r阵容卡情况!$AC153*E$19,1*E$19)*各r阵容卡情况!$I153)+
IF(各r阵容卡情况!$J153=0,0,IF(各r阵容卡情况!$AD153&lt;=1,各r阵容卡情况!$AD153*E$20,1*E$20)*各r阵容卡情况!$J153)</f>
        <v>0</v>
      </c>
      <c r="AG125" s="80">
        <f>IF(各r阵容卡情况!$H153=0,0,IF(各r阵容卡情况!$AB153&lt;=1,各r阵容卡情况!$AB153*F$18,1*F$18)*各r阵容卡情况!$H153)+
IF(各r阵容卡情况!$I153=0,0,IF(各r阵容卡情况!$AC153&lt;=1,各r阵容卡情况!$AC153*F$19,1*F$19)*各r阵容卡情况!$I153)+
IF(各r阵容卡情况!$J153=0,0,IF(各r阵容卡情况!$AD153&lt;=1,各r阵容卡情况!$AD153*F$20,1*F$20)*各r阵容卡情况!$J153)</f>
        <v>0</v>
      </c>
      <c r="AH125" s="67">
        <f>IF(各r阵容卡情况!$H153=0,0,IF(各r阵容卡情况!$AB153&lt;=1,0,(各r阵容卡情况!$AB153-1)*G$26)*各r阵容卡情况!$H153)+
IF(各r阵容卡情况!$I153=0,0,IF(各r阵容卡情况!$AC153&lt;=1,0,(各r阵容卡情况!$AC153-1)*G$27)*各r阵容卡情况!$I153)+
IF(各r阵容卡情况!$J153=0,0,IF(各r阵容卡情况!$AD153&lt;=1,0,(各r阵容卡情况!$AD153-1)*G$28)*各r阵容卡情况!$J153)</f>
        <v>570</v>
      </c>
      <c r="AI125" s="67">
        <f>IF(各r阵容卡情况!$H153=0,0,IF(各r阵容卡情况!$AB153&lt;=1,0,(各r阵容卡情况!$AB153-1)*H$26)*各r阵容卡情况!$H153)+
IF(各r阵容卡情况!$I153=0,0,IF(各r阵容卡情况!$AC153&lt;=1,0,(各r阵容卡情况!$AC153-1)*H$27)*各r阵容卡情况!$I153)+
IF(各r阵容卡情况!$J153=0,0,IF(各r阵容卡情况!$AD153&lt;=1,0,(各r阵容卡情况!$AD153-1)*H$28)*各r阵容卡情况!$J153)</f>
        <v>0</v>
      </c>
      <c r="AJ125" s="67">
        <f>IF(各r阵容卡情况!$H153=0,0,IF(各r阵容卡情况!$AB153&lt;=1,0,(各r阵容卡情况!$AB153-1)*I$26)*各r阵容卡情况!$H153)+
IF(各r阵容卡情况!$I153=0,0,IF(各r阵容卡情况!$AC153&lt;=1,0,(各r阵容卡情况!$AC153-1)*I$27)*各r阵容卡情况!$I153)+
IF(各r阵容卡情况!$J153=0,0,IF(各r阵容卡情况!$AD153&lt;=1,0,(各r阵容卡情况!$AD153-1)*I$28)*各r阵容卡情况!$J153)</f>
        <v>0</v>
      </c>
      <c r="AL125" s="80">
        <f t="shared" si="98"/>
        <v>160</v>
      </c>
      <c r="AM125" s="80">
        <f t="shared" si="99"/>
        <v>48</v>
      </c>
      <c r="AN125" s="80">
        <f t="shared" si="100"/>
        <v>0</v>
      </c>
      <c r="AO125" s="80">
        <f t="shared" si="101"/>
        <v>0</v>
      </c>
      <c r="AP125" s="80">
        <f t="shared" si="102"/>
        <v>240</v>
      </c>
      <c r="AQ125" s="80">
        <f t="shared" si="103"/>
        <v>0</v>
      </c>
      <c r="AR125" s="80">
        <f t="shared" si="104"/>
        <v>0</v>
      </c>
      <c r="AS125" s="80">
        <f t="shared" si="105"/>
        <v>144</v>
      </c>
      <c r="AT125" s="80">
        <f t="shared" si="106"/>
        <v>0</v>
      </c>
      <c r="AU125" s="80">
        <f t="shared" si="107"/>
        <v>0</v>
      </c>
      <c r="AV125" s="80">
        <f t="shared" si="108"/>
        <v>720</v>
      </c>
      <c r="AW125" s="80">
        <f t="shared" si="109"/>
        <v>0</v>
      </c>
      <c r="AX125" s="80">
        <f t="shared" si="110"/>
        <v>0</v>
      </c>
      <c r="AY125" s="61" t="e">
        <f>SUMPRODUCT(AM125:AR125/'[1]功能-行军令'!$GI$26:$GN$26+AS125:AX125/'[1]功能-行军令'!$GI$26:$GN$26)/0.18</f>
        <v>#DIV/0!</v>
      </c>
      <c r="BO125" s="80">
        <f t="shared" si="96"/>
        <v>136.07141427598387</v>
      </c>
      <c r="BP125" s="80">
        <f t="shared" si="97"/>
        <v>12300000</v>
      </c>
      <c r="BQ125" s="80">
        <f>(BP125-BP124)*INDEX('[1]功能-付费相关'!$AS$6:$AS$165,$BO125,1)+BQ124</f>
        <v>16400.362618327152</v>
      </c>
      <c r="BR125" s="80"/>
      <c r="BS125" s="80"/>
    </row>
    <row r="126" spans="12:71" x14ac:dyDescent="0.15">
      <c r="L126" s="61">
        <v>35</v>
      </c>
      <c r="M126" s="80">
        <f>基础状态预期!D138</f>
        <v>136.07141427598387</v>
      </c>
      <c r="N126" s="80">
        <f>IF(基础状态预期!F138="",0,IF(基础状态预期!Z138&lt;=1,基础状态预期!Z138*D$4,1*D$4+(基础状态预期!Z138-1)*武将觉醒!D$5))</f>
        <v>0</v>
      </c>
      <c r="O126" s="80">
        <f>IF(基础状态预期!G138="",0,IF(基础状态预期!AA138&lt;=1,基础状态预期!AA138*E$4,1*E$4+(基础状态预期!AA138-1)*武将觉醒!E$5))</f>
        <v>0</v>
      </c>
      <c r="P126" s="80">
        <f>IF(基础状态预期!H138="",0,IF(基础状态预期!AB138&lt;=1,基础状态预期!AB138*F$4,1*F$4+(基础状态预期!AB138-1)*武将觉醒!F$5))</f>
        <v>0</v>
      </c>
      <c r="Q126" s="80">
        <f>IF(基础状态预期!I138="",0,IF(基础状态预期!AC138&lt;=1,基础状态预期!AC138*G$4,1*G$4+(基础状态预期!AC138-1)*武将觉醒!G$5))</f>
        <v>0</v>
      </c>
      <c r="R126" s="80">
        <f>IF(基础状态预期!J138="",0,IF(基础状态预期!AD138&lt;=1,基础状态预期!AD138*H$4,1*H$4+(基础状态预期!AD138-1)*武将觉醒!H$5))</f>
        <v>2050000</v>
      </c>
      <c r="S126" s="80">
        <f>MAX(SUMPRODUCT(N126:R126,基础状态预期!F138:J138),S125)</f>
        <v>12300000</v>
      </c>
      <c r="T126" s="80">
        <f>IF(基础状态预期!Z138="",0,IFERROR(基础状态预期!F138*求节点($C$62:$C$63,D$62:D$63,基础状态预期!Z138),0)+IFERROR(基础状态预期!$J138*求节点($C$71:$C$72,D$71:D$72,基础状态预期!$AD138),0))</f>
        <v>0</v>
      </c>
      <c r="U126" s="80">
        <f>IF(基础状态预期!AA138="",0,IFERROR(基础状态预期!G138*求节点($C$62:$C$63,E$62:E$63,基础状态预期!AA138),0)+IFERROR(基础状态预期!$J138*求节点($C$71:$C$72,E$71:E$72,基础状态预期!$AD138),0))</f>
        <v>0</v>
      </c>
      <c r="V126" s="80">
        <f>IF(基础状态预期!AB138="",0,IFERROR(基础状态预期!H138*求节点($C$62:$C$63,F$62:F$63,基础状态预期!AB138),0)+IFERROR(基础状态预期!$J138*求节点($C$71:$C$72,F$71:F$72,基础状态预期!$AD138),0))</f>
        <v>0</v>
      </c>
      <c r="W126" s="80">
        <f>IF(基础状态预期!AC138="",0,IFERROR(基础状态预期!I138*求节点($C$62:$C$63,G$62:G$63,基础状态预期!AC138),0)+IFERROR(基础状态预期!$J138*求节点($C$71:$C$72,G$71:G$72,基础状态预期!$AD138),0))</f>
        <v>0</v>
      </c>
      <c r="X126" s="80">
        <f>IF(基础状态预期!AD138="",0,IFERROR(基础状态预期!J138*求节点($C$62:$C$63,H$62:H$63,基础状态预期!AD138),0)+IFERROR(基础状态预期!$J138*求节点($C$71:$C$72,H$71:H$72,基础状态预期!$AD138),0))</f>
        <v>0</v>
      </c>
      <c r="Y126" s="80">
        <f>IF(基础状态预期!$H138="",0,IF(基础状态预期!$AB138&lt;=1,基础状态预期!$AB138*D$18,D$18)*基础状态预期!$H138)+
IF(基础状态预期!$I138="",0,IF(基础状态预期!$AC138&lt;=1,基础状态预期!$AC138*D$19,D$19)*基础状态预期!$I138)+
IF(基础状态预期!$J138="",0,IF(基础状态预期!$AD138&lt;=1,基础状态预期!$AD138*D$20,D$20)*基础状态预期!$J138)</f>
        <v>48</v>
      </c>
      <c r="Z126" s="80">
        <f>IF(基础状态预期!$H138="",0,IF(基础状态预期!$AB138&lt;=1,基础状态预期!$AB138*E$18,E$18)*基础状态预期!$H138)+
IF(基础状态预期!$I138="",0,IF(基础状态预期!$AC138&lt;=1,基础状态预期!$AC138*E$19,E$19)*基础状态预期!$I138)+
IF(基础状态预期!$J138="",0,IF(基础状态预期!$AD138&lt;=1,基础状态预期!$AD138*E$20,E$20)*基础状态预期!$J138)</f>
        <v>0</v>
      </c>
      <c r="AA126" s="80">
        <f>IF(基础状态预期!$H138="",0,IF(基础状态预期!$AB138&lt;=1,基础状态预期!$AB138*F$18,F$18)*基础状态预期!$H138)+
IF(基础状态预期!$I138="",0,IF(基础状态预期!$AC138&lt;=1,基础状态预期!$AC138*F$19,F$19)*基础状态预期!$I138)+
IF(基础状态预期!$J138="",0,IF(基础状态预期!$AD138&lt;=1,基础状态预期!$AD138*F$20,F$20)*基础状态预期!$J138)</f>
        <v>0</v>
      </c>
      <c r="AB126" s="67">
        <f>IF(基础状态预期!$H138="",0,IF(基础状态预期!$AB138&lt;=1,0,(基础状态预期!$AB138-1)*G$26)*基础状态预期!$H138)+
IF(基础状态预期!$I138="",0,IF(基础状态预期!$AC138&lt;=1,0,(基础状态预期!$AC138-1)*G$27)*基础状态预期!$I138)+
IF(基础状态预期!$J138="",0,IF(基础状态预期!$AD138&lt;=1,0,(基础状态预期!$AD138-1)*G$28)*基础状态预期!$J138)</f>
        <v>240</v>
      </c>
      <c r="AC126" s="67">
        <f>IF(基础状态预期!$H138="",0,IF(基础状态预期!$AB138&lt;=1,0,(基础状态预期!$AB138-1)*H$26)*基础状态预期!$H138)+
IF(基础状态预期!$I138="",0,IF(基础状态预期!$AC138&lt;=1,0,(基础状态预期!$AC138-1)*H$27)*基础状态预期!$I138)+
IF(基础状态预期!$J138="",0,IF(基础状态预期!$AD138&lt;=1,0,(基础状态预期!$AD138-1)*H$28)*基础状态预期!$J138)</f>
        <v>0</v>
      </c>
      <c r="AD126" s="67">
        <f>IF(基础状态预期!$H138="",0,IF(基础状态预期!$AB138&lt;=1,0,(基础状态预期!$AB138-1)*I$26)*基础状态预期!$H138)+
IF(基础状态预期!$I138="",0,IF(基础状态预期!$AC138&lt;=1,0,(基础状态预期!$AC138-1)*I$27)*基础状态预期!$I138)+
IF(基础状态预期!$J138="",0,IF(基础状态预期!$AD138&lt;=1,0,(基础状态预期!$AD138-1)*I$28)*基础状态预期!$J138)</f>
        <v>0</v>
      </c>
      <c r="AE126" s="80">
        <f>IF(各r阵容卡情况!$H154=0,0,IF(各r阵容卡情况!$AB154&lt;=1,各r阵容卡情况!$AB154*D$18,1*D$18)*各r阵容卡情况!$H154)+
IF(各r阵容卡情况!$I154=0,0,IF(各r阵容卡情况!$AC154&lt;=1,各r阵容卡情况!$AC154*D$19,1*D$19)*各r阵容卡情况!$I154)+
IF(各r阵容卡情况!$J154=0,0,IF(各r阵容卡情况!$AD154&lt;=1,各r阵容卡情况!$AD154*D$20,1*D$20)*各r阵容卡情况!$J154)</f>
        <v>128</v>
      </c>
      <c r="AF126" s="80">
        <f>IF(各r阵容卡情况!$H154=0,0,IF(各r阵容卡情况!$AB154&lt;=1,各r阵容卡情况!$AB154*E$18,1*E$18)*各r阵容卡情况!$H154)+
IF(各r阵容卡情况!$I154=0,0,IF(各r阵容卡情况!$AC154&lt;=1,各r阵容卡情况!$AC154*E$19,1*E$19)*各r阵容卡情况!$I154)+
IF(各r阵容卡情况!$J154=0,0,IF(各r阵容卡情况!$AD154&lt;=1,各r阵容卡情况!$AD154*E$20,1*E$20)*各r阵容卡情况!$J154)</f>
        <v>0</v>
      </c>
      <c r="AG126" s="80">
        <f>IF(各r阵容卡情况!$H154=0,0,IF(各r阵容卡情况!$AB154&lt;=1,各r阵容卡情况!$AB154*F$18,1*F$18)*各r阵容卡情况!$H154)+
IF(各r阵容卡情况!$I154=0,0,IF(各r阵容卡情况!$AC154&lt;=1,各r阵容卡情况!$AC154*F$19,1*F$19)*各r阵容卡情况!$I154)+
IF(各r阵容卡情况!$J154=0,0,IF(各r阵容卡情况!$AD154&lt;=1,各r阵容卡情况!$AD154*F$20,1*F$20)*各r阵容卡情况!$J154)</f>
        <v>0</v>
      </c>
      <c r="AH126" s="67">
        <f>IF(各r阵容卡情况!$H154=0,0,IF(各r阵容卡情况!$AB154&lt;=1,0,(各r阵容卡情况!$AB154-1)*G$26)*各r阵容卡情况!$H154)+
IF(各r阵容卡情况!$I154=0,0,IF(各r阵容卡情况!$AC154&lt;=1,0,(各r阵容卡情况!$AC154-1)*G$27)*各r阵容卡情况!$I154)+
IF(各r阵容卡情况!$J154=0,0,IF(各r阵容卡情况!$AD154&lt;=1,0,(各r阵容卡情况!$AD154-1)*G$28)*各r阵容卡情况!$J154)</f>
        <v>640</v>
      </c>
      <c r="AI126" s="67">
        <f>IF(各r阵容卡情况!$H154=0,0,IF(各r阵容卡情况!$AB154&lt;=1,0,(各r阵容卡情况!$AB154-1)*H$26)*各r阵容卡情况!$H154)+
IF(各r阵容卡情况!$I154=0,0,IF(各r阵容卡情况!$AC154&lt;=1,0,(各r阵容卡情况!$AC154-1)*H$27)*各r阵容卡情况!$I154)+
IF(各r阵容卡情况!$J154=0,0,IF(各r阵容卡情况!$AD154&lt;=1,0,(各r阵容卡情况!$AD154-1)*H$28)*各r阵容卡情况!$J154)</f>
        <v>0</v>
      </c>
      <c r="AJ126" s="67">
        <f>IF(各r阵容卡情况!$H154=0,0,IF(各r阵容卡情况!$AB154&lt;=1,0,(各r阵容卡情况!$AB154-1)*I$26)*各r阵容卡情况!$H154)+
IF(各r阵容卡情况!$I154=0,0,IF(各r阵容卡情况!$AC154&lt;=1,0,(各r阵容卡情况!$AC154-1)*I$27)*各r阵容卡情况!$I154)+
IF(各r阵容卡情况!$J154=0,0,IF(各r阵容卡情况!$AD154&lt;=1,0,(各r阵容卡情况!$AD154-1)*I$28)*各r阵容卡情况!$J154)</f>
        <v>0</v>
      </c>
      <c r="AL126" s="80">
        <f t="shared" si="98"/>
        <v>165</v>
      </c>
      <c r="AM126" s="80">
        <f t="shared" si="99"/>
        <v>48</v>
      </c>
      <c r="AN126" s="80">
        <f t="shared" si="100"/>
        <v>0</v>
      </c>
      <c r="AO126" s="80">
        <f t="shared" si="101"/>
        <v>0</v>
      </c>
      <c r="AP126" s="80">
        <f t="shared" si="102"/>
        <v>240</v>
      </c>
      <c r="AQ126" s="80">
        <f t="shared" si="103"/>
        <v>0</v>
      </c>
      <c r="AR126" s="80">
        <f t="shared" si="104"/>
        <v>0</v>
      </c>
      <c r="AS126" s="80">
        <f t="shared" si="105"/>
        <v>144</v>
      </c>
      <c r="AT126" s="80">
        <f t="shared" si="106"/>
        <v>0</v>
      </c>
      <c r="AU126" s="80">
        <f t="shared" si="107"/>
        <v>0</v>
      </c>
      <c r="AV126" s="80">
        <f t="shared" si="108"/>
        <v>720</v>
      </c>
      <c r="AW126" s="80">
        <f t="shared" si="109"/>
        <v>0</v>
      </c>
      <c r="AX126" s="80">
        <f t="shared" si="110"/>
        <v>0</v>
      </c>
      <c r="AY126" s="61" t="e">
        <f>SUMPRODUCT(AM126:AR126/'[1]功能-行军令'!$GI$26:$GN$26+AS126:AX126/'[1]功能-行军令'!$GI$26:$GN$26)/0.18</f>
        <v>#DIV/0!</v>
      </c>
      <c r="BO126" s="80">
        <f t="shared" si="96"/>
        <v>139.56936219880694</v>
      </c>
      <c r="BP126" s="80">
        <f t="shared" si="97"/>
        <v>12300000</v>
      </c>
      <c r="BQ126" s="80">
        <f>(BP126-BP125)*INDEX('[1]功能-付费相关'!$AS$6:$AS$165,$BO126,1)+BQ125</f>
        <v>16400.362618327152</v>
      </c>
      <c r="BR126" s="80"/>
      <c r="BS126" s="80"/>
    </row>
    <row r="127" spans="12:71" x14ac:dyDescent="0.15">
      <c r="L127" s="61">
        <v>36</v>
      </c>
      <c r="M127" s="80">
        <f>基础状态预期!D139</f>
        <v>139.56936219880694</v>
      </c>
      <c r="N127" s="80">
        <f>IF(基础状态预期!F139="",0,IF(基础状态预期!Z139&lt;=1,基础状态预期!Z139*D$4,1*D$4+(基础状态预期!Z139-1)*武将觉醒!D$5))</f>
        <v>0</v>
      </c>
      <c r="O127" s="80">
        <f>IF(基础状态预期!G139="",0,IF(基础状态预期!AA139&lt;=1,基础状态预期!AA139*E$4,1*E$4+(基础状态预期!AA139-1)*武将觉醒!E$5))</f>
        <v>0</v>
      </c>
      <c r="P127" s="80">
        <f>IF(基础状态预期!H139="",0,IF(基础状态预期!AB139&lt;=1,基础状态预期!AB139*F$4,1*F$4+(基础状态预期!AB139-1)*武将觉醒!F$5))</f>
        <v>0</v>
      </c>
      <c r="Q127" s="80">
        <f>IF(基础状态预期!I139="",0,IF(基础状态预期!AC139&lt;=1,基础状态预期!AC139*G$4,1*G$4+(基础状态预期!AC139-1)*武将觉醒!G$5))</f>
        <v>0</v>
      </c>
      <c r="R127" s="80">
        <f>IF(基础状态预期!J139="",0,IF(基础状态预期!AD139&lt;=1,基础状态预期!AD139*H$4,1*H$4+(基础状态预期!AD139-1)*武将觉醒!H$5))</f>
        <v>2050000</v>
      </c>
      <c r="S127" s="80">
        <f>MAX(SUMPRODUCT(N127:R127,基础状态预期!F139:J139),S126)</f>
        <v>12300000</v>
      </c>
      <c r="T127" s="80">
        <f>IF(基础状态预期!Z139="",0,IFERROR(基础状态预期!F139*求节点($C$62:$C$63,D$62:D$63,基础状态预期!Z139),0)+IFERROR(基础状态预期!$J139*求节点($C$71:$C$72,D$71:D$72,基础状态预期!$AD139),0))</f>
        <v>0</v>
      </c>
      <c r="U127" s="80">
        <f>IF(基础状态预期!AA139="",0,IFERROR(基础状态预期!G139*求节点($C$62:$C$63,E$62:E$63,基础状态预期!AA139),0)+IFERROR(基础状态预期!$J139*求节点($C$71:$C$72,E$71:E$72,基础状态预期!$AD139),0))</f>
        <v>0</v>
      </c>
      <c r="V127" s="80">
        <f>IF(基础状态预期!AB139="",0,IFERROR(基础状态预期!H139*求节点($C$62:$C$63,F$62:F$63,基础状态预期!AB139),0)+IFERROR(基础状态预期!$J139*求节点($C$71:$C$72,F$71:F$72,基础状态预期!$AD139),0))</f>
        <v>0</v>
      </c>
      <c r="W127" s="80">
        <f>IF(基础状态预期!AC139="",0,IFERROR(基础状态预期!I139*求节点($C$62:$C$63,G$62:G$63,基础状态预期!AC139),0)+IFERROR(基础状态预期!$J139*求节点($C$71:$C$72,G$71:G$72,基础状态预期!$AD139),0))</f>
        <v>0</v>
      </c>
      <c r="X127" s="80">
        <f>IF(基础状态预期!AD139="",0,IFERROR(基础状态预期!J139*求节点($C$62:$C$63,H$62:H$63,基础状态预期!AD139),0)+IFERROR(基础状态预期!$J139*求节点($C$71:$C$72,H$71:H$72,基础状态预期!$AD139),0))</f>
        <v>0</v>
      </c>
      <c r="Y127" s="80">
        <f>IF(基础状态预期!$H139="",0,IF(基础状态预期!$AB139&lt;=1,基础状态预期!$AB139*D$18,D$18)*基础状态预期!$H139)+
IF(基础状态预期!$I139="",0,IF(基础状态预期!$AC139&lt;=1,基础状态预期!$AC139*D$19,D$19)*基础状态预期!$I139)+
IF(基础状态预期!$J139="",0,IF(基础状态预期!$AD139&lt;=1,基础状态预期!$AD139*D$20,D$20)*基础状态预期!$J139)</f>
        <v>48</v>
      </c>
      <c r="Z127" s="80">
        <f>IF(基础状态预期!$H139="",0,IF(基础状态预期!$AB139&lt;=1,基础状态预期!$AB139*E$18,E$18)*基础状态预期!$H139)+
IF(基础状态预期!$I139="",0,IF(基础状态预期!$AC139&lt;=1,基础状态预期!$AC139*E$19,E$19)*基础状态预期!$I139)+
IF(基础状态预期!$J139="",0,IF(基础状态预期!$AD139&lt;=1,基础状态预期!$AD139*E$20,E$20)*基础状态预期!$J139)</f>
        <v>0</v>
      </c>
      <c r="AA127" s="80">
        <f>IF(基础状态预期!$H139="",0,IF(基础状态预期!$AB139&lt;=1,基础状态预期!$AB139*F$18,F$18)*基础状态预期!$H139)+
IF(基础状态预期!$I139="",0,IF(基础状态预期!$AC139&lt;=1,基础状态预期!$AC139*F$19,F$19)*基础状态预期!$I139)+
IF(基础状态预期!$J139="",0,IF(基础状态预期!$AD139&lt;=1,基础状态预期!$AD139*F$20,F$20)*基础状态预期!$J139)</f>
        <v>0</v>
      </c>
      <c r="AB127" s="67">
        <f>IF(基础状态预期!$H139="",0,IF(基础状态预期!$AB139&lt;=1,0,(基础状态预期!$AB139-1)*G$26)*基础状态预期!$H139)+
IF(基础状态预期!$I139="",0,IF(基础状态预期!$AC139&lt;=1,0,(基础状态预期!$AC139-1)*G$27)*基础状态预期!$I139)+
IF(基础状态预期!$J139="",0,IF(基础状态预期!$AD139&lt;=1,0,(基础状态预期!$AD139-1)*G$28)*基础状态预期!$J139)</f>
        <v>240</v>
      </c>
      <c r="AC127" s="67">
        <f>IF(基础状态预期!$H139="",0,IF(基础状态预期!$AB139&lt;=1,0,(基础状态预期!$AB139-1)*H$26)*基础状态预期!$H139)+
IF(基础状态预期!$I139="",0,IF(基础状态预期!$AC139&lt;=1,0,(基础状态预期!$AC139-1)*H$27)*基础状态预期!$I139)+
IF(基础状态预期!$J139="",0,IF(基础状态预期!$AD139&lt;=1,0,(基础状态预期!$AD139-1)*H$28)*基础状态预期!$J139)</f>
        <v>0</v>
      </c>
      <c r="AD127" s="67">
        <f>IF(基础状态预期!$H139="",0,IF(基础状态预期!$AB139&lt;=1,0,(基础状态预期!$AB139-1)*I$26)*基础状态预期!$H139)+
IF(基础状态预期!$I139="",0,IF(基础状态预期!$AC139&lt;=1,0,(基础状态预期!$AC139-1)*I$27)*基础状态预期!$I139)+
IF(基础状态预期!$J139="",0,IF(基础状态预期!$AD139&lt;=1,0,(基础状态预期!$AD139-1)*I$28)*基础状态预期!$J139)</f>
        <v>0</v>
      </c>
      <c r="AE127" s="80">
        <f>IF(各r阵容卡情况!$H155=0,0,IF(各r阵容卡情况!$AB155&lt;=1,各r阵容卡情况!$AB155*D$18,1*D$18)*各r阵容卡情况!$H155)+
IF(各r阵容卡情况!$I155=0,0,IF(各r阵容卡情况!$AC155&lt;=1,各r阵容卡情况!$AC155*D$19,1*D$19)*各r阵容卡情况!$I155)+
IF(各r阵容卡情况!$J155=0,0,IF(各r阵容卡情况!$AD155&lt;=1,各r阵容卡情况!$AD155*D$20,1*D$20)*各r阵容卡情况!$J155)</f>
        <v>136</v>
      </c>
      <c r="AF127" s="80">
        <f>IF(各r阵容卡情况!$H155=0,0,IF(各r阵容卡情况!$AB155&lt;=1,各r阵容卡情况!$AB155*E$18,1*E$18)*各r阵容卡情况!$H155)+
IF(各r阵容卡情况!$I155=0,0,IF(各r阵容卡情况!$AC155&lt;=1,各r阵容卡情况!$AC155*E$19,1*E$19)*各r阵容卡情况!$I155)+
IF(各r阵容卡情况!$J155=0,0,IF(各r阵容卡情况!$AD155&lt;=1,各r阵容卡情况!$AD155*E$20,1*E$20)*各r阵容卡情况!$J155)</f>
        <v>0</v>
      </c>
      <c r="AG127" s="80">
        <f>IF(各r阵容卡情况!$H155=0,0,IF(各r阵容卡情况!$AB155&lt;=1,各r阵容卡情况!$AB155*F$18,1*F$18)*各r阵容卡情况!$H155)+
IF(各r阵容卡情况!$I155=0,0,IF(各r阵容卡情况!$AC155&lt;=1,各r阵容卡情况!$AC155*F$19,1*F$19)*各r阵容卡情况!$I155)+
IF(各r阵容卡情况!$J155=0,0,IF(各r阵容卡情况!$AD155&lt;=1,各r阵容卡情况!$AD155*F$20,1*F$20)*各r阵容卡情况!$J155)</f>
        <v>0</v>
      </c>
      <c r="AH127" s="67">
        <f>IF(各r阵容卡情况!$H155=0,0,IF(各r阵容卡情况!$AB155&lt;=1,0,(各r阵容卡情况!$AB155-1)*G$26)*各r阵容卡情况!$H155)+
IF(各r阵容卡情况!$I155=0,0,IF(各r阵容卡情况!$AC155&lt;=1,0,(各r阵容卡情况!$AC155-1)*G$27)*各r阵容卡情况!$I155)+
IF(各r阵容卡情况!$J155=0,0,IF(各r阵容卡情况!$AD155&lt;=1,0,(各r阵容卡情况!$AD155-1)*G$28)*各r阵容卡情况!$J155)</f>
        <v>680</v>
      </c>
      <c r="AI127" s="67">
        <f>IF(各r阵容卡情况!$H155=0,0,IF(各r阵容卡情况!$AB155&lt;=1,0,(各r阵容卡情况!$AB155-1)*H$26)*各r阵容卡情况!$H155)+
IF(各r阵容卡情况!$I155=0,0,IF(各r阵容卡情况!$AC155&lt;=1,0,(各r阵容卡情况!$AC155-1)*H$27)*各r阵容卡情况!$I155)+
IF(各r阵容卡情况!$J155=0,0,IF(各r阵容卡情况!$AD155&lt;=1,0,(各r阵容卡情况!$AD155-1)*H$28)*各r阵容卡情况!$J155)</f>
        <v>0</v>
      </c>
      <c r="AJ127" s="67">
        <f>IF(各r阵容卡情况!$H155=0,0,IF(各r阵容卡情况!$AB155&lt;=1,0,(各r阵容卡情况!$AB155-1)*I$26)*各r阵容卡情况!$H155)+
IF(各r阵容卡情况!$I155=0,0,IF(各r阵容卡情况!$AC155&lt;=1,0,(各r阵容卡情况!$AC155-1)*I$27)*各r阵容卡情况!$I155)+
IF(各r阵容卡情况!$J155=0,0,IF(各r阵容卡情况!$AD155&lt;=1,0,(各r阵容卡情况!$AD155-1)*I$28)*各r阵容卡情况!$J155)</f>
        <v>0</v>
      </c>
      <c r="AL127" s="80">
        <f t="shared" si="98"/>
        <v>170</v>
      </c>
      <c r="AM127" s="80">
        <f t="shared" si="99"/>
        <v>48</v>
      </c>
      <c r="AN127" s="80">
        <f t="shared" si="100"/>
        <v>0</v>
      </c>
      <c r="AO127" s="80">
        <f t="shared" si="101"/>
        <v>0</v>
      </c>
      <c r="AP127" s="80">
        <f t="shared" si="102"/>
        <v>240</v>
      </c>
      <c r="AQ127" s="80">
        <f t="shared" si="103"/>
        <v>0</v>
      </c>
      <c r="AR127" s="80">
        <f t="shared" si="104"/>
        <v>0</v>
      </c>
      <c r="AS127" s="80">
        <f t="shared" si="105"/>
        <v>144</v>
      </c>
      <c r="AT127" s="80">
        <f t="shared" si="106"/>
        <v>0</v>
      </c>
      <c r="AU127" s="80">
        <f t="shared" si="107"/>
        <v>0</v>
      </c>
      <c r="AV127" s="80">
        <f t="shared" si="108"/>
        <v>720</v>
      </c>
      <c r="AW127" s="80">
        <f t="shared" si="109"/>
        <v>0</v>
      </c>
      <c r="AX127" s="80">
        <f t="shared" si="110"/>
        <v>0</v>
      </c>
      <c r="AY127" s="61" t="e">
        <f>SUMPRODUCT(AM127:AR127/'[1]功能-行军令'!$GI$26:$GN$26+AS127:AX127/'[1]功能-行军令'!$GI$26:$GN$26)/0.18</f>
        <v>#DIV/0!</v>
      </c>
      <c r="BO127" s="80">
        <f t="shared" si="96"/>
        <v>143.08413721822018</v>
      </c>
      <c r="BP127" s="80">
        <f t="shared" si="97"/>
        <v>12300000</v>
      </c>
      <c r="BQ127" s="80">
        <f>(BP127-BP126)*INDEX('[1]功能-付费相关'!$AS$6:$AS$165,$BO127,1)+BQ126</f>
        <v>16400.362618327152</v>
      </c>
      <c r="BR127" s="80"/>
      <c r="BS127" s="80"/>
    </row>
    <row r="128" spans="12:71" x14ac:dyDescent="0.15">
      <c r="L128" s="61">
        <v>37</v>
      </c>
      <c r="M128" s="80">
        <f>基础状态预期!D140</f>
        <v>143.08413721822018</v>
      </c>
      <c r="N128" s="80">
        <f>IF(基础状态预期!F140="",0,IF(基础状态预期!Z140&lt;=1,基础状态预期!Z140*D$4,1*D$4+(基础状态预期!Z140-1)*武将觉醒!D$5))</f>
        <v>0</v>
      </c>
      <c r="O128" s="80">
        <f>IF(基础状态预期!G140="",0,IF(基础状态预期!AA140&lt;=1,基础状态预期!AA140*E$4,1*E$4+(基础状态预期!AA140-1)*武将觉醒!E$5))</f>
        <v>0</v>
      </c>
      <c r="P128" s="80">
        <f>IF(基础状态预期!H140="",0,IF(基础状态预期!AB140&lt;=1,基础状态预期!AB140*F$4,1*F$4+(基础状态预期!AB140-1)*武将觉醒!F$5))</f>
        <v>0</v>
      </c>
      <c r="Q128" s="80">
        <f>IF(基础状态预期!I140="",0,IF(基础状态预期!AC140&lt;=1,基础状态预期!AC140*G$4,1*G$4+(基础状态预期!AC140-1)*武将觉醒!G$5))</f>
        <v>0</v>
      </c>
      <c r="R128" s="80">
        <f>IF(基础状态预期!J140="",0,IF(基础状态预期!AD140&lt;=1,基础状态预期!AD140*H$4,1*H$4+(基础状态预期!AD140-1)*武将觉醒!H$5))</f>
        <v>2050000</v>
      </c>
      <c r="S128" s="80">
        <f>MAX(SUMPRODUCT(N128:R128,基础状态预期!F140:J140),S127)</f>
        <v>12300000</v>
      </c>
      <c r="T128" s="80">
        <f>IF(基础状态预期!Z140="",0,IFERROR(基础状态预期!F140*求节点($C$62:$C$63,D$62:D$63,基础状态预期!Z140),0)+IFERROR(基础状态预期!$J140*求节点($C$71:$C$72,D$71:D$72,基础状态预期!$AD140),0))</f>
        <v>0</v>
      </c>
      <c r="U128" s="80">
        <f>IF(基础状态预期!AA140="",0,IFERROR(基础状态预期!G140*求节点($C$62:$C$63,E$62:E$63,基础状态预期!AA140),0)+IFERROR(基础状态预期!$J140*求节点($C$71:$C$72,E$71:E$72,基础状态预期!$AD140),0))</f>
        <v>0</v>
      </c>
      <c r="V128" s="80">
        <f>IF(基础状态预期!AB140="",0,IFERROR(基础状态预期!H140*求节点($C$62:$C$63,F$62:F$63,基础状态预期!AB140),0)+IFERROR(基础状态预期!$J140*求节点($C$71:$C$72,F$71:F$72,基础状态预期!$AD140),0))</f>
        <v>0</v>
      </c>
      <c r="W128" s="80">
        <f>IF(基础状态预期!AC140="",0,IFERROR(基础状态预期!I140*求节点($C$62:$C$63,G$62:G$63,基础状态预期!AC140),0)+IFERROR(基础状态预期!$J140*求节点($C$71:$C$72,G$71:G$72,基础状态预期!$AD140),0))</f>
        <v>0</v>
      </c>
      <c r="X128" s="80">
        <f>IF(基础状态预期!AD140="",0,IFERROR(基础状态预期!J140*求节点($C$62:$C$63,H$62:H$63,基础状态预期!AD140),0)+IFERROR(基础状态预期!$J140*求节点($C$71:$C$72,H$71:H$72,基础状态预期!$AD140),0))</f>
        <v>0</v>
      </c>
      <c r="Y128" s="80">
        <f>IF(基础状态预期!$H140="",0,IF(基础状态预期!$AB140&lt;=1,基础状态预期!$AB140*D$18,D$18)*基础状态预期!$H140)+
IF(基础状态预期!$I140="",0,IF(基础状态预期!$AC140&lt;=1,基础状态预期!$AC140*D$19,D$19)*基础状态预期!$I140)+
IF(基础状态预期!$J140="",0,IF(基础状态预期!$AD140&lt;=1,基础状态预期!$AD140*D$20,D$20)*基础状态预期!$J140)</f>
        <v>48</v>
      </c>
      <c r="Z128" s="80">
        <f>IF(基础状态预期!$H140="",0,IF(基础状态预期!$AB140&lt;=1,基础状态预期!$AB140*E$18,E$18)*基础状态预期!$H140)+
IF(基础状态预期!$I140="",0,IF(基础状态预期!$AC140&lt;=1,基础状态预期!$AC140*E$19,E$19)*基础状态预期!$I140)+
IF(基础状态预期!$J140="",0,IF(基础状态预期!$AD140&lt;=1,基础状态预期!$AD140*E$20,E$20)*基础状态预期!$J140)</f>
        <v>0</v>
      </c>
      <c r="AA128" s="80">
        <f>IF(基础状态预期!$H140="",0,IF(基础状态预期!$AB140&lt;=1,基础状态预期!$AB140*F$18,F$18)*基础状态预期!$H140)+
IF(基础状态预期!$I140="",0,IF(基础状态预期!$AC140&lt;=1,基础状态预期!$AC140*F$19,F$19)*基础状态预期!$I140)+
IF(基础状态预期!$J140="",0,IF(基础状态预期!$AD140&lt;=1,基础状态预期!$AD140*F$20,F$20)*基础状态预期!$J140)</f>
        <v>0</v>
      </c>
      <c r="AB128" s="67">
        <f>IF(基础状态预期!$H140="",0,IF(基础状态预期!$AB140&lt;=1,0,(基础状态预期!$AB140-1)*G$26)*基础状态预期!$H140)+
IF(基础状态预期!$I140="",0,IF(基础状态预期!$AC140&lt;=1,0,(基础状态预期!$AC140-1)*G$27)*基础状态预期!$I140)+
IF(基础状态预期!$J140="",0,IF(基础状态预期!$AD140&lt;=1,0,(基础状态预期!$AD140-1)*G$28)*基础状态预期!$J140)</f>
        <v>240</v>
      </c>
      <c r="AC128" s="67">
        <f>IF(基础状态预期!$H140="",0,IF(基础状态预期!$AB140&lt;=1,0,(基础状态预期!$AB140-1)*H$26)*基础状态预期!$H140)+
IF(基础状态预期!$I140="",0,IF(基础状态预期!$AC140&lt;=1,0,(基础状态预期!$AC140-1)*H$27)*基础状态预期!$I140)+
IF(基础状态预期!$J140="",0,IF(基础状态预期!$AD140&lt;=1,0,(基础状态预期!$AD140-1)*H$28)*基础状态预期!$J140)</f>
        <v>0</v>
      </c>
      <c r="AD128" s="67">
        <f>IF(基础状态预期!$H140="",0,IF(基础状态预期!$AB140&lt;=1,0,(基础状态预期!$AB140-1)*I$26)*基础状态预期!$H140)+
IF(基础状态预期!$I140="",0,IF(基础状态预期!$AC140&lt;=1,0,(基础状态预期!$AC140-1)*I$27)*基础状态预期!$I140)+
IF(基础状态预期!$J140="",0,IF(基础状态预期!$AD140&lt;=1,0,(基础状态预期!$AD140-1)*I$28)*基础状态预期!$J140)</f>
        <v>0</v>
      </c>
      <c r="AE128" s="80">
        <f>IF(各r阵容卡情况!$H156=0,0,IF(各r阵容卡情况!$AB156&lt;=1,各r阵容卡情况!$AB156*D$18,1*D$18)*各r阵容卡情况!$H156)+
IF(各r阵容卡情况!$I156=0,0,IF(各r阵容卡情况!$AC156&lt;=1,各r阵容卡情况!$AC156*D$19,1*D$19)*各r阵容卡情况!$I156)+
IF(各r阵容卡情况!$J156=0,0,IF(各r阵容卡情况!$AD156&lt;=1,各r阵容卡情况!$AD156*D$20,1*D$20)*各r阵容卡情况!$J156)</f>
        <v>136</v>
      </c>
      <c r="AF128" s="80">
        <f>IF(各r阵容卡情况!$H156=0,0,IF(各r阵容卡情况!$AB156&lt;=1,各r阵容卡情况!$AB156*E$18,1*E$18)*各r阵容卡情况!$H156)+
IF(各r阵容卡情况!$I156=0,0,IF(各r阵容卡情况!$AC156&lt;=1,各r阵容卡情况!$AC156*E$19,1*E$19)*各r阵容卡情况!$I156)+
IF(各r阵容卡情况!$J156=0,0,IF(各r阵容卡情况!$AD156&lt;=1,各r阵容卡情况!$AD156*E$20,1*E$20)*各r阵容卡情况!$J156)</f>
        <v>0</v>
      </c>
      <c r="AG128" s="80">
        <f>IF(各r阵容卡情况!$H156=0,0,IF(各r阵容卡情况!$AB156&lt;=1,各r阵容卡情况!$AB156*F$18,1*F$18)*各r阵容卡情况!$H156)+
IF(各r阵容卡情况!$I156=0,0,IF(各r阵容卡情况!$AC156&lt;=1,各r阵容卡情况!$AC156*F$19,1*F$19)*各r阵容卡情况!$I156)+
IF(各r阵容卡情况!$J156=0,0,IF(各r阵容卡情况!$AD156&lt;=1,各r阵容卡情况!$AD156*F$20,1*F$20)*各r阵容卡情况!$J156)</f>
        <v>0</v>
      </c>
      <c r="AH128" s="67">
        <f>IF(各r阵容卡情况!$H156=0,0,IF(各r阵容卡情况!$AB156&lt;=1,0,(各r阵容卡情况!$AB156-1)*G$26)*各r阵容卡情况!$H156)+
IF(各r阵容卡情况!$I156=0,0,IF(各r阵容卡情况!$AC156&lt;=1,0,(各r阵容卡情况!$AC156-1)*G$27)*各r阵容卡情况!$I156)+
IF(各r阵容卡情况!$J156=0,0,IF(各r阵容卡情况!$AD156&lt;=1,0,(各r阵容卡情况!$AD156-1)*G$28)*各r阵容卡情况!$J156)</f>
        <v>680</v>
      </c>
      <c r="AI128" s="67">
        <f>IF(各r阵容卡情况!$H156=0,0,IF(各r阵容卡情况!$AB156&lt;=1,0,(各r阵容卡情况!$AB156-1)*H$26)*各r阵容卡情况!$H156)+
IF(各r阵容卡情况!$I156=0,0,IF(各r阵容卡情况!$AC156&lt;=1,0,(各r阵容卡情况!$AC156-1)*H$27)*各r阵容卡情况!$I156)+
IF(各r阵容卡情况!$J156=0,0,IF(各r阵容卡情况!$AD156&lt;=1,0,(各r阵容卡情况!$AD156-1)*H$28)*各r阵容卡情况!$J156)</f>
        <v>0</v>
      </c>
      <c r="AJ128" s="67">
        <f>IF(各r阵容卡情况!$H156=0,0,IF(各r阵容卡情况!$AB156&lt;=1,0,(各r阵容卡情况!$AB156-1)*I$26)*各r阵容卡情况!$H156)+
IF(各r阵容卡情况!$I156=0,0,IF(各r阵容卡情况!$AC156&lt;=1,0,(各r阵容卡情况!$AC156-1)*I$27)*各r阵容卡情况!$I156)+
IF(各r阵容卡情况!$J156=0,0,IF(各r阵容卡情况!$AD156&lt;=1,0,(各r阵容卡情况!$AD156-1)*I$28)*各r阵容卡情况!$J156)</f>
        <v>0</v>
      </c>
      <c r="AL128" s="80">
        <f t="shared" si="98"/>
        <v>175</v>
      </c>
      <c r="AM128" s="80">
        <f t="shared" si="99"/>
        <v>48</v>
      </c>
      <c r="AN128" s="80">
        <f t="shared" si="100"/>
        <v>0</v>
      </c>
      <c r="AO128" s="80">
        <f t="shared" si="101"/>
        <v>0</v>
      </c>
      <c r="AP128" s="80">
        <f t="shared" si="102"/>
        <v>240</v>
      </c>
      <c r="AQ128" s="80">
        <f t="shared" si="103"/>
        <v>0</v>
      </c>
      <c r="AR128" s="80">
        <f t="shared" si="104"/>
        <v>0</v>
      </c>
      <c r="AS128" s="80">
        <f t="shared" si="105"/>
        <v>144</v>
      </c>
      <c r="AT128" s="80">
        <f t="shared" si="106"/>
        <v>0</v>
      </c>
      <c r="AU128" s="80">
        <f t="shared" si="107"/>
        <v>0</v>
      </c>
      <c r="AV128" s="80">
        <f t="shared" si="108"/>
        <v>720</v>
      </c>
      <c r="AW128" s="80">
        <f t="shared" si="109"/>
        <v>0</v>
      </c>
      <c r="AX128" s="80">
        <f t="shared" si="110"/>
        <v>0</v>
      </c>
      <c r="AY128" s="61" t="e">
        <f>SUMPRODUCT(AM128:AR128/'[1]功能-行军令'!$GI$26:$GN$26+AS128:AX128/'[1]功能-行军令'!$GI$26:$GN$26)/0.18</f>
        <v>#DIV/0!</v>
      </c>
      <c r="BO128" s="80">
        <f t="shared" si="96"/>
        <v>146.62302564097175</v>
      </c>
      <c r="BP128" s="80">
        <f t="shared" si="97"/>
        <v>12300000</v>
      </c>
      <c r="BQ128" s="80">
        <f>(BP128-BP127)*INDEX('[1]功能-付费相关'!$AS$6:$AS$165,$BO128,1)+BQ127</f>
        <v>16400.362618327152</v>
      </c>
      <c r="BR128" s="80"/>
      <c r="BS128" s="80"/>
    </row>
    <row r="129" spans="12:77" x14ac:dyDescent="0.15">
      <c r="L129" s="61">
        <v>38</v>
      </c>
      <c r="M129" s="80">
        <f>基础状态预期!D141</f>
        <v>146.62302564097175</v>
      </c>
      <c r="N129" s="80">
        <f>IF(基础状态预期!F141="",0,IF(基础状态预期!Z141&lt;=1,基础状态预期!Z141*D$4,1*D$4+(基础状态预期!Z141-1)*武将觉醒!D$5))</f>
        <v>0</v>
      </c>
      <c r="O129" s="80">
        <f>IF(基础状态预期!G141="",0,IF(基础状态预期!AA141&lt;=1,基础状态预期!AA141*E$4,1*E$4+(基础状态预期!AA141-1)*武将觉醒!E$5))</f>
        <v>0</v>
      </c>
      <c r="P129" s="80">
        <f>IF(基础状态预期!H141="",0,IF(基础状态预期!AB141&lt;=1,基础状态预期!AB141*F$4,1*F$4+(基础状态预期!AB141-1)*武将觉醒!F$5))</f>
        <v>0</v>
      </c>
      <c r="Q129" s="80">
        <f>IF(基础状态预期!I141="",0,IF(基础状态预期!AC141&lt;=1,基础状态预期!AC141*G$4,1*G$4+(基础状态预期!AC141-1)*武将觉醒!G$5))</f>
        <v>0</v>
      </c>
      <c r="R129" s="80">
        <f>IF(基础状态预期!J141="",0,IF(基础状态预期!AD141&lt;=1,基础状态预期!AD141*H$4,1*H$4+(基础状态预期!AD141-1)*武将觉醒!H$5))</f>
        <v>2050000</v>
      </c>
      <c r="S129" s="80">
        <f>MAX(SUMPRODUCT(N129:R129,基础状态预期!F141:J141),S128)</f>
        <v>12300000</v>
      </c>
      <c r="T129" s="80">
        <f>IF(基础状态预期!Z141="",0,IFERROR(基础状态预期!F141*求节点($C$62:$C$63,D$62:D$63,基础状态预期!Z141),0)+IFERROR(基础状态预期!$J141*求节点($C$71:$C$72,D$71:D$72,基础状态预期!$AD141),0))</f>
        <v>0</v>
      </c>
      <c r="U129" s="80">
        <f>IF(基础状态预期!AA141="",0,IFERROR(基础状态预期!G141*求节点($C$62:$C$63,E$62:E$63,基础状态预期!AA141),0)+IFERROR(基础状态预期!$J141*求节点($C$71:$C$72,E$71:E$72,基础状态预期!$AD141),0))</f>
        <v>0</v>
      </c>
      <c r="V129" s="80">
        <f>IF(基础状态预期!AB141="",0,IFERROR(基础状态预期!H141*求节点($C$62:$C$63,F$62:F$63,基础状态预期!AB141),0)+IFERROR(基础状态预期!$J141*求节点($C$71:$C$72,F$71:F$72,基础状态预期!$AD141),0))</f>
        <v>0</v>
      </c>
      <c r="W129" s="80">
        <f>IF(基础状态预期!AC141="",0,IFERROR(基础状态预期!I141*求节点($C$62:$C$63,G$62:G$63,基础状态预期!AC141),0)+IFERROR(基础状态预期!$J141*求节点($C$71:$C$72,G$71:G$72,基础状态预期!$AD141),0))</f>
        <v>0</v>
      </c>
      <c r="X129" s="80">
        <f>IF(基础状态预期!AD141="",0,IFERROR(基础状态预期!J141*求节点($C$62:$C$63,H$62:H$63,基础状态预期!AD141),0)+IFERROR(基础状态预期!$J141*求节点($C$71:$C$72,H$71:H$72,基础状态预期!$AD141),0))</f>
        <v>0</v>
      </c>
      <c r="Y129" s="80">
        <f>IF(基础状态预期!$H141="",0,IF(基础状态预期!$AB141&lt;=1,基础状态预期!$AB141*D$18,D$18)*基础状态预期!$H141)+
IF(基础状态预期!$I141="",0,IF(基础状态预期!$AC141&lt;=1,基础状态预期!$AC141*D$19,D$19)*基础状态预期!$I141)+
IF(基础状态预期!$J141="",0,IF(基础状态预期!$AD141&lt;=1,基础状态预期!$AD141*D$20,D$20)*基础状态预期!$J141)</f>
        <v>48</v>
      </c>
      <c r="Z129" s="80">
        <f>IF(基础状态预期!$H141="",0,IF(基础状态预期!$AB141&lt;=1,基础状态预期!$AB141*E$18,E$18)*基础状态预期!$H141)+
IF(基础状态预期!$I141="",0,IF(基础状态预期!$AC141&lt;=1,基础状态预期!$AC141*E$19,E$19)*基础状态预期!$I141)+
IF(基础状态预期!$J141="",0,IF(基础状态预期!$AD141&lt;=1,基础状态预期!$AD141*E$20,E$20)*基础状态预期!$J141)</f>
        <v>0</v>
      </c>
      <c r="AA129" s="80">
        <f>IF(基础状态预期!$H141="",0,IF(基础状态预期!$AB141&lt;=1,基础状态预期!$AB141*F$18,F$18)*基础状态预期!$H141)+
IF(基础状态预期!$I141="",0,IF(基础状态预期!$AC141&lt;=1,基础状态预期!$AC141*F$19,F$19)*基础状态预期!$I141)+
IF(基础状态预期!$J141="",0,IF(基础状态预期!$AD141&lt;=1,基础状态预期!$AD141*F$20,F$20)*基础状态预期!$J141)</f>
        <v>0</v>
      </c>
      <c r="AB129" s="67">
        <f>IF(基础状态预期!$H141="",0,IF(基础状态预期!$AB141&lt;=1,0,(基础状态预期!$AB141-1)*G$26)*基础状态预期!$H141)+
IF(基础状态预期!$I141="",0,IF(基础状态预期!$AC141&lt;=1,0,(基础状态预期!$AC141-1)*G$27)*基础状态预期!$I141)+
IF(基础状态预期!$J141="",0,IF(基础状态预期!$AD141&lt;=1,0,(基础状态预期!$AD141-1)*G$28)*基础状态预期!$J141)</f>
        <v>240</v>
      </c>
      <c r="AC129" s="67">
        <f>IF(基础状态预期!$H141="",0,IF(基础状态预期!$AB141&lt;=1,0,(基础状态预期!$AB141-1)*H$26)*基础状态预期!$H141)+
IF(基础状态预期!$I141="",0,IF(基础状态预期!$AC141&lt;=1,0,(基础状态预期!$AC141-1)*H$27)*基础状态预期!$I141)+
IF(基础状态预期!$J141="",0,IF(基础状态预期!$AD141&lt;=1,0,(基础状态预期!$AD141-1)*H$28)*基础状态预期!$J141)</f>
        <v>0</v>
      </c>
      <c r="AD129" s="67">
        <f>IF(基础状态预期!$H141="",0,IF(基础状态预期!$AB141&lt;=1,0,(基础状态预期!$AB141-1)*I$26)*基础状态预期!$H141)+
IF(基础状态预期!$I141="",0,IF(基础状态预期!$AC141&lt;=1,0,(基础状态预期!$AC141-1)*I$27)*基础状态预期!$I141)+
IF(基础状态预期!$J141="",0,IF(基础状态预期!$AD141&lt;=1,0,(基础状态预期!$AD141-1)*I$28)*基础状态预期!$J141)</f>
        <v>0</v>
      </c>
      <c r="AE129" s="80">
        <f>IF(各r阵容卡情况!$H157=0,0,IF(各r阵容卡情况!$AB157&lt;=1,各r阵容卡情况!$AB157*D$18,1*D$18)*各r阵容卡情况!$H157)+
IF(各r阵容卡情况!$I157=0,0,IF(各r阵容卡情况!$AC157&lt;=1,各r阵容卡情况!$AC157*D$19,1*D$19)*各r阵容卡情况!$I157)+
IF(各r阵容卡情况!$J157=0,0,IF(各r阵容卡情况!$AD157&lt;=1,各r阵容卡情况!$AD157*D$20,1*D$20)*各r阵容卡情况!$J157)</f>
        <v>128</v>
      </c>
      <c r="AF129" s="80">
        <f>IF(各r阵容卡情况!$H157=0,0,IF(各r阵容卡情况!$AB157&lt;=1,各r阵容卡情况!$AB157*E$18,1*E$18)*各r阵容卡情况!$H157)+
IF(各r阵容卡情况!$I157=0,0,IF(各r阵容卡情况!$AC157&lt;=1,各r阵容卡情况!$AC157*E$19,1*E$19)*各r阵容卡情况!$I157)+
IF(各r阵容卡情况!$J157=0,0,IF(各r阵容卡情况!$AD157&lt;=1,各r阵容卡情况!$AD157*E$20,1*E$20)*各r阵容卡情况!$J157)</f>
        <v>0</v>
      </c>
      <c r="AG129" s="80">
        <f>IF(各r阵容卡情况!$H157=0,0,IF(各r阵容卡情况!$AB157&lt;=1,各r阵容卡情况!$AB157*F$18,1*F$18)*各r阵容卡情况!$H157)+
IF(各r阵容卡情况!$I157=0,0,IF(各r阵容卡情况!$AC157&lt;=1,各r阵容卡情况!$AC157*F$19,1*F$19)*各r阵容卡情况!$I157)+
IF(各r阵容卡情况!$J157=0,0,IF(各r阵容卡情况!$AD157&lt;=1,各r阵容卡情况!$AD157*F$20,1*F$20)*各r阵容卡情况!$J157)</f>
        <v>0</v>
      </c>
      <c r="AH129" s="67">
        <f>IF(各r阵容卡情况!$H157=0,0,IF(各r阵容卡情况!$AB157&lt;=1,0,(各r阵容卡情况!$AB157-1)*G$26)*各r阵容卡情况!$H157)+
IF(各r阵容卡情况!$I157=0,0,IF(各r阵容卡情况!$AC157&lt;=1,0,(各r阵容卡情况!$AC157-1)*G$27)*各r阵容卡情况!$I157)+
IF(各r阵容卡情况!$J157=0,0,IF(各r阵容卡情况!$AD157&lt;=1,0,(各r阵容卡情况!$AD157-1)*G$28)*各r阵容卡情况!$J157)</f>
        <v>640</v>
      </c>
      <c r="AI129" s="67">
        <f>IF(各r阵容卡情况!$H157=0,0,IF(各r阵容卡情况!$AB157&lt;=1,0,(各r阵容卡情况!$AB157-1)*H$26)*各r阵容卡情况!$H157)+
IF(各r阵容卡情况!$I157=0,0,IF(各r阵容卡情况!$AC157&lt;=1,0,(各r阵容卡情况!$AC157-1)*H$27)*各r阵容卡情况!$I157)+
IF(各r阵容卡情况!$J157=0,0,IF(各r阵容卡情况!$AD157&lt;=1,0,(各r阵容卡情况!$AD157-1)*H$28)*各r阵容卡情况!$J157)</f>
        <v>0</v>
      </c>
      <c r="AJ129" s="67">
        <f>IF(各r阵容卡情况!$H157=0,0,IF(各r阵容卡情况!$AB157&lt;=1,0,(各r阵容卡情况!$AB157-1)*I$26)*各r阵容卡情况!$H157)+
IF(各r阵容卡情况!$I157=0,0,IF(各r阵容卡情况!$AC157&lt;=1,0,(各r阵容卡情况!$AC157-1)*I$27)*各r阵容卡情况!$I157)+
IF(各r阵容卡情况!$J157=0,0,IF(各r阵容卡情况!$AD157&lt;=1,0,(各r阵容卡情况!$AD157-1)*I$28)*各r阵容卡情况!$J157)</f>
        <v>0</v>
      </c>
      <c r="AL129" s="80">
        <f t="shared" si="98"/>
        <v>180</v>
      </c>
      <c r="AM129" s="80">
        <f t="shared" si="99"/>
        <v>48</v>
      </c>
      <c r="AN129" s="80">
        <f t="shared" si="100"/>
        <v>0</v>
      </c>
      <c r="AO129" s="80">
        <f t="shared" si="101"/>
        <v>0</v>
      </c>
      <c r="AP129" s="80">
        <f t="shared" si="102"/>
        <v>240</v>
      </c>
      <c r="AQ129" s="80">
        <f t="shared" si="103"/>
        <v>0</v>
      </c>
      <c r="AR129" s="80">
        <f t="shared" si="104"/>
        <v>0</v>
      </c>
      <c r="AS129" s="80">
        <f t="shared" si="105"/>
        <v>144</v>
      </c>
      <c r="AT129" s="80">
        <f t="shared" si="106"/>
        <v>0</v>
      </c>
      <c r="AU129" s="80">
        <f t="shared" si="107"/>
        <v>0</v>
      </c>
      <c r="AV129" s="80">
        <f t="shared" si="108"/>
        <v>720</v>
      </c>
      <c r="AW129" s="80">
        <f t="shared" si="109"/>
        <v>0</v>
      </c>
      <c r="AX129" s="80">
        <f t="shared" si="110"/>
        <v>0</v>
      </c>
      <c r="AY129" s="61" t="e">
        <f>SUMPRODUCT(AM129:AR129/'[1]功能-行军令'!$GI$26:$GN$26+AS129:AX129/'[1]功能-行军令'!$GI$26:$GN$26)/0.18</f>
        <v>#DIV/0!</v>
      </c>
      <c r="BO129" s="80">
        <f t="shared" si="96"/>
        <v>150.12999034316616</v>
      </c>
      <c r="BP129" s="80">
        <f t="shared" si="97"/>
        <v>12300000</v>
      </c>
      <c r="BQ129" s="80">
        <f>(BP129-BP128)*INDEX('[1]功能-付费相关'!$AS$6:$AS$165,$BO129,1)+BQ128</f>
        <v>16400.362618327152</v>
      </c>
      <c r="BR129" s="80"/>
      <c r="BS129" s="80"/>
    </row>
    <row r="130" spans="12:77" x14ac:dyDescent="0.15">
      <c r="L130" s="61">
        <v>39</v>
      </c>
      <c r="M130" s="80">
        <f>基础状态预期!D142</f>
        <v>150.12999034316616</v>
      </c>
      <c r="N130" s="80">
        <f>IF(基础状态预期!F142="",0,IF(基础状态预期!Z142&lt;=1,基础状态预期!Z142*D$4,1*D$4+(基础状态预期!Z142-1)*武将觉醒!D$5))</f>
        <v>0</v>
      </c>
      <c r="O130" s="80">
        <f>IF(基础状态预期!G142="",0,IF(基础状态预期!AA142&lt;=1,基础状态预期!AA142*E$4,1*E$4+(基础状态预期!AA142-1)*武将觉醒!E$5))</f>
        <v>0</v>
      </c>
      <c r="P130" s="80">
        <f>IF(基础状态预期!H142="",0,IF(基础状态预期!AB142&lt;=1,基础状态预期!AB142*F$4,1*F$4+(基础状态预期!AB142-1)*武将觉醒!F$5))</f>
        <v>0</v>
      </c>
      <c r="Q130" s="80">
        <f>IF(基础状态预期!I142="",0,IF(基础状态预期!AC142&lt;=1,基础状态预期!AC142*G$4,1*G$4+(基础状态预期!AC142-1)*武将觉醒!G$5))</f>
        <v>0</v>
      </c>
      <c r="R130" s="80">
        <f>IF(基础状态预期!J142="",0,IF(基础状态预期!AD142&lt;=1,基础状态预期!AD142*H$4,1*H$4+(基础状态预期!AD142-1)*武将觉醒!H$5))</f>
        <v>2050000</v>
      </c>
      <c r="S130" s="80">
        <f>MAX(SUMPRODUCT(N130:R130,基础状态预期!F142:J142),S129)</f>
        <v>12300000</v>
      </c>
      <c r="T130" s="80">
        <f>IF(基础状态预期!Z142="",0,IFERROR(基础状态预期!F142*求节点($C$62:$C$63,D$62:D$63,基础状态预期!Z142),0)+IFERROR(基础状态预期!$J142*求节点($C$71:$C$72,D$71:D$72,基础状态预期!$AD142),0))</f>
        <v>0</v>
      </c>
      <c r="U130" s="80">
        <f>IF(基础状态预期!AA142="",0,IFERROR(基础状态预期!G142*求节点($C$62:$C$63,E$62:E$63,基础状态预期!AA142),0)+IFERROR(基础状态预期!$J142*求节点($C$71:$C$72,E$71:E$72,基础状态预期!$AD142),0))</f>
        <v>0</v>
      </c>
      <c r="V130" s="80">
        <f>IF(基础状态预期!AB142="",0,IFERROR(基础状态预期!H142*求节点($C$62:$C$63,F$62:F$63,基础状态预期!AB142),0)+IFERROR(基础状态预期!$J142*求节点($C$71:$C$72,F$71:F$72,基础状态预期!$AD142),0))</f>
        <v>0</v>
      </c>
      <c r="W130" s="80">
        <f>IF(基础状态预期!AC142="",0,IFERROR(基础状态预期!I142*求节点($C$62:$C$63,G$62:G$63,基础状态预期!AC142),0)+IFERROR(基础状态预期!$J142*求节点($C$71:$C$72,G$71:G$72,基础状态预期!$AD142),0))</f>
        <v>0</v>
      </c>
      <c r="X130" s="80">
        <f>IF(基础状态预期!AD142="",0,IFERROR(基础状态预期!J142*求节点($C$62:$C$63,H$62:H$63,基础状态预期!AD142),0)+IFERROR(基础状态预期!$J142*求节点($C$71:$C$72,H$71:H$72,基础状态预期!$AD142),0))</f>
        <v>0</v>
      </c>
      <c r="Y130" s="80">
        <f>IF(基础状态预期!$H142="",0,IF(基础状态预期!$AB142&lt;=1,基础状态预期!$AB142*D$18,D$18)*基础状态预期!$H142)+
IF(基础状态预期!$I142="",0,IF(基础状态预期!$AC142&lt;=1,基础状态预期!$AC142*D$19,D$19)*基础状态预期!$I142)+
IF(基础状态预期!$J142="",0,IF(基础状态预期!$AD142&lt;=1,基础状态预期!$AD142*D$20,D$20)*基础状态预期!$J142)</f>
        <v>48</v>
      </c>
      <c r="Z130" s="80">
        <f>IF(基础状态预期!$H142="",0,IF(基础状态预期!$AB142&lt;=1,基础状态预期!$AB142*E$18,E$18)*基础状态预期!$H142)+
IF(基础状态预期!$I142="",0,IF(基础状态预期!$AC142&lt;=1,基础状态预期!$AC142*E$19,E$19)*基础状态预期!$I142)+
IF(基础状态预期!$J142="",0,IF(基础状态预期!$AD142&lt;=1,基础状态预期!$AD142*E$20,E$20)*基础状态预期!$J142)</f>
        <v>0</v>
      </c>
      <c r="AA130" s="80">
        <f>IF(基础状态预期!$H142="",0,IF(基础状态预期!$AB142&lt;=1,基础状态预期!$AB142*F$18,F$18)*基础状态预期!$H142)+
IF(基础状态预期!$I142="",0,IF(基础状态预期!$AC142&lt;=1,基础状态预期!$AC142*F$19,F$19)*基础状态预期!$I142)+
IF(基础状态预期!$J142="",0,IF(基础状态预期!$AD142&lt;=1,基础状态预期!$AD142*F$20,F$20)*基础状态预期!$J142)</f>
        <v>0</v>
      </c>
      <c r="AB130" s="67">
        <f>IF(基础状态预期!$H142="",0,IF(基础状态预期!$AB142&lt;=1,0,(基础状态预期!$AB142-1)*G$26)*基础状态预期!$H142)+
IF(基础状态预期!$I142="",0,IF(基础状态预期!$AC142&lt;=1,0,(基础状态预期!$AC142-1)*G$27)*基础状态预期!$I142)+
IF(基础状态预期!$J142="",0,IF(基础状态预期!$AD142&lt;=1,0,(基础状态预期!$AD142-1)*G$28)*基础状态预期!$J142)</f>
        <v>240</v>
      </c>
      <c r="AC130" s="67">
        <f>IF(基础状态预期!$H142="",0,IF(基础状态预期!$AB142&lt;=1,0,(基础状态预期!$AB142-1)*H$26)*基础状态预期!$H142)+
IF(基础状态预期!$I142="",0,IF(基础状态预期!$AC142&lt;=1,0,(基础状态预期!$AC142-1)*H$27)*基础状态预期!$I142)+
IF(基础状态预期!$J142="",0,IF(基础状态预期!$AD142&lt;=1,0,(基础状态预期!$AD142-1)*H$28)*基础状态预期!$J142)</f>
        <v>0</v>
      </c>
      <c r="AD130" s="67">
        <f>IF(基础状态预期!$H142="",0,IF(基础状态预期!$AB142&lt;=1,0,(基础状态预期!$AB142-1)*I$26)*基础状态预期!$H142)+
IF(基础状态预期!$I142="",0,IF(基础状态预期!$AC142&lt;=1,0,(基础状态预期!$AC142-1)*I$27)*基础状态预期!$I142)+
IF(基础状态预期!$J142="",0,IF(基础状态预期!$AD142&lt;=1,0,(基础状态预期!$AD142-1)*I$28)*基础状态预期!$J142)</f>
        <v>0</v>
      </c>
      <c r="AE130" s="80">
        <f>IF(各r阵容卡情况!$H158=0,0,IF(各r阵容卡情况!$AB158&lt;=1,各r阵容卡情况!$AB158*D$18,1*D$18)*各r阵容卡情况!$H158)+
IF(各r阵容卡情况!$I158=0,0,IF(各r阵容卡情况!$AC158&lt;=1,各r阵容卡情况!$AC158*D$19,1*D$19)*各r阵容卡情况!$I158)+
IF(各r阵容卡情况!$J158=0,0,IF(各r阵容卡情况!$AD158&lt;=1,各r阵容卡情况!$AD158*D$20,1*D$20)*各r阵容卡情况!$J158)</f>
        <v>144</v>
      </c>
      <c r="AF130" s="80">
        <f>IF(各r阵容卡情况!$H158=0,0,IF(各r阵容卡情况!$AB158&lt;=1,各r阵容卡情况!$AB158*E$18,1*E$18)*各r阵容卡情况!$H158)+
IF(各r阵容卡情况!$I158=0,0,IF(各r阵容卡情况!$AC158&lt;=1,各r阵容卡情况!$AC158*E$19,1*E$19)*各r阵容卡情况!$I158)+
IF(各r阵容卡情况!$J158=0,0,IF(各r阵容卡情况!$AD158&lt;=1,各r阵容卡情况!$AD158*E$20,1*E$20)*各r阵容卡情况!$J158)</f>
        <v>0</v>
      </c>
      <c r="AG130" s="80">
        <f>IF(各r阵容卡情况!$H158=0,0,IF(各r阵容卡情况!$AB158&lt;=1,各r阵容卡情况!$AB158*F$18,1*F$18)*各r阵容卡情况!$H158)+
IF(各r阵容卡情况!$I158=0,0,IF(各r阵容卡情况!$AC158&lt;=1,各r阵容卡情况!$AC158*F$19,1*F$19)*各r阵容卡情况!$I158)+
IF(各r阵容卡情况!$J158=0,0,IF(各r阵容卡情况!$AD158&lt;=1,各r阵容卡情况!$AD158*F$20,1*F$20)*各r阵容卡情况!$J158)</f>
        <v>0</v>
      </c>
      <c r="AH130" s="67">
        <f>IF(各r阵容卡情况!$H158=0,0,IF(各r阵容卡情况!$AB158&lt;=1,0,(各r阵容卡情况!$AB158-1)*G$26)*各r阵容卡情况!$H158)+
IF(各r阵容卡情况!$I158=0,0,IF(各r阵容卡情况!$AC158&lt;=1,0,(各r阵容卡情况!$AC158-1)*G$27)*各r阵容卡情况!$I158)+
IF(各r阵容卡情况!$J158=0,0,IF(各r阵容卡情况!$AD158&lt;=1,0,(各r阵容卡情况!$AD158-1)*G$28)*各r阵容卡情况!$J158)</f>
        <v>720</v>
      </c>
      <c r="AI130" s="67">
        <f>IF(各r阵容卡情况!$H158=0,0,IF(各r阵容卡情况!$AB158&lt;=1,0,(各r阵容卡情况!$AB158-1)*H$26)*各r阵容卡情况!$H158)+
IF(各r阵容卡情况!$I158=0,0,IF(各r阵容卡情况!$AC158&lt;=1,0,(各r阵容卡情况!$AC158-1)*H$27)*各r阵容卡情况!$I158)+
IF(各r阵容卡情况!$J158=0,0,IF(各r阵容卡情况!$AD158&lt;=1,0,(各r阵容卡情况!$AD158-1)*H$28)*各r阵容卡情况!$J158)</f>
        <v>0</v>
      </c>
      <c r="AJ130" s="67">
        <f>IF(各r阵容卡情况!$H158=0,0,IF(各r阵容卡情况!$AB158&lt;=1,0,(各r阵容卡情况!$AB158-1)*I$26)*各r阵容卡情况!$H158)+
IF(各r阵容卡情况!$I158=0,0,IF(各r阵容卡情况!$AC158&lt;=1,0,(各r阵容卡情况!$AC158-1)*I$27)*各r阵容卡情况!$I158)+
IF(各r阵容卡情况!$J158=0,0,IF(各r阵容卡情况!$AD158&lt;=1,0,(各r阵容卡情况!$AD158-1)*I$28)*各r阵容卡情况!$J158)</f>
        <v>0</v>
      </c>
      <c r="AL130" s="80">
        <f t="shared" si="98"/>
        <v>185</v>
      </c>
      <c r="AM130" s="80">
        <f t="shared" si="99"/>
        <v>48</v>
      </c>
      <c r="AN130" s="80">
        <f t="shared" si="100"/>
        <v>0</v>
      </c>
      <c r="AO130" s="80">
        <f t="shared" si="101"/>
        <v>0</v>
      </c>
      <c r="AP130" s="80">
        <f t="shared" si="102"/>
        <v>240</v>
      </c>
      <c r="AQ130" s="80">
        <f t="shared" si="103"/>
        <v>0</v>
      </c>
      <c r="AR130" s="80">
        <f t="shared" si="104"/>
        <v>0</v>
      </c>
      <c r="AS130" s="80">
        <f t="shared" si="105"/>
        <v>144</v>
      </c>
      <c r="AT130" s="80">
        <f t="shared" si="106"/>
        <v>0</v>
      </c>
      <c r="AU130" s="80">
        <f t="shared" si="107"/>
        <v>0</v>
      </c>
      <c r="AV130" s="80">
        <f t="shared" si="108"/>
        <v>720</v>
      </c>
      <c r="AW130" s="80">
        <f t="shared" si="109"/>
        <v>0</v>
      </c>
      <c r="AX130" s="80">
        <f t="shared" si="110"/>
        <v>0</v>
      </c>
      <c r="AY130" s="61" t="e">
        <f>SUMPRODUCT(AM130:AR130/'[1]功能-行军令'!$GI$26:$GN$26+AS130:AX130/'[1]功能-行军令'!$GI$26:$GN$26)/0.18</f>
        <v>#DIV/0!</v>
      </c>
      <c r="BO130" s="80">
        <f t="shared" si="96"/>
        <v>153.11600330857166</v>
      </c>
      <c r="BP130" s="80">
        <f t="shared" si="97"/>
        <v>12300000</v>
      </c>
      <c r="BQ130" s="80">
        <f>(BP130-BP129)*INDEX('[1]功能-付费相关'!$AS$6:$AS$165,$BO130,1)+BQ129</f>
        <v>16400.362618327152</v>
      </c>
      <c r="BR130" s="80"/>
      <c r="BS130" s="80"/>
    </row>
    <row r="131" spans="12:77" x14ac:dyDescent="0.15">
      <c r="L131" s="61">
        <v>40</v>
      </c>
      <c r="M131" s="80">
        <f>基础状态预期!D143</f>
        <v>153.11600330857166</v>
      </c>
      <c r="N131" s="80">
        <f>IF(基础状态预期!F143="",0,IF(基础状态预期!Z143&lt;=1,基础状态预期!Z143*D$4,1*D$4+(基础状态预期!Z143-1)*武将觉醒!D$5))</f>
        <v>0</v>
      </c>
      <c r="O131" s="80">
        <f>IF(基础状态预期!G143="",0,IF(基础状态预期!AA143&lt;=1,基础状态预期!AA143*E$4,1*E$4+(基础状态预期!AA143-1)*武将觉醒!E$5))</f>
        <v>0</v>
      </c>
      <c r="P131" s="80">
        <f>IF(基础状态预期!H143="",0,IF(基础状态预期!AB143&lt;=1,基础状态预期!AB143*F$4,1*F$4+(基础状态预期!AB143-1)*武将觉醒!F$5))</f>
        <v>0</v>
      </c>
      <c r="Q131" s="80">
        <f>IF(基础状态预期!I143="",0,IF(基础状态预期!AC143&lt;=1,基础状态预期!AC143*G$4,1*G$4+(基础状态预期!AC143-1)*武将觉醒!G$5))</f>
        <v>0</v>
      </c>
      <c r="R131" s="80">
        <f>IF(基础状态预期!J143="",0,IF(基础状态预期!AD143&lt;=1,基础状态预期!AD143*H$4,1*H$4+(基础状态预期!AD143-1)*武将觉醒!H$5))</f>
        <v>2050000</v>
      </c>
      <c r="S131" s="80">
        <f>MAX(SUMPRODUCT(N131:R131,基础状态预期!F143:J143),S130)</f>
        <v>12300000</v>
      </c>
      <c r="T131" s="80">
        <f>IF(基础状态预期!Z143="",0,IFERROR(基础状态预期!F143*求节点($C$62:$C$63,D$62:D$63,基础状态预期!Z143),0)+IFERROR(基础状态预期!$J143*求节点($C$71:$C$72,D$71:D$72,基础状态预期!$AD143),0))</f>
        <v>0</v>
      </c>
      <c r="U131" s="80">
        <f>IF(基础状态预期!AA143="",0,IFERROR(基础状态预期!G143*求节点($C$62:$C$63,E$62:E$63,基础状态预期!AA143),0)+IFERROR(基础状态预期!$J143*求节点($C$71:$C$72,E$71:E$72,基础状态预期!$AD143),0))</f>
        <v>0</v>
      </c>
      <c r="V131" s="80">
        <f>IF(基础状态预期!AB143="",0,IFERROR(基础状态预期!H143*求节点($C$62:$C$63,F$62:F$63,基础状态预期!AB143),0)+IFERROR(基础状态预期!$J143*求节点($C$71:$C$72,F$71:F$72,基础状态预期!$AD143),0))</f>
        <v>0</v>
      </c>
      <c r="W131" s="80">
        <f>IF(基础状态预期!AC143="",0,IFERROR(基础状态预期!I143*求节点($C$62:$C$63,G$62:G$63,基础状态预期!AC143),0)+IFERROR(基础状态预期!$J143*求节点($C$71:$C$72,G$71:G$72,基础状态预期!$AD143),0))</f>
        <v>0</v>
      </c>
      <c r="X131" s="80">
        <f>IF(基础状态预期!AD143="",0,IFERROR(基础状态预期!J143*求节点($C$62:$C$63,H$62:H$63,基础状态预期!AD143),0)+IFERROR(基础状态预期!$J143*求节点($C$71:$C$72,H$71:H$72,基础状态预期!$AD143),0))</f>
        <v>0</v>
      </c>
      <c r="Y131" s="80">
        <f>IF(基础状态预期!$H143="",0,IF(基础状态预期!$AB143&lt;=1,基础状态预期!$AB143*D$18,D$18)*基础状态预期!$H143)+
IF(基础状态预期!$I143="",0,IF(基础状态预期!$AC143&lt;=1,基础状态预期!$AC143*D$19,D$19)*基础状态预期!$I143)+
IF(基础状态预期!$J143="",0,IF(基础状态预期!$AD143&lt;=1,基础状态预期!$AD143*D$20,D$20)*基础状态预期!$J143)</f>
        <v>48</v>
      </c>
      <c r="Z131" s="80">
        <f>IF(基础状态预期!$H143="",0,IF(基础状态预期!$AB143&lt;=1,基础状态预期!$AB143*E$18,E$18)*基础状态预期!$H143)+
IF(基础状态预期!$I143="",0,IF(基础状态预期!$AC143&lt;=1,基础状态预期!$AC143*E$19,E$19)*基础状态预期!$I143)+
IF(基础状态预期!$J143="",0,IF(基础状态预期!$AD143&lt;=1,基础状态预期!$AD143*E$20,E$20)*基础状态预期!$J143)</f>
        <v>0</v>
      </c>
      <c r="AA131" s="80">
        <f>IF(基础状态预期!$H143="",0,IF(基础状态预期!$AB143&lt;=1,基础状态预期!$AB143*F$18,F$18)*基础状态预期!$H143)+
IF(基础状态预期!$I143="",0,IF(基础状态预期!$AC143&lt;=1,基础状态预期!$AC143*F$19,F$19)*基础状态预期!$I143)+
IF(基础状态预期!$J143="",0,IF(基础状态预期!$AD143&lt;=1,基础状态预期!$AD143*F$20,F$20)*基础状态预期!$J143)</f>
        <v>0</v>
      </c>
      <c r="AB131" s="67">
        <f>IF(基础状态预期!$H143="",0,IF(基础状态预期!$AB143&lt;=1,0,(基础状态预期!$AB143-1)*G$26)*基础状态预期!$H143)+
IF(基础状态预期!$I143="",0,IF(基础状态预期!$AC143&lt;=1,0,(基础状态预期!$AC143-1)*G$27)*基础状态预期!$I143)+
IF(基础状态预期!$J143="",0,IF(基础状态预期!$AD143&lt;=1,0,(基础状态预期!$AD143-1)*G$28)*基础状态预期!$J143)</f>
        <v>240</v>
      </c>
      <c r="AC131" s="67">
        <f>IF(基础状态预期!$H143="",0,IF(基础状态预期!$AB143&lt;=1,0,(基础状态预期!$AB143-1)*H$26)*基础状态预期!$H143)+
IF(基础状态预期!$I143="",0,IF(基础状态预期!$AC143&lt;=1,0,(基础状态预期!$AC143-1)*H$27)*基础状态预期!$I143)+
IF(基础状态预期!$J143="",0,IF(基础状态预期!$AD143&lt;=1,0,(基础状态预期!$AD143-1)*H$28)*基础状态预期!$J143)</f>
        <v>0</v>
      </c>
      <c r="AD131" s="67">
        <f>IF(基础状态预期!$H143="",0,IF(基础状态预期!$AB143&lt;=1,0,(基础状态预期!$AB143-1)*I$26)*基础状态预期!$H143)+
IF(基础状态预期!$I143="",0,IF(基础状态预期!$AC143&lt;=1,0,(基础状态预期!$AC143-1)*I$27)*基础状态预期!$I143)+
IF(基础状态预期!$J143="",0,IF(基础状态预期!$AD143&lt;=1,0,(基础状态预期!$AD143-1)*I$28)*基础状态预期!$J143)</f>
        <v>0</v>
      </c>
      <c r="AE131" s="80">
        <f>IF(各r阵容卡情况!$H159=0,0,IF(各r阵容卡情况!$AB159&lt;=1,各r阵容卡情况!$AB159*D$18,1*D$18)*各r阵容卡情况!$H159)+
IF(各r阵容卡情况!$I159=0,0,IF(各r阵容卡情况!$AC159&lt;=1,各r阵容卡情况!$AC159*D$19,1*D$19)*各r阵容卡情况!$I159)+
IF(各r阵容卡情况!$J159=0,0,IF(各r阵容卡情况!$AD159&lt;=1,各r阵容卡情况!$AD159*D$20,1*D$20)*各r阵容卡情况!$J159)</f>
        <v>144</v>
      </c>
      <c r="AF131" s="80">
        <f>IF(各r阵容卡情况!$H159=0,0,IF(各r阵容卡情况!$AB159&lt;=1,各r阵容卡情况!$AB159*E$18,1*E$18)*各r阵容卡情况!$H159)+
IF(各r阵容卡情况!$I159=0,0,IF(各r阵容卡情况!$AC159&lt;=1,各r阵容卡情况!$AC159*E$19,1*E$19)*各r阵容卡情况!$I159)+
IF(各r阵容卡情况!$J159=0,0,IF(各r阵容卡情况!$AD159&lt;=1,各r阵容卡情况!$AD159*E$20,1*E$20)*各r阵容卡情况!$J159)</f>
        <v>0</v>
      </c>
      <c r="AG131" s="80">
        <f>IF(各r阵容卡情况!$H159=0,0,IF(各r阵容卡情况!$AB159&lt;=1,各r阵容卡情况!$AB159*F$18,1*F$18)*各r阵容卡情况!$H159)+
IF(各r阵容卡情况!$I159=0,0,IF(各r阵容卡情况!$AC159&lt;=1,各r阵容卡情况!$AC159*F$19,1*F$19)*各r阵容卡情况!$I159)+
IF(各r阵容卡情况!$J159=0,0,IF(各r阵容卡情况!$AD159&lt;=1,各r阵容卡情况!$AD159*F$20,1*F$20)*各r阵容卡情况!$J159)</f>
        <v>0</v>
      </c>
      <c r="AH131" s="67">
        <f>IF(各r阵容卡情况!$H159=0,0,IF(各r阵容卡情况!$AB159&lt;=1,0,(各r阵容卡情况!$AB159-1)*G$26)*各r阵容卡情况!$H159)+
IF(各r阵容卡情况!$I159=0,0,IF(各r阵容卡情况!$AC159&lt;=1,0,(各r阵容卡情况!$AC159-1)*G$27)*各r阵容卡情况!$I159)+
IF(各r阵容卡情况!$J159=0,0,IF(各r阵容卡情况!$AD159&lt;=1,0,(各r阵容卡情况!$AD159-1)*G$28)*各r阵容卡情况!$J159)</f>
        <v>720</v>
      </c>
      <c r="AI131" s="67">
        <f>IF(各r阵容卡情况!$H159=0,0,IF(各r阵容卡情况!$AB159&lt;=1,0,(各r阵容卡情况!$AB159-1)*H$26)*各r阵容卡情况!$H159)+
IF(各r阵容卡情况!$I159=0,0,IF(各r阵容卡情况!$AC159&lt;=1,0,(各r阵容卡情况!$AC159-1)*H$27)*各r阵容卡情况!$I159)+
IF(各r阵容卡情况!$J159=0,0,IF(各r阵容卡情况!$AD159&lt;=1,0,(各r阵容卡情况!$AD159-1)*H$28)*各r阵容卡情况!$J159)</f>
        <v>0</v>
      </c>
      <c r="AJ131" s="67">
        <f>IF(各r阵容卡情况!$H159=0,0,IF(各r阵容卡情况!$AB159&lt;=1,0,(各r阵容卡情况!$AB159-1)*I$26)*各r阵容卡情况!$H159)+
IF(各r阵容卡情况!$I159=0,0,IF(各r阵容卡情况!$AC159&lt;=1,0,(各r阵容卡情况!$AC159-1)*I$27)*各r阵容卡情况!$I159)+
IF(各r阵容卡情况!$J159=0,0,IF(各r阵容卡情况!$AD159&lt;=1,0,(各r阵容卡情况!$AD159-1)*I$28)*各r阵容卡情况!$J159)</f>
        <v>0</v>
      </c>
      <c r="AL131" s="80">
        <f t="shared" si="98"/>
        <v>190</v>
      </c>
      <c r="AM131" s="80">
        <f t="shared" si="99"/>
        <v>48</v>
      </c>
      <c r="AN131" s="80">
        <f t="shared" si="100"/>
        <v>0</v>
      </c>
      <c r="AO131" s="80">
        <f t="shared" si="101"/>
        <v>0</v>
      </c>
      <c r="AP131" s="80">
        <f t="shared" si="102"/>
        <v>240</v>
      </c>
      <c r="AQ131" s="80">
        <f t="shared" si="103"/>
        <v>0</v>
      </c>
      <c r="AR131" s="80">
        <f t="shared" si="104"/>
        <v>0</v>
      </c>
      <c r="AS131" s="80">
        <f t="shared" si="105"/>
        <v>144</v>
      </c>
      <c r="AT131" s="80">
        <f t="shared" si="106"/>
        <v>0</v>
      </c>
      <c r="AU131" s="80">
        <f t="shared" si="107"/>
        <v>0</v>
      </c>
      <c r="AV131" s="80">
        <f t="shared" si="108"/>
        <v>720</v>
      </c>
      <c r="AW131" s="80">
        <f t="shared" si="109"/>
        <v>0</v>
      </c>
      <c r="AX131" s="80">
        <f t="shared" si="110"/>
        <v>0</v>
      </c>
      <c r="AY131" s="61" t="e">
        <f>SUMPRODUCT(AM131:AR131/'[1]功能-行军令'!$GI$26:$GN$26+AS131:AX131/'[1]功能-行军令'!$GI$26:$GN$26)/0.18</f>
        <v>#DIV/0!</v>
      </c>
      <c r="BO131" s="80">
        <f t="shared" si="96"/>
        <v>154.20294442048996</v>
      </c>
      <c r="BP131" s="80">
        <f t="shared" si="97"/>
        <v>12300000</v>
      </c>
      <c r="BQ131" s="80">
        <f>(BP131-BP130)*INDEX('[1]功能-付费相关'!$AS$6:$AS$165,$BO131,1)+BQ130</f>
        <v>16400.362618327152</v>
      </c>
      <c r="BR131" s="80"/>
      <c r="BS131" s="80"/>
    </row>
    <row r="132" spans="12:77" x14ac:dyDescent="0.15">
      <c r="L132" s="61">
        <v>41</v>
      </c>
      <c r="M132" s="80">
        <f>基础状态预期!D144</f>
        <v>154.20294442048996</v>
      </c>
      <c r="N132" s="80">
        <f>IF(基础状态预期!F144="",0,IF(基础状态预期!Z144&lt;=1,基础状态预期!Z144*D$4,1*D$4+(基础状态预期!Z144-1)*武将觉醒!D$5))</f>
        <v>0</v>
      </c>
      <c r="O132" s="80">
        <f>IF(基础状态预期!G144="",0,IF(基础状态预期!AA144&lt;=1,基础状态预期!AA144*E$4,1*E$4+(基础状态预期!AA144-1)*武将觉醒!E$5))</f>
        <v>0</v>
      </c>
      <c r="P132" s="80">
        <f>IF(基础状态预期!H144="",0,IF(基础状态预期!AB144&lt;=1,基础状态预期!AB144*F$4,1*F$4+(基础状态预期!AB144-1)*武将觉醒!F$5))</f>
        <v>0</v>
      </c>
      <c r="Q132" s="80">
        <f>IF(基础状态预期!I144="",0,IF(基础状态预期!AC144&lt;=1,基础状态预期!AC144*G$4,1*G$4+(基础状态预期!AC144-1)*武将觉醒!G$5))</f>
        <v>0</v>
      </c>
      <c r="R132" s="80">
        <f>IF(基础状态预期!J144="",0,IF(基础状态预期!AD144&lt;=1,基础状态预期!AD144*H$4,1*H$4+(基础状态预期!AD144-1)*武将觉醒!H$5))</f>
        <v>2050000</v>
      </c>
      <c r="S132" s="80">
        <f>MAX(SUMPRODUCT(N132:R132,基础状态预期!F144:J144),S131)</f>
        <v>12300000</v>
      </c>
      <c r="T132" s="80">
        <f>IF(基础状态预期!Z144="",0,IFERROR(基础状态预期!F144*求节点($C$62:$C$63,D$62:D$63,基础状态预期!Z144),0)+IFERROR(基础状态预期!$J144*求节点($C$71:$C$72,D$71:D$72,基础状态预期!$AD144),0))</f>
        <v>0</v>
      </c>
      <c r="U132" s="80">
        <f>IF(基础状态预期!AA144="",0,IFERROR(基础状态预期!G144*求节点($C$62:$C$63,E$62:E$63,基础状态预期!AA144),0)+IFERROR(基础状态预期!$J144*求节点($C$71:$C$72,E$71:E$72,基础状态预期!$AD144),0))</f>
        <v>0</v>
      </c>
      <c r="V132" s="80">
        <f>IF(基础状态预期!AB144="",0,IFERROR(基础状态预期!H144*求节点($C$62:$C$63,F$62:F$63,基础状态预期!AB144),0)+IFERROR(基础状态预期!$J144*求节点($C$71:$C$72,F$71:F$72,基础状态预期!$AD144),0))</f>
        <v>0</v>
      </c>
      <c r="W132" s="80">
        <f>IF(基础状态预期!AC144="",0,IFERROR(基础状态预期!I144*求节点($C$62:$C$63,G$62:G$63,基础状态预期!AC144),0)+IFERROR(基础状态预期!$J144*求节点($C$71:$C$72,G$71:G$72,基础状态预期!$AD144),0))</f>
        <v>0</v>
      </c>
      <c r="X132" s="80">
        <f>IF(基础状态预期!AD144="",0,IFERROR(基础状态预期!J144*求节点($C$62:$C$63,H$62:H$63,基础状态预期!AD144),0)+IFERROR(基础状态预期!$J144*求节点($C$71:$C$72,H$71:H$72,基础状态预期!$AD144),0))</f>
        <v>0</v>
      </c>
      <c r="Y132" s="80">
        <f>IF(基础状态预期!$H144="",0,IF(基础状态预期!$AB144&lt;=1,基础状态预期!$AB144*D$18,D$18)*基础状态预期!$H144)+
IF(基础状态预期!$I144="",0,IF(基础状态预期!$AC144&lt;=1,基础状态预期!$AC144*D$19,D$19)*基础状态预期!$I144)+
IF(基础状态预期!$J144="",0,IF(基础状态预期!$AD144&lt;=1,基础状态预期!$AD144*D$20,D$20)*基础状态预期!$J144)</f>
        <v>48</v>
      </c>
      <c r="Z132" s="80">
        <f>IF(基础状态预期!$H144="",0,IF(基础状态预期!$AB144&lt;=1,基础状态预期!$AB144*E$18,E$18)*基础状态预期!$H144)+
IF(基础状态预期!$I144="",0,IF(基础状态预期!$AC144&lt;=1,基础状态预期!$AC144*E$19,E$19)*基础状态预期!$I144)+
IF(基础状态预期!$J144="",0,IF(基础状态预期!$AD144&lt;=1,基础状态预期!$AD144*E$20,E$20)*基础状态预期!$J144)</f>
        <v>0</v>
      </c>
      <c r="AA132" s="80">
        <f>IF(基础状态预期!$H144="",0,IF(基础状态预期!$AB144&lt;=1,基础状态预期!$AB144*F$18,F$18)*基础状态预期!$H144)+
IF(基础状态预期!$I144="",0,IF(基础状态预期!$AC144&lt;=1,基础状态预期!$AC144*F$19,F$19)*基础状态预期!$I144)+
IF(基础状态预期!$J144="",0,IF(基础状态预期!$AD144&lt;=1,基础状态预期!$AD144*F$20,F$20)*基础状态预期!$J144)</f>
        <v>0</v>
      </c>
      <c r="AB132" s="67">
        <f>IF(基础状态预期!$H144="",0,IF(基础状态预期!$AB144&lt;=1,0,(基础状态预期!$AB144-1)*G$26)*基础状态预期!$H144)+
IF(基础状态预期!$I144="",0,IF(基础状态预期!$AC144&lt;=1,0,(基础状态预期!$AC144-1)*G$27)*基础状态预期!$I144)+
IF(基础状态预期!$J144="",0,IF(基础状态预期!$AD144&lt;=1,0,(基础状态预期!$AD144-1)*G$28)*基础状态预期!$J144)</f>
        <v>240</v>
      </c>
      <c r="AC132" s="67">
        <f>IF(基础状态预期!$H144="",0,IF(基础状态预期!$AB144&lt;=1,0,(基础状态预期!$AB144-1)*H$26)*基础状态预期!$H144)+
IF(基础状态预期!$I144="",0,IF(基础状态预期!$AC144&lt;=1,0,(基础状态预期!$AC144-1)*H$27)*基础状态预期!$I144)+
IF(基础状态预期!$J144="",0,IF(基础状态预期!$AD144&lt;=1,0,(基础状态预期!$AD144-1)*H$28)*基础状态预期!$J144)</f>
        <v>0</v>
      </c>
      <c r="AD132" s="67">
        <f>IF(基础状态预期!$H144="",0,IF(基础状态预期!$AB144&lt;=1,0,(基础状态预期!$AB144-1)*I$26)*基础状态预期!$H144)+
IF(基础状态预期!$I144="",0,IF(基础状态预期!$AC144&lt;=1,0,(基础状态预期!$AC144-1)*I$27)*基础状态预期!$I144)+
IF(基础状态预期!$J144="",0,IF(基础状态预期!$AD144&lt;=1,0,(基础状态预期!$AD144-1)*I$28)*基础状态预期!$J144)</f>
        <v>0</v>
      </c>
      <c r="AE132" s="80">
        <f>IF(各r阵容卡情况!$H160=0,0,IF(各r阵容卡情况!$AB160&lt;=1,各r阵容卡情况!$AB160*D$18,1*D$18)*各r阵容卡情况!$H160)+
IF(各r阵容卡情况!$I160=0,0,IF(各r阵容卡情况!$AC160&lt;=1,各r阵容卡情况!$AC160*D$19,1*D$19)*各r阵容卡情况!$I160)+
IF(各r阵容卡情况!$J160=0,0,IF(各r阵容卡情况!$AD160&lt;=1,各r阵容卡情况!$AD160*D$20,1*D$20)*各r阵容卡情况!$J160)</f>
        <v>144</v>
      </c>
      <c r="AF132" s="80">
        <f>IF(各r阵容卡情况!$H160=0,0,IF(各r阵容卡情况!$AB160&lt;=1,各r阵容卡情况!$AB160*E$18,1*E$18)*各r阵容卡情况!$H160)+
IF(各r阵容卡情况!$I160=0,0,IF(各r阵容卡情况!$AC160&lt;=1,各r阵容卡情况!$AC160*E$19,1*E$19)*各r阵容卡情况!$I160)+
IF(各r阵容卡情况!$J160=0,0,IF(各r阵容卡情况!$AD160&lt;=1,各r阵容卡情况!$AD160*E$20,1*E$20)*各r阵容卡情况!$J160)</f>
        <v>0</v>
      </c>
      <c r="AG132" s="80">
        <f>IF(各r阵容卡情况!$H160=0,0,IF(各r阵容卡情况!$AB160&lt;=1,各r阵容卡情况!$AB160*F$18,1*F$18)*各r阵容卡情况!$H160)+
IF(各r阵容卡情况!$I160=0,0,IF(各r阵容卡情况!$AC160&lt;=1,各r阵容卡情况!$AC160*F$19,1*F$19)*各r阵容卡情况!$I160)+
IF(各r阵容卡情况!$J160=0,0,IF(各r阵容卡情况!$AD160&lt;=1,各r阵容卡情况!$AD160*F$20,1*F$20)*各r阵容卡情况!$J160)</f>
        <v>0</v>
      </c>
      <c r="AH132" s="67">
        <f>IF(各r阵容卡情况!$H160=0,0,IF(各r阵容卡情况!$AB160&lt;=1,0,(各r阵容卡情况!$AB160-1)*G$26)*各r阵容卡情况!$H160)+
IF(各r阵容卡情况!$I160=0,0,IF(各r阵容卡情况!$AC160&lt;=1,0,(各r阵容卡情况!$AC160-1)*G$27)*各r阵容卡情况!$I160)+
IF(各r阵容卡情况!$J160=0,0,IF(各r阵容卡情况!$AD160&lt;=1,0,(各r阵容卡情况!$AD160-1)*G$28)*各r阵容卡情况!$J160)</f>
        <v>720</v>
      </c>
      <c r="AI132" s="67">
        <f>IF(各r阵容卡情况!$H160=0,0,IF(各r阵容卡情况!$AB160&lt;=1,0,(各r阵容卡情况!$AB160-1)*H$26)*各r阵容卡情况!$H160)+
IF(各r阵容卡情况!$I160=0,0,IF(各r阵容卡情况!$AC160&lt;=1,0,(各r阵容卡情况!$AC160-1)*H$27)*各r阵容卡情况!$I160)+
IF(各r阵容卡情况!$J160=0,0,IF(各r阵容卡情况!$AD160&lt;=1,0,(各r阵容卡情况!$AD160-1)*H$28)*各r阵容卡情况!$J160)</f>
        <v>0</v>
      </c>
      <c r="AJ132" s="67">
        <f>IF(各r阵容卡情况!$H160=0,0,IF(各r阵容卡情况!$AB160&lt;=1,0,(各r阵容卡情况!$AB160-1)*I$26)*各r阵容卡情况!$H160)+
IF(各r阵容卡情况!$I160=0,0,IF(各r阵容卡情况!$AC160&lt;=1,0,(各r阵容卡情况!$AC160-1)*I$27)*各r阵容卡情况!$I160)+
IF(各r阵容卡情况!$J160=0,0,IF(各r阵容卡情况!$AD160&lt;=1,0,(各r阵容卡情况!$AD160-1)*I$28)*各r阵容卡情况!$J160)</f>
        <v>0</v>
      </c>
      <c r="AL132" s="80">
        <f t="shared" si="98"/>
        <v>195</v>
      </c>
      <c r="AM132" s="80">
        <f t="shared" si="99"/>
        <v>48</v>
      </c>
      <c r="AN132" s="80">
        <f t="shared" si="100"/>
        <v>0</v>
      </c>
      <c r="AO132" s="80">
        <f t="shared" si="101"/>
        <v>0</v>
      </c>
      <c r="AP132" s="80">
        <f t="shared" si="102"/>
        <v>240</v>
      </c>
      <c r="AQ132" s="80">
        <f t="shared" si="103"/>
        <v>0</v>
      </c>
      <c r="AR132" s="80">
        <f t="shared" si="104"/>
        <v>0</v>
      </c>
      <c r="AS132" s="80">
        <f t="shared" si="105"/>
        <v>144</v>
      </c>
      <c r="AT132" s="80">
        <f t="shared" si="106"/>
        <v>0</v>
      </c>
      <c r="AU132" s="80">
        <f t="shared" si="107"/>
        <v>0</v>
      </c>
      <c r="AV132" s="80">
        <f t="shared" si="108"/>
        <v>720</v>
      </c>
      <c r="AW132" s="80">
        <f t="shared" si="109"/>
        <v>0</v>
      </c>
      <c r="AX132" s="80">
        <f t="shared" si="110"/>
        <v>0</v>
      </c>
      <c r="AY132" s="61" t="e">
        <f>SUMPRODUCT(AM132:AR132/'[1]功能-行军令'!$GI$26:$GN$26+AS132:AX132/'[1]功能-行军令'!$GI$26:$GN$26)/0.18</f>
        <v>#DIV/0!</v>
      </c>
      <c r="BO132" s="80">
        <f t="shared" si="96"/>
        <v>155.2512378743358</v>
      </c>
      <c r="BP132" s="80">
        <f t="shared" si="97"/>
        <v>12300000</v>
      </c>
      <c r="BQ132" s="80">
        <f>(BP132-BP131)*INDEX('[1]功能-付费相关'!$AS$6:$AS$165,$BO132,1)+BQ131</f>
        <v>16400.362618327152</v>
      </c>
      <c r="BR132" s="80"/>
      <c r="BS132" s="80"/>
    </row>
    <row r="133" spans="12:77" x14ac:dyDescent="0.15">
      <c r="L133" s="61">
        <v>42</v>
      </c>
      <c r="M133" s="80">
        <f>基础状态预期!D145</f>
        <v>155.2512378743358</v>
      </c>
      <c r="N133" s="80">
        <f>IF(基础状态预期!F145="",0,IF(基础状态预期!Z145&lt;=1,基础状态预期!Z145*D$4,1*D$4+(基础状态预期!Z145-1)*武将觉醒!D$5))</f>
        <v>0</v>
      </c>
      <c r="O133" s="80">
        <f>IF(基础状态预期!G145="",0,IF(基础状态预期!AA145&lt;=1,基础状态预期!AA145*E$4,1*E$4+(基础状态预期!AA145-1)*武将觉醒!E$5))</f>
        <v>0</v>
      </c>
      <c r="P133" s="80">
        <f>IF(基础状态预期!H145="",0,IF(基础状态预期!AB145&lt;=1,基础状态预期!AB145*F$4,1*F$4+(基础状态预期!AB145-1)*武将觉醒!F$5))</f>
        <v>0</v>
      </c>
      <c r="Q133" s="80">
        <f>IF(基础状态预期!I145="",0,IF(基础状态预期!AC145&lt;=1,基础状态预期!AC145*G$4,1*G$4+(基础状态预期!AC145-1)*武将觉醒!G$5))</f>
        <v>0</v>
      </c>
      <c r="R133" s="80">
        <f>IF(基础状态预期!J145="",0,IF(基础状态预期!AD145&lt;=1,基础状态预期!AD145*H$4,1*H$4+(基础状态预期!AD145-1)*武将觉醒!H$5))</f>
        <v>2050000</v>
      </c>
      <c r="S133" s="80">
        <f>MAX(SUMPRODUCT(N133:R133,基础状态预期!F145:J145),S132)</f>
        <v>12300000</v>
      </c>
      <c r="T133" s="80">
        <f>IF(基础状态预期!Z145="",0,IFERROR(基础状态预期!F145*求节点($C$62:$C$63,D$62:D$63,基础状态预期!Z145),0)+IFERROR(基础状态预期!$J145*求节点($C$71:$C$72,D$71:D$72,基础状态预期!$AD145),0))</f>
        <v>0</v>
      </c>
      <c r="U133" s="80">
        <f>IF(基础状态预期!AA145="",0,IFERROR(基础状态预期!G145*求节点($C$62:$C$63,E$62:E$63,基础状态预期!AA145),0)+IFERROR(基础状态预期!$J145*求节点($C$71:$C$72,E$71:E$72,基础状态预期!$AD145),0))</f>
        <v>0</v>
      </c>
      <c r="V133" s="80">
        <f>IF(基础状态预期!AB145="",0,IFERROR(基础状态预期!H145*求节点($C$62:$C$63,F$62:F$63,基础状态预期!AB145),0)+IFERROR(基础状态预期!$J145*求节点($C$71:$C$72,F$71:F$72,基础状态预期!$AD145),0))</f>
        <v>0</v>
      </c>
      <c r="W133" s="80">
        <f>IF(基础状态预期!AC145="",0,IFERROR(基础状态预期!I145*求节点($C$62:$C$63,G$62:G$63,基础状态预期!AC145),0)+IFERROR(基础状态预期!$J145*求节点($C$71:$C$72,G$71:G$72,基础状态预期!$AD145),0))</f>
        <v>0</v>
      </c>
      <c r="X133" s="80">
        <f>IF(基础状态预期!AD145="",0,IFERROR(基础状态预期!J145*求节点($C$62:$C$63,H$62:H$63,基础状态预期!AD145),0)+IFERROR(基础状态预期!$J145*求节点($C$71:$C$72,H$71:H$72,基础状态预期!$AD145),0))</f>
        <v>0</v>
      </c>
      <c r="Y133" s="80">
        <f>IF(基础状态预期!$H145="",0,IF(基础状态预期!$AB145&lt;=1,基础状态预期!$AB145*D$18,D$18)*基础状态预期!$H145)+
IF(基础状态预期!$I145="",0,IF(基础状态预期!$AC145&lt;=1,基础状态预期!$AC145*D$19,D$19)*基础状态预期!$I145)+
IF(基础状态预期!$J145="",0,IF(基础状态预期!$AD145&lt;=1,基础状态预期!$AD145*D$20,D$20)*基础状态预期!$J145)</f>
        <v>48</v>
      </c>
      <c r="Z133" s="80">
        <f>IF(基础状态预期!$H145="",0,IF(基础状态预期!$AB145&lt;=1,基础状态预期!$AB145*E$18,E$18)*基础状态预期!$H145)+
IF(基础状态预期!$I145="",0,IF(基础状态预期!$AC145&lt;=1,基础状态预期!$AC145*E$19,E$19)*基础状态预期!$I145)+
IF(基础状态预期!$J145="",0,IF(基础状态预期!$AD145&lt;=1,基础状态预期!$AD145*E$20,E$20)*基础状态预期!$J145)</f>
        <v>0</v>
      </c>
      <c r="AA133" s="80">
        <f>IF(基础状态预期!$H145="",0,IF(基础状态预期!$AB145&lt;=1,基础状态预期!$AB145*F$18,F$18)*基础状态预期!$H145)+
IF(基础状态预期!$I145="",0,IF(基础状态预期!$AC145&lt;=1,基础状态预期!$AC145*F$19,F$19)*基础状态预期!$I145)+
IF(基础状态预期!$J145="",0,IF(基础状态预期!$AD145&lt;=1,基础状态预期!$AD145*F$20,F$20)*基础状态预期!$J145)</f>
        <v>0</v>
      </c>
      <c r="AB133" s="67">
        <f>IF(基础状态预期!$H145="",0,IF(基础状态预期!$AB145&lt;=1,0,(基础状态预期!$AB145-1)*G$26)*基础状态预期!$H145)+
IF(基础状态预期!$I145="",0,IF(基础状态预期!$AC145&lt;=1,0,(基础状态预期!$AC145-1)*G$27)*基础状态预期!$I145)+
IF(基础状态预期!$J145="",0,IF(基础状态预期!$AD145&lt;=1,0,(基础状态预期!$AD145-1)*G$28)*基础状态预期!$J145)</f>
        <v>240</v>
      </c>
      <c r="AC133" s="67">
        <f>IF(基础状态预期!$H145="",0,IF(基础状态预期!$AB145&lt;=1,0,(基础状态预期!$AB145-1)*H$26)*基础状态预期!$H145)+
IF(基础状态预期!$I145="",0,IF(基础状态预期!$AC145&lt;=1,0,(基础状态预期!$AC145-1)*H$27)*基础状态预期!$I145)+
IF(基础状态预期!$J145="",0,IF(基础状态预期!$AD145&lt;=1,0,(基础状态预期!$AD145-1)*H$28)*基础状态预期!$J145)</f>
        <v>0</v>
      </c>
      <c r="AD133" s="67">
        <f>IF(基础状态预期!$H145="",0,IF(基础状态预期!$AB145&lt;=1,0,(基础状态预期!$AB145-1)*I$26)*基础状态预期!$H145)+
IF(基础状态预期!$I145="",0,IF(基础状态预期!$AC145&lt;=1,0,(基础状态预期!$AC145-1)*I$27)*基础状态预期!$I145)+
IF(基础状态预期!$J145="",0,IF(基础状态预期!$AD145&lt;=1,0,(基础状态预期!$AD145-1)*I$28)*基础状态预期!$J145)</f>
        <v>0</v>
      </c>
      <c r="AE133" s="80">
        <f>IF(各r阵容卡情况!$H161=0,0,IF(各r阵容卡情况!$AB161&lt;=1,各r阵容卡情况!$AB161*D$18,1*D$18)*各r阵容卡情况!$H161)+
IF(各r阵容卡情况!$I161=0,0,IF(各r阵容卡情况!$AC161&lt;=1,各r阵容卡情况!$AC161*D$19,1*D$19)*各r阵容卡情况!$I161)+
IF(各r阵容卡情况!$J161=0,0,IF(各r阵容卡情况!$AD161&lt;=1,各r阵容卡情况!$AD161*D$20,1*D$20)*各r阵容卡情况!$J161)</f>
        <v>144</v>
      </c>
      <c r="AF133" s="80">
        <f>IF(各r阵容卡情况!$H161=0,0,IF(各r阵容卡情况!$AB161&lt;=1,各r阵容卡情况!$AB161*E$18,1*E$18)*各r阵容卡情况!$H161)+
IF(各r阵容卡情况!$I161=0,0,IF(各r阵容卡情况!$AC161&lt;=1,各r阵容卡情况!$AC161*E$19,1*E$19)*各r阵容卡情况!$I161)+
IF(各r阵容卡情况!$J161=0,0,IF(各r阵容卡情况!$AD161&lt;=1,各r阵容卡情况!$AD161*E$20,1*E$20)*各r阵容卡情况!$J161)</f>
        <v>0</v>
      </c>
      <c r="AG133" s="80">
        <f>IF(各r阵容卡情况!$H161=0,0,IF(各r阵容卡情况!$AB161&lt;=1,各r阵容卡情况!$AB161*F$18,1*F$18)*各r阵容卡情况!$H161)+
IF(各r阵容卡情况!$I161=0,0,IF(各r阵容卡情况!$AC161&lt;=1,各r阵容卡情况!$AC161*F$19,1*F$19)*各r阵容卡情况!$I161)+
IF(各r阵容卡情况!$J161=0,0,IF(各r阵容卡情况!$AD161&lt;=1,各r阵容卡情况!$AD161*F$20,1*F$20)*各r阵容卡情况!$J161)</f>
        <v>0</v>
      </c>
      <c r="AH133" s="67">
        <f>IF(各r阵容卡情况!$H161=0,0,IF(各r阵容卡情况!$AB161&lt;=1,0,(各r阵容卡情况!$AB161-1)*G$26)*各r阵容卡情况!$H161)+
IF(各r阵容卡情况!$I161=0,0,IF(各r阵容卡情况!$AC161&lt;=1,0,(各r阵容卡情况!$AC161-1)*G$27)*各r阵容卡情况!$I161)+
IF(各r阵容卡情况!$J161=0,0,IF(各r阵容卡情况!$AD161&lt;=1,0,(各r阵容卡情况!$AD161-1)*G$28)*各r阵容卡情况!$J161)</f>
        <v>720</v>
      </c>
      <c r="AI133" s="67">
        <f>IF(各r阵容卡情况!$H161=0,0,IF(各r阵容卡情况!$AB161&lt;=1,0,(各r阵容卡情况!$AB161-1)*H$26)*各r阵容卡情况!$H161)+
IF(各r阵容卡情况!$I161=0,0,IF(各r阵容卡情况!$AC161&lt;=1,0,(各r阵容卡情况!$AC161-1)*H$27)*各r阵容卡情况!$I161)+
IF(各r阵容卡情况!$J161=0,0,IF(各r阵容卡情况!$AD161&lt;=1,0,(各r阵容卡情况!$AD161-1)*H$28)*各r阵容卡情况!$J161)</f>
        <v>0</v>
      </c>
      <c r="AJ133" s="67">
        <f>IF(各r阵容卡情况!$H161=0,0,IF(各r阵容卡情况!$AB161&lt;=1,0,(各r阵容卡情况!$AB161-1)*I$26)*各r阵容卡情况!$H161)+
IF(各r阵容卡情况!$I161=0,0,IF(各r阵容卡情况!$AC161&lt;=1,0,(各r阵容卡情况!$AC161-1)*I$27)*各r阵容卡情况!$I161)+
IF(各r阵容卡情况!$J161=0,0,IF(各r阵容卡情况!$AD161&lt;=1,0,(各r阵容卡情况!$AD161-1)*I$28)*各r阵容卡情况!$J161)</f>
        <v>0</v>
      </c>
      <c r="AL133" s="80">
        <f t="shared" si="98"/>
        <v>200</v>
      </c>
      <c r="AM133" s="80">
        <f t="shared" si="99"/>
        <v>48</v>
      </c>
      <c r="AN133" s="80">
        <f t="shared" si="100"/>
        <v>0</v>
      </c>
      <c r="AO133" s="80">
        <f t="shared" si="101"/>
        <v>0</v>
      </c>
      <c r="AP133" s="80">
        <f t="shared" si="102"/>
        <v>240</v>
      </c>
      <c r="AQ133" s="80">
        <f t="shared" si="103"/>
        <v>0</v>
      </c>
      <c r="AR133" s="80">
        <f t="shared" si="104"/>
        <v>0</v>
      </c>
      <c r="AS133" s="80">
        <f t="shared" si="105"/>
        <v>144</v>
      </c>
      <c r="AT133" s="80">
        <f t="shared" si="106"/>
        <v>0</v>
      </c>
      <c r="AU133" s="80">
        <f t="shared" si="107"/>
        <v>0</v>
      </c>
      <c r="AV133" s="80">
        <f t="shared" si="108"/>
        <v>720</v>
      </c>
      <c r="AW133" s="80">
        <f t="shared" si="109"/>
        <v>0</v>
      </c>
      <c r="AX133" s="80">
        <f t="shared" si="110"/>
        <v>0</v>
      </c>
      <c r="AY133" s="61" t="e">
        <f>SUMPRODUCT(AM133:AR133/'[1]功能-行军令'!$GI$26:$GN$26+AS133:AX133/'[1]功能-行军令'!$GI$26:$GN$26)/0.18</f>
        <v>#DIV/0!</v>
      </c>
    </row>
    <row r="134" spans="12:77" x14ac:dyDescent="0.15">
      <c r="L134" s="61">
        <v>43</v>
      </c>
    </row>
    <row r="135" spans="12:77" x14ac:dyDescent="0.15">
      <c r="L135" s="61">
        <v>44</v>
      </c>
    </row>
    <row r="136" spans="12:77" x14ac:dyDescent="0.15">
      <c r="L136" s="61">
        <v>45</v>
      </c>
    </row>
    <row r="137" spans="12:77" x14ac:dyDescent="0.15">
      <c r="L137" s="61">
        <v>1</v>
      </c>
      <c r="BB137" s="80" t="s">
        <v>78</v>
      </c>
      <c r="BC137" s="194" t="s">
        <v>55</v>
      </c>
      <c r="BD137" s="195"/>
      <c r="BE137" s="195"/>
      <c r="BF137" s="196"/>
      <c r="BG137" s="197" t="s">
        <v>290</v>
      </c>
      <c r="BH137" s="197"/>
      <c r="BI137" s="197"/>
      <c r="BJ137" s="197"/>
      <c r="BK137" s="197"/>
      <c r="BO137" s="80" t="s">
        <v>78</v>
      </c>
      <c r="BP137" s="197" t="s">
        <v>306</v>
      </c>
      <c r="BQ137" s="197"/>
      <c r="BR137" s="197"/>
      <c r="BS137" s="197"/>
      <c r="BU137" s="80" t="s">
        <v>78</v>
      </c>
      <c r="BV137" s="197" t="s">
        <v>308</v>
      </c>
      <c r="BW137" s="197"/>
      <c r="BX137" s="197"/>
    </row>
    <row r="138" spans="12:77" x14ac:dyDescent="0.15">
      <c r="L138" s="61">
        <v>2</v>
      </c>
      <c r="M138" s="80" t="s">
        <v>185</v>
      </c>
      <c r="N138" s="197" t="s">
        <v>296</v>
      </c>
      <c r="O138" s="197"/>
      <c r="P138" s="197"/>
      <c r="Q138" s="197"/>
      <c r="R138" s="197"/>
      <c r="S138" s="197"/>
      <c r="T138" s="197" t="s">
        <v>380</v>
      </c>
      <c r="U138" s="197"/>
      <c r="V138" s="197"/>
      <c r="W138" s="197"/>
      <c r="X138" s="197"/>
      <c r="Y138" s="194" t="s">
        <v>461</v>
      </c>
      <c r="Z138" s="195"/>
      <c r="AA138" s="195"/>
      <c r="AB138" s="195"/>
      <c r="AC138" s="195"/>
      <c r="AD138" s="196"/>
      <c r="AE138" s="194" t="s">
        <v>462</v>
      </c>
      <c r="AF138" s="195"/>
      <c r="AG138" s="195"/>
      <c r="AH138" s="195"/>
      <c r="AI138" s="195"/>
      <c r="AJ138" s="196"/>
      <c r="AL138" s="80" t="s">
        <v>185</v>
      </c>
      <c r="AM138" s="194" t="s">
        <v>461</v>
      </c>
      <c r="AN138" s="195"/>
      <c r="AO138" s="195"/>
      <c r="AP138" s="195"/>
      <c r="AQ138" s="195"/>
      <c r="AR138" s="196"/>
      <c r="AS138" s="194" t="s">
        <v>462</v>
      </c>
      <c r="AT138" s="195"/>
      <c r="AU138" s="195"/>
      <c r="AV138" s="195"/>
      <c r="AW138" s="195"/>
      <c r="AX138" s="196"/>
      <c r="BB138" s="80" t="s">
        <v>478</v>
      </c>
      <c r="BC138" s="80" t="s">
        <v>152</v>
      </c>
      <c r="BD138" s="80" t="s">
        <v>250</v>
      </c>
      <c r="BE138" s="80" t="s">
        <v>251</v>
      </c>
      <c r="BF138" s="80" t="s">
        <v>295</v>
      </c>
      <c r="BG138" s="80" t="s">
        <v>152</v>
      </c>
      <c r="BH138" s="80" t="s">
        <v>250</v>
      </c>
      <c r="BI138" s="80" t="s">
        <v>251</v>
      </c>
      <c r="BJ138" s="80" t="s">
        <v>295</v>
      </c>
      <c r="BK138" s="80" t="s">
        <v>293</v>
      </c>
      <c r="BO138" s="80" t="s">
        <v>478</v>
      </c>
      <c r="BP138" s="80" t="s">
        <v>311</v>
      </c>
      <c r="BQ138" s="80" t="s">
        <v>340</v>
      </c>
      <c r="BR138" s="80" t="s">
        <v>312</v>
      </c>
      <c r="BS138" s="80" t="s">
        <v>313</v>
      </c>
      <c r="BU138" s="80" t="s">
        <v>478</v>
      </c>
      <c r="BV138" s="80" t="s">
        <v>311</v>
      </c>
      <c r="BW138" s="80" t="s">
        <v>312</v>
      </c>
      <c r="BX138" s="80" t="s">
        <v>313</v>
      </c>
      <c r="BY138" s="80" t="s">
        <v>472</v>
      </c>
    </row>
    <row r="139" spans="12:77" x14ac:dyDescent="0.15">
      <c r="L139" s="61">
        <v>3</v>
      </c>
      <c r="M139" s="80" t="s">
        <v>478</v>
      </c>
      <c r="N139" s="80" t="s">
        <v>3</v>
      </c>
      <c r="O139" s="80" t="s">
        <v>1</v>
      </c>
      <c r="P139" s="80" t="s">
        <v>2</v>
      </c>
      <c r="Q139" s="80" t="s">
        <v>0</v>
      </c>
      <c r="R139" s="80" t="s">
        <v>545</v>
      </c>
      <c r="S139" s="80" t="s">
        <v>273</v>
      </c>
      <c r="T139" s="80" t="s">
        <v>3</v>
      </c>
      <c r="U139" s="80" t="s">
        <v>1</v>
      </c>
      <c r="V139" s="80" t="s">
        <v>2</v>
      </c>
      <c r="W139" s="80" t="s">
        <v>0</v>
      </c>
      <c r="X139" s="80" t="s">
        <v>545</v>
      </c>
      <c r="Y139" s="80" t="s">
        <v>443</v>
      </c>
      <c r="Z139" s="80" t="s">
        <v>438</v>
      </c>
      <c r="AA139" s="80" t="s">
        <v>439</v>
      </c>
      <c r="AB139" s="80" t="s">
        <v>440</v>
      </c>
      <c r="AC139" s="80" t="s">
        <v>441</v>
      </c>
      <c r="AD139" s="80" t="s">
        <v>442</v>
      </c>
      <c r="AE139" s="80" t="s">
        <v>443</v>
      </c>
      <c r="AF139" s="80" t="s">
        <v>438</v>
      </c>
      <c r="AG139" s="80" t="s">
        <v>439</v>
      </c>
      <c r="AH139" s="80" t="s">
        <v>440</v>
      </c>
      <c r="AI139" s="80" t="s">
        <v>441</v>
      </c>
      <c r="AJ139" s="80" t="s">
        <v>442</v>
      </c>
      <c r="AL139" s="80" t="s">
        <v>478</v>
      </c>
      <c r="AM139" s="80" t="s">
        <v>443</v>
      </c>
      <c r="AN139" s="80" t="s">
        <v>438</v>
      </c>
      <c r="AO139" s="80" t="s">
        <v>439</v>
      </c>
      <c r="AP139" s="80" t="s">
        <v>440</v>
      </c>
      <c r="AQ139" s="80" t="s">
        <v>441</v>
      </c>
      <c r="AR139" s="80" t="s">
        <v>442</v>
      </c>
      <c r="AS139" s="80" t="s">
        <v>443</v>
      </c>
      <c r="AT139" s="80" t="s">
        <v>438</v>
      </c>
      <c r="AU139" s="80" t="s">
        <v>439</v>
      </c>
      <c r="AV139" s="80" t="s">
        <v>440</v>
      </c>
      <c r="AW139" s="80" t="s">
        <v>441</v>
      </c>
      <c r="AX139" s="80" t="s">
        <v>442</v>
      </c>
      <c r="BB139" s="80">
        <v>10</v>
      </c>
      <c r="BC139" s="80"/>
      <c r="BD139" s="80"/>
      <c r="BE139" s="80"/>
      <c r="BF139" s="80"/>
      <c r="BG139" s="80"/>
      <c r="BH139" s="80"/>
      <c r="BI139" s="80"/>
      <c r="BJ139" s="80"/>
      <c r="BK139" s="80">
        <f>SUM(BG139:BJ139)</f>
        <v>0</v>
      </c>
      <c r="BO139" s="80">
        <f t="shared" ref="BO139:BO154" si="111">$M140</f>
        <v>10.00263241450434</v>
      </c>
      <c r="BP139" s="80">
        <f t="shared" ref="BP139:BP154" si="112">$S140</f>
        <v>29998.406136262623</v>
      </c>
      <c r="BQ139" s="60">
        <f>BP139*INDEX('[1]功能-付费相关'!$AT$6:$AT$165,$BO139,1)</f>
        <v>74.996015340656555</v>
      </c>
      <c r="BR139" s="80"/>
      <c r="BS139" s="80"/>
      <c r="BU139" s="80">
        <v>10</v>
      </c>
      <c r="BV139" s="80">
        <f t="shared" ref="BV139:BV154" si="113">求节点($BO$139:$BO$177,BQ$139:BQ$177,$BU139)</f>
        <v>74.976278476362296</v>
      </c>
      <c r="BW139" s="80">
        <f>INDEX('[1]功能-行军令'!$N$4:$R$163,BU139,1)*INDEX('[1]功能-付费相关'!$H$6:$L$6,1,4)*'[1]功能-行军令'!$AD$17</f>
        <v>1210.9244444444446</v>
      </c>
      <c r="BX139" s="80"/>
      <c r="BY139" s="80">
        <f>SUM(BV139:BX139)</f>
        <v>1285.9007229208069</v>
      </c>
    </row>
    <row r="140" spans="12:77" x14ac:dyDescent="0.15">
      <c r="L140" s="61">
        <v>4</v>
      </c>
      <c r="M140" s="80">
        <f>基础状态预期!D152</f>
        <v>10.00263241450434</v>
      </c>
      <c r="N140" s="80">
        <f>IF(基础状态预期!F152="",0,IF(基础状态预期!Z152&lt;=1,基础状态预期!Z152*D$4,1*D$4+(基础状态预期!Z152-1)*武将觉醒!D$5))</f>
        <v>0</v>
      </c>
      <c r="O140" s="80">
        <f>IF(基础状态预期!G152="",0,IF(基础状态预期!AA152&lt;=1,基础状态预期!AA152*E$4,1*E$4+(基础状态预期!AA152-1)*武将觉醒!E$5))</f>
        <v>0</v>
      </c>
      <c r="P140" s="80">
        <f>IF(基础状态预期!H152="",0,IF(基础状态预期!AB152&lt;=1,基础状态预期!AB152*F$4,1*F$4+(基础状态预期!AB152-1)*武将觉醒!F$5))</f>
        <v>0</v>
      </c>
      <c r="Q140" s="80">
        <f>IF(基础状态预期!I152="",0,IF(基础状态预期!AC152&lt;=1,基础状态预期!AC152*G$4,1*G$4+(基础状态预期!AC152-1)*武将觉醒!G$5))</f>
        <v>4999.7343560437703</v>
      </c>
      <c r="R140" s="80">
        <f>IF(基础状态预期!J152="",0,IF(基础状态预期!AD152&lt;=1,基础状态预期!AD152*H$4,1*H$4+(基础状态预期!AD152-1)*武将觉醒!H$5))</f>
        <v>0</v>
      </c>
      <c r="S140" s="80">
        <f>MAX(SUMPRODUCT(N140:R140,基础状态预期!F152:J152),S139)</f>
        <v>29998.406136262623</v>
      </c>
      <c r="T140" s="80">
        <f>IF(基础状态预期!Z152="",0,IFERROR(基础状态预期!F152*求节点($C$62:$C$63,D$62:D$63,基础状态预期!Z152),0)+IFERROR(基础状态预期!$J152*求节点($C$71:$C$72,D$71:D$72,基础状态预期!$AD152),0))</f>
        <v>0</v>
      </c>
      <c r="U140" s="80">
        <f>IF(基础状态预期!AA152="",0,IFERROR(基础状态预期!G152*求节点($C$62:$C$63,E$62:E$63,基础状态预期!AA152),0)+IFERROR(基础状态预期!$J152*求节点($C$71:$C$72,E$71:E$72,基础状态预期!$AD152),0))</f>
        <v>0</v>
      </c>
      <c r="V140" s="80">
        <f>IF(基础状态预期!AB152="",0,IFERROR(基础状态预期!H152*求节点($C$62:$C$63,F$62:F$63,基础状态预期!AB152),0)+IFERROR(基础状态预期!$J152*求节点($C$71:$C$72,F$71:F$72,基础状态预期!$AD152),0))</f>
        <v>0</v>
      </c>
      <c r="W140" s="80">
        <f>IF(基础状态预期!AC152="",0,IFERROR(基础状态预期!I152*求节点($C$62:$C$63,G$62:G$63,基础状态预期!AC152),0)+IFERROR(基础状态预期!$J152*求节点($C$71:$C$72,G$71:G$72,基础状态预期!$AD152),0))</f>
        <v>0</v>
      </c>
      <c r="X140" s="80">
        <f>IF(基础状态预期!AD152="",0,IFERROR(基础状态预期!J152*求节点($C$62:$C$63,H$62:H$63,基础状态预期!AD152),0)+IFERROR(基础状态预期!$J152*求节点($C$71:$C$72,H$71:H$72,基础状态预期!$AD152),0))</f>
        <v>0</v>
      </c>
      <c r="Y140" s="80">
        <f>IF(基础状态预期!$H152="",0,IF(基础状态预期!$AB152&lt;=1,基础状态预期!$AB152*D$18,D$18)*基础状态预期!$H152)+
IF(基础状态预期!$I152="",0,IF(基础状态预期!$AC152&lt;=1,基础状态预期!$AC152*D$19,D$19)*基础状态预期!$I152)+
IF(基础状态预期!$J152="",0,IF(基础状态预期!$AD152&lt;=1,基础状态预期!$AD152*D$20,D$20)*基础状态预期!$J152)</f>
        <v>8.9995218408787867</v>
      </c>
      <c r="Z140" s="80">
        <f>IF(基础状态预期!$H152="",0,IF(基础状态预期!$AB152&lt;=1,基础状态预期!$AB152*E$18,E$18)*基础状态预期!$H152)+
IF(基础状态预期!$I152="",0,IF(基础状态预期!$AC152&lt;=1,基础状态预期!$AC152*E$19,E$19)*基础状态预期!$I152)+
IF(基础状态预期!$J152="",0,IF(基础状态预期!$AD152&lt;=1,基础状态预期!$AD152*E$20,E$20)*基础状态预期!$J152)</f>
        <v>0</v>
      </c>
      <c r="AA140" s="80">
        <f>IF(基础状态预期!$H152="",0,IF(基础状态预期!$AB152&lt;=1,基础状态预期!$AB152*F$18,F$18)*基础状态预期!$H152)+
IF(基础状态预期!$I152="",0,IF(基础状态预期!$AC152&lt;=1,基础状态预期!$AC152*F$19,F$19)*基础状态预期!$I152)+
IF(基础状态预期!$J152="",0,IF(基础状态预期!$AD152&lt;=1,基础状态预期!$AD152*F$20,F$20)*基础状态预期!$J152)</f>
        <v>0</v>
      </c>
      <c r="AB140" s="67">
        <f>IF(基础状态预期!$H152="",0,IF(基础状态预期!$AB152&lt;=1,0,(基础状态预期!$AB152-1)*G$26)*基础状态预期!$H152)+
IF(基础状态预期!$I152="",0,IF(基础状态预期!$AC152&lt;=1,0,(基础状态预期!$AC152-1)*G$27)*基础状态预期!$I152)+
IF(基础状态预期!$J152="",0,IF(基础状态预期!$AD152&lt;=1,0,(基础状态预期!$AD152-1)*G$28)*基础状态预期!$J152)</f>
        <v>0</v>
      </c>
      <c r="AC140" s="67">
        <f>IF(基础状态预期!$H152="",0,IF(基础状态预期!$AB152&lt;=1,0,(基础状态预期!$AB152-1)*H$26)*基础状态预期!$H152)+
IF(基础状态预期!$I152="",0,IF(基础状态预期!$AC152&lt;=1,0,(基础状态预期!$AC152-1)*H$27)*基础状态预期!$I152)+
IF(基础状态预期!$J152="",0,IF(基础状态预期!$AD152&lt;=1,0,(基础状态预期!$AD152-1)*H$28)*基础状态预期!$J152)</f>
        <v>0</v>
      </c>
      <c r="AD140" s="67">
        <f>IF(基础状态预期!$H152="",0,IF(基础状态预期!$AB152&lt;=1,0,(基础状态预期!$AB152-1)*I$26)*基础状态预期!$H152)+
IF(基础状态预期!$I152="",0,IF(基础状态预期!$AC152&lt;=1,0,(基础状态预期!$AC152-1)*I$27)*基础状态预期!$I152)+
IF(基础状态预期!$J152="",0,IF(基础状态预期!$AD152&lt;=1,0,(基础状态预期!$AD152-1)*I$28)*基础状态预期!$J152)</f>
        <v>0</v>
      </c>
      <c r="AE140" s="80">
        <f>IF(各r阵容卡情况!$H146=0,0,IF(各r阵容卡情况!$AB146&lt;=1,各r阵容卡情况!$AB146*D$18,1*D$18)*各r阵容卡情况!$H146)+
IF(各r阵容卡情况!$I146=0,0,IF(各r阵容卡情况!$AC146&lt;=1,各r阵容卡情况!$AC146*D$19,1*D$19)*各r阵容卡情况!$I146)+
IF(各r阵容卡情况!$J146=0,0,IF(各r阵容卡情况!$AD146&lt;=1,各r阵容卡情况!$AD146*D$20,1*D$20)*各r阵容卡情况!$J146)</f>
        <v>3.1588974052084496E-3</v>
      </c>
      <c r="AF140" s="80">
        <f>IF(各r阵容卡情况!$H146=0,0,IF(各r阵容卡情况!$AB146&lt;=1,各r阵容卡情况!$AB146*E$18,1*E$18)*各r阵容卡情况!$H146)+
IF(各r阵容卡情况!$I146=0,0,IF(各r阵容卡情况!$AC146&lt;=1,各r阵容卡情况!$AC146*E$19,1*E$19)*各r阵容卡情况!$I146)+
IF(各r阵容卡情况!$J146=0,0,IF(各r阵容卡情况!$AD146&lt;=1,各r阵容卡情况!$AD146*E$20,1*E$20)*各r阵容卡情况!$J146)</f>
        <v>0</v>
      </c>
      <c r="AG140" s="80">
        <f>IF(各r阵容卡情况!$H146=0,0,IF(各r阵容卡情况!$AB146&lt;=1,各r阵容卡情况!$AB146*F$18,1*F$18)*各r阵容卡情况!$H146)+
IF(各r阵容卡情况!$I146=0,0,IF(各r阵容卡情况!$AC146&lt;=1,各r阵容卡情况!$AC146*F$19,1*F$19)*各r阵容卡情况!$I146)+
IF(各r阵容卡情况!$J146=0,0,IF(各r阵容卡情况!$AD146&lt;=1,各r阵容卡情况!$AD146*F$20,1*F$20)*各r阵容卡情况!$J146)</f>
        <v>0</v>
      </c>
      <c r="AH140" s="67">
        <f>IF(各r阵容卡情况!$H146=0,0,IF(各r阵容卡情况!$AB146&lt;=1,0,(各r阵容卡情况!$AB146-1)*G$26)*各r阵容卡情况!$H146)+
IF(各r阵容卡情况!$I146=0,0,IF(各r阵容卡情况!$AC146&lt;=1,0,(各r阵容卡情况!$AC146-1)*G$27)*各r阵容卡情况!$I146)+
IF(各r阵容卡情况!$J146=0,0,IF(各r阵容卡情况!$AD146&lt;=1,0,(各r阵容卡情况!$AD146-1)*G$28)*各r阵容卡情况!$J146)</f>
        <v>0</v>
      </c>
      <c r="AI140" s="67">
        <f>IF(各r阵容卡情况!$H146=0,0,IF(各r阵容卡情况!$AB146&lt;=1,0,(各r阵容卡情况!$AB146-1)*H$26)*各r阵容卡情况!$H146)+
IF(各r阵容卡情况!$I146=0,0,IF(各r阵容卡情况!$AC146&lt;=1,0,(各r阵容卡情况!$AC146-1)*H$27)*各r阵容卡情况!$I146)+
IF(各r阵容卡情况!$J146=0,0,IF(各r阵容卡情况!$AD146&lt;=1,0,(各r阵容卡情况!$AD146-1)*H$28)*各r阵容卡情况!$J146)</f>
        <v>0</v>
      </c>
      <c r="AJ140" s="67">
        <f>IF(各r阵容卡情况!$H146=0,0,IF(各r阵容卡情况!$AB146&lt;=1,0,(各r阵容卡情况!$AB146-1)*I$26)*各r阵容卡情况!$H146)+
IF(各r阵容卡情况!$I146=0,0,IF(各r阵容卡情况!$AC146&lt;=1,0,(各r阵容卡情况!$AC146-1)*I$27)*各r阵容卡情况!$I146)+
IF(各r阵容卡情况!$J146=0,0,IF(各r阵容卡情况!$AD146&lt;=1,0,(各r阵容卡情况!$AD146-1)*I$28)*各r阵容卡情况!$J146)</f>
        <v>0</v>
      </c>
      <c r="AL140" s="80">
        <f t="shared" ref="AL140:AL155" si="114">AL95</f>
        <v>10</v>
      </c>
      <c r="AM140" s="80">
        <f t="shared" ref="AM140:AM155" si="115">求节点($M$140:$M$178,Y$140:Y$178,$AL140)</f>
        <v>8.9971534171634744</v>
      </c>
      <c r="AN140" s="80">
        <f t="shared" ref="AN140:AN155" si="116">求节点($M$140:$M$178,Z$140:Z$178,$AL140)</f>
        <v>0</v>
      </c>
      <c r="AO140" s="80">
        <f t="shared" ref="AO140:AO155" si="117">求节点($M$140:$M$178,AA$140:AA$178,$AL140)</f>
        <v>0</v>
      </c>
      <c r="AP140" s="80">
        <f t="shared" ref="AP140:AP155" si="118">求节点($M$140:$M$178,AB$140:AB$178,$AL140)</f>
        <v>0</v>
      </c>
      <c r="AQ140" s="80">
        <f t="shared" ref="AQ140:AQ155" si="119">求节点($M$140:$M$178,AC$140:AC$178,$AL140)</f>
        <v>0</v>
      </c>
      <c r="AR140" s="80">
        <f t="shared" ref="AR140:AR155" si="120">求节点($M$140:$M$178,AD$140:AD$178,$AL140)</f>
        <v>0</v>
      </c>
      <c r="AS140" s="80">
        <f t="shared" ref="AS140:AS155" si="121">求节点($M$140:$M$178,AE$140:AE$178,$AL140)</f>
        <v>3.1580660713152703E-3</v>
      </c>
      <c r="AT140" s="80">
        <f t="shared" ref="AT140:AT155" si="122">求节点($M$140:$M$178,AF$140:AF$178,$AL140)</f>
        <v>0</v>
      </c>
      <c r="AU140" s="80">
        <f t="shared" ref="AU140:AU155" si="123">求节点($M$140:$M$178,AG$140:AG$178,$AL140)</f>
        <v>0</v>
      </c>
      <c r="AV140" s="80">
        <f t="shared" ref="AV140:AV155" si="124">求节点($M$140:$M$178,AH$140:AH$178,$AL140)</f>
        <v>0</v>
      </c>
      <c r="AW140" s="80">
        <f t="shared" ref="AW140:AW155" si="125">求节点($M$140:$M$178,AI$140:AI$178,$AL140)</f>
        <v>0</v>
      </c>
      <c r="AX140" s="80">
        <f t="shared" ref="AX140:AX155" si="126">求节点($M$140:$M$178,AJ$140:AJ$178,$AL140)</f>
        <v>0</v>
      </c>
      <c r="AY140" s="61" t="e">
        <f>SUMPRODUCT(AM140:AR140/'[1]功能-行军令'!$GI$26:$GN$26+AS140:AX140/'[1]功能-行军令'!$GI$26:$GN$26)/0.18</f>
        <v>#DIV/0!</v>
      </c>
      <c r="BB140" s="80">
        <v>20</v>
      </c>
      <c r="BC140" s="80"/>
      <c r="BD140" s="80"/>
      <c r="BE140" s="80"/>
      <c r="BF140" s="80"/>
      <c r="BG140" s="80"/>
      <c r="BH140" s="80"/>
      <c r="BI140" s="80"/>
      <c r="BJ140" s="80"/>
      <c r="BK140" s="80">
        <f t="shared" ref="BK140:BK148" si="127">SUM(BG140:BJ140)</f>
        <v>0</v>
      </c>
      <c r="BO140" s="80">
        <f t="shared" si="111"/>
        <v>19.43005414991557</v>
      </c>
      <c r="BP140" s="80">
        <f t="shared" si="112"/>
        <v>120000</v>
      </c>
      <c r="BQ140" s="80">
        <f>(BP140-BP139)*INDEX('[1]功能-付费相关'!$AT$6:$AT$165,$BO140,1)+BQ139</f>
        <v>265.67735827230354</v>
      </c>
      <c r="BR140" s="80"/>
      <c r="BS140" s="80"/>
      <c r="BU140" s="80">
        <v>20</v>
      </c>
      <c r="BV140" s="80">
        <f t="shared" si="113"/>
        <v>265.67735827230354</v>
      </c>
      <c r="BW140" s="80">
        <f>INDEX('[1]功能-行军令'!$N$4:$R$163,BU140,1)*INDEX('[1]功能-付费相关'!$H$6:$L$6,1,4)*'[1]功能-行军令'!$AD$17</f>
        <v>3632.773333333334</v>
      </c>
      <c r="BX140" s="80"/>
      <c r="BY140" s="80">
        <f t="shared" ref="BY140:BY148" si="128">SUM(BV140:BX140)</f>
        <v>3898.4506916056375</v>
      </c>
    </row>
    <row r="141" spans="12:77" x14ac:dyDescent="0.15">
      <c r="L141" s="61">
        <v>5</v>
      </c>
      <c r="M141" s="80">
        <f>基础状态预期!D153</f>
        <v>19.43005414991557</v>
      </c>
      <c r="N141" s="80">
        <f>IF(基础状态预期!F153="",0,IF(基础状态预期!Z153&lt;=1,基础状态预期!Z153*D$4,1*D$4+(基础状态预期!Z153-1)*武将觉醒!D$5))</f>
        <v>0</v>
      </c>
      <c r="O141" s="80">
        <f>IF(基础状态预期!G153="",0,IF(基础状态预期!AA153&lt;=1,基础状态预期!AA153*E$4,1*E$4+(基础状态预期!AA153-1)*武将觉醒!E$5))</f>
        <v>0</v>
      </c>
      <c r="P141" s="80">
        <f>IF(基础状态预期!H153="",0,IF(基础状态预期!AB153&lt;=1,基础状态预期!AB153*F$4,1*F$4+(基础状态预期!AB153-1)*武将觉醒!F$5))</f>
        <v>0</v>
      </c>
      <c r="Q141" s="80">
        <f>IF(基础状态预期!I153="",0,IF(基础状态预期!AC153&lt;=1,基础状态预期!AC153*G$4,1*G$4+(基础状态预期!AC153-1)*武将觉醒!G$5))</f>
        <v>20000</v>
      </c>
      <c r="R141" s="80">
        <f>IF(基础状态预期!J153="",0,IF(基础状态预期!AD153&lt;=1,基础状态预期!AD153*H$4,1*H$4+(基础状态预期!AD153-1)*武将觉醒!H$5))</f>
        <v>0</v>
      </c>
      <c r="S141" s="80">
        <f>MAX(SUMPRODUCT(N141:R141,基础状态预期!F153:J153),S140)</f>
        <v>120000</v>
      </c>
      <c r="T141" s="80">
        <f>IF(基础状态预期!Z153="",0,IFERROR(基础状态预期!F153*求节点($C$62:$C$63,D$62:D$63,基础状态预期!Z153),0)+IFERROR(基础状态预期!$J153*求节点($C$71:$C$72,D$71:D$72,基础状态预期!$AD153),0))</f>
        <v>0</v>
      </c>
      <c r="U141" s="80">
        <f>IF(基础状态预期!AA153="",0,IFERROR(基础状态预期!G153*求节点($C$62:$C$63,E$62:E$63,基础状态预期!AA153),0)+IFERROR(基础状态预期!$J153*求节点($C$71:$C$72,E$71:E$72,基础状态预期!$AD153),0))</f>
        <v>0</v>
      </c>
      <c r="V141" s="80">
        <f>IF(基础状态预期!AB153="",0,IFERROR(基础状态预期!H153*求节点($C$62:$C$63,F$62:F$63,基础状态预期!AB153),0)+IFERROR(基础状态预期!$J153*求节点($C$71:$C$72,F$71:F$72,基础状态预期!$AD153),0))</f>
        <v>0</v>
      </c>
      <c r="W141" s="80">
        <f>IF(基础状态预期!AC153="",0,IFERROR(基础状态预期!I153*求节点($C$62:$C$63,G$62:G$63,基础状态预期!AC153),0)+IFERROR(基础状态预期!$J153*求节点($C$71:$C$72,G$71:G$72,基础状态预期!$AD153),0))</f>
        <v>0</v>
      </c>
      <c r="X141" s="80">
        <f>IF(基础状态预期!AD153="",0,IFERROR(基础状态预期!J153*求节点($C$62:$C$63,H$62:H$63,基础状态预期!AD153),0)+IFERROR(基础状态预期!$J153*求节点($C$71:$C$72,H$71:H$72,基础状态预期!$AD153),0))</f>
        <v>0</v>
      </c>
      <c r="Y141" s="80">
        <f>IF(基础状态预期!$H153="",0,IF(基础状态预期!$AB153&lt;=1,基础状态预期!$AB153*D$18,D$18)*基础状态预期!$H153)+
IF(基础状态预期!$I153="",0,IF(基础状态预期!$AC153&lt;=1,基础状态预期!$AC153*D$19,D$19)*基础状态预期!$I153)+
IF(基础状态预期!$J153="",0,IF(基础状态预期!$AD153&lt;=1,基础状态预期!$AD153*D$20,D$20)*基础状态预期!$J153)</f>
        <v>36</v>
      </c>
      <c r="Z141" s="80">
        <f>IF(基础状态预期!$H153="",0,IF(基础状态预期!$AB153&lt;=1,基础状态预期!$AB153*E$18,E$18)*基础状态预期!$H153)+
IF(基础状态预期!$I153="",0,IF(基础状态预期!$AC153&lt;=1,基础状态预期!$AC153*E$19,E$19)*基础状态预期!$I153)+
IF(基础状态预期!$J153="",0,IF(基础状态预期!$AD153&lt;=1,基础状态预期!$AD153*E$20,E$20)*基础状态预期!$J153)</f>
        <v>0</v>
      </c>
      <c r="AA141" s="80">
        <f>IF(基础状态预期!$H153="",0,IF(基础状态预期!$AB153&lt;=1,基础状态预期!$AB153*F$18,F$18)*基础状态预期!$H153)+
IF(基础状态预期!$I153="",0,IF(基础状态预期!$AC153&lt;=1,基础状态预期!$AC153*F$19,F$19)*基础状态预期!$I153)+
IF(基础状态预期!$J153="",0,IF(基础状态预期!$AD153&lt;=1,基础状态预期!$AD153*F$20,F$20)*基础状态预期!$J153)</f>
        <v>0</v>
      </c>
      <c r="AB141" s="67">
        <f>IF(基础状态预期!$H153="",0,IF(基础状态预期!$AB153&lt;=1,0,(基础状态预期!$AB153-1)*G$26)*基础状态预期!$H153)+
IF(基础状态预期!$I153="",0,IF(基础状态预期!$AC153&lt;=1,0,(基础状态预期!$AC153-1)*G$27)*基础状态预期!$I153)+
IF(基础状态预期!$J153="",0,IF(基础状态预期!$AD153&lt;=1,0,(基础状态预期!$AD153-1)*G$28)*基础状态预期!$J153)</f>
        <v>0</v>
      </c>
      <c r="AC141" s="67">
        <f>IF(基础状态预期!$H153="",0,IF(基础状态预期!$AB153&lt;=1,0,(基础状态预期!$AB153-1)*H$26)*基础状态预期!$H153)+
IF(基础状态预期!$I153="",0,IF(基础状态预期!$AC153&lt;=1,0,(基础状态预期!$AC153-1)*H$27)*基础状态预期!$I153)+
IF(基础状态预期!$J153="",0,IF(基础状态预期!$AD153&lt;=1,0,(基础状态预期!$AD153-1)*H$28)*基础状态预期!$J153)</f>
        <v>0</v>
      </c>
      <c r="AD141" s="67">
        <f>IF(基础状态预期!$H153="",0,IF(基础状态预期!$AB153&lt;=1,0,(基础状态预期!$AB153-1)*I$26)*基础状态预期!$H153)+
IF(基础状态预期!$I153="",0,IF(基础状态预期!$AC153&lt;=1,0,(基础状态预期!$AC153-1)*I$27)*基础状态预期!$I153)+
IF(基础状态预期!$J153="",0,IF(基础状态预期!$AD153&lt;=1,0,(基础状态预期!$AD153-1)*I$28)*基础状态预期!$J153)</f>
        <v>0</v>
      </c>
      <c r="AE141" s="80">
        <f>IF(各r阵容卡情况!$H147=0,0,IF(各r阵容卡情况!$AB147&lt;=1,各r阵容卡情况!$AB147*D$18,1*D$18)*各r阵容卡情况!$H147)+
IF(各r阵容卡情况!$I147=0,0,IF(各r阵容卡情况!$AC147&lt;=1,各r阵容卡情况!$AC147*D$19,1*D$19)*各r阵容卡情况!$I147)+
IF(各r阵容卡情况!$J147=0,0,IF(各r阵容卡情况!$AD147&lt;=1,各r阵容卡情况!$AD147*D$20,1*D$20)*各r阵容卡情况!$J147)</f>
        <v>16</v>
      </c>
      <c r="AF141" s="80">
        <f>IF(各r阵容卡情况!$H147=0,0,IF(各r阵容卡情况!$AB147&lt;=1,各r阵容卡情况!$AB147*E$18,1*E$18)*各r阵容卡情况!$H147)+
IF(各r阵容卡情况!$I147=0,0,IF(各r阵容卡情况!$AC147&lt;=1,各r阵容卡情况!$AC147*E$19,1*E$19)*各r阵容卡情况!$I147)+
IF(各r阵容卡情况!$J147=0,0,IF(各r阵容卡情况!$AD147&lt;=1,各r阵容卡情况!$AD147*E$20,1*E$20)*各r阵容卡情况!$J147)</f>
        <v>0</v>
      </c>
      <c r="AG141" s="80">
        <f>IF(各r阵容卡情况!$H147=0,0,IF(各r阵容卡情况!$AB147&lt;=1,各r阵容卡情况!$AB147*F$18,1*F$18)*各r阵容卡情况!$H147)+
IF(各r阵容卡情况!$I147=0,0,IF(各r阵容卡情况!$AC147&lt;=1,各r阵容卡情况!$AC147*F$19,1*F$19)*各r阵容卡情况!$I147)+
IF(各r阵容卡情况!$J147=0,0,IF(各r阵容卡情况!$AD147&lt;=1,各r阵容卡情况!$AD147*F$20,1*F$20)*各r阵容卡情况!$J147)</f>
        <v>0</v>
      </c>
      <c r="AH141" s="67">
        <f>IF(各r阵容卡情况!$H147=0,0,IF(各r阵容卡情况!$AB147&lt;=1,0,(各r阵容卡情况!$AB147-1)*G$26)*各r阵容卡情况!$H147)+
IF(各r阵容卡情况!$I147=0,0,IF(各r阵容卡情况!$AC147&lt;=1,0,(各r阵容卡情况!$AC147-1)*G$27)*各r阵容卡情况!$I147)+
IF(各r阵容卡情况!$J147=0,0,IF(各r阵容卡情况!$AD147&lt;=1,0,(各r阵容卡情况!$AD147-1)*G$28)*各r阵容卡情况!$J147)</f>
        <v>0</v>
      </c>
      <c r="AI141" s="67">
        <f>IF(各r阵容卡情况!$H147=0,0,IF(各r阵容卡情况!$AB147&lt;=1,0,(各r阵容卡情况!$AB147-1)*H$26)*各r阵容卡情况!$H147)+
IF(各r阵容卡情况!$I147=0,0,IF(各r阵容卡情况!$AC147&lt;=1,0,(各r阵容卡情况!$AC147-1)*H$27)*各r阵容卡情况!$I147)+
IF(各r阵容卡情况!$J147=0,0,IF(各r阵容卡情况!$AD147&lt;=1,0,(各r阵容卡情况!$AD147-1)*H$28)*各r阵容卡情况!$J147)</f>
        <v>0</v>
      </c>
      <c r="AJ141" s="67">
        <f>IF(各r阵容卡情况!$H147=0,0,IF(各r阵容卡情况!$AB147&lt;=1,0,(各r阵容卡情况!$AB147-1)*I$26)*各r阵容卡情况!$H147)+
IF(各r阵容卡情况!$I147=0,0,IF(各r阵容卡情况!$AC147&lt;=1,0,(各r阵容卡情况!$AC147-1)*I$27)*各r阵容卡情况!$I147)+
IF(各r阵容卡情况!$J147=0,0,IF(各r阵容卡情况!$AD147&lt;=1,0,(各r阵容卡情况!$AD147-1)*I$28)*各r阵容卡情况!$J147)</f>
        <v>0</v>
      </c>
      <c r="AL141" s="80">
        <f t="shared" si="114"/>
        <v>15</v>
      </c>
      <c r="AM141" s="80">
        <f t="shared" si="115"/>
        <v>23.312164059742045</v>
      </c>
      <c r="AN141" s="80">
        <f t="shared" si="116"/>
        <v>0</v>
      </c>
      <c r="AO141" s="80">
        <f t="shared" si="117"/>
        <v>0</v>
      </c>
      <c r="AP141" s="80">
        <f t="shared" si="118"/>
        <v>0</v>
      </c>
      <c r="AQ141" s="80">
        <f t="shared" si="119"/>
        <v>0</v>
      </c>
      <c r="AR141" s="80">
        <f t="shared" si="120"/>
        <v>0</v>
      </c>
      <c r="AS141" s="80">
        <f t="shared" si="121"/>
        <v>8.4828999591796919</v>
      </c>
      <c r="AT141" s="80">
        <f t="shared" si="122"/>
        <v>0</v>
      </c>
      <c r="AU141" s="80">
        <f t="shared" si="123"/>
        <v>0</v>
      </c>
      <c r="AV141" s="80">
        <f t="shared" si="124"/>
        <v>0</v>
      </c>
      <c r="AW141" s="80">
        <f t="shared" si="125"/>
        <v>0</v>
      </c>
      <c r="AX141" s="80">
        <f t="shared" si="126"/>
        <v>0</v>
      </c>
      <c r="AY141" s="61" t="e">
        <f>SUMPRODUCT(AM141:AR141/'[1]功能-行军令'!$GI$26:$GN$26+AS141:AX141/'[1]功能-行军令'!$GI$26:$GN$26)/0.18</f>
        <v>#DIV/0!</v>
      </c>
      <c r="BB141" s="80">
        <v>30</v>
      </c>
      <c r="BC141" s="80"/>
      <c r="BD141" s="80"/>
      <c r="BE141" s="80"/>
      <c r="BF141" s="80"/>
      <c r="BG141" s="80"/>
      <c r="BH141" s="80"/>
      <c r="BI141" s="80"/>
      <c r="BJ141" s="80"/>
      <c r="BK141" s="80">
        <f t="shared" si="127"/>
        <v>0</v>
      </c>
      <c r="BO141" s="80">
        <f t="shared" si="111"/>
        <v>27.324610510337703</v>
      </c>
      <c r="BP141" s="80">
        <f t="shared" si="112"/>
        <v>120000</v>
      </c>
      <c r="BQ141" s="80">
        <f>(BP141-BP140)*INDEX('[1]功能-付费相关'!$AT$6:$AT$165,$BO141,1)+BQ140</f>
        <v>265.67735827230354</v>
      </c>
      <c r="BR141" s="80"/>
      <c r="BS141" s="80"/>
      <c r="BU141" s="80">
        <v>30</v>
      </c>
      <c r="BV141" s="80">
        <f t="shared" si="113"/>
        <v>2430.8390947575476</v>
      </c>
      <c r="BW141" s="80">
        <f>INDEX('[1]功能-行军令'!$N$4:$R$163,BU141,1)*INDEX('[1]功能-付费相关'!$H$6:$L$6,1,4)*'[1]功能-行军令'!$AD$17</f>
        <v>8476.4711111111119</v>
      </c>
      <c r="BX141" s="80"/>
      <c r="BY141" s="80">
        <f t="shared" si="128"/>
        <v>10907.31020586866</v>
      </c>
    </row>
    <row r="142" spans="12:77" x14ac:dyDescent="0.15">
      <c r="L142" s="61">
        <v>6</v>
      </c>
      <c r="M142" s="80">
        <f>基础状态预期!D154</f>
        <v>27.324610510337703</v>
      </c>
      <c r="N142" s="80">
        <f>IF(基础状态预期!F154="",0,IF(基础状态预期!Z154&lt;=1,基础状态预期!Z154*D$4,1*D$4+(基础状态预期!Z154-1)*武将觉醒!D$5))</f>
        <v>0</v>
      </c>
      <c r="O142" s="80">
        <f>IF(基础状态预期!G154="",0,IF(基础状态预期!AA154&lt;=1,基础状态预期!AA154*E$4,1*E$4+(基础状态预期!AA154-1)*武将觉醒!E$5))</f>
        <v>0</v>
      </c>
      <c r="P142" s="80">
        <f>IF(基础状态预期!H154="",0,IF(基础状态预期!AB154&lt;=1,基础状态预期!AB154*F$4,1*F$4+(基础状态预期!AB154-1)*武将觉醒!F$5))</f>
        <v>0</v>
      </c>
      <c r="Q142" s="80">
        <f>IF(基础状态预期!I154="",0,IF(基础状态预期!AC154&lt;=1,基础状态预期!AC154*G$4,1*G$4+(基础状态预期!AC154-1)*武将觉醒!G$5))</f>
        <v>20000</v>
      </c>
      <c r="R142" s="80">
        <f>IF(基础状态预期!J154="",0,IF(基础状态预期!AD154&lt;=1,基础状态预期!AD154*H$4,1*H$4+(基础状态预期!AD154-1)*武将觉醒!H$5))</f>
        <v>0</v>
      </c>
      <c r="S142" s="80">
        <f>MAX(SUMPRODUCT(N142:R142,基础状态预期!F154:J154),S141)</f>
        <v>120000</v>
      </c>
      <c r="T142" s="80">
        <f>IF(基础状态预期!Z154="",0,IFERROR(基础状态预期!F154*求节点($C$62:$C$63,D$62:D$63,基础状态预期!Z154),0)+IFERROR(基础状态预期!$J154*求节点($C$71:$C$72,D$71:D$72,基础状态预期!$AD154),0))</f>
        <v>0</v>
      </c>
      <c r="U142" s="80">
        <f>IF(基础状态预期!AA154="",0,IFERROR(基础状态预期!G154*求节点($C$62:$C$63,E$62:E$63,基础状态预期!AA154),0)+IFERROR(基础状态预期!$J154*求节点($C$71:$C$72,E$71:E$72,基础状态预期!$AD154),0))</f>
        <v>0</v>
      </c>
      <c r="V142" s="80">
        <f>IF(基础状态预期!AB154="",0,IFERROR(基础状态预期!H154*求节点($C$62:$C$63,F$62:F$63,基础状态预期!AB154),0)+IFERROR(基础状态预期!$J154*求节点($C$71:$C$72,F$71:F$72,基础状态预期!$AD154),0))</f>
        <v>0</v>
      </c>
      <c r="W142" s="80">
        <f>IF(基础状态预期!AC154="",0,IFERROR(基础状态预期!I154*求节点($C$62:$C$63,G$62:G$63,基础状态预期!AC154),0)+IFERROR(基础状态预期!$J154*求节点($C$71:$C$72,G$71:G$72,基础状态预期!$AD154),0))</f>
        <v>0</v>
      </c>
      <c r="X142" s="80">
        <f>IF(基础状态预期!AD154="",0,IFERROR(基础状态预期!J154*求节点($C$62:$C$63,H$62:H$63,基础状态预期!AD154),0)+IFERROR(基础状态预期!$J154*求节点($C$71:$C$72,H$71:H$72,基础状态预期!$AD154),0))</f>
        <v>0</v>
      </c>
      <c r="Y142" s="80">
        <f>IF(基础状态预期!$H154="",0,IF(基础状态预期!$AB154&lt;=1,基础状态预期!$AB154*D$18,D$18)*基础状态预期!$H154)+
IF(基础状态预期!$I154="",0,IF(基础状态预期!$AC154&lt;=1,基础状态预期!$AC154*D$19,D$19)*基础状态预期!$I154)+
IF(基础状态预期!$J154="",0,IF(基础状态预期!$AD154&lt;=1,基础状态预期!$AD154*D$20,D$20)*基础状态预期!$J154)</f>
        <v>36</v>
      </c>
      <c r="Z142" s="80">
        <f>IF(基础状态预期!$H154="",0,IF(基础状态预期!$AB154&lt;=1,基础状态预期!$AB154*E$18,E$18)*基础状态预期!$H154)+
IF(基础状态预期!$I154="",0,IF(基础状态预期!$AC154&lt;=1,基础状态预期!$AC154*E$19,E$19)*基础状态预期!$I154)+
IF(基础状态预期!$J154="",0,IF(基础状态预期!$AD154&lt;=1,基础状态预期!$AD154*E$20,E$20)*基础状态预期!$J154)</f>
        <v>0</v>
      </c>
      <c r="AA142" s="80">
        <f>IF(基础状态预期!$H154="",0,IF(基础状态预期!$AB154&lt;=1,基础状态预期!$AB154*F$18,F$18)*基础状态预期!$H154)+
IF(基础状态预期!$I154="",0,IF(基础状态预期!$AC154&lt;=1,基础状态预期!$AC154*F$19,F$19)*基础状态预期!$I154)+
IF(基础状态预期!$J154="",0,IF(基础状态预期!$AD154&lt;=1,基础状态预期!$AD154*F$20,F$20)*基础状态预期!$J154)</f>
        <v>0</v>
      </c>
      <c r="AB142" s="67">
        <f>IF(基础状态预期!$H154="",0,IF(基础状态预期!$AB154&lt;=1,0,(基础状态预期!$AB154-1)*G$26)*基础状态预期!$H154)+
IF(基础状态预期!$I154="",0,IF(基础状态预期!$AC154&lt;=1,0,(基础状态预期!$AC154-1)*G$27)*基础状态预期!$I154)+
IF(基础状态预期!$J154="",0,IF(基础状态预期!$AD154&lt;=1,0,(基础状态预期!$AD154-1)*G$28)*基础状态预期!$J154)</f>
        <v>0</v>
      </c>
      <c r="AC142" s="67">
        <f>IF(基础状态预期!$H154="",0,IF(基础状态预期!$AB154&lt;=1,0,(基础状态预期!$AB154-1)*H$26)*基础状态预期!$H154)+
IF(基础状态预期!$I154="",0,IF(基础状态预期!$AC154&lt;=1,0,(基础状态预期!$AC154-1)*H$27)*基础状态预期!$I154)+
IF(基础状态预期!$J154="",0,IF(基础状态预期!$AD154&lt;=1,0,(基础状态预期!$AD154-1)*H$28)*基础状态预期!$J154)</f>
        <v>0</v>
      </c>
      <c r="AD142" s="67">
        <f>IF(基础状态预期!$H154="",0,IF(基础状态预期!$AB154&lt;=1,0,(基础状态预期!$AB154-1)*I$26)*基础状态预期!$H154)+
IF(基础状态预期!$I154="",0,IF(基础状态预期!$AC154&lt;=1,0,(基础状态预期!$AC154-1)*I$27)*基础状态预期!$I154)+
IF(基础状态预期!$J154="",0,IF(基础状态预期!$AD154&lt;=1,0,(基础状态预期!$AD154-1)*I$28)*基础状态预期!$J154)</f>
        <v>0</v>
      </c>
      <c r="AE142" s="80">
        <f>IF(各r阵容卡情况!$H148=0,0,IF(各r阵容卡情况!$AB148&lt;=1,各r阵容卡情况!$AB148*D$18,1*D$18)*各r阵容卡情况!$H148)+
IF(各r阵容卡情况!$I148=0,0,IF(各r阵容卡情况!$AC148&lt;=1,各r阵容卡情况!$AC148*D$19,1*D$19)*各r阵容卡情况!$I148)+
IF(各r阵容卡情况!$J148=0,0,IF(各r阵容卡情况!$AD148&lt;=1,各r阵容卡情况!$AD148*D$20,1*D$20)*各r阵容卡情况!$J148)</f>
        <v>24</v>
      </c>
      <c r="AF142" s="80">
        <f>IF(各r阵容卡情况!$H148=0,0,IF(各r阵容卡情况!$AB148&lt;=1,各r阵容卡情况!$AB148*E$18,1*E$18)*各r阵容卡情况!$H148)+
IF(各r阵容卡情况!$I148=0,0,IF(各r阵容卡情况!$AC148&lt;=1,各r阵容卡情况!$AC148*E$19,1*E$19)*各r阵容卡情况!$I148)+
IF(各r阵容卡情况!$J148=0,0,IF(各r阵容卡情况!$AD148&lt;=1,各r阵容卡情况!$AD148*E$20,1*E$20)*各r阵容卡情况!$J148)</f>
        <v>0</v>
      </c>
      <c r="AG142" s="80">
        <f>IF(各r阵容卡情况!$H148=0,0,IF(各r阵容卡情况!$AB148&lt;=1,各r阵容卡情况!$AB148*F$18,1*F$18)*各r阵容卡情况!$H148)+
IF(各r阵容卡情况!$I148=0,0,IF(各r阵容卡情况!$AC148&lt;=1,各r阵容卡情况!$AC148*F$19,1*F$19)*各r阵容卡情况!$I148)+
IF(各r阵容卡情况!$J148=0,0,IF(各r阵容卡情况!$AD148&lt;=1,各r阵容卡情况!$AD148*F$20,1*F$20)*各r阵容卡情况!$J148)</f>
        <v>0</v>
      </c>
      <c r="AH142" s="67">
        <f>IF(各r阵容卡情况!$H148=0,0,IF(各r阵容卡情况!$AB148&lt;=1,0,(各r阵容卡情况!$AB148-1)*G$26)*各r阵容卡情况!$H148)+
IF(各r阵容卡情况!$I148=0,0,IF(各r阵容卡情况!$AC148&lt;=1,0,(各r阵容卡情况!$AC148-1)*G$27)*各r阵容卡情况!$I148)+
IF(各r阵容卡情况!$J148=0,0,IF(各r阵容卡情况!$AD148&lt;=1,0,(各r阵容卡情况!$AD148-1)*G$28)*各r阵容卡情况!$J148)</f>
        <v>0</v>
      </c>
      <c r="AI142" s="67">
        <f>IF(各r阵容卡情况!$H148=0,0,IF(各r阵容卡情况!$AB148&lt;=1,0,(各r阵容卡情况!$AB148-1)*H$26)*各r阵容卡情况!$H148)+
IF(各r阵容卡情况!$I148=0,0,IF(各r阵容卡情况!$AC148&lt;=1,0,(各r阵容卡情况!$AC148-1)*H$27)*各r阵容卡情况!$I148)+
IF(各r阵容卡情况!$J148=0,0,IF(各r阵容卡情况!$AD148&lt;=1,0,(各r阵容卡情况!$AD148-1)*H$28)*各r阵容卡情况!$J148)</f>
        <v>0</v>
      </c>
      <c r="AJ142" s="67">
        <f>IF(各r阵容卡情况!$H148=0,0,IF(各r阵容卡情况!$AB148&lt;=1,0,(各r阵容卡情况!$AB148-1)*I$26)*各r阵容卡情况!$H148)+
IF(各r阵容卡情况!$I148=0,0,IF(各r阵容卡情况!$AC148&lt;=1,0,(各r阵容卡情况!$AC148-1)*I$27)*各r阵容卡情况!$I148)+
IF(各r阵容卡情况!$J148=0,0,IF(各r阵容卡情况!$AD148&lt;=1,0,(各r阵容卡情况!$AD148-1)*I$28)*各r阵容卡情况!$J148)</f>
        <v>0</v>
      </c>
      <c r="AL142" s="80">
        <f t="shared" si="114"/>
        <v>20</v>
      </c>
      <c r="AM142" s="80">
        <f t="shared" si="115"/>
        <v>36</v>
      </c>
      <c r="AN142" s="80">
        <f t="shared" si="116"/>
        <v>0</v>
      </c>
      <c r="AO142" s="80">
        <f t="shared" si="117"/>
        <v>0</v>
      </c>
      <c r="AP142" s="80">
        <f t="shared" si="118"/>
        <v>0</v>
      </c>
      <c r="AQ142" s="80">
        <f t="shared" si="119"/>
        <v>0</v>
      </c>
      <c r="AR142" s="80">
        <f t="shared" si="120"/>
        <v>0</v>
      </c>
      <c r="AS142" s="80">
        <f t="shared" si="121"/>
        <v>16.577558331654199</v>
      </c>
      <c r="AT142" s="80">
        <f t="shared" si="122"/>
        <v>0</v>
      </c>
      <c r="AU142" s="80">
        <f t="shared" si="123"/>
        <v>0</v>
      </c>
      <c r="AV142" s="80">
        <f t="shared" si="124"/>
        <v>0</v>
      </c>
      <c r="AW142" s="80">
        <f t="shared" si="125"/>
        <v>0</v>
      </c>
      <c r="AX142" s="80">
        <f t="shared" si="126"/>
        <v>0</v>
      </c>
      <c r="AY142" s="61" t="e">
        <f>SUMPRODUCT(AM142:AR142/'[1]功能-行军令'!$GI$26:$GN$26+AS142:AX142/'[1]功能-行军令'!$GI$26:$GN$26)/0.18</f>
        <v>#DIV/0!</v>
      </c>
      <c r="BB142" s="80">
        <v>40</v>
      </c>
      <c r="BC142" s="80"/>
      <c r="BD142" s="80"/>
      <c r="BE142" s="80"/>
      <c r="BF142" s="80"/>
      <c r="BG142" s="80"/>
      <c r="BH142" s="80"/>
      <c r="BI142" s="80"/>
      <c r="BJ142" s="80"/>
      <c r="BK142" s="80">
        <f t="shared" si="127"/>
        <v>0</v>
      </c>
      <c r="BO142" s="80">
        <f t="shared" si="111"/>
        <v>33.672145166817529</v>
      </c>
      <c r="BP142" s="80">
        <f t="shared" si="112"/>
        <v>3120000</v>
      </c>
      <c r="BQ142" s="80">
        <f>(BP142-BP141)*INDEX('[1]功能-付费相关'!$AT$6:$AT$165,$BO142,1)+BQ141</f>
        <v>5402.6636596421658</v>
      </c>
      <c r="BR142" s="80"/>
      <c r="BS142" s="80"/>
      <c r="BU142" s="80">
        <v>40</v>
      </c>
      <c r="BV142" s="80">
        <f t="shared" si="113"/>
        <v>5402.6636596421658</v>
      </c>
      <c r="BW142" s="80">
        <f>INDEX('[1]功能-行军令'!$N$4:$R$163,BU142,1)*INDEX('[1]功能-付费相关'!$H$6:$L$6,1,4)*'[1]功能-行军令'!$AD$17</f>
        <v>18163.866666666669</v>
      </c>
      <c r="BX142" s="80"/>
      <c r="BY142" s="80">
        <f t="shared" si="128"/>
        <v>23566.530326308835</v>
      </c>
    </row>
    <row r="143" spans="12:77" x14ac:dyDescent="0.15">
      <c r="L143" s="61">
        <v>7</v>
      </c>
      <c r="M143" s="80">
        <f>基础状态预期!D155</f>
        <v>33.672145166817529</v>
      </c>
      <c r="N143" s="80">
        <f>IF(基础状态预期!F155="",0,IF(基础状态预期!Z155&lt;=1,基础状态预期!Z155*D$4,1*D$4+(基础状态预期!Z155-1)*武将觉醒!D$5))</f>
        <v>0</v>
      </c>
      <c r="O143" s="80">
        <f>IF(基础状态预期!G155="",0,IF(基础状态预期!AA155&lt;=1,基础状态预期!AA155*E$4,1*E$4+(基础状态预期!AA155-1)*武将觉醒!E$5))</f>
        <v>0</v>
      </c>
      <c r="P143" s="80">
        <f>IF(基础状态预期!H155="",0,IF(基础状态预期!AB155&lt;=1,基础状态预期!AB155*F$4,1*F$4+(基础状态预期!AB155-1)*武将觉醒!F$5))</f>
        <v>0</v>
      </c>
      <c r="Q143" s="80">
        <f>IF(基础状态预期!I155="",0,IF(基础状态预期!AC155&lt;=1,基础状态预期!AC155*G$4,1*G$4+(基础状态预期!AC155-1)*武将觉醒!G$5))</f>
        <v>520000</v>
      </c>
      <c r="R143" s="80">
        <f>IF(基础状态预期!J155="",0,IF(基础状态预期!AD155&lt;=1,基础状态预期!AD155*H$4,1*H$4+(基础状态预期!AD155-1)*武将觉醒!H$5))</f>
        <v>0</v>
      </c>
      <c r="S143" s="80">
        <f>MAX(SUMPRODUCT(N143:R143,基础状态预期!F155:J155),S142)</f>
        <v>3120000</v>
      </c>
      <c r="T143" s="80">
        <f>IF(基础状态预期!Z155="",0,IFERROR(基础状态预期!F155*求节点($C$62:$C$63,D$62:D$63,基础状态预期!Z155),0)+IFERROR(基础状态预期!$J155*求节点($C$71:$C$72,D$71:D$72,基础状态预期!$AD155),0))</f>
        <v>0</v>
      </c>
      <c r="U143" s="80">
        <f>IF(基础状态预期!AA155="",0,IFERROR(基础状态预期!G155*求节点($C$62:$C$63,E$62:E$63,基础状态预期!AA155),0)+IFERROR(基础状态预期!$J155*求节点($C$71:$C$72,E$71:E$72,基础状态预期!$AD155),0))</f>
        <v>0</v>
      </c>
      <c r="V143" s="80">
        <f>IF(基础状态预期!AB155="",0,IFERROR(基础状态预期!H155*求节点($C$62:$C$63,F$62:F$63,基础状态预期!AB155),0)+IFERROR(基础状态预期!$J155*求节点($C$71:$C$72,F$71:F$72,基础状态预期!$AD155),0))</f>
        <v>0</v>
      </c>
      <c r="W143" s="80">
        <f>IF(基础状态预期!AC155="",0,IFERROR(基础状态预期!I155*求节点($C$62:$C$63,G$62:G$63,基础状态预期!AC155),0)+IFERROR(基础状态预期!$J155*求节点($C$71:$C$72,G$71:G$72,基础状态预期!$AD155),0))</f>
        <v>6</v>
      </c>
      <c r="X143" s="80">
        <f>IF(基础状态预期!AD155="",0,IFERROR(基础状态预期!J155*求节点($C$62:$C$63,H$62:H$63,基础状态预期!AD155),0)+IFERROR(基础状态预期!$J155*求节点($C$71:$C$72,H$71:H$72,基础状态预期!$AD155),0))</f>
        <v>0</v>
      </c>
      <c r="Y143" s="80">
        <f>IF(基础状态预期!$H155="",0,IF(基础状态预期!$AB155&lt;=1,基础状态预期!$AB155*D$18,D$18)*基础状态预期!$H155)+
IF(基础状态预期!$I155="",0,IF(基础状态预期!$AC155&lt;=1,基础状态预期!$AC155*D$19,D$19)*基础状态预期!$I155)+
IF(基础状态预期!$J155="",0,IF(基础状态预期!$AD155&lt;=1,基础状态预期!$AD155*D$20,D$20)*基础状态预期!$J155)</f>
        <v>36</v>
      </c>
      <c r="Z143" s="80">
        <f>IF(基础状态预期!$H155="",0,IF(基础状态预期!$AB155&lt;=1,基础状态预期!$AB155*E$18,E$18)*基础状态预期!$H155)+
IF(基础状态预期!$I155="",0,IF(基础状态预期!$AC155&lt;=1,基础状态预期!$AC155*E$19,E$19)*基础状态预期!$I155)+
IF(基础状态预期!$J155="",0,IF(基础状态预期!$AD155&lt;=1,基础状态预期!$AD155*E$20,E$20)*基础状态预期!$J155)</f>
        <v>0</v>
      </c>
      <c r="AA143" s="80">
        <f>IF(基础状态预期!$H155="",0,IF(基础状态预期!$AB155&lt;=1,基础状态预期!$AB155*F$18,F$18)*基础状态预期!$H155)+
IF(基础状态预期!$I155="",0,IF(基础状态预期!$AC155&lt;=1,基础状态预期!$AC155*F$19,F$19)*基础状态预期!$I155)+
IF(基础状态预期!$J155="",0,IF(基础状态预期!$AD155&lt;=1,基础状态预期!$AD155*F$20,F$20)*基础状态预期!$J155)</f>
        <v>0</v>
      </c>
      <c r="AB143" s="67">
        <f>IF(基础状态预期!$H155="",0,IF(基础状态预期!$AB155&lt;=1,0,(基础状态预期!$AB155-1)*G$26)*基础状态预期!$H155)+
IF(基础状态预期!$I155="",0,IF(基础状态预期!$AC155&lt;=1,0,(基础状态预期!$AC155-1)*G$27)*基础状态预期!$I155)+
IF(基础状态预期!$J155="",0,IF(基础状态预期!$AD155&lt;=1,0,(基础状态预期!$AD155-1)*G$28)*基础状态预期!$J155)</f>
        <v>180</v>
      </c>
      <c r="AC143" s="67">
        <f>IF(基础状态预期!$H155="",0,IF(基础状态预期!$AB155&lt;=1,0,(基础状态预期!$AB155-1)*H$26)*基础状态预期!$H155)+
IF(基础状态预期!$I155="",0,IF(基础状态预期!$AC155&lt;=1,0,(基础状态预期!$AC155-1)*H$27)*基础状态预期!$I155)+
IF(基础状态预期!$J155="",0,IF(基础状态预期!$AD155&lt;=1,0,(基础状态预期!$AD155-1)*H$28)*基础状态预期!$J155)</f>
        <v>0</v>
      </c>
      <c r="AD143" s="67">
        <f>IF(基础状态预期!$H155="",0,IF(基础状态预期!$AB155&lt;=1,0,(基础状态预期!$AB155-1)*I$26)*基础状态预期!$H155)+
IF(基础状态预期!$I155="",0,IF(基础状态预期!$AC155&lt;=1,0,(基础状态预期!$AC155-1)*I$27)*基础状态预期!$I155)+
IF(基础状态预期!$J155="",0,IF(基础状态预期!$AD155&lt;=1,0,(基础状态预期!$AD155-1)*I$28)*基础状态预期!$J155)</f>
        <v>0</v>
      </c>
      <c r="AE143" s="80">
        <f>IF(各r阵容卡情况!$H149=0,0,IF(各r阵容卡情况!$AB149&lt;=1,各r阵容卡情况!$AB149*D$18,1*D$18)*各r阵容卡情况!$H149)+
IF(各r阵容卡情况!$I149=0,0,IF(各r阵容卡情况!$AC149&lt;=1,各r阵容卡情况!$AC149*D$19,1*D$19)*各r阵容卡情况!$I149)+
IF(各r阵容卡情况!$J149=0,0,IF(各r阵容卡情况!$AD149&lt;=1,各r阵容卡情况!$AD149*D$20,1*D$20)*各r阵容卡情况!$J149)</f>
        <v>32</v>
      </c>
      <c r="AF143" s="80">
        <f>IF(各r阵容卡情况!$H149=0,0,IF(各r阵容卡情况!$AB149&lt;=1,各r阵容卡情况!$AB149*E$18,1*E$18)*各r阵容卡情况!$H149)+
IF(各r阵容卡情况!$I149=0,0,IF(各r阵容卡情况!$AC149&lt;=1,各r阵容卡情况!$AC149*E$19,1*E$19)*各r阵容卡情况!$I149)+
IF(各r阵容卡情况!$J149=0,0,IF(各r阵容卡情况!$AD149&lt;=1,各r阵容卡情况!$AD149*E$20,1*E$20)*各r阵容卡情况!$J149)</f>
        <v>0</v>
      </c>
      <c r="AG143" s="80">
        <f>IF(各r阵容卡情况!$H149=0,0,IF(各r阵容卡情况!$AB149&lt;=1,各r阵容卡情况!$AB149*F$18,1*F$18)*各r阵容卡情况!$H149)+
IF(各r阵容卡情况!$I149=0,0,IF(各r阵容卡情况!$AC149&lt;=1,各r阵容卡情况!$AC149*F$19,1*F$19)*各r阵容卡情况!$I149)+
IF(各r阵容卡情况!$J149=0,0,IF(各r阵容卡情况!$AD149&lt;=1,各r阵容卡情况!$AD149*F$20,1*F$20)*各r阵容卡情况!$J149)</f>
        <v>0</v>
      </c>
      <c r="AH143" s="67">
        <f>IF(各r阵容卡情况!$H149=0,0,IF(各r阵容卡情况!$AB149&lt;=1,0,(各r阵容卡情况!$AB149-1)*G$26)*各r阵容卡情况!$H149)+
IF(各r阵容卡情况!$I149=0,0,IF(各r阵容卡情况!$AC149&lt;=1,0,(各r阵容卡情况!$AC149-1)*G$27)*各r阵容卡情况!$I149)+
IF(各r阵容卡情况!$J149=0,0,IF(各r阵容卡情况!$AD149&lt;=1,0,(各r阵容卡情况!$AD149-1)*G$28)*各r阵容卡情况!$J149)</f>
        <v>17.923871115134098</v>
      </c>
      <c r="AI143" s="67">
        <f>IF(各r阵容卡情况!$H149=0,0,IF(各r阵容卡情况!$AB149&lt;=1,0,(各r阵容卡情况!$AB149-1)*H$26)*各r阵容卡情况!$H149)+
IF(各r阵容卡情况!$I149=0,0,IF(各r阵容卡情况!$AC149&lt;=1,0,(各r阵容卡情况!$AC149-1)*H$27)*各r阵容卡情况!$I149)+
IF(各r阵容卡情况!$J149=0,0,IF(各r阵容卡情况!$AD149&lt;=1,0,(各r阵容卡情况!$AD149-1)*H$28)*各r阵容卡情况!$J149)</f>
        <v>0</v>
      </c>
      <c r="AJ143" s="67">
        <f>IF(各r阵容卡情况!$H149=0,0,IF(各r阵容卡情况!$AB149&lt;=1,0,(各r阵容卡情况!$AB149-1)*I$26)*各r阵容卡情况!$H149)+
IF(各r阵容卡情况!$I149=0,0,IF(各r阵容卡情况!$AC149&lt;=1,0,(各r阵容卡情况!$AC149-1)*I$27)*各r阵容卡情况!$I149)+
IF(各r阵容卡情况!$J149=0,0,IF(各r阵容卡情况!$AD149&lt;=1,0,(各r阵容卡情况!$AD149-1)*I$28)*各r阵容卡情况!$J149)</f>
        <v>0</v>
      </c>
      <c r="AL143" s="80">
        <f t="shared" si="114"/>
        <v>25</v>
      </c>
      <c r="AM143" s="80">
        <f t="shared" si="115"/>
        <v>36</v>
      </c>
      <c r="AN143" s="80">
        <f t="shared" si="116"/>
        <v>0</v>
      </c>
      <c r="AO143" s="80">
        <f t="shared" si="117"/>
        <v>0</v>
      </c>
      <c r="AP143" s="80">
        <f t="shared" si="118"/>
        <v>0</v>
      </c>
      <c r="AQ143" s="80">
        <f t="shared" si="119"/>
        <v>0</v>
      </c>
      <c r="AR143" s="80">
        <f t="shared" si="120"/>
        <v>0</v>
      </c>
      <c r="AS143" s="80">
        <f t="shared" si="121"/>
        <v>21.644340830102426</v>
      </c>
      <c r="AT143" s="80">
        <f t="shared" si="122"/>
        <v>0</v>
      </c>
      <c r="AU143" s="80">
        <f t="shared" si="123"/>
        <v>0</v>
      </c>
      <c r="AV143" s="80">
        <f t="shared" si="124"/>
        <v>0</v>
      </c>
      <c r="AW143" s="80">
        <f t="shared" si="125"/>
        <v>0</v>
      </c>
      <c r="AX143" s="80">
        <f t="shared" si="126"/>
        <v>0</v>
      </c>
      <c r="AY143" s="61" t="e">
        <f>SUMPRODUCT(AM143:AR143/'[1]功能-行军令'!$GI$26:$GN$26+AS143:AX143/'[1]功能-行军令'!$GI$26:$GN$26)/0.18</f>
        <v>#DIV/0!</v>
      </c>
      <c r="BB143" s="80">
        <v>50</v>
      </c>
      <c r="BC143" s="80"/>
      <c r="BD143" s="80"/>
      <c r="BE143" s="80"/>
      <c r="BF143" s="80"/>
      <c r="BG143" s="80"/>
      <c r="BH143" s="80"/>
      <c r="BI143" s="80"/>
      <c r="BJ143" s="80"/>
      <c r="BK143" s="80">
        <f t="shared" si="127"/>
        <v>0</v>
      </c>
      <c r="BO143" s="80">
        <f t="shared" si="111"/>
        <v>39.138098927718012</v>
      </c>
      <c r="BP143" s="80">
        <f t="shared" si="112"/>
        <v>3120000</v>
      </c>
      <c r="BQ143" s="80">
        <f>(BP143-BP142)*INDEX('[1]功能-付费相关'!$AT$6:$AT$165,$BO143,1)+BQ142</f>
        <v>5402.6636596421658</v>
      </c>
      <c r="BR143" s="80"/>
      <c r="BS143" s="80"/>
      <c r="BU143" s="80">
        <v>50</v>
      </c>
      <c r="BV143" s="80">
        <f t="shared" si="113"/>
        <v>6055.6521855757346</v>
      </c>
      <c r="BW143" s="80">
        <f>INDEX('[1]功能-行军令'!$N$4:$R$163,BU143,1)*INDEX('[1]功能-付费相关'!$H$6:$L$6,1,4)*'[1]功能-行军令'!$AD$17</f>
        <v>37538.657777777778</v>
      </c>
      <c r="BX143" s="80"/>
      <c r="BY143" s="80">
        <f t="shared" si="128"/>
        <v>43594.309963353517</v>
      </c>
    </row>
    <row r="144" spans="12:77" x14ac:dyDescent="0.15">
      <c r="L144" s="61">
        <v>8</v>
      </c>
      <c r="M144" s="80">
        <f>基础状态预期!D156</f>
        <v>39.138098927718012</v>
      </c>
      <c r="N144" s="80">
        <f>IF(基础状态预期!F156="",0,IF(基础状态预期!Z156&lt;=1,基础状态预期!Z156*D$4,1*D$4+(基础状态预期!Z156-1)*武将觉醒!D$5))</f>
        <v>0</v>
      </c>
      <c r="O144" s="80">
        <f>IF(基础状态预期!G156="",0,IF(基础状态预期!AA156&lt;=1,基础状态预期!AA156*E$4,1*E$4+(基础状态预期!AA156-1)*武将觉醒!E$5))</f>
        <v>0</v>
      </c>
      <c r="P144" s="80">
        <f>IF(基础状态预期!H156="",0,IF(基础状态预期!AB156&lt;=1,基础状态预期!AB156*F$4,1*F$4+(基础状态预期!AB156-1)*武将觉醒!F$5))</f>
        <v>0</v>
      </c>
      <c r="Q144" s="80">
        <f>IF(基础状态预期!I156="",0,IF(基础状态预期!AC156&lt;=1,基础状态预期!AC156*G$4,1*G$4+(基础状态预期!AC156-1)*武将觉醒!G$5))</f>
        <v>520000</v>
      </c>
      <c r="R144" s="80">
        <f>IF(基础状态预期!J156="",0,IF(基础状态预期!AD156&lt;=1,基础状态预期!AD156*H$4,1*H$4+(基础状态预期!AD156-1)*武将觉醒!H$5))</f>
        <v>0</v>
      </c>
      <c r="S144" s="80">
        <f>MAX(SUMPRODUCT(N144:R144,基础状态预期!F156:J156),S143)</f>
        <v>3120000</v>
      </c>
      <c r="T144" s="80">
        <f>IF(基础状态预期!Z156="",0,IFERROR(基础状态预期!F156*求节点($C$62:$C$63,D$62:D$63,基础状态预期!Z156),0)+IFERROR(基础状态预期!$J156*求节点($C$71:$C$72,D$71:D$72,基础状态预期!$AD156),0))</f>
        <v>0</v>
      </c>
      <c r="U144" s="80">
        <f>IF(基础状态预期!AA156="",0,IFERROR(基础状态预期!G156*求节点($C$62:$C$63,E$62:E$63,基础状态预期!AA156),0)+IFERROR(基础状态预期!$J156*求节点($C$71:$C$72,E$71:E$72,基础状态预期!$AD156),0))</f>
        <v>0</v>
      </c>
      <c r="V144" s="80">
        <f>IF(基础状态预期!AB156="",0,IFERROR(基础状态预期!H156*求节点($C$62:$C$63,F$62:F$63,基础状态预期!AB156),0)+IFERROR(基础状态预期!$J156*求节点($C$71:$C$72,F$71:F$72,基础状态预期!$AD156),0))</f>
        <v>0</v>
      </c>
      <c r="W144" s="80">
        <f>IF(基础状态预期!AC156="",0,IFERROR(基础状态预期!I156*求节点($C$62:$C$63,G$62:G$63,基础状态预期!AC156),0)+IFERROR(基础状态预期!$J156*求节点($C$71:$C$72,G$71:G$72,基础状态预期!$AD156),0))</f>
        <v>6</v>
      </c>
      <c r="X144" s="80">
        <f>IF(基础状态预期!AD156="",0,IFERROR(基础状态预期!J156*求节点($C$62:$C$63,H$62:H$63,基础状态预期!AD156),0)+IFERROR(基础状态预期!$J156*求节点($C$71:$C$72,H$71:H$72,基础状态预期!$AD156),0))</f>
        <v>0</v>
      </c>
      <c r="Y144" s="80">
        <f>IF(基础状态预期!$H156="",0,IF(基础状态预期!$AB156&lt;=1,基础状态预期!$AB156*D$18,D$18)*基础状态预期!$H156)+
IF(基础状态预期!$I156="",0,IF(基础状态预期!$AC156&lt;=1,基础状态预期!$AC156*D$19,D$19)*基础状态预期!$I156)+
IF(基础状态预期!$J156="",0,IF(基础状态预期!$AD156&lt;=1,基础状态预期!$AD156*D$20,D$20)*基础状态预期!$J156)</f>
        <v>36</v>
      </c>
      <c r="Z144" s="80">
        <f>IF(基础状态预期!$H156="",0,IF(基础状态预期!$AB156&lt;=1,基础状态预期!$AB156*E$18,E$18)*基础状态预期!$H156)+
IF(基础状态预期!$I156="",0,IF(基础状态预期!$AC156&lt;=1,基础状态预期!$AC156*E$19,E$19)*基础状态预期!$I156)+
IF(基础状态预期!$J156="",0,IF(基础状态预期!$AD156&lt;=1,基础状态预期!$AD156*E$20,E$20)*基础状态预期!$J156)</f>
        <v>0</v>
      </c>
      <c r="AA144" s="80">
        <f>IF(基础状态预期!$H156="",0,IF(基础状态预期!$AB156&lt;=1,基础状态预期!$AB156*F$18,F$18)*基础状态预期!$H156)+
IF(基础状态预期!$I156="",0,IF(基础状态预期!$AC156&lt;=1,基础状态预期!$AC156*F$19,F$19)*基础状态预期!$I156)+
IF(基础状态预期!$J156="",0,IF(基础状态预期!$AD156&lt;=1,基础状态预期!$AD156*F$20,F$20)*基础状态预期!$J156)</f>
        <v>0</v>
      </c>
      <c r="AB144" s="67">
        <f>IF(基础状态预期!$H156="",0,IF(基础状态预期!$AB156&lt;=1,0,(基础状态预期!$AB156-1)*G$26)*基础状态预期!$H156)+
IF(基础状态预期!$I156="",0,IF(基础状态预期!$AC156&lt;=1,0,(基础状态预期!$AC156-1)*G$27)*基础状态预期!$I156)+
IF(基础状态预期!$J156="",0,IF(基础状态预期!$AD156&lt;=1,0,(基础状态预期!$AD156-1)*G$28)*基础状态预期!$J156)</f>
        <v>180</v>
      </c>
      <c r="AC144" s="67">
        <f>IF(基础状态预期!$H156="",0,IF(基础状态预期!$AB156&lt;=1,0,(基础状态预期!$AB156-1)*H$26)*基础状态预期!$H156)+
IF(基础状态预期!$I156="",0,IF(基础状态预期!$AC156&lt;=1,0,(基础状态预期!$AC156-1)*H$27)*基础状态预期!$I156)+
IF(基础状态预期!$J156="",0,IF(基础状态预期!$AD156&lt;=1,0,(基础状态预期!$AD156-1)*H$28)*基础状态预期!$J156)</f>
        <v>0</v>
      </c>
      <c r="AD144" s="67">
        <f>IF(基础状态预期!$H156="",0,IF(基础状态预期!$AB156&lt;=1,0,(基础状态预期!$AB156-1)*I$26)*基础状态预期!$H156)+
IF(基础状态预期!$I156="",0,IF(基础状态预期!$AC156&lt;=1,0,(基础状态预期!$AC156-1)*I$27)*基础状态预期!$I156)+
IF(基础状态预期!$J156="",0,IF(基础状态预期!$AD156&lt;=1,0,(基础状态预期!$AD156-1)*I$28)*基础状态预期!$J156)</f>
        <v>0</v>
      </c>
      <c r="AE144" s="80">
        <f>IF(各r阵容卡情况!$H150=0,0,IF(各r阵容卡情况!$AB150&lt;=1,各r阵容卡情况!$AB150*D$18,1*D$18)*各r阵容卡情况!$H150)+
IF(各r阵容卡情况!$I150=0,0,IF(各r阵容卡情况!$AC150&lt;=1,各r阵容卡情况!$AC150*D$19,1*D$19)*各r阵容卡情况!$I150)+
IF(各r阵容卡情况!$J150=0,0,IF(各r阵容卡情况!$AD150&lt;=1,各r阵容卡情况!$AD150*D$20,1*D$20)*各r阵容卡情况!$J150)</f>
        <v>76</v>
      </c>
      <c r="AF144" s="80">
        <f>IF(各r阵容卡情况!$H150=0,0,IF(各r阵容卡情况!$AB150&lt;=1,各r阵容卡情况!$AB150*E$18,1*E$18)*各r阵容卡情况!$H150)+
IF(各r阵容卡情况!$I150=0,0,IF(各r阵容卡情况!$AC150&lt;=1,各r阵容卡情况!$AC150*E$19,1*E$19)*各r阵容卡情况!$I150)+
IF(各r阵容卡情况!$J150=0,0,IF(各r阵容卡情况!$AD150&lt;=1,各r阵容卡情况!$AD150*E$20,1*E$20)*各r阵容卡情况!$J150)</f>
        <v>0</v>
      </c>
      <c r="AG144" s="80">
        <f>IF(各r阵容卡情况!$H150=0,0,IF(各r阵容卡情况!$AB150&lt;=1,各r阵容卡情况!$AB150*F$18,1*F$18)*各r阵容卡情况!$H150)+
IF(各r阵容卡情况!$I150=0,0,IF(各r阵容卡情况!$AC150&lt;=1,各r阵容卡情况!$AC150*F$19,1*F$19)*各r阵容卡情况!$I150)+
IF(各r阵容卡情况!$J150=0,0,IF(各r阵容卡情况!$AD150&lt;=1,各r阵容卡情况!$AD150*F$20,1*F$20)*各r阵容卡情况!$J150)</f>
        <v>0</v>
      </c>
      <c r="AH144" s="67">
        <f>IF(各r阵容卡情况!$H150=0,0,IF(各r阵容卡情况!$AB150&lt;=1,0,(各r阵容卡情况!$AB150-1)*G$26)*各r阵容卡情况!$H150)+
IF(各r阵容卡情况!$I150=0,0,IF(各r阵容卡情况!$AC150&lt;=1,0,(各r阵容卡情况!$AC150-1)*G$27)*各r阵容卡情况!$I150)+
IF(各r阵容卡情况!$J150=0,0,IF(各r阵容卡情况!$AD150&lt;=1,0,(各r阵容卡情况!$AD150-1)*G$28)*各r阵容卡情况!$J150)</f>
        <v>380</v>
      </c>
      <c r="AI144" s="67">
        <f>IF(各r阵容卡情况!$H150=0,0,IF(各r阵容卡情况!$AB150&lt;=1,0,(各r阵容卡情况!$AB150-1)*H$26)*各r阵容卡情况!$H150)+
IF(各r阵容卡情况!$I150=0,0,IF(各r阵容卡情况!$AC150&lt;=1,0,(各r阵容卡情况!$AC150-1)*H$27)*各r阵容卡情况!$I150)+
IF(各r阵容卡情况!$J150=0,0,IF(各r阵容卡情况!$AD150&lt;=1,0,(各r阵容卡情况!$AD150-1)*H$28)*各r阵容卡情况!$J150)</f>
        <v>0</v>
      </c>
      <c r="AJ144" s="67">
        <f>IF(各r阵容卡情况!$H150=0,0,IF(各r阵容卡情况!$AB150&lt;=1,0,(各r阵容卡情况!$AB150-1)*I$26)*各r阵容卡情况!$H150)+
IF(各r阵容卡情况!$I150=0,0,IF(各r阵容卡情况!$AC150&lt;=1,0,(各r阵容卡情况!$AC150-1)*I$27)*各r阵容卡情况!$I150)+
IF(各r阵容卡情况!$J150=0,0,IF(各r阵容卡情况!$AD150&lt;=1,0,(各r阵容卡情况!$AD150-1)*I$28)*各r阵容卡情况!$J150)</f>
        <v>0</v>
      </c>
      <c r="AL144" s="80">
        <f t="shared" si="114"/>
        <v>30</v>
      </c>
      <c r="AM144" s="80">
        <f t="shared" si="115"/>
        <v>36</v>
      </c>
      <c r="AN144" s="80">
        <f t="shared" si="116"/>
        <v>0</v>
      </c>
      <c r="AO144" s="80">
        <f t="shared" si="117"/>
        <v>0</v>
      </c>
      <c r="AP144" s="80">
        <f t="shared" si="118"/>
        <v>75.867267246442964</v>
      </c>
      <c r="AQ144" s="80">
        <f t="shared" si="119"/>
        <v>0</v>
      </c>
      <c r="AR144" s="80">
        <f t="shared" si="120"/>
        <v>0</v>
      </c>
      <c r="AS144" s="80">
        <f t="shared" si="121"/>
        <v>27.371878544286353</v>
      </c>
      <c r="AT144" s="80">
        <f t="shared" si="122"/>
        <v>0</v>
      </c>
      <c r="AU144" s="80">
        <f t="shared" si="123"/>
        <v>0</v>
      </c>
      <c r="AV144" s="80">
        <f t="shared" si="124"/>
        <v>7.5546395554593229</v>
      </c>
      <c r="AW144" s="80">
        <f t="shared" si="125"/>
        <v>0</v>
      </c>
      <c r="AX144" s="80">
        <f t="shared" si="126"/>
        <v>0</v>
      </c>
      <c r="AY144" s="61" t="e">
        <f>SUMPRODUCT(AM144:AR144/'[1]功能-行军令'!$GI$26:$GN$26+AS144:AX144/'[1]功能-行军令'!$GI$26:$GN$26)/0.18</f>
        <v>#DIV/0!</v>
      </c>
      <c r="BB144" s="80">
        <v>60</v>
      </c>
      <c r="BC144" s="80"/>
      <c r="BD144" s="80"/>
      <c r="BE144" s="80"/>
      <c r="BF144" s="80"/>
      <c r="BG144" s="80"/>
      <c r="BH144" s="80"/>
      <c r="BI144" s="80"/>
      <c r="BJ144" s="80"/>
      <c r="BK144" s="80">
        <f t="shared" si="127"/>
        <v>0</v>
      </c>
      <c r="BO144" s="80">
        <f t="shared" si="111"/>
        <v>42.970748198558951</v>
      </c>
      <c r="BP144" s="80">
        <f t="shared" si="112"/>
        <v>3120000</v>
      </c>
      <c r="BQ144" s="80">
        <f>(BP144-BP143)*INDEX('[1]功能-付费相关'!$AT$6:$AT$165,$BO144,1)+BQ143</f>
        <v>5402.6636596421658</v>
      </c>
      <c r="BR144" s="80"/>
      <c r="BS144" s="80"/>
      <c r="BU144" s="80">
        <v>60</v>
      </c>
      <c r="BV144" s="80">
        <f t="shared" si="113"/>
        <v>9852.1187458842996</v>
      </c>
      <c r="BW144" s="80">
        <f>INDEX('[1]功能-行军令'!$N$4:$R$163,BU144,1)*INDEX('[1]功能-付费相关'!$H$6:$L$6,1,4)*'[1]功能-行军令'!$AD$17</f>
        <v>76288.240000000005</v>
      </c>
      <c r="BX144" s="80"/>
      <c r="BY144" s="80">
        <f t="shared" si="128"/>
        <v>86140.35874588431</v>
      </c>
    </row>
    <row r="145" spans="12:77" x14ac:dyDescent="0.15">
      <c r="L145" s="61">
        <v>9</v>
      </c>
      <c r="M145" s="80">
        <f>基础状态预期!D157</f>
        <v>42.970748198558951</v>
      </c>
      <c r="N145" s="80">
        <f>IF(基础状态预期!F157="",0,IF(基础状态预期!Z157&lt;=1,基础状态预期!Z157*D$4,1*D$4+(基础状态预期!Z157-1)*武将觉醒!D$5))</f>
        <v>0</v>
      </c>
      <c r="O145" s="80">
        <f>IF(基础状态预期!G157="",0,IF(基础状态预期!AA157&lt;=1,基础状态预期!AA157*E$4,1*E$4+(基础状态预期!AA157-1)*武将觉醒!E$5))</f>
        <v>0</v>
      </c>
      <c r="P145" s="80">
        <f>IF(基础状态预期!H157="",0,IF(基础状态预期!AB157&lt;=1,基础状态预期!AB157*F$4,1*F$4+(基础状态预期!AB157-1)*武将觉醒!F$5))</f>
        <v>0</v>
      </c>
      <c r="Q145" s="80">
        <f>IF(基础状态预期!I157="",0,IF(基础状态预期!AC157&lt;=1,基础状态预期!AC157*G$4,1*G$4+(基础状态预期!AC157-1)*武将觉醒!G$5))</f>
        <v>520000</v>
      </c>
      <c r="R145" s="80">
        <f>IF(基础状态预期!J157="",0,IF(基础状态预期!AD157&lt;=1,基础状态预期!AD157*H$4,1*H$4+(基础状态预期!AD157-1)*武将觉醒!H$5))</f>
        <v>0</v>
      </c>
      <c r="S145" s="80">
        <f>MAX(SUMPRODUCT(N145:R145,基础状态预期!F157:J157),S144)</f>
        <v>3120000</v>
      </c>
      <c r="T145" s="80">
        <f>IF(基础状态预期!Z157="",0,IFERROR(基础状态预期!F157*求节点($C$62:$C$63,D$62:D$63,基础状态预期!Z157),0)+IFERROR(基础状态预期!$J157*求节点($C$71:$C$72,D$71:D$72,基础状态预期!$AD157),0))</f>
        <v>0</v>
      </c>
      <c r="U145" s="80">
        <f>IF(基础状态预期!AA157="",0,IFERROR(基础状态预期!G157*求节点($C$62:$C$63,E$62:E$63,基础状态预期!AA157),0)+IFERROR(基础状态预期!$J157*求节点($C$71:$C$72,E$71:E$72,基础状态预期!$AD157),0))</f>
        <v>0</v>
      </c>
      <c r="V145" s="80">
        <f>IF(基础状态预期!AB157="",0,IFERROR(基础状态预期!H157*求节点($C$62:$C$63,F$62:F$63,基础状态预期!AB157),0)+IFERROR(基础状态预期!$J157*求节点($C$71:$C$72,F$71:F$72,基础状态预期!$AD157),0))</f>
        <v>0</v>
      </c>
      <c r="W145" s="80">
        <f>IF(基础状态预期!AC157="",0,IFERROR(基础状态预期!I157*求节点($C$62:$C$63,G$62:G$63,基础状态预期!AC157),0)+IFERROR(基础状态预期!$J157*求节点($C$71:$C$72,G$71:G$72,基础状态预期!$AD157),0))</f>
        <v>6</v>
      </c>
      <c r="X145" s="80">
        <f>IF(基础状态预期!AD157="",0,IFERROR(基础状态预期!J157*求节点($C$62:$C$63,H$62:H$63,基础状态预期!AD157),0)+IFERROR(基础状态预期!$J157*求节点($C$71:$C$72,H$71:H$72,基础状态预期!$AD157),0))</f>
        <v>0</v>
      </c>
      <c r="Y145" s="80">
        <f>IF(基础状态预期!$H157="",0,IF(基础状态预期!$AB157&lt;=1,基础状态预期!$AB157*D$18,D$18)*基础状态预期!$H157)+
IF(基础状态预期!$I157="",0,IF(基础状态预期!$AC157&lt;=1,基础状态预期!$AC157*D$19,D$19)*基础状态预期!$I157)+
IF(基础状态预期!$J157="",0,IF(基础状态预期!$AD157&lt;=1,基础状态预期!$AD157*D$20,D$20)*基础状态预期!$J157)</f>
        <v>36</v>
      </c>
      <c r="Z145" s="80">
        <f>IF(基础状态预期!$H157="",0,IF(基础状态预期!$AB157&lt;=1,基础状态预期!$AB157*E$18,E$18)*基础状态预期!$H157)+
IF(基础状态预期!$I157="",0,IF(基础状态预期!$AC157&lt;=1,基础状态预期!$AC157*E$19,E$19)*基础状态预期!$I157)+
IF(基础状态预期!$J157="",0,IF(基础状态预期!$AD157&lt;=1,基础状态预期!$AD157*E$20,E$20)*基础状态预期!$J157)</f>
        <v>0</v>
      </c>
      <c r="AA145" s="80">
        <f>IF(基础状态预期!$H157="",0,IF(基础状态预期!$AB157&lt;=1,基础状态预期!$AB157*F$18,F$18)*基础状态预期!$H157)+
IF(基础状态预期!$I157="",0,IF(基础状态预期!$AC157&lt;=1,基础状态预期!$AC157*F$19,F$19)*基础状态预期!$I157)+
IF(基础状态预期!$J157="",0,IF(基础状态预期!$AD157&lt;=1,基础状态预期!$AD157*F$20,F$20)*基础状态预期!$J157)</f>
        <v>0</v>
      </c>
      <c r="AB145" s="67">
        <f>IF(基础状态预期!$H157="",0,IF(基础状态预期!$AB157&lt;=1,0,(基础状态预期!$AB157-1)*G$26)*基础状态预期!$H157)+
IF(基础状态预期!$I157="",0,IF(基础状态预期!$AC157&lt;=1,0,(基础状态预期!$AC157-1)*G$27)*基础状态预期!$I157)+
IF(基础状态预期!$J157="",0,IF(基础状态预期!$AD157&lt;=1,0,(基础状态预期!$AD157-1)*G$28)*基础状态预期!$J157)</f>
        <v>180</v>
      </c>
      <c r="AC145" s="67">
        <f>IF(基础状态预期!$H157="",0,IF(基础状态预期!$AB157&lt;=1,0,(基础状态预期!$AB157-1)*H$26)*基础状态预期!$H157)+
IF(基础状态预期!$I157="",0,IF(基础状态预期!$AC157&lt;=1,0,(基础状态预期!$AC157-1)*H$27)*基础状态预期!$I157)+
IF(基础状态预期!$J157="",0,IF(基础状态预期!$AD157&lt;=1,0,(基础状态预期!$AD157-1)*H$28)*基础状态预期!$J157)</f>
        <v>0</v>
      </c>
      <c r="AD145" s="67">
        <f>IF(基础状态预期!$H157="",0,IF(基础状态预期!$AB157&lt;=1,0,(基础状态预期!$AB157-1)*I$26)*基础状态预期!$H157)+
IF(基础状态预期!$I157="",0,IF(基础状态预期!$AC157&lt;=1,0,(基础状态预期!$AC157-1)*I$27)*基础状态预期!$I157)+
IF(基础状态预期!$J157="",0,IF(基础状态预期!$AD157&lt;=1,0,(基础状态预期!$AD157-1)*I$28)*基础状态预期!$J157)</f>
        <v>0</v>
      </c>
      <c r="AE145" s="80">
        <f>IF(各r阵容卡情况!$H151=0,0,IF(各r阵容卡情况!$AB151&lt;=1,各r阵容卡情况!$AB151*D$18,1*D$18)*各r阵容卡情况!$H151)+
IF(各r阵容卡情况!$I151=0,0,IF(各r阵容卡情况!$AC151&lt;=1,各r阵容卡情况!$AC151*D$19,1*D$19)*各r阵容卡情况!$I151)+
IF(各r阵容卡情况!$J151=0,0,IF(各r阵容卡情况!$AD151&lt;=1,各r阵容卡情况!$AD151*D$20,1*D$20)*各r阵容卡情况!$J151)</f>
        <v>86</v>
      </c>
      <c r="AF145" s="80">
        <f>IF(各r阵容卡情况!$H151=0,0,IF(各r阵容卡情况!$AB151&lt;=1,各r阵容卡情况!$AB151*E$18,1*E$18)*各r阵容卡情况!$H151)+
IF(各r阵容卡情况!$I151=0,0,IF(各r阵容卡情况!$AC151&lt;=1,各r阵容卡情况!$AC151*E$19,1*E$19)*各r阵容卡情况!$I151)+
IF(各r阵容卡情况!$J151=0,0,IF(各r阵容卡情况!$AD151&lt;=1,各r阵容卡情况!$AD151*E$20,1*E$20)*各r阵容卡情况!$J151)</f>
        <v>0</v>
      </c>
      <c r="AG145" s="80">
        <f>IF(各r阵容卡情况!$H151=0,0,IF(各r阵容卡情况!$AB151&lt;=1,各r阵容卡情况!$AB151*F$18,1*F$18)*各r阵容卡情况!$H151)+
IF(各r阵容卡情况!$I151=0,0,IF(各r阵容卡情况!$AC151&lt;=1,各r阵容卡情况!$AC151*F$19,1*F$19)*各r阵容卡情况!$I151)+
IF(各r阵容卡情况!$J151=0,0,IF(各r阵容卡情况!$AD151&lt;=1,各r阵容卡情况!$AD151*F$20,1*F$20)*各r阵容卡情况!$J151)</f>
        <v>0</v>
      </c>
      <c r="AH145" s="67">
        <f>IF(各r阵容卡情况!$H151=0,0,IF(各r阵容卡情况!$AB151&lt;=1,0,(各r阵容卡情况!$AB151-1)*G$26)*各r阵容卡情况!$H151)+
IF(各r阵容卡情况!$I151=0,0,IF(各r阵容卡情况!$AC151&lt;=1,0,(各r阵容卡情况!$AC151-1)*G$27)*各r阵容卡情况!$I151)+
IF(各r阵容卡情况!$J151=0,0,IF(各r阵容卡情况!$AD151&lt;=1,0,(各r阵容卡情况!$AD151-1)*G$28)*各r阵容卡情况!$J151)</f>
        <v>430</v>
      </c>
      <c r="AI145" s="67">
        <f>IF(各r阵容卡情况!$H151=0,0,IF(各r阵容卡情况!$AB151&lt;=1,0,(各r阵容卡情况!$AB151-1)*H$26)*各r阵容卡情况!$H151)+
IF(各r阵容卡情况!$I151=0,0,IF(各r阵容卡情况!$AC151&lt;=1,0,(各r阵容卡情况!$AC151-1)*H$27)*各r阵容卡情况!$I151)+
IF(各r阵容卡情况!$J151=0,0,IF(各r阵容卡情况!$AD151&lt;=1,0,(各r阵容卡情况!$AD151-1)*H$28)*各r阵容卡情况!$J151)</f>
        <v>0</v>
      </c>
      <c r="AJ145" s="67">
        <f>IF(各r阵容卡情况!$H151=0,0,IF(各r阵容卡情况!$AB151&lt;=1,0,(各r阵容卡情况!$AB151-1)*I$26)*各r阵容卡情况!$H151)+
IF(各r阵容卡情况!$I151=0,0,IF(各r阵容卡情况!$AC151&lt;=1,0,(各r阵容卡情况!$AC151-1)*I$27)*各r阵容卡情况!$I151)+
IF(各r阵容卡情况!$J151=0,0,IF(各r阵容卡情况!$AD151&lt;=1,0,(各r阵容卡情况!$AD151-1)*I$28)*各r阵容卡情况!$J151)</f>
        <v>0</v>
      </c>
      <c r="AL145" s="80">
        <f t="shared" si="114"/>
        <v>35</v>
      </c>
      <c r="AM145" s="80">
        <f t="shared" si="115"/>
        <v>36</v>
      </c>
      <c r="AN145" s="80">
        <f t="shared" si="116"/>
        <v>0</v>
      </c>
      <c r="AO145" s="80">
        <f t="shared" si="117"/>
        <v>0</v>
      </c>
      <c r="AP145" s="80">
        <f t="shared" si="118"/>
        <v>180</v>
      </c>
      <c r="AQ145" s="80">
        <f t="shared" si="119"/>
        <v>0</v>
      </c>
      <c r="AR145" s="80">
        <f t="shared" si="120"/>
        <v>0</v>
      </c>
      <c r="AS145" s="80">
        <f t="shared" si="121"/>
        <v>42.689006020863857</v>
      </c>
      <c r="AT145" s="80">
        <f t="shared" si="122"/>
        <v>0</v>
      </c>
      <c r="AU145" s="80">
        <f t="shared" si="123"/>
        <v>0</v>
      </c>
      <c r="AV145" s="80">
        <f t="shared" si="124"/>
        <v>105.88373297107523</v>
      </c>
      <c r="AW145" s="80">
        <f t="shared" si="125"/>
        <v>0</v>
      </c>
      <c r="AX145" s="80">
        <f t="shared" si="126"/>
        <v>0</v>
      </c>
      <c r="AY145" s="61" t="e">
        <f>SUMPRODUCT(AM145:AR145/'[1]功能-行军令'!$GI$26:$GN$26+AS145:AX145/'[1]功能-行军令'!$GI$26:$GN$26)/0.18</f>
        <v>#DIV/0!</v>
      </c>
      <c r="BB145" s="80">
        <v>70</v>
      </c>
      <c r="BC145" s="80"/>
      <c r="BD145" s="80"/>
      <c r="BE145" s="80"/>
      <c r="BF145" s="80"/>
      <c r="BG145" s="80"/>
      <c r="BH145" s="80"/>
      <c r="BI145" s="80"/>
      <c r="BJ145" s="80"/>
      <c r="BK145" s="80">
        <f t="shared" si="127"/>
        <v>0</v>
      </c>
      <c r="BO145" s="80">
        <f t="shared" si="111"/>
        <v>48.731413734867289</v>
      </c>
      <c r="BP145" s="80">
        <f t="shared" si="112"/>
        <v>3120000</v>
      </c>
      <c r="BQ145" s="80">
        <f>(BP145-BP144)*INDEX('[1]功能-付费相关'!$AT$6:$AT$165,$BO145,1)+BQ144</f>
        <v>5402.6636596421658</v>
      </c>
      <c r="BR145" s="80"/>
      <c r="BS145" s="80"/>
      <c r="BU145" s="80">
        <v>70</v>
      </c>
      <c r="BV145" s="80">
        <f t="shared" si="113"/>
        <v>13769.366786558481</v>
      </c>
      <c r="BW145" s="86">
        <f>BW144*1.5</f>
        <v>114432.36000000002</v>
      </c>
      <c r="BX145" s="80"/>
      <c r="BY145" s="80">
        <f t="shared" si="128"/>
        <v>128201.7267865585</v>
      </c>
    </row>
    <row r="146" spans="12:77" x14ac:dyDescent="0.15">
      <c r="L146" s="61">
        <v>10</v>
      </c>
      <c r="M146" s="80">
        <f>基础状态预期!D158</f>
        <v>48.731413734867289</v>
      </c>
      <c r="N146" s="80">
        <f>IF(基础状态预期!F158="",0,IF(基础状态预期!Z158&lt;=1,基础状态预期!Z158*D$4,1*D$4+(基础状态预期!Z158-1)*武将觉醒!D$5))</f>
        <v>0</v>
      </c>
      <c r="O146" s="80">
        <f>IF(基础状态预期!G158="",0,IF(基础状态预期!AA158&lt;=1,基础状态预期!AA158*E$4,1*E$4+(基础状态预期!AA158-1)*武将觉醒!E$5))</f>
        <v>0</v>
      </c>
      <c r="P146" s="80">
        <f>IF(基础状态预期!H158="",0,IF(基础状态预期!AB158&lt;=1,基础状态预期!AB158*F$4,1*F$4+(基础状态预期!AB158-1)*武将觉醒!F$5))</f>
        <v>0</v>
      </c>
      <c r="Q146" s="80">
        <f>IF(基础状态预期!I158="",0,IF(基础状态预期!AC158&lt;=1,基础状态预期!AC158*G$4,1*G$4+(基础状态预期!AC158-1)*武将觉醒!G$5))</f>
        <v>520000</v>
      </c>
      <c r="R146" s="80">
        <f>IF(基础状态预期!J158="",0,IF(基础状态预期!AD158&lt;=1,基础状态预期!AD158*H$4,1*H$4+(基础状态预期!AD158-1)*武将觉醒!H$5))</f>
        <v>0</v>
      </c>
      <c r="S146" s="80">
        <f>MAX(SUMPRODUCT(N146:R146,基础状态预期!F158:J158),S145)</f>
        <v>3120000</v>
      </c>
      <c r="T146" s="80">
        <f>IF(基础状态预期!Z158="",0,IFERROR(基础状态预期!F158*求节点($C$62:$C$63,D$62:D$63,基础状态预期!Z158),0)+IFERROR(基础状态预期!$J158*求节点($C$71:$C$72,D$71:D$72,基础状态预期!$AD158),0))</f>
        <v>0</v>
      </c>
      <c r="U146" s="80">
        <f>IF(基础状态预期!AA158="",0,IFERROR(基础状态预期!G158*求节点($C$62:$C$63,E$62:E$63,基础状态预期!AA158),0)+IFERROR(基础状态预期!$J158*求节点($C$71:$C$72,E$71:E$72,基础状态预期!$AD158),0))</f>
        <v>0</v>
      </c>
      <c r="V146" s="80">
        <f>IF(基础状态预期!AB158="",0,IFERROR(基础状态预期!H158*求节点($C$62:$C$63,F$62:F$63,基础状态预期!AB158),0)+IFERROR(基础状态预期!$J158*求节点($C$71:$C$72,F$71:F$72,基础状态预期!$AD158),0))</f>
        <v>0</v>
      </c>
      <c r="W146" s="80">
        <f>IF(基础状态预期!AC158="",0,IFERROR(基础状态预期!I158*求节点($C$62:$C$63,G$62:G$63,基础状态预期!AC158),0)+IFERROR(基础状态预期!$J158*求节点($C$71:$C$72,G$71:G$72,基础状态预期!$AD158),0))</f>
        <v>6</v>
      </c>
      <c r="X146" s="80">
        <f>IF(基础状态预期!AD158="",0,IFERROR(基础状态预期!J158*求节点($C$62:$C$63,H$62:H$63,基础状态预期!AD158),0)+IFERROR(基础状态预期!$J158*求节点($C$71:$C$72,H$71:H$72,基础状态预期!$AD158),0))</f>
        <v>0</v>
      </c>
      <c r="Y146" s="80">
        <f>IF(基础状态预期!$H158="",0,IF(基础状态预期!$AB158&lt;=1,基础状态预期!$AB158*D$18,D$18)*基础状态预期!$H158)+
IF(基础状态预期!$I158="",0,IF(基础状态预期!$AC158&lt;=1,基础状态预期!$AC158*D$19,D$19)*基础状态预期!$I158)+
IF(基础状态预期!$J158="",0,IF(基础状态预期!$AD158&lt;=1,基础状态预期!$AD158*D$20,D$20)*基础状态预期!$J158)</f>
        <v>36</v>
      </c>
      <c r="Z146" s="80">
        <f>IF(基础状态预期!$H158="",0,IF(基础状态预期!$AB158&lt;=1,基础状态预期!$AB158*E$18,E$18)*基础状态预期!$H158)+
IF(基础状态预期!$I158="",0,IF(基础状态预期!$AC158&lt;=1,基础状态预期!$AC158*E$19,E$19)*基础状态预期!$I158)+
IF(基础状态预期!$J158="",0,IF(基础状态预期!$AD158&lt;=1,基础状态预期!$AD158*E$20,E$20)*基础状态预期!$J158)</f>
        <v>0</v>
      </c>
      <c r="AA146" s="80">
        <f>IF(基础状态预期!$H158="",0,IF(基础状态预期!$AB158&lt;=1,基础状态预期!$AB158*F$18,F$18)*基础状态预期!$H158)+
IF(基础状态预期!$I158="",0,IF(基础状态预期!$AC158&lt;=1,基础状态预期!$AC158*F$19,F$19)*基础状态预期!$I158)+
IF(基础状态预期!$J158="",0,IF(基础状态预期!$AD158&lt;=1,基础状态预期!$AD158*F$20,F$20)*基础状态预期!$J158)</f>
        <v>0</v>
      </c>
      <c r="AB146" s="67">
        <f>IF(基础状态预期!$H158="",0,IF(基础状态预期!$AB158&lt;=1,0,(基础状态预期!$AB158-1)*G$26)*基础状态预期!$H158)+
IF(基础状态预期!$I158="",0,IF(基础状态预期!$AC158&lt;=1,0,(基础状态预期!$AC158-1)*G$27)*基础状态预期!$I158)+
IF(基础状态预期!$J158="",0,IF(基础状态预期!$AD158&lt;=1,0,(基础状态预期!$AD158-1)*G$28)*基础状态预期!$J158)</f>
        <v>180</v>
      </c>
      <c r="AC146" s="67">
        <f>IF(基础状态预期!$H158="",0,IF(基础状态预期!$AB158&lt;=1,0,(基础状态预期!$AB158-1)*H$26)*基础状态预期!$H158)+
IF(基础状态预期!$I158="",0,IF(基础状态预期!$AC158&lt;=1,0,(基础状态预期!$AC158-1)*H$27)*基础状态预期!$I158)+
IF(基础状态预期!$J158="",0,IF(基础状态预期!$AD158&lt;=1,0,(基础状态预期!$AD158-1)*H$28)*基础状态预期!$J158)</f>
        <v>0</v>
      </c>
      <c r="AD146" s="67">
        <f>IF(基础状态预期!$H158="",0,IF(基础状态预期!$AB158&lt;=1,0,(基础状态预期!$AB158-1)*I$26)*基础状态预期!$H158)+
IF(基础状态预期!$I158="",0,IF(基础状态预期!$AC158&lt;=1,0,(基础状态预期!$AC158-1)*I$27)*基础状态预期!$I158)+
IF(基础状态预期!$J158="",0,IF(基础状态预期!$AD158&lt;=1,0,(基础状态预期!$AD158-1)*I$28)*基础状态预期!$J158)</f>
        <v>0</v>
      </c>
      <c r="AE146" s="80">
        <f>IF(各r阵容卡情况!$H152=0,0,IF(各r阵容卡情况!$AB152&lt;=1,各r阵容卡情况!$AB152*D$18,1*D$18)*各r阵容卡情况!$H152)+
IF(各r阵容卡情况!$I152=0,0,IF(各r阵容卡情况!$AC152&lt;=1,各r阵容卡情况!$AC152*D$19,1*D$19)*各r阵容卡情况!$I152)+
IF(各r阵容卡情况!$J152=0,0,IF(各r阵容卡情况!$AD152&lt;=1,各r阵容卡情况!$AD152*D$20,1*D$20)*各r阵容卡情况!$J152)</f>
        <v>104</v>
      </c>
      <c r="AF146" s="80">
        <f>IF(各r阵容卡情况!$H152=0,0,IF(各r阵容卡情况!$AB152&lt;=1,各r阵容卡情况!$AB152*E$18,1*E$18)*各r阵容卡情况!$H152)+
IF(各r阵容卡情况!$I152=0,0,IF(各r阵容卡情况!$AC152&lt;=1,各r阵容卡情况!$AC152*E$19,1*E$19)*各r阵容卡情况!$I152)+
IF(各r阵容卡情况!$J152=0,0,IF(各r阵容卡情况!$AD152&lt;=1,各r阵容卡情况!$AD152*E$20,1*E$20)*各r阵容卡情况!$J152)</f>
        <v>0</v>
      </c>
      <c r="AG146" s="80">
        <f>IF(各r阵容卡情况!$H152=0,0,IF(各r阵容卡情况!$AB152&lt;=1,各r阵容卡情况!$AB152*F$18,1*F$18)*各r阵容卡情况!$H152)+
IF(各r阵容卡情况!$I152=0,0,IF(各r阵容卡情况!$AC152&lt;=1,各r阵容卡情况!$AC152*F$19,1*F$19)*各r阵容卡情况!$I152)+
IF(各r阵容卡情况!$J152=0,0,IF(各r阵容卡情况!$AD152&lt;=1,各r阵容卡情况!$AD152*F$20,1*F$20)*各r阵容卡情况!$J152)</f>
        <v>0</v>
      </c>
      <c r="AH146" s="67">
        <f>IF(各r阵容卡情况!$H152=0,0,IF(各r阵容卡情况!$AB152&lt;=1,0,(各r阵容卡情况!$AB152-1)*G$26)*各r阵容卡情况!$H152)+
IF(各r阵容卡情况!$I152=0,0,IF(各r阵容卡情况!$AC152&lt;=1,0,(各r阵容卡情况!$AC152-1)*G$27)*各r阵容卡情况!$I152)+
IF(各r阵容卡情况!$J152=0,0,IF(各r阵容卡情况!$AD152&lt;=1,0,(各r阵容卡情况!$AD152-1)*G$28)*各r阵容卡情况!$J152)</f>
        <v>520</v>
      </c>
      <c r="AI146" s="67">
        <f>IF(各r阵容卡情况!$H152=0,0,IF(各r阵容卡情况!$AB152&lt;=1,0,(各r阵容卡情况!$AB152-1)*H$26)*各r阵容卡情况!$H152)+
IF(各r阵容卡情况!$I152=0,0,IF(各r阵容卡情况!$AC152&lt;=1,0,(各r阵容卡情况!$AC152-1)*H$27)*各r阵容卡情况!$I152)+
IF(各r阵容卡情况!$J152=0,0,IF(各r阵容卡情况!$AD152&lt;=1,0,(各r阵容卡情况!$AD152-1)*H$28)*各r阵容卡情况!$J152)</f>
        <v>0</v>
      </c>
      <c r="AJ146" s="67">
        <f>IF(各r阵容卡情况!$H152=0,0,IF(各r阵容卡情况!$AB152&lt;=1,0,(各r阵容卡情况!$AB152-1)*I$26)*各r阵容卡情况!$H152)+
IF(各r阵容卡情况!$I152=0,0,IF(各r阵容卡情况!$AC152&lt;=1,0,(各r阵容卡情况!$AC152-1)*I$27)*各r阵容卡情况!$I152)+
IF(各r阵容卡情况!$J152=0,0,IF(各r阵容卡情况!$AD152&lt;=1,0,(各r阵容卡情况!$AD152-1)*I$28)*各r阵容卡情况!$J152)</f>
        <v>0</v>
      </c>
      <c r="AL146" s="80">
        <f t="shared" si="114"/>
        <v>40</v>
      </c>
      <c r="AM146" s="80">
        <f t="shared" si="115"/>
        <v>36</v>
      </c>
      <c r="AN146" s="80">
        <f t="shared" si="116"/>
        <v>0</v>
      </c>
      <c r="AO146" s="80">
        <f t="shared" si="117"/>
        <v>0</v>
      </c>
      <c r="AP146" s="80">
        <f t="shared" si="118"/>
        <v>180</v>
      </c>
      <c r="AQ146" s="80">
        <f t="shared" si="119"/>
        <v>0</v>
      </c>
      <c r="AR146" s="80">
        <f t="shared" si="120"/>
        <v>0</v>
      </c>
      <c r="AS146" s="80">
        <f t="shared" si="121"/>
        <v>78.248838887605473</v>
      </c>
      <c r="AT146" s="80">
        <f t="shared" si="122"/>
        <v>0</v>
      </c>
      <c r="AU146" s="80">
        <f t="shared" si="123"/>
        <v>0</v>
      </c>
      <c r="AV146" s="80">
        <f t="shared" si="124"/>
        <v>391.24419443802736</v>
      </c>
      <c r="AW146" s="80">
        <f t="shared" si="125"/>
        <v>0</v>
      </c>
      <c r="AX146" s="80">
        <f t="shared" si="126"/>
        <v>0</v>
      </c>
      <c r="AY146" s="61" t="e">
        <f>SUMPRODUCT(AM146:AR146/'[1]功能-行军令'!$GI$26:$GN$26+AS146:AX146/'[1]功能-行军令'!$GI$26:$GN$26)/0.18</f>
        <v>#DIV/0!</v>
      </c>
      <c r="BB146" s="80">
        <v>80</v>
      </c>
      <c r="BC146" s="80"/>
      <c r="BD146" s="80"/>
      <c r="BE146" s="80"/>
      <c r="BF146" s="80"/>
      <c r="BG146" s="80"/>
      <c r="BH146" s="80"/>
      <c r="BI146" s="80"/>
      <c r="BJ146" s="80"/>
      <c r="BK146" s="80">
        <f t="shared" si="127"/>
        <v>0</v>
      </c>
      <c r="BO146" s="80">
        <f t="shared" si="111"/>
        <v>52.769987980532711</v>
      </c>
      <c r="BP146" s="80">
        <f t="shared" si="112"/>
        <v>4650000</v>
      </c>
      <c r="BQ146" s="80">
        <f>(BP146-BP145)*INDEX('[1]功能-付费相关'!$AT$6:$AT$165,$BO146,1)+BQ145</f>
        <v>7481.4680074682528</v>
      </c>
      <c r="BR146" s="80"/>
      <c r="BS146" s="80"/>
      <c r="BU146" s="80">
        <v>80</v>
      </c>
      <c r="BV146" s="80">
        <f t="shared" si="113"/>
        <v>16421.870715493144</v>
      </c>
      <c r="BW146" s="86">
        <f>BW145</f>
        <v>114432.36000000002</v>
      </c>
      <c r="BX146" s="80"/>
      <c r="BY146" s="80">
        <f t="shared" si="128"/>
        <v>130854.23071549316</v>
      </c>
    </row>
    <row r="147" spans="12:77" x14ac:dyDescent="0.15">
      <c r="L147" s="61">
        <v>11</v>
      </c>
      <c r="M147" s="80">
        <f>基础状态预期!D159</f>
        <v>52.769987980532711</v>
      </c>
      <c r="N147" s="80">
        <f>IF(基础状态预期!F159="",0,IF(基础状态预期!Z159&lt;=1,基础状态预期!Z159*D$4,1*D$4+(基础状态预期!Z159-1)*武将觉醒!D$5))</f>
        <v>0</v>
      </c>
      <c r="O147" s="80">
        <f>IF(基础状态预期!G159="",0,IF(基础状态预期!AA159&lt;=1,基础状态预期!AA159*E$4,1*E$4+(基础状态预期!AA159-1)*武将觉醒!E$5))</f>
        <v>0</v>
      </c>
      <c r="P147" s="80">
        <f>IF(基础状态预期!H159="",0,IF(基础状态预期!AB159&lt;=1,基础状态预期!AB159*F$4,1*F$4+(基础状态预期!AB159-1)*武将觉醒!F$5))</f>
        <v>0</v>
      </c>
      <c r="Q147" s="80">
        <f>IF(基础状态预期!I159="",0,IF(基础状态预期!AC159&lt;=1,基础状态预期!AC159*G$4,1*G$4+(基础状态预期!AC159-1)*武将觉醒!G$5))</f>
        <v>520000</v>
      </c>
      <c r="R147" s="80">
        <f>IF(基础状态预期!J159="",0,IF(基础状态预期!AD159&lt;=1,基础状态预期!AD159*H$4,1*H$4+(基础状态预期!AD159-1)*武将觉醒!H$5))</f>
        <v>2050000</v>
      </c>
      <c r="S147" s="80">
        <f>MAX(SUMPRODUCT(N147:R147,基础状态预期!F159:J159),S146)</f>
        <v>4650000</v>
      </c>
      <c r="T147" s="80">
        <f>IF(基础状态预期!Z159="",0,IFERROR(基础状态预期!F159*求节点($C$62:$C$63,D$62:D$63,基础状态预期!Z159),0)+IFERROR(基础状态预期!$J159*求节点($C$71:$C$72,D$71:D$72,基础状态预期!$AD159),0))</f>
        <v>0</v>
      </c>
      <c r="U147" s="80">
        <f>IF(基础状态预期!AA159="",0,IFERROR(基础状态预期!G159*求节点($C$62:$C$63,E$62:E$63,基础状态预期!AA159),0)+IFERROR(基础状态预期!$J159*求节点($C$71:$C$72,E$71:E$72,基础状态预期!$AD159),0))</f>
        <v>0</v>
      </c>
      <c r="V147" s="80">
        <f>IF(基础状态预期!AB159="",0,IFERROR(基础状态预期!H159*求节点($C$62:$C$63,F$62:F$63,基础状态预期!AB159),0)+IFERROR(基础状态预期!$J159*求节点($C$71:$C$72,F$71:F$72,基础状态预期!$AD159),0))</f>
        <v>0</v>
      </c>
      <c r="W147" s="80">
        <f>IF(基础状态预期!AC159="",0,IFERROR(基础状态预期!I159*求节点($C$62:$C$63,G$62:G$63,基础状态预期!AC159),0)+IFERROR(基础状态预期!$J159*求节点($C$71:$C$72,G$71:G$72,基础状态预期!$AD159),0))</f>
        <v>8</v>
      </c>
      <c r="X147" s="80">
        <f>IF(基础状态预期!AD159="",0,IFERROR(基础状态预期!J159*求节点($C$62:$C$63,H$62:H$63,基础状态预期!AD159),0)+IFERROR(基础状态预期!$J159*求节点($C$71:$C$72,H$71:H$72,基础状态预期!$AD159),0))</f>
        <v>0</v>
      </c>
      <c r="Y147" s="80">
        <f>IF(基础状态预期!$H159="",0,IF(基础状态预期!$AB159&lt;=1,基础状态预期!$AB159*D$18,D$18)*基础状态预期!$H159)+
IF(基础状态预期!$I159="",0,IF(基础状态预期!$AC159&lt;=1,基础状态预期!$AC159*D$19,D$19)*基础状态预期!$I159)+
IF(基础状态预期!$J159="",0,IF(基础状态预期!$AD159&lt;=1,基础状态预期!$AD159*D$20,D$20)*基础状态预期!$J159)</f>
        <v>38</v>
      </c>
      <c r="Z147" s="80">
        <f>IF(基础状态预期!$H159="",0,IF(基础状态预期!$AB159&lt;=1,基础状态预期!$AB159*E$18,E$18)*基础状态预期!$H159)+
IF(基础状态预期!$I159="",0,IF(基础状态预期!$AC159&lt;=1,基础状态预期!$AC159*E$19,E$19)*基础状态预期!$I159)+
IF(基础状态预期!$J159="",0,IF(基础状态预期!$AD159&lt;=1,基础状态预期!$AD159*E$20,E$20)*基础状态预期!$J159)</f>
        <v>0</v>
      </c>
      <c r="AA147" s="80">
        <f>IF(基础状态预期!$H159="",0,IF(基础状态预期!$AB159&lt;=1,基础状态预期!$AB159*F$18,F$18)*基础状态预期!$H159)+
IF(基础状态预期!$I159="",0,IF(基础状态预期!$AC159&lt;=1,基础状态预期!$AC159*F$19,F$19)*基础状态预期!$I159)+
IF(基础状态预期!$J159="",0,IF(基础状态预期!$AD159&lt;=1,基础状态预期!$AD159*F$20,F$20)*基础状态预期!$J159)</f>
        <v>0</v>
      </c>
      <c r="AB147" s="67">
        <f>IF(基础状态预期!$H159="",0,IF(基础状态预期!$AB159&lt;=1,0,(基础状态预期!$AB159-1)*G$26)*基础状态预期!$H159)+
IF(基础状态预期!$I159="",0,IF(基础状态预期!$AC159&lt;=1,0,(基础状态预期!$AC159-1)*G$27)*基础状态预期!$I159)+
IF(基础状态预期!$J159="",0,IF(基础状态预期!$AD159&lt;=1,0,(基础状态预期!$AD159-1)*G$28)*基础状态预期!$J159)</f>
        <v>190</v>
      </c>
      <c r="AC147" s="67">
        <f>IF(基础状态预期!$H159="",0,IF(基础状态预期!$AB159&lt;=1,0,(基础状态预期!$AB159-1)*H$26)*基础状态预期!$H159)+
IF(基础状态预期!$I159="",0,IF(基础状态预期!$AC159&lt;=1,0,(基础状态预期!$AC159-1)*H$27)*基础状态预期!$I159)+
IF(基础状态预期!$J159="",0,IF(基础状态预期!$AD159&lt;=1,0,(基础状态预期!$AD159-1)*H$28)*基础状态预期!$J159)</f>
        <v>0</v>
      </c>
      <c r="AD147" s="67">
        <f>IF(基础状态预期!$H159="",0,IF(基础状态预期!$AB159&lt;=1,0,(基础状态预期!$AB159-1)*I$26)*基础状态预期!$H159)+
IF(基础状态预期!$I159="",0,IF(基础状态预期!$AC159&lt;=1,0,(基础状态预期!$AC159-1)*I$27)*基础状态预期!$I159)+
IF(基础状态预期!$J159="",0,IF(基础状态预期!$AD159&lt;=1,0,(基础状态预期!$AD159-1)*I$28)*基础状态预期!$J159)</f>
        <v>0</v>
      </c>
      <c r="AE147" s="80">
        <f>IF(各r阵容卡情况!$H153=0,0,IF(各r阵容卡情况!$AB153&lt;=1,各r阵容卡情况!$AB153*D$18,1*D$18)*各r阵容卡情况!$H153)+
IF(各r阵容卡情况!$I153=0,0,IF(各r阵容卡情况!$AC153&lt;=1,各r阵容卡情况!$AC153*D$19,1*D$19)*各r阵容卡情况!$I153)+
IF(各r阵容卡情况!$J153=0,0,IF(各r阵容卡情况!$AD153&lt;=1,各r阵容卡情况!$AD153*D$20,1*D$20)*各r阵容卡情况!$J153)</f>
        <v>114</v>
      </c>
      <c r="AF147" s="80">
        <f>IF(各r阵容卡情况!$H153=0,0,IF(各r阵容卡情况!$AB153&lt;=1,各r阵容卡情况!$AB153*E$18,1*E$18)*各r阵容卡情况!$H153)+
IF(各r阵容卡情况!$I153=0,0,IF(各r阵容卡情况!$AC153&lt;=1,各r阵容卡情况!$AC153*E$19,1*E$19)*各r阵容卡情况!$I153)+
IF(各r阵容卡情况!$J153=0,0,IF(各r阵容卡情况!$AD153&lt;=1,各r阵容卡情况!$AD153*E$20,1*E$20)*各r阵容卡情况!$J153)</f>
        <v>0</v>
      </c>
      <c r="AG147" s="80">
        <f>IF(各r阵容卡情况!$H153=0,0,IF(各r阵容卡情况!$AB153&lt;=1,各r阵容卡情况!$AB153*F$18,1*F$18)*各r阵容卡情况!$H153)+
IF(各r阵容卡情况!$I153=0,0,IF(各r阵容卡情况!$AC153&lt;=1,各r阵容卡情况!$AC153*F$19,1*F$19)*各r阵容卡情况!$I153)+
IF(各r阵容卡情况!$J153=0,0,IF(各r阵容卡情况!$AD153&lt;=1,各r阵容卡情况!$AD153*F$20,1*F$20)*各r阵容卡情况!$J153)</f>
        <v>0</v>
      </c>
      <c r="AH147" s="67">
        <f>IF(各r阵容卡情况!$H153=0,0,IF(各r阵容卡情况!$AB153&lt;=1,0,(各r阵容卡情况!$AB153-1)*G$26)*各r阵容卡情况!$H153)+
IF(各r阵容卡情况!$I153=0,0,IF(各r阵容卡情况!$AC153&lt;=1,0,(各r阵容卡情况!$AC153-1)*G$27)*各r阵容卡情况!$I153)+
IF(各r阵容卡情况!$J153=0,0,IF(各r阵容卡情况!$AD153&lt;=1,0,(各r阵容卡情况!$AD153-1)*G$28)*各r阵容卡情况!$J153)</f>
        <v>570</v>
      </c>
      <c r="AI147" s="67">
        <f>IF(各r阵容卡情况!$H153=0,0,IF(各r阵容卡情况!$AB153&lt;=1,0,(各r阵容卡情况!$AB153-1)*H$26)*各r阵容卡情况!$H153)+
IF(各r阵容卡情况!$I153=0,0,IF(各r阵容卡情况!$AC153&lt;=1,0,(各r阵容卡情况!$AC153-1)*H$27)*各r阵容卡情况!$I153)+
IF(各r阵容卡情况!$J153=0,0,IF(各r阵容卡情况!$AD153&lt;=1,0,(各r阵容卡情况!$AD153-1)*H$28)*各r阵容卡情况!$J153)</f>
        <v>0</v>
      </c>
      <c r="AJ147" s="67">
        <f>IF(各r阵容卡情况!$H153=0,0,IF(各r阵容卡情况!$AB153&lt;=1,0,(各r阵容卡情况!$AB153-1)*I$26)*各r阵容卡情况!$H153)+
IF(各r阵容卡情况!$I153=0,0,IF(各r阵容卡情况!$AC153&lt;=1,0,(各r阵容卡情况!$AC153-1)*I$27)*各r阵容卡情况!$I153)+
IF(各r阵容卡情况!$J153=0,0,IF(各r阵容卡情况!$AD153&lt;=1,0,(各r阵容卡情况!$AD153-1)*I$28)*各r阵容卡情况!$J153)</f>
        <v>0</v>
      </c>
      <c r="AL147" s="80">
        <f t="shared" si="114"/>
        <v>45</v>
      </c>
      <c r="AM147" s="80">
        <f t="shared" si="115"/>
        <v>36</v>
      </c>
      <c r="AN147" s="80">
        <f t="shared" si="116"/>
        <v>0</v>
      </c>
      <c r="AO147" s="80">
        <f t="shared" si="117"/>
        <v>0</v>
      </c>
      <c r="AP147" s="80">
        <f t="shared" si="118"/>
        <v>180</v>
      </c>
      <c r="AQ147" s="80">
        <f t="shared" si="119"/>
        <v>0</v>
      </c>
      <c r="AR147" s="80">
        <f t="shared" si="120"/>
        <v>0</v>
      </c>
      <c r="AS147" s="80">
        <f t="shared" si="121"/>
        <v>92.340679248902646</v>
      </c>
      <c r="AT147" s="80">
        <f t="shared" si="122"/>
        <v>0</v>
      </c>
      <c r="AU147" s="80">
        <f t="shared" si="123"/>
        <v>0</v>
      </c>
      <c r="AV147" s="80">
        <f t="shared" si="124"/>
        <v>461.70339624451321</v>
      </c>
      <c r="AW147" s="80">
        <f t="shared" si="125"/>
        <v>0</v>
      </c>
      <c r="AX147" s="80">
        <f t="shared" si="126"/>
        <v>0</v>
      </c>
      <c r="AY147" s="61" t="e">
        <f>SUMPRODUCT(AM147:AR147/'[1]功能-行军令'!$GI$26:$GN$26+AS147:AX147/'[1]功能-行军令'!$GI$26:$GN$26)/0.18</f>
        <v>#DIV/0!</v>
      </c>
      <c r="BB147" s="80">
        <v>90</v>
      </c>
      <c r="BC147" s="80"/>
      <c r="BD147" s="80"/>
      <c r="BE147" s="80"/>
      <c r="BF147" s="80"/>
      <c r="BG147" s="80"/>
      <c r="BH147" s="80"/>
      <c r="BI147" s="80"/>
      <c r="BJ147" s="80"/>
      <c r="BK147" s="80">
        <f t="shared" si="127"/>
        <v>0</v>
      </c>
      <c r="BO147" s="80">
        <f t="shared" si="111"/>
        <v>58.701446767877648</v>
      </c>
      <c r="BP147" s="80">
        <f t="shared" si="112"/>
        <v>6180000</v>
      </c>
      <c r="BQ147" s="80">
        <f>(BP147-BP146)*INDEX('[1]功能-付费相关'!$AT$6:$AT$165,$BO147,1)+BQ146</f>
        <v>9432.9986197131511</v>
      </c>
      <c r="BR147" s="80"/>
      <c r="BS147" s="80"/>
      <c r="BU147" s="80">
        <v>90</v>
      </c>
      <c r="BV147" s="80">
        <f t="shared" si="113"/>
        <v>16421.870715493144</v>
      </c>
      <c r="BW147" s="86">
        <f t="shared" ref="BW147:BW154" si="129">BW146</f>
        <v>114432.36000000002</v>
      </c>
      <c r="BX147" s="80"/>
      <c r="BY147" s="80">
        <f t="shared" si="128"/>
        <v>130854.23071549316</v>
      </c>
    </row>
    <row r="148" spans="12:77" x14ac:dyDescent="0.15">
      <c r="L148" s="61">
        <v>12</v>
      </c>
      <c r="M148" s="80">
        <f>基础状态预期!D160</f>
        <v>58.701446767877648</v>
      </c>
      <c r="N148" s="80">
        <f>IF(基础状态预期!F160="",0,IF(基础状态预期!Z160&lt;=1,基础状态预期!Z160*D$4,1*D$4+(基础状态预期!Z160-1)*武将觉醒!D$5))</f>
        <v>0</v>
      </c>
      <c r="O148" s="80">
        <f>IF(基础状态预期!G160="",0,IF(基础状态预期!AA160&lt;=1,基础状态预期!AA160*E$4,1*E$4+(基础状态预期!AA160-1)*武将觉醒!E$5))</f>
        <v>0</v>
      </c>
      <c r="P148" s="80">
        <f>IF(基础状态预期!H160="",0,IF(基础状态预期!AB160&lt;=1,基础状态预期!AB160*F$4,1*F$4+(基础状态预期!AB160-1)*武将觉醒!F$5))</f>
        <v>0</v>
      </c>
      <c r="Q148" s="80">
        <f>IF(基础状态预期!I160="",0,IF(基础状态预期!AC160&lt;=1,基础状态预期!AC160*G$4,1*G$4+(基础状态预期!AC160-1)*武将觉醒!G$5))</f>
        <v>520000</v>
      </c>
      <c r="R148" s="80">
        <f>IF(基础状态预期!J160="",0,IF(基础状态预期!AD160&lt;=1,基础状态预期!AD160*H$4,1*H$4+(基础状态预期!AD160-1)*武将觉醒!H$5))</f>
        <v>2050000</v>
      </c>
      <c r="S148" s="80">
        <f>MAX(SUMPRODUCT(N148:R148,基础状态预期!F160:J160),S147)</f>
        <v>6180000</v>
      </c>
      <c r="T148" s="80">
        <f>IF(基础状态预期!Z160="",0,IFERROR(基础状态预期!F160*求节点($C$62:$C$63,D$62:D$63,基础状态预期!Z160),0)+IFERROR(基础状态预期!$J160*求节点($C$71:$C$72,D$71:D$72,基础状态预期!$AD160),0))</f>
        <v>0</v>
      </c>
      <c r="U148" s="80">
        <f>IF(基础状态预期!AA160="",0,IFERROR(基础状态预期!G160*求节点($C$62:$C$63,E$62:E$63,基础状态预期!AA160),0)+IFERROR(基础状态预期!$J160*求节点($C$71:$C$72,E$71:E$72,基础状态预期!$AD160),0))</f>
        <v>0</v>
      </c>
      <c r="V148" s="80">
        <f>IF(基础状态预期!AB160="",0,IFERROR(基础状态预期!H160*求节点($C$62:$C$63,F$62:F$63,基础状态预期!AB160),0)+IFERROR(基础状态预期!$J160*求节点($C$71:$C$72,F$71:F$72,基础状态预期!$AD160),0))</f>
        <v>0</v>
      </c>
      <c r="W148" s="80">
        <f>IF(基础状态预期!AC160="",0,IFERROR(基础状态预期!I160*求节点($C$62:$C$63,G$62:G$63,基础状态预期!AC160),0)+IFERROR(基础状态预期!$J160*求节点($C$71:$C$72,G$71:G$72,基础状态预期!$AD160),0))</f>
        <v>10</v>
      </c>
      <c r="X148" s="80">
        <f>IF(基础状态预期!AD160="",0,IFERROR(基础状态预期!J160*求节点($C$62:$C$63,H$62:H$63,基础状态预期!AD160),0)+IFERROR(基础状态预期!$J160*求节点($C$71:$C$72,H$71:H$72,基础状态预期!$AD160),0))</f>
        <v>0</v>
      </c>
      <c r="Y148" s="80">
        <f>IF(基础状态预期!$H160="",0,IF(基础状态预期!$AB160&lt;=1,基础状态预期!$AB160*D$18,D$18)*基础状态预期!$H160)+
IF(基础状态预期!$I160="",0,IF(基础状态预期!$AC160&lt;=1,基础状态预期!$AC160*D$19,D$19)*基础状态预期!$I160)+
IF(基础状态预期!$J160="",0,IF(基础状态预期!$AD160&lt;=1,基础状态预期!$AD160*D$20,D$20)*基础状态预期!$J160)</f>
        <v>40</v>
      </c>
      <c r="Z148" s="80">
        <f>IF(基础状态预期!$H160="",0,IF(基础状态预期!$AB160&lt;=1,基础状态预期!$AB160*E$18,E$18)*基础状态预期!$H160)+
IF(基础状态预期!$I160="",0,IF(基础状态预期!$AC160&lt;=1,基础状态预期!$AC160*E$19,E$19)*基础状态预期!$I160)+
IF(基础状态预期!$J160="",0,IF(基础状态预期!$AD160&lt;=1,基础状态预期!$AD160*E$20,E$20)*基础状态预期!$J160)</f>
        <v>0</v>
      </c>
      <c r="AA148" s="80">
        <f>IF(基础状态预期!$H160="",0,IF(基础状态预期!$AB160&lt;=1,基础状态预期!$AB160*F$18,F$18)*基础状态预期!$H160)+
IF(基础状态预期!$I160="",0,IF(基础状态预期!$AC160&lt;=1,基础状态预期!$AC160*F$19,F$19)*基础状态预期!$I160)+
IF(基础状态预期!$J160="",0,IF(基础状态预期!$AD160&lt;=1,基础状态预期!$AD160*F$20,F$20)*基础状态预期!$J160)</f>
        <v>0</v>
      </c>
      <c r="AB148" s="67">
        <f>IF(基础状态预期!$H160="",0,IF(基础状态预期!$AB160&lt;=1,0,(基础状态预期!$AB160-1)*G$26)*基础状态预期!$H160)+
IF(基础状态预期!$I160="",0,IF(基础状态预期!$AC160&lt;=1,0,(基础状态预期!$AC160-1)*G$27)*基础状态预期!$I160)+
IF(基础状态预期!$J160="",0,IF(基础状态预期!$AD160&lt;=1,0,(基础状态预期!$AD160-1)*G$28)*基础状态预期!$J160)</f>
        <v>200</v>
      </c>
      <c r="AC148" s="67">
        <f>IF(基础状态预期!$H160="",0,IF(基础状态预期!$AB160&lt;=1,0,(基础状态预期!$AB160-1)*H$26)*基础状态预期!$H160)+
IF(基础状态预期!$I160="",0,IF(基础状态预期!$AC160&lt;=1,0,(基础状态预期!$AC160-1)*H$27)*基础状态预期!$I160)+
IF(基础状态预期!$J160="",0,IF(基础状态预期!$AD160&lt;=1,0,(基础状态预期!$AD160-1)*H$28)*基础状态预期!$J160)</f>
        <v>0</v>
      </c>
      <c r="AD148" s="67">
        <f>IF(基础状态预期!$H160="",0,IF(基础状态预期!$AB160&lt;=1,0,(基础状态预期!$AB160-1)*I$26)*基础状态预期!$H160)+
IF(基础状态预期!$I160="",0,IF(基础状态预期!$AC160&lt;=1,0,(基础状态预期!$AC160-1)*I$27)*基础状态预期!$I160)+
IF(基础状态预期!$J160="",0,IF(基础状态预期!$AD160&lt;=1,0,(基础状态预期!$AD160-1)*I$28)*基础状态预期!$J160)</f>
        <v>0</v>
      </c>
      <c r="AE148" s="80">
        <f>IF(各r阵容卡情况!$H154=0,0,IF(各r阵容卡情况!$AB154&lt;=1,各r阵容卡情况!$AB154*D$18,1*D$18)*各r阵容卡情况!$H154)+
IF(各r阵容卡情况!$I154=0,0,IF(各r阵容卡情况!$AC154&lt;=1,各r阵容卡情况!$AC154*D$19,1*D$19)*各r阵容卡情况!$I154)+
IF(各r阵容卡情况!$J154=0,0,IF(各r阵容卡情况!$AD154&lt;=1,各r阵容卡情况!$AD154*D$20,1*D$20)*各r阵容卡情况!$J154)</f>
        <v>128</v>
      </c>
      <c r="AF148" s="80">
        <f>IF(各r阵容卡情况!$H154=0,0,IF(各r阵容卡情况!$AB154&lt;=1,各r阵容卡情况!$AB154*E$18,1*E$18)*各r阵容卡情况!$H154)+
IF(各r阵容卡情况!$I154=0,0,IF(各r阵容卡情况!$AC154&lt;=1,各r阵容卡情况!$AC154*E$19,1*E$19)*各r阵容卡情况!$I154)+
IF(各r阵容卡情况!$J154=0,0,IF(各r阵容卡情况!$AD154&lt;=1,各r阵容卡情况!$AD154*E$20,1*E$20)*各r阵容卡情况!$J154)</f>
        <v>0</v>
      </c>
      <c r="AG148" s="80">
        <f>IF(各r阵容卡情况!$H154=0,0,IF(各r阵容卡情况!$AB154&lt;=1,各r阵容卡情况!$AB154*F$18,1*F$18)*各r阵容卡情况!$H154)+
IF(各r阵容卡情况!$I154=0,0,IF(各r阵容卡情况!$AC154&lt;=1,各r阵容卡情况!$AC154*F$19,1*F$19)*各r阵容卡情况!$I154)+
IF(各r阵容卡情况!$J154=0,0,IF(各r阵容卡情况!$AD154&lt;=1,各r阵容卡情况!$AD154*F$20,1*F$20)*各r阵容卡情况!$J154)</f>
        <v>0</v>
      </c>
      <c r="AH148" s="67">
        <f>IF(各r阵容卡情况!$H154=0,0,IF(各r阵容卡情况!$AB154&lt;=1,0,(各r阵容卡情况!$AB154-1)*G$26)*各r阵容卡情况!$H154)+
IF(各r阵容卡情况!$I154=0,0,IF(各r阵容卡情况!$AC154&lt;=1,0,(各r阵容卡情况!$AC154-1)*G$27)*各r阵容卡情况!$I154)+
IF(各r阵容卡情况!$J154=0,0,IF(各r阵容卡情况!$AD154&lt;=1,0,(各r阵容卡情况!$AD154-1)*G$28)*各r阵容卡情况!$J154)</f>
        <v>640</v>
      </c>
      <c r="AI148" s="67">
        <f>IF(各r阵容卡情况!$H154=0,0,IF(各r阵容卡情况!$AB154&lt;=1,0,(各r阵容卡情况!$AB154-1)*H$26)*各r阵容卡情况!$H154)+
IF(各r阵容卡情况!$I154=0,0,IF(各r阵容卡情况!$AC154&lt;=1,0,(各r阵容卡情况!$AC154-1)*H$27)*各r阵容卡情况!$I154)+
IF(各r阵容卡情况!$J154=0,0,IF(各r阵容卡情况!$AD154&lt;=1,0,(各r阵容卡情况!$AD154-1)*H$28)*各r阵容卡情况!$J154)</f>
        <v>0</v>
      </c>
      <c r="AJ148" s="67">
        <f>IF(各r阵容卡情况!$H154=0,0,IF(各r阵容卡情况!$AB154&lt;=1,0,(各r阵容卡情况!$AB154-1)*I$26)*各r阵容卡情况!$H154)+
IF(各r阵容卡情况!$I154=0,0,IF(各r阵容卡情况!$AC154&lt;=1,0,(各r阵容卡情况!$AC154-1)*I$27)*各r阵容卡情况!$I154)+
IF(各r阵容卡情况!$J154=0,0,IF(各r阵容卡情况!$AD154&lt;=1,0,(各r阵容卡情况!$AD154-1)*I$28)*各r阵容卡情况!$J154)</f>
        <v>0</v>
      </c>
      <c r="AL148" s="80">
        <f t="shared" si="114"/>
        <v>50</v>
      </c>
      <c r="AM148" s="80">
        <f t="shared" si="115"/>
        <v>36.628234712532162</v>
      </c>
      <c r="AN148" s="80">
        <f t="shared" si="116"/>
        <v>0</v>
      </c>
      <c r="AO148" s="80">
        <f t="shared" si="117"/>
        <v>0</v>
      </c>
      <c r="AP148" s="80">
        <f t="shared" si="118"/>
        <v>183.14117356266084</v>
      </c>
      <c r="AQ148" s="80">
        <f t="shared" si="119"/>
        <v>0</v>
      </c>
      <c r="AR148" s="80">
        <f t="shared" si="120"/>
        <v>0</v>
      </c>
      <c r="AS148" s="80">
        <f t="shared" si="121"/>
        <v>107.14117356266082</v>
      </c>
      <c r="AT148" s="80">
        <f t="shared" si="122"/>
        <v>0</v>
      </c>
      <c r="AU148" s="80">
        <f t="shared" si="123"/>
        <v>0</v>
      </c>
      <c r="AV148" s="80">
        <f t="shared" si="124"/>
        <v>535.70586781330417</v>
      </c>
      <c r="AW148" s="80">
        <f t="shared" si="125"/>
        <v>0</v>
      </c>
      <c r="AX148" s="80">
        <f t="shared" si="126"/>
        <v>0</v>
      </c>
      <c r="AY148" s="61" t="e">
        <f>SUMPRODUCT(AM148:AR148/'[1]功能-行军令'!$GI$26:$GN$26+AS148:AX148/'[1]功能-行军令'!$GI$26:$GN$26)/0.18</f>
        <v>#DIV/0!</v>
      </c>
      <c r="BB148" s="80">
        <v>100</v>
      </c>
      <c r="BC148" s="80"/>
      <c r="BD148" s="80"/>
      <c r="BE148" s="80"/>
      <c r="BF148" s="80"/>
      <c r="BG148" s="80"/>
      <c r="BH148" s="80"/>
      <c r="BI148" s="80"/>
      <c r="BJ148" s="80"/>
      <c r="BK148" s="80">
        <f t="shared" si="127"/>
        <v>0</v>
      </c>
      <c r="BO148" s="80">
        <f t="shared" si="111"/>
        <v>64.399012521055653</v>
      </c>
      <c r="BP148" s="80">
        <f t="shared" si="112"/>
        <v>7710000</v>
      </c>
      <c r="BQ148" s="80">
        <f>(BP148-BP147)*INDEX('[1]功能-付费相关'!$AT$6:$AT$165,$BO148,1)+BQ147</f>
        <v>11271.94092740546</v>
      </c>
      <c r="BR148" s="80"/>
      <c r="BS148" s="80"/>
      <c r="BU148" s="80">
        <v>100</v>
      </c>
      <c r="BV148" s="80">
        <f t="shared" si="113"/>
        <v>16421.870715493144</v>
      </c>
      <c r="BW148" s="86">
        <f t="shared" si="129"/>
        <v>114432.36000000002</v>
      </c>
      <c r="BX148" s="80"/>
      <c r="BY148" s="80">
        <f t="shared" si="128"/>
        <v>130854.23071549316</v>
      </c>
    </row>
    <row r="149" spans="12:77" x14ac:dyDescent="0.15">
      <c r="L149" s="61">
        <v>13</v>
      </c>
      <c r="M149" s="80">
        <f>基础状态预期!D161</f>
        <v>64.399012521055653</v>
      </c>
      <c r="N149" s="80">
        <f>IF(基础状态预期!F161="",0,IF(基础状态预期!Z161&lt;=1,基础状态预期!Z161*D$4,1*D$4+(基础状态预期!Z161-1)*武将觉醒!D$5))</f>
        <v>0</v>
      </c>
      <c r="O149" s="80">
        <f>IF(基础状态预期!G161="",0,IF(基础状态预期!AA161&lt;=1,基础状态预期!AA161*E$4,1*E$4+(基础状态预期!AA161-1)*武将觉醒!E$5))</f>
        <v>0</v>
      </c>
      <c r="P149" s="80">
        <f>IF(基础状态预期!H161="",0,IF(基础状态预期!AB161&lt;=1,基础状态预期!AB161*F$4,1*F$4+(基础状态预期!AB161-1)*武将觉醒!F$5))</f>
        <v>0</v>
      </c>
      <c r="Q149" s="80">
        <f>IF(基础状态预期!I161="",0,IF(基础状态预期!AC161&lt;=1,基础状态预期!AC161*G$4,1*G$4+(基础状态预期!AC161-1)*武将觉醒!G$5))</f>
        <v>520000</v>
      </c>
      <c r="R149" s="80">
        <f>IF(基础状态预期!J161="",0,IF(基础状态预期!AD161&lt;=1,基础状态预期!AD161*H$4,1*H$4+(基础状态预期!AD161-1)*武将觉醒!H$5))</f>
        <v>2050000</v>
      </c>
      <c r="S149" s="80">
        <f>MAX(SUMPRODUCT(N149:R149,基础状态预期!F161:J161),S148)</f>
        <v>7710000</v>
      </c>
      <c r="T149" s="80">
        <f>IF(基础状态预期!Z161="",0,IFERROR(基础状态预期!F161*求节点($C$62:$C$63,D$62:D$63,基础状态预期!Z161),0)+IFERROR(基础状态预期!$J161*求节点($C$71:$C$72,D$71:D$72,基础状态预期!$AD161),0))</f>
        <v>0</v>
      </c>
      <c r="U149" s="80">
        <f>IF(基础状态预期!AA161="",0,IFERROR(基础状态预期!G161*求节点($C$62:$C$63,E$62:E$63,基础状态预期!AA161),0)+IFERROR(基础状态预期!$J161*求节点($C$71:$C$72,E$71:E$72,基础状态预期!$AD161),0))</f>
        <v>0</v>
      </c>
      <c r="V149" s="80">
        <f>IF(基础状态预期!AB161="",0,IFERROR(基础状态预期!H161*求节点($C$62:$C$63,F$62:F$63,基础状态预期!AB161),0)+IFERROR(基础状态预期!$J161*求节点($C$71:$C$72,F$71:F$72,基础状态预期!$AD161),0))</f>
        <v>0</v>
      </c>
      <c r="W149" s="80">
        <f>IF(基础状态预期!AC161="",0,IFERROR(基础状态预期!I161*求节点($C$62:$C$63,G$62:G$63,基础状态预期!AC161),0)+IFERROR(基础状态预期!$J161*求节点($C$71:$C$72,G$71:G$72,基础状态预期!$AD161),0))</f>
        <v>12</v>
      </c>
      <c r="X149" s="80">
        <f>IF(基础状态预期!AD161="",0,IFERROR(基础状态预期!J161*求节点($C$62:$C$63,H$62:H$63,基础状态预期!AD161),0)+IFERROR(基础状态预期!$J161*求节点($C$71:$C$72,H$71:H$72,基础状态预期!$AD161),0))</f>
        <v>0</v>
      </c>
      <c r="Y149" s="80">
        <f>IF(基础状态预期!$H161="",0,IF(基础状态预期!$AB161&lt;=1,基础状态预期!$AB161*D$18,D$18)*基础状态预期!$H161)+
IF(基础状态预期!$I161="",0,IF(基础状态预期!$AC161&lt;=1,基础状态预期!$AC161*D$19,D$19)*基础状态预期!$I161)+
IF(基础状态预期!$J161="",0,IF(基础状态预期!$AD161&lt;=1,基础状态预期!$AD161*D$20,D$20)*基础状态预期!$J161)</f>
        <v>42</v>
      </c>
      <c r="Z149" s="80">
        <f>IF(基础状态预期!$H161="",0,IF(基础状态预期!$AB161&lt;=1,基础状态预期!$AB161*E$18,E$18)*基础状态预期!$H161)+
IF(基础状态预期!$I161="",0,IF(基础状态预期!$AC161&lt;=1,基础状态预期!$AC161*E$19,E$19)*基础状态预期!$I161)+
IF(基础状态预期!$J161="",0,IF(基础状态预期!$AD161&lt;=1,基础状态预期!$AD161*E$20,E$20)*基础状态预期!$J161)</f>
        <v>0</v>
      </c>
      <c r="AA149" s="80">
        <f>IF(基础状态预期!$H161="",0,IF(基础状态预期!$AB161&lt;=1,基础状态预期!$AB161*F$18,F$18)*基础状态预期!$H161)+
IF(基础状态预期!$I161="",0,IF(基础状态预期!$AC161&lt;=1,基础状态预期!$AC161*F$19,F$19)*基础状态预期!$I161)+
IF(基础状态预期!$J161="",0,IF(基础状态预期!$AD161&lt;=1,基础状态预期!$AD161*F$20,F$20)*基础状态预期!$J161)</f>
        <v>0</v>
      </c>
      <c r="AB149" s="67">
        <f>IF(基础状态预期!$H161="",0,IF(基础状态预期!$AB161&lt;=1,0,(基础状态预期!$AB161-1)*G$26)*基础状态预期!$H161)+
IF(基础状态预期!$I161="",0,IF(基础状态预期!$AC161&lt;=1,0,(基础状态预期!$AC161-1)*G$27)*基础状态预期!$I161)+
IF(基础状态预期!$J161="",0,IF(基础状态预期!$AD161&lt;=1,0,(基础状态预期!$AD161-1)*G$28)*基础状态预期!$J161)</f>
        <v>210</v>
      </c>
      <c r="AC149" s="67">
        <f>IF(基础状态预期!$H161="",0,IF(基础状态预期!$AB161&lt;=1,0,(基础状态预期!$AB161-1)*H$26)*基础状态预期!$H161)+
IF(基础状态预期!$I161="",0,IF(基础状态预期!$AC161&lt;=1,0,(基础状态预期!$AC161-1)*H$27)*基础状态预期!$I161)+
IF(基础状态预期!$J161="",0,IF(基础状态预期!$AD161&lt;=1,0,(基础状态预期!$AD161-1)*H$28)*基础状态预期!$J161)</f>
        <v>0</v>
      </c>
      <c r="AD149" s="67">
        <f>IF(基础状态预期!$H161="",0,IF(基础状态预期!$AB161&lt;=1,0,(基础状态预期!$AB161-1)*I$26)*基础状态预期!$H161)+
IF(基础状态预期!$I161="",0,IF(基础状态预期!$AC161&lt;=1,0,(基础状态预期!$AC161-1)*I$27)*基础状态预期!$I161)+
IF(基础状态预期!$J161="",0,IF(基础状态预期!$AD161&lt;=1,0,(基础状态预期!$AD161-1)*I$28)*基础状态预期!$J161)</f>
        <v>0</v>
      </c>
      <c r="AE149" s="80">
        <f>IF(各r阵容卡情况!$H155=0,0,IF(各r阵容卡情况!$AB155&lt;=1,各r阵容卡情况!$AB155*D$18,1*D$18)*各r阵容卡情况!$H155)+
IF(各r阵容卡情况!$I155=0,0,IF(各r阵容卡情况!$AC155&lt;=1,各r阵容卡情况!$AC155*D$19,1*D$19)*各r阵容卡情况!$I155)+
IF(各r阵容卡情况!$J155=0,0,IF(各r阵容卡情况!$AD155&lt;=1,各r阵容卡情况!$AD155*D$20,1*D$20)*各r阵容卡情况!$J155)</f>
        <v>136</v>
      </c>
      <c r="AF149" s="80">
        <f>IF(各r阵容卡情况!$H155=0,0,IF(各r阵容卡情况!$AB155&lt;=1,各r阵容卡情况!$AB155*E$18,1*E$18)*各r阵容卡情况!$H155)+
IF(各r阵容卡情况!$I155=0,0,IF(各r阵容卡情况!$AC155&lt;=1,各r阵容卡情况!$AC155*E$19,1*E$19)*各r阵容卡情况!$I155)+
IF(各r阵容卡情况!$J155=0,0,IF(各r阵容卡情况!$AD155&lt;=1,各r阵容卡情况!$AD155*E$20,1*E$20)*各r阵容卡情况!$J155)</f>
        <v>0</v>
      </c>
      <c r="AG149" s="80">
        <f>IF(各r阵容卡情况!$H155=0,0,IF(各r阵容卡情况!$AB155&lt;=1,各r阵容卡情况!$AB155*F$18,1*F$18)*各r阵容卡情况!$H155)+
IF(各r阵容卡情况!$I155=0,0,IF(各r阵容卡情况!$AC155&lt;=1,各r阵容卡情况!$AC155*F$19,1*F$19)*各r阵容卡情况!$I155)+
IF(各r阵容卡情况!$J155=0,0,IF(各r阵容卡情况!$AD155&lt;=1,各r阵容卡情况!$AD155*F$20,1*F$20)*各r阵容卡情况!$J155)</f>
        <v>0</v>
      </c>
      <c r="AH149" s="67">
        <f>IF(各r阵容卡情况!$H155=0,0,IF(各r阵容卡情况!$AB155&lt;=1,0,(各r阵容卡情况!$AB155-1)*G$26)*各r阵容卡情况!$H155)+
IF(各r阵容卡情况!$I155=0,0,IF(各r阵容卡情况!$AC155&lt;=1,0,(各r阵容卡情况!$AC155-1)*G$27)*各r阵容卡情况!$I155)+
IF(各r阵容卡情况!$J155=0,0,IF(各r阵容卡情况!$AD155&lt;=1,0,(各r阵容卡情况!$AD155-1)*G$28)*各r阵容卡情况!$J155)</f>
        <v>680</v>
      </c>
      <c r="AI149" s="67">
        <f>IF(各r阵容卡情况!$H155=0,0,IF(各r阵容卡情况!$AB155&lt;=1,0,(各r阵容卡情况!$AB155-1)*H$26)*各r阵容卡情况!$H155)+
IF(各r阵容卡情况!$I155=0,0,IF(各r阵容卡情况!$AC155&lt;=1,0,(各r阵容卡情况!$AC155-1)*H$27)*各r阵容卡情况!$I155)+
IF(各r阵容卡情况!$J155=0,0,IF(各r阵容卡情况!$AD155&lt;=1,0,(各r阵容卡情况!$AD155-1)*H$28)*各r阵容卡情况!$J155)</f>
        <v>0</v>
      </c>
      <c r="AJ149" s="67">
        <f>IF(各r阵容卡情况!$H155=0,0,IF(各r阵容卡情况!$AB155&lt;=1,0,(各r阵容卡情况!$AB155-1)*I$26)*各r阵容卡情况!$H155)+
IF(各r阵容卡情况!$I155=0,0,IF(各r阵容卡情况!$AC155&lt;=1,0,(各r阵容卡情况!$AC155-1)*I$27)*各r阵容卡情况!$I155)+
IF(各r阵容卡情况!$J155=0,0,IF(各r阵容卡情况!$AD155&lt;=1,0,(各r阵容卡情况!$AD155-1)*I$28)*各r阵容卡情况!$J155)</f>
        <v>0</v>
      </c>
      <c r="AL149" s="80">
        <f t="shared" si="114"/>
        <v>55</v>
      </c>
      <c r="AM149" s="80">
        <f t="shared" si="115"/>
        <v>38.751927004609769</v>
      </c>
      <c r="AN149" s="80">
        <f t="shared" si="116"/>
        <v>0</v>
      </c>
      <c r="AO149" s="80">
        <f t="shared" si="117"/>
        <v>0</v>
      </c>
      <c r="AP149" s="80">
        <f t="shared" si="118"/>
        <v>193.75963502304884</v>
      </c>
      <c r="AQ149" s="80">
        <f t="shared" si="119"/>
        <v>0</v>
      </c>
      <c r="AR149" s="80">
        <f t="shared" si="120"/>
        <v>0</v>
      </c>
      <c r="AS149" s="80">
        <f t="shared" si="121"/>
        <v>119.2634890322684</v>
      </c>
      <c r="AT149" s="80">
        <f t="shared" si="122"/>
        <v>0</v>
      </c>
      <c r="AU149" s="80">
        <f t="shared" si="123"/>
        <v>0</v>
      </c>
      <c r="AV149" s="80">
        <f t="shared" si="124"/>
        <v>596.31744516134199</v>
      </c>
      <c r="AW149" s="80">
        <f t="shared" si="125"/>
        <v>0</v>
      </c>
      <c r="AX149" s="80">
        <f t="shared" si="126"/>
        <v>0</v>
      </c>
      <c r="AY149" s="61" t="e">
        <f>SUMPRODUCT(AM149:AR149/'[1]功能-行军令'!$GI$26:$GN$26+AS149:AX149/'[1]功能-行军令'!$GI$26:$GN$26)/0.18</f>
        <v>#DIV/0!</v>
      </c>
      <c r="BB149" s="80">
        <v>110</v>
      </c>
      <c r="BC149" s="80"/>
      <c r="BD149" s="80"/>
      <c r="BE149" s="80"/>
      <c r="BF149" s="80"/>
      <c r="BG149" s="80"/>
      <c r="BH149" s="80"/>
      <c r="BI149" s="80"/>
      <c r="BJ149" s="80"/>
      <c r="BK149" s="80">
        <f t="shared" ref="BK149:BK154" si="130">SUM(BG149:BJ149)</f>
        <v>0</v>
      </c>
      <c r="BO149" s="80">
        <f t="shared" si="111"/>
        <v>68.627579426319684</v>
      </c>
      <c r="BP149" s="80">
        <f t="shared" si="112"/>
        <v>9240000</v>
      </c>
      <c r="BQ149" s="80">
        <f>(BP149-BP148)*INDEX('[1]功能-付费相关'!$AT$6:$AT$165,$BO149,1)+BQ148</f>
        <v>13042.774260738794</v>
      </c>
      <c r="BR149" s="80"/>
      <c r="BS149" s="80"/>
      <c r="BU149" s="80">
        <v>110</v>
      </c>
      <c r="BV149" s="80">
        <f t="shared" si="113"/>
        <v>16421.870715493144</v>
      </c>
      <c r="BW149" s="86">
        <f t="shared" si="129"/>
        <v>114432.36000000002</v>
      </c>
      <c r="BX149" s="80"/>
      <c r="BY149" s="80">
        <f t="shared" ref="BY149:BY154" si="131">SUM(BV149:BX149)</f>
        <v>130854.23071549316</v>
      </c>
    </row>
    <row r="150" spans="12:77" x14ac:dyDescent="0.15">
      <c r="L150" s="61">
        <v>14</v>
      </c>
      <c r="M150" s="80">
        <f>基础状态预期!D162</f>
        <v>68.627579426319684</v>
      </c>
      <c r="N150" s="80">
        <f>IF(基础状态预期!F162="",0,IF(基础状态预期!Z162&lt;=1,基础状态预期!Z162*D$4,1*D$4+(基础状态预期!Z162-1)*武将觉醒!D$5))</f>
        <v>0</v>
      </c>
      <c r="O150" s="80">
        <f>IF(基础状态预期!G162="",0,IF(基础状态预期!AA162&lt;=1,基础状态预期!AA162*E$4,1*E$4+(基础状态预期!AA162-1)*武将觉醒!E$5))</f>
        <v>0</v>
      </c>
      <c r="P150" s="80">
        <f>IF(基础状态预期!H162="",0,IF(基础状态预期!AB162&lt;=1,基础状态预期!AB162*F$4,1*F$4+(基础状态预期!AB162-1)*武将觉醒!F$5))</f>
        <v>0</v>
      </c>
      <c r="Q150" s="80">
        <f>IF(基础状态预期!I162="",0,IF(基础状态预期!AC162&lt;=1,基础状态预期!AC162*G$4,1*G$4+(基础状态预期!AC162-1)*武将觉醒!G$5))</f>
        <v>520000</v>
      </c>
      <c r="R150" s="80">
        <f>IF(基础状态预期!J162="",0,IF(基础状态预期!AD162&lt;=1,基础状态预期!AD162*H$4,1*H$4+(基础状态预期!AD162-1)*武将觉醒!H$5))</f>
        <v>2050000</v>
      </c>
      <c r="S150" s="80">
        <f>MAX(SUMPRODUCT(N150:R150,基础状态预期!F162:J162),S149)</f>
        <v>9240000</v>
      </c>
      <c r="T150" s="80">
        <f>IF(基础状态预期!Z162="",0,IFERROR(基础状态预期!F162*求节点($C$62:$C$63,D$62:D$63,基础状态预期!Z162),0)+IFERROR(基础状态预期!$J162*求节点($C$71:$C$72,D$71:D$72,基础状态预期!$AD162),0))</f>
        <v>0</v>
      </c>
      <c r="U150" s="80">
        <f>IF(基础状态预期!AA162="",0,IFERROR(基础状态预期!G162*求节点($C$62:$C$63,E$62:E$63,基础状态预期!AA162),0)+IFERROR(基础状态预期!$J162*求节点($C$71:$C$72,E$71:E$72,基础状态预期!$AD162),0))</f>
        <v>0</v>
      </c>
      <c r="V150" s="80">
        <f>IF(基础状态预期!AB162="",0,IFERROR(基础状态预期!H162*求节点($C$62:$C$63,F$62:F$63,基础状态预期!AB162),0)+IFERROR(基础状态预期!$J162*求节点($C$71:$C$72,F$71:F$72,基础状态预期!$AD162),0))</f>
        <v>0</v>
      </c>
      <c r="W150" s="80">
        <f>IF(基础状态预期!AC162="",0,IFERROR(基础状态预期!I162*求节点($C$62:$C$63,G$62:G$63,基础状态预期!AC162),0)+IFERROR(基础状态预期!$J162*求节点($C$71:$C$72,G$71:G$72,基础状态预期!$AD162),0))</f>
        <v>14</v>
      </c>
      <c r="X150" s="80">
        <f>IF(基础状态预期!AD162="",0,IFERROR(基础状态预期!J162*求节点($C$62:$C$63,H$62:H$63,基础状态预期!AD162),0)+IFERROR(基础状态预期!$J162*求节点($C$71:$C$72,H$71:H$72,基础状态预期!$AD162),0))</f>
        <v>0</v>
      </c>
      <c r="Y150" s="80">
        <f>IF(基础状态预期!$H162="",0,IF(基础状态预期!$AB162&lt;=1,基础状态预期!$AB162*D$18,D$18)*基础状态预期!$H162)+
IF(基础状态预期!$I162="",0,IF(基础状态预期!$AC162&lt;=1,基础状态预期!$AC162*D$19,D$19)*基础状态预期!$I162)+
IF(基础状态预期!$J162="",0,IF(基础状态预期!$AD162&lt;=1,基础状态预期!$AD162*D$20,D$20)*基础状态预期!$J162)</f>
        <v>44</v>
      </c>
      <c r="Z150" s="80">
        <f>IF(基础状态预期!$H162="",0,IF(基础状态预期!$AB162&lt;=1,基础状态预期!$AB162*E$18,E$18)*基础状态预期!$H162)+
IF(基础状态预期!$I162="",0,IF(基础状态预期!$AC162&lt;=1,基础状态预期!$AC162*E$19,E$19)*基础状态预期!$I162)+
IF(基础状态预期!$J162="",0,IF(基础状态预期!$AD162&lt;=1,基础状态预期!$AD162*E$20,E$20)*基础状态预期!$J162)</f>
        <v>0</v>
      </c>
      <c r="AA150" s="80">
        <f>IF(基础状态预期!$H162="",0,IF(基础状态预期!$AB162&lt;=1,基础状态预期!$AB162*F$18,F$18)*基础状态预期!$H162)+
IF(基础状态预期!$I162="",0,IF(基础状态预期!$AC162&lt;=1,基础状态预期!$AC162*F$19,F$19)*基础状态预期!$I162)+
IF(基础状态预期!$J162="",0,IF(基础状态预期!$AD162&lt;=1,基础状态预期!$AD162*F$20,F$20)*基础状态预期!$J162)</f>
        <v>0</v>
      </c>
      <c r="AB150" s="67">
        <f>IF(基础状态预期!$H162="",0,IF(基础状态预期!$AB162&lt;=1,0,(基础状态预期!$AB162-1)*G$26)*基础状态预期!$H162)+
IF(基础状态预期!$I162="",0,IF(基础状态预期!$AC162&lt;=1,0,(基础状态预期!$AC162-1)*G$27)*基础状态预期!$I162)+
IF(基础状态预期!$J162="",0,IF(基础状态预期!$AD162&lt;=1,0,(基础状态预期!$AD162-1)*G$28)*基础状态预期!$J162)</f>
        <v>220</v>
      </c>
      <c r="AC150" s="67">
        <f>IF(基础状态预期!$H162="",0,IF(基础状态预期!$AB162&lt;=1,0,(基础状态预期!$AB162-1)*H$26)*基础状态预期!$H162)+
IF(基础状态预期!$I162="",0,IF(基础状态预期!$AC162&lt;=1,0,(基础状态预期!$AC162-1)*H$27)*基础状态预期!$I162)+
IF(基础状态预期!$J162="",0,IF(基础状态预期!$AD162&lt;=1,0,(基础状态预期!$AD162-1)*H$28)*基础状态预期!$J162)</f>
        <v>0</v>
      </c>
      <c r="AD150" s="67">
        <f>IF(基础状态预期!$H162="",0,IF(基础状态预期!$AB162&lt;=1,0,(基础状态预期!$AB162-1)*I$26)*基础状态预期!$H162)+
IF(基础状态预期!$I162="",0,IF(基础状态预期!$AC162&lt;=1,0,(基础状态预期!$AC162-1)*I$27)*基础状态预期!$I162)+
IF(基础状态预期!$J162="",0,IF(基础状态预期!$AD162&lt;=1,0,(基础状态预期!$AD162-1)*I$28)*基础状态预期!$J162)</f>
        <v>0</v>
      </c>
      <c r="AE150" s="80">
        <f>IF(各r阵容卡情况!$H156=0,0,IF(各r阵容卡情况!$AB156&lt;=1,各r阵容卡情况!$AB156*D$18,1*D$18)*各r阵容卡情况!$H156)+
IF(各r阵容卡情况!$I156=0,0,IF(各r阵容卡情况!$AC156&lt;=1,各r阵容卡情况!$AC156*D$19,1*D$19)*各r阵容卡情况!$I156)+
IF(各r阵容卡情况!$J156=0,0,IF(各r阵容卡情况!$AD156&lt;=1,各r阵容卡情况!$AD156*D$20,1*D$20)*各r阵容卡情况!$J156)</f>
        <v>136</v>
      </c>
      <c r="AF150" s="80">
        <f>IF(各r阵容卡情况!$H156=0,0,IF(各r阵容卡情况!$AB156&lt;=1,各r阵容卡情况!$AB156*E$18,1*E$18)*各r阵容卡情况!$H156)+
IF(各r阵容卡情况!$I156=0,0,IF(各r阵容卡情况!$AC156&lt;=1,各r阵容卡情况!$AC156*E$19,1*E$19)*各r阵容卡情况!$I156)+
IF(各r阵容卡情况!$J156=0,0,IF(各r阵容卡情况!$AD156&lt;=1,各r阵容卡情况!$AD156*E$20,1*E$20)*各r阵容卡情况!$J156)</f>
        <v>0</v>
      </c>
      <c r="AG150" s="80">
        <f>IF(各r阵容卡情况!$H156=0,0,IF(各r阵容卡情况!$AB156&lt;=1,各r阵容卡情况!$AB156*F$18,1*F$18)*各r阵容卡情况!$H156)+
IF(各r阵容卡情况!$I156=0,0,IF(各r阵容卡情况!$AC156&lt;=1,各r阵容卡情况!$AC156*F$19,1*F$19)*各r阵容卡情况!$I156)+
IF(各r阵容卡情况!$J156=0,0,IF(各r阵容卡情况!$AD156&lt;=1,各r阵容卡情况!$AD156*F$20,1*F$20)*各r阵容卡情况!$J156)</f>
        <v>0</v>
      </c>
      <c r="AH150" s="67">
        <f>IF(各r阵容卡情况!$H156=0,0,IF(各r阵容卡情况!$AB156&lt;=1,0,(各r阵容卡情况!$AB156-1)*G$26)*各r阵容卡情况!$H156)+
IF(各r阵容卡情况!$I156=0,0,IF(各r阵容卡情况!$AC156&lt;=1,0,(各r阵容卡情况!$AC156-1)*G$27)*各r阵容卡情况!$I156)+
IF(各r阵容卡情况!$J156=0,0,IF(各r阵容卡情况!$AD156&lt;=1,0,(各r阵容卡情况!$AD156-1)*G$28)*各r阵容卡情况!$J156)</f>
        <v>680</v>
      </c>
      <c r="AI150" s="67">
        <f>IF(各r阵容卡情况!$H156=0,0,IF(各r阵容卡情况!$AB156&lt;=1,0,(各r阵容卡情况!$AB156-1)*H$26)*各r阵容卡情况!$H156)+
IF(各r阵容卡情况!$I156=0,0,IF(各r阵容卡情况!$AC156&lt;=1,0,(各r阵容卡情况!$AC156-1)*H$27)*各r阵容卡情况!$I156)+
IF(各r阵容卡情况!$J156=0,0,IF(各r阵容卡情况!$AD156&lt;=1,0,(各r阵容卡情况!$AD156-1)*H$28)*各r阵容卡情况!$J156)</f>
        <v>0</v>
      </c>
      <c r="AJ150" s="67">
        <f>IF(各r阵容卡情况!$H156=0,0,IF(各r阵容卡情况!$AB156&lt;=1,0,(各r阵容卡情况!$AB156-1)*I$26)*各r阵容卡情况!$H156)+
IF(各r阵容卡情况!$I156=0,0,IF(各r阵容卡情况!$AC156&lt;=1,0,(各r阵容卡情况!$AC156-1)*I$27)*各r阵容卡情况!$I156)+
IF(各r阵容卡情况!$J156=0,0,IF(各r阵容卡情况!$AD156&lt;=1,0,(各r阵容卡情况!$AD156-1)*I$28)*各r阵容卡情况!$J156)</f>
        <v>0</v>
      </c>
      <c r="AL150" s="80">
        <f t="shared" si="114"/>
        <v>60</v>
      </c>
      <c r="AM150" s="80">
        <f t="shared" si="115"/>
        <v>40.455827379051499</v>
      </c>
      <c r="AN150" s="80">
        <f t="shared" si="116"/>
        <v>0</v>
      </c>
      <c r="AO150" s="80">
        <f t="shared" si="117"/>
        <v>0</v>
      </c>
      <c r="AP150" s="80">
        <f t="shared" si="118"/>
        <v>202.27913689525749</v>
      </c>
      <c r="AQ150" s="80">
        <f t="shared" si="119"/>
        <v>0</v>
      </c>
      <c r="AR150" s="80">
        <f t="shared" si="120"/>
        <v>0</v>
      </c>
      <c r="AS150" s="80">
        <f t="shared" si="121"/>
        <v>129.823309516206</v>
      </c>
      <c r="AT150" s="80">
        <f t="shared" si="122"/>
        <v>0</v>
      </c>
      <c r="AU150" s="80">
        <f t="shared" si="123"/>
        <v>0</v>
      </c>
      <c r="AV150" s="80">
        <f t="shared" si="124"/>
        <v>649.11654758102998</v>
      </c>
      <c r="AW150" s="80">
        <f t="shared" si="125"/>
        <v>0</v>
      </c>
      <c r="AX150" s="80">
        <f t="shared" si="126"/>
        <v>0</v>
      </c>
      <c r="AY150" s="61" t="e">
        <f>SUMPRODUCT(AM150:AR150/'[1]功能-行军令'!$GI$26:$GN$26+AS150:AX150/'[1]功能-行军令'!$GI$26:$GN$26)/0.18</f>
        <v>#DIV/0!</v>
      </c>
      <c r="BB150" s="80">
        <v>120</v>
      </c>
      <c r="BC150" s="80"/>
      <c r="BD150" s="80"/>
      <c r="BE150" s="80"/>
      <c r="BF150" s="80"/>
      <c r="BG150" s="80"/>
      <c r="BH150" s="80"/>
      <c r="BI150" s="80"/>
      <c r="BJ150" s="80"/>
      <c r="BK150" s="80">
        <f t="shared" si="130"/>
        <v>0</v>
      </c>
      <c r="BO150" s="80">
        <f t="shared" si="111"/>
        <v>71.882008108111634</v>
      </c>
      <c r="BP150" s="80">
        <f t="shared" si="112"/>
        <v>10770000</v>
      </c>
      <c r="BQ150" s="80">
        <f>(BP150-BP149)*INDEX('[1]功能-付费相关'!$AT$6:$AT$165,$BO150,1)+BQ149</f>
        <v>14765.747233711767</v>
      </c>
      <c r="BR150" s="80"/>
      <c r="BS150" s="80"/>
      <c r="BU150" s="80">
        <v>120</v>
      </c>
      <c r="BV150" s="80">
        <f t="shared" si="113"/>
        <v>16421.870715493144</v>
      </c>
      <c r="BW150" s="86">
        <f t="shared" si="129"/>
        <v>114432.36000000002</v>
      </c>
      <c r="BX150" s="80"/>
      <c r="BY150" s="80">
        <f t="shared" si="131"/>
        <v>130854.23071549316</v>
      </c>
    </row>
    <row r="151" spans="12:77" x14ac:dyDescent="0.15">
      <c r="L151" s="61">
        <v>15</v>
      </c>
      <c r="M151" s="80">
        <f>基础状态预期!D163</f>
        <v>71.882008108111634</v>
      </c>
      <c r="N151" s="80">
        <f>IF(基础状态预期!F163="",0,IF(基础状态预期!Z163&lt;=1,基础状态预期!Z163*D$4,1*D$4+(基础状态预期!Z163-1)*武将觉醒!D$5))</f>
        <v>0</v>
      </c>
      <c r="O151" s="80">
        <f>IF(基础状态预期!G163="",0,IF(基础状态预期!AA163&lt;=1,基础状态预期!AA163*E$4,1*E$4+(基础状态预期!AA163-1)*武将觉醒!E$5))</f>
        <v>0</v>
      </c>
      <c r="P151" s="80">
        <f>IF(基础状态预期!H163="",0,IF(基础状态预期!AB163&lt;=1,基础状态预期!AB163*F$4,1*F$4+(基础状态预期!AB163-1)*武将觉醒!F$5))</f>
        <v>0</v>
      </c>
      <c r="Q151" s="80">
        <f>IF(基础状态预期!I163="",0,IF(基础状态预期!AC163&lt;=1,基础状态预期!AC163*G$4,1*G$4+(基础状态预期!AC163-1)*武将觉醒!G$5))</f>
        <v>520000</v>
      </c>
      <c r="R151" s="80">
        <f>IF(基础状态预期!J163="",0,IF(基础状态预期!AD163&lt;=1,基础状态预期!AD163*H$4,1*H$4+(基础状态预期!AD163-1)*武将觉醒!H$5))</f>
        <v>2050000</v>
      </c>
      <c r="S151" s="80">
        <f>MAX(SUMPRODUCT(N151:R151,基础状态预期!F163:J163),S150)</f>
        <v>10770000</v>
      </c>
      <c r="T151" s="80">
        <f>IF(基础状态预期!Z163="",0,IFERROR(基础状态预期!F163*求节点($C$62:$C$63,D$62:D$63,基础状态预期!Z163),0)+IFERROR(基础状态预期!$J163*求节点($C$71:$C$72,D$71:D$72,基础状态预期!$AD163),0))</f>
        <v>0</v>
      </c>
      <c r="U151" s="80">
        <f>IF(基础状态预期!AA163="",0,IFERROR(基础状态预期!G163*求节点($C$62:$C$63,E$62:E$63,基础状态预期!AA163),0)+IFERROR(基础状态预期!$J163*求节点($C$71:$C$72,E$71:E$72,基础状态预期!$AD163),0))</f>
        <v>0</v>
      </c>
      <c r="V151" s="80">
        <f>IF(基础状态预期!AB163="",0,IFERROR(基础状态预期!H163*求节点($C$62:$C$63,F$62:F$63,基础状态预期!AB163),0)+IFERROR(基础状态预期!$J163*求节点($C$71:$C$72,F$71:F$72,基础状态预期!$AD163),0))</f>
        <v>0</v>
      </c>
      <c r="W151" s="80">
        <f>IF(基础状态预期!AC163="",0,IFERROR(基础状态预期!I163*求节点($C$62:$C$63,G$62:G$63,基础状态预期!AC163),0)+IFERROR(基础状态预期!$J163*求节点($C$71:$C$72,G$71:G$72,基础状态预期!$AD163),0))</f>
        <v>16</v>
      </c>
      <c r="X151" s="80">
        <f>IF(基础状态预期!AD163="",0,IFERROR(基础状态预期!J163*求节点($C$62:$C$63,H$62:H$63,基础状态预期!AD163),0)+IFERROR(基础状态预期!$J163*求节点($C$71:$C$72,H$71:H$72,基础状态预期!$AD163),0))</f>
        <v>0</v>
      </c>
      <c r="Y151" s="80">
        <f>IF(基础状态预期!$H163="",0,IF(基础状态预期!$AB163&lt;=1,基础状态预期!$AB163*D$18,D$18)*基础状态预期!$H163)+
IF(基础状态预期!$I163="",0,IF(基础状态预期!$AC163&lt;=1,基础状态预期!$AC163*D$19,D$19)*基础状态预期!$I163)+
IF(基础状态预期!$J163="",0,IF(基础状态预期!$AD163&lt;=1,基础状态预期!$AD163*D$20,D$20)*基础状态预期!$J163)</f>
        <v>46</v>
      </c>
      <c r="Z151" s="80">
        <f>IF(基础状态预期!$H163="",0,IF(基础状态预期!$AB163&lt;=1,基础状态预期!$AB163*E$18,E$18)*基础状态预期!$H163)+
IF(基础状态预期!$I163="",0,IF(基础状态预期!$AC163&lt;=1,基础状态预期!$AC163*E$19,E$19)*基础状态预期!$I163)+
IF(基础状态预期!$J163="",0,IF(基础状态预期!$AD163&lt;=1,基础状态预期!$AD163*E$20,E$20)*基础状态预期!$J163)</f>
        <v>0</v>
      </c>
      <c r="AA151" s="80">
        <f>IF(基础状态预期!$H163="",0,IF(基础状态预期!$AB163&lt;=1,基础状态预期!$AB163*F$18,F$18)*基础状态预期!$H163)+
IF(基础状态预期!$I163="",0,IF(基础状态预期!$AC163&lt;=1,基础状态预期!$AC163*F$19,F$19)*基础状态预期!$I163)+
IF(基础状态预期!$J163="",0,IF(基础状态预期!$AD163&lt;=1,基础状态预期!$AD163*F$20,F$20)*基础状态预期!$J163)</f>
        <v>0</v>
      </c>
      <c r="AB151" s="67">
        <f>IF(基础状态预期!$H163="",0,IF(基础状态预期!$AB163&lt;=1,0,(基础状态预期!$AB163-1)*G$26)*基础状态预期!$H163)+
IF(基础状态预期!$I163="",0,IF(基础状态预期!$AC163&lt;=1,0,(基础状态预期!$AC163-1)*G$27)*基础状态预期!$I163)+
IF(基础状态预期!$J163="",0,IF(基础状态预期!$AD163&lt;=1,0,(基础状态预期!$AD163-1)*G$28)*基础状态预期!$J163)</f>
        <v>230</v>
      </c>
      <c r="AC151" s="67">
        <f>IF(基础状态预期!$H163="",0,IF(基础状态预期!$AB163&lt;=1,0,(基础状态预期!$AB163-1)*H$26)*基础状态预期!$H163)+
IF(基础状态预期!$I163="",0,IF(基础状态预期!$AC163&lt;=1,0,(基础状态预期!$AC163-1)*H$27)*基础状态预期!$I163)+
IF(基础状态预期!$J163="",0,IF(基础状态预期!$AD163&lt;=1,0,(基础状态预期!$AD163-1)*H$28)*基础状态预期!$J163)</f>
        <v>0</v>
      </c>
      <c r="AD151" s="67">
        <f>IF(基础状态预期!$H163="",0,IF(基础状态预期!$AB163&lt;=1,0,(基础状态预期!$AB163-1)*I$26)*基础状态预期!$H163)+
IF(基础状态预期!$I163="",0,IF(基础状态预期!$AC163&lt;=1,0,(基础状态预期!$AC163-1)*I$27)*基础状态预期!$I163)+
IF(基础状态预期!$J163="",0,IF(基础状态预期!$AD163&lt;=1,0,(基础状态预期!$AD163-1)*I$28)*基础状态预期!$J163)</f>
        <v>0</v>
      </c>
      <c r="AE151" s="80">
        <f>IF(各r阵容卡情况!$H157=0,0,IF(各r阵容卡情况!$AB157&lt;=1,各r阵容卡情况!$AB157*D$18,1*D$18)*各r阵容卡情况!$H157)+
IF(各r阵容卡情况!$I157=0,0,IF(各r阵容卡情况!$AC157&lt;=1,各r阵容卡情况!$AC157*D$19,1*D$19)*各r阵容卡情况!$I157)+
IF(各r阵容卡情况!$J157=0,0,IF(各r阵容卡情况!$AD157&lt;=1,各r阵容卡情况!$AD157*D$20,1*D$20)*各r阵容卡情况!$J157)</f>
        <v>128</v>
      </c>
      <c r="AF151" s="80">
        <f>IF(各r阵容卡情况!$H157=0,0,IF(各r阵容卡情况!$AB157&lt;=1,各r阵容卡情况!$AB157*E$18,1*E$18)*各r阵容卡情况!$H157)+
IF(各r阵容卡情况!$I157=0,0,IF(各r阵容卡情况!$AC157&lt;=1,各r阵容卡情况!$AC157*E$19,1*E$19)*各r阵容卡情况!$I157)+
IF(各r阵容卡情况!$J157=0,0,IF(各r阵容卡情况!$AD157&lt;=1,各r阵容卡情况!$AD157*E$20,1*E$20)*各r阵容卡情况!$J157)</f>
        <v>0</v>
      </c>
      <c r="AG151" s="80">
        <f>IF(各r阵容卡情况!$H157=0,0,IF(各r阵容卡情况!$AB157&lt;=1,各r阵容卡情况!$AB157*F$18,1*F$18)*各r阵容卡情况!$H157)+
IF(各r阵容卡情况!$I157=0,0,IF(各r阵容卡情况!$AC157&lt;=1,各r阵容卡情况!$AC157*F$19,1*F$19)*各r阵容卡情况!$I157)+
IF(各r阵容卡情况!$J157=0,0,IF(各r阵容卡情况!$AD157&lt;=1,各r阵容卡情况!$AD157*F$20,1*F$20)*各r阵容卡情况!$J157)</f>
        <v>0</v>
      </c>
      <c r="AH151" s="67">
        <f>IF(各r阵容卡情况!$H157=0,0,IF(各r阵容卡情况!$AB157&lt;=1,0,(各r阵容卡情况!$AB157-1)*G$26)*各r阵容卡情况!$H157)+
IF(各r阵容卡情况!$I157=0,0,IF(各r阵容卡情况!$AC157&lt;=1,0,(各r阵容卡情况!$AC157-1)*G$27)*各r阵容卡情况!$I157)+
IF(各r阵容卡情况!$J157=0,0,IF(各r阵容卡情况!$AD157&lt;=1,0,(各r阵容卡情况!$AD157-1)*G$28)*各r阵容卡情况!$J157)</f>
        <v>640</v>
      </c>
      <c r="AI151" s="67">
        <f>IF(各r阵容卡情况!$H157=0,0,IF(各r阵容卡情况!$AB157&lt;=1,0,(各r阵容卡情况!$AB157-1)*H$26)*各r阵容卡情况!$H157)+
IF(各r阵容卡情况!$I157=0,0,IF(各r阵容卡情况!$AC157&lt;=1,0,(各r阵容卡情况!$AC157-1)*H$27)*各r阵容卡情况!$I157)+
IF(各r阵容卡情况!$J157=0,0,IF(各r阵容卡情况!$AD157&lt;=1,0,(各r阵容卡情况!$AD157-1)*H$28)*各r阵容卡情况!$J157)</f>
        <v>0</v>
      </c>
      <c r="AJ151" s="67">
        <f>IF(各r阵容卡情况!$H157=0,0,IF(各r阵容卡情况!$AB157&lt;=1,0,(各r阵容卡情况!$AB157-1)*I$26)*各r阵容卡情况!$H157)+
IF(各r阵容卡情况!$I157=0,0,IF(各r阵容卡情况!$AC157&lt;=1,0,(各r阵容卡情况!$AC157-1)*I$27)*各r阵容卡情况!$I157)+
IF(各r阵容卡情况!$J157=0,0,IF(各r阵容卡情况!$AD157&lt;=1,0,(各r阵容卡情况!$AD157-1)*I$28)*各r阵容卡情况!$J157)</f>
        <v>0</v>
      </c>
      <c r="AL151" s="80">
        <f t="shared" si="114"/>
        <v>65</v>
      </c>
      <c r="AM151" s="80">
        <f t="shared" si="115"/>
        <v>42.284251138699588</v>
      </c>
      <c r="AN151" s="80">
        <f t="shared" si="116"/>
        <v>0</v>
      </c>
      <c r="AO151" s="80">
        <f t="shared" si="117"/>
        <v>0</v>
      </c>
      <c r="AP151" s="80">
        <f t="shared" si="118"/>
        <v>211.42125569349795</v>
      </c>
      <c r="AQ151" s="80">
        <f t="shared" si="119"/>
        <v>0</v>
      </c>
      <c r="AR151" s="80">
        <f t="shared" si="120"/>
        <v>0</v>
      </c>
      <c r="AS151" s="80">
        <f t="shared" si="121"/>
        <v>136</v>
      </c>
      <c r="AT151" s="80">
        <f t="shared" si="122"/>
        <v>0</v>
      </c>
      <c r="AU151" s="80">
        <f t="shared" si="123"/>
        <v>0</v>
      </c>
      <c r="AV151" s="80">
        <f t="shared" si="124"/>
        <v>680</v>
      </c>
      <c r="AW151" s="80">
        <f t="shared" si="125"/>
        <v>0</v>
      </c>
      <c r="AX151" s="80">
        <f t="shared" si="126"/>
        <v>0</v>
      </c>
      <c r="AY151" s="61" t="e">
        <f>SUMPRODUCT(AM151:AR151/'[1]功能-行军令'!$GI$26:$GN$26+AS151:AX151/'[1]功能-行军令'!$GI$26:$GN$26)/0.18</f>
        <v>#DIV/0!</v>
      </c>
      <c r="BB151" s="80">
        <v>130</v>
      </c>
      <c r="BC151" s="80"/>
      <c r="BD151" s="80"/>
      <c r="BE151" s="80"/>
      <c r="BF151" s="80"/>
      <c r="BG151" s="80"/>
      <c r="BH151" s="80"/>
      <c r="BI151" s="80"/>
      <c r="BJ151" s="80"/>
      <c r="BK151" s="80">
        <f t="shared" si="130"/>
        <v>0</v>
      </c>
      <c r="BO151" s="80">
        <f t="shared" si="111"/>
        <v>74.493385467679886</v>
      </c>
      <c r="BP151" s="80">
        <f t="shared" si="112"/>
        <v>11535000</v>
      </c>
      <c r="BQ151" s="80">
        <f>(BP151-BP150)*INDEX('[1]功能-付费相关'!$AT$6:$AT$165,$BO151,1)+BQ150</f>
        <v>15604.563023185452</v>
      </c>
      <c r="BR151" s="80"/>
      <c r="BS151" s="80"/>
      <c r="BU151" s="80">
        <v>130</v>
      </c>
      <c r="BV151" s="80">
        <f t="shared" si="113"/>
        <v>16421.870715493144</v>
      </c>
      <c r="BW151" s="86">
        <f t="shared" si="129"/>
        <v>114432.36000000002</v>
      </c>
      <c r="BX151" s="80"/>
      <c r="BY151" s="80">
        <f t="shared" si="131"/>
        <v>130854.23071549316</v>
      </c>
    </row>
    <row r="152" spans="12:77" x14ac:dyDescent="0.15">
      <c r="L152" s="61">
        <v>16</v>
      </c>
      <c r="M152" s="80">
        <f>基础状态预期!D164</f>
        <v>74.493385467679886</v>
      </c>
      <c r="N152" s="80">
        <f>IF(基础状态预期!F164="",0,IF(基础状态预期!Z164&lt;=1,基础状态预期!Z164*D$4,1*D$4+(基础状态预期!Z164-1)*武将觉醒!D$5))</f>
        <v>0</v>
      </c>
      <c r="O152" s="80">
        <f>IF(基础状态预期!G164="",0,IF(基础状态预期!AA164&lt;=1,基础状态预期!AA164*E$4,1*E$4+(基础状态预期!AA164-1)*武将觉醒!E$5))</f>
        <v>0</v>
      </c>
      <c r="P152" s="80">
        <f>IF(基础状态预期!H164="",0,IF(基础状态预期!AB164&lt;=1,基础状态预期!AB164*F$4,1*F$4+(基础状态预期!AB164-1)*武将觉醒!F$5))</f>
        <v>0</v>
      </c>
      <c r="Q152" s="80">
        <f>IF(基础状态预期!I164="",0,IF(基础状态预期!AC164&lt;=1,基础状态预期!AC164*G$4,1*G$4+(基础状态预期!AC164-1)*武将觉醒!G$5))</f>
        <v>520000</v>
      </c>
      <c r="R152" s="80">
        <f>IF(基础状态预期!J164="",0,IF(基础状态预期!AD164&lt;=1,基础状态预期!AD164*H$4,1*H$4+(基础状态预期!AD164-1)*武将觉醒!H$5))</f>
        <v>2050000</v>
      </c>
      <c r="S152" s="80">
        <f>MAX(SUMPRODUCT(N152:R152,基础状态预期!F164:J164),S151)</f>
        <v>11535000</v>
      </c>
      <c r="T152" s="80">
        <f>IF(基础状态预期!Z164="",0,IFERROR(基础状态预期!F164*求节点($C$62:$C$63,D$62:D$63,基础状态预期!Z164),0)+IFERROR(基础状态预期!$J164*求节点($C$71:$C$72,D$71:D$72,基础状态预期!$AD164),0))</f>
        <v>0</v>
      </c>
      <c r="U152" s="80">
        <f>IF(基础状态预期!AA164="",0,IFERROR(基础状态预期!G164*求节点($C$62:$C$63,E$62:E$63,基础状态预期!AA164),0)+IFERROR(基础状态预期!$J164*求节点($C$71:$C$72,E$71:E$72,基础状态预期!$AD164),0))</f>
        <v>0</v>
      </c>
      <c r="V152" s="80">
        <f>IF(基础状态预期!AB164="",0,IFERROR(基础状态预期!H164*求节点($C$62:$C$63,F$62:F$63,基础状态预期!AB164),0)+IFERROR(基础状态预期!$J164*求节点($C$71:$C$72,F$71:F$72,基础状态预期!$AD164),0))</f>
        <v>0</v>
      </c>
      <c r="W152" s="80">
        <f>IF(基础状态预期!AC164="",0,IFERROR(基础状态预期!I164*求节点($C$62:$C$63,G$62:G$63,基础状态预期!AC164),0)+IFERROR(基础状态预期!$J164*求节点($C$71:$C$72,G$71:G$72,基础状态预期!$AD164),0))</f>
        <v>17</v>
      </c>
      <c r="X152" s="80">
        <f>IF(基础状态预期!AD164="",0,IFERROR(基础状态预期!J164*求节点($C$62:$C$63,H$62:H$63,基础状态预期!AD164),0)+IFERROR(基础状态预期!$J164*求节点($C$71:$C$72,H$71:H$72,基础状态预期!$AD164),0))</f>
        <v>0</v>
      </c>
      <c r="Y152" s="80">
        <f>IF(基础状态预期!$H164="",0,IF(基础状态预期!$AB164&lt;=1,基础状态预期!$AB164*D$18,D$18)*基础状态预期!$H164)+
IF(基础状态预期!$I164="",0,IF(基础状态预期!$AC164&lt;=1,基础状态预期!$AC164*D$19,D$19)*基础状态预期!$I164)+
IF(基础状态预期!$J164="",0,IF(基础状态预期!$AD164&lt;=1,基础状态预期!$AD164*D$20,D$20)*基础状态预期!$J164)</f>
        <v>47</v>
      </c>
      <c r="Z152" s="80">
        <f>IF(基础状态预期!$H164="",0,IF(基础状态预期!$AB164&lt;=1,基础状态预期!$AB164*E$18,E$18)*基础状态预期!$H164)+
IF(基础状态预期!$I164="",0,IF(基础状态预期!$AC164&lt;=1,基础状态预期!$AC164*E$19,E$19)*基础状态预期!$I164)+
IF(基础状态预期!$J164="",0,IF(基础状态预期!$AD164&lt;=1,基础状态预期!$AD164*E$20,E$20)*基础状态预期!$J164)</f>
        <v>0</v>
      </c>
      <c r="AA152" s="80">
        <f>IF(基础状态预期!$H164="",0,IF(基础状态预期!$AB164&lt;=1,基础状态预期!$AB164*F$18,F$18)*基础状态预期!$H164)+
IF(基础状态预期!$I164="",0,IF(基础状态预期!$AC164&lt;=1,基础状态预期!$AC164*F$19,F$19)*基础状态预期!$I164)+
IF(基础状态预期!$J164="",0,IF(基础状态预期!$AD164&lt;=1,基础状态预期!$AD164*F$20,F$20)*基础状态预期!$J164)</f>
        <v>0</v>
      </c>
      <c r="AB152" s="67">
        <f>IF(基础状态预期!$H164="",0,IF(基础状态预期!$AB164&lt;=1,0,(基础状态预期!$AB164-1)*G$26)*基础状态预期!$H164)+
IF(基础状态预期!$I164="",0,IF(基础状态预期!$AC164&lt;=1,0,(基础状态预期!$AC164-1)*G$27)*基础状态预期!$I164)+
IF(基础状态预期!$J164="",0,IF(基础状态预期!$AD164&lt;=1,0,(基础状态预期!$AD164-1)*G$28)*基础状态预期!$J164)</f>
        <v>235</v>
      </c>
      <c r="AC152" s="67">
        <f>IF(基础状态预期!$H164="",0,IF(基础状态预期!$AB164&lt;=1,0,(基础状态预期!$AB164-1)*H$26)*基础状态预期!$H164)+
IF(基础状态预期!$I164="",0,IF(基础状态预期!$AC164&lt;=1,0,(基础状态预期!$AC164-1)*H$27)*基础状态预期!$I164)+
IF(基础状态预期!$J164="",0,IF(基础状态预期!$AD164&lt;=1,0,(基础状态预期!$AD164-1)*H$28)*基础状态预期!$J164)</f>
        <v>0</v>
      </c>
      <c r="AD152" s="67">
        <f>IF(基础状态预期!$H164="",0,IF(基础状态预期!$AB164&lt;=1,0,(基础状态预期!$AB164-1)*I$26)*基础状态预期!$H164)+
IF(基础状态预期!$I164="",0,IF(基础状态预期!$AC164&lt;=1,0,(基础状态预期!$AC164-1)*I$27)*基础状态预期!$I164)+
IF(基础状态预期!$J164="",0,IF(基础状态预期!$AD164&lt;=1,0,(基础状态预期!$AD164-1)*I$28)*基础状态预期!$J164)</f>
        <v>0</v>
      </c>
      <c r="AE152" s="80">
        <f>IF(各r阵容卡情况!$H158=0,0,IF(各r阵容卡情况!$AB158&lt;=1,各r阵容卡情况!$AB158*D$18,1*D$18)*各r阵容卡情况!$H158)+
IF(各r阵容卡情况!$I158=0,0,IF(各r阵容卡情况!$AC158&lt;=1,各r阵容卡情况!$AC158*D$19,1*D$19)*各r阵容卡情况!$I158)+
IF(各r阵容卡情况!$J158=0,0,IF(各r阵容卡情况!$AD158&lt;=1,各r阵容卡情况!$AD158*D$20,1*D$20)*各r阵容卡情况!$J158)</f>
        <v>144</v>
      </c>
      <c r="AF152" s="80">
        <f>IF(各r阵容卡情况!$H158=0,0,IF(各r阵容卡情况!$AB158&lt;=1,各r阵容卡情况!$AB158*E$18,1*E$18)*各r阵容卡情况!$H158)+
IF(各r阵容卡情况!$I158=0,0,IF(各r阵容卡情况!$AC158&lt;=1,各r阵容卡情况!$AC158*E$19,1*E$19)*各r阵容卡情况!$I158)+
IF(各r阵容卡情况!$J158=0,0,IF(各r阵容卡情况!$AD158&lt;=1,各r阵容卡情况!$AD158*E$20,1*E$20)*各r阵容卡情况!$J158)</f>
        <v>0</v>
      </c>
      <c r="AG152" s="80">
        <f>IF(各r阵容卡情况!$H158=0,0,IF(各r阵容卡情况!$AB158&lt;=1,各r阵容卡情况!$AB158*F$18,1*F$18)*各r阵容卡情况!$H158)+
IF(各r阵容卡情况!$I158=0,0,IF(各r阵容卡情况!$AC158&lt;=1,各r阵容卡情况!$AC158*F$19,1*F$19)*各r阵容卡情况!$I158)+
IF(各r阵容卡情况!$J158=0,0,IF(各r阵容卡情况!$AD158&lt;=1,各r阵容卡情况!$AD158*F$20,1*F$20)*各r阵容卡情况!$J158)</f>
        <v>0</v>
      </c>
      <c r="AH152" s="67">
        <f>IF(各r阵容卡情况!$H158=0,0,IF(各r阵容卡情况!$AB158&lt;=1,0,(各r阵容卡情况!$AB158-1)*G$26)*各r阵容卡情况!$H158)+
IF(各r阵容卡情况!$I158=0,0,IF(各r阵容卡情况!$AC158&lt;=1,0,(各r阵容卡情况!$AC158-1)*G$27)*各r阵容卡情况!$I158)+
IF(各r阵容卡情况!$J158=0,0,IF(各r阵容卡情况!$AD158&lt;=1,0,(各r阵容卡情况!$AD158-1)*G$28)*各r阵容卡情况!$J158)</f>
        <v>720</v>
      </c>
      <c r="AI152" s="67">
        <f>IF(各r阵容卡情况!$H158=0,0,IF(各r阵容卡情况!$AB158&lt;=1,0,(各r阵容卡情况!$AB158-1)*H$26)*各r阵容卡情况!$H158)+
IF(各r阵容卡情况!$I158=0,0,IF(各r阵容卡情况!$AC158&lt;=1,0,(各r阵容卡情况!$AC158-1)*H$27)*各r阵容卡情况!$I158)+
IF(各r阵容卡情况!$J158=0,0,IF(各r阵容卡情况!$AD158&lt;=1,0,(各r阵容卡情况!$AD158-1)*H$28)*各r阵容卡情况!$J158)</f>
        <v>0</v>
      </c>
      <c r="AJ152" s="67">
        <f>IF(各r阵容卡情况!$H158=0,0,IF(各r阵容卡情况!$AB158&lt;=1,0,(各r阵容卡情况!$AB158-1)*I$26)*各r阵容卡情况!$H158)+
IF(各r阵容卡情况!$I158=0,0,IF(各r阵容卡情况!$AC158&lt;=1,0,(各r阵容卡情况!$AC158-1)*I$27)*各r阵容卡情况!$I158)+
IF(各r阵容卡情况!$J158=0,0,IF(各r阵容卡情况!$AD158&lt;=1,0,(各r阵容卡情况!$AD158-1)*I$28)*各r阵容卡情况!$J158)</f>
        <v>0</v>
      </c>
      <c r="AL152" s="80">
        <f t="shared" si="114"/>
        <v>70</v>
      </c>
      <c r="AM152" s="80">
        <f t="shared" si="115"/>
        <v>44.843417206441679</v>
      </c>
      <c r="AN152" s="80">
        <f t="shared" si="116"/>
        <v>0</v>
      </c>
      <c r="AO152" s="80">
        <f t="shared" si="117"/>
        <v>0</v>
      </c>
      <c r="AP152" s="80">
        <f t="shared" si="118"/>
        <v>224.21708603220839</v>
      </c>
      <c r="AQ152" s="80">
        <f t="shared" si="119"/>
        <v>0</v>
      </c>
      <c r="AR152" s="80">
        <f t="shared" si="120"/>
        <v>0</v>
      </c>
      <c r="AS152" s="80">
        <f t="shared" si="121"/>
        <v>132.62633117423329</v>
      </c>
      <c r="AT152" s="80">
        <f t="shared" si="122"/>
        <v>0</v>
      </c>
      <c r="AU152" s="80">
        <f t="shared" si="123"/>
        <v>0</v>
      </c>
      <c r="AV152" s="80">
        <f t="shared" si="124"/>
        <v>663.13165587116646</v>
      </c>
      <c r="AW152" s="80">
        <f t="shared" si="125"/>
        <v>0</v>
      </c>
      <c r="AX152" s="80">
        <f t="shared" si="126"/>
        <v>0</v>
      </c>
      <c r="AY152" s="61" t="e">
        <f>SUMPRODUCT(AM152:AR152/'[1]功能-行军令'!$GI$26:$GN$26+AS152:AX152/'[1]功能-行军令'!$GI$26:$GN$26)/0.18</f>
        <v>#DIV/0!</v>
      </c>
      <c r="BB152" s="80">
        <v>140</v>
      </c>
      <c r="BC152" s="80"/>
      <c r="BD152" s="80"/>
      <c r="BE152" s="80"/>
      <c r="BF152" s="80"/>
      <c r="BG152" s="80"/>
      <c r="BH152" s="80"/>
      <c r="BI152" s="80"/>
      <c r="BJ152" s="80"/>
      <c r="BK152" s="80">
        <f t="shared" si="130"/>
        <v>0</v>
      </c>
      <c r="BO152" s="80">
        <f t="shared" si="111"/>
        <v>77.332919927503724</v>
      </c>
      <c r="BP152" s="80">
        <f t="shared" si="112"/>
        <v>12300000</v>
      </c>
      <c r="BQ152" s="80">
        <f>(BP152-BP151)*INDEX('[1]功能-付费相关'!$AT$6:$AT$165,$BO152,1)+BQ151</f>
        <v>16421.870715493144</v>
      </c>
      <c r="BR152" s="80"/>
      <c r="BS152" s="80"/>
      <c r="BU152" s="80">
        <v>140</v>
      </c>
      <c r="BV152" s="80">
        <f t="shared" si="113"/>
        <v>16421.870715493144</v>
      </c>
      <c r="BW152" s="86">
        <f t="shared" si="129"/>
        <v>114432.36000000002</v>
      </c>
      <c r="BX152" s="80"/>
      <c r="BY152" s="80">
        <f t="shared" si="131"/>
        <v>130854.23071549316</v>
      </c>
    </row>
    <row r="153" spans="12:77" x14ac:dyDescent="0.15">
      <c r="L153" s="61">
        <v>17</v>
      </c>
      <c r="M153" s="80">
        <f>基础状态预期!D165</f>
        <v>77.332919927503724</v>
      </c>
      <c r="N153" s="80">
        <f>IF(基础状态预期!F165="",0,IF(基础状态预期!Z165&lt;=1,基础状态预期!Z165*D$4,1*D$4+(基础状态预期!Z165-1)*武将觉醒!D$5))</f>
        <v>0</v>
      </c>
      <c r="O153" s="80">
        <f>IF(基础状态预期!G165="",0,IF(基础状态预期!AA165&lt;=1,基础状态预期!AA165*E$4,1*E$4+(基础状态预期!AA165-1)*武将觉醒!E$5))</f>
        <v>0</v>
      </c>
      <c r="P153" s="80">
        <f>IF(基础状态预期!H165="",0,IF(基础状态预期!AB165&lt;=1,基础状态预期!AB165*F$4,1*F$4+(基础状态预期!AB165-1)*武将觉醒!F$5))</f>
        <v>0</v>
      </c>
      <c r="Q153" s="80">
        <f>IF(基础状态预期!I165="",0,IF(基础状态预期!AC165&lt;=1,基础状态预期!AC165*G$4,1*G$4+(基础状态预期!AC165-1)*武将觉醒!G$5))</f>
        <v>0</v>
      </c>
      <c r="R153" s="80">
        <f>IF(基础状态预期!J165="",0,IF(基础状态预期!AD165&lt;=1,基础状态预期!AD165*H$4,1*H$4+(基础状态预期!AD165-1)*武将觉醒!H$5))</f>
        <v>2050000</v>
      </c>
      <c r="S153" s="80">
        <f>MAX(SUMPRODUCT(N153:R153,基础状态预期!F165:J165),S152)</f>
        <v>12300000</v>
      </c>
      <c r="T153" s="80">
        <f>IF(基础状态预期!Z165="",0,IFERROR(基础状态预期!F165*求节点($C$62:$C$63,D$62:D$63,基础状态预期!Z165),0)+IFERROR(基础状态预期!$J165*求节点($C$71:$C$72,D$71:D$72,基础状态预期!$AD165),0))</f>
        <v>0</v>
      </c>
      <c r="U153" s="80">
        <f>IF(基础状态预期!AA165="",0,IFERROR(基础状态预期!G165*求节点($C$62:$C$63,E$62:E$63,基础状态预期!AA165),0)+IFERROR(基础状态预期!$J165*求节点($C$71:$C$72,E$71:E$72,基础状态预期!$AD165),0))</f>
        <v>0</v>
      </c>
      <c r="V153" s="80">
        <f>IF(基础状态预期!AB165="",0,IFERROR(基础状态预期!H165*求节点($C$62:$C$63,F$62:F$63,基础状态预期!AB165),0)+IFERROR(基础状态预期!$J165*求节点($C$71:$C$72,F$71:F$72,基础状态预期!$AD165),0))</f>
        <v>0</v>
      </c>
      <c r="W153" s="80">
        <f>IF(基础状态预期!AC165="",0,IFERROR(基础状态预期!I165*求节点($C$62:$C$63,G$62:G$63,基础状态预期!AC165),0)+IFERROR(基础状态预期!$J165*求节点($C$71:$C$72,G$71:G$72,基础状态预期!$AD165),0))</f>
        <v>0</v>
      </c>
      <c r="X153" s="80">
        <f>IF(基础状态预期!AD165="",0,IFERROR(基础状态预期!J165*求节点($C$62:$C$63,H$62:H$63,基础状态预期!AD165),0)+IFERROR(基础状态预期!$J165*求节点($C$71:$C$72,H$71:H$72,基础状态预期!$AD165),0))</f>
        <v>0</v>
      </c>
      <c r="Y153" s="80">
        <f>IF(基础状态预期!$H165="",0,IF(基础状态预期!$AB165&lt;=1,基础状态预期!$AB165*D$18,D$18)*基础状态预期!$H165)+
IF(基础状态预期!$I165="",0,IF(基础状态预期!$AC165&lt;=1,基础状态预期!$AC165*D$19,D$19)*基础状态预期!$I165)+
IF(基础状态预期!$J165="",0,IF(基础状态预期!$AD165&lt;=1,基础状态预期!$AD165*D$20,D$20)*基础状态预期!$J165)</f>
        <v>48</v>
      </c>
      <c r="Z153" s="80">
        <f>IF(基础状态预期!$H165="",0,IF(基础状态预期!$AB165&lt;=1,基础状态预期!$AB165*E$18,E$18)*基础状态预期!$H165)+
IF(基础状态预期!$I165="",0,IF(基础状态预期!$AC165&lt;=1,基础状态预期!$AC165*E$19,E$19)*基础状态预期!$I165)+
IF(基础状态预期!$J165="",0,IF(基础状态预期!$AD165&lt;=1,基础状态预期!$AD165*E$20,E$20)*基础状态预期!$J165)</f>
        <v>0</v>
      </c>
      <c r="AA153" s="80">
        <f>IF(基础状态预期!$H165="",0,IF(基础状态预期!$AB165&lt;=1,基础状态预期!$AB165*F$18,F$18)*基础状态预期!$H165)+
IF(基础状态预期!$I165="",0,IF(基础状态预期!$AC165&lt;=1,基础状态预期!$AC165*F$19,F$19)*基础状态预期!$I165)+
IF(基础状态预期!$J165="",0,IF(基础状态预期!$AD165&lt;=1,基础状态预期!$AD165*F$20,F$20)*基础状态预期!$J165)</f>
        <v>0</v>
      </c>
      <c r="AB153" s="67">
        <f>IF(基础状态预期!$H165="",0,IF(基础状态预期!$AB165&lt;=1,0,(基础状态预期!$AB165-1)*G$26)*基础状态预期!$H165)+
IF(基础状态预期!$I165="",0,IF(基础状态预期!$AC165&lt;=1,0,(基础状态预期!$AC165-1)*G$27)*基础状态预期!$I165)+
IF(基础状态预期!$J165="",0,IF(基础状态预期!$AD165&lt;=1,0,(基础状态预期!$AD165-1)*G$28)*基础状态预期!$J165)</f>
        <v>240</v>
      </c>
      <c r="AC153" s="67">
        <f>IF(基础状态预期!$H165="",0,IF(基础状态预期!$AB165&lt;=1,0,(基础状态预期!$AB165-1)*H$26)*基础状态预期!$H165)+
IF(基础状态预期!$I165="",0,IF(基础状态预期!$AC165&lt;=1,0,(基础状态预期!$AC165-1)*H$27)*基础状态预期!$I165)+
IF(基础状态预期!$J165="",0,IF(基础状态预期!$AD165&lt;=1,0,(基础状态预期!$AD165-1)*H$28)*基础状态预期!$J165)</f>
        <v>0</v>
      </c>
      <c r="AD153" s="67">
        <f>IF(基础状态预期!$H165="",0,IF(基础状态预期!$AB165&lt;=1,0,(基础状态预期!$AB165-1)*I$26)*基础状态预期!$H165)+
IF(基础状态预期!$I165="",0,IF(基础状态预期!$AC165&lt;=1,0,(基础状态预期!$AC165-1)*I$27)*基础状态预期!$I165)+
IF(基础状态预期!$J165="",0,IF(基础状态预期!$AD165&lt;=1,0,(基础状态预期!$AD165-1)*I$28)*基础状态预期!$J165)</f>
        <v>0</v>
      </c>
      <c r="AE153" s="80">
        <f>IF(各r阵容卡情况!$H159=0,0,IF(各r阵容卡情况!$AB159&lt;=1,各r阵容卡情况!$AB159*D$18,1*D$18)*各r阵容卡情况!$H159)+
IF(各r阵容卡情况!$I159=0,0,IF(各r阵容卡情况!$AC159&lt;=1,各r阵容卡情况!$AC159*D$19,1*D$19)*各r阵容卡情况!$I159)+
IF(各r阵容卡情况!$J159=0,0,IF(各r阵容卡情况!$AD159&lt;=1,各r阵容卡情况!$AD159*D$20,1*D$20)*各r阵容卡情况!$J159)</f>
        <v>144</v>
      </c>
      <c r="AF153" s="80">
        <f>IF(各r阵容卡情况!$H159=0,0,IF(各r阵容卡情况!$AB159&lt;=1,各r阵容卡情况!$AB159*E$18,1*E$18)*各r阵容卡情况!$H159)+
IF(各r阵容卡情况!$I159=0,0,IF(各r阵容卡情况!$AC159&lt;=1,各r阵容卡情况!$AC159*E$19,1*E$19)*各r阵容卡情况!$I159)+
IF(各r阵容卡情况!$J159=0,0,IF(各r阵容卡情况!$AD159&lt;=1,各r阵容卡情况!$AD159*E$20,1*E$20)*各r阵容卡情况!$J159)</f>
        <v>0</v>
      </c>
      <c r="AG153" s="80">
        <f>IF(各r阵容卡情况!$H159=0,0,IF(各r阵容卡情况!$AB159&lt;=1,各r阵容卡情况!$AB159*F$18,1*F$18)*各r阵容卡情况!$H159)+
IF(各r阵容卡情况!$I159=0,0,IF(各r阵容卡情况!$AC159&lt;=1,各r阵容卡情况!$AC159*F$19,1*F$19)*各r阵容卡情况!$I159)+
IF(各r阵容卡情况!$J159=0,0,IF(各r阵容卡情况!$AD159&lt;=1,各r阵容卡情况!$AD159*F$20,1*F$20)*各r阵容卡情况!$J159)</f>
        <v>0</v>
      </c>
      <c r="AH153" s="67">
        <f>IF(各r阵容卡情况!$H159=0,0,IF(各r阵容卡情况!$AB159&lt;=1,0,(各r阵容卡情况!$AB159-1)*G$26)*各r阵容卡情况!$H159)+
IF(各r阵容卡情况!$I159=0,0,IF(各r阵容卡情况!$AC159&lt;=1,0,(各r阵容卡情况!$AC159-1)*G$27)*各r阵容卡情况!$I159)+
IF(各r阵容卡情况!$J159=0,0,IF(各r阵容卡情况!$AD159&lt;=1,0,(各r阵容卡情况!$AD159-1)*G$28)*各r阵容卡情况!$J159)</f>
        <v>720</v>
      </c>
      <c r="AI153" s="67">
        <f>IF(各r阵容卡情况!$H159=0,0,IF(各r阵容卡情况!$AB159&lt;=1,0,(各r阵容卡情况!$AB159-1)*H$26)*各r阵容卡情况!$H159)+
IF(各r阵容卡情况!$I159=0,0,IF(各r阵容卡情况!$AC159&lt;=1,0,(各r阵容卡情况!$AC159-1)*H$27)*各r阵容卡情况!$I159)+
IF(各r阵容卡情况!$J159=0,0,IF(各r阵容卡情况!$AD159&lt;=1,0,(各r阵容卡情况!$AD159-1)*H$28)*各r阵容卡情况!$J159)</f>
        <v>0</v>
      </c>
      <c r="AJ153" s="67">
        <f>IF(各r阵容卡情况!$H159=0,0,IF(各r阵容卡情况!$AB159&lt;=1,0,(各r阵容卡情况!$AB159-1)*I$26)*各r阵容卡情况!$H159)+
IF(各r阵容卡情况!$I159=0,0,IF(各r阵容卡情况!$AC159&lt;=1,0,(各r阵容卡情况!$AC159-1)*I$27)*各r阵容卡情况!$I159)+
IF(各r阵容卡情况!$J159=0,0,IF(各r阵容卡情况!$AD159&lt;=1,0,(各r阵容卡情况!$AD159-1)*I$28)*各r阵容卡情况!$J159)</f>
        <v>0</v>
      </c>
      <c r="AL153" s="80">
        <f t="shared" si="114"/>
        <v>75</v>
      </c>
      <c r="AM153" s="80">
        <f t="shared" si="115"/>
        <v>47.178414644896243</v>
      </c>
      <c r="AN153" s="80">
        <f t="shared" si="116"/>
        <v>0</v>
      </c>
      <c r="AO153" s="80">
        <f t="shared" si="117"/>
        <v>0</v>
      </c>
      <c r="AP153" s="80">
        <f t="shared" si="118"/>
        <v>235.89207322448121</v>
      </c>
      <c r="AQ153" s="80">
        <f t="shared" si="119"/>
        <v>0</v>
      </c>
      <c r="AR153" s="80">
        <f t="shared" si="120"/>
        <v>0</v>
      </c>
      <c r="AS153" s="80">
        <f t="shared" si="121"/>
        <v>144</v>
      </c>
      <c r="AT153" s="80">
        <f t="shared" si="122"/>
        <v>0</v>
      </c>
      <c r="AU153" s="80">
        <f t="shared" si="123"/>
        <v>0</v>
      </c>
      <c r="AV153" s="80">
        <f t="shared" si="124"/>
        <v>720</v>
      </c>
      <c r="AW153" s="80">
        <f t="shared" si="125"/>
        <v>0</v>
      </c>
      <c r="AX153" s="80">
        <f t="shared" si="126"/>
        <v>0</v>
      </c>
      <c r="AY153" s="61" t="e">
        <f>SUMPRODUCT(AM153:AR153/'[1]功能-行军令'!$GI$26:$GN$26+AS153:AX153/'[1]功能-行军令'!$GI$26:$GN$26)/0.18</f>
        <v>#DIV/0!</v>
      </c>
      <c r="BB153" s="80">
        <v>150</v>
      </c>
      <c r="BC153" s="80"/>
      <c r="BD153" s="80"/>
      <c r="BE153" s="80"/>
      <c r="BF153" s="80"/>
      <c r="BG153" s="80"/>
      <c r="BH153" s="80"/>
      <c r="BI153" s="80"/>
      <c r="BJ153" s="80"/>
      <c r="BK153" s="80">
        <f t="shared" si="130"/>
        <v>0</v>
      </c>
      <c r="BO153" s="80">
        <f t="shared" si="111"/>
        <v>79.813360188853366</v>
      </c>
      <c r="BP153" s="80">
        <f t="shared" si="112"/>
        <v>12300000</v>
      </c>
      <c r="BQ153" s="80">
        <f>(BP153-BP152)*INDEX('[1]功能-付费相关'!$AT$6:$AT$165,$BO153,1)+BQ152</f>
        <v>16421.870715493144</v>
      </c>
      <c r="BR153" s="80"/>
      <c r="BS153" s="80"/>
      <c r="BU153" s="80">
        <v>150</v>
      </c>
      <c r="BV153" s="80">
        <f t="shared" si="113"/>
        <v>16421.870715493144</v>
      </c>
      <c r="BW153" s="86">
        <f t="shared" si="129"/>
        <v>114432.36000000002</v>
      </c>
      <c r="BX153" s="80"/>
      <c r="BY153" s="80">
        <f t="shared" si="131"/>
        <v>130854.23071549316</v>
      </c>
    </row>
    <row r="154" spans="12:77" x14ac:dyDescent="0.15">
      <c r="L154" s="61">
        <v>18</v>
      </c>
      <c r="M154" s="80">
        <f>基础状态预期!D166</f>
        <v>79.813360188853366</v>
      </c>
      <c r="N154" s="80">
        <f>IF(基础状态预期!F166="",0,IF(基础状态预期!Z166&lt;=1,基础状态预期!Z166*D$4,1*D$4+(基础状态预期!Z166-1)*武将觉醒!D$5))</f>
        <v>0</v>
      </c>
      <c r="O154" s="80">
        <f>IF(基础状态预期!G166="",0,IF(基础状态预期!AA166&lt;=1,基础状态预期!AA166*E$4,1*E$4+(基础状态预期!AA166-1)*武将觉醒!E$5))</f>
        <v>0</v>
      </c>
      <c r="P154" s="80">
        <f>IF(基础状态预期!H166="",0,IF(基础状态预期!AB166&lt;=1,基础状态预期!AB166*F$4,1*F$4+(基础状态预期!AB166-1)*武将觉醒!F$5))</f>
        <v>0</v>
      </c>
      <c r="Q154" s="80">
        <f>IF(基础状态预期!I166="",0,IF(基础状态预期!AC166&lt;=1,基础状态预期!AC166*G$4,1*G$4+(基础状态预期!AC166-1)*武将觉醒!G$5))</f>
        <v>0</v>
      </c>
      <c r="R154" s="80">
        <f>IF(基础状态预期!J166="",0,IF(基础状态预期!AD166&lt;=1,基础状态预期!AD166*H$4,1*H$4+(基础状态预期!AD166-1)*武将觉醒!H$5))</f>
        <v>2050000</v>
      </c>
      <c r="S154" s="80">
        <f>MAX(SUMPRODUCT(N154:R154,基础状态预期!F166:J166),S153)</f>
        <v>12300000</v>
      </c>
      <c r="T154" s="80">
        <f>IF(基础状态预期!Z166="",0,IFERROR(基础状态预期!F166*求节点($C$62:$C$63,D$62:D$63,基础状态预期!Z166),0)+IFERROR(基础状态预期!$J166*求节点($C$71:$C$72,D$71:D$72,基础状态预期!$AD166),0))</f>
        <v>0</v>
      </c>
      <c r="U154" s="80">
        <f>IF(基础状态预期!AA166="",0,IFERROR(基础状态预期!G166*求节点($C$62:$C$63,E$62:E$63,基础状态预期!AA166),0)+IFERROR(基础状态预期!$J166*求节点($C$71:$C$72,E$71:E$72,基础状态预期!$AD166),0))</f>
        <v>0</v>
      </c>
      <c r="V154" s="80">
        <f>IF(基础状态预期!AB166="",0,IFERROR(基础状态预期!H166*求节点($C$62:$C$63,F$62:F$63,基础状态预期!AB166),0)+IFERROR(基础状态预期!$J166*求节点($C$71:$C$72,F$71:F$72,基础状态预期!$AD166),0))</f>
        <v>0</v>
      </c>
      <c r="W154" s="80">
        <f>IF(基础状态预期!AC166="",0,IFERROR(基础状态预期!I166*求节点($C$62:$C$63,G$62:G$63,基础状态预期!AC166),0)+IFERROR(基础状态预期!$J166*求节点($C$71:$C$72,G$71:G$72,基础状态预期!$AD166),0))</f>
        <v>0</v>
      </c>
      <c r="X154" s="80">
        <f>IF(基础状态预期!AD166="",0,IFERROR(基础状态预期!J166*求节点($C$62:$C$63,H$62:H$63,基础状态预期!AD166),0)+IFERROR(基础状态预期!$J166*求节点($C$71:$C$72,H$71:H$72,基础状态预期!$AD166),0))</f>
        <v>0</v>
      </c>
      <c r="Y154" s="80">
        <f>IF(基础状态预期!$H166="",0,IF(基础状态预期!$AB166&lt;=1,基础状态预期!$AB166*D$18,D$18)*基础状态预期!$H166)+
IF(基础状态预期!$I166="",0,IF(基础状态预期!$AC166&lt;=1,基础状态预期!$AC166*D$19,D$19)*基础状态预期!$I166)+
IF(基础状态预期!$J166="",0,IF(基础状态预期!$AD166&lt;=1,基础状态预期!$AD166*D$20,D$20)*基础状态预期!$J166)</f>
        <v>48</v>
      </c>
      <c r="Z154" s="80">
        <f>IF(基础状态预期!$H166="",0,IF(基础状态预期!$AB166&lt;=1,基础状态预期!$AB166*E$18,E$18)*基础状态预期!$H166)+
IF(基础状态预期!$I166="",0,IF(基础状态预期!$AC166&lt;=1,基础状态预期!$AC166*E$19,E$19)*基础状态预期!$I166)+
IF(基础状态预期!$J166="",0,IF(基础状态预期!$AD166&lt;=1,基础状态预期!$AD166*E$20,E$20)*基础状态预期!$J166)</f>
        <v>0</v>
      </c>
      <c r="AA154" s="80">
        <f>IF(基础状态预期!$H166="",0,IF(基础状态预期!$AB166&lt;=1,基础状态预期!$AB166*F$18,F$18)*基础状态预期!$H166)+
IF(基础状态预期!$I166="",0,IF(基础状态预期!$AC166&lt;=1,基础状态预期!$AC166*F$19,F$19)*基础状态预期!$I166)+
IF(基础状态预期!$J166="",0,IF(基础状态预期!$AD166&lt;=1,基础状态预期!$AD166*F$20,F$20)*基础状态预期!$J166)</f>
        <v>0</v>
      </c>
      <c r="AB154" s="67">
        <f>IF(基础状态预期!$H166="",0,IF(基础状态预期!$AB166&lt;=1,0,(基础状态预期!$AB166-1)*G$26)*基础状态预期!$H166)+
IF(基础状态预期!$I166="",0,IF(基础状态预期!$AC166&lt;=1,0,(基础状态预期!$AC166-1)*G$27)*基础状态预期!$I166)+
IF(基础状态预期!$J166="",0,IF(基础状态预期!$AD166&lt;=1,0,(基础状态预期!$AD166-1)*G$28)*基础状态预期!$J166)</f>
        <v>240</v>
      </c>
      <c r="AC154" s="67">
        <f>IF(基础状态预期!$H166="",0,IF(基础状态预期!$AB166&lt;=1,0,(基础状态预期!$AB166-1)*H$26)*基础状态预期!$H166)+
IF(基础状态预期!$I166="",0,IF(基础状态预期!$AC166&lt;=1,0,(基础状态预期!$AC166-1)*H$27)*基础状态预期!$I166)+
IF(基础状态预期!$J166="",0,IF(基础状态预期!$AD166&lt;=1,0,(基础状态预期!$AD166-1)*H$28)*基础状态预期!$J166)</f>
        <v>0</v>
      </c>
      <c r="AD154" s="67">
        <f>IF(基础状态预期!$H166="",0,IF(基础状态预期!$AB166&lt;=1,0,(基础状态预期!$AB166-1)*I$26)*基础状态预期!$H166)+
IF(基础状态预期!$I166="",0,IF(基础状态预期!$AC166&lt;=1,0,(基础状态预期!$AC166-1)*I$27)*基础状态预期!$I166)+
IF(基础状态预期!$J166="",0,IF(基础状态预期!$AD166&lt;=1,0,(基础状态预期!$AD166-1)*I$28)*基础状态预期!$J166)</f>
        <v>0</v>
      </c>
      <c r="AE154" s="80">
        <f>IF(各r阵容卡情况!$H160=0,0,IF(各r阵容卡情况!$AB160&lt;=1,各r阵容卡情况!$AB160*D$18,1*D$18)*各r阵容卡情况!$H160)+
IF(各r阵容卡情况!$I160=0,0,IF(各r阵容卡情况!$AC160&lt;=1,各r阵容卡情况!$AC160*D$19,1*D$19)*各r阵容卡情况!$I160)+
IF(各r阵容卡情况!$J160=0,0,IF(各r阵容卡情况!$AD160&lt;=1,各r阵容卡情况!$AD160*D$20,1*D$20)*各r阵容卡情况!$J160)</f>
        <v>144</v>
      </c>
      <c r="AF154" s="80">
        <f>IF(各r阵容卡情况!$H160=0,0,IF(各r阵容卡情况!$AB160&lt;=1,各r阵容卡情况!$AB160*E$18,1*E$18)*各r阵容卡情况!$H160)+
IF(各r阵容卡情况!$I160=0,0,IF(各r阵容卡情况!$AC160&lt;=1,各r阵容卡情况!$AC160*E$19,1*E$19)*各r阵容卡情况!$I160)+
IF(各r阵容卡情况!$J160=0,0,IF(各r阵容卡情况!$AD160&lt;=1,各r阵容卡情况!$AD160*E$20,1*E$20)*各r阵容卡情况!$J160)</f>
        <v>0</v>
      </c>
      <c r="AG154" s="80">
        <f>IF(各r阵容卡情况!$H160=0,0,IF(各r阵容卡情况!$AB160&lt;=1,各r阵容卡情况!$AB160*F$18,1*F$18)*各r阵容卡情况!$H160)+
IF(各r阵容卡情况!$I160=0,0,IF(各r阵容卡情况!$AC160&lt;=1,各r阵容卡情况!$AC160*F$19,1*F$19)*各r阵容卡情况!$I160)+
IF(各r阵容卡情况!$J160=0,0,IF(各r阵容卡情况!$AD160&lt;=1,各r阵容卡情况!$AD160*F$20,1*F$20)*各r阵容卡情况!$J160)</f>
        <v>0</v>
      </c>
      <c r="AH154" s="67">
        <f>IF(各r阵容卡情况!$H160=0,0,IF(各r阵容卡情况!$AB160&lt;=1,0,(各r阵容卡情况!$AB160-1)*G$26)*各r阵容卡情况!$H160)+
IF(各r阵容卡情况!$I160=0,0,IF(各r阵容卡情况!$AC160&lt;=1,0,(各r阵容卡情况!$AC160-1)*G$27)*各r阵容卡情况!$I160)+
IF(各r阵容卡情况!$J160=0,0,IF(各r阵容卡情况!$AD160&lt;=1,0,(各r阵容卡情况!$AD160-1)*G$28)*各r阵容卡情况!$J160)</f>
        <v>720</v>
      </c>
      <c r="AI154" s="67">
        <f>IF(各r阵容卡情况!$H160=0,0,IF(各r阵容卡情况!$AB160&lt;=1,0,(各r阵容卡情况!$AB160-1)*H$26)*各r阵容卡情况!$H160)+
IF(各r阵容卡情况!$I160=0,0,IF(各r阵容卡情况!$AC160&lt;=1,0,(各r阵容卡情况!$AC160-1)*H$27)*各r阵容卡情况!$I160)+
IF(各r阵容卡情况!$J160=0,0,IF(各r阵容卡情况!$AD160&lt;=1,0,(各r阵容卡情况!$AD160-1)*H$28)*各r阵容卡情况!$J160)</f>
        <v>0</v>
      </c>
      <c r="AJ154" s="67">
        <f>IF(各r阵容卡情况!$H160=0,0,IF(各r阵容卡情况!$AB160&lt;=1,0,(各r阵容卡情况!$AB160-1)*I$26)*各r阵容卡情况!$H160)+
IF(各r阵容卡情况!$I160=0,0,IF(各r阵容卡情况!$AC160&lt;=1,0,(各r阵容卡情况!$AC160-1)*I$27)*各r阵容卡情况!$I160)+
IF(各r阵容卡情况!$J160=0,0,IF(各r阵容卡情况!$AD160&lt;=1,0,(各r阵容卡情况!$AD160-1)*I$28)*各r阵容卡情况!$J160)</f>
        <v>0</v>
      </c>
      <c r="AL154" s="80">
        <f t="shared" si="114"/>
        <v>80</v>
      </c>
      <c r="AM154" s="80">
        <f t="shared" si="115"/>
        <v>48</v>
      </c>
      <c r="AN154" s="80">
        <f t="shared" si="116"/>
        <v>0</v>
      </c>
      <c r="AO154" s="80">
        <f t="shared" si="117"/>
        <v>0</v>
      </c>
      <c r="AP154" s="80">
        <f t="shared" si="118"/>
        <v>240</v>
      </c>
      <c r="AQ154" s="80">
        <f t="shared" si="119"/>
        <v>0</v>
      </c>
      <c r="AR154" s="80">
        <f t="shared" si="120"/>
        <v>0</v>
      </c>
      <c r="AS154" s="80">
        <f t="shared" si="121"/>
        <v>144</v>
      </c>
      <c r="AT154" s="80">
        <f t="shared" si="122"/>
        <v>0</v>
      </c>
      <c r="AU154" s="80">
        <f t="shared" si="123"/>
        <v>0</v>
      </c>
      <c r="AV154" s="80">
        <f t="shared" si="124"/>
        <v>720</v>
      </c>
      <c r="AW154" s="80">
        <f t="shared" si="125"/>
        <v>0</v>
      </c>
      <c r="AX154" s="80">
        <f t="shared" si="126"/>
        <v>0</v>
      </c>
      <c r="AY154" s="61" t="e">
        <f>SUMPRODUCT(AM154:AR154/'[1]功能-行军令'!$GI$26:$GN$26+AS154:AX154/'[1]功能-行军令'!$GI$26:$GN$26)/0.18</f>
        <v>#DIV/0!</v>
      </c>
      <c r="BB154" s="80">
        <v>160</v>
      </c>
      <c r="BC154" s="80"/>
      <c r="BD154" s="80"/>
      <c r="BE154" s="80"/>
      <c r="BF154" s="80"/>
      <c r="BG154" s="80"/>
      <c r="BH154" s="80"/>
      <c r="BI154" s="80"/>
      <c r="BJ154" s="80"/>
      <c r="BK154" s="80">
        <f t="shared" si="130"/>
        <v>0</v>
      </c>
      <c r="BO154" s="80">
        <f t="shared" si="111"/>
        <v>81.919202803497143</v>
      </c>
      <c r="BP154" s="80">
        <f t="shared" si="112"/>
        <v>12300000</v>
      </c>
      <c r="BQ154" s="80">
        <f>(BP154-BP153)*INDEX('[1]功能-付费相关'!$AT$6:$AT$165,$BO154,1)+BQ153</f>
        <v>16421.870715493144</v>
      </c>
      <c r="BR154" s="80"/>
      <c r="BS154" s="80"/>
      <c r="BU154" s="80">
        <v>160</v>
      </c>
      <c r="BV154" s="80">
        <f t="shared" si="113"/>
        <v>16421.870715493144</v>
      </c>
      <c r="BW154" s="86">
        <f t="shared" si="129"/>
        <v>114432.36000000002</v>
      </c>
      <c r="BX154" s="80"/>
      <c r="BY154" s="80">
        <f t="shared" si="131"/>
        <v>130854.23071549316</v>
      </c>
    </row>
    <row r="155" spans="12:77" x14ac:dyDescent="0.15">
      <c r="L155" s="61">
        <v>19</v>
      </c>
      <c r="M155" s="80">
        <f>基础状态预期!D167</f>
        <v>81.919202803497143</v>
      </c>
      <c r="N155" s="80">
        <f>IF(基础状态预期!F167="",0,IF(基础状态预期!Z167&lt;=1,基础状态预期!Z167*D$4,1*D$4+(基础状态预期!Z167-1)*武将觉醒!D$5))</f>
        <v>0</v>
      </c>
      <c r="O155" s="80">
        <f>IF(基础状态预期!G167="",0,IF(基础状态预期!AA167&lt;=1,基础状态预期!AA167*E$4,1*E$4+(基础状态预期!AA167-1)*武将觉醒!E$5))</f>
        <v>0</v>
      </c>
      <c r="P155" s="80">
        <f>IF(基础状态预期!H167="",0,IF(基础状态预期!AB167&lt;=1,基础状态预期!AB167*F$4,1*F$4+(基础状态预期!AB167-1)*武将觉醒!F$5))</f>
        <v>0</v>
      </c>
      <c r="Q155" s="80">
        <f>IF(基础状态预期!I167="",0,IF(基础状态预期!AC167&lt;=1,基础状态预期!AC167*G$4,1*G$4+(基础状态预期!AC167-1)*武将觉醒!G$5))</f>
        <v>0</v>
      </c>
      <c r="R155" s="80">
        <f>IF(基础状态预期!J167="",0,IF(基础状态预期!AD167&lt;=1,基础状态预期!AD167*H$4,1*H$4+(基础状态预期!AD167-1)*武将觉醒!H$5))</f>
        <v>2050000</v>
      </c>
      <c r="S155" s="80">
        <f>MAX(SUMPRODUCT(N155:R155,基础状态预期!F167:J167),S154)</f>
        <v>12300000</v>
      </c>
      <c r="T155" s="80">
        <f>IF(基础状态预期!Z167="",0,IFERROR(基础状态预期!F167*求节点($C$62:$C$63,D$62:D$63,基础状态预期!Z167),0)+IFERROR(基础状态预期!$J167*求节点($C$71:$C$72,D$71:D$72,基础状态预期!$AD167),0))</f>
        <v>0</v>
      </c>
      <c r="U155" s="80">
        <f>IF(基础状态预期!AA167="",0,IFERROR(基础状态预期!G167*求节点($C$62:$C$63,E$62:E$63,基础状态预期!AA167),0)+IFERROR(基础状态预期!$J167*求节点($C$71:$C$72,E$71:E$72,基础状态预期!$AD167),0))</f>
        <v>0</v>
      </c>
      <c r="V155" s="80">
        <f>IF(基础状态预期!AB167="",0,IFERROR(基础状态预期!H167*求节点($C$62:$C$63,F$62:F$63,基础状态预期!AB167),0)+IFERROR(基础状态预期!$J167*求节点($C$71:$C$72,F$71:F$72,基础状态预期!$AD167),0))</f>
        <v>0</v>
      </c>
      <c r="W155" s="80">
        <f>IF(基础状态预期!AC167="",0,IFERROR(基础状态预期!I167*求节点($C$62:$C$63,G$62:G$63,基础状态预期!AC167),0)+IFERROR(基础状态预期!$J167*求节点($C$71:$C$72,G$71:G$72,基础状态预期!$AD167),0))</f>
        <v>0</v>
      </c>
      <c r="X155" s="80">
        <f>IF(基础状态预期!AD167="",0,IFERROR(基础状态预期!J167*求节点($C$62:$C$63,H$62:H$63,基础状态预期!AD167),0)+IFERROR(基础状态预期!$J167*求节点($C$71:$C$72,H$71:H$72,基础状态预期!$AD167),0))</f>
        <v>0</v>
      </c>
      <c r="Y155" s="80">
        <f>IF(基础状态预期!$H167="",0,IF(基础状态预期!$AB167&lt;=1,基础状态预期!$AB167*D$18,D$18)*基础状态预期!$H167)+
IF(基础状态预期!$I167="",0,IF(基础状态预期!$AC167&lt;=1,基础状态预期!$AC167*D$19,D$19)*基础状态预期!$I167)+
IF(基础状态预期!$J167="",0,IF(基础状态预期!$AD167&lt;=1,基础状态预期!$AD167*D$20,D$20)*基础状态预期!$J167)</f>
        <v>48</v>
      </c>
      <c r="Z155" s="80">
        <f>IF(基础状态预期!$H167="",0,IF(基础状态预期!$AB167&lt;=1,基础状态预期!$AB167*E$18,E$18)*基础状态预期!$H167)+
IF(基础状态预期!$I167="",0,IF(基础状态预期!$AC167&lt;=1,基础状态预期!$AC167*E$19,E$19)*基础状态预期!$I167)+
IF(基础状态预期!$J167="",0,IF(基础状态预期!$AD167&lt;=1,基础状态预期!$AD167*E$20,E$20)*基础状态预期!$J167)</f>
        <v>0</v>
      </c>
      <c r="AA155" s="80">
        <f>IF(基础状态预期!$H167="",0,IF(基础状态预期!$AB167&lt;=1,基础状态预期!$AB167*F$18,F$18)*基础状态预期!$H167)+
IF(基础状态预期!$I167="",0,IF(基础状态预期!$AC167&lt;=1,基础状态预期!$AC167*F$19,F$19)*基础状态预期!$I167)+
IF(基础状态预期!$J167="",0,IF(基础状态预期!$AD167&lt;=1,基础状态预期!$AD167*F$20,F$20)*基础状态预期!$J167)</f>
        <v>0</v>
      </c>
      <c r="AB155" s="67">
        <f>IF(基础状态预期!$H167="",0,IF(基础状态预期!$AB167&lt;=1,0,(基础状态预期!$AB167-1)*G$26)*基础状态预期!$H167)+
IF(基础状态预期!$I167="",0,IF(基础状态预期!$AC167&lt;=1,0,(基础状态预期!$AC167-1)*G$27)*基础状态预期!$I167)+
IF(基础状态预期!$J167="",0,IF(基础状态预期!$AD167&lt;=1,0,(基础状态预期!$AD167-1)*G$28)*基础状态预期!$J167)</f>
        <v>240</v>
      </c>
      <c r="AC155" s="67">
        <f>IF(基础状态预期!$H167="",0,IF(基础状态预期!$AB167&lt;=1,0,(基础状态预期!$AB167-1)*H$26)*基础状态预期!$H167)+
IF(基础状态预期!$I167="",0,IF(基础状态预期!$AC167&lt;=1,0,(基础状态预期!$AC167-1)*H$27)*基础状态预期!$I167)+
IF(基础状态预期!$J167="",0,IF(基础状态预期!$AD167&lt;=1,0,(基础状态预期!$AD167-1)*H$28)*基础状态预期!$J167)</f>
        <v>0</v>
      </c>
      <c r="AD155" s="67">
        <f>IF(基础状态预期!$H167="",0,IF(基础状态预期!$AB167&lt;=1,0,(基础状态预期!$AB167-1)*I$26)*基础状态预期!$H167)+
IF(基础状态预期!$I167="",0,IF(基础状态预期!$AC167&lt;=1,0,(基础状态预期!$AC167-1)*I$27)*基础状态预期!$I167)+
IF(基础状态预期!$J167="",0,IF(基础状态预期!$AD167&lt;=1,0,(基础状态预期!$AD167-1)*I$28)*基础状态预期!$J167)</f>
        <v>0</v>
      </c>
      <c r="AE155" s="80">
        <f>IF(各r阵容卡情况!$H161=0,0,IF(各r阵容卡情况!$AB161&lt;=1,各r阵容卡情况!$AB161*D$18,1*D$18)*各r阵容卡情况!$H161)+
IF(各r阵容卡情况!$I161=0,0,IF(各r阵容卡情况!$AC161&lt;=1,各r阵容卡情况!$AC161*D$19,1*D$19)*各r阵容卡情况!$I161)+
IF(各r阵容卡情况!$J161=0,0,IF(各r阵容卡情况!$AD161&lt;=1,各r阵容卡情况!$AD161*D$20,1*D$20)*各r阵容卡情况!$J161)</f>
        <v>144</v>
      </c>
      <c r="AF155" s="80">
        <f>IF(各r阵容卡情况!$H161=0,0,IF(各r阵容卡情况!$AB161&lt;=1,各r阵容卡情况!$AB161*E$18,1*E$18)*各r阵容卡情况!$H161)+
IF(各r阵容卡情况!$I161=0,0,IF(各r阵容卡情况!$AC161&lt;=1,各r阵容卡情况!$AC161*E$19,1*E$19)*各r阵容卡情况!$I161)+
IF(各r阵容卡情况!$J161=0,0,IF(各r阵容卡情况!$AD161&lt;=1,各r阵容卡情况!$AD161*E$20,1*E$20)*各r阵容卡情况!$J161)</f>
        <v>0</v>
      </c>
      <c r="AG155" s="80">
        <f>IF(各r阵容卡情况!$H161=0,0,IF(各r阵容卡情况!$AB161&lt;=1,各r阵容卡情况!$AB161*F$18,1*F$18)*各r阵容卡情况!$H161)+
IF(各r阵容卡情况!$I161=0,0,IF(各r阵容卡情况!$AC161&lt;=1,各r阵容卡情况!$AC161*F$19,1*F$19)*各r阵容卡情况!$I161)+
IF(各r阵容卡情况!$J161=0,0,IF(各r阵容卡情况!$AD161&lt;=1,各r阵容卡情况!$AD161*F$20,1*F$20)*各r阵容卡情况!$J161)</f>
        <v>0</v>
      </c>
      <c r="AH155" s="67">
        <f>IF(各r阵容卡情况!$H161=0,0,IF(各r阵容卡情况!$AB161&lt;=1,0,(各r阵容卡情况!$AB161-1)*G$26)*各r阵容卡情况!$H161)+
IF(各r阵容卡情况!$I161=0,0,IF(各r阵容卡情况!$AC161&lt;=1,0,(各r阵容卡情况!$AC161-1)*G$27)*各r阵容卡情况!$I161)+
IF(各r阵容卡情况!$J161=0,0,IF(各r阵容卡情况!$AD161&lt;=1,0,(各r阵容卡情况!$AD161-1)*G$28)*各r阵容卡情况!$J161)</f>
        <v>720</v>
      </c>
      <c r="AI155" s="67">
        <f>IF(各r阵容卡情况!$H161=0,0,IF(各r阵容卡情况!$AB161&lt;=1,0,(各r阵容卡情况!$AB161-1)*H$26)*各r阵容卡情况!$H161)+
IF(各r阵容卡情况!$I161=0,0,IF(各r阵容卡情况!$AC161&lt;=1,0,(各r阵容卡情况!$AC161-1)*H$27)*各r阵容卡情况!$I161)+
IF(各r阵容卡情况!$J161=0,0,IF(各r阵容卡情况!$AD161&lt;=1,0,(各r阵容卡情况!$AD161-1)*H$28)*各r阵容卡情况!$J161)</f>
        <v>0</v>
      </c>
      <c r="AJ155" s="67">
        <f>IF(各r阵容卡情况!$H161=0,0,IF(各r阵容卡情况!$AB161&lt;=1,0,(各r阵容卡情况!$AB161-1)*I$26)*各r阵容卡情况!$H161)+
IF(各r阵容卡情况!$I161=0,0,IF(各r阵容卡情况!$AC161&lt;=1,0,(各r阵容卡情况!$AC161-1)*I$27)*各r阵容卡情况!$I161)+
IF(各r阵容卡情况!$J161=0,0,IF(各r阵容卡情况!$AD161&lt;=1,0,(各r阵容卡情况!$AD161-1)*I$28)*各r阵容卡情况!$J161)</f>
        <v>0</v>
      </c>
      <c r="AL155" s="80">
        <f t="shared" si="114"/>
        <v>85</v>
      </c>
      <c r="AM155" s="80">
        <f t="shared" si="115"/>
        <v>48</v>
      </c>
      <c r="AN155" s="80">
        <f t="shared" si="116"/>
        <v>0</v>
      </c>
      <c r="AO155" s="80">
        <f t="shared" si="117"/>
        <v>0</v>
      </c>
      <c r="AP155" s="80">
        <f t="shared" si="118"/>
        <v>240</v>
      </c>
      <c r="AQ155" s="80">
        <f t="shared" si="119"/>
        <v>0</v>
      </c>
      <c r="AR155" s="80">
        <f t="shared" si="120"/>
        <v>0</v>
      </c>
      <c r="AS155" s="80">
        <f t="shared" si="121"/>
        <v>65.281121997107817</v>
      </c>
      <c r="AT155" s="80">
        <f t="shared" si="122"/>
        <v>0</v>
      </c>
      <c r="AU155" s="80">
        <f t="shared" si="123"/>
        <v>0</v>
      </c>
      <c r="AV155" s="80">
        <f t="shared" si="124"/>
        <v>326.40560998553917</v>
      </c>
      <c r="AW155" s="80">
        <f t="shared" si="125"/>
        <v>0</v>
      </c>
      <c r="AX155" s="80">
        <f t="shared" si="126"/>
        <v>0</v>
      </c>
      <c r="AY155" s="61" t="e">
        <f>SUMPRODUCT(AM155:AR155/'[1]功能-行军令'!$GI$26:$GN$26+AS155:AX155/'[1]功能-行军令'!$GI$26:$GN$26)/0.18</f>
        <v>#DIV/0!</v>
      </c>
      <c r="BO155" s="80">
        <f t="shared" ref="BO155:BO177" si="132">$M156</f>
        <v>83.738783536778797</v>
      </c>
      <c r="BP155" s="80">
        <f t="shared" ref="BP155:BP177" si="133">$S156</f>
        <v>12300000</v>
      </c>
      <c r="BQ155" s="80">
        <f>(BP155-BP154)*INDEX('[1]功能-付费相关'!$AT$6:$AT$165,$BO155,1)+BQ154</f>
        <v>16421.870715493144</v>
      </c>
      <c r="BR155" s="80"/>
      <c r="BS155" s="80"/>
    </row>
    <row r="156" spans="12:77" x14ac:dyDescent="0.15">
      <c r="L156" s="61">
        <v>20</v>
      </c>
      <c r="M156" s="80">
        <f>基础状态预期!D168</f>
        <v>83.738783536778797</v>
      </c>
      <c r="N156" s="80">
        <f>IF(基础状态预期!F168="",0,IF(基础状态预期!Z168&lt;=1,基础状态预期!Z168*D$4,1*D$4+(基础状态预期!Z168-1)*武将觉醒!D$5))</f>
        <v>0</v>
      </c>
      <c r="O156" s="80">
        <f>IF(基础状态预期!G168="",0,IF(基础状态预期!AA168&lt;=1,基础状态预期!AA168*E$4,1*E$4+(基础状态预期!AA168-1)*武将觉醒!E$5))</f>
        <v>0</v>
      </c>
      <c r="P156" s="80">
        <f>IF(基础状态预期!H168="",0,IF(基础状态预期!AB168&lt;=1,基础状态预期!AB168*F$4,1*F$4+(基础状态预期!AB168-1)*武将觉醒!F$5))</f>
        <v>0</v>
      </c>
      <c r="Q156" s="80">
        <f>IF(基础状态预期!I168="",0,IF(基础状态预期!AC168&lt;=1,基础状态预期!AC168*G$4,1*G$4+(基础状态预期!AC168-1)*武将觉醒!G$5))</f>
        <v>0</v>
      </c>
      <c r="R156" s="80">
        <f>IF(基础状态预期!J168="",0,IF(基础状态预期!AD168&lt;=1,基础状态预期!AD168*H$4,1*H$4+(基础状态预期!AD168-1)*武将觉醒!H$5))</f>
        <v>2050000</v>
      </c>
      <c r="S156" s="80">
        <f>MAX(SUMPRODUCT(N156:R156,基础状态预期!F168:J168),S155)</f>
        <v>12300000</v>
      </c>
      <c r="T156" s="80">
        <f>IF(基础状态预期!Z168="",0,IFERROR(基础状态预期!F168*求节点($C$62:$C$63,D$62:D$63,基础状态预期!Z168),0)+IFERROR(基础状态预期!$J168*求节点($C$71:$C$72,D$71:D$72,基础状态预期!$AD168),0))</f>
        <v>0</v>
      </c>
      <c r="U156" s="80">
        <f>IF(基础状态预期!AA168="",0,IFERROR(基础状态预期!G168*求节点($C$62:$C$63,E$62:E$63,基础状态预期!AA168),0)+IFERROR(基础状态预期!$J168*求节点($C$71:$C$72,E$71:E$72,基础状态预期!$AD168),0))</f>
        <v>0</v>
      </c>
      <c r="V156" s="80">
        <f>IF(基础状态预期!AB168="",0,IFERROR(基础状态预期!H168*求节点($C$62:$C$63,F$62:F$63,基础状态预期!AB168),0)+IFERROR(基础状态预期!$J168*求节点($C$71:$C$72,F$71:F$72,基础状态预期!$AD168),0))</f>
        <v>0</v>
      </c>
      <c r="W156" s="80">
        <f>IF(基础状态预期!AC168="",0,IFERROR(基础状态预期!I168*求节点($C$62:$C$63,G$62:G$63,基础状态预期!AC168),0)+IFERROR(基础状态预期!$J168*求节点($C$71:$C$72,G$71:G$72,基础状态预期!$AD168),0))</f>
        <v>0</v>
      </c>
      <c r="X156" s="80">
        <f>IF(基础状态预期!AD168="",0,IFERROR(基础状态预期!J168*求节点($C$62:$C$63,H$62:H$63,基础状态预期!AD168),0)+IFERROR(基础状态预期!$J168*求节点($C$71:$C$72,H$71:H$72,基础状态预期!$AD168),0))</f>
        <v>0</v>
      </c>
      <c r="Y156" s="80">
        <f>IF(基础状态预期!$H168="",0,IF(基础状态预期!$AB168&lt;=1,基础状态预期!$AB168*D$18,D$18)*基础状态预期!$H168)+
IF(基础状态预期!$I168="",0,IF(基础状态预期!$AC168&lt;=1,基础状态预期!$AC168*D$19,D$19)*基础状态预期!$I168)+
IF(基础状态预期!$J168="",0,IF(基础状态预期!$AD168&lt;=1,基础状态预期!$AD168*D$20,D$20)*基础状态预期!$J168)</f>
        <v>48</v>
      </c>
      <c r="Z156" s="80">
        <f>IF(基础状态预期!$H168="",0,IF(基础状态预期!$AB168&lt;=1,基础状态预期!$AB168*E$18,E$18)*基础状态预期!$H168)+
IF(基础状态预期!$I168="",0,IF(基础状态预期!$AC168&lt;=1,基础状态预期!$AC168*E$19,E$19)*基础状态预期!$I168)+
IF(基础状态预期!$J168="",0,IF(基础状态预期!$AD168&lt;=1,基础状态预期!$AD168*E$20,E$20)*基础状态预期!$J168)</f>
        <v>0</v>
      </c>
      <c r="AA156" s="80">
        <f>IF(基础状态预期!$H168="",0,IF(基础状态预期!$AB168&lt;=1,基础状态预期!$AB168*F$18,F$18)*基础状态预期!$H168)+
IF(基础状态预期!$I168="",0,IF(基础状态预期!$AC168&lt;=1,基础状态预期!$AC168*F$19,F$19)*基础状态预期!$I168)+
IF(基础状态预期!$J168="",0,IF(基础状态预期!$AD168&lt;=1,基础状态预期!$AD168*F$20,F$20)*基础状态预期!$J168)</f>
        <v>0</v>
      </c>
      <c r="AB156" s="67">
        <f>IF(基础状态预期!$H168="",0,IF(基础状态预期!$AB168&lt;=1,0,(基础状态预期!$AB168-1)*G$26)*基础状态预期!$H168)+
IF(基础状态预期!$I168="",0,IF(基础状态预期!$AC168&lt;=1,0,(基础状态预期!$AC168-1)*G$27)*基础状态预期!$I168)+
IF(基础状态预期!$J168="",0,IF(基础状态预期!$AD168&lt;=1,0,(基础状态预期!$AD168-1)*G$28)*基础状态预期!$J168)</f>
        <v>240</v>
      </c>
      <c r="AC156" s="67">
        <f>IF(基础状态预期!$H168="",0,IF(基础状态预期!$AB168&lt;=1,0,(基础状态预期!$AB168-1)*H$26)*基础状态预期!$H168)+
IF(基础状态预期!$I168="",0,IF(基础状态预期!$AC168&lt;=1,0,(基础状态预期!$AC168-1)*H$27)*基础状态预期!$I168)+
IF(基础状态预期!$J168="",0,IF(基础状态预期!$AD168&lt;=1,0,(基础状态预期!$AD168-1)*H$28)*基础状态预期!$J168)</f>
        <v>0</v>
      </c>
      <c r="AD156" s="67">
        <f>IF(基础状态预期!$H168="",0,IF(基础状态预期!$AB168&lt;=1,0,(基础状态预期!$AB168-1)*I$26)*基础状态预期!$H168)+
IF(基础状态预期!$I168="",0,IF(基础状态预期!$AC168&lt;=1,0,(基础状态预期!$AC168-1)*I$27)*基础状态预期!$I168)+
IF(基础状态预期!$J168="",0,IF(基础状态预期!$AD168&lt;=1,0,(基础状态预期!$AD168-1)*I$28)*基础状态预期!$J168)</f>
        <v>0</v>
      </c>
      <c r="AE156" s="80">
        <f>IF(各r阵容卡情况!$H184=0,0,IF(各r阵容卡情况!$AB184&lt;=1,各r阵容卡情况!$AB184*D$18,1*D$18)*各r阵容卡情况!$H184)+
IF(各r阵容卡情况!$I184=0,0,IF(各r阵容卡情况!$AC184&lt;=1,各r阵容卡情况!$AC184*D$19,1*D$19)*各r阵容卡情况!$I184)+
IF(各r阵容卡情况!$J184=0,0,IF(各r阵容卡情况!$AD184&lt;=1,各r阵容卡情况!$AD184*D$20,1*D$20)*各r阵容卡情况!$J184)</f>
        <v>144</v>
      </c>
      <c r="AF156" s="80">
        <f>IF(各r阵容卡情况!$H184=0,0,IF(各r阵容卡情况!$AB184&lt;=1,各r阵容卡情况!$AB184*E$18,1*E$18)*各r阵容卡情况!$H184)+
IF(各r阵容卡情况!$I184=0,0,IF(各r阵容卡情况!$AC184&lt;=1,各r阵容卡情况!$AC184*E$19,1*E$19)*各r阵容卡情况!$I184)+
IF(各r阵容卡情况!$J184=0,0,IF(各r阵容卡情况!$AD184&lt;=1,各r阵容卡情况!$AD184*E$20,1*E$20)*各r阵容卡情况!$J184)</f>
        <v>0</v>
      </c>
      <c r="AG156" s="80">
        <f>IF(各r阵容卡情况!$H184=0,0,IF(各r阵容卡情况!$AB184&lt;=1,各r阵容卡情况!$AB184*F$18,1*F$18)*各r阵容卡情况!$H184)+
IF(各r阵容卡情况!$I184=0,0,IF(各r阵容卡情况!$AC184&lt;=1,各r阵容卡情况!$AC184*F$19,1*F$19)*各r阵容卡情况!$I184)+
IF(各r阵容卡情况!$J184=0,0,IF(各r阵容卡情况!$AD184&lt;=1,各r阵容卡情况!$AD184*F$20,1*F$20)*各r阵容卡情况!$J184)</f>
        <v>0</v>
      </c>
      <c r="AH156" s="67">
        <f>IF(各r阵容卡情况!$H184=0,0,IF(各r阵容卡情况!$AB184&lt;=1,0,(各r阵容卡情况!$AB184-1)*G$26)*各r阵容卡情况!$H184)+
IF(各r阵容卡情况!$I184=0,0,IF(各r阵容卡情况!$AC184&lt;=1,0,(各r阵容卡情况!$AC184-1)*G$27)*各r阵容卡情况!$I184)+
IF(各r阵容卡情况!$J184=0,0,IF(各r阵容卡情况!$AD184&lt;=1,0,(各r阵容卡情况!$AD184-1)*G$28)*各r阵容卡情况!$J184)</f>
        <v>720</v>
      </c>
      <c r="AI156" s="67">
        <f>IF(各r阵容卡情况!$H184=0,0,IF(各r阵容卡情况!$AB184&lt;=1,0,(各r阵容卡情况!$AB184-1)*H$26)*各r阵容卡情况!$H184)+
IF(各r阵容卡情况!$I184=0,0,IF(各r阵容卡情况!$AC184&lt;=1,0,(各r阵容卡情况!$AC184-1)*H$27)*各r阵容卡情况!$I184)+
IF(各r阵容卡情况!$J184=0,0,IF(各r阵容卡情况!$AD184&lt;=1,0,(各r阵容卡情况!$AD184-1)*H$28)*各r阵容卡情况!$J184)</f>
        <v>0</v>
      </c>
      <c r="AJ156" s="67">
        <f>IF(各r阵容卡情况!$H184=0,0,IF(各r阵容卡情况!$AB184&lt;=1,0,(各r阵容卡情况!$AB184-1)*I$26)*各r阵容卡情况!$H184)+
IF(各r阵容卡情况!$I184=0,0,IF(各r阵容卡情况!$AC184&lt;=1,0,(各r阵容卡情况!$AC184-1)*I$27)*各r阵容卡情况!$I184)+
IF(各r阵容卡情况!$J184=0,0,IF(各r阵容卡情况!$AD184&lt;=1,0,(各r阵容卡情况!$AD184-1)*I$28)*各r阵容卡情况!$J184)</f>
        <v>0</v>
      </c>
      <c r="AL156" s="80">
        <f t="shared" ref="AL156:AL178" si="134">AL111</f>
        <v>90</v>
      </c>
      <c r="AM156" s="80">
        <f t="shared" ref="AM156:AM178" si="135">求节点($M$140:$M$178,Y$140:Y$178,$AL156)</f>
        <v>48</v>
      </c>
      <c r="AN156" s="80">
        <f t="shared" ref="AN156:AN178" si="136">求节点($M$140:$M$178,Z$140:Z$178,$AL156)</f>
        <v>0</v>
      </c>
      <c r="AO156" s="80">
        <f t="shared" ref="AO156:AO178" si="137">求节点($M$140:$M$178,AA$140:AA$178,$AL156)</f>
        <v>0</v>
      </c>
      <c r="AP156" s="80">
        <f t="shared" ref="AP156:AP178" si="138">求节点($M$140:$M$178,AB$140:AB$178,$AL156)</f>
        <v>240</v>
      </c>
      <c r="AQ156" s="80">
        <f t="shared" ref="AQ156:AQ178" si="139">求节点($M$140:$M$178,AC$140:AC$178,$AL156)</f>
        <v>0</v>
      </c>
      <c r="AR156" s="80">
        <f t="shared" ref="AR156:AR178" si="140">求节点($M$140:$M$178,AD$140:AD$178,$AL156)</f>
        <v>0</v>
      </c>
      <c r="AS156" s="80">
        <f t="shared" ref="AS156:AS178" si="141">求节点($M$140:$M$178,AE$140:AE$178,$AL156)</f>
        <v>0</v>
      </c>
      <c r="AT156" s="80">
        <f t="shared" ref="AT156:AT178" si="142">求节点($M$140:$M$178,AF$140:AF$178,$AL156)</f>
        <v>0</v>
      </c>
      <c r="AU156" s="80">
        <f t="shared" ref="AU156:AU178" si="143">求节点($M$140:$M$178,AG$140:AG$178,$AL156)</f>
        <v>0</v>
      </c>
      <c r="AV156" s="80">
        <f t="shared" ref="AV156:AV178" si="144">求节点($M$140:$M$178,AH$140:AH$178,$AL156)</f>
        <v>0</v>
      </c>
      <c r="AW156" s="80">
        <f t="shared" ref="AW156:AW178" si="145">求节点($M$140:$M$178,AI$140:AI$178,$AL156)</f>
        <v>0</v>
      </c>
      <c r="AX156" s="80">
        <f t="shared" ref="AX156:AX178" si="146">求节点($M$140:$M$178,AJ$140:AJ$178,$AL156)</f>
        <v>0</v>
      </c>
      <c r="AY156" s="61" t="e">
        <f>SUMPRODUCT(AM156:AR156/'[1]功能-行军令'!$GI$26:$GN$26+AS156:AX156/'[1]功能-行军令'!$GI$26:$GN$26)/0.18</f>
        <v>#DIV/0!</v>
      </c>
      <c r="BO156" s="80">
        <f t="shared" si="132"/>
        <v>86.045919706798657</v>
      </c>
      <c r="BP156" s="80">
        <f t="shared" si="133"/>
        <v>12300000</v>
      </c>
      <c r="BQ156" s="80">
        <f>(BP156-BP155)*INDEX('[1]功能-付费相关'!$AT$6:$AT$165,$BO156,1)+BQ155</f>
        <v>16421.870715493144</v>
      </c>
      <c r="BR156" s="80"/>
      <c r="BS156" s="80"/>
    </row>
    <row r="157" spans="12:77" x14ac:dyDescent="0.15">
      <c r="L157" s="61">
        <v>21</v>
      </c>
      <c r="M157" s="80">
        <f>基础状态预期!D169</f>
        <v>86.045919706798657</v>
      </c>
      <c r="N157" s="80">
        <f>IF(基础状态预期!F169="",0,IF(基础状态预期!Z169&lt;=1,基础状态预期!Z169*D$4,1*D$4+(基础状态预期!Z169-1)*武将觉醒!D$5))</f>
        <v>0</v>
      </c>
      <c r="O157" s="80">
        <f>IF(基础状态预期!G169="",0,IF(基础状态预期!AA169&lt;=1,基础状态预期!AA169*E$4,1*E$4+(基础状态预期!AA169-1)*武将觉醒!E$5))</f>
        <v>0</v>
      </c>
      <c r="P157" s="80">
        <f>IF(基础状态预期!H169="",0,IF(基础状态预期!AB169&lt;=1,基础状态预期!AB169*F$4,1*F$4+(基础状态预期!AB169-1)*武将觉醒!F$5))</f>
        <v>0</v>
      </c>
      <c r="Q157" s="80">
        <f>IF(基础状态预期!I169="",0,IF(基础状态预期!AC169&lt;=1,基础状态预期!AC169*G$4,1*G$4+(基础状态预期!AC169-1)*武将觉醒!G$5))</f>
        <v>0</v>
      </c>
      <c r="R157" s="80">
        <f>IF(基础状态预期!J169="",0,IF(基础状态预期!AD169&lt;=1,基础状态预期!AD169*H$4,1*H$4+(基础状态预期!AD169-1)*武将觉醒!H$5))</f>
        <v>2050000</v>
      </c>
      <c r="S157" s="80">
        <f>MAX(SUMPRODUCT(N157:R157,基础状态预期!F169:J169),S156)</f>
        <v>12300000</v>
      </c>
      <c r="T157" s="80">
        <f>IF(基础状态预期!Z169="",0,IFERROR(基础状态预期!F169*求节点($C$62:$C$63,D$62:D$63,基础状态预期!Z169),0)+IFERROR(基础状态预期!$J169*求节点($C$71:$C$72,D$71:D$72,基础状态预期!$AD169),0))</f>
        <v>0</v>
      </c>
      <c r="U157" s="80">
        <f>IF(基础状态预期!AA169="",0,IFERROR(基础状态预期!G169*求节点($C$62:$C$63,E$62:E$63,基础状态预期!AA169),0)+IFERROR(基础状态预期!$J169*求节点($C$71:$C$72,E$71:E$72,基础状态预期!$AD169),0))</f>
        <v>0</v>
      </c>
      <c r="V157" s="80">
        <f>IF(基础状态预期!AB169="",0,IFERROR(基础状态预期!H169*求节点($C$62:$C$63,F$62:F$63,基础状态预期!AB169),0)+IFERROR(基础状态预期!$J169*求节点($C$71:$C$72,F$71:F$72,基础状态预期!$AD169),0))</f>
        <v>0</v>
      </c>
      <c r="W157" s="80">
        <f>IF(基础状态预期!AC169="",0,IFERROR(基础状态预期!I169*求节点($C$62:$C$63,G$62:G$63,基础状态预期!AC169),0)+IFERROR(基础状态预期!$J169*求节点($C$71:$C$72,G$71:G$72,基础状态预期!$AD169),0))</f>
        <v>0</v>
      </c>
      <c r="X157" s="80">
        <f>IF(基础状态预期!AD169="",0,IFERROR(基础状态预期!J169*求节点($C$62:$C$63,H$62:H$63,基础状态预期!AD169),0)+IFERROR(基础状态预期!$J169*求节点($C$71:$C$72,H$71:H$72,基础状态预期!$AD169),0))</f>
        <v>0</v>
      </c>
      <c r="Y157" s="80">
        <f>IF(基础状态预期!$H169="",0,IF(基础状态预期!$AB169&lt;=1,基础状态预期!$AB169*D$18,D$18)*基础状态预期!$H169)+
IF(基础状态预期!$I169="",0,IF(基础状态预期!$AC169&lt;=1,基础状态预期!$AC169*D$19,D$19)*基础状态预期!$I169)+
IF(基础状态预期!$J169="",0,IF(基础状态预期!$AD169&lt;=1,基础状态预期!$AD169*D$20,D$20)*基础状态预期!$J169)</f>
        <v>48</v>
      </c>
      <c r="Z157" s="80">
        <f>IF(基础状态预期!$H169="",0,IF(基础状态预期!$AB169&lt;=1,基础状态预期!$AB169*E$18,E$18)*基础状态预期!$H169)+
IF(基础状态预期!$I169="",0,IF(基础状态预期!$AC169&lt;=1,基础状态预期!$AC169*E$19,E$19)*基础状态预期!$I169)+
IF(基础状态预期!$J169="",0,IF(基础状态预期!$AD169&lt;=1,基础状态预期!$AD169*E$20,E$20)*基础状态预期!$J169)</f>
        <v>0</v>
      </c>
      <c r="AA157" s="80">
        <f>IF(基础状态预期!$H169="",0,IF(基础状态预期!$AB169&lt;=1,基础状态预期!$AB169*F$18,F$18)*基础状态预期!$H169)+
IF(基础状态预期!$I169="",0,IF(基础状态预期!$AC169&lt;=1,基础状态预期!$AC169*F$19,F$19)*基础状态预期!$I169)+
IF(基础状态预期!$J169="",0,IF(基础状态预期!$AD169&lt;=1,基础状态预期!$AD169*F$20,F$20)*基础状态预期!$J169)</f>
        <v>0</v>
      </c>
      <c r="AB157" s="67">
        <f>IF(基础状态预期!$H169="",0,IF(基础状态预期!$AB169&lt;=1,0,(基础状态预期!$AB169-1)*G$26)*基础状态预期!$H169)+
IF(基础状态预期!$I169="",0,IF(基础状态预期!$AC169&lt;=1,0,(基础状态预期!$AC169-1)*G$27)*基础状态预期!$I169)+
IF(基础状态预期!$J169="",0,IF(基础状态预期!$AD169&lt;=1,0,(基础状态预期!$AD169-1)*G$28)*基础状态预期!$J169)</f>
        <v>240</v>
      </c>
      <c r="AC157" s="67">
        <f>IF(基础状态预期!$H169="",0,IF(基础状态预期!$AB169&lt;=1,0,(基础状态预期!$AB169-1)*H$26)*基础状态预期!$H169)+
IF(基础状态预期!$I169="",0,IF(基础状态预期!$AC169&lt;=1,0,(基础状态预期!$AC169-1)*H$27)*基础状态预期!$I169)+
IF(基础状态预期!$J169="",0,IF(基础状态预期!$AD169&lt;=1,0,(基础状态预期!$AD169-1)*H$28)*基础状态预期!$J169)</f>
        <v>0</v>
      </c>
      <c r="AD157" s="67">
        <f>IF(基础状态预期!$H169="",0,IF(基础状态预期!$AB169&lt;=1,0,(基础状态预期!$AB169-1)*I$26)*基础状态预期!$H169)+
IF(基础状态预期!$I169="",0,IF(基础状态预期!$AC169&lt;=1,0,(基础状态预期!$AC169-1)*I$27)*基础状态预期!$I169)+
IF(基础状态预期!$J169="",0,IF(基础状态预期!$AD169&lt;=1,0,(基础状态预期!$AD169-1)*I$28)*基础状态预期!$J169)</f>
        <v>0</v>
      </c>
      <c r="AE157" s="80">
        <f>IF(各r阵容卡情况!$H185=0,0,IF(各r阵容卡情况!$AB185&lt;=1,各r阵容卡情况!$AB185*D$18,1*D$18)*各r阵容卡情况!$H185)+
IF(各r阵容卡情况!$I185=0,0,IF(各r阵容卡情况!$AC185&lt;=1,各r阵容卡情况!$AC185*D$19,1*D$19)*各r阵容卡情况!$I185)+
IF(各r阵容卡情况!$J185=0,0,IF(各r阵容卡情况!$AD185&lt;=1,各r阵容卡情况!$AD185*D$20,1*D$20)*各r阵容卡情况!$J185)</f>
        <v>0</v>
      </c>
      <c r="AF157" s="80">
        <f>IF(各r阵容卡情况!$H185=0,0,IF(各r阵容卡情况!$AB185&lt;=1,各r阵容卡情况!$AB185*E$18,1*E$18)*各r阵容卡情况!$H185)+
IF(各r阵容卡情况!$I185=0,0,IF(各r阵容卡情况!$AC185&lt;=1,各r阵容卡情况!$AC185*E$19,1*E$19)*各r阵容卡情况!$I185)+
IF(各r阵容卡情况!$J185=0,0,IF(各r阵容卡情况!$AD185&lt;=1,各r阵容卡情况!$AD185*E$20,1*E$20)*各r阵容卡情况!$J185)</f>
        <v>0</v>
      </c>
      <c r="AG157" s="80">
        <f>IF(各r阵容卡情况!$H185=0,0,IF(各r阵容卡情况!$AB185&lt;=1,各r阵容卡情况!$AB185*F$18,1*F$18)*各r阵容卡情况!$H185)+
IF(各r阵容卡情况!$I185=0,0,IF(各r阵容卡情况!$AC185&lt;=1,各r阵容卡情况!$AC185*F$19,1*F$19)*各r阵容卡情况!$I185)+
IF(各r阵容卡情况!$J185=0,0,IF(各r阵容卡情况!$AD185&lt;=1,各r阵容卡情况!$AD185*F$20,1*F$20)*各r阵容卡情况!$J185)</f>
        <v>0</v>
      </c>
      <c r="AH157" s="67">
        <f>IF(各r阵容卡情况!$H185=0,0,IF(各r阵容卡情况!$AB185&lt;=1,0,(各r阵容卡情况!$AB185-1)*G$26)*各r阵容卡情况!$H185)+
IF(各r阵容卡情况!$I185=0,0,IF(各r阵容卡情况!$AC185&lt;=1,0,(各r阵容卡情况!$AC185-1)*G$27)*各r阵容卡情况!$I185)+
IF(各r阵容卡情况!$J185=0,0,IF(各r阵容卡情况!$AD185&lt;=1,0,(各r阵容卡情况!$AD185-1)*G$28)*各r阵容卡情况!$J185)</f>
        <v>0</v>
      </c>
      <c r="AI157" s="67">
        <f>IF(各r阵容卡情况!$H185=0,0,IF(各r阵容卡情况!$AB185&lt;=1,0,(各r阵容卡情况!$AB185-1)*H$26)*各r阵容卡情况!$H185)+
IF(各r阵容卡情况!$I185=0,0,IF(各r阵容卡情况!$AC185&lt;=1,0,(各r阵容卡情况!$AC185-1)*H$27)*各r阵容卡情况!$I185)+
IF(各r阵容卡情况!$J185=0,0,IF(各r阵容卡情况!$AD185&lt;=1,0,(各r阵容卡情况!$AD185-1)*H$28)*各r阵容卡情况!$J185)</f>
        <v>0</v>
      </c>
      <c r="AJ157" s="67">
        <f>IF(各r阵容卡情况!$H185=0,0,IF(各r阵容卡情况!$AB185&lt;=1,0,(各r阵容卡情况!$AB185-1)*I$26)*各r阵容卡情况!$H185)+
IF(各r阵容卡情况!$I185=0,0,IF(各r阵容卡情况!$AC185&lt;=1,0,(各r阵容卡情况!$AC185-1)*I$27)*各r阵容卡情况!$I185)+
IF(各r阵容卡情况!$J185=0,0,IF(各r阵容卡情况!$AD185&lt;=1,0,(各r阵容卡情况!$AD185-1)*I$28)*各r阵容卡情况!$J185)</f>
        <v>0</v>
      </c>
      <c r="AL157" s="80">
        <f t="shared" si="134"/>
        <v>95</v>
      </c>
      <c r="AM157" s="80">
        <f t="shared" si="135"/>
        <v>48</v>
      </c>
      <c r="AN157" s="80">
        <f t="shared" si="136"/>
        <v>0</v>
      </c>
      <c r="AO157" s="80">
        <f t="shared" si="137"/>
        <v>0</v>
      </c>
      <c r="AP157" s="80">
        <f t="shared" si="138"/>
        <v>240</v>
      </c>
      <c r="AQ157" s="80">
        <f t="shared" si="139"/>
        <v>0</v>
      </c>
      <c r="AR157" s="80">
        <f t="shared" si="140"/>
        <v>0</v>
      </c>
      <c r="AS157" s="80">
        <f t="shared" si="141"/>
        <v>0</v>
      </c>
      <c r="AT157" s="80">
        <f t="shared" si="142"/>
        <v>0</v>
      </c>
      <c r="AU157" s="80">
        <f t="shared" si="143"/>
        <v>0</v>
      </c>
      <c r="AV157" s="80">
        <f t="shared" si="144"/>
        <v>0</v>
      </c>
      <c r="AW157" s="80">
        <f t="shared" si="145"/>
        <v>0</v>
      </c>
      <c r="AX157" s="80">
        <f t="shared" si="146"/>
        <v>0</v>
      </c>
      <c r="AY157" s="61" t="e">
        <f>SUMPRODUCT(AM157:AR157/'[1]功能-行军令'!$GI$26:$GN$26+AS157:AX157/'[1]功能-行军令'!$GI$26:$GN$26)/0.18</f>
        <v>#DIV/0!</v>
      </c>
      <c r="BO157" s="80">
        <f t="shared" si="132"/>
        <v>90.288435080379244</v>
      </c>
      <c r="BP157" s="80">
        <f t="shared" si="133"/>
        <v>12300000</v>
      </c>
      <c r="BQ157" s="80">
        <f>(BP157-BP156)*INDEX('[1]功能-付费相关'!$AT$6:$AT$165,$BO157,1)+BQ156</f>
        <v>16421.870715493144</v>
      </c>
      <c r="BR157" s="80"/>
      <c r="BS157" s="80"/>
    </row>
    <row r="158" spans="12:77" x14ac:dyDescent="0.15">
      <c r="L158" s="61">
        <v>22</v>
      </c>
      <c r="M158" s="80">
        <f>基础状态预期!D170</f>
        <v>90.288435080379244</v>
      </c>
      <c r="N158" s="80">
        <f>IF(基础状态预期!F170="",0,IF(基础状态预期!Z170&lt;=1,基础状态预期!Z170*D$4,1*D$4+(基础状态预期!Z170-1)*武将觉醒!D$5))</f>
        <v>0</v>
      </c>
      <c r="O158" s="80">
        <f>IF(基础状态预期!G170="",0,IF(基础状态预期!AA170&lt;=1,基础状态预期!AA170*E$4,1*E$4+(基础状态预期!AA170-1)*武将觉醒!E$5))</f>
        <v>0</v>
      </c>
      <c r="P158" s="80">
        <f>IF(基础状态预期!H170="",0,IF(基础状态预期!AB170&lt;=1,基础状态预期!AB170*F$4,1*F$4+(基础状态预期!AB170-1)*武将觉醒!F$5))</f>
        <v>0</v>
      </c>
      <c r="Q158" s="80">
        <f>IF(基础状态预期!I170="",0,IF(基础状态预期!AC170&lt;=1,基础状态预期!AC170*G$4,1*G$4+(基础状态预期!AC170-1)*武将觉醒!G$5))</f>
        <v>0</v>
      </c>
      <c r="R158" s="80">
        <f>IF(基础状态预期!J170="",0,IF(基础状态预期!AD170&lt;=1,基础状态预期!AD170*H$4,1*H$4+(基础状态预期!AD170-1)*武将觉醒!H$5))</f>
        <v>2050000</v>
      </c>
      <c r="S158" s="80">
        <f>MAX(SUMPRODUCT(N158:R158,基础状态预期!F170:J170),S157)</f>
        <v>12300000</v>
      </c>
      <c r="T158" s="80">
        <f>IF(基础状态预期!Z170="",0,IFERROR(基础状态预期!F170*求节点($C$62:$C$63,D$62:D$63,基础状态预期!Z170),0)+IFERROR(基础状态预期!$J170*求节点($C$71:$C$72,D$71:D$72,基础状态预期!$AD170),0))</f>
        <v>0</v>
      </c>
      <c r="U158" s="80">
        <f>IF(基础状态预期!AA170="",0,IFERROR(基础状态预期!G170*求节点($C$62:$C$63,E$62:E$63,基础状态预期!AA170),0)+IFERROR(基础状态预期!$J170*求节点($C$71:$C$72,E$71:E$72,基础状态预期!$AD170),0))</f>
        <v>0</v>
      </c>
      <c r="V158" s="80">
        <f>IF(基础状态预期!AB170="",0,IFERROR(基础状态预期!H170*求节点($C$62:$C$63,F$62:F$63,基础状态预期!AB170),0)+IFERROR(基础状态预期!$J170*求节点($C$71:$C$72,F$71:F$72,基础状态预期!$AD170),0))</f>
        <v>0</v>
      </c>
      <c r="W158" s="80">
        <f>IF(基础状态预期!AC170="",0,IFERROR(基础状态预期!I170*求节点($C$62:$C$63,G$62:G$63,基础状态预期!AC170),0)+IFERROR(基础状态预期!$J170*求节点($C$71:$C$72,G$71:G$72,基础状态预期!$AD170),0))</f>
        <v>0</v>
      </c>
      <c r="X158" s="80">
        <f>IF(基础状态预期!AD170="",0,IFERROR(基础状态预期!J170*求节点($C$62:$C$63,H$62:H$63,基础状态预期!AD170),0)+IFERROR(基础状态预期!$J170*求节点($C$71:$C$72,H$71:H$72,基础状态预期!$AD170),0))</f>
        <v>0</v>
      </c>
      <c r="Y158" s="80">
        <f>IF(基础状态预期!$H170="",0,IF(基础状态预期!$AB170&lt;=1,基础状态预期!$AB170*D$18,D$18)*基础状态预期!$H170)+
IF(基础状态预期!$I170="",0,IF(基础状态预期!$AC170&lt;=1,基础状态预期!$AC170*D$19,D$19)*基础状态预期!$I170)+
IF(基础状态预期!$J170="",0,IF(基础状态预期!$AD170&lt;=1,基础状态预期!$AD170*D$20,D$20)*基础状态预期!$J170)</f>
        <v>48</v>
      </c>
      <c r="Z158" s="80">
        <f>IF(基础状态预期!$H170="",0,IF(基础状态预期!$AB170&lt;=1,基础状态预期!$AB170*E$18,E$18)*基础状态预期!$H170)+
IF(基础状态预期!$I170="",0,IF(基础状态预期!$AC170&lt;=1,基础状态预期!$AC170*E$19,E$19)*基础状态预期!$I170)+
IF(基础状态预期!$J170="",0,IF(基础状态预期!$AD170&lt;=1,基础状态预期!$AD170*E$20,E$20)*基础状态预期!$J170)</f>
        <v>0</v>
      </c>
      <c r="AA158" s="80">
        <f>IF(基础状态预期!$H170="",0,IF(基础状态预期!$AB170&lt;=1,基础状态预期!$AB170*F$18,F$18)*基础状态预期!$H170)+
IF(基础状态预期!$I170="",0,IF(基础状态预期!$AC170&lt;=1,基础状态预期!$AC170*F$19,F$19)*基础状态预期!$I170)+
IF(基础状态预期!$J170="",0,IF(基础状态预期!$AD170&lt;=1,基础状态预期!$AD170*F$20,F$20)*基础状态预期!$J170)</f>
        <v>0</v>
      </c>
      <c r="AB158" s="67">
        <f>IF(基础状态预期!$H170="",0,IF(基础状态预期!$AB170&lt;=1,0,(基础状态预期!$AB170-1)*G$26)*基础状态预期!$H170)+
IF(基础状态预期!$I170="",0,IF(基础状态预期!$AC170&lt;=1,0,(基础状态预期!$AC170-1)*G$27)*基础状态预期!$I170)+
IF(基础状态预期!$J170="",0,IF(基础状态预期!$AD170&lt;=1,0,(基础状态预期!$AD170-1)*G$28)*基础状态预期!$J170)</f>
        <v>240</v>
      </c>
      <c r="AC158" s="67">
        <f>IF(基础状态预期!$H170="",0,IF(基础状态预期!$AB170&lt;=1,0,(基础状态预期!$AB170-1)*H$26)*基础状态预期!$H170)+
IF(基础状态预期!$I170="",0,IF(基础状态预期!$AC170&lt;=1,0,(基础状态预期!$AC170-1)*H$27)*基础状态预期!$I170)+
IF(基础状态预期!$J170="",0,IF(基础状态预期!$AD170&lt;=1,0,(基础状态预期!$AD170-1)*H$28)*基础状态预期!$J170)</f>
        <v>0</v>
      </c>
      <c r="AD158" s="67">
        <f>IF(基础状态预期!$H170="",0,IF(基础状态预期!$AB170&lt;=1,0,(基础状态预期!$AB170-1)*I$26)*基础状态预期!$H170)+
IF(基础状态预期!$I170="",0,IF(基础状态预期!$AC170&lt;=1,0,(基础状态预期!$AC170-1)*I$27)*基础状态预期!$I170)+
IF(基础状态预期!$J170="",0,IF(基础状态预期!$AD170&lt;=1,0,(基础状态预期!$AD170-1)*I$28)*基础状态预期!$J170)</f>
        <v>0</v>
      </c>
      <c r="AE158" s="80">
        <f>IF(各r阵容卡情况!$H186=0,0,IF(各r阵容卡情况!$AB186&lt;=1,各r阵容卡情况!$AB186*D$18,1*D$18)*各r阵容卡情况!$H186)+
IF(各r阵容卡情况!$I186=0,0,IF(各r阵容卡情况!$AC186&lt;=1,各r阵容卡情况!$AC186*D$19,1*D$19)*各r阵容卡情况!$I186)+
IF(各r阵容卡情况!$J186=0,0,IF(各r阵容卡情况!$AD186&lt;=1,各r阵容卡情况!$AD186*D$20,1*D$20)*各r阵容卡情况!$J186)</f>
        <v>0</v>
      </c>
      <c r="AF158" s="80">
        <f>IF(各r阵容卡情况!$H186=0,0,IF(各r阵容卡情况!$AB186&lt;=1,各r阵容卡情况!$AB186*E$18,1*E$18)*各r阵容卡情况!$H186)+
IF(各r阵容卡情况!$I186=0,0,IF(各r阵容卡情况!$AC186&lt;=1,各r阵容卡情况!$AC186*E$19,1*E$19)*各r阵容卡情况!$I186)+
IF(各r阵容卡情况!$J186=0,0,IF(各r阵容卡情况!$AD186&lt;=1,各r阵容卡情况!$AD186*E$20,1*E$20)*各r阵容卡情况!$J186)</f>
        <v>0</v>
      </c>
      <c r="AG158" s="80">
        <f>IF(各r阵容卡情况!$H186=0,0,IF(各r阵容卡情况!$AB186&lt;=1,各r阵容卡情况!$AB186*F$18,1*F$18)*各r阵容卡情况!$H186)+
IF(各r阵容卡情况!$I186=0,0,IF(各r阵容卡情况!$AC186&lt;=1,各r阵容卡情况!$AC186*F$19,1*F$19)*各r阵容卡情况!$I186)+
IF(各r阵容卡情况!$J186=0,0,IF(各r阵容卡情况!$AD186&lt;=1,各r阵容卡情况!$AD186*F$20,1*F$20)*各r阵容卡情况!$J186)</f>
        <v>0</v>
      </c>
      <c r="AH158" s="67">
        <f>IF(各r阵容卡情况!$H186=0,0,IF(各r阵容卡情况!$AB186&lt;=1,0,(各r阵容卡情况!$AB186-1)*G$26)*各r阵容卡情况!$H186)+
IF(各r阵容卡情况!$I186=0,0,IF(各r阵容卡情况!$AC186&lt;=1,0,(各r阵容卡情况!$AC186-1)*G$27)*各r阵容卡情况!$I186)+
IF(各r阵容卡情况!$J186=0,0,IF(各r阵容卡情况!$AD186&lt;=1,0,(各r阵容卡情况!$AD186-1)*G$28)*各r阵容卡情况!$J186)</f>
        <v>0</v>
      </c>
      <c r="AI158" s="67">
        <f>IF(各r阵容卡情况!$H186=0,0,IF(各r阵容卡情况!$AB186&lt;=1,0,(各r阵容卡情况!$AB186-1)*H$26)*各r阵容卡情况!$H186)+
IF(各r阵容卡情况!$I186=0,0,IF(各r阵容卡情况!$AC186&lt;=1,0,(各r阵容卡情况!$AC186-1)*H$27)*各r阵容卡情况!$I186)+
IF(各r阵容卡情况!$J186=0,0,IF(各r阵容卡情况!$AD186&lt;=1,0,(各r阵容卡情况!$AD186-1)*H$28)*各r阵容卡情况!$J186)</f>
        <v>0</v>
      </c>
      <c r="AJ158" s="67">
        <f>IF(各r阵容卡情况!$H186=0,0,IF(各r阵容卡情况!$AB186&lt;=1,0,(各r阵容卡情况!$AB186-1)*I$26)*各r阵容卡情况!$H186)+
IF(各r阵容卡情况!$I186=0,0,IF(各r阵容卡情况!$AC186&lt;=1,0,(各r阵容卡情况!$AC186-1)*I$27)*各r阵容卡情况!$I186)+
IF(各r阵容卡情况!$J186=0,0,IF(各r阵容卡情况!$AD186&lt;=1,0,(各r阵容卡情况!$AD186-1)*I$28)*各r阵容卡情况!$J186)</f>
        <v>0</v>
      </c>
      <c r="AL158" s="80">
        <f t="shared" si="134"/>
        <v>100</v>
      </c>
      <c r="AM158" s="80">
        <f t="shared" si="135"/>
        <v>48</v>
      </c>
      <c r="AN158" s="80">
        <f t="shared" si="136"/>
        <v>0</v>
      </c>
      <c r="AO158" s="80">
        <f t="shared" si="137"/>
        <v>0</v>
      </c>
      <c r="AP158" s="80">
        <f t="shared" si="138"/>
        <v>240</v>
      </c>
      <c r="AQ158" s="80">
        <f t="shared" si="139"/>
        <v>0</v>
      </c>
      <c r="AR158" s="80">
        <f t="shared" si="140"/>
        <v>0</v>
      </c>
      <c r="AS158" s="80">
        <f t="shared" si="141"/>
        <v>0</v>
      </c>
      <c r="AT158" s="80">
        <f t="shared" si="142"/>
        <v>0</v>
      </c>
      <c r="AU158" s="80">
        <f t="shared" si="143"/>
        <v>0</v>
      </c>
      <c r="AV158" s="80">
        <f t="shared" si="144"/>
        <v>0</v>
      </c>
      <c r="AW158" s="80">
        <f t="shared" si="145"/>
        <v>0</v>
      </c>
      <c r="AX158" s="80">
        <f t="shared" si="146"/>
        <v>0</v>
      </c>
      <c r="AY158" s="61" t="e">
        <f>SUMPRODUCT(AM158:AR158/'[1]功能-行军令'!$GI$26:$GN$26+AS158:AX158/'[1]功能-行军令'!$GI$26:$GN$26)/0.18</f>
        <v>#DIV/0!</v>
      </c>
      <c r="BO158" s="80">
        <f t="shared" si="132"/>
        <v>93.400072017025948</v>
      </c>
      <c r="BP158" s="80">
        <f t="shared" si="133"/>
        <v>12300000</v>
      </c>
      <c r="BQ158" s="80">
        <f>(BP158-BP157)*INDEX('[1]功能-付费相关'!$AT$6:$AT$165,$BO158,1)+BQ157</f>
        <v>16421.870715493144</v>
      </c>
      <c r="BR158" s="80"/>
      <c r="BS158" s="80"/>
    </row>
    <row r="159" spans="12:77" x14ac:dyDescent="0.15">
      <c r="L159" s="61">
        <v>23</v>
      </c>
      <c r="M159" s="80">
        <f>基础状态预期!D171</f>
        <v>93.400072017025948</v>
      </c>
      <c r="N159" s="80">
        <f>IF(基础状态预期!F171="",0,IF(基础状态预期!Z171&lt;=1,基础状态预期!Z171*D$4,1*D$4+(基础状态预期!Z171-1)*武将觉醒!D$5))</f>
        <v>0</v>
      </c>
      <c r="O159" s="80">
        <f>IF(基础状态预期!G171="",0,IF(基础状态预期!AA171&lt;=1,基础状态预期!AA171*E$4,1*E$4+(基础状态预期!AA171-1)*武将觉醒!E$5))</f>
        <v>0</v>
      </c>
      <c r="P159" s="80">
        <f>IF(基础状态预期!H171="",0,IF(基础状态预期!AB171&lt;=1,基础状态预期!AB171*F$4,1*F$4+(基础状态预期!AB171-1)*武将觉醒!F$5))</f>
        <v>0</v>
      </c>
      <c r="Q159" s="80">
        <f>IF(基础状态预期!I171="",0,IF(基础状态预期!AC171&lt;=1,基础状态预期!AC171*G$4,1*G$4+(基础状态预期!AC171-1)*武将觉醒!G$5))</f>
        <v>0</v>
      </c>
      <c r="R159" s="80">
        <f>IF(基础状态预期!J171="",0,IF(基础状态预期!AD171&lt;=1,基础状态预期!AD171*H$4,1*H$4+(基础状态预期!AD171-1)*武将觉醒!H$5))</f>
        <v>2050000</v>
      </c>
      <c r="S159" s="80">
        <f>MAX(SUMPRODUCT(N159:R159,基础状态预期!F171:J171),S158)</f>
        <v>12300000</v>
      </c>
      <c r="T159" s="80">
        <f>IF(基础状态预期!Z171="",0,IFERROR(基础状态预期!F171*求节点($C$62:$C$63,D$62:D$63,基础状态预期!Z171),0)+IFERROR(基础状态预期!$J171*求节点($C$71:$C$72,D$71:D$72,基础状态预期!$AD171),0))</f>
        <v>0</v>
      </c>
      <c r="U159" s="80">
        <f>IF(基础状态预期!AA171="",0,IFERROR(基础状态预期!G171*求节点($C$62:$C$63,E$62:E$63,基础状态预期!AA171),0)+IFERROR(基础状态预期!$J171*求节点($C$71:$C$72,E$71:E$72,基础状态预期!$AD171),0))</f>
        <v>0</v>
      </c>
      <c r="V159" s="80">
        <f>IF(基础状态预期!AB171="",0,IFERROR(基础状态预期!H171*求节点($C$62:$C$63,F$62:F$63,基础状态预期!AB171),0)+IFERROR(基础状态预期!$J171*求节点($C$71:$C$72,F$71:F$72,基础状态预期!$AD171),0))</f>
        <v>0</v>
      </c>
      <c r="W159" s="80">
        <f>IF(基础状态预期!AC171="",0,IFERROR(基础状态预期!I171*求节点($C$62:$C$63,G$62:G$63,基础状态预期!AC171),0)+IFERROR(基础状态预期!$J171*求节点($C$71:$C$72,G$71:G$72,基础状态预期!$AD171),0))</f>
        <v>0</v>
      </c>
      <c r="X159" s="80">
        <f>IF(基础状态预期!AD171="",0,IFERROR(基础状态预期!J171*求节点($C$62:$C$63,H$62:H$63,基础状态预期!AD171),0)+IFERROR(基础状态预期!$J171*求节点($C$71:$C$72,H$71:H$72,基础状态预期!$AD171),0))</f>
        <v>0</v>
      </c>
      <c r="Y159" s="80">
        <f>IF(基础状态预期!$H171="",0,IF(基础状态预期!$AB171&lt;=1,基础状态预期!$AB171*D$18,D$18)*基础状态预期!$H171)+
IF(基础状态预期!$I171="",0,IF(基础状态预期!$AC171&lt;=1,基础状态预期!$AC171*D$19,D$19)*基础状态预期!$I171)+
IF(基础状态预期!$J171="",0,IF(基础状态预期!$AD171&lt;=1,基础状态预期!$AD171*D$20,D$20)*基础状态预期!$J171)</f>
        <v>48</v>
      </c>
      <c r="Z159" s="80">
        <f>IF(基础状态预期!$H171="",0,IF(基础状态预期!$AB171&lt;=1,基础状态预期!$AB171*E$18,E$18)*基础状态预期!$H171)+
IF(基础状态预期!$I171="",0,IF(基础状态预期!$AC171&lt;=1,基础状态预期!$AC171*E$19,E$19)*基础状态预期!$I171)+
IF(基础状态预期!$J171="",0,IF(基础状态预期!$AD171&lt;=1,基础状态预期!$AD171*E$20,E$20)*基础状态预期!$J171)</f>
        <v>0</v>
      </c>
      <c r="AA159" s="80">
        <f>IF(基础状态预期!$H171="",0,IF(基础状态预期!$AB171&lt;=1,基础状态预期!$AB171*F$18,F$18)*基础状态预期!$H171)+
IF(基础状态预期!$I171="",0,IF(基础状态预期!$AC171&lt;=1,基础状态预期!$AC171*F$19,F$19)*基础状态预期!$I171)+
IF(基础状态预期!$J171="",0,IF(基础状态预期!$AD171&lt;=1,基础状态预期!$AD171*F$20,F$20)*基础状态预期!$J171)</f>
        <v>0</v>
      </c>
      <c r="AB159" s="67">
        <f>IF(基础状态预期!$H171="",0,IF(基础状态预期!$AB171&lt;=1,0,(基础状态预期!$AB171-1)*G$26)*基础状态预期!$H171)+
IF(基础状态预期!$I171="",0,IF(基础状态预期!$AC171&lt;=1,0,(基础状态预期!$AC171-1)*G$27)*基础状态预期!$I171)+
IF(基础状态预期!$J171="",0,IF(基础状态预期!$AD171&lt;=1,0,(基础状态预期!$AD171-1)*G$28)*基础状态预期!$J171)</f>
        <v>240</v>
      </c>
      <c r="AC159" s="67">
        <f>IF(基础状态预期!$H171="",0,IF(基础状态预期!$AB171&lt;=1,0,(基础状态预期!$AB171-1)*H$26)*基础状态预期!$H171)+
IF(基础状态预期!$I171="",0,IF(基础状态预期!$AC171&lt;=1,0,(基础状态预期!$AC171-1)*H$27)*基础状态预期!$I171)+
IF(基础状态预期!$J171="",0,IF(基础状态预期!$AD171&lt;=1,0,(基础状态预期!$AD171-1)*H$28)*基础状态预期!$J171)</f>
        <v>0</v>
      </c>
      <c r="AD159" s="67">
        <f>IF(基础状态预期!$H171="",0,IF(基础状态预期!$AB171&lt;=1,0,(基础状态预期!$AB171-1)*I$26)*基础状态预期!$H171)+
IF(基础状态预期!$I171="",0,IF(基础状态预期!$AC171&lt;=1,0,(基础状态预期!$AC171-1)*I$27)*基础状态预期!$I171)+
IF(基础状态预期!$J171="",0,IF(基础状态预期!$AD171&lt;=1,0,(基础状态预期!$AD171-1)*I$28)*基础状态预期!$J171)</f>
        <v>0</v>
      </c>
      <c r="AE159" s="80">
        <f>IF(各r阵容卡情况!$H187=0,0,IF(各r阵容卡情况!$AB187&lt;=1,各r阵容卡情况!$AB187*D$18,1*D$18)*各r阵容卡情况!$H187)+
IF(各r阵容卡情况!$I187=0,0,IF(各r阵容卡情况!$AC187&lt;=1,各r阵容卡情况!$AC187*D$19,1*D$19)*各r阵容卡情况!$I187)+
IF(各r阵容卡情况!$J187=0,0,IF(各r阵容卡情况!$AD187&lt;=1,各r阵容卡情况!$AD187*D$20,1*D$20)*各r阵容卡情况!$J187)</f>
        <v>0</v>
      </c>
      <c r="AF159" s="80">
        <f>IF(各r阵容卡情况!$H187=0,0,IF(各r阵容卡情况!$AB187&lt;=1,各r阵容卡情况!$AB187*E$18,1*E$18)*各r阵容卡情况!$H187)+
IF(各r阵容卡情况!$I187=0,0,IF(各r阵容卡情况!$AC187&lt;=1,各r阵容卡情况!$AC187*E$19,1*E$19)*各r阵容卡情况!$I187)+
IF(各r阵容卡情况!$J187=0,0,IF(各r阵容卡情况!$AD187&lt;=1,各r阵容卡情况!$AD187*E$20,1*E$20)*各r阵容卡情况!$J187)</f>
        <v>0</v>
      </c>
      <c r="AG159" s="80">
        <f>IF(各r阵容卡情况!$H187=0,0,IF(各r阵容卡情况!$AB187&lt;=1,各r阵容卡情况!$AB187*F$18,1*F$18)*各r阵容卡情况!$H187)+
IF(各r阵容卡情况!$I187=0,0,IF(各r阵容卡情况!$AC187&lt;=1,各r阵容卡情况!$AC187*F$19,1*F$19)*各r阵容卡情况!$I187)+
IF(各r阵容卡情况!$J187=0,0,IF(各r阵容卡情况!$AD187&lt;=1,各r阵容卡情况!$AD187*F$20,1*F$20)*各r阵容卡情况!$J187)</f>
        <v>0</v>
      </c>
      <c r="AH159" s="67">
        <f>IF(各r阵容卡情况!$H187=0,0,IF(各r阵容卡情况!$AB187&lt;=1,0,(各r阵容卡情况!$AB187-1)*G$26)*各r阵容卡情况!$H187)+
IF(各r阵容卡情况!$I187=0,0,IF(各r阵容卡情况!$AC187&lt;=1,0,(各r阵容卡情况!$AC187-1)*G$27)*各r阵容卡情况!$I187)+
IF(各r阵容卡情况!$J187=0,0,IF(各r阵容卡情况!$AD187&lt;=1,0,(各r阵容卡情况!$AD187-1)*G$28)*各r阵容卡情况!$J187)</f>
        <v>0</v>
      </c>
      <c r="AI159" s="67">
        <f>IF(各r阵容卡情况!$H187=0,0,IF(各r阵容卡情况!$AB187&lt;=1,0,(各r阵容卡情况!$AB187-1)*H$26)*各r阵容卡情况!$H187)+
IF(各r阵容卡情况!$I187=0,0,IF(各r阵容卡情况!$AC187&lt;=1,0,(各r阵容卡情况!$AC187-1)*H$27)*各r阵容卡情况!$I187)+
IF(各r阵容卡情况!$J187=0,0,IF(各r阵容卡情况!$AD187&lt;=1,0,(各r阵容卡情况!$AD187-1)*H$28)*各r阵容卡情况!$J187)</f>
        <v>0</v>
      </c>
      <c r="AJ159" s="67">
        <f>IF(各r阵容卡情况!$H187=0,0,IF(各r阵容卡情况!$AB187&lt;=1,0,(各r阵容卡情况!$AB187-1)*I$26)*各r阵容卡情况!$H187)+
IF(各r阵容卡情况!$I187=0,0,IF(各r阵容卡情况!$AC187&lt;=1,0,(各r阵容卡情况!$AC187-1)*I$27)*各r阵容卡情况!$I187)+
IF(各r阵容卡情况!$J187=0,0,IF(各r阵容卡情况!$AD187&lt;=1,0,(各r阵容卡情况!$AD187-1)*I$28)*各r阵容卡情况!$J187)</f>
        <v>0</v>
      </c>
      <c r="AL159" s="80">
        <f t="shared" si="134"/>
        <v>105</v>
      </c>
      <c r="AM159" s="80">
        <f t="shared" si="135"/>
        <v>48</v>
      </c>
      <c r="AN159" s="80">
        <f t="shared" si="136"/>
        <v>0</v>
      </c>
      <c r="AO159" s="80">
        <f t="shared" si="137"/>
        <v>0</v>
      </c>
      <c r="AP159" s="80">
        <f t="shared" si="138"/>
        <v>240</v>
      </c>
      <c r="AQ159" s="80">
        <f t="shared" si="139"/>
        <v>0</v>
      </c>
      <c r="AR159" s="80">
        <f t="shared" si="140"/>
        <v>0</v>
      </c>
      <c r="AS159" s="80">
        <f t="shared" si="141"/>
        <v>3.315969374881033E-2</v>
      </c>
      <c r="AT159" s="80">
        <f t="shared" si="142"/>
        <v>0</v>
      </c>
      <c r="AU159" s="80">
        <f t="shared" si="143"/>
        <v>0</v>
      </c>
      <c r="AV159" s="80">
        <f t="shared" si="144"/>
        <v>0</v>
      </c>
      <c r="AW159" s="80">
        <f t="shared" si="145"/>
        <v>0</v>
      </c>
      <c r="AX159" s="80">
        <f t="shared" si="146"/>
        <v>0</v>
      </c>
      <c r="AY159" s="61" t="e">
        <f>SUMPRODUCT(AM159:AR159/'[1]功能-行军令'!$GI$26:$GN$26+AS159:AX159/'[1]功能-行军令'!$GI$26:$GN$26)/0.18</f>
        <v>#DIV/0!</v>
      </c>
      <c r="BO159" s="80">
        <f t="shared" si="132"/>
        <v>97.006001686863456</v>
      </c>
      <c r="BP159" s="80">
        <f t="shared" si="133"/>
        <v>12300000</v>
      </c>
      <c r="BQ159" s="80">
        <f>(BP159-BP158)*INDEX('[1]功能-付费相关'!$AT$6:$AT$165,$BO159,1)+BQ158</f>
        <v>16421.870715493144</v>
      </c>
      <c r="BR159" s="80"/>
      <c r="BS159" s="80"/>
    </row>
    <row r="160" spans="12:77" x14ac:dyDescent="0.15">
      <c r="L160" s="61">
        <v>24</v>
      </c>
      <c r="M160" s="80">
        <f>基础状态预期!D172</f>
        <v>97.006001686863456</v>
      </c>
      <c r="N160" s="80">
        <f>IF(基础状态预期!F172="",0,IF(基础状态预期!Z172&lt;=1,基础状态预期!Z172*D$4,1*D$4+(基础状态预期!Z172-1)*武将觉醒!D$5))</f>
        <v>0</v>
      </c>
      <c r="O160" s="80">
        <f>IF(基础状态预期!G172="",0,IF(基础状态预期!AA172&lt;=1,基础状态预期!AA172*E$4,1*E$4+(基础状态预期!AA172-1)*武将觉醒!E$5))</f>
        <v>0</v>
      </c>
      <c r="P160" s="80">
        <f>IF(基础状态预期!H172="",0,IF(基础状态预期!AB172&lt;=1,基础状态预期!AB172*F$4,1*F$4+(基础状态预期!AB172-1)*武将觉醒!F$5))</f>
        <v>0</v>
      </c>
      <c r="Q160" s="80">
        <f>IF(基础状态预期!I172="",0,IF(基础状态预期!AC172&lt;=1,基础状态预期!AC172*G$4,1*G$4+(基础状态预期!AC172-1)*武将觉醒!G$5))</f>
        <v>0</v>
      </c>
      <c r="R160" s="80">
        <f>IF(基础状态预期!J172="",0,IF(基础状态预期!AD172&lt;=1,基础状态预期!AD172*H$4,1*H$4+(基础状态预期!AD172-1)*武将觉醒!H$5))</f>
        <v>2050000</v>
      </c>
      <c r="S160" s="80">
        <f>MAX(SUMPRODUCT(N160:R160,基础状态预期!F172:J172),S159)</f>
        <v>12300000</v>
      </c>
      <c r="T160" s="80">
        <f>IF(基础状态预期!Z172="",0,IFERROR(基础状态预期!F172*求节点($C$62:$C$63,D$62:D$63,基础状态预期!Z172),0)+IFERROR(基础状态预期!$J172*求节点($C$71:$C$72,D$71:D$72,基础状态预期!$AD172),0))</f>
        <v>0</v>
      </c>
      <c r="U160" s="80">
        <f>IF(基础状态预期!AA172="",0,IFERROR(基础状态预期!G172*求节点($C$62:$C$63,E$62:E$63,基础状态预期!AA172),0)+IFERROR(基础状态预期!$J172*求节点($C$71:$C$72,E$71:E$72,基础状态预期!$AD172),0))</f>
        <v>0</v>
      </c>
      <c r="V160" s="80">
        <f>IF(基础状态预期!AB172="",0,IFERROR(基础状态预期!H172*求节点($C$62:$C$63,F$62:F$63,基础状态预期!AB172),0)+IFERROR(基础状态预期!$J172*求节点($C$71:$C$72,F$71:F$72,基础状态预期!$AD172),0))</f>
        <v>0</v>
      </c>
      <c r="W160" s="80">
        <f>IF(基础状态预期!AC172="",0,IFERROR(基础状态预期!I172*求节点($C$62:$C$63,G$62:G$63,基础状态预期!AC172),0)+IFERROR(基础状态预期!$J172*求节点($C$71:$C$72,G$71:G$72,基础状态预期!$AD172),0))</f>
        <v>0</v>
      </c>
      <c r="X160" s="80">
        <f>IF(基础状态预期!AD172="",0,IFERROR(基础状态预期!J172*求节点($C$62:$C$63,H$62:H$63,基础状态预期!AD172),0)+IFERROR(基础状态预期!$J172*求节点($C$71:$C$72,H$71:H$72,基础状态预期!$AD172),0))</f>
        <v>0</v>
      </c>
      <c r="Y160" s="80">
        <f>IF(基础状态预期!$H172="",0,IF(基础状态预期!$AB172&lt;=1,基础状态预期!$AB172*D$18,D$18)*基础状态预期!$H172)+
IF(基础状态预期!$I172="",0,IF(基础状态预期!$AC172&lt;=1,基础状态预期!$AC172*D$19,D$19)*基础状态预期!$I172)+
IF(基础状态预期!$J172="",0,IF(基础状态预期!$AD172&lt;=1,基础状态预期!$AD172*D$20,D$20)*基础状态预期!$J172)</f>
        <v>48</v>
      </c>
      <c r="Z160" s="80">
        <f>IF(基础状态预期!$H172="",0,IF(基础状态预期!$AB172&lt;=1,基础状态预期!$AB172*E$18,E$18)*基础状态预期!$H172)+
IF(基础状态预期!$I172="",0,IF(基础状态预期!$AC172&lt;=1,基础状态预期!$AC172*E$19,E$19)*基础状态预期!$I172)+
IF(基础状态预期!$J172="",0,IF(基础状态预期!$AD172&lt;=1,基础状态预期!$AD172*E$20,E$20)*基础状态预期!$J172)</f>
        <v>0</v>
      </c>
      <c r="AA160" s="80">
        <f>IF(基础状态预期!$H172="",0,IF(基础状态预期!$AB172&lt;=1,基础状态预期!$AB172*F$18,F$18)*基础状态预期!$H172)+
IF(基础状态预期!$I172="",0,IF(基础状态预期!$AC172&lt;=1,基础状态预期!$AC172*F$19,F$19)*基础状态预期!$I172)+
IF(基础状态预期!$J172="",0,IF(基础状态预期!$AD172&lt;=1,基础状态预期!$AD172*F$20,F$20)*基础状态预期!$J172)</f>
        <v>0</v>
      </c>
      <c r="AB160" s="67">
        <f>IF(基础状态预期!$H172="",0,IF(基础状态预期!$AB172&lt;=1,0,(基础状态预期!$AB172-1)*G$26)*基础状态预期!$H172)+
IF(基础状态预期!$I172="",0,IF(基础状态预期!$AC172&lt;=1,0,(基础状态预期!$AC172-1)*G$27)*基础状态预期!$I172)+
IF(基础状态预期!$J172="",0,IF(基础状态预期!$AD172&lt;=1,0,(基础状态预期!$AD172-1)*G$28)*基础状态预期!$J172)</f>
        <v>240</v>
      </c>
      <c r="AC160" s="67">
        <f>IF(基础状态预期!$H172="",0,IF(基础状态预期!$AB172&lt;=1,0,(基础状态预期!$AB172-1)*H$26)*基础状态预期!$H172)+
IF(基础状态预期!$I172="",0,IF(基础状态预期!$AC172&lt;=1,0,(基础状态预期!$AC172-1)*H$27)*基础状态预期!$I172)+
IF(基础状态预期!$J172="",0,IF(基础状态预期!$AD172&lt;=1,0,(基础状态预期!$AD172-1)*H$28)*基础状态预期!$J172)</f>
        <v>0</v>
      </c>
      <c r="AD160" s="67">
        <f>IF(基础状态预期!$H172="",0,IF(基础状态预期!$AB172&lt;=1,0,(基础状态预期!$AB172-1)*I$26)*基础状态预期!$H172)+
IF(基础状态预期!$I172="",0,IF(基础状态预期!$AC172&lt;=1,0,(基础状态预期!$AC172-1)*I$27)*基础状态预期!$I172)+
IF(基础状态预期!$J172="",0,IF(基础状态预期!$AD172&lt;=1,0,(基础状态预期!$AD172-1)*I$28)*基础状态预期!$J172)</f>
        <v>0</v>
      </c>
      <c r="AE160" s="80">
        <f>IF(各r阵容卡情况!$H188=0,0,IF(各r阵容卡情况!$AB188&lt;=1,各r阵容卡情况!$AB188*D$18,1*D$18)*各r阵容卡情况!$H188)+
IF(各r阵容卡情况!$I188=0,0,IF(各r阵容卡情况!$AC188&lt;=1,各r阵容卡情况!$AC188*D$19,1*D$19)*各r阵容卡情况!$I188)+
IF(各r阵容卡情况!$J188=0,0,IF(各r阵容卡情况!$AD188&lt;=1,各r阵容卡情况!$AD188*D$20,1*D$20)*各r阵容卡情况!$J188)</f>
        <v>0</v>
      </c>
      <c r="AF160" s="80">
        <f>IF(各r阵容卡情况!$H188=0,0,IF(各r阵容卡情况!$AB188&lt;=1,各r阵容卡情况!$AB188*E$18,1*E$18)*各r阵容卡情况!$H188)+
IF(各r阵容卡情况!$I188=0,0,IF(各r阵容卡情况!$AC188&lt;=1,各r阵容卡情况!$AC188*E$19,1*E$19)*各r阵容卡情况!$I188)+
IF(各r阵容卡情况!$J188=0,0,IF(各r阵容卡情况!$AD188&lt;=1,各r阵容卡情况!$AD188*E$20,1*E$20)*各r阵容卡情况!$J188)</f>
        <v>0</v>
      </c>
      <c r="AG160" s="80">
        <f>IF(各r阵容卡情况!$H188=0,0,IF(各r阵容卡情况!$AB188&lt;=1,各r阵容卡情况!$AB188*F$18,1*F$18)*各r阵容卡情况!$H188)+
IF(各r阵容卡情况!$I188=0,0,IF(各r阵容卡情况!$AC188&lt;=1,各r阵容卡情况!$AC188*F$19,1*F$19)*各r阵容卡情况!$I188)+
IF(各r阵容卡情况!$J188=0,0,IF(各r阵容卡情况!$AD188&lt;=1,各r阵容卡情况!$AD188*F$20,1*F$20)*各r阵容卡情况!$J188)</f>
        <v>0</v>
      </c>
      <c r="AH160" s="67">
        <f>IF(各r阵容卡情况!$H188=0,0,IF(各r阵容卡情况!$AB188&lt;=1,0,(各r阵容卡情况!$AB188-1)*G$26)*各r阵容卡情况!$H188)+
IF(各r阵容卡情况!$I188=0,0,IF(各r阵容卡情况!$AC188&lt;=1,0,(各r阵容卡情况!$AC188-1)*G$27)*各r阵容卡情况!$I188)+
IF(各r阵容卡情况!$J188=0,0,IF(各r阵容卡情况!$AD188&lt;=1,0,(各r阵容卡情况!$AD188-1)*G$28)*各r阵容卡情况!$J188)</f>
        <v>0</v>
      </c>
      <c r="AI160" s="67">
        <f>IF(各r阵容卡情况!$H188=0,0,IF(各r阵容卡情况!$AB188&lt;=1,0,(各r阵容卡情况!$AB188-1)*H$26)*各r阵容卡情况!$H188)+
IF(各r阵容卡情况!$I188=0,0,IF(各r阵容卡情况!$AC188&lt;=1,0,(各r阵容卡情况!$AC188-1)*H$27)*各r阵容卡情况!$I188)+
IF(各r阵容卡情况!$J188=0,0,IF(各r阵容卡情况!$AD188&lt;=1,0,(各r阵容卡情况!$AD188-1)*H$28)*各r阵容卡情况!$J188)</f>
        <v>0</v>
      </c>
      <c r="AJ160" s="67">
        <f>IF(各r阵容卡情况!$H188=0,0,IF(各r阵容卡情况!$AB188&lt;=1,0,(各r阵容卡情况!$AB188-1)*I$26)*各r阵容卡情况!$H188)+
IF(各r阵容卡情况!$I188=0,0,IF(各r阵容卡情况!$AC188&lt;=1,0,(各r阵容卡情况!$AC188-1)*I$27)*各r阵容卡情况!$I188)+
IF(各r阵容卡情况!$J188=0,0,IF(各r阵容卡情况!$AD188&lt;=1,0,(各r阵容卡情况!$AD188-1)*I$28)*各r阵容卡情况!$J188)</f>
        <v>0</v>
      </c>
      <c r="AL160" s="80">
        <f t="shared" si="134"/>
        <v>110</v>
      </c>
      <c r="AM160" s="80">
        <f t="shared" si="135"/>
        <v>48</v>
      </c>
      <c r="AN160" s="80">
        <f t="shared" si="136"/>
        <v>0</v>
      </c>
      <c r="AO160" s="80">
        <f t="shared" si="137"/>
        <v>0</v>
      </c>
      <c r="AP160" s="80">
        <f t="shared" si="138"/>
        <v>240</v>
      </c>
      <c r="AQ160" s="80">
        <f t="shared" si="139"/>
        <v>0</v>
      </c>
      <c r="AR160" s="80">
        <f t="shared" si="140"/>
        <v>0</v>
      </c>
      <c r="AS160" s="80">
        <f t="shared" si="141"/>
        <v>5.0502070846491112</v>
      </c>
      <c r="AT160" s="80">
        <f t="shared" si="142"/>
        <v>0</v>
      </c>
      <c r="AU160" s="80">
        <f t="shared" si="143"/>
        <v>0</v>
      </c>
      <c r="AV160" s="80">
        <f t="shared" si="144"/>
        <v>0</v>
      </c>
      <c r="AW160" s="80">
        <f t="shared" si="145"/>
        <v>0</v>
      </c>
      <c r="AX160" s="80">
        <f t="shared" si="146"/>
        <v>0</v>
      </c>
      <c r="AY160" s="61" t="e">
        <f>SUMPRODUCT(AM160:AR160/'[1]功能-行军令'!$GI$26:$GN$26+AS160:AX160/'[1]功能-行军令'!$GI$26:$GN$26)/0.18</f>
        <v>#DIV/0!</v>
      </c>
      <c r="BO160" s="80">
        <f t="shared" si="132"/>
        <v>100.64473135315967</v>
      </c>
      <c r="BP160" s="80">
        <f t="shared" si="133"/>
        <v>12300000</v>
      </c>
      <c r="BQ160" s="80">
        <f>(BP160-BP159)*INDEX('[1]功能-付费相关'!$AT$6:$AT$165,$BO160,1)+BQ159</f>
        <v>16421.870715493144</v>
      </c>
      <c r="BR160" s="80"/>
      <c r="BS160" s="80"/>
    </row>
    <row r="161" spans="12:71" x14ac:dyDescent="0.15">
      <c r="L161" s="61">
        <v>25</v>
      </c>
      <c r="M161" s="80">
        <f>基础状态预期!D173</f>
        <v>100.64473135315967</v>
      </c>
      <c r="N161" s="80">
        <f>IF(基础状态预期!F173="",0,IF(基础状态预期!Z173&lt;=1,基础状态预期!Z173*D$4,1*D$4+(基础状态预期!Z173-1)*武将觉醒!D$5))</f>
        <v>0</v>
      </c>
      <c r="O161" s="80">
        <f>IF(基础状态预期!G173="",0,IF(基础状态预期!AA173&lt;=1,基础状态预期!AA173*E$4,1*E$4+(基础状态预期!AA173-1)*武将觉醒!E$5))</f>
        <v>0</v>
      </c>
      <c r="P161" s="80">
        <f>IF(基础状态预期!H173="",0,IF(基础状态预期!AB173&lt;=1,基础状态预期!AB173*F$4,1*F$4+(基础状态预期!AB173-1)*武将觉醒!F$5))</f>
        <v>0</v>
      </c>
      <c r="Q161" s="80">
        <f>IF(基础状态预期!I173="",0,IF(基础状态预期!AC173&lt;=1,基础状态预期!AC173*G$4,1*G$4+(基础状态预期!AC173-1)*武将觉醒!G$5))</f>
        <v>0</v>
      </c>
      <c r="R161" s="80">
        <f>IF(基础状态预期!J173="",0,IF(基础状态预期!AD173&lt;=1,基础状态预期!AD173*H$4,1*H$4+(基础状态预期!AD173-1)*武将觉醒!H$5))</f>
        <v>2050000</v>
      </c>
      <c r="S161" s="80">
        <f>MAX(SUMPRODUCT(N161:R161,基础状态预期!F173:J173),S160)</f>
        <v>12300000</v>
      </c>
      <c r="T161" s="80">
        <f>IF(基础状态预期!Z173="",0,IFERROR(基础状态预期!F173*求节点($C$62:$C$63,D$62:D$63,基础状态预期!Z173),0)+IFERROR(基础状态预期!$J173*求节点($C$71:$C$72,D$71:D$72,基础状态预期!$AD173),0))</f>
        <v>0</v>
      </c>
      <c r="U161" s="80">
        <f>IF(基础状态预期!AA173="",0,IFERROR(基础状态预期!G173*求节点($C$62:$C$63,E$62:E$63,基础状态预期!AA173),0)+IFERROR(基础状态预期!$J173*求节点($C$71:$C$72,E$71:E$72,基础状态预期!$AD173),0))</f>
        <v>0</v>
      </c>
      <c r="V161" s="80">
        <f>IF(基础状态预期!AB173="",0,IFERROR(基础状态预期!H173*求节点($C$62:$C$63,F$62:F$63,基础状态预期!AB173),0)+IFERROR(基础状态预期!$J173*求节点($C$71:$C$72,F$71:F$72,基础状态预期!$AD173),0))</f>
        <v>0</v>
      </c>
      <c r="W161" s="80">
        <f>IF(基础状态预期!AC173="",0,IFERROR(基础状态预期!I173*求节点($C$62:$C$63,G$62:G$63,基础状态预期!AC173),0)+IFERROR(基础状态预期!$J173*求节点($C$71:$C$72,G$71:G$72,基础状态预期!$AD173),0))</f>
        <v>0</v>
      </c>
      <c r="X161" s="80">
        <f>IF(基础状态预期!AD173="",0,IFERROR(基础状态预期!J173*求节点($C$62:$C$63,H$62:H$63,基础状态预期!AD173),0)+IFERROR(基础状态预期!$J173*求节点($C$71:$C$72,H$71:H$72,基础状态预期!$AD173),0))</f>
        <v>0</v>
      </c>
      <c r="Y161" s="80">
        <f>IF(基础状态预期!$H173="",0,IF(基础状态预期!$AB173&lt;=1,基础状态预期!$AB173*D$18,D$18)*基础状态预期!$H173)+
IF(基础状态预期!$I173="",0,IF(基础状态预期!$AC173&lt;=1,基础状态预期!$AC173*D$19,D$19)*基础状态预期!$I173)+
IF(基础状态预期!$J173="",0,IF(基础状态预期!$AD173&lt;=1,基础状态预期!$AD173*D$20,D$20)*基础状态预期!$J173)</f>
        <v>48</v>
      </c>
      <c r="Z161" s="80">
        <f>IF(基础状态预期!$H173="",0,IF(基础状态预期!$AB173&lt;=1,基础状态预期!$AB173*E$18,E$18)*基础状态预期!$H173)+
IF(基础状态预期!$I173="",0,IF(基础状态预期!$AC173&lt;=1,基础状态预期!$AC173*E$19,E$19)*基础状态预期!$I173)+
IF(基础状态预期!$J173="",0,IF(基础状态预期!$AD173&lt;=1,基础状态预期!$AD173*E$20,E$20)*基础状态预期!$J173)</f>
        <v>0</v>
      </c>
      <c r="AA161" s="80">
        <f>IF(基础状态预期!$H173="",0,IF(基础状态预期!$AB173&lt;=1,基础状态预期!$AB173*F$18,F$18)*基础状态预期!$H173)+
IF(基础状态预期!$I173="",0,IF(基础状态预期!$AC173&lt;=1,基础状态预期!$AC173*F$19,F$19)*基础状态预期!$I173)+
IF(基础状态预期!$J173="",0,IF(基础状态预期!$AD173&lt;=1,基础状态预期!$AD173*F$20,F$20)*基础状态预期!$J173)</f>
        <v>0</v>
      </c>
      <c r="AB161" s="67">
        <f>IF(基础状态预期!$H173="",0,IF(基础状态预期!$AB173&lt;=1,0,(基础状态预期!$AB173-1)*G$26)*基础状态预期!$H173)+
IF(基础状态预期!$I173="",0,IF(基础状态预期!$AC173&lt;=1,0,(基础状态预期!$AC173-1)*G$27)*基础状态预期!$I173)+
IF(基础状态预期!$J173="",0,IF(基础状态预期!$AD173&lt;=1,0,(基础状态预期!$AD173-1)*G$28)*基础状态预期!$J173)</f>
        <v>240</v>
      </c>
      <c r="AC161" s="67">
        <f>IF(基础状态预期!$H173="",0,IF(基础状态预期!$AB173&lt;=1,0,(基础状态预期!$AB173-1)*H$26)*基础状态预期!$H173)+
IF(基础状态预期!$I173="",0,IF(基础状态预期!$AC173&lt;=1,0,(基础状态预期!$AC173-1)*H$27)*基础状态预期!$I173)+
IF(基础状态预期!$J173="",0,IF(基础状态预期!$AD173&lt;=1,0,(基础状态预期!$AD173-1)*H$28)*基础状态预期!$J173)</f>
        <v>0</v>
      </c>
      <c r="AD161" s="67">
        <f>IF(基础状态预期!$H173="",0,IF(基础状态预期!$AB173&lt;=1,0,(基础状态预期!$AB173-1)*I$26)*基础状态预期!$H173)+
IF(基础状态预期!$I173="",0,IF(基础状态预期!$AC173&lt;=1,0,(基础状态预期!$AC173-1)*I$27)*基础状态预期!$I173)+
IF(基础状态预期!$J173="",0,IF(基础状态预期!$AD173&lt;=1,0,(基础状态预期!$AD173-1)*I$28)*基础状态预期!$J173)</f>
        <v>0</v>
      </c>
      <c r="AE161" s="80">
        <f>IF(各r阵容卡情况!$H189=0,0,IF(各r阵容卡情况!$AB189&lt;=1,各r阵容卡情况!$AB189*D$18,1*D$18)*各r阵容卡情况!$H189)+
IF(各r阵容卡情况!$I189=0,0,IF(各r阵容卡情况!$AC189&lt;=1,各r阵容卡情况!$AC189*D$19,1*D$19)*各r阵容卡情况!$I189)+
IF(各r阵容卡情况!$J189=0,0,IF(各r阵容卡情况!$AD189&lt;=1,各r阵容卡情况!$AD189*D$20,1*D$20)*各r阵容卡情况!$J189)</f>
        <v>0</v>
      </c>
      <c r="AF161" s="80">
        <f>IF(各r阵容卡情况!$H189=0,0,IF(各r阵容卡情况!$AB189&lt;=1,各r阵容卡情况!$AB189*E$18,1*E$18)*各r阵容卡情况!$H189)+
IF(各r阵容卡情况!$I189=0,0,IF(各r阵容卡情况!$AC189&lt;=1,各r阵容卡情况!$AC189*E$19,1*E$19)*各r阵容卡情况!$I189)+
IF(各r阵容卡情况!$J189=0,0,IF(各r阵容卡情况!$AD189&lt;=1,各r阵容卡情况!$AD189*E$20,1*E$20)*各r阵容卡情况!$J189)</f>
        <v>0</v>
      </c>
      <c r="AG161" s="80">
        <f>IF(各r阵容卡情况!$H189=0,0,IF(各r阵容卡情况!$AB189&lt;=1,各r阵容卡情况!$AB189*F$18,1*F$18)*各r阵容卡情况!$H189)+
IF(各r阵容卡情况!$I189=0,0,IF(各r阵容卡情况!$AC189&lt;=1,各r阵容卡情况!$AC189*F$19,1*F$19)*各r阵容卡情况!$I189)+
IF(各r阵容卡情况!$J189=0,0,IF(各r阵容卡情况!$AD189&lt;=1,各r阵容卡情况!$AD189*F$20,1*F$20)*各r阵容卡情况!$J189)</f>
        <v>0</v>
      </c>
      <c r="AH161" s="67">
        <f>IF(各r阵容卡情况!$H189=0,0,IF(各r阵容卡情况!$AB189&lt;=1,0,(各r阵容卡情况!$AB189-1)*G$26)*各r阵容卡情况!$H189)+
IF(各r阵容卡情况!$I189=0,0,IF(各r阵容卡情况!$AC189&lt;=1,0,(各r阵容卡情况!$AC189-1)*G$27)*各r阵容卡情况!$I189)+
IF(各r阵容卡情况!$J189=0,0,IF(各r阵容卡情况!$AD189&lt;=1,0,(各r阵容卡情况!$AD189-1)*G$28)*各r阵容卡情况!$J189)</f>
        <v>0</v>
      </c>
      <c r="AI161" s="67">
        <f>IF(各r阵容卡情况!$H189=0,0,IF(各r阵容卡情况!$AB189&lt;=1,0,(各r阵容卡情况!$AB189-1)*H$26)*各r阵容卡情况!$H189)+
IF(各r阵容卡情况!$I189=0,0,IF(各r阵容卡情况!$AC189&lt;=1,0,(各r阵容卡情况!$AC189-1)*H$27)*各r阵容卡情况!$I189)+
IF(各r阵容卡情况!$J189=0,0,IF(各r阵容卡情况!$AD189&lt;=1,0,(各r阵容卡情况!$AD189-1)*H$28)*各r阵容卡情况!$J189)</f>
        <v>0</v>
      </c>
      <c r="AJ161" s="67">
        <f>IF(各r阵容卡情况!$H189=0,0,IF(各r阵容卡情况!$AB189&lt;=1,0,(各r阵容卡情况!$AB189-1)*I$26)*各r阵容卡情况!$H189)+
IF(各r阵容卡情况!$I189=0,0,IF(各r阵容卡情况!$AC189&lt;=1,0,(各r阵容卡情况!$AC189-1)*I$27)*各r阵容卡情况!$I189)+
IF(各r阵容卡情况!$J189=0,0,IF(各r阵容卡情况!$AD189&lt;=1,0,(各r阵容卡情况!$AD189-1)*I$28)*各r阵容卡情况!$J189)</f>
        <v>0</v>
      </c>
      <c r="AL161" s="80">
        <f t="shared" si="134"/>
        <v>115</v>
      </c>
      <c r="AM161" s="80">
        <f t="shared" si="135"/>
        <v>48</v>
      </c>
      <c r="AN161" s="80">
        <f t="shared" si="136"/>
        <v>0</v>
      </c>
      <c r="AO161" s="80">
        <f t="shared" si="137"/>
        <v>0</v>
      </c>
      <c r="AP161" s="80">
        <f t="shared" si="138"/>
        <v>240</v>
      </c>
      <c r="AQ161" s="80">
        <f t="shared" si="139"/>
        <v>0</v>
      </c>
      <c r="AR161" s="80">
        <f t="shared" si="140"/>
        <v>0</v>
      </c>
      <c r="AS161" s="80">
        <f t="shared" si="141"/>
        <v>16.185493359886966</v>
      </c>
      <c r="AT161" s="80">
        <f t="shared" si="142"/>
        <v>0</v>
      </c>
      <c r="AU161" s="80">
        <f t="shared" si="143"/>
        <v>0</v>
      </c>
      <c r="AV161" s="80">
        <f t="shared" si="144"/>
        <v>0.18530711396280691</v>
      </c>
      <c r="AW161" s="80">
        <f t="shared" si="145"/>
        <v>0</v>
      </c>
      <c r="AX161" s="80">
        <f t="shared" si="146"/>
        <v>0</v>
      </c>
      <c r="AY161" s="61" t="e">
        <f>SUMPRODUCT(AM161:AR161/'[1]功能-行军令'!$GI$26:$GN$26+AS161:AX161/'[1]功能-行军令'!$GI$26:$GN$26)/0.18</f>
        <v>#DIV/0!</v>
      </c>
      <c r="BO161" s="80">
        <f t="shared" si="132"/>
        <v>104.30731379164318</v>
      </c>
      <c r="BP161" s="80">
        <f t="shared" si="133"/>
        <v>12300000</v>
      </c>
      <c r="BQ161" s="80">
        <f>(BP161-BP160)*INDEX('[1]功能-付费相关'!$AT$6:$AT$165,$BO161,1)+BQ160</f>
        <v>16421.870715493144</v>
      </c>
      <c r="BR161" s="80"/>
      <c r="BS161" s="80"/>
    </row>
    <row r="162" spans="12:71" x14ac:dyDescent="0.15">
      <c r="L162" s="61">
        <v>26</v>
      </c>
      <c r="M162" s="80">
        <f>基础状态预期!D174</f>
        <v>104.30731379164318</v>
      </c>
      <c r="N162" s="80">
        <f>IF(基础状态预期!F174="",0,IF(基础状态预期!Z174&lt;=1,基础状态预期!Z174*D$4,1*D$4+(基础状态预期!Z174-1)*武将觉醒!D$5))</f>
        <v>0</v>
      </c>
      <c r="O162" s="80">
        <f>IF(基础状态预期!G174="",0,IF(基础状态预期!AA174&lt;=1,基础状态预期!AA174*E$4,1*E$4+(基础状态预期!AA174-1)*武将觉醒!E$5))</f>
        <v>0</v>
      </c>
      <c r="P162" s="80">
        <f>IF(基础状态预期!H174="",0,IF(基础状态预期!AB174&lt;=1,基础状态预期!AB174*F$4,1*F$4+(基础状态预期!AB174-1)*武将觉醒!F$5))</f>
        <v>0</v>
      </c>
      <c r="Q162" s="80">
        <f>IF(基础状态预期!I174="",0,IF(基础状态预期!AC174&lt;=1,基础状态预期!AC174*G$4,1*G$4+(基础状态预期!AC174-1)*武将觉醒!G$5))</f>
        <v>0</v>
      </c>
      <c r="R162" s="80">
        <f>IF(基础状态预期!J174="",0,IF(基础状态预期!AD174&lt;=1,基础状态预期!AD174*H$4,1*H$4+(基础状态预期!AD174-1)*武将觉醒!H$5))</f>
        <v>2050000</v>
      </c>
      <c r="S162" s="80">
        <f>MAX(SUMPRODUCT(N162:R162,基础状态预期!F174:J174),S161)</f>
        <v>12300000</v>
      </c>
      <c r="T162" s="80">
        <f>IF(基础状态预期!Z174="",0,IFERROR(基础状态预期!F174*求节点($C$62:$C$63,D$62:D$63,基础状态预期!Z174),0)+IFERROR(基础状态预期!$J174*求节点($C$71:$C$72,D$71:D$72,基础状态预期!$AD174),0))</f>
        <v>0</v>
      </c>
      <c r="U162" s="80">
        <f>IF(基础状态预期!AA174="",0,IFERROR(基础状态预期!G174*求节点($C$62:$C$63,E$62:E$63,基础状态预期!AA174),0)+IFERROR(基础状态预期!$J174*求节点($C$71:$C$72,E$71:E$72,基础状态预期!$AD174),0))</f>
        <v>0</v>
      </c>
      <c r="V162" s="80">
        <f>IF(基础状态预期!AB174="",0,IFERROR(基础状态预期!H174*求节点($C$62:$C$63,F$62:F$63,基础状态预期!AB174),0)+IFERROR(基础状态预期!$J174*求节点($C$71:$C$72,F$71:F$72,基础状态预期!$AD174),0))</f>
        <v>0</v>
      </c>
      <c r="W162" s="80">
        <f>IF(基础状态预期!AC174="",0,IFERROR(基础状态预期!I174*求节点($C$62:$C$63,G$62:G$63,基础状态预期!AC174),0)+IFERROR(基础状态预期!$J174*求节点($C$71:$C$72,G$71:G$72,基础状态预期!$AD174),0))</f>
        <v>0</v>
      </c>
      <c r="X162" s="80">
        <f>IF(基础状态预期!AD174="",0,IFERROR(基础状态预期!J174*求节点($C$62:$C$63,H$62:H$63,基础状态预期!AD174),0)+IFERROR(基础状态预期!$J174*求节点($C$71:$C$72,H$71:H$72,基础状态预期!$AD174),0))</f>
        <v>0</v>
      </c>
      <c r="Y162" s="80">
        <f>IF(基础状态预期!$H174="",0,IF(基础状态预期!$AB174&lt;=1,基础状态预期!$AB174*D$18,D$18)*基础状态预期!$H174)+
IF(基础状态预期!$I174="",0,IF(基础状态预期!$AC174&lt;=1,基础状态预期!$AC174*D$19,D$19)*基础状态预期!$I174)+
IF(基础状态预期!$J174="",0,IF(基础状态预期!$AD174&lt;=1,基础状态预期!$AD174*D$20,D$20)*基础状态预期!$J174)</f>
        <v>48</v>
      </c>
      <c r="Z162" s="80">
        <f>IF(基础状态预期!$H174="",0,IF(基础状态预期!$AB174&lt;=1,基础状态预期!$AB174*E$18,E$18)*基础状态预期!$H174)+
IF(基础状态预期!$I174="",0,IF(基础状态预期!$AC174&lt;=1,基础状态预期!$AC174*E$19,E$19)*基础状态预期!$I174)+
IF(基础状态预期!$J174="",0,IF(基础状态预期!$AD174&lt;=1,基础状态预期!$AD174*E$20,E$20)*基础状态预期!$J174)</f>
        <v>0</v>
      </c>
      <c r="AA162" s="80">
        <f>IF(基础状态预期!$H174="",0,IF(基础状态预期!$AB174&lt;=1,基础状态预期!$AB174*F$18,F$18)*基础状态预期!$H174)+
IF(基础状态预期!$I174="",0,IF(基础状态预期!$AC174&lt;=1,基础状态预期!$AC174*F$19,F$19)*基础状态预期!$I174)+
IF(基础状态预期!$J174="",0,IF(基础状态预期!$AD174&lt;=1,基础状态预期!$AD174*F$20,F$20)*基础状态预期!$J174)</f>
        <v>0</v>
      </c>
      <c r="AB162" s="67">
        <f>IF(基础状态预期!$H174="",0,IF(基础状态预期!$AB174&lt;=1,0,(基础状态预期!$AB174-1)*G$26)*基础状态预期!$H174)+
IF(基础状态预期!$I174="",0,IF(基础状态预期!$AC174&lt;=1,0,(基础状态预期!$AC174-1)*G$27)*基础状态预期!$I174)+
IF(基础状态预期!$J174="",0,IF(基础状态预期!$AD174&lt;=1,0,(基础状态预期!$AD174-1)*G$28)*基础状态预期!$J174)</f>
        <v>240</v>
      </c>
      <c r="AC162" s="67">
        <f>IF(基础状态预期!$H174="",0,IF(基础状态预期!$AB174&lt;=1,0,(基础状态预期!$AB174-1)*H$26)*基础状态预期!$H174)+
IF(基础状态预期!$I174="",0,IF(基础状态预期!$AC174&lt;=1,0,(基础状态预期!$AC174-1)*H$27)*基础状态预期!$I174)+
IF(基础状态预期!$J174="",0,IF(基础状态预期!$AD174&lt;=1,0,(基础状态预期!$AD174-1)*H$28)*基础状态预期!$J174)</f>
        <v>0</v>
      </c>
      <c r="AD162" s="67">
        <f>IF(基础状态预期!$H174="",0,IF(基础状态预期!$AB174&lt;=1,0,(基础状态预期!$AB174-1)*I$26)*基础状态预期!$H174)+
IF(基础状态预期!$I174="",0,IF(基础状态预期!$AC174&lt;=1,0,(基础状态预期!$AC174-1)*I$27)*基础状态预期!$I174)+
IF(基础状态预期!$J174="",0,IF(基础状态预期!$AD174&lt;=1,0,(基础状态预期!$AD174-1)*I$28)*基础状态预期!$J174)</f>
        <v>0</v>
      </c>
      <c r="AE162" s="80" t="e">
        <f>IF(各r阵容卡情况!$H190=0,0,IF(各r阵容卡情况!$AB190&lt;=1,各r阵容卡情况!$AB190*D$18,1*D$18)*各r阵容卡情况!$H190)+
IF(各r阵容卡情况!$I190=0,0,IF(各r阵容卡情况!$AC190&lt;=1,各r阵容卡情况!$AC190*D$19,1*D$19)*各r阵容卡情况!$I190)+
IF(各r阵容卡情况!$J190=0,0,IF(各r阵容卡情况!$AD190&lt;=1,各r阵容卡情况!$AD190*D$20,1*D$20)*各r阵容卡情况!$J190)</f>
        <v>#VALUE!</v>
      </c>
      <c r="AF162" s="80" t="e">
        <f>IF(各r阵容卡情况!$H190=0,0,IF(各r阵容卡情况!$AB190&lt;=1,各r阵容卡情况!$AB190*E$18,1*E$18)*各r阵容卡情况!$H190)+
IF(各r阵容卡情况!$I190=0,0,IF(各r阵容卡情况!$AC190&lt;=1,各r阵容卡情况!$AC190*E$19,1*E$19)*各r阵容卡情况!$I190)+
IF(各r阵容卡情况!$J190=0,0,IF(各r阵容卡情况!$AD190&lt;=1,各r阵容卡情况!$AD190*E$20,1*E$20)*各r阵容卡情况!$J190)</f>
        <v>#VALUE!</v>
      </c>
      <c r="AG162" s="80" t="e">
        <f>IF(各r阵容卡情况!$H190=0,0,IF(各r阵容卡情况!$AB190&lt;=1,各r阵容卡情况!$AB190*F$18,1*F$18)*各r阵容卡情况!$H190)+
IF(各r阵容卡情况!$I190=0,0,IF(各r阵容卡情况!$AC190&lt;=1,各r阵容卡情况!$AC190*F$19,1*F$19)*各r阵容卡情况!$I190)+
IF(各r阵容卡情况!$J190=0,0,IF(各r阵容卡情况!$AD190&lt;=1,各r阵容卡情况!$AD190*F$20,1*F$20)*各r阵容卡情况!$J190)</f>
        <v>#VALUE!</v>
      </c>
      <c r="AH162" s="67" t="e">
        <f>IF(各r阵容卡情况!$H190=0,0,IF(各r阵容卡情况!$AB190&lt;=1,0,(各r阵容卡情况!$AB190-1)*G$26)*各r阵容卡情况!$H190)+
IF(各r阵容卡情况!$I190=0,0,IF(各r阵容卡情况!$AC190&lt;=1,0,(各r阵容卡情况!$AC190-1)*G$27)*各r阵容卡情况!$I190)+
IF(各r阵容卡情况!$J190=0,0,IF(各r阵容卡情况!$AD190&lt;=1,0,(各r阵容卡情况!$AD190-1)*G$28)*各r阵容卡情况!$J190)</f>
        <v>#VALUE!</v>
      </c>
      <c r="AI162" s="67" t="e">
        <f>IF(各r阵容卡情况!$H190=0,0,IF(各r阵容卡情况!$AB190&lt;=1,0,(各r阵容卡情况!$AB190-1)*H$26)*各r阵容卡情况!$H190)+
IF(各r阵容卡情况!$I190=0,0,IF(各r阵容卡情况!$AC190&lt;=1,0,(各r阵容卡情况!$AC190-1)*H$27)*各r阵容卡情况!$I190)+
IF(各r阵容卡情况!$J190=0,0,IF(各r阵容卡情况!$AD190&lt;=1,0,(各r阵容卡情况!$AD190-1)*H$28)*各r阵容卡情况!$J190)</f>
        <v>#VALUE!</v>
      </c>
      <c r="AJ162" s="67" t="e">
        <f>IF(各r阵容卡情况!$H190=0,0,IF(各r阵容卡情况!$AB190&lt;=1,0,(各r阵容卡情况!$AB190-1)*I$26)*各r阵容卡情况!$H190)+
IF(各r阵容卡情况!$I190=0,0,IF(各r阵容卡情况!$AC190&lt;=1,0,(各r阵容卡情况!$AC190-1)*I$27)*各r阵容卡情况!$I190)+
IF(各r阵容卡情况!$J190=0,0,IF(各r阵容卡情况!$AD190&lt;=1,0,(各r阵容卡情况!$AD190-1)*I$28)*各r阵容卡情况!$J190)</f>
        <v>#VALUE!</v>
      </c>
      <c r="AL162" s="80">
        <f t="shared" si="134"/>
        <v>120</v>
      </c>
      <c r="AM162" s="80">
        <f t="shared" si="135"/>
        <v>48</v>
      </c>
      <c r="AN162" s="80">
        <f t="shared" si="136"/>
        <v>0</v>
      </c>
      <c r="AO162" s="80">
        <f t="shared" si="137"/>
        <v>0</v>
      </c>
      <c r="AP162" s="80">
        <f t="shared" si="138"/>
        <v>240</v>
      </c>
      <c r="AQ162" s="80">
        <f t="shared" si="139"/>
        <v>0</v>
      </c>
      <c r="AR162" s="80">
        <f t="shared" si="140"/>
        <v>0</v>
      </c>
      <c r="AS162" s="80">
        <f t="shared" si="141"/>
        <v>59.415844093042431</v>
      </c>
      <c r="AT162" s="80">
        <f t="shared" si="142"/>
        <v>0</v>
      </c>
      <c r="AU162" s="80">
        <f t="shared" si="143"/>
        <v>0</v>
      </c>
      <c r="AV162" s="80">
        <f t="shared" si="144"/>
        <v>223.56250846973228</v>
      </c>
      <c r="AW162" s="80">
        <f t="shared" si="145"/>
        <v>0</v>
      </c>
      <c r="AX162" s="80">
        <f t="shared" si="146"/>
        <v>0</v>
      </c>
      <c r="AY162" s="61" t="e">
        <f>SUMPRODUCT(AM162:AR162/'[1]功能-行军令'!$GI$26:$GN$26+AS162:AX162/'[1]功能-行军令'!$GI$26:$GN$26)/0.18</f>
        <v>#DIV/0!</v>
      </c>
      <c r="BO162" s="80">
        <f t="shared" si="132"/>
        <v>107.78950972208385</v>
      </c>
      <c r="BP162" s="80">
        <f t="shared" si="133"/>
        <v>12300000</v>
      </c>
      <c r="BQ162" s="80">
        <f>(BP162-BP161)*INDEX('[1]功能-付费相关'!$AT$6:$AT$165,$BO162,1)+BQ161</f>
        <v>16421.870715493144</v>
      </c>
      <c r="BR162" s="80"/>
      <c r="BS162" s="80"/>
    </row>
    <row r="163" spans="12:71" x14ac:dyDescent="0.15">
      <c r="L163" s="61">
        <v>27</v>
      </c>
      <c r="M163" s="80">
        <f>基础状态预期!D175</f>
        <v>107.78950972208385</v>
      </c>
      <c r="N163" s="80">
        <f>IF(基础状态预期!F175="",0,IF(基础状态预期!Z175&lt;=1,基础状态预期!Z175*D$4,1*D$4+(基础状态预期!Z175-1)*武将觉醒!D$5))</f>
        <v>0</v>
      </c>
      <c r="O163" s="80">
        <f>IF(基础状态预期!G175="",0,IF(基础状态预期!AA175&lt;=1,基础状态预期!AA175*E$4,1*E$4+(基础状态预期!AA175-1)*武将觉醒!E$5))</f>
        <v>0</v>
      </c>
      <c r="P163" s="80">
        <f>IF(基础状态预期!H175="",0,IF(基础状态预期!AB175&lt;=1,基础状态预期!AB175*F$4,1*F$4+(基础状态预期!AB175-1)*武将觉醒!F$5))</f>
        <v>0</v>
      </c>
      <c r="Q163" s="80">
        <f>IF(基础状态预期!I175="",0,IF(基础状态预期!AC175&lt;=1,基础状态预期!AC175*G$4,1*G$4+(基础状态预期!AC175-1)*武将觉醒!G$5))</f>
        <v>0</v>
      </c>
      <c r="R163" s="80">
        <f>IF(基础状态预期!J175="",0,IF(基础状态预期!AD175&lt;=1,基础状态预期!AD175*H$4,1*H$4+(基础状态预期!AD175-1)*武将觉醒!H$5))</f>
        <v>2050000</v>
      </c>
      <c r="S163" s="80">
        <f>MAX(SUMPRODUCT(N163:R163,基础状态预期!F175:J175),S162)</f>
        <v>12300000</v>
      </c>
      <c r="T163" s="80">
        <f>IF(基础状态预期!Z175="",0,IFERROR(基础状态预期!F175*求节点($C$62:$C$63,D$62:D$63,基础状态预期!Z175),0)+IFERROR(基础状态预期!$J175*求节点($C$71:$C$72,D$71:D$72,基础状态预期!$AD175),0))</f>
        <v>0</v>
      </c>
      <c r="U163" s="80">
        <f>IF(基础状态预期!AA175="",0,IFERROR(基础状态预期!G175*求节点($C$62:$C$63,E$62:E$63,基础状态预期!AA175),0)+IFERROR(基础状态预期!$J175*求节点($C$71:$C$72,E$71:E$72,基础状态预期!$AD175),0))</f>
        <v>0</v>
      </c>
      <c r="V163" s="80">
        <f>IF(基础状态预期!AB175="",0,IFERROR(基础状态预期!H175*求节点($C$62:$C$63,F$62:F$63,基础状态预期!AB175),0)+IFERROR(基础状态预期!$J175*求节点($C$71:$C$72,F$71:F$72,基础状态预期!$AD175),0))</f>
        <v>0</v>
      </c>
      <c r="W163" s="80">
        <f>IF(基础状态预期!AC175="",0,IFERROR(基础状态预期!I175*求节点($C$62:$C$63,G$62:G$63,基础状态预期!AC175),0)+IFERROR(基础状态预期!$J175*求节点($C$71:$C$72,G$71:G$72,基础状态预期!$AD175),0))</f>
        <v>0</v>
      </c>
      <c r="X163" s="80">
        <f>IF(基础状态预期!AD175="",0,IFERROR(基础状态预期!J175*求节点($C$62:$C$63,H$62:H$63,基础状态预期!AD175),0)+IFERROR(基础状态预期!$J175*求节点($C$71:$C$72,H$71:H$72,基础状态预期!$AD175),0))</f>
        <v>0</v>
      </c>
      <c r="Y163" s="80">
        <f>IF(基础状态预期!$H175="",0,IF(基础状态预期!$AB175&lt;=1,基础状态预期!$AB175*D$18,D$18)*基础状态预期!$H175)+
IF(基础状态预期!$I175="",0,IF(基础状态预期!$AC175&lt;=1,基础状态预期!$AC175*D$19,D$19)*基础状态预期!$I175)+
IF(基础状态预期!$J175="",0,IF(基础状态预期!$AD175&lt;=1,基础状态预期!$AD175*D$20,D$20)*基础状态预期!$J175)</f>
        <v>48</v>
      </c>
      <c r="Z163" s="80">
        <f>IF(基础状态预期!$H175="",0,IF(基础状态预期!$AB175&lt;=1,基础状态预期!$AB175*E$18,E$18)*基础状态预期!$H175)+
IF(基础状态预期!$I175="",0,IF(基础状态预期!$AC175&lt;=1,基础状态预期!$AC175*E$19,E$19)*基础状态预期!$I175)+
IF(基础状态预期!$J175="",0,IF(基础状态预期!$AD175&lt;=1,基础状态预期!$AD175*E$20,E$20)*基础状态预期!$J175)</f>
        <v>0</v>
      </c>
      <c r="AA163" s="80">
        <f>IF(基础状态预期!$H175="",0,IF(基础状态预期!$AB175&lt;=1,基础状态预期!$AB175*F$18,F$18)*基础状态预期!$H175)+
IF(基础状态预期!$I175="",0,IF(基础状态预期!$AC175&lt;=1,基础状态预期!$AC175*F$19,F$19)*基础状态预期!$I175)+
IF(基础状态预期!$J175="",0,IF(基础状态预期!$AD175&lt;=1,基础状态预期!$AD175*F$20,F$20)*基础状态预期!$J175)</f>
        <v>0</v>
      </c>
      <c r="AB163" s="67">
        <f>IF(基础状态预期!$H175="",0,IF(基础状态预期!$AB175&lt;=1,0,(基础状态预期!$AB175-1)*G$26)*基础状态预期!$H175)+
IF(基础状态预期!$I175="",0,IF(基础状态预期!$AC175&lt;=1,0,(基础状态预期!$AC175-1)*G$27)*基础状态预期!$I175)+
IF(基础状态预期!$J175="",0,IF(基础状态预期!$AD175&lt;=1,0,(基础状态预期!$AD175-1)*G$28)*基础状态预期!$J175)</f>
        <v>240</v>
      </c>
      <c r="AC163" s="67">
        <f>IF(基础状态预期!$H175="",0,IF(基础状态预期!$AB175&lt;=1,0,(基础状态预期!$AB175-1)*H$26)*基础状态预期!$H175)+
IF(基础状态预期!$I175="",0,IF(基础状态预期!$AC175&lt;=1,0,(基础状态预期!$AC175-1)*H$27)*基础状态预期!$I175)+
IF(基础状态预期!$J175="",0,IF(基础状态预期!$AD175&lt;=1,0,(基础状态预期!$AD175-1)*H$28)*基础状态预期!$J175)</f>
        <v>0</v>
      </c>
      <c r="AD163" s="67">
        <f>IF(基础状态预期!$H175="",0,IF(基础状态预期!$AB175&lt;=1,0,(基础状态预期!$AB175-1)*I$26)*基础状态预期!$H175)+
IF(基础状态预期!$I175="",0,IF(基础状态预期!$AC175&lt;=1,0,(基础状态预期!$AC175-1)*I$27)*基础状态预期!$I175)+
IF(基础状态预期!$J175="",0,IF(基础状态预期!$AD175&lt;=1,0,(基础状态预期!$AD175-1)*I$28)*基础状态预期!$J175)</f>
        <v>0</v>
      </c>
      <c r="AE163" s="80">
        <f>IF(各r阵容卡情况!$H191=0,0,IF(各r阵容卡情况!$AB191&lt;=1,各r阵容卡情况!$AB191*D$18,1*D$18)*各r阵容卡情况!$H191)+
IF(各r阵容卡情况!$I191=0,0,IF(各r阵容卡情况!$AC191&lt;=1,各r阵容卡情况!$AC191*D$19,1*D$19)*各r阵容卡情况!$I191)+
IF(各r阵容卡情况!$J191=0,0,IF(各r阵容卡情况!$AD191&lt;=1,各r阵容卡情况!$AD191*D$20,1*D$20)*各r阵容卡情况!$J191)</f>
        <v>2.4282029958283855E-2</v>
      </c>
      <c r="AF163" s="80">
        <f>IF(各r阵容卡情况!$H191=0,0,IF(各r阵容卡情况!$AB191&lt;=1,各r阵容卡情况!$AB191*E$18,1*E$18)*各r阵容卡情况!$H191)+
IF(各r阵容卡情况!$I191=0,0,IF(各r阵容卡情况!$AC191&lt;=1,各r阵容卡情况!$AC191*E$19,1*E$19)*各r阵容卡情况!$I191)+
IF(各r阵容卡情况!$J191=0,0,IF(各r阵容卡情况!$AD191&lt;=1,各r阵容卡情况!$AD191*E$20,1*E$20)*各r阵容卡情况!$J191)</f>
        <v>0</v>
      </c>
      <c r="AG163" s="80">
        <f>IF(各r阵容卡情况!$H191=0,0,IF(各r阵容卡情况!$AB191&lt;=1,各r阵容卡情况!$AB191*F$18,1*F$18)*各r阵容卡情况!$H191)+
IF(各r阵容卡情况!$I191=0,0,IF(各r阵容卡情况!$AC191&lt;=1,各r阵容卡情况!$AC191*F$19,1*F$19)*各r阵容卡情况!$I191)+
IF(各r阵容卡情况!$J191=0,0,IF(各r阵容卡情况!$AD191&lt;=1,各r阵容卡情况!$AD191*F$20,1*F$20)*各r阵容卡情况!$J191)</f>
        <v>0</v>
      </c>
      <c r="AH163" s="67">
        <f>IF(各r阵容卡情况!$H191=0,0,IF(各r阵容卡情况!$AB191&lt;=1,0,(各r阵容卡情况!$AB191-1)*G$26)*各r阵容卡情况!$H191)+
IF(各r阵容卡情况!$I191=0,0,IF(各r阵容卡情况!$AC191&lt;=1,0,(各r阵容卡情况!$AC191-1)*G$27)*各r阵容卡情况!$I191)+
IF(各r阵容卡情况!$J191=0,0,IF(各r阵容卡情况!$AD191&lt;=1,0,(各r阵容卡情况!$AD191-1)*G$28)*各r阵容卡情况!$J191)</f>
        <v>0</v>
      </c>
      <c r="AI163" s="67">
        <f>IF(各r阵容卡情况!$H191=0,0,IF(各r阵容卡情况!$AB191&lt;=1,0,(各r阵容卡情况!$AB191-1)*H$26)*各r阵容卡情况!$H191)+
IF(各r阵容卡情况!$I191=0,0,IF(各r阵容卡情况!$AC191&lt;=1,0,(各r阵容卡情况!$AC191-1)*H$27)*各r阵容卡情况!$I191)+
IF(各r阵容卡情况!$J191=0,0,IF(各r阵容卡情况!$AD191&lt;=1,0,(各r阵容卡情况!$AD191-1)*H$28)*各r阵容卡情况!$J191)</f>
        <v>0</v>
      </c>
      <c r="AJ163" s="67">
        <f>IF(各r阵容卡情况!$H191=0,0,IF(各r阵容卡情况!$AB191&lt;=1,0,(各r阵容卡情况!$AB191-1)*I$26)*各r阵容卡情况!$H191)+
IF(各r阵容卡情况!$I191=0,0,IF(各r阵容卡情况!$AC191&lt;=1,0,(各r阵容卡情况!$AC191-1)*I$27)*各r阵容卡情况!$I191)+
IF(各r阵容卡情况!$J191=0,0,IF(各r阵容卡情况!$AD191&lt;=1,0,(各r阵容卡情况!$AD191-1)*I$28)*各r阵容卡情况!$J191)</f>
        <v>0</v>
      </c>
      <c r="AL163" s="80">
        <f t="shared" si="134"/>
        <v>125</v>
      </c>
      <c r="AM163" s="80">
        <f t="shared" si="135"/>
        <v>48</v>
      </c>
      <c r="AN163" s="80">
        <f t="shared" si="136"/>
        <v>0</v>
      </c>
      <c r="AO163" s="80">
        <f t="shared" si="137"/>
        <v>0</v>
      </c>
      <c r="AP163" s="80">
        <f t="shared" si="138"/>
        <v>240</v>
      </c>
      <c r="AQ163" s="80">
        <f t="shared" si="139"/>
        <v>0</v>
      </c>
      <c r="AR163" s="80">
        <f t="shared" si="140"/>
        <v>0</v>
      </c>
      <c r="AS163" s="80">
        <f t="shared" si="141"/>
        <v>124.94444884400673</v>
      </c>
      <c r="AT163" s="80">
        <f t="shared" si="142"/>
        <v>0</v>
      </c>
      <c r="AU163" s="80">
        <f t="shared" si="143"/>
        <v>0</v>
      </c>
      <c r="AV163" s="80">
        <f t="shared" si="144"/>
        <v>621.53162335191939</v>
      </c>
      <c r="AW163" s="80">
        <f t="shared" si="145"/>
        <v>0</v>
      </c>
      <c r="AX163" s="80">
        <f t="shared" si="146"/>
        <v>0</v>
      </c>
      <c r="AY163" s="61" t="e">
        <f>SUMPRODUCT(AM163:AR163/'[1]功能-行军令'!$GI$26:$GN$26+AS163:AX163/'[1]功能-行军令'!$GI$26:$GN$26)/0.18</f>
        <v>#DIV/0!</v>
      </c>
      <c r="BO163" s="80">
        <f t="shared" si="132"/>
        <v>111.29737083030383</v>
      </c>
      <c r="BP163" s="80">
        <f t="shared" si="133"/>
        <v>12300000</v>
      </c>
      <c r="BQ163" s="80">
        <f>(BP163-BP162)*INDEX('[1]功能-付费相关'!$AT$6:$AT$165,$BO163,1)+BQ162</f>
        <v>16421.870715493144</v>
      </c>
      <c r="BR163" s="80"/>
      <c r="BS163" s="80"/>
    </row>
    <row r="164" spans="12:71" x14ac:dyDescent="0.15">
      <c r="L164" s="61">
        <v>28</v>
      </c>
      <c r="M164" s="80">
        <f>基础状态预期!D176</f>
        <v>111.29737083030383</v>
      </c>
      <c r="N164" s="80">
        <f>IF(基础状态预期!F176="",0,IF(基础状态预期!Z176&lt;=1,基础状态预期!Z176*D$4,1*D$4+(基础状态预期!Z176-1)*武将觉醒!D$5))</f>
        <v>0</v>
      </c>
      <c r="O164" s="80">
        <f>IF(基础状态预期!G176="",0,IF(基础状态预期!AA176&lt;=1,基础状态预期!AA176*E$4,1*E$4+(基础状态预期!AA176-1)*武将觉醒!E$5))</f>
        <v>0</v>
      </c>
      <c r="P164" s="80">
        <f>IF(基础状态预期!H176="",0,IF(基础状态预期!AB176&lt;=1,基础状态预期!AB176*F$4,1*F$4+(基础状态预期!AB176-1)*武将觉醒!F$5))</f>
        <v>0</v>
      </c>
      <c r="Q164" s="80">
        <f>IF(基础状态预期!I176="",0,IF(基础状态预期!AC176&lt;=1,基础状态预期!AC176*G$4,1*G$4+(基础状态预期!AC176-1)*武将觉醒!G$5))</f>
        <v>0</v>
      </c>
      <c r="R164" s="80">
        <f>IF(基础状态预期!J176="",0,IF(基础状态预期!AD176&lt;=1,基础状态预期!AD176*H$4,1*H$4+(基础状态预期!AD176-1)*武将觉醒!H$5))</f>
        <v>2050000</v>
      </c>
      <c r="S164" s="80">
        <f>MAX(SUMPRODUCT(N164:R164,基础状态预期!F176:J176),S163)</f>
        <v>12300000</v>
      </c>
      <c r="T164" s="80">
        <f>IF(基础状态预期!Z176="",0,IFERROR(基础状态预期!F176*求节点($C$62:$C$63,D$62:D$63,基础状态预期!Z176),0)+IFERROR(基础状态预期!$J176*求节点($C$71:$C$72,D$71:D$72,基础状态预期!$AD176),0))</f>
        <v>0</v>
      </c>
      <c r="U164" s="80">
        <f>IF(基础状态预期!AA176="",0,IFERROR(基础状态预期!G176*求节点($C$62:$C$63,E$62:E$63,基础状态预期!AA176),0)+IFERROR(基础状态预期!$J176*求节点($C$71:$C$72,E$71:E$72,基础状态预期!$AD176),0))</f>
        <v>0</v>
      </c>
      <c r="V164" s="80">
        <f>IF(基础状态预期!AB176="",0,IFERROR(基础状态预期!H176*求节点($C$62:$C$63,F$62:F$63,基础状态预期!AB176),0)+IFERROR(基础状态预期!$J176*求节点($C$71:$C$72,F$71:F$72,基础状态预期!$AD176),0))</f>
        <v>0</v>
      </c>
      <c r="W164" s="80">
        <f>IF(基础状态预期!AC176="",0,IFERROR(基础状态预期!I176*求节点($C$62:$C$63,G$62:G$63,基础状态预期!AC176),0)+IFERROR(基础状态预期!$J176*求节点($C$71:$C$72,G$71:G$72,基础状态预期!$AD176),0))</f>
        <v>0</v>
      </c>
      <c r="X164" s="80">
        <f>IF(基础状态预期!AD176="",0,IFERROR(基础状态预期!J176*求节点($C$62:$C$63,H$62:H$63,基础状态预期!AD176),0)+IFERROR(基础状态预期!$J176*求节点($C$71:$C$72,H$71:H$72,基础状态预期!$AD176),0))</f>
        <v>0</v>
      </c>
      <c r="Y164" s="80">
        <f>IF(基础状态预期!$H176="",0,IF(基础状态预期!$AB176&lt;=1,基础状态预期!$AB176*D$18,D$18)*基础状态预期!$H176)+
IF(基础状态预期!$I176="",0,IF(基础状态预期!$AC176&lt;=1,基础状态预期!$AC176*D$19,D$19)*基础状态预期!$I176)+
IF(基础状态预期!$J176="",0,IF(基础状态预期!$AD176&lt;=1,基础状态预期!$AD176*D$20,D$20)*基础状态预期!$J176)</f>
        <v>48</v>
      </c>
      <c r="Z164" s="80">
        <f>IF(基础状态预期!$H176="",0,IF(基础状态预期!$AB176&lt;=1,基础状态预期!$AB176*E$18,E$18)*基础状态预期!$H176)+
IF(基础状态预期!$I176="",0,IF(基础状态预期!$AC176&lt;=1,基础状态预期!$AC176*E$19,E$19)*基础状态预期!$I176)+
IF(基础状态预期!$J176="",0,IF(基础状态预期!$AD176&lt;=1,基础状态预期!$AD176*E$20,E$20)*基础状态预期!$J176)</f>
        <v>0</v>
      </c>
      <c r="AA164" s="80">
        <f>IF(基础状态预期!$H176="",0,IF(基础状态预期!$AB176&lt;=1,基础状态预期!$AB176*F$18,F$18)*基础状态预期!$H176)+
IF(基础状态预期!$I176="",0,IF(基础状态预期!$AC176&lt;=1,基础状态预期!$AC176*F$19,F$19)*基础状态预期!$I176)+
IF(基础状态预期!$J176="",0,IF(基础状态预期!$AD176&lt;=1,基础状态预期!$AD176*F$20,F$20)*基础状态预期!$J176)</f>
        <v>0</v>
      </c>
      <c r="AB164" s="67">
        <f>IF(基础状态预期!$H176="",0,IF(基础状态预期!$AB176&lt;=1,0,(基础状态预期!$AB176-1)*G$26)*基础状态预期!$H176)+
IF(基础状态预期!$I176="",0,IF(基础状态预期!$AC176&lt;=1,0,(基础状态预期!$AC176-1)*G$27)*基础状态预期!$I176)+
IF(基础状态预期!$J176="",0,IF(基础状态预期!$AD176&lt;=1,0,(基础状态预期!$AD176-1)*G$28)*基础状态预期!$J176)</f>
        <v>240</v>
      </c>
      <c r="AC164" s="67">
        <f>IF(基础状态预期!$H176="",0,IF(基础状态预期!$AB176&lt;=1,0,(基础状态预期!$AB176-1)*H$26)*基础状态预期!$H176)+
IF(基础状态预期!$I176="",0,IF(基础状态预期!$AC176&lt;=1,0,(基础状态预期!$AC176-1)*H$27)*基础状态预期!$I176)+
IF(基础状态预期!$J176="",0,IF(基础状态预期!$AD176&lt;=1,0,(基础状态预期!$AD176-1)*H$28)*基础状态预期!$J176)</f>
        <v>0</v>
      </c>
      <c r="AD164" s="67">
        <f>IF(基础状态预期!$H176="",0,IF(基础状态预期!$AB176&lt;=1,0,(基础状态预期!$AB176-1)*I$26)*基础状态预期!$H176)+
IF(基础状态预期!$I176="",0,IF(基础状态预期!$AC176&lt;=1,0,(基础状态预期!$AC176-1)*I$27)*基础状态预期!$I176)+
IF(基础状态预期!$J176="",0,IF(基础状态预期!$AD176&lt;=1,0,(基础状态预期!$AD176-1)*I$28)*基础状态预期!$J176)</f>
        <v>0</v>
      </c>
      <c r="AE164" s="80">
        <f>IF(各r阵容卡情况!$H192=0,0,IF(各r阵容卡情况!$AB192&lt;=1,各r阵容卡情况!$AB192*D$18,1*D$18)*各r阵容卡情况!$H192)+
IF(各r阵容卡情况!$I192=0,0,IF(各r阵容卡情况!$AC192&lt;=1,各r阵容卡情况!$AC192*D$19,1*D$19)*各r阵容卡情况!$I192)+
IF(各r阵容卡情况!$J192=0,0,IF(各r阵容卡情况!$AD192&lt;=1,各r阵容卡情况!$AD192*D$20,1*D$20)*各r阵容卡情况!$J192)</f>
        <v>8</v>
      </c>
      <c r="AF164" s="80">
        <f>IF(各r阵容卡情况!$H192=0,0,IF(各r阵容卡情况!$AB192&lt;=1,各r阵容卡情况!$AB192*E$18,1*E$18)*各r阵容卡情况!$H192)+
IF(各r阵容卡情况!$I192=0,0,IF(各r阵容卡情况!$AC192&lt;=1,各r阵容卡情况!$AC192*E$19,1*E$19)*各r阵容卡情况!$I192)+
IF(各r阵容卡情况!$J192=0,0,IF(各r阵容卡情况!$AD192&lt;=1,各r阵容卡情况!$AD192*E$20,1*E$20)*各r阵容卡情况!$J192)</f>
        <v>0</v>
      </c>
      <c r="AG164" s="80">
        <f>IF(各r阵容卡情况!$H192=0,0,IF(各r阵容卡情况!$AB192&lt;=1,各r阵容卡情况!$AB192*F$18,1*F$18)*各r阵容卡情况!$H192)+
IF(各r阵容卡情况!$I192=0,0,IF(各r阵容卡情况!$AC192&lt;=1,各r阵容卡情况!$AC192*F$19,1*F$19)*各r阵容卡情况!$I192)+
IF(各r阵容卡情况!$J192=0,0,IF(各r阵容卡情况!$AD192&lt;=1,各r阵容卡情况!$AD192*F$20,1*F$20)*各r阵容卡情况!$J192)</f>
        <v>0</v>
      </c>
      <c r="AH164" s="67">
        <f>IF(各r阵容卡情况!$H192=0,0,IF(各r阵容卡情况!$AB192&lt;=1,0,(各r阵容卡情况!$AB192-1)*G$26)*各r阵容卡情况!$H192)+
IF(各r阵容卡情况!$I192=0,0,IF(各r阵容卡情况!$AC192&lt;=1,0,(各r阵容卡情况!$AC192-1)*G$27)*各r阵容卡情况!$I192)+
IF(各r阵容卡情况!$J192=0,0,IF(各r阵容卡情况!$AD192&lt;=1,0,(各r阵容卡情况!$AD192-1)*G$28)*各r阵容卡情况!$J192)</f>
        <v>0</v>
      </c>
      <c r="AI164" s="67">
        <f>IF(各r阵容卡情况!$H192=0,0,IF(各r阵容卡情况!$AB192&lt;=1,0,(各r阵容卡情况!$AB192-1)*H$26)*各r阵容卡情况!$H192)+
IF(各r阵容卡情况!$I192=0,0,IF(各r阵容卡情况!$AC192&lt;=1,0,(各r阵容卡情况!$AC192-1)*H$27)*各r阵容卡情况!$I192)+
IF(各r阵容卡情况!$J192=0,0,IF(各r阵容卡情况!$AD192&lt;=1,0,(各r阵容卡情况!$AD192-1)*H$28)*各r阵容卡情况!$J192)</f>
        <v>0</v>
      </c>
      <c r="AJ164" s="67">
        <f>IF(各r阵容卡情况!$H192=0,0,IF(各r阵容卡情况!$AB192&lt;=1,0,(各r阵容卡情况!$AB192-1)*I$26)*各r阵容卡情况!$H192)+
IF(各r阵容卡情况!$I192=0,0,IF(各r阵容卡情况!$AC192&lt;=1,0,(各r阵容卡情况!$AC192-1)*I$27)*各r阵容卡情况!$I192)+
IF(各r阵容卡情况!$J192=0,0,IF(各r阵容卡情况!$AD192&lt;=1,0,(各r阵容卡情况!$AD192-1)*I$28)*各r阵容卡情况!$J192)</f>
        <v>0</v>
      </c>
      <c r="AL164" s="80">
        <f t="shared" si="134"/>
        <v>130</v>
      </c>
      <c r="AM164" s="80">
        <f t="shared" si="135"/>
        <v>48</v>
      </c>
      <c r="AN164" s="80">
        <f t="shared" si="136"/>
        <v>0</v>
      </c>
      <c r="AO164" s="80">
        <f t="shared" si="137"/>
        <v>0</v>
      </c>
      <c r="AP164" s="80">
        <f t="shared" si="138"/>
        <v>240</v>
      </c>
      <c r="AQ164" s="80">
        <f t="shared" si="139"/>
        <v>0</v>
      </c>
      <c r="AR164" s="80">
        <f t="shared" si="140"/>
        <v>0</v>
      </c>
      <c r="AS164" s="80">
        <f t="shared" si="141"/>
        <v>137.00717591382704</v>
      </c>
      <c r="AT164" s="80">
        <f t="shared" si="142"/>
        <v>0</v>
      </c>
      <c r="AU164" s="80">
        <f t="shared" si="143"/>
        <v>0</v>
      </c>
      <c r="AV164" s="80">
        <f t="shared" si="144"/>
        <v>685.0358795691352</v>
      </c>
      <c r="AW164" s="80">
        <f t="shared" si="145"/>
        <v>0</v>
      </c>
      <c r="AX164" s="80">
        <f t="shared" si="146"/>
        <v>0</v>
      </c>
      <c r="AY164" s="61" t="e">
        <f>SUMPRODUCT(AM164:AR164/'[1]功能-行军令'!$GI$26:$GN$26+AS164:AX164/'[1]功能-行军令'!$GI$26:$GN$26)/0.18</f>
        <v>#DIV/0!</v>
      </c>
      <c r="BO164" s="80">
        <f t="shared" si="132"/>
        <v>114.91888401282834</v>
      </c>
      <c r="BP164" s="80">
        <f t="shared" si="133"/>
        <v>12300000</v>
      </c>
      <c r="BQ164" s="80">
        <f>(BP164-BP163)*INDEX('[1]功能-付费相关'!$AT$6:$AT$165,$BO164,1)+BQ163</f>
        <v>16421.870715493144</v>
      </c>
      <c r="BR164" s="80"/>
      <c r="BS164" s="80"/>
    </row>
    <row r="165" spans="12:71" x14ac:dyDescent="0.15">
      <c r="L165" s="61">
        <v>29</v>
      </c>
      <c r="M165" s="80">
        <f>基础状态预期!D177</f>
        <v>114.91888401282834</v>
      </c>
      <c r="N165" s="80">
        <f>IF(基础状态预期!F177="",0,IF(基础状态预期!Z177&lt;=1,基础状态预期!Z177*D$4,1*D$4+(基础状态预期!Z177-1)*武将觉醒!D$5))</f>
        <v>0</v>
      </c>
      <c r="O165" s="80">
        <f>IF(基础状态预期!G177="",0,IF(基础状态预期!AA177&lt;=1,基础状态预期!AA177*E$4,1*E$4+(基础状态预期!AA177-1)*武将觉醒!E$5))</f>
        <v>0</v>
      </c>
      <c r="P165" s="80">
        <f>IF(基础状态预期!H177="",0,IF(基础状态预期!AB177&lt;=1,基础状态预期!AB177*F$4,1*F$4+(基础状态预期!AB177-1)*武将觉醒!F$5))</f>
        <v>0</v>
      </c>
      <c r="Q165" s="80">
        <f>IF(基础状态预期!I177="",0,IF(基础状态预期!AC177&lt;=1,基础状态预期!AC177*G$4,1*G$4+(基础状态预期!AC177-1)*武将觉醒!G$5))</f>
        <v>0</v>
      </c>
      <c r="R165" s="80">
        <f>IF(基础状态预期!J177="",0,IF(基础状态预期!AD177&lt;=1,基础状态预期!AD177*H$4,1*H$4+(基础状态预期!AD177-1)*武将觉醒!H$5))</f>
        <v>2050000</v>
      </c>
      <c r="S165" s="80">
        <f>MAX(SUMPRODUCT(N165:R165,基础状态预期!F177:J177),S164)</f>
        <v>12300000</v>
      </c>
      <c r="T165" s="80">
        <f>IF(基础状态预期!Z177="",0,IFERROR(基础状态预期!F177*求节点($C$62:$C$63,D$62:D$63,基础状态预期!Z177),0)+IFERROR(基础状态预期!$J177*求节点($C$71:$C$72,D$71:D$72,基础状态预期!$AD177),0))</f>
        <v>0</v>
      </c>
      <c r="U165" s="80">
        <f>IF(基础状态预期!AA177="",0,IFERROR(基础状态预期!G177*求节点($C$62:$C$63,E$62:E$63,基础状态预期!AA177),0)+IFERROR(基础状态预期!$J177*求节点($C$71:$C$72,E$71:E$72,基础状态预期!$AD177),0))</f>
        <v>0</v>
      </c>
      <c r="V165" s="80">
        <f>IF(基础状态预期!AB177="",0,IFERROR(基础状态预期!H177*求节点($C$62:$C$63,F$62:F$63,基础状态预期!AB177),0)+IFERROR(基础状态预期!$J177*求节点($C$71:$C$72,F$71:F$72,基础状态预期!$AD177),0))</f>
        <v>0</v>
      </c>
      <c r="W165" s="80">
        <f>IF(基础状态预期!AC177="",0,IFERROR(基础状态预期!I177*求节点($C$62:$C$63,G$62:G$63,基础状态预期!AC177),0)+IFERROR(基础状态预期!$J177*求节点($C$71:$C$72,G$71:G$72,基础状态预期!$AD177),0))</f>
        <v>0</v>
      </c>
      <c r="X165" s="80">
        <f>IF(基础状态预期!AD177="",0,IFERROR(基础状态预期!J177*求节点($C$62:$C$63,H$62:H$63,基础状态预期!AD177),0)+IFERROR(基础状态预期!$J177*求节点($C$71:$C$72,H$71:H$72,基础状态预期!$AD177),0))</f>
        <v>0</v>
      </c>
      <c r="Y165" s="80">
        <f>IF(基础状态预期!$H177="",0,IF(基础状态预期!$AB177&lt;=1,基础状态预期!$AB177*D$18,D$18)*基础状态预期!$H177)+
IF(基础状态预期!$I177="",0,IF(基础状态预期!$AC177&lt;=1,基础状态预期!$AC177*D$19,D$19)*基础状态预期!$I177)+
IF(基础状态预期!$J177="",0,IF(基础状态预期!$AD177&lt;=1,基础状态预期!$AD177*D$20,D$20)*基础状态预期!$J177)</f>
        <v>48</v>
      </c>
      <c r="Z165" s="80">
        <f>IF(基础状态预期!$H177="",0,IF(基础状态预期!$AB177&lt;=1,基础状态预期!$AB177*E$18,E$18)*基础状态预期!$H177)+
IF(基础状态预期!$I177="",0,IF(基础状态预期!$AC177&lt;=1,基础状态预期!$AC177*E$19,E$19)*基础状态预期!$I177)+
IF(基础状态预期!$J177="",0,IF(基础状态预期!$AD177&lt;=1,基础状态预期!$AD177*E$20,E$20)*基础状态预期!$J177)</f>
        <v>0</v>
      </c>
      <c r="AA165" s="80">
        <f>IF(基础状态预期!$H177="",0,IF(基础状态预期!$AB177&lt;=1,基础状态预期!$AB177*F$18,F$18)*基础状态预期!$H177)+
IF(基础状态预期!$I177="",0,IF(基础状态预期!$AC177&lt;=1,基础状态预期!$AC177*F$19,F$19)*基础状态预期!$I177)+
IF(基础状态预期!$J177="",0,IF(基础状态预期!$AD177&lt;=1,基础状态预期!$AD177*F$20,F$20)*基础状态预期!$J177)</f>
        <v>0</v>
      </c>
      <c r="AB165" s="67">
        <f>IF(基础状态预期!$H177="",0,IF(基础状态预期!$AB177&lt;=1,0,(基础状态预期!$AB177-1)*G$26)*基础状态预期!$H177)+
IF(基础状态预期!$I177="",0,IF(基础状态预期!$AC177&lt;=1,0,(基础状态预期!$AC177-1)*G$27)*基础状态预期!$I177)+
IF(基础状态预期!$J177="",0,IF(基础状态预期!$AD177&lt;=1,0,(基础状态预期!$AD177-1)*G$28)*基础状态预期!$J177)</f>
        <v>240</v>
      </c>
      <c r="AC165" s="67">
        <f>IF(基础状态预期!$H177="",0,IF(基础状态预期!$AB177&lt;=1,0,(基础状态预期!$AB177-1)*H$26)*基础状态预期!$H177)+
IF(基础状态预期!$I177="",0,IF(基础状态预期!$AC177&lt;=1,0,(基础状态预期!$AC177-1)*H$27)*基础状态预期!$I177)+
IF(基础状态预期!$J177="",0,IF(基础状态预期!$AD177&lt;=1,0,(基础状态预期!$AD177-1)*H$28)*基础状态预期!$J177)</f>
        <v>0</v>
      </c>
      <c r="AD165" s="67">
        <f>IF(基础状态预期!$H177="",0,IF(基础状态预期!$AB177&lt;=1,0,(基础状态预期!$AB177-1)*I$26)*基础状态预期!$H177)+
IF(基础状态预期!$I177="",0,IF(基础状态预期!$AC177&lt;=1,0,(基础状态预期!$AC177-1)*I$27)*基础状态预期!$I177)+
IF(基础状态预期!$J177="",0,IF(基础状态预期!$AD177&lt;=1,0,(基础状态预期!$AD177-1)*I$28)*基础状态预期!$J177)</f>
        <v>0</v>
      </c>
      <c r="AE165" s="80">
        <f>IF(各r阵容卡情况!$H193=0,0,IF(各r阵容卡情况!$AB193&lt;=1,各r阵容卡情况!$AB193*D$18,1*D$18)*各r阵容卡情况!$H193)+
IF(各r阵容卡情况!$I193=0,0,IF(各r阵容卡情况!$AC193&lt;=1,各r阵容卡情况!$AC193*D$19,1*D$19)*各r阵容卡情况!$I193)+
IF(各r阵容卡情况!$J193=0,0,IF(各r阵容卡情况!$AD193&lt;=1,各r阵容卡情况!$AD193*D$20,1*D$20)*各r阵容卡情况!$J193)</f>
        <v>16</v>
      </c>
      <c r="AF165" s="80">
        <f>IF(各r阵容卡情况!$H193=0,0,IF(各r阵容卡情况!$AB193&lt;=1,各r阵容卡情况!$AB193*E$18,1*E$18)*各r阵容卡情况!$H193)+
IF(各r阵容卡情况!$I193=0,0,IF(各r阵容卡情况!$AC193&lt;=1,各r阵容卡情况!$AC193*E$19,1*E$19)*各r阵容卡情况!$I193)+
IF(各r阵容卡情况!$J193=0,0,IF(各r阵容卡情况!$AD193&lt;=1,各r阵容卡情况!$AD193*E$20,1*E$20)*各r阵容卡情况!$J193)</f>
        <v>0</v>
      </c>
      <c r="AG165" s="80">
        <f>IF(各r阵容卡情况!$H193=0,0,IF(各r阵容卡情况!$AB193&lt;=1,各r阵容卡情况!$AB193*F$18,1*F$18)*各r阵容卡情况!$H193)+
IF(各r阵容卡情况!$I193=0,0,IF(各r阵容卡情况!$AC193&lt;=1,各r阵容卡情况!$AC193*F$19,1*F$19)*各r阵容卡情况!$I193)+
IF(各r阵容卡情况!$J193=0,0,IF(各r阵容卡情况!$AD193&lt;=1,各r阵容卡情况!$AD193*F$20,1*F$20)*各r阵容卡情况!$J193)</f>
        <v>0</v>
      </c>
      <c r="AH165" s="67">
        <f>IF(各r阵容卡情况!$H193=0,0,IF(各r阵容卡情况!$AB193&lt;=1,0,(各r阵容卡情况!$AB193-1)*G$26)*各r阵容卡情况!$H193)+
IF(各r阵容卡情况!$I193=0,0,IF(各r阵容卡情况!$AC193&lt;=1,0,(各r阵容卡情况!$AC193-1)*G$27)*各r阵容卡情况!$I193)+
IF(各r阵容卡情况!$J193=0,0,IF(各r阵容卡情况!$AD193&lt;=1,0,(各r阵容卡情况!$AD193-1)*G$28)*各r阵容卡情况!$J193)</f>
        <v>0</v>
      </c>
      <c r="AI165" s="67">
        <f>IF(各r阵容卡情况!$H193=0,0,IF(各r阵容卡情况!$AB193&lt;=1,0,(各r阵容卡情况!$AB193-1)*H$26)*各r阵容卡情况!$H193)+
IF(各r阵容卡情况!$I193=0,0,IF(各r阵容卡情况!$AC193&lt;=1,0,(各r阵容卡情况!$AC193-1)*H$27)*各r阵容卡情况!$I193)+
IF(各r阵容卡情况!$J193=0,0,IF(各r阵容卡情况!$AD193&lt;=1,0,(各r阵容卡情况!$AD193-1)*H$28)*各r阵容卡情况!$J193)</f>
        <v>0</v>
      </c>
      <c r="AJ165" s="67">
        <f>IF(各r阵容卡情况!$H193=0,0,IF(各r阵容卡情况!$AB193&lt;=1,0,(各r阵容卡情况!$AB193-1)*I$26)*各r阵容卡情况!$H193)+
IF(各r阵容卡情况!$I193=0,0,IF(各r阵容卡情况!$AC193&lt;=1,0,(各r阵容卡情况!$AC193-1)*I$27)*各r阵容卡情况!$I193)+
IF(各r阵容卡情况!$J193=0,0,IF(各r阵容卡情况!$AD193&lt;=1,0,(各r阵容卡情况!$AD193-1)*I$28)*各r阵容卡情况!$J193)</f>
        <v>0</v>
      </c>
      <c r="AL165" s="80">
        <f t="shared" si="134"/>
        <v>135</v>
      </c>
      <c r="AM165" s="80">
        <f t="shared" si="135"/>
        <v>48</v>
      </c>
      <c r="AN165" s="80">
        <f t="shared" si="136"/>
        <v>0</v>
      </c>
      <c r="AO165" s="80">
        <f t="shared" si="137"/>
        <v>0</v>
      </c>
      <c r="AP165" s="80">
        <f t="shared" si="138"/>
        <v>240</v>
      </c>
      <c r="AQ165" s="80">
        <f t="shared" si="139"/>
        <v>0</v>
      </c>
      <c r="AR165" s="80">
        <f t="shared" si="140"/>
        <v>0</v>
      </c>
      <c r="AS165" s="80">
        <f t="shared" si="141"/>
        <v>142.72271908577298</v>
      </c>
      <c r="AT165" s="80">
        <f t="shared" si="142"/>
        <v>0</v>
      </c>
      <c r="AU165" s="80">
        <f t="shared" si="143"/>
        <v>0</v>
      </c>
      <c r="AV165" s="80">
        <f t="shared" si="144"/>
        <v>713.61359542886487</v>
      </c>
      <c r="AW165" s="80">
        <f t="shared" si="145"/>
        <v>0</v>
      </c>
      <c r="AX165" s="80">
        <f t="shared" si="146"/>
        <v>0</v>
      </c>
      <c r="AY165" s="61" t="e">
        <f>SUMPRODUCT(AM165:AR165/'[1]功能-行军令'!$GI$26:$GN$26+AS165:AX165/'[1]功能-行军令'!$GI$26:$GN$26)/0.18</f>
        <v>#DIV/0!</v>
      </c>
      <c r="BO165" s="80">
        <f t="shared" si="132"/>
        <v>118.4172728380062</v>
      </c>
      <c r="BP165" s="80">
        <f t="shared" si="133"/>
        <v>12300000</v>
      </c>
      <c r="BQ165" s="80">
        <f>(BP165-BP164)*INDEX('[1]功能-付费相关'!$AT$6:$AT$165,$BO165,1)+BQ164</f>
        <v>16421.870715493144</v>
      </c>
      <c r="BR165" s="80"/>
      <c r="BS165" s="80"/>
    </row>
    <row r="166" spans="12:71" x14ac:dyDescent="0.15">
      <c r="L166" s="61">
        <v>30</v>
      </c>
      <c r="M166" s="80">
        <f>基础状态预期!D178</f>
        <v>118.4172728380062</v>
      </c>
      <c r="N166" s="80">
        <f>IF(基础状态预期!F178="",0,IF(基础状态预期!Z178&lt;=1,基础状态预期!Z178*D$4,1*D$4+(基础状态预期!Z178-1)*武将觉醒!D$5))</f>
        <v>0</v>
      </c>
      <c r="O166" s="80">
        <f>IF(基础状态预期!G178="",0,IF(基础状态预期!AA178&lt;=1,基础状态预期!AA178*E$4,1*E$4+(基础状态预期!AA178-1)*武将觉醒!E$5))</f>
        <v>0</v>
      </c>
      <c r="P166" s="80">
        <f>IF(基础状态预期!H178="",0,IF(基础状态预期!AB178&lt;=1,基础状态预期!AB178*F$4,1*F$4+(基础状态预期!AB178-1)*武将觉醒!F$5))</f>
        <v>0</v>
      </c>
      <c r="Q166" s="80">
        <f>IF(基础状态预期!I178="",0,IF(基础状态预期!AC178&lt;=1,基础状态预期!AC178*G$4,1*G$4+(基础状态预期!AC178-1)*武将觉醒!G$5))</f>
        <v>0</v>
      </c>
      <c r="R166" s="80">
        <f>IF(基础状态预期!J178="",0,IF(基础状态预期!AD178&lt;=1,基础状态预期!AD178*H$4,1*H$4+(基础状态预期!AD178-1)*武将觉醒!H$5))</f>
        <v>2050000</v>
      </c>
      <c r="S166" s="80">
        <f>MAX(SUMPRODUCT(N166:R166,基础状态预期!F178:J178),S165)</f>
        <v>12300000</v>
      </c>
      <c r="T166" s="80">
        <f>IF(基础状态预期!Z178="",0,IFERROR(基础状态预期!F178*求节点($C$62:$C$63,D$62:D$63,基础状态预期!Z178),0)+IFERROR(基础状态预期!$J178*求节点($C$71:$C$72,D$71:D$72,基础状态预期!$AD178),0))</f>
        <v>0</v>
      </c>
      <c r="U166" s="80">
        <f>IF(基础状态预期!AA178="",0,IFERROR(基础状态预期!G178*求节点($C$62:$C$63,E$62:E$63,基础状态预期!AA178),0)+IFERROR(基础状态预期!$J178*求节点($C$71:$C$72,E$71:E$72,基础状态预期!$AD178),0))</f>
        <v>0</v>
      </c>
      <c r="V166" s="80">
        <f>IF(基础状态预期!AB178="",0,IFERROR(基础状态预期!H178*求节点($C$62:$C$63,F$62:F$63,基础状态预期!AB178),0)+IFERROR(基础状态预期!$J178*求节点($C$71:$C$72,F$71:F$72,基础状态预期!$AD178),0))</f>
        <v>0</v>
      </c>
      <c r="W166" s="80">
        <f>IF(基础状态预期!AC178="",0,IFERROR(基础状态预期!I178*求节点($C$62:$C$63,G$62:G$63,基础状态预期!AC178),0)+IFERROR(基础状态预期!$J178*求节点($C$71:$C$72,G$71:G$72,基础状态预期!$AD178),0))</f>
        <v>0</v>
      </c>
      <c r="X166" s="80">
        <f>IF(基础状态预期!AD178="",0,IFERROR(基础状态预期!J178*求节点($C$62:$C$63,H$62:H$63,基础状态预期!AD178),0)+IFERROR(基础状态预期!$J178*求节点($C$71:$C$72,H$71:H$72,基础状态预期!$AD178),0))</f>
        <v>0</v>
      </c>
      <c r="Y166" s="80">
        <f>IF(基础状态预期!$H178="",0,IF(基础状态预期!$AB178&lt;=1,基础状态预期!$AB178*D$18,D$18)*基础状态预期!$H178)+
IF(基础状态预期!$I178="",0,IF(基础状态预期!$AC178&lt;=1,基础状态预期!$AC178*D$19,D$19)*基础状态预期!$I178)+
IF(基础状态预期!$J178="",0,IF(基础状态预期!$AD178&lt;=1,基础状态预期!$AD178*D$20,D$20)*基础状态预期!$J178)</f>
        <v>48</v>
      </c>
      <c r="Z166" s="80">
        <f>IF(基础状态预期!$H178="",0,IF(基础状态预期!$AB178&lt;=1,基础状态预期!$AB178*E$18,E$18)*基础状态预期!$H178)+
IF(基础状态预期!$I178="",0,IF(基础状态预期!$AC178&lt;=1,基础状态预期!$AC178*E$19,E$19)*基础状态预期!$I178)+
IF(基础状态预期!$J178="",0,IF(基础状态预期!$AD178&lt;=1,基础状态预期!$AD178*E$20,E$20)*基础状态预期!$J178)</f>
        <v>0</v>
      </c>
      <c r="AA166" s="80">
        <f>IF(基础状态预期!$H178="",0,IF(基础状态预期!$AB178&lt;=1,基础状态预期!$AB178*F$18,F$18)*基础状态预期!$H178)+
IF(基础状态预期!$I178="",0,IF(基础状态预期!$AC178&lt;=1,基础状态预期!$AC178*F$19,F$19)*基础状态预期!$I178)+
IF(基础状态预期!$J178="",0,IF(基础状态预期!$AD178&lt;=1,基础状态预期!$AD178*F$20,F$20)*基础状态预期!$J178)</f>
        <v>0</v>
      </c>
      <c r="AB166" s="67">
        <f>IF(基础状态预期!$H178="",0,IF(基础状态预期!$AB178&lt;=1,0,(基础状态预期!$AB178-1)*G$26)*基础状态预期!$H178)+
IF(基础状态预期!$I178="",0,IF(基础状态预期!$AC178&lt;=1,0,(基础状态预期!$AC178-1)*G$27)*基础状态预期!$I178)+
IF(基础状态预期!$J178="",0,IF(基础状态预期!$AD178&lt;=1,0,(基础状态预期!$AD178-1)*G$28)*基础状态预期!$J178)</f>
        <v>240</v>
      </c>
      <c r="AC166" s="67">
        <f>IF(基础状态预期!$H178="",0,IF(基础状态预期!$AB178&lt;=1,0,(基础状态预期!$AB178-1)*H$26)*基础状态预期!$H178)+
IF(基础状态预期!$I178="",0,IF(基础状态预期!$AC178&lt;=1,0,(基础状态预期!$AC178-1)*H$27)*基础状态预期!$I178)+
IF(基础状态预期!$J178="",0,IF(基础状态预期!$AD178&lt;=1,0,(基础状态预期!$AD178-1)*H$28)*基础状态预期!$J178)</f>
        <v>0</v>
      </c>
      <c r="AD166" s="67">
        <f>IF(基础状态预期!$H178="",0,IF(基础状态预期!$AB178&lt;=1,0,(基础状态预期!$AB178-1)*I$26)*基础状态预期!$H178)+
IF(基础状态预期!$I178="",0,IF(基础状态预期!$AC178&lt;=1,0,(基础状态预期!$AC178-1)*I$27)*基础状态预期!$I178)+
IF(基础状态预期!$J178="",0,IF(基础状态预期!$AD178&lt;=1,0,(基础状态预期!$AD178-1)*I$28)*基础状态预期!$J178)</f>
        <v>0</v>
      </c>
      <c r="AE166" s="80">
        <f>IF(各r阵容卡情况!$H194=0,0,IF(各r阵容卡情况!$AB194&lt;=1,各r阵容卡情况!$AB194*D$18,1*D$18)*各r阵容卡情况!$H194)+
IF(各r阵容卡情况!$I194=0,0,IF(各r阵容卡情况!$AC194&lt;=1,各r阵容卡情况!$AC194*D$19,1*D$19)*各r阵容卡情况!$I194)+
IF(各r阵容卡情况!$J194=0,0,IF(各r阵容卡情况!$AD194&lt;=1,各r阵容卡情况!$AD194*D$20,1*D$20)*各r阵容卡情况!$J194)</f>
        <v>24</v>
      </c>
      <c r="AF166" s="80">
        <f>IF(各r阵容卡情况!$H194=0,0,IF(各r阵容卡情况!$AB194&lt;=1,各r阵容卡情况!$AB194*E$18,1*E$18)*各r阵容卡情况!$H194)+
IF(各r阵容卡情况!$I194=0,0,IF(各r阵容卡情况!$AC194&lt;=1,各r阵容卡情况!$AC194*E$19,1*E$19)*各r阵容卡情况!$I194)+
IF(各r阵容卡情况!$J194=0,0,IF(各r阵容卡情况!$AD194&lt;=1,各r阵容卡情况!$AD194*E$20,1*E$20)*各r阵容卡情况!$J194)</f>
        <v>0</v>
      </c>
      <c r="AG166" s="80">
        <f>IF(各r阵容卡情况!$H194=0,0,IF(各r阵容卡情况!$AB194&lt;=1,各r阵容卡情况!$AB194*F$18,1*F$18)*各r阵容卡情况!$H194)+
IF(各r阵容卡情况!$I194=0,0,IF(各r阵容卡情况!$AC194&lt;=1,各r阵容卡情况!$AC194*F$19,1*F$19)*各r阵容卡情况!$I194)+
IF(各r阵容卡情况!$J194=0,0,IF(各r阵容卡情况!$AD194&lt;=1,各r阵容卡情况!$AD194*F$20,1*F$20)*各r阵容卡情况!$J194)</f>
        <v>0</v>
      </c>
      <c r="AH166" s="67">
        <f>IF(各r阵容卡情况!$H194=0,0,IF(各r阵容卡情况!$AB194&lt;=1,0,(各r阵容卡情况!$AB194-1)*G$26)*各r阵容卡情况!$H194)+
IF(各r阵容卡情况!$I194=0,0,IF(各r阵容卡情况!$AC194&lt;=1,0,(各r阵容卡情况!$AC194-1)*G$27)*各r阵容卡情况!$I194)+
IF(各r阵容卡情况!$J194=0,0,IF(各r阵容卡情况!$AD194&lt;=1,0,(各r阵容卡情况!$AD194-1)*G$28)*各r阵容卡情况!$J194)</f>
        <v>7.9919675432361625</v>
      </c>
      <c r="AI166" s="67">
        <f>IF(各r阵容卡情况!$H194=0,0,IF(各r阵容卡情况!$AB194&lt;=1,0,(各r阵容卡情况!$AB194-1)*H$26)*各r阵容卡情况!$H194)+
IF(各r阵容卡情况!$I194=0,0,IF(各r阵容卡情况!$AC194&lt;=1,0,(各r阵容卡情况!$AC194-1)*H$27)*各r阵容卡情况!$I194)+
IF(各r阵容卡情况!$J194=0,0,IF(各r阵容卡情况!$AD194&lt;=1,0,(各r阵容卡情况!$AD194-1)*H$28)*各r阵容卡情况!$J194)</f>
        <v>0</v>
      </c>
      <c r="AJ166" s="67">
        <f>IF(各r阵容卡情况!$H194=0,0,IF(各r阵容卡情况!$AB194&lt;=1,0,(各r阵容卡情况!$AB194-1)*I$26)*各r阵容卡情况!$H194)+
IF(各r阵容卡情况!$I194=0,0,IF(各r阵容卡情况!$AC194&lt;=1,0,(各r阵容卡情况!$AC194-1)*I$27)*各r阵容卡情况!$I194)+
IF(各r阵容卡情况!$J194=0,0,IF(各r阵容卡情况!$AD194&lt;=1,0,(各r阵容卡情况!$AD194-1)*I$28)*各r阵容卡情况!$J194)</f>
        <v>0</v>
      </c>
      <c r="AL166" s="80">
        <f t="shared" si="134"/>
        <v>140</v>
      </c>
      <c r="AM166" s="80">
        <f t="shared" si="135"/>
        <v>48</v>
      </c>
      <c r="AN166" s="80">
        <f t="shared" si="136"/>
        <v>0</v>
      </c>
      <c r="AO166" s="80">
        <f t="shared" si="137"/>
        <v>0</v>
      </c>
      <c r="AP166" s="80">
        <f t="shared" si="138"/>
        <v>240</v>
      </c>
      <c r="AQ166" s="80">
        <f t="shared" si="139"/>
        <v>0</v>
      </c>
      <c r="AR166" s="80">
        <f t="shared" si="140"/>
        <v>0</v>
      </c>
      <c r="AS166" s="80">
        <f t="shared" si="141"/>
        <v>144</v>
      </c>
      <c r="AT166" s="80">
        <f t="shared" si="142"/>
        <v>0</v>
      </c>
      <c r="AU166" s="80">
        <f t="shared" si="143"/>
        <v>0</v>
      </c>
      <c r="AV166" s="80">
        <f t="shared" si="144"/>
        <v>720</v>
      </c>
      <c r="AW166" s="80">
        <f t="shared" si="145"/>
        <v>0</v>
      </c>
      <c r="AX166" s="80">
        <f t="shared" si="146"/>
        <v>0</v>
      </c>
      <c r="AY166" s="61" t="e">
        <f>SUMPRODUCT(AM166:AR166/'[1]功能-行军令'!$GI$26:$GN$26+AS166:AX166/'[1]功能-行军令'!$GI$26:$GN$26)/0.18</f>
        <v>#DIV/0!</v>
      </c>
      <c r="BO166" s="80">
        <f t="shared" si="132"/>
        <v>121.99245722798884</v>
      </c>
      <c r="BP166" s="80">
        <f t="shared" si="133"/>
        <v>12300000</v>
      </c>
      <c r="BQ166" s="80">
        <f>(BP166-BP165)*INDEX('[1]功能-付费相关'!$AT$6:$AT$165,$BO166,1)+BQ165</f>
        <v>16421.870715493144</v>
      </c>
      <c r="BR166" s="80"/>
      <c r="BS166" s="80"/>
    </row>
    <row r="167" spans="12:71" x14ac:dyDescent="0.15">
      <c r="L167" s="61">
        <v>31</v>
      </c>
      <c r="M167" s="80">
        <f>基础状态预期!D179</f>
        <v>121.99245722798884</v>
      </c>
      <c r="N167" s="80">
        <f>IF(基础状态预期!F179="",0,IF(基础状态预期!Z179&lt;=1,基础状态预期!Z179*D$4,1*D$4+(基础状态预期!Z179-1)*武将觉醒!D$5))</f>
        <v>0</v>
      </c>
      <c r="O167" s="80">
        <f>IF(基础状态预期!G179="",0,IF(基础状态预期!AA179&lt;=1,基础状态预期!AA179*E$4,1*E$4+(基础状态预期!AA179-1)*武将觉醒!E$5))</f>
        <v>0</v>
      </c>
      <c r="P167" s="80">
        <f>IF(基础状态预期!H179="",0,IF(基础状态预期!AB179&lt;=1,基础状态预期!AB179*F$4,1*F$4+(基础状态预期!AB179-1)*武将觉醒!F$5))</f>
        <v>0</v>
      </c>
      <c r="Q167" s="80">
        <f>IF(基础状态预期!I179="",0,IF(基础状态预期!AC179&lt;=1,基础状态预期!AC179*G$4,1*G$4+(基础状态预期!AC179-1)*武将觉醒!G$5))</f>
        <v>0</v>
      </c>
      <c r="R167" s="80">
        <f>IF(基础状态预期!J179="",0,IF(基础状态预期!AD179&lt;=1,基础状态预期!AD179*H$4,1*H$4+(基础状态预期!AD179-1)*武将觉醒!H$5))</f>
        <v>2050000</v>
      </c>
      <c r="S167" s="80">
        <f>MAX(SUMPRODUCT(N167:R167,基础状态预期!F179:J179),S166)</f>
        <v>12300000</v>
      </c>
      <c r="T167" s="80">
        <f>IF(基础状态预期!Z179="",0,IFERROR(基础状态预期!F179*求节点($C$62:$C$63,D$62:D$63,基础状态预期!Z179),0)+IFERROR(基础状态预期!$J179*求节点($C$71:$C$72,D$71:D$72,基础状态预期!$AD179),0))</f>
        <v>0</v>
      </c>
      <c r="U167" s="80">
        <f>IF(基础状态预期!AA179="",0,IFERROR(基础状态预期!G179*求节点($C$62:$C$63,E$62:E$63,基础状态预期!AA179),0)+IFERROR(基础状态预期!$J179*求节点($C$71:$C$72,E$71:E$72,基础状态预期!$AD179),0))</f>
        <v>0</v>
      </c>
      <c r="V167" s="80">
        <f>IF(基础状态预期!AB179="",0,IFERROR(基础状态预期!H179*求节点($C$62:$C$63,F$62:F$63,基础状态预期!AB179),0)+IFERROR(基础状态预期!$J179*求节点($C$71:$C$72,F$71:F$72,基础状态预期!$AD179),0))</f>
        <v>0</v>
      </c>
      <c r="W167" s="80">
        <f>IF(基础状态预期!AC179="",0,IFERROR(基础状态预期!I179*求节点($C$62:$C$63,G$62:G$63,基础状态预期!AC179),0)+IFERROR(基础状态预期!$J179*求节点($C$71:$C$72,G$71:G$72,基础状态预期!$AD179),0))</f>
        <v>0</v>
      </c>
      <c r="X167" s="80">
        <f>IF(基础状态预期!AD179="",0,IFERROR(基础状态预期!J179*求节点($C$62:$C$63,H$62:H$63,基础状态预期!AD179),0)+IFERROR(基础状态预期!$J179*求节点($C$71:$C$72,H$71:H$72,基础状态预期!$AD179),0))</f>
        <v>0</v>
      </c>
      <c r="Y167" s="80">
        <f>IF(基础状态预期!$H179="",0,IF(基础状态预期!$AB179&lt;=1,基础状态预期!$AB179*D$18,D$18)*基础状态预期!$H179)+
IF(基础状态预期!$I179="",0,IF(基础状态预期!$AC179&lt;=1,基础状态预期!$AC179*D$19,D$19)*基础状态预期!$I179)+
IF(基础状态预期!$J179="",0,IF(基础状态预期!$AD179&lt;=1,基础状态预期!$AD179*D$20,D$20)*基础状态预期!$J179)</f>
        <v>48</v>
      </c>
      <c r="Z167" s="80">
        <f>IF(基础状态预期!$H179="",0,IF(基础状态预期!$AB179&lt;=1,基础状态预期!$AB179*E$18,E$18)*基础状态预期!$H179)+
IF(基础状态预期!$I179="",0,IF(基础状态预期!$AC179&lt;=1,基础状态预期!$AC179*E$19,E$19)*基础状态预期!$I179)+
IF(基础状态预期!$J179="",0,IF(基础状态预期!$AD179&lt;=1,基础状态预期!$AD179*E$20,E$20)*基础状态预期!$J179)</f>
        <v>0</v>
      </c>
      <c r="AA167" s="80">
        <f>IF(基础状态预期!$H179="",0,IF(基础状态预期!$AB179&lt;=1,基础状态预期!$AB179*F$18,F$18)*基础状态预期!$H179)+
IF(基础状态预期!$I179="",0,IF(基础状态预期!$AC179&lt;=1,基础状态预期!$AC179*F$19,F$19)*基础状态预期!$I179)+
IF(基础状态预期!$J179="",0,IF(基础状态预期!$AD179&lt;=1,基础状态预期!$AD179*F$20,F$20)*基础状态预期!$J179)</f>
        <v>0</v>
      </c>
      <c r="AB167" s="67">
        <f>IF(基础状态预期!$H179="",0,IF(基础状态预期!$AB179&lt;=1,0,(基础状态预期!$AB179-1)*G$26)*基础状态预期!$H179)+
IF(基础状态预期!$I179="",0,IF(基础状态预期!$AC179&lt;=1,0,(基础状态预期!$AC179-1)*G$27)*基础状态预期!$I179)+
IF(基础状态预期!$J179="",0,IF(基础状态预期!$AD179&lt;=1,0,(基础状态预期!$AD179-1)*G$28)*基础状态预期!$J179)</f>
        <v>240</v>
      </c>
      <c r="AC167" s="67">
        <f>IF(基础状态预期!$H179="",0,IF(基础状态预期!$AB179&lt;=1,0,(基础状态预期!$AB179-1)*H$26)*基础状态预期!$H179)+
IF(基础状态预期!$I179="",0,IF(基础状态预期!$AC179&lt;=1,0,(基础状态预期!$AC179-1)*H$27)*基础状态预期!$I179)+
IF(基础状态预期!$J179="",0,IF(基础状态预期!$AD179&lt;=1,0,(基础状态预期!$AD179-1)*H$28)*基础状态预期!$J179)</f>
        <v>0</v>
      </c>
      <c r="AD167" s="67">
        <f>IF(基础状态预期!$H179="",0,IF(基础状态预期!$AB179&lt;=1,0,(基础状态预期!$AB179-1)*I$26)*基础状态预期!$H179)+
IF(基础状态预期!$I179="",0,IF(基础状态预期!$AC179&lt;=1,0,(基础状态预期!$AC179-1)*I$27)*基础状态预期!$I179)+
IF(基础状态预期!$J179="",0,IF(基础状态预期!$AD179&lt;=1,0,(基础状态预期!$AD179-1)*I$28)*基础状态预期!$J179)</f>
        <v>0</v>
      </c>
      <c r="AE167" s="80">
        <f>IF(各r阵容卡情况!$H195=0,0,IF(各r阵容卡情况!$AB195&lt;=1,各r阵容卡情况!$AB195*D$18,1*D$18)*各r阵容卡情况!$H195)+
IF(各r阵容卡情况!$I195=0,0,IF(各r阵容卡情况!$AC195&lt;=1,各r阵容卡情况!$AC195*D$19,1*D$19)*各r阵容卡情况!$I195)+
IF(各r阵容卡情况!$J195=0,0,IF(各r阵容卡情况!$AD195&lt;=1,各r阵容卡情况!$AD195*D$20,1*D$20)*各r阵容卡情况!$J195)</f>
        <v>104</v>
      </c>
      <c r="AF167" s="80">
        <f>IF(各r阵容卡情况!$H195=0,0,IF(各r阵容卡情况!$AB195&lt;=1,各r阵容卡情况!$AB195*E$18,1*E$18)*各r阵容卡情况!$H195)+
IF(各r阵容卡情况!$I195=0,0,IF(各r阵容卡情况!$AC195&lt;=1,各r阵容卡情况!$AC195*E$19,1*E$19)*各r阵容卡情况!$I195)+
IF(各r阵容卡情况!$J195=0,0,IF(各r阵容卡情况!$AD195&lt;=1,各r阵容卡情况!$AD195*E$20,1*E$20)*各r阵容卡情况!$J195)</f>
        <v>0</v>
      </c>
      <c r="AG167" s="80">
        <f>IF(各r阵容卡情况!$H195=0,0,IF(各r阵容卡情况!$AB195&lt;=1,各r阵容卡情况!$AB195*F$18,1*F$18)*各r阵容卡情况!$H195)+
IF(各r阵容卡情况!$I195=0,0,IF(各r阵容卡情况!$AC195&lt;=1,各r阵容卡情况!$AC195*F$19,1*F$19)*各r阵容卡情况!$I195)+
IF(各r阵容卡情况!$J195=0,0,IF(各r阵容卡情况!$AD195&lt;=1,各r阵容卡情况!$AD195*F$20,1*F$20)*各r阵容卡情况!$J195)</f>
        <v>0</v>
      </c>
      <c r="AH167" s="67">
        <f>IF(各r阵容卡情况!$H195=0,0,IF(各r阵容卡情况!$AB195&lt;=1,0,(各r阵容卡情况!$AB195-1)*G$26)*各r阵容卡情况!$H195)+
IF(各r阵容卡情况!$I195=0,0,IF(各r阵容卡情况!$AC195&lt;=1,0,(各r阵容卡情况!$AC195-1)*G$27)*各r阵容卡情况!$I195)+
IF(各r阵容卡情况!$J195=0,0,IF(各r阵容卡情况!$AD195&lt;=1,0,(各r阵容卡情况!$AD195-1)*G$28)*各r阵容卡情况!$J195)</f>
        <v>494.93908727905114</v>
      </c>
      <c r="AI167" s="67">
        <f>IF(各r阵容卡情况!$H195=0,0,IF(各r阵容卡情况!$AB195&lt;=1,0,(各r阵容卡情况!$AB195-1)*H$26)*各r阵容卡情况!$H195)+
IF(各r阵容卡情况!$I195=0,0,IF(各r阵容卡情况!$AC195&lt;=1,0,(各r阵容卡情况!$AC195-1)*H$27)*各r阵容卡情况!$I195)+
IF(各r阵容卡情况!$J195=0,0,IF(各r阵容卡情况!$AD195&lt;=1,0,(各r阵容卡情况!$AD195-1)*H$28)*各r阵容卡情况!$J195)</f>
        <v>0</v>
      </c>
      <c r="AJ167" s="67">
        <f>IF(各r阵容卡情况!$H195=0,0,IF(各r阵容卡情况!$AB195&lt;=1,0,(各r阵容卡情况!$AB195-1)*I$26)*各r阵容卡情况!$H195)+
IF(各r阵容卡情况!$I195=0,0,IF(各r阵容卡情况!$AC195&lt;=1,0,(各r阵容卡情况!$AC195-1)*I$27)*各r阵容卡情况!$I195)+
IF(各r阵容卡情况!$J195=0,0,IF(各r阵容卡情况!$AD195&lt;=1,0,(各r阵容卡情况!$AD195-1)*I$28)*各r阵容卡情况!$J195)</f>
        <v>0</v>
      </c>
      <c r="AL167" s="80">
        <f t="shared" si="134"/>
        <v>145</v>
      </c>
      <c r="AM167" s="80">
        <f t="shared" si="135"/>
        <v>48</v>
      </c>
      <c r="AN167" s="80">
        <f t="shared" si="136"/>
        <v>0</v>
      </c>
      <c r="AO167" s="80">
        <f t="shared" si="137"/>
        <v>0</v>
      </c>
      <c r="AP167" s="80">
        <f t="shared" si="138"/>
        <v>240</v>
      </c>
      <c r="AQ167" s="80">
        <f t="shared" si="139"/>
        <v>0</v>
      </c>
      <c r="AR167" s="80">
        <f t="shared" si="140"/>
        <v>0</v>
      </c>
      <c r="AS167" s="80">
        <f t="shared" si="141"/>
        <v>144</v>
      </c>
      <c r="AT167" s="80">
        <f t="shared" si="142"/>
        <v>0</v>
      </c>
      <c r="AU167" s="80">
        <f t="shared" si="143"/>
        <v>0</v>
      </c>
      <c r="AV167" s="80">
        <f t="shared" si="144"/>
        <v>720</v>
      </c>
      <c r="AW167" s="80">
        <f t="shared" si="145"/>
        <v>0</v>
      </c>
      <c r="AX167" s="80">
        <f t="shared" si="146"/>
        <v>0</v>
      </c>
      <c r="AY167" s="61" t="e">
        <f>SUMPRODUCT(AM167:AR167/'[1]功能-行军令'!$GI$26:$GN$26+AS167:AX167/'[1]功能-行军令'!$GI$26:$GN$26)/0.18</f>
        <v>#DIV/0!</v>
      </c>
      <c r="BO167" s="80">
        <f t="shared" si="132"/>
        <v>125.43876546297123</v>
      </c>
      <c r="BP167" s="80">
        <f t="shared" si="133"/>
        <v>12300000</v>
      </c>
      <c r="BQ167" s="80">
        <f>(BP167-BP166)*INDEX('[1]功能-付费相关'!$AT$6:$AT$165,$BO167,1)+BQ166</f>
        <v>16421.870715493144</v>
      </c>
      <c r="BR167" s="80"/>
      <c r="BS167" s="80"/>
    </row>
    <row r="168" spans="12:71" x14ac:dyDescent="0.15">
      <c r="L168" s="61">
        <v>32</v>
      </c>
      <c r="M168" s="80">
        <f>基础状态预期!D180</f>
        <v>125.43876546297123</v>
      </c>
      <c r="N168" s="80">
        <f>IF(基础状态预期!F180="",0,IF(基础状态预期!Z180&lt;=1,基础状态预期!Z180*D$4,1*D$4+(基础状态预期!Z180-1)*武将觉醒!D$5))</f>
        <v>0</v>
      </c>
      <c r="O168" s="80">
        <f>IF(基础状态预期!G180="",0,IF(基础状态预期!AA180&lt;=1,基础状态预期!AA180*E$4,1*E$4+(基础状态预期!AA180-1)*武将觉醒!E$5))</f>
        <v>0</v>
      </c>
      <c r="P168" s="80">
        <f>IF(基础状态预期!H180="",0,IF(基础状态预期!AB180&lt;=1,基础状态预期!AB180*F$4,1*F$4+(基础状态预期!AB180-1)*武将觉醒!F$5))</f>
        <v>0</v>
      </c>
      <c r="Q168" s="80">
        <f>IF(基础状态预期!I180="",0,IF(基础状态预期!AC180&lt;=1,基础状态预期!AC180*G$4,1*G$4+(基础状态预期!AC180-1)*武将觉醒!G$5))</f>
        <v>0</v>
      </c>
      <c r="R168" s="80">
        <f>IF(基础状态预期!J180="",0,IF(基础状态预期!AD180&lt;=1,基础状态预期!AD180*H$4,1*H$4+(基础状态预期!AD180-1)*武将觉醒!H$5))</f>
        <v>2050000</v>
      </c>
      <c r="S168" s="80">
        <f>MAX(SUMPRODUCT(N168:R168,基础状态预期!F180:J180),S167)</f>
        <v>12300000</v>
      </c>
      <c r="T168" s="80">
        <f>IF(基础状态预期!Z180="",0,IFERROR(基础状态预期!F180*求节点($C$62:$C$63,D$62:D$63,基础状态预期!Z180),0)+IFERROR(基础状态预期!$J180*求节点($C$71:$C$72,D$71:D$72,基础状态预期!$AD180),0))</f>
        <v>0</v>
      </c>
      <c r="U168" s="80">
        <f>IF(基础状态预期!AA180="",0,IFERROR(基础状态预期!G180*求节点($C$62:$C$63,E$62:E$63,基础状态预期!AA180),0)+IFERROR(基础状态预期!$J180*求节点($C$71:$C$72,E$71:E$72,基础状态预期!$AD180),0))</f>
        <v>0</v>
      </c>
      <c r="V168" s="80">
        <f>IF(基础状态预期!AB180="",0,IFERROR(基础状态预期!H180*求节点($C$62:$C$63,F$62:F$63,基础状态预期!AB180),0)+IFERROR(基础状态预期!$J180*求节点($C$71:$C$72,F$71:F$72,基础状态预期!$AD180),0))</f>
        <v>0</v>
      </c>
      <c r="W168" s="80">
        <f>IF(基础状态预期!AC180="",0,IFERROR(基础状态预期!I180*求节点($C$62:$C$63,G$62:G$63,基础状态预期!AC180),0)+IFERROR(基础状态预期!$J180*求节点($C$71:$C$72,G$71:G$72,基础状态预期!$AD180),0))</f>
        <v>0</v>
      </c>
      <c r="X168" s="80">
        <f>IF(基础状态预期!AD180="",0,IFERROR(基础状态预期!J180*求节点($C$62:$C$63,H$62:H$63,基础状态预期!AD180),0)+IFERROR(基础状态预期!$J180*求节点($C$71:$C$72,H$71:H$72,基础状态预期!$AD180),0))</f>
        <v>0</v>
      </c>
      <c r="Y168" s="80">
        <f>IF(基础状态预期!$H180="",0,IF(基础状态预期!$AB180&lt;=1,基础状态预期!$AB180*D$18,D$18)*基础状态预期!$H180)+
IF(基础状态预期!$I180="",0,IF(基础状态预期!$AC180&lt;=1,基础状态预期!$AC180*D$19,D$19)*基础状态预期!$I180)+
IF(基础状态预期!$J180="",0,IF(基础状态预期!$AD180&lt;=1,基础状态预期!$AD180*D$20,D$20)*基础状态预期!$J180)</f>
        <v>48</v>
      </c>
      <c r="Z168" s="80">
        <f>IF(基础状态预期!$H180="",0,IF(基础状态预期!$AB180&lt;=1,基础状态预期!$AB180*E$18,E$18)*基础状态预期!$H180)+
IF(基础状态预期!$I180="",0,IF(基础状态预期!$AC180&lt;=1,基础状态预期!$AC180*E$19,E$19)*基础状态预期!$I180)+
IF(基础状态预期!$J180="",0,IF(基础状态预期!$AD180&lt;=1,基础状态预期!$AD180*E$20,E$20)*基础状态预期!$J180)</f>
        <v>0</v>
      </c>
      <c r="AA168" s="80">
        <f>IF(基础状态预期!$H180="",0,IF(基础状态预期!$AB180&lt;=1,基础状态预期!$AB180*F$18,F$18)*基础状态预期!$H180)+
IF(基础状态预期!$I180="",0,IF(基础状态预期!$AC180&lt;=1,基础状态预期!$AC180*F$19,F$19)*基础状态预期!$I180)+
IF(基础状态预期!$J180="",0,IF(基础状态预期!$AD180&lt;=1,基础状态预期!$AD180*F$20,F$20)*基础状态预期!$J180)</f>
        <v>0</v>
      </c>
      <c r="AB168" s="67">
        <f>IF(基础状态预期!$H180="",0,IF(基础状态预期!$AB180&lt;=1,0,(基础状态预期!$AB180-1)*G$26)*基础状态预期!$H180)+
IF(基础状态预期!$I180="",0,IF(基础状态预期!$AC180&lt;=1,0,(基础状态预期!$AC180-1)*G$27)*基础状态预期!$I180)+
IF(基础状态预期!$J180="",0,IF(基础状态预期!$AD180&lt;=1,0,(基础状态预期!$AD180-1)*G$28)*基础状态预期!$J180)</f>
        <v>240</v>
      </c>
      <c r="AC168" s="67">
        <f>IF(基础状态预期!$H180="",0,IF(基础状态预期!$AB180&lt;=1,0,(基础状态预期!$AB180-1)*H$26)*基础状态预期!$H180)+
IF(基础状态预期!$I180="",0,IF(基础状态预期!$AC180&lt;=1,0,(基础状态预期!$AC180-1)*H$27)*基础状态预期!$I180)+
IF(基础状态预期!$J180="",0,IF(基础状态预期!$AD180&lt;=1,0,(基础状态预期!$AD180-1)*H$28)*基础状态预期!$J180)</f>
        <v>0</v>
      </c>
      <c r="AD168" s="67">
        <f>IF(基础状态预期!$H180="",0,IF(基础状态预期!$AB180&lt;=1,0,(基础状态预期!$AB180-1)*I$26)*基础状态预期!$H180)+
IF(基础状态预期!$I180="",0,IF(基础状态预期!$AC180&lt;=1,0,(基础状态预期!$AC180-1)*I$27)*基础状态预期!$I180)+
IF(基础状态预期!$J180="",0,IF(基础状态预期!$AD180&lt;=1,0,(基础状态预期!$AD180-1)*I$28)*基础状态预期!$J180)</f>
        <v>0</v>
      </c>
      <c r="AE168" s="80">
        <f>IF(各r阵容卡情况!$H196=0,0,IF(各r阵容卡情况!$AB196&lt;=1,各r阵容卡情况!$AB196*D$18,1*D$18)*各r阵容卡情况!$H196)+
IF(各r阵容卡情况!$I196=0,0,IF(各r阵容卡情况!$AC196&lt;=1,各r阵容卡情况!$AC196*D$19,1*D$19)*各r阵容卡情况!$I196)+
IF(各r阵容卡情况!$J196=0,0,IF(各r阵容卡情况!$AD196&lt;=1,各r阵容卡情况!$AD196*D$20,1*D$20)*各r阵容卡情况!$J196)</f>
        <v>128</v>
      </c>
      <c r="AF168" s="80">
        <f>IF(各r阵容卡情况!$H196=0,0,IF(各r阵容卡情况!$AB196&lt;=1,各r阵容卡情况!$AB196*E$18,1*E$18)*各r阵容卡情况!$H196)+
IF(各r阵容卡情况!$I196=0,0,IF(各r阵容卡情况!$AC196&lt;=1,各r阵容卡情况!$AC196*E$19,1*E$19)*各r阵容卡情况!$I196)+
IF(各r阵容卡情况!$J196=0,0,IF(各r阵容卡情况!$AD196&lt;=1,各r阵容卡情况!$AD196*E$20,1*E$20)*各r阵容卡情况!$J196)</f>
        <v>0</v>
      </c>
      <c r="AG168" s="80">
        <f>IF(各r阵容卡情况!$H196=0,0,IF(各r阵容卡情况!$AB196&lt;=1,各r阵容卡情况!$AB196*F$18,1*F$18)*各r阵容卡情况!$H196)+
IF(各r阵容卡情况!$I196=0,0,IF(各r阵容卡情况!$AC196&lt;=1,各r阵容卡情况!$AC196*F$19,1*F$19)*各r阵容卡情况!$I196)+
IF(各r阵容卡情况!$J196=0,0,IF(各r阵容卡情况!$AD196&lt;=1,各r阵容卡情况!$AD196*F$20,1*F$20)*各r阵容卡情况!$J196)</f>
        <v>0</v>
      </c>
      <c r="AH168" s="67">
        <f>IF(各r阵容卡情况!$H196=0,0,IF(各r阵容卡情况!$AB196&lt;=1,0,(各r阵容卡情况!$AB196-1)*G$26)*各r阵容卡情况!$H196)+
IF(各r阵容卡情况!$I196=0,0,IF(各r阵容卡情况!$AC196&lt;=1,0,(各r阵容卡情况!$AC196-1)*G$27)*各r阵容卡情况!$I196)+
IF(各r阵容卡情况!$J196=0,0,IF(各r阵容卡情况!$AD196&lt;=1,0,(各r阵容卡情况!$AD196-1)*G$28)*各r阵容卡情况!$J196)</f>
        <v>640</v>
      </c>
      <c r="AI168" s="67">
        <f>IF(各r阵容卡情况!$H196=0,0,IF(各r阵容卡情况!$AB196&lt;=1,0,(各r阵容卡情况!$AB196-1)*H$26)*各r阵容卡情况!$H196)+
IF(各r阵容卡情况!$I196=0,0,IF(各r阵容卡情况!$AC196&lt;=1,0,(各r阵容卡情况!$AC196-1)*H$27)*各r阵容卡情况!$I196)+
IF(各r阵容卡情况!$J196=0,0,IF(各r阵容卡情况!$AD196&lt;=1,0,(各r阵容卡情况!$AD196-1)*H$28)*各r阵容卡情况!$J196)</f>
        <v>0</v>
      </c>
      <c r="AJ168" s="67">
        <f>IF(各r阵容卡情况!$H196=0,0,IF(各r阵容卡情况!$AB196&lt;=1,0,(各r阵容卡情况!$AB196-1)*I$26)*各r阵容卡情况!$H196)+
IF(各r阵容卡情况!$I196=0,0,IF(各r阵容卡情况!$AC196&lt;=1,0,(各r阵容卡情况!$AC196-1)*I$27)*各r阵容卡情况!$I196)+
IF(各r阵容卡情况!$J196=0,0,IF(各r阵容卡情况!$AD196&lt;=1,0,(各r阵容卡情况!$AD196-1)*I$28)*各r阵容卡情况!$J196)</f>
        <v>0</v>
      </c>
      <c r="AL168" s="80">
        <f t="shared" si="134"/>
        <v>150</v>
      </c>
      <c r="AM168" s="80">
        <f t="shared" si="135"/>
        <v>48</v>
      </c>
      <c r="AN168" s="80">
        <f t="shared" si="136"/>
        <v>0</v>
      </c>
      <c r="AO168" s="80">
        <f t="shared" si="137"/>
        <v>0</v>
      </c>
      <c r="AP168" s="80">
        <f t="shared" si="138"/>
        <v>240</v>
      </c>
      <c r="AQ168" s="80">
        <f t="shared" si="139"/>
        <v>0</v>
      </c>
      <c r="AR168" s="80">
        <f t="shared" si="140"/>
        <v>0</v>
      </c>
      <c r="AS168" s="80">
        <f t="shared" si="141"/>
        <v>144</v>
      </c>
      <c r="AT168" s="80">
        <f t="shared" si="142"/>
        <v>0</v>
      </c>
      <c r="AU168" s="80">
        <f t="shared" si="143"/>
        <v>0</v>
      </c>
      <c r="AV168" s="80">
        <f t="shared" si="144"/>
        <v>720</v>
      </c>
      <c r="AW168" s="80">
        <f t="shared" si="145"/>
        <v>0</v>
      </c>
      <c r="AX168" s="80">
        <f t="shared" si="146"/>
        <v>0</v>
      </c>
      <c r="AY168" s="61" t="e">
        <f>SUMPRODUCT(AM168:AR168/'[1]功能-行军令'!$GI$26:$GN$26+AS168:AX168/'[1]功能-行军令'!$GI$26:$GN$26)/0.18</f>
        <v>#DIV/0!</v>
      </c>
      <c r="BO168" s="80">
        <f t="shared" si="132"/>
        <v>129.12105302323599</v>
      </c>
      <c r="BP168" s="80">
        <f t="shared" si="133"/>
        <v>12300000</v>
      </c>
      <c r="BQ168" s="80">
        <f>(BP168-BP167)*INDEX('[1]功能-付费相关'!$AT$6:$AT$165,$BO168,1)+BQ167</f>
        <v>16421.870715493144</v>
      </c>
      <c r="BR168" s="80"/>
      <c r="BS168" s="80"/>
    </row>
    <row r="169" spans="12:71" x14ac:dyDescent="0.15">
      <c r="L169" s="61">
        <v>33</v>
      </c>
      <c r="M169" s="80">
        <f>基础状态预期!D181</f>
        <v>129.12105302323599</v>
      </c>
      <c r="N169" s="80">
        <f>IF(基础状态预期!F181="",0,IF(基础状态预期!Z181&lt;=1,基础状态预期!Z181*D$4,1*D$4+(基础状态预期!Z181-1)*武将觉醒!D$5))</f>
        <v>0</v>
      </c>
      <c r="O169" s="80">
        <f>IF(基础状态预期!G181="",0,IF(基础状态预期!AA181&lt;=1,基础状态预期!AA181*E$4,1*E$4+(基础状态预期!AA181-1)*武将觉醒!E$5))</f>
        <v>0</v>
      </c>
      <c r="P169" s="80">
        <f>IF(基础状态预期!H181="",0,IF(基础状态预期!AB181&lt;=1,基础状态预期!AB181*F$4,1*F$4+(基础状态预期!AB181-1)*武将觉醒!F$5))</f>
        <v>0</v>
      </c>
      <c r="Q169" s="80">
        <f>IF(基础状态预期!I181="",0,IF(基础状态预期!AC181&lt;=1,基础状态预期!AC181*G$4,1*G$4+(基础状态预期!AC181-1)*武将觉醒!G$5))</f>
        <v>0</v>
      </c>
      <c r="R169" s="80">
        <f>IF(基础状态预期!J181="",0,IF(基础状态预期!AD181&lt;=1,基础状态预期!AD181*H$4,1*H$4+(基础状态预期!AD181-1)*武将觉醒!H$5))</f>
        <v>2050000</v>
      </c>
      <c r="S169" s="80">
        <f>MAX(SUMPRODUCT(N169:R169,基础状态预期!F181:J181),S168)</f>
        <v>12300000</v>
      </c>
      <c r="T169" s="80">
        <f>IF(基础状态预期!Z181="",0,IFERROR(基础状态预期!F181*求节点($C$62:$C$63,D$62:D$63,基础状态预期!Z181),0)+IFERROR(基础状态预期!$J181*求节点($C$71:$C$72,D$71:D$72,基础状态预期!$AD181),0))</f>
        <v>0</v>
      </c>
      <c r="U169" s="80">
        <f>IF(基础状态预期!AA181="",0,IFERROR(基础状态预期!G181*求节点($C$62:$C$63,E$62:E$63,基础状态预期!AA181),0)+IFERROR(基础状态预期!$J181*求节点($C$71:$C$72,E$71:E$72,基础状态预期!$AD181),0))</f>
        <v>0</v>
      </c>
      <c r="V169" s="80">
        <f>IF(基础状态预期!AB181="",0,IFERROR(基础状态预期!H181*求节点($C$62:$C$63,F$62:F$63,基础状态预期!AB181),0)+IFERROR(基础状态预期!$J181*求节点($C$71:$C$72,F$71:F$72,基础状态预期!$AD181),0))</f>
        <v>0</v>
      </c>
      <c r="W169" s="80">
        <f>IF(基础状态预期!AC181="",0,IFERROR(基础状态预期!I181*求节点($C$62:$C$63,G$62:G$63,基础状态预期!AC181),0)+IFERROR(基础状态预期!$J181*求节点($C$71:$C$72,G$71:G$72,基础状态预期!$AD181),0))</f>
        <v>0</v>
      </c>
      <c r="X169" s="80">
        <f>IF(基础状态预期!AD181="",0,IFERROR(基础状态预期!J181*求节点($C$62:$C$63,H$62:H$63,基础状态预期!AD181),0)+IFERROR(基础状态预期!$J181*求节点($C$71:$C$72,H$71:H$72,基础状态预期!$AD181),0))</f>
        <v>0</v>
      </c>
      <c r="Y169" s="80">
        <f>IF(基础状态预期!$H181="",0,IF(基础状态预期!$AB181&lt;=1,基础状态预期!$AB181*D$18,D$18)*基础状态预期!$H181)+
IF(基础状态预期!$I181="",0,IF(基础状态预期!$AC181&lt;=1,基础状态预期!$AC181*D$19,D$19)*基础状态预期!$I181)+
IF(基础状态预期!$J181="",0,IF(基础状态预期!$AD181&lt;=1,基础状态预期!$AD181*D$20,D$20)*基础状态预期!$J181)</f>
        <v>48</v>
      </c>
      <c r="Z169" s="80">
        <f>IF(基础状态预期!$H181="",0,IF(基础状态预期!$AB181&lt;=1,基础状态预期!$AB181*E$18,E$18)*基础状态预期!$H181)+
IF(基础状态预期!$I181="",0,IF(基础状态预期!$AC181&lt;=1,基础状态预期!$AC181*E$19,E$19)*基础状态预期!$I181)+
IF(基础状态预期!$J181="",0,IF(基础状态预期!$AD181&lt;=1,基础状态预期!$AD181*E$20,E$20)*基础状态预期!$J181)</f>
        <v>0</v>
      </c>
      <c r="AA169" s="80">
        <f>IF(基础状态预期!$H181="",0,IF(基础状态预期!$AB181&lt;=1,基础状态预期!$AB181*F$18,F$18)*基础状态预期!$H181)+
IF(基础状态预期!$I181="",0,IF(基础状态预期!$AC181&lt;=1,基础状态预期!$AC181*F$19,F$19)*基础状态预期!$I181)+
IF(基础状态预期!$J181="",0,IF(基础状态预期!$AD181&lt;=1,基础状态预期!$AD181*F$20,F$20)*基础状态预期!$J181)</f>
        <v>0</v>
      </c>
      <c r="AB169" s="67">
        <f>IF(基础状态预期!$H181="",0,IF(基础状态预期!$AB181&lt;=1,0,(基础状态预期!$AB181-1)*G$26)*基础状态预期!$H181)+
IF(基础状态预期!$I181="",0,IF(基础状态预期!$AC181&lt;=1,0,(基础状态预期!$AC181-1)*G$27)*基础状态预期!$I181)+
IF(基础状态预期!$J181="",0,IF(基础状态预期!$AD181&lt;=1,0,(基础状态预期!$AD181-1)*G$28)*基础状态预期!$J181)</f>
        <v>240</v>
      </c>
      <c r="AC169" s="67">
        <f>IF(基础状态预期!$H181="",0,IF(基础状态预期!$AB181&lt;=1,0,(基础状态预期!$AB181-1)*H$26)*基础状态预期!$H181)+
IF(基础状态预期!$I181="",0,IF(基础状态预期!$AC181&lt;=1,0,(基础状态预期!$AC181-1)*H$27)*基础状态预期!$I181)+
IF(基础状态预期!$J181="",0,IF(基础状态预期!$AD181&lt;=1,0,(基础状态预期!$AD181-1)*H$28)*基础状态预期!$J181)</f>
        <v>0</v>
      </c>
      <c r="AD169" s="67">
        <f>IF(基础状态预期!$H181="",0,IF(基础状态预期!$AB181&lt;=1,0,(基础状态预期!$AB181-1)*I$26)*基础状态预期!$H181)+
IF(基础状态预期!$I181="",0,IF(基础状态预期!$AC181&lt;=1,0,(基础状态预期!$AC181-1)*I$27)*基础状态预期!$I181)+
IF(基础状态预期!$J181="",0,IF(基础状态预期!$AD181&lt;=1,0,(基础状态预期!$AD181-1)*I$28)*基础状态预期!$J181)</f>
        <v>0</v>
      </c>
      <c r="AE169" s="80">
        <f>IF(各r阵容卡情况!$H197=0,0,IF(各r阵容卡情况!$AB197&lt;=1,各r阵容卡情况!$AB197*D$18,1*D$18)*各r阵容卡情况!$H197)+
IF(各r阵容卡情况!$I197=0,0,IF(各r阵容卡情况!$AC197&lt;=1,各r阵容卡情况!$AC197*D$19,1*D$19)*各r阵容卡情况!$I197)+
IF(各r阵容卡情况!$J197=0,0,IF(各r阵容卡情况!$AD197&lt;=1,各r阵容卡情况!$AD197*D$20,1*D$20)*各r阵容卡情况!$J197)</f>
        <v>136</v>
      </c>
      <c r="AF169" s="80">
        <f>IF(各r阵容卡情况!$H197=0,0,IF(各r阵容卡情况!$AB197&lt;=1,各r阵容卡情况!$AB197*E$18,1*E$18)*各r阵容卡情况!$H197)+
IF(各r阵容卡情况!$I197=0,0,IF(各r阵容卡情况!$AC197&lt;=1,各r阵容卡情况!$AC197*E$19,1*E$19)*各r阵容卡情况!$I197)+
IF(各r阵容卡情况!$J197=0,0,IF(各r阵容卡情况!$AD197&lt;=1,各r阵容卡情况!$AD197*E$20,1*E$20)*各r阵容卡情况!$J197)</f>
        <v>0</v>
      </c>
      <c r="AG169" s="80">
        <f>IF(各r阵容卡情况!$H197=0,0,IF(各r阵容卡情况!$AB197&lt;=1,各r阵容卡情况!$AB197*F$18,1*F$18)*各r阵容卡情况!$H197)+
IF(各r阵容卡情况!$I197=0,0,IF(各r阵容卡情况!$AC197&lt;=1,各r阵容卡情况!$AC197*F$19,1*F$19)*各r阵容卡情况!$I197)+
IF(各r阵容卡情况!$J197=0,0,IF(各r阵容卡情况!$AD197&lt;=1,各r阵容卡情况!$AD197*F$20,1*F$20)*各r阵容卡情况!$J197)</f>
        <v>0</v>
      </c>
      <c r="AH169" s="67">
        <f>IF(各r阵容卡情况!$H197=0,0,IF(各r阵容卡情况!$AB197&lt;=1,0,(各r阵容卡情况!$AB197-1)*G$26)*各r阵容卡情况!$H197)+
IF(各r阵容卡情况!$I197=0,0,IF(各r阵容卡情况!$AC197&lt;=1,0,(各r阵容卡情况!$AC197-1)*G$27)*各r阵容卡情况!$I197)+
IF(各r阵容卡情况!$J197=0,0,IF(各r阵容卡情况!$AD197&lt;=1,0,(各r阵容卡情况!$AD197-1)*G$28)*各r阵容卡情况!$J197)</f>
        <v>680</v>
      </c>
      <c r="AI169" s="67">
        <f>IF(各r阵容卡情况!$H197=0,0,IF(各r阵容卡情况!$AB197&lt;=1,0,(各r阵容卡情况!$AB197-1)*H$26)*各r阵容卡情况!$H197)+
IF(各r阵容卡情况!$I197=0,0,IF(各r阵容卡情况!$AC197&lt;=1,0,(各r阵容卡情况!$AC197-1)*H$27)*各r阵容卡情况!$I197)+
IF(各r阵容卡情况!$J197=0,0,IF(各r阵容卡情况!$AD197&lt;=1,0,(各r阵容卡情况!$AD197-1)*H$28)*各r阵容卡情况!$J197)</f>
        <v>0</v>
      </c>
      <c r="AJ169" s="67">
        <f>IF(各r阵容卡情况!$H197=0,0,IF(各r阵容卡情况!$AB197&lt;=1,0,(各r阵容卡情况!$AB197-1)*I$26)*各r阵容卡情况!$H197)+
IF(各r阵容卡情况!$I197=0,0,IF(各r阵容卡情况!$AC197&lt;=1,0,(各r阵容卡情况!$AC197-1)*I$27)*各r阵容卡情况!$I197)+
IF(各r阵容卡情况!$J197=0,0,IF(各r阵容卡情况!$AD197&lt;=1,0,(各r阵容卡情况!$AD197-1)*I$28)*各r阵容卡情况!$J197)</f>
        <v>0</v>
      </c>
      <c r="AL169" s="80">
        <f t="shared" si="134"/>
        <v>155</v>
      </c>
      <c r="AM169" s="80">
        <f t="shared" si="135"/>
        <v>48</v>
      </c>
      <c r="AN169" s="80">
        <f t="shared" si="136"/>
        <v>0</v>
      </c>
      <c r="AO169" s="80">
        <f t="shared" si="137"/>
        <v>0</v>
      </c>
      <c r="AP169" s="80">
        <f t="shared" si="138"/>
        <v>240</v>
      </c>
      <c r="AQ169" s="80">
        <f t="shared" si="139"/>
        <v>0</v>
      </c>
      <c r="AR169" s="80">
        <f t="shared" si="140"/>
        <v>0</v>
      </c>
      <c r="AS169" s="80">
        <f t="shared" si="141"/>
        <v>144</v>
      </c>
      <c r="AT169" s="80">
        <f t="shared" si="142"/>
        <v>0</v>
      </c>
      <c r="AU169" s="80">
        <f t="shared" si="143"/>
        <v>0</v>
      </c>
      <c r="AV169" s="80">
        <f t="shared" si="144"/>
        <v>720</v>
      </c>
      <c r="AW169" s="80">
        <f t="shared" si="145"/>
        <v>0</v>
      </c>
      <c r="AX169" s="80">
        <f t="shared" si="146"/>
        <v>0</v>
      </c>
      <c r="AY169" s="61" t="e">
        <f>SUMPRODUCT(AM169:AR169/'[1]功能-行军令'!$GI$26:$GN$26+AS169:AX169/'[1]功能-行军令'!$GI$26:$GN$26)/0.18</f>
        <v>#DIV/0!</v>
      </c>
      <c r="BO169" s="80">
        <f t="shared" si="132"/>
        <v>132.61179169042359</v>
      </c>
      <c r="BP169" s="80">
        <f t="shared" si="133"/>
        <v>12300000</v>
      </c>
      <c r="BQ169" s="80">
        <f>(BP169-BP168)*INDEX('[1]功能-付费相关'!$AT$6:$AT$165,$BO169,1)+BQ168</f>
        <v>16421.870715493144</v>
      </c>
      <c r="BR169" s="80"/>
      <c r="BS169" s="80"/>
    </row>
    <row r="170" spans="12:71" x14ac:dyDescent="0.15">
      <c r="L170" s="61">
        <v>34</v>
      </c>
      <c r="M170" s="80">
        <f>基础状态预期!D182</f>
        <v>132.61179169042359</v>
      </c>
      <c r="N170" s="80">
        <f>IF(基础状态预期!F182="",0,IF(基础状态预期!Z182&lt;=1,基础状态预期!Z182*D$4,1*D$4+(基础状态预期!Z182-1)*武将觉醒!D$5))</f>
        <v>0</v>
      </c>
      <c r="O170" s="80">
        <f>IF(基础状态预期!G182="",0,IF(基础状态预期!AA182&lt;=1,基础状态预期!AA182*E$4,1*E$4+(基础状态预期!AA182-1)*武将觉醒!E$5))</f>
        <v>0</v>
      </c>
      <c r="P170" s="80">
        <f>IF(基础状态预期!H182="",0,IF(基础状态预期!AB182&lt;=1,基础状态预期!AB182*F$4,1*F$4+(基础状态预期!AB182-1)*武将觉醒!F$5))</f>
        <v>0</v>
      </c>
      <c r="Q170" s="80">
        <f>IF(基础状态预期!I182="",0,IF(基础状态预期!AC182&lt;=1,基础状态预期!AC182*G$4,1*G$4+(基础状态预期!AC182-1)*武将觉醒!G$5))</f>
        <v>0</v>
      </c>
      <c r="R170" s="80">
        <f>IF(基础状态预期!J182="",0,IF(基础状态预期!AD182&lt;=1,基础状态预期!AD182*H$4,1*H$4+(基础状态预期!AD182-1)*武将觉醒!H$5))</f>
        <v>2050000</v>
      </c>
      <c r="S170" s="80">
        <f>MAX(SUMPRODUCT(N170:R170,基础状态预期!F182:J182),S169)</f>
        <v>12300000</v>
      </c>
      <c r="T170" s="80">
        <f>IF(基础状态预期!Z182="",0,IFERROR(基础状态预期!F182*求节点($C$62:$C$63,D$62:D$63,基础状态预期!Z182),0)+IFERROR(基础状态预期!$J182*求节点($C$71:$C$72,D$71:D$72,基础状态预期!$AD182),0))</f>
        <v>0</v>
      </c>
      <c r="U170" s="80">
        <f>IF(基础状态预期!AA182="",0,IFERROR(基础状态预期!G182*求节点($C$62:$C$63,E$62:E$63,基础状态预期!AA182),0)+IFERROR(基础状态预期!$J182*求节点($C$71:$C$72,E$71:E$72,基础状态预期!$AD182),0))</f>
        <v>0</v>
      </c>
      <c r="V170" s="80">
        <f>IF(基础状态预期!AB182="",0,IFERROR(基础状态预期!H182*求节点($C$62:$C$63,F$62:F$63,基础状态预期!AB182),0)+IFERROR(基础状态预期!$J182*求节点($C$71:$C$72,F$71:F$72,基础状态预期!$AD182),0))</f>
        <v>0</v>
      </c>
      <c r="W170" s="80">
        <f>IF(基础状态预期!AC182="",0,IFERROR(基础状态预期!I182*求节点($C$62:$C$63,G$62:G$63,基础状态预期!AC182),0)+IFERROR(基础状态预期!$J182*求节点($C$71:$C$72,G$71:G$72,基础状态预期!$AD182),0))</f>
        <v>0</v>
      </c>
      <c r="X170" s="80">
        <f>IF(基础状态预期!AD182="",0,IFERROR(基础状态预期!J182*求节点($C$62:$C$63,H$62:H$63,基础状态预期!AD182),0)+IFERROR(基础状态预期!$J182*求节点($C$71:$C$72,H$71:H$72,基础状态预期!$AD182),0))</f>
        <v>0</v>
      </c>
      <c r="Y170" s="80">
        <f>IF(基础状态预期!$H182="",0,IF(基础状态预期!$AB182&lt;=1,基础状态预期!$AB182*D$18,D$18)*基础状态预期!$H182)+
IF(基础状态预期!$I182="",0,IF(基础状态预期!$AC182&lt;=1,基础状态预期!$AC182*D$19,D$19)*基础状态预期!$I182)+
IF(基础状态预期!$J182="",0,IF(基础状态预期!$AD182&lt;=1,基础状态预期!$AD182*D$20,D$20)*基础状态预期!$J182)</f>
        <v>48</v>
      </c>
      <c r="Z170" s="80">
        <f>IF(基础状态预期!$H182="",0,IF(基础状态预期!$AB182&lt;=1,基础状态预期!$AB182*E$18,E$18)*基础状态预期!$H182)+
IF(基础状态预期!$I182="",0,IF(基础状态预期!$AC182&lt;=1,基础状态预期!$AC182*E$19,E$19)*基础状态预期!$I182)+
IF(基础状态预期!$J182="",0,IF(基础状态预期!$AD182&lt;=1,基础状态预期!$AD182*E$20,E$20)*基础状态预期!$J182)</f>
        <v>0</v>
      </c>
      <c r="AA170" s="80">
        <f>IF(基础状态预期!$H182="",0,IF(基础状态预期!$AB182&lt;=1,基础状态预期!$AB182*F$18,F$18)*基础状态预期!$H182)+
IF(基础状态预期!$I182="",0,IF(基础状态预期!$AC182&lt;=1,基础状态预期!$AC182*F$19,F$19)*基础状态预期!$I182)+
IF(基础状态预期!$J182="",0,IF(基础状态预期!$AD182&lt;=1,基础状态预期!$AD182*F$20,F$20)*基础状态预期!$J182)</f>
        <v>0</v>
      </c>
      <c r="AB170" s="67">
        <f>IF(基础状态预期!$H182="",0,IF(基础状态预期!$AB182&lt;=1,0,(基础状态预期!$AB182-1)*G$26)*基础状态预期!$H182)+
IF(基础状态预期!$I182="",0,IF(基础状态预期!$AC182&lt;=1,0,(基础状态预期!$AC182-1)*G$27)*基础状态预期!$I182)+
IF(基础状态预期!$J182="",0,IF(基础状态预期!$AD182&lt;=1,0,(基础状态预期!$AD182-1)*G$28)*基础状态预期!$J182)</f>
        <v>240</v>
      </c>
      <c r="AC170" s="67">
        <f>IF(基础状态预期!$H182="",0,IF(基础状态预期!$AB182&lt;=1,0,(基础状态预期!$AB182-1)*H$26)*基础状态预期!$H182)+
IF(基础状态预期!$I182="",0,IF(基础状态预期!$AC182&lt;=1,0,(基础状态预期!$AC182-1)*H$27)*基础状态预期!$I182)+
IF(基础状态预期!$J182="",0,IF(基础状态预期!$AD182&lt;=1,0,(基础状态预期!$AD182-1)*H$28)*基础状态预期!$J182)</f>
        <v>0</v>
      </c>
      <c r="AD170" s="67">
        <f>IF(基础状态预期!$H182="",0,IF(基础状态预期!$AB182&lt;=1,0,(基础状态预期!$AB182-1)*I$26)*基础状态预期!$H182)+
IF(基础状态预期!$I182="",0,IF(基础状态预期!$AC182&lt;=1,0,(基础状态预期!$AC182-1)*I$27)*基础状态预期!$I182)+
IF(基础状态预期!$J182="",0,IF(基础状态预期!$AD182&lt;=1,0,(基础状态预期!$AD182-1)*I$28)*基础状态预期!$J182)</f>
        <v>0</v>
      </c>
      <c r="AE170" s="80">
        <f>IF(各r阵容卡情况!$H198=0,0,IF(各r阵容卡情况!$AB198&lt;=1,各r阵容卡情况!$AB198*D$18,1*D$18)*各r阵容卡情况!$H198)+
IF(各r阵容卡情况!$I198=0,0,IF(各r阵容卡情况!$AC198&lt;=1,各r阵容卡情况!$AC198*D$19,1*D$19)*各r阵容卡情况!$I198)+
IF(各r阵容卡情况!$J198=0,0,IF(各r阵容卡情况!$AD198&lt;=1,各r阵容卡情况!$AD198*D$20,1*D$20)*各r阵容卡情况!$J198)</f>
        <v>140</v>
      </c>
      <c r="AF170" s="80">
        <f>IF(各r阵容卡情况!$H198=0,0,IF(各r阵容卡情况!$AB198&lt;=1,各r阵容卡情况!$AB198*E$18,1*E$18)*各r阵容卡情况!$H198)+
IF(各r阵容卡情况!$I198=0,0,IF(各r阵容卡情况!$AC198&lt;=1,各r阵容卡情况!$AC198*E$19,1*E$19)*各r阵容卡情况!$I198)+
IF(各r阵容卡情况!$J198=0,0,IF(各r阵容卡情况!$AD198&lt;=1,各r阵容卡情况!$AD198*E$20,1*E$20)*各r阵容卡情况!$J198)</f>
        <v>0</v>
      </c>
      <c r="AG170" s="80">
        <f>IF(各r阵容卡情况!$H198=0,0,IF(各r阵容卡情况!$AB198&lt;=1,各r阵容卡情况!$AB198*F$18,1*F$18)*各r阵容卡情况!$H198)+
IF(各r阵容卡情况!$I198=0,0,IF(各r阵容卡情况!$AC198&lt;=1,各r阵容卡情况!$AC198*F$19,1*F$19)*各r阵容卡情况!$I198)+
IF(各r阵容卡情况!$J198=0,0,IF(各r阵容卡情况!$AD198&lt;=1,各r阵容卡情况!$AD198*F$20,1*F$20)*各r阵容卡情况!$J198)</f>
        <v>0</v>
      </c>
      <c r="AH170" s="67">
        <f>IF(各r阵容卡情况!$H198=0,0,IF(各r阵容卡情况!$AB198&lt;=1,0,(各r阵容卡情况!$AB198-1)*G$26)*各r阵容卡情况!$H198)+
IF(各r阵容卡情况!$I198=0,0,IF(各r阵容卡情况!$AC198&lt;=1,0,(各r阵容卡情况!$AC198-1)*G$27)*各r阵容卡情况!$I198)+
IF(各r阵容卡情况!$J198=0,0,IF(各r阵容卡情况!$AD198&lt;=1,0,(各r阵容卡情况!$AD198-1)*G$28)*各r阵容卡情况!$J198)</f>
        <v>700</v>
      </c>
      <c r="AI170" s="67">
        <f>IF(各r阵容卡情况!$H198=0,0,IF(各r阵容卡情况!$AB198&lt;=1,0,(各r阵容卡情况!$AB198-1)*H$26)*各r阵容卡情况!$H198)+
IF(各r阵容卡情况!$I198=0,0,IF(各r阵容卡情况!$AC198&lt;=1,0,(各r阵容卡情况!$AC198-1)*H$27)*各r阵容卡情况!$I198)+
IF(各r阵容卡情况!$J198=0,0,IF(各r阵容卡情况!$AD198&lt;=1,0,(各r阵容卡情况!$AD198-1)*H$28)*各r阵容卡情况!$J198)</f>
        <v>0</v>
      </c>
      <c r="AJ170" s="67">
        <f>IF(各r阵容卡情况!$H198=0,0,IF(各r阵容卡情况!$AB198&lt;=1,0,(各r阵容卡情况!$AB198-1)*I$26)*各r阵容卡情况!$H198)+
IF(各r阵容卡情况!$I198=0,0,IF(各r阵容卡情况!$AC198&lt;=1,0,(各r阵容卡情况!$AC198-1)*I$27)*各r阵容卡情况!$I198)+
IF(各r阵容卡情况!$J198=0,0,IF(各r阵容卡情况!$AD198&lt;=1,0,(各r阵容卡情况!$AD198-1)*I$28)*各r阵容卡情况!$J198)</f>
        <v>0</v>
      </c>
      <c r="AL170" s="80">
        <f t="shared" si="134"/>
        <v>160</v>
      </c>
      <c r="AM170" s="80">
        <f t="shared" si="135"/>
        <v>48</v>
      </c>
      <c r="AN170" s="80">
        <f t="shared" si="136"/>
        <v>0</v>
      </c>
      <c r="AO170" s="80">
        <f t="shared" si="137"/>
        <v>0</v>
      </c>
      <c r="AP170" s="80">
        <f t="shared" si="138"/>
        <v>240</v>
      </c>
      <c r="AQ170" s="80">
        <f t="shared" si="139"/>
        <v>0</v>
      </c>
      <c r="AR170" s="80">
        <f t="shared" si="140"/>
        <v>0</v>
      </c>
      <c r="AS170" s="80">
        <f t="shared" si="141"/>
        <v>144</v>
      </c>
      <c r="AT170" s="80">
        <f t="shared" si="142"/>
        <v>0</v>
      </c>
      <c r="AU170" s="80">
        <f t="shared" si="143"/>
        <v>0</v>
      </c>
      <c r="AV170" s="80">
        <f t="shared" si="144"/>
        <v>720</v>
      </c>
      <c r="AW170" s="80">
        <f t="shared" si="145"/>
        <v>0</v>
      </c>
      <c r="AX170" s="80">
        <f t="shared" si="146"/>
        <v>0</v>
      </c>
      <c r="AY170" s="61" t="e">
        <f>SUMPRODUCT(AM170:AR170/'[1]功能-行军令'!$GI$26:$GN$26+AS170:AX170/'[1]功能-行军令'!$GI$26:$GN$26)/0.18</f>
        <v>#DIV/0!</v>
      </c>
      <c r="BO170" s="80">
        <f t="shared" si="132"/>
        <v>136.12035534953262</v>
      </c>
      <c r="BP170" s="80">
        <f t="shared" si="133"/>
        <v>12300000</v>
      </c>
      <c r="BQ170" s="80">
        <f>(BP170-BP169)*INDEX('[1]功能-付费相关'!$AT$6:$AT$165,$BO170,1)+BQ169</f>
        <v>16421.870715493144</v>
      </c>
      <c r="BR170" s="80"/>
      <c r="BS170" s="80"/>
    </row>
    <row r="171" spans="12:71" x14ac:dyDescent="0.15">
      <c r="L171" s="61">
        <v>35</v>
      </c>
      <c r="M171" s="80">
        <f>基础状态预期!D183</f>
        <v>136.12035534953262</v>
      </c>
      <c r="N171" s="80">
        <f>IF(基础状态预期!F183="",0,IF(基础状态预期!Z183&lt;=1,基础状态预期!Z183*D$4,1*D$4+(基础状态预期!Z183-1)*武将觉醒!D$5))</f>
        <v>0</v>
      </c>
      <c r="O171" s="80">
        <f>IF(基础状态预期!G183="",0,IF(基础状态预期!AA183&lt;=1,基础状态预期!AA183*E$4,1*E$4+(基础状态预期!AA183-1)*武将觉醒!E$5))</f>
        <v>0</v>
      </c>
      <c r="P171" s="80">
        <f>IF(基础状态预期!H183="",0,IF(基础状态预期!AB183&lt;=1,基础状态预期!AB183*F$4,1*F$4+(基础状态预期!AB183-1)*武将觉醒!F$5))</f>
        <v>0</v>
      </c>
      <c r="Q171" s="80">
        <f>IF(基础状态预期!I183="",0,IF(基础状态预期!AC183&lt;=1,基础状态预期!AC183*G$4,1*G$4+(基础状态预期!AC183-1)*武将觉醒!G$5))</f>
        <v>0</v>
      </c>
      <c r="R171" s="80">
        <f>IF(基础状态预期!J183="",0,IF(基础状态预期!AD183&lt;=1,基础状态预期!AD183*H$4,1*H$4+(基础状态预期!AD183-1)*武将觉醒!H$5))</f>
        <v>2050000</v>
      </c>
      <c r="S171" s="80">
        <f>MAX(SUMPRODUCT(N171:R171,基础状态预期!F183:J183),S170)</f>
        <v>12300000</v>
      </c>
      <c r="T171" s="80">
        <f>IF(基础状态预期!Z183="",0,IFERROR(基础状态预期!F183*求节点($C$62:$C$63,D$62:D$63,基础状态预期!Z183),0)+IFERROR(基础状态预期!$J183*求节点($C$71:$C$72,D$71:D$72,基础状态预期!$AD183),0))</f>
        <v>0</v>
      </c>
      <c r="U171" s="80">
        <f>IF(基础状态预期!AA183="",0,IFERROR(基础状态预期!G183*求节点($C$62:$C$63,E$62:E$63,基础状态预期!AA183),0)+IFERROR(基础状态预期!$J183*求节点($C$71:$C$72,E$71:E$72,基础状态预期!$AD183),0))</f>
        <v>0</v>
      </c>
      <c r="V171" s="80">
        <f>IF(基础状态预期!AB183="",0,IFERROR(基础状态预期!H183*求节点($C$62:$C$63,F$62:F$63,基础状态预期!AB183),0)+IFERROR(基础状态预期!$J183*求节点($C$71:$C$72,F$71:F$72,基础状态预期!$AD183),0))</f>
        <v>0</v>
      </c>
      <c r="W171" s="80">
        <f>IF(基础状态预期!AC183="",0,IFERROR(基础状态预期!I183*求节点($C$62:$C$63,G$62:G$63,基础状态预期!AC183),0)+IFERROR(基础状态预期!$J183*求节点($C$71:$C$72,G$71:G$72,基础状态预期!$AD183),0))</f>
        <v>0</v>
      </c>
      <c r="X171" s="80">
        <f>IF(基础状态预期!AD183="",0,IFERROR(基础状态预期!J183*求节点($C$62:$C$63,H$62:H$63,基础状态预期!AD183),0)+IFERROR(基础状态预期!$J183*求节点($C$71:$C$72,H$71:H$72,基础状态预期!$AD183),0))</f>
        <v>0</v>
      </c>
      <c r="Y171" s="80">
        <f>IF(基础状态预期!$H183="",0,IF(基础状态预期!$AB183&lt;=1,基础状态预期!$AB183*D$18,D$18)*基础状态预期!$H183)+
IF(基础状态预期!$I183="",0,IF(基础状态预期!$AC183&lt;=1,基础状态预期!$AC183*D$19,D$19)*基础状态预期!$I183)+
IF(基础状态预期!$J183="",0,IF(基础状态预期!$AD183&lt;=1,基础状态预期!$AD183*D$20,D$20)*基础状态预期!$J183)</f>
        <v>48</v>
      </c>
      <c r="Z171" s="80">
        <f>IF(基础状态预期!$H183="",0,IF(基础状态预期!$AB183&lt;=1,基础状态预期!$AB183*E$18,E$18)*基础状态预期!$H183)+
IF(基础状态预期!$I183="",0,IF(基础状态预期!$AC183&lt;=1,基础状态预期!$AC183*E$19,E$19)*基础状态预期!$I183)+
IF(基础状态预期!$J183="",0,IF(基础状态预期!$AD183&lt;=1,基础状态预期!$AD183*E$20,E$20)*基础状态预期!$J183)</f>
        <v>0</v>
      </c>
      <c r="AA171" s="80">
        <f>IF(基础状态预期!$H183="",0,IF(基础状态预期!$AB183&lt;=1,基础状态预期!$AB183*F$18,F$18)*基础状态预期!$H183)+
IF(基础状态预期!$I183="",0,IF(基础状态预期!$AC183&lt;=1,基础状态预期!$AC183*F$19,F$19)*基础状态预期!$I183)+
IF(基础状态预期!$J183="",0,IF(基础状态预期!$AD183&lt;=1,基础状态预期!$AD183*F$20,F$20)*基础状态预期!$J183)</f>
        <v>0</v>
      </c>
      <c r="AB171" s="67">
        <f>IF(基础状态预期!$H183="",0,IF(基础状态预期!$AB183&lt;=1,0,(基础状态预期!$AB183-1)*G$26)*基础状态预期!$H183)+
IF(基础状态预期!$I183="",0,IF(基础状态预期!$AC183&lt;=1,0,(基础状态预期!$AC183-1)*G$27)*基础状态预期!$I183)+
IF(基础状态预期!$J183="",0,IF(基础状态预期!$AD183&lt;=1,0,(基础状态预期!$AD183-1)*G$28)*基础状态预期!$J183)</f>
        <v>240</v>
      </c>
      <c r="AC171" s="67">
        <f>IF(基础状态预期!$H183="",0,IF(基础状态预期!$AB183&lt;=1,0,(基础状态预期!$AB183-1)*H$26)*基础状态预期!$H183)+
IF(基础状态预期!$I183="",0,IF(基础状态预期!$AC183&lt;=1,0,(基础状态预期!$AC183-1)*H$27)*基础状态预期!$I183)+
IF(基础状态预期!$J183="",0,IF(基础状态预期!$AD183&lt;=1,0,(基础状态预期!$AD183-1)*H$28)*基础状态预期!$J183)</f>
        <v>0</v>
      </c>
      <c r="AD171" s="67">
        <f>IF(基础状态预期!$H183="",0,IF(基础状态预期!$AB183&lt;=1,0,(基础状态预期!$AB183-1)*I$26)*基础状态预期!$H183)+
IF(基础状态预期!$I183="",0,IF(基础状态预期!$AC183&lt;=1,0,(基础状态预期!$AC183-1)*I$27)*基础状态预期!$I183)+
IF(基础状态预期!$J183="",0,IF(基础状态预期!$AD183&lt;=1,0,(基础状态预期!$AD183-1)*I$28)*基础状态预期!$J183)</f>
        <v>0</v>
      </c>
      <c r="AE171" s="80">
        <f>IF(各r阵容卡情况!$H199=0,0,IF(各r阵容卡情况!$AB199&lt;=1,各r阵容卡情况!$AB199*D$18,1*D$18)*各r阵容卡情况!$H199)+
IF(各r阵容卡情况!$I199=0,0,IF(各r阵容卡情况!$AC199&lt;=1,各r阵容卡情况!$AC199*D$19,1*D$19)*各r阵容卡情况!$I199)+
IF(各r阵容卡情况!$J199=0,0,IF(各r阵容卡情况!$AD199&lt;=1,各r阵容卡情况!$AD199*D$20,1*D$20)*各r阵容卡情况!$J199)</f>
        <v>144</v>
      </c>
      <c r="AF171" s="80">
        <f>IF(各r阵容卡情况!$H199=0,0,IF(各r阵容卡情况!$AB199&lt;=1,各r阵容卡情况!$AB199*E$18,1*E$18)*各r阵容卡情况!$H199)+
IF(各r阵容卡情况!$I199=0,0,IF(各r阵容卡情况!$AC199&lt;=1,各r阵容卡情况!$AC199*E$19,1*E$19)*各r阵容卡情况!$I199)+
IF(各r阵容卡情况!$J199=0,0,IF(各r阵容卡情况!$AD199&lt;=1,各r阵容卡情况!$AD199*E$20,1*E$20)*各r阵容卡情况!$J199)</f>
        <v>0</v>
      </c>
      <c r="AG171" s="80">
        <f>IF(各r阵容卡情况!$H199=0,0,IF(各r阵容卡情况!$AB199&lt;=1,各r阵容卡情况!$AB199*F$18,1*F$18)*各r阵容卡情况!$H199)+
IF(各r阵容卡情况!$I199=0,0,IF(各r阵容卡情况!$AC199&lt;=1,各r阵容卡情况!$AC199*F$19,1*F$19)*各r阵容卡情况!$I199)+
IF(各r阵容卡情况!$J199=0,0,IF(各r阵容卡情况!$AD199&lt;=1,各r阵容卡情况!$AD199*F$20,1*F$20)*各r阵容卡情况!$J199)</f>
        <v>0</v>
      </c>
      <c r="AH171" s="67">
        <f>IF(各r阵容卡情况!$H199=0,0,IF(各r阵容卡情况!$AB199&lt;=1,0,(各r阵容卡情况!$AB199-1)*G$26)*各r阵容卡情况!$H199)+
IF(各r阵容卡情况!$I199=0,0,IF(各r阵容卡情况!$AC199&lt;=1,0,(各r阵容卡情况!$AC199-1)*G$27)*各r阵容卡情况!$I199)+
IF(各r阵容卡情况!$J199=0,0,IF(各r阵容卡情况!$AD199&lt;=1,0,(各r阵容卡情况!$AD199-1)*G$28)*各r阵容卡情况!$J199)</f>
        <v>720</v>
      </c>
      <c r="AI171" s="67">
        <f>IF(各r阵容卡情况!$H199=0,0,IF(各r阵容卡情况!$AB199&lt;=1,0,(各r阵容卡情况!$AB199-1)*H$26)*各r阵容卡情况!$H199)+
IF(各r阵容卡情况!$I199=0,0,IF(各r阵容卡情况!$AC199&lt;=1,0,(各r阵容卡情况!$AC199-1)*H$27)*各r阵容卡情况!$I199)+
IF(各r阵容卡情况!$J199=0,0,IF(各r阵容卡情况!$AD199&lt;=1,0,(各r阵容卡情况!$AD199-1)*H$28)*各r阵容卡情况!$J199)</f>
        <v>0</v>
      </c>
      <c r="AJ171" s="67">
        <f>IF(各r阵容卡情况!$H199=0,0,IF(各r阵容卡情况!$AB199&lt;=1,0,(各r阵容卡情况!$AB199-1)*I$26)*各r阵容卡情况!$H199)+
IF(各r阵容卡情况!$I199=0,0,IF(各r阵容卡情况!$AC199&lt;=1,0,(各r阵容卡情况!$AC199-1)*I$27)*各r阵容卡情况!$I199)+
IF(各r阵容卡情况!$J199=0,0,IF(各r阵容卡情况!$AD199&lt;=1,0,(各r阵容卡情况!$AD199-1)*I$28)*各r阵容卡情况!$J199)</f>
        <v>0</v>
      </c>
      <c r="AL171" s="80">
        <f t="shared" si="134"/>
        <v>165</v>
      </c>
      <c r="AM171" s="80">
        <f t="shared" si="135"/>
        <v>48</v>
      </c>
      <c r="AN171" s="80">
        <f t="shared" si="136"/>
        <v>0</v>
      </c>
      <c r="AO171" s="80">
        <f t="shared" si="137"/>
        <v>0</v>
      </c>
      <c r="AP171" s="80">
        <f t="shared" si="138"/>
        <v>240</v>
      </c>
      <c r="AQ171" s="80">
        <f t="shared" si="139"/>
        <v>0</v>
      </c>
      <c r="AR171" s="80">
        <f t="shared" si="140"/>
        <v>0</v>
      </c>
      <c r="AS171" s="80">
        <f t="shared" si="141"/>
        <v>144</v>
      </c>
      <c r="AT171" s="80">
        <f t="shared" si="142"/>
        <v>0</v>
      </c>
      <c r="AU171" s="80">
        <f t="shared" si="143"/>
        <v>0</v>
      </c>
      <c r="AV171" s="80">
        <f t="shared" si="144"/>
        <v>720</v>
      </c>
      <c r="AW171" s="80">
        <f t="shared" si="145"/>
        <v>0</v>
      </c>
      <c r="AX171" s="80">
        <f t="shared" si="146"/>
        <v>0</v>
      </c>
      <c r="AY171" s="61" t="e">
        <f>SUMPRODUCT(AM171:AR171/'[1]功能-行军令'!$GI$26:$GN$26+AS171:AX171/'[1]功能-行军令'!$GI$26:$GN$26)/0.18</f>
        <v>#DIV/0!</v>
      </c>
      <c r="BO171" s="80">
        <f t="shared" si="132"/>
        <v>139.6793621861803</v>
      </c>
      <c r="BP171" s="80">
        <f t="shared" si="133"/>
        <v>12300000</v>
      </c>
      <c r="BQ171" s="80">
        <f>(BP171-BP170)*INDEX('[1]功能-付费相关'!$AT$6:$AT$165,$BO171,1)+BQ170</f>
        <v>16421.870715493144</v>
      </c>
      <c r="BR171" s="80"/>
      <c r="BS171" s="80"/>
    </row>
    <row r="172" spans="12:71" x14ac:dyDescent="0.15">
      <c r="L172" s="61">
        <v>36</v>
      </c>
      <c r="M172" s="80">
        <f>基础状态预期!D184</f>
        <v>139.6793621861803</v>
      </c>
      <c r="N172" s="80">
        <f>IF(基础状态预期!F184="",0,IF(基础状态预期!Z184&lt;=1,基础状态预期!Z184*D$4,1*D$4+(基础状态预期!Z184-1)*武将觉醒!D$5))</f>
        <v>0</v>
      </c>
      <c r="O172" s="80">
        <f>IF(基础状态预期!G184="",0,IF(基础状态预期!AA184&lt;=1,基础状态预期!AA184*E$4,1*E$4+(基础状态预期!AA184-1)*武将觉醒!E$5))</f>
        <v>0</v>
      </c>
      <c r="P172" s="80">
        <f>IF(基础状态预期!H184="",0,IF(基础状态预期!AB184&lt;=1,基础状态预期!AB184*F$4,1*F$4+(基础状态预期!AB184-1)*武将觉醒!F$5))</f>
        <v>0</v>
      </c>
      <c r="Q172" s="80">
        <f>IF(基础状态预期!I184="",0,IF(基础状态预期!AC184&lt;=1,基础状态预期!AC184*G$4,1*G$4+(基础状态预期!AC184-1)*武将觉醒!G$5))</f>
        <v>0</v>
      </c>
      <c r="R172" s="80">
        <f>IF(基础状态预期!J184="",0,IF(基础状态预期!AD184&lt;=1,基础状态预期!AD184*H$4,1*H$4+(基础状态预期!AD184-1)*武将觉醒!H$5))</f>
        <v>2050000</v>
      </c>
      <c r="S172" s="80">
        <f>MAX(SUMPRODUCT(N172:R172,基础状态预期!F184:J184),S171)</f>
        <v>12300000</v>
      </c>
      <c r="T172" s="80">
        <f>IF(基础状态预期!Z184="",0,IFERROR(基础状态预期!F184*求节点($C$62:$C$63,D$62:D$63,基础状态预期!Z184),0)+IFERROR(基础状态预期!$J184*求节点($C$71:$C$72,D$71:D$72,基础状态预期!$AD184),0))</f>
        <v>0</v>
      </c>
      <c r="U172" s="80">
        <f>IF(基础状态预期!AA184="",0,IFERROR(基础状态预期!G184*求节点($C$62:$C$63,E$62:E$63,基础状态预期!AA184),0)+IFERROR(基础状态预期!$J184*求节点($C$71:$C$72,E$71:E$72,基础状态预期!$AD184),0))</f>
        <v>0</v>
      </c>
      <c r="V172" s="80">
        <f>IF(基础状态预期!AB184="",0,IFERROR(基础状态预期!H184*求节点($C$62:$C$63,F$62:F$63,基础状态预期!AB184),0)+IFERROR(基础状态预期!$J184*求节点($C$71:$C$72,F$71:F$72,基础状态预期!$AD184),0))</f>
        <v>0</v>
      </c>
      <c r="W172" s="80">
        <f>IF(基础状态预期!AC184="",0,IFERROR(基础状态预期!I184*求节点($C$62:$C$63,G$62:G$63,基础状态预期!AC184),0)+IFERROR(基础状态预期!$J184*求节点($C$71:$C$72,G$71:G$72,基础状态预期!$AD184),0))</f>
        <v>0</v>
      </c>
      <c r="X172" s="80">
        <f>IF(基础状态预期!AD184="",0,IFERROR(基础状态预期!J184*求节点($C$62:$C$63,H$62:H$63,基础状态预期!AD184),0)+IFERROR(基础状态预期!$J184*求节点($C$71:$C$72,H$71:H$72,基础状态预期!$AD184),0))</f>
        <v>0</v>
      </c>
      <c r="Y172" s="80">
        <f>IF(基础状态预期!$H184="",0,IF(基础状态预期!$AB184&lt;=1,基础状态预期!$AB184*D$18,D$18)*基础状态预期!$H184)+
IF(基础状态预期!$I184="",0,IF(基础状态预期!$AC184&lt;=1,基础状态预期!$AC184*D$19,D$19)*基础状态预期!$I184)+
IF(基础状态预期!$J184="",0,IF(基础状态预期!$AD184&lt;=1,基础状态预期!$AD184*D$20,D$20)*基础状态预期!$J184)</f>
        <v>48</v>
      </c>
      <c r="Z172" s="80">
        <f>IF(基础状态预期!$H184="",0,IF(基础状态预期!$AB184&lt;=1,基础状态预期!$AB184*E$18,E$18)*基础状态预期!$H184)+
IF(基础状态预期!$I184="",0,IF(基础状态预期!$AC184&lt;=1,基础状态预期!$AC184*E$19,E$19)*基础状态预期!$I184)+
IF(基础状态预期!$J184="",0,IF(基础状态预期!$AD184&lt;=1,基础状态预期!$AD184*E$20,E$20)*基础状态预期!$J184)</f>
        <v>0</v>
      </c>
      <c r="AA172" s="80">
        <f>IF(基础状态预期!$H184="",0,IF(基础状态预期!$AB184&lt;=1,基础状态预期!$AB184*F$18,F$18)*基础状态预期!$H184)+
IF(基础状态预期!$I184="",0,IF(基础状态预期!$AC184&lt;=1,基础状态预期!$AC184*F$19,F$19)*基础状态预期!$I184)+
IF(基础状态预期!$J184="",0,IF(基础状态预期!$AD184&lt;=1,基础状态预期!$AD184*F$20,F$20)*基础状态预期!$J184)</f>
        <v>0</v>
      </c>
      <c r="AB172" s="67">
        <f>IF(基础状态预期!$H184="",0,IF(基础状态预期!$AB184&lt;=1,0,(基础状态预期!$AB184-1)*G$26)*基础状态预期!$H184)+
IF(基础状态预期!$I184="",0,IF(基础状态预期!$AC184&lt;=1,0,(基础状态预期!$AC184-1)*G$27)*基础状态预期!$I184)+
IF(基础状态预期!$J184="",0,IF(基础状态预期!$AD184&lt;=1,0,(基础状态预期!$AD184-1)*G$28)*基础状态预期!$J184)</f>
        <v>240</v>
      </c>
      <c r="AC172" s="67">
        <f>IF(基础状态预期!$H184="",0,IF(基础状态预期!$AB184&lt;=1,0,(基础状态预期!$AB184-1)*H$26)*基础状态预期!$H184)+
IF(基础状态预期!$I184="",0,IF(基础状态预期!$AC184&lt;=1,0,(基础状态预期!$AC184-1)*H$27)*基础状态预期!$I184)+
IF(基础状态预期!$J184="",0,IF(基础状态预期!$AD184&lt;=1,0,(基础状态预期!$AD184-1)*H$28)*基础状态预期!$J184)</f>
        <v>0</v>
      </c>
      <c r="AD172" s="67">
        <f>IF(基础状态预期!$H184="",0,IF(基础状态预期!$AB184&lt;=1,0,(基础状态预期!$AB184-1)*I$26)*基础状态预期!$H184)+
IF(基础状态预期!$I184="",0,IF(基础状态预期!$AC184&lt;=1,0,(基础状态预期!$AC184-1)*I$27)*基础状态预期!$I184)+
IF(基础状态预期!$J184="",0,IF(基础状态预期!$AD184&lt;=1,0,(基础状态预期!$AD184-1)*I$28)*基础状态预期!$J184)</f>
        <v>0</v>
      </c>
      <c r="AE172" s="80">
        <f>IF(各r阵容卡情况!$H200=0,0,IF(各r阵容卡情况!$AB200&lt;=1,各r阵容卡情况!$AB200*D$18,1*D$18)*各r阵容卡情况!$H200)+
IF(各r阵容卡情况!$I200=0,0,IF(各r阵容卡情况!$AC200&lt;=1,各r阵容卡情况!$AC200*D$19,1*D$19)*各r阵容卡情况!$I200)+
IF(各r阵容卡情况!$J200=0,0,IF(各r阵容卡情况!$AD200&lt;=1,各r阵容卡情况!$AD200*D$20,1*D$20)*各r阵容卡情况!$J200)</f>
        <v>144</v>
      </c>
      <c r="AF172" s="80">
        <f>IF(各r阵容卡情况!$H200=0,0,IF(各r阵容卡情况!$AB200&lt;=1,各r阵容卡情况!$AB200*E$18,1*E$18)*各r阵容卡情况!$H200)+
IF(各r阵容卡情况!$I200=0,0,IF(各r阵容卡情况!$AC200&lt;=1,各r阵容卡情况!$AC200*E$19,1*E$19)*各r阵容卡情况!$I200)+
IF(各r阵容卡情况!$J200=0,0,IF(各r阵容卡情况!$AD200&lt;=1,各r阵容卡情况!$AD200*E$20,1*E$20)*各r阵容卡情况!$J200)</f>
        <v>0</v>
      </c>
      <c r="AG172" s="80">
        <f>IF(各r阵容卡情况!$H200=0,0,IF(各r阵容卡情况!$AB200&lt;=1,各r阵容卡情况!$AB200*F$18,1*F$18)*各r阵容卡情况!$H200)+
IF(各r阵容卡情况!$I200=0,0,IF(各r阵容卡情况!$AC200&lt;=1,各r阵容卡情况!$AC200*F$19,1*F$19)*各r阵容卡情况!$I200)+
IF(各r阵容卡情况!$J200=0,0,IF(各r阵容卡情况!$AD200&lt;=1,各r阵容卡情况!$AD200*F$20,1*F$20)*各r阵容卡情况!$J200)</f>
        <v>0</v>
      </c>
      <c r="AH172" s="67">
        <f>IF(各r阵容卡情况!$H200=0,0,IF(各r阵容卡情况!$AB200&lt;=1,0,(各r阵容卡情况!$AB200-1)*G$26)*各r阵容卡情况!$H200)+
IF(各r阵容卡情况!$I200=0,0,IF(各r阵容卡情况!$AC200&lt;=1,0,(各r阵容卡情况!$AC200-1)*G$27)*各r阵容卡情况!$I200)+
IF(各r阵容卡情况!$J200=0,0,IF(各r阵容卡情况!$AD200&lt;=1,0,(各r阵容卡情况!$AD200-1)*G$28)*各r阵容卡情况!$J200)</f>
        <v>720</v>
      </c>
      <c r="AI172" s="67">
        <f>IF(各r阵容卡情况!$H200=0,0,IF(各r阵容卡情况!$AB200&lt;=1,0,(各r阵容卡情况!$AB200-1)*H$26)*各r阵容卡情况!$H200)+
IF(各r阵容卡情况!$I200=0,0,IF(各r阵容卡情况!$AC200&lt;=1,0,(各r阵容卡情况!$AC200-1)*H$27)*各r阵容卡情况!$I200)+
IF(各r阵容卡情况!$J200=0,0,IF(各r阵容卡情况!$AD200&lt;=1,0,(各r阵容卡情况!$AD200-1)*H$28)*各r阵容卡情况!$J200)</f>
        <v>0</v>
      </c>
      <c r="AJ172" s="67">
        <f>IF(各r阵容卡情况!$H200=0,0,IF(各r阵容卡情况!$AB200&lt;=1,0,(各r阵容卡情况!$AB200-1)*I$26)*各r阵容卡情况!$H200)+
IF(各r阵容卡情况!$I200=0,0,IF(各r阵容卡情况!$AC200&lt;=1,0,(各r阵容卡情况!$AC200-1)*I$27)*各r阵容卡情况!$I200)+
IF(各r阵容卡情况!$J200=0,0,IF(各r阵容卡情况!$AD200&lt;=1,0,(各r阵容卡情况!$AD200-1)*I$28)*各r阵容卡情况!$J200)</f>
        <v>0</v>
      </c>
      <c r="AL172" s="80">
        <f t="shared" si="134"/>
        <v>170</v>
      </c>
      <c r="AM172" s="80">
        <f t="shared" si="135"/>
        <v>48</v>
      </c>
      <c r="AN172" s="80">
        <f t="shared" si="136"/>
        <v>0</v>
      </c>
      <c r="AO172" s="80">
        <f t="shared" si="137"/>
        <v>0</v>
      </c>
      <c r="AP172" s="80">
        <f t="shared" si="138"/>
        <v>240</v>
      </c>
      <c r="AQ172" s="80">
        <f t="shared" si="139"/>
        <v>0</v>
      </c>
      <c r="AR172" s="80">
        <f t="shared" si="140"/>
        <v>0</v>
      </c>
      <c r="AS172" s="80">
        <f t="shared" si="141"/>
        <v>144</v>
      </c>
      <c r="AT172" s="80">
        <f t="shared" si="142"/>
        <v>0</v>
      </c>
      <c r="AU172" s="80">
        <f t="shared" si="143"/>
        <v>0</v>
      </c>
      <c r="AV172" s="80">
        <f t="shared" si="144"/>
        <v>720</v>
      </c>
      <c r="AW172" s="80">
        <f t="shared" si="145"/>
        <v>0</v>
      </c>
      <c r="AX172" s="80">
        <f t="shared" si="146"/>
        <v>0</v>
      </c>
      <c r="AY172" s="61" t="e">
        <f>SUMPRODUCT(AM172:AR172/'[1]功能-行军令'!$GI$26:$GN$26+AS172:AX172/'[1]功能-行军令'!$GI$26:$GN$26)/0.18</f>
        <v>#DIV/0!</v>
      </c>
      <c r="BO172" s="80">
        <f t="shared" si="132"/>
        <v>143.14123736077869</v>
      </c>
      <c r="BP172" s="80">
        <f t="shared" si="133"/>
        <v>12300000</v>
      </c>
      <c r="BQ172" s="80">
        <f>(BP172-BP171)*INDEX('[1]功能-付费相关'!$AT$6:$AT$165,$BO172,1)+BQ171</f>
        <v>16421.870715493144</v>
      </c>
      <c r="BR172" s="80"/>
      <c r="BS172" s="80"/>
    </row>
    <row r="173" spans="12:71" x14ac:dyDescent="0.15">
      <c r="L173" s="61">
        <v>37</v>
      </c>
      <c r="M173" s="80">
        <f>基础状态预期!D185</f>
        <v>143.14123736077869</v>
      </c>
      <c r="N173" s="80">
        <f>IF(基础状态预期!F185="",0,IF(基础状态预期!Z185&lt;=1,基础状态预期!Z185*D$4,1*D$4+(基础状态预期!Z185-1)*武将觉醒!D$5))</f>
        <v>0</v>
      </c>
      <c r="O173" s="80">
        <f>IF(基础状态预期!G185="",0,IF(基础状态预期!AA185&lt;=1,基础状态预期!AA185*E$4,1*E$4+(基础状态预期!AA185-1)*武将觉醒!E$5))</f>
        <v>0</v>
      </c>
      <c r="P173" s="80">
        <f>IF(基础状态预期!H185="",0,IF(基础状态预期!AB185&lt;=1,基础状态预期!AB185*F$4,1*F$4+(基础状态预期!AB185-1)*武将觉醒!F$5))</f>
        <v>0</v>
      </c>
      <c r="Q173" s="80">
        <f>IF(基础状态预期!I185="",0,IF(基础状态预期!AC185&lt;=1,基础状态预期!AC185*G$4,1*G$4+(基础状态预期!AC185-1)*武将觉醒!G$5))</f>
        <v>0</v>
      </c>
      <c r="R173" s="80">
        <f>IF(基础状态预期!J185="",0,IF(基础状态预期!AD185&lt;=1,基础状态预期!AD185*H$4,1*H$4+(基础状态预期!AD185-1)*武将觉醒!H$5))</f>
        <v>2050000</v>
      </c>
      <c r="S173" s="80">
        <f>MAX(SUMPRODUCT(N173:R173,基础状态预期!F185:J185),S172)</f>
        <v>12300000</v>
      </c>
      <c r="T173" s="80">
        <f>IF(基础状态预期!Z185="",0,IFERROR(基础状态预期!F185*求节点($C$62:$C$63,D$62:D$63,基础状态预期!Z185),0)+IFERROR(基础状态预期!$J185*求节点($C$71:$C$72,D$71:D$72,基础状态预期!$AD185),0))</f>
        <v>0</v>
      </c>
      <c r="U173" s="80">
        <f>IF(基础状态预期!AA185="",0,IFERROR(基础状态预期!G185*求节点($C$62:$C$63,E$62:E$63,基础状态预期!AA185),0)+IFERROR(基础状态预期!$J185*求节点($C$71:$C$72,E$71:E$72,基础状态预期!$AD185),0))</f>
        <v>0</v>
      </c>
      <c r="V173" s="80">
        <f>IF(基础状态预期!AB185="",0,IFERROR(基础状态预期!H185*求节点($C$62:$C$63,F$62:F$63,基础状态预期!AB185),0)+IFERROR(基础状态预期!$J185*求节点($C$71:$C$72,F$71:F$72,基础状态预期!$AD185),0))</f>
        <v>0</v>
      </c>
      <c r="W173" s="80">
        <f>IF(基础状态预期!AC185="",0,IFERROR(基础状态预期!I185*求节点($C$62:$C$63,G$62:G$63,基础状态预期!AC185),0)+IFERROR(基础状态预期!$J185*求节点($C$71:$C$72,G$71:G$72,基础状态预期!$AD185),0))</f>
        <v>0</v>
      </c>
      <c r="X173" s="80">
        <f>IF(基础状态预期!AD185="",0,IFERROR(基础状态预期!J185*求节点($C$62:$C$63,H$62:H$63,基础状态预期!AD185),0)+IFERROR(基础状态预期!$J185*求节点($C$71:$C$72,H$71:H$72,基础状态预期!$AD185),0))</f>
        <v>0</v>
      </c>
      <c r="Y173" s="80">
        <f>IF(基础状态预期!$H185="",0,IF(基础状态预期!$AB185&lt;=1,基础状态预期!$AB185*D$18,D$18)*基础状态预期!$H185)+
IF(基础状态预期!$I185="",0,IF(基础状态预期!$AC185&lt;=1,基础状态预期!$AC185*D$19,D$19)*基础状态预期!$I185)+
IF(基础状态预期!$J185="",0,IF(基础状态预期!$AD185&lt;=1,基础状态预期!$AD185*D$20,D$20)*基础状态预期!$J185)</f>
        <v>48</v>
      </c>
      <c r="Z173" s="80">
        <f>IF(基础状态预期!$H185="",0,IF(基础状态预期!$AB185&lt;=1,基础状态预期!$AB185*E$18,E$18)*基础状态预期!$H185)+
IF(基础状态预期!$I185="",0,IF(基础状态预期!$AC185&lt;=1,基础状态预期!$AC185*E$19,E$19)*基础状态预期!$I185)+
IF(基础状态预期!$J185="",0,IF(基础状态预期!$AD185&lt;=1,基础状态预期!$AD185*E$20,E$20)*基础状态预期!$J185)</f>
        <v>0</v>
      </c>
      <c r="AA173" s="80">
        <f>IF(基础状态预期!$H185="",0,IF(基础状态预期!$AB185&lt;=1,基础状态预期!$AB185*F$18,F$18)*基础状态预期!$H185)+
IF(基础状态预期!$I185="",0,IF(基础状态预期!$AC185&lt;=1,基础状态预期!$AC185*F$19,F$19)*基础状态预期!$I185)+
IF(基础状态预期!$J185="",0,IF(基础状态预期!$AD185&lt;=1,基础状态预期!$AD185*F$20,F$20)*基础状态预期!$J185)</f>
        <v>0</v>
      </c>
      <c r="AB173" s="67">
        <f>IF(基础状态预期!$H185="",0,IF(基础状态预期!$AB185&lt;=1,0,(基础状态预期!$AB185-1)*G$26)*基础状态预期!$H185)+
IF(基础状态预期!$I185="",0,IF(基础状态预期!$AC185&lt;=1,0,(基础状态预期!$AC185-1)*G$27)*基础状态预期!$I185)+
IF(基础状态预期!$J185="",0,IF(基础状态预期!$AD185&lt;=1,0,(基础状态预期!$AD185-1)*G$28)*基础状态预期!$J185)</f>
        <v>240</v>
      </c>
      <c r="AC173" s="67">
        <f>IF(基础状态预期!$H185="",0,IF(基础状态预期!$AB185&lt;=1,0,(基础状态预期!$AB185-1)*H$26)*基础状态预期!$H185)+
IF(基础状态预期!$I185="",0,IF(基础状态预期!$AC185&lt;=1,0,(基础状态预期!$AC185-1)*H$27)*基础状态预期!$I185)+
IF(基础状态预期!$J185="",0,IF(基础状态预期!$AD185&lt;=1,0,(基础状态预期!$AD185-1)*H$28)*基础状态预期!$J185)</f>
        <v>0</v>
      </c>
      <c r="AD173" s="67">
        <f>IF(基础状态预期!$H185="",0,IF(基础状态预期!$AB185&lt;=1,0,(基础状态预期!$AB185-1)*I$26)*基础状态预期!$H185)+
IF(基础状态预期!$I185="",0,IF(基础状态预期!$AC185&lt;=1,0,(基础状态预期!$AC185-1)*I$27)*基础状态预期!$I185)+
IF(基础状态预期!$J185="",0,IF(基础状态预期!$AD185&lt;=1,0,(基础状态预期!$AD185-1)*I$28)*基础状态预期!$J185)</f>
        <v>0</v>
      </c>
      <c r="AE173" s="80">
        <f>IF(各r阵容卡情况!$H201=0,0,IF(各r阵容卡情况!$AB201&lt;=1,各r阵容卡情况!$AB201*D$18,1*D$18)*各r阵容卡情况!$H201)+
IF(各r阵容卡情况!$I201=0,0,IF(各r阵容卡情况!$AC201&lt;=1,各r阵容卡情况!$AC201*D$19,1*D$19)*各r阵容卡情况!$I201)+
IF(各r阵容卡情况!$J201=0,0,IF(各r阵容卡情况!$AD201&lt;=1,各r阵容卡情况!$AD201*D$20,1*D$20)*各r阵容卡情况!$J201)</f>
        <v>144</v>
      </c>
      <c r="AF173" s="80">
        <f>IF(各r阵容卡情况!$H201=0,0,IF(各r阵容卡情况!$AB201&lt;=1,各r阵容卡情况!$AB201*E$18,1*E$18)*各r阵容卡情况!$H201)+
IF(各r阵容卡情况!$I201=0,0,IF(各r阵容卡情况!$AC201&lt;=1,各r阵容卡情况!$AC201*E$19,1*E$19)*各r阵容卡情况!$I201)+
IF(各r阵容卡情况!$J201=0,0,IF(各r阵容卡情况!$AD201&lt;=1,各r阵容卡情况!$AD201*E$20,1*E$20)*各r阵容卡情况!$J201)</f>
        <v>0</v>
      </c>
      <c r="AG173" s="80">
        <f>IF(各r阵容卡情况!$H201=0,0,IF(各r阵容卡情况!$AB201&lt;=1,各r阵容卡情况!$AB201*F$18,1*F$18)*各r阵容卡情况!$H201)+
IF(各r阵容卡情况!$I201=0,0,IF(各r阵容卡情况!$AC201&lt;=1,各r阵容卡情况!$AC201*F$19,1*F$19)*各r阵容卡情况!$I201)+
IF(各r阵容卡情况!$J201=0,0,IF(各r阵容卡情况!$AD201&lt;=1,各r阵容卡情况!$AD201*F$20,1*F$20)*各r阵容卡情况!$J201)</f>
        <v>0</v>
      </c>
      <c r="AH173" s="67">
        <f>IF(各r阵容卡情况!$H201=0,0,IF(各r阵容卡情况!$AB201&lt;=1,0,(各r阵容卡情况!$AB201-1)*G$26)*各r阵容卡情况!$H201)+
IF(各r阵容卡情况!$I201=0,0,IF(各r阵容卡情况!$AC201&lt;=1,0,(各r阵容卡情况!$AC201-1)*G$27)*各r阵容卡情况!$I201)+
IF(各r阵容卡情况!$J201=0,0,IF(各r阵容卡情况!$AD201&lt;=1,0,(各r阵容卡情况!$AD201-1)*G$28)*各r阵容卡情况!$J201)</f>
        <v>720</v>
      </c>
      <c r="AI173" s="67">
        <f>IF(各r阵容卡情况!$H201=0,0,IF(各r阵容卡情况!$AB201&lt;=1,0,(各r阵容卡情况!$AB201-1)*H$26)*各r阵容卡情况!$H201)+
IF(各r阵容卡情况!$I201=0,0,IF(各r阵容卡情况!$AC201&lt;=1,0,(各r阵容卡情况!$AC201-1)*H$27)*各r阵容卡情况!$I201)+
IF(各r阵容卡情况!$J201=0,0,IF(各r阵容卡情况!$AD201&lt;=1,0,(各r阵容卡情况!$AD201-1)*H$28)*各r阵容卡情况!$J201)</f>
        <v>0</v>
      </c>
      <c r="AJ173" s="67">
        <f>IF(各r阵容卡情况!$H201=0,0,IF(各r阵容卡情况!$AB201&lt;=1,0,(各r阵容卡情况!$AB201-1)*I$26)*各r阵容卡情况!$H201)+
IF(各r阵容卡情况!$I201=0,0,IF(各r阵容卡情况!$AC201&lt;=1,0,(各r阵容卡情况!$AC201-1)*I$27)*各r阵容卡情况!$I201)+
IF(各r阵容卡情况!$J201=0,0,IF(各r阵容卡情况!$AD201&lt;=1,0,(各r阵容卡情况!$AD201-1)*I$28)*各r阵容卡情况!$J201)</f>
        <v>0</v>
      </c>
      <c r="AL173" s="80">
        <f t="shared" si="134"/>
        <v>175</v>
      </c>
      <c r="AM173" s="80">
        <f t="shared" si="135"/>
        <v>48</v>
      </c>
      <c r="AN173" s="80">
        <f t="shared" si="136"/>
        <v>0</v>
      </c>
      <c r="AO173" s="80">
        <f t="shared" si="137"/>
        <v>0</v>
      </c>
      <c r="AP173" s="80">
        <f t="shared" si="138"/>
        <v>240</v>
      </c>
      <c r="AQ173" s="80">
        <f t="shared" si="139"/>
        <v>0</v>
      </c>
      <c r="AR173" s="80">
        <f t="shared" si="140"/>
        <v>0</v>
      </c>
      <c r="AS173" s="80">
        <f t="shared" si="141"/>
        <v>144</v>
      </c>
      <c r="AT173" s="80">
        <f t="shared" si="142"/>
        <v>0</v>
      </c>
      <c r="AU173" s="80">
        <f t="shared" si="143"/>
        <v>0</v>
      </c>
      <c r="AV173" s="80">
        <f t="shared" si="144"/>
        <v>720</v>
      </c>
      <c r="AW173" s="80">
        <f t="shared" si="145"/>
        <v>0</v>
      </c>
      <c r="AX173" s="80">
        <f t="shared" si="146"/>
        <v>0</v>
      </c>
      <c r="AY173" s="61" t="e">
        <f>SUMPRODUCT(AM173:AR173/'[1]功能-行军令'!$GI$26:$GN$26+AS173:AX173/'[1]功能-行军令'!$GI$26:$GN$26)/0.18</f>
        <v>#DIV/0!</v>
      </c>
      <c r="BO173" s="80">
        <f t="shared" si="132"/>
        <v>146.75578521325724</v>
      </c>
      <c r="BP173" s="80">
        <f t="shared" si="133"/>
        <v>12300000</v>
      </c>
      <c r="BQ173" s="80">
        <f>(BP173-BP172)*INDEX('[1]功能-付费相关'!$AT$6:$AT$165,$BO173,1)+BQ172</f>
        <v>16421.870715493144</v>
      </c>
      <c r="BR173" s="80"/>
      <c r="BS173" s="80"/>
    </row>
    <row r="174" spans="12:71" x14ac:dyDescent="0.15">
      <c r="L174" s="61">
        <v>38</v>
      </c>
      <c r="M174" s="80">
        <f>基础状态预期!D186</f>
        <v>146.75578521325724</v>
      </c>
      <c r="N174" s="80">
        <f>IF(基础状态预期!F186="",0,IF(基础状态预期!Z186&lt;=1,基础状态预期!Z186*D$4,1*D$4+(基础状态预期!Z186-1)*武将觉醒!D$5))</f>
        <v>0</v>
      </c>
      <c r="O174" s="80">
        <f>IF(基础状态预期!G186="",0,IF(基础状态预期!AA186&lt;=1,基础状态预期!AA186*E$4,1*E$4+(基础状态预期!AA186-1)*武将觉醒!E$5))</f>
        <v>0</v>
      </c>
      <c r="P174" s="80">
        <f>IF(基础状态预期!H186="",0,IF(基础状态预期!AB186&lt;=1,基础状态预期!AB186*F$4,1*F$4+(基础状态预期!AB186-1)*武将觉醒!F$5))</f>
        <v>0</v>
      </c>
      <c r="Q174" s="80">
        <f>IF(基础状态预期!I186="",0,IF(基础状态预期!AC186&lt;=1,基础状态预期!AC186*G$4,1*G$4+(基础状态预期!AC186-1)*武将觉醒!G$5))</f>
        <v>0</v>
      </c>
      <c r="R174" s="80">
        <f>IF(基础状态预期!J186="",0,IF(基础状态预期!AD186&lt;=1,基础状态预期!AD186*H$4,1*H$4+(基础状态预期!AD186-1)*武将觉醒!H$5))</f>
        <v>2050000</v>
      </c>
      <c r="S174" s="80">
        <f>MAX(SUMPRODUCT(N174:R174,基础状态预期!F186:J186),S173)</f>
        <v>12300000</v>
      </c>
      <c r="T174" s="80">
        <f>IF(基础状态预期!Z186="",0,IFERROR(基础状态预期!F186*求节点($C$62:$C$63,D$62:D$63,基础状态预期!Z186),0)+IFERROR(基础状态预期!$J186*求节点($C$71:$C$72,D$71:D$72,基础状态预期!$AD186),0))</f>
        <v>0</v>
      </c>
      <c r="U174" s="80">
        <f>IF(基础状态预期!AA186="",0,IFERROR(基础状态预期!G186*求节点($C$62:$C$63,E$62:E$63,基础状态预期!AA186),0)+IFERROR(基础状态预期!$J186*求节点($C$71:$C$72,E$71:E$72,基础状态预期!$AD186),0))</f>
        <v>0</v>
      </c>
      <c r="V174" s="80">
        <f>IF(基础状态预期!AB186="",0,IFERROR(基础状态预期!H186*求节点($C$62:$C$63,F$62:F$63,基础状态预期!AB186),0)+IFERROR(基础状态预期!$J186*求节点($C$71:$C$72,F$71:F$72,基础状态预期!$AD186),0))</f>
        <v>0</v>
      </c>
      <c r="W174" s="80">
        <f>IF(基础状态预期!AC186="",0,IFERROR(基础状态预期!I186*求节点($C$62:$C$63,G$62:G$63,基础状态预期!AC186),0)+IFERROR(基础状态预期!$J186*求节点($C$71:$C$72,G$71:G$72,基础状态预期!$AD186),0))</f>
        <v>0</v>
      </c>
      <c r="X174" s="80">
        <f>IF(基础状态预期!AD186="",0,IFERROR(基础状态预期!J186*求节点($C$62:$C$63,H$62:H$63,基础状态预期!AD186),0)+IFERROR(基础状态预期!$J186*求节点($C$71:$C$72,H$71:H$72,基础状态预期!$AD186),0))</f>
        <v>0</v>
      </c>
      <c r="Y174" s="80">
        <f>IF(基础状态预期!$H186="",0,IF(基础状态预期!$AB186&lt;=1,基础状态预期!$AB186*D$18,D$18)*基础状态预期!$H186)+
IF(基础状态预期!$I186="",0,IF(基础状态预期!$AC186&lt;=1,基础状态预期!$AC186*D$19,D$19)*基础状态预期!$I186)+
IF(基础状态预期!$J186="",0,IF(基础状态预期!$AD186&lt;=1,基础状态预期!$AD186*D$20,D$20)*基础状态预期!$J186)</f>
        <v>48</v>
      </c>
      <c r="Z174" s="80">
        <f>IF(基础状态预期!$H186="",0,IF(基础状态预期!$AB186&lt;=1,基础状态预期!$AB186*E$18,E$18)*基础状态预期!$H186)+
IF(基础状态预期!$I186="",0,IF(基础状态预期!$AC186&lt;=1,基础状态预期!$AC186*E$19,E$19)*基础状态预期!$I186)+
IF(基础状态预期!$J186="",0,IF(基础状态预期!$AD186&lt;=1,基础状态预期!$AD186*E$20,E$20)*基础状态预期!$J186)</f>
        <v>0</v>
      </c>
      <c r="AA174" s="80">
        <f>IF(基础状态预期!$H186="",0,IF(基础状态预期!$AB186&lt;=1,基础状态预期!$AB186*F$18,F$18)*基础状态预期!$H186)+
IF(基础状态预期!$I186="",0,IF(基础状态预期!$AC186&lt;=1,基础状态预期!$AC186*F$19,F$19)*基础状态预期!$I186)+
IF(基础状态预期!$J186="",0,IF(基础状态预期!$AD186&lt;=1,基础状态预期!$AD186*F$20,F$20)*基础状态预期!$J186)</f>
        <v>0</v>
      </c>
      <c r="AB174" s="67">
        <f>IF(基础状态预期!$H186="",0,IF(基础状态预期!$AB186&lt;=1,0,(基础状态预期!$AB186-1)*G$26)*基础状态预期!$H186)+
IF(基础状态预期!$I186="",0,IF(基础状态预期!$AC186&lt;=1,0,(基础状态预期!$AC186-1)*G$27)*基础状态预期!$I186)+
IF(基础状态预期!$J186="",0,IF(基础状态预期!$AD186&lt;=1,0,(基础状态预期!$AD186-1)*G$28)*基础状态预期!$J186)</f>
        <v>240</v>
      </c>
      <c r="AC174" s="67">
        <f>IF(基础状态预期!$H186="",0,IF(基础状态预期!$AB186&lt;=1,0,(基础状态预期!$AB186-1)*H$26)*基础状态预期!$H186)+
IF(基础状态预期!$I186="",0,IF(基础状态预期!$AC186&lt;=1,0,(基础状态预期!$AC186-1)*H$27)*基础状态预期!$I186)+
IF(基础状态预期!$J186="",0,IF(基础状态预期!$AD186&lt;=1,0,(基础状态预期!$AD186-1)*H$28)*基础状态预期!$J186)</f>
        <v>0</v>
      </c>
      <c r="AD174" s="67">
        <f>IF(基础状态预期!$H186="",0,IF(基础状态预期!$AB186&lt;=1,0,(基础状态预期!$AB186-1)*I$26)*基础状态预期!$H186)+
IF(基础状态预期!$I186="",0,IF(基础状态预期!$AC186&lt;=1,0,(基础状态预期!$AC186-1)*I$27)*基础状态预期!$I186)+
IF(基础状态预期!$J186="",0,IF(基础状态预期!$AD186&lt;=1,0,(基础状态预期!$AD186-1)*I$28)*基础状态预期!$J186)</f>
        <v>0</v>
      </c>
      <c r="AE174" s="80">
        <f>IF(各r阵容卡情况!$H202=0,0,IF(各r阵容卡情况!$AB202&lt;=1,各r阵容卡情况!$AB202*D$18,1*D$18)*各r阵容卡情况!$H202)+
IF(各r阵容卡情况!$I202=0,0,IF(各r阵容卡情况!$AC202&lt;=1,各r阵容卡情况!$AC202*D$19,1*D$19)*各r阵容卡情况!$I202)+
IF(各r阵容卡情况!$J202=0,0,IF(各r阵容卡情况!$AD202&lt;=1,各r阵容卡情况!$AD202*D$20,1*D$20)*各r阵容卡情况!$J202)</f>
        <v>144</v>
      </c>
      <c r="AF174" s="80">
        <f>IF(各r阵容卡情况!$H202=0,0,IF(各r阵容卡情况!$AB202&lt;=1,各r阵容卡情况!$AB202*E$18,1*E$18)*各r阵容卡情况!$H202)+
IF(各r阵容卡情况!$I202=0,0,IF(各r阵容卡情况!$AC202&lt;=1,各r阵容卡情况!$AC202*E$19,1*E$19)*各r阵容卡情况!$I202)+
IF(各r阵容卡情况!$J202=0,0,IF(各r阵容卡情况!$AD202&lt;=1,各r阵容卡情况!$AD202*E$20,1*E$20)*各r阵容卡情况!$J202)</f>
        <v>0</v>
      </c>
      <c r="AG174" s="80">
        <f>IF(各r阵容卡情况!$H202=0,0,IF(各r阵容卡情况!$AB202&lt;=1,各r阵容卡情况!$AB202*F$18,1*F$18)*各r阵容卡情况!$H202)+
IF(各r阵容卡情况!$I202=0,0,IF(各r阵容卡情况!$AC202&lt;=1,各r阵容卡情况!$AC202*F$19,1*F$19)*各r阵容卡情况!$I202)+
IF(各r阵容卡情况!$J202=0,0,IF(各r阵容卡情况!$AD202&lt;=1,各r阵容卡情况!$AD202*F$20,1*F$20)*各r阵容卡情况!$J202)</f>
        <v>0</v>
      </c>
      <c r="AH174" s="67">
        <f>IF(各r阵容卡情况!$H202=0,0,IF(各r阵容卡情况!$AB202&lt;=1,0,(各r阵容卡情况!$AB202-1)*G$26)*各r阵容卡情况!$H202)+
IF(各r阵容卡情况!$I202=0,0,IF(各r阵容卡情况!$AC202&lt;=1,0,(各r阵容卡情况!$AC202-1)*G$27)*各r阵容卡情况!$I202)+
IF(各r阵容卡情况!$J202=0,0,IF(各r阵容卡情况!$AD202&lt;=1,0,(各r阵容卡情况!$AD202-1)*G$28)*各r阵容卡情况!$J202)</f>
        <v>720</v>
      </c>
      <c r="AI174" s="67">
        <f>IF(各r阵容卡情况!$H202=0,0,IF(各r阵容卡情况!$AB202&lt;=1,0,(各r阵容卡情况!$AB202-1)*H$26)*各r阵容卡情况!$H202)+
IF(各r阵容卡情况!$I202=0,0,IF(各r阵容卡情况!$AC202&lt;=1,0,(各r阵容卡情况!$AC202-1)*H$27)*各r阵容卡情况!$I202)+
IF(各r阵容卡情况!$J202=0,0,IF(各r阵容卡情况!$AD202&lt;=1,0,(各r阵容卡情况!$AD202-1)*H$28)*各r阵容卡情况!$J202)</f>
        <v>0</v>
      </c>
      <c r="AJ174" s="67">
        <f>IF(各r阵容卡情况!$H202=0,0,IF(各r阵容卡情况!$AB202&lt;=1,0,(各r阵容卡情况!$AB202-1)*I$26)*各r阵容卡情况!$H202)+
IF(各r阵容卡情况!$I202=0,0,IF(各r阵容卡情况!$AC202&lt;=1,0,(各r阵容卡情况!$AC202-1)*I$27)*各r阵容卡情况!$I202)+
IF(各r阵容卡情况!$J202=0,0,IF(各r阵容卡情况!$AD202&lt;=1,0,(各r阵容卡情况!$AD202-1)*I$28)*各r阵容卡情况!$J202)</f>
        <v>0</v>
      </c>
      <c r="AL174" s="80">
        <f t="shared" si="134"/>
        <v>180</v>
      </c>
      <c r="AM174" s="80">
        <f t="shared" si="135"/>
        <v>48</v>
      </c>
      <c r="AN174" s="80">
        <f t="shared" si="136"/>
        <v>0</v>
      </c>
      <c r="AO174" s="80">
        <f t="shared" si="137"/>
        <v>0</v>
      </c>
      <c r="AP174" s="80">
        <f t="shared" si="138"/>
        <v>240</v>
      </c>
      <c r="AQ174" s="80">
        <f t="shared" si="139"/>
        <v>0</v>
      </c>
      <c r="AR174" s="80">
        <f t="shared" si="140"/>
        <v>0</v>
      </c>
      <c r="AS174" s="80">
        <f t="shared" si="141"/>
        <v>144</v>
      </c>
      <c r="AT174" s="80">
        <f t="shared" si="142"/>
        <v>0</v>
      </c>
      <c r="AU174" s="80">
        <f t="shared" si="143"/>
        <v>0</v>
      </c>
      <c r="AV174" s="80">
        <f t="shared" si="144"/>
        <v>720</v>
      </c>
      <c r="AW174" s="80">
        <f t="shared" si="145"/>
        <v>0</v>
      </c>
      <c r="AX174" s="80">
        <f t="shared" si="146"/>
        <v>0</v>
      </c>
      <c r="AY174" s="61" t="e">
        <f>SUMPRODUCT(AM174:AR174/'[1]功能-行军令'!$GI$26:$GN$26+AS174:AX174/'[1]功能-行军令'!$GI$26:$GN$26)/0.18</f>
        <v>#DIV/0!</v>
      </c>
      <c r="BO174" s="80">
        <f t="shared" si="132"/>
        <v>150.21349802228445</v>
      </c>
      <c r="BP174" s="80">
        <f t="shared" si="133"/>
        <v>12300000</v>
      </c>
      <c r="BQ174" s="80">
        <f>(BP174-BP173)*INDEX('[1]功能-付费相关'!$AT$6:$AT$165,$BO174,1)+BQ173</f>
        <v>16421.870715493144</v>
      </c>
      <c r="BR174" s="80"/>
      <c r="BS174" s="80"/>
    </row>
    <row r="175" spans="12:71" x14ac:dyDescent="0.15">
      <c r="L175" s="61">
        <v>39</v>
      </c>
      <c r="M175" s="80">
        <f>基础状态预期!D187</f>
        <v>150.21349802228445</v>
      </c>
      <c r="N175" s="80">
        <f>IF(基础状态预期!F187="",0,IF(基础状态预期!Z187&lt;=1,基础状态预期!Z187*D$4,1*D$4+(基础状态预期!Z187-1)*武将觉醒!D$5))</f>
        <v>0</v>
      </c>
      <c r="O175" s="80">
        <f>IF(基础状态预期!G187="",0,IF(基础状态预期!AA187&lt;=1,基础状态预期!AA187*E$4,1*E$4+(基础状态预期!AA187-1)*武将觉醒!E$5))</f>
        <v>0</v>
      </c>
      <c r="P175" s="80">
        <f>IF(基础状态预期!H187="",0,IF(基础状态预期!AB187&lt;=1,基础状态预期!AB187*F$4,1*F$4+(基础状态预期!AB187-1)*武将觉醒!F$5))</f>
        <v>0</v>
      </c>
      <c r="Q175" s="80">
        <f>IF(基础状态预期!I187="",0,IF(基础状态预期!AC187&lt;=1,基础状态预期!AC187*G$4,1*G$4+(基础状态预期!AC187-1)*武将觉醒!G$5))</f>
        <v>0</v>
      </c>
      <c r="R175" s="80">
        <f>IF(基础状态预期!J187="",0,IF(基础状态预期!AD187&lt;=1,基础状态预期!AD187*H$4,1*H$4+(基础状态预期!AD187-1)*武将觉醒!H$5))</f>
        <v>2050000</v>
      </c>
      <c r="S175" s="80">
        <f>MAX(SUMPRODUCT(N175:R175,基础状态预期!F187:J187),S174)</f>
        <v>12300000</v>
      </c>
      <c r="T175" s="80">
        <f>IF(基础状态预期!Z187="",0,IFERROR(基础状态预期!F187*求节点($C$62:$C$63,D$62:D$63,基础状态预期!Z187),0)+IFERROR(基础状态预期!$J187*求节点($C$71:$C$72,D$71:D$72,基础状态预期!$AD187),0))</f>
        <v>0</v>
      </c>
      <c r="U175" s="80">
        <f>IF(基础状态预期!AA187="",0,IFERROR(基础状态预期!G187*求节点($C$62:$C$63,E$62:E$63,基础状态预期!AA187),0)+IFERROR(基础状态预期!$J187*求节点($C$71:$C$72,E$71:E$72,基础状态预期!$AD187),0))</f>
        <v>0</v>
      </c>
      <c r="V175" s="80">
        <f>IF(基础状态预期!AB187="",0,IFERROR(基础状态预期!H187*求节点($C$62:$C$63,F$62:F$63,基础状态预期!AB187),0)+IFERROR(基础状态预期!$J187*求节点($C$71:$C$72,F$71:F$72,基础状态预期!$AD187),0))</f>
        <v>0</v>
      </c>
      <c r="W175" s="80">
        <f>IF(基础状态预期!AC187="",0,IFERROR(基础状态预期!I187*求节点($C$62:$C$63,G$62:G$63,基础状态预期!AC187),0)+IFERROR(基础状态预期!$J187*求节点($C$71:$C$72,G$71:G$72,基础状态预期!$AD187),0))</f>
        <v>0</v>
      </c>
      <c r="X175" s="80">
        <f>IF(基础状态预期!AD187="",0,IFERROR(基础状态预期!J187*求节点($C$62:$C$63,H$62:H$63,基础状态预期!AD187),0)+IFERROR(基础状态预期!$J187*求节点($C$71:$C$72,H$71:H$72,基础状态预期!$AD187),0))</f>
        <v>0</v>
      </c>
      <c r="Y175" s="80">
        <f>IF(基础状态预期!$H187="",0,IF(基础状态预期!$AB187&lt;=1,基础状态预期!$AB187*D$18,D$18)*基础状态预期!$H187)+
IF(基础状态预期!$I187="",0,IF(基础状态预期!$AC187&lt;=1,基础状态预期!$AC187*D$19,D$19)*基础状态预期!$I187)+
IF(基础状态预期!$J187="",0,IF(基础状态预期!$AD187&lt;=1,基础状态预期!$AD187*D$20,D$20)*基础状态预期!$J187)</f>
        <v>48</v>
      </c>
      <c r="Z175" s="80">
        <f>IF(基础状态预期!$H187="",0,IF(基础状态预期!$AB187&lt;=1,基础状态预期!$AB187*E$18,E$18)*基础状态预期!$H187)+
IF(基础状态预期!$I187="",0,IF(基础状态预期!$AC187&lt;=1,基础状态预期!$AC187*E$19,E$19)*基础状态预期!$I187)+
IF(基础状态预期!$J187="",0,IF(基础状态预期!$AD187&lt;=1,基础状态预期!$AD187*E$20,E$20)*基础状态预期!$J187)</f>
        <v>0</v>
      </c>
      <c r="AA175" s="80">
        <f>IF(基础状态预期!$H187="",0,IF(基础状态预期!$AB187&lt;=1,基础状态预期!$AB187*F$18,F$18)*基础状态预期!$H187)+
IF(基础状态预期!$I187="",0,IF(基础状态预期!$AC187&lt;=1,基础状态预期!$AC187*F$19,F$19)*基础状态预期!$I187)+
IF(基础状态预期!$J187="",0,IF(基础状态预期!$AD187&lt;=1,基础状态预期!$AD187*F$20,F$20)*基础状态预期!$J187)</f>
        <v>0</v>
      </c>
      <c r="AB175" s="67">
        <f>IF(基础状态预期!$H187="",0,IF(基础状态预期!$AB187&lt;=1,0,(基础状态预期!$AB187-1)*G$26)*基础状态预期!$H187)+
IF(基础状态预期!$I187="",0,IF(基础状态预期!$AC187&lt;=1,0,(基础状态预期!$AC187-1)*G$27)*基础状态预期!$I187)+
IF(基础状态预期!$J187="",0,IF(基础状态预期!$AD187&lt;=1,0,(基础状态预期!$AD187-1)*G$28)*基础状态预期!$J187)</f>
        <v>240</v>
      </c>
      <c r="AC175" s="67">
        <f>IF(基础状态预期!$H187="",0,IF(基础状态预期!$AB187&lt;=1,0,(基础状态预期!$AB187-1)*H$26)*基础状态预期!$H187)+
IF(基础状态预期!$I187="",0,IF(基础状态预期!$AC187&lt;=1,0,(基础状态预期!$AC187-1)*H$27)*基础状态预期!$I187)+
IF(基础状态预期!$J187="",0,IF(基础状态预期!$AD187&lt;=1,0,(基础状态预期!$AD187-1)*H$28)*基础状态预期!$J187)</f>
        <v>0</v>
      </c>
      <c r="AD175" s="67">
        <f>IF(基础状态预期!$H187="",0,IF(基础状态预期!$AB187&lt;=1,0,(基础状态预期!$AB187-1)*I$26)*基础状态预期!$H187)+
IF(基础状态预期!$I187="",0,IF(基础状态预期!$AC187&lt;=1,0,(基础状态预期!$AC187-1)*I$27)*基础状态预期!$I187)+
IF(基础状态预期!$J187="",0,IF(基础状态预期!$AD187&lt;=1,0,(基础状态预期!$AD187-1)*I$28)*基础状态预期!$J187)</f>
        <v>0</v>
      </c>
      <c r="AE175" s="80">
        <f>IF(各r阵容卡情况!$H203=0,0,IF(各r阵容卡情况!$AB203&lt;=1,各r阵容卡情况!$AB203*D$18,1*D$18)*各r阵容卡情况!$H203)+
IF(各r阵容卡情况!$I203=0,0,IF(各r阵容卡情况!$AC203&lt;=1,各r阵容卡情况!$AC203*D$19,1*D$19)*各r阵容卡情况!$I203)+
IF(各r阵容卡情况!$J203=0,0,IF(各r阵容卡情况!$AD203&lt;=1,各r阵容卡情况!$AD203*D$20,1*D$20)*各r阵容卡情况!$J203)</f>
        <v>144</v>
      </c>
      <c r="AF175" s="80">
        <f>IF(各r阵容卡情况!$H203=0,0,IF(各r阵容卡情况!$AB203&lt;=1,各r阵容卡情况!$AB203*E$18,1*E$18)*各r阵容卡情况!$H203)+
IF(各r阵容卡情况!$I203=0,0,IF(各r阵容卡情况!$AC203&lt;=1,各r阵容卡情况!$AC203*E$19,1*E$19)*各r阵容卡情况!$I203)+
IF(各r阵容卡情况!$J203=0,0,IF(各r阵容卡情况!$AD203&lt;=1,各r阵容卡情况!$AD203*E$20,1*E$20)*各r阵容卡情况!$J203)</f>
        <v>0</v>
      </c>
      <c r="AG175" s="80">
        <f>IF(各r阵容卡情况!$H203=0,0,IF(各r阵容卡情况!$AB203&lt;=1,各r阵容卡情况!$AB203*F$18,1*F$18)*各r阵容卡情况!$H203)+
IF(各r阵容卡情况!$I203=0,0,IF(各r阵容卡情况!$AC203&lt;=1,各r阵容卡情况!$AC203*F$19,1*F$19)*各r阵容卡情况!$I203)+
IF(各r阵容卡情况!$J203=0,0,IF(各r阵容卡情况!$AD203&lt;=1,各r阵容卡情况!$AD203*F$20,1*F$20)*各r阵容卡情况!$J203)</f>
        <v>0</v>
      </c>
      <c r="AH175" s="67">
        <f>IF(各r阵容卡情况!$H203=0,0,IF(各r阵容卡情况!$AB203&lt;=1,0,(各r阵容卡情况!$AB203-1)*G$26)*各r阵容卡情况!$H203)+
IF(各r阵容卡情况!$I203=0,0,IF(各r阵容卡情况!$AC203&lt;=1,0,(各r阵容卡情况!$AC203-1)*G$27)*各r阵容卡情况!$I203)+
IF(各r阵容卡情况!$J203=0,0,IF(各r阵容卡情况!$AD203&lt;=1,0,(各r阵容卡情况!$AD203-1)*G$28)*各r阵容卡情况!$J203)</f>
        <v>720</v>
      </c>
      <c r="AI175" s="67">
        <f>IF(各r阵容卡情况!$H203=0,0,IF(各r阵容卡情况!$AB203&lt;=1,0,(各r阵容卡情况!$AB203-1)*H$26)*各r阵容卡情况!$H203)+
IF(各r阵容卡情况!$I203=0,0,IF(各r阵容卡情况!$AC203&lt;=1,0,(各r阵容卡情况!$AC203-1)*H$27)*各r阵容卡情况!$I203)+
IF(各r阵容卡情况!$J203=0,0,IF(各r阵容卡情况!$AD203&lt;=1,0,(各r阵容卡情况!$AD203-1)*H$28)*各r阵容卡情况!$J203)</f>
        <v>0</v>
      </c>
      <c r="AJ175" s="67">
        <f>IF(各r阵容卡情况!$H203=0,0,IF(各r阵容卡情况!$AB203&lt;=1,0,(各r阵容卡情况!$AB203-1)*I$26)*各r阵容卡情况!$H203)+
IF(各r阵容卡情况!$I203=0,0,IF(各r阵容卡情况!$AC203&lt;=1,0,(各r阵容卡情况!$AC203-1)*I$27)*各r阵容卡情况!$I203)+
IF(各r阵容卡情况!$J203=0,0,IF(各r阵容卡情况!$AD203&lt;=1,0,(各r阵容卡情况!$AD203-1)*I$28)*各r阵容卡情况!$J203)</f>
        <v>0</v>
      </c>
      <c r="AL175" s="80">
        <f t="shared" si="134"/>
        <v>185</v>
      </c>
      <c r="AM175" s="80">
        <f t="shared" si="135"/>
        <v>48</v>
      </c>
      <c r="AN175" s="80">
        <f t="shared" si="136"/>
        <v>0</v>
      </c>
      <c r="AO175" s="80">
        <f t="shared" si="137"/>
        <v>0</v>
      </c>
      <c r="AP175" s="80">
        <f t="shared" si="138"/>
        <v>240</v>
      </c>
      <c r="AQ175" s="80">
        <f t="shared" si="139"/>
        <v>0</v>
      </c>
      <c r="AR175" s="80">
        <f t="shared" si="140"/>
        <v>0</v>
      </c>
      <c r="AS175" s="80">
        <f t="shared" si="141"/>
        <v>144</v>
      </c>
      <c r="AT175" s="80">
        <f t="shared" si="142"/>
        <v>0</v>
      </c>
      <c r="AU175" s="80">
        <f t="shared" si="143"/>
        <v>0</v>
      </c>
      <c r="AV175" s="80">
        <f t="shared" si="144"/>
        <v>720</v>
      </c>
      <c r="AW175" s="80">
        <f t="shared" si="145"/>
        <v>0</v>
      </c>
      <c r="AX175" s="80">
        <f t="shared" si="146"/>
        <v>0</v>
      </c>
      <c r="AY175" s="61" t="e">
        <f>SUMPRODUCT(AM175:AR175/'[1]功能-行军令'!$GI$26:$GN$26+AS175:AX175/'[1]功能-行军令'!$GI$26:$GN$26)/0.18</f>
        <v>#DIV/0!</v>
      </c>
      <c r="BO175" s="80">
        <f t="shared" si="132"/>
        <v>152.32856849044819</v>
      </c>
      <c r="BP175" s="80">
        <f t="shared" si="133"/>
        <v>12300000</v>
      </c>
      <c r="BQ175" s="80">
        <f>(BP175-BP174)*INDEX('[1]功能-付费相关'!$AT$6:$AT$165,$BO175,1)+BQ174</f>
        <v>16421.870715493144</v>
      </c>
      <c r="BR175" s="80"/>
      <c r="BS175" s="80"/>
    </row>
    <row r="176" spans="12:71" x14ac:dyDescent="0.15">
      <c r="L176" s="61">
        <v>40</v>
      </c>
      <c r="M176" s="80">
        <f>基础状态预期!D188</f>
        <v>152.32856849044819</v>
      </c>
      <c r="N176" s="80">
        <f>IF(基础状态预期!F188="",0,IF(基础状态预期!Z188&lt;=1,基础状态预期!Z188*D$4,1*D$4+(基础状态预期!Z188-1)*武将觉醒!D$5))</f>
        <v>0</v>
      </c>
      <c r="O176" s="80">
        <f>IF(基础状态预期!G188="",0,IF(基础状态预期!AA188&lt;=1,基础状态预期!AA188*E$4,1*E$4+(基础状态预期!AA188-1)*武将觉醒!E$5))</f>
        <v>0</v>
      </c>
      <c r="P176" s="80">
        <f>IF(基础状态预期!H188="",0,IF(基础状态预期!AB188&lt;=1,基础状态预期!AB188*F$4,1*F$4+(基础状态预期!AB188-1)*武将觉醒!F$5))</f>
        <v>0</v>
      </c>
      <c r="Q176" s="80">
        <f>IF(基础状态预期!I188="",0,IF(基础状态预期!AC188&lt;=1,基础状态预期!AC188*G$4,1*G$4+(基础状态预期!AC188-1)*武将觉醒!G$5))</f>
        <v>0</v>
      </c>
      <c r="R176" s="80">
        <f>IF(基础状态预期!J188="",0,IF(基础状态预期!AD188&lt;=1,基础状态预期!AD188*H$4,1*H$4+(基础状态预期!AD188-1)*武将觉醒!H$5))</f>
        <v>2050000</v>
      </c>
      <c r="S176" s="80">
        <f>MAX(SUMPRODUCT(N176:R176,基础状态预期!F188:J188),S175)</f>
        <v>12300000</v>
      </c>
      <c r="T176" s="80">
        <f>IF(基础状态预期!Z188="",0,IFERROR(基础状态预期!F188*求节点($C$62:$C$63,D$62:D$63,基础状态预期!Z188),0)+IFERROR(基础状态预期!$J188*求节点($C$71:$C$72,D$71:D$72,基础状态预期!$AD188),0))</f>
        <v>0</v>
      </c>
      <c r="U176" s="80">
        <f>IF(基础状态预期!AA188="",0,IFERROR(基础状态预期!G188*求节点($C$62:$C$63,E$62:E$63,基础状态预期!AA188),0)+IFERROR(基础状态预期!$J188*求节点($C$71:$C$72,E$71:E$72,基础状态预期!$AD188),0))</f>
        <v>0</v>
      </c>
      <c r="V176" s="80">
        <f>IF(基础状态预期!AB188="",0,IFERROR(基础状态预期!H188*求节点($C$62:$C$63,F$62:F$63,基础状态预期!AB188),0)+IFERROR(基础状态预期!$J188*求节点($C$71:$C$72,F$71:F$72,基础状态预期!$AD188),0))</f>
        <v>0</v>
      </c>
      <c r="W176" s="80">
        <f>IF(基础状态预期!AC188="",0,IFERROR(基础状态预期!I188*求节点($C$62:$C$63,G$62:G$63,基础状态预期!AC188),0)+IFERROR(基础状态预期!$J188*求节点($C$71:$C$72,G$71:G$72,基础状态预期!$AD188),0))</f>
        <v>0</v>
      </c>
      <c r="X176" s="80">
        <f>IF(基础状态预期!AD188="",0,IFERROR(基础状态预期!J188*求节点($C$62:$C$63,H$62:H$63,基础状态预期!AD188),0)+IFERROR(基础状态预期!$J188*求节点($C$71:$C$72,H$71:H$72,基础状态预期!$AD188),0))</f>
        <v>0</v>
      </c>
      <c r="Y176" s="80">
        <f>IF(基础状态预期!$H188="",0,IF(基础状态预期!$AB188&lt;=1,基础状态预期!$AB188*D$18,D$18)*基础状态预期!$H188)+
IF(基础状态预期!$I188="",0,IF(基础状态预期!$AC188&lt;=1,基础状态预期!$AC188*D$19,D$19)*基础状态预期!$I188)+
IF(基础状态预期!$J188="",0,IF(基础状态预期!$AD188&lt;=1,基础状态预期!$AD188*D$20,D$20)*基础状态预期!$J188)</f>
        <v>48</v>
      </c>
      <c r="Z176" s="80">
        <f>IF(基础状态预期!$H188="",0,IF(基础状态预期!$AB188&lt;=1,基础状态预期!$AB188*E$18,E$18)*基础状态预期!$H188)+
IF(基础状态预期!$I188="",0,IF(基础状态预期!$AC188&lt;=1,基础状态预期!$AC188*E$19,E$19)*基础状态预期!$I188)+
IF(基础状态预期!$J188="",0,IF(基础状态预期!$AD188&lt;=1,基础状态预期!$AD188*E$20,E$20)*基础状态预期!$J188)</f>
        <v>0</v>
      </c>
      <c r="AA176" s="80">
        <f>IF(基础状态预期!$H188="",0,IF(基础状态预期!$AB188&lt;=1,基础状态预期!$AB188*F$18,F$18)*基础状态预期!$H188)+
IF(基础状态预期!$I188="",0,IF(基础状态预期!$AC188&lt;=1,基础状态预期!$AC188*F$19,F$19)*基础状态预期!$I188)+
IF(基础状态预期!$J188="",0,IF(基础状态预期!$AD188&lt;=1,基础状态预期!$AD188*F$20,F$20)*基础状态预期!$J188)</f>
        <v>0</v>
      </c>
      <c r="AB176" s="67">
        <f>IF(基础状态预期!$H188="",0,IF(基础状态预期!$AB188&lt;=1,0,(基础状态预期!$AB188-1)*G$26)*基础状态预期!$H188)+
IF(基础状态预期!$I188="",0,IF(基础状态预期!$AC188&lt;=1,0,(基础状态预期!$AC188-1)*G$27)*基础状态预期!$I188)+
IF(基础状态预期!$J188="",0,IF(基础状态预期!$AD188&lt;=1,0,(基础状态预期!$AD188-1)*G$28)*基础状态预期!$J188)</f>
        <v>240</v>
      </c>
      <c r="AC176" s="67">
        <f>IF(基础状态预期!$H188="",0,IF(基础状态预期!$AB188&lt;=1,0,(基础状态预期!$AB188-1)*H$26)*基础状态预期!$H188)+
IF(基础状态预期!$I188="",0,IF(基础状态预期!$AC188&lt;=1,0,(基础状态预期!$AC188-1)*H$27)*基础状态预期!$I188)+
IF(基础状态预期!$J188="",0,IF(基础状态预期!$AD188&lt;=1,0,(基础状态预期!$AD188-1)*H$28)*基础状态预期!$J188)</f>
        <v>0</v>
      </c>
      <c r="AD176" s="67">
        <f>IF(基础状态预期!$H188="",0,IF(基础状态预期!$AB188&lt;=1,0,(基础状态预期!$AB188-1)*I$26)*基础状态预期!$H188)+
IF(基础状态预期!$I188="",0,IF(基础状态预期!$AC188&lt;=1,0,(基础状态预期!$AC188-1)*I$27)*基础状态预期!$I188)+
IF(基础状态预期!$J188="",0,IF(基础状态预期!$AD188&lt;=1,0,(基础状态预期!$AD188-1)*I$28)*基础状态预期!$J188)</f>
        <v>0</v>
      </c>
      <c r="AE176" s="80">
        <f>IF(各r阵容卡情况!$H204=0,0,IF(各r阵容卡情况!$AB204&lt;=1,各r阵容卡情况!$AB204*D$18,1*D$18)*各r阵容卡情况!$H204)+
IF(各r阵容卡情况!$I204=0,0,IF(各r阵容卡情况!$AC204&lt;=1,各r阵容卡情况!$AC204*D$19,1*D$19)*各r阵容卡情况!$I204)+
IF(各r阵容卡情况!$J204=0,0,IF(各r阵容卡情况!$AD204&lt;=1,各r阵容卡情况!$AD204*D$20,1*D$20)*各r阵容卡情况!$J204)</f>
        <v>144</v>
      </c>
      <c r="AF176" s="80">
        <f>IF(各r阵容卡情况!$H204=0,0,IF(各r阵容卡情况!$AB204&lt;=1,各r阵容卡情况!$AB204*E$18,1*E$18)*各r阵容卡情况!$H204)+
IF(各r阵容卡情况!$I204=0,0,IF(各r阵容卡情况!$AC204&lt;=1,各r阵容卡情况!$AC204*E$19,1*E$19)*各r阵容卡情况!$I204)+
IF(各r阵容卡情况!$J204=0,0,IF(各r阵容卡情况!$AD204&lt;=1,各r阵容卡情况!$AD204*E$20,1*E$20)*各r阵容卡情况!$J204)</f>
        <v>0</v>
      </c>
      <c r="AG176" s="80">
        <f>IF(各r阵容卡情况!$H204=0,0,IF(各r阵容卡情况!$AB204&lt;=1,各r阵容卡情况!$AB204*F$18,1*F$18)*各r阵容卡情况!$H204)+
IF(各r阵容卡情况!$I204=0,0,IF(各r阵容卡情况!$AC204&lt;=1,各r阵容卡情况!$AC204*F$19,1*F$19)*各r阵容卡情况!$I204)+
IF(各r阵容卡情况!$J204=0,0,IF(各r阵容卡情况!$AD204&lt;=1,各r阵容卡情况!$AD204*F$20,1*F$20)*各r阵容卡情况!$J204)</f>
        <v>0</v>
      </c>
      <c r="AH176" s="67">
        <f>IF(各r阵容卡情况!$H204=0,0,IF(各r阵容卡情况!$AB204&lt;=1,0,(各r阵容卡情况!$AB204-1)*G$26)*各r阵容卡情况!$H204)+
IF(各r阵容卡情况!$I204=0,0,IF(各r阵容卡情况!$AC204&lt;=1,0,(各r阵容卡情况!$AC204-1)*G$27)*各r阵容卡情况!$I204)+
IF(各r阵容卡情况!$J204=0,0,IF(各r阵容卡情况!$AD204&lt;=1,0,(各r阵容卡情况!$AD204-1)*G$28)*各r阵容卡情况!$J204)</f>
        <v>720</v>
      </c>
      <c r="AI176" s="67">
        <f>IF(各r阵容卡情况!$H204=0,0,IF(各r阵容卡情况!$AB204&lt;=1,0,(各r阵容卡情况!$AB204-1)*H$26)*各r阵容卡情况!$H204)+
IF(各r阵容卡情况!$I204=0,0,IF(各r阵容卡情况!$AC204&lt;=1,0,(各r阵容卡情况!$AC204-1)*H$27)*各r阵容卡情况!$I204)+
IF(各r阵容卡情况!$J204=0,0,IF(各r阵容卡情况!$AD204&lt;=1,0,(各r阵容卡情况!$AD204-1)*H$28)*各r阵容卡情况!$J204)</f>
        <v>0</v>
      </c>
      <c r="AJ176" s="67">
        <f>IF(各r阵容卡情况!$H204=0,0,IF(各r阵容卡情况!$AB204&lt;=1,0,(各r阵容卡情况!$AB204-1)*I$26)*各r阵容卡情况!$H204)+
IF(各r阵容卡情况!$I204=0,0,IF(各r阵容卡情况!$AC204&lt;=1,0,(各r阵容卡情况!$AC204-1)*I$27)*各r阵容卡情况!$I204)+
IF(各r阵容卡情况!$J204=0,0,IF(各r阵容卡情况!$AD204&lt;=1,0,(各r阵容卡情况!$AD204-1)*I$28)*各r阵容卡情况!$J204)</f>
        <v>0</v>
      </c>
      <c r="AL176" s="80">
        <f t="shared" si="134"/>
        <v>190</v>
      </c>
      <c r="AM176" s="80">
        <f t="shared" si="135"/>
        <v>48</v>
      </c>
      <c r="AN176" s="80">
        <f t="shared" si="136"/>
        <v>0</v>
      </c>
      <c r="AO176" s="80">
        <f t="shared" si="137"/>
        <v>0</v>
      </c>
      <c r="AP176" s="80">
        <f t="shared" si="138"/>
        <v>240</v>
      </c>
      <c r="AQ176" s="80">
        <f t="shared" si="139"/>
        <v>0</v>
      </c>
      <c r="AR176" s="80">
        <f t="shared" si="140"/>
        <v>0</v>
      </c>
      <c r="AS176" s="80">
        <f t="shared" si="141"/>
        <v>144</v>
      </c>
      <c r="AT176" s="80">
        <f t="shared" si="142"/>
        <v>0</v>
      </c>
      <c r="AU176" s="80">
        <f t="shared" si="143"/>
        <v>0</v>
      </c>
      <c r="AV176" s="80">
        <f t="shared" si="144"/>
        <v>720</v>
      </c>
      <c r="AW176" s="80">
        <f t="shared" si="145"/>
        <v>0</v>
      </c>
      <c r="AX176" s="80">
        <f t="shared" si="146"/>
        <v>0</v>
      </c>
      <c r="AY176" s="61" t="e">
        <f>SUMPRODUCT(AM176:AR176/'[1]功能-行军令'!$GI$26:$GN$26+AS176:AX176/'[1]功能-行军令'!$GI$26:$GN$26)/0.18</f>
        <v>#DIV/0!</v>
      </c>
      <c r="BO176" s="80">
        <f t="shared" si="132"/>
        <v>153.15627769682186</v>
      </c>
      <c r="BP176" s="80">
        <f t="shared" si="133"/>
        <v>12300000</v>
      </c>
      <c r="BQ176" s="80">
        <f>(BP176-BP175)*INDEX('[1]功能-付费相关'!$AT$6:$AT$165,$BO176,1)+BQ175</f>
        <v>16421.870715493144</v>
      </c>
      <c r="BR176" s="80"/>
      <c r="BS176" s="80"/>
    </row>
    <row r="177" spans="12:77" x14ac:dyDescent="0.15">
      <c r="L177" s="61">
        <v>41</v>
      </c>
      <c r="M177" s="80">
        <f>基础状态预期!D189</f>
        <v>153.15627769682186</v>
      </c>
      <c r="N177" s="80">
        <f>IF(基础状态预期!F189="",0,IF(基础状态预期!Z189&lt;=1,基础状态预期!Z189*D$4,1*D$4+(基础状态预期!Z189-1)*武将觉醒!D$5))</f>
        <v>0</v>
      </c>
      <c r="O177" s="80">
        <f>IF(基础状态预期!G189="",0,IF(基础状态预期!AA189&lt;=1,基础状态预期!AA189*E$4,1*E$4+(基础状态预期!AA189-1)*武将觉醒!E$5))</f>
        <v>0</v>
      </c>
      <c r="P177" s="80">
        <f>IF(基础状态预期!H189="",0,IF(基础状态预期!AB189&lt;=1,基础状态预期!AB189*F$4,1*F$4+(基础状态预期!AB189-1)*武将觉醒!F$5))</f>
        <v>0</v>
      </c>
      <c r="Q177" s="80">
        <f>IF(基础状态预期!I189="",0,IF(基础状态预期!AC189&lt;=1,基础状态预期!AC189*G$4,1*G$4+(基础状态预期!AC189-1)*武将觉醒!G$5))</f>
        <v>0</v>
      </c>
      <c r="R177" s="80">
        <f>IF(基础状态预期!J189="",0,IF(基础状态预期!AD189&lt;=1,基础状态预期!AD189*H$4,1*H$4+(基础状态预期!AD189-1)*武将觉醒!H$5))</f>
        <v>2050000</v>
      </c>
      <c r="S177" s="80">
        <f>MAX(SUMPRODUCT(N177:R177,基础状态预期!F189:J189),S176)</f>
        <v>12300000</v>
      </c>
      <c r="T177" s="80">
        <f>IF(基础状态预期!Z189="",0,IFERROR(基础状态预期!F189*求节点($C$62:$C$63,D$62:D$63,基础状态预期!Z189),0)+IFERROR(基础状态预期!$J189*求节点($C$71:$C$72,D$71:D$72,基础状态预期!$AD189),0))</f>
        <v>0</v>
      </c>
      <c r="U177" s="80">
        <f>IF(基础状态预期!AA189="",0,IFERROR(基础状态预期!G189*求节点($C$62:$C$63,E$62:E$63,基础状态预期!AA189),0)+IFERROR(基础状态预期!$J189*求节点($C$71:$C$72,E$71:E$72,基础状态预期!$AD189),0))</f>
        <v>0</v>
      </c>
      <c r="V177" s="80">
        <f>IF(基础状态预期!AB189="",0,IFERROR(基础状态预期!H189*求节点($C$62:$C$63,F$62:F$63,基础状态预期!AB189),0)+IFERROR(基础状态预期!$J189*求节点($C$71:$C$72,F$71:F$72,基础状态预期!$AD189),0))</f>
        <v>0</v>
      </c>
      <c r="W177" s="80">
        <f>IF(基础状态预期!AC189="",0,IFERROR(基础状态预期!I189*求节点($C$62:$C$63,G$62:G$63,基础状态预期!AC189),0)+IFERROR(基础状态预期!$J189*求节点($C$71:$C$72,G$71:G$72,基础状态预期!$AD189),0))</f>
        <v>0</v>
      </c>
      <c r="X177" s="80">
        <f>IF(基础状态预期!AD189="",0,IFERROR(基础状态预期!J189*求节点($C$62:$C$63,H$62:H$63,基础状态预期!AD189),0)+IFERROR(基础状态预期!$J189*求节点($C$71:$C$72,H$71:H$72,基础状态预期!$AD189),0))</f>
        <v>0</v>
      </c>
      <c r="Y177" s="80">
        <f>IF(基础状态预期!$H189="",0,IF(基础状态预期!$AB189&lt;=1,基础状态预期!$AB189*D$18,D$18)*基础状态预期!$H189)+
IF(基础状态预期!$I189="",0,IF(基础状态预期!$AC189&lt;=1,基础状态预期!$AC189*D$19,D$19)*基础状态预期!$I189)+
IF(基础状态预期!$J189="",0,IF(基础状态预期!$AD189&lt;=1,基础状态预期!$AD189*D$20,D$20)*基础状态预期!$J189)</f>
        <v>48</v>
      </c>
      <c r="Z177" s="80">
        <f>IF(基础状态预期!$H189="",0,IF(基础状态预期!$AB189&lt;=1,基础状态预期!$AB189*E$18,E$18)*基础状态预期!$H189)+
IF(基础状态预期!$I189="",0,IF(基础状态预期!$AC189&lt;=1,基础状态预期!$AC189*E$19,E$19)*基础状态预期!$I189)+
IF(基础状态预期!$J189="",0,IF(基础状态预期!$AD189&lt;=1,基础状态预期!$AD189*E$20,E$20)*基础状态预期!$J189)</f>
        <v>0</v>
      </c>
      <c r="AA177" s="80">
        <f>IF(基础状态预期!$H189="",0,IF(基础状态预期!$AB189&lt;=1,基础状态预期!$AB189*F$18,F$18)*基础状态预期!$H189)+
IF(基础状态预期!$I189="",0,IF(基础状态预期!$AC189&lt;=1,基础状态预期!$AC189*F$19,F$19)*基础状态预期!$I189)+
IF(基础状态预期!$J189="",0,IF(基础状态预期!$AD189&lt;=1,基础状态预期!$AD189*F$20,F$20)*基础状态预期!$J189)</f>
        <v>0</v>
      </c>
      <c r="AB177" s="67">
        <f>IF(基础状态预期!$H189="",0,IF(基础状态预期!$AB189&lt;=1,0,(基础状态预期!$AB189-1)*G$26)*基础状态预期!$H189)+
IF(基础状态预期!$I189="",0,IF(基础状态预期!$AC189&lt;=1,0,(基础状态预期!$AC189-1)*G$27)*基础状态预期!$I189)+
IF(基础状态预期!$J189="",0,IF(基础状态预期!$AD189&lt;=1,0,(基础状态预期!$AD189-1)*G$28)*基础状态预期!$J189)</f>
        <v>240</v>
      </c>
      <c r="AC177" s="67">
        <f>IF(基础状态预期!$H189="",0,IF(基础状态预期!$AB189&lt;=1,0,(基础状态预期!$AB189-1)*H$26)*基础状态预期!$H189)+
IF(基础状态预期!$I189="",0,IF(基础状态预期!$AC189&lt;=1,0,(基础状态预期!$AC189-1)*H$27)*基础状态预期!$I189)+
IF(基础状态预期!$J189="",0,IF(基础状态预期!$AD189&lt;=1,0,(基础状态预期!$AD189-1)*H$28)*基础状态预期!$J189)</f>
        <v>0</v>
      </c>
      <c r="AD177" s="67">
        <f>IF(基础状态预期!$H189="",0,IF(基础状态预期!$AB189&lt;=1,0,(基础状态预期!$AB189-1)*I$26)*基础状态预期!$H189)+
IF(基础状态预期!$I189="",0,IF(基础状态预期!$AC189&lt;=1,0,(基础状态预期!$AC189-1)*I$27)*基础状态预期!$I189)+
IF(基础状态预期!$J189="",0,IF(基础状态预期!$AD189&lt;=1,0,(基础状态预期!$AD189-1)*I$28)*基础状态预期!$J189)</f>
        <v>0</v>
      </c>
      <c r="AE177" s="80">
        <f>IF(各r阵容卡情况!$H205=0,0,IF(各r阵容卡情况!$AB205&lt;=1,各r阵容卡情况!$AB205*D$18,1*D$18)*各r阵容卡情况!$H205)+
IF(各r阵容卡情况!$I205=0,0,IF(各r阵容卡情况!$AC205&lt;=1,各r阵容卡情况!$AC205*D$19,1*D$19)*各r阵容卡情况!$I205)+
IF(各r阵容卡情况!$J205=0,0,IF(各r阵容卡情况!$AD205&lt;=1,各r阵容卡情况!$AD205*D$20,1*D$20)*各r阵容卡情况!$J205)</f>
        <v>144</v>
      </c>
      <c r="AF177" s="80">
        <f>IF(各r阵容卡情况!$H205=0,0,IF(各r阵容卡情况!$AB205&lt;=1,各r阵容卡情况!$AB205*E$18,1*E$18)*各r阵容卡情况!$H205)+
IF(各r阵容卡情况!$I205=0,0,IF(各r阵容卡情况!$AC205&lt;=1,各r阵容卡情况!$AC205*E$19,1*E$19)*各r阵容卡情况!$I205)+
IF(各r阵容卡情况!$J205=0,0,IF(各r阵容卡情况!$AD205&lt;=1,各r阵容卡情况!$AD205*E$20,1*E$20)*各r阵容卡情况!$J205)</f>
        <v>0</v>
      </c>
      <c r="AG177" s="80">
        <f>IF(各r阵容卡情况!$H205=0,0,IF(各r阵容卡情况!$AB205&lt;=1,各r阵容卡情况!$AB205*F$18,1*F$18)*各r阵容卡情况!$H205)+
IF(各r阵容卡情况!$I205=0,0,IF(各r阵容卡情况!$AC205&lt;=1,各r阵容卡情况!$AC205*F$19,1*F$19)*各r阵容卡情况!$I205)+
IF(各r阵容卡情况!$J205=0,0,IF(各r阵容卡情况!$AD205&lt;=1,各r阵容卡情况!$AD205*F$20,1*F$20)*各r阵容卡情况!$J205)</f>
        <v>0</v>
      </c>
      <c r="AH177" s="67">
        <f>IF(各r阵容卡情况!$H205=0,0,IF(各r阵容卡情况!$AB205&lt;=1,0,(各r阵容卡情况!$AB205-1)*G$26)*各r阵容卡情况!$H205)+
IF(各r阵容卡情况!$I205=0,0,IF(各r阵容卡情况!$AC205&lt;=1,0,(各r阵容卡情况!$AC205-1)*G$27)*各r阵容卡情况!$I205)+
IF(各r阵容卡情况!$J205=0,0,IF(各r阵容卡情况!$AD205&lt;=1,0,(各r阵容卡情况!$AD205-1)*G$28)*各r阵容卡情况!$J205)</f>
        <v>720</v>
      </c>
      <c r="AI177" s="67">
        <f>IF(各r阵容卡情况!$H205=0,0,IF(各r阵容卡情况!$AB205&lt;=1,0,(各r阵容卡情况!$AB205-1)*H$26)*各r阵容卡情况!$H205)+
IF(各r阵容卡情况!$I205=0,0,IF(各r阵容卡情况!$AC205&lt;=1,0,(各r阵容卡情况!$AC205-1)*H$27)*各r阵容卡情况!$I205)+
IF(各r阵容卡情况!$J205=0,0,IF(各r阵容卡情况!$AD205&lt;=1,0,(各r阵容卡情况!$AD205-1)*H$28)*各r阵容卡情况!$J205)</f>
        <v>0</v>
      </c>
      <c r="AJ177" s="67">
        <f>IF(各r阵容卡情况!$H205=0,0,IF(各r阵容卡情况!$AB205&lt;=1,0,(各r阵容卡情况!$AB205-1)*I$26)*各r阵容卡情况!$H205)+
IF(各r阵容卡情况!$I205=0,0,IF(各r阵容卡情况!$AC205&lt;=1,0,(各r阵容卡情况!$AC205-1)*I$27)*各r阵容卡情况!$I205)+
IF(各r阵容卡情况!$J205=0,0,IF(各r阵容卡情况!$AD205&lt;=1,0,(各r阵容卡情况!$AD205-1)*I$28)*各r阵容卡情况!$J205)</f>
        <v>0</v>
      </c>
      <c r="AL177" s="80">
        <f t="shared" si="134"/>
        <v>195</v>
      </c>
      <c r="AM177" s="80">
        <f t="shared" si="135"/>
        <v>48</v>
      </c>
      <c r="AN177" s="80">
        <f t="shared" si="136"/>
        <v>0</v>
      </c>
      <c r="AO177" s="80">
        <f t="shared" si="137"/>
        <v>0</v>
      </c>
      <c r="AP177" s="80">
        <f t="shared" si="138"/>
        <v>240</v>
      </c>
      <c r="AQ177" s="80">
        <f t="shared" si="139"/>
        <v>0</v>
      </c>
      <c r="AR177" s="80">
        <f t="shared" si="140"/>
        <v>0</v>
      </c>
      <c r="AS177" s="80">
        <f t="shared" si="141"/>
        <v>144</v>
      </c>
      <c r="AT177" s="80">
        <f t="shared" si="142"/>
        <v>0</v>
      </c>
      <c r="AU177" s="80">
        <f t="shared" si="143"/>
        <v>0</v>
      </c>
      <c r="AV177" s="80">
        <f t="shared" si="144"/>
        <v>720</v>
      </c>
      <c r="AW177" s="80">
        <f t="shared" si="145"/>
        <v>0</v>
      </c>
      <c r="AX177" s="80">
        <f t="shared" si="146"/>
        <v>0</v>
      </c>
      <c r="AY177" s="61" t="e">
        <f>SUMPRODUCT(AM177:AR177/'[1]功能-行军令'!$GI$26:$GN$26+AS177:AX177/'[1]功能-行军令'!$GI$26:$GN$26)/0.18</f>
        <v>#DIV/0!</v>
      </c>
      <c r="BO177" s="80">
        <f t="shared" si="132"/>
        <v>153.85863088955028</v>
      </c>
      <c r="BP177" s="80">
        <f t="shared" si="133"/>
        <v>12300000</v>
      </c>
      <c r="BQ177" s="80">
        <f>(BP177-BP176)*INDEX('[1]功能-付费相关'!$AT$6:$AT$165,$BO177,1)+BQ176</f>
        <v>16421.870715493144</v>
      </c>
      <c r="BR177" s="80"/>
      <c r="BS177" s="80"/>
    </row>
    <row r="178" spans="12:77" x14ac:dyDescent="0.15">
      <c r="L178" s="61">
        <v>42</v>
      </c>
      <c r="M178" s="80">
        <f>基础状态预期!D190</f>
        <v>153.85863088955028</v>
      </c>
      <c r="N178" s="80">
        <f>IF(基础状态预期!F190="",0,IF(基础状态预期!Z190&lt;=1,基础状态预期!Z190*D$4,1*D$4+(基础状态预期!Z190-1)*武将觉醒!D$5))</f>
        <v>0</v>
      </c>
      <c r="O178" s="80">
        <f>IF(基础状态预期!G190="",0,IF(基础状态预期!AA190&lt;=1,基础状态预期!AA190*E$4,1*E$4+(基础状态预期!AA190-1)*武将觉醒!E$5))</f>
        <v>0</v>
      </c>
      <c r="P178" s="80">
        <f>IF(基础状态预期!H190="",0,IF(基础状态预期!AB190&lt;=1,基础状态预期!AB190*F$4,1*F$4+(基础状态预期!AB190-1)*武将觉醒!F$5))</f>
        <v>0</v>
      </c>
      <c r="Q178" s="80">
        <f>IF(基础状态预期!I190="",0,IF(基础状态预期!AC190&lt;=1,基础状态预期!AC190*G$4,1*G$4+(基础状态预期!AC190-1)*武将觉醒!G$5))</f>
        <v>0</v>
      </c>
      <c r="R178" s="80">
        <f>IF(基础状态预期!J190="",0,IF(基础状态预期!AD190&lt;=1,基础状态预期!AD190*H$4,1*H$4+(基础状态预期!AD190-1)*武将觉醒!H$5))</f>
        <v>2050000</v>
      </c>
      <c r="S178" s="80">
        <f>MAX(SUMPRODUCT(N178:R178,基础状态预期!F190:J190),S177)</f>
        <v>12300000</v>
      </c>
      <c r="T178" s="80">
        <f>IF(基础状态预期!Z190="",0,IFERROR(基础状态预期!F190*求节点($C$62:$C$63,D$62:D$63,基础状态预期!Z190),0)+IFERROR(基础状态预期!$J190*求节点($C$71:$C$72,D$71:D$72,基础状态预期!$AD190),0))</f>
        <v>0</v>
      </c>
      <c r="U178" s="80">
        <f>IF(基础状态预期!AA190="",0,IFERROR(基础状态预期!G190*求节点($C$62:$C$63,E$62:E$63,基础状态预期!AA190),0)+IFERROR(基础状态预期!$J190*求节点($C$71:$C$72,E$71:E$72,基础状态预期!$AD190),0))</f>
        <v>0</v>
      </c>
      <c r="V178" s="80">
        <f>IF(基础状态预期!AB190="",0,IFERROR(基础状态预期!H190*求节点($C$62:$C$63,F$62:F$63,基础状态预期!AB190),0)+IFERROR(基础状态预期!$J190*求节点($C$71:$C$72,F$71:F$72,基础状态预期!$AD190),0))</f>
        <v>0</v>
      </c>
      <c r="W178" s="80">
        <f>IF(基础状态预期!AC190="",0,IFERROR(基础状态预期!I190*求节点($C$62:$C$63,G$62:G$63,基础状态预期!AC190),0)+IFERROR(基础状态预期!$J190*求节点($C$71:$C$72,G$71:G$72,基础状态预期!$AD190),0))</f>
        <v>0</v>
      </c>
      <c r="X178" s="80">
        <f>IF(基础状态预期!AD190="",0,IFERROR(基础状态预期!J190*求节点($C$62:$C$63,H$62:H$63,基础状态预期!AD190),0)+IFERROR(基础状态预期!$J190*求节点($C$71:$C$72,H$71:H$72,基础状态预期!$AD190),0))</f>
        <v>0</v>
      </c>
      <c r="Y178" s="80">
        <f>IF(基础状态预期!$H190="",0,IF(基础状态预期!$AB190&lt;=1,基础状态预期!$AB190*D$18,D$18)*基础状态预期!$H190)+
IF(基础状态预期!$I190="",0,IF(基础状态预期!$AC190&lt;=1,基础状态预期!$AC190*D$19,D$19)*基础状态预期!$I190)+
IF(基础状态预期!$J190="",0,IF(基础状态预期!$AD190&lt;=1,基础状态预期!$AD190*D$20,D$20)*基础状态预期!$J190)</f>
        <v>48</v>
      </c>
      <c r="Z178" s="80">
        <f>IF(基础状态预期!$H190="",0,IF(基础状态预期!$AB190&lt;=1,基础状态预期!$AB190*E$18,E$18)*基础状态预期!$H190)+
IF(基础状态预期!$I190="",0,IF(基础状态预期!$AC190&lt;=1,基础状态预期!$AC190*E$19,E$19)*基础状态预期!$I190)+
IF(基础状态预期!$J190="",0,IF(基础状态预期!$AD190&lt;=1,基础状态预期!$AD190*E$20,E$20)*基础状态预期!$J190)</f>
        <v>0</v>
      </c>
      <c r="AA178" s="80">
        <f>IF(基础状态预期!$H190="",0,IF(基础状态预期!$AB190&lt;=1,基础状态预期!$AB190*F$18,F$18)*基础状态预期!$H190)+
IF(基础状态预期!$I190="",0,IF(基础状态预期!$AC190&lt;=1,基础状态预期!$AC190*F$19,F$19)*基础状态预期!$I190)+
IF(基础状态预期!$J190="",0,IF(基础状态预期!$AD190&lt;=1,基础状态预期!$AD190*F$20,F$20)*基础状态预期!$J190)</f>
        <v>0</v>
      </c>
      <c r="AB178" s="67">
        <f>IF(基础状态预期!$H190="",0,IF(基础状态预期!$AB190&lt;=1,0,(基础状态预期!$AB190-1)*G$26)*基础状态预期!$H190)+
IF(基础状态预期!$I190="",0,IF(基础状态预期!$AC190&lt;=1,0,(基础状态预期!$AC190-1)*G$27)*基础状态预期!$I190)+
IF(基础状态预期!$J190="",0,IF(基础状态预期!$AD190&lt;=1,0,(基础状态预期!$AD190-1)*G$28)*基础状态预期!$J190)</f>
        <v>240</v>
      </c>
      <c r="AC178" s="67">
        <f>IF(基础状态预期!$H190="",0,IF(基础状态预期!$AB190&lt;=1,0,(基础状态预期!$AB190-1)*H$26)*基础状态预期!$H190)+
IF(基础状态预期!$I190="",0,IF(基础状态预期!$AC190&lt;=1,0,(基础状态预期!$AC190-1)*H$27)*基础状态预期!$I190)+
IF(基础状态预期!$J190="",0,IF(基础状态预期!$AD190&lt;=1,0,(基础状态预期!$AD190-1)*H$28)*基础状态预期!$J190)</f>
        <v>0</v>
      </c>
      <c r="AD178" s="67">
        <f>IF(基础状态预期!$H190="",0,IF(基础状态预期!$AB190&lt;=1,0,(基础状态预期!$AB190-1)*I$26)*基础状态预期!$H190)+
IF(基础状态预期!$I190="",0,IF(基础状态预期!$AC190&lt;=1,0,(基础状态预期!$AC190-1)*I$27)*基础状态预期!$I190)+
IF(基础状态预期!$J190="",0,IF(基础状态预期!$AD190&lt;=1,0,(基础状态预期!$AD190-1)*I$28)*基础状态预期!$J190)</f>
        <v>0</v>
      </c>
      <c r="AE178" s="80">
        <f>IF(各r阵容卡情况!$H206=0,0,IF(各r阵容卡情况!$AB206&lt;=1,各r阵容卡情况!$AB206*D$18,1*D$18)*各r阵容卡情况!$H206)+
IF(各r阵容卡情况!$I206=0,0,IF(各r阵容卡情况!$AC206&lt;=1,各r阵容卡情况!$AC206*D$19,1*D$19)*各r阵容卡情况!$I206)+
IF(各r阵容卡情况!$J206=0,0,IF(各r阵容卡情况!$AD206&lt;=1,各r阵容卡情况!$AD206*D$20,1*D$20)*各r阵容卡情况!$J206)</f>
        <v>144</v>
      </c>
      <c r="AF178" s="80">
        <f>IF(各r阵容卡情况!$H206=0,0,IF(各r阵容卡情况!$AB206&lt;=1,各r阵容卡情况!$AB206*E$18,1*E$18)*各r阵容卡情况!$H206)+
IF(各r阵容卡情况!$I206=0,0,IF(各r阵容卡情况!$AC206&lt;=1,各r阵容卡情况!$AC206*E$19,1*E$19)*各r阵容卡情况!$I206)+
IF(各r阵容卡情况!$J206=0,0,IF(各r阵容卡情况!$AD206&lt;=1,各r阵容卡情况!$AD206*E$20,1*E$20)*各r阵容卡情况!$J206)</f>
        <v>0</v>
      </c>
      <c r="AG178" s="80">
        <f>IF(各r阵容卡情况!$H206=0,0,IF(各r阵容卡情况!$AB206&lt;=1,各r阵容卡情况!$AB206*F$18,1*F$18)*各r阵容卡情况!$H206)+
IF(各r阵容卡情况!$I206=0,0,IF(各r阵容卡情况!$AC206&lt;=1,各r阵容卡情况!$AC206*F$19,1*F$19)*各r阵容卡情况!$I206)+
IF(各r阵容卡情况!$J206=0,0,IF(各r阵容卡情况!$AD206&lt;=1,各r阵容卡情况!$AD206*F$20,1*F$20)*各r阵容卡情况!$J206)</f>
        <v>0</v>
      </c>
      <c r="AH178" s="67">
        <f>IF(各r阵容卡情况!$H206=0,0,IF(各r阵容卡情况!$AB206&lt;=1,0,(各r阵容卡情况!$AB206-1)*G$26)*各r阵容卡情况!$H206)+
IF(各r阵容卡情况!$I206=0,0,IF(各r阵容卡情况!$AC206&lt;=1,0,(各r阵容卡情况!$AC206-1)*G$27)*各r阵容卡情况!$I206)+
IF(各r阵容卡情况!$J206=0,0,IF(各r阵容卡情况!$AD206&lt;=1,0,(各r阵容卡情况!$AD206-1)*G$28)*各r阵容卡情况!$J206)</f>
        <v>720</v>
      </c>
      <c r="AI178" s="67">
        <f>IF(各r阵容卡情况!$H206=0,0,IF(各r阵容卡情况!$AB206&lt;=1,0,(各r阵容卡情况!$AB206-1)*H$26)*各r阵容卡情况!$H206)+
IF(各r阵容卡情况!$I206=0,0,IF(各r阵容卡情况!$AC206&lt;=1,0,(各r阵容卡情况!$AC206-1)*H$27)*各r阵容卡情况!$I206)+
IF(各r阵容卡情况!$J206=0,0,IF(各r阵容卡情况!$AD206&lt;=1,0,(各r阵容卡情况!$AD206-1)*H$28)*各r阵容卡情况!$J206)</f>
        <v>0</v>
      </c>
      <c r="AJ178" s="67">
        <f>IF(各r阵容卡情况!$H206=0,0,IF(各r阵容卡情况!$AB206&lt;=1,0,(各r阵容卡情况!$AB206-1)*I$26)*各r阵容卡情况!$H206)+
IF(各r阵容卡情况!$I206=0,0,IF(各r阵容卡情况!$AC206&lt;=1,0,(各r阵容卡情况!$AC206-1)*I$27)*各r阵容卡情况!$I206)+
IF(各r阵容卡情况!$J206=0,0,IF(各r阵容卡情况!$AD206&lt;=1,0,(各r阵容卡情况!$AD206-1)*I$28)*各r阵容卡情况!$J206)</f>
        <v>0</v>
      </c>
      <c r="AL178" s="80">
        <f t="shared" si="134"/>
        <v>200</v>
      </c>
      <c r="AM178" s="80">
        <f t="shared" si="135"/>
        <v>48</v>
      </c>
      <c r="AN178" s="80">
        <f t="shared" si="136"/>
        <v>0</v>
      </c>
      <c r="AO178" s="80">
        <f t="shared" si="137"/>
        <v>0</v>
      </c>
      <c r="AP178" s="80">
        <f t="shared" si="138"/>
        <v>240</v>
      </c>
      <c r="AQ178" s="80">
        <f t="shared" si="139"/>
        <v>0</v>
      </c>
      <c r="AR178" s="80">
        <f t="shared" si="140"/>
        <v>0</v>
      </c>
      <c r="AS178" s="80">
        <f t="shared" si="141"/>
        <v>144</v>
      </c>
      <c r="AT178" s="80">
        <f t="shared" si="142"/>
        <v>0</v>
      </c>
      <c r="AU178" s="80">
        <f t="shared" si="143"/>
        <v>0</v>
      </c>
      <c r="AV178" s="80">
        <f t="shared" si="144"/>
        <v>720</v>
      </c>
      <c r="AW178" s="80">
        <f t="shared" si="145"/>
        <v>0</v>
      </c>
      <c r="AX178" s="80">
        <f t="shared" si="146"/>
        <v>0</v>
      </c>
      <c r="AY178" s="61" t="e">
        <f>SUMPRODUCT(AM178:AR178/'[1]功能-行军令'!$GI$26:$GN$26+AS178:AX178/'[1]功能-行军令'!$GI$26:$GN$26)/0.18</f>
        <v>#DIV/0!</v>
      </c>
    </row>
    <row r="179" spans="12:77" x14ac:dyDescent="0.15">
      <c r="L179" s="61">
        <v>43</v>
      </c>
    </row>
    <row r="180" spans="12:77" x14ac:dyDescent="0.15">
      <c r="L180" s="61">
        <v>44</v>
      </c>
    </row>
    <row r="181" spans="12:77" x14ac:dyDescent="0.15">
      <c r="L181" s="61">
        <v>45</v>
      </c>
    </row>
    <row r="182" spans="12:77" x14ac:dyDescent="0.15">
      <c r="L182" s="61">
        <v>1</v>
      </c>
      <c r="BB182" s="80" t="s">
        <v>107</v>
      </c>
      <c r="BC182" s="194" t="s">
        <v>55</v>
      </c>
      <c r="BD182" s="195"/>
      <c r="BE182" s="195"/>
      <c r="BF182" s="196"/>
      <c r="BG182" s="197" t="s">
        <v>290</v>
      </c>
      <c r="BH182" s="197"/>
      <c r="BI182" s="197"/>
      <c r="BJ182" s="197"/>
      <c r="BK182" s="197"/>
      <c r="BO182" s="80" t="s">
        <v>107</v>
      </c>
      <c r="BP182" s="197" t="s">
        <v>307</v>
      </c>
      <c r="BQ182" s="197"/>
      <c r="BR182" s="197"/>
      <c r="BS182" s="197"/>
      <c r="BU182" s="80" t="s">
        <v>107</v>
      </c>
      <c r="BV182" s="197" t="s">
        <v>308</v>
      </c>
      <c r="BW182" s="197"/>
      <c r="BX182" s="197"/>
    </row>
    <row r="183" spans="12:77" x14ac:dyDescent="0.15">
      <c r="L183" s="61">
        <v>2</v>
      </c>
      <c r="M183" s="80" t="s">
        <v>79</v>
      </c>
      <c r="N183" s="197" t="s">
        <v>296</v>
      </c>
      <c r="O183" s="197"/>
      <c r="P183" s="197"/>
      <c r="Q183" s="197"/>
      <c r="R183" s="197"/>
      <c r="S183" s="197"/>
      <c r="T183" s="197" t="s">
        <v>380</v>
      </c>
      <c r="U183" s="197"/>
      <c r="V183" s="197"/>
      <c r="W183" s="197"/>
      <c r="X183" s="197"/>
      <c r="Y183" s="194" t="s">
        <v>461</v>
      </c>
      <c r="Z183" s="195"/>
      <c r="AA183" s="195"/>
      <c r="AB183" s="195"/>
      <c r="AC183" s="195"/>
      <c r="AD183" s="196"/>
      <c r="AE183" s="194" t="s">
        <v>462</v>
      </c>
      <c r="AF183" s="195"/>
      <c r="AG183" s="195"/>
      <c r="AH183" s="195"/>
      <c r="AI183" s="195"/>
      <c r="AJ183" s="196"/>
      <c r="AL183" s="80" t="s">
        <v>79</v>
      </c>
      <c r="AM183" s="194" t="s">
        <v>461</v>
      </c>
      <c r="AN183" s="195"/>
      <c r="AO183" s="195"/>
      <c r="AP183" s="195"/>
      <c r="AQ183" s="195"/>
      <c r="AR183" s="196"/>
      <c r="AS183" s="194" t="s">
        <v>462</v>
      </c>
      <c r="AT183" s="195"/>
      <c r="AU183" s="195"/>
      <c r="AV183" s="195"/>
      <c r="AW183" s="195"/>
      <c r="AX183" s="196"/>
      <c r="BB183" s="80" t="s">
        <v>478</v>
      </c>
      <c r="BC183" s="80" t="s">
        <v>152</v>
      </c>
      <c r="BD183" s="80" t="s">
        <v>250</v>
      </c>
      <c r="BE183" s="80" t="s">
        <v>251</v>
      </c>
      <c r="BF183" s="80" t="s">
        <v>295</v>
      </c>
      <c r="BG183" s="80" t="s">
        <v>152</v>
      </c>
      <c r="BH183" s="80" t="s">
        <v>250</v>
      </c>
      <c r="BI183" s="80" t="s">
        <v>251</v>
      </c>
      <c r="BJ183" s="80" t="s">
        <v>295</v>
      </c>
      <c r="BK183" s="80" t="s">
        <v>293</v>
      </c>
      <c r="BO183" s="80" t="s">
        <v>478</v>
      </c>
      <c r="BP183" s="80" t="s">
        <v>311</v>
      </c>
      <c r="BQ183" s="80" t="s">
        <v>340</v>
      </c>
      <c r="BR183" s="80" t="s">
        <v>312</v>
      </c>
      <c r="BS183" s="80" t="s">
        <v>313</v>
      </c>
      <c r="BU183" s="80" t="s">
        <v>478</v>
      </c>
      <c r="BV183" s="80" t="s">
        <v>311</v>
      </c>
      <c r="BW183" s="80" t="s">
        <v>312</v>
      </c>
      <c r="BX183" s="80" t="s">
        <v>313</v>
      </c>
      <c r="BY183" s="80" t="s">
        <v>472</v>
      </c>
    </row>
    <row r="184" spans="12:77" x14ac:dyDescent="0.15">
      <c r="L184" s="61">
        <v>3</v>
      </c>
      <c r="M184" s="80" t="s">
        <v>478</v>
      </c>
      <c r="N184" s="80" t="s">
        <v>3</v>
      </c>
      <c r="O184" s="80" t="s">
        <v>1</v>
      </c>
      <c r="P184" s="80" t="s">
        <v>2</v>
      </c>
      <c r="Q184" s="80" t="s">
        <v>0</v>
      </c>
      <c r="R184" s="80" t="s">
        <v>545</v>
      </c>
      <c r="S184" s="80" t="s">
        <v>273</v>
      </c>
      <c r="T184" s="80" t="s">
        <v>3</v>
      </c>
      <c r="U184" s="80" t="s">
        <v>1</v>
      </c>
      <c r="V184" s="80" t="s">
        <v>2</v>
      </c>
      <c r="W184" s="80" t="s">
        <v>0</v>
      </c>
      <c r="X184" s="80" t="s">
        <v>545</v>
      </c>
      <c r="Y184" s="80" t="s">
        <v>443</v>
      </c>
      <c r="Z184" s="80" t="s">
        <v>438</v>
      </c>
      <c r="AA184" s="80" t="s">
        <v>439</v>
      </c>
      <c r="AB184" s="80" t="s">
        <v>440</v>
      </c>
      <c r="AC184" s="80" t="s">
        <v>441</v>
      </c>
      <c r="AD184" s="80" t="s">
        <v>442</v>
      </c>
      <c r="AE184" s="80" t="s">
        <v>443</v>
      </c>
      <c r="AF184" s="80" t="s">
        <v>438</v>
      </c>
      <c r="AG184" s="80" t="s">
        <v>439</v>
      </c>
      <c r="AH184" s="80" t="s">
        <v>440</v>
      </c>
      <c r="AI184" s="80" t="s">
        <v>441</v>
      </c>
      <c r="AJ184" s="80" t="s">
        <v>442</v>
      </c>
      <c r="AL184" s="80" t="s">
        <v>478</v>
      </c>
      <c r="AM184" s="80" t="s">
        <v>443</v>
      </c>
      <c r="AN184" s="80" t="s">
        <v>438</v>
      </c>
      <c r="AO184" s="80" t="s">
        <v>439</v>
      </c>
      <c r="AP184" s="80" t="s">
        <v>440</v>
      </c>
      <c r="AQ184" s="80" t="s">
        <v>441</v>
      </c>
      <c r="AR184" s="80" t="s">
        <v>442</v>
      </c>
      <c r="AS184" s="80" t="s">
        <v>443</v>
      </c>
      <c r="AT184" s="80" t="s">
        <v>438</v>
      </c>
      <c r="AU184" s="80" t="s">
        <v>439</v>
      </c>
      <c r="AV184" s="80" t="s">
        <v>440</v>
      </c>
      <c r="AW184" s="80" t="s">
        <v>441</v>
      </c>
      <c r="AX184" s="80" t="s">
        <v>442</v>
      </c>
      <c r="BB184" s="80">
        <v>10</v>
      </c>
      <c r="BC184" s="80"/>
      <c r="BD184" s="80"/>
      <c r="BE184" s="80"/>
      <c r="BF184" s="80"/>
      <c r="BG184" s="80"/>
      <c r="BH184" s="80"/>
      <c r="BI184" s="80"/>
      <c r="BJ184" s="80"/>
      <c r="BK184" s="80">
        <f>SUM(BG184:BJ184)</f>
        <v>0</v>
      </c>
      <c r="BO184" s="80">
        <f t="shared" ref="BO184:BO199" si="147">$M185</f>
        <v>10.040470049930473</v>
      </c>
      <c r="BP184" s="80">
        <f t="shared" ref="BP184:BP199" si="148">$S185</f>
        <v>40578.885305087184</v>
      </c>
      <c r="BQ184" s="60">
        <f>BP184*INDEX('[1]功能-付费相关'!$AU$6:$AU$165,$BO184,1)</f>
        <v>101.44721326271797</v>
      </c>
      <c r="BR184" s="80"/>
      <c r="BS184" s="80"/>
      <c r="BU184" s="80">
        <v>10</v>
      </c>
      <c r="BV184" s="80">
        <f t="shared" ref="BV184:BV199" si="149">求节点($BO$184:$BO$222,BQ$184:BQ$222,$BU184)</f>
        <v>101.03831071476624</v>
      </c>
      <c r="BW184" s="80">
        <f>INDEX('[1]功能-行军令'!$N$4:$R$163,BU184,1)*INDEX('[1]功能-付费相关'!$H$6:$L$6,1,5)*'[1]功能-行军令'!$AD$17</f>
        <v>1210.9244444444446</v>
      </c>
      <c r="BX184" s="80"/>
      <c r="BY184" s="80">
        <f>SUM(BV184:BX184)</f>
        <v>1311.9627551592109</v>
      </c>
    </row>
    <row r="185" spans="12:77" x14ac:dyDescent="0.15">
      <c r="L185" s="61">
        <v>4</v>
      </c>
      <c r="M185" s="80">
        <f>基础状态预期!D197</f>
        <v>10.040470049930473</v>
      </c>
      <c r="N185" s="80">
        <f>IF(基础状态预期!F197="",0,IF(基础状态预期!Z197&lt;=1,基础状态预期!Z197*D$4,1*D$4+(基础状态预期!Z197-1)*武将觉醒!D$5))</f>
        <v>0</v>
      </c>
      <c r="O185" s="80">
        <f>IF(基础状态预期!G197="",0,IF(基础状态预期!AA197&lt;=1,基础状态预期!AA197*E$4,1*E$4+(基础状态预期!AA197-1)*武将觉醒!E$5))</f>
        <v>0</v>
      </c>
      <c r="P185" s="80">
        <f>IF(基础状态预期!H197="",0,IF(基础状态预期!AB197&lt;=1,基础状态预期!AB197*F$4,1*F$4+(基础状态预期!AB197-1)*武将觉醒!F$5))</f>
        <v>0</v>
      </c>
      <c r="Q185" s="80">
        <f>IF(基础状态预期!I197="",0,IF(基础状态预期!AC197&lt;=1,基础状态预期!AC197*G$4,1*G$4+(基础状态预期!AC197-1)*武将觉醒!G$5))</f>
        <v>6763.1475508478643</v>
      </c>
      <c r="R185" s="80">
        <f>IF(基础状态预期!J197="",0,IF(基础状态预期!AD197&lt;=1,基础状态预期!AD197*H$4,1*H$4+(基础状态预期!AD197-1)*武将觉醒!H$5))</f>
        <v>0</v>
      </c>
      <c r="S185" s="80">
        <f>MAX(SUMPRODUCT(N185:R185,基础状态预期!F197:J197),S184)</f>
        <v>40578.885305087184</v>
      </c>
      <c r="T185" s="80">
        <f>IF(基础状态预期!Z197="",0,IFERROR(基础状态预期!F197*求节点($C$62:$C$63,D$62:D$63,基础状态预期!Z197),0)+IFERROR(基础状态预期!$J197*求节点($C$71:$C$72,D$71:D$72,基础状态预期!$AD197),0))</f>
        <v>0</v>
      </c>
      <c r="U185" s="80">
        <f>IF(基础状态预期!AA197="",0,IFERROR(基础状态预期!G197*求节点($C$62:$C$63,E$62:E$63,基础状态预期!AA197),0)+IFERROR(基础状态预期!$J197*求节点($C$71:$C$72,E$71:E$72,基础状态预期!$AD197),0))</f>
        <v>0</v>
      </c>
      <c r="V185" s="80">
        <f>IF(基础状态预期!AB197="",0,IFERROR(基础状态预期!H197*求节点($C$62:$C$63,F$62:F$63,基础状态预期!AB197),0)+IFERROR(基础状态预期!$J197*求节点($C$71:$C$72,F$71:F$72,基础状态预期!$AD197),0))</f>
        <v>0</v>
      </c>
      <c r="W185" s="80">
        <f>IF(基础状态预期!AC197="",0,IFERROR(基础状态预期!I197*求节点($C$62:$C$63,G$62:G$63,基础状态预期!AC197),0)+IFERROR(基础状态预期!$J197*求节点($C$71:$C$72,G$71:G$72,基础状态预期!$AD197),0))</f>
        <v>0</v>
      </c>
      <c r="X185" s="80">
        <f>IF(基础状态预期!AD197="",0,IFERROR(基础状态预期!J197*求节点($C$62:$C$63,H$62:H$63,基础状态预期!AD197),0)+IFERROR(基础状态预期!$J197*求节点($C$71:$C$72,H$71:H$72,基础状态预期!$AD197),0))</f>
        <v>0</v>
      </c>
      <c r="Y185" s="80">
        <f>IF(基础状态预期!$H197="",0,IF(基础状态预期!$AB197&lt;=1,基础状态预期!$AB197*D$18,D$18)*基础状态预期!$H197)+
IF(基础状态预期!$I197="",0,IF(基础状态预期!$AC197&lt;=1,基础状态预期!$AC197*D$19,D$19)*基础状态预期!$I197)+
IF(基础状态预期!$J197="",0,IF(基础状态预期!$AD197&lt;=1,基础状态预期!$AD197*D$20,D$20)*基础状态预期!$J197)</f>
        <v>12.173665591526156</v>
      </c>
      <c r="Z185" s="80">
        <f>IF(基础状态预期!$H197="",0,IF(基础状态预期!$AB197&lt;=1,基础状态预期!$AB197*E$18,E$18)*基础状态预期!$H197)+
IF(基础状态预期!$I197="",0,IF(基础状态预期!$AC197&lt;=1,基础状态预期!$AC197*E$19,E$19)*基础状态预期!$I197)+
IF(基础状态预期!$J197="",0,IF(基础状态预期!$AD197&lt;=1,基础状态预期!$AD197*E$20,E$20)*基础状态预期!$J197)</f>
        <v>0</v>
      </c>
      <c r="AA185" s="80">
        <f>IF(基础状态预期!$H197="",0,IF(基础状态预期!$AB197&lt;=1,基础状态预期!$AB197*F$18,F$18)*基础状态预期!$H197)+
IF(基础状态预期!$I197="",0,IF(基础状态预期!$AC197&lt;=1,基础状态预期!$AC197*F$19,F$19)*基础状态预期!$I197)+
IF(基础状态预期!$J197="",0,IF(基础状态预期!$AD197&lt;=1,基础状态预期!$AD197*F$20,F$20)*基础状态预期!$J197)</f>
        <v>0</v>
      </c>
      <c r="AB185" s="67">
        <f>IF(基础状态预期!$H197="",0,IF(基础状态预期!$AB197&lt;=1,0,(基础状态预期!$AB197-1)*G$26)*基础状态预期!$H197)+
IF(基础状态预期!$I197="",0,IF(基础状态预期!$AC197&lt;=1,0,(基础状态预期!$AC197-1)*G$27)*基础状态预期!$I197)+
IF(基础状态预期!$J197="",0,IF(基础状态预期!$AD197&lt;=1,0,(基础状态预期!$AD197-1)*G$28)*基础状态预期!$J197)</f>
        <v>0</v>
      </c>
      <c r="AC185" s="67">
        <f>IF(基础状态预期!$H197="",0,IF(基础状态预期!$AB197&lt;=1,0,(基础状态预期!$AB197-1)*H$26)*基础状态预期!$H197)+
IF(基础状态预期!$I197="",0,IF(基础状态预期!$AC197&lt;=1,0,(基础状态预期!$AC197-1)*H$27)*基础状态预期!$I197)+
IF(基础状态预期!$J197="",0,IF(基础状态预期!$AD197&lt;=1,0,(基础状态预期!$AD197-1)*H$28)*基础状态预期!$J197)</f>
        <v>0</v>
      </c>
      <c r="AD185" s="67">
        <f>IF(基础状态预期!$H197="",0,IF(基础状态预期!$AB197&lt;=1,0,(基础状态预期!$AB197-1)*I$26)*基础状态预期!$H197)+
IF(基础状态预期!$I197="",0,IF(基础状态预期!$AC197&lt;=1,0,(基础状态预期!$AC197-1)*I$27)*基础状态预期!$I197)+
IF(基础状态预期!$J197="",0,IF(基础状态预期!$AD197&lt;=1,0,(基础状态预期!$AD197-1)*I$28)*基础状态预期!$J197)</f>
        <v>0</v>
      </c>
      <c r="AE185" s="80">
        <f>IF(各r阵容卡情况!$H191=0,0,IF(各r阵容卡情况!$AB191&lt;=1,各r阵容卡情况!$AB191*D$18,1*D$18)*各r阵容卡情况!$H191)+
IF(各r阵容卡情况!$I191=0,0,IF(各r阵容卡情况!$AC191&lt;=1,各r阵容卡情况!$AC191*D$19,1*D$19)*各r阵容卡情况!$I191)+
IF(各r阵容卡情况!$J191=0,0,IF(各r阵容卡情况!$AD191&lt;=1,各r阵容卡情况!$AD191*D$20,1*D$20)*各r阵容卡情况!$J191)</f>
        <v>2.4282029958283855E-2</v>
      </c>
      <c r="AF185" s="80">
        <f>IF(各r阵容卡情况!$H191=0,0,IF(各r阵容卡情况!$AB191&lt;=1,各r阵容卡情况!$AB191*E$18,1*E$18)*各r阵容卡情况!$H191)+
IF(各r阵容卡情况!$I191=0,0,IF(各r阵容卡情况!$AC191&lt;=1,各r阵容卡情况!$AC191*E$19,1*E$19)*各r阵容卡情况!$I191)+
IF(各r阵容卡情况!$J191=0,0,IF(各r阵容卡情况!$AD191&lt;=1,各r阵容卡情况!$AD191*E$20,1*E$20)*各r阵容卡情况!$J191)</f>
        <v>0</v>
      </c>
      <c r="AG185" s="80">
        <f>IF(各r阵容卡情况!$H191=0,0,IF(各r阵容卡情况!$AB191&lt;=1,各r阵容卡情况!$AB191*F$18,1*F$18)*各r阵容卡情况!$H191)+
IF(各r阵容卡情况!$I191=0,0,IF(各r阵容卡情况!$AC191&lt;=1,各r阵容卡情况!$AC191*F$19,1*F$19)*各r阵容卡情况!$I191)+
IF(各r阵容卡情况!$J191=0,0,IF(各r阵容卡情况!$AD191&lt;=1,各r阵容卡情况!$AD191*F$20,1*F$20)*各r阵容卡情况!$J191)</f>
        <v>0</v>
      </c>
      <c r="AH185" s="67">
        <f>IF(各r阵容卡情况!$H191=0,0,IF(各r阵容卡情况!$AB191&lt;=1,0,(各r阵容卡情况!$AB191-1)*G$26)*各r阵容卡情况!$H191)+
IF(各r阵容卡情况!$I191=0,0,IF(各r阵容卡情况!$AC191&lt;=1,0,(各r阵容卡情况!$AC191-1)*G$27)*各r阵容卡情况!$I191)+
IF(各r阵容卡情况!$J191=0,0,IF(各r阵容卡情况!$AD191&lt;=1,0,(各r阵容卡情况!$AD191-1)*G$28)*各r阵容卡情况!$J191)</f>
        <v>0</v>
      </c>
      <c r="AI185" s="67">
        <f>IF(各r阵容卡情况!$H191=0,0,IF(各r阵容卡情况!$AB191&lt;=1,0,(各r阵容卡情况!$AB191-1)*H$26)*各r阵容卡情况!$H191)+
IF(各r阵容卡情况!$I191=0,0,IF(各r阵容卡情况!$AC191&lt;=1,0,(各r阵容卡情况!$AC191-1)*H$27)*各r阵容卡情况!$I191)+
IF(各r阵容卡情况!$J191=0,0,IF(各r阵容卡情况!$AD191&lt;=1,0,(各r阵容卡情况!$AD191-1)*H$28)*各r阵容卡情况!$J191)</f>
        <v>0</v>
      </c>
      <c r="AJ185" s="67">
        <f>IF(各r阵容卡情况!$H191=0,0,IF(各r阵容卡情况!$AB191&lt;=1,0,(各r阵容卡情况!$AB191-1)*I$26)*各r阵容卡情况!$H191)+
IF(各r阵容卡情况!$I191=0,0,IF(各r阵容卡情况!$AC191&lt;=1,0,(各r阵容卡情况!$AC191-1)*I$27)*各r阵容卡情况!$I191)+
IF(各r阵容卡情况!$J191=0,0,IF(各r阵容卡情况!$AD191&lt;=1,0,(各r阵容卡情况!$AD191-1)*I$28)*各r阵容卡情况!$J191)</f>
        <v>0</v>
      </c>
      <c r="AL185" s="80">
        <f t="shared" ref="AL185:AL200" si="150">AL140</f>
        <v>10</v>
      </c>
      <c r="AM185" s="80">
        <f t="shared" ref="AM185:AM200" si="151">求节点($M$185:$M$223,Y$185:Y$223,$AL185)</f>
        <v>12.12459728577195</v>
      </c>
      <c r="AN185" s="80">
        <f t="shared" ref="AN185:AN200" si="152">求节点($M$185:$M$223,Z$185:Z$223,$AL185)</f>
        <v>0</v>
      </c>
      <c r="AO185" s="80">
        <f t="shared" ref="AO185:AO200" si="153">求节点($M$185:$M$223,AA$185:AA$223,$AL185)</f>
        <v>0</v>
      </c>
      <c r="AP185" s="80">
        <f t="shared" ref="AP185:AP200" si="154">求节点($M$185:$M$223,AB$185:AB$223,$AL185)</f>
        <v>0</v>
      </c>
      <c r="AQ185" s="80">
        <f t="shared" ref="AQ185:AQ200" si="155">求节点($M$185:$M$223,AC$185:AC$223,$AL185)</f>
        <v>0</v>
      </c>
      <c r="AR185" s="80">
        <f t="shared" ref="AR185:AR200" si="156">求节点($M$185:$M$223,AD$185:AD$223,$AL185)</f>
        <v>0</v>
      </c>
      <c r="AS185" s="80">
        <f t="shared" ref="AS185:AS200" si="157">求节点($M$185:$M$223,AE$185:AE$223,$AL185)</f>
        <v>2.4184156555949292E-2</v>
      </c>
      <c r="AT185" s="80">
        <f t="shared" ref="AT185:AT200" si="158">求节点($M$185:$M$223,AF$185:AF$223,$AL185)</f>
        <v>0</v>
      </c>
      <c r="AU185" s="80">
        <f t="shared" ref="AU185:AU200" si="159">求节点($M$185:$M$223,AG$185:AG$223,$AL185)</f>
        <v>0</v>
      </c>
      <c r="AV185" s="80">
        <f t="shared" ref="AV185:AV200" si="160">求节点($M$185:$M$223,AH$185:AH$223,$AL185)</f>
        <v>0</v>
      </c>
      <c r="AW185" s="80">
        <f t="shared" ref="AW185:AW200" si="161">求节点($M$185:$M$223,AI$185:AI$223,$AL185)</f>
        <v>0</v>
      </c>
      <c r="AX185" s="80">
        <f t="shared" ref="AX185:AX200" si="162">求节点($M$185:$M$223,AJ$185:AJ$223,$AL185)</f>
        <v>0</v>
      </c>
      <c r="AY185" s="61" t="e">
        <f>SUMPRODUCT(AM185:AR185/'[1]功能-行军令'!$GI$26:$GN$26+AS185:AX185/'[1]功能-行军令'!$GI$26:$GN$26)/0.18</f>
        <v>#DIV/0!</v>
      </c>
      <c r="BB185" s="80">
        <v>20</v>
      </c>
      <c r="BC185" s="80"/>
      <c r="BD185" s="80"/>
      <c r="BE185" s="80"/>
      <c r="BF185" s="80"/>
      <c r="BG185" s="80"/>
      <c r="BH185" s="80"/>
      <c r="BI185" s="80"/>
      <c r="BJ185" s="80"/>
      <c r="BK185" s="80">
        <f t="shared" ref="BK185:BK193" si="163">SUM(BG185:BJ185)</f>
        <v>0</v>
      </c>
      <c r="BO185" s="80">
        <f t="shared" si="147"/>
        <v>19.288856680060892</v>
      </c>
      <c r="BP185" s="80">
        <f t="shared" si="148"/>
        <v>120000</v>
      </c>
      <c r="BQ185" s="80">
        <f>(BP185-BP184)*INDEX('[1]功能-付费相关'!$AU$6:$AU$165,$BO185,1)+BQ184</f>
        <v>269.71228676888921</v>
      </c>
      <c r="BR185" s="80"/>
      <c r="BS185" s="80"/>
      <c r="BU185" s="80">
        <v>20</v>
      </c>
      <c r="BV185" s="80">
        <f t="shared" si="149"/>
        <v>297.28335835548734</v>
      </c>
      <c r="BW185" s="80">
        <f>INDEX('[1]功能-行军令'!$N$4:$R$163,BU185,1)*INDEX('[1]功能-付费相关'!$H$6:$L$6,1,5)*'[1]功能-行军令'!$AD$17</f>
        <v>3632.773333333334</v>
      </c>
      <c r="BX185" s="80"/>
      <c r="BY185" s="80">
        <f t="shared" ref="BY185:BY193" si="164">SUM(BV185:BX185)</f>
        <v>3930.0566916888215</v>
      </c>
    </row>
    <row r="186" spans="12:77" x14ac:dyDescent="0.15">
      <c r="L186" s="61">
        <v>5</v>
      </c>
      <c r="M186" s="80">
        <f>基础状态预期!D198</f>
        <v>19.288856680060892</v>
      </c>
      <c r="N186" s="80">
        <f>IF(基础状态预期!F198="",0,IF(基础状态预期!Z198&lt;=1,基础状态预期!Z198*D$4,1*D$4+(基础状态预期!Z198-1)*武将觉醒!D$5))</f>
        <v>0</v>
      </c>
      <c r="O186" s="80">
        <f>IF(基础状态预期!G198="",0,IF(基础状态预期!AA198&lt;=1,基础状态预期!AA198*E$4,1*E$4+(基础状态预期!AA198-1)*武将觉醒!E$5))</f>
        <v>0</v>
      </c>
      <c r="P186" s="80">
        <f>IF(基础状态预期!H198="",0,IF(基础状态预期!AB198&lt;=1,基础状态预期!AB198*F$4,1*F$4+(基础状态预期!AB198-1)*武将觉醒!F$5))</f>
        <v>0</v>
      </c>
      <c r="Q186" s="80">
        <f>IF(基础状态预期!I198="",0,IF(基础状态预期!AC198&lt;=1,基础状态预期!AC198*G$4,1*G$4+(基础状态预期!AC198-1)*武将觉醒!G$5))</f>
        <v>20000</v>
      </c>
      <c r="R186" s="80">
        <f>IF(基础状态预期!J198="",0,IF(基础状态预期!AD198&lt;=1,基础状态预期!AD198*H$4,1*H$4+(基础状态预期!AD198-1)*武将觉醒!H$5))</f>
        <v>0</v>
      </c>
      <c r="S186" s="80">
        <f>MAX(SUMPRODUCT(N186:R186,基础状态预期!F198:J198),S185)</f>
        <v>120000</v>
      </c>
      <c r="T186" s="80">
        <f>IF(基础状态预期!Z198="",0,IFERROR(基础状态预期!F198*求节点($C$62:$C$63,D$62:D$63,基础状态预期!Z198),0)+IFERROR(基础状态预期!$J198*求节点($C$71:$C$72,D$71:D$72,基础状态预期!$AD198),0))</f>
        <v>0</v>
      </c>
      <c r="U186" s="80">
        <f>IF(基础状态预期!AA198="",0,IFERROR(基础状态预期!G198*求节点($C$62:$C$63,E$62:E$63,基础状态预期!AA198),0)+IFERROR(基础状态预期!$J198*求节点($C$71:$C$72,E$71:E$72,基础状态预期!$AD198),0))</f>
        <v>0</v>
      </c>
      <c r="V186" s="80">
        <f>IF(基础状态预期!AB198="",0,IFERROR(基础状态预期!H198*求节点($C$62:$C$63,F$62:F$63,基础状态预期!AB198),0)+IFERROR(基础状态预期!$J198*求节点($C$71:$C$72,F$71:F$72,基础状态预期!$AD198),0))</f>
        <v>0</v>
      </c>
      <c r="W186" s="80">
        <f>IF(基础状态预期!AC198="",0,IFERROR(基础状态预期!I198*求节点($C$62:$C$63,G$62:G$63,基础状态预期!AC198),0)+IFERROR(基础状态预期!$J198*求节点($C$71:$C$72,G$71:G$72,基础状态预期!$AD198),0))</f>
        <v>0</v>
      </c>
      <c r="X186" s="80">
        <f>IF(基础状态预期!AD198="",0,IFERROR(基础状态预期!J198*求节点($C$62:$C$63,H$62:H$63,基础状态预期!AD198),0)+IFERROR(基础状态预期!$J198*求节点($C$71:$C$72,H$71:H$72,基础状态预期!$AD198),0))</f>
        <v>0</v>
      </c>
      <c r="Y186" s="80">
        <f>IF(基础状态预期!$H198="",0,IF(基础状态预期!$AB198&lt;=1,基础状态预期!$AB198*D$18,D$18)*基础状态预期!$H198)+
IF(基础状态预期!$I198="",0,IF(基础状态预期!$AC198&lt;=1,基础状态预期!$AC198*D$19,D$19)*基础状态预期!$I198)+
IF(基础状态预期!$J198="",0,IF(基础状态预期!$AD198&lt;=1,基础状态预期!$AD198*D$20,D$20)*基础状态预期!$J198)</f>
        <v>36</v>
      </c>
      <c r="Z186" s="80">
        <f>IF(基础状态预期!$H198="",0,IF(基础状态预期!$AB198&lt;=1,基础状态预期!$AB198*E$18,E$18)*基础状态预期!$H198)+
IF(基础状态预期!$I198="",0,IF(基础状态预期!$AC198&lt;=1,基础状态预期!$AC198*E$19,E$19)*基础状态预期!$I198)+
IF(基础状态预期!$J198="",0,IF(基础状态预期!$AD198&lt;=1,基础状态预期!$AD198*E$20,E$20)*基础状态预期!$J198)</f>
        <v>0</v>
      </c>
      <c r="AA186" s="80">
        <f>IF(基础状态预期!$H198="",0,IF(基础状态预期!$AB198&lt;=1,基础状态预期!$AB198*F$18,F$18)*基础状态预期!$H198)+
IF(基础状态预期!$I198="",0,IF(基础状态预期!$AC198&lt;=1,基础状态预期!$AC198*F$19,F$19)*基础状态预期!$I198)+
IF(基础状态预期!$J198="",0,IF(基础状态预期!$AD198&lt;=1,基础状态预期!$AD198*F$20,F$20)*基础状态预期!$J198)</f>
        <v>0</v>
      </c>
      <c r="AB186" s="67">
        <f>IF(基础状态预期!$H198="",0,IF(基础状态预期!$AB198&lt;=1,0,(基础状态预期!$AB198-1)*G$26)*基础状态预期!$H198)+
IF(基础状态预期!$I198="",0,IF(基础状态预期!$AC198&lt;=1,0,(基础状态预期!$AC198-1)*G$27)*基础状态预期!$I198)+
IF(基础状态预期!$J198="",0,IF(基础状态预期!$AD198&lt;=1,0,(基础状态预期!$AD198-1)*G$28)*基础状态预期!$J198)</f>
        <v>0</v>
      </c>
      <c r="AC186" s="67">
        <f>IF(基础状态预期!$H198="",0,IF(基础状态预期!$AB198&lt;=1,0,(基础状态预期!$AB198-1)*H$26)*基础状态预期!$H198)+
IF(基础状态预期!$I198="",0,IF(基础状态预期!$AC198&lt;=1,0,(基础状态预期!$AC198-1)*H$27)*基础状态预期!$I198)+
IF(基础状态预期!$J198="",0,IF(基础状态预期!$AD198&lt;=1,0,(基础状态预期!$AD198-1)*H$28)*基础状态预期!$J198)</f>
        <v>0</v>
      </c>
      <c r="AD186" s="67">
        <f>IF(基础状态预期!$H198="",0,IF(基础状态预期!$AB198&lt;=1,0,(基础状态预期!$AB198-1)*I$26)*基础状态预期!$H198)+
IF(基础状态预期!$I198="",0,IF(基础状态预期!$AC198&lt;=1,0,(基础状态预期!$AC198-1)*I$27)*基础状态预期!$I198)+
IF(基础状态预期!$J198="",0,IF(基础状态预期!$AD198&lt;=1,0,(基础状态预期!$AD198-1)*I$28)*基础状态预期!$J198)</f>
        <v>0</v>
      </c>
      <c r="AE186" s="80">
        <f>IF(各r阵容卡情况!$H192=0,0,IF(各r阵容卡情况!$AB192&lt;=1,各r阵容卡情况!$AB192*D$18,1*D$18)*各r阵容卡情况!$H192)+
IF(各r阵容卡情况!$I192=0,0,IF(各r阵容卡情况!$AC192&lt;=1,各r阵容卡情况!$AC192*D$19,1*D$19)*各r阵容卡情况!$I192)+
IF(各r阵容卡情况!$J192=0,0,IF(各r阵容卡情况!$AD192&lt;=1,各r阵容卡情况!$AD192*D$20,1*D$20)*各r阵容卡情况!$J192)</f>
        <v>8</v>
      </c>
      <c r="AF186" s="80">
        <f>IF(各r阵容卡情况!$H192=0,0,IF(各r阵容卡情况!$AB192&lt;=1,各r阵容卡情况!$AB192*E$18,1*E$18)*各r阵容卡情况!$H192)+
IF(各r阵容卡情况!$I192=0,0,IF(各r阵容卡情况!$AC192&lt;=1,各r阵容卡情况!$AC192*E$19,1*E$19)*各r阵容卡情况!$I192)+
IF(各r阵容卡情况!$J192=0,0,IF(各r阵容卡情况!$AD192&lt;=1,各r阵容卡情况!$AD192*E$20,1*E$20)*各r阵容卡情况!$J192)</f>
        <v>0</v>
      </c>
      <c r="AG186" s="80">
        <f>IF(各r阵容卡情况!$H192=0,0,IF(各r阵容卡情况!$AB192&lt;=1,各r阵容卡情况!$AB192*F$18,1*F$18)*各r阵容卡情况!$H192)+
IF(各r阵容卡情况!$I192=0,0,IF(各r阵容卡情况!$AC192&lt;=1,各r阵容卡情况!$AC192*F$19,1*F$19)*各r阵容卡情况!$I192)+
IF(各r阵容卡情况!$J192=0,0,IF(各r阵容卡情况!$AD192&lt;=1,各r阵容卡情况!$AD192*F$20,1*F$20)*各r阵容卡情况!$J192)</f>
        <v>0</v>
      </c>
      <c r="AH186" s="67">
        <f>IF(各r阵容卡情况!$H192=0,0,IF(各r阵容卡情况!$AB192&lt;=1,0,(各r阵容卡情况!$AB192-1)*G$26)*各r阵容卡情况!$H192)+
IF(各r阵容卡情况!$I192=0,0,IF(各r阵容卡情况!$AC192&lt;=1,0,(各r阵容卡情况!$AC192-1)*G$27)*各r阵容卡情况!$I192)+
IF(各r阵容卡情况!$J192=0,0,IF(各r阵容卡情况!$AD192&lt;=1,0,(各r阵容卡情况!$AD192-1)*G$28)*各r阵容卡情况!$J192)</f>
        <v>0</v>
      </c>
      <c r="AI186" s="67">
        <f>IF(各r阵容卡情况!$H192=0,0,IF(各r阵容卡情况!$AB192&lt;=1,0,(各r阵容卡情况!$AB192-1)*H$26)*各r阵容卡情况!$H192)+
IF(各r阵容卡情况!$I192=0,0,IF(各r阵容卡情况!$AC192&lt;=1,0,(各r阵容卡情况!$AC192-1)*H$27)*各r阵容卡情况!$I192)+
IF(各r阵容卡情况!$J192=0,0,IF(各r阵容卡情况!$AD192&lt;=1,0,(各r阵容卡情况!$AD192-1)*H$28)*各r阵容卡情况!$J192)</f>
        <v>0</v>
      </c>
      <c r="AJ186" s="67">
        <f>IF(各r阵容卡情况!$H192=0,0,IF(各r阵容卡情况!$AB192&lt;=1,0,(各r阵容卡情况!$AB192-1)*I$26)*各r阵容卡情况!$H192)+
IF(各r阵容卡情况!$I192=0,0,IF(各r阵容卡情况!$AC192&lt;=1,0,(各r阵容卡情况!$AC192-1)*I$27)*各r阵容卡情况!$I192)+
IF(各r阵容卡情况!$J192=0,0,IF(各r阵容卡情况!$AD192&lt;=1,0,(各r阵容卡情况!$AD192-1)*I$28)*各r阵容卡情况!$J192)</f>
        <v>0</v>
      </c>
      <c r="AL186" s="80">
        <f t="shared" si="150"/>
        <v>15</v>
      </c>
      <c r="AM186" s="80">
        <f t="shared" si="151"/>
        <v>24.950750268568008</v>
      </c>
      <c r="AN186" s="80">
        <f t="shared" si="152"/>
        <v>0</v>
      </c>
      <c r="AO186" s="80">
        <f t="shared" si="153"/>
        <v>0</v>
      </c>
      <c r="AP186" s="80">
        <f t="shared" si="154"/>
        <v>0</v>
      </c>
      <c r="AQ186" s="80">
        <f t="shared" si="155"/>
        <v>0</v>
      </c>
      <c r="AR186" s="80">
        <f t="shared" si="156"/>
        <v>0</v>
      </c>
      <c r="AS186" s="80">
        <f t="shared" si="157"/>
        <v>4.3013320417798386</v>
      </c>
      <c r="AT186" s="80">
        <f t="shared" si="158"/>
        <v>0</v>
      </c>
      <c r="AU186" s="80">
        <f t="shared" si="159"/>
        <v>0</v>
      </c>
      <c r="AV186" s="80">
        <f t="shared" si="160"/>
        <v>0</v>
      </c>
      <c r="AW186" s="80">
        <f t="shared" si="161"/>
        <v>0</v>
      </c>
      <c r="AX186" s="80">
        <f t="shared" si="162"/>
        <v>0</v>
      </c>
      <c r="AY186" s="61" t="e">
        <f>SUMPRODUCT(AM186:AR186/'[1]功能-行军令'!$GI$26:$GN$26+AS186:AX186/'[1]功能-行军令'!$GI$26:$GN$26)/0.18</f>
        <v>#DIV/0!</v>
      </c>
      <c r="BB186" s="80">
        <v>30</v>
      </c>
      <c r="BC186" s="80"/>
      <c r="BD186" s="80"/>
      <c r="BE186" s="80"/>
      <c r="BF186" s="80"/>
      <c r="BG186" s="80"/>
      <c r="BH186" s="80"/>
      <c r="BI186" s="80"/>
      <c r="BJ186" s="80"/>
      <c r="BK186" s="80">
        <f t="shared" si="163"/>
        <v>0</v>
      </c>
      <c r="BO186" s="80">
        <f t="shared" si="147"/>
        <v>27.144641112884834</v>
      </c>
      <c r="BP186" s="80">
        <f t="shared" si="148"/>
        <v>283249.12355481659</v>
      </c>
      <c r="BQ186" s="80">
        <f>(BP186-BP185)*INDEX('[1]功能-付费相关'!$AU$6:$AU$165,$BO186,1)+BQ185</f>
        <v>574.28154713235301</v>
      </c>
      <c r="BR186" s="80"/>
      <c r="BS186" s="80"/>
      <c r="BU186" s="80">
        <v>30</v>
      </c>
      <c r="BV186" s="80">
        <f t="shared" si="149"/>
        <v>2791.6849303967538</v>
      </c>
      <c r="BW186" s="80">
        <f>INDEX('[1]功能-行军令'!$N$4:$R$163,BU186,1)*INDEX('[1]功能-付费相关'!$H$6:$L$6,1,5)*'[1]功能-行军令'!$AD$17</f>
        <v>8476.4711111111119</v>
      </c>
      <c r="BX186" s="80"/>
      <c r="BY186" s="80">
        <f t="shared" si="164"/>
        <v>11268.156041507866</v>
      </c>
    </row>
    <row r="187" spans="12:77" x14ac:dyDescent="0.15">
      <c r="L187" s="61">
        <v>6</v>
      </c>
      <c r="M187" s="80">
        <f>基础状态预期!D199</f>
        <v>27.144641112884834</v>
      </c>
      <c r="N187" s="80">
        <f>IF(基础状态预期!F199="",0,IF(基础状态预期!Z199&lt;=1,基础状态预期!Z199*D$4,1*D$4+(基础状态预期!Z199-1)*武将觉醒!D$5))</f>
        <v>0</v>
      </c>
      <c r="O187" s="80">
        <f>IF(基础状态预期!G199="",0,IF(基础状态预期!AA199&lt;=1,基础状态预期!AA199*E$4,1*E$4+(基础状态预期!AA199-1)*武将觉醒!E$5))</f>
        <v>0</v>
      </c>
      <c r="P187" s="80">
        <f>IF(基础状态预期!H199="",0,IF(基础状态预期!AB199&lt;=1,基础状态预期!AB199*F$4,1*F$4+(基础状态预期!AB199-1)*武将觉醒!F$5))</f>
        <v>0</v>
      </c>
      <c r="Q187" s="80">
        <f>IF(基础状态预期!I199="",0,IF(基础状态预期!AC199&lt;=1,基础状态预期!AC199*G$4,1*G$4+(基础状态预期!AC199-1)*武将觉醒!G$5))</f>
        <v>47208.187259136095</v>
      </c>
      <c r="R187" s="80">
        <f>IF(基础状态预期!J199="",0,IF(基础状态预期!AD199&lt;=1,基础状态预期!AD199*H$4,1*H$4+(基础状态预期!AD199-1)*武将觉醒!H$5))</f>
        <v>0</v>
      </c>
      <c r="S187" s="80">
        <f>MAX(SUMPRODUCT(N187:R187,基础状态预期!F199:J199),S186)</f>
        <v>283249.12355481659</v>
      </c>
      <c r="T187" s="80">
        <f>IF(基础状态预期!Z199="",0,IFERROR(基础状态预期!F199*求节点($C$62:$C$63,D$62:D$63,基础状态预期!Z199),0)+IFERROR(基础状态预期!$J199*求节点($C$71:$C$72,D$71:D$72,基础状态预期!$AD199),0))</f>
        <v>0</v>
      </c>
      <c r="U187" s="80">
        <f>IF(基础状态预期!AA199="",0,IFERROR(基础状态预期!G199*求节点($C$62:$C$63,E$62:E$63,基础状态预期!AA199),0)+IFERROR(基础状态预期!$J199*求节点($C$71:$C$72,E$71:E$72,基础状态预期!$AD199),0))</f>
        <v>0</v>
      </c>
      <c r="V187" s="80">
        <f>IF(基础状态预期!AB199="",0,IFERROR(基础状态预期!H199*求节点($C$62:$C$63,F$62:F$63,基础状态预期!AB199),0)+IFERROR(基础状态预期!$J199*求节点($C$71:$C$72,F$71:F$72,基础状态预期!$AD199),0))</f>
        <v>0</v>
      </c>
      <c r="W187" s="80">
        <f>IF(基础状态预期!AC199="",0,IFERROR(基础状态预期!I199*求节点($C$62:$C$63,G$62:G$63,基础状态预期!AC199),0)+IFERROR(基础状态预期!$J199*求节点($C$71:$C$72,G$71:G$72,基础状态预期!$AD199),0))</f>
        <v>0.32649824710963316</v>
      </c>
      <c r="X187" s="80">
        <f>IF(基础状态预期!AD199="",0,IFERROR(基础状态预期!J199*求节点($C$62:$C$63,H$62:H$63,基础状态预期!AD199),0)+IFERROR(基础状态预期!$J199*求节点($C$71:$C$72,H$71:H$72,基础状态预期!$AD199),0))</f>
        <v>0</v>
      </c>
      <c r="Y187" s="80">
        <f>IF(基础状态预期!$H199="",0,IF(基础状态预期!$AB199&lt;=1,基础状态预期!$AB199*D$18,D$18)*基础状态预期!$H199)+
IF(基础状态预期!$I199="",0,IF(基础状态预期!$AC199&lt;=1,基础状态预期!$AC199*D$19,D$19)*基础状态预期!$I199)+
IF(基础状态预期!$J199="",0,IF(基础状态预期!$AD199&lt;=1,基础状态预期!$AD199*D$20,D$20)*基础状态预期!$J199)</f>
        <v>36</v>
      </c>
      <c r="Z187" s="80">
        <f>IF(基础状态预期!$H199="",0,IF(基础状态预期!$AB199&lt;=1,基础状态预期!$AB199*E$18,E$18)*基础状态预期!$H199)+
IF(基础状态预期!$I199="",0,IF(基础状态预期!$AC199&lt;=1,基础状态预期!$AC199*E$19,E$19)*基础状态预期!$I199)+
IF(基础状态预期!$J199="",0,IF(基础状态预期!$AD199&lt;=1,基础状态预期!$AD199*E$20,E$20)*基础状态预期!$J199)</f>
        <v>0</v>
      </c>
      <c r="AA187" s="80">
        <f>IF(基础状态预期!$H199="",0,IF(基础状态预期!$AB199&lt;=1,基础状态预期!$AB199*F$18,F$18)*基础状态预期!$H199)+
IF(基础状态预期!$I199="",0,IF(基础状态预期!$AC199&lt;=1,基础状态预期!$AC199*F$19,F$19)*基础状态预期!$I199)+
IF(基础状态预期!$J199="",0,IF(基础状态预期!$AD199&lt;=1,基础状态预期!$AD199*F$20,F$20)*基础状态预期!$J199)</f>
        <v>0</v>
      </c>
      <c r="AB187" s="67">
        <f>IF(基础状态预期!$H199="",0,IF(基础状态预期!$AB199&lt;=1,0,(基础状态预期!$AB199-1)*G$26)*基础状态预期!$H199)+
IF(基础状态预期!$I199="",0,IF(基础状态预期!$AC199&lt;=1,0,(基础状态预期!$AC199-1)*G$27)*基础状态预期!$I199)+
IF(基础状态预期!$J199="",0,IF(基础状态预期!$AD199&lt;=1,0,(基础状态预期!$AD199-1)*G$28)*基础状态预期!$J199)</f>
        <v>9.7949474132889947</v>
      </c>
      <c r="AC187" s="67">
        <f>IF(基础状态预期!$H199="",0,IF(基础状态预期!$AB199&lt;=1,0,(基础状态预期!$AB199-1)*H$26)*基础状态预期!$H199)+
IF(基础状态预期!$I199="",0,IF(基础状态预期!$AC199&lt;=1,0,(基础状态预期!$AC199-1)*H$27)*基础状态预期!$I199)+
IF(基础状态预期!$J199="",0,IF(基础状态预期!$AD199&lt;=1,0,(基础状态预期!$AD199-1)*H$28)*基础状态预期!$J199)</f>
        <v>0</v>
      </c>
      <c r="AD187" s="67">
        <f>IF(基础状态预期!$H199="",0,IF(基础状态预期!$AB199&lt;=1,0,(基础状态预期!$AB199-1)*I$26)*基础状态预期!$H199)+
IF(基础状态预期!$I199="",0,IF(基础状态预期!$AC199&lt;=1,0,(基础状态预期!$AC199-1)*I$27)*基础状态预期!$I199)+
IF(基础状态预期!$J199="",0,IF(基础状态预期!$AD199&lt;=1,0,(基础状态预期!$AD199-1)*I$28)*基础状态预期!$J199)</f>
        <v>0</v>
      </c>
      <c r="AE187" s="80">
        <f>IF(各r阵容卡情况!$H193=0,0,IF(各r阵容卡情况!$AB193&lt;=1,各r阵容卡情况!$AB193*D$18,1*D$18)*各r阵容卡情况!$H193)+
IF(各r阵容卡情况!$I193=0,0,IF(各r阵容卡情况!$AC193&lt;=1,各r阵容卡情况!$AC193*D$19,1*D$19)*各r阵容卡情况!$I193)+
IF(各r阵容卡情况!$J193=0,0,IF(各r阵容卡情况!$AD193&lt;=1,各r阵容卡情况!$AD193*D$20,1*D$20)*各r阵容卡情况!$J193)</f>
        <v>16</v>
      </c>
      <c r="AF187" s="80">
        <f>IF(各r阵容卡情况!$H193=0,0,IF(各r阵容卡情况!$AB193&lt;=1,各r阵容卡情况!$AB193*E$18,1*E$18)*各r阵容卡情况!$H193)+
IF(各r阵容卡情况!$I193=0,0,IF(各r阵容卡情况!$AC193&lt;=1,各r阵容卡情况!$AC193*E$19,1*E$19)*各r阵容卡情况!$I193)+
IF(各r阵容卡情况!$J193=0,0,IF(各r阵容卡情况!$AD193&lt;=1,各r阵容卡情况!$AD193*E$20,1*E$20)*各r阵容卡情况!$J193)</f>
        <v>0</v>
      </c>
      <c r="AG187" s="80">
        <f>IF(各r阵容卡情况!$H193=0,0,IF(各r阵容卡情况!$AB193&lt;=1,各r阵容卡情况!$AB193*F$18,1*F$18)*各r阵容卡情况!$H193)+
IF(各r阵容卡情况!$I193=0,0,IF(各r阵容卡情况!$AC193&lt;=1,各r阵容卡情况!$AC193*F$19,1*F$19)*各r阵容卡情况!$I193)+
IF(各r阵容卡情况!$J193=0,0,IF(各r阵容卡情况!$AD193&lt;=1,各r阵容卡情况!$AD193*F$20,1*F$20)*各r阵容卡情况!$J193)</f>
        <v>0</v>
      </c>
      <c r="AH187" s="67">
        <f>IF(各r阵容卡情况!$H193=0,0,IF(各r阵容卡情况!$AB193&lt;=1,0,(各r阵容卡情况!$AB193-1)*G$26)*各r阵容卡情况!$H193)+
IF(各r阵容卡情况!$I193=0,0,IF(各r阵容卡情况!$AC193&lt;=1,0,(各r阵容卡情况!$AC193-1)*G$27)*各r阵容卡情况!$I193)+
IF(各r阵容卡情况!$J193=0,0,IF(各r阵容卡情况!$AD193&lt;=1,0,(各r阵容卡情况!$AD193-1)*G$28)*各r阵容卡情况!$J193)</f>
        <v>0</v>
      </c>
      <c r="AI187" s="67">
        <f>IF(各r阵容卡情况!$H193=0,0,IF(各r阵容卡情况!$AB193&lt;=1,0,(各r阵容卡情况!$AB193-1)*H$26)*各r阵容卡情况!$H193)+
IF(各r阵容卡情况!$I193=0,0,IF(各r阵容卡情况!$AC193&lt;=1,0,(各r阵容卡情况!$AC193-1)*H$27)*各r阵容卡情况!$I193)+
IF(各r阵容卡情况!$J193=0,0,IF(各r阵容卡情况!$AD193&lt;=1,0,(各r阵容卡情况!$AD193-1)*H$28)*各r阵容卡情况!$J193)</f>
        <v>0</v>
      </c>
      <c r="AJ187" s="67">
        <f>IF(各r阵容卡情况!$H193=0,0,IF(各r阵容卡情况!$AB193&lt;=1,0,(各r阵容卡情况!$AB193-1)*I$26)*各r阵容卡情况!$H193)+
IF(各r阵容卡情况!$I193=0,0,IF(各r阵容卡情况!$AC193&lt;=1,0,(各r阵容卡情况!$AC193-1)*I$27)*各r阵容卡情况!$I193)+
IF(各r阵容卡情况!$J193=0,0,IF(各r阵容卡情况!$AD193&lt;=1,0,(各r阵容卡情况!$AD193-1)*I$28)*各r阵容卡情况!$J193)</f>
        <v>0</v>
      </c>
      <c r="AL187" s="80">
        <f t="shared" si="150"/>
        <v>20</v>
      </c>
      <c r="AM187" s="80">
        <f t="shared" si="151"/>
        <v>36</v>
      </c>
      <c r="AN187" s="80">
        <f t="shared" si="152"/>
        <v>0</v>
      </c>
      <c r="AO187" s="80">
        <f t="shared" si="153"/>
        <v>0</v>
      </c>
      <c r="AP187" s="80">
        <f t="shared" si="154"/>
        <v>0.88668566222499634</v>
      </c>
      <c r="AQ187" s="80">
        <f t="shared" si="155"/>
        <v>0</v>
      </c>
      <c r="AR187" s="80">
        <f t="shared" si="156"/>
        <v>0</v>
      </c>
      <c r="AS187" s="80">
        <f t="shared" si="157"/>
        <v>8.7241984054121726</v>
      </c>
      <c r="AT187" s="80">
        <f t="shared" si="158"/>
        <v>0</v>
      </c>
      <c r="AU187" s="80">
        <f t="shared" si="159"/>
        <v>0</v>
      </c>
      <c r="AV187" s="80">
        <f t="shared" si="160"/>
        <v>0</v>
      </c>
      <c r="AW187" s="80">
        <f t="shared" si="161"/>
        <v>0</v>
      </c>
      <c r="AX187" s="80">
        <f t="shared" si="162"/>
        <v>0</v>
      </c>
      <c r="AY187" s="61" t="e">
        <f>SUMPRODUCT(AM187:AR187/'[1]功能-行军令'!$GI$26:$GN$26+AS187:AX187/'[1]功能-行军令'!$GI$26:$GN$26)/0.18</f>
        <v>#DIV/0!</v>
      </c>
      <c r="BB187" s="80">
        <v>40</v>
      </c>
      <c r="BC187" s="80"/>
      <c r="BD187" s="80"/>
      <c r="BE187" s="80"/>
      <c r="BF187" s="80"/>
      <c r="BG187" s="80"/>
      <c r="BH187" s="80"/>
      <c r="BI187" s="80"/>
      <c r="BJ187" s="80"/>
      <c r="BK187" s="80">
        <f t="shared" si="163"/>
        <v>0</v>
      </c>
      <c r="BO187" s="80">
        <f t="shared" si="147"/>
        <v>33.399598377161809</v>
      </c>
      <c r="BP187" s="80">
        <f t="shared" si="148"/>
        <v>3120000</v>
      </c>
      <c r="BQ187" s="80">
        <f>(BP187-BP186)*INDEX('[1]功能-付费相关'!$AU$6:$AU$165,$BO187,1)+BQ186</f>
        <v>5431.7316780316396</v>
      </c>
      <c r="BR187" s="80"/>
      <c r="BS187" s="80"/>
      <c r="BU187" s="80">
        <v>40</v>
      </c>
      <c r="BV187" s="80">
        <f t="shared" si="149"/>
        <v>5431.7316780316396</v>
      </c>
      <c r="BW187" s="80">
        <f>INDEX('[1]功能-行军令'!$N$4:$R$163,BU187,1)*INDEX('[1]功能-付费相关'!$H$6:$L$6,1,5)*'[1]功能-行军令'!$AD$17</f>
        <v>18163.866666666669</v>
      </c>
      <c r="BX187" s="80"/>
      <c r="BY187" s="80">
        <f t="shared" si="164"/>
        <v>23595.598344698308</v>
      </c>
    </row>
    <row r="188" spans="12:77" x14ac:dyDescent="0.15">
      <c r="L188" s="61">
        <v>7</v>
      </c>
      <c r="M188" s="80">
        <f>基础状态预期!D200</f>
        <v>33.399598377161809</v>
      </c>
      <c r="N188" s="80">
        <f>IF(基础状态预期!F200="",0,IF(基础状态预期!Z200&lt;=1,基础状态预期!Z200*D$4,1*D$4+(基础状态预期!Z200-1)*武将觉醒!D$5))</f>
        <v>0</v>
      </c>
      <c r="O188" s="80">
        <f>IF(基础状态预期!G200="",0,IF(基础状态预期!AA200&lt;=1,基础状态预期!AA200*E$4,1*E$4+(基础状态预期!AA200-1)*武将觉醒!E$5))</f>
        <v>0</v>
      </c>
      <c r="P188" s="80">
        <f>IF(基础状态预期!H200="",0,IF(基础状态预期!AB200&lt;=1,基础状态预期!AB200*F$4,1*F$4+(基础状态预期!AB200-1)*武将觉醒!F$5))</f>
        <v>0</v>
      </c>
      <c r="Q188" s="80">
        <f>IF(基础状态预期!I200="",0,IF(基础状态预期!AC200&lt;=1,基础状态预期!AC200*G$4,1*G$4+(基础状态预期!AC200-1)*武将觉醒!G$5))</f>
        <v>520000</v>
      </c>
      <c r="R188" s="80">
        <f>IF(基础状态预期!J200="",0,IF(基础状态预期!AD200&lt;=1,基础状态预期!AD200*H$4,1*H$4+(基础状态预期!AD200-1)*武将觉醒!H$5))</f>
        <v>0</v>
      </c>
      <c r="S188" s="80">
        <f>MAX(SUMPRODUCT(N188:R188,基础状态预期!F200:J200),S187)</f>
        <v>3120000</v>
      </c>
      <c r="T188" s="80">
        <f>IF(基础状态预期!Z200="",0,IFERROR(基础状态预期!F200*求节点($C$62:$C$63,D$62:D$63,基础状态预期!Z200),0)+IFERROR(基础状态预期!$J200*求节点($C$71:$C$72,D$71:D$72,基础状态预期!$AD200),0))</f>
        <v>0</v>
      </c>
      <c r="U188" s="80">
        <f>IF(基础状态预期!AA200="",0,IFERROR(基础状态预期!G200*求节点($C$62:$C$63,E$62:E$63,基础状态预期!AA200),0)+IFERROR(基础状态预期!$J200*求节点($C$71:$C$72,E$71:E$72,基础状态预期!$AD200),0))</f>
        <v>0</v>
      </c>
      <c r="V188" s="80">
        <f>IF(基础状态预期!AB200="",0,IFERROR(基础状态预期!H200*求节点($C$62:$C$63,F$62:F$63,基础状态预期!AB200),0)+IFERROR(基础状态预期!$J200*求节点($C$71:$C$72,F$71:F$72,基础状态预期!$AD200),0))</f>
        <v>0</v>
      </c>
      <c r="W188" s="80">
        <f>IF(基础状态预期!AC200="",0,IFERROR(基础状态预期!I200*求节点($C$62:$C$63,G$62:G$63,基础状态预期!AC200),0)+IFERROR(基础状态预期!$J200*求节点($C$71:$C$72,G$71:G$72,基础状态预期!$AD200),0))</f>
        <v>6</v>
      </c>
      <c r="X188" s="80">
        <f>IF(基础状态预期!AD200="",0,IFERROR(基础状态预期!J200*求节点($C$62:$C$63,H$62:H$63,基础状态预期!AD200),0)+IFERROR(基础状态预期!$J200*求节点($C$71:$C$72,H$71:H$72,基础状态预期!$AD200),0))</f>
        <v>0</v>
      </c>
      <c r="Y188" s="80">
        <f>IF(基础状态预期!$H200="",0,IF(基础状态预期!$AB200&lt;=1,基础状态预期!$AB200*D$18,D$18)*基础状态预期!$H200)+
IF(基础状态预期!$I200="",0,IF(基础状态预期!$AC200&lt;=1,基础状态预期!$AC200*D$19,D$19)*基础状态预期!$I200)+
IF(基础状态预期!$J200="",0,IF(基础状态预期!$AD200&lt;=1,基础状态预期!$AD200*D$20,D$20)*基础状态预期!$J200)</f>
        <v>36</v>
      </c>
      <c r="Z188" s="80">
        <f>IF(基础状态预期!$H200="",0,IF(基础状态预期!$AB200&lt;=1,基础状态预期!$AB200*E$18,E$18)*基础状态预期!$H200)+
IF(基础状态预期!$I200="",0,IF(基础状态预期!$AC200&lt;=1,基础状态预期!$AC200*E$19,E$19)*基础状态预期!$I200)+
IF(基础状态预期!$J200="",0,IF(基础状态预期!$AD200&lt;=1,基础状态预期!$AD200*E$20,E$20)*基础状态预期!$J200)</f>
        <v>0</v>
      </c>
      <c r="AA188" s="80">
        <f>IF(基础状态预期!$H200="",0,IF(基础状态预期!$AB200&lt;=1,基础状态预期!$AB200*F$18,F$18)*基础状态预期!$H200)+
IF(基础状态预期!$I200="",0,IF(基础状态预期!$AC200&lt;=1,基础状态预期!$AC200*F$19,F$19)*基础状态预期!$I200)+
IF(基础状态预期!$J200="",0,IF(基础状态预期!$AD200&lt;=1,基础状态预期!$AD200*F$20,F$20)*基础状态预期!$J200)</f>
        <v>0</v>
      </c>
      <c r="AB188" s="67">
        <f>IF(基础状态预期!$H200="",0,IF(基础状态预期!$AB200&lt;=1,0,(基础状态预期!$AB200-1)*G$26)*基础状态预期!$H200)+
IF(基础状态预期!$I200="",0,IF(基础状态预期!$AC200&lt;=1,0,(基础状态预期!$AC200-1)*G$27)*基础状态预期!$I200)+
IF(基础状态预期!$J200="",0,IF(基础状态预期!$AD200&lt;=1,0,(基础状态预期!$AD200-1)*G$28)*基础状态预期!$J200)</f>
        <v>180</v>
      </c>
      <c r="AC188" s="67">
        <f>IF(基础状态预期!$H200="",0,IF(基础状态预期!$AB200&lt;=1,0,(基础状态预期!$AB200-1)*H$26)*基础状态预期!$H200)+
IF(基础状态预期!$I200="",0,IF(基础状态预期!$AC200&lt;=1,0,(基础状态预期!$AC200-1)*H$27)*基础状态预期!$I200)+
IF(基础状态预期!$J200="",0,IF(基础状态预期!$AD200&lt;=1,0,(基础状态预期!$AD200-1)*H$28)*基础状态预期!$J200)</f>
        <v>0</v>
      </c>
      <c r="AD188" s="67">
        <f>IF(基础状态预期!$H200="",0,IF(基础状态预期!$AB200&lt;=1,0,(基础状态预期!$AB200-1)*I$26)*基础状态预期!$H200)+
IF(基础状态预期!$I200="",0,IF(基础状态预期!$AC200&lt;=1,0,(基础状态预期!$AC200-1)*I$27)*基础状态预期!$I200)+
IF(基础状态预期!$J200="",0,IF(基础状态预期!$AD200&lt;=1,0,(基础状态预期!$AD200-1)*I$28)*基础状态预期!$J200)</f>
        <v>0</v>
      </c>
      <c r="AE188" s="80">
        <f>IF(各r阵容卡情况!$H194=0,0,IF(各r阵容卡情况!$AB194&lt;=1,各r阵容卡情况!$AB194*D$18,1*D$18)*各r阵容卡情况!$H194)+
IF(各r阵容卡情况!$I194=0,0,IF(各r阵容卡情况!$AC194&lt;=1,各r阵容卡情况!$AC194*D$19,1*D$19)*各r阵容卡情况!$I194)+
IF(各r阵容卡情况!$J194=0,0,IF(各r阵容卡情况!$AD194&lt;=1,各r阵容卡情况!$AD194*D$20,1*D$20)*各r阵容卡情况!$J194)</f>
        <v>24</v>
      </c>
      <c r="AF188" s="80">
        <f>IF(各r阵容卡情况!$H194=0,0,IF(各r阵容卡情况!$AB194&lt;=1,各r阵容卡情况!$AB194*E$18,1*E$18)*各r阵容卡情况!$H194)+
IF(各r阵容卡情况!$I194=0,0,IF(各r阵容卡情况!$AC194&lt;=1,各r阵容卡情况!$AC194*E$19,1*E$19)*各r阵容卡情况!$I194)+
IF(各r阵容卡情况!$J194=0,0,IF(各r阵容卡情况!$AD194&lt;=1,各r阵容卡情况!$AD194*E$20,1*E$20)*各r阵容卡情况!$J194)</f>
        <v>0</v>
      </c>
      <c r="AG188" s="80">
        <f>IF(各r阵容卡情况!$H194=0,0,IF(各r阵容卡情况!$AB194&lt;=1,各r阵容卡情况!$AB194*F$18,1*F$18)*各r阵容卡情况!$H194)+
IF(各r阵容卡情况!$I194=0,0,IF(各r阵容卡情况!$AC194&lt;=1,各r阵容卡情况!$AC194*F$19,1*F$19)*各r阵容卡情况!$I194)+
IF(各r阵容卡情况!$J194=0,0,IF(各r阵容卡情况!$AD194&lt;=1,各r阵容卡情况!$AD194*F$20,1*F$20)*各r阵容卡情况!$J194)</f>
        <v>0</v>
      </c>
      <c r="AH188" s="67">
        <f>IF(各r阵容卡情况!$H194=0,0,IF(各r阵容卡情况!$AB194&lt;=1,0,(各r阵容卡情况!$AB194-1)*G$26)*各r阵容卡情况!$H194)+
IF(各r阵容卡情况!$I194=0,0,IF(各r阵容卡情况!$AC194&lt;=1,0,(各r阵容卡情况!$AC194-1)*G$27)*各r阵容卡情况!$I194)+
IF(各r阵容卡情况!$J194=0,0,IF(各r阵容卡情况!$AD194&lt;=1,0,(各r阵容卡情况!$AD194-1)*G$28)*各r阵容卡情况!$J194)</f>
        <v>7.9919675432361625</v>
      </c>
      <c r="AI188" s="67">
        <f>IF(各r阵容卡情况!$H194=0,0,IF(各r阵容卡情况!$AB194&lt;=1,0,(各r阵容卡情况!$AB194-1)*H$26)*各r阵容卡情况!$H194)+
IF(各r阵容卡情况!$I194=0,0,IF(各r阵容卡情况!$AC194&lt;=1,0,(各r阵容卡情况!$AC194-1)*H$27)*各r阵容卡情况!$I194)+
IF(各r阵容卡情况!$J194=0,0,IF(各r阵容卡情况!$AD194&lt;=1,0,(各r阵容卡情况!$AD194-1)*H$28)*各r阵容卡情况!$J194)</f>
        <v>0</v>
      </c>
      <c r="AJ188" s="67">
        <f>IF(各r阵容卡情况!$H194=0,0,IF(各r阵容卡情况!$AB194&lt;=1,0,(各r阵容卡情况!$AB194-1)*I$26)*各r阵容卡情况!$H194)+
IF(各r阵容卡情况!$I194=0,0,IF(各r阵容卡情况!$AC194&lt;=1,0,(各r阵容卡情况!$AC194-1)*I$27)*各r阵容卡情况!$I194)+
IF(各r阵容卡情况!$J194=0,0,IF(各r阵容卡情况!$AD194&lt;=1,0,(各r阵容卡情况!$AD194-1)*I$28)*各r阵容卡情况!$J194)</f>
        <v>0</v>
      </c>
      <c r="AL188" s="80">
        <f t="shared" si="150"/>
        <v>25</v>
      </c>
      <c r="AM188" s="80">
        <f t="shared" si="151"/>
        <v>36</v>
      </c>
      <c r="AN188" s="80">
        <f t="shared" si="152"/>
        <v>0</v>
      </c>
      <c r="AO188" s="80">
        <f t="shared" si="153"/>
        <v>0</v>
      </c>
      <c r="AP188" s="80">
        <f t="shared" si="154"/>
        <v>7.1209118537957705</v>
      </c>
      <c r="AQ188" s="80">
        <f t="shared" si="155"/>
        <v>0</v>
      </c>
      <c r="AR188" s="80">
        <f t="shared" si="156"/>
        <v>0</v>
      </c>
      <c r="AS188" s="80">
        <f t="shared" si="157"/>
        <v>13.815987817665823</v>
      </c>
      <c r="AT188" s="80">
        <f t="shared" si="158"/>
        <v>0</v>
      </c>
      <c r="AU188" s="80">
        <f t="shared" si="159"/>
        <v>0</v>
      </c>
      <c r="AV188" s="80">
        <f t="shared" si="160"/>
        <v>0</v>
      </c>
      <c r="AW188" s="80">
        <f t="shared" si="161"/>
        <v>0</v>
      </c>
      <c r="AX188" s="80">
        <f t="shared" si="162"/>
        <v>0</v>
      </c>
      <c r="AY188" s="61" t="e">
        <f>SUMPRODUCT(AM188:AR188/'[1]功能-行军令'!$GI$26:$GN$26+AS188:AX188/'[1]功能-行军令'!$GI$26:$GN$26)/0.18</f>
        <v>#DIV/0!</v>
      </c>
      <c r="BB188" s="80">
        <v>50</v>
      </c>
      <c r="BC188" s="80"/>
      <c r="BD188" s="80"/>
      <c r="BE188" s="80"/>
      <c r="BF188" s="80"/>
      <c r="BG188" s="80"/>
      <c r="BH188" s="80"/>
      <c r="BI188" s="80"/>
      <c r="BJ188" s="80"/>
      <c r="BK188" s="80">
        <f t="shared" si="163"/>
        <v>0</v>
      </c>
      <c r="BO188" s="80">
        <f t="shared" si="147"/>
        <v>38.848984787984186</v>
      </c>
      <c r="BP188" s="80">
        <f t="shared" si="148"/>
        <v>3120000</v>
      </c>
      <c r="BQ188" s="80">
        <f>(BP188-BP187)*INDEX('[1]功能-付费相关'!$AU$6:$AU$165,$BO188,1)+BQ187</f>
        <v>5431.7316780316396</v>
      </c>
      <c r="BR188" s="80"/>
      <c r="BS188" s="80"/>
      <c r="BU188" s="80">
        <v>50</v>
      </c>
      <c r="BV188" s="80">
        <f t="shared" si="149"/>
        <v>6202.0855332984283</v>
      </c>
      <c r="BW188" s="80">
        <f>INDEX('[1]功能-行军令'!$N$4:$R$163,BU188,1)*INDEX('[1]功能-付费相关'!$H$6:$L$6,1,5)*'[1]功能-行军令'!$AD$17</f>
        <v>37538.657777777778</v>
      </c>
      <c r="BX188" s="80"/>
      <c r="BY188" s="80">
        <f t="shared" si="164"/>
        <v>43740.743311076207</v>
      </c>
    </row>
    <row r="189" spans="12:77" x14ac:dyDescent="0.15">
      <c r="L189" s="61">
        <v>8</v>
      </c>
      <c r="M189" s="80">
        <f>基础状态预期!D201</f>
        <v>38.848984787984186</v>
      </c>
      <c r="N189" s="80">
        <f>IF(基础状态预期!F201="",0,IF(基础状态预期!Z201&lt;=1,基础状态预期!Z201*D$4,1*D$4+(基础状态预期!Z201-1)*武将觉醒!D$5))</f>
        <v>0</v>
      </c>
      <c r="O189" s="80">
        <f>IF(基础状态预期!G201="",0,IF(基础状态预期!AA201&lt;=1,基础状态预期!AA201*E$4,1*E$4+(基础状态预期!AA201-1)*武将觉醒!E$5))</f>
        <v>0</v>
      </c>
      <c r="P189" s="80">
        <f>IF(基础状态预期!H201="",0,IF(基础状态预期!AB201&lt;=1,基础状态预期!AB201*F$4,1*F$4+(基础状态预期!AB201-1)*武将觉醒!F$5))</f>
        <v>0</v>
      </c>
      <c r="Q189" s="80">
        <f>IF(基础状态预期!I201="",0,IF(基础状态预期!AC201&lt;=1,基础状态预期!AC201*G$4,1*G$4+(基础状态预期!AC201-1)*武将觉醒!G$5))</f>
        <v>520000</v>
      </c>
      <c r="R189" s="80">
        <f>IF(基础状态预期!J201="",0,IF(基础状态预期!AD201&lt;=1,基础状态预期!AD201*H$4,1*H$4+(基础状态预期!AD201-1)*武将觉醒!H$5))</f>
        <v>0</v>
      </c>
      <c r="S189" s="80">
        <f>MAX(SUMPRODUCT(N189:R189,基础状态预期!F201:J201),S188)</f>
        <v>3120000</v>
      </c>
      <c r="T189" s="80">
        <f>IF(基础状态预期!Z201="",0,IFERROR(基础状态预期!F201*求节点($C$62:$C$63,D$62:D$63,基础状态预期!Z201),0)+IFERROR(基础状态预期!$J201*求节点($C$71:$C$72,D$71:D$72,基础状态预期!$AD201),0))</f>
        <v>0</v>
      </c>
      <c r="U189" s="80">
        <f>IF(基础状态预期!AA201="",0,IFERROR(基础状态预期!G201*求节点($C$62:$C$63,E$62:E$63,基础状态预期!AA201),0)+IFERROR(基础状态预期!$J201*求节点($C$71:$C$72,E$71:E$72,基础状态预期!$AD201),0))</f>
        <v>0</v>
      </c>
      <c r="V189" s="80">
        <f>IF(基础状态预期!AB201="",0,IFERROR(基础状态预期!H201*求节点($C$62:$C$63,F$62:F$63,基础状态预期!AB201),0)+IFERROR(基础状态预期!$J201*求节点($C$71:$C$72,F$71:F$72,基础状态预期!$AD201),0))</f>
        <v>0</v>
      </c>
      <c r="W189" s="80">
        <f>IF(基础状态预期!AC201="",0,IFERROR(基础状态预期!I201*求节点($C$62:$C$63,G$62:G$63,基础状态预期!AC201),0)+IFERROR(基础状态预期!$J201*求节点($C$71:$C$72,G$71:G$72,基础状态预期!$AD201),0))</f>
        <v>6</v>
      </c>
      <c r="X189" s="80">
        <f>IF(基础状态预期!AD201="",0,IFERROR(基础状态预期!J201*求节点($C$62:$C$63,H$62:H$63,基础状态预期!AD201),0)+IFERROR(基础状态预期!$J201*求节点($C$71:$C$72,H$71:H$72,基础状态预期!$AD201),0))</f>
        <v>0</v>
      </c>
      <c r="Y189" s="80">
        <f>IF(基础状态预期!$H201="",0,IF(基础状态预期!$AB201&lt;=1,基础状态预期!$AB201*D$18,D$18)*基础状态预期!$H201)+
IF(基础状态预期!$I201="",0,IF(基础状态预期!$AC201&lt;=1,基础状态预期!$AC201*D$19,D$19)*基础状态预期!$I201)+
IF(基础状态预期!$J201="",0,IF(基础状态预期!$AD201&lt;=1,基础状态预期!$AD201*D$20,D$20)*基础状态预期!$J201)</f>
        <v>36</v>
      </c>
      <c r="Z189" s="80">
        <f>IF(基础状态预期!$H201="",0,IF(基础状态预期!$AB201&lt;=1,基础状态预期!$AB201*E$18,E$18)*基础状态预期!$H201)+
IF(基础状态预期!$I201="",0,IF(基础状态预期!$AC201&lt;=1,基础状态预期!$AC201*E$19,E$19)*基础状态预期!$I201)+
IF(基础状态预期!$J201="",0,IF(基础状态预期!$AD201&lt;=1,基础状态预期!$AD201*E$20,E$20)*基础状态预期!$J201)</f>
        <v>0</v>
      </c>
      <c r="AA189" s="80">
        <f>IF(基础状态预期!$H201="",0,IF(基础状态预期!$AB201&lt;=1,基础状态预期!$AB201*F$18,F$18)*基础状态预期!$H201)+
IF(基础状态预期!$I201="",0,IF(基础状态预期!$AC201&lt;=1,基础状态预期!$AC201*F$19,F$19)*基础状态预期!$I201)+
IF(基础状态预期!$J201="",0,IF(基础状态预期!$AD201&lt;=1,基础状态预期!$AD201*F$20,F$20)*基础状态预期!$J201)</f>
        <v>0</v>
      </c>
      <c r="AB189" s="67">
        <f>IF(基础状态预期!$H201="",0,IF(基础状态预期!$AB201&lt;=1,0,(基础状态预期!$AB201-1)*G$26)*基础状态预期!$H201)+
IF(基础状态预期!$I201="",0,IF(基础状态预期!$AC201&lt;=1,0,(基础状态预期!$AC201-1)*G$27)*基础状态预期!$I201)+
IF(基础状态预期!$J201="",0,IF(基础状态预期!$AD201&lt;=1,0,(基础状态预期!$AD201-1)*G$28)*基础状态预期!$J201)</f>
        <v>180</v>
      </c>
      <c r="AC189" s="67">
        <f>IF(基础状态预期!$H201="",0,IF(基础状态预期!$AB201&lt;=1,0,(基础状态预期!$AB201-1)*H$26)*基础状态预期!$H201)+
IF(基础状态预期!$I201="",0,IF(基础状态预期!$AC201&lt;=1,0,(基础状态预期!$AC201-1)*H$27)*基础状态预期!$I201)+
IF(基础状态预期!$J201="",0,IF(基础状态预期!$AD201&lt;=1,0,(基础状态预期!$AD201-1)*H$28)*基础状态预期!$J201)</f>
        <v>0</v>
      </c>
      <c r="AD189" s="67">
        <f>IF(基础状态预期!$H201="",0,IF(基础状态预期!$AB201&lt;=1,0,(基础状态预期!$AB201-1)*I$26)*基础状态预期!$H201)+
IF(基础状态预期!$I201="",0,IF(基础状态预期!$AC201&lt;=1,0,(基础状态预期!$AC201-1)*I$27)*基础状态预期!$I201)+
IF(基础状态预期!$J201="",0,IF(基础状态预期!$AD201&lt;=1,0,(基础状态预期!$AD201-1)*I$28)*基础状态预期!$J201)</f>
        <v>0</v>
      </c>
      <c r="AE189" s="80">
        <f>IF(各r阵容卡情况!$H195=0,0,IF(各r阵容卡情况!$AB195&lt;=1,各r阵容卡情况!$AB195*D$18,1*D$18)*各r阵容卡情况!$H195)+
IF(各r阵容卡情况!$I195=0,0,IF(各r阵容卡情况!$AC195&lt;=1,各r阵容卡情况!$AC195*D$19,1*D$19)*各r阵容卡情况!$I195)+
IF(各r阵容卡情况!$J195=0,0,IF(各r阵容卡情况!$AD195&lt;=1,各r阵容卡情况!$AD195*D$20,1*D$20)*各r阵容卡情况!$J195)</f>
        <v>104</v>
      </c>
      <c r="AF189" s="80">
        <f>IF(各r阵容卡情况!$H195=0,0,IF(各r阵容卡情况!$AB195&lt;=1,各r阵容卡情况!$AB195*E$18,1*E$18)*各r阵容卡情况!$H195)+
IF(各r阵容卡情况!$I195=0,0,IF(各r阵容卡情况!$AC195&lt;=1,各r阵容卡情况!$AC195*E$19,1*E$19)*各r阵容卡情况!$I195)+
IF(各r阵容卡情况!$J195=0,0,IF(各r阵容卡情况!$AD195&lt;=1,各r阵容卡情况!$AD195*E$20,1*E$20)*各r阵容卡情况!$J195)</f>
        <v>0</v>
      </c>
      <c r="AG189" s="80">
        <f>IF(各r阵容卡情况!$H195=0,0,IF(各r阵容卡情况!$AB195&lt;=1,各r阵容卡情况!$AB195*F$18,1*F$18)*各r阵容卡情况!$H195)+
IF(各r阵容卡情况!$I195=0,0,IF(各r阵容卡情况!$AC195&lt;=1,各r阵容卡情况!$AC195*F$19,1*F$19)*各r阵容卡情况!$I195)+
IF(各r阵容卡情况!$J195=0,0,IF(各r阵容卡情况!$AD195&lt;=1,各r阵容卡情况!$AD195*F$20,1*F$20)*各r阵容卡情况!$J195)</f>
        <v>0</v>
      </c>
      <c r="AH189" s="67">
        <f>IF(各r阵容卡情况!$H195=0,0,IF(各r阵容卡情况!$AB195&lt;=1,0,(各r阵容卡情况!$AB195-1)*G$26)*各r阵容卡情况!$H195)+
IF(各r阵容卡情况!$I195=0,0,IF(各r阵容卡情况!$AC195&lt;=1,0,(各r阵容卡情况!$AC195-1)*G$27)*各r阵容卡情况!$I195)+
IF(各r阵容卡情况!$J195=0,0,IF(各r阵容卡情况!$AD195&lt;=1,0,(各r阵容卡情况!$AD195-1)*G$28)*各r阵容卡情况!$J195)</f>
        <v>494.93908727905114</v>
      </c>
      <c r="AI189" s="67">
        <f>IF(各r阵容卡情况!$H195=0,0,IF(各r阵容卡情况!$AB195&lt;=1,0,(各r阵容卡情况!$AB195-1)*H$26)*各r阵容卡情况!$H195)+
IF(各r阵容卡情况!$I195=0,0,IF(各r阵容卡情况!$AC195&lt;=1,0,(各r阵容卡情况!$AC195-1)*H$27)*各r阵容卡情况!$I195)+
IF(各r阵容卡情况!$J195=0,0,IF(各r阵容卡情况!$AD195&lt;=1,0,(各r阵容卡情况!$AD195-1)*H$28)*各r阵容卡情况!$J195)</f>
        <v>0</v>
      </c>
      <c r="AJ189" s="67">
        <f>IF(各r阵容卡情况!$H195=0,0,IF(各r阵容卡情况!$AB195&lt;=1,0,(各r阵容卡情况!$AB195-1)*I$26)*各r阵容卡情况!$H195)+
IF(各r阵容卡情况!$I195=0,0,IF(各r阵容卡情况!$AC195&lt;=1,0,(各r阵容卡情况!$AC195-1)*I$27)*各r阵容卡情况!$I195)+
IF(各r阵容卡情况!$J195=0,0,IF(各r阵容卡情况!$AD195&lt;=1,0,(各r阵容卡情况!$AD195-1)*I$28)*各r阵容卡情况!$J195)</f>
        <v>0</v>
      </c>
      <c r="AL189" s="80">
        <f t="shared" si="150"/>
        <v>30</v>
      </c>
      <c r="AM189" s="80">
        <f t="shared" si="151"/>
        <v>36</v>
      </c>
      <c r="AN189" s="80">
        <f t="shared" si="152"/>
        <v>0</v>
      </c>
      <c r="AO189" s="80">
        <f t="shared" si="153"/>
        <v>0</v>
      </c>
      <c r="AP189" s="80">
        <f t="shared" si="154"/>
        <v>87.492761962873615</v>
      </c>
      <c r="AQ189" s="80">
        <f t="shared" si="155"/>
        <v>0</v>
      </c>
      <c r="AR189" s="80">
        <f t="shared" si="156"/>
        <v>0</v>
      </c>
      <c r="AS189" s="80">
        <f t="shared" si="157"/>
        <v>19.651962776369469</v>
      </c>
      <c r="AT189" s="80">
        <f t="shared" si="158"/>
        <v>0</v>
      </c>
      <c r="AU189" s="80">
        <f t="shared" si="159"/>
        <v>0</v>
      </c>
      <c r="AV189" s="80">
        <f t="shared" si="160"/>
        <v>3.6482959972314295</v>
      </c>
      <c r="AW189" s="80">
        <f t="shared" si="161"/>
        <v>0</v>
      </c>
      <c r="AX189" s="80">
        <f t="shared" si="162"/>
        <v>0</v>
      </c>
      <c r="AY189" s="61" t="e">
        <f>SUMPRODUCT(AM189:AR189/'[1]功能-行军令'!$GI$26:$GN$26+AS189:AX189/'[1]功能-行军令'!$GI$26:$GN$26)/0.18</f>
        <v>#DIV/0!</v>
      </c>
      <c r="BB189" s="80">
        <v>60</v>
      </c>
      <c r="BC189" s="80"/>
      <c r="BD189" s="80"/>
      <c r="BE189" s="80"/>
      <c r="BF189" s="80"/>
      <c r="BG189" s="80"/>
      <c r="BH189" s="80"/>
      <c r="BI189" s="80"/>
      <c r="BJ189" s="80"/>
      <c r="BK189" s="80">
        <f t="shared" si="163"/>
        <v>0</v>
      </c>
      <c r="BO189" s="80">
        <f t="shared" si="147"/>
        <v>42.643360270022924</v>
      </c>
      <c r="BP189" s="80">
        <f t="shared" si="148"/>
        <v>3120000</v>
      </c>
      <c r="BQ189" s="80">
        <f>(BP189-BP188)*INDEX('[1]功能-付费相关'!$AU$6:$AU$165,$BO189,1)+BQ188</f>
        <v>5431.7316780316396</v>
      </c>
      <c r="BR189" s="80"/>
      <c r="BS189" s="80"/>
      <c r="BU189" s="80">
        <v>60</v>
      </c>
      <c r="BV189" s="80">
        <f t="shared" si="149"/>
        <v>9927.4601101816952</v>
      </c>
      <c r="BW189" s="80">
        <f>INDEX('[1]功能-行军令'!$N$4:$R$163,BU189,1)*INDEX('[1]功能-付费相关'!$H$6:$L$6,1,5)*'[1]功能-行军令'!$AD$17</f>
        <v>76288.240000000005</v>
      </c>
      <c r="BX189" s="80"/>
      <c r="BY189" s="80">
        <f t="shared" si="164"/>
        <v>86215.7001101817</v>
      </c>
    </row>
    <row r="190" spans="12:77" x14ac:dyDescent="0.15">
      <c r="L190" s="61">
        <v>9</v>
      </c>
      <c r="M190" s="80">
        <f>基础状态预期!D202</f>
        <v>42.643360270022924</v>
      </c>
      <c r="N190" s="80">
        <f>IF(基础状态预期!F202="",0,IF(基础状态预期!Z202&lt;=1,基础状态预期!Z202*D$4,1*D$4+(基础状态预期!Z202-1)*武将觉醒!D$5))</f>
        <v>0</v>
      </c>
      <c r="O190" s="80">
        <f>IF(基础状态预期!G202="",0,IF(基础状态预期!AA202&lt;=1,基础状态预期!AA202*E$4,1*E$4+(基础状态预期!AA202-1)*武将觉醒!E$5))</f>
        <v>0</v>
      </c>
      <c r="P190" s="80">
        <f>IF(基础状态预期!H202="",0,IF(基础状态预期!AB202&lt;=1,基础状态预期!AB202*F$4,1*F$4+(基础状态预期!AB202-1)*武将觉醒!F$5))</f>
        <v>0</v>
      </c>
      <c r="Q190" s="80">
        <f>IF(基础状态预期!I202="",0,IF(基础状态预期!AC202&lt;=1,基础状态预期!AC202*G$4,1*G$4+(基础状态预期!AC202-1)*武将觉醒!G$5))</f>
        <v>520000</v>
      </c>
      <c r="R190" s="80">
        <f>IF(基础状态预期!J202="",0,IF(基础状态预期!AD202&lt;=1,基础状态预期!AD202*H$4,1*H$4+(基础状态预期!AD202-1)*武将觉醒!H$5))</f>
        <v>0</v>
      </c>
      <c r="S190" s="80">
        <f>MAX(SUMPRODUCT(N190:R190,基础状态预期!F202:J202),S189)</f>
        <v>3120000</v>
      </c>
      <c r="T190" s="80">
        <f>IF(基础状态预期!Z202="",0,IFERROR(基础状态预期!F202*求节点($C$62:$C$63,D$62:D$63,基础状态预期!Z202),0)+IFERROR(基础状态预期!$J202*求节点($C$71:$C$72,D$71:D$72,基础状态预期!$AD202),0))</f>
        <v>0</v>
      </c>
      <c r="U190" s="80">
        <f>IF(基础状态预期!AA202="",0,IFERROR(基础状态预期!G202*求节点($C$62:$C$63,E$62:E$63,基础状态预期!AA202),0)+IFERROR(基础状态预期!$J202*求节点($C$71:$C$72,E$71:E$72,基础状态预期!$AD202),0))</f>
        <v>0</v>
      </c>
      <c r="V190" s="80">
        <f>IF(基础状态预期!AB202="",0,IFERROR(基础状态预期!H202*求节点($C$62:$C$63,F$62:F$63,基础状态预期!AB202),0)+IFERROR(基础状态预期!$J202*求节点($C$71:$C$72,F$71:F$72,基础状态预期!$AD202),0))</f>
        <v>0</v>
      </c>
      <c r="W190" s="80">
        <f>IF(基础状态预期!AC202="",0,IFERROR(基础状态预期!I202*求节点($C$62:$C$63,G$62:G$63,基础状态预期!AC202),0)+IFERROR(基础状态预期!$J202*求节点($C$71:$C$72,G$71:G$72,基础状态预期!$AD202),0))</f>
        <v>6</v>
      </c>
      <c r="X190" s="80">
        <f>IF(基础状态预期!AD202="",0,IFERROR(基础状态预期!J202*求节点($C$62:$C$63,H$62:H$63,基础状态预期!AD202),0)+IFERROR(基础状态预期!$J202*求节点($C$71:$C$72,H$71:H$72,基础状态预期!$AD202),0))</f>
        <v>0</v>
      </c>
      <c r="Y190" s="80">
        <f>IF(基础状态预期!$H202="",0,IF(基础状态预期!$AB202&lt;=1,基础状态预期!$AB202*D$18,D$18)*基础状态预期!$H202)+
IF(基础状态预期!$I202="",0,IF(基础状态预期!$AC202&lt;=1,基础状态预期!$AC202*D$19,D$19)*基础状态预期!$I202)+
IF(基础状态预期!$J202="",0,IF(基础状态预期!$AD202&lt;=1,基础状态预期!$AD202*D$20,D$20)*基础状态预期!$J202)</f>
        <v>36</v>
      </c>
      <c r="Z190" s="80">
        <f>IF(基础状态预期!$H202="",0,IF(基础状态预期!$AB202&lt;=1,基础状态预期!$AB202*E$18,E$18)*基础状态预期!$H202)+
IF(基础状态预期!$I202="",0,IF(基础状态预期!$AC202&lt;=1,基础状态预期!$AC202*E$19,E$19)*基础状态预期!$I202)+
IF(基础状态预期!$J202="",0,IF(基础状态预期!$AD202&lt;=1,基础状态预期!$AD202*E$20,E$20)*基础状态预期!$J202)</f>
        <v>0</v>
      </c>
      <c r="AA190" s="80">
        <f>IF(基础状态预期!$H202="",0,IF(基础状态预期!$AB202&lt;=1,基础状态预期!$AB202*F$18,F$18)*基础状态预期!$H202)+
IF(基础状态预期!$I202="",0,IF(基础状态预期!$AC202&lt;=1,基础状态预期!$AC202*F$19,F$19)*基础状态预期!$I202)+
IF(基础状态预期!$J202="",0,IF(基础状态预期!$AD202&lt;=1,基础状态预期!$AD202*F$20,F$20)*基础状态预期!$J202)</f>
        <v>0</v>
      </c>
      <c r="AB190" s="67">
        <f>IF(基础状态预期!$H202="",0,IF(基础状态预期!$AB202&lt;=1,0,(基础状态预期!$AB202-1)*G$26)*基础状态预期!$H202)+
IF(基础状态预期!$I202="",0,IF(基础状态预期!$AC202&lt;=1,0,(基础状态预期!$AC202-1)*G$27)*基础状态预期!$I202)+
IF(基础状态预期!$J202="",0,IF(基础状态预期!$AD202&lt;=1,0,(基础状态预期!$AD202-1)*G$28)*基础状态预期!$J202)</f>
        <v>180</v>
      </c>
      <c r="AC190" s="67">
        <f>IF(基础状态预期!$H202="",0,IF(基础状态预期!$AB202&lt;=1,0,(基础状态预期!$AB202-1)*H$26)*基础状态预期!$H202)+
IF(基础状态预期!$I202="",0,IF(基础状态预期!$AC202&lt;=1,0,(基础状态预期!$AC202-1)*H$27)*基础状态预期!$I202)+
IF(基础状态预期!$J202="",0,IF(基础状态预期!$AD202&lt;=1,0,(基础状态预期!$AD202-1)*H$28)*基础状态预期!$J202)</f>
        <v>0</v>
      </c>
      <c r="AD190" s="67">
        <f>IF(基础状态预期!$H202="",0,IF(基础状态预期!$AB202&lt;=1,0,(基础状态预期!$AB202-1)*I$26)*基础状态预期!$H202)+
IF(基础状态预期!$I202="",0,IF(基础状态预期!$AC202&lt;=1,0,(基础状态预期!$AC202-1)*I$27)*基础状态预期!$I202)+
IF(基础状态预期!$J202="",0,IF(基础状态预期!$AD202&lt;=1,0,(基础状态预期!$AD202-1)*I$28)*基础状态预期!$J202)</f>
        <v>0</v>
      </c>
      <c r="AE190" s="80">
        <f>IF(各r阵容卡情况!$H196=0,0,IF(各r阵容卡情况!$AB196&lt;=1,各r阵容卡情况!$AB196*D$18,1*D$18)*各r阵容卡情况!$H196)+
IF(各r阵容卡情况!$I196=0,0,IF(各r阵容卡情况!$AC196&lt;=1,各r阵容卡情况!$AC196*D$19,1*D$19)*各r阵容卡情况!$I196)+
IF(各r阵容卡情况!$J196=0,0,IF(各r阵容卡情况!$AD196&lt;=1,各r阵容卡情况!$AD196*D$20,1*D$20)*各r阵容卡情况!$J196)</f>
        <v>128</v>
      </c>
      <c r="AF190" s="80">
        <f>IF(各r阵容卡情况!$H196=0,0,IF(各r阵容卡情况!$AB196&lt;=1,各r阵容卡情况!$AB196*E$18,1*E$18)*各r阵容卡情况!$H196)+
IF(各r阵容卡情况!$I196=0,0,IF(各r阵容卡情况!$AC196&lt;=1,各r阵容卡情况!$AC196*E$19,1*E$19)*各r阵容卡情况!$I196)+
IF(各r阵容卡情况!$J196=0,0,IF(各r阵容卡情况!$AD196&lt;=1,各r阵容卡情况!$AD196*E$20,1*E$20)*各r阵容卡情况!$J196)</f>
        <v>0</v>
      </c>
      <c r="AG190" s="80">
        <f>IF(各r阵容卡情况!$H196=0,0,IF(各r阵容卡情况!$AB196&lt;=1,各r阵容卡情况!$AB196*F$18,1*F$18)*各r阵容卡情况!$H196)+
IF(各r阵容卡情况!$I196=0,0,IF(各r阵容卡情况!$AC196&lt;=1,各r阵容卡情况!$AC196*F$19,1*F$19)*各r阵容卡情况!$I196)+
IF(各r阵容卡情况!$J196=0,0,IF(各r阵容卡情况!$AD196&lt;=1,各r阵容卡情况!$AD196*F$20,1*F$20)*各r阵容卡情况!$J196)</f>
        <v>0</v>
      </c>
      <c r="AH190" s="67">
        <f>IF(各r阵容卡情况!$H196=0,0,IF(各r阵容卡情况!$AB196&lt;=1,0,(各r阵容卡情况!$AB196-1)*G$26)*各r阵容卡情况!$H196)+
IF(各r阵容卡情况!$I196=0,0,IF(各r阵容卡情况!$AC196&lt;=1,0,(各r阵容卡情况!$AC196-1)*G$27)*各r阵容卡情况!$I196)+
IF(各r阵容卡情况!$J196=0,0,IF(各r阵容卡情况!$AD196&lt;=1,0,(各r阵容卡情况!$AD196-1)*G$28)*各r阵容卡情况!$J196)</f>
        <v>640</v>
      </c>
      <c r="AI190" s="67">
        <f>IF(各r阵容卡情况!$H196=0,0,IF(各r阵容卡情况!$AB196&lt;=1,0,(各r阵容卡情况!$AB196-1)*H$26)*各r阵容卡情况!$H196)+
IF(各r阵容卡情况!$I196=0,0,IF(各r阵容卡情况!$AC196&lt;=1,0,(各r阵容卡情况!$AC196-1)*H$27)*各r阵容卡情况!$I196)+
IF(各r阵容卡情况!$J196=0,0,IF(各r阵容卡情况!$AD196&lt;=1,0,(各r阵容卡情况!$AD196-1)*H$28)*各r阵容卡情况!$J196)</f>
        <v>0</v>
      </c>
      <c r="AJ190" s="67">
        <f>IF(各r阵容卡情况!$H196=0,0,IF(各r阵容卡情况!$AB196&lt;=1,0,(各r阵容卡情况!$AB196-1)*I$26)*各r阵容卡情况!$H196)+
IF(各r阵容卡情况!$I196=0,0,IF(各r阵容卡情况!$AC196&lt;=1,0,(各r阵容卡情况!$AC196-1)*I$27)*各r阵容卡情况!$I196)+
IF(各r阵容卡情况!$J196=0,0,IF(各r阵容卡情况!$AD196&lt;=1,0,(各r阵容卡情况!$AD196-1)*I$28)*各r阵容卡情况!$J196)</f>
        <v>0</v>
      </c>
      <c r="AL190" s="80">
        <f t="shared" si="150"/>
        <v>35</v>
      </c>
      <c r="AM190" s="80">
        <f t="shared" si="151"/>
        <v>36</v>
      </c>
      <c r="AN190" s="80">
        <f t="shared" si="152"/>
        <v>0</v>
      </c>
      <c r="AO190" s="80">
        <f t="shared" si="153"/>
        <v>0</v>
      </c>
      <c r="AP190" s="80">
        <f t="shared" si="154"/>
        <v>180</v>
      </c>
      <c r="AQ190" s="80">
        <f t="shared" si="155"/>
        <v>0</v>
      </c>
      <c r="AR190" s="80">
        <f t="shared" si="156"/>
        <v>0</v>
      </c>
      <c r="AS190" s="80">
        <f t="shared" si="157"/>
        <v>47.494779076922484</v>
      </c>
      <c r="AT190" s="80">
        <f t="shared" si="158"/>
        <v>0</v>
      </c>
      <c r="AU190" s="80">
        <f t="shared" si="159"/>
        <v>0</v>
      </c>
      <c r="AV190" s="80">
        <f t="shared" si="160"/>
        <v>151.00090504744483</v>
      </c>
      <c r="AW190" s="80">
        <f t="shared" si="161"/>
        <v>0</v>
      </c>
      <c r="AX190" s="80">
        <f t="shared" si="162"/>
        <v>0</v>
      </c>
      <c r="AY190" s="61" t="e">
        <f>SUMPRODUCT(AM190:AR190/'[1]功能-行军令'!$GI$26:$GN$26+AS190:AX190/'[1]功能-行军令'!$GI$26:$GN$26)/0.18</f>
        <v>#DIV/0!</v>
      </c>
      <c r="BB190" s="80">
        <v>70</v>
      </c>
      <c r="BC190" s="80"/>
      <c r="BD190" s="80"/>
      <c r="BE190" s="80"/>
      <c r="BF190" s="80"/>
      <c r="BG190" s="80"/>
      <c r="BH190" s="80"/>
      <c r="BI190" s="80"/>
      <c r="BJ190" s="80"/>
      <c r="BK190" s="80">
        <f t="shared" si="163"/>
        <v>0</v>
      </c>
      <c r="BO190" s="80">
        <f t="shared" si="147"/>
        <v>48.493134765265182</v>
      </c>
      <c r="BP190" s="80">
        <f t="shared" si="148"/>
        <v>3120000</v>
      </c>
      <c r="BQ190" s="80">
        <f>(BP190-BP189)*INDEX('[1]功能-付费相关'!$AU$6:$AU$165,$BO190,1)+BQ189</f>
        <v>5431.7316780316396</v>
      </c>
      <c r="BR190" s="80"/>
      <c r="BS190" s="80"/>
      <c r="BU190" s="80">
        <v>70</v>
      </c>
      <c r="BV190" s="80">
        <f t="shared" si="149"/>
        <v>13857.781153387874</v>
      </c>
      <c r="BW190" s="86">
        <f>BW189*1.5</f>
        <v>114432.36000000002</v>
      </c>
      <c r="BX190" s="80"/>
      <c r="BY190" s="80">
        <f t="shared" si="164"/>
        <v>128290.14115338789</v>
      </c>
    </row>
    <row r="191" spans="12:77" x14ac:dyDescent="0.15">
      <c r="L191" s="61">
        <v>10</v>
      </c>
      <c r="M191" s="80">
        <f>基础状态预期!D203</f>
        <v>48.493134765265182</v>
      </c>
      <c r="N191" s="80">
        <f>IF(基础状态预期!F203="",0,IF(基础状态预期!Z203&lt;=1,基础状态预期!Z203*D$4,1*D$4+(基础状态预期!Z203-1)*武将觉醒!D$5))</f>
        <v>0</v>
      </c>
      <c r="O191" s="80">
        <f>IF(基础状态预期!G203="",0,IF(基础状态预期!AA203&lt;=1,基础状态预期!AA203*E$4,1*E$4+(基础状态预期!AA203-1)*武将觉醒!E$5))</f>
        <v>0</v>
      </c>
      <c r="P191" s="80">
        <f>IF(基础状态预期!H203="",0,IF(基础状态预期!AB203&lt;=1,基础状态预期!AB203*F$4,1*F$4+(基础状态预期!AB203-1)*武将觉醒!F$5))</f>
        <v>0</v>
      </c>
      <c r="Q191" s="80">
        <f>IF(基础状态预期!I203="",0,IF(基础状态预期!AC203&lt;=1,基础状态预期!AC203*G$4,1*G$4+(基础状态预期!AC203-1)*武将觉醒!G$5))</f>
        <v>520000</v>
      </c>
      <c r="R191" s="80">
        <f>IF(基础状态预期!J203="",0,IF(基础状态预期!AD203&lt;=1,基础状态预期!AD203*H$4,1*H$4+(基础状态预期!AD203-1)*武将觉醒!H$5))</f>
        <v>0</v>
      </c>
      <c r="S191" s="80">
        <f>MAX(SUMPRODUCT(N191:R191,基础状态预期!F203:J203),S190)</f>
        <v>3120000</v>
      </c>
      <c r="T191" s="80">
        <f>IF(基础状态预期!Z203="",0,IFERROR(基础状态预期!F203*求节点($C$62:$C$63,D$62:D$63,基础状态预期!Z203),0)+IFERROR(基础状态预期!$J203*求节点($C$71:$C$72,D$71:D$72,基础状态预期!$AD203),0))</f>
        <v>0</v>
      </c>
      <c r="U191" s="80">
        <f>IF(基础状态预期!AA203="",0,IFERROR(基础状态预期!G203*求节点($C$62:$C$63,E$62:E$63,基础状态预期!AA203),0)+IFERROR(基础状态预期!$J203*求节点($C$71:$C$72,E$71:E$72,基础状态预期!$AD203),0))</f>
        <v>0</v>
      </c>
      <c r="V191" s="80">
        <f>IF(基础状态预期!AB203="",0,IFERROR(基础状态预期!H203*求节点($C$62:$C$63,F$62:F$63,基础状态预期!AB203),0)+IFERROR(基础状态预期!$J203*求节点($C$71:$C$72,F$71:F$72,基础状态预期!$AD203),0))</f>
        <v>0</v>
      </c>
      <c r="W191" s="80">
        <f>IF(基础状态预期!AC203="",0,IFERROR(基础状态预期!I203*求节点($C$62:$C$63,G$62:G$63,基础状态预期!AC203),0)+IFERROR(基础状态预期!$J203*求节点($C$71:$C$72,G$71:G$72,基础状态预期!$AD203),0))</f>
        <v>6</v>
      </c>
      <c r="X191" s="80">
        <f>IF(基础状态预期!AD203="",0,IFERROR(基础状态预期!J203*求节点($C$62:$C$63,H$62:H$63,基础状态预期!AD203),0)+IFERROR(基础状态预期!$J203*求节点($C$71:$C$72,H$71:H$72,基础状态预期!$AD203),0))</f>
        <v>0</v>
      </c>
      <c r="Y191" s="80">
        <f>IF(基础状态预期!$H203="",0,IF(基础状态预期!$AB203&lt;=1,基础状态预期!$AB203*D$18,D$18)*基础状态预期!$H203)+
IF(基础状态预期!$I203="",0,IF(基础状态预期!$AC203&lt;=1,基础状态预期!$AC203*D$19,D$19)*基础状态预期!$I203)+
IF(基础状态预期!$J203="",0,IF(基础状态预期!$AD203&lt;=1,基础状态预期!$AD203*D$20,D$20)*基础状态预期!$J203)</f>
        <v>36</v>
      </c>
      <c r="Z191" s="80">
        <f>IF(基础状态预期!$H203="",0,IF(基础状态预期!$AB203&lt;=1,基础状态预期!$AB203*E$18,E$18)*基础状态预期!$H203)+
IF(基础状态预期!$I203="",0,IF(基础状态预期!$AC203&lt;=1,基础状态预期!$AC203*E$19,E$19)*基础状态预期!$I203)+
IF(基础状态预期!$J203="",0,IF(基础状态预期!$AD203&lt;=1,基础状态预期!$AD203*E$20,E$20)*基础状态预期!$J203)</f>
        <v>0</v>
      </c>
      <c r="AA191" s="80">
        <f>IF(基础状态预期!$H203="",0,IF(基础状态预期!$AB203&lt;=1,基础状态预期!$AB203*F$18,F$18)*基础状态预期!$H203)+
IF(基础状态预期!$I203="",0,IF(基础状态预期!$AC203&lt;=1,基础状态预期!$AC203*F$19,F$19)*基础状态预期!$I203)+
IF(基础状态预期!$J203="",0,IF(基础状态预期!$AD203&lt;=1,基础状态预期!$AD203*F$20,F$20)*基础状态预期!$J203)</f>
        <v>0</v>
      </c>
      <c r="AB191" s="67">
        <f>IF(基础状态预期!$H203="",0,IF(基础状态预期!$AB203&lt;=1,0,(基础状态预期!$AB203-1)*G$26)*基础状态预期!$H203)+
IF(基础状态预期!$I203="",0,IF(基础状态预期!$AC203&lt;=1,0,(基础状态预期!$AC203-1)*G$27)*基础状态预期!$I203)+
IF(基础状态预期!$J203="",0,IF(基础状态预期!$AD203&lt;=1,0,(基础状态预期!$AD203-1)*G$28)*基础状态预期!$J203)</f>
        <v>180</v>
      </c>
      <c r="AC191" s="67">
        <f>IF(基础状态预期!$H203="",0,IF(基础状态预期!$AB203&lt;=1,0,(基础状态预期!$AB203-1)*H$26)*基础状态预期!$H203)+
IF(基础状态预期!$I203="",0,IF(基础状态预期!$AC203&lt;=1,0,(基础状态预期!$AC203-1)*H$27)*基础状态预期!$I203)+
IF(基础状态预期!$J203="",0,IF(基础状态预期!$AD203&lt;=1,0,(基础状态预期!$AD203-1)*H$28)*基础状态预期!$J203)</f>
        <v>0</v>
      </c>
      <c r="AD191" s="67">
        <f>IF(基础状态预期!$H203="",0,IF(基础状态预期!$AB203&lt;=1,0,(基础状态预期!$AB203-1)*I$26)*基础状态预期!$H203)+
IF(基础状态预期!$I203="",0,IF(基础状态预期!$AC203&lt;=1,0,(基础状态预期!$AC203-1)*I$27)*基础状态预期!$I203)+
IF(基础状态预期!$J203="",0,IF(基础状态预期!$AD203&lt;=1,0,(基础状态预期!$AD203-1)*I$28)*基础状态预期!$J203)</f>
        <v>0</v>
      </c>
      <c r="AE191" s="80">
        <f>IF(各r阵容卡情况!$H197=0,0,IF(各r阵容卡情况!$AB197&lt;=1,各r阵容卡情况!$AB197*D$18,1*D$18)*各r阵容卡情况!$H197)+
IF(各r阵容卡情况!$I197=0,0,IF(各r阵容卡情况!$AC197&lt;=1,各r阵容卡情况!$AC197*D$19,1*D$19)*各r阵容卡情况!$I197)+
IF(各r阵容卡情况!$J197=0,0,IF(各r阵容卡情况!$AD197&lt;=1,各r阵容卡情况!$AD197*D$20,1*D$20)*各r阵容卡情况!$J197)</f>
        <v>136</v>
      </c>
      <c r="AF191" s="80">
        <f>IF(各r阵容卡情况!$H197=0,0,IF(各r阵容卡情况!$AB197&lt;=1,各r阵容卡情况!$AB197*E$18,1*E$18)*各r阵容卡情况!$H197)+
IF(各r阵容卡情况!$I197=0,0,IF(各r阵容卡情况!$AC197&lt;=1,各r阵容卡情况!$AC197*E$19,1*E$19)*各r阵容卡情况!$I197)+
IF(各r阵容卡情况!$J197=0,0,IF(各r阵容卡情况!$AD197&lt;=1,各r阵容卡情况!$AD197*E$20,1*E$20)*各r阵容卡情况!$J197)</f>
        <v>0</v>
      </c>
      <c r="AG191" s="80">
        <f>IF(各r阵容卡情况!$H197=0,0,IF(各r阵容卡情况!$AB197&lt;=1,各r阵容卡情况!$AB197*F$18,1*F$18)*各r阵容卡情况!$H197)+
IF(各r阵容卡情况!$I197=0,0,IF(各r阵容卡情况!$AC197&lt;=1,各r阵容卡情况!$AC197*F$19,1*F$19)*各r阵容卡情况!$I197)+
IF(各r阵容卡情况!$J197=0,0,IF(各r阵容卡情况!$AD197&lt;=1,各r阵容卡情况!$AD197*F$20,1*F$20)*各r阵容卡情况!$J197)</f>
        <v>0</v>
      </c>
      <c r="AH191" s="67">
        <f>IF(各r阵容卡情况!$H197=0,0,IF(各r阵容卡情况!$AB197&lt;=1,0,(各r阵容卡情况!$AB197-1)*G$26)*各r阵容卡情况!$H197)+
IF(各r阵容卡情况!$I197=0,0,IF(各r阵容卡情况!$AC197&lt;=1,0,(各r阵容卡情况!$AC197-1)*G$27)*各r阵容卡情况!$I197)+
IF(各r阵容卡情况!$J197=0,0,IF(各r阵容卡情况!$AD197&lt;=1,0,(各r阵容卡情况!$AD197-1)*G$28)*各r阵容卡情况!$J197)</f>
        <v>680</v>
      </c>
      <c r="AI191" s="67">
        <f>IF(各r阵容卡情况!$H197=0,0,IF(各r阵容卡情况!$AB197&lt;=1,0,(各r阵容卡情况!$AB197-1)*H$26)*各r阵容卡情况!$H197)+
IF(各r阵容卡情况!$I197=0,0,IF(各r阵容卡情况!$AC197&lt;=1,0,(各r阵容卡情况!$AC197-1)*H$27)*各r阵容卡情况!$I197)+
IF(各r阵容卡情况!$J197=0,0,IF(各r阵容卡情况!$AD197&lt;=1,0,(各r阵容卡情况!$AD197-1)*H$28)*各r阵容卡情况!$J197)</f>
        <v>0</v>
      </c>
      <c r="AJ191" s="67">
        <f>IF(各r阵容卡情况!$H197=0,0,IF(各r阵容卡情况!$AB197&lt;=1,0,(各r阵容卡情况!$AB197-1)*I$26)*各r阵容卡情况!$H197)+
IF(各r阵容卡情况!$I197=0,0,IF(各r阵容卡情况!$AC197&lt;=1,0,(各r阵容卡情况!$AC197-1)*I$27)*各r阵容卡情况!$I197)+
IF(各r阵容卡情况!$J197=0,0,IF(各r阵容卡情况!$AD197&lt;=1,0,(各r阵容卡情况!$AD197-1)*I$28)*各r阵容卡情况!$J197)</f>
        <v>0</v>
      </c>
      <c r="AL191" s="80">
        <f t="shared" si="150"/>
        <v>40</v>
      </c>
      <c r="AM191" s="80">
        <f t="shared" si="151"/>
        <v>36</v>
      </c>
      <c r="AN191" s="80">
        <f t="shared" si="152"/>
        <v>0</v>
      </c>
      <c r="AO191" s="80">
        <f t="shared" si="153"/>
        <v>0</v>
      </c>
      <c r="AP191" s="80">
        <f t="shared" si="154"/>
        <v>180</v>
      </c>
      <c r="AQ191" s="80">
        <f t="shared" si="155"/>
        <v>0</v>
      </c>
      <c r="AR191" s="80">
        <f t="shared" si="156"/>
        <v>0</v>
      </c>
      <c r="AS191" s="80">
        <f t="shared" si="157"/>
        <v>111.2803456640345</v>
      </c>
      <c r="AT191" s="80">
        <f t="shared" si="158"/>
        <v>0</v>
      </c>
      <c r="AU191" s="80">
        <f t="shared" si="159"/>
        <v>0</v>
      </c>
      <c r="AV191" s="80">
        <f t="shared" si="160"/>
        <v>538.94298673525304</v>
      </c>
      <c r="AW191" s="80">
        <f t="shared" si="161"/>
        <v>0</v>
      </c>
      <c r="AX191" s="80">
        <f t="shared" si="162"/>
        <v>0</v>
      </c>
      <c r="AY191" s="61" t="e">
        <f>SUMPRODUCT(AM191:AR191/'[1]功能-行军令'!$GI$26:$GN$26+AS191:AX191/'[1]功能-行军令'!$GI$26:$GN$26)/0.18</f>
        <v>#DIV/0!</v>
      </c>
      <c r="BB191" s="80">
        <v>80</v>
      </c>
      <c r="BC191" s="80"/>
      <c r="BD191" s="80"/>
      <c r="BE191" s="80"/>
      <c r="BF191" s="80"/>
      <c r="BG191" s="80"/>
      <c r="BH191" s="80"/>
      <c r="BI191" s="80"/>
      <c r="BJ191" s="80"/>
      <c r="BK191" s="80">
        <f t="shared" si="163"/>
        <v>0</v>
      </c>
      <c r="BO191" s="80">
        <f t="shared" si="147"/>
        <v>52.559419343629337</v>
      </c>
      <c r="BP191" s="80">
        <f t="shared" si="148"/>
        <v>4650000</v>
      </c>
      <c r="BQ191" s="80">
        <f>(BP191-BP190)*INDEX('[1]功能-付费相关'!$AU$6:$AU$165,$BO191,1)+BQ190</f>
        <v>7510.5360258577266</v>
      </c>
      <c r="BR191" s="80"/>
      <c r="BS191" s="80"/>
      <c r="BU191" s="80">
        <v>80</v>
      </c>
      <c r="BV191" s="80">
        <f t="shared" si="149"/>
        <v>16450.938733882616</v>
      </c>
      <c r="BW191" s="86">
        <f>BW190</f>
        <v>114432.36000000002</v>
      </c>
      <c r="BX191" s="80"/>
      <c r="BY191" s="80">
        <f t="shared" si="164"/>
        <v>130883.29873388264</v>
      </c>
    </row>
    <row r="192" spans="12:77" x14ac:dyDescent="0.15">
      <c r="L192" s="61">
        <v>11</v>
      </c>
      <c r="M192" s="80">
        <f>基础状态预期!D204</f>
        <v>52.559419343629337</v>
      </c>
      <c r="N192" s="80">
        <f>IF(基础状态预期!F204="",0,IF(基础状态预期!Z204&lt;=1,基础状态预期!Z204*D$4,1*D$4+(基础状态预期!Z204-1)*武将觉醒!D$5))</f>
        <v>0</v>
      </c>
      <c r="O192" s="80">
        <f>IF(基础状态预期!G204="",0,IF(基础状态预期!AA204&lt;=1,基础状态预期!AA204*E$4,1*E$4+(基础状态预期!AA204-1)*武将觉醒!E$5))</f>
        <v>0</v>
      </c>
      <c r="P192" s="80">
        <f>IF(基础状态预期!H204="",0,IF(基础状态预期!AB204&lt;=1,基础状态预期!AB204*F$4,1*F$4+(基础状态预期!AB204-1)*武将觉醒!F$5))</f>
        <v>0</v>
      </c>
      <c r="Q192" s="80">
        <f>IF(基础状态预期!I204="",0,IF(基础状态预期!AC204&lt;=1,基础状态预期!AC204*G$4,1*G$4+(基础状态预期!AC204-1)*武将觉醒!G$5))</f>
        <v>520000</v>
      </c>
      <c r="R192" s="80">
        <f>IF(基础状态预期!J204="",0,IF(基础状态预期!AD204&lt;=1,基础状态预期!AD204*H$4,1*H$4+(基础状态预期!AD204-1)*武将觉醒!H$5))</f>
        <v>2050000</v>
      </c>
      <c r="S192" s="80">
        <f>MAX(SUMPRODUCT(N192:R192,基础状态预期!F204:J204),S191)</f>
        <v>4650000</v>
      </c>
      <c r="T192" s="80">
        <f>IF(基础状态预期!Z204="",0,IFERROR(基础状态预期!F204*求节点($C$62:$C$63,D$62:D$63,基础状态预期!Z204),0)+IFERROR(基础状态预期!$J204*求节点($C$71:$C$72,D$71:D$72,基础状态预期!$AD204),0))</f>
        <v>0</v>
      </c>
      <c r="U192" s="80">
        <f>IF(基础状态预期!AA204="",0,IFERROR(基础状态预期!G204*求节点($C$62:$C$63,E$62:E$63,基础状态预期!AA204),0)+IFERROR(基础状态预期!$J204*求节点($C$71:$C$72,E$71:E$72,基础状态预期!$AD204),0))</f>
        <v>0</v>
      </c>
      <c r="V192" s="80">
        <f>IF(基础状态预期!AB204="",0,IFERROR(基础状态预期!H204*求节点($C$62:$C$63,F$62:F$63,基础状态预期!AB204),0)+IFERROR(基础状态预期!$J204*求节点($C$71:$C$72,F$71:F$72,基础状态预期!$AD204),0))</f>
        <v>0</v>
      </c>
      <c r="W192" s="80">
        <f>IF(基础状态预期!AC204="",0,IFERROR(基础状态预期!I204*求节点($C$62:$C$63,G$62:G$63,基础状态预期!AC204),0)+IFERROR(基础状态预期!$J204*求节点($C$71:$C$72,G$71:G$72,基础状态预期!$AD204),0))</f>
        <v>8</v>
      </c>
      <c r="X192" s="80">
        <f>IF(基础状态预期!AD204="",0,IFERROR(基础状态预期!J204*求节点($C$62:$C$63,H$62:H$63,基础状态预期!AD204),0)+IFERROR(基础状态预期!$J204*求节点($C$71:$C$72,H$71:H$72,基础状态预期!$AD204),0))</f>
        <v>0</v>
      </c>
      <c r="Y192" s="80">
        <f>IF(基础状态预期!$H204="",0,IF(基础状态预期!$AB204&lt;=1,基础状态预期!$AB204*D$18,D$18)*基础状态预期!$H204)+
IF(基础状态预期!$I204="",0,IF(基础状态预期!$AC204&lt;=1,基础状态预期!$AC204*D$19,D$19)*基础状态预期!$I204)+
IF(基础状态预期!$J204="",0,IF(基础状态预期!$AD204&lt;=1,基础状态预期!$AD204*D$20,D$20)*基础状态预期!$J204)</f>
        <v>38</v>
      </c>
      <c r="Z192" s="80">
        <f>IF(基础状态预期!$H204="",0,IF(基础状态预期!$AB204&lt;=1,基础状态预期!$AB204*E$18,E$18)*基础状态预期!$H204)+
IF(基础状态预期!$I204="",0,IF(基础状态预期!$AC204&lt;=1,基础状态预期!$AC204*E$19,E$19)*基础状态预期!$I204)+
IF(基础状态预期!$J204="",0,IF(基础状态预期!$AD204&lt;=1,基础状态预期!$AD204*E$20,E$20)*基础状态预期!$J204)</f>
        <v>0</v>
      </c>
      <c r="AA192" s="80">
        <f>IF(基础状态预期!$H204="",0,IF(基础状态预期!$AB204&lt;=1,基础状态预期!$AB204*F$18,F$18)*基础状态预期!$H204)+
IF(基础状态预期!$I204="",0,IF(基础状态预期!$AC204&lt;=1,基础状态预期!$AC204*F$19,F$19)*基础状态预期!$I204)+
IF(基础状态预期!$J204="",0,IF(基础状态预期!$AD204&lt;=1,基础状态预期!$AD204*F$20,F$20)*基础状态预期!$J204)</f>
        <v>0</v>
      </c>
      <c r="AB192" s="67">
        <f>IF(基础状态预期!$H204="",0,IF(基础状态预期!$AB204&lt;=1,0,(基础状态预期!$AB204-1)*G$26)*基础状态预期!$H204)+
IF(基础状态预期!$I204="",0,IF(基础状态预期!$AC204&lt;=1,0,(基础状态预期!$AC204-1)*G$27)*基础状态预期!$I204)+
IF(基础状态预期!$J204="",0,IF(基础状态预期!$AD204&lt;=1,0,(基础状态预期!$AD204-1)*G$28)*基础状态预期!$J204)</f>
        <v>190</v>
      </c>
      <c r="AC192" s="67">
        <f>IF(基础状态预期!$H204="",0,IF(基础状态预期!$AB204&lt;=1,0,(基础状态预期!$AB204-1)*H$26)*基础状态预期!$H204)+
IF(基础状态预期!$I204="",0,IF(基础状态预期!$AC204&lt;=1,0,(基础状态预期!$AC204-1)*H$27)*基础状态预期!$I204)+
IF(基础状态预期!$J204="",0,IF(基础状态预期!$AD204&lt;=1,0,(基础状态预期!$AD204-1)*H$28)*基础状态预期!$J204)</f>
        <v>0</v>
      </c>
      <c r="AD192" s="67">
        <f>IF(基础状态预期!$H204="",0,IF(基础状态预期!$AB204&lt;=1,0,(基础状态预期!$AB204-1)*I$26)*基础状态预期!$H204)+
IF(基础状态预期!$I204="",0,IF(基础状态预期!$AC204&lt;=1,0,(基础状态预期!$AC204-1)*I$27)*基础状态预期!$I204)+
IF(基础状态预期!$J204="",0,IF(基础状态预期!$AD204&lt;=1,0,(基础状态预期!$AD204-1)*I$28)*基础状态预期!$J204)</f>
        <v>0</v>
      </c>
      <c r="AE192" s="80">
        <f>IF(各r阵容卡情况!$H198=0,0,IF(各r阵容卡情况!$AB198&lt;=1,各r阵容卡情况!$AB198*D$18,1*D$18)*各r阵容卡情况!$H198)+
IF(各r阵容卡情况!$I198=0,0,IF(各r阵容卡情况!$AC198&lt;=1,各r阵容卡情况!$AC198*D$19,1*D$19)*各r阵容卡情况!$I198)+
IF(各r阵容卡情况!$J198=0,0,IF(各r阵容卡情况!$AD198&lt;=1,各r阵容卡情况!$AD198*D$20,1*D$20)*各r阵容卡情况!$J198)</f>
        <v>140</v>
      </c>
      <c r="AF192" s="80">
        <f>IF(各r阵容卡情况!$H198=0,0,IF(各r阵容卡情况!$AB198&lt;=1,各r阵容卡情况!$AB198*E$18,1*E$18)*各r阵容卡情况!$H198)+
IF(各r阵容卡情况!$I198=0,0,IF(各r阵容卡情况!$AC198&lt;=1,各r阵容卡情况!$AC198*E$19,1*E$19)*各r阵容卡情况!$I198)+
IF(各r阵容卡情况!$J198=0,0,IF(各r阵容卡情况!$AD198&lt;=1,各r阵容卡情况!$AD198*E$20,1*E$20)*各r阵容卡情况!$J198)</f>
        <v>0</v>
      </c>
      <c r="AG192" s="80">
        <f>IF(各r阵容卡情况!$H198=0,0,IF(各r阵容卡情况!$AB198&lt;=1,各r阵容卡情况!$AB198*F$18,1*F$18)*各r阵容卡情况!$H198)+
IF(各r阵容卡情况!$I198=0,0,IF(各r阵容卡情况!$AC198&lt;=1,各r阵容卡情况!$AC198*F$19,1*F$19)*各r阵容卡情况!$I198)+
IF(各r阵容卡情况!$J198=0,0,IF(各r阵容卡情况!$AD198&lt;=1,各r阵容卡情况!$AD198*F$20,1*F$20)*各r阵容卡情况!$J198)</f>
        <v>0</v>
      </c>
      <c r="AH192" s="67">
        <f>IF(各r阵容卡情况!$H198=0,0,IF(各r阵容卡情况!$AB198&lt;=1,0,(各r阵容卡情况!$AB198-1)*G$26)*各r阵容卡情况!$H198)+
IF(各r阵容卡情况!$I198=0,0,IF(各r阵容卡情况!$AC198&lt;=1,0,(各r阵容卡情况!$AC198-1)*G$27)*各r阵容卡情况!$I198)+
IF(各r阵容卡情况!$J198=0,0,IF(各r阵容卡情况!$AD198&lt;=1,0,(各r阵容卡情况!$AD198-1)*G$28)*各r阵容卡情况!$J198)</f>
        <v>700</v>
      </c>
      <c r="AI192" s="67">
        <f>IF(各r阵容卡情况!$H198=0,0,IF(各r阵容卡情况!$AB198&lt;=1,0,(各r阵容卡情况!$AB198-1)*H$26)*各r阵容卡情况!$H198)+
IF(各r阵容卡情况!$I198=0,0,IF(各r阵容卡情况!$AC198&lt;=1,0,(各r阵容卡情况!$AC198-1)*H$27)*各r阵容卡情况!$I198)+
IF(各r阵容卡情况!$J198=0,0,IF(各r阵容卡情况!$AD198&lt;=1,0,(各r阵容卡情况!$AD198-1)*H$28)*各r阵容卡情况!$J198)</f>
        <v>0</v>
      </c>
      <c r="AJ192" s="67">
        <f>IF(各r阵容卡情况!$H198=0,0,IF(各r阵容卡情况!$AB198&lt;=1,0,(各r阵容卡情况!$AB198-1)*I$26)*各r阵容卡情况!$H198)+
IF(各r阵容卡情况!$I198=0,0,IF(各r阵容卡情况!$AC198&lt;=1,0,(各r阵容卡情况!$AC198-1)*I$27)*各r阵容卡情况!$I198)+
IF(各r阵容卡情况!$J198=0,0,IF(各r阵容卡情况!$AD198&lt;=1,0,(各r阵容卡情况!$AD198-1)*I$28)*各r阵容卡情况!$J198)</f>
        <v>0</v>
      </c>
      <c r="AL192" s="80">
        <f t="shared" si="150"/>
        <v>45</v>
      </c>
      <c r="AM192" s="80">
        <f t="shared" si="151"/>
        <v>36</v>
      </c>
      <c r="AN192" s="80">
        <f t="shared" si="152"/>
        <v>0</v>
      </c>
      <c r="AO192" s="80">
        <f t="shared" si="153"/>
        <v>0</v>
      </c>
      <c r="AP192" s="80">
        <f t="shared" si="154"/>
        <v>180</v>
      </c>
      <c r="AQ192" s="80">
        <f t="shared" si="155"/>
        <v>0</v>
      </c>
      <c r="AR192" s="80">
        <f t="shared" si="156"/>
        <v>0</v>
      </c>
      <c r="AS192" s="80">
        <f t="shared" si="157"/>
        <v>131.22287942127517</v>
      </c>
      <c r="AT192" s="80">
        <f t="shared" si="158"/>
        <v>0</v>
      </c>
      <c r="AU192" s="80">
        <f t="shared" si="159"/>
        <v>0</v>
      </c>
      <c r="AV192" s="80">
        <f t="shared" si="160"/>
        <v>656.1143971063758</v>
      </c>
      <c r="AW192" s="80">
        <f t="shared" si="161"/>
        <v>0</v>
      </c>
      <c r="AX192" s="80">
        <f t="shared" si="162"/>
        <v>0</v>
      </c>
      <c r="AY192" s="61" t="e">
        <f>SUMPRODUCT(AM192:AR192/'[1]功能-行军令'!$GI$26:$GN$26+AS192:AX192/'[1]功能-行军令'!$GI$26:$GN$26)/0.18</f>
        <v>#DIV/0!</v>
      </c>
      <c r="BB192" s="80">
        <v>90</v>
      </c>
      <c r="BC192" s="80"/>
      <c r="BD192" s="80"/>
      <c r="BE192" s="80"/>
      <c r="BF192" s="80"/>
      <c r="BG192" s="80"/>
      <c r="BH192" s="80"/>
      <c r="BI192" s="80"/>
      <c r="BJ192" s="80"/>
      <c r="BK192" s="80">
        <f t="shared" si="163"/>
        <v>0</v>
      </c>
      <c r="BO192" s="80">
        <f t="shared" si="147"/>
        <v>58.560986008166232</v>
      </c>
      <c r="BP192" s="80">
        <f t="shared" si="148"/>
        <v>6180000</v>
      </c>
      <c r="BQ192" s="80">
        <f>(BP192-BP191)*INDEX('[1]功能-付费相关'!$AU$6:$AU$165,$BO192,1)+BQ191</f>
        <v>9462.066638102624</v>
      </c>
      <c r="BR192" s="80"/>
      <c r="BS192" s="80"/>
      <c r="BU192" s="80">
        <v>90</v>
      </c>
      <c r="BV192" s="80">
        <f t="shared" si="149"/>
        <v>16450.938733882616</v>
      </c>
      <c r="BW192" s="86">
        <f t="shared" ref="BW192:BW199" si="165">BW191</f>
        <v>114432.36000000002</v>
      </c>
      <c r="BX192" s="80"/>
      <c r="BY192" s="80">
        <f t="shared" si="164"/>
        <v>130883.29873388264</v>
      </c>
    </row>
    <row r="193" spans="12:77" x14ac:dyDescent="0.15">
      <c r="L193" s="61">
        <v>12</v>
      </c>
      <c r="M193" s="80">
        <f>基础状态预期!D205</f>
        <v>58.560986008166232</v>
      </c>
      <c r="N193" s="80">
        <f>IF(基础状态预期!F205="",0,IF(基础状态预期!Z205&lt;=1,基础状态预期!Z205*D$4,1*D$4+(基础状态预期!Z205-1)*武将觉醒!D$5))</f>
        <v>0</v>
      </c>
      <c r="O193" s="80">
        <f>IF(基础状态预期!G205="",0,IF(基础状态预期!AA205&lt;=1,基础状态预期!AA205*E$4,1*E$4+(基础状态预期!AA205-1)*武将觉醒!E$5))</f>
        <v>0</v>
      </c>
      <c r="P193" s="80">
        <f>IF(基础状态预期!H205="",0,IF(基础状态预期!AB205&lt;=1,基础状态预期!AB205*F$4,1*F$4+(基础状态预期!AB205-1)*武将觉醒!F$5))</f>
        <v>0</v>
      </c>
      <c r="Q193" s="80">
        <f>IF(基础状态预期!I205="",0,IF(基础状态预期!AC205&lt;=1,基础状态预期!AC205*G$4,1*G$4+(基础状态预期!AC205-1)*武将觉醒!G$5))</f>
        <v>520000</v>
      </c>
      <c r="R193" s="80">
        <f>IF(基础状态预期!J205="",0,IF(基础状态预期!AD205&lt;=1,基础状态预期!AD205*H$4,1*H$4+(基础状态预期!AD205-1)*武将觉醒!H$5))</f>
        <v>2050000</v>
      </c>
      <c r="S193" s="80">
        <f>MAX(SUMPRODUCT(N193:R193,基础状态预期!F205:J205),S192)</f>
        <v>6180000</v>
      </c>
      <c r="T193" s="80">
        <f>IF(基础状态预期!Z205="",0,IFERROR(基础状态预期!F205*求节点($C$62:$C$63,D$62:D$63,基础状态预期!Z205),0)+IFERROR(基础状态预期!$J205*求节点($C$71:$C$72,D$71:D$72,基础状态预期!$AD205),0))</f>
        <v>0</v>
      </c>
      <c r="U193" s="80">
        <f>IF(基础状态预期!AA205="",0,IFERROR(基础状态预期!G205*求节点($C$62:$C$63,E$62:E$63,基础状态预期!AA205),0)+IFERROR(基础状态预期!$J205*求节点($C$71:$C$72,E$71:E$72,基础状态预期!$AD205),0))</f>
        <v>0</v>
      </c>
      <c r="V193" s="80">
        <f>IF(基础状态预期!AB205="",0,IFERROR(基础状态预期!H205*求节点($C$62:$C$63,F$62:F$63,基础状态预期!AB205),0)+IFERROR(基础状态预期!$J205*求节点($C$71:$C$72,F$71:F$72,基础状态预期!$AD205),0))</f>
        <v>0</v>
      </c>
      <c r="W193" s="80">
        <f>IF(基础状态预期!AC205="",0,IFERROR(基础状态预期!I205*求节点($C$62:$C$63,G$62:G$63,基础状态预期!AC205),0)+IFERROR(基础状态预期!$J205*求节点($C$71:$C$72,G$71:G$72,基础状态预期!$AD205),0))</f>
        <v>10</v>
      </c>
      <c r="X193" s="80">
        <f>IF(基础状态预期!AD205="",0,IFERROR(基础状态预期!J205*求节点($C$62:$C$63,H$62:H$63,基础状态预期!AD205),0)+IFERROR(基础状态预期!$J205*求节点($C$71:$C$72,H$71:H$72,基础状态预期!$AD205),0))</f>
        <v>0</v>
      </c>
      <c r="Y193" s="80">
        <f>IF(基础状态预期!$H205="",0,IF(基础状态预期!$AB205&lt;=1,基础状态预期!$AB205*D$18,D$18)*基础状态预期!$H205)+
IF(基础状态预期!$I205="",0,IF(基础状态预期!$AC205&lt;=1,基础状态预期!$AC205*D$19,D$19)*基础状态预期!$I205)+
IF(基础状态预期!$J205="",0,IF(基础状态预期!$AD205&lt;=1,基础状态预期!$AD205*D$20,D$20)*基础状态预期!$J205)</f>
        <v>40</v>
      </c>
      <c r="Z193" s="80">
        <f>IF(基础状态预期!$H205="",0,IF(基础状态预期!$AB205&lt;=1,基础状态预期!$AB205*E$18,E$18)*基础状态预期!$H205)+
IF(基础状态预期!$I205="",0,IF(基础状态预期!$AC205&lt;=1,基础状态预期!$AC205*E$19,E$19)*基础状态预期!$I205)+
IF(基础状态预期!$J205="",0,IF(基础状态预期!$AD205&lt;=1,基础状态预期!$AD205*E$20,E$20)*基础状态预期!$J205)</f>
        <v>0</v>
      </c>
      <c r="AA193" s="80">
        <f>IF(基础状态预期!$H205="",0,IF(基础状态预期!$AB205&lt;=1,基础状态预期!$AB205*F$18,F$18)*基础状态预期!$H205)+
IF(基础状态预期!$I205="",0,IF(基础状态预期!$AC205&lt;=1,基础状态预期!$AC205*F$19,F$19)*基础状态预期!$I205)+
IF(基础状态预期!$J205="",0,IF(基础状态预期!$AD205&lt;=1,基础状态预期!$AD205*F$20,F$20)*基础状态预期!$J205)</f>
        <v>0</v>
      </c>
      <c r="AB193" s="67">
        <f>IF(基础状态预期!$H205="",0,IF(基础状态预期!$AB205&lt;=1,0,(基础状态预期!$AB205-1)*G$26)*基础状态预期!$H205)+
IF(基础状态预期!$I205="",0,IF(基础状态预期!$AC205&lt;=1,0,(基础状态预期!$AC205-1)*G$27)*基础状态预期!$I205)+
IF(基础状态预期!$J205="",0,IF(基础状态预期!$AD205&lt;=1,0,(基础状态预期!$AD205-1)*G$28)*基础状态预期!$J205)</f>
        <v>200</v>
      </c>
      <c r="AC193" s="67">
        <f>IF(基础状态预期!$H205="",0,IF(基础状态预期!$AB205&lt;=1,0,(基础状态预期!$AB205-1)*H$26)*基础状态预期!$H205)+
IF(基础状态预期!$I205="",0,IF(基础状态预期!$AC205&lt;=1,0,(基础状态预期!$AC205-1)*H$27)*基础状态预期!$I205)+
IF(基础状态预期!$J205="",0,IF(基础状态预期!$AD205&lt;=1,0,(基础状态预期!$AD205-1)*H$28)*基础状态预期!$J205)</f>
        <v>0</v>
      </c>
      <c r="AD193" s="67">
        <f>IF(基础状态预期!$H205="",0,IF(基础状态预期!$AB205&lt;=1,0,(基础状态预期!$AB205-1)*I$26)*基础状态预期!$H205)+
IF(基础状态预期!$I205="",0,IF(基础状态预期!$AC205&lt;=1,0,(基础状态预期!$AC205-1)*I$27)*基础状态预期!$I205)+
IF(基础状态预期!$J205="",0,IF(基础状态预期!$AD205&lt;=1,0,(基础状态预期!$AD205-1)*I$28)*基础状态预期!$J205)</f>
        <v>0</v>
      </c>
      <c r="AE193" s="80">
        <f>IF(各r阵容卡情况!$H199=0,0,IF(各r阵容卡情况!$AB199&lt;=1,各r阵容卡情况!$AB199*D$18,1*D$18)*各r阵容卡情况!$H199)+
IF(各r阵容卡情况!$I199=0,0,IF(各r阵容卡情况!$AC199&lt;=1,各r阵容卡情况!$AC199*D$19,1*D$19)*各r阵容卡情况!$I199)+
IF(各r阵容卡情况!$J199=0,0,IF(各r阵容卡情况!$AD199&lt;=1,各r阵容卡情况!$AD199*D$20,1*D$20)*各r阵容卡情况!$J199)</f>
        <v>144</v>
      </c>
      <c r="AF193" s="80">
        <f>IF(各r阵容卡情况!$H199=0,0,IF(各r阵容卡情况!$AB199&lt;=1,各r阵容卡情况!$AB199*E$18,1*E$18)*各r阵容卡情况!$H199)+
IF(各r阵容卡情况!$I199=0,0,IF(各r阵容卡情况!$AC199&lt;=1,各r阵容卡情况!$AC199*E$19,1*E$19)*各r阵容卡情况!$I199)+
IF(各r阵容卡情况!$J199=0,0,IF(各r阵容卡情况!$AD199&lt;=1,各r阵容卡情况!$AD199*E$20,1*E$20)*各r阵容卡情况!$J199)</f>
        <v>0</v>
      </c>
      <c r="AG193" s="80">
        <f>IF(各r阵容卡情况!$H199=0,0,IF(各r阵容卡情况!$AB199&lt;=1,各r阵容卡情况!$AB199*F$18,1*F$18)*各r阵容卡情况!$H199)+
IF(各r阵容卡情况!$I199=0,0,IF(各r阵容卡情况!$AC199&lt;=1,各r阵容卡情况!$AC199*F$19,1*F$19)*各r阵容卡情况!$I199)+
IF(各r阵容卡情况!$J199=0,0,IF(各r阵容卡情况!$AD199&lt;=1,各r阵容卡情况!$AD199*F$20,1*F$20)*各r阵容卡情况!$J199)</f>
        <v>0</v>
      </c>
      <c r="AH193" s="67">
        <f>IF(各r阵容卡情况!$H199=0,0,IF(各r阵容卡情况!$AB199&lt;=1,0,(各r阵容卡情况!$AB199-1)*G$26)*各r阵容卡情况!$H199)+
IF(各r阵容卡情况!$I199=0,0,IF(各r阵容卡情况!$AC199&lt;=1,0,(各r阵容卡情况!$AC199-1)*G$27)*各r阵容卡情况!$I199)+
IF(各r阵容卡情况!$J199=0,0,IF(各r阵容卡情况!$AD199&lt;=1,0,(各r阵容卡情况!$AD199-1)*G$28)*各r阵容卡情况!$J199)</f>
        <v>720</v>
      </c>
      <c r="AI193" s="67">
        <f>IF(各r阵容卡情况!$H199=0,0,IF(各r阵容卡情况!$AB199&lt;=1,0,(各r阵容卡情况!$AB199-1)*H$26)*各r阵容卡情况!$H199)+
IF(各r阵容卡情况!$I199=0,0,IF(各r阵容卡情况!$AC199&lt;=1,0,(各r阵容卡情况!$AC199-1)*H$27)*各r阵容卡情况!$I199)+
IF(各r阵容卡情况!$J199=0,0,IF(各r阵容卡情况!$AD199&lt;=1,0,(各r阵容卡情况!$AD199-1)*H$28)*各r阵容卡情况!$J199)</f>
        <v>0</v>
      </c>
      <c r="AJ193" s="67">
        <f>IF(各r阵容卡情况!$H199=0,0,IF(各r阵容卡情况!$AB199&lt;=1,0,(各r阵容卡情况!$AB199-1)*I$26)*各r阵容卡情况!$H199)+
IF(各r阵容卡情况!$I199=0,0,IF(各r阵容卡情况!$AC199&lt;=1,0,(各r阵容卡情况!$AC199-1)*I$27)*各r阵容卡情况!$I199)+
IF(各r阵容卡情况!$J199=0,0,IF(各r阵容卡情况!$AD199&lt;=1,0,(各r阵容卡情况!$AD199-1)*I$28)*各r阵容卡情况!$J199)</f>
        <v>0</v>
      </c>
      <c r="AL193" s="80">
        <f t="shared" si="150"/>
        <v>50</v>
      </c>
      <c r="AM193" s="80">
        <f t="shared" si="151"/>
        <v>36.741150898661907</v>
      </c>
      <c r="AN193" s="80">
        <f t="shared" si="152"/>
        <v>0</v>
      </c>
      <c r="AO193" s="80">
        <f t="shared" si="153"/>
        <v>0</v>
      </c>
      <c r="AP193" s="80">
        <f t="shared" si="154"/>
        <v>183.70575449330951</v>
      </c>
      <c r="AQ193" s="80">
        <f t="shared" si="155"/>
        <v>0</v>
      </c>
      <c r="AR193" s="80">
        <f t="shared" si="156"/>
        <v>0</v>
      </c>
      <c r="AS193" s="80">
        <f t="shared" si="157"/>
        <v>137.4823017973238</v>
      </c>
      <c r="AT193" s="80">
        <f t="shared" si="158"/>
        <v>0</v>
      </c>
      <c r="AU193" s="80">
        <f t="shared" si="159"/>
        <v>0</v>
      </c>
      <c r="AV193" s="80">
        <f t="shared" si="160"/>
        <v>687.41150898661908</v>
      </c>
      <c r="AW193" s="80">
        <f t="shared" si="161"/>
        <v>0</v>
      </c>
      <c r="AX193" s="80">
        <f t="shared" si="162"/>
        <v>0</v>
      </c>
      <c r="AY193" s="61" t="e">
        <f>SUMPRODUCT(AM193:AR193/'[1]功能-行军令'!$GI$26:$GN$26+AS193:AX193/'[1]功能-行军令'!$GI$26:$GN$26)/0.18</f>
        <v>#DIV/0!</v>
      </c>
      <c r="BB193" s="80">
        <v>100</v>
      </c>
      <c r="BC193" s="80"/>
      <c r="BD193" s="80"/>
      <c r="BE193" s="80"/>
      <c r="BF193" s="80"/>
      <c r="BG193" s="80"/>
      <c r="BH193" s="80"/>
      <c r="BI193" s="80"/>
      <c r="BJ193" s="80"/>
      <c r="BK193" s="80">
        <f t="shared" si="163"/>
        <v>0</v>
      </c>
      <c r="BO193" s="80">
        <f t="shared" si="147"/>
        <v>64.247064283227857</v>
      </c>
      <c r="BP193" s="80">
        <f t="shared" si="148"/>
        <v>7710000</v>
      </c>
      <c r="BQ193" s="80">
        <f>(BP193-BP192)*INDEX('[1]功能-付费相关'!$AU$6:$AU$165,$BO193,1)+BQ192</f>
        <v>11301.008945794933</v>
      </c>
      <c r="BR193" s="80"/>
      <c r="BS193" s="80"/>
      <c r="BU193" s="80">
        <v>100</v>
      </c>
      <c r="BV193" s="80">
        <f t="shared" si="149"/>
        <v>16450.938733882616</v>
      </c>
      <c r="BW193" s="86">
        <f t="shared" si="165"/>
        <v>114432.36000000002</v>
      </c>
      <c r="BX193" s="80"/>
      <c r="BY193" s="80">
        <f t="shared" si="164"/>
        <v>130883.29873388264</v>
      </c>
    </row>
    <row r="194" spans="12:77" x14ac:dyDescent="0.15">
      <c r="L194" s="61">
        <v>13</v>
      </c>
      <c r="M194" s="80">
        <f>基础状态预期!D206</f>
        <v>64.247064283227857</v>
      </c>
      <c r="N194" s="80">
        <f>IF(基础状态预期!F206="",0,IF(基础状态预期!Z206&lt;=1,基础状态预期!Z206*D$4,1*D$4+(基础状态预期!Z206-1)*武将觉醒!D$5))</f>
        <v>0</v>
      </c>
      <c r="O194" s="80">
        <f>IF(基础状态预期!G206="",0,IF(基础状态预期!AA206&lt;=1,基础状态预期!AA206*E$4,1*E$4+(基础状态预期!AA206-1)*武将觉醒!E$5))</f>
        <v>0</v>
      </c>
      <c r="P194" s="80">
        <f>IF(基础状态预期!H206="",0,IF(基础状态预期!AB206&lt;=1,基础状态预期!AB206*F$4,1*F$4+(基础状态预期!AB206-1)*武将觉醒!F$5))</f>
        <v>0</v>
      </c>
      <c r="Q194" s="80">
        <f>IF(基础状态预期!I206="",0,IF(基础状态预期!AC206&lt;=1,基础状态预期!AC206*G$4,1*G$4+(基础状态预期!AC206-1)*武将觉醒!G$5))</f>
        <v>520000</v>
      </c>
      <c r="R194" s="80">
        <f>IF(基础状态预期!J206="",0,IF(基础状态预期!AD206&lt;=1,基础状态预期!AD206*H$4,1*H$4+(基础状态预期!AD206-1)*武将觉醒!H$5))</f>
        <v>2050000</v>
      </c>
      <c r="S194" s="80">
        <f>MAX(SUMPRODUCT(N194:R194,基础状态预期!F206:J206),S193)</f>
        <v>7710000</v>
      </c>
      <c r="T194" s="80">
        <f>IF(基础状态预期!Z206="",0,IFERROR(基础状态预期!F206*求节点($C$62:$C$63,D$62:D$63,基础状态预期!Z206),0)+IFERROR(基础状态预期!$J206*求节点($C$71:$C$72,D$71:D$72,基础状态预期!$AD206),0))</f>
        <v>0</v>
      </c>
      <c r="U194" s="80">
        <f>IF(基础状态预期!AA206="",0,IFERROR(基础状态预期!G206*求节点($C$62:$C$63,E$62:E$63,基础状态预期!AA206),0)+IFERROR(基础状态预期!$J206*求节点($C$71:$C$72,E$71:E$72,基础状态预期!$AD206),0))</f>
        <v>0</v>
      </c>
      <c r="V194" s="80">
        <f>IF(基础状态预期!AB206="",0,IFERROR(基础状态预期!H206*求节点($C$62:$C$63,F$62:F$63,基础状态预期!AB206),0)+IFERROR(基础状态预期!$J206*求节点($C$71:$C$72,F$71:F$72,基础状态预期!$AD206),0))</f>
        <v>0</v>
      </c>
      <c r="W194" s="80">
        <f>IF(基础状态预期!AC206="",0,IFERROR(基础状态预期!I206*求节点($C$62:$C$63,G$62:G$63,基础状态预期!AC206),0)+IFERROR(基础状态预期!$J206*求节点($C$71:$C$72,G$71:G$72,基础状态预期!$AD206),0))</f>
        <v>12</v>
      </c>
      <c r="X194" s="80">
        <f>IF(基础状态预期!AD206="",0,IFERROR(基础状态预期!J206*求节点($C$62:$C$63,H$62:H$63,基础状态预期!AD206),0)+IFERROR(基础状态预期!$J206*求节点($C$71:$C$72,H$71:H$72,基础状态预期!$AD206),0))</f>
        <v>0</v>
      </c>
      <c r="Y194" s="80">
        <f>IF(基础状态预期!$H206="",0,IF(基础状态预期!$AB206&lt;=1,基础状态预期!$AB206*D$18,D$18)*基础状态预期!$H206)+
IF(基础状态预期!$I206="",0,IF(基础状态预期!$AC206&lt;=1,基础状态预期!$AC206*D$19,D$19)*基础状态预期!$I206)+
IF(基础状态预期!$J206="",0,IF(基础状态预期!$AD206&lt;=1,基础状态预期!$AD206*D$20,D$20)*基础状态预期!$J206)</f>
        <v>42</v>
      </c>
      <c r="Z194" s="80">
        <f>IF(基础状态预期!$H206="",0,IF(基础状态预期!$AB206&lt;=1,基础状态预期!$AB206*E$18,E$18)*基础状态预期!$H206)+
IF(基础状态预期!$I206="",0,IF(基础状态预期!$AC206&lt;=1,基础状态预期!$AC206*E$19,E$19)*基础状态预期!$I206)+
IF(基础状态预期!$J206="",0,IF(基础状态预期!$AD206&lt;=1,基础状态预期!$AD206*E$20,E$20)*基础状态预期!$J206)</f>
        <v>0</v>
      </c>
      <c r="AA194" s="80">
        <f>IF(基础状态预期!$H206="",0,IF(基础状态预期!$AB206&lt;=1,基础状态预期!$AB206*F$18,F$18)*基础状态预期!$H206)+
IF(基础状态预期!$I206="",0,IF(基础状态预期!$AC206&lt;=1,基础状态预期!$AC206*F$19,F$19)*基础状态预期!$I206)+
IF(基础状态预期!$J206="",0,IF(基础状态预期!$AD206&lt;=1,基础状态预期!$AD206*F$20,F$20)*基础状态预期!$J206)</f>
        <v>0</v>
      </c>
      <c r="AB194" s="67">
        <f>IF(基础状态预期!$H206="",0,IF(基础状态预期!$AB206&lt;=1,0,(基础状态预期!$AB206-1)*G$26)*基础状态预期!$H206)+
IF(基础状态预期!$I206="",0,IF(基础状态预期!$AC206&lt;=1,0,(基础状态预期!$AC206-1)*G$27)*基础状态预期!$I206)+
IF(基础状态预期!$J206="",0,IF(基础状态预期!$AD206&lt;=1,0,(基础状态预期!$AD206-1)*G$28)*基础状态预期!$J206)</f>
        <v>210</v>
      </c>
      <c r="AC194" s="67">
        <f>IF(基础状态预期!$H206="",0,IF(基础状态预期!$AB206&lt;=1,0,(基础状态预期!$AB206-1)*H$26)*基础状态预期!$H206)+
IF(基础状态预期!$I206="",0,IF(基础状态预期!$AC206&lt;=1,0,(基础状态预期!$AC206-1)*H$27)*基础状态预期!$I206)+
IF(基础状态预期!$J206="",0,IF(基础状态预期!$AD206&lt;=1,0,(基础状态预期!$AD206-1)*H$28)*基础状态预期!$J206)</f>
        <v>0</v>
      </c>
      <c r="AD194" s="67">
        <f>IF(基础状态预期!$H206="",0,IF(基础状态预期!$AB206&lt;=1,0,(基础状态预期!$AB206-1)*I$26)*基础状态预期!$H206)+
IF(基础状态预期!$I206="",0,IF(基础状态预期!$AC206&lt;=1,0,(基础状态预期!$AC206-1)*I$27)*基础状态预期!$I206)+
IF(基础状态预期!$J206="",0,IF(基础状态预期!$AD206&lt;=1,0,(基础状态预期!$AD206-1)*I$28)*基础状态预期!$J206)</f>
        <v>0</v>
      </c>
      <c r="AE194" s="80">
        <f>IF(各r阵容卡情况!$H200=0,0,IF(各r阵容卡情况!$AB200&lt;=1,各r阵容卡情况!$AB200*D$18,1*D$18)*各r阵容卡情况!$H200)+
IF(各r阵容卡情况!$I200=0,0,IF(各r阵容卡情况!$AC200&lt;=1,各r阵容卡情况!$AC200*D$19,1*D$19)*各r阵容卡情况!$I200)+
IF(各r阵容卡情况!$J200=0,0,IF(各r阵容卡情况!$AD200&lt;=1,各r阵容卡情况!$AD200*D$20,1*D$20)*各r阵容卡情况!$J200)</f>
        <v>144</v>
      </c>
      <c r="AF194" s="80">
        <f>IF(各r阵容卡情况!$H200=0,0,IF(各r阵容卡情况!$AB200&lt;=1,各r阵容卡情况!$AB200*E$18,1*E$18)*各r阵容卡情况!$H200)+
IF(各r阵容卡情况!$I200=0,0,IF(各r阵容卡情况!$AC200&lt;=1,各r阵容卡情况!$AC200*E$19,1*E$19)*各r阵容卡情况!$I200)+
IF(各r阵容卡情况!$J200=0,0,IF(各r阵容卡情况!$AD200&lt;=1,各r阵容卡情况!$AD200*E$20,1*E$20)*各r阵容卡情况!$J200)</f>
        <v>0</v>
      </c>
      <c r="AG194" s="80">
        <f>IF(各r阵容卡情况!$H200=0,0,IF(各r阵容卡情况!$AB200&lt;=1,各r阵容卡情况!$AB200*F$18,1*F$18)*各r阵容卡情况!$H200)+
IF(各r阵容卡情况!$I200=0,0,IF(各r阵容卡情况!$AC200&lt;=1,各r阵容卡情况!$AC200*F$19,1*F$19)*各r阵容卡情况!$I200)+
IF(各r阵容卡情况!$J200=0,0,IF(各r阵容卡情况!$AD200&lt;=1,各r阵容卡情况!$AD200*F$20,1*F$20)*各r阵容卡情况!$J200)</f>
        <v>0</v>
      </c>
      <c r="AH194" s="67">
        <f>IF(各r阵容卡情况!$H200=0,0,IF(各r阵容卡情况!$AB200&lt;=1,0,(各r阵容卡情况!$AB200-1)*G$26)*各r阵容卡情况!$H200)+
IF(各r阵容卡情况!$I200=0,0,IF(各r阵容卡情况!$AC200&lt;=1,0,(各r阵容卡情况!$AC200-1)*G$27)*各r阵容卡情况!$I200)+
IF(各r阵容卡情况!$J200=0,0,IF(各r阵容卡情况!$AD200&lt;=1,0,(各r阵容卡情况!$AD200-1)*G$28)*各r阵容卡情况!$J200)</f>
        <v>720</v>
      </c>
      <c r="AI194" s="67">
        <f>IF(各r阵容卡情况!$H200=0,0,IF(各r阵容卡情况!$AB200&lt;=1,0,(各r阵容卡情况!$AB200-1)*H$26)*各r阵容卡情况!$H200)+
IF(各r阵容卡情况!$I200=0,0,IF(各r阵容卡情况!$AC200&lt;=1,0,(各r阵容卡情况!$AC200-1)*H$27)*各r阵容卡情况!$I200)+
IF(各r阵容卡情况!$J200=0,0,IF(各r阵容卡情况!$AD200&lt;=1,0,(各r阵容卡情况!$AD200-1)*H$28)*各r阵容卡情况!$J200)</f>
        <v>0</v>
      </c>
      <c r="AJ194" s="67">
        <f>IF(各r阵容卡情况!$H200=0,0,IF(各r阵容卡情况!$AB200&lt;=1,0,(各r阵容卡情况!$AB200-1)*I$26)*各r阵容卡情况!$H200)+
IF(各r阵容卡情况!$I200=0,0,IF(各r阵容卡情况!$AC200&lt;=1,0,(各r阵容卡情况!$AC200-1)*I$27)*各r阵容卡情况!$I200)+
IF(各r阵容卡情况!$J200=0,0,IF(各r阵容卡情况!$AD200&lt;=1,0,(各r阵容卡情况!$AD200-1)*I$28)*各r阵容卡情况!$J200)</f>
        <v>0</v>
      </c>
      <c r="AL194" s="80">
        <f t="shared" si="150"/>
        <v>55</v>
      </c>
      <c r="AM194" s="80">
        <f t="shared" si="151"/>
        <v>38.813314520287506</v>
      </c>
      <c r="AN194" s="80">
        <f t="shared" si="152"/>
        <v>0</v>
      </c>
      <c r="AO194" s="80">
        <f t="shared" si="153"/>
        <v>0</v>
      </c>
      <c r="AP194" s="80">
        <f t="shared" si="154"/>
        <v>194.06657260143754</v>
      </c>
      <c r="AQ194" s="80">
        <f t="shared" si="155"/>
        <v>0</v>
      </c>
      <c r="AR194" s="80">
        <f t="shared" si="156"/>
        <v>0</v>
      </c>
      <c r="AS194" s="80">
        <f t="shared" si="157"/>
        <v>141.62662904057501</v>
      </c>
      <c r="AT194" s="80">
        <f t="shared" si="158"/>
        <v>0</v>
      </c>
      <c r="AU194" s="80">
        <f t="shared" si="159"/>
        <v>0</v>
      </c>
      <c r="AV194" s="80">
        <f t="shared" si="160"/>
        <v>708.13314520287508</v>
      </c>
      <c r="AW194" s="80">
        <f t="shared" si="161"/>
        <v>0</v>
      </c>
      <c r="AX194" s="80">
        <f t="shared" si="162"/>
        <v>0</v>
      </c>
      <c r="AY194" s="61" t="e">
        <f>SUMPRODUCT(AM194:AR194/'[1]功能-行军令'!$GI$26:$GN$26+AS194:AX194/'[1]功能-行军令'!$GI$26:$GN$26)/0.18</f>
        <v>#DIV/0!</v>
      </c>
      <c r="BB194" s="80">
        <v>110</v>
      </c>
      <c r="BC194" s="80"/>
      <c r="BD194" s="80"/>
      <c r="BE194" s="80"/>
      <c r="BF194" s="80"/>
      <c r="BG194" s="80"/>
      <c r="BH194" s="80"/>
      <c r="BI194" s="80"/>
      <c r="BJ194" s="80"/>
      <c r="BK194" s="80">
        <f t="shared" ref="BK194:BK199" si="166">SUM(BG194:BJ194)</f>
        <v>0</v>
      </c>
      <c r="BO194" s="80">
        <f t="shared" si="147"/>
        <v>68.518369035696878</v>
      </c>
      <c r="BP194" s="80">
        <f t="shared" si="148"/>
        <v>9240000</v>
      </c>
      <c r="BQ194" s="80">
        <f>(BP194-BP193)*INDEX('[1]功能-付费相关'!$AU$6:$AU$165,$BO194,1)+BQ193</f>
        <v>13071.842279128266</v>
      </c>
      <c r="BR194" s="80"/>
      <c r="BS194" s="80"/>
      <c r="BU194" s="80">
        <v>110</v>
      </c>
      <c r="BV194" s="80">
        <f t="shared" si="149"/>
        <v>16450.938733882616</v>
      </c>
      <c r="BW194" s="86">
        <f t="shared" si="165"/>
        <v>114432.36000000002</v>
      </c>
      <c r="BX194" s="80"/>
      <c r="BY194" s="80">
        <f t="shared" ref="BY194:BY199" si="167">SUM(BV194:BX194)</f>
        <v>130883.29873388264</v>
      </c>
    </row>
    <row r="195" spans="12:77" x14ac:dyDescent="0.15">
      <c r="L195" s="61">
        <v>14</v>
      </c>
      <c r="M195" s="80">
        <f>基础状态预期!D207</f>
        <v>68.518369035696878</v>
      </c>
      <c r="N195" s="80">
        <f>IF(基础状态预期!F207="",0,IF(基础状态预期!Z207&lt;=1,基础状态预期!Z207*D$4,1*D$4+(基础状态预期!Z207-1)*武将觉醒!D$5))</f>
        <v>0</v>
      </c>
      <c r="O195" s="80">
        <f>IF(基础状态预期!G207="",0,IF(基础状态预期!AA207&lt;=1,基础状态预期!AA207*E$4,1*E$4+(基础状态预期!AA207-1)*武将觉醒!E$5))</f>
        <v>0</v>
      </c>
      <c r="P195" s="80">
        <f>IF(基础状态预期!H207="",0,IF(基础状态预期!AB207&lt;=1,基础状态预期!AB207*F$4,1*F$4+(基础状态预期!AB207-1)*武将觉醒!F$5))</f>
        <v>0</v>
      </c>
      <c r="Q195" s="80">
        <f>IF(基础状态预期!I207="",0,IF(基础状态预期!AC207&lt;=1,基础状态预期!AC207*G$4,1*G$4+(基础状态预期!AC207-1)*武将觉醒!G$5))</f>
        <v>520000</v>
      </c>
      <c r="R195" s="80">
        <f>IF(基础状态预期!J207="",0,IF(基础状态预期!AD207&lt;=1,基础状态预期!AD207*H$4,1*H$4+(基础状态预期!AD207-1)*武将觉醒!H$5))</f>
        <v>2050000</v>
      </c>
      <c r="S195" s="80">
        <f>MAX(SUMPRODUCT(N195:R195,基础状态预期!F207:J207),S194)</f>
        <v>9240000</v>
      </c>
      <c r="T195" s="80">
        <f>IF(基础状态预期!Z207="",0,IFERROR(基础状态预期!F207*求节点($C$62:$C$63,D$62:D$63,基础状态预期!Z207),0)+IFERROR(基础状态预期!$J207*求节点($C$71:$C$72,D$71:D$72,基础状态预期!$AD207),0))</f>
        <v>0</v>
      </c>
      <c r="U195" s="80">
        <f>IF(基础状态预期!AA207="",0,IFERROR(基础状态预期!G207*求节点($C$62:$C$63,E$62:E$63,基础状态预期!AA207),0)+IFERROR(基础状态预期!$J207*求节点($C$71:$C$72,E$71:E$72,基础状态预期!$AD207),0))</f>
        <v>0</v>
      </c>
      <c r="V195" s="80">
        <f>IF(基础状态预期!AB207="",0,IFERROR(基础状态预期!H207*求节点($C$62:$C$63,F$62:F$63,基础状态预期!AB207),0)+IFERROR(基础状态预期!$J207*求节点($C$71:$C$72,F$71:F$72,基础状态预期!$AD207),0))</f>
        <v>0</v>
      </c>
      <c r="W195" s="80">
        <f>IF(基础状态预期!AC207="",0,IFERROR(基础状态预期!I207*求节点($C$62:$C$63,G$62:G$63,基础状态预期!AC207),0)+IFERROR(基础状态预期!$J207*求节点($C$71:$C$72,G$71:G$72,基础状态预期!$AD207),0))</f>
        <v>14</v>
      </c>
      <c r="X195" s="80">
        <f>IF(基础状态预期!AD207="",0,IFERROR(基础状态预期!J207*求节点($C$62:$C$63,H$62:H$63,基础状态预期!AD207),0)+IFERROR(基础状态预期!$J207*求节点($C$71:$C$72,H$71:H$72,基础状态预期!$AD207),0))</f>
        <v>0</v>
      </c>
      <c r="Y195" s="80">
        <f>IF(基础状态预期!$H207="",0,IF(基础状态预期!$AB207&lt;=1,基础状态预期!$AB207*D$18,D$18)*基础状态预期!$H207)+
IF(基础状态预期!$I207="",0,IF(基础状态预期!$AC207&lt;=1,基础状态预期!$AC207*D$19,D$19)*基础状态预期!$I207)+
IF(基础状态预期!$J207="",0,IF(基础状态预期!$AD207&lt;=1,基础状态预期!$AD207*D$20,D$20)*基础状态预期!$J207)</f>
        <v>44</v>
      </c>
      <c r="Z195" s="80">
        <f>IF(基础状态预期!$H207="",0,IF(基础状态预期!$AB207&lt;=1,基础状态预期!$AB207*E$18,E$18)*基础状态预期!$H207)+
IF(基础状态预期!$I207="",0,IF(基础状态预期!$AC207&lt;=1,基础状态预期!$AC207*E$19,E$19)*基础状态预期!$I207)+
IF(基础状态预期!$J207="",0,IF(基础状态预期!$AD207&lt;=1,基础状态预期!$AD207*E$20,E$20)*基础状态预期!$J207)</f>
        <v>0</v>
      </c>
      <c r="AA195" s="80">
        <f>IF(基础状态预期!$H207="",0,IF(基础状态预期!$AB207&lt;=1,基础状态预期!$AB207*F$18,F$18)*基础状态预期!$H207)+
IF(基础状态预期!$I207="",0,IF(基础状态预期!$AC207&lt;=1,基础状态预期!$AC207*F$19,F$19)*基础状态预期!$I207)+
IF(基础状态预期!$J207="",0,IF(基础状态预期!$AD207&lt;=1,基础状态预期!$AD207*F$20,F$20)*基础状态预期!$J207)</f>
        <v>0</v>
      </c>
      <c r="AB195" s="67">
        <f>IF(基础状态预期!$H207="",0,IF(基础状态预期!$AB207&lt;=1,0,(基础状态预期!$AB207-1)*G$26)*基础状态预期!$H207)+
IF(基础状态预期!$I207="",0,IF(基础状态预期!$AC207&lt;=1,0,(基础状态预期!$AC207-1)*G$27)*基础状态预期!$I207)+
IF(基础状态预期!$J207="",0,IF(基础状态预期!$AD207&lt;=1,0,(基础状态预期!$AD207-1)*G$28)*基础状态预期!$J207)</f>
        <v>220</v>
      </c>
      <c r="AC195" s="67">
        <f>IF(基础状态预期!$H207="",0,IF(基础状态预期!$AB207&lt;=1,0,(基础状态预期!$AB207-1)*H$26)*基础状态预期!$H207)+
IF(基础状态预期!$I207="",0,IF(基础状态预期!$AC207&lt;=1,0,(基础状态预期!$AC207-1)*H$27)*基础状态预期!$I207)+
IF(基础状态预期!$J207="",0,IF(基础状态预期!$AD207&lt;=1,0,(基础状态预期!$AD207-1)*H$28)*基础状态预期!$J207)</f>
        <v>0</v>
      </c>
      <c r="AD195" s="67">
        <f>IF(基础状态预期!$H207="",0,IF(基础状态预期!$AB207&lt;=1,0,(基础状态预期!$AB207-1)*I$26)*基础状态预期!$H207)+
IF(基础状态预期!$I207="",0,IF(基础状态预期!$AC207&lt;=1,0,(基础状态预期!$AC207-1)*I$27)*基础状态预期!$I207)+
IF(基础状态预期!$J207="",0,IF(基础状态预期!$AD207&lt;=1,0,(基础状态预期!$AD207-1)*I$28)*基础状态预期!$J207)</f>
        <v>0</v>
      </c>
      <c r="AE195" s="80">
        <f>IF(各r阵容卡情况!$H201=0,0,IF(各r阵容卡情况!$AB201&lt;=1,各r阵容卡情况!$AB201*D$18,1*D$18)*各r阵容卡情况!$H201)+
IF(各r阵容卡情况!$I201=0,0,IF(各r阵容卡情况!$AC201&lt;=1,各r阵容卡情况!$AC201*D$19,1*D$19)*各r阵容卡情况!$I201)+
IF(各r阵容卡情况!$J201=0,0,IF(各r阵容卡情况!$AD201&lt;=1,各r阵容卡情况!$AD201*D$20,1*D$20)*各r阵容卡情况!$J201)</f>
        <v>144</v>
      </c>
      <c r="AF195" s="80">
        <f>IF(各r阵容卡情况!$H201=0,0,IF(各r阵容卡情况!$AB201&lt;=1,各r阵容卡情况!$AB201*E$18,1*E$18)*各r阵容卡情况!$H201)+
IF(各r阵容卡情况!$I201=0,0,IF(各r阵容卡情况!$AC201&lt;=1,各r阵容卡情况!$AC201*E$19,1*E$19)*各r阵容卡情况!$I201)+
IF(各r阵容卡情况!$J201=0,0,IF(各r阵容卡情况!$AD201&lt;=1,各r阵容卡情况!$AD201*E$20,1*E$20)*各r阵容卡情况!$J201)</f>
        <v>0</v>
      </c>
      <c r="AG195" s="80">
        <f>IF(各r阵容卡情况!$H201=0,0,IF(各r阵容卡情况!$AB201&lt;=1,各r阵容卡情况!$AB201*F$18,1*F$18)*各r阵容卡情况!$H201)+
IF(各r阵容卡情况!$I201=0,0,IF(各r阵容卡情况!$AC201&lt;=1,各r阵容卡情况!$AC201*F$19,1*F$19)*各r阵容卡情况!$I201)+
IF(各r阵容卡情况!$J201=0,0,IF(各r阵容卡情况!$AD201&lt;=1,各r阵容卡情况!$AD201*F$20,1*F$20)*各r阵容卡情况!$J201)</f>
        <v>0</v>
      </c>
      <c r="AH195" s="67">
        <f>IF(各r阵容卡情况!$H201=0,0,IF(各r阵容卡情况!$AB201&lt;=1,0,(各r阵容卡情况!$AB201-1)*G$26)*各r阵容卡情况!$H201)+
IF(各r阵容卡情况!$I201=0,0,IF(各r阵容卡情况!$AC201&lt;=1,0,(各r阵容卡情况!$AC201-1)*G$27)*各r阵容卡情况!$I201)+
IF(各r阵容卡情况!$J201=0,0,IF(各r阵容卡情况!$AD201&lt;=1,0,(各r阵容卡情况!$AD201-1)*G$28)*各r阵容卡情况!$J201)</f>
        <v>720</v>
      </c>
      <c r="AI195" s="67">
        <f>IF(各r阵容卡情况!$H201=0,0,IF(各r阵容卡情况!$AB201&lt;=1,0,(各r阵容卡情况!$AB201-1)*H$26)*各r阵容卡情况!$H201)+
IF(各r阵容卡情况!$I201=0,0,IF(各r阵容卡情况!$AC201&lt;=1,0,(各r阵容卡情况!$AC201-1)*H$27)*各r阵容卡情况!$I201)+
IF(各r阵容卡情况!$J201=0,0,IF(各r阵容卡情况!$AD201&lt;=1,0,(各r阵容卡情况!$AD201-1)*H$28)*各r阵容卡情况!$J201)</f>
        <v>0</v>
      </c>
      <c r="AJ195" s="67">
        <f>IF(各r阵容卡情况!$H201=0,0,IF(各r阵容卡情况!$AB201&lt;=1,0,(各r阵容卡情况!$AB201-1)*I$26)*各r阵容卡情况!$H201)+
IF(各r阵容卡情况!$I201=0,0,IF(各r阵容卡情况!$AC201&lt;=1,0,(各r阵容卡情况!$AC201-1)*I$27)*各r阵容卡情况!$I201)+
IF(各r阵容卡情况!$J201=0,0,IF(各r阵容卡情况!$AD201&lt;=1,0,(各r阵容卡情况!$AD201-1)*I$28)*各r阵容卡情况!$J201)</f>
        <v>0</v>
      </c>
      <c r="AL195" s="80">
        <f t="shared" si="150"/>
        <v>60</v>
      </c>
      <c r="AM195" s="80">
        <f t="shared" si="151"/>
        <v>40.506153423228483</v>
      </c>
      <c r="AN195" s="80">
        <f t="shared" si="152"/>
        <v>0</v>
      </c>
      <c r="AO195" s="80">
        <f t="shared" si="153"/>
        <v>0</v>
      </c>
      <c r="AP195" s="80">
        <f t="shared" si="154"/>
        <v>202.53076711614241</v>
      </c>
      <c r="AQ195" s="80">
        <f t="shared" si="155"/>
        <v>0</v>
      </c>
      <c r="AR195" s="80">
        <f t="shared" si="156"/>
        <v>0</v>
      </c>
      <c r="AS195" s="80">
        <f t="shared" si="157"/>
        <v>144</v>
      </c>
      <c r="AT195" s="80">
        <f t="shared" si="158"/>
        <v>0</v>
      </c>
      <c r="AU195" s="80">
        <f t="shared" si="159"/>
        <v>0</v>
      </c>
      <c r="AV195" s="80">
        <f t="shared" si="160"/>
        <v>720</v>
      </c>
      <c r="AW195" s="80">
        <f t="shared" si="161"/>
        <v>0</v>
      </c>
      <c r="AX195" s="80">
        <f t="shared" si="162"/>
        <v>0</v>
      </c>
      <c r="AY195" s="61" t="e">
        <f>SUMPRODUCT(AM195:AR195/'[1]功能-行军令'!$GI$26:$GN$26+AS195:AX195/'[1]功能-行军令'!$GI$26:$GN$26)/0.18</f>
        <v>#DIV/0!</v>
      </c>
      <c r="BB195" s="80">
        <v>120</v>
      </c>
      <c r="BC195" s="80"/>
      <c r="BD195" s="80"/>
      <c r="BE195" s="80"/>
      <c r="BF195" s="80"/>
      <c r="BG195" s="80"/>
      <c r="BH195" s="80"/>
      <c r="BI195" s="80"/>
      <c r="BJ195" s="80"/>
      <c r="BK195" s="80">
        <f t="shared" si="166"/>
        <v>0</v>
      </c>
      <c r="BO195" s="80">
        <f t="shared" si="147"/>
        <v>71.7664716439551</v>
      </c>
      <c r="BP195" s="80">
        <f t="shared" si="148"/>
        <v>10770000</v>
      </c>
      <c r="BQ195" s="80">
        <f>(BP195-BP194)*INDEX('[1]功能-付费相关'!$AU$6:$AU$165,$BO195,1)+BQ194</f>
        <v>14794.81525210124</v>
      </c>
      <c r="BR195" s="80"/>
      <c r="BS195" s="80"/>
      <c r="BU195" s="80">
        <v>120</v>
      </c>
      <c r="BV195" s="80">
        <f t="shared" si="149"/>
        <v>16450.938733882616</v>
      </c>
      <c r="BW195" s="86">
        <f t="shared" si="165"/>
        <v>114432.36000000002</v>
      </c>
      <c r="BX195" s="80"/>
      <c r="BY195" s="80">
        <f t="shared" si="167"/>
        <v>130883.29873388264</v>
      </c>
    </row>
    <row r="196" spans="12:77" x14ac:dyDescent="0.15">
      <c r="L196" s="61">
        <v>15</v>
      </c>
      <c r="M196" s="80">
        <f>基础状态预期!D208</f>
        <v>71.7664716439551</v>
      </c>
      <c r="N196" s="80">
        <f>IF(基础状态预期!F208="",0,IF(基础状态预期!Z208&lt;=1,基础状态预期!Z208*D$4,1*D$4+(基础状态预期!Z208-1)*武将觉醒!D$5))</f>
        <v>0</v>
      </c>
      <c r="O196" s="80">
        <f>IF(基础状态预期!G208="",0,IF(基础状态预期!AA208&lt;=1,基础状态预期!AA208*E$4,1*E$4+(基础状态预期!AA208-1)*武将觉醒!E$5))</f>
        <v>0</v>
      </c>
      <c r="P196" s="80">
        <f>IF(基础状态预期!H208="",0,IF(基础状态预期!AB208&lt;=1,基础状态预期!AB208*F$4,1*F$4+(基础状态预期!AB208-1)*武将觉醒!F$5))</f>
        <v>0</v>
      </c>
      <c r="Q196" s="80">
        <f>IF(基础状态预期!I208="",0,IF(基础状态预期!AC208&lt;=1,基础状态预期!AC208*G$4,1*G$4+(基础状态预期!AC208-1)*武将觉醒!G$5))</f>
        <v>520000</v>
      </c>
      <c r="R196" s="80">
        <f>IF(基础状态预期!J208="",0,IF(基础状态预期!AD208&lt;=1,基础状态预期!AD208*H$4,1*H$4+(基础状态预期!AD208-1)*武将觉醒!H$5))</f>
        <v>2050000</v>
      </c>
      <c r="S196" s="80">
        <f>MAX(SUMPRODUCT(N196:R196,基础状态预期!F208:J208),S195)</f>
        <v>10770000</v>
      </c>
      <c r="T196" s="80">
        <f>IF(基础状态预期!Z208="",0,IFERROR(基础状态预期!F208*求节点($C$62:$C$63,D$62:D$63,基础状态预期!Z208),0)+IFERROR(基础状态预期!$J208*求节点($C$71:$C$72,D$71:D$72,基础状态预期!$AD208),0))</f>
        <v>0</v>
      </c>
      <c r="U196" s="80">
        <f>IF(基础状态预期!AA208="",0,IFERROR(基础状态预期!G208*求节点($C$62:$C$63,E$62:E$63,基础状态预期!AA208),0)+IFERROR(基础状态预期!$J208*求节点($C$71:$C$72,E$71:E$72,基础状态预期!$AD208),0))</f>
        <v>0</v>
      </c>
      <c r="V196" s="80">
        <f>IF(基础状态预期!AB208="",0,IFERROR(基础状态预期!H208*求节点($C$62:$C$63,F$62:F$63,基础状态预期!AB208),0)+IFERROR(基础状态预期!$J208*求节点($C$71:$C$72,F$71:F$72,基础状态预期!$AD208),0))</f>
        <v>0</v>
      </c>
      <c r="W196" s="80">
        <f>IF(基础状态预期!AC208="",0,IFERROR(基础状态预期!I208*求节点($C$62:$C$63,G$62:G$63,基础状态预期!AC208),0)+IFERROR(基础状态预期!$J208*求节点($C$71:$C$72,G$71:G$72,基础状态预期!$AD208),0))</f>
        <v>16</v>
      </c>
      <c r="X196" s="80">
        <f>IF(基础状态预期!AD208="",0,IFERROR(基础状态预期!J208*求节点($C$62:$C$63,H$62:H$63,基础状态预期!AD208),0)+IFERROR(基础状态预期!$J208*求节点($C$71:$C$72,H$71:H$72,基础状态预期!$AD208),0))</f>
        <v>0</v>
      </c>
      <c r="Y196" s="80">
        <f>IF(基础状态预期!$H208="",0,IF(基础状态预期!$AB208&lt;=1,基础状态预期!$AB208*D$18,D$18)*基础状态预期!$H208)+
IF(基础状态预期!$I208="",0,IF(基础状态预期!$AC208&lt;=1,基础状态预期!$AC208*D$19,D$19)*基础状态预期!$I208)+
IF(基础状态预期!$J208="",0,IF(基础状态预期!$AD208&lt;=1,基础状态预期!$AD208*D$20,D$20)*基础状态预期!$J208)</f>
        <v>46</v>
      </c>
      <c r="Z196" s="80">
        <f>IF(基础状态预期!$H208="",0,IF(基础状态预期!$AB208&lt;=1,基础状态预期!$AB208*E$18,E$18)*基础状态预期!$H208)+
IF(基础状态预期!$I208="",0,IF(基础状态预期!$AC208&lt;=1,基础状态预期!$AC208*E$19,E$19)*基础状态预期!$I208)+
IF(基础状态预期!$J208="",0,IF(基础状态预期!$AD208&lt;=1,基础状态预期!$AD208*E$20,E$20)*基础状态预期!$J208)</f>
        <v>0</v>
      </c>
      <c r="AA196" s="80">
        <f>IF(基础状态预期!$H208="",0,IF(基础状态预期!$AB208&lt;=1,基础状态预期!$AB208*F$18,F$18)*基础状态预期!$H208)+
IF(基础状态预期!$I208="",0,IF(基础状态预期!$AC208&lt;=1,基础状态预期!$AC208*F$19,F$19)*基础状态预期!$I208)+
IF(基础状态预期!$J208="",0,IF(基础状态预期!$AD208&lt;=1,基础状态预期!$AD208*F$20,F$20)*基础状态预期!$J208)</f>
        <v>0</v>
      </c>
      <c r="AB196" s="67">
        <f>IF(基础状态预期!$H208="",0,IF(基础状态预期!$AB208&lt;=1,0,(基础状态预期!$AB208-1)*G$26)*基础状态预期!$H208)+
IF(基础状态预期!$I208="",0,IF(基础状态预期!$AC208&lt;=1,0,(基础状态预期!$AC208-1)*G$27)*基础状态预期!$I208)+
IF(基础状态预期!$J208="",0,IF(基础状态预期!$AD208&lt;=1,0,(基础状态预期!$AD208-1)*G$28)*基础状态预期!$J208)</f>
        <v>230</v>
      </c>
      <c r="AC196" s="67">
        <f>IF(基础状态预期!$H208="",0,IF(基础状态预期!$AB208&lt;=1,0,(基础状态预期!$AB208-1)*H$26)*基础状态预期!$H208)+
IF(基础状态预期!$I208="",0,IF(基础状态预期!$AC208&lt;=1,0,(基础状态预期!$AC208-1)*H$27)*基础状态预期!$I208)+
IF(基础状态预期!$J208="",0,IF(基础状态预期!$AD208&lt;=1,0,(基础状态预期!$AD208-1)*H$28)*基础状态预期!$J208)</f>
        <v>0</v>
      </c>
      <c r="AD196" s="67">
        <f>IF(基础状态预期!$H208="",0,IF(基础状态预期!$AB208&lt;=1,0,(基础状态预期!$AB208-1)*I$26)*基础状态预期!$H208)+
IF(基础状态预期!$I208="",0,IF(基础状态预期!$AC208&lt;=1,0,(基础状态预期!$AC208-1)*I$27)*基础状态预期!$I208)+
IF(基础状态预期!$J208="",0,IF(基础状态预期!$AD208&lt;=1,0,(基础状态预期!$AD208-1)*I$28)*基础状态预期!$J208)</f>
        <v>0</v>
      </c>
      <c r="AE196" s="80">
        <f>IF(各r阵容卡情况!$H202=0,0,IF(各r阵容卡情况!$AB202&lt;=1,各r阵容卡情况!$AB202*D$18,1*D$18)*各r阵容卡情况!$H202)+
IF(各r阵容卡情况!$I202=0,0,IF(各r阵容卡情况!$AC202&lt;=1,各r阵容卡情况!$AC202*D$19,1*D$19)*各r阵容卡情况!$I202)+
IF(各r阵容卡情况!$J202=0,0,IF(各r阵容卡情况!$AD202&lt;=1,各r阵容卡情况!$AD202*D$20,1*D$20)*各r阵容卡情况!$J202)</f>
        <v>144</v>
      </c>
      <c r="AF196" s="80">
        <f>IF(各r阵容卡情况!$H202=0,0,IF(各r阵容卡情况!$AB202&lt;=1,各r阵容卡情况!$AB202*E$18,1*E$18)*各r阵容卡情况!$H202)+
IF(各r阵容卡情况!$I202=0,0,IF(各r阵容卡情况!$AC202&lt;=1,各r阵容卡情况!$AC202*E$19,1*E$19)*各r阵容卡情况!$I202)+
IF(各r阵容卡情况!$J202=0,0,IF(各r阵容卡情况!$AD202&lt;=1,各r阵容卡情况!$AD202*E$20,1*E$20)*各r阵容卡情况!$J202)</f>
        <v>0</v>
      </c>
      <c r="AG196" s="80">
        <f>IF(各r阵容卡情况!$H202=0,0,IF(各r阵容卡情况!$AB202&lt;=1,各r阵容卡情况!$AB202*F$18,1*F$18)*各r阵容卡情况!$H202)+
IF(各r阵容卡情况!$I202=0,0,IF(各r阵容卡情况!$AC202&lt;=1,各r阵容卡情况!$AC202*F$19,1*F$19)*各r阵容卡情况!$I202)+
IF(各r阵容卡情况!$J202=0,0,IF(各r阵容卡情况!$AD202&lt;=1,各r阵容卡情况!$AD202*F$20,1*F$20)*各r阵容卡情况!$J202)</f>
        <v>0</v>
      </c>
      <c r="AH196" s="67">
        <f>IF(各r阵容卡情况!$H202=0,0,IF(各r阵容卡情况!$AB202&lt;=1,0,(各r阵容卡情况!$AB202-1)*G$26)*各r阵容卡情况!$H202)+
IF(各r阵容卡情况!$I202=0,0,IF(各r阵容卡情况!$AC202&lt;=1,0,(各r阵容卡情况!$AC202-1)*G$27)*各r阵容卡情况!$I202)+
IF(各r阵容卡情况!$J202=0,0,IF(各r阵容卡情况!$AD202&lt;=1,0,(各r阵容卡情况!$AD202-1)*G$28)*各r阵容卡情况!$J202)</f>
        <v>720</v>
      </c>
      <c r="AI196" s="67">
        <f>IF(各r阵容卡情况!$H202=0,0,IF(各r阵容卡情况!$AB202&lt;=1,0,(各r阵容卡情况!$AB202-1)*H$26)*各r阵容卡情况!$H202)+
IF(各r阵容卡情况!$I202=0,0,IF(各r阵容卡情况!$AC202&lt;=1,0,(各r阵容卡情况!$AC202-1)*H$27)*各r阵容卡情况!$I202)+
IF(各r阵容卡情况!$J202=0,0,IF(各r阵容卡情况!$AD202&lt;=1,0,(各r阵容卡情况!$AD202-1)*H$28)*各r阵容卡情况!$J202)</f>
        <v>0</v>
      </c>
      <c r="AJ196" s="67">
        <f>IF(各r阵容卡情况!$H202=0,0,IF(各r阵容卡情况!$AB202&lt;=1,0,(各r阵容卡情况!$AB202-1)*I$26)*各r阵容卡情况!$H202)+
IF(各r阵容卡情况!$I202=0,0,IF(各r阵容卡情况!$AC202&lt;=1,0,(各r阵容卡情况!$AC202-1)*I$27)*各r阵容卡情况!$I202)+
IF(各r阵容卡情况!$J202=0,0,IF(各r阵容卡情况!$AD202&lt;=1,0,(各r阵容卡情况!$AD202-1)*I$28)*各r阵容卡情况!$J202)</f>
        <v>0</v>
      </c>
      <c r="AL196" s="80">
        <f t="shared" si="150"/>
        <v>65</v>
      </c>
      <c r="AM196" s="80">
        <f t="shared" si="151"/>
        <v>42.352555371440971</v>
      </c>
      <c r="AN196" s="80">
        <f t="shared" si="152"/>
        <v>0</v>
      </c>
      <c r="AO196" s="80">
        <f t="shared" si="153"/>
        <v>0</v>
      </c>
      <c r="AP196" s="80">
        <f t="shared" si="154"/>
        <v>211.76277685720484</v>
      </c>
      <c r="AQ196" s="80">
        <f t="shared" si="155"/>
        <v>0</v>
      </c>
      <c r="AR196" s="80">
        <f t="shared" si="156"/>
        <v>0</v>
      </c>
      <c r="AS196" s="80">
        <f t="shared" si="157"/>
        <v>144</v>
      </c>
      <c r="AT196" s="80">
        <f t="shared" si="158"/>
        <v>0</v>
      </c>
      <c r="AU196" s="80">
        <f t="shared" si="159"/>
        <v>0</v>
      </c>
      <c r="AV196" s="80">
        <f t="shared" si="160"/>
        <v>720</v>
      </c>
      <c r="AW196" s="80">
        <f t="shared" si="161"/>
        <v>0</v>
      </c>
      <c r="AX196" s="80">
        <f t="shared" si="162"/>
        <v>0</v>
      </c>
      <c r="AY196" s="61" t="e">
        <f>SUMPRODUCT(AM196:AR196/'[1]功能-行军令'!$GI$26:$GN$26+AS196:AX196/'[1]功能-行军令'!$GI$26:$GN$26)/0.18</f>
        <v>#DIV/0!</v>
      </c>
      <c r="BB196" s="80">
        <v>130</v>
      </c>
      <c r="BC196" s="80"/>
      <c r="BD196" s="80"/>
      <c r="BE196" s="80"/>
      <c r="BF196" s="80"/>
      <c r="BG196" s="80"/>
      <c r="BH196" s="80"/>
      <c r="BI196" s="80"/>
      <c r="BJ196" s="80"/>
      <c r="BK196" s="80">
        <f t="shared" si="166"/>
        <v>0</v>
      </c>
      <c r="BO196" s="80">
        <f t="shared" si="147"/>
        <v>74.370993278111257</v>
      </c>
      <c r="BP196" s="80">
        <f t="shared" si="148"/>
        <v>11535000</v>
      </c>
      <c r="BQ196" s="80">
        <f>(BP196-BP195)*INDEX('[1]功能-付费相关'!$AU$6:$AU$165,$BO196,1)+BQ195</f>
        <v>15633.631041574925</v>
      </c>
      <c r="BR196" s="80"/>
      <c r="BS196" s="80"/>
      <c r="BU196" s="80">
        <v>130</v>
      </c>
      <c r="BV196" s="80">
        <f t="shared" si="149"/>
        <v>16450.938733882616</v>
      </c>
      <c r="BW196" s="86">
        <f t="shared" si="165"/>
        <v>114432.36000000002</v>
      </c>
      <c r="BX196" s="80"/>
      <c r="BY196" s="80">
        <f t="shared" si="167"/>
        <v>130883.29873388264</v>
      </c>
    </row>
    <row r="197" spans="12:77" x14ac:dyDescent="0.15">
      <c r="L197" s="61">
        <v>16</v>
      </c>
      <c r="M197" s="80">
        <f>基础状态预期!D209</f>
        <v>74.370993278111257</v>
      </c>
      <c r="N197" s="80">
        <f>IF(基础状态预期!F209="",0,IF(基础状态预期!Z209&lt;=1,基础状态预期!Z209*D$4,1*D$4+(基础状态预期!Z209-1)*武将觉醒!D$5))</f>
        <v>0</v>
      </c>
      <c r="O197" s="80">
        <f>IF(基础状态预期!G209="",0,IF(基础状态预期!AA209&lt;=1,基础状态预期!AA209*E$4,1*E$4+(基础状态预期!AA209-1)*武将觉醒!E$5))</f>
        <v>0</v>
      </c>
      <c r="P197" s="80">
        <f>IF(基础状态预期!H209="",0,IF(基础状态预期!AB209&lt;=1,基础状态预期!AB209*F$4,1*F$4+(基础状态预期!AB209-1)*武将觉醒!F$5))</f>
        <v>0</v>
      </c>
      <c r="Q197" s="80">
        <f>IF(基础状态预期!I209="",0,IF(基础状态预期!AC209&lt;=1,基础状态预期!AC209*G$4,1*G$4+(基础状态预期!AC209-1)*武将觉醒!G$5))</f>
        <v>520000</v>
      </c>
      <c r="R197" s="80">
        <f>IF(基础状态预期!J209="",0,IF(基础状态预期!AD209&lt;=1,基础状态预期!AD209*H$4,1*H$4+(基础状态预期!AD209-1)*武将觉醒!H$5))</f>
        <v>2050000</v>
      </c>
      <c r="S197" s="80">
        <f>MAX(SUMPRODUCT(N197:R197,基础状态预期!F209:J209),S196)</f>
        <v>11535000</v>
      </c>
      <c r="T197" s="80">
        <f>IF(基础状态预期!Z209="",0,IFERROR(基础状态预期!F209*求节点($C$62:$C$63,D$62:D$63,基础状态预期!Z209),0)+IFERROR(基础状态预期!$J209*求节点($C$71:$C$72,D$71:D$72,基础状态预期!$AD209),0))</f>
        <v>0</v>
      </c>
      <c r="U197" s="80">
        <f>IF(基础状态预期!AA209="",0,IFERROR(基础状态预期!G209*求节点($C$62:$C$63,E$62:E$63,基础状态预期!AA209),0)+IFERROR(基础状态预期!$J209*求节点($C$71:$C$72,E$71:E$72,基础状态预期!$AD209),0))</f>
        <v>0</v>
      </c>
      <c r="V197" s="80">
        <f>IF(基础状态预期!AB209="",0,IFERROR(基础状态预期!H209*求节点($C$62:$C$63,F$62:F$63,基础状态预期!AB209),0)+IFERROR(基础状态预期!$J209*求节点($C$71:$C$72,F$71:F$72,基础状态预期!$AD209),0))</f>
        <v>0</v>
      </c>
      <c r="W197" s="80">
        <f>IF(基础状态预期!AC209="",0,IFERROR(基础状态预期!I209*求节点($C$62:$C$63,G$62:G$63,基础状态预期!AC209),0)+IFERROR(基础状态预期!$J209*求节点($C$71:$C$72,G$71:G$72,基础状态预期!$AD209),0))</f>
        <v>17</v>
      </c>
      <c r="X197" s="80">
        <f>IF(基础状态预期!AD209="",0,IFERROR(基础状态预期!J209*求节点($C$62:$C$63,H$62:H$63,基础状态预期!AD209),0)+IFERROR(基础状态预期!$J209*求节点($C$71:$C$72,H$71:H$72,基础状态预期!$AD209),0))</f>
        <v>0</v>
      </c>
      <c r="Y197" s="80">
        <f>IF(基础状态预期!$H209="",0,IF(基础状态预期!$AB209&lt;=1,基础状态预期!$AB209*D$18,D$18)*基础状态预期!$H209)+
IF(基础状态预期!$I209="",0,IF(基础状态预期!$AC209&lt;=1,基础状态预期!$AC209*D$19,D$19)*基础状态预期!$I209)+
IF(基础状态预期!$J209="",0,IF(基础状态预期!$AD209&lt;=1,基础状态预期!$AD209*D$20,D$20)*基础状态预期!$J209)</f>
        <v>47</v>
      </c>
      <c r="Z197" s="80">
        <f>IF(基础状态预期!$H209="",0,IF(基础状态预期!$AB209&lt;=1,基础状态预期!$AB209*E$18,E$18)*基础状态预期!$H209)+
IF(基础状态预期!$I209="",0,IF(基础状态预期!$AC209&lt;=1,基础状态预期!$AC209*E$19,E$19)*基础状态预期!$I209)+
IF(基础状态预期!$J209="",0,IF(基础状态预期!$AD209&lt;=1,基础状态预期!$AD209*E$20,E$20)*基础状态预期!$J209)</f>
        <v>0</v>
      </c>
      <c r="AA197" s="80">
        <f>IF(基础状态预期!$H209="",0,IF(基础状态预期!$AB209&lt;=1,基础状态预期!$AB209*F$18,F$18)*基础状态预期!$H209)+
IF(基础状态预期!$I209="",0,IF(基础状态预期!$AC209&lt;=1,基础状态预期!$AC209*F$19,F$19)*基础状态预期!$I209)+
IF(基础状态预期!$J209="",0,IF(基础状态预期!$AD209&lt;=1,基础状态预期!$AD209*F$20,F$20)*基础状态预期!$J209)</f>
        <v>0</v>
      </c>
      <c r="AB197" s="67">
        <f>IF(基础状态预期!$H209="",0,IF(基础状态预期!$AB209&lt;=1,0,(基础状态预期!$AB209-1)*G$26)*基础状态预期!$H209)+
IF(基础状态预期!$I209="",0,IF(基础状态预期!$AC209&lt;=1,0,(基础状态预期!$AC209-1)*G$27)*基础状态预期!$I209)+
IF(基础状态预期!$J209="",0,IF(基础状态预期!$AD209&lt;=1,0,(基础状态预期!$AD209-1)*G$28)*基础状态预期!$J209)</f>
        <v>235</v>
      </c>
      <c r="AC197" s="67">
        <f>IF(基础状态预期!$H209="",0,IF(基础状态预期!$AB209&lt;=1,0,(基础状态预期!$AB209-1)*H$26)*基础状态预期!$H209)+
IF(基础状态预期!$I209="",0,IF(基础状态预期!$AC209&lt;=1,0,(基础状态预期!$AC209-1)*H$27)*基础状态预期!$I209)+
IF(基础状态预期!$J209="",0,IF(基础状态预期!$AD209&lt;=1,0,(基础状态预期!$AD209-1)*H$28)*基础状态预期!$J209)</f>
        <v>0</v>
      </c>
      <c r="AD197" s="67">
        <f>IF(基础状态预期!$H209="",0,IF(基础状态预期!$AB209&lt;=1,0,(基础状态预期!$AB209-1)*I$26)*基础状态预期!$H209)+
IF(基础状态预期!$I209="",0,IF(基础状态预期!$AC209&lt;=1,0,(基础状态预期!$AC209-1)*I$27)*基础状态预期!$I209)+
IF(基础状态预期!$J209="",0,IF(基础状态预期!$AD209&lt;=1,0,(基础状态预期!$AD209-1)*I$28)*基础状态预期!$J209)</f>
        <v>0</v>
      </c>
      <c r="AE197" s="80">
        <f>IF(各r阵容卡情况!$H203=0,0,IF(各r阵容卡情况!$AB203&lt;=1,各r阵容卡情况!$AB203*D$18,1*D$18)*各r阵容卡情况!$H203)+
IF(各r阵容卡情况!$I203=0,0,IF(各r阵容卡情况!$AC203&lt;=1,各r阵容卡情况!$AC203*D$19,1*D$19)*各r阵容卡情况!$I203)+
IF(各r阵容卡情况!$J203=0,0,IF(各r阵容卡情况!$AD203&lt;=1,各r阵容卡情况!$AD203*D$20,1*D$20)*各r阵容卡情况!$J203)</f>
        <v>144</v>
      </c>
      <c r="AF197" s="80">
        <f>IF(各r阵容卡情况!$H203=0,0,IF(各r阵容卡情况!$AB203&lt;=1,各r阵容卡情况!$AB203*E$18,1*E$18)*各r阵容卡情况!$H203)+
IF(各r阵容卡情况!$I203=0,0,IF(各r阵容卡情况!$AC203&lt;=1,各r阵容卡情况!$AC203*E$19,1*E$19)*各r阵容卡情况!$I203)+
IF(各r阵容卡情况!$J203=0,0,IF(各r阵容卡情况!$AD203&lt;=1,各r阵容卡情况!$AD203*E$20,1*E$20)*各r阵容卡情况!$J203)</f>
        <v>0</v>
      </c>
      <c r="AG197" s="80">
        <f>IF(各r阵容卡情况!$H203=0,0,IF(各r阵容卡情况!$AB203&lt;=1,各r阵容卡情况!$AB203*F$18,1*F$18)*各r阵容卡情况!$H203)+
IF(各r阵容卡情况!$I203=0,0,IF(各r阵容卡情况!$AC203&lt;=1,各r阵容卡情况!$AC203*F$19,1*F$19)*各r阵容卡情况!$I203)+
IF(各r阵容卡情况!$J203=0,0,IF(各r阵容卡情况!$AD203&lt;=1,各r阵容卡情况!$AD203*F$20,1*F$20)*各r阵容卡情况!$J203)</f>
        <v>0</v>
      </c>
      <c r="AH197" s="67">
        <f>IF(各r阵容卡情况!$H203=0,0,IF(各r阵容卡情况!$AB203&lt;=1,0,(各r阵容卡情况!$AB203-1)*G$26)*各r阵容卡情况!$H203)+
IF(各r阵容卡情况!$I203=0,0,IF(各r阵容卡情况!$AC203&lt;=1,0,(各r阵容卡情况!$AC203-1)*G$27)*各r阵容卡情况!$I203)+
IF(各r阵容卡情况!$J203=0,0,IF(各r阵容卡情况!$AD203&lt;=1,0,(各r阵容卡情况!$AD203-1)*G$28)*各r阵容卡情况!$J203)</f>
        <v>720</v>
      </c>
      <c r="AI197" s="67">
        <f>IF(各r阵容卡情况!$H203=0,0,IF(各r阵容卡情况!$AB203&lt;=1,0,(各r阵容卡情况!$AB203-1)*H$26)*各r阵容卡情况!$H203)+
IF(各r阵容卡情况!$I203=0,0,IF(各r阵容卡情况!$AC203&lt;=1,0,(各r阵容卡情况!$AC203-1)*H$27)*各r阵容卡情况!$I203)+
IF(各r阵容卡情况!$J203=0,0,IF(各r阵容卡情况!$AD203&lt;=1,0,(各r阵容卡情况!$AD203-1)*H$28)*各r阵容卡情况!$J203)</f>
        <v>0</v>
      </c>
      <c r="AJ197" s="67">
        <f>IF(各r阵容卡情况!$H203=0,0,IF(各r阵容卡情况!$AB203&lt;=1,0,(各r阵容卡情况!$AB203-1)*I$26)*各r阵容卡情况!$H203)+
IF(各r阵容卡情况!$I203=0,0,IF(各r阵容卡情况!$AC203&lt;=1,0,(各r阵容卡情况!$AC203-1)*I$27)*各r阵容卡情况!$I203)+
IF(各r阵容卡情况!$J203=0,0,IF(各r阵容卡情况!$AD203&lt;=1,0,(各r阵容卡情况!$AD203-1)*I$28)*各r阵容卡情况!$J203)</f>
        <v>0</v>
      </c>
      <c r="AL197" s="80">
        <f t="shared" si="150"/>
        <v>70</v>
      </c>
      <c r="AM197" s="80">
        <f t="shared" si="151"/>
        <v>44.912305516787626</v>
      </c>
      <c r="AN197" s="80">
        <f t="shared" si="152"/>
        <v>0</v>
      </c>
      <c r="AO197" s="80">
        <f t="shared" si="153"/>
        <v>0</v>
      </c>
      <c r="AP197" s="80">
        <f t="shared" si="154"/>
        <v>224.56152758393813</v>
      </c>
      <c r="AQ197" s="80">
        <f t="shared" si="155"/>
        <v>0</v>
      </c>
      <c r="AR197" s="80">
        <f t="shared" si="156"/>
        <v>0</v>
      </c>
      <c r="AS197" s="80">
        <f t="shared" si="157"/>
        <v>144</v>
      </c>
      <c r="AT197" s="80">
        <f t="shared" si="158"/>
        <v>0</v>
      </c>
      <c r="AU197" s="80">
        <f t="shared" si="159"/>
        <v>0</v>
      </c>
      <c r="AV197" s="80">
        <f t="shared" si="160"/>
        <v>720</v>
      </c>
      <c r="AW197" s="80">
        <f t="shared" si="161"/>
        <v>0</v>
      </c>
      <c r="AX197" s="80">
        <f t="shared" si="162"/>
        <v>0</v>
      </c>
      <c r="AY197" s="61" t="e">
        <f>SUMPRODUCT(AM197:AR197/'[1]功能-行军令'!$GI$26:$GN$26+AS197:AX197/'[1]功能-行军令'!$GI$26:$GN$26)/0.18</f>
        <v>#DIV/0!</v>
      </c>
      <c r="BB197" s="80">
        <v>140</v>
      </c>
      <c r="BC197" s="80"/>
      <c r="BD197" s="80"/>
      <c r="BE197" s="80"/>
      <c r="BF197" s="80"/>
      <c r="BG197" s="80"/>
      <c r="BH197" s="80"/>
      <c r="BI197" s="80"/>
      <c r="BJ197" s="80"/>
      <c r="BK197" s="80">
        <f t="shared" si="166"/>
        <v>0</v>
      </c>
      <c r="BO197" s="80">
        <f t="shared" si="147"/>
        <v>77.234275947206214</v>
      </c>
      <c r="BP197" s="80">
        <f t="shared" si="148"/>
        <v>12300000</v>
      </c>
      <c r="BQ197" s="80">
        <f>(BP197-BP196)*INDEX('[1]功能-付费相关'!$AU$6:$AU$165,$BO197,1)+BQ196</f>
        <v>16450.938733882616</v>
      </c>
      <c r="BR197" s="80"/>
      <c r="BS197" s="80"/>
      <c r="BU197" s="80">
        <v>140</v>
      </c>
      <c r="BV197" s="80">
        <f t="shared" si="149"/>
        <v>16450.938733882616</v>
      </c>
      <c r="BW197" s="86">
        <f t="shared" si="165"/>
        <v>114432.36000000002</v>
      </c>
      <c r="BX197" s="80"/>
      <c r="BY197" s="80">
        <f t="shared" si="167"/>
        <v>130883.29873388264</v>
      </c>
    </row>
    <row r="198" spans="12:77" x14ac:dyDescent="0.15">
      <c r="L198" s="61">
        <v>17</v>
      </c>
      <c r="M198" s="80">
        <f>基础状态预期!D210</f>
        <v>77.234275947206214</v>
      </c>
      <c r="N198" s="80">
        <f>IF(基础状态预期!F210="",0,IF(基础状态预期!Z210&lt;=1,基础状态预期!Z210*D$4,1*D$4+(基础状态预期!Z210-1)*武将觉醒!D$5))</f>
        <v>0</v>
      </c>
      <c r="O198" s="80">
        <f>IF(基础状态预期!G210="",0,IF(基础状态预期!AA210&lt;=1,基础状态预期!AA210*E$4,1*E$4+(基础状态预期!AA210-1)*武将觉醒!E$5))</f>
        <v>0</v>
      </c>
      <c r="P198" s="80">
        <f>IF(基础状态预期!H210="",0,IF(基础状态预期!AB210&lt;=1,基础状态预期!AB210*F$4,1*F$4+(基础状态预期!AB210-1)*武将觉醒!F$5))</f>
        <v>0</v>
      </c>
      <c r="Q198" s="80">
        <f>IF(基础状态预期!I210="",0,IF(基础状态预期!AC210&lt;=1,基础状态预期!AC210*G$4,1*G$4+(基础状态预期!AC210-1)*武将觉醒!G$5))</f>
        <v>0</v>
      </c>
      <c r="R198" s="80">
        <f>IF(基础状态预期!J210="",0,IF(基础状态预期!AD210&lt;=1,基础状态预期!AD210*H$4,1*H$4+(基础状态预期!AD210-1)*武将觉醒!H$5))</f>
        <v>2050000</v>
      </c>
      <c r="S198" s="80">
        <f>MAX(SUMPRODUCT(N198:R198,基础状态预期!F210:J210),S197)</f>
        <v>12300000</v>
      </c>
      <c r="T198" s="80">
        <f>IF(基础状态预期!Z210="",0,IFERROR(基础状态预期!F210*求节点($C$62:$C$63,D$62:D$63,基础状态预期!Z210),0)+IFERROR(基础状态预期!$J210*求节点($C$71:$C$72,D$71:D$72,基础状态预期!$AD210),0))</f>
        <v>0</v>
      </c>
      <c r="U198" s="80">
        <f>IF(基础状态预期!AA210="",0,IFERROR(基础状态预期!G210*求节点($C$62:$C$63,E$62:E$63,基础状态预期!AA210),0)+IFERROR(基础状态预期!$J210*求节点($C$71:$C$72,E$71:E$72,基础状态预期!$AD210),0))</f>
        <v>0</v>
      </c>
      <c r="V198" s="80">
        <f>IF(基础状态预期!AB210="",0,IFERROR(基础状态预期!H210*求节点($C$62:$C$63,F$62:F$63,基础状态预期!AB210),0)+IFERROR(基础状态预期!$J210*求节点($C$71:$C$72,F$71:F$72,基础状态预期!$AD210),0))</f>
        <v>0</v>
      </c>
      <c r="W198" s="80">
        <f>IF(基础状态预期!AC210="",0,IFERROR(基础状态预期!I210*求节点($C$62:$C$63,G$62:G$63,基础状态预期!AC210),0)+IFERROR(基础状态预期!$J210*求节点($C$71:$C$72,G$71:G$72,基础状态预期!$AD210),0))</f>
        <v>0</v>
      </c>
      <c r="X198" s="80">
        <f>IF(基础状态预期!AD210="",0,IFERROR(基础状态预期!J210*求节点($C$62:$C$63,H$62:H$63,基础状态预期!AD210),0)+IFERROR(基础状态预期!$J210*求节点($C$71:$C$72,H$71:H$72,基础状态预期!$AD210),0))</f>
        <v>0</v>
      </c>
      <c r="Y198" s="80">
        <f>IF(基础状态预期!$H210="",0,IF(基础状态预期!$AB210&lt;=1,基础状态预期!$AB210*D$18,D$18)*基础状态预期!$H210)+
IF(基础状态预期!$I210="",0,IF(基础状态预期!$AC210&lt;=1,基础状态预期!$AC210*D$19,D$19)*基础状态预期!$I210)+
IF(基础状态预期!$J210="",0,IF(基础状态预期!$AD210&lt;=1,基础状态预期!$AD210*D$20,D$20)*基础状态预期!$J210)</f>
        <v>48</v>
      </c>
      <c r="Z198" s="80">
        <f>IF(基础状态预期!$H210="",0,IF(基础状态预期!$AB210&lt;=1,基础状态预期!$AB210*E$18,E$18)*基础状态预期!$H210)+
IF(基础状态预期!$I210="",0,IF(基础状态预期!$AC210&lt;=1,基础状态预期!$AC210*E$19,E$19)*基础状态预期!$I210)+
IF(基础状态预期!$J210="",0,IF(基础状态预期!$AD210&lt;=1,基础状态预期!$AD210*E$20,E$20)*基础状态预期!$J210)</f>
        <v>0</v>
      </c>
      <c r="AA198" s="80">
        <f>IF(基础状态预期!$H210="",0,IF(基础状态预期!$AB210&lt;=1,基础状态预期!$AB210*F$18,F$18)*基础状态预期!$H210)+
IF(基础状态预期!$I210="",0,IF(基础状态预期!$AC210&lt;=1,基础状态预期!$AC210*F$19,F$19)*基础状态预期!$I210)+
IF(基础状态预期!$J210="",0,IF(基础状态预期!$AD210&lt;=1,基础状态预期!$AD210*F$20,F$20)*基础状态预期!$J210)</f>
        <v>0</v>
      </c>
      <c r="AB198" s="67">
        <f>IF(基础状态预期!$H210="",0,IF(基础状态预期!$AB210&lt;=1,0,(基础状态预期!$AB210-1)*G$26)*基础状态预期!$H210)+
IF(基础状态预期!$I210="",0,IF(基础状态预期!$AC210&lt;=1,0,(基础状态预期!$AC210-1)*G$27)*基础状态预期!$I210)+
IF(基础状态预期!$J210="",0,IF(基础状态预期!$AD210&lt;=1,0,(基础状态预期!$AD210-1)*G$28)*基础状态预期!$J210)</f>
        <v>240</v>
      </c>
      <c r="AC198" s="67">
        <f>IF(基础状态预期!$H210="",0,IF(基础状态预期!$AB210&lt;=1,0,(基础状态预期!$AB210-1)*H$26)*基础状态预期!$H210)+
IF(基础状态预期!$I210="",0,IF(基础状态预期!$AC210&lt;=1,0,(基础状态预期!$AC210-1)*H$27)*基础状态预期!$I210)+
IF(基础状态预期!$J210="",0,IF(基础状态预期!$AD210&lt;=1,0,(基础状态预期!$AD210-1)*H$28)*基础状态预期!$J210)</f>
        <v>0</v>
      </c>
      <c r="AD198" s="67">
        <f>IF(基础状态预期!$H210="",0,IF(基础状态预期!$AB210&lt;=1,0,(基础状态预期!$AB210-1)*I$26)*基础状态预期!$H210)+
IF(基础状态预期!$I210="",0,IF(基础状态预期!$AC210&lt;=1,0,(基础状态预期!$AC210-1)*I$27)*基础状态预期!$I210)+
IF(基础状态预期!$J210="",0,IF(基础状态预期!$AD210&lt;=1,0,(基础状态预期!$AD210-1)*I$28)*基础状态预期!$J210)</f>
        <v>0</v>
      </c>
      <c r="AE198" s="80">
        <f>IF(各r阵容卡情况!$H204=0,0,IF(各r阵容卡情况!$AB204&lt;=1,各r阵容卡情况!$AB204*D$18,1*D$18)*各r阵容卡情况!$H204)+
IF(各r阵容卡情况!$I204=0,0,IF(各r阵容卡情况!$AC204&lt;=1,各r阵容卡情况!$AC204*D$19,1*D$19)*各r阵容卡情况!$I204)+
IF(各r阵容卡情况!$J204=0,0,IF(各r阵容卡情况!$AD204&lt;=1,各r阵容卡情况!$AD204*D$20,1*D$20)*各r阵容卡情况!$J204)</f>
        <v>144</v>
      </c>
      <c r="AF198" s="80">
        <f>IF(各r阵容卡情况!$H204=0,0,IF(各r阵容卡情况!$AB204&lt;=1,各r阵容卡情况!$AB204*E$18,1*E$18)*各r阵容卡情况!$H204)+
IF(各r阵容卡情况!$I204=0,0,IF(各r阵容卡情况!$AC204&lt;=1,各r阵容卡情况!$AC204*E$19,1*E$19)*各r阵容卡情况!$I204)+
IF(各r阵容卡情况!$J204=0,0,IF(各r阵容卡情况!$AD204&lt;=1,各r阵容卡情况!$AD204*E$20,1*E$20)*各r阵容卡情况!$J204)</f>
        <v>0</v>
      </c>
      <c r="AG198" s="80">
        <f>IF(各r阵容卡情况!$H204=0,0,IF(各r阵容卡情况!$AB204&lt;=1,各r阵容卡情况!$AB204*F$18,1*F$18)*各r阵容卡情况!$H204)+
IF(各r阵容卡情况!$I204=0,0,IF(各r阵容卡情况!$AC204&lt;=1,各r阵容卡情况!$AC204*F$19,1*F$19)*各r阵容卡情况!$I204)+
IF(各r阵容卡情况!$J204=0,0,IF(各r阵容卡情况!$AD204&lt;=1,各r阵容卡情况!$AD204*F$20,1*F$20)*各r阵容卡情况!$J204)</f>
        <v>0</v>
      </c>
      <c r="AH198" s="67">
        <f>IF(各r阵容卡情况!$H204=0,0,IF(各r阵容卡情况!$AB204&lt;=1,0,(各r阵容卡情况!$AB204-1)*G$26)*各r阵容卡情况!$H204)+
IF(各r阵容卡情况!$I204=0,0,IF(各r阵容卡情况!$AC204&lt;=1,0,(各r阵容卡情况!$AC204-1)*G$27)*各r阵容卡情况!$I204)+
IF(各r阵容卡情况!$J204=0,0,IF(各r阵容卡情况!$AD204&lt;=1,0,(各r阵容卡情况!$AD204-1)*G$28)*各r阵容卡情况!$J204)</f>
        <v>720</v>
      </c>
      <c r="AI198" s="67">
        <f>IF(各r阵容卡情况!$H204=0,0,IF(各r阵容卡情况!$AB204&lt;=1,0,(各r阵容卡情况!$AB204-1)*H$26)*各r阵容卡情况!$H204)+
IF(各r阵容卡情况!$I204=0,0,IF(各r阵容卡情况!$AC204&lt;=1,0,(各r阵容卡情况!$AC204-1)*H$27)*各r阵容卡情况!$I204)+
IF(各r阵容卡情况!$J204=0,0,IF(各r阵容卡情况!$AD204&lt;=1,0,(各r阵容卡情况!$AD204-1)*H$28)*各r阵容卡情况!$J204)</f>
        <v>0</v>
      </c>
      <c r="AJ198" s="67">
        <f>IF(各r阵容卡情况!$H204=0,0,IF(各r阵容卡情况!$AB204&lt;=1,0,(各r阵容卡情况!$AB204-1)*I$26)*各r阵容卡情况!$H204)+
IF(各r阵容卡情况!$I204=0,0,IF(各r阵容卡情况!$AC204&lt;=1,0,(各r阵容卡情况!$AC204-1)*I$27)*各r阵容卡情况!$I204)+
IF(各r阵容卡情况!$J204=0,0,IF(各r阵容卡情况!$AD204&lt;=1,0,(各r阵容卡情况!$AD204-1)*I$28)*各r阵容卡情况!$J204)</f>
        <v>0</v>
      </c>
      <c r="AL198" s="80">
        <f t="shared" si="150"/>
        <v>75</v>
      </c>
      <c r="AM198" s="80">
        <f t="shared" si="151"/>
        <v>47.219680274210425</v>
      </c>
      <c r="AN198" s="80">
        <f t="shared" si="152"/>
        <v>0</v>
      </c>
      <c r="AO198" s="80">
        <f t="shared" si="153"/>
        <v>0</v>
      </c>
      <c r="AP198" s="80">
        <f t="shared" si="154"/>
        <v>236.09840137105215</v>
      </c>
      <c r="AQ198" s="80">
        <f t="shared" si="155"/>
        <v>0</v>
      </c>
      <c r="AR198" s="80">
        <f t="shared" si="156"/>
        <v>0</v>
      </c>
      <c r="AS198" s="80">
        <f t="shared" si="157"/>
        <v>144</v>
      </c>
      <c r="AT198" s="80">
        <f t="shared" si="158"/>
        <v>0</v>
      </c>
      <c r="AU198" s="80">
        <f t="shared" si="159"/>
        <v>0</v>
      </c>
      <c r="AV198" s="80">
        <f t="shared" si="160"/>
        <v>720</v>
      </c>
      <c r="AW198" s="80">
        <f t="shared" si="161"/>
        <v>0</v>
      </c>
      <c r="AX198" s="80">
        <f t="shared" si="162"/>
        <v>0</v>
      </c>
      <c r="AY198" s="61" t="e">
        <f>SUMPRODUCT(AM198:AR198/'[1]功能-行军令'!$GI$26:$GN$26+AS198:AX198/'[1]功能-行军令'!$GI$26:$GN$26)/0.18</f>
        <v>#DIV/0!</v>
      </c>
      <c r="BB198" s="80">
        <v>150</v>
      </c>
      <c r="BC198" s="80"/>
      <c r="BD198" s="80"/>
      <c r="BE198" s="80"/>
      <c r="BF198" s="80"/>
      <c r="BG198" s="80"/>
      <c r="BH198" s="80"/>
      <c r="BI198" s="80"/>
      <c r="BJ198" s="80"/>
      <c r="BK198" s="80">
        <f t="shared" si="166"/>
        <v>0</v>
      </c>
      <c r="BO198" s="80">
        <f t="shared" si="147"/>
        <v>79.725666247801229</v>
      </c>
      <c r="BP198" s="80">
        <f t="shared" si="148"/>
        <v>12300000</v>
      </c>
      <c r="BQ198" s="80">
        <f>(BP198-BP197)*INDEX('[1]功能-付费相关'!$AU$6:$AU$165,$BO198,1)+BQ197</f>
        <v>16450.938733882616</v>
      </c>
      <c r="BR198" s="80"/>
      <c r="BS198" s="80"/>
      <c r="BU198" s="80">
        <v>150</v>
      </c>
      <c r="BV198" s="80">
        <f t="shared" si="149"/>
        <v>16450.938733882616</v>
      </c>
      <c r="BW198" s="86">
        <f t="shared" si="165"/>
        <v>114432.36000000002</v>
      </c>
      <c r="BX198" s="80"/>
      <c r="BY198" s="80">
        <f t="shared" si="167"/>
        <v>130883.29873388264</v>
      </c>
    </row>
    <row r="199" spans="12:77" x14ac:dyDescent="0.15">
      <c r="L199" s="61">
        <v>18</v>
      </c>
      <c r="M199" s="80">
        <f>基础状态预期!D211</f>
        <v>79.725666247801229</v>
      </c>
      <c r="N199" s="80">
        <f>IF(基础状态预期!F211="",0,IF(基础状态预期!Z211&lt;=1,基础状态预期!Z211*D$4,1*D$4+(基础状态预期!Z211-1)*武将觉醒!D$5))</f>
        <v>0</v>
      </c>
      <c r="O199" s="80">
        <f>IF(基础状态预期!G211="",0,IF(基础状态预期!AA211&lt;=1,基础状态预期!AA211*E$4,1*E$4+(基础状态预期!AA211-1)*武将觉醒!E$5))</f>
        <v>0</v>
      </c>
      <c r="P199" s="80">
        <f>IF(基础状态预期!H211="",0,IF(基础状态预期!AB211&lt;=1,基础状态预期!AB211*F$4,1*F$4+(基础状态预期!AB211-1)*武将觉醒!F$5))</f>
        <v>0</v>
      </c>
      <c r="Q199" s="80">
        <f>IF(基础状态预期!I211="",0,IF(基础状态预期!AC211&lt;=1,基础状态预期!AC211*G$4,1*G$4+(基础状态预期!AC211-1)*武将觉醒!G$5))</f>
        <v>0</v>
      </c>
      <c r="R199" s="80">
        <f>IF(基础状态预期!J211="",0,IF(基础状态预期!AD211&lt;=1,基础状态预期!AD211*H$4,1*H$4+(基础状态预期!AD211-1)*武将觉醒!H$5))</f>
        <v>2050000</v>
      </c>
      <c r="S199" s="80">
        <f>MAX(SUMPRODUCT(N199:R199,基础状态预期!F211:J211),S198)</f>
        <v>12300000</v>
      </c>
      <c r="T199" s="80">
        <f>IF(基础状态预期!Z211="",0,IFERROR(基础状态预期!F211*求节点($C$62:$C$63,D$62:D$63,基础状态预期!Z211),0)+IFERROR(基础状态预期!$J211*求节点($C$71:$C$72,D$71:D$72,基础状态预期!$AD211),0))</f>
        <v>0</v>
      </c>
      <c r="U199" s="80">
        <f>IF(基础状态预期!AA211="",0,IFERROR(基础状态预期!G211*求节点($C$62:$C$63,E$62:E$63,基础状态预期!AA211),0)+IFERROR(基础状态预期!$J211*求节点($C$71:$C$72,E$71:E$72,基础状态预期!$AD211),0))</f>
        <v>0</v>
      </c>
      <c r="V199" s="80">
        <f>IF(基础状态预期!AB211="",0,IFERROR(基础状态预期!H211*求节点($C$62:$C$63,F$62:F$63,基础状态预期!AB211),0)+IFERROR(基础状态预期!$J211*求节点($C$71:$C$72,F$71:F$72,基础状态预期!$AD211),0))</f>
        <v>0</v>
      </c>
      <c r="W199" s="80">
        <f>IF(基础状态预期!AC211="",0,IFERROR(基础状态预期!I211*求节点($C$62:$C$63,G$62:G$63,基础状态预期!AC211),0)+IFERROR(基础状态预期!$J211*求节点($C$71:$C$72,G$71:G$72,基础状态预期!$AD211),0))</f>
        <v>0</v>
      </c>
      <c r="X199" s="80">
        <f>IF(基础状态预期!AD211="",0,IFERROR(基础状态预期!J211*求节点($C$62:$C$63,H$62:H$63,基础状态预期!AD211),0)+IFERROR(基础状态预期!$J211*求节点($C$71:$C$72,H$71:H$72,基础状态预期!$AD211),0))</f>
        <v>0</v>
      </c>
      <c r="Y199" s="80">
        <f>IF(基础状态预期!$H211="",0,IF(基础状态预期!$AB211&lt;=1,基础状态预期!$AB211*D$18,D$18)*基础状态预期!$H211)+
IF(基础状态预期!$I211="",0,IF(基础状态预期!$AC211&lt;=1,基础状态预期!$AC211*D$19,D$19)*基础状态预期!$I211)+
IF(基础状态预期!$J211="",0,IF(基础状态预期!$AD211&lt;=1,基础状态预期!$AD211*D$20,D$20)*基础状态预期!$J211)</f>
        <v>48</v>
      </c>
      <c r="Z199" s="80">
        <f>IF(基础状态预期!$H211="",0,IF(基础状态预期!$AB211&lt;=1,基础状态预期!$AB211*E$18,E$18)*基础状态预期!$H211)+
IF(基础状态预期!$I211="",0,IF(基础状态预期!$AC211&lt;=1,基础状态预期!$AC211*E$19,E$19)*基础状态预期!$I211)+
IF(基础状态预期!$J211="",0,IF(基础状态预期!$AD211&lt;=1,基础状态预期!$AD211*E$20,E$20)*基础状态预期!$J211)</f>
        <v>0</v>
      </c>
      <c r="AA199" s="80">
        <f>IF(基础状态预期!$H211="",0,IF(基础状态预期!$AB211&lt;=1,基础状态预期!$AB211*F$18,F$18)*基础状态预期!$H211)+
IF(基础状态预期!$I211="",0,IF(基础状态预期!$AC211&lt;=1,基础状态预期!$AC211*F$19,F$19)*基础状态预期!$I211)+
IF(基础状态预期!$J211="",0,IF(基础状态预期!$AD211&lt;=1,基础状态预期!$AD211*F$20,F$20)*基础状态预期!$J211)</f>
        <v>0</v>
      </c>
      <c r="AB199" s="67">
        <f>IF(基础状态预期!$H211="",0,IF(基础状态预期!$AB211&lt;=1,0,(基础状态预期!$AB211-1)*G$26)*基础状态预期!$H211)+
IF(基础状态预期!$I211="",0,IF(基础状态预期!$AC211&lt;=1,0,(基础状态预期!$AC211-1)*G$27)*基础状态预期!$I211)+
IF(基础状态预期!$J211="",0,IF(基础状态预期!$AD211&lt;=1,0,(基础状态预期!$AD211-1)*G$28)*基础状态预期!$J211)</f>
        <v>240</v>
      </c>
      <c r="AC199" s="67">
        <f>IF(基础状态预期!$H211="",0,IF(基础状态预期!$AB211&lt;=1,0,(基础状态预期!$AB211-1)*H$26)*基础状态预期!$H211)+
IF(基础状态预期!$I211="",0,IF(基础状态预期!$AC211&lt;=1,0,(基础状态预期!$AC211-1)*H$27)*基础状态预期!$I211)+
IF(基础状态预期!$J211="",0,IF(基础状态预期!$AD211&lt;=1,0,(基础状态预期!$AD211-1)*H$28)*基础状态预期!$J211)</f>
        <v>0</v>
      </c>
      <c r="AD199" s="67">
        <f>IF(基础状态预期!$H211="",0,IF(基础状态预期!$AB211&lt;=1,0,(基础状态预期!$AB211-1)*I$26)*基础状态预期!$H211)+
IF(基础状态预期!$I211="",0,IF(基础状态预期!$AC211&lt;=1,0,(基础状态预期!$AC211-1)*I$27)*基础状态预期!$I211)+
IF(基础状态预期!$J211="",0,IF(基础状态预期!$AD211&lt;=1,0,(基础状态预期!$AD211-1)*I$28)*基础状态预期!$J211)</f>
        <v>0</v>
      </c>
      <c r="AE199" s="80">
        <f>IF(各r阵容卡情况!$H205=0,0,IF(各r阵容卡情况!$AB205&lt;=1,各r阵容卡情况!$AB205*D$18,1*D$18)*各r阵容卡情况!$H205)+
IF(各r阵容卡情况!$I205=0,0,IF(各r阵容卡情况!$AC205&lt;=1,各r阵容卡情况!$AC205*D$19,1*D$19)*各r阵容卡情况!$I205)+
IF(各r阵容卡情况!$J205=0,0,IF(各r阵容卡情况!$AD205&lt;=1,各r阵容卡情况!$AD205*D$20,1*D$20)*各r阵容卡情况!$J205)</f>
        <v>144</v>
      </c>
      <c r="AF199" s="80">
        <f>IF(各r阵容卡情况!$H205=0,0,IF(各r阵容卡情况!$AB205&lt;=1,各r阵容卡情况!$AB205*E$18,1*E$18)*各r阵容卡情况!$H205)+
IF(各r阵容卡情况!$I205=0,0,IF(各r阵容卡情况!$AC205&lt;=1,各r阵容卡情况!$AC205*E$19,1*E$19)*各r阵容卡情况!$I205)+
IF(各r阵容卡情况!$J205=0,0,IF(各r阵容卡情况!$AD205&lt;=1,各r阵容卡情况!$AD205*E$20,1*E$20)*各r阵容卡情况!$J205)</f>
        <v>0</v>
      </c>
      <c r="AG199" s="80">
        <f>IF(各r阵容卡情况!$H205=0,0,IF(各r阵容卡情况!$AB205&lt;=1,各r阵容卡情况!$AB205*F$18,1*F$18)*各r阵容卡情况!$H205)+
IF(各r阵容卡情况!$I205=0,0,IF(各r阵容卡情况!$AC205&lt;=1,各r阵容卡情况!$AC205*F$19,1*F$19)*各r阵容卡情况!$I205)+
IF(各r阵容卡情况!$J205=0,0,IF(各r阵容卡情况!$AD205&lt;=1,各r阵容卡情况!$AD205*F$20,1*F$20)*各r阵容卡情况!$J205)</f>
        <v>0</v>
      </c>
      <c r="AH199" s="67">
        <f>IF(各r阵容卡情况!$H205=0,0,IF(各r阵容卡情况!$AB205&lt;=1,0,(各r阵容卡情况!$AB205-1)*G$26)*各r阵容卡情况!$H205)+
IF(各r阵容卡情况!$I205=0,0,IF(各r阵容卡情况!$AC205&lt;=1,0,(各r阵容卡情况!$AC205-1)*G$27)*各r阵容卡情况!$I205)+
IF(各r阵容卡情况!$J205=0,0,IF(各r阵容卡情况!$AD205&lt;=1,0,(各r阵容卡情况!$AD205-1)*G$28)*各r阵容卡情况!$J205)</f>
        <v>720</v>
      </c>
      <c r="AI199" s="67">
        <f>IF(各r阵容卡情况!$H205=0,0,IF(各r阵容卡情况!$AB205&lt;=1,0,(各r阵容卡情况!$AB205-1)*H$26)*各r阵容卡情况!$H205)+
IF(各r阵容卡情况!$I205=0,0,IF(各r阵容卡情况!$AC205&lt;=1,0,(各r阵容卡情况!$AC205-1)*H$27)*各r阵容卡情况!$I205)+
IF(各r阵容卡情况!$J205=0,0,IF(各r阵容卡情况!$AD205&lt;=1,0,(各r阵容卡情况!$AD205-1)*H$28)*各r阵容卡情况!$J205)</f>
        <v>0</v>
      </c>
      <c r="AJ199" s="67">
        <f>IF(各r阵容卡情况!$H205=0,0,IF(各r阵容卡情况!$AB205&lt;=1,0,(各r阵容卡情况!$AB205-1)*I$26)*各r阵容卡情况!$H205)+
IF(各r阵容卡情况!$I205=0,0,IF(各r阵容卡情况!$AC205&lt;=1,0,(各r阵容卡情况!$AC205-1)*I$27)*各r阵容卡情况!$I205)+
IF(各r阵容卡情况!$J205=0,0,IF(各r阵容卡情况!$AD205&lt;=1,0,(各r阵容卡情况!$AD205-1)*I$28)*各r阵容卡情况!$J205)</f>
        <v>0</v>
      </c>
      <c r="AL199" s="80">
        <f t="shared" si="150"/>
        <v>80</v>
      </c>
      <c r="AM199" s="80">
        <f t="shared" si="151"/>
        <v>48</v>
      </c>
      <c r="AN199" s="80">
        <f t="shared" si="152"/>
        <v>0</v>
      </c>
      <c r="AO199" s="80">
        <f t="shared" si="153"/>
        <v>0</v>
      </c>
      <c r="AP199" s="80">
        <f t="shared" si="154"/>
        <v>240</v>
      </c>
      <c r="AQ199" s="80">
        <f t="shared" si="155"/>
        <v>0</v>
      </c>
      <c r="AR199" s="80">
        <f t="shared" si="156"/>
        <v>0</v>
      </c>
      <c r="AS199" s="80">
        <f t="shared" si="157"/>
        <v>144</v>
      </c>
      <c r="AT199" s="80">
        <f t="shared" si="158"/>
        <v>0</v>
      </c>
      <c r="AU199" s="80">
        <f t="shared" si="159"/>
        <v>0</v>
      </c>
      <c r="AV199" s="80">
        <f t="shared" si="160"/>
        <v>720</v>
      </c>
      <c r="AW199" s="80">
        <f t="shared" si="161"/>
        <v>0</v>
      </c>
      <c r="AX199" s="80">
        <f t="shared" si="162"/>
        <v>0</v>
      </c>
      <c r="AY199" s="61" t="e">
        <f>SUMPRODUCT(AM199:AR199/'[1]功能-行军令'!$GI$26:$GN$26+AS199:AX199/'[1]功能-行军令'!$GI$26:$GN$26)/0.18</f>
        <v>#DIV/0!</v>
      </c>
      <c r="BB199" s="80">
        <v>160</v>
      </c>
      <c r="BC199" s="80"/>
      <c r="BD199" s="80"/>
      <c r="BE199" s="80"/>
      <c r="BF199" s="80"/>
      <c r="BG199" s="80"/>
      <c r="BH199" s="80"/>
      <c r="BI199" s="80"/>
      <c r="BJ199" s="80"/>
      <c r="BK199" s="80">
        <f t="shared" si="166"/>
        <v>0</v>
      </c>
      <c r="BO199" s="80">
        <f t="shared" si="147"/>
        <v>81.863982387630472</v>
      </c>
      <c r="BP199" s="80">
        <f t="shared" si="148"/>
        <v>12300000</v>
      </c>
      <c r="BQ199" s="80">
        <f>(BP199-BP198)*INDEX('[1]功能-付费相关'!$AU$6:$AU$165,$BO199,1)+BQ198</f>
        <v>16450.938733882616</v>
      </c>
      <c r="BR199" s="80"/>
      <c r="BS199" s="80"/>
      <c r="BU199" s="80">
        <v>160</v>
      </c>
      <c r="BV199" s="80">
        <f t="shared" si="149"/>
        <v>16450.938733882616</v>
      </c>
      <c r="BW199" s="86">
        <f t="shared" si="165"/>
        <v>114432.36000000002</v>
      </c>
      <c r="BX199" s="80"/>
      <c r="BY199" s="80">
        <f t="shared" si="167"/>
        <v>130883.29873388264</v>
      </c>
    </row>
    <row r="200" spans="12:77" x14ac:dyDescent="0.15">
      <c r="L200" s="61">
        <v>19</v>
      </c>
      <c r="M200" s="80">
        <f>基础状态预期!D212</f>
        <v>81.863982387630472</v>
      </c>
      <c r="N200" s="80">
        <f>IF(基础状态预期!F212="",0,IF(基础状态预期!Z212&lt;=1,基础状态预期!Z212*D$4,1*D$4+(基础状态预期!Z212-1)*武将觉醒!D$5))</f>
        <v>0</v>
      </c>
      <c r="O200" s="80">
        <f>IF(基础状态预期!G212="",0,IF(基础状态预期!AA212&lt;=1,基础状态预期!AA212*E$4,1*E$4+(基础状态预期!AA212-1)*武将觉醒!E$5))</f>
        <v>0</v>
      </c>
      <c r="P200" s="80">
        <f>IF(基础状态预期!H212="",0,IF(基础状态预期!AB212&lt;=1,基础状态预期!AB212*F$4,1*F$4+(基础状态预期!AB212-1)*武将觉醒!F$5))</f>
        <v>0</v>
      </c>
      <c r="Q200" s="80">
        <f>IF(基础状态预期!I212="",0,IF(基础状态预期!AC212&lt;=1,基础状态预期!AC212*G$4,1*G$4+(基础状态预期!AC212-1)*武将觉醒!G$5))</f>
        <v>0</v>
      </c>
      <c r="R200" s="80">
        <f>IF(基础状态预期!J212="",0,IF(基础状态预期!AD212&lt;=1,基础状态预期!AD212*H$4,1*H$4+(基础状态预期!AD212-1)*武将觉醒!H$5))</f>
        <v>2050000</v>
      </c>
      <c r="S200" s="80">
        <f>MAX(SUMPRODUCT(N200:R200,基础状态预期!F212:J212),S199)</f>
        <v>12300000</v>
      </c>
      <c r="T200" s="80">
        <f>IF(基础状态预期!Z212="",0,IFERROR(基础状态预期!F212*求节点($C$62:$C$63,D$62:D$63,基础状态预期!Z212),0)+IFERROR(基础状态预期!$J212*求节点($C$71:$C$72,D$71:D$72,基础状态预期!$AD212),0))</f>
        <v>0</v>
      </c>
      <c r="U200" s="80">
        <f>IF(基础状态预期!AA212="",0,IFERROR(基础状态预期!G212*求节点($C$62:$C$63,E$62:E$63,基础状态预期!AA212),0)+IFERROR(基础状态预期!$J212*求节点($C$71:$C$72,E$71:E$72,基础状态预期!$AD212),0))</f>
        <v>0</v>
      </c>
      <c r="V200" s="80">
        <f>IF(基础状态预期!AB212="",0,IFERROR(基础状态预期!H212*求节点($C$62:$C$63,F$62:F$63,基础状态预期!AB212),0)+IFERROR(基础状态预期!$J212*求节点($C$71:$C$72,F$71:F$72,基础状态预期!$AD212),0))</f>
        <v>0</v>
      </c>
      <c r="W200" s="80">
        <f>IF(基础状态预期!AC212="",0,IFERROR(基础状态预期!I212*求节点($C$62:$C$63,G$62:G$63,基础状态预期!AC212),0)+IFERROR(基础状态预期!$J212*求节点($C$71:$C$72,G$71:G$72,基础状态预期!$AD212),0))</f>
        <v>0</v>
      </c>
      <c r="X200" s="80">
        <f>IF(基础状态预期!AD212="",0,IFERROR(基础状态预期!J212*求节点($C$62:$C$63,H$62:H$63,基础状态预期!AD212),0)+IFERROR(基础状态预期!$J212*求节点($C$71:$C$72,H$71:H$72,基础状态预期!$AD212),0))</f>
        <v>0</v>
      </c>
      <c r="Y200" s="80">
        <f>IF(基础状态预期!$H212="",0,IF(基础状态预期!$AB212&lt;=1,基础状态预期!$AB212*D$18,D$18)*基础状态预期!$H212)+
IF(基础状态预期!$I212="",0,IF(基础状态预期!$AC212&lt;=1,基础状态预期!$AC212*D$19,D$19)*基础状态预期!$I212)+
IF(基础状态预期!$J212="",0,IF(基础状态预期!$AD212&lt;=1,基础状态预期!$AD212*D$20,D$20)*基础状态预期!$J212)</f>
        <v>48</v>
      </c>
      <c r="Z200" s="80">
        <f>IF(基础状态预期!$H212="",0,IF(基础状态预期!$AB212&lt;=1,基础状态预期!$AB212*E$18,E$18)*基础状态预期!$H212)+
IF(基础状态预期!$I212="",0,IF(基础状态预期!$AC212&lt;=1,基础状态预期!$AC212*E$19,E$19)*基础状态预期!$I212)+
IF(基础状态预期!$J212="",0,IF(基础状态预期!$AD212&lt;=1,基础状态预期!$AD212*E$20,E$20)*基础状态预期!$J212)</f>
        <v>0</v>
      </c>
      <c r="AA200" s="80">
        <f>IF(基础状态预期!$H212="",0,IF(基础状态预期!$AB212&lt;=1,基础状态预期!$AB212*F$18,F$18)*基础状态预期!$H212)+
IF(基础状态预期!$I212="",0,IF(基础状态预期!$AC212&lt;=1,基础状态预期!$AC212*F$19,F$19)*基础状态预期!$I212)+
IF(基础状态预期!$J212="",0,IF(基础状态预期!$AD212&lt;=1,基础状态预期!$AD212*F$20,F$20)*基础状态预期!$J212)</f>
        <v>0</v>
      </c>
      <c r="AB200" s="67">
        <f>IF(基础状态预期!$H212="",0,IF(基础状态预期!$AB212&lt;=1,0,(基础状态预期!$AB212-1)*G$26)*基础状态预期!$H212)+
IF(基础状态预期!$I212="",0,IF(基础状态预期!$AC212&lt;=1,0,(基础状态预期!$AC212-1)*G$27)*基础状态预期!$I212)+
IF(基础状态预期!$J212="",0,IF(基础状态预期!$AD212&lt;=1,0,(基础状态预期!$AD212-1)*G$28)*基础状态预期!$J212)</f>
        <v>240</v>
      </c>
      <c r="AC200" s="67">
        <f>IF(基础状态预期!$H212="",0,IF(基础状态预期!$AB212&lt;=1,0,(基础状态预期!$AB212-1)*H$26)*基础状态预期!$H212)+
IF(基础状态预期!$I212="",0,IF(基础状态预期!$AC212&lt;=1,0,(基础状态预期!$AC212-1)*H$27)*基础状态预期!$I212)+
IF(基础状态预期!$J212="",0,IF(基础状态预期!$AD212&lt;=1,0,(基础状态预期!$AD212-1)*H$28)*基础状态预期!$J212)</f>
        <v>0</v>
      </c>
      <c r="AD200" s="67">
        <f>IF(基础状态预期!$H212="",0,IF(基础状态预期!$AB212&lt;=1,0,(基础状态预期!$AB212-1)*I$26)*基础状态预期!$H212)+
IF(基础状态预期!$I212="",0,IF(基础状态预期!$AC212&lt;=1,0,(基础状态预期!$AC212-1)*I$27)*基础状态预期!$I212)+
IF(基础状态预期!$J212="",0,IF(基础状态预期!$AD212&lt;=1,0,(基础状态预期!$AD212-1)*I$28)*基础状态预期!$J212)</f>
        <v>0</v>
      </c>
      <c r="AE200" s="80">
        <f>IF(各r阵容卡情况!$H206=0,0,IF(各r阵容卡情况!$AB206&lt;=1,各r阵容卡情况!$AB206*D$18,1*D$18)*各r阵容卡情况!$H206)+
IF(各r阵容卡情况!$I206=0,0,IF(各r阵容卡情况!$AC206&lt;=1,各r阵容卡情况!$AC206*D$19,1*D$19)*各r阵容卡情况!$I206)+
IF(各r阵容卡情况!$J206=0,0,IF(各r阵容卡情况!$AD206&lt;=1,各r阵容卡情况!$AD206*D$20,1*D$20)*各r阵容卡情况!$J206)</f>
        <v>144</v>
      </c>
      <c r="AF200" s="80">
        <f>IF(各r阵容卡情况!$H206=0,0,IF(各r阵容卡情况!$AB206&lt;=1,各r阵容卡情况!$AB206*E$18,1*E$18)*各r阵容卡情况!$H206)+
IF(各r阵容卡情况!$I206=0,0,IF(各r阵容卡情况!$AC206&lt;=1,各r阵容卡情况!$AC206*E$19,1*E$19)*各r阵容卡情况!$I206)+
IF(各r阵容卡情况!$J206=0,0,IF(各r阵容卡情况!$AD206&lt;=1,各r阵容卡情况!$AD206*E$20,1*E$20)*各r阵容卡情况!$J206)</f>
        <v>0</v>
      </c>
      <c r="AG200" s="80">
        <f>IF(各r阵容卡情况!$H206=0,0,IF(各r阵容卡情况!$AB206&lt;=1,各r阵容卡情况!$AB206*F$18,1*F$18)*各r阵容卡情况!$H206)+
IF(各r阵容卡情况!$I206=0,0,IF(各r阵容卡情况!$AC206&lt;=1,各r阵容卡情况!$AC206*F$19,1*F$19)*各r阵容卡情况!$I206)+
IF(各r阵容卡情况!$J206=0,0,IF(各r阵容卡情况!$AD206&lt;=1,各r阵容卡情况!$AD206*F$20,1*F$20)*各r阵容卡情况!$J206)</f>
        <v>0</v>
      </c>
      <c r="AH200" s="67">
        <f>IF(各r阵容卡情况!$H206=0,0,IF(各r阵容卡情况!$AB206&lt;=1,0,(各r阵容卡情况!$AB206-1)*G$26)*各r阵容卡情况!$H206)+
IF(各r阵容卡情况!$I206=0,0,IF(各r阵容卡情况!$AC206&lt;=1,0,(各r阵容卡情况!$AC206-1)*G$27)*各r阵容卡情况!$I206)+
IF(各r阵容卡情况!$J206=0,0,IF(各r阵容卡情况!$AD206&lt;=1,0,(各r阵容卡情况!$AD206-1)*G$28)*各r阵容卡情况!$J206)</f>
        <v>720</v>
      </c>
      <c r="AI200" s="67">
        <f>IF(各r阵容卡情况!$H206=0,0,IF(各r阵容卡情况!$AB206&lt;=1,0,(各r阵容卡情况!$AB206-1)*H$26)*各r阵容卡情况!$H206)+
IF(各r阵容卡情况!$I206=0,0,IF(各r阵容卡情况!$AC206&lt;=1,0,(各r阵容卡情况!$AC206-1)*H$27)*各r阵容卡情况!$I206)+
IF(各r阵容卡情况!$J206=0,0,IF(各r阵容卡情况!$AD206&lt;=1,0,(各r阵容卡情况!$AD206-1)*H$28)*各r阵容卡情况!$J206)</f>
        <v>0</v>
      </c>
      <c r="AJ200" s="67">
        <f>IF(各r阵容卡情况!$H206=0,0,IF(各r阵容卡情况!$AB206&lt;=1,0,(各r阵容卡情况!$AB206-1)*I$26)*各r阵容卡情况!$H206)+
IF(各r阵容卡情况!$I206=0,0,IF(各r阵容卡情况!$AC206&lt;=1,0,(各r阵容卡情况!$AC206-1)*I$27)*各r阵容卡情况!$I206)+
IF(各r阵容卡情况!$J206=0,0,IF(各r阵容卡情况!$AD206&lt;=1,0,(各r阵容卡情况!$AD206-1)*I$28)*各r阵容卡情况!$J206)</f>
        <v>0</v>
      </c>
      <c r="AL200" s="80">
        <f t="shared" si="150"/>
        <v>85</v>
      </c>
      <c r="AM200" s="80">
        <f t="shared" si="151"/>
        <v>48</v>
      </c>
      <c r="AN200" s="80">
        <f t="shared" si="152"/>
        <v>0</v>
      </c>
      <c r="AO200" s="80">
        <f t="shared" si="153"/>
        <v>0</v>
      </c>
      <c r="AP200" s="80">
        <f t="shared" si="154"/>
        <v>240</v>
      </c>
      <c r="AQ200" s="80">
        <f t="shared" si="155"/>
        <v>0</v>
      </c>
      <c r="AR200" s="80">
        <f t="shared" si="156"/>
        <v>0</v>
      </c>
      <c r="AS200" s="80">
        <f t="shared" si="157"/>
        <v>66.843230967021555</v>
      </c>
      <c r="AT200" s="80">
        <f t="shared" si="158"/>
        <v>0</v>
      </c>
      <c r="AU200" s="80">
        <f t="shared" si="159"/>
        <v>0</v>
      </c>
      <c r="AV200" s="80">
        <f t="shared" si="160"/>
        <v>334.21615483510777</v>
      </c>
      <c r="AW200" s="80">
        <f t="shared" si="161"/>
        <v>0</v>
      </c>
      <c r="AX200" s="80">
        <f t="shared" si="162"/>
        <v>0</v>
      </c>
      <c r="AY200" s="61" t="e">
        <f>SUMPRODUCT(AM200:AR200/'[1]功能-行军令'!$GI$26:$GN$26+AS200:AX200/'[1]功能-行军令'!$GI$26:$GN$26)/0.18</f>
        <v>#DIV/0!</v>
      </c>
      <c r="BO200" s="80">
        <f t="shared" ref="BO200:BO222" si="168">$M201</f>
        <v>83.667042947574714</v>
      </c>
      <c r="BP200" s="80">
        <f t="shared" ref="BP200:BP222" si="169">$S201</f>
        <v>12300000</v>
      </c>
      <c r="BQ200" s="80">
        <f>(BP200-BP199)*INDEX('[1]功能-付费相关'!$AU$6:$AU$165,$BO200,1)+BQ199</f>
        <v>16450.938733882616</v>
      </c>
      <c r="BR200" s="80"/>
      <c r="BS200" s="80"/>
    </row>
    <row r="201" spans="12:77" x14ac:dyDescent="0.15">
      <c r="L201" s="61">
        <v>20</v>
      </c>
      <c r="M201" s="80">
        <f>基础状态预期!D213</f>
        <v>83.667042947574714</v>
      </c>
      <c r="N201" s="80">
        <f>IF(基础状态预期!F213="",0,IF(基础状态预期!Z213&lt;=1,基础状态预期!Z213*D$4,1*D$4+(基础状态预期!Z213-1)*武将觉醒!D$5))</f>
        <v>0</v>
      </c>
      <c r="O201" s="80">
        <f>IF(基础状态预期!G213="",0,IF(基础状态预期!AA213&lt;=1,基础状态预期!AA213*E$4,1*E$4+(基础状态预期!AA213-1)*武将觉醒!E$5))</f>
        <v>0</v>
      </c>
      <c r="P201" s="80">
        <f>IF(基础状态预期!H213="",0,IF(基础状态预期!AB213&lt;=1,基础状态预期!AB213*F$4,1*F$4+(基础状态预期!AB213-1)*武将觉醒!F$5))</f>
        <v>0</v>
      </c>
      <c r="Q201" s="80">
        <f>IF(基础状态预期!I213="",0,IF(基础状态预期!AC213&lt;=1,基础状态预期!AC213*G$4,1*G$4+(基础状态预期!AC213-1)*武将觉醒!G$5))</f>
        <v>0</v>
      </c>
      <c r="R201" s="80">
        <f>IF(基础状态预期!J213="",0,IF(基础状态预期!AD213&lt;=1,基础状态预期!AD213*H$4,1*H$4+(基础状态预期!AD213-1)*武将觉醒!H$5))</f>
        <v>2050000</v>
      </c>
      <c r="S201" s="80">
        <f>MAX(SUMPRODUCT(N201:R201,基础状态预期!F213:J213),S200)</f>
        <v>12300000</v>
      </c>
      <c r="T201" s="80">
        <f>IF(基础状态预期!Z213="",0,IFERROR(基础状态预期!F213*求节点($C$62:$C$63,D$62:D$63,基础状态预期!Z213),0)+IFERROR(基础状态预期!$J213*求节点($C$71:$C$72,D$71:D$72,基础状态预期!$AD213),0))</f>
        <v>0</v>
      </c>
      <c r="U201" s="80">
        <f>IF(基础状态预期!AA213="",0,IFERROR(基础状态预期!G213*求节点($C$62:$C$63,E$62:E$63,基础状态预期!AA213),0)+IFERROR(基础状态预期!$J213*求节点($C$71:$C$72,E$71:E$72,基础状态预期!$AD213),0))</f>
        <v>0</v>
      </c>
      <c r="V201" s="80">
        <f>IF(基础状态预期!AB213="",0,IFERROR(基础状态预期!H213*求节点($C$62:$C$63,F$62:F$63,基础状态预期!AB213),0)+IFERROR(基础状态预期!$J213*求节点($C$71:$C$72,F$71:F$72,基础状态预期!$AD213),0))</f>
        <v>0</v>
      </c>
      <c r="W201" s="80">
        <f>IF(基础状态预期!AC213="",0,IFERROR(基础状态预期!I213*求节点($C$62:$C$63,G$62:G$63,基础状态预期!AC213),0)+IFERROR(基础状态预期!$J213*求节点($C$71:$C$72,G$71:G$72,基础状态预期!$AD213),0))</f>
        <v>0</v>
      </c>
      <c r="X201" s="80">
        <f>IF(基础状态预期!AD213="",0,IFERROR(基础状态预期!J213*求节点($C$62:$C$63,H$62:H$63,基础状态预期!AD213),0)+IFERROR(基础状态预期!$J213*求节点($C$71:$C$72,H$71:H$72,基础状态预期!$AD213),0))</f>
        <v>0</v>
      </c>
      <c r="Y201" s="80">
        <f>IF(基础状态预期!$H213="",0,IF(基础状态预期!$AB213&lt;=1,基础状态预期!$AB213*D$18,D$18)*基础状态预期!$H213)+
IF(基础状态预期!$I213="",0,IF(基础状态预期!$AC213&lt;=1,基础状态预期!$AC213*D$19,D$19)*基础状态预期!$I213)+
IF(基础状态预期!$J213="",0,IF(基础状态预期!$AD213&lt;=1,基础状态预期!$AD213*D$20,D$20)*基础状态预期!$J213)</f>
        <v>48</v>
      </c>
      <c r="Z201" s="80">
        <f>IF(基础状态预期!$H213="",0,IF(基础状态预期!$AB213&lt;=1,基础状态预期!$AB213*E$18,E$18)*基础状态预期!$H213)+
IF(基础状态预期!$I213="",0,IF(基础状态预期!$AC213&lt;=1,基础状态预期!$AC213*E$19,E$19)*基础状态预期!$I213)+
IF(基础状态预期!$J213="",0,IF(基础状态预期!$AD213&lt;=1,基础状态预期!$AD213*E$20,E$20)*基础状态预期!$J213)</f>
        <v>0</v>
      </c>
      <c r="AA201" s="80">
        <f>IF(基础状态预期!$H213="",0,IF(基础状态预期!$AB213&lt;=1,基础状态预期!$AB213*F$18,F$18)*基础状态预期!$H213)+
IF(基础状态预期!$I213="",0,IF(基础状态预期!$AC213&lt;=1,基础状态预期!$AC213*F$19,F$19)*基础状态预期!$I213)+
IF(基础状态预期!$J213="",0,IF(基础状态预期!$AD213&lt;=1,基础状态预期!$AD213*F$20,F$20)*基础状态预期!$J213)</f>
        <v>0</v>
      </c>
      <c r="AB201" s="67">
        <f>IF(基础状态预期!$H213="",0,IF(基础状态预期!$AB213&lt;=1,0,(基础状态预期!$AB213-1)*G$26)*基础状态预期!$H213)+
IF(基础状态预期!$I213="",0,IF(基础状态预期!$AC213&lt;=1,0,(基础状态预期!$AC213-1)*G$27)*基础状态预期!$I213)+
IF(基础状态预期!$J213="",0,IF(基础状态预期!$AD213&lt;=1,0,(基础状态预期!$AD213-1)*G$28)*基础状态预期!$J213)</f>
        <v>240</v>
      </c>
      <c r="AC201" s="67">
        <f>IF(基础状态预期!$H213="",0,IF(基础状态预期!$AB213&lt;=1,0,(基础状态预期!$AB213-1)*H$26)*基础状态预期!$H213)+
IF(基础状态预期!$I213="",0,IF(基础状态预期!$AC213&lt;=1,0,(基础状态预期!$AC213-1)*H$27)*基础状态预期!$I213)+
IF(基础状态预期!$J213="",0,IF(基础状态预期!$AD213&lt;=1,0,(基础状态预期!$AD213-1)*H$28)*基础状态预期!$J213)</f>
        <v>0</v>
      </c>
      <c r="AD201" s="67">
        <f>IF(基础状态预期!$H213="",0,IF(基础状态预期!$AB213&lt;=1,0,(基础状态预期!$AB213-1)*I$26)*基础状态预期!$H213)+
IF(基础状态预期!$I213="",0,IF(基础状态预期!$AC213&lt;=1,0,(基础状态预期!$AC213-1)*I$27)*基础状态预期!$I213)+
IF(基础状态预期!$J213="",0,IF(基础状态预期!$AD213&lt;=1,0,(基础状态预期!$AD213-1)*I$28)*基础状态预期!$J213)</f>
        <v>0</v>
      </c>
      <c r="AE201" s="80">
        <f>IF(各r阵容卡情况!$H229=0,0,IF(各r阵容卡情况!$AB229&lt;=1,各r阵容卡情况!$AB229*D$18,1*D$18)*各r阵容卡情况!$H229)+
IF(各r阵容卡情况!$I229=0,0,IF(各r阵容卡情况!$AC229&lt;=1,各r阵容卡情况!$AC229*D$19,1*D$19)*各r阵容卡情况!$I229)+
IF(各r阵容卡情况!$J229=0,0,IF(各r阵容卡情况!$AD229&lt;=1,各r阵容卡情况!$AD229*D$20,1*D$20)*各r阵容卡情况!$J229)</f>
        <v>144</v>
      </c>
      <c r="AF201" s="80">
        <f>IF(各r阵容卡情况!$H229=0,0,IF(各r阵容卡情况!$AB229&lt;=1,各r阵容卡情况!$AB229*E$18,1*E$18)*各r阵容卡情况!$H229)+
IF(各r阵容卡情况!$I229=0,0,IF(各r阵容卡情况!$AC229&lt;=1,各r阵容卡情况!$AC229*E$19,1*E$19)*各r阵容卡情况!$I229)+
IF(各r阵容卡情况!$J229=0,0,IF(各r阵容卡情况!$AD229&lt;=1,各r阵容卡情况!$AD229*E$20,1*E$20)*各r阵容卡情况!$J229)</f>
        <v>0</v>
      </c>
      <c r="AG201" s="80">
        <f>IF(各r阵容卡情况!$H229=0,0,IF(各r阵容卡情况!$AB229&lt;=1,各r阵容卡情况!$AB229*F$18,1*F$18)*各r阵容卡情况!$H229)+
IF(各r阵容卡情况!$I229=0,0,IF(各r阵容卡情况!$AC229&lt;=1,各r阵容卡情况!$AC229*F$19,1*F$19)*各r阵容卡情况!$I229)+
IF(各r阵容卡情况!$J229=0,0,IF(各r阵容卡情况!$AD229&lt;=1,各r阵容卡情况!$AD229*F$20,1*F$20)*各r阵容卡情况!$J229)</f>
        <v>0</v>
      </c>
      <c r="AH201" s="67">
        <f>IF(各r阵容卡情况!$H229=0,0,IF(各r阵容卡情况!$AB229&lt;=1,0,(各r阵容卡情况!$AB229-1)*G$26)*各r阵容卡情况!$H229)+
IF(各r阵容卡情况!$I229=0,0,IF(各r阵容卡情况!$AC229&lt;=1,0,(各r阵容卡情况!$AC229-1)*G$27)*各r阵容卡情况!$I229)+
IF(各r阵容卡情况!$J229=0,0,IF(各r阵容卡情况!$AD229&lt;=1,0,(各r阵容卡情况!$AD229-1)*G$28)*各r阵容卡情况!$J229)</f>
        <v>720</v>
      </c>
      <c r="AI201" s="67">
        <f>IF(各r阵容卡情况!$H229=0,0,IF(各r阵容卡情况!$AB229&lt;=1,0,(各r阵容卡情况!$AB229-1)*H$26)*各r阵容卡情况!$H229)+
IF(各r阵容卡情况!$I229=0,0,IF(各r阵容卡情况!$AC229&lt;=1,0,(各r阵容卡情况!$AC229-1)*H$27)*各r阵容卡情况!$I229)+
IF(各r阵容卡情况!$J229=0,0,IF(各r阵容卡情况!$AD229&lt;=1,0,(各r阵容卡情况!$AD229-1)*H$28)*各r阵容卡情况!$J229)</f>
        <v>0</v>
      </c>
      <c r="AJ201" s="67">
        <f>IF(各r阵容卡情况!$H229=0,0,IF(各r阵容卡情况!$AB229&lt;=1,0,(各r阵容卡情况!$AB229-1)*I$26)*各r阵容卡情况!$H229)+
IF(各r阵容卡情况!$I229=0,0,IF(各r阵容卡情况!$AC229&lt;=1,0,(各r阵容卡情况!$AC229-1)*I$27)*各r阵容卡情况!$I229)+
IF(各r阵容卡情况!$J229=0,0,IF(各r阵容卡情况!$AD229&lt;=1,0,(各r阵容卡情况!$AD229-1)*I$28)*各r阵容卡情况!$J229)</f>
        <v>0</v>
      </c>
      <c r="AL201" s="80">
        <f t="shared" ref="AL201:AL223" si="170">AL156</f>
        <v>90</v>
      </c>
      <c r="AM201" s="80">
        <f t="shared" ref="AM201:AM223" si="171">求节点($M$185:$M$223,Y$185:Y$223,$AL201)</f>
        <v>48</v>
      </c>
      <c r="AN201" s="80">
        <f t="shared" ref="AN201:AN223" si="172">求节点($M$185:$M$223,Z$185:Z$223,$AL201)</f>
        <v>0</v>
      </c>
      <c r="AO201" s="80">
        <f t="shared" ref="AO201:AO223" si="173">求节点($M$185:$M$223,AA$185:AA$223,$AL201)</f>
        <v>0</v>
      </c>
      <c r="AP201" s="80">
        <f t="shared" ref="AP201:AP223" si="174">求节点($M$185:$M$223,AB$185:AB$223,$AL201)</f>
        <v>240</v>
      </c>
      <c r="AQ201" s="80">
        <f t="shared" ref="AQ201:AQ223" si="175">求节点($M$185:$M$223,AC$185:AC$223,$AL201)</f>
        <v>0</v>
      </c>
      <c r="AR201" s="80">
        <f t="shared" ref="AR201:AR223" si="176">求节点($M$185:$M$223,AD$185:AD$223,$AL201)</f>
        <v>0</v>
      </c>
      <c r="AS201" s="80">
        <f t="shared" ref="AS201:AS223" si="177">求节点($M$185:$M$223,AE$185:AE$223,$AL201)</f>
        <v>0</v>
      </c>
      <c r="AT201" s="80">
        <f t="shared" ref="AT201:AT223" si="178">求节点($M$185:$M$223,AF$185:AF$223,$AL201)</f>
        <v>0</v>
      </c>
      <c r="AU201" s="80">
        <f t="shared" ref="AU201:AU223" si="179">求节点($M$185:$M$223,AG$185:AG$223,$AL201)</f>
        <v>0</v>
      </c>
      <c r="AV201" s="80">
        <f t="shared" ref="AV201:AV223" si="180">求节点($M$185:$M$223,AH$185:AH$223,$AL201)</f>
        <v>0</v>
      </c>
      <c r="AW201" s="80">
        <f t="shared" ref="AW201:AW223" si="181">求节点($M$185:$M$223,AI$185:AI$223,$AL201)</f>
        <v>0</v>
      </c>
      <c r="AX201" s="80">
        <f t="shared" ref="AX201:AX223" si="182">求节点($M$185:$M$223,AJ$185:AJ$223,$AL201)</f>
        <v>0</v>
      </c>
      <c r="AY201" s="61" t="e">
        <f>SUMPRODUCT(AM201:AR201/'[1]功能-行军令'!$GI$26:$GN$26+AS201:AX201/'[1]功能-行军令'!$GI$26:$GN$26)/0.18</f>
        <v>#DIV/0!</v>
      </c>
      <c r="BO201" s="80">
        <f t="shared" si="168"/>
        <v>86.154780808490059</v>
      </c>
      <c r="BP201" s="80">
        <f t="shared" si="169"/>
        <v>12300000</v>
      </c>
      <c r="BQ201" s="80">
        <f>(BP201-BP200)*INDEX('[1]功能-付费相关'!$AU$6:$AU$165,$BO201,1)+BQ200</f>
        <v>16450.938733882616</v>
      </c>
      <c r="BR201" s="80"/>
      <c r="BS201" s="80"/>
    </row>
    <row r="202" spans="12:77" x14ac:dyDescent="0.15">
      <c r="L202" s="61">
        <v>21</v>
      </c>
      <c r="M202" s="80">
        <f>基础状态预期!D214</f>
        <v>86.154780808490059</v>
      </c>
      <c r="N202" s="80">
        <f>IF(基础状态预期!F214="",0,IF(基础状态预期!Z214&lt;=1,基础状态预期!Z214*D$4,1*D$4+(基础状态预期!Z214-1)*武将觉醒!D$5))</f>
        <v>0</v>
      </c>
      <c r="O202" s="80">
        <f>IF(基础状态预期!G214="",0,IF(基础状态预期!AA214&lt;=1,基础状态预期!AA214*E$4,1*E$4+(基础状态预期!AA214-1)*武将觉醒!E$5))</f>
        <v>0</v>
      </c>
      <c r="P202" s="80">
        <f>IF(基础状态预期!H214="",0,IF(基础状态预期!AB214&lt;=1,基础状态预期!AB214*F$4,1*F$4+(基础状态预期!AB214-1)*武将觉醒!F$5))</f>
        <v>0</v>
      </c>
      <c r="Q202" s="80">
        <f>IF(基础状态预期!I214="",0,IF(基础状态预期!AC214&lt;=1,基础状态预期!AC214*G$4,1*G$4+(基础状态预期!AC214-1)*武将觉醒!G$5))</f>
        <v>0</v>
      </c>
      <c r="R202" s="80">
        <f>IF(基础状态预期!J214="",0,IF(基础状态预期!AD214&lt;=1,基础状态预期!AD214*H$4,1*H$4+(基础状态预期!AD214-1)*武将觉醒!H$5))</f>
        <v>2050000</v>
      </c>
      <c r="S202" s="80">
        <f>MAX(SUMPRODUCT(N202:R202,基础状态预期!F214:J214),S201)</f>
        <v>12300000</v>
      </c>
      <c r="T202" s="80">
        <f>IF(基础状态预期!Z214="",0,IFERROR(基础状态预期!F214*求节点($C$62:$C$63,D$62:D$63,基础状态预期!Z214),0)+IFERROR(基础状态预期!$J214*求节点($C$71:$C$72,D$71:D$72,基础状态预期!$AD214),0))</f>
        <v>0</v>
      </c>
      <c r="U202" s="80">
        <f>IF(基础状态预期!AA214="",0,IFERROR(基础状态预期!G214*求节点($C$62:$C$63,E$62:E$63,基础状态预期!AA214),0)+IFERROR(基础状态预期!$J214*求节点($C$71:$C$72,E$71:E$72,基础状态预期!$AD214),0))</f>
        <v>0</v>
      </c>
      <c r="V202" s="80">
        <f>IF(基础状态预期!AB214="",0,IFERROR(基础状态预期!H214*求节点($C$62:$C$63,F$62:F$63,基础状态预期!AB214),0)+IFERROR(基础状态预期!$J214*求节点($C$71:$C$72,F$71:F$72,基础状态预期!$AD214),0))</f>
        <v>0</v>
      </c>
      <c r="W202" s="80">
        <f>IF(基础状态预期!AC214="",0,IFERROR(基础状态预期!I214*求节点($C$62:$C$63,G$62:G$63,基础状态预期!AC214),0)+IFERROR(基础状态预期!$J214*求节点($C$71:$C$72,G$71:G$72,基础状态预期!$AD214),0))</f>
        <v>0</v>
      </c>
      <c r="X202" s="80">
        <f>IF(基础状态预期!AD214="",0,IFERROR(基础状态预期!J214*求节点($C$62:$C$63,H$62:H$63,基础状态预期!AD214),0)+IFERROR(基础状态预期!$J214*求节点($C$71:$C$72,H$71:H$72,基础状态预期!$AD214),0))</f>
        <v>0</v>
      </c>
      <c r="Y202" s="80">
        <f>IF(基础状态预期!$H214="",0,IF(基础状态预期!$AB214&lt;=1,基础状态预期!$AB214*D$18,D$18)*基础状态预期!$H214)+
IF(基础状态预期!$I214="",0,IF(基础状态预期!$AC214&lt;=1,基础状态预期!$AC214*D$19,D$19)*基础状态预期!$I214)+
IF(基础状态预期!$J214="",0,IF(基础状态预期!$AD214&lt;=1,基础状态预期!$AD214*D$20,D$20)*基础状态预期!$J214)</f>
        <v>48</v>
      </c>
      <c r="Z202" s="80">
        <f>IF(基础状态预期!$H214="",0,IF(基础状态预期!$AB214&lt;=1,基础状态预期!$AB214*E$18,E$18)*基础状态预期!$H214)+
IF(基础状态预期!$I214="",0,IF(基础状态预期!$AC214&lt;=1,基础状态预期!$AC214*E$19,E$19)*基础状态预期!$I214)+
IF(基础状态预期!$J214="",0,IF(基础状态预期!$AD214&lt;=1,基础状态预期!$AD214*E$20,E$20)*基础状态预期!$J214)</f>
        <v>0</v>
      </c>
      <c r="AA202" s="80">
        <f>IF(基础状态预期!$H214="",0,IF(基础状态预期!$AB214&lt;=1,基础状态预期!$AB214*F$18,F$18)*基础状态预期!$H214)+
IF(基础状态预期!$I214="",0,IF(基础状态预期!$AC214&lt;=1,基础状态预期!$AC214*F$19,F$19)*基础状态预期!$I214)+
IF(基础状态预期!$J214="",0,IF(基础状态预期!$AD214&lt;=1,基础状态预期!$AD214*F$20,F$20)*基础状态预期!$J214)</f>
        <v>0</v>
      </c>
      <c r="AB202" s="67">
        <f>IF(基础状态预期!$H214="",0,IF(基础状态预期!$AB214&lt;=1,0,(基础状态预期!$AB214-1)*G$26)*基础状态预期!$H214)+
IF(基础状态预期!$I214="",0,IF(基础状态预期!$AC214&lt;=1,0,(基础状态预期!$AC214-1)*G$27)*基础状态预期!$I214)+
IF(基础状态预期!$J214="",0,IF(基础状态预期!$AD214&lt;=1,0,(基础状态预期!$AD214-1)*G$28)*基础状态预期!$J214)</f>
        <v>240</v>
      </c>
      <c r="AC202" s="67">
        <f>IF(基础状态预期!$H214="",0,IF(基础状态预期!$AB214&lt;=1,0,(基础状态预期!$AB214-1)*H$26)*基础状态预期!$H214)+
IF(基础状态预期!$I214="",0,IF(基础状态预期!$AC214&lt;=1,0,(基础状态预期!$AC214-1)*H$27)*基础状态预期!$I214)+
IF(基础状态预期!$J214="",0,IF(基础状态预期!$AD214&lt;=1,0,(基础状态预期!$AD214-1)*H$28)*基础状态预期!$J214)</f>
        <v>0</v>
      </c>
      <c r="AD202" s="67">
        <f>IF(基础状态预期!$H214="",0,IF(基础状态预期!$AB214&lt;=1,0,(基础状态预期!$AB214-1)*I$26)*基础状态预期!$H214)+
IF(基础状态预期!$I214="",0,IF(基础状态预期!$AC214&lt;=1,0,(基础状态预期!$AC214-1)*I$27)*基础状态预期!$I214)+
IF(基础状态预期!$J214="",0,IF(基础状态预期!$AD214&lt;=1,0,(基础状态预期!$AD214-1)*I$28)*基础状态预期!$J214)</f>
        <v>0</v>
      </c>
      <c r="AE202" s="80">
        <f>IF(各r阵容卡情况!$H230=0,0,IF(各r阵容卡情况!$AB230&lt;=1,各r阵容卡情况!$AB230*D$18,1*D$18)*各r阵容卡情况!$H230)+
IF(各r阵容卡情况!$I230=0,0,IF(各r阵容卡情况!$AC230&lt;=1,各r阵容卡情况!$AC230*D$19,1*D$19)*各r阵容卡情况!$I230)+
IF(各r阵容卡情况!$J230=0,0,IF(各r阵容卡情况!$AD230&lt;=1,各r阵容卡情况!$AD230*D$20,1*D$20)*各r阵容卡情况!$J230)</f>
        <v>0</v>
      </c>
      <c r="AF202" s="80">
        <f>IF(各r阵容卡情况!$H230=0,0,IF(各r阵容卡情况!$AB230&lt;=1,各r阵容卡情况!$AB230*E$18,1*E$18)*各r阵容卡情况!$H230)+
IF(各r阵容卡情况!$I230=0,0,IF(各r阵容卡情况!$AC230&lt;=1,各r阵容卡情况!$AC230*E$19,1*E$19)*各r阵容卡情况!$I230)+
IF(各r阵容卡情况!$J230=0,0,IF(各r阵容卡情况!$AD230&lt;=1,各r阵容卡情况!$AD230*E$20,1*E$20)*各r阵容卡情况!$J230)</f>
        <v>0</v>
      </c>
      <c r="AG202" s="80">
        <f>IF(各r阵容卡情况!$H230=0,0,IF(各r阵容卡情况!$AB230&lt;=1,各r阵容卡情况!$AB230*F$18,1*F$18)*各r阵容卡情况!$H230)+
IF(各r阵容卡情况!$I230=0,0,IF(各r阵容卡情况!$AC230&lt;=1,各r阵容卡情况!$AC230*F$19,1*F$19)*各r阵容卡情况!$I230)+
IF(各r阵容卡情况!$J230=0,0,IF(各r阵容卡情况!$AD230&lt;=1,各r阵容卡情况!$AD230*F$20,1*F$20)*各r阵容卡情况!$J230)</f>
        <v>0</v>
      </c>
      <c r="AH202" s="67">
        <f>IF(各r阵容卡情况!$H230=0,0,IF(各r阵容卡情况!$AB230&lt;=1,0,(各r阵容卡情况!$AB230-1)*G$26)*各r阵容卡情况!$H230)+
IF(各r阵容卡情况!$I230=0,0,IF(各r阵容卡情况!$AC230&lt;=1,0,(各r阵容卡情况!$AC230-1)*G$27)*各r阵容卡情况!$I230)+
IF(各r阵容卡情况!$J230=0,0,IF(各r阵容卡情况!$AD230&lt;=1,0,(各r阵容卡情况!$AD230-1)*G$28)*各r阵容卡情况!$J230)</f>
        <v>0</v>
      </c>
      <c r="AI202" s="67">
        <f>IF(各r阵容卡情况!$H230=0,0,IF(各r阵容卡情况!$AB230&lt;=1,0,(各r阵容卡情况!$AB230-1)*H$26)*各r阵容卡情况!$H230)+
IF(各r阵容卡情况!$I230=0,0,IF(各r阵容卡情况!$AC230&lt;=1,0,(各r阵容卡情况!$AC230-1)*H$27)*各r阵容卡情况!$I230)+
IF(各r阵容卡情况!$J230=0,0,IF(各r阵容卡情况!$AD230&lt;=1,0,(各r阵容卡情况!$AD230-1)*H$28)*各r阵容卡情况!$J230)</f>
        <v>0</v>
      </c>
      <c r="AJ202" s="67">
        <f>IF(各r阵容卡情况!$H230=0,0,IF(各r阵容卡情况!$AB230&lt;=1,0,(各r阵容卡情况!$AB230-1)*I$26)*各r阵容卡情况!$H230)+
IF(各r阵容卡情况!$I230=0,0,IF(各r阵容卡情况!$AC230&lt;=1,0,(各r阵容卡情况!$AC230-1)*I$27)*各r阵容卡情况!$I230)+
IF(各r阵容卡情况!$J230=0,0,IF(各r阵容卡情况!$AD230&lt;=1,0,(各r阵容卡情况!$AD230-1)*I$28)*各r阵容卡情况!$J230)</f>
        <v>0</v>
      </c>
      <c r="AL202" s="80">
        <f t="shared" si="170"/>
        <v>95</v>
      </c>
      <c r="AM202" s="80">
        <f t="shared" si="171"/>
        <v>48</v>
      </c>
      <c r="AN202" s="80">
        <f t="shared" si="172"/>
        <v>0</v>
      </c>
      <c r="AO202" s="80">
        <f t="shared" si="173"/>
        <v>0</v>
      </c>
      <c r="AP202" s="80">
        <f t="shared" si="174"/>
        <v>240</v>
      </c>
      <c r="AQ202" s="80">
        <f t="shared" si="175"/>
        <v>0</v>
      </c>
      <c r="AR202" s="80">
        <f t="shared" si="176"/>
        <v>0</v>
      </c>
      <c r="AS202" s="80">
        <f t="shared" si="177"/>
        <v>0</v>
      </c>
      <c r="AT202" s="80">
        <f t="shared" si="178"/>
        <v>0</v>
      </c>
      <c r="AU202" s="80">
        <f t="shared" si="179"/>
        <v>0</v>
      </c>
      <c r="AV202" s="80">
        <f t="shared" si="180"/>
        <v>0</v>
      </c>
      <c r="AW202" s="80">
        <f t="shared" si="181"/>
        <v>0</v>
      </c>
      <c r="AX202" s="80">
        <f t="shared" si="182"/>
        <v>0</v>
      </c>
      <c r="AY202" s="61" t="e">
        <f>SUMPRODUCT(AM202:AR202/'[1]功能-行军令'!$GI$26:$GN$26+AS202:AX202/'[1]功能-行军令'!$GI$26:$GN$26)/0.18</f>
        <v>#DIV/0!</v>
      </c>
      <c r="BO202" s="80">
        <f t="shared" si="168"/>
        <v>90.480184629206022</v>
      </c>
      <c r="BP202" s="80">
        <f t="shared" si="169"/>
        <v>12300000</v>
      </c>
      <c r="BQ202" s="80">
        <f>(BP202-BP201)*INDEX('[1]功能-付费相关'!$AU$6:$AU$165,$BO202,1)+BQ201</f>
        <v>16450.938733882616</v>
      </c>
      <c r="BR202" s="80"/>
      <c r="BS202" s="80"/>
    </row>
    <row r="203" spans="12:77" x14ac:dyDescent="0.15">
      <c r="L203" s="61">
        <v>22</v>
      </c>
      <c r="M203" s="80">
        <f>基础状态预期!D215</f>
        <v>90.480184629206022</v>
      </c>
      <c r="N203" s="80">
        <f>IF(基础状态预期!F215="",0,IF(基础状态预期!Z215&lt;=1,基础状态预期!Z215*D$4,1*D$4+(基础状态预期!Z215-1)*武将觉醒!D$5))</f>
        <v>0</v>
      </c>
      <c r="O203" s="80">
        <f>IF(基础状态预期!G215="",0,IF(基础状态预期!AA215&lt;=1,基础状态预期!AA215*E$4,1*E$4+(基础状态预期!AA215-1)*武将觉醒!E$5))</f>
        <v>0</v>
      </c>
      <c r="P203" s="80">
        <f>IF(基础状态预期!H215="",0,IF(基础状态预期!AB215&lt;=1,基础状态预期!AB215*F$4,1*F$4+(基础状态预期!AB215-1)*武将觉醒!F$5))</f>
        <v>0</v>
      </c>
      <c r="Q203" s="80">
        <f>IF(基础状态预期!I215="",0,IF(基础状态预期!AC215&lt;=1,基础状态预期!AC215*G$4,1*G$4+(基础状态预期!AC215-1)*武将觉醒!G$5))</f>
        <v>0</v>
      </c>
      <c r="R203" s="80">
        <f>IF(基础状态预期!J215="",0,IF(基础状态预期!AD215&lt;=1,基础状态预期!AD215*H$4,1*H$4+(基础状态预期!AD215-1)*武将觉醒!H$5))</f>
        <v>2050000</v>
      </c>
      <c r="S203" s="80">
        <f>MAX(SUMPRODUCT(N203:R203,基础状态预期!F215:J215),S202)</f>
        <v>12300000</v>
      </c>
      <c r="T203" s="80">
        <f>IF(基础状态预期!Z215="",0,IFERROR(基础状态预期!F215*求节点($C$62:$C$63,D$62:D$63,基础状态预期!Z215),0)+IFERROR(基础状态预期!$J215*求节点($C$71:$C$72,D$71:D$72,基础状态预期!$AD215),0))</f>
        <v>0</v>
      </c>
      <c r="U203" s="80">
        <f>IF(基础状态预期!AA215="",0,IFERROR(基础状态预期!G215*求节点($C$62:$C$63,E$62:E$63,基础状态预期!AA215),0)+IFERROR(基础状态预期!$J215*求节点($C$71:$C$72,E$71:E$72,基础状态预期!$AD215),0))</f>
        <v>0</v>
      </c>
      <c r="V203" s="80">
        <f>IF(基础状态预期!AB215="",0,IFERROR(基础状态预期!H215*求节点($C$62:$C$63,F$62:F$63,基础状态预期!AB215),0)+IFERROR(基础状态预期!$J215*求节点($C$71:$C$72,F$71:F$72,基础状态预期!$AD215),0))</f>
        <v>0</v>
      </c>
      <c r="W203" s="80">
        <f>IF(基础状态预期!AC215="",0,IFERROR(基础状态预期!I215*求节点($C$62:$C$63,G$62:G$63,基础状态预期!AC215),0)+IFERROR(基础状态预期!$J215*求节点($C$71:$C$72,G$71:G$72,基础状态预期!$AD215),0))</f>
        <v>0</v>
      </c>
      <c r="X203" s="80">
        <f>IF(基础状态预期!AD215="",0,IFERROR(基础状态预期!J215*求节点($C$62:$C$63,H$62:H$63,基础状态预期!AD215),0)+IFERROR(基础状态预期!$J215*求节点($C$71:$C$72,H$71:H$72,基础状态预期!$AD215),0))</f>
        <v>0</v>
      </c>
      <c r="Y203" s="80">
        <f>IF(基础状态预期!$H215="",0,IF(基础状态预期!$AB215&lt;=1,基础状态预期!$AB215*D$18,D$18)*基础状态预期!$H215)+
IF(基础状态预期!$I215="",0,IF(基础状态预期!$AC215&lt;=1,基础状态预期!$AC215*D$19,D$19)*基础状态预期!$I215)+
IF(基础状态预期!$J215="",0,IF(基础状态预期!$AD215&lt;=1,基础状态预期!$AD215*D$20,D$20)*基础状态预期!$J215)</f>
        <v>48</v>
      </c>
      <c r="Z203" s="80">
        <f>IF(基础状态预期!$H215="",0,IF(基础状态预期!$AB215&lt;=1,基础状态预期!$AB215*E$18,E$18)*基础状态预期!$H215)+
IF(基础状态预期!$I215="",0,IF(基础状态预期!$AC215&lt;=1,基础状态预期!$AC215*E$19,E$19)*基础状态预期!$I215)+
IF(基础状态预期!$J215="",0,IF(基础状态预期!$AD215&lt;=1,基础状态预期!$AD215*E$20,E$20)*基础状态预期!$J215)</f>
        <v>0</v>
      </c>
      <c r="AA203" s="80">
        <f>IF(基础状态预期!$H215="",0,IF(基础状态预期!$AB215&lt;=1,基础状态预期!$AB215*F$18,F$18)*基础状态预期!$H215)+
IF(基础状态预期!$I215="",0,IF(基础状态预期!$AC215&lt;=1,基础状态预期!$AC215*F$19,F$19)*基础状态预期!$I215)+
IF(基础状态预期!$J215="",0,IF(基础状态预期!$AD215&lt;=1,基础状态预期!$AD215*F$20,F$20)*基础状态预期!$J215)</f>
        <v>0</v>
      </c>
      <c r="AB203" s="67">
        <f>IF(基础状态预期!$H215="",0,IF(基础状态预期!$AB215&lt;=1,0,(基础状态预期!$AB215-1)*G$26)*基础状态预期!$H215)+
IF(基础状态预期!$I215="",0,IF(基础状态预期!$AC215&lt;=1,0,(基础状态预期!$AC215-1)*G$27)*基础状态预期!$I215)+
IF(基础状态预期!$J215="",0,IF(基础状态预期!$AD215&lt;=1,0,(基础状态预期!$AD215-1)*G$28)*基础状态预期!$J215)</f>
        <v>240</v>
      </c>
      <c r="AC203" s="67">
        <f>IF(基础状态预期!$H215="",0,IF(基础状态预期!$AB215&lt;=1,0,(基础状态预期!$AB215-1)*H$26)*基础状态预期!$H215)+
IF(基础状态预期!$I215="",0,IF(基础状态预期!$AC215&lt;=1,0,(基础状态预期!$AC215-1)*H$27)*基础状态预期!$I215)+
IF(基础状态预期!$J215="",0,IF(基础状态预期!$AD215&lt;=1,0,(基础状态预期!$AD215-1)*H$28)*基础状态预期!$J215)</f>
        <v>0</v>
      </c>
      <c r="AD203" s="67">
        <f>IF(基础状态预期!$H215="",0,IF(基础状态预期!$AB215&lt;=1,0,(基础状态预期!$AB215-1)*I$26)*基础状态预期!$H215)+
IF(基础状态预期!$I215="",0,IF(基础状态预期!$AC215&lt;=1,0,(基础状态预期!$AC215-1)*I$27)*基础状态预期!$I215)+
IF(基础状态预期!$J215="",0,IF(基础状态预期!$AD215&lt;=1,0,(基础状态预期!$AD215-1)*I$28)*基础状态预期!$J215)</f>
        <v>0</v>
      </c>
      <c r="AE203" s="80">
        <f>IF(各r阵容卡情况!$H231=0,0,IF(各r阵容卡情况!$AB231&lt;=1,各r阵容卡情况!$AB231*D$18,1*D$18)*各r阵容卡情况!$H231)+
IF(各r阵容卡情况!$I231=0,0,IF(各r阵容卡情况!$AC231&lt;=1,各r阵容卡情况!$AC231*D$19,1*D$19)*各r阵容卡情况!$I231)+
IF(各r阵容卡情况!$J231=0,0,IF(各r阵容卡情况!$AD231&lt;=1,各r阵容卡情况!$AD231*D$20,1*D$20)*各r阵容卡情况!$J231)</f>
        <v>0</v>
      </c>
      <c r="AF203" s="80">
        <f>IF(各r阵容卡情况!$H231=0,0,IF(各r阵容卡情况!$AB231&lt;=1,各r阵容卡情况!$AB231*E$18,1*E$18)*各r阵容卡情况!$H231)+
IF(各r阵容卡情况!$I231=0,0,IF(各r阵容卡情况!$AC231&lt;=1,各r阵容卡情况!$AC231*E$19,1*E$19)*各r阵容卡情况!$I231)+
IF(各r阵容卡情况!$J231=0,0,IF(各r阵容卡情况!$AD231&lt;=1,各r阵容卡情况!$AD231*E$20,1*E$20)*各r阵容卡情况!$J231)</f>
        <v>0</v>
      </c>
      <c r="AG203" s="80">
        <f>IF(各r阵容卡情况!$H231=0,0,IF(各r阵容卡情况!$AB231&lt;=1,各r阵容卡情况!$AB231*F$18,1*F$18)*各r阵容卡情况!$H231)+
IF(各r阵容卡情况!$I231=0,0,IF(各r阵容卡情况!$AC231&lt;=1,各r阵容卡情况!$AC231*F$19,1*F$19)*各r阵容卡情况!$I231)+
IF(各r阵容卡情况!$J231=0,0,IF(各r阵容卡情况!$AD231&lt;=1,各r阵容卡情况!$AD231*F$20,1*F$20)*各r阵容卡情况!$J231)</f>
        <v>0</v>
      </c>
      <c r="AH203" s="67">
        <f>IF(各r阵容卡情况!$H231=0,0,IF(各r阵容卡情况!$AB231&lt;=1,0,(各r阵容卡情况!$AB231-1)*G$26)*各r阵容卡情况!$H231)+
IF(各r阵容卡情况!$I231=0,0,IF(各r阵容卡情况!$AC231&lt;=1,0,(各r阵容卡情况!$AC231-1)*G$27)*各r阵容卡情况!$I231)+
IF(各r阵容卡情况!$J231=0,0,IF(各r阵容卡情况!$AD231&lt;=1,0,(各r阵容卡情况!$AD231-1)*G$28)*各r阵容卡情况!$J231)</f>
        <v>0</v>
      </c>
      <c r="AI203" s="67">
        <f>IF(各r阵容卡情况!$H231=0,0,IF(各r阵容卡情况!$AB231&lt;=1,0,(各r阵容卡情况!$AB231-1)*H$26)*各r阵容卡情况!$H231)+
IF(各r阵容卡情况!$I231=0,0,IF(各r阵容卡情况!$AC231&lt;=1,0,(各r阵容卡情况!$AC231-1)*H$27)*各r阵容卡情况!$I231)+
IF(各r阵容卡情况!$J231=0,0,IF(各r阵容卡情况!$AD231&lt;=1,0,(各r阵容卡情况!$AD231-1)*H$28)*各r阵容卡情况!$J231)</f>
        <v>0</v>
      </c>
      <c r="AJ203" s="67">
        <f>IF(各r阵容卡情况!$H231=0,0,IF(各r阵容卡情况!$AB231&lt;=1,0,(各r阵容卡情况!$AB231-1)*I$26)*各r阵容卡情况!$H231)+
IF(各r阵容卡情况!$I231=0,0,IF(各r阵容卡情况!$AC231&lt;=1,0,(各r阵容卡情况!$AC231-1)*I$27)*各r阵容卡情况!$I231)+
IF(各r阵容卡情况!$J231=0,0,IF(各r阵容卡情况!$AD231&lt;=1,0,(各r阵容卡情况!$AD231-1)*I$28)*各r阵容卡情况!$J231)</f>
        <v>0</v>
      </c>
      <c r="AL203" s="80">
        <f t="shared" si="170"/>
        <v>100</v>
      </c>
      <c r="AM203" s="80">
        <f t="shared" si="171"/>
        <v>48</v>
      </c>
      <c r="AN203" s="80">
        <f t="shared" si="172"/>
        <v>0</v>
      </c>
      <c r="AO203" s="80">
        <f t="shared" si="173"/>
        <v>0</v>
      </c>
      <c r="AP203" s="80">
        <f t="shared" si="174"/>
        <v>240</v>
      </c>
      <c r="AQ203" s="80">
        <f t="shared" si="175"/>
        <v>0</v>
      </c>
      <c r="AR203" s="80">
        <f t="shared" si="176"/>
        <v>0</v>
      </c>
      <c r="AS203" s="80">
        <f t="shared" si="177"/>
        <v>0</v>
      </c>
      <c r="AT203" s="80">
        <f t="shared" si="178"/>
        <v>0</v>
      </c>
      <c r="AU203" s="80">
        <f t="shared" si="179"/>
        <v>0</v>
      </c>
      <c r="AV203" s="80">
        <f t="shared" si="180"/>
        <v>0</v>
      </c>
      <c r="AW203" s="80">
        <f t="shared" si="181"/>
        <v>0</v>
      </c>
      <c r="AX203" s="80">
        <f t="shared" si="182"/>
        <v>0</v>
      </c>
      <c r="AY203" s="61" t="e">
        <f>SUMPRODUCT(AM203:AR203/'[1]功能-行军令'!$GI$26:$GN$26+AS203:AX203/'[1]功能-行军令'!$GI$26:$GN$26)/0.18</f>
        <v>#DIV/0!</v>
      </c>
      <c r="BO203" s="80">
        <f t="shared" si="168"/>
        <v>93.6774218048877</v>
      </c>
      <c r="BP203" s="80">
        <f t="shared" si="169"/>
        <v>12300000</v>
      </c>
      <c r="BQ203" s="80">
        <f>(BP203-BP202)*INDEX('[1]功能-付费相关'!$AU$6:$AU$165,$BO203,1)+BQ202</f>
        <v>16450.938733882616</v>
      </c>
      <c r="BR203" s="80"/>
      <c r="BS203" s="80"/>
    </row>
    <row r="204" spans="12:77" x14ac:dyDescent="0.15">
      <c r="L204" s="61">
        <v>23</v>
      </c>
      <c r="M204" s="80">
        <f>基础状态预期!D216</f>
        <v>93.6774218048877</v>
      </c>
      <c r="N204" s="80">
        <f>IF(基础状态预期!F216="",0,IF(基础状态预期!Z216&lt;=1,基础状态预期!Z216*D$4,1*D$4+(基础状态预期!Z216-1)*武将觉醒!D$5))</f>
        <v>0</v>
      </c>
      <c r="O204" s="80">
        <f>IF(基础状态预期!G216="",0,IF(基础状态预期!AA216&lt;=1,基础状态预期!AA216*E$4,1*E$4+(基础状态预期!AA216-1)*武将觉醒!E$5))</f>
        <v>0</v>
      </c>
      <c r="P204" s="80">
        <f>IF(基础状态预期!H216="",0,IF(基础状态预期!AB216&lt;=1,基础状态预期!AB216*F$4,1*F$4+(基础状态预期!AB216-1)*武将觉醒!F$5))</f>
        <v>0</v>
      </c>
      <c r="Q204" s="80">
        <f>IF(基础状态预期!I216="",0,IF(基础状态预期!AC216&lt;=1,基础状态预期!AC216*G$4,1*G$4+(基础状态预期!AC216-1)*武将觉醒!G$5))</f>
        <v>0</v>
      </c>
      <c r="R204" s="80">
        <f>IF(基础状态预期!J216="",0,IF(基础状态预期!AD216&lt;=1,基础状态预期!AD216*H$4,1*H$4+(基础状态预期!AD216-1)*武将觉醒!H$5))</f>
        <v>2050000</v>
      </c>
      <c r="S204" s="80">
        <f>MAX(SUMPRODUCT(N204:R204,基础状态预期!F216:J216),S203)</f>
        <v>12300000</v>
      </c>
      <c r="T204" s="80">
        <f>IF(基础状态预期!Z216="",0,IFERROR(基础状态预期!F216*求节点($C$62:$C$63,D$62:D$63,基础状态预期!Z216),0)+IFERROR(基础状态预期!$J216*求节点($C$71:$C$72,D$71:D$72,基础状态预期!$AD216),0))</f>
        <v>0</v>
      </c>
      <c r="U204" s="80">
        <f>IF(基础状态预期!AA216="",0,IFERROR(基础状态预期!G216*求节点($C$62:$C$63,E$62:E$63,基础状态预期!AA216),0)+IFERROR(基础状态预期!$J216*求节点($C$71:$C$72,E$71:E$72,基础状态预期!$AD216),0))</f>
        <v>0</v>
      </c>
      <c r="V204" s="80">
        <f>IF(基础状态预期!AB216="",0,IFERROR(基础状态预期!H216*求节点($C$62:$C$63,F$62:F$63,基础状态预期!AB216),0)+IFERROR(基础状态预期!$J216*求节点($C$71:$C$72,F$71:F$72,基础状态预期!$AD216),0))</f>
        <v>0</v>
      </c>
      <c r="W204" s="80">
        <f>IF(基础状态预期!AC216="",0,IFERROR(基础状态预期!I216*求节点($C$62:$C$63,G$62:G$63,基础状态预期!AC216),0)+IFERROR(基础状态预期!$J216*求节点($C$71:$C$72,G$71:G$72,基础状态预期!$AD216),0))</f>
        <v>0</v>
      </c>
      <c r="X204" s="80">
        <f>IF(基础状态预期!AD216="",0,IFERROR(基础状态预期!J216*求节点($C$62:$C$63,H$62:H$63,基础状态预期!AD216),0)+IFERROR(基础状态预期!$J216*求节点($C$71:$C$72,H$71:H$72,基础状态预期!$AD216),0))</f>
        <v>0</v>
      </c>
      <c r="Y204" s="80">
        <f>IF(基础状态预期!$H216="",0,IF(基础状态预期!$AB216&lt;=1,基础状态预期!$AB216*D$18,D$18)*基础状态预期!$H216)+
IF(基础状态预期!$I216="",0,IF(基础状态预期!$AC216&lt;=1,基础状态预期!$AC216*D$19,D$19)*基础状态预期!$I216)+
IF(基础状态预期!$J216="",0,IF(基础状态预期!$AD216&lt;=1,基础状态预期!$AD216*D$20,D$20)*基础状态预期!$J216)</f>
        <v>48</v>
      </c>
      <c r="Z204" s="80">
        <f>IF(基础状态预期!$H216="",0,IF(基础状态预期!$AB216&lt;=1,基础状态预期!$AB216*E$18,E$18)*基础状态预期!$H216)+
IF(基础状态预期!$I216="",0,IF(基础状态预期!$AC216&lt;=1,基础状态预期!$AC216*E$19,E$19)*基础状态预期!$I216)+
IF(基础状态预期!$J216="",0,IF(基础状态预期!$AD216&lt;=1,基础状态预期!$AD216*E$20,E$20)*基础状态预期!$J216)</f>
        <v>0</v>
      </c>
      <c r="AA204" s="80">
        <f>IF(基础状态预期!$H216="",0,IF(基础状态预期!$AB216&lt;=1,基础状态预期!$AB216*F$18,F$18)*基础状态预期!$H216)+
IF(基础状态预期!$I216="",0,IF(基础状态预期!$AC216&lt;=1,基础状态预期!$AC216*F$19,F$19)*基础状态预期!$I216)+
IF(基础状态预期!$J216="",0,IF(基础状态预期!$AD216&lt;=1,基础状态预期!$AD216*F$20,F$20)*基础状态预期!$J216)</f>
        <v>0</v>
      </c>
      <c r="AB204" s="67">
        <f>IF(基础状态预期!$H216="",0,IF(基础状态预期!$AB216&lt;=1,0,(基础状态预期!$AB216-1)*G$26)*基础状态预期!$H216)+
IF(基础状态预期!$I216="",0,IF(基础状态预期!$AC216&lt;=1,0,(基础状态预期!$AC216-1)*G$27)*基础状态预期!$I216)+
IF(基础状态预期!$J216="",0,IF(基础状态预期!$AD216&lt;=1,0,(基础状态预期!$AD216-1)*G$28)*基础状态预期!$J216)</f>
        <v>240</v>
      </c>
      <c r="AC204" s="67">
        <f>IF(基础状态预期!$H216="",0,IF(基础状态预期!$AB216&lt;=1,0,(基础状态预期!$AB216-1)*H$26)*基础状态预期!$H216)+
IF(基础状态预期!$I216="",0,IF(基础状态预期!$AC216&lt;=1,0,(基础状态预期!$AC216-1)*H$27)*基础状态预期!$I216)+
IF(基础状态预期!$J216="",0,IF(基础状态预期!$AD216&lt;=1,0,(基础状态预期!$AD216-1)*H$28)*基础状态预期!$J216)</f>
        <v>0</v>
      </c>
      <c r="AD204" s="67">
        <f>IF(基础状态预期!$H216="",0,IF(基础状态预期!$AB216&lt;=1,0,(基础状态预期!$AB216-1)*I$26)*基础状态预期!$H216)+
IF(基础状态预期!$I216="",0,IF(基础状态预期!$AC216&lt;=1,0,(基础状态预期!$AC216-1)*I$27)*基础状态预期!$I216)+
IF(基础状态预期!$J216="",0,IF(基础状态预期!$AD216&lt;=1,0,(基础状态预期!$AD216-1)*I$28)*基础状态预期!$J216)</f>
        <v>0</v>
      </c>
      <c r="AE204" s="80">
        <f>IF(各r阵容卡情况!$H232=0,0,IF(各r阵容卡情况!$AB232&lt;=1,各r阵容卡情况!$AB232*D$18,1*D$18)*各r阵容卡情况!$H232)+
IF(各r阵容卡情况!$I232=0,0,IF(各r阵容卡情况!$AC232&lt;=1,各r阵容卡情况!$AC232*D$19,1*D$19)*各r阵容卡情况!$I232)+
IF(各r阵容卡情况!$J232=0,0,IF(各r阵容卡情况!$AD232&lt;=1,各r阵容卡情况!$AD232*D$20,1*D$20)*各r阵容卡情况!$J232)</f>
        <v>0</v>
      </c>
      <c r="AF204" s="80">
        <f>IF(各r阵容卡情况!$H232=0,0,IF(各r阵容卡情况!$AB232&lt;=1,各r阵容卡情况!$AB232*E$18,1*E$18)*各r阵容卡情况!$H232)+
IF(各r阵容卡情况!$I232=0,0,IF(各r阵容卡情况!$AC232&lt;=1,各r阵容卡情况!$AC232*E$19,1*E$19)*各r阵容卡情况!$I232)+
IF(各r阵容卡情况!$J232=0,0,IF(各r阵容卡情况!$AD232&lt;=1,各r阵容卡情况!$AD232*E$20,1*E$20)*各r阵容卡情况!$J232)</f>
        <v>0</v>
      </c>
      <c r="AG204" s="80">
        <f>IF(各r阵容卡情况!$H232=0,0,IF(各r阵容卡情况!$AB232&lt;=1,各r阵容卡情况!$AB232*F$18,1*F$18)*各r阵容卡情况!$H232)+
IF(各r阵容卡情况!$I232=0,0,IF(各r阵容卡情况!$AC232&lt;=1,各r阵容卡情况!$AC232*F$19,1*F$19)*各r阵容卡情况!$I232)+
IF(各r阵容卡情况!$J232=0,0,IF(各r阵容卡情况!$AD232&lt;=1,各r阵容卡情况!$AD232*F$20,1*F$20)*各r阵容卡情况!$J232)</f>
        <v>0</v>
      </c>
      <c r="AH204" s="67">
        <f>IF(各r阵容卡情况!$H232=0,0,IF(各r阵容卡情况!$AB232&lt;=1,0,(各r阵容卡情况!$AB232-1)*G$26)*各r阵容卡情况!$H232)+
IF(各r阵容卡情况!$I232=0,0,IF(各r阵容卡情况!$AC232&lt;=1,0,(各r阵容卡情况!$AC232-1)*G$27)*各r阵容卡情况!$I232)+
IF(各r阵容卡情况!$J232=0,0,IF(各r阵容卡情况!$AD232&lt;=1,0,(各r阵容卡情况!$AD232-1)*G$28)*各r阵容卡情况!$J232)</f>
        <v>0</v>
      </c>
      <c r="AI204" s="67">
        <f>IF(各r阵容卡情况!$H232=0,0,IF(各r阵容卡情况!$AB232&lt;=1,0,(各r阵容卡情况!$AB232-1)*H$26)*各r阵容卡情况!$H232)+
IF(各r阵容卡情况!$I232=0,0,IF(各r阵容卡情况!$AC232&lt;=1,0,(各r阵容卡情况!$AC232-1)*H$27)*各r阵容卡情况!$I232)+
IF(各r阵容卡情况!$J232=0,0,IF(各r阵容卡情况!$AD232&lt;=1,0,(各r阵容卡情况!$AD232-1)*H$28)*各r阵容卡情况!$J232)</f>
        <v>0</v>
      </c>
      <c r="AJ204" s="67">
        <f>IF(各r阵容卡情况!$H232=0,0,IF(各r阵容卡情况!$AB232&lt;=1,0,(各r阵容卡情况!$AB232-1)*I$26)*各r阵容卡情况!$H232)+
IF(各r阵容卡情况!$I232=0,0,IF(各r阵容卡情况!$AC232&lt;=1,0,(各r阵容卡情况!$AC232-1)*I$27)*各r阵容卡情况!$I232)+
IF(各r阵容卡情况!$J232=0,0,IF(各r阵容卡情况!$AD232&lt;=1,0,(各r阵容卡情况!$AD232-1)*I$28)*各r阵容卡情况!$J232)</f>
        <v>0</v>
      </c>
      <c r="AL204" s="80">
        <f t="shared" si="170"/>
        <v>105</v>
      </c>
      <c r="AM204" s="80">
        <f t="shared" si="171"/>
        <v>48</v>
      </c>
      <c r="AN204" s="80">
        <f t="shared" si="172"/>
        <v>0</v>
      </c>
      <c r="AO204" s="80">
        <f t="shared" si="173"/>
        <v>0</v>
      </c>
      <c r="AP204" s="80">
        <f t="shared" si="174"/>
        <v>240</v>
      </c>
      <c r="AQ204" s="80">
        <f t="shared" si="175"/>
        <v>0</v>
      </c>
      <c r="AR204" s="80">
        <f t="shared" si="176"/>
        <v>0</v>
      </c>
      <c r="AS204" s="80">
        <f t="shared" si="177"/>
        <v>0</v>
      </c>
      <c r="AT204" s="80">
        <f t="shared" si="178"/>
        <v>0</v>
      </c>
      <c r="AU204" s="80">
        <f t="shared" si="179"/>
        <v>0</v>
      </c>
      <c r="AV204" s="80">
        <f t="shared" si="180"/>
        <v>0</v>
      </c>
      <c r="AW204" s="80">
        <f t="shared" si="181"/>
        <v>0</v>
      </c>
      <c r="AX204" s="80">
        <f t="shared" si="182"/>
        <v>0</v>
      </c>
      <c r="AY204" s="61" t="e">
        <f>SUMPRODUCT(AM204:AR204/'[1]功能-行军令'!$GI$26:$GN$26+AS204:AX204/'[1]功能-行军令'!$GI$26:$GN$26)/0.18</f>
        <v>#DIV/0!</v>
      </c>
      <c r="BO204" s="80">
        <f t="shared" si="168"/>
        <v>97.125654465362558</v>
      </c>
      <c r="BP204" s="80">
        <f t="shared" si="169"/>
        <v>12300000</v>
      </c>
      <c r="BQ204" s="80">
        <f>(BP204-BP203)*INDEX('[1]功能-付费相关'!$AU$6:$AU$165,$BO204,1)+BQ203</f>
        <v>16450.938733882616</v>
      </c>
      <c r="BR204" s="80"/>
      <c r="BS204" s="80"/>
    </row>
    <row r="205" spans="12:77" x14ac:dyDescent="0.15">
      <c r="L205" s="61">
        <v>24</v>
      </c>
      <c r="M205" s="80">
        <f>基础状态预期!D217</f>
        <v>97.125654465362558</v>
      </c>
      <c r="N205" s="80">
        <f>IF(基础状态预期!F217="",0,IF(基础状态预期!Z217&lt;=1,基础状态预期!Z217*D$4,1*D$4+(基础状态预期!Z217-1)*武将觉醒!D$5))</f>
        <v>0</v>
      </c>
      <c r="O205" s="80">
        <f>IF(基础状态预期!G217="",0,IF(基础状态预期!AA217&lt;=1,基础状态预期!AA217*E$4,1*E$4+(基础状态预期!AA217-1)*武将觉醒!E$5))</f>
        <v>0</v>
      </c>
      <c r="P205" s="80">
        <f>IF(基础状态预期!H217="",0,IF(基础状态预期!AB217&lt;=1,基础状态预期!AB217*F$4,1*F$4+(基础状态预期!AB217-1)*武将觉醒!F$5))</f>
        <v>0</v>
      </c>
      <c r="Q205" s="80">
        <f>IF(基础状态预期!I217="",0,IF(基础状态预期!AC217&lt;=1,基础状态预期!AC217*G$4,1*G$4+(基础状态预期!AC217-1)*武将觉醒!G$5))</f>
        <v>0</v>
      </c>
      <c r="R205" s="80">
        <f>IF(基础状态预期!J217="",0,IF(基础状态预期!AD217&lt;=1,基础状态预期!AD217*H$4,1*H$4+(基础状态预期!AD217-1)*武将觉醒!H$5))</f>
        <v>2050000</v>
      </c>
      <c r="S205" s="80">
        <f>MAX(SUMPRODUCT(N205:R205,基础状态预期!F217:J217),S204)</f>
        <v>12300000</v>
      </c>
      <c r="T205" s="80">
        <f>IF(基础状态预期!Z217="",0,IFERROR(基础状态预期!F217*求节点($C$62:$C$63,D$62:D$63,基础状态预期!Z217),0)+IFERROR(基础状态预期!$J217*求节点($C$71:$C$72,D$71:D$72,基础状态预期!$AD217),0))</f>
        <v>0</v>
      </c>
      <c r="U205" s="80">
        <f>IF(基础状态预期!AA217="",0,IFERROR(基础状态预期!G217*求节点($C$62:$C$63,E$62:E$63,基础状态预期!AA217),0)+IFERROR(基础状态预期!$J217*求节点($C$71:$C$72,E$71:E$72,基础状态预期!$AD217),0))</f>
        <v>0</v>
      </c>
      <c r="V205" s="80">
        <f>IF(基础状态预期!AB217="",0,IFERROR(基础状态预期!H217*求节点($C$62:$C$63,F$62:F$63,基础状态预期!AB217),0)+IFERROR(基础状态预期!$J217*求节点($C$71:$C$72,F$71:F$72,基础状态预期!$AD217),0))</f>
        <v>0</v>
      </c>
      <c r="W205" s="80">
        <f>IF(基础状态预期!AC217="",0,IFERROR(基础状态预期!I217*求节点($C$62:$C$63,G$62:G$63,基础状态预期!AC217),0)+IFERROR(基础状态预期!$J217*求节点($C$71:$C$72,G$71:G$72,基础状态预期!$AD217),0))</f>
        <v>0</v>
      </c>
      <c r="X205" s="80">
        <f>IF(基础状态预期!AD217="",0,IFERROR(基础状态预期!J217*求节点($C$62:$C$63,H$62:H$63,基础状态预期!AD217),0)+IFERROR(基础状态预期!$J217*求节点($C$71:$C$72,H$71:H$72,基础状态预期!$AD217),0))</f>
        <v>0</v>
      </c>
      <c r="Y205" s="80">
        <f>IF(基础状态预期!$H217="",0,IF(基础状态预期!$AB217&lt;=1,基础状态预期!$AB217*D$18,D$18)*基础状态预期!$H217)+
IF(基础状态预期!$I217="",0,IF(基础状态预期!$AC217&lt;=1,基础状态预期!$AC217*D$19,D$19)*基础状态预期!$I217)+
IF(基础状态预期!$J217="",0,IF(基础状态预期!$AD217&lt;=1,基础状态预期!$AD217*D$20,D$20)*基础状态预期!$J217)</f>
        <v>48</v>
      </c>
      <c r="Z205" s="80">
        <f>IF(基础状态预期!$H217="",0,IF(基础状态预期!$AB217&lt;=1,基础状态预期!$AB217*E$18,E$18)*基础状态预期!$H217)+
IF(基础状态预期!$I217="",0,IF(基础状态预期!$AC217&lt;=1,基础状态预期!$AC217*E$19,E$19)*基础状态预期!$I217)+
IF(基础状态预期!$J217="",0,IF(基础状态预期!$AD217&lt;=1,基础状态预期!$AD217*E$20,E$20)*基础状态预期!$J217)</f>
        <v>0</v>
      </c>
      <c r="AA205" s="80">
        <f>IF(基础状态预期!$H217="",0,IF(基础状态预期!$AB217&lt;=1,基础状态预期!$AB217*F$18,F$18)*基础状态预期!$H217)+
IF(基础状态预期!$I217="",0,IF(基础状态预期!$AC217&lt;=1,基础状态预期!$AC217*F$19,F$19)*基础状态预期!$I217)+
IF(基础状态预期!$J217="",0,IF(基础状态预期!$AD217&lt;=1,基础状态预期!$AD217*F$20,F$20)*基础状态预期!$J217)</f>
        <v>0</v>
      </c>
      <c r="AB205" s="67">
        <f>IF(基础状态预期!$H217="",0,IF(基础状态预期!$AB217&lt;=1,0,(基础状态预期!$AB217-1)*G$26)*基础状态预期!$H217)+
IF(基础状态预期!$I217="",0,IF(基础状态预期!$AC217&lt;=1,0,(基础状态预期!$AC217-1)*G$27)*基础状态预期!$I217)+
IF(基础状态预期!$J217="",0,IF(基础状态预期!$AD217&lt;=1,0,(基础状态预期!$AD217-1)*G$28)*基础状态预期!$J217)</f>
        <v>240</v>
      </c>
      <c r="AC205" s="67">
        <f>IF(基础状态预期!$H217="",0,IF(基础状态预期!$AB217&lt;=1,0,(基础状态预期!$AB217-1)*H$26)*基础状态预期!$H217)+
IF(基础状态预期!$I217="",0,IF(基础状态预期!$AC217&lt;=1,0,(基础状态预期!$AC217-1)*H$27)*基础状态预期!$I217)+
IF(基础状态预期!$J217="",0,IF(基础状态预期!$AD217&lt;=1,0,(基础状态预期!$AD217-1)*H$28)*基础状态预期!$J217)</f>
        <v>0</v>
      </c>
      <c r="AD205" s="67">
        <f>IF(基础状态预期!$H217="",0,IF(基础状态预期!$AB217&lt;=1,0,(基础状态预期!$AB217-1)*I$26)*基础状态预期!$H217)+
IF(基础状态预期!$I217="",0,IF(基础状态预期!$AC217&lt;=1,0,(基础状态预期!$AC217-1)*I$27)*基础状态预期!$I217)+
IF(基础状态预期!$J217="",0,IF(基础状态预期!$AD217&lt;=1,0,(基础状态预期!$AD217-1)*I$28)*基础状态预期!$J217)</f>
        <v>0</v>
      </c>
      <c r="AE205" s="80">
        <f>IF(各r阵容卡情况!$H233=0,0,IF(各r阵容卡情况!$AB233&lt;=1,各r阵容卡情况!$AB233*D$18,1*D$18)*各r阵容卡情况!$H233)+
IF(各r阵容卡情况!$I233=0,0,IF(各r阵容卡情况!$AC233&lt;=1,各r阵容卡情况!$AC233*D$19,1*D$19)*各r阵容卡情况!$I233)+
IF(各r阵容卡情况!$J233=0,0,IF(各r阵容卡情况!$AD233&lt;=1,各r阵容卡情况!$AD233*D$20,1*D$20)*各r阵容卡情况!$J233)</f>
        <v>0</v>
      </c>
      <c r="AF205" s="80">
        <f>IF(各r阵容卡情况!$H233=0,0,IF(各r阵容卡情况!$AB233&lt;=1,各r阵容卡情况!$AB233*E$18,1*E$18)*各r阵容卡情况!$H233)+
IF(各r阵容卡情况!$I233=0,0,IF(各r阵容卡情况!$AC233&lt;=1,各r阵容卡情况!$AC233*E$19,1*E$19)*各r阵容卡情况!$I233)+
IF(各r阵容卡情况!$J233=0,0,IF(各r阵容卡情况!$AD233&lt;=1,各r阵容卡情况!$AD233*E$20,1*E$20)*各r阵容卡情况!$J233)</f>
        <v>0</v>
      </c>
      <c r="AG205" s="80">
        <f>IF(各r阵容卡情况!$H233=0,0,IF(各r阵容卡情况!$AB233&lt;=1,各r阵容卡情况!$AB233*F$18,1*F$18)*各r阵容卡情况!$H233)+
IF(各r阵容卡情况!$I233=0,0,IF(各r阵容卡情况!$AC233&lt;=1,各r阵容卡情况!$AC233*F$19,1*F$19)*各r阵容卡情况!$I233)+
IF(各r阵容卡情况!$J233=0,0,IF(各r阵容卡情况!$AD233&lt;=1,各r阵容卡情况!$AD233*F$20,1*F$20)*各r阵容卡情况!$J233)</f>
        <v>0</v>
      </c>
      <c r="AH205" s="67">
        <f>IF(各r阵容卡情况!$H233=0,0,IF(各r阵容卡情况!$AB233&lt;=1,0,(各r阵容卡情况!$AB233-1)*G$26)*各r阵容卡情况!$H233)+
IF(各r阵容卡情况!$I233=0,0,IF(各r阵容卡情况!$AC233&lt;=1,0,(各r阵容卡情况!$AC233-1)*G$27)*各r阵容卡情况!$I233)+
IF(各r阵容卡情况!$J233=0,0,IF(各r阵容卡情况!$AD233&lt;=1,0,(各r阵容卡情况!$AD233-1)*G$28)*各r阵容卡情况!$J233)</f>
        <v>0</v>
      </c>
      <c r="AI205" s="67">
        <f>IF(各r阵容卡情况!$H233=0,0,IF(各r阵容卡情况!$AB233&lt;=1,0,(各r阵容卡情况!$AB233-1)*H$26)*各r阵容卡情况!$H233)+
IF(各r阵容卡情况!$I233=0,0,IF(各r阵容卡情况!$AC233&lt;=1,0,(各r阵容卡情况!$AC233-1)*H$27)*各r阵容卡情况!$I233)+
IF(各r阵容卡情况!$J233=0,0,IF(各r阵容卡情况!$AD233&lt;=1,0,(各r阵容卡情况!$AD233-1)*H$28)*各r阵容卡情况!$J233)</f>
        <v>0</v>
      </c>
      <c r="AJ205" s="67">
        <f>IF(各r阵容卡情况!$H233=0,0,IF(各r阵容卡情况!$AB233&lt;=1,0,(各r阵容卡情况!$AB233-1)*I$26)*各r阵容卡情况!$H233)+
IF(各r阵容卡情况!$I233=0,0,IF(各r阵容卡情况!$AC233&lt;=1,0,(各r阵容卡情况!$AC233-1)*I$27)*各r阵容卡情况!$I233)+
IF(各r阵容卡情况!$J233=0,0,IF(各r阵容卡情况!$AD233&lt;=1,0,(各r阵容卡情况!$AD233-1)*I$28)*各r阵容卡情况!$J233)</f>
        <v>0</v>
      </c>
      <c r="AL205" s="80">
        <f t="shared" si="170"/>
        <v>110</v>
      </c>
      <c r="AM205" s="80">
        <f t="shared" si="171"/>
        <v>48</v>
      </c>
      <c r="AN205" s="80">
        <f t="shared" si="172"/>
        <v>0</v>
      </c>
      <c r="AO205" s="80">
        <f t="shared" si="173"/>
        <v>0</v>
      </c>
      <c r="AP205" s="80">
        <f t="shared" si="174"/>
        <v>240</v>
      </c>
      <c r="AQ205" s="80">
        <f t="shared" si="175"/>
        <v>0</v>
      </c>
      <c r="AR205" s="80">
        <f t="shared" si="176"/>
        <v>0</v>
      </c>
      <c r="AS205" s="80">
        <f t="shared" si="177"/>
        <v>0</v>
      </c>
      <c r="AT205" s="80">
        <f t="shared" si="178"/>
        <v>0</v>
      </c>
      <c r="AU205" s="80">
        <f t="shared" si="179"/>
        <v>0</v>
      </c>
      <c r="AV205" s="80">
        <f t="shared" si="180"/>
        <v>0</v>
      </c>
      <c r="AW205" s="80">
        <f t="shared" si="181"/>
        <v>0</v>
      </c>
      <c r="AX205" s="80">
        <f t="shared" si="182"/>
        <v>0</v>
      </c>
      <c r="AY205" s="61" t="e">
        <f>SUMPRODUCT(AM205:AR205/'[1]功能-行军令'!$GI$26:$GN$26+AS205:AX205/'[1]功能-行军令'!$GI$26:$GN$26)/0.18</f>
        <v>#DIV/0!</v>
      </c>
      <c r="BO205" s="80">
        <f t="shared" si="168"/>
        <v>100.89689545435591</v>
      </c>
      <c r="BP205" s="80">
        <f t="shared" si="169"/>
        <v>12300000</v>
      </c>
      <c r="BQ205" s="80">
        <f>(BP205-BP204)*INDEX('[1]功能-付费相关'!$AU$6:$AU$165,$BO205,1)+BQ204</f>
        <v>16450.938733882616</v>
      </c>
      <c r="BR205" s="80"/>
      <c r="BS205" s="80"/>
    </row>
    <row r="206" spans="12:77" x14ac:dyDescent="0.15">
      <c r="L206" s="61">
        <v>25</v>
      </c>
      <c r="M206" s="80">
        <f>基础状态预期!D218</f>
        <v>100.89689545435591</v>
      </c>
      <c r="N206" s="80">
        <f>IF(基础状态预期!F218="",0,IF(基础状态预期!Z218&lt;=1,基础状态预期!Z218*D$4,1*D$4+(基础状态预期!Z218-1)*武将觉醒!D$5))</f>
        <v>0</v>
      </c>
      <c r="O206" s="80">
        <f>IF(基础状态预期!G218="",0,IF(基础状态预期!AA218&lt;=1,基础状态预期!AA218*E$4,1*E$4+(基础状态预期!AA218-1)*武将觉醒!E$5))</f>
        <v>0</v>
      </c>
      <c r="P206" s="80">
        <f>IF(基础状态预期!H218="",0,IF(基础状态预期!AB218&lt;=1,基础状态预期!AB218*F$4,1*F$4+(基础状态预期!AB218-1)*武将觉醒!F$5))</f>
        <v>0</v>
      </c>
      <c r="Q206" s="80">
        <f>IF(基础状态预期!I218="",0,IF(基础状态预期!AC218&lt;=1,基础状态预期!AC218*G$4,1*G$4+(基础状态预期!AC218-1)*武将觉醒!G$5))</f>
        <v>0</v>
      </c>
      <c r="R206" s="80">
        <f>IF(基础状态预期!J218="",0,IF(基础状态预期!AD218&lt;=1,基础状态预期!AD218*H$4,1*H$4+(基础状态预期!AD218-1)*武将觉醒!H$5))</f>
        <v>2050000</v>
      </c>
      <c r="S206" s="80">
        <f>MAX(SUMPRODUCT(N206:R206,基础状态预期!F218:J218),S205)</f>
        <v>12300000</v>
      </c>
      <c r="T206" s="80">
        <f>IF(基础状态预期!Z218="",0,IFERROR(基础状态预期!F218*求节点($C$62:$C$63,D$62:D$63,基础状态预期!Z218),0)+IFERROR(基础状态预期!$J218*求节点($C$71:$C$72,D$71:D$72,基础状态预期!$AD218),0))</f>
        <v>0</v>
      </c>
      <c r="U206" s="80">
        <f>IF(基础状态预期!AA218="",0,IFERROR(基础状态预期!G218*求节点($C$62:$C$63,E$62:E$63,基础状态预期!AA218),0)+IFERROR(基础状态预期!$J218*求节点($C$71:$C$72,E$71:E$72,基础状态预期!$AD218),0))</f>
        <v>0</v>
      </c>
      <c r="V206" s="80">
        <f>IF(基础状态预期!AB218="",0,IFERROR(基础状态预期!H218*求节点($C$62:$C$63,F$62:F$63,基础状态预期!AB218),0)+IFERROR(基础状态预期!$J218*求节点($C$71:$C$72,F$71:F$72,基础状态预期!$AD218),0))</f>
        <v>0</v>
      </c>
      <c r="W206" s="80">
        <f>IF(基础状态预期!AC218="",0,IFERROR(基础状态预期!I218*求节点($C$62:$C$63,G$62:G$63,基础状态预期!AC218),0)+IFERROR(基础状态预期!$J218*求节点($C$71:$C$72,G$71:G$72,基础状态预期!$AD218),0))</f>
        <v>0</v>
      </c>
      <c r="X206" s="80">
        <f>IF(基础状态预期!AD218="",0,IFERROR(基础状态预期!J218*求节点($C$62:$C$63,H$62:H$63,基础状态预期!AD218),0)+IFERROR(基础状态预期!$J218*求节点($C$71:$C$72,H$71:H$72,基础状态预期!$AD218),0))</f>
        <v>0</v>
      </c>
      <c r="Y206" s="80">
        <f>IF(基础状态预期!$H218="",0,IF(基础状态预期!$AB218&lt;=1,基础状态预期!$AB218*D$18,D$18)*基础状态预期!$H218)+
IF(基础状态预期!$I218="",0,IF(基础状态预期!$AC218&lt;=1,基础状态预期!$AC218*D$19,D$19)*基础状态预期!$I218)+
IF(基础状态预期!$J218="",0,IF(基础状态预期!$AD218&lt;=1,基础状态预期!$AD218*D$20,D$20)*基础状态预期!$J218)</f>
        <v>48</v>
      </c>
      <c r="Z206" s="80">
        <f>IF(基础状态预期!$H218="",0,IF(基础状态预期!$AB218&lt;=1,基础状态预期!$AB218*E$18,E$18)*基础状态预期!$H218)+
IF(基础状态预期!$I218="",0,IF(基础状态预期!$AC218&lt;=1,基础状态预期!$AC218*E$19,E$19)*基础状态预期!$I218)+
IF(基础状态预期!$J218="",0,IF(基础状态预期!$AD218&lt;=1,基础状态预期!$AD218*E$20,E$20)*基础状态预期!$J218)</f>
        <v>0</v>
      </c>
      <c r="AA206" s="80">
        <f>IF(基础状态预期!$H218="",0,IF(基础状态预期!$AB218&lt;=1,基础状态预期!$AB218*F$18,F$18)*基础状态预期!$H218)+
IF(基础状态预期!$I218="",0,IF(基础状态预期!$AC218&lt;=1,基础状态预期!$AC218*F$19,F$19)*基础状态预期!$I218)+
IF(基础状态预期!$J218="",0,IF(基础状态预期!$AD218&lt;=1,基础状态预期!$AD218*F$20,F$20)*基础状态预期!$J218)</f>
        <v>0</v>
      </c>
      <c r="AB206" s="67">
        <f>IF(基础状态预期!$H218="",0,IF(基础状态预期!$AB218&lt;=1,0,(基础状态预期!$AB218-1)*G$26)*基础状态预期!$H218)+
IF(基础状态预期!$I218="",0,IF(基础状态预期!$AC218&lt;=1,0,(基础状态预期!$AC218-1)*G$27)*基础状态预期!$I218)+
IF(基础状态预期!$J218="",0,IF(基础状态预期!$AD218&lt;=1,0,(基础状态预期!$AD218-1)*G$28)*基础状态预期!$J218)</f>
        <v>240</v>
      </c>
      <c r="AC206" s="67">
        <f>IF(基础状态预期!$H218="",0,IF(基础状态预期!$AB218&lt;=1,0,(基础状态预期!$AB218-1)*H$26)*基础状态预期!$H218)+
IF(基础状态预期!$I218="",0,IF(基础状态预期!$AC218&lt;=1,0,(基础状态预期!$AC218-1)*H$27)*基础状态预期!$I218)+
IF(基础状态预期!$J218="",0,IF(基础状态预期!$AD218&lt;=1,0,(基础状态预期!$AD218-1)*H$28)*基础状态预期!$J218)</f>
        <v>0</v>
      </c>
      <c r="AD206" s="67">
        <f>IF(基础状态预期!$H218="",0,IF(基础状态预期!$AB218&lt;=1,0,(基础状态预期!$AB218-1)*I$26)*基础状态预期!$H218)+
IF(基础状态预期!$I218="",0,IF(基础状态预期!$AC218&lt;=1,0,(基础状态预期!$AC218-1)*I$27)*基础状态预期!$I218)+
IF(基础状态预期!$J218="",0,IF(基础状态预期!$AD218&lt;=1,0,(基础状态预期!$AD218-1)*I$28)*基础状态预期!$J218)</f>
        <v>0</v>
      </c>
      <c r="AE206" s="80">
        <f>IF(各r阵容卡情况!$H234=0,0,IF(各r阵容卡情况!$AB234&lt;=1,各r阵容卡情况!$AB234*D$18,1*D$18)*各r阵容卡情况!$H234)+
IF(各r阵容卡情况!$I234=0,0,IF(各r阵容卡情况!$AC234&lt;=1,各r阵容卡情况!$AC234*D$19,1*D$19)*各r阵容卡情况!$I234)+
IF(各r阵容卡情况!$J234=0,0,IF(各r阵容卡情况!$AD234&lt;=1,各r阵容卡情况!$AD234*D$20,1*D$20)*各r阵容卡情况!$J234)</f>
        <v>0</v>
      </c>
      <c r="AF206" s="80">
        <f>IF(各r阵容卡情况!$H234=0,0,IF(各r阵容卡情况!$AB234&lt;=1,各r阵容卡情况!$AB234*E$18,1*E$18)*各r阵容卡情况!$H234)+
IF(各r阵容卡情况!$I234=0,0,IF(各r阵容卡情况!$AC234&lt;=1,各r阵容卡情况!$AC234*E$19,1*E$19)*各r阵容卡情况!$I234)+
IF(各r阵容卡情况!$J234=0,0,IF(各r阵容卡情况!$AD234&lt;=1,各r阵容卡情况!$AD234*E$20,1*E$20)*各r阵容卡情况!$J234)</f>
        <v>0</v>
      </c>
      <c r="AG206" s="80">
        <f>IF(各r阵容卡情况!$H234=0,0,IF(各r阵容卡情况!$AB234&lt;=1,各r阵容卡情况!$AB234*F$18,1*F$18)*各r阵容卡情况!$H234)+
IF(各r阵容卡情况!$I234=0,0,IF(各r阵容卡情况!$AC234&lt;=1,各r阵容卡情况!$AC234*F$19,1*F$19)*各r阵容卡情况!$I234)+
IF(各r阵容卡情况!$J234=0,0,IF(各r阵容卡情况!$AD234&lt;=1,各r阵容卡情况!$AD234*F$20,1*F$20)*各r阵容卡情况!$J234)</f>
        <v>0</v>
      </c>
      <c r="AH206" s="67">
        <f>IF(各r阵容卡情况!$H234=0,0,IF(各r阵容卡情况!$AB234&lt;=1,0,(各r阵容卡情况!$AB234-1)*G$26)*各r阵容卡情况!$H234)+
IF(各r阵容卡情况!$I234=0,0,IF(各r阵容卡情况!$AC234&lt;=1,0,(各r阵容卡情况!$AC234-1)*G$27)*各r阵容卡情况!$I234)+
IF(各r阵容卡情况!$J234=0,0,IF(各r阵容卡情况!$AD234&lt;=1,0,(各r阵容卡情况!$AD234-1)*G$28)*各r阵容卡情况!$J234)</f>
        <v>0</v>
      </c>
      <c r="AI206" s="67">
        <f>IF(各r阵容卡情况!$H234=0,0,IF(各r阵容卡情况!$AB234&lt;=1,0,(各r阵容卡情况!$AB234-1)*H$26)*各r阵容卡情况!$H234)+
IF(各r阵容卡情况!$I234=0,0,IF(各r阵容卡情况!$AC234&lt;=1,0,(各r阵容卡情况!$AC234-1)*H$27)*各r阵容卡情况!$I234)+
IF(各r阵容卡情况!$J234=0,0,IF(各r阵容卡情况!$AD234&lt;=1,0,(各r阵容卡情况!$AD234-1)*H$28)*各r阵容卡情况!$J234)</f>
        <v>0</v>
      </c>
      <c r="AJ206" s="67">
        <f>IF(各r阵容卡情况!$H234=0,0,IF(各r阵容卡情况!$AB234&lt;=1,0,(各r阵容卡情况!$AB234-1)*I$26)*各r阵容卡情况!$H234)+
IF(各r阵容卡情况!$I234=0,0,IF(各r阵容卡情况!$AC234&lt;=1,0,(各r阵容卡情况!$AC234-1)*I$27)*各r阵容卡情况!$I234)+
IF(各r阵容卡情况!$J234=0,0,IF(各r阵容卡情况!$AD234&lt;=1,0,(各r阵容卡情况!$AD234-1)*I$28)*各r阵容卡情况!$J234)</f>
        <v>0</v>
      </c>
      <c r="AL206" s="80">
        <f t="shared" si="170"/>
        <v>115</v>
      </c>
      <c r="AM206" s="80">
        <f t="shared" si="171"/>
        <v>48</v>
      </c>
      <c r="AN206" s="80">
        <f t="shared" si="172"/>
        <v>0</v>
      </c>
      <c r="AO206" s="80">
        <f t="shared" si="173"/>
        <v>0</v>
      </c>
      <c r="AP206" s="80">
        <f t="shared" si="174"/>
        <v>240</v>
      </c>
      <c r="AQ206" s="80">
        <f t="shared" si="175"/>
        <v>0</v>
      </c>
      <c r="AR206" s="80">
        <f t="shared" si="176"/>
        <v>0</v>
      </c>
      <c r="AS206" s="80">
        <f t="shared" si="177"/>
        <v>0</v>
      </c>
      <c r="AT206" s="80">
        <f t="shared" si="178"/>
        <v>0</v>
      </c>
      <c r="AU206" s="80">
        <f t="shared" si="179"/>
        <v>0</v>
      </c>
      <c r="AV206" s="80">
        <f t="shared" si="180"/>
        <v>0</v>
      </c>
      <c r="AW206" s="80">
        <f t="shared" si="181"/>
        <v>0</v>
      </c>
      <c r="AX206" s="80">
        <f t="shared" si="182"/>
        <v>0</v>
      </c>
      <c r="AY206" s="61" t="e">
        <f>SUMPRODUCT(AM206:AR206/'[1]功能-行军令'!$GI$26:$GN$26+AS206:AX206/'[1]功能-行军令'!$GI$26:$GN$26)/0.18</f>
        <v>#DIV/0!</v>
      </c>
      <c r="BO206" s="80">
        <f t="shared" si="168"/>
        <v>104.52148587104635</v>
      </c>
      <c r="BP206" s="80">
        <f t="shared" si="169"/>
        <v>12300000</v>
      </c>
      <c r="BQ206" s="80">
        <f>(BP206-BP205)*INDEX('[1]功能-付费相关'!$AU$6:$AU$165,$BO206,1)+BQ205</f>
        <v>16450.938733882616</v>
      </c>
      <c r="BR206" s="80"/>
      <c r="BS206" s="80"/>
    </row>
    <row r="207" spans="12:77" x14ac:dyDescent="0.15">
      <c r="L207" s="61">
        <v>26</v>
      </c>
      <c r="M207" s="80">
        <f>基础状态预期!D219</f>
        <v>104.52148587104635</v>
      </c>
      <c r="N207" s="80">
        <f>IF(基础状态预期!F219="",0,IF(基础状态预期!Z219&lt;=1,基础状态预期!Z219*D$4,1*D$4+(基础状态预期!Z219-1)*武将觉醒!D$5))</f>
        <v>0</v>
      </c>
      <c r="O207" s="80">
        <f>IF(基础状态预期!G219="",0,IF(基础状态预期!AA219&lt;=1,基础状态预期!AA219*E$4,1*E$4+(基础状态预期!AA219-1)*武将觉醒!E$5))</f>
        <v>0</v>
      </c>
      <c r="P207" s="80">
        <f>IF(基础状态预期!H219="",0,IF(基础状态预期!AB219&lt;=1,基础状态预期!AB219*F$4,1*F$4+(基础状态预期!AB219-1)*武将觉醒!F$5))</f>
        <v>0</v>
      </c>
      <c r="Q207" s="80">
        <f>IF(基础状态预期!I219="",0,IF(基础状态预期!AC219&lt;=1,基础状态预期!AC219*G$4,1*G$4+(基础状态预期!AC219-1)*武将觉醒!G$5))</f>
        <v>0</v>
      </c>
      <c r="R207" s="80">
        <f>IF(基础状态预期!J219="",0,IF(基础状态预期!AD219&lt;=1,基础状态预期!AD219*H$4,1*H$4+(基础状态预期!AD219-1)*武将觉醒!H$5))</f>
        <v>2050000</v>
      </c>
      <c r="S207" s="80">
        <f>MAX(SUMPRODUCT(N207:R207,基础状态预期!F219:J219),S206)</f>
        <v>12300000</v>
      </c>
      <c r="T207" s="80">
        <f>IF(基础状态预期!Z219="",0,IFERROR(基础状态预期!F219*求节点($C$62:$C$63,D$62:D$63,基础状态预期!Z219),0)+IFERROR(基础状态预期!$J219*求节点($C$71:$C$72,D$71:D$72,基础状态预期!$AD219),0))</f>
        <v>0</v>
      </c>
      <c r="U207" s="80">
        <f>IF(基础状态预期!AA219="",0,IFERROR(基础状态预期!G219*求节点($C$62:$C$63,E$62:E$63,基础状态预期!AA219),0)+IFERROR(基础状态预期!$J219*求节点($C$71:$C$72,E$71:E$72,基础状态预期!$AD219),0))</f>
        <v>0</v>
      </c>
      <c r="V207" s="80">
        <f>IF(基础状态预期!AB219="",0,IFERROR(基础状态预期!H219*求节点($C$62:$C$63,F$62:F$63,基础状态预期!AB219),0)+IFERROR(基础状态预期!$J219*求节点($C$71:$C$72,F$71:F$72,基础状态预期!$AD219),0))</f>
        <v>0</v>
      </c>
      <c r="W207" s="80">
        <f>IF(基础状态预期!AC219="",0,IFERROR(基础状态预期!I219*求节点($C$62:$C$63,G$62:G$63,基础状态预期!AC219),0)+IFERROR(基础状态预期!$J219*求节点($C$71:$C$72,G$71:G$72,基础状态预期!$AD219),0))</f>
        <v>0</v>
      </c>
      <c r="X207" s="80">
        <f>IF(基础状态预期!AD219="",0,IFERROR(基础状态预期!J219*求节点($C$62:$C$63,H$62:H$63,基础状态预期!AD219),0)+IFERROR(基础状态预期!$J219*求节点($C$71:$C$72,H$71:H$72,基础状态预期!$AD219),0))</f>
        <v>0</v>
      </c>
      <c r="Y207" s="80">
        <f>IF(基础状态预期!$H219="",0,IF(基础状态预期!$AB219&lt;=1,基础状态预期!$AB219*D$18,D$18)*基础状态预期!$H219)+
IF(基础状态预期!$I219="",0,IF(基础状态预期!$AC219&lt;=1,基础状态预期!$AC219*D$19,D$19)*基础状态预期!$I219)+
IF(基础状态预期!$J219="",0,IF(基础状态预期!$AD219&lt;=1,基础状态预期!$AD219*D$20,D$20)*基础状态预期!$J219)</f>
        <v>48</v>
      </c>
      <c r="Z207" s="80">
        <f>IF(基础状态预期!$H219="",0,IF(基础状态预期!$AB219&lt;=1,基础状态预期!$AB219*E$18,E$18)*基础状态预期!$H219)+
IF(基础状态预期!$I219="",0,IF(基础状态预期!$AC219&lt;=1,基础状态预期!$AC219*E$19,E$19)*基础状态预期!$I219)+
IF(基础状态预期!$J219="",0,IF(基础状态预期!$AD219&lt;=1,基础状态预期!$AD219*E$20,E$20)*基础状态预期!$J219)</f>
        <v>0</v>
      </c>
      <c r="AA207" s="80">
        <f>IF(基础状态预期!$H219="",0,IF(基础状态预期!$AB219&lt;=1,基础状态预期!$AB219*F$18,F$18)*基础状态预期!$H219)+
IF(基础状态预期!$I219="",0,IF(基础状态预期!$AC219&lt;=1,基础状态预期!$AC219*F$19,F$19)*基础状态预期!$I219)+
IF(基础状态预期!$J219="",0,IF(基础状态预期!$AD219&lt;=1,基础状态预期!$AD219*F$20,F$20)*基础状态预期!$J219)</f>
        <v>0</v>
      </c>
      <c r="AB207" s="67">
        <f>IF(基础状态预期!$H219="",0,IF(基础状态预期!$AB219&lt;=1,0,(基础状态预期!$AB219-1)*G$26)*基础状态预期!$H219)+
IF(基础状态预期!$I219="",0,IF(基础状态预期!$AC219&lt;=1,0,(基础状态预期!$AC219-1)*G$27)*基础状态预期!$I219)+
IF(基础状态预期!$J219="",0,IF(基础状态预期!$AD219&lt;=1,0,(基础状态预期!$AD219-1)*G$28)*基础状态预期!$J219)</f>
        <v>240</v>
      </c>
      <c r="AC207" s="67">
        <f>IF(基础状态预期!$H219="",0,IF(基础状态预期!$AB219&lt;=1,0,(基础状态预期!$AB219-1)*H$26)*基础状态预期!$H219)+
IF(基础状态预期!$I219="",0,IF(基础状态预期!$AC219&lt;=1,0,(基础状态预期!$AC219-1)*H$27)*基础状态预期!$I219)+
IF(基础状态预期!$J219="",0,IF(基础状态预期!$AD219&lt;=1,0,(基础状态预期!$AD219-1)*H$28)*基础状态预期!$J219)</f>
        <v>0</v>
      </c>
      <c r="AD207" s="67">
        <f>IF(基础状态预期!$H219="",0,IF(基础状态预期!$AB219&lt;=1,0,(基础状态预期!$AB219-1)*I$26)*基础状态预期!$H219)+
IF(基础状态预期!$I219="",0,IF(基础状态预期!$AC219&lt;=1,0,(基础状态预期!$AC219-1)*I$27)*基础状态预期!$I219)+
IF(基础状态预期!$J219="",0,IF(基础状态预期!$AD219&lt;=1,0,(基础状态预期!$AD219-1)*I$28)*基础状态预期!$J219)</f>
        <v>0</v>
      </c>
      <c r="AE207" s="80">
        <f>IF(各r阵容卡情况!$H235=0,0,IF(各r阵容卡情况!$AB235&lt;=1,各r阵容卡情况!$AB235*D$18,1*D$18)*各r阵容卡情况!$H235)+
IF(各r阵容卡情况!$I235=0,0,IF(各r阵容卡情况!$AC235&lt;=1,各r阵容卡情况!$AC235*D$19,1*D$19)*各r阵容卡情况!$I235)+
IF(各r阵容卡情况!$J235=0,0,IF(各r阵容卡情况!$AD235&lt;=1,各r阵容卡情况!$AD235*D$20,1*D$20)*各r阵容卡情况!$J235)</f>
        <v>0</v>
      </c>
      <c r="AF207" s="80">
        <f>IF(各r阵容卡情况!$H235=0,0,IF(各r阵容卡情况!$AB235&lt;=1,各r阵容卡情况!$AB235*E$18,1*E$18)*各r阵容卡情况!$H235)+
IF(各r阵容卡情况!$I235=0,0,IF(各r阵容卡情况!$AC235&lt;=1,各r阵容卡情况!$AC235*E$19,1*E$19)*各r阵容卡情况!$I235)+
IF(各r阵容卡情况!$J235=0,0,IF(各r阵容卡情况!$AD235&lt;=1,各r阵容卡情况!$AD235*E$20,1*E$20)*各r阵容卡情况!$J235)</f>
        <v>0</v>
      </c>
      <c r="AG207" s="80">
        <f>IF(各r阵容卡情况!$H235=0,0,IF(各r阵容卡情况!$AB235&lt;=1,各r阵容卡情况!$AB235*F$18,1*F$18)*各r阵容卡情况!$H235)+
IF(各r阵容卡情况!$I235=0,0,IF(各r阵容卡情况!$AC235&lt;=1,各r阵容卡情况!$AC235*F$19,1*F$19)*各r阵容卡情况!$I235)+
IF(各r阵容卡情况!$J235=0,0,IF(各r阵容卡情况!$AD235&lt;=1,各r阵容卡情况!$AD235*F$20,1*F$20)*各r阵容卡情况!$J235)</f>
        <v>0</v>
      </c>
      <c r="AH207" s="67">
        <f>IF(各r阵容卡情况!$H235=0,0,IF(各r阵容卡情况!$AB235&lt;=1,0,(各r阵容卡情况!$AB235-1)*G$26)*各r阵容卡情况!$H235)+
IF(各r阵容卡情况!$I235=0,0,IF(各r阵容卡情况!$AC235&lt;=1,0,(各r阵容卡情况!$AC235-1)*G$27)*各r阵容卡情况!$I235)+
IF(各r阵容卡情况!$J235=0,0,IF(各r阵容卡情况!$AD235&lt;=1,0,(各r阵容卡情况!$AD235-1)*G$28)*各r阵容卡情况!$J235)</f>
        <v>0</v>
      </c>
      <c r="AI207" s="67">
        <f>IF(各r阵容卡情况!$H235=0,0,IF(各r阵容卡情况!$AB235&lt;=1,0,(各r阵容卡情况!$AB235-1)*H$26)*各r阵容卡情况!$H235)+
IF(各r阵容卡情况!$I235=0,0,IF(各r阵容卡情况!$AC235&lt;=1,0,(各r阵容卡情况!$AC235-1)*H$27)*各r阵容卡情况!$I235)+
IF(各r阵容卡情况!$J235=0,0,IF(各r阵容卡情况!$AD235&lt;=1,0,(各r阵容卡情况!$AD235-1)*H$28)*各r阵容卡情况!$J235)</f>
        <v>0</v>
      </c>
      <c r="AJ207" s="67">
        <f>IF(各r阵容卡情况!$H235=0,0,IF(各r阵容卡情况!$AB235&lt;=1,0,(各r阵容卡情况!$AB235-1)*I$26)*各r阵容卡情况!$H235)+
IF(各r阵容卡情况!$I235=0,0,IF(各r阵容卡情况!$AC235&lt;=1,0,(各r阵容卡情况!$AC235-1)*I$27)*各r阵容卡情况!$I235)+
IF(各r阵容卡情况!$J235=0,0,IF(各r阵容卡情况!$AD235&lt;=1,0,(各r阵容卡情况!$AD235-1)*I$28)*各r阵容卡情况!$J235)</f>
        <v>0</v>
      </c>
      <c r="AL207" s="80">
        <f t="shared" si="170"/>
        <v>120</v>
      </c>
      <c r="AM207" s="80">
        <f t="shared" si="171"/>
        <v>48</v>
      </c>
      <c r="AN207" s="80">
        <f t="shared" si="172"/>
        <v>0</v>
      </c>
      <c r="AO207" s="80">
        <f t="shared" si="173"/>
        <v>0</v>
      </c>
      <c r="AP207" s="80">
        <f t="shared" si="174"/>
        <v>240</v>
      </c>
      <c r="AQ207" s="80">
        <f t="shared" si="175"/>
        <v>0</v>
      </c>
      <c r="AR207" s="80">
        <f t="shared" si="176"/>
        <v>0</v>
      </c>
      <c r="AS207" s="80">
        <f t="shared" si="177"/>
        <v>0</v>
      </c>
      <c r="AT207" s="80">
        <f t="shared" si="178"/>
        <v>0</v>
      </c>
      <c r="AU207" s="80">
        <f t="shared" si="179"/>
        <v>0</v>
      </c>
      <c r="AV207" s="80">
        <f t="shared" si="180"/>
        <v>0</v>
      </c>
      <c r="AW207" s="80">
        <f t="shared" si="181"/>
        <v>0</v>
      </c>
      <c r="AX207" s="80">
        <f t="shared" si="182"/>
        <v>0</v>
      </c>
      <c r="AY207" s="61" t="e">
        <f>SUMPRODUCT(AM207:AR207/'[1]功能-行军令'!$GI$26:$GN$26+AS207:AX207/'[1]功能-行军令'!$GI$26:$GN$26)/0.18</f>
        <v>#DIV/0!</v>
      </c>
      <c r="BO207" s="80">
        <f t="shared" si="168"/>
        <v>108.05586950728798</v>
      </c>
      <c r="BP207" s="80">
        <f t="shared" si="169"/>
        <v>12300000</v>
      </c>
      <c r="BQ207" s="80">
        <f>(BP207-BP206)*INDEX('[1]功能-付费相关'!$AU$6:$AU$165,$BO207,1)+BQ206</f>
        <v>16450.938733882616</v>
      </c>
      <c r="BR207" s="80"/>
      <c r="BS207" s="80"/>
    </row>
    <row r="208" spans="12:77" x14ac:dyDescent="0.15">
      <c r="L208" s="61">
        <v>27</v>
      </c>
      <c r="M208" s="80">
        <f>基础状态预期!D220</f>
        <v>108.05586950728798</v>
      </c>
      <c r="N208" s="80">
        <f>IF(基础状态预期!F220="",0,IF(基础状态预期!Z220&lt;=1,基础状态预期!Z220*D$4,1*D$4+(基础状态预期!Z220-1)*武将觉醒!D$5))</f>
        <v>0</v>
      </c>
      <c r="O208" s="80">
        <f>IF(基础状态预期!G220="",0,IF(基础状态预期!AA220&lt;=1,基础状态预期!AA220*E$4,1*E$4+(基础状态预期!AA220-1)*武将觉醒!E$5))</f>
        <v>0</v>
      </c>
      <c r="P208" s="80">
        <f>IF(基础状态预期!H220="",0,IF(基础状态预期!AB220&lt;=1,基础状态预期!AB220*F$4,1*F$4+(基础状态预期!AB220-1)*武将觉醒!F$5))</f>
        <v>0</v>
      </c>
      <c r="Q208" s="80">
        <f>IF(基础状态预期!I220="",0,IF(基础状态预期!AC220&lt;=1,基础状态预期!AC220*G$4,1*G$4+(基础状态预期!AC220-1)*武将觉醒!G$5))</f>
        <v>0</v>
      </c>
      <c r="R208" s="80">
        <f>IF(基础状态预期!J220="",0,IF(基础状态预期!AD220&lt;=1,基础状态预期!AD220*H$4,1*H$4+(基础状态预期!AD220-1)*武将觉醒!H$5))</f>
        <v>2050000</v>
      </c>
      <c r="S208" s="80">
        <f>MAX(SUMPRODUCT(N208:R208,基础状态预期!F220:J220),S207)</f>
        <v>12300000</v>
      </c>
      <c r="T208" s="80">
        <f>IF(基础状态预期!Z220="",0,IFERROR(基础状态预期!F220*求节点($C$62:$C$63,D$62:D$63,基础状态预期!Z220),0)+IFERROR(基础状态预期!$J220*求节点($C$71:$C$72,D$71:D$72,基础状态预期!$AD220),0))</f>
        <v>0</v>
      </c>
      <c r="U208" s="80">
        <f>IF(基础状态预期!AA220="",0,IFERROR(基础状态预期!G220*求节点($C$62:$C$63,E$62:E$63,基础状态预期!AA220),0)+IFERROR(基础状态预期!$J220*求节点($C$71:$C$72,E$71:E$72,基础状态预期!$AD220),0))</f>
        <v>0</v>
      </c>
      <c r="V208" s="80">
        <f>IF(基础状态预期!AB220="",0,IFERROR(基础状态预期!H220*求节点($C$62:$C$63,F$62:F$63,基础状态预期!AB220),0)+IFERROR(基础状态预期!$J220*求节点($C$71:$C$72,F$71:F$72,基础状态预期!$AD220),0))</f>
        <v>0</v>
      </c>
      <c r="W208" s="80">
        <f>IF(基础状态预期!AC220="",0,IFERROR(基础状态预期!I220*求节点($C$62:$C$63,G$62:G$63,基础状态预期!AC220),0)+IFERROR(基础状态预期!$J220*求节点($C$71:$C$72,G$71:G$72,基础状态预期!$AD220),0))</f>
        <v>0</v>
      </c>
      <c r="X208" s="80">
        <f>IF(基础状态预期!AD220="",0,IFERROR(基础状态预期!J220*求节点($C$62:$C$63,H$62:H$63,基础状态预期!AD220),0)+IFERROR(基础状态预期!$J220*求节点($C$71:$C$72,H$71:H$72,基础状态预期!$AD220),0))</f>
        <v>0</v>
      </c>
      <c r="Y208" s="80">
        <f>IF(基础状态预期!$H220="",0,IF(基础状态预期!$AB220&lt;=1,基础状态预期!$AB220*D$18,D$18)*基础状态预期!$H220)+
IF(基础状态预期!$I220="",0,IF(基础状态预期!$AC220&lt;=1,基础状态预期!$AC220*D$19,D$19)*基础状态预期!$I220)+
IF(基础状态预期!$J220="",0,IF(基础状态预期!$AD220&lt;=1,基础状态预期!$AD220*D$20,D$20)*基础状态预期!$J220)</f>
        <v>48</v>
      </c>
      <c r="Z208" s="80">
        <f>IF(基础状态预期!$H220="",0,IF(基础状态预期!$AB220&lt;=1,基础状态预期!$AB220*E$18,E$18)*基础状态预期!$H220)+
IF(基础状态预期!$I220="",0,IF(基础状态预期!$AC220&lt;=1,基础状态预期!$AC220*E$19,E$19)*基础状态预期!$I220)+
IF(基础状态预期!$J220="",0,IF(基础状态预期!$AD220&lt;=1,基础状态预期!$AD220*E$20,E$20)*基础状态预期!$J220)</f>
        <v>0</v>
      </c>
      <c r="AA208" s="80">
        <f>IF(基础状态预期!$H220="",0,IF(基础状态预期!$AB220&lt;=1,基础状态预期!$AB220*F$18,F$18)*基础状态预期!$H220)+
IF(基础状态预期!$I220="",0,IF(基础状态预期!$AC220&lt;=1,基础状态预期!$AC220*F$19,F$19)*基础状态预期!$I220)+
IF(基础状态预期!$J220="",0,IF(基础状态预期!$AD220&lt;=1,基础状态预期!$AD220*F$20,F$20)*基础状态预期!$J220)</f>
        <v>0</v>
      </c>
      <c r="AB208" s="67">
        <f>IF(基础状态预期!$H220="",0,IF(基础状态预期!$AB220&lt;=1,0,(基础状态预期!$AB220-1)*G$26)*基础状态预期!$H220)+
IF(基础状态预期!$I220="",0,IF(基础状态预期!$AC220&lt;=1,0,(基础状态预期!$AC220-1)*G$27)*基础状态预期!$I220)+
IF(基础状态预期!$J220="",0,IF(基础状态预期!$AD220&lt;=1,0,(基础状态预期!$AD220-1)*G$28)*基础状态预期!$J220)</f>
        <v>240</v>
      </c>
      <c r="AC208" s="67">
        <f>IF(基础状态预期!$H220="",0,IF(基础状态预期!$AB220&lt;=1,0,(基础状态预期!$AB220-1)*H$26)*基础状态预期!$H220)+
IF(基础状态预期!$I220="",0,IF(基础状态预期!$AC220&lt;=1,0,(基础状态预期!$AC220-1)*H$27)*基础状态预期!$I220)+
IF(基础状态预期!$J220="",0,IF(基础状态预期!$AD220&lt;=1,0,(基础状态预期!$AD220-1)*H$28)*基础状态预期!$J220)</f>
        <v>0</v>
      </c>
      <c r="AD208" s="67">
        <f>IF(基础状态预期!$H220="",0,IF(基础状态预期!$AB220&lt;=1,0,(基础状态预期!$AB220-1)*I$26)*基础状态预期!$H220)+
IF(基础状态预期!$I220="",0,IF(基础状态预期!$AC220&lt;=1,0,(基础状态预期!$AC220-1)*I$27)*基础状态预期!$I220)+
IF(基础状态预期!$J220="",0,IF(基础状态预期!$AD220&lt;=1,0,(基础状态预期!$AD220-1)*I$28)*基础状态预期!$J220)</f>
        <v>0</v>
      </c>
      <c r="AE208" s="80">
        <f>IF(各r阵容卡情况!$H236=0,0,IF(各r阵容卡情况!$AB236&lt;=1,各r阵容卡情况!$AB236*D$18,1*D$18)*各r阵容卡情况!$H236)+
IF(各r阵容卡情况!$I236=0,0,IF(各r阵容卡情况!$AC236&lt;=1,各r阵容卡情况!$AC236*D$19,1*D$19)*各r阵容卡情况!$I236)+
IF(各r阵容卡情况!$J236=0,0,IF(各r阵容卡情况!$AD236&lt;=1,各r阵容卡情况!$AD236*D$20,1*D$20)*各r阵容卡情况!$J236)</f>
        <v>0</v>
      </c>
      <c r="AF208" s="80">
        <f>IF(各r阵容卡情况!$H236=0,0,IF(各r阵容卡情况!$AB236&lt;=1,各r阵容卡情况!$AB236*E$18,1*E$18)*各r阵容卡情况!$H236)+
IF(各r阵容卡情况!$I236=0,0,IF(各r阵容卡情况!$AC236&lt;=1,各r阵容卡情况!$AC236*E$19,1*E$19)*各r阵容卡情况!$I236)+
IF(各r阵容卡情况!$J236=0,0,IF(各r阵容卡情况!$AD236&lt;=1,各r阵容卡情况!$AD236*E$20,1*E$20)*各r阵容卡情况!$J236)</f>
        <v>0</v>
      </c>
      <c r="AG208" s="80">
        <f>IF(各r阵容卡情况!$H236=0,0,IF(各r阵容卡情况!$AB236&lt;=1,各r阵容卡情况!$AB236*F$18,1*F$18)*各r阵容卡情况!$H236)+
IF(各r阵容卡情况!$I236=0,0,IF(各r阵容卡情况!$AC236&lt;=1,各r阵容卡情况!$AC236*F$19,1*F$19)*各r阵容卡情况!$I236)+
IF(各r阵容卡情况!$J236=0,0,IF(各r阵容卡情况!$AD236&lt;=1,各r阵容卡情况!$AD236*F$20,1*F$20)*各r阵容卡情况!$J236)</f>
        <v>0</v>
      </c>
      <c r="AH208" s="67">
        <f>IF(各r阵容卡情况!$H236=0,0,IF(各r阵容卡情况!$AB236&lt;=1,0,(各r阵容卡情况!$AB236-1)*G$26)*各r阵容卡情况!$H236)+
IF(各r阵容卡情况!$I236=0,0,IF(各r阵容卡情况!$AC236&lt;=1,0,(各r阵容卡情况!$AC236-1)*G$27)*各r阵容卡情况!$I236)+
IF(各r阵容卡情况!$J236=0,0,IF(各r阵容卡情况!$AD236&lt;=1,0,(各r阵容卡情况!$AD236-1)*G$28)*各r阵容卡情况!$J236)</f>
        <v>0</v>
      </c>
      <c r="AI208" s="67">
        <f>IF(各r阵容卡情况!$H236=0,0,IF(各r阵容卡情况!$AB236&lt;=1,0,(各r阵容卡情况!$AB236-1)*H$26)*各r阵容卡情况!$H236)+
IF(各r阵容卡情况!$I236=0,0,IF(各r阵容卡情况!$AC236&lt;=1,0,(各r阵容卡情况!$AC236-1)*H$27)*各r阵容卡情况!$I236)+
IF(各r阵容卡情况!$J236=0,0,IF(各r阵容卡情况!$AD236&lt;=1,0,(各r阵容卡情况!$AD236-1)*H$28)*各r阵容卡情况!$J236)</f>
        <v>0</v>
      </c>
      <c r="AJ208" s="67">
        <f>IF(各r阵容卡情况!$H236=0,0,IF(各r阵容卡情况!$AB236&lt;=1,0,(各r阵容卡情况!$AB236-1)*I$26)*各r阵容卡情况!$H236)+
IF(各r阵容卡情况!$I236=0,0,IF(各r阵容卡情况!$AC236&lt;=1,0,(各r阵容卡情况!$AC236-1)*I$27)*各r阵容卡情况!$I236)+
IF(各r阵容卡情况!$J236=0,0,IF(各r阵容卡情况!$AD236&lt;=1,0,(各r阵容卡情况!$AD236-1)*I$28)*各r阵容卡情况!$J236)</f>
        <v>0</v>
      </c>
      <c r="AL208" s="80">
        <f t="shared" si="170"/>
        <v>125</v>
      </c>
      <c r="AM208" s="80">
        <f t="shared" si="171"/>
        <v>48</v>
      </c>
      <c r="AN208" s="80">
        <f t="shared" si="172"/>
        <v>0</v>
      </c>
      <c r="AO208" s="80">
        <f t="shared" si="173"/>
        <v>0</v>
      </c>
      <c r="AP208" s="80">
        <f t="shared" si="174"/>
        <v>240</v>
      </c>
      <c r="AQ208" s="80">
        <f t="shared" si="175"/>
        <v>0</v>
      </c>
      <c r="AR208" s="80">
        <f t="shared" si="176"/>
        <v>0</v>
      </c>
      <c r="AS208" s="80">
        <f t="shared" si="177"/>
        <v>0</v>
      </c>
      <c r="AT208" s="80">
        <f t="shared" si="178"/>
        <v>0</v>
      </c>
      <c r="AU208" s="80">
        <f t="shared" si="179"/>
        <v>0</v>
      </c>
      <c r="AV208" s="80">
        <f t="shared" si="180"/>
        <v>0</v>
      </c>
      <c r="AW208" s="80">
        <f t="shared" si="181"/>
        <v>0</v>
      </c>
      <c r="AX208" s="80">
        <f t="shared" si="182"/>
        <v>0</v>
      </c>
      <c r="AY208" s="61" t="e">
        <f>SUMPRODUCT(AM208:AR208/'[1]功能-行军令'!$GI$26:$GN$26+AS208:AX208/'[1]功能-行军令'!$GI$26:$GN$26)/0.18</f>
        <v>#DIV/0!</v>
      </c>
      <c r="BO208" s="80">
        <f t="shared" si="168"/>
        <v>111.54601176466306</v>
      </c>
      <c r="BP208" s="80">
        <f t="shared" si="169"/>
        <v>12300000</v>
      </c>
      <c r="BQ208" s="80">
        <f>(BP208-BP207)*INDEX('[1]功能-付费相关'!$AU$6:$AU$165,$BO208,1)+BQ207</f>
        <v>16450.938733882616</v>
      </c>
      <c r="BR208" s="80"/>
      <c r="BS208" s="80"/>
    </row>
    <row r="209" spans="12:71" x14ac:dyDescent="0.15">
      <c r="L209" s="61">
        <v>28</v>
      </c>
      <c r="M209" s="80">
        <f>基础状态预期!D221</f>
        <v>111.54601176466306</v>
      </c>
      <c r="N209" s="80">
        <f>IF(基础状态预期!F221="",0,IF(基础状态预期!Z221&lt;=1,基础状态预期!Z221*D$4,1*D$4+(基础状态预期!Z221-1)*武将觉醒!D$5))</f>
        <v>0</v>
      </c>
      <c r="O209" s="80">
        <f>IF(基础状态预期!G221="",0,IF(基础状态预期!AA221&lt;=1,基础状态预期!AA221*E$4,1*E$4+(基础状态预期!AA221-1)*武将觉醒!E$5))</f>
        <v>0</v>
      </c>
      <c r="P209" s="80">
        <f>IF(基础状态预期!H221="",0,IF(基础状态预期!AB221&lt;=1,基础状态预期!AB221*F$4,1*F$4+(基础状态预期!AB221-1)*武将觉醒!F$5))</f>
        <v>0</v>
      </c>
      <c r="Q209" s="80">
        <f>IF(基础状态预期!I221="",0,IF(基础状态预期!AC221&lt;=1,基础状态预期!AC221*G$4,1*G$4+(基础状态预期!AC221-1)*武将觉醒!G$5))</f>
        <v>0</v>
      </c>
      <c r="R209" s="80">
        <f>IF(基础状态预期!J221="",0,IF(基础状态预期!AD221&lt;=1,基础状态预期!AD221*H$4,1*H$4+(基础状态预期!AD221-1)*武将觉醒!H$5))</f>
        <v>2050000</v>
      </c>
      <c r="S209" s="80">
        <f>MAX(SUMPRODUCT(N209:R209,基础状态预期!F221:J221),S208)</f>
        <v>12300000</v>
      </c>
      <c r="T209" s="80">
        <f>IF(基础状态预期!Z221="",0,IFERROR(基础状态预期!F221*求节点($C$62:$C$63,D$62:D$63,基础状态预期!Z221),0)+IFERROR(基础状态预期!$J221*求节点($C$71:$C$72,D$71:D$72,基础状态预期!$AD221),0))</f>
        <v>0</v>
      </c>
      <c r="U209" s="80">
        <f>IF(基础状态预期!AA221="",0,IFERROR(基础状态预期!G221*求节点($C$62:$C$63,E$62:E$63,基础状态预期!AA221),0)+IFERROR(基础状态预期!$J221*求节点($C$71:$C$72,E$71:E$72,基础状态预期!$AD221),0))</f>
        <v>0</v>
      </c>
      <c r="V209" s="80">
        <f>IF(基础状态预期!AB221="",0,IFERROR(基础状态预期!H221*求节点($C$62:$C$63,F$62:F$63,基础状态预期!AB221),0)+IFERROR(基础状态预期!$J221*求节点($C$71:$C$72,F$71:F$72,基础状态预期!$AD221),0))</f>
        <v>0</v>
      </c>
      <c r="W209" s="80">
        <f>IF(基础状态预期!AC221="",0,IFERROR(基础状态预期!I221*求节点($C$62:$C$63,G$62:G$63,基础状态预期!AC221),0)+IFERROR(基础状态预期!$J221*求节点($C$71:$C$72,G$71:G$72,基础状态预期!$AD221),0))</f>
        <v>0</v>
      </c>
      <c r="X209" s="80">
        <f>IF(基础状态预期!AD221="",0,IFERROR(基础状态预期!J221*求节点($C$62:$C$63,H$62:H$63,基础状态预期!AD221),0)+IFERROR(基础状态预期!$J221*求节点($C$71:$C$72,H$71:H$72,基础状态预期!$AD221),0))</f>
        <v>0</v>
      </c>
      <c r="Y209" s="80">
        <f>IF(基础状态预期!$H221="",0,IF(基础状态预期!$AB221&lt;=1,基础状态预期!$AB221*D$18,D$18)*基础状态预期!$H221)+
IF(基础状态预期!$I221="",0,IF(基础状态预期!$AC221&lt;=1,基础状态预期!$AC221*D$19,D$19)*基础状态预期!$I221)+
IF(基础状态预期!$J221="",0,IF(基础状态预期!$AD221&lt;=1,基础状态预期!$AD221*D$20,D$20)*基础状态预期!$J221)</f>
        <v>48</v>
      </c>
      <c r="Z209" s="80">
        <f>IF(基础状态预期!$H221="",0,IF(基础状态预期!$AB221&lt;=1,基础状态预期!$AB221*E$18,E$18)*基础状态预期!$H221)+
IF(基础状态预期!$I221="",0,IF(基础状态预期!$AC221&lt;=1,基础状态预期!$AC221*E$19,E$19)*基础状态预期!$I221)+
IF(基础状态预期!$J221="",0,IF(基础状态预期!$AD221&lt;=1,基础状态预期!$AD221*E$20,E$20)*基础状态预期!$J221)</f>
        <v>0</v>
      </c>
      <c r="AA209" s="80">
        <f>IF(基础状态预期!$H221="",0,IF(基础状态预期!$AB221&lt;=1,基础状态预期!$AB221*F$18,F$18)*基础状态预期!$H221)+
IF(基础状态预期!$I221="",0,IF(基础状态预期!$AC221&lt;=1,基础状态预期!$AC221*F$19,F$19)*基础状态预期!$I221)+
IF(基础状态预期!$J221="",0,IF(基础状态预期!$AD221&lt;=1,基础状态预期!$AD221*F$20,F$20)*基础状态预期!$J221)</f>
        <v>0</v>
      </c>
      <c r="AB209" s="67">
        <f>IF(基础状态预期!$H221="",0,IF(基础状态预期!$AB221&lt;=1,0,(基础状态预期!$AB221-1)*G$26)*基础状态预期!$H221)+
IF(基础状态预期!$I221="",0,IF(基础状态预期!$AC221&lt;=1,0,(基础状态预期!$AC221-1)*G$27)*基础状态预期!$I221)+
IF(基础状态预期!$J221="",0,IF(基础状态预期!$AD221&lt;=1,0,(基础状态预期!$AD221-1)*G$28)*基础状态预期!$J221)</f>
        <v>240</v>
      </c>
      <c r="AC209" s="67">
        <f>IF(基础状态预期!$H221="",0,IF(基础状态预期!$AB221&lt;=1,0,(基础状态预期!$AB221-1)*H$26)*基础状态预期!$H221)+
IF(基础状态预期!$I221="",0,IF(基础状态预期!$AC221&lt;=1,0,(基础状态预期!$AC221-1)*H$27)*基础状态预期!$I221)+
IF(基础状态预期!$J221="",0,IF(基础状态预期!$AD221&lt;=1,0,(基础状态预期!$AD221-1)*H$28)*基础状态预期!$J221)</f>
        <v>0</v>
      </c>
      <c r="AD209" s="67">
        <f>IF(基础状态预期!$H221="",0,IF(基础状态预期!$AB221&lt;=1,0,(基础状态预期!$AB221-1)*I$26)*基础状态预期!$H221)+
IF(基础状态预期!$I221="",0,IF(基础状态预期!$AC221&lt;=1,0,(基础状态预期!$AC221-1)*I$27)*基础状态预期!$I221)+
IF(基础状态预期!$J221="",0,IF(基础状态预期!$AD221&lt;=1,0,(基础状态预期!$AD221-1)*I$28)*基础状态预期!$J221)</f>
        <v>0</v>
      </c>
      <c r="AE209" s="80">
        <f>IF(各r阵容卡情况!$H237=0,0,IF(各r阵容卡情况!$AB237&lt;=1,各r阵容卡情况!$AB237*D$18,1*D$18)*各r阵容卡情况!$H237)+
IF(各r阵容卡情况!$I237=0,0,IF(各r阵容卡情况!$AC237&lt;=1,各r阵容卡情况!$AC237*D$19,1*D$19)*各r阵容卡情况!$I237)+
IF(各r阵容卡情况!$J237=0,0,IF(各r阵容卡情况!$AD237&lt;=1,各r阵容卡情况!$AD237*D$20,1*D$20)*各r阵容卡情况!$J237)</f>
        <v>0</v>
      </c>
      <c r="AF209" s="80">
        <f>IF(各r阵容卡情况!$H237=0,0,IF(各r阵容卡情况!$AB237&lt;=1,各r阵容卡情况!$AB237*E$18,1*E$18)*各r阵容卡情况!$H237)+
IF(各r阵容卡情况!$I237=0,0,IF(各r阵容卡情况!$AC237&lt;=1,各r阵容卡情况!$AC237*E$19,1*E$19)*各r阵容卡情况!$I237)+
IF(各r阵容卡情况!$J237=0,0,IF(各r阵容卡情况!$AD237&lt;=1,各r阵容卡情况!$AD237*E$20,1*E$20)*各r阵容卡情况!$J237)</f>
        <v>0</v>
      </c>
      <c r="AG209" s="80">
        <f>IF(各r阵容卡情况!$H237=0,0,IF(各r阵容卡情况!$AB237&lt;=1,各r阵容卡情况!$AB237*F$18,1*F$18)*各r阵容卡情况!$H237)+
IF(各r阵容卡情况!$I237=0,0,IF(各r阵容卡情况!$AC237&lt;=1,各r阵容卡情况!$AC237*F$19,1*F$19)*各r阵容卡情况!$I237)+
IF(各r阵容卡情况!$J237=0,0,IF(各r阵容卡情况!$AD237&lt;=1,各r阵容卡情况!$AD237*F$20,1*F$20)*各r阵容卡情况!$J237)</f>
        <v>0</v>
      </c>
      <c r="AH209" s="67">
        <f>IF(各r阵容卡情况!$H237=0,0,IF(各r阵容卡情况!$AB237&lt;=1,0,(各r阵容卡情况!$AB237-1)*G$26)*各r阵容卡情况!$H237)+
IF(各r阵容卡情况!$I237=0,0,IF(各r阵容卡情况!$AC237&lt;=1,0,(各r阵容卡情况!$AC237-1)*G$27)*各r阵容卡情况!$I237)+
IF(各r阵容卡情况!$J237=0,0,IF(各r阵容卡情况!$AD237&lt;=1,0,(各r阵容卡情况!$AD237-1)*G$28)*各r阵容卡情况!$J237)</f>
        <v>0</v>
      </c>
      <c r="AI209" s="67">
        <f>IF(各r阵容卡情况!$H237=0,0,IF(各r阵容卡情况!$AB237&lt;=1,0,(各r阵容卡情况!$AB237-1)*H$26)*各r阵容卡情况!$H237)+
IF(各r阵容卡情况!$I237=0,0,IF(各r阵容卡情况!$AC237&lt;=1,0,(各r阵容卡情况!$AC237-1)*H$27)*各r阵容卡情况!$I237)+
IF(各r阵容卡情况!$J237=0,0,IF(各r阵容卡情况!$AD237&lt;=1,0,(各r阵容卡情况!$AD237-1)*H$28)*各r阵容卡情况!$J237)</f>
        <v>0</v>
      </c>
      <c r="AJ209" s="67">
        <f>IF(各r阵容卡情况!$H237=0,0,IF(各r阵容卡情况!$AB237&lt;=1,0,(各r阵容卡情况!$AB237-1)*I$26)*各r阵容卡情况!$H237)+
IF(各r阵容卡情况!$I237=0,0,IF(各r阵容卡情况!$AC237&lt;=1,0,(各r阵容卡情况!$AC237-1)*I$27)*各r阵容卡情况!$I237)+
IF(各r阵容卡情况!$J237=0,0,IF(各r阵容卡情况!$AD237&lt;=1,0,(各r阵容卡情况!$AD237-1)*I$28)*各r阵容卡情况!$J237)</f>
        <v>0</v>
      </c>
      <c r="AL209" s="80">
        <f t="shared" si="170"/>
        <v>130</v>
      </c>
      <c r="AM209" s="80">
        <f t="shared" si="171"/>
        <v>48</v>
      </c>
      <c r="AN209" s="80">
        <f t="shared" si="172"/>
        <v>0</v>
      </c>
      <c r="AO209" s="80">
        <f t="shared" si="173"/>
        <v>0</v>
      </c>
      <c r="AP209" s="80">
        <f t="shared" si="174"/>
        <v>240</v>
      </c>
      <c r="AQ209" s="80">
        <f t="shared" si="175"/>
        <v>0</v>
      </c>
      <c r="AR209" s="80">
        <f t="shared" si="176"/>
        <v>0</v>
      </c>
      <c r="AS209" s="80">
        <f t="shared" si="177"/>
        <v>0</v>
      </c>
      <c r="AT209" s="80">
        <f t="shared" si="178"/>
        <v>0</v>
      </c>
      <c r="AU209" s="80">
        <f t="shared" si="179"/>
        <v>0</v>
      </c>
      <c r="AV209" s="80">
        <f t="shared" si="180"/>
        <v>0</v>
      </c>
      <c r="AW209" s="80">
        <f t="shared" si="181"/>
        <v>0</v>
      </c>
      <c r="AX209" s="80">
        <f t="shared" si="182"/>
        <v>0</v>
      </c>
      <c r="AY209" s="61" t="e">
        <f>SUMPRODUCT(AM209:AR209/'[1]功能-行军令'!$GI$26:$GN$26+AS209:AX209/'[1]功能-行军令'!$GI$26:$GN$26)/0.18</f>
        <v>#DIV/0!</v>
      </c>
      <c r="BO209" s="80">
        <f t="shared" si="168"/>
        <v>115.20444967370992</v>
      </c>
      <c r="BP209" s="80">
        <f t="shared" si="169"/>
        <v>12300000</v>
      </c>
      <c r="BQ209" s="80">
        <f>(BP209-BP208)*INDEX('[1]功能-付费相关'!$AU$6:$AU$165,$BO209,1)+BQ208</f>
        <v>16450.938733882616</v>
      </c>
      <c r="BR209" s="80"/>
      <c r="BS209" s="80"/>
    </row>
    <row r="210" spans="12:71" x14ac:dyDescent="0.15">
      <c r="L210" s="61">
        <v>29</v>
      </c>
      <c r="M210" s="80">
        <f>基础状态预期!D222</f>
        <v>115.20444967370992</v>
      </c>
      <c r="N210" s="80">
        <f>IF(基础状态预期!F222="",0,IF(基础状态预期!Z222&lt;=1,基础状态预期!Z222*D$4,1*D$4+(基础状态预期!Z222-1)*武将觉醒!D$5))</f>
        <v>0</v>
      </c>
      <c r="O210" s="80">
        <f>IF(基础状态预期!G222="",0,IF(基础状态预期!AA222&lt;=1,基础状态预期!AA222*E$4,1*E$4+(基础状态预期!AA222-1)*武将觉醒!E$5))</f>
        <v>0</v>
      </c>
      <c r="P210" s="80">
        <f>IF(基础状态预期!H222="",0,IF(基础状态预期!AB222&lt;=1,基础状态预期!AB222*F$4,1*F$4+(基础状态预期!AB222-1)*武将觉醒!F$5))</f>
        <v>0</v>
      </c>
      <c r="Q210" s="80">
        <f>IF(基础状态预期!I222="",0,IF(基础状态预期!AC222&lt;=1,基础状态预期!AC222*G$4,1*G$4+(基础状态预期!AC222-1)*武将觉醒!G$5))</f>
        <v>0</v>
      </c>
      <c r="R210" s="80">
        <f>IF(基础状态预期!J222="",0,IF(基础状态预期!AD222&lt;=1,基础状态预期!AD222*H$4,1*H$4+(基础状态预期!AD222-1)*武将觉醒!H$5))</f>
        <v>2050000</v>
      </c>
      <c r="S210" s="80">
        <f>MAX(SUMPRODUCT(N210:R210,基础状态预期!F222:J222),S209)</f>
        <v>12300000</v>
      </c>
      <c r="T210" s="80">
        <f>IF(基础状态预期!Z222="",0,IFERROR(基础状态预期!F222*求节点($C$62:$C$63,D$62:D$63,基础状态预期!Z222),0)+IFERROR(基础状态预期!$J222*求节点($C$71:$C$72,D$71:D$72,基础状态预期!$AD222),0))</f>
        <v>0</v>
      </c>
      <c r="U210" s="80">
        <f>IF(基础状态预期!AA222="",0,IFERROR(基础状态预期!G222*求节点($C$62:$C$63,E$62:E$63,基础状态预期!AA222),0)+IFERROR(基础状态预期!$J222*求节点($C$71:$C$72,E$71:E$72,基础状态预期!$AD222),0))</f>
        <v>0</v>
      </c>
      <c r="V210" s="80">
        <f>IF(基础状态预期!AB222="",0,IFERROR(基础状态预期!H222*求节点($C$62:$C$63,F$62:F$63,基础状态预期!AB222),0)+IFERROR(基础状态预期!$J222*求节点($C$71:$C$72,F$71:F$72,基础状态预期!$AD222),0))</f>
        <v>0</v>
      </c>
      <c r="W210" s="80">
        <f>IF(基础状态预期!AC222="",0,IFERROR(基础状态预期!I222*求节点($C$62:$C$63,G$62:G$63,基础状态预期!AC222),0)+IFERROR(基础状态预期!$J222*求节点($C$71:$C$72,G$71:G$72,基础状态预期!$AD222),0))</f>
        <v>0</v>
      </c>
      <c r="X210" s="80">
        <f>IF(基础状态预期!AD222="",0,IFERROR(基础状态预期!J222*求节点($C$62:$C$63,H$62:H$63,基础状态预期!AD222),0)+IFERROR(基础状态预期!$J222*求节点($C$71:$C$72,H$71:H$72,基础状态预期!$AD222),0))</f>
        <v>0</v>
      </c>
      <c r="Y210" s="80">
        <f>IF(基础状态预期!$H222="",0,IF(基础状态预期!$AB222&lt;=1,基础状态预期!$AB222*D$18,D$18)*基础状态预期!$H222)+
IF(基础状态预期!$I222="",0,IF(基础状态预期!$AC222&lt;=1,基础状态预期!$AC222*D$19,D$19)*基础状态预期!$I222)+
IF(基础状态预期!$J222="",0,IF(基础状态预期!$AD222&lt;=1,基础状态预期!$AD222*D$20,D$20)*基础状态预期!$J222)</f>
        <v>48</v>
      </c>
      <c r="Z210" s="80">
        <f>IF(基础状态预期!$H222="",0,IF(基础状态预期!$AB222&lt;=1,基础状态预期!$AB222*E$18,E$18)*基础状态预期!$H222)+
IF(基础状态预期!$I222="",0,IF(基础状态预期!$AC222&lt;=1,基础状态预期!$AC222*E$19,E$19)*基础状态预期!$I222)+
IF(基础状态预期!$J222="",0,IF(基础状态预期!$AD222&lt;=1,基础状态预期!$AD222*E$20,E$20)*基础状态预期!$J222)</f>
        <v>0</v>
      </c>
      <c r="AA210" s="80">
        <f>IF(基础状态预期!$H222="",0,IF(基础状态预期!$AB222&lt;=1,基础状态预期!$AB222*F$18,F$18)*基础状态预期!$H222)+
IF(基础状态预期!$I222="",0,IF(基础状态预期!$AC222&lt;=1,基础状态预期!$AC222*F$19,F$19)*基础状态预期!$I222)+
IF(基础状态预期!$J222="",0,IF(基础状态预期!$AD222&lt;=1,基础状态预期!$AD222*F$20,F$20)*基础状态预期!$J222)</f>
        <v>0</v>
      </c>
      <c r="AB210" s="67">
        <f>IF(基础状态预期!$H222="",0,IF(基础状态预期!$AB222&lt;=1,0,(基础状态预期!$AB222-1)*G$26)*基础状态预期!$H222)+
IF(基础状态预期!$I222="",0,IF(基础状态预期!$AC222&lt;=1,0,(基础状态预期!$AC222-1)*G$27)*基础状态预期!$I222)+
IF(基础状态预期!$J222="",0,IF(基础状态预期!$AD222&lt;=1,0,(基础状态预期!$AD222-1)*G$28)*基础状态预期!$J222)</f>
        <v>240</v>
      </c>
      <c r="AC210" s="67">
        <f>IF(基础状态预期!$H222="",0,IF(基础状态预期!$AB222&lt;=1,0,(基础状态预期!$AB222-1)*H$26)*基础状态预期!$H222)+
IF(基础状态预期!$I222="",0,IF(基础状态预期!$AC222&lt;=1,0,(基础状态预期!$AC222-1)*H$27)*基础状态预期!$I222)+
IF(基础状态预期!$J222="",0,IF(基础状态预期!$AD222&lt;=1,0,(基础状态预期!$AD222-1)*H$28)*基础状态预期!$J222)</f>
        <v>0</v>
      </c>
      <c r="AD210" s="67">
        <f>IF(基础状态预期!$H222="",0,IF(基础状态预期!$AB222&lt;=1,0,(基础状态预期!$AB222-1)*I$26)*基础状态预期!$H222)+
IF(基础状态预期!$I222="",0,IF(基础状态预期!$AC222&lt;=1,0,(基础状态预期!$AC222-1)*I$27)*基础状态预期!$I222)+
IF(基础状态预期!$J222="",0,IF(基础状态预期!$AD222&lt;=1,0,(基础状态预期!$AD222-1)*I$28)*基础状态预期!$J222)</f>
        <v>0</v>
      </c>
      <c r="AE210" s="80">
        <f>IF(各r阵容卡情况!$H238=0,0,IF(各r阵容卡情况!$AB238&lt;=1,各r阵容卡情况!$AB238*D$18,1*D$18)*各r阵容卡情况!$H238)+
IF(各r阵容卡情况!$I238=0,0,IF(各r阵容卡情况!$AC238&lt;=1,各r阵容卡情况!$AC238*D$19,1*D$19)*各r阵容卡情况!$I238)+
IF(各r阵容卡情况!$J238=0,0,IF(各r阵容卡情况!$AD238&lt;=1,各r阵容卡情况!$AD238*D$20,1*D$20)*各r阵容卡情况!$J238)</f>
        <v>0</v>
      </c>
      <c r="AF210" s="80">
        <f>IF(各r阵容卡情况!$H238=0,0,IF(各r阵容卡情况!$AB238&lt;=1,各r阵容卡情况!$AB238*E$18,1*E$18)*各r阵容卡情况!$H238)+
IF(各r阵容卡情况!$I238=0,0,IF(各r阵容卡情况!$AC238&lt;=1,各r阵容卡情况!$AC238*E$19,1*E$19)*各r阵容卡情况!$I238)+
IF(各r阵容卡情况!$J238=0,0,IF(各r阵容卡情况!$AD238&lt;=1,各r阵容卡情况!$AD238*E$20,1*E$20)*各r阵容卡情况!$J238)</f>
        <v>0</v>
      </c>
      <c r="AG210" s="80">
        <f>IF(各r阵容卡情况!$H238=0,0,IF(各r阵容卡情况!$AB238&lt;=1,各r阵容卡情况!$AB238*F$18,1*F$18)*各r阵容卡情况!$H238)+
IF(各r阵容卡情况!$I238=0,0,IF(各r阵容卡情况!$AC238&lt;=1,各r阵容卡情况!$AC238*F$19,1*F$19)*各r阵容卡情况!$I238)+
IF(各r阵容卡情况!$J238=0,0,IF(各r阵容卡情况!$AD238&lt;=1,各r阵容卡情况!$AD238*F$20,1*F$20)*各r阵容卡情况!$J238)</f>
        <v>0</v>
      </c>
      <c r="AH210" s="67">
        <f>IF(各r阵容卡情况!$H238=0,0,IF(各r阵容卡情况!$AB238&lt;=1,0,(各r阵容卡情况!$AB238-1)*G$26)*各r阵容卡情况!$H238)+
IF(各r阵容卡情况!$I238=0,0,IF(各r阵容卡情况!$AC238&lt;=1,0,(各r阵容卡情况!$AC238-1)*G$27)*各r阵容卡情况!$I238)+
IF(各r阵容卡情况!$J238=0,0,IF(各r阵容卡情况!$AD238&lt;=1,0,(各r阵容卡情况!$AD238-1)*G$28)*各r阵容卡情况!$J238)</f>
        <v>0</v>
      </c>
      <c r="AI210" s="67">
        <f>IF(各r阵容卡情况!$H238=0,0,IF(各r阵容卡情况!$AB238&lt;=1,0,(各r阵容卡情况!$AB238-1)*H$26)*各r阵容卡情况!$H238)+
IF(各r阵容卡情况!$I238=0,0,IF(各r阵容卡情况!$AC238&lt;=1,0,(各r阵容卡情况!$AC238-1)*H$27)*各r阵容卡情况!$I238)+
IF(各r阵容卡情况!$J238=0,0,IF(各r阵容卡情况!$AD238&lt;=1,0,(各r阵容卡情况!$AD238-1)*H$28)*各r阵容卡情况!$J238)</f>
        <v>0</v>
      </c>
      <c r="AJ210" s="67">
        <f>IF(各r阵容卡情况!$H238=0,0,IF(各r阵容卡情况!$AB238&lt;=1,0,(各r阵容卡情况!$AB238-1)*I$26)*各r阵容卡情况!$H238)+
IF(各r阵容卡情况!$I238=0,0,IF(各r阵容卡情况!$AC238&lt;=1,0,(各r阵容卡情况!$AC238-1)*I$27)*各r阵容卡情况!$I238)+
IF(各r阵容卡情况!$J238=0,0,IF(各r阵容卡情况!$AD238&lt;=1,0,(各r阵容卡情况!$AD238-1)*I$28)*各r阵容卡情况!$J238)</f>
        <v>0</v>
      </c>
      <c r="AL210" s="80">
        <f t="shared" si="170"/>
        <v>135</v>
      </c>
      <c r="AM210" s="80">
        <f t="shared" si="171"/>
        <v>48</v>
      </c>
      <c r="AN210" s="80">
        <f t="shared" si="172"/>
        <v>0</v>
      </c>
      <c r="AO210" s="80">
        <f t="shared" si="173"/>
        <v>0</v>
      </c>
      <c r="AP210" s="80">
        <f t="shared" si="174"/>
        <v>240</v>
      </c>
      <c r="AQ210" s="80">
        <f t="shared" si="175"/>
        <v>0</v>
      </c>
      <c r="AR210" s="80">
        <f t="shared" si="176"/>
        <v>0</v>
      </c>
      <c r="AS210" s="80">
        <f t="shared" si="177"/>
        <v>0</v>
      </c>
      <c r="AT210" s="80">
        <f t="shared" si="178"/>
        <v>0</v>
      </c>
      <c r="AU210" s="80">
        <f t="shared" si="179"/>
        <v>0</v>
      </c>
      <c r="AV210" s="80">
        <f t="shared" si="180"/>
        <v>0</v>
      </c>
      <c r="AW210" s="80">
        <f t="shared" si="181"/>
        <v>0</v>
      </c>
      <c r="AX210" s="80">
        <f t="shared" si="182"/>
        <v>0</v>
      </c>
      <c r="AY210" s="61" t="e">
        <f>SUMPRODUCT(AM210:AR210/'[1]功能-行军令'!$GI$26:$GN$26+AS210:AX210/'[1]功能-行军令'!$GI$26:$GN$26)/0.18</f>
        <v>#DIV/0!</v>
      </c>
      <c r="BO210" s="80">
        <f t="shared" si="168"/>
        <v>118.75432507225094</v>
      </c>
      <c r="BP210" s="80">
        <f t="shared" si="169"/>
        <v>12300000</v>
      </c>
      <c r="BQ210" s="80">
        <f>(BP210-BP209)*INDEX('[1]功能-付费相关'!$AU$6:$AU$165,$BO210,1)+BQ209</f>
        <v>16450.938733882616</v>
      </c>
      <c r="BR210" s="80"/>
      <c r="BS210" s="80"/>
    </row>
    <row r="211" spans="12:71" x14ac:dyDescent="0.15">
      <c r="L211" s="61">
        <v>30</v>
      </c>
      <c r="M211" s="80">
        <f>基础状态预期!D223</f>
        <v>118.75432507225094</v>
      </c>
      <c r="N211" s="80">
        <f>IF(基础状态预期!F223="",0,IF(基础状态预期!Z223&lt;=1,基础状态预期!Z223*D$4,1*D$4+(基础状态预期!Z223-1)*武将觉醒!D$5))</f>
        <v>0</v>
      </c>
      <c r="O211" s="80">
        <f>IF(基础状态预期!G223="",0,IF(基础状态预期!AA223&lt;=1,基础状态预期!AA223*E$4,1*E$4+(基础状态预期!AA223-1)*武将觉醒!E$5))</f>
        <v>0</v>
      </c>
      <c r="P211" s="80">
        <f>IF(基础状态预期!H223="",0,IF(基础状态预期!AB223&lt;=1,基础状态预期!AB223*F$4,1*F$4+(基础状态预期!AB223-1)*武将觉醒!F$5))</f>
        <v>0</v>
      </c>
      <c r="Q211" s="80">
        <f>IF(基础状态预期!I223="",0,IF(基础状态预期!AC223&lt;=1,基础状态预期!AC223*G$4,1*G$4+(基础状态预期!AC223-1)*武将觉醒!G$5))</f>
        <v>0</v>
      </c>
      <c r="R211" s="80">
        <f>IF(基础状态预期!J223="",0,IF(基础状态预期!AD223&lt;=1,基础状态预期!AD223*H$4,1*H$4+(基础状态预期!AD223-1)*武将觉醒!H$5))</f>
        <v>2050000</v>
      </c>
      <c r="S211" s="80">
        <f>MAX(SUMPRODUCT(N211:R211,基础状态预期!F223:J223),S210)</f>
        <v>12300000</v>
      </c>
      <c r="T211" s="80">
        <f>IF(基础状态预期!Z223="",0,IFERROR(基础状态预期!F223*求节点($C$62:$C$63,D$62:D$63,基础状态预期!Z223),0)+IFERROR(基础状态预期!$J223*求节点($C$71:$C$72,D$71:D$72,基础状态预期!$AD223),0))</f>
        <v>0</v>
      </c>
      <c r="U211" s="80">
        <f>IF(基础状态预期!AA223="",0,IFERROR(基础状态预期!G223*求节点($C$62:$C$63,E$62:E$63,基础状态预期!AA223),0)+IFERROR(基础状态预期!$J223*求节点($C$71:$C$72,E$71:E$72,基础状态预期!$AD223),0))</f>
        <v>0</v>
      </c>
      <c r="V211" s="80">
        <f>IF(基础状态预期!AB223="",0,IFERROR(基础状态预期!H223*求节点($C$62:$C$63,F$62:F$63,基础状态预期!AB223),0)+IFERROR(基础状态预期!$J223*求节点($C$71:$C$72,F$71:F$72,基础状态预期!$AD223),0))</f>
        <v>0</v>
      </c>
      <c r="W211" s="80">
        <f>IF(基础状态预期!AC223="",0,IFERROR(基础状态预期!I223*求节点($C$62:$C$63,G$62:G$63,基础状态预期!AC223),0)+IFERROR(基础状态预期!$J223*求节点($C$71:$C$72,G$71:G$72,基础状态预期!$AD223),0))</f>
        <v>0</v>
      </c>
      <c r="X211" s="80">
        <f>IF(基础状态预期!AD223="",0,IFERROR(基础状态预期!J223*求节点($C$62:$C$63,H$62:H$63,基础状态预期!AD223),0)+IFERROR(基础状态预期!$J223*求节点($C$71:$C$72,H$71:H$72,基础状态预期!$AD223),0))</f>
        <v>0</v>
      </c>
      <c r="Y211" s="80">
        <f>IF(基础状态预期!$H223="",0,IF(基础状态预期!$AB223&lt;=1,基础状态预期!$AB223*D$18,D$18)*基础状态预期!$H223)+
IF(基础状态预期!$I223="",0,IF(基础状态预期!$AC223&lt;=1,基础状态预期!$AC223*D$19,D$19)*基础状态预期!$I223)+
IF(基础状态预期!$J223="",0,IF(基础状态预期!$AD223&lt;=1,基础状态预期!$AD223*D$20,D$20)*基础状态预期!$J223)</f>
        <v>48</v>
      </c>
      <c r="Z211" s="80">
        <f>IF(基础状态预期!$H223="",0,IF(基础状态预期!$AB223&lt;=1,基础状态预期!$AB223*E$18,E$18)*基础状态预期!$H223)+
IF(基础状态预期!$I223="",0,IF(基础状态预期!$AC223&lt;=1,基础状态预期!$AC223*E$19,E$19)*基础状态预期!$I223)+
IF(基础状态预期!$J223="",0,IF(基础状态预期!$AD223&lt;=1,基础状态预期!$AD223*E$20,E$20)*基础状态预期!$J223)</f>
        <v>0</v>
      </c>
      <c r="AA211" s="80">
        <f>IF(基础状态预期!$H223="",0,IF(基础状态预期!$AB223&lt;=1,基础状态预期!$AB223*F$18,F$18)*基础状态预期!$H223)+
IF(基础状态预期!$I223="",0,IF(基础状态预期!$AC223&lt;=1,基础状态预期!$AC223*F$19,F$19)*基础状态预期!$I223)+
IF(基础状态预期!$J223="",0,IF(基础状态预期!$AD223&lt;=1,基础状态预期!$AD223*F$20,F$20)*基础状态预期!$J223)</f>
        <v>0</v>
      </c>
      <c r="AB211" s="67">
        <f>IF(基础状态预期!$H223="",0,IF(基础状态预期!$AB223&lt;=1,0,(基础状态预期!$AB223-1)*G$26)*基础状态预期!$H223)+
IF(基础状态预期!$I223="",0,IF(基础状态预期!$AC223&lt;=1,0,(基础状态预期!$AC223-1)*G$27)*基础状态预期!$I223)+
IF(基础状态预期!$J223="",0,IF(基础状态预期!$AD223&lt;=1,0,(基础状态预期!$AD223-1)*G$28)*基础状态预期!$J223)</f>
        <v>240</v>
      </c>
      <c r="AC211" s="67">
        <f>IF(基础状态预期!$H223="",0,IF(基础状态预期!$AB223&lt;=1,0,(基础状态预期!$AB223-1)*H$26)*基础状态预期!$H223)+
IF(基础状态预期!$I223="",0,IF(基础状态预期!$AC223&lt;=1,0,(基础状态预期!$AC223-1)*H$27)*基础状态预期!$I223)+
IF(基础状态预期!$J223="",0,IF(基础状态预期!$AD223&lt;=1,0,(基础状态预期!$AD223-1)*H$28)*基础状态预期!$J223)</f>
        <v>0</v>
      </c>
      <c r="AD211" s="67">
        <f>IF(基础状态预期!$H223="",0,IF(基础状态预期!$AB223&lt;=1,0,(基础状态预期!$AB223-1)*I$26)*基础状态预期!$H223)+
IF(基础状态预期!$I223="",0,IF(基础状态预期!$AC223&lt;=1,0,(基础状态预期!$AC223-1)*I$27)*基础状态预期!$I223)+
IF(基础状态预期!$J223="",0,IF(基础状态预期!$AD223&lt;=1,0,(基础状态预期!$AD223-1)*I$28)*基础状态预期!$J223)</f>
        <v>0</v>
      </c>
      <c r="AE211" s="80">
        <f>IF(各r阵容卡情况!$H239=0,0,IF(各r阵容卡情况!$AB239&lt;=1,各r阵容卡情况!$AB239*D$18,1*D$18)*各r阵容卡情况!$H239)+
IF(各r阵容卡情况!$I239=0,0,IF(各r阵容卡情况!$AC239&lt;=1,各r阵容卡情况!$AC239*D$19,1*D$19)*各r阵容卡情况!$I239)+
IF(各r阵容卡情况!$J239=0,0,IF(各r阵容卡情况!$AD239&lt;=1,各r阵容卡情况!$AD239*D$20,1*D$20)*各r阵容卡情况!$J239)</f>
        <v>0</v>
      </c>
      <c r="AF211" s="80">
        <f>IF(各r阵容卡情况!$H239=0,0,IF(各r阵容卡情况!$AB239&lt;=1,各r阵容卡情况!$AB239*E$18,1*E$18)*各r阵容卡情况!$H239)+
IF(各r阵容卡情况!$I239=0,0,IF(各r阵容卡情况!$AC239&lt;=1,各r阵容卡情况!$AC239*E$19,1*E$19)*各r阵容卡情况!$I239)+
IF(各r阵容卡情况!$J239=0,0,IF(各r阵容卡情况!$AD239&lt;=1,各r阵容卡情况!$AD239*E$20,1*E$20)*各r阵容卡情况!$J239)</f>
        <v>0</v>
      </c>
      <c r="AG211" s="80">
        <f>IF(各r阵容卡情况!$H239=0,0,IF(各r阵容卡情况!$AB239&lt;=1,各r阵容卡情况!$AB239*F$18,1*F$18)*各r阵容卡情况!$H239)+
IF(各r阵容卡情况!$I239=0,0,IF(各r阵容卡情况!$AC239&lt;=1,各r阵容卡情况!$AC239*F$19,1*F$19)*各r阵容卡情况!$I239)+
IF(各r阵容卡情况!$J239=0,0,IF(各r阵容卡情况!$AD239&lt;=1,各r阵容卡情况!$AD239*F$20,1*F$20)*各r阵容卡情况!$J239)</f>
        <v>0</v>
      </c>
      <c r="AH211" s="67">
        <f>IF(各r阵容卡情况!$H239=0,0,IF(各r阵容卡情况!$AB239&lt;=1,0,(各r阵容卡情况!$AB239-1)*G$26)*各r阵容卡情况!$H239)+
IF(各r阵容卡情况!$I239=0,0,IF(各r阵容卡情况!$AC239&lt;=1,0,(各r阵容卡情况!$AC239-1)*G$27)*各r阵容卡情况!$I239)+
IF(各r阵容卡情况!$J239=0,0,IF(各r阵容卡情况!$AD239&lt;=1,0,(各r阵容卡情况!$AD239-1)*G$28)*各r阵容卡情况!$J239)</f>
        <v>0</v>
      </c>
      <c r="AI211" s="67">
        <f>IF(各r阵容卡情况!$H239=0,0,IF(各r阵容卡情况!$AB239&lt;=1,0,(各r阵容卡情况!$AB239-1)*H$26)*各r阵容卡情况!$H239)+
IF(各r阵容卡情况!$I239=0,0,IF(各r阵容卡情况!$AC239&lt;=1,0,(各r阵容卡情况!$AC239-1)*H$27)*各r阵容卡情况!$I239)+
IF(各r阵容卡情况!$J239=0,0,IF(各r阵容卡情况!$AD239&lt;=1,0,(各r阵容卡情况!$AD239-1)*H$28)*各r阵容卡情况!$J239)</f>
        <v>0</v>
      </c>
      <c r="AJ211" s="67">
        <f>IF(各r阵容卡情况!$H239=0,0,IF(各r阵容卡情况!$AB239&lt;=1,0,(各r阵容卡情况!$AB239-1)*I$26)*各r阵容卡情况!$H239)+
IF(各r阵容卡情况!$I239=0,0,IF(各r阵容卡情况!$AC239&lt;=1,0,(各r阵容卡情况!$AC239-1)*I$27)*各r阵容卡情况!$I239)+
IF(各r阵容卡情况!$J239=0,0,IF(各r阵容卡情况!$AD239&lt;=1,0,(各r阵容卡情况!$AD239-1)*I$28)*各r阵容卡情况!$J239)</f>
        <v>0</v>
      </c>
      <c r="AL211" s="80">
        <f t="shared" si="170"/>
        <v>140</v>
      </c>
      <c r="AM211" s="80">
        <f t="shared" si="171"/>
        <v>48</v>
      </c>
      <c r="AN211" s="80">
        <f t="shared" si="172"/>
        <v>0</v>
      </c>
      <c r="AO211" s="80">
        <f t="shared" si="173"/>
        <v>0</v>
      </c>
      <c r="AP211" s="80">
        <f t="shared" si="174"/>
        <v>240</v>
      </c>
      <c r="AQ211" s="80">
        <f t="shared" si="175"/>
        <v>0</v>
      </c>
      <c r="AR211" s="80">
        <f t="shared" si="176"/>
        <v>0</v>
      </c>
      <c r="AS211" s="80">
        <f t="shared" si="177"/>
        <v>0</v>
      </c>
      <c r="AT211" s="80">
        <f t="shared" si="178"/>
        <v>0</v>
      </c>
      <c r="AU211" s="80">
        <f t="shared" si="179"/>
        <v>0</v>
      </c>
      <c r="AV211" s="80">
        <f t="shared" si="180"/>
        <v>0</v>
      </c>
      <c r="AW211" s="80">
        <f t="shared" si="181"/>
        <v>0</v>
      </c>
      <c r="AX211" s="80">
        <f t="shared" si="182"/>
        <v>0</v>
      </c>
      <c r="AY211" s="61" t="e">
        <f>SUMPRODUCT(AM211:AR211/'[1]功能-行军令'!$GI$26:$GN$26+AS211:AX211/'[1]功能-行军令'!$GI$26:$GN$26)/0.18</f>
        <v>#DIV/0!</v>
      </c>
      <c r="BO211" s="80">
        <f t="shared" si="168"/>
        <v>122.26514676047371</v>
      </c>
      <c r="BP211" s="80">
        <f t="shared" si="169"/>
        <v>12300000</v>
      </c>
      <c r="BQ211" s="80">
        <f>(BP211-BP210)*INDEX('[1]功能-付费相关'!$AU$6:$AU$165,$BO211,1)+BQ210</f>
        <v>16450.938733882616</v>
      </c>
      <c r="BR211" s="80"/>
      <c r="BS211" s="80"/>
    </row>
    <row r="212" spans="12:71" x14ac:dyDescent="0.15">
      <c r="L212" s="61">
        <v>31</v>
      </c>
      <c r="M212" s="80">
        <f>基础状态预期!D224</f>
        <v>122.26514676047371</v>
      </c>
      <c r="N212" s="80">
        <f>IF(基础状态预期!F224="",0,IF(基础状态预期!Z224&lt;=1,基础状态预期!Z224*D$4,1*D$4+(基础状态预期!Z224-1)*武将觉醒!D$5))</f>
        <v>0</v>
      </c>
      <c r="O212" s="80">
        <f>IF(基础状态预期!G224="",0,IF(基础状态预期!AA224&lt;=1,基础状态预期!AA224*E$4,1*E$4+(基础状态预期!AA224-1)*武将觉醒!E$5))</f>
        <v>0</v>
      </c>
      <c r="P212" s="80">
        <f>IF(基础状态预期!H224="",0,IF(基础状态预期!AB224&lt;=1,基础状态预期!AB224*F$4,1*F$4+(基础状态预期!AB224-1)*武将觉醒!F$5))</f>
        <v>0</v>
      </c>
      <c r="Q212" s="80">
        <f>IF(基础状态预期!I224="",0,IF(基础状态预期!AC224&lt;=1,基础状态预期!AC224*G$4,1*G$4+(基础状态预期!AC224-1)*武将觉醒!G$5))</f>
        <v>0</v>
      </c>
      <c r="R212" s="80">
        <f>IF(基础状态预期!J224="",0,IF(基础状态预期!AD224&lt;=1,基础状态预期!AD224*H$4,1*H$4+(基础状态预期!AD224-1)*武将觉醒!H$5))</f>
        <v>2050000</v>
      </c>
      <c r="S212" s="80">
        <f>MAX(SUMPRODUCT(N212:R212,基础状态预期!F224:J224),S211)</f>
        <v>12300000</v>
      </c>
      <c r="T212" s="80">
        <f>IF(基础状态预期!Z224="",0,IFERROR(基础状态预期!F224*求节点($C$62:$C$63,D$62:D$63,基础状态预期!Z224),0)+IFERROR(基础状态预期!$J224*求节点($C$71:$C$72,D$71:D$72,基础状态预期!$AD224),0))</f>
        <v>0</v>
      </c>
      <c r="U212" s="80">
        <f>IF(基础状态预期!AA224="",0,IFERROR(基础状态预期!G224*求节点($C$62:$C$63,E$62:E$63,基础状态预期!AA224),0)+IFERROR(基础状态预期!$J224*求节点($C$71:$C$72,E$71:E$72,基础状态预期!$AD224),0))</f>
        <v>0</v>
      </c>
      <c r="V212" s="80">
        <f>IF(基础状态预期!AB224="",0,IFERROR(基础状态预期!H224*求节点($C$62:$C$63,F$62:F$63,基础状态预期!AB224),0)+IFERROR(基础状态预期!$J224*求节点($C$71:$C$72,F$71:F$72,基础状态预期!$AD224),0))</f>
        <v>0</v>
      </c>
      <c r="W212" s="80">
        <f>IF(基础状态预期!AC224="",0,IFERROR(基础状态预期!I224*求节点($C$62:$C$63,G$62:G$63,基础状态预期!AC224),0)+IFERROR(基础状态预期!$J224*求节点($C$71:$C$72,G$71:G$72,基础状态预期!$AD224),0))</f>
        <v>0</v>
      </c>
      <c r="X212" s="80">
        <f>IF(基础状态预期!AD224="",0,IFERROR(基础状态预期!J224*求节点($C$62:$C$63,H$62:H$63,基础状态预期!AD224),0)+IFERROR(基础状态预期!$J224*求节点($C$71:$C$72,H$71:H$72,基础状态预期!$AD224),0))</f>
        <v>0</v>
      </c>
      <c r="Y212" s="80">
        <f>IF(基础状态预期!$H224="",0,IF(基础状态预期!$AB224&lt;=1,基础状态预期!$AB224*D$18,D$18)*基础状态预期!$H224)+
IF(基础状态预期!$I224="",0,IF(基础状态预期!$AC224&lt;=1,基础状态预期!$AC224*D$19,D$19)*基础状态预期!$I224)+
IF(基础状态预期!$J224="",0,IF(基础状态预期!$AD224&lt;=1,基础状态预期!$AD224*D$20,D$20)*基础状态预期!$J224)</f>
        <v>48</v>
      </c>
      <c r="Z212" s="80">
        <f>IF(基础状态预期!$H224="",0,IF(基础状态预期!$AB224&lt;=1,基础状态预期!$AB224*E$18,E$18)*基础状态预期!$H224)+
IF(基础状态预期!$I224="",0,IF(基础状态预期!$AC224&lt;=1,基础状态预期!$AC224*E$19,E$19)*基础状态预期!$I224)+
IF(基础状态预期!$J224="",0,IF(基础状态预期!$AD224&lt;=1,基础状态预期!$AD224*E$20,E$20)*基础状态预期!$J224)</f>
        <v>0</v>
      </c>
      <c r="AA212" s="80">
        <f>IF(基础状态预期!$H224="",0,IF(基础状态预期!$AB224&lt;=1,基础状态预期!$AB224*F$18,F$18)*基础状态预期!$H224)+
IF(基础状态预期!$I224="",0,IF(基础状态预期!$AC224&lt;=1,基础状态预期!$AC224*F$19,F$19)*基础状态预期!$I224)+
IF(基础状态预期!$J224="",0,IF(基础状态预期!$AD224&lt;=1,基础状态预期!$AD224*F$20,F$20)*基础状态预期!$J224)</f>
        <v>0</v>
      </c>
      <c r="AB212" s="67">
        <f>IF(基础状态预期!$H224="",0,IF(基础状态预期!$AB224&lt;=1,0,(基础状态预期!$AB224-1)*G$26)*基础状态预期!$H224)+
IF(基础状态预期!$I224="",0,IF(基础状态预期!$AC224&lt;=1,0,(基础状态预期!$AC224-1)*G$27)*基础状态预期!$I224)+
IF(基础状态预期!$J224="",0,IF(基础状态预期!$AD224&lt;=1,0,(基础状态预期!$AD224-1)*G$28)*基础状态预期!$J224)</f>
        <v>240</v>
      </c>
      <c r="AC212" s="67">
        <f>IF(基础状态预期!$H224="",0,IF(基础状态预期!$AB224&lt;=1,0,(基础状态预期!$AB224-1)*H$26)*基础状态预期!$H224)+
IF(基础状态预期!$I224="",0,IF(基础状态预期!$AC224&lt;=1,0,(基础状态预期!$AC224-1)*H$27)*基础状态预期!$I224)+
IF(基础状态预期!$J224="",0,IF(基础状态预期!$AD224&lt;=1,0,(基础状态预期!$AD224-1)*H$28)*基础状态预期!$J224)</f>
        <v>0</v>
      </c>
      <c r="AD212" s="67">
        <f>IF(基础状态预期!$H224="",0,IF(基础状态预期!$AB224&lt;=1,0,(基础状态预期!$AB224-1)*I$26)*基础状态预期!$H224)+
IF(基础状态预期!$I224="",0,IF(基础状态预期!$AC224&lt;=1,0,(基础状态预期!$AC224-1)*I$27)*基础状态预期!$I224)+
IF(基础状态预期!$J224="",0,IF(基础状态预期!$AD224&lt;=1,0,(基础状态预期!$AD224-1)*I$28)*基础状态预期!$J224)</f>
        <v>0</v>
      </c>
      <c r="AE212" s="80">
        <f>IF(各r阵容卡情况!$H240=0,0,IF(各r阵容卡情况!$AB240&lt;=1,各r阵容卡情况!$AB240*D$18,1*D$18)*各r阵容卡情况!$H240)+
IF(各r阵容卡情况!$I240=0,0,IF(各r阵容卡情况!$AC240&lt;=1,各r阵容卡情况!$AC240*D$19,1*D$19)*各r阵容卡情况!$I240)+
IF(各r阵容卡情况!$J240=0,0,IF(各r阵容卡情况!$AD240&lt;=1,各r阵容卡情况!$AD240*D$20,1*D$20)*各r阵容卡情况!$J240)</f>
        <v>0</v>
      </c>
      <c r="AF212" s="80">
        <f>IF(各r阵容卡情况!$H240=0,0,IF(各r阵容卡情况!$AB240&lt;=1,各r阵容卡情况!$AB240*E$18,1*E$18)*各r阵容卡情况!$H240)+
IF(各r阵容卡情况!$I240=0,0,IF(各r阵容卡情况!$AC240&lt;=1,各r阵容卡情况!$AC240*E$19,1*E$19)*各r阵容卡情况!$I240)+
IF(各r阵容卡情况!$J240=0,0,IF(各r阵容卡情况!$AD240&lt;=1,各r阵容卡情况!$AD240*E$20,1*E$20)*各r阵容卡情况!$J240)</f>
        <v>0</v>
      </c>
      <c r="AG212" s="80">
        <f>IF(各r阵容卡情况!$H240=0,0,IF(各r阵容卡情况!$AB240&lt;=1,各r阵容卡情况!$AB240*F$18,1*F$18)*各r阵容卡情况!$H240)+
IF(各r阵容卡情况!$I240=0,0,IF(各r阵容卡情况!$AC240&lt;=1,各r阵容卡情况!$AC240*F$19,1*F$19)*各r阵容卡情况!$I240)+
IF(各r阵容卡情况!$J240=0,0,IF(各r阵容卡情况!$AD240&lt;=1,各r阵容卡情况!$AD240*F$20,1*F$20)*各r阵容卡情况!$J240)</f>
        <v>0</v>
      </c>
      <c r="AH212" s="67">
        <f>IF(各r阵容卡情况!$H240=0,0,IF(各r阵容卡情况!$AB240&lt;=1,0,(各r阵容卡情况!$AB240-1)*G$26)*各r阵容卡情况!$H240)+
IF(各r阵容卡情况!$I240=0,0,IF(各r阵容卡情况!$AC240&lt;=1,0,(各r阵容卡情况!$AC240-1)*G$27)*各r阵容卡情况!$I240)+
IF(各r阵容卡情况!$J240=0,0,IF(各r阵容卡情况!$AD240&lt;=1,0,(各r阵容卡情况!$AD240-1)*G$28)*各r阵容卡情况!$J240)</f>
        <v>0</v>
      </c>
      <c r="AI212" s="67">
        <f>IF(各r阵容卡情况!$H240=0,0,IF(各r阵容卡情况!$AB240&lt;=1,0,(各r阵容卡情况!$AB240-1)*H$26)*各r阵容卡情况!$H240)+
IF(各r阵容卡情况!$I240=0,0,IF(各r阵容卡情况!$AC240&lt;=1,0,(各r阵容卡情况!$AC240-1)*H$27)*各r阵容卡情况!$I240)+
IF(各r阵容卡情况!$J240=0,0,IF(各r阵容卡情况!$AD240&lt;=1,0,(各r阵容卡情况!$AD240-1)*H$28)*各r阵容卡情况!$J240)</f>
        <v>0</v>
      </c>
      <c r="AJ212" s="67">
        <f>IF(各r阵容卡情况!$H240=0,0,IF(各r阵容卡情况!$AB240&lt;=1,0,(各r阵容卡情况!$AB240-1)*I$26)*各r阵容卡情况!$H240)+
IF(各r阵容卡情况!$I240=0,0,IF(各r阵容卡情况!$AC240&lt;=1,0,(各r阵容卡情况!$AC240-1)*I$27)*各r阵容卡情况!$I240)+
IF(各r阵容卡情况!$J240=0,0,IF(各r阵容卡情况!$AD240&lt;=1,0,(各r阵容卡情况!$AD240-1)*I$28)*各r阵容卡情况!$J240)</f>
        <v>0</v>
      </c>
      <c r="AL212" s="80">
        <f t="shared" si="170"/>
        <v>145</v>
      </c>
      <c r="AM212" s="80">
        <f t="shared" si="171"/>
        <v>48</v>
      </c>
      <c r="AN212" s="80">
        <f t="shared" si="172"/>
        <v>0</v>
      </c>
      <c r="AO212" s="80">
        <f t="shared" si="173"/>
        <v>0</v>
      </c>
      <c r="AP212" s="80">
        <f t="shared" si="174"/>
        <v>240</v>
      </c>
      <c r="AQ212" s="80">
        <f t="shared" si="175"/>
        <v>0</v>
      </c>
      <c r="AR212" s="80">
        <f t="shared" si="176"/>
        <v>0</v>
      </c>
      <c r="AS212" s="80">
        <f t="shared" si="177"/>
        <v>0</v>
      </c>
      <c r="AT212" s="80">
        <f t="shared" si="178"/>
        <v>0</v>
      </c>
      <c r="AU212" s="80">
        <f t="shared" si="179"/>
        <v>0</v>
      </c>
      <c r="AV212" s="80">
        <f t="shared" si="180"/>
        <v>0</v>
      </c>
      <c r="AW212" s="80">
        <f t="shared" si="181"/>
        <v>0</v>
      </c>
      <c r="AX212" s="80">
        <f t="shared" si="182"/>
        <v>0</v>
      </c>
      <c r="AY212" s="61" t="e">
        <f>SUMPRODUCT(AM212:AR212/'[1]功能-行军令'!$GI$26:$GN$26+AS212:AX212/'[1]功能-行军令'!$GI$26:$GN$26)/0.18</f>
        <v>#DIV/0!</v>
      </c>
      <c r="BO212" s="80">
        <f t="shared" si="168"/>
        <v>125.84855083483956</v>
      </c>
      <c r="BP212" s="80">
        <f t="shared" si="169"/>
        <v>12300000</v>
      </c>
      <c r="BQ212" s="80">
        <f>(BP212-BP211)*INDEX('[1]功能-付费相关'!$AU$6:$AU$165,$BO212,1)+BQ211</f>
        <v>16450.938733882616</v>
      </c>
      <c r="BR212" s="80"/>
      <c r="BS212" s="80"/>
    </row>
    <row r="213" spans="12:71" x14ac:dyDescent="0.15">
      <c r="L213" s="61">
        <v>32</v>
      </c>
      <c r="M213" s="80">
        <f>基础状态预期!D225</f>
        <v>125.84855083483956</v>
      </c>
      <c r="N213" s="80">
        <f>IF(基础状态预期!F225="",0,IF(基础状态预期!Z225&lt;=1,基础状态预期!Z225*D$4,1*D$4+(基础状态预期!Z225-1)*武将觉醒!D$5))</f>
        <v>0</v>
      </c>
      <c r="O213" s="80">
        <f>IF(基础状态预期!G225="",0,IF(基础状态预期!AA225&lt;=1,基础状态预期!AA225*E$4,1*E$4+(基础状态预期!AA225-1)*武将觉醒!E$5))</f>
        <v>0</v>
      </c>
      <c r="P213" s="80">
        <f>IF(基础状态预期!H225="",0,IF(基础状态预期!AB225&lt;=1,基础状态预期!AB225*F$4,1*F$4+(基础状态预期!AB225-1)*武将觉醒!F$5))</f>
        <v>0</v>
      </c>
      <c r="Q213" s="80">
        <f>IF(基础状态预期!I225="",0,IF(基础状态预期!AC225&lt;=1,基础状态预期!AC225*G$4,1*G$4+(基础状态预期!AC225-1)*武将觉醒!G$5))</f>
        <v>0</v>
      </c>
      <c r="R213" s="80">
        <f>IF(基础状态预期!J225="",0,IF(基础状态预期!AD225&lt;=1,基础状态预期!AD225*H$4,1*H$4+(基础状态预期!AD225-1)*武将觉醒!H$5))</f>
        <v>2050000</v>
      </c>
      <c r="S213" s="80">
        <f>MAX(SUMPRODUCT(N213:R213,基础状态预期!F225:J225),S212)</f>
        <v>12300000</v>
      </c>
      <c r="T213" s="80">
        <f>IF(基础状态预期!Z225="",0,IFERROR(基础状态预期!F225*求节点($C$62:$C$63,D$62:D$63,基础状态预期!Z225),0)+IFERROR(基础状态预期!$J225*求节点($C$71:$C$72,D$71:D$72,基础状态预期!$AD225),0))</f>
        <v>0</v>
      </c>
      <c r="U213" s="80">
        <f>IF(基础状态预期!AA225="",0,IFERROR(基础状态预期!G225*求节点($C$62:$C$63,E$62:E$63,基础状态预期!AA225),0)+IFERROR(基础状态预期!$J225*求节点($C$71:$C$72,E$71:E$72,基础状态预期!$AD225),0))</f>
        <v>0</v>
      </c>
      <c r="V213" s="80">
        <f>IF(基础状态预期!AB225="",0,IFERROR(基础状态预期!H225*求节点($C$62:$C$63,F$62:F$63,基础状态预期!AB225),0)+IFERROR(基础状态预期!$J225*求节点($C$71:$C$72,F$71:F$72,基础状态预期!$AD225),0))</f>
        <v>0</v>
      </c>
      <c r="W213" s="80">
        <f>IF(基础状态预期!AC225="",0,IFERROR(基础状态预期!I225*求节点($C$62:$C$63,G$62:G$63,基础状态预期!AC225),0)+IFERROR(基础状态预期!$J225*求节点($C$71:$C$72,G$71:G$72,基础状态预期!$AD225),0))</f>
        <v>0</v>
      </c>
      <c r="X213" s="80">
        <f>IF(基础状态预期!AD225="",0,IFERROR(基础状态预期!J225*求节点($C$62:$C$63,H$62:H$63,基础状态预期!AD225),0)+IFERROR(基础状态预期!$J225*求节点($C$71:$C$72,H$71:H$72,基础状态预期!$AD225),0))</f>
        <v>0</v>
      </c>
      <c r="Y213" s="80">
        <f>IF(基础状态预期!$H225="",0,IF(基础状态预期!$AB225&lt;=1,基础状态预期!$AB225*D$18,D$18)*基础状态预期!$H225)+
IF(基础状态预期!$I225="",0,IF(基础状态预期!$AC225&lt;=1,基础状态预期!$AC225*D$19,D$19)*基础状态预期!$I225)+
IF(基础状态预期!$J225="",0,IF(基础状态预期!$AD225&lt;=1,基础状态预期!$AD225*D$20,D$20)*基础状态预期!$J225)</f>
        <v>48</v>
      </c>
      <c r="Z213" s="80">
        <f>IF(基础状态预期!$H225="",0,IF(基础状态预期!$AB225&lt;=1,基础状态预期!$AB225*E$18,E$18)*基础状态预期!$H225)+
IF(基础状态预期!$I225="",0,IF(基础状态预期!$AC225&lt;=1,基础状态预期!$AC225*E$19,E$19)*基础状态预期!$I225)+
IF(基础状态预期!$J225="",0,IF(基础状态预期!$AD225&lt;=1,基础状态预期!$AD225*E$20,E$20)*基础状态预期!$J225)</f>
        <v>0</v>
      </c>
      <c r="AA213" s="80">
        <f>IF(基础状态预期!$H225="",0,IF(基础状态预期!$AB225&lt;=1,基础状态预期!$AB225*F$18,F$18)*基础状态预期!$H225)+
IF(基础状态预期!$I225="",0,IF(基础状态预期!$AC225&lt;=1,基础状态预期!$AC225*F$19,F$19)*基础状态预期!$I225)+
IF(基础状态预期!$J225="",0,IF(基础状态预期!$AD225&lt;=1,基础状态预期!$AD225*F$20,F$20)*基础状态预期!$J225)</f>
        <v>0</v>
      </c>
      <c r="AB213" s="67">
        <f>IF(基础状态预期!$H225="",0,IF(基础状态预期!$AB225&lt;=1,0,(基础状态预期!$AB225-1)*G$26)*基础状态预期!$H225)+
IF(基础状态预期!$I225="",0,IF(基础状态预期!$AC225&lt;=1,0,(基础状态预期!$AC225-1)*G$27)*基础状态预期!$I225)+
IF(基础状态预期!$J225="",0,IF(基础状态预期!$AD225&lt;=1,0,(基础状态预期!$AD225-1)*G$28)*基础状态预期!$J225)</f>
        <v>240</v>
      </c>
      <c r="AC213" s="67">
        <f>IF(基础状态预期!$H225="",0,IF(基础状态预期!$AB225&lt;=1,0,(基础状态预期!$AB225-1)*H$26)*基础状态预期!$H225)+
IF(基础状态预期!$I225="",0,IF(基础状态预期!$AC225&lt;=1,0,(基础状态预期!$AC225-1)*H$27)*基础状态预期!$I225)+
IF(基础状态预期!$J225="",0,IF(基础状态预期!$AD225&lt;=1,0,(基础状态预期!$AD225-1)*H$28)*基础状态预期!$J225)</f>
        <v>0</v>
      </c>
      <c r="AD213" s="67">
        <f>IF(基础状态预期!$H225="",0,IF(基础状态预期!$AB225&lt;=1,0,(基础状态预期!$AB225-1)*I$26)*基础状态预期!$H225)+
IF(基础状态预期!$I225="",0,IF(基础状态预期!$AC225&lt;=1,0,(基础状态预期!$AC225-1)*I$27)*基础状态预期!$I225)+
IF(基础状态预期!$J225="",0,IF(基础状态预期!$AD225&lt;=1,0,(基础状态预期!$AD225-1)*I$28)*基础状态预期!$J225)</f>
        <v>0</v>
      </c>
      <c r="AE213" s="80">
        <f>IF(各r阵容卡情况!$H241=0,0,IF(各r阵容卡情况!$AB241&lt;=1,各r阵容卡情况!$AB241*D$18,1*D$18)*各r阵容卡情况!$H241)+
IF(各r阵容卡情况!$I241=0,0,IF(各r阵容卡情况!$AC241&lt;=1,各r阵容卡情况!$AC241*D$19,1*D$19)*各r阵容卡情况!$I241)+
IF(各r阵容卡情况!$J241=0,0,IF(各r阵容卡情况!$AD241&lt;=1,各r阵容卡情况!$AD241*D$20,1*D$20)*各r阵容卡情况!$J241)</f>
        <v>0</v>
      </c>
      <c r="AF213" s="80">
        <f>IF(各r阵容卡情况!$H241=0,0,IF(各r阵容卡情况!$AB241&lt;=1,各r阵容卡情况!$AB241*E$18,1*E$18)*各r阵容卡情况!$H241)+
IF(各r阵容卡情况!$I241=0,0,IF(各r阵容卡情况!$AC241&lt;=1,各r阵容卡情况!$AC241*E$19,1*E$19)*各r阵容卡情况!$I241)+
IF(各r阵容卡情况!$J241=0,0,IF(各r阵容卡情况!$AD241&lt;=1,各r阵容卡情况!$AD241*E$20,1*E$20)*各r阵容卡情况!$J241)</f>
        <v>0</v>
      </c>
      <c r="AG213" s="80">
        <f>IF(各r阵容卡情况!$H241=0,0,IF(各r阵容卡情况!$AB241&lt;=1,各r阵容卡情况!$AB241*F$18,1*F$18)*各r阵容卡情况!$H241)+
IF(各r阵容卡情况!$I241=0,0,IF(各r阵容卡情况!$AC241&lt;=1,各r阵容卡情况!$AC241*F$19,1*F$19)*各r阵容卡情况!$I241)+
IF(各r阵容卡情况!$J241=0,0,IF(各r阵容卡情况!$AD241&lt;=1,各r阵容卡情况!$AD241*F$20,1*F$20)*各r阵容卡情况!$J241)</f>
        <v>0</v>
      </c>
      <c r="AH213" s="67">
        <f>IF(各r阵容卡情况!$H241=0,0,IF(各r阵容卡情况!$AB241&lt;=1,0,(各r阵容卡情况!$AB241-1)*G$26)*各r阵容卡情况!$H241)+
IF(各r阵容卡情况!$I241=0,0,IF(各r阵容卡情况!$AC241&lt;=1,0,(各r阵容卡情况!$AC241-1)*G$27)*各r阵容卡情况!$I241)+
IF(各r阵容卡情况!$J241=0,0,IF(各r阵容卡情况!$AD241&lt;=1,0,(各r阵容卡情况!$AD241-1)*G$28)*各r阵容卡情况!$J241)</f>
        <v>0</v>
      </c>
      <c r="AI213" s="67">
        <f>IF(各r阵容卡情况!$H241=0,0,IF(各r阵容卡情况!$AB241&lt;=1,0,(各r阵容卡情况!$AB241-1)*H$26)*各r阵容卡情况!$H241)+
IF(各r阵容卡情况!$I241=0,0,IF(各r阵容卡情况!$AC241&lt;=1,0,(各r阵容卡情况!$AC241-1)*H$27)*各r阵容卡情况!$I241)+
IF(各r阵容卡情况!$J241=0,0,IF(各r阵容卡情况!$AD241&lt;=1,0,(各r阵容卡情况!$AD241-1)*H$28)*各r阵容卡情况!$J241)</f>
        <v>0</v>
      </c>
      <c r="AJ213" s="67">
        <f>IF(各r阵容卡情况!$H241=0,0,IF(各r阵容卡情况!$AB241&lt;=1,0,(各r阵容卡情况!$AB241-1)*I$26)*各r阵容卡情况!$H241)+
IF(各r阵容卡情况!$I241=0,0,IF(各r阵容卡情况!$AC241&lt;=1,0,(各r阵容卡情况!$AC241-1)*I$27)*各r阵容卡情况!$I241)+
IF(各r阵容卡情况!$J241=0,0,IF(各r阵容卡情况!$AD241&lt;=1,0,(各r阵容卡情况!$AD241-1)*I$28)*各r阵容卡情况!$J241)</f>
        <v>0</v>
      </c>
      <c r="AL213" s="80">
        <f t="shared" si="170"/>
        <v>150</v>
      </c>
      <c r="AM213" s="80">
        <f t="shared" si="171"/>
        <v>48</v>
      </c>
      <c r="AN213" s="80">
        <f t="shared" si="172"/>
        <v>0</v>
      </c>
      <c r="AO213" s="80">
        <f t="shared" si="173"/>
        <v>0</v>
      </c>
      <c r="AP213" s="80">
        <f t="shared" si="174"/>
        <v>240</v>
      </c>
      <c r="AQ213" s="80">
        <f t="shared" si="175"/>
        <v>0</v>
      </c>
      <c r="AR213" s="80">
        <f t="shared" si="176"/>
        <v>0</v>
      </c>
      <c r="AS213" s="80">
        <f t="shared" si="177"/>
        <v>0</v>
      </c>
      <c r="AT213" s="80">
        <f t="shared" si="178"/>
        <v>0</v>
      </c>
      <c r="AU213" s="80">
        <f t="shared" si="179"/>
        <v>0</v>
      </c>
      <c r="AV213" s="80">
        <f t="shared" si="180"/>
        <v>0</v>
      </c>
      <c r="AW213" s="80">
        <f t="shared" si="181"/>
        <v>0</v>
      </c>
      <c r="AX213" s="80">
        <f t="shared" si="182"/>
        <v>0</v>
      </c>
      <c r="AY213" s="61" t="e">
        <f>SUMPRODUCT(AM213:AR213/'[1]功能-行军令'!$GI$26:$GN$26+AS213:AX213/'[1]功能-行军令'!$GI$26:$GN$26)/0.18</f>
        <v>#DIV/0!</v>
      </c>
      <c r="BO213" s="80">
        <f t="shared" si="168"/>
        <v>129.43528964176323</v>
      </c>
      <c r="BP213" s="80">
        <f t="shared" si="169"/>
        <v>12300000</v>
      </c>
      <c r="BQ213" s="80">
        <f>(BP213-BP212)*INDEX('[1]功能-付费相关'!$AU$6:$AU$165,$BO213,1)+BQ212</f>
        <v>16450.938733882616</v>
      </c>
      <c r="BR213" s="80"/>
      <c r="BS213" s="80"/>
    </row>
    <row r="214" spans="12:71" x14ac:dyDescent="0.15">
      <c r="L214" s="61">
        <v>33</v>
      </c>
      <c r="M214" s="80">
        <f>基础状态预期!D226</f>
        <v>129.43528964176323</v>
      </c>
      <c r="N214" s="80">
        <f>IF(基础状态预期!F226="",0,IF(基础状态预期!Z226&lt;=1,基础状态预期!Z226*D$4,1*D$4+(基础状态预期!Z226-1)*武将觉醒!D$5))</f>
        <v>0</v>
      </c>
      <c r="O214" s="80">
        <f>IF(基础状态预期!G226="",0,IF(基础状态预期!AA226&lt;=1,基础状态预期!AA226*E$4,1*E$4+(基础状态预期!AA226-1)*武将觉醒!E$5))</f>
        <v>0</v>
      </c>
      <c r="P214" s="80">
        <f>IF(基础状态预期!H226="",0,IF(基础状态预期!AB226&lt;=1,基础状态预期!AB226*F$4,1*F$4+(基础状态预期!AB226-1)*武将觉醒!F$5))</f>
        <v>0</v>
      </c>
      <c r="Q214" s="80">
        <f>IF(基础状态预期!I226="",0,IF(基础状态预期!AC226&lt;=1,基础状态预期!AC226*G$4,1*G$4+(基础状态预期!AC226-1)*武将觉醒!G$5))</f>
        <v>0</v>
      </c>
      <c r="R214" s="80">
        <f>IF(基础状态预期!J226="",0,IF(基础状态预期!AD226&lt;=1,基础状态预期!AD226*H$4,1*H$4+(基础状态预期!AD226-1)*武将觉醒!H$5))</f>
        <v>2050000</v>
      </c>
      <c r="S214" s="80">
        <f>MAX(SUMPRODUCT(N214:R214,基础状态预期!F226:J226),S213)</f>
        <v>12300000</v>
      </c>
      <c r="T214" s="80">
        <f>IF(基础状态预期!Z226="",0,IFERROR(基础状态预期!F226*求节点($C$62:$C$63,D$62:D$63,基础状态预期!Z226),0)+IFERROR(基础状态预期!$J226*求节点($C$71:$C$72,D$71:D$72,基础状态预期!$AD226),0))</f>
        <v>0</v>
      </c>
      <c r="U214" s="80">
        <f>IF(基础状态预期!AA226="",0,IFERROR(基础状态预期!G226*求节点($C$62:$C$63,E$62:E$63,基础状态预期!AA226),0)+IFERROR(基础状态预期!$J226*求节点($C$71:$C$72,E$71:E$72,基础状态预期!$AD226),0))</f>
        <v>0</v>
      </c>
      <c r="V214" s="80">
        <f>IF(基础状态预期!AB226="",0,IFERROR(基础状态预期!H226*求节点($C$62:$C$63,F$62:F$63,基础状态预期!AB226),0)+IFERROR(基础状态预期!$J226*求节点($C$71:$C$72,F$71:F$72,基础状态预期!$AD226),0))</f>
        <v>0</v>
      </c>
      <c r="W214" s="80">
        <f>IF(基础状态预期!AC226="",0,IFERROR(基础状态预期!I226*求节点($C$62:$C$63,G$62:G$63,基础状态预期!AC226),0)+IFERROR(基础状态预期!$J226*求节点($C$71:$C$72,G$71:G$72,基础状态预期!$AD226),0))</f>
        <v>0</v>
      </c>
      <c r="X214" s="80">
        <f>IF(基础状态预期!AD226="",0,IFERROR(基础状态预期!J226*求节点($C$62:$C$63,H$62:H$63,基础状态预期!AD226),0)+IFERROR(基础状态预期!$J226*求节点($C$71:$C$72,H$71:H$72,基础状态预期!$AD226),0))</f>
        <v>0</v>
      </c>
      <c r="Y214" s="80">
        <f>IF(基础状态预期!$H226="",0,IF(基础状态预期!$AB226&lt;=1,基础状态预期!$AB226*D$18,D$18)*基础状态预期!$H226)+
IF(基础状态预期!$I226="",0,IF(基础状态预期!$AC226&lt;=1,基础状态预期!$AC226*D$19,D$19)*基础状态预期!$I226)+
IF(基础状态预期!$J226="",0,IF(基础状态预期!$AD226&lt;=1,基础状态预期!$AD226*D$20,D$20)*基础状态预期!$J226)</f>
        <v>48</v>
      </c>
      <c r="Z214" s="80">
        <f>IF(基础状态预期!$H226="",0,IF(基础状态预期!$AB226&lt;=1,基础状态预期!$AB226*E$18,E$18)*基础状态预期!$H226)+
IF(基础状态预期!$I226="",0,IF(基础状态预期!$AC226&lt;=1,基础状态预期!$AC226*E$19,E$19)*基础状态预期!$I226)+
IF(基础状态预期!$J226="",0,IF(基础状态预期!$AD226&lt;=1,基础状态预期!$AD226*E$20,E$20)*基础状态预期!$J226)</f>
        <v>0</v>
      </c>
      <c r="AA214" s="80">
        <f>IF(基础状态预期!$H226="",0,IF(基础状态预期!$AB226&lt;=1,基础状态预期!$AB226*F$18,F$18)*基础状态预期!$H226)+
IF(基础状态预期!$I226="",0,IF(基础状态预期!$AC226&lt;=1,基础状态预期!$AC226*F$19,F$19)*基础状态预期!$I226)+
IF(基础状态预期!$J226="",0,IF(基础状态预期!$AD226&lt;=1,基础状态预期!$AD226*F$20,F$20)*基础状态预期!$J226)</f>
        <v>0</v>
      </c>
      <c r="AB214" s="67">
        <f>IF(基础状态预期!$H226="",0,IF(基础状态预期!$AB226&lt;=1,0,(基础状态预期!$AB226-1)*G$26)*基础状态预期!$H226)+
IF(基础状态预期!$I226="",0,IF(基础状态预期!$AC226&lt;=1,0,(基础状态预期!$AC226-1)*G$27)*基础状态预期!$I226)+
IF(基础状态预期!$J226="",0,IF(基础状态预期!$AD226&lt;=1,0,(基础状态预期!$AD226-1)*G$28)*基础状态预期!$J226)</f>
        <v>240</v>
      </c>
      <c r="AC214" s="67">
        <f>IF(基础状态预期!$H226="",0,IF(基础状态预期!$AB226&lt;=1,0,(基础状态预期!$AB226-1)*H$26)*基础状态预期!$H226)+
IF(基础状态预期!$I226="",0,IF(基础状态预期!$AC226&lt;=1,0,(基础状态预期!$AC226-1)*H$27)*基础状态预期!$I226)+
IF(基础状态预期!$J226="",0,IF(基础状态预期!$AD226&lt;=1,0,(基础状态预期!$AD226-1)*H$28)*基础状态预期!$J226)</f>
        <v>0</v>
      </c>
      <c r="AD214" s="67">
        <f>IF(基础状态预期!$H226="",0,IF(基础状态预期!$AB226&lt;=1,0,(基础状态预期!$AB226-1)*I$26)*基础状态预期!$H226)+
IF(基础状态预期!$I226="",0,IF(基础状态预期!$AC226&lt;=1,0,(基础状态预期!$AC226-1)*I$27)*基础状态预期!$I226)+
IF(基础状态预期!$J226="",0,IF(基础状态预期!$AD226&lt;=1,0,(基础状态预期!$AD226-1)*I$28)*基础状态预期!$J226)</f>
        <v>0</v>
      </c>
      <c r="AE214" s="80">
        <f>IF(各r阵容卡情况!$H242=0,0,IF(各r阵容卡情况!$AB242&lt;=1,各r阵容卡情况!$AB242*D$18,1*D$18)*各r阵容卡情况!$H242)+
IF(各r阵容卡情况!$I242=0,0,IF(各r阵容卡情况!$AC242&lt;=1,各r阵容卡情况!$AC242*D$19,1*D$19)*各r阵容卡情况!$I242)+
IF(各r阵容卡情况!$J242=0,0,IF(各r阵容卡情况!$AD242&lt;=1,各r阵容卡情况!$AD242*D$20,1*D$20)*各r阵容卡情况!$J242)</f>
        <v>0</v>
      </c>
      <c r="AF214" s="80">
        <f>IF(各r阵容卡情况!$H242=0,0,IF(各r阵容卡情况!$AB242&lt;=1,各r阵容卡情况!$AB242*E$18,1*E$18)*各r阵容卡情况!$H242)+
IF(各r阵容卡情况!$I242=0,0,IF(各r阵容卡情况!$AC242&lt;=1,各r阵容卡情况!$AC242*E$19,1*E$19)*各r阵容卡情况!$I242)+
IF(各r阵容卡情况!$J242=0,0,IF(各r阵容卡情况!$AD242&lt;=1,各r阵容卡情况!$AD242*E$20,1*E$20)*各r阵容卡情况!$J242)</f>
        <v>0</v>
      </c>
      <c r="AG214" s="80">
        <f>IF(各r阵容卡情况!$H242=0,0,IF(各r阵容卡情况!$AB242&lt;=1,各r阵容卡情况!$AB242*F$18,1*F$18)*各r阵容卡情况!$H242)+
IF(各r阵容卡情况!$I242=0,0,IF(各r阵容卡情况!$AC242&lt;=1,各r阵容卡情况!$AC242*F$19,1*F$19)*各r阵容卡情况!$I242)+
IF(各r阵容卡情况!$J242=0,0,IF(各r阵容卡情况!$AD242&lt;=1,各r阵容卡情况!$AD242*F$20,1*F$20)*各r阵容卡情况!$J242)</f>
        <v>0</v>
      </c>
      <c r="AH214" s="67">
        <f>IF(各r阵容卡情况!$H242=0,0,IF(各r阵容卡情况!$AB242&lt;=1,0,(各r阵容卡情况!$AB242-1)*G$26)*各r阵容卡情况!$H242)+
IF(各r阵容卡情况!$I242=0,0,IF(各r阵容卡情况!$AC242&lt;=1,0,(各r阵容卡情况!$AC242-1)*G$27)*各r阵容卡情况!$I242)+
IF(各r阵容卡情况!$J242=0,0,IF(各r阵容卡情况!$AD242&lt;=1,0,(各r阵容卡情况!$AD242-1)*G$28)*各r阵容卡情况!$J242)</f>
        <v>0</v>
      </c>
      <c r="AI214" s="67">
        <f>IF(各r阵容卡情况!$H242=0,0,IF(各r阵容卡情况!$AB242&lt;=1,0,(各r阵容卡情况!$AB242-1)*H$26)*各r阵容卡情况!$H242)+
IF(各r阵容卡情况!$I242=0,0,IF(各r阵容卡情况!$AC242&lt;=1,0,(各r阵容卡情况!$AC242-1)*H$27)*各r阵容卡情况!$I242)+
IF(各r阵容卡情况!$J242=0,0,IF(各r阵容卡情况!$AD242&lt;=1,0,(各r阵容卡情况!$AD242-1)*H$28)*各r阵容卡情况!$J242)</f>
        <v>0</v>
      </c>
      <c r="AJ214" s="67">
        <f>IF(各r阵容卡情况!$H242=0,0,IF(各r阵容卡情况!$AB242&lt;=1,0,(各r阵容卡情况!$AB242-1)*I$26)*各r阵容卡情况!$H242)+
IF(各r阵容卡情况!$I242=0,0,IF(各r阵容卡情况!$AC242&lt;=1,0,(各r阵容卡情况!$AC242-1)*I$27)*各r阵容卡情况!$I242)+
IF(各r阵容卡情况!$J242=0,0,IF(各r阵容卡情况!$AD242&lt;=1,0,(各r阵容卡情况!$AD242-1)*I$28)*各r阵容卡情况!$J242)</f>
        <v>0</v>
      </c>
      <c r="AL214" s="80">
        <f t="shared" si="170"/>
        <v>155</v>
      </c>
      <c r="AM214" s="80">
        <f t="shared" si="171"/>
        <v>48</v>
      </c>
      <c r="AN214" s="80">
        <f t="shared" si="172"/>
        <v>0</v>
      </c>
      <c r="AO214" s="80">
        <f t="shared" si="173"/>
        <v>0</v>
      </c>
      <c r="AP214" s="80">
        <f t="shared" si="174"/>
        <v>240</v>
      </c>
      <c r="AQ214" s="80">
        <f t="shared" si="175"/>
        <v>0</v>
      </c>
      <c r="AR214" s="80">
        <f t="shared" si="176"/>
        <v>0</v>
      </c>
      <c r="AS214" s="80">
        <f t="shared" si="177"/>
        <v>0</v>
      </c>
      <c r="AT214" s="80">
        <f t="shared" si="178"/>
        <v>0</v>
      </c>
      <c r="AU214" s="80">
        <f t="shared" si="179"/>
        <v>0</v>
      </c>
      <c r="AV214" s="80">
        <f t="shared" si="180"/>
        <v>0</v>
      </c>
      <c r="AW214" s="80">
        <f t="shared" si="181"/>
        <v>0</v>
      </c>
      <c r="AX214" s="80">
        <f t="shared" si="182"/>
        <v>0</v>
      </c>
      <c r="AY214" s="61" t="e">
        <f>SUMPRODUCT(AM214:AR214/'[1]功能-行军令'!$GI$26:$GN$26+AS214:AX214/'[1]功能-行军令'!$GI$26:$GN$26)/0.18</f>
        <v>#DIV/0!</v>
      </c>
      <c r="BO214" s="80">
        <f t="shared" si="168"/>
        <v>133.03192104200832</v>
      </c>
      <c r="BP214" s="80">
        <f t="shared" si="169"/>
        <v>12300000</v>
      </c>
      <c r="BQ214" s="80">
        <f>(BP214-BP213)*INDEX('[1]功能-付费相关'!$AU$6:$AU$165,$BO214,1)+BQ213</f>
        <v>16450.938733882616</v>
      </c>
      <c r="BR214" s="80"/>
      <c r="BS214" s="80"/>
    </row>
    <row r="215" spans="12:71" x14ac:dyDescent="0.15">
      <c r="L215" s="61">
        <v>34</v>
      </c>
      <c r="M215" s="80">
        <f>基础状态预期!D227</f>
        <v>133.03192104200832</v>
      </c>
      <c r="N215" s="80">
        <f>IF(基础状态预期!F227="",0,IF(基础状态预期!Z227&lt;=1,基础状态预期!Z227*D$4,1*D$4+(基础状态预期!Z227-1)*武将觉醒!D$5))</f>
        <v>0</v>
      </c>
      <c r="O215" s="80">
        <f>IF(基础状态预期!G227="",0,IF(基础状态预期!AA227&lt;=1,基础状态预期!AA227*E$4,1*E$4+(基础状态预期!AA227-1)*武将觉醒!E$5))</f>
        <v>0</v>
      </c>
      <c r="P215" s="80">
        <f>IF(基础状态预期!H227="",0,IF(基础状态预期!AB227&lt;=1,基础状态预期!AB227*F$4,1*F$4+(基础状态预期!AB227-1)*武将觉醒!F$5))</f>
        <v>0</v>
      </c>
      <c r="Q215" s="80">
        <f>IF(基础状态预期!I227="",0,IF(基础状态预期!AC227&lt;=1,基础状态预期!AC227*G$4,1*G$4+(基础状态预期!AC227-1)*武将觉醒!G$5))</f>
        <v>0</v>
      </c>
      <c r="R215" s="80">
        <f>IF(基础状态预期!J227="",0,IF(基础状态预期!AD227&lt;=1,基础状态预期!AD227*H$4,1*H$4+(基础状态预期!AD227-1)*武将觉醒!H$5))</f>
        <v>2050000</v>
      </c>
      <c r="S215" s="80">
        <f>MAX(SUMPRODUCT(N215:R215,基础状态预期!F227:J227),S214)</f>
        <v>12300000</v>
      </c>
      <c r="T215" s="80">
        <f>IF(基础状态预期!Z227="",0,IFERROR(基础状态预期!F227*求节点($C$62:$C$63,D$62:D$63,基础状态预期!Z227),0)+IFERROR(基础状态预期!$J227*求节点($C$71:$C$72,D$71:D$72,基础状态预期!$AD227),0))</f>
        <v>0</v>
      </c>
      <c r="U215" s="80">
        <f>IF(基础状态预期!AA227="",0,IFERROR(基础状态预期!G227*求节点($C$62:$C$63,E$62:E$63,基础状态预期!AA227),0)+IFERROR(基础状态预期!$J227*求节点($C$71:$C$72,E$71:E$72,基础状态预期!$AD227),0))</f>
        <v>0</v>
      </c>
      <c r="V215" s="80">
        <f>IF(基础状态预期!AB227="",0,IFERROR(基础状态预期!H227*求节点($C$62:$C$63,F$62:F$63,基础状态预期!AB227),0)+IFERROR(基础状态预期!$J227*求节点($C$71:$C$72,F$71:F$72,基础状态预期!$AD227),0))</f>
        <v>0</v>
      </c>
      <c r="W215" s="80">
        <f>IF(基础状态预期!AC227="",0,IFERROR(基础状态预期!I227*求节点($C$62:$C$63,G$62:G$63,基础状态预期!AC227),0)+IFERROR(基础状态预期!$J227*求节点($C$71:$C$72,G$71:G$72,基础状态预期!$AD227),0))</f>
        <v>0</v>
      </c>
      <c r="X215" s="80">
        <f>IF(基础状态预期!AD227="",0,IFERROR(基础状态预期!J227*求节点($C$62:$C$63,H$62:H$63,基础状态预期!AD227),0)+IFERROR(基础状态预期!$J227*求节点($C$71:$C$72,H$71:H$72,基础状态预期!$AD227),0))</f>
        <v>0</v>
      </c>
      <c r="Y215" s="80">
        <f>IF(基础状态预期!$H227="",0,IF(基础状态预期!$AB227&lt;=1,基础状态预期!$AB227*D$18,D$18)*基础状态预期!$H227)+
IF(基础状态预期!$I227="",0,IF(基础状态预期!$AC227&lt;=1,基础状态预期!$AC227*D$19,D$19)*基础状态预期!$I227)+
IF(基础状态预期!$J227="",0,IF(基础状态预期!$AD227&lt;=1,基础状态预期!$AD227*D$20,D$20)*基础状态预期!$J227)</f>
        <v>48</v>
      </c>
      <c r="Z215" s="80">
        <f>IF(基础状态预期!$H227="",0,IF(基础状态预期!$AB227&lt;=1,基础状态预期!$AB227*E$18,E$18)*基础状态预期!$H227)+
IF(基础状态预期!$I227="",0,IF(基础状态预期!$AC227&lt;=1,基础状态预期!$AC227*E$19,E$19)*基础状态预期!$I227)+
IF(基础状态预期!$J227="",0,IF(基础状态预期!$AD227&lt;=1,基础状态预期!$AD227*E$20,E$20)*基础状态预期!$J227)</f>
        <v>0</v>
      </c>
      <c r="AA215" s="80">
        <f>IF(基础状态预期!$H227="",0,IF(基础状态预期!$AB227&lt;=1,基础状态预期!$AB227*F$18,F$18)*基础状态预期!$H227)+
IF(基础状态预期!$I227="",0,IF(基础状态预期!$AC227&lt;=1,基础状态预期!$AC227*F$19,F$19)*基础状态预期!$I227)+
IF(基础状态预期!$J227="",0,IF(基础状态预期!$AD227&lt;=1,基础状态预期!$AD227*F$20,F$20)*基础状态预期!$J227)</f>
        <v>0</v>
      </c>
      <c r="AB215" s="67">
        <f>IF(基础状态预期!$H227="",0,IF(基础状态预期!$AB227&lt;=1,0,(基础状态预期!$AB227-1)*G$26)*基础状态预期!$H227)+
IF(基础状态预期!$I227="",0,IF(基础状态预期!$AC227&lt;=1,0,(基础状态预期!$AC227-1)*G$27)*基础状态预期!$I227)+
IF(基础状态预期!$J227="",0,IF(基础状态预期!$AD227&lt;=1,0,(基础状态预期!$AD227-1)*G$28)*基础状态预期!$J227)</f>
        <v>240</v>
      </c>
      <c r="AC215" s="67">
        <f>IF(基础状态预期!$H227="",0,IF(基础状态预期!$AB227&lt;=1,0,(基础状态预期!$AB227-1)*H$26)*基础状态预期!$H227)+
IF(基础状态预期!$I227="",0,IF(基础状态预期!$AC227&lt;=1,0,(基础状态预期!$AC227-1)*H$27)*基础状态预期!$I227)+
IF(基础状态预期!$J227="",0,IF(基础状态预期!$AD227&lt;=1,0,(基础状态预期!$AD227-1)*H$28)*基础状态预期!$J227)</f>
        <v>0</v>
      </c>
      <c r="AD215" s="67">
        <f>IF(基础状态预期!$H227="",0,IF(基础状态预期!$AB227&lt;=1,0,(基础状态预期!$AB227-1)*I$26)*基础状态预期!$H227)+
IF(基础状态预期!$I227="",0,IF(基础状态预期!$AC227&lt;=1,0,(基础状态预期!$AC227-1)*I$27)*基础状态预期!$I227)+
IF(基础状态预期!$J227="",0,IF(基础状态预期!$AD227&lt;=1,0,(基础状态预期!$AD227-1)*I$28)*基础状态预期!$J227)</f>
        <v>0</v>
      </c>
      <c r="AE215" s="80">
        <f>IF(各r阵容卡情况!$H243=0,0,IF(各r阵容卡情况!$AB243&lt;=1,各r阵容卡情况!$AB243*D$18,1*D$18)*各r阵容卡情况!$H243)+
IF(各r阵容卡情况!$I243=0,0,IF(各r阵容卡情况!$AC243&lt;=1,各r阵容卡情况!$AC243*D$19,1*D$19)*各r阵容卡情况!$I243)+
IF(各r阵容卡情况!$J243=0,0,IF(各r阵容卡情况!$AD243&lt;=1,各r阵容卡情况!$AD243*D$20,1*D$20)*各r阵容卡情况!$J243)</f>
        <v>0</v>
      </c>
      <c r="AF215" s="80">
        <f>IF(各r阵容卡情况!$H243=0,0,IF(各r阵容卡情况!$AB243&lt;=1,各r阵容卡情况!$AB243*E$18,1*E$18)*各r阵容卡情况!$H243)+
IF(各r阵容卡情况!$I243=0,0,IF(各r阵容卡情况!$AC243&lt;=1,各r阵容卡情况!$AC243*E$19,1*E$19)*各r阵容卡情况!$I243)+
IF(各r阵容卡情况!$J243=0,0,IF(各r阵容卡情况!$AD243&lt;=1,各r阵容卡情况!$AD243*E$20,1*E$20)*各r阵容卡情况!$J243)</f>
        <v>0</v>
      </c>
      <c r="AG215" s="80">
        <f>IF(各r阵容卡情况!$H243=0,0,IF(各r阵容卡情况!$AB243&lt;=1,各r阵容卡情况!$AB243*F$18,1*F$18)*各r阵容卡情况!$H243)+
IF(各r阵容卡情况!$I243=0,0,IF(各r阵容卡情况!$AC243&lt;=1,各r阵容卡情况!$AC243*F$19,1*F$19)*各r阵容卡情况!$I243)+
IF(各r阵容卡情况!$J243=0,0,IF(各r阵容卡情况!$AD243&lt;=1,各r阵容卡情况!$AD243*F$20,1*F$20)*各r阵容卡情况!$J243)</f>
        <v>0</v>
      </c>
      <c r="AH215" s="67">
        <f>IF(各r阵容卡情况!$H243=0,0,IF(各r阵容卡情况!$AB243&lt;=1,0,(各r阵容卡情况!$AB243-1)*G$26)*各r阵容卡情况!$H243)+
IF(各r阵容卡情况!$I243=0,0,IF(各r阵容卡情况!$AC243&lt;=1,0,(各r阵容卡情况!$AC243-1)*G$27)*各r阵容卡情况!$I243)+
IF(各r阵容卡情况!$J243=0,0,IF(各r阵容卡情况!$AD243&lt;=1,0,(各r阵容卡情况!$AD243-1)*G$28)*各r阵容卡情况!$J243)</f>
        <v>0</v>
      </c>
      <c r="AI215" s="67">
        <f>IF(各r阵容卡情况!$H243=0,0,IF(各r阵容卡情况!$AB243&lt;=1,0,(各r阵容卡情况!$AB243-1)*H$26)*各r阵容卡情况!$H243)+
IF(各r阵容卡情况!$I243=0,0,IF(各r阵容卡情况!$AC243&lt;=1,0,(各r阵容卡情况!$AC243-1)*H$27)*各r阵容卡情况!$I243)+
IF(各r阵容卡情况!$J243=0,0,IF(各r阵容卡情况!$AD243&lt;=1,0,(各r阵容卡情况!$AD243-1)*H$28)*各r阵容卡情况!$J243)</f>
        <v>0</v>
      </c>
      <c r="AJ215" s="67">
        <f>IF(各r阵容卡情况!$H243=0,0,IF(各r阵容卡情况!$AB243&lt;=1,0,(各r阵容卡情况!$AB243-1)*I$26)*各r阵容卡情况!$H243)+
IF(各r阵容卡情况!$I243=0,0,IF(各r阵容卡情况!$AC243&lt;=1,0,(各r阵容卡情况!$AC243-1)*I$27)*各r阵容卡情况!$I243)+
IF(各r阵容卡情况!$J243=0,0,IF(各r阵容卡情况!$AD243&lt;=1,0,(各r阵容卡情况!$AD243-1)*I$28)*各r阵容卡情况!$J243)</f>
        <v>0</v>
      </c>
      <c r="AL215" s="80">
        <f t="shared" si="170"/>
        <v>160</v>
      </c>
      <c r="AM215" s="80">
        <f t="shared" si="171"/>
        <v>48</v>
      </c>
      <c r="AN215" s="80">
        <f t="shared" si="172"/>
        <v>0</v>
      </c>
      <c r="AO215" s="80">
        <f t="shared" si="173"/>
        <v>0</v>
      </c>
      <c r="AP215" s="80">
        <f t="shared" si="174"/>
        <v>240</v>
      </c>
      <c r="AQ215" s="80">
        <f t="shared" si="175"/>
        <v>0</v>
      </c>
      <c r="AR215" s="80">
        <f t="shared" si="176"/>
        <v>0</v>
      </c>
      <c r="AS215" s="80">
        <f t="shared" si="177"/>
        <v>0</v>
      </c>
      <c r="AT215" s="80">
        <f t="shared" si="178"/>
        <v>0</v>
      </c>
      <c r="AU215" s="80">
        <f t="shared" si="179"/>
        <v>0</v>
      </c>
      <c r="AV215" s="80">
        <f t="shared" si="180"/>
        <v>0</v>
      </c>
      <c r="AW215" s="80">
        <f t="shared" si="181"/>
        <v>0</v>
      </c>
      <c r="AX215" s="80">
        <f t="shared" si="182"/>
        <v>0</v>
      </c>
      <c r="AY215" s="61" t="e">
        <f>SUMPRODUCT(AM215:AR215/'[1]功能-行军令'!$GI$26:$GN$26+AS215:AX215/'[1]功能-行军令'!$GI$26:$GN$26)/0.18</f>
        <v>#DIV/0!</v>
      </c>
      <c r="BO215" s="80">
        <f t="shared" si="168"/>
        <v>136.45508882162355</v>
      </c>
      <c r="BP215" s="80">
        <f t="shared" si="169"/>
        <v>12300000</v>
      </c>
      <c r="BQ215" s="80">
        <f>(BP215-BP214)*INDEX('[1]功能-付费相关'!$AU$6:$AU$165,$BO215,1)+BQ214</f>
        <v>16450.938733882616</v>
      </c>
      <c r="BR215" s="80"/>
      <c r="BS215" s="80"/>
    </row>
    <row r="216" spans="12:71" x14ac:dyDescent="0.15">
      <c r="L216" s="61">
        <v>35</v>
      </c>
      <c r="M216" s="80">
        <f>基础状态预期!D228</f>
        <v>136.45508882162355</v>
      </c>
      <c r="N216" s="80">
        <f>IF(基础状态预期!F228="",0,IF(基础状态预期!Z228&lt;=1,基础状态预期!Z228*D$4,1*D$4+(基础状态预期!Z228-1)*武将觉醒!D$5))</f>
        <v>0</v>
      </c>
      <c r="O216" s="80">
        <f>IF(基础状态预期!G228="",0,IF(基础状态预期!AA228&lt;=1,基础状态预期!AA228*E$4,1*E$4+(基础状态预期!AA228-1)*武将觉醒!E$5))</f>
        <v>0</v>
      </c>
      <c r="P216" s="80">
        <f>IF(基础状态预期!H228="",0,IF(基础状态预期!AB228&lt;=1,基础状态预期!AB228*F$4,1*F$4+(基础状态预期!AB228-1)*武将觉醒!F$5))</f>
        <v>0</v>
      </c>
      <c r="Q216" s="80">
        <f>IF(基础状态预期!I228="",0,IF(基础状态预期!AC228&lt;=1,基础状态预期!AC228*G$4,1*G$4+(基础状态预期!AC228-1)*武将觉醒!G$5))</f>
        <v>0</v>
      </c>
      <c r="R216" s="80">
        <f>IF(基础状态预期!J228="",0,IF(基础状态预期!AD228&lt;=1,基础状态预期!AD228*H$4,1*H$4+(基础状态预期!AD228-1)*武将觉醒!H$5))</f>
        <v>2050000</v>
      </c>
      <c r="S216" s="80">
        <f>MAX(SUMPRODUCT(N216:R216,基础状态预期!F228:J228),S215)</f>
        <v>12300000</v>
      </c>
      <c r="T216" s="80">
        <f>IF(基础状态预期!Z228="",0,IFERROR(基础状态预期!F228*求节点($C$62:$C$63,D$62:D$63,基础状态预期!Z228),0)+IFERROR(基础状态预期!$J228*求节点($C$71:$C$72,D$71:D$72,基础状态预期!$AD228),0))</f>
        <v>0</v>
      </c>
      <c r="U216" s="80">
        <f>IF(基础状态预期!AA228="",0,IFERROR(基础状态预期!G228*求节点($C$62:$C$63,E$62:E$63,基础状态预期!AA228),0)+IFERROR(基础状态预期!$J228*求节点($C$71:$C$72,E$71:E$72,基础状态预期!$AD228),0))</f>
        <v>0</v>
      </c>
      <c r="V216" s="80">
        <f>IF(基础状态预期!AB228="",0,IFERROR(基础状态预期!H228*求节点($C$62:$C$63,F$62:F$63,基础状态预期!AB228),0)+IFERROR(基础状态预期!$J228*求节点($C$71:$C$72,F$71:F$72,基础状态预期!$AD228),0))</f>
        <v>0</v>
      </c>
      <c r="W216" s="80">
        <f>IF(基础状态预期!AC228="",0,IFERROR(基础状态预期!I228*求节点($C$62:$C$63,G$62:G$63,基础状态预期!AC228),0)+IFERROR(基础状态预期!$J228*求节点($C$71:$C$72,G$71:G$72,基础状态预期!$AD228),0))</f>
        <v>0</v>
      </c>
      <c r="X216" s="80">
        <f>IF(基础状态预期!AD228="",0,IFERROR(基础状态预期!J228*求节点($C$62:$C$63,H$62:H$63,基础状态预期!AD228),0)+IFERROR(基础状态预期!$J228*求节点($C$71:$C$72,H$71:H$72,基础状态预期!$AD228),0))</f>
        <v>0</v>
      </c>
      <c r="Y216" s="80">
        <f>IF(基础状态预期!$H228="",0,IF(基础状态预期!$AB228&lt;=1,基础状态预期!$AB228*D$18,D$18)*基础状态预期!$H228)+
IF(基础状态预期!$I228="",0,IF(基础状态预期!$AC228&lt;=1,基础状态预期!$AC228*D$19,D$19)*基础状态预期!$I228)+
IF(基础状态预期!$J228="",0,IF(基础状态预期!$AD228&lt;=1,基础状态预期!$AD228*D$20,D$20)*基础状态预期!$J228)</f>
        <v>48</v>
      </c>
      <c r="Z216" s="80">
        <f>IF(基础状态预期!$H228="",0,IF(基础状态预期!$AB228&lt;=1,基础状态预期!$AB228*E$18,E$18)*基础状态预期!$H228)+
IF(基础状态预期!$I228="",0,IF(基础状态预期!$AC228&lt;=1,基础状态预期!$AC228*E$19,E$19)*基础状态预期!$I228)+
IF(基础状态预期!$J228="",0,IF(基础状态预期!$AD228&lt;=1,基础状态预期!$AD228*E$20,E$20)*基础状态预期!$J228)</f>
        <v>0</v>
      </c>
      <c r="AA216" s="80">
        <f>IF(基础状态预期!$H228="",0,IF(基础状态预期!$AB228&lt;=1,基础状态预期!$AB228*F$18,F$18)*基础状态预期!$H228)+
IF(基础状态预期!$I228="",0,IF(基础状态预期!$AC228&lt;=1,基础状态预期!$AC228*F$19,F$19)*基础状态预期!$I228)+
IF(基础状态预期!$J228="",0,IF(基础状态预期!$AD228&lt;=1,基础状态预期!$AD228*F$20,F$20)*基础状态预期!$J228)</f>
        <v>0</v>
      </c>
      <c r="AB216" s="67">
        <f>IF(基础状态预期!$H228="",0,IF(基础状态预期!$AB228&lt;=1,0,(基础状态预期!$AB228-1)*G$26)*基础状态预期!$H228)+
IF(基础状态预期!$I228="",0,IF(基础状态预期!$AC228&lt;=1,0,(基础状态预期!$AC228-1)*G$27)*基础状态预期!$I228)+
IF(基础状态预期!$J228="",0,IF(基础状态预期!$AD228&lt;=1,0,(基础状态预期!$AD228-1)*G$28)*基础状态预期!$J228)</f>
        <v>240</v>
      </c>
      <c r="AC216" s="67">
        <f>IF(基础状态预期!$H228="",0,IF(基础状态预期!$AB228&lt;=1,0,(基础状态预期!$AB228-1)*H$26)*基础状态预期!$H228)+
IF(基础状态预期!$I228="",0,IF(基础状态预期!$AC228&lt;=1,0,(基础状态预期!$AC228-1)*H$27)*基础状态预期!$I228)+
IF(基础状态预期!$J228="",0,IF(基础状态预期!$AD228&lt;=1,0,(基础状态预期!$AD228-1)*H$28)*基础状态预期!$J228)</f>
        <v>0</v>
      </c>
      <c r="AD216" s="67">
        <f>IF(基础状态预期!$H228="",0,IF(基础状态预期!$AB228&lt;=1,0,(基础状态预期!$AB228-1)*I$26)*基础状态预期!$H228)+
IF(基础状态预期!$I228="",0,IF(基础状态预期!$AC228&lt;=1,0,(基础状态预期!$AC228-1)*I$27)*基础状态预期!$I228)+
IF(基础状态预期!$J228="",0,IF(基础状态预期!$AD228&lt;=1,0,(基础状态预期!$AD228-1)*I$28)*基础状态预期!$J228)</f>
        <v>0</v>
      </c>
      <c r="AE216" s="80">
        <f>IF(各r阵容卡情况!$H244=0,0,IF(各r阵容卡情况!$AB244&lt;=1,各r阵容卡情况!$AB244*D$18,1*D$18)*各r阵容卡情况!$H244)+
IF(各r阵容卡情况!$I244=0,0,IF(各r阵容卡情况!$AC244&lt;=1,各r阵容卡情况!$AC244*D$19,1*D$19)*各r阵容卡情况!$I244)+
IF(各r阵容卡情况!$J244=0,0,IF(各r阵容卡情况!$AD244&lt;=1,各r阵容卡情况!$AD244*D$20,1*D$20)*各r阵容卡情况!$J244)</f>
        <v>0</v>
      </c>
      <c r="AF216" s="80">
        <f>IF(各r阵容卡情况!$H244=0,0,IF(各r阵容卡情况!$AB244&lt;=1,各r阵容卡情况!$AB244*E$18,1*E$18)*各r阵容卡情况!$H244)+
IF(各r阵容卡情况!$I244=0,0,IF(各r阵容卡情况!$AC244&lt;=1,各r阵容卡情况!$AC244*E$19,1*E$19)*各r阵容卡情况!$I244)+
IF(各r阵容卡情况!$J244=0,0,IF(各r阵容卡情况!$AD244&lt;=1,各r阵容卡情况!$AD244*E$20,1*E$20)*各r阵容卡情况!$J244)</f>
        <v>0</v>
      </c>
      <c r="AG216" s="80">
        <f>IF(各r阵容卡情况!$H244=0,0,IF(各r阵容卡情况!$AB244&lt;=1,各r阵容卡情况!$AB244*F$18,1*F$18)*各r阵容卡情况!$H244)+
IF(各r阵容卡情况!$I244=0,0,IF(各r阵容卡情况!$AC244&lt;=1,各r阵容卡情况!$AC244*F$19,1*F$19)*各r阵容卡情况!$I244)+
IF(各r阵容卡情况!$J244=0,0,IF(各r阵容卡情况!$AD244&lt;=1,各r阵容卡情况!$AD244*F$20,1*F$20)*各r阵容卡情况!$J244)</f>
        <v>0</v>
      </c>
      <c r="AH216" s="67">
        <f>IF(各r阵容卡情况!$H244=0,0,IF(各r阵容卡情况!$AB244&lt;=1,0,(各r阵容卡情况!$AB244-1)*G$26)*各r阵容卡情况!$H244)+
IF(各r阵容卡情况!$I244=0,0,IF(各r阵容卡情况!$AC244&lt;=1,0,(各r阵容卡情况!$AC244-1)*G$27)*各r阵容卡情况!$I244)+
IF(各r阵容卡情况!$J244=0,0,IF(各r阵容卡情况!$AD244&lt;=1,0,(各r阵容卡情况!$AD244-1)*G$28)*各r阵容卡情况!$J244)</f>
        <v>0</v>
      </c>
      <c r="AI216" s="67">
        <f>IF(各r阵容卡情况!$H244=0,0,IF(各r阵容卡情况!$AB244&lt;=1,0,(各r阵容卡情况!$AB244-1)*H$26)*各r阵容卡情况!$H244)+
IF(各r阵容卡情况!$I244=0,0,IF(各r阵容卡情况!$AC244&lt;=1,0,(各r阵容卡情况!$AC244-1)*H$27)*各r阵容卡情况!$I244)+
IF(各r阵容卡情况!$J244=0,0,IF(各r阵容卡情况!$AD244&lt;=1,0,(各r阵容卡情况!$AD244-1)*H$28)*各r阵容卡情况!$J244)</f>
        <v>0</v>
      </c>
      <c r="AJ216" s="67">
        <f>IF(各r阵容卡情况!$H244=0,0,IF(各r阵容卡情况!$AB244&lt;=1,0,(各r阵容卡情况!$AB244-1)*I$26)*各r阵容卡情况!$H244)+
IF(各r阵容卡情况!$I244=0,0,IF(各r阵容卡情况!$AC244&lt;=1,0,(各r阵容卡情况!$AC244-1)*I$27)*各r阵容卡情况!$I244)+
IF(各r阵容卡情况!$J244=0,0,IF(各r阵容卡情况!$AD244&lt;=1,0,(各r阵容卡情况!$AD244-1)*I$28)*各r阵容卡情况!$J244)</f>
        <v>0</v>
      </c>
      <c r="AL216" s="80">
        <f t="shared" si="170"/>
        <v>165</v>
      </c>
      <c r="AM216" s="80">
        <f t="shared" si="171"/>
        <v>48</v>
      </c>
      <c r="AN216" s="80">
        <f t="shared" si="172"/>
        <v>0</v>
      </c>
      <c r="AO216" s="80">
        <f t="shared" si="173"/>
        <v>0</v>
      </c>
      <c r="AP216" s="80">
        <f t="shared" si="174"/>
        <v>240</v>
      </c>
      <c r="AQ216" s="80">
        <f t="shared" si="175"/>
        <v>0</v>
      </c>
      <c r="AR216" s="80">
        <f t="shared" si="176"/>
        <v>0</v>
      </c>
      <c r="AS216" s="80">
        <f t="shared" si="177"/>
        <v>0</v>
      </c>
      <c r="AT216" s="80">
        <f t="shared" si="178"/>
        <v>0</v>
      </c>
      <c r="AU216" s="80">
        <f t="shared" si="179"/>
        <v>0</v>
      </c>
      <c r="AV216" s="80">
        <f t="shared" si="180"/>
        <v>0</v>
      </c>
      <c r="AW216" s="80">
        <f t="shared" si="181"/>
        <v>0</v>
      </c>
      <c r="AX216" s="80">
        <f t="shared" si="182"/>
        <v>0</v>
      </c>
      <c r="AY216" s="61" t="e">
        <f>SUMPRODUCT(AM216:AR216/'[1]功能-行军令'!$GI$26:$GN$26+AS216:AX216/'[1]功能-行军令'!$GI$26:$GN$26)/0.18</f>
        <v>#DIV/0!</v>
      </c>
      <c r="BO216" s="80">
        <f t="shared" si="168"/>
        <v>140.08772492574531</v>
      </c>
      <c r="BP216" s="80">
        <f t="shared" si="169"/>
        <v>12300000</v>
      </c>
      <c r="BQ216" s="80">
        <f>(BP216-BP215)*INDEX('[1]功能-付费相关'!$AU$6:$AU$165,$BO216,1)+BQ215</f>
        <v>16450.938733882616</v>
      </c>
      <c r="BR216" s="80"/>
      <c r="BS216" s="80"/>
    </row>
    <row r="217" spans="12:71" x14ac:dyDescent="0.15">
      <c r="L217" s="61">
        <v>36</v>
      </c>
      <c r="M217" s="80">
        <f>基础状态预期!D229</f>
        <v>140.08772492574531</v>
      </c>
      <c r="N217" s="80">
        <f>IF(基础状态预期!F229="",0,IF(基础状态预期!Z229&lt;=1,基础状态预期!Z229*D$4,1*D$4+(基础状态预期!Z229-1)*武将觉醒!D$5))</f>
        <v>0</v>
      </c>
      <c r="O217" s="80">
        <f>IF(基础状态预期!G229="",0,IF(基础状态预期!AA229&lt;=1,基础状态预期!AA229*E$4,1*E$4+(基础状态预期!AA229-1)*武将觉醒!E$5))</f>
        <v>0</v>
      </c>
      <c r="P217" s="80">
        <f>IF(基础状态预期!H229="",0,IF(基础状态预期!AB229&lt;=1,基础状态预期!AB229*F$4,1*F$4+(基础状态预期!AB229-1)*武将觉醒!F$5))</f>
        <v>0</v>
      </c>
      <c r="Q217" s="80">
        <f>IF(基础状态预期!I229="",0,IF(基础状态预期!AC229&lt;=1,基础状态预期!AC229*G$4,1*G$4+(基础状态预期!AC229-1)*武将觉醒!G$5))</f>
        <v>0</v>
      </c>
      <c r="R217" s="80">
        <f>IF(基础状态预期!J229="",0,IF(基础状态预期!AD229&lt;=1,基础状态预期!AD229*H$4,1*H$4+(基础状态预期!AD229-1)*武将觉醒!H$5))</f>
        <v>2050000</v>
      </c>
      <c r="S217" s="80">
        <f>MAX(SUMPRODUCT(N217:R217,基础状态预期!F229:J229),S216)</f>
        <v>12300000</v>
      </c>
      <c r="T217" s="80">
        <f>IF(基础状态预期!Z229="",0,IFERROR(基础状态预期!F229*求节点($C$62:$C$63,D$62:D$63,基础状态预期!Z229),0)+IFERROR(基础状态预期!$J229*求节点($C$71:$C$72,D$71:D$72,基础状态预期!$AD229),0))</f>
        <v>0</v>
      </c>
      <c r="U217" s="80">
        <f>IF(基础状态预期!AA229="",0,IFERROR(基础状态预期!G229*求节点($C$62:$C$63,E$62:E$63,基础状态预期!AA229),0)+IFERROR(基础状态预期!$J229*求节点($C$71:$C$72,E$71:E$72,基础状态预期!$AD229),0))</f>
        <v>0</v>
      </c>
      <c r="V217" s="80">
        <f>IF(基础状态预期!AB229="",0,IFERROR(基础状态预期!H229*求节点($C$62:$C$63,F$62:F$63,基础状态预期!AB229),0)+IFERROR(基础状态预期!$J229*求节点($C$71:$C$72,F$71:F$72,基础状态预期!$AD229),0))</f>
        <v>0</v>
      </c>
      <c r="W217" s="80">
        <f>IF(基础状态预期!AC229="",0,IFERROR(基础状态预期!I229*求节点($C$62:$C$63,G$62:G$63,基础状态预期!AC229),0)+IFERROR(基础状态预期!$J229*求节点($C$71:$C$72,G$71:G$72,基础状态预期!$AD229),0))</f>
        <v>0</v>
      </c>
      <c r="X217" s="80">
        <f>IF(基础状态预期!AD229="",0,IFERROR(基础状态预期!J229*求节点($C$62:$C$63,H$62:H$63,基础状态预期!AD229),0)+IFERROR(基础状态预期!$J229*求节点($C$71:$C$72,H$71:H$72,基础状态预期!$AD229),0))</f>
        <v>0</v>
      </c>
      <c r="Y217" s="80">
        <f>IF(基础状态预期!$H229="",0,IF(基础状态预期!$AB229&lt;=1,基础状态预期!$AB229*D$18,D$18)*基础状态预期!$H229)+
IF(基础状态预期!$I229="",0,IF(基础状态预期!$AC229&lt;=1,基础状态预期!$AC229*D$19,D$19)*基础状态预期!$I229)+
IF(基础状态预期!$J229="",0,IF(基础状态预期!$AD229&lt;=1,基础状态预期!$AD229*D$20,D$20)*基础状态预期!$J229)</f>
        <v>48</v>
      </c>
      <c r="Z217" s="80">
        <f>IF(基础状态预期!$H229="",0,IF(基础状态预期!$AB229&lt;=1,基础状态预期!$AB229*E$18,E$18)*基础状态预期!$H229)+
IF(基础状态预期!$I229="",0,IF(基础状态预期!$AC229&lt;=1,基础状态预期!$AC229*E$19,E$19)*基础状态预期!$I229)+
IF(基础状态预期!$J229="",0,IF(基础状态预期!$AD229&lt;=1,基础状态预期!$AD229*E$20,E$20)*基础状态预期!$J229)</f>
        <v>0</v>
      </c>
      <c r="AA217" s="80">
        <f>IF(基础状态预期!$H229="",0,IF(基础状态预期!$AB229&lt;=1,基础状态预期!$AB229*F$18,F$18)*基础状态预期!$H229)+
IF(基础状态预期!$I229="",0,IF(基础状态预期!$AC229&lt;=1,基础状态预期!$AC229*F$19,F$19)*基础状态预期!$I229)+
IF(基础状态预期!$J229="",0,IF(基础状态预期!$AD229&lt;=1,基础状态预期!$AD229*F$20,F$20)*基础状态预期!$J229)</f>
        <v>0</v>
      </c>
      <c r="AB217" s="67">
        <f>IF(基础状态预期!$H229="",0,IF(基础状态预期!$AB229&lt;=1,0,(基础状态预期!$AB229-1)*G$26)*基础状态预期!$H229)+
IF(基础状态预期!$I229="",0,IF(基础状态预期!$AC229&lt;=1,0,(基础状态预期!$AC229-1)*G$27)*基础状态预期!$I229)+
IF(基础状态预期!$J229="",0,IF(基础状态预期!$AD229&lt;=1,0,(基础状态预期!$AD229-1)*G$28)*基础状态预期!$J229)</f>
        <v>240</v>
      </c>
      <c r="AC217" s="67">
        <f>IF(基础状态预期!$H229="",0,IF(基础状态预期!$AB229&lt;=1,0,(基础状态预期!$AB229-1)*H$26)*基础状态预期!$H229)+
IF(基础状态预期!$I229="",0,IF(基础状态预期!$AC229&lt;=1,0,(基础状态预期!$AC229-1)*H$27)*基础状态预期!$I229)+
IF(基础状态预期!$J229="",0,IF(基础状态预期!$AD229&lt;=1,0,(基础状态预期!$AD229-1)*H$28)*基础状态预期!$J229)</f>
        <v>0</v>
      </c>
      <c r="AD217" s="67">
        <f>IF(基础状态预期!$H229="",0,IF(基础状态预期!$AB229&lt;=1,0,(基础状态预期!$AB229-1)*I$26)*基础状态预期!$H229)+
IF(基础状态预期!$I229="",0,IF(基础状态预期!$AC229&lt;=1,0,(基础状态预期!$AC229-1)*I$27)*基础状态预期!$I229)+
IF(基础状态预期!$J229="",0,IF(基础状态预期!$AD229&lt;=1,0,(基础状态预期!$AD229-1)*I$28)*基础状态预期!$J229)</f>
        <v>0</v>
      </c>
      <c r="AE217" s="80">
        <f>IF(各r阵容卡情况!$H245=0,0,IF(各r阵容卡情况!$AB245&lt;=1,各r阵容卡情况!$AB245*D$18,1*D$18)*各r阵容卡情况!$H245)+
IF(各r阵容卡情况!$I245=0,0,IF(各r阵容卡情况!$AC245&lt;=1,各r阵容卡情况!$AC245*D$19,1*D$19)*各r阵容卡情况!$I245)+
IF(各r阵容卡情况!$J245=0,0,IF(各r阵容卡情况!$AD245&lt;=1,各r阵容卡情况!$AD245*D$20,1*D$20)*各r阵容卡情况!$J245)</f>
        <v>0</v>
      </c>
      <c r="AF217" s="80">
        <f>IF(各r阵容卡情况!$H245=0,0,IF(各r阵容卡情况!$AB245&lt;=1,各r阵容卡情况!$AB245*E$18,1*E$18)*各r阵容卡情况!$H245)+
IF(各r阵容卡情况!$I245=0,0,IF(各r阵容卡情况!$AC245&lt;=1,各r阵容卡情况!$AC245*E$19,1*E$19)*各r阵容卡情况!$I245)+
IF(各r阵容卡情况!$J245=0,0,IF(各r阵容卡情况!$AD245&lt;=1,各r阵容卡情况!$AD245*E$20,1*E$20)*各r阵容卡情况!$J245)</f>
        <v>0</v>
      </c>
      <c r="AG217" s="80">
        <f>IF(各r阵容卡情况!$H245=0,0,IF(各r阵容卡情况!$AB245&lt;=1,各r阵容卡情况!$AB245*F$18,1*F$18)*各r阵容卡情况!$H245)+
IF(各r阵容卡情况!$I245=0,0,IF(各r阵容卡情况!$AC245&lt;=1,各r阵容卡情况!$AC245*F$19,1*F$19)*各r阵容卡情况!$I245)+
IF(各r阵容卡情况!$J245=0,0,IF(各r阵容卡情况!$AD245&lt;=1,各r阵容卡情况!$AD245*F$20,1*F$20)*各r阵容卡情况!$J245)</f>
        <v>0</v>
      </c>
      <c r="AH217" s="67">
        <f>IF(各r阵容卡情况!$H245=0,0,IF(各r阵容卡情况!$AB245&lt;=1,0,(各r阵容卡情况!$AB245-1)*G$26)*各r阵容卡情况!$H245)+
IF(各r阵容卡情况!$I245=0,0,IF(各r阵容卡情况!$AC245&lt;=1,0,(各r阵容卡情况!$AC245-1)*G$27)*各r阵容卡情况!$I245)+
IF(各r阵容卡情况!$J245=0,0,IF(各r阵容卡情况!$AD245&lt;=1,0,(各r阵容卡情况!$AD245-1)*G$28)*各r阵容卡情况!$J245)</f>
        <v>0</v>
      </c>
      <c r="AI217" s="67">
        <f>IF(各r阵容卡情况!$H245=0,0,IF(各r阵容卡情况!$AB245&lt;=1,0,(各r阵容卡情况!$AB245-1)*H$26)*各r阵容卡情况!$H245)+
IF(各r阵容卡情况!$I245=0,0,IF(各r阵容卡情况!$AC245&lt;=1,0,(各r阵容卡情况!$AC245-1)*H$27)*各r阵容卡情况!$I245)+
IF(各r阵容卡情况!$J245=0,0,IF(各r阵容卡情况!$AD245&lt;=1,0,(各r阵容卡情况!$AD245-1)*H$28)*各r阵容卡情况!$J245)</f>
        <v>0</v>
      </c>
      <c r="AJ217" s="67">
        <f>IF(各r阵容卡情况!$H245=0,0,IF(各r阵容卡情况!$AB245&lt;=1,0,(各r阵容卡情况!$AB245-1)*I$26)*各r阵容卡情况!$H245)+
IF(各r阵容卡情况!$I245=0,0,IF(各r阵容卡情况!$AC245&lt;=1,0,(各r阵容卡情况!$AC245-1)*I$27)*各r阵容卡情况!$I245)+
IF(各r阵容卡情况!$J245=0,0,IF(各r阵容卡情况!$AD245&lt;=1,0,(各r阵容卡情况!$AD245-1)*I$28)*各r阵容卡情况!$J245)</f>
        <v>0</v>
      </c>
      <c r="AL217" s="80">
        <f t="shared" si="170"/>
        <v>170</v>
      </c>
      <c r="AM217" s="80">
        <f t="shared" si="171"/>
        <v>48</v>
      </c>
      <c r="AN217" s="80">
        <f t="shared" si="172"/>
        <v>0</v>
      </c>
      <c r="AO217" s="80">
        <f t="shared" si="173"/>
        <v>0</v>
      </c>
      <c r="AP217" s="80">
        <f t="shared" si="174"/>
        <v>240</v>
      </c>
      <c r="AQ217" s="80">
        <f t="shared" si="175"/>
        <v>0</v>
      </c>
      <c r="AR217" s="80">
        <f t="shared" si="176"/>
        <v>0</v>
      </c>
      <c r="AS217" s="80">
        <f t="shared" si="177"/>
        <v>0</v>
      </c>
      <c r="AT217" s="80">
        <f t="shared" si="178"/>
        <v>0</v>
      </c>
      <c r="AU217" s="80">
        <f t="shared" si="179"/>
        <v>0</v>
      </c>
      <c r="AV217" s="80">
        <f t="shared" si="180"/>
        <v>0</v>
      </c>
      <c r="AW217" s="80">
        <f t="shared" si="181"/>
        <v>0</v>
      </c>
      <c r="AX217" s="80">
        <f t="shared" si="182"/>
        <v>0</v>
      </c>
      <c r="AY217" s="61" t="e">
        <f>SUMPRODUCT(AM217:AR217/'[1]功能-行军令'!$GI$26:$GN$26+AS217:AX217/'[1]功能-行军令'!$GI$26:$GN$26)/0.18</f>
        <v>#DIV/0!</v>
      </c>
      <c r="BO217" s="80">
        <f t="shared" si="168"/>
        <v>143.51956656528549</v>
      </c>
      <c r="BP217" s="80">
        <f t="shared" si="169"/>
        <v>12300000</v>
      </c>
      <c r="BQ217" s="80">
        <f>(BP217-BP216)*INDEX('[1]功能-付费相关'!$AU$6:$AU$165,$BO217,1)+BQ216</f>
        <v>16450.938733882616</v>
      </c>
      <c r="BR217" s="80"/>
      <c r="BS217" s="80"/>
    </row>
    <row r="218" spans="12:71" x14ac:dyDescent="0.15">
      <c r="L218" s="61">
        <v>37</v>
      </c>
      <c r="M218" s="80">
        <f>基础状态预期!D230</f>
        <v>143.51956656528549</v>
      </c>
      <c r="N218" s="80">
        <f>IF(基础状态预期!F230="",0,IF(基础状态预期!Z230&lt;=1,基础状态预期!Z230*D$4,1*D$4+(基础状态预期!Z230-1)*武将觉醒!D$5))</f>
        <v>0</v>
      </c>
      <c r="O218" s="80">
        <f>IF(基础状态预期!G230="",0,IF(基础状态预期!AA230&lt;=1,基础状态预期!AA230*E$4,1*E$4+(基础状态预期!AA230-1)*武将觉醒!E$5))</f>
        <v>0</v>
      </c>
      <c r="P218" s="80">
        <f>IF(基础状态预期!H230="",0,IF(基础状态预期!AB230&lt;=1,基础状态预期!AB230*F$4,1*F$4+(基础状态预期!AB230-1)*武将觉醒!F$5))</f>
        <v>0</v>
      </c>
      <c r="Q218" s="80">
        <f>IF(基础状态预期!I230="",0,IF(基础状态预期!AC230&lt;=1,基础状态预期!AC230*G$4,1*G$4+(基础状态预期!AC230-1)*武将觉醒!G$5))</f>
        <v>0</v>
      </c>
      <c r="R218" s="80">
        <f>IF(基础状态预期!J230="",0,IF(基础状态预期!AD230&lt;=1,基础状态预期!AD230*H$4,1*H$4+(基础状态预期!AD230-1)*武将觉醒!H$5))</f>
        <v>2050000</v>
      </c>
      <c r="S218" s="80">
        <f>MAX(SUMPRODUCT(N218:R218,基础状态预期!F230:J230),S217)</f>
        <v>12300000</v>
      </c>
      <c r="T218" s="80">
        <f>IF(基础状态预期!Z230="",0,IFERROR(基础状态预期!F230*求节点($C$62:$C$63,D$62:D$63,基础状态预期!Z230),0)+IFERROR(基础状态预期!$J230*求节点($C$71:$C$72,D$71:D$72,基础状态预期!$AD230),0))</f>
        <v>0</v>
      </c>
      <c r="U218" s="80">
        <f>IF(基础状态预期!AA230="",0,IFERROR(基础状态预期!G230*求节点($C$62:$C$63,E$62:E$63,基础状态预期!AA230),0)+IFERROR(基础状态预期!$J230*求节点($C$71:$C$72,E$71:E$72,基础状态预期!$AD230),0))</f>
        <v>0</v>
      </c>
      <c r="V218" s="80">
        <f>IF(基础状态预期!AB230="",0,IFERROR(基础状态预期!H230*求节点($C$62:$C$63,F$62:F$63,基础状态预期!AB230),0)+IFERROR(基础状态预期!$J230*求节点($C$71:$C$72,F$71:F$72,基础状态预期!$AD230),0))</f>
        <v>0</v>
      </c>
      <c r="W218" s="80">
        <f>IF(基础状态预期!AC230="",0,IFERROR(基础状态预期!I230*求节点($C$62:$C$63,G$62:G$63,基础状态预期!AC230),0)+IFERROR(基础状态预期!$J230*求节点($C$71:$C$72,G$71:G$72,基础状态预期!$AD230),0))</f>
        <v>0</v>
      </c>
      <c r="X218" s="80">
        <f>IF(基础状态预期!AD230="",0,IFERROR(基础状态预期!J230*求节点($C$62:$C$63,H$62:H$63,基础状态预期!AD230),0)+IFERROR(基础状态预期!$J230*求节点($C$71:$C$72,H$71:H$72,基础状态预期!$AD230),0))</f>
        <v>0</v>
      </c>
      <c r="Y218" s="80">
        <f>IF(基础状态预期!$H230="",0,IF(基础状态预期!$AB230&lt;=1,基础状态预期!$AB230*D$18,D$18)*基础状态预期!$H230)+
IF(基础状态预期!$I230="",0,IF(基础状态预期!$AC230&lt;=1,基础状态预期!$AC230*D$19,D$19)*基础状态预期!$I230)+
IF(基础状态预期!$J230="",0,IF(基础状态预期!$AD230&lt;=1,基础状态预期!$AD230*D$20,D$20)*基础状态预期!$J230)</f>
        <v>48</v>
      </c>
      <c r="Z218" s="80">
        <f>IF(基础状态预期!$H230="",0,IF(基础状态预期!$AB230&lt;=1,基础状态预期!$AB230*E$18,E$18)*基础状态预期!$H230)+
IF(基础状态预期!$I230="",0,IF(基础状态预期!$AC230&lt;=1,基础状态预期!$AC230*E$19,E$19)*基础状态预期!$I230)+
IF(基础状态预期!$J230="",0,IF(基础状态预期!$AD230&lt;=1,基础状态预期!$AD230*E$20,E$20)*基础状态预期!$J230)</f>
        <v>0</v>
      </c>
      <c r="AA218" s="80">
        <f>IF(基础状态预期!$H230="",0,IF(基础状态预期!$AB230&lt;=1,基础状态预期!$AB230*F$18,F$18)*基础状态预期!$H230)+
IF(基础状态预期!$I230="",0,IF(基础状态预期!$AC230&lt;=1,基础状态预期!$AC230*F$19,F$19)*基础状态预期!$I230)+
IF(基础状态预期!$J230="",0,IF(基础状态预期!$AD230&lt;=1,基础状态预期!$AD230*F$20,F$20)*基础状态预期!$J230)</f>
        <v>0</v>
      </c>
      <c r="AB218" s="67">
        <f>IF(基础状态预期!$H230="",0,IF(基础状态预期!$AB230&lt;=1,0,(基础状态预期!$AB230-1)*G$26)*基础状态预期!$H230)+
IF(基础状态预期!$I230="",0,IF(基础状态预期!$AC230&lt;=1,0,(基础状态预期!$AC230-1)*G$27)*基础状态预期!$I230)+
IF(基础状态预期!$J230="",0,IF(基础状态预期!$AD230&lt;=1,0,(基础状态预期!$AD230-1)*G$28)*基础状态预期!$J230)</f>
        <v>240</v>
      </c>
      <c r="AC218" s="67">
        <f>IF(基础状态预期!$H230="",0,IF(基础状态预期!$AB230&lt;=1,0,(基础状态预期!$AB230-1)*H$26)*基础状态预期!$H230)+
IF(基础状态预期!$I230="",0,IF(基础状态预期!$AC230&lt;=1,0,(基础状态预期!$AC230-1)*H$27)*基础状态预期!$I230)+
IF(基础状态预期!$J230="",0,IF(基础状态预期!$AD230&lt;=1,0,(基础状态预期!$AD230-1)*H$28)*基础状态预期!$J230)</f>
        <v>0</v>
      </c>
      <c r="AD218" s="67">
        <f>IF(基础状态预期!$H230="",0,IF(基础状态预期!$AB230&lt;=1,0,(基础状态预期!$AB230-1)*I$26)*基础状态预期!$H230)+
IF(基础状态预期!$I230="",0,IF(基础状态预期!$AC230&lt;=1,0,(基础状态预期!$AC230-1)*I$27)*基础状态预期!$I230)+
IF(基础状态预期!$J230="",0,IF(基础状态预期!$AD230&lt;=1,0,(基础状态预期!$AD230-1)*I$28)*基础状态预期!$J230)</f>
        <v>0</v>
      </c>
      <c r="AE218" s="80">
        <f>IF(各r阵容卡情况!$H246=0,0,IF(各r阵容卡情况!$AB246&lt;=1,各r阵容卡情况!$AB246*D$18,1*D$18)*各r阵容卡情况!$H246)+
IF(各r阵容卡情况!$I246=0,0,IF(各r阵容卡情况!$AC246&lt;=1,各r阵容卡情况!$AC246*D$19,1*D$19)*各r阵容卡情况!$I246)+
IF(各r阵容卡情况!$J246=0,0,IF(各r阵容卡情况!$AD246&lt;=1,各r阵容卡情况!$AD246*D$20,1*D$20)*各r阵容卡情况!$J246)</f>
        <v>0</v>
      </c>
      <c r="AF218" s="80">
        <f>IF(各r阵容卡情况!$H246=0,0,IF(各r阵容卡情况!$AB246&lt;=1,各r阵容卡情况!$AB246*E$18,1*E$18)*各r阵容卡情况!$H246)+
IF(各r阵容卡情况!$I246=0,0,IF(各r阵容卡情况!$AC246&lt;=1,各r阵容卡情况!$AC246*E$19,1*E$19)*各r阵容卡情况!$I246)+
IF(各r阵容卡情况!$J246=0,0,IF(各r阵容卡情况!$AD246&lt;=1,各r阵容卡情况!$AD246*E$20,1*E$20)*各r阵容卡情况!$J246)</f>
        <v>0</v>
      </c>
      <c r="AG218" s="80">
        <f>IF(各r阵容卡情况!$H246=0,0,IF(各r阵容卡情况!$AB246&lt;=1,各r阵容卡情况!$AB246*F$18,1*F$18)*各r阵容卡情况!$H246)+
IF(各r阵容卡情况!$I246=0,0,IF(各r阵容卡情况!$AC246&lt;=1,各r阵容卡情况!$AC246*F$19,1*F$19)*各r阵容卡情况!$I246)+
IF(各r阵容卡情况!$J246=0,0,IF(各r阵容卡情况!$AD246&lt;=1,各r阵容卡情况!$AD246*F$20,1*F$20)*各r阵容卡情况!$J246)</f>
        <v>0</v>
      </c>
      <c r="AH218" s="67">
        <f>IF(各r阵容卡情况!$H246=0,0,IF(各r阵容卡情况!$AB246&lt;=1,0,(各r阵容卡情况!$AB246-1)*G$26)*各r阵容卡情况!$H246)+
IF(各r阵容卡情况!$I246=0,0,IF(各r阵容卡情况!$AC246&lt;=1,0,(各r阵容卡情况!$AC246-1)*G$27)*各r阵容卡情况!$I246)+
IF(各r阵容卡情况!$J246=0,0,IF(各r阵容卡情况!$AD246&lt;=1,0,(各r阵容卡情况!$AD246-1)*G$28)*各r阵容卡情况!$J246)</f>
        <v>0</v>
      </c>
      <c r="AI218" s="67">
        <f>IF(各r阵容卡情况!$H246=0,0,IF(各r阵容卡情况!$AB246&lt;=1,0,(各r阵容卡情况!$AB246-1)*H$26)*各r阵容卡情况!$H246)+
IF(各r阵容卡情况!$I246=0,0,IF(各r阵容卡情况!$AC246&lt;=1,0,(各r阵容卡情况!$AC246-1)*H$27)*各r阵容卡情况!$I246)+
IF(各r阵容卡情况!$J246=0,0,IF(各r阵容卡情况!$AD246&lt;=1,0,(各r阵容卡情况!$AD246-1)*H$28)*各r阵容卡情况!$J246)</f>
        <v>0</v>
      </c>
      <c r="AJ218" s="67">
        <f>IF(各r阵容卡情况!$H246=0,0,IF(各r阵容卡情况!$AB246&lt;=1,0,(各r阵容卡情况!$AB246-1)*I$26)*各r阵容卡情况!$H246)+
IF(各r阵容卡情况!$I246=0,0,IF(各r阵容卡情况!$AC246&lt;=1,0,(各r阵容卡情况!$AC246-1)*I$27)*各r阵容卡情况!$I246)+
IF(各r阵容卡情况!$J246=0,0,IF(各r阵容卡情况!$AD246&lt;=1,0,(各r阵容卡情况!$AD246-1)*I$28)*各r阵容卡情况!$J246)</f>
        <v>0</v>
      </c>
      <c r="AL218" s="80">
        <f t="shared" si="170"/>
        <v>175</v>
      </c>
      <c r="AM218" s="80">
        <f t="shared" si="171"/>
        <v>48</v>
      </c>
      <c r="AN218" s="80">
        <f t="shared" si="172"/>
        <v>0</v>
      </c>
      <c r="AO218" s="80">
        <f t="shared" si="173"/>
        <v>0</v>
      </c>
      <c r="AP218" s="80">
        <f t="shared" si="174"/>
        <v>240</v>
      </c>
      <c r="AQ218" s="80">
        <f t="shared" si="175"/>
        <v>0</v>
      </c>
      <c r="AR218" s="80">
        <f t="shared" si="176"/>
        <v>0</v>
      </c>
      <c r="AS218" s="80">
        <f t="shared" si="177"/>
        <v>0</v>
      </c>
      <c r="AT218" s="80">
        <f t="shared" si="178"/>
        <v>0</v>
      </c>
      <c r="AU218" s="80">
        <f t="shared" si="179"/>
        <v>0</v>
      </c>
      <c r="AV218" s="80">
        <f t="shared" si="180"/>
        <v>0</v>
      </c>
      <c r="AW218" s="80">
        <f t="shared" si="181"/>
        <v>0</v>
      </c>
      <c r="AX218" s="80">
        <f t="shared" si="182"/>
        <v>0</v>
      </c>
      <c r="AY218" s="61" t="e">
        <f>SUMPRODUCT(AM218:AR218/'[1]功能-行军令'!$GI$26:$GN$26+AS218:AX218/'[1]功能-行军令'!$GI$26:$GN$26)/0.18</f>
        <v>#DIV/0!</v>
      </c>
      <c r="BO218" s="80">
        <f t="shared" si="168"/>
        <v>147.17868266109423</v>
      </c>
      <c r="BP218" s="80">
        <f t="shared" si="169"/>
        <v>12300000</v>
      </c>
      <c r="BQ218" s="80">
        <f>(BP218-BP217)*INDEX('[1]功能-付费相关'!$AU$6:$AU$165,$BO218,1)+BQ217</f>
        <v>16450.938733882616</v>
      </c>
      <c r="BR218" s="80"/>
      <c r="BS218" s="80"/>
    </row>
    <row r="219" spans="12:71" x14ac:dyDescent="0.15">
      <c r="L219" s="61">
        <v>38</v>
      </c>
      <c r="M219" s="80">
        <f>基础状态预期!D231</f>
        <v>147.17868266109423</v>
      </c>
      <c r="N219" s="80">
        <f>IF(基础状态预期!F231="",0,IF(基础状态预期!Z231&lt;=1,基础状态预期!Z231*D$4,1*D$4+(基础状态预期!Z231-1)*武将觉醒!D$5))</f>
        <v>0</v>
      </c>
      <c r="O219" s="80">
        <f>IF(基础状态预期!G231="",0,IF(基础状态预期!AA231&lt;=1,基础状态预期!AA231*E$4,1*E$4+(基础状态预期!AA231-1)*武将觉醒!E$5))</f>
        <v>0</v>
      </c>
      <c r="P219" s="80">
        <f>IF(基础状态预期!H231="",0,IF(基础状态预期!AB231&lt;=1,基础状态预期!AB231*F$4,1*F$4+(基础状态预期!AB231-1)*武将觉醒!F$5))</f>
        <v>0</v>
      </c>
      <c r="Q219" s="80">
        <f>IF(基础状态预期!I231="",0,IF(基础状态预期!AC231&lt;=1,基础状态预期!AC231*G$4,1*G$4+(基础状态预期!AC231-1)*武将觉醒!G$5))</f>
        <v>0</v>
      </c>
      <c r="R219" s="80">
        <f>IF(基础状态预期!J231="",0,IF(基础状态预期!AD231&lt;=1,基础状态预期!AD231*H$4,1*H$4+(基础状态预期!AD231-1)*武将觉醒!H$5))</f>
        <v>2050000</v>
      </c>
      <c r="S219" s="80">
        <f>MAX(SUMPRODUCT(N219:R219,基础状态预期!F231:J231),S218)</f>
        <v>12300000</v>
      </c>
      <c r="T219" s="80">
        <f>IF(基础状态预期!Z231="",0,IFERROR(基础状态预期!F231*求节点($C$62:$C$63,D$62:D$63,基础状态预期!Z231),0)+IFERROR(基础状态预期!$J231*求节点($C$71:$C$72,D$71:D$72,基础状态预期!$AD231),0))</f>
        <v>0</v>
      </c>
      <c r="U219" s="80">
        <f>IF(基础状态预期!AA231="",0,IFERROR(基础状态预期!G231*求节点($C$62:$C$63,E$62:E$63,基础状态预期!AA231),0)+IFERROR(基础状态预期!$J231*求节点($C$71:$C$72,E$71:E$72,基础状态预期!$AD231),0))</f>
        <v>0</v>
      </c>
      <c r="V219" s="80">
        <f>IF(基础状态预期!AB231="",0,IFERROR(基础状态预期!H231*求节点($C$62:$C$63,F$62:F$63,基础状态预期!AB231),0)+IFERROR(基础状态预期!$J231*求节点($C$71:$C$72,F$71:F$72,基础状态预期!$AD231),0))</f>
        <v>0</v>
      </c>
      <c r="W219" s="80">
        <f>IF(基础状态预期!AC231="",0,IFERROR(基础状态预期!I231*求节点($C$62:$C$63,G$62:G$63,基础状态预期!AC231),0)+IFERROR(基础状态预期!$J231*求节点($C$71:$C$72,G$71:G$72,基础状态预期!$AD231),0))</f>
        <v>0</v>
      </c>
      <c r="X219" s="80">
        <f>IF(基础状态预期!AD231="",0,IFERROR(基础状态预期!J231*求节点($C$62:$C$63,H$62:H$63,基础状态预期!AD231),0)+IFERROR(基础状态预期!$J231*求节点($C$71:$C$72,H$71:H$72,基础状态预期!$AD231),0))</f>
        <v>0</v>
      </c>
      <c r="Y219" s="80">
        <f>IF(基础状态预期!$H231="",0,IF(基础状态预期!$AB231&lt;=1,基础状态预期!$AB231*D$18,D$18)*基础状态预期!$H231)+
IF(基础状态预期!$I231="",0,IF(基础状态预期!$AC231&lt;=1,基础状态预期!$AC231*D$19,D$19)*基础状态预期!$I231)+
IF(基础状态预期!$J231="",0,IF(基础状态预期!$AD231&lt;=1,基础状态预期!$AD231*D$20,D$20)*基础状态预期!$J231)</f>
        <v>48</v>
      </c>
      <c r="Z219" s="80">
        <f>IF(基础状态预期!$H231="",0,IF(基础状态预期!$AB231&lt;=1,基础状态预期!$AB231*E$18,E$18)*基础状态预期!$H231)+
IF(基础状态预期!$I231="",0,IF(基础状态预期!$AC231&lt;=1,基础状态预期!$AC231*E$19,E$19)*基础状态预期!$I231)+
IF(基础状态预期!$J231="",0,IF(基础状态预期!$AD231&lt;=1,基础状态预期!$AD231*E$20,E$20)*基础状态预期!$J231)</f>
        <v>0</v>
      </c>
      <c r="AA219" s="80">
        <f>IF(基础状态预期!$H231="",0,IF(基础状态预期!$AB231&lt;=1,基础状态预期!$AB231*F$18,F$18)*基础状态预期!$H231)+
IF(基础状态预期!$I231="",0,IF(基础状态预期!$AC231&lt;=1,基础状态预期!$AC231*F$19,F$19)*基础状态预期!$I231)+
IF(基础状态预期!$J231="",0,IF(基础状态预期!$AD231&lt;=1,基础状态预期!$AD231*F$20,F$20)*基础状态预期!$J231)</f>
        <v>0</v>
      </c>
      <c r="AB219" s="67">
        <f>IF(基础状态预期!$H231="",0,IF(基础状态预期!$AB231&lt;=1,0,(基础状态预期!$AB231-1)*G$26)*基础状态预期!$H231)+
IF(基础状态预期!$I231="",0,IF(基础状态预期!$AC231&lt;=1,0,(基础状态预期!$AC231-1)*G$27)*基础状态预期!$I231)+
IF(基础状态预期!$J231="",0,IF(基础状态预期!$AD231&lt;=1,0,(基础状态预期!$AD231-1)*G$28)*基础状态预期!$J231)</f>
        <v>240</v>
      </c>
      <c r="AC219" s="67">
        <f>IF(基础状态预期!$H231="",0,IF(基础状态预期!$AB231&lt;=1,0,(基础状态预期!$AB231-1)*H$26)*基础状态预期!$H231)+
IF(基础状态预期!$I231="",0,IF(基础状态预期!$AC231&lt;=1,0,(基础状态预期!$AC231-1)*H$27)*基础状态预期!$I231)+
IF(基础状态预期!$J231="",0,IF(基础状态预期!$AD231&lt;=1,0,(基础状态预期!$AD231-1)*H$28)*基础状态预期!$J231)</f>
        <v>0</v>
      </c>
      <c r="AD219" s="67">
        <f>IF(基础状态预期!$H231="",0,IF(基础状态预期!$AB231&lt;=1,0,(基础状态预期!$AB231-1)*I$26)*基础状态预期!$H231)+
IF(基础状态预期!$I231="",0,IF(基础状态预期!$AC231&lt;=1,0,(基础状态预期!$AC231-1)*I$27)*基础状态预期!$I231)+
IF(基础状态预期!$J231="",0,IF(基础状态预期!$AD231&lt;=1,0,(基础状态预期!$AD231-1)*I$28)*基础状态预期!$J231)</f>
        <v>0</v>
      </c>
      <c r="AE219" s="80">
        <f>IF(各r阵容卡情况!$H247=0,0,IF(各r阵容卡情况!$AB247&lt;=1,各r阵容卡情况!$AB247*D$18,1*D$18)*各r阵容卡情况!$H247)+
IF(各r阵容卡情况!$I247=0,0,IF(各r阵容卡情况!$AC247&lt;=1,各r阵容卡情况!$AC247*D$19,1*D$19)*各r阵容卡情况!$I247)+
IF(各r阵容卡情况!$J247=0,0,IF(各r阵容卡情况!$AD247&lt;=1,各r阵容卡情况!$AD247*D$20,1*D$20)*各r阵容卡情况!$J247)</f>
        <v>0</v>
      </c>
      <c r="AF219" s="80">
        <f>IF(各r阵容卡情况!$H247=0,0,IF(各r阵容卡情况!$AB247&lt;=1,各r阵容卡情况!$AB247*E$18,1*E$18)*各r阵容卡情况!$H247)+
IF(各r阵容卡情况!$I247=0,0,IF(各r阵容卡情况!$AC247&lt;=1,各r阵容卡情况!$AC247*E$19,1*E$19)*各r阵容卡情况!$I247)+
IF(各r阵容卡情况!$J247=0,0,IF(各r阵容卡情况!$AD247&lt;=1,各r阵容卡情况!$AD247*E$20,1*E$20)*各r阵容卡情况!$J247)</f>
        <v>0</v>
      </c>
      <c r="AG219" s="80">
        <f>IF(各r阵容卡情况!$H247=0,0,IF(各r阵容卡情况!$AB247&lt;=1,各r阵容卡情况!$AB247*F$18,1*F$18)*各r阵容卡情况!$H247)+
IF(各r阵容卡情况!$I247=0,0,IF(各r阵容卡情况!$AC247&lt;=1,各r阵容卡情况!$AC247*F$19,1*F$19)*各r阵容卡情况!$I247)+
IF(各r阵容卡情况!$J247=0,0,IF(各r阵容卡情况!$AD247&lt;=1,各r阵容卡情况!$AD247*F$20,1*F$20)*各r阵容卡情况!$J247)</f>
        <v>0</v>
      </c>
      <c r="AH219" s="67">
        <f>IF(各r阵容卡情况!$H247=0,0,IF(各r阵容卡情况!$AB247&lt;=1,0,(各r阵容卡情况!$AB247-1)*G$26)*各r阵容卡情况!$H247)+
IF(各r阵容卡情况!$I247=0,0,IF(各r阵容卡情况!$AC247&lt;=1,0,(各r阵容卡情况!$AC247-1)*G$27)*各r阵容卡情况!$I247)+
IF(各r阵容卡情况!$J247=0,0,IF(各r阵容卡情况!$AD247&lt;=1,0,(各r阵容卡情况!$AD247-1)*G$28)*各r阵容卡情况!$J247)</f>
        <v>0</v>
      </c>
      <c r="AI219" s="67">
        <f>IF(各r阵容卡情况!$H247=0,0,IF(各r阵容卡情况!$AB247&lt;=1,0,(各r阵容卡情况!$AB247-1)*H$26)*各r阵容卡情况!$H247)+
IF(各r阵容卡情况!$I247=0,0,IF(各r阵容卡情况!$AC247&lt;=1,0,(各r阵容卡情况!$AC247-1)*H$27)*各r阵容卡情况!$I247)+
IF(各r阵容卡情况!$J247=0,0,IF(各r阵容卡情况!$AD247&lt;=1,0,(各r阵容卡情况!$AD247-1)*H$28)*各r阵容卡情况!$J247)</f>
        <v>0</v>
      </c>
      <c r="AJ219" s="67">
        <f>IF(各r阵容卡情况!$H247=0,0,IF(各r阵容卡情况!$AB247&lt;=1,0,(各r阵容卡情况!$AB247-1)*I$26)*各r阵容卡情况!$H247)+
IF(各r阵容卡情况!$I247=0,0,IF(各r阵容卡情况!$AC247&lt;=1,0,(各r阵容卡情况!$AC247-1)*I$27)*各r阵容卡情况!$I247)+
IF(各r阵容卡情况!$J247=0,0,IF(各r阵容卡情况!$AD247&lt;=1,0,(各r阵容卡情况!$AD247-1)*I$28)*各r阵容卡情况!$J247)</f>
        <v>0</v>
      </c>
      <c r="AL219" s="80">
        <f t="shared" si="170"/>
        <v>180</v>
      </c>
      <c r="AM219" s="80">
        <f t="shared" si="171"/>
        <v>48</v>
      </c>
      <c r="AN219" s="80">
        <f t="shared" si="172"/>
        <v>0</v>
      </c>
      <c r="AO219" s="80">
        <f t="shared" si="173"/>
        <v>0</v>
      </c>
      <c r="AP219" s="80">
        <f t="shared" si="174"/>
        <v>240</v>
      </c>
      <c r="AQ219" s="80">
        <f t="shared" si="175"/>
        <v>0</v>
      </c>
      <c r="AR219" s="80">
        <f t="shared" si="176"/>
        <v>0</v>
      </c>
      <c r="AS219" s="80">
        <f t="shared" si="177"/>
        <v>0</v>
      </c>
      <c r="AT219" s="80">
        <f t="shared" si="178"/>
        <v>0</v>
      </c>
      <c r="AU219" s="80">
        <f t="shared" si="179"/>
        <v>0</v>
      </c>
      <c r="AV219" s="80">
        <f t="shared" si="180"/>
        <v>0</v>
      </c>
      <c r="AW219" s="80">
        <f t="shared" si="181"/>
        <v>0</v>
      </c>
      <c r="AX219" s="80">
        <f t="shared" si="182"/>
        <v>0</v>
      </c>
      <c r="AY219" s="61" t="e">
        <f>SUMPRODUCT(AM219:AR219/'[1]功能-行军令'!$GI$26:$GN$26+AS219:AX219/'[1]功能-行军令'!$GI$26:$GN$26)/0.18</f>
        <v>#DIV/0!</v>
      </c>
      <c r="BO219" s="80">
        <f t="shared" si="168"/>
        <v>150.49637054967232</v>
      </c>
      <c r="BP219" s="80">
        <f t="shared" si="169"/>
        <v>12300000</v>
      </c>
      <c r="BQ219" s="80">
        <f>(BP219-BP218)*INDEX('[1]功能-付费相关'!$AU$6:$AU$165,$BO219,1)+BQ218</f>
        <v>16450.938733882616</v>
      </c>
      <c r="BR219" s="80"/>
      <c r="BS219" s="80"/>
    </row>
    <row r="220" spans="12:71" x14ac:dyDescent="0.15">
      <c r="L220" s="61">
        <v>39</v>
      </c>
      <c r="M220" s="80">
        <f>基础状态预期!D232</f>
        <v>150.49637054967232</v>
      </c>
      <c r="N220" s="80">
        <f>IF(基础状态预期!F232="",0,IF(基础状态预期!Z232&lt;=1,基础状态预期!Z232*D$4,1*D$4+(基础状态预期!Z232-1)*武将觉醒!D$5))</f>
        <v>0</v>
      </c>
      <c r="O220" s="80">
        <f>IF(基础状态预期!G232="",0,IF(基础状态预期!AA232&lt;=1,基础状态预期!AA232*E$4,1*E$4+(基础状态预期!AA232-1)*武将觉醒!E$5))</f>
        <v>0</v>
      </c>
      <c r="P220" s="80">
        <f>IF(基础状态预期!H232="",0,IF(基础状态预期!AB232&lt;=1,基础状态预期!AB232*F$4,1*F$4+(基础状态预期!AB232-1)*武将觉醒!F$5))</f>
        <v>0</v>
      </c>
      <c r="Q220" s="80">
        <f>IF(基础状态预期!I232="",0,IF(基础状态预期!AC232&lt;=1,基础状态预期!AC232*G$4,1*G$4+(基础状态预期!AC232-1)*武将觉醒!G$5))</f>
        <v>0</v>
      </c>
      <c r="R220" s="80">
        <f>IF(基础状态预期!J232="",0,IF(基础状态预期!AD232&lt;=1,基础状态预期!AD232*H$4,1*H$4+(基础状态预期!AD232-1)*武将觉醒!H$5))</f>
        <v>2050000</v>
      </c>
      <c r="S220" s="80">
        <f>MAX(SUMPRODUCT(N220:R220,基础状态预期!F232:J232),S219)</f>
        <v>12300000</v>
      </c>
      <c r="T220" s="80">
        <f>IF(基础状态预期!Z232="",0,IFERROR(基础状态预期!F232*求节点($C$62:$C$63,D$62:D$63,基础状态预期!Z232),0)+IFERROR(基础状态预期!$J232*求节点($C$71:$C$72,D$71:D$72,基础状态预期!$AD232),0))</f>
        <v>0</v>
      </c>
      <c r="U220" s="80">
        <f>IF(基础状态预期!AA232="",0,IFERROR(基础状态预期!G232*求节点($C$62:$C$63,E$62:E$63,基础状态预期!AA232),0)+IFERROR(基础状态预期!$J232*求节点($C$71:$C$72,E$71:E$72,基础状态预期!$AD232),0))</f>
        <v>0</v>
      </c>
      <c r="V220" s="80">
        <f>IF(基础状态预期!AB232="",0,IFERROR(基础状态预期!H232*求节点($C$62:$C$63,F$62:F$63,基础状态预期!AB232),0)+IFERROR(基础状态预期!$J232*求节点($C$71:$C$72,F$71:F$72,基础状态预期!$AD232),0))</f>
        <v>0</v>
      </c>
      <c r="W220" s="80">
        <f>IF(基础状态预期!AC232="",0,IFERROR(基础状态预期!I232*求节点($C$62:$C$63,G$62:G$63,基础状态预期!AC232),0)+IFERROR(基础状态预期!$J232*求节点($C$71:$C$72,G$71:G$72,基础状态预期!$AD232),0))</f>
        <v>0</v>
      </c>
      <c r="X220" s="80">
        <f>IF(基础状态预期!AD232="",0,IFERROR(基础状态预期!J232*求节点($C$62:$C$63,H$62:H$63,基础状态预期!AD232),0)+IFERROR(基础状态预期!$J232*求节点($C$71:$C$72,H$71:H$72,基础状态预期!$AD232),0))</f>
        <v>0</v>
      </c>
      <c r="Y220" s="80">
        <f>IF(基础状态预期!$H232="",0,IF(基础状态预期!$AB232&lt;=1,基础状态预期!$AB232*D$18,D$18)*基础状态预期!$H232)+
IF(基础状态预期!$I232="",0,IF(基础状态预期!$AC232&lt;=1,基础状态预期!$AC232*D$19,D$19)*基础状态预期!$I232)+
IF(基础状态预期!$J232="",0,IF(基础状态预期!$AD232&lt;=1,基础状态预期!$AD232*D$20,D$20)*基础状态预期!$J232)</f>
        <v>48</v>
      </c>
      <c r="Z220" s="80">
        <f>IF(基础状态预期!$H232="",0,IF(基础状态预期!$AB232&lt;=1,基础状态预期!$AB232*E$18,E$18)*基础状态预期!$H232)+
IF(基础状态预期!$I232="",0,IF(基础状态预期!$AC232&lt;=1,基础状态预期!$AC232*E$19,E$19)*基础状态预期!$I232)+
IF(基础状态预期!$J232="",0,IF(基础状态预期!$AD232&lt;=1,基础状态预期!$AD232*E$20,E$20)*基础状态预期!$J232)</f>
        <v>0</v>
      </c>
      <c r="AA220" s="80">
        <f>IF(基础状态预期!$H232="",0,IF(基础状态预期!$AB232&lt;=1,基础状态预期!$AB232*F$18,F$18)*基础状态预期!$H232)+
IF(基础状态预期!$I232="",0,IF(基础状态预期!$AC232&lt;=1,基础状态预期!$AC232*F$19,F$19)*基础状态预期!$I232)+
IF(基础状态预期!$J232="",0,IF(基础状态预期!$AD232&lt;=1,基础状态预期!$AD232*F$20,F$20)*基础状态预期!$J232)</f>
        <v>0</v>
      </c>
      <c r="AB220" s="67">
        <f>IF(基础状态预期!$H232="",0,IF(基础状态预期!$AB232&lt;=1,0,(基础状态预期!$AB232-1)*G$26)*基础状态预期!$H232)+
IF(基础状态预期!$I232="",0,IF(基础状态预期!$AC232&lt;=1,0,(基础状态预期!$AC232-1)*G$27)*基础状态预期!$I232)+
IF(基础状态预期!$J232="",0,IF(基础状态预期!$AD232&lt;=1,0,(基础状态预期!$AD232-1)*G$28)*基础状态预期!$J232)</f>
        <v>240</v>
      </c>
      <c r="AC220" s="67">
        <f>IF(基础状态预期!$H232="",0,IF(基础状态预期!$AB232&lt;=1,0,(基础状态预期!$AB232-1)*H$26)*基础状态预期!$H232)+
IF(基础状态预期!$I232="",0,IF(基础状态预期!$AC232&lt;=1,0,(基础状态预期!$AC232-1)*H$27)*基础状态预期!$I232)+
IF(基础状态预期!$J232="",0,IF(基础状态预期!$AD232&lt;=1,0,(基础状态预期!$AD232-1)*H$28)*基础状态预期!$J232)</f>
        <v>0</v>
      </c>
      <c r="AD220" s="67">
        <f>IF(基础状态预期!$H232="",0,IF(基础状态预期!$AB232&lt;=1,0,(基础状态预期!$AB232-1)*I$26)*基础状态预期!$H232)+
IF(基础状态预期!$I232="",0,IF(基础状态预期!$AC232&lt;=1,0,(基础状态预期!$AC232-1)*I$27)*基础状态预期!$I232)+
IF(基础状态预期!$J232="",0,IF(基础状态预期!$AD232&lt;=1,0,(基础状态预期!$AD232-1)*I$28)*基础状态预期!$J232)</f>
        <v>0</v>
      </c>
      <c r="AE220" s="80">
        <f>IF(各r阵容卡情况!$H248=0,0,IF(各r阵容卡情况!$AB248&lt;=1,各r阵容卡情况!$AB248*D$18,1*D$18)*各r阵容卡情况!$H248)+
IF(各r阵容卡情况!$I248=0,0,IF(各r阵容卡情况!$AC248&lt;=1,各r阵容卡情况!$AC248*D$19,1*D$19)*各r阵容卡情况!$I248)+
IF(各r阵容卡情况!$J248=0,0,IF(各r阵容卡情况!$AD248&lt;=1,各r阵容卡情况!$AD248*D$20,1*D$20)*各r阵容卡情况!$J248)</f>
        <v>0</v>
      </c>
      <c r="AF220" s="80">
        <f>IF(各r阵容卡情况!$H248=0,0,IF(各r阵容卡情况!$AB248&lt;=1,各r阵容卡情况!$AB248*E$18,1*E$18)*各r阵容卡情况!$H248)+
IF(各r阵容卡情况!$I248=0,0,IF(各r阵容卡情况!$AC248&lt;=1,各r阵容卡情况!$AC248*E$19,1*E$19)*各r阵容卡情况!$I248)+
IF(各r阵容卡情况!$J248=0,0,IF(各r阵容卡情况!$AD248&lt;=1,各r阵容卡情况!$AD248*E$20,1*E$20)*各r阵容卡情况!$J248)</f>
        <v>0</v>
      </c>
      <c r="AG220" s="80">
        <f>IF(各r阵容卡情况!$H248=0,0,IF(各r阵容卡情况!$AB248&lt;=1,各r阵容卡情况!$AB248*F$18,1*F$18)*各r阵容卡情况!$H248)+
IF(各r阵容卡情况!$I248=0,0,IF(各r阵容卡情况!$AC248&lt;=1,各r阵容卡情况!$AC248*F$19,1*F$19)*各r阵容卡情况!$I248)+
IF(各r阵容卡情况!$J248=0,0,IF(各r阵容卡情况!$AD248&lt;=1,各r阵容卡情况!$AD248*F$20,1*F$20)*各r阵容卡情况!$J248)</f>
        <v>0</v>
      </c>
      <c r="AH220" s="67">
        <f>IF(各r阵容卡情况!$H248=0,0,IF(各r阵容卡情况!$AB248&lt;=1,0,(各r阵容卡情况!$AB248-1)*G$26)*各r阵容卡情况!$H248)+
IF(各r阵容卡情况!$I248=0,0,IF(各r阵容卡情况!$AC248&lt;=1,0,(各r阵容卡情况!$AC248-1)*G$27)*各r阵容卡情况!$I248)+
IF(各r阵容卡情况!$J248=0,0,IF(各r阵容卡情况!$AD248&lt;=1,0,(各r阵容卡情况!$AD248-1)*G$28)*各r阵容卡情况!$J248)</f>
        <v>0</v>
      </c>
      <c r="AI220" s="67">
        <f>IF(各r阵容卡情况!$H248=0,0,IF(各r阵容卡情况!$AB248&lt;=1,0,(各r阵容卡情况!$AB248-1)*H$26)*各r阵容卡情况!$H248)+
IF(各r阵容卡情况!$I248=0,0,IF(各r阵容卡情况!$AC248&lt;=1,0,(各r阵容卡情况!$AC248-1)*H$27)*各r阵容卡情况!$I248)+
IF(各r阵容卡情况!$J248=0,0,IF(各r阵容卡情况!$AD248&lt;=1,0,(各r阵容卡情况!$AD248-1)*H$28)*各r阵容卡情况!$J248)</f>
        <v>0</v>
      </c>
      <c r="AJ220" s="67">
        <f>IF(各r阵容卡情况!$H248=0,0,IF(各r阵容卡情况!$AB248&lt;=1,0,(各r阵容卡情况!$AB248-1)*I$26)*各r阵容卡情况!$H248)+
IF(各r阵容卡情况!$I248=0,0,IF(各r阵容卡情况!$AC248&lt;=1,0,(各r阵容卡情况!$AC248-1)*I$27)*各r阵容卡情况!$I248)+
IF(各r阵容卡情况!$J248=0,0,IF(各r阵容卡情况!$AD248&lt;=1,0,(各r阵容卡情况!$AD248-1)*I$28)*各r阵容卡情况!$J248)</f>
        <v>0</v>
      </c>
      <c r="AL220" s="80">
        <f t="shared" si="170"/>
        <v>185</v>
      </c>
      <c r="AM220" s="80">
        <f t="shared" si="171"/>
        <v>48</v>
      </c>
      <c r="AN220" s="80">
        <f t="shared" si="172"/>
        <v>0</v>
      </c>
      <c r="AO220" s="80">
        <f t="shared" si="173"/>
        <v>0</v>
      </c>
      <c r="AP220" s="80">
        <f t="shared" si="174"/>
        <v>240</v>
      </c>
      <c r="AQ220" s="80">
        <f t="shared" si="175"/>
        <v>0</v>
      </c>
      <c r="AR220" s="80">
        <f t="shared" si="176"/>
        <v>0</v>
      </c>
      <c r="AS220" s="80">
        <f t="shared" si="177"/>
        <v>0</v>
      </c>
      <c r="AT220" s="80">
        <f t="shared" si="178"/>
        <v>0</v>
      </c>
      <c r="AU220" s="80">
        <f t="shared" si="179"/>
        <v>0</v>
      </c>
      <c r="AV220" s="80">
        <f t="shared" si="180"/>
        <v>0</v>
      </c>
      <c r="AW220" s="80">
        <f t="shared" si="181"/>
        <v>0</v>
      </c>
      <c r="AX220" s="80">
        <f t="shared" si="182"/>
        <v>0</v>
      </c>
      <c r="AY220" s="61" t="e">
        <f>SUMPRODUCT(AM220:AR220/'[1]功能-行军令'!$GI$26:$GN$26+AS220:AX220/'[1]功能-行军令'!$GI$26:$GN$26)/0.18</f>
        <v>#DIV/0!</v>
      </c>
      <c r="BO220" s="80">
        <f t="shared" si="168"/>
        <v>151.40240982411487</v>
      </c>
      <c r="BP220" s="80">
        <f t="shared" si="169"/>
        <v>12300000</v>
      </c>
      <c r="BQ220" s="80">
        <f>(BP220-BP219)*INDEX('[1]功能-付费相关'!$AU$6:$AU$165,$BO220,1)+BQ219</f>
        <v>16450.938733882616</v>
      </c>
      <c r="BR220" s="80"/>
      <c r="BS220" s="80"/>
    </row>
    <row r="221" spans="12:71" x14ac:dyDescent="0.15">
      <c r="L221" s="61">
        <v>40</v>
      </c>
      <c r="M221" s="80">
        <f>基础状态预期!D233</f>
        <v>151.40240982411487</v>
      </c>
      <c r="N221" s="80">
        <f>IF(基础状态预期!F233="",0,IF(基础状态预期!Z233&lt;=1,基础状态预期!Z233*D$4,1*D$4+(基础状态预期!Z233-1)*武将觉醒!D$5))</f>
        <v>0</v>
      </c>
      <c r="O221" s="80">
        <f>IF(基础状态预期!G233="",0,IF(基础状态预期!AA233&lt;=1,基础状态预期!AA233*E$4,1*E$4+(基础状态预期!AA233-1)*武将觉醒!E$5))</f>
        <v>0</v>
      </c>
      <c r="P221" s="80">
        <f>IF(基础状态预期!H233="",0,IF(基础状态预期!AB233&lt;=1,基础状态预期!AB233*F$4,1*F$4+(基础状态预期!AB233-1)*武将觉醒!F$5))</f>
        <v>0</v>
      </c>
      <c r="Q221" s="80">
        <f>IF(基础状态预期!I233="",0,IF(基础状态预期!AC233&lt;=1,基础状态预期!AC233*G$4,1*G$4+(基础状态预期!AC233-1)*武将觉醒!G$5))</f>
        <v>0</v>
      </c>
      <c r="R221" s="80">
        <f>IF(基础状态预期!J233="",0,IF(基础状态预期!AD233&lt;=1,基础状态预期!AD233*H$4,1*H$4+(基础状态预期!AD233-1)*武将觉醒!H$5))</f>
        <v>2050000</v>
      </c>
      <c r="S221" s="80">
        <f>MAX(SUMPRODUCT(N221:R221,基础状态预期!F233:J233),S220)</f>
        <v>12300000</v>
      </c>
      <c r="T221" s="80">
        <f>IF(基础状态预期!Z233="",0,IFERROR(基础状态预期!F233*求节点($C$62:$C$63,D$62:D$63,基础状态预期!Z233),0)+IFERROR(基础状态预期!$J233*求节点($C$71:$C$72,D$71:D$72,基础状态预期!$AD233),0))</f>
        <v>0</v>
      </c>
      <c r="U221" s="80">
        <f>IF(基础状态预期!AA233="",0,IFERROR(基础状态预期!G233*求节点($C$62:$C$63,E$62:E$63,基础状态预期!AA233),0)+IFERROR(基础状态预期!$J233*求节点($C$71:$C$72,E$71:E$72,基础状态预期!$AD233),0))</f>
        <v>0</v>
      </c>
      <c r="V221" s="80">
        <f>IF(基础状态预期!AB233="",0,IFERROR(基础状态预期!H233*求节点($C$62:$C$63,F$62:F$63,基础状态预期!AB233),0)+IFERROR(基础状态预期!$J233*求节点($C$71:$C$72,F$71:F$72,基础状态预期!$AD233),0))</f>
        <v>0</v>
      </c>
      <c r="W221" s="80">
        <f>IF(基础状态预期!AC233="",0,IFERROR(基础状态预期!I233*求节点($C$62:$C$63,G$62:G$63,基础状态预期!AC233),0)+IFERROR(基础状态预期!$J233*求节点($C$71:$C$72,G$71:G$72,基础状态预期!$AD233),0))</f>
        <v>0</v>
      </c>
      <c r="X221" s="80">
        <f>IF(基础状态预期!AD233="",0,IFERROR(基础状态预期!J233*求节点($C$62:$C$63,H$62:H$63,基础状态预期!AD233),0)+IFERROR(基础状态预期!$J233*求节点($C$71:$C$72,H$71:H$72,基础状态预期!$AD233),0))</f>
        <v>0</v>
      </c>
      <c r="Y221" s="80">
        <f>IF(基础状态预期!$H233="",0,IF(基础状态预期!$AB233&lt;=1,基础状态预期!$AB233*D$18,D$18)*基础状态预期!$H233)+
IF(基础状态预期!$I233="",0,IF(基础状态预期!$AC233&lt;=1,基础状态预期!$AC233*D$19,D$19)*基础状态预期!$I233)+
IF(基础状态预期!$J233="",0,IF(基础状态预期!$AD233&lt;=1,基础状态预期!$AD233*D$20,D$20)*基础状态预期!$J233)</f>
        <v>48</v>
      </c>
      <c r="Z221" s="80">
        <f>IF(基础状态预期!$H233="",0,IF(基础状态预期!$AB233&lt;=1,基础状态预期!$AB233*E$18,E$18)*基础状态预期!$H233)+
IF(基础状态预期!$I233="",0,IF(基础状态预期!$AC233&lt;=1,基础状态预期!$AC233*E$19,E$19)*基础状态预期!$I233)+
IF(基础状态预期!$J233="",0,IF(基础状态预期!$AD233&lt;=1,基础状态预期!$AD233*E$20,E$20)*基础状态预期!$J233)</f>
        <v>0</v>
      </c>
      <c r="AA221" s="80">
        <f>IF(基础状态预期!$H233="",0,IF(基础状态预期!$AB233&lt;=1,基础状态预期!$AB233*F$18,F$18)*基础状态预期!$H233)+
IF(基础状态预期!$I233="",0,IF(基础状态预期!$AC233&lt;=1,基础状态预期!$AC233*F$19,F$19)*基础状态预期!$I233)+
IF(基础状态预期!$J233="",0,IF(基础状态预期!$AD233&lt;=1,基础状态预期!$AD233*F$20,F$20)*基础状态预期!$J233)</f>
        <v>0</v>
      </c>
      <c r="AB221" s="67">
        <f>IF(基础状态预期!$H233="",0,IF(基础状态预期!$AB233&lt;=1,0,(基础状态预期!$AB233-1)*G$26)*基础状态预期!$H233)+
IF(基础状态预期!$I233="",0,IF(基础状态预期!$AC233&lt;=1,0,(基础状态预期!$AC233-1)*G$27)*基础状态预期!$I233)+
IF(基础状态预期!$J233="",0,IF(基础状态预期!$AD233&lt;=1,0,(基础状态预期!$AD233-1)*G$28)*基础状态预期!$J233)</f>
        <v>240</v>
      </c>
      <c r="AC221" s="67">
        <f>IF(基础状态预期!$H233="",0,IF(基础状态预期!$AB233&lt;=1,0,(基础状态预期!$AB233-1)*H$26)*基础状态预期!$H233)+
IF(基础状态预期!$I233="",0,IF(基础状态预期!$AC233&lt;=1,0,(基础状态预期!$AC233-1)*H$27)*基础状态预期!$I233)+
IF(基础状态预期!$J233="",0,IF(基础状态预期!$AD233&lt;=1,0,(基础状态预期!$AD233-1)*H$28)*基础状态预期!$J233)</f>
        <v>0</v>
      </c>
      <c r="AD221" s="67">
        <f>IF(基础状态预期!$H233="",0,IF(基础状态预期!$AB233&lt;=1,0,(基础状态预期!$AB233-1)*I$26)*基础状态预期!$H233)+
IF(基础状态预期!$I233="",0,IF(基础状态预期!$AC233&lt;=1,0,(基础状态预期!$AC233-1)*I$27)*基础状态预期!$I233)+
IF(基础状态预期!$J233="",0,IF(基础状态预期!$AD233&lt;=1,0,(基础状态预期!$AD233-1)*I$28)*基础状态预期!$J233)</f>
        <v>0</v>
      </c>
      <c r="AE221" s="80">
        <f>IF(各r阵容卡情况!$H249=0,0,IF(各r阵容卡情况!$AB249&lt;=1,各r阵容卡情况!$AB249*D$18,1*D$18)*各r阵容卡情况!$H249)+
IF(各r阵容卡情况!$I249=0,0,IF(各r阵容卡情况!$AC249&lt;=1,各r阵容卡情况!$AC249*D$19,1*D$19)*各r阵容卡情况!$I249)+
IF(各r阵容卡情况!$J249=0,0,IF(各r阵容卡情况!$AD249&lt;=1,各r阵容卡情况!$AD249*D$20,1*D$20)*各r阵容卡情况!$J249)</f>
        <v>0</v>
      </c>
      <c r="AF221" s="80">
        <f>IF(各r阵容卡情况!$H249=0,0,IF(各r阵容卡情况!$AB249&lt;=1,各r阵容卡情况!$AB249*E$18,1*E$18)*各r阵容卡情况!$H249)+
IF(各r阵容卡情况!$I249=0,0,IF(各r阵容卡情况!$AC249&lt;=1,各r阵容卡情况!$AC249*E$19,1*E$19)*各r阵容卡情况!$I249)+
IF(各r阵容卡情况!$J249=0,0,IF(各r阵容卡情况!$AD249&lt;=1,各r阵容卡情况!$AD249*E$20,1*E$20)*各r阵容卡情况!$J249)</f>
        <v>0</v>
      </c>
      <c r="AG221" s="80">
        <f>IF(各r阵容卡情况!$H249=0,0,IF(各r阵容卡情况!$AB249&lt;=1,各r阵容卡情况!$AB249*F$18,1*F$18)*各r阵容卡情况!$H249)+
IF(各r阵容卡情况!$I249=0,0,IF(各r阵容卡情况!$AC249&lt;=1,各r阵容卡情况!$AC249*F$19,1*F$19)*各r阵容卡情况!$I249)+
IF(各r阵容卡情况!$J249=0,0,IF(各r阵容卡情况!$AD249&lt;=1,各r阵容卡情况!$AD249*F$20,1*F$20)*各r阵容卡情况!$J249)</f>
        <v>0</v>
      </c>
      <c r="AH221" s="67">
        <f>IF(各r阵容卡情况!$H249=0,0,IF(各r阵容卡情况!$AB249&lt;=1,0,(各r阵容卡情况!$AB249-1)*G$26)*各r阵容卡情况!$H249)+
IF(各r阵容卡情况!$I249=0,0,IF(各r阵容卡情况!$AC249&lt;=1,0,(各r阵容卡情况!$AC249-1)*G$27)*各r阵容卡情况!$I249)+
IF(各r阵容卡情况!$J249=0,0,IF(各r阵容卡情况!$AD249&lt;=1,0,(各r阵容卡情况!$AD249-1)*G$28)*各r阵容卡情况!$J249)</f>
        <v>0</v>
      </c>
      <c r="AI221" s="67">
        <f>IF(各r阵容卡情况!$H249=0,0,IF(各r阵容卡情况!$AB249&lt;=1,0,(各r阵容卡情况!$AB249-1)*H$26)*各r阵容卡情况!$H249)+
IF(各r阵容卡情况!$I249=0,0,IF(各r阵容卡情况!$AC249&lt;=1,0,(各r阵容卡情况!$AC249-1)*H$27)*各r阵容卡情况!$I249)+
IF(各r阵容卡情况!$J249=0,0,IF(各r阵容卡情况!$AD249&lt;=1,0,(各r阵容卡情况!$AD249-1)*H$28)*各r阵容卡情况!$J249)</f>
        <v>0</v>
      </c>
      <c r="AJ221" s="67">
        <f>IF(各r阵容卡情况!$H249=0,0,IF(各r阵容卡情况!$AB249&lt;=1,0,(各r阵容卡情况!$AB249-1)*I$26)*各r阵容卡情况!$H249)+
IF(各r阵容卡情况!$I249=0,0,IF(各r阵容卡情况!$AC249&lt;=1,0,(各r阵容卡情况!$AC249-1)*I$27)*各r阵容卡情况!$I249)+
IF(各r阵容卡情况!$J249=0,0,IF(各r阵容卡情况!$AD249&lt;=1,0,(各r阵容卡情况!$AD249-1)*I$28)*各r阵容卡情况!$J249)</f>
        <v>0</v>
      </c>
      <c r="AL221" s="80">
        <f t="shared" si="170"/>
        <v>190</v>
      </c>
      <c r="AM221" s="80">
        <f t="shared" si="171"/>
        <v>48</v>
      </c>
      <c r="AN221" s="80">
        <f t="shared" si="172"/>
        <v>0</v>
      </c>
      <c r="AO221" s="80">
        <f t="shared" si="173"/>
        <v>0</v>
      </c>
      <c r="AP221" s="80">
        <f t="shared" si="174"/>
        <v>240</v>
      </c>
      <c r="AQ221" s="80">
        <f t="shared" si="175"/>
        <v>0</v>
      </c>
      <c r="AR221" s="80">
        <f t="shared" si="176"/>
        <v>0</v>
      </c>
      <c r="AS221" s="80">
        <f t="shared" si="177"/>
        <v>0</v>
      </c>
      <c r="AT221" s="80">
        <f t="shared" si="178"/>
        <v>0</v>
      </c>
      <c r="AU221" s="80">
        <f t="shared" si="179"/>
        <v>0</v>
      </c>
      <c r="AV221" s="80">
        <f t="shared" si="180"/>
        <v>0</v>
      </c>
      <c r="AW221" s="80">
        <f t="shared" si="181"/>
        <v>0</v>
      </c>
      <c r="AX221" s="80">
        <f t="shared" si="182"/>
        <v>0</v>
      </c>
      <c r="AY221" s="61" t="e">
        <f>SUMPRODUCT(AM221:AR221/'[1]功能-行军令'!$GI$26:$GN$26+AS221:AX221/'[1]功能-行军令'!$GI$26:$GN$26)/0.18</f>
        <v>#DIV/0!</v>
      </c>
      <c r="BO221" s="80">
        <f t="shared" si="168"/>
        <v>152.00526961196863</v>
      </c>
      <c r="BP221" s="80">
        <f t="shared" si="169"/>
        <v>12300000</v>
      </c>
      <c r="BQ221" s="80">
        <f>(BP221-BP220)*INDEX('[1]功能-付费相关'!$AU$6:$AU$165,$BO221,1)+BQ220</f>
        <v>16450.938733882616</v>
      </c>
      <c r="BR221" s="80"/>
      <c r="BS221" s="80"/>
    </row>
    <row r="222" spans="12:71" x14ac:dyDescent="0.15">
      <c r="L222" s="61">
        <v>41</v>
      </c>
      <c r="M222" s="80">
        <f>基础状态预期!D234</f>
        <v>152.00526961196863</v>
      </c>
      <c r="N222" s="80">
        <f>IF(基础状态预期!F234="",0,IF(基础状态预期!Z234&lt;=1,基础状态预期!Z234*D$4,1*D$4+(基础状态预期!Z234-1)*武将觉醒!D$5))</f>
        <v>0</v>
      </c>
      <c r="O222" s="80">
        <f>IF(基础状态预期!G234="",0,IF(基础状态预期!AA234&lt;=1,基础状态预期!AA234*E$4,1*E$4+(基础状态预期!AA234-1)*武将觉醒!E$5))</f>
        <v>0</v>
      </c>
      <c r="P222" s="80">
        <f>IF(基础状态预期!H234="",0,IF(基础状态预期!AB234&lt;=1,基础状态预期!AB234*F$4,1*F$4+(基础状态预期!AB234-1)*武将觉醒!F$5))</f>
        <v>0</v>
      </c>
      <c r="Q222" s="80">
        <f>IF(基础状态预期!I234="",0,IF(基础状态预期!AC234&lt;=1,基础状态预期!AC234*G$4,1*G$4+(基础状态预期!AC234-1)*武将觉醒!G$5))</f>
        <v>0</v>
      </c>
      <c r="R222" s="80">
        <f>IF(基础状态预期!J234="",0,IF(基础状态预期!AD234&lt;=1,基础状态预期!AD234*H$4,1*H$4+(基础状态预期!AD234-1)*武将觉醒!H$5))</f>
        <v>2050000</v>
      </c>
      <c r="S222" s="80">
        <f>MAX(SUMPRODUCT(N222:R222,基础状态预期!F234:J234),S221)</f>
        <v>12300000</v>
      </c>
      <c r="T222" s="80">
        <f>IF(基础状态预期!Z234="",0,IFERROR(基础状态预期!F234*求节点($C$62:$C$63,D$62:D$63,基础状态预期!Z234),0)+IFERROR(基础状态预期!$J234*求节点($C$71:$C$72,D$71:D$72,基础状态预期!$AD234),0))</f>
        <v>0</v>
      </c>
      <c r="U222" s="80">
        <f>IF(基础状态预期!AA234="",0,IFERROR(基础状态预期!G234*求节点($C$62:$C$63,E$62:E$63,基础状态预期!AA234),0)+IFERROR(基础状态预期!$J234*求节点($C$71:$C$72,E$71:E$72,基础状态预期!$AD234),0))</f>
        <v>0</v>
      </c>
      <c r="V222" s="80">
        <f>IF(基础状态预期!AB234="",0,IFERROR(基础状态预期!H234*求节点($C$62:$C$63,F$62:F$63,基础状态预期!AB234),0)+IFERROR(基础状态预期!$J234*求节点($C$71:$C$72,F$71:F$72,基础状态预期!$AD234),0))</f>
        <v>0</v>
      </c>
      <c r="W222" s="80">
        <f>IF(基础状态预期!AC234="",0,IFERROR(基础状态预期!I234*求节点($C$62:$C$63,G$62:G$63,基础状态预期!AC234),0)+IFERROR(基础状态预期!$J234*求节点($C$71:$C$72,G$71:G$72,基础状态预期!$AD234),0))</f>
        <v>0</v>
      </c>
      <c r="X222" s="80">
        <f>IF(基础状态预期!AD234="",0,IFERROR(基础状态预期!J234*求节点($C$62:$C$63,H$62:H$63,基础状态预期!AD234),0)+IFERROR(基础状态预期!$J234*求节点($C$71:$C$72,H$71:H$72,基础状态预期!$AD234),0))</f>
        <v>0</v>
      </c>
      <c r="Y222" s="80">
        <f>IF(基础状态预期!$H234="",0,IF(基础状态预期!$AB234&lt;=1,基础状态预期!$AB234*D$18,D$18)*基础状态预期!$H234)+
IF(基础状态预期!$I234="",0,IF(基础状态预期!$AC234&lt;=1,基础状态预期!$AC234*D$19,D$19)*基础状态预期!$I234)+
IF(基础状态预期!$J234="",0,IF(基础状态预期!$AD234&lt;=1,基础状态预期!$AD234*D$20,D$20)*基础状态预期!$J234)</f>
        <v>48</v>
      </c>
      <c r="Z222" s="80">
        <f>IF(基础状态预期!$H234="",0,IF(基础状态预期!$AB234&lt;=1,基础状态预期!$AB234*E$18,E$18)*基础状态预期!$H234)+
IF(基础状态预期!$I234="",0,IF(基础状态预期!$AC234&lt;=1,基础状态预期!$AC234*E$19,E$19)*基础状态预期!$I234)+
IF(基础状态预期!$J234="",0,IF(基础状态预期!$AD234&lt;=1,基础状态预期!$AD234*E$20,E$20)*基础状态预期!$J234)</f>
        <v>0</v>
      </c>
      <c r="AA222" s="80">
        <f>IF(基础状态预期!$H234="",0,IF(基础状态预期!$AB234&lt;=1,基础状态预期!$AB234*F$18,F$18)*基础状态预期!$H234)+
IF(基础状态预期!$I234="",0,IF(基础状态预期!$AC234&lt;=1,基础状态预期!$AC234*F$19,F$19)*基础状态预期!$I234)+
IF(基础状态预期!$J234="",0,IF(基础状态预期!$AD234&lt;=1,基础状态预期!$AD234*F$20,F$20)*基础状态预期!$J234)</f>
        <v>0</v>
      </c>
      <c r="AB222" s="67">
        <f>IF(基础状态预期!$H234="",0,IF(基础状态预期!$AB234&lt;=1,0,(基础状态预期!$AB234-1)*G$26)*基础状态预期!$H234)+
IF(基础状态预期!$I234="",0,IF(基础状态预期!$AC234&lt;=1,0,(基础状态预期!$AC234-1)*G$27)*基础状态预期!$I234)+
IF(基础状态预期!$J234="",0,IF(基础状态预期!$AD234&lt;=1,0,(基础状态预期!$AD234-1)*G$28)*基础状态预期!$J234)</f>
        <v>240</v>
      </c>
      <c r="AC222" s="67">
        <f>IF(基础状态预期!$H234="",0,IF(基础状态预期!$AB234&lt;=1,0,(基础状态预期!$AB234-1)*H$26)*基础状态预期!$H234)+
IF(基础状态预期!$I234="",0,IF(基础状态预期!$AC234&lt;=1,0,(基础状态预期!$AC234-1)*H$27)*基础状态预期!$I234)+
IF(基础状态预期!$J234="",0,IF(基础状态预期!$AD234&lt;=1,0,(基础状态预期!$AD234-1)*H$28)*基础状态预期!$J234)</f>
        <v>0</v>
      </c>
      <c r="AD222" s="67">
        <f>IF(基础状态预期!$H234="",0,IF(基础状态预期!$AB234&lt;=1,0,(基础状态预期!$AB234-1)*I$26)*基础状态预期!$H234)+
IF(基础状态预期!$I234="",0,IF(基础状态预期!$AC234&lt;=1,0,(基础状态预期!$AC234-1)*I$27)*基础状态预期!$I234)+
IF(基础状态预期!$J234="",0,IF(基础状态预期!$AD234&lt;=1,0,(基础状态预期!$AD234-1)*I$28)*基础状态预期!$J234)</f>
        <v>0</v>
      </c>
      <c r="AE222" s="80">
        <f>IF(各r阵容卡情况!$H250=0,0,IF(各r阵容卡情况!$AB250&lt;=1,各r阵容卡情况!$AB250*D$18,1*D$18)*各r阵容卡情况!$H250)+
IF(各r阵容卡情况!$I250=0,0,IF(各r阵容卡情况!$AC250&lt;=1,各r阵容卡情况!$AC250*D$19,1*D$19)*各r阵容卡情况!$I250)+
IF(各r阵容卡情况!$J250=0,0,IF(各r阵容卡情况!$AD250&lt;=1,各r阵容卡情况!$AD250*D$20,1*D$20)*各r阵容卡情况!$J250)</f>
        <v>0</v>
      </c>
      <c r="AF222" s="80">
        <f>IF(各r阵容卡情况!$H250=0,0,IF(各r阵容卡情况!$AB250&lt;=1,各r阵容卡情况!$AB250*E$18,1*E$18)*各r阵容卡情况!$H250)+
IF(各r阵容卡情况!$I250=0,0,IF(各r阵容卡情况!$AC250&lt;=1,各r阵容卡情况!$AC250*E$19,1*E$19)*各r阵容卡情况!$I250)+
IF(各r阵容卡情况!$J250=0,0,IF(各r阵容卡情况!$AD250&lt;=1,各r阵容卡情况!$AD250*E$20,1*E$20)*各r阵容卡情况!$J250)</f>
        <v>0</v>
      </c>
      <c r="AG222" s="80">
        <f>IF(各r阵容卡情况!$H250=0,0,IF(各r阵容卡情况!$AB250&lt;=1,各r阵容卡情况!$AB250*F$18,1*F$18)*各r阵容卡情况!$H250)+
IF(各r阵容卡情况!$I250=0,0,IF(各r阵容卡情况!$AC250&lt;=1,各r阵容卡情况!$AC250*F$19,1*F$19)*各r阵容卡情况!$I250)+
IF(各r阵容卡情况!$J250=0,0,IF(各r阵容卡情况!$AD250&lt;=1,各r阵容卡情况!$AD250*F$20,1*F$20)*各r阵容卡情况!$J250)</f>
        <v>0</v>
      </c>
      <c r="AH222" s="67">
        <f>IF(各r阵容卡情况!$H250=0,0,IF(各r阵容卡情况!$AB250&lt;=1,0,(各r阵容卡情况!$AB250-1)*G$26)*各r阵容卡情况!$H250)+
IF(各r阵容卡情况!$I250=0,0,IF(各r阵容卡情况!$AC250&lt;=1,0,(各r阵容卡情况!$AC250-1)*G$27)*各r阵容卡情况!$I250)+
IF(各r阵容卡情况!$J250=0,0,IF(各r阵容卡情况!$AD250&lt;=1,0,(各r阵容卡情况!$AD250-1)*G$28)*各r阵容卡情况!$J250)</f>
        <v>0</v>
      </c>
      <c r="AI222" s="67">
        <f>IF(各r阵容卡情况!$H250=0,0,IF(各r阵容卡情况!$AB250&lt;=1,0,(各r阵容卡情况!$AB250-1)*H$26)*各r阵容卡情况!$H250)+
IF(各r阵容卡情况!$I250=0,0,IF(各r阵容卡情况!$AC250&lt;=1,0,(各r阵容卡情况!$AC250-1)*H$27)*各r阵容卡情况!$I250)+
IF(各r阵容卡情况!$J250=0,0,IF(各r阵容卡情况!$AD250&lt;=1,0,(各r阵容卡情况!$AD250-1)*H$28)*各r阵容卡情况!$J250)</f>
        <v>0</v>
      </c>
      <c r="AJ222" s="67">
        <f>IF(各r阵容卡情况!$H250=0,0,IF(各r阵容卡情况!$AB250&lt;=1,0,(各r阵容卡情况!$AB250-1)*I$26)*各r阵容卡情况!$H250)+
IF(各r阵容卡情况!$I250=0,0,IF(各r阵容卡情况!$AC250&lt;=1,0,(各r阵容卡情况!$AC250-1)*I$27)*各r阵容卡情况!$I250)+
IF(各r阵容卡情况!$J250=0,0,IF(各r阵容卡情况!$AD250&lt;=1,0,(各r阵容卡情况!$AD250-1)*I$28)*各r阵容卡情况!$J250)</f>
        <v>0</v>
      </c>
      <c r="AL222" s="80">
        <f t="shared" si="170"/>
        <v>195</v>
      </c>
      <c r="AM222" s="80">
        <f t="shared" si="171"/>
        <v>48</v>
      </c>
      <c r="AN222" s="80">
        <f t="shared" si="172"/>
        <v>0</v>
      </c>
      <c r="AO222" s="80">
        <f t="shared" si="173"/>
        <v>0</v>
      </c>
      <c r="AP222" s="80">
        <f t="shared" si="174"/>
        <v>240</v>
      </c>
      <c r="AQ222" s="80">
        <f t="shared" si="175"/>
        <v>0</v>
      </c>
      <c r="AR222" s="80">
        <f t="shared" si="176"/>
        <v>0</v>
      </c>
      <c r="AS222" s="80">
        <f t="shared" si="177"/>
        <v>0</v>
      </c>
      <c r="AT222" s="80">
        <f t="shared" si="178"/>
        <v>0</v>
      </c>
      <c r="AU222" s="80">
        <f t="shared" si="179"/>
        <v>0</v>
      </c>
      <c r="AV222" s="80">
        <f t="shared" si="180"/>
        <v>0</v>
      </c>
      <c r="AW222" s="80">
        <f t="shared" si="181"/>
        <v>0</v>
      </c>
      <c r="AX222" s="80">
        <f t="shared" si="182"/>
        <v>0</v>
      </c>
      <c r="AY222" s="61" t="e">
        <f>SUMPRODUCT(AM222:AR222/'[1]功能-行军令'!$GI$26:$GN$26+AS222:AX222/'[1]功能-行军令'!$GI$26:$GN$26)/0.18</f>
        <v>#DIV/0!</v>
      </c>
      <c r="BO222" s="80">
        <f t="shared" si="168"/>
        <v>152.38629594951036</v>
      </c>
      <c r="BP222" s="80">
        <f t="shared" si="169"/>
        <v>12300000</v>
      </c>
      <c r="BQ222" s="80">
        <f>(BP222-BP221)*INDEX('[1]功能-付费相关'!$AU$6:$AU$165,$BO222,1)+BQ221</f>
        <v>16450.938733882616</v>
      </c>
      <c r="BR222" s="80"/>
      <c r="BS222" s="80"/>
    </row>
    <row r="223" spans="12:71" x14ac:dyDescent="0.15">
      <c r="L223" s="61">
        <v>42</v>
      </c>
      <c r="M223" s="80">
        <f>基础状态预期!D235</f>
        <v>152.38629594951036</v>
      </c>
      <c r="N223" s="80">
        <f>IF(基础状态预期!F235="",0,IF(基础状态预期!Z235&lt;=1,基础状态预期!Z235*D$4,1*D$4+(基础状态预期!Z235-1)*武将觉醒!D$5))</f>
        <v>0</v>
      </c>
      <c r="O223" s="80">
        <f>IF(基础状态预期!G235="",0,IF(基础状态预期!AA235&lt;=1,基础状态预期!AA235*E$4,1*E$4+(基础状态预期!AA235-1)*武将觉醒!E$5))</f>
        <v>0</v>
      </c>
      <c r="P223" s="80">
        <f>IF(基础状态预期!H235="",0,IF(基础状态预期!AB235&lt;=1,基础状态预期!AB235*F$4,1*F$4+(基础状态预期!AB235-1)*武将觉醒!F$5))</f>
        <v>0</v>
      </c>
      <c r="Q223" s="80">
        <f>IF(基础状态预期!I235="",0,IF(基础状态预期!AC235&lt;=1,基础状态预期!AC235*G$4,1*G$4+(基础状态预期!AC235-1)*武将觉醒!G$5))</f>
        <v>0</v>
      </c>
      <c r="R223" s="80">
        <f>IF(基础状态预期!J235="",0,IF(基础状态预期!AD235&lt;=1,基础状态预期!AD235*H$4,1*H$4+(基础状态预期!AD235-1)*武将觉醒!H$5))</f>
        <v>2050000</v>
      </c>
      <c r="S223" s="80">
        <f>MAX(SUMPRODUCT(N223:R223,基础状态预期!F235:J235),S222)</f>
        <v>12300000</v>
      </c>
      <c r="T223" s="80">
        <f>IF(基础状态预期!Z235="",0,IFERROR(基础状态预期!F235*求节点($C$62:$C$63,D$62:D$63,基础状态预期!Z235),0)+IFERROR(基础状态预期!$J235*求节点($C$71:$C$72,D$71:D$72,基础状态预期!$AD235),0))</f>
        <v>0</v>
      </c>
      <c r="U223" s="80">
        <f>IF(基础状态预期!AA235="",0,IFERROR(基础状态预期!G235*求节点($C$62:$C$63,E$62:E$63,基础状态预期!AA235),0)+IFERROR(基础状态预期!$J235*求节点($C$71:$C$72,E$71:E$72,基础状态预期!$AD235),0))</f>
        <v>0</v>
      </c>
      <c r="V223" s="80">
        <f>IF(基础状态预期!AB235="",0,IFERROR(基础状态预期!H235*求节点($C$62:$C$63,F$62:F$63,基础状态预期!AB235),0)+IFERROR(基础状态预期!$J235*求节点($C$71:$C$72,F$71:F$72,基础状态预期!$AD235),0))</f>
        <v>0</v>
      </c>
      <c r="W223" s="80">
        <f>IF(基础状态预期!AC235="",0,IFERROR(基础状态预期!I235*求节点($C$62:$C$63,G$62:G$63,基础状态预期!AC235),0)+IFERROR(基础状态预期!$J235*求节点($C$71:$C$72,G$71:G$72,基础状态预期!$AD235),0))</f>
        <v>0</v>
      </c>
      <c r="X223" s="80">
        <f>IF(基础状态预期!AD235="",0,IFERROR(基础状态预期!J235*求节点($C$62:$C$63,H$62:H$63,基础状态预期!AD235),0)+IFERROR(基础状态预期!$J235*求节点($C$71:$C$72,H$71:H$72,基础状态预期!$AD235),0))</f>
        <v>0</v>
      </c>
      <c r="Y223" s="80">
        <f>IF(基础状态预期!$H235="",0,IF(基础状态预期!$AB235&lt;=1,基础状态预期!$AB235*D$18,D$18)*基础状态预期!$H235)+
IF(基础状态预期!$I235="",0,IF(基础状态预期!$AC235&lt;=1,基础状态预期!$AC235*D$19,D$19)*基础状态预期!$I235)+
IF(基础状态预期!$J235="",0,IF(基础状态预期!$AD235&lt;=1,基础状态预期!$AD235*D$20,D$20)*基础状态预期!$J235)</f>
        <v>48</v>
      </c>
      <c r="Z223" s="80">
        <f>IF(基础状态预期!$H235="",0,IF(基础状态预期!$AB235&lt;=1,基础状态预期!$AB235*E$18,E$18)*基础状态预期!$H235)+
IF(基础状态预期!$I235="",0,IF(基础状态预期!$AC235&lt;=1,基础状态预期!$AC235*E$19,E$19)*基础状态预期!$I235)+
IF(基础状态预期!$J235="",0,IF(基础状态预期!$AD235&lt;=1,基础状态预期!$AD235*E$20,E$20)*基础状态预期!$J235)</f>
        <v>0</v>
      </c>
      <c r="AA223" s="80">
        <f>IF(基础状态预期!$H235="",0,IF(基础状态预期!$AB235&lt;=1,基础状态预期!$AB235*F$18,F$18)*基础状态预期!$H235)+
IF(基础状态预期!$I235="",0,IF(基础状态预期!$AC235&lt;=1,基础状态预期!$AC235*F$19,F$19)*基础状态预期!$I235)+
IF(基础状态预期!$J235="",0,IF(基础状态预期!$AD235&lt;=1,基础状态预期!$AD235*F$20,F$20)*基础状态预期!$J235)</f>
        <v>0</v>
      </c>
      <c r="AB223" s="67">
        <f>IF(基础状态预期!$H235="",0,IF(基础状态预期!$AB235&lt;=1,0,(基础状态预期!$AB235-1)*G$26)*基础状态预期!$H235)+
IF(基础状态预期!$I235="",0,IF(基础状态预期!$AC235&lt;=1,0,(基础状态预期!$AC235-1)*G$27)*基础状态预期!$I235)+
IF(基础状态预期!$J235="",0,IF(基础状态预期!$AD235&lt;=1,0,(基础状态预期!$AD235-1)*G$28)*基础状态预期!$J235)</f>
        <v>240</v>
      </c>
      <c r="AC223" s="67">
        <f>IF(基础状态预期!$H235="",0,IF(基础状态预期!$AB235&lt;=1,0,(基础状态预期!$AB235-1)*H$26)*基础状态预期!$H235)+
IF(基础状态预期!$I235="",0,IF(基础状态预期!$AC235&lt;=1,0,(基础状态预期!$AC235-1)*H$27)*基础状态预期!$I235)+
IF(基础状态预期!$J235="",0,IF(基础状态预期!$AD235&lt;=1,0,(基础状态预期!$AD235-1)*H$28)*基础状态预期!$J235)</f>
        <v>0</v>
      </c>
      <c r="AD223" s="67">
        <f>IF(基础状态预期!$H235="",0,IF(基础状态预期!$AB235&lt;=1,0,(基础状态预期!$AB235-1)*I$26)*基础状态预期!$H235)+
IF(基础状态预期!$I235="",0,IF(基础状态预期!$AC235&lt;=1,0,(基础状态预期!$AC235-1)*I$27)*基础状态预期!$I235)+
IF(基础状态预期!$J235="",0,IF(基础状态预期!$AD235&lt;=1,0,(基础状态预期!$AD235-1)*I$28)*基础状态预期!$J235)</f>
        <v>0</v>
      </c>
      <c r="AE223" s="80">
        <f>IF(各r阵容卡情况!$H251=0,0,IF(各r阵容卡情况!$AB251&lt;=1,各r阵容卡情况!$AB251*D$18,1*D$18)*各r阵容卡情况!$H251)+
IF(各r阵容卡情况!$I251=0,0,IF(各r阵容卡情况!$AC251&lt;=1,各r阵容卡情况!$AC251*D$19,1*D$19)*各r阵容卡情况!$I251)+
IF(各r阵容卡情况!$J251=0,0,IF(各r阵容卡情况!$AD251&lt;=1,各r阵容卡情况!$AD251*D$20,1*D$20)*各r阵容卡情况!$J251)</f>
        <v>0</v>
      </c>
      <c r="AF223" s="80">
        <f>IF(各r阵容卡情况!$H251=0,0,IF(各r阵容卡情况!$AB251&lt;=1,各r阵容卡情况!$AB251*E$18,1*E$18)*各r阵容卡情况!$H251)+
IF(各r阵容卡情况!$I251=0,0,IF(各r阵容卡情况!$AC251&lt;=1,各r阵容卡情况!$AC251*E$19,1*E$19)*各r阵容卡情况!$I251)+
IF(各r阵容卡情况!$J251=0,0,IF(各r阵容卡情况!$AD251&lt;=1,各r阵容卡情况!$AD251*E$20,1*E$20)*各r阵容卡情况!$J251)</f>
        <v>0</v>
      </c>
      <c r="AG223" s="80">
        <f>IF(各r阵容卡情况!$H251=0,0,IF(各r阵容卡情况!$AB251&lt;=1,各r阵容卡情况!$AB251*F$18,1*F$18)*各r阵容卡情况!$H251)+
IF(各r阵容卡情况!$I251=0,0,IF(各r阵容卡情况!$AC251&lt;=1,各r阵容卡情况!$AC251*F$19,1*F$19)*各r阵容卡情况!$I251)+
IF(各r阵容卡情况!$J251=0,0,IF(各r阵容卡情况!$AD251&lt;=1,各r阵容卡情况!$AD251*F$20,1*F$20)*各r阵容卡情况!$J251)</f>
        <v>0</v>
      </c>
      <c r="AH223" s="67">
        <f>IF(各r阵容卡情况!$H251=0,0,IF(各r阵容卡情况!$AB251&lt;=1,0,(各r阵容卡情况!$AB251-1)*G$26)*各r阵容卡情况!$H251)+
IF(各r阵容卡情况!$I251=0,0,IF(各r阵容卡情况!$AC251&lt;=1,0,(各r阵容卡情况!$AC251-1)*G$27)*各r阵容卡情况!$I251)+
IF(各r阵容卡情况!$J251=0,0,IF(各r阵容卡情况!$AD251&lt;=1,0,(各r阵容卡情况!$AD251-1)*G$28)*各r阵容卡情况!$J251)</f>
        <v>0</v>
      </c>
      <c r="AI223" s="67">
        <f>IF(各r阵容卡情况!$H251=0,0,IF(各r阵容卡情况!$AB251&lt;=1,0,(各r阵容卡情况!$AB251-1)*H$26)*各r阵容卡情况!$H251)+
IF(各r阵容卡情况!$I251=0,0,IF(各r阵容卡情况!$AC251&lt;=1,0,(各r阵容卡情况!$AC251-1)*H$27)*各r阵容卡情况!$I251)+
IF(各r阵容卡情况!$J251=0,0,IF(各r阵容卡情况!$AD251&lt;=1,0,(各r阵容卡情况!$AD251-1)*H$28)*各r阵容卡情况!$J251)</f>
        <v>0</v>
      </c>
      <c r="AJ223" s="67">
        <f>IF(各r阵容卡情况!$H251=0,0,IF(各r阵容卡情况!$AB251&lt;=1,0,(各r阵容卡情况!$AB251-1)*I$26)*各r阵容卡情况!$H251)+
IF(各r阵容卡情况!$I251=0,0,IF(各r阵容卡情况!$AC251&lt;=1,0,(各r阵容卡情况!$AC251-1)*I$27)*各r阵容卡情况!$I251)+
IF(各r阵容卡情况!$J251=0,0,IF(各r阵容卡情况!$AD251&lt;=1,0,(各r阵容卡情况!$AD251-1)*I$28)*各r阵容卡情况!$J251)</f>
        <v>0</v>
      </c>
      <c r="AL223" s="80">
        <f t="shared" si="170"/>
        <v>200</v>
      </c>
      <c r="AM223" s="80">
        <f t="shared" si="171"/>
        <v>48</v>
      </c>
      <c r="AN223" s="80">
        <f t="shared" si="172"/>
        <v>0</v>
      </c>
      <c r="AO223" s="80">
        <f t="shared" si="173"/>
        <v>0</v>
      </c>
      <c r="AP223" s="80">
        <f t="shared" si="174"/>
        <v>240</v>
      </c>
      <c r="AQ223" s="80">
        <f t="shared" si="175"/>
        <v>0</v>
      </c>
      <c r="AR223" s="80">
        <f t="shared" si="176"/>
        <v>0</v>
      </c>
      <c r="AS223" s="80">
        <f t="shared" si="177"/>
        <v>0</v>
      </c>
      <c r="AT223" s="80">
        <f t="shared" si="178"/>
        <v>0</v>
      </c>
      <c r="AU223" s="80">
        <f t="shared" si="179"/>
        <v>0</v>
      </c>
      <c r="AV223" s="80">
        <f t="shared" si="180"/>
        <v>0</v>
      </c>
      <c r="AW223" s="80">
        <f t="shared" si="181"/>
        <v>0</v>
      </c>
      <c r="AX223" s="80">
        <f t="shared" si="182"/>
        <v>0</v>
      </c>
      <c r="AY223" s="61" t="e">
        <f>SUMPRODUCT(AM223:AR223/'[1]功能-行军令'!$GI$26:$GN$26+AS223:AX223/'[1]功能-行军令'!$GI$26:$GN$26)/0.18</f>
        <v>#DIV/0!</v>
      </c>
    </row>
    <row r="224" spans="12:71" x14ac:dyDescent="0.15">
      <c r="L224" s="61">
        <v>43</v>
      </c>
    </row>
    <row r="225" spans="12:12" x14ac:dyDescent="0.15">
      <c r="L225" s="61">
        <v>44</v>
      </c>
    </row>
    <row r="226" spans="12:12" x14ac:dyDescent="0.15">
      <c r="L226" s="61">
        <v>45</v>
      </c>
    </row>
  </sheetData>
  <mergeCells count="59">
    <mergeCell ref="AE138:AJ138"/>
    <mergeCell ref="AE183:AJ183"/>
    <mergeCell ref="AE3:AJ3"/>
    <mergeCell ref="AE48:AJ48"/>
    <mergeCell ref="AE93:AJ93"/>
    <mergeCell ref="AM3:AR3"/>
    <mergeCell ref="AM48:AR48"/>
    <mergeCell ref="AM93:AR93"/>
    <mergeCell ref="AM138:AR138"/>
    <mergeCell ref="AM183:AR183"/>
    <mergeCell ref="T183:X183"/>
    <mergeCell ref="B3:B10"/>
    <mergeCell ref="N3:S3"/>
    <mergeCell ref="N48:S48"/>
    <mergeCell ref="B15:B22"/>
    <mergeCell ref="B32:B40"/>
    <mergeCell ref="N183:S183"/>
    <mergeCell ref="B61:B69"/>
    <mergeCell ref="T3:X3"/>
    <mergeCell ref="T48:X48"/>
    <mergeCell ref="B23:B30"/>
    <mergeCell ref="B41:B49"/>
    <mergeCell ref="B70:B78"/>
    <mergeCell ref="B50:B58"/>
    <mergeCell ref="B79:B87"/>
    <mergeCell ref="BC2:BF2"/>
    <mergeCell ref="BG2:BK2"/>
    <mergeCell ref="BP2:BS2"/>
    <mergeCell ref="BV2:BX2"/>
    <mergeCell ref="BC47:BF47"/>
    <mergeCell ref="BG47:BK47"/>
    <mergeCell ref="BP47:BS47"/>
    <mergeCell ref="BV47:BX47"/>
    <mergeCell ref="BV182:BX182"/>
    <mergeCell ref="N138:S138"/>
    <mergeCell ref="BC92:BF92"/>
    <mergeCell ref="BG92:BK92"/>
    <mergeCell ref="BP92:BS92"/>
    <mergeCell ref="BV92:BX92"/>
    <mergeCell ref="BC137:BF137"/>
    <mergeCell ref="BG137:BK137"/>
    <mergeCell ref="BP137:BS137"/>
    <mergeCell ref="BV137:BX137"/>
    <mergeCell ref="T93:X93"/>
    <mergeCell ref="T138:X138"/>
    <mergeCell ref="N93:S93"/>
    <mergeCell ref="BC182:BF182"/>
    <mergeCell ref="BG182:BK182"/>
    <mergeCell ref="BP182:BS182"/>
    <mergeCell ref="AS3:AX3"/>
    <mergeCell ref="AS48:AX48"/>
    <mergeCell ref="AS93:AX93"/>
    <mergeCell ref="AS138:AX138"/>
    <mergeCell ref="AS183:AX183"/>
    <mergeCell ref="Y3:AD3"/>
    <mergeCell ref="Y48:AD48"/>
    <mergeCell ref="Y93:AD93"/>
    <mergeCell ref="Y138:AD138"/>
    <mergeCell ref="Y183:AD183"/>
  </mergeCells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E80A7-07FB-4ACB-AA04-442DB68FFC08}">
  <dimension ref="A1:DC222"/>
  <sheetViews>
    <sheetView topLeftCell="J25" zoomScaleNormal="100" workbookViewId="0">
      <selection activeCell="AA63" sqref="AA63"/>
    </sheetView>
  </sheetViews>
  <sheetFormatPr defaultColWidth="6.625" defaultRowHeight="11.25" x14ac:dyDescent="0.15"/>
  <cols>
    <col min="1" max="8" width="6.625" style="17"/>
    <col min="9" max="13" width="6.75" style="17" bestFit="1" customWidth="1"/>
    <col min="14" max="15" width="6.625" style="17"/>
    <col min="16" max="16" width="53" style="17" bestFit="1" customWidth="1"/>
    <col min="17" max="17" width="6.625" style="17"/>
    <col min="18" max="18" width="6.625" style="1"/>
    <col min="19" max="19" width="6.625" style="143"/>
    <col min="20" max="20" width="6.625" style="1"/>
    <col min="21" max="27" width="6.625" style="17" customWidth="1"/>
    <col min="28" max="28" width="11.25" style="17" customWidth="1"/>
    <col min="29" max="30" width="6.625" style="17" customWidth="1"/>
    <col min="31" max="31" width="6.625" style="26" customWidth="1"/>
    <col min="32" max="33" width="6.625" style="17" customWidth="1"/>
    <col min="34" max="35" width="8.25" style="17" customWidth="1"/>
    <col min="36" max="46" width="6.625" style="17" customWidth="1"/>
    <col min="47" max="47" width="9" style="17" customWidth="1"/>
    <col min="48" max="48" width="6.625" style="17" customWidth="1"/>
    <col min="49" max="49" width="6.625" style="26" customWidth="1"/>
    <col min="50" max="50" width="6.625" style="17" customWidth="1"/>
    <col min="51" max="56" width="6.75" style="17" customWidth="1"/>
    <col min="57" max="58" width="6.625" style="17" customWidth="1"/>
    <col min="59" max="59" width="6.625" style="26" customWidth="1"/>
    <col min="60" max="61" width="6.625" style="17" customWidth="1"/>
    <col min="62" max="62" width="10.5" style="17" customWidth="1"/>
    <col min="63" max="64" width="13.875" style="17" customWidth="1"/>
    <col min="65" max="65" width="6.625" style="17" customWidth="1"/>
    <col min="66" max="66" width="6.625" style="17"/>
    <col min="67" max="67" width="6.625" style="26"/>
    <col min="68" max="68" width="6.625" style="1"/>
    <col min="69" max="80" width="6.75" style="17" bestFit="1" customWidth="1"/>
    <col min="81" max="91" width="6.625" style="17" customWidth="1"/>
    <col min="92" max="92" width="9.75" style="17" customWidth="1"/>
    <col min="93" max="93" width="6.625" style="17"/>
    <col min="94" max="94" width="6.625" style="26"/>
    <col min="95" max="95" width="6.625" style="17"/>
    <col min="96" max="96" width="6.75" style="17" bestFit="1" customWidth="1"/>
    <col min="97" max="97" width="9.875" style="17" bestFit="1" customWidth="1"/>
    <col min="98" max="98" width="9.125" style="17" bestFit="1" customWidth="1"/>
    <col min="99" max="99" width="6.625" style="17"/>
    <col min="100" max="101" width="6.75" style="17" bestFit="1" customWidth="1"/>
    <col min="102" max="103" width="6.625" style="17"/>
    <col min="104" max="104" width="6.75" style="17" bestFit="1" customWidth="1"/>
    <col min="105" max="105" width="8.25" style="17" bestFit="1" customWidth="1"/>
    <col min="106" max="107" width="6.75" style="17" bestFit="1" customWidth="1"/>
    <col min="108" max="16384" width="6.625" style="17"/>
  </cols>
  <sheetData>
    <row r="1" spans="1:107" x14ac:dyDescent="0.15">
      <c r="A1" s="17" t="s">
        <v>739</v>
      </c>
      <c r="AF1" s="17" t="s">
        <v>819</v>
      </c>
      <c r="AX1" s="17" t="s">
        <v>804</v>
      </c>
      <c r="BH1" s="17" t="s">
        <v>789</v>
      </c>
    </row>
    <row r="2" spans="1:107" x14ac:dyDescent="0.15">
      <c r="N2" s="17" t="s">
        <v>756</v>
      </c>
      <c r="P2" s="17" t="s">
        <v>757</v>
      </c>
      <c r="U2" s="107" t="s">
        <v>849</v>
      </c>
      <c r="V2" s="17">
        <v>3</v>
      </c>
      <c r="BI2" s="30" t="s">
        <v>832</v>
      </c>
      <c r="BQ2" s="29" t="s">
        <v>75</v>
      </c>
      <c r="BR2" s="161" t="s">
        <v>55</v>
      </c>
      <c r="BS2" s="162"/>
      <c r="BT2" s="162"/>
      <c r="BU2" s="162"/>
      <c r="BV2" s="162"/>
      <c r="BW2" s="162"/>
      <c r="BX2" s="162"/>
      <c r="BY2" s="162"/>
      <c r="BZ2" s="162"/>
      <c r="CA2" s="162"/>
      <c r="CB2" s="163"/>
      <c r="CC2" s="160" t="s">
        <v>342</v>
      </c>
      <c r="CD2" s="160"/>
      <c r="CE2" s="160"/>
      <c r="CF2" s="160"/>
      <c r="CG2" s="160"/>
      <c r="CH2" s="160"/>
      <c r="CI2" s="160"/>
      <c r="CJ2" s="160"/>
      <c r="CK2" s="160"/>
      <c r="CL2" s="160"/>
      <c r="CM2" s="160"/>
      <c r="CN2" s="160"/>
      <c r="CR2" s="29" t="s">
        <v>75</v>
      </c>
      <c r="CS2" s="160" t="s">
        <v>334</v>
      </c>
      <c r="CT2" s="160"/>
      <c r="CV2" s="29" t="s">
        <v>75</v>
      </c>
      <c r="CW2" s="160" t="s">
        <v>332</v>
      </c>
      <c r="CX2" s="160"/>
      <c r="CY2" s="160"/>
      <c r="CZ2" s="160"/>
    </row>
    <row r="3" spans="1:107" ht="11.25" customHeight="1" x14ac:dyDescent="0.15">
      <c r="N3" s="17" t="s">
        <v>741</v>
      </c>
      <c r="P3" s="17" t="s">
        <v>758</v>
      </c>
      <c r="AZ3" s="160" t="s">
        <v>823</v>
      </c>
      <c r="BA3" s="160"/>
      <c r="BB3" s="160"/>
      <c r="BC3" s="160"/>
      <c r="BD3" s="160"/>
      <c r="BQ3" s="29" t="s">
        <v>478</v>
      </c>
      <c r="BR3" s="29" t="s">
        <v>152</v>
      </c>
      <c r="BS3" s="29" t="s">
        <v>835</v>
      </c>
      <c r="BT3" s="29" t="s">
        <v>836</v>
      </c>
      <c r="BU3" s="29" t="s">
        <v>837</v>
      </c>
      <c r="BV3" s="29" t="s">
        <v>838</v>
      </c>
      <c r="BW3" s="29" t="s">
        <v>839</v>
      </c>
      <c r="BX3" s="29" t="s">
        <v>840</v>
      </c>
      <c r="BY3" s="29" t="s">
        <v>841</v>
      </c>
      <c r="BZ3" s="29" t="s">
        <v>842</v>
      </c>
      <c r="CA3" s="29" t="s">
        <v>843</v>
      </c>
      <c r="CB3" s="29" t="s">
        <v>197</v>
      </c>
      <c r="CC3" s="29" t="s">
        <v>152</v>
      </c>
      <c r="CD3" s="29" t="s">
        <v>835</v>
      </c>
      <c r="CE3" s="29" t="s">
        <v>836</v>
      </c>
      <c r="CF3" s="29" t="s">
        <v>837</v>
      </c>
      <c r="CG3" s="29" t="s">
        <v>838</v>
      </c>
      <c r="CH3" s="29" t="s">
        <v>839</v>
      </c>
      <c r="CI3" s="29" t="s">
        <v>840</v>
      </c>
      <c r="CJ3" s="29" t="s">
        <v>841</v>
      </c>
      <c r="CK3" s="29" t="s">
        <v>842</v>
      </c>
      <c r="CL3" s="29" t="s">
        <v>843</v>
      </c>
      <c r="CM3" s="29" t="s">
        <v>197</v>
      </c>
      <c r="CN3" s="29" t="s">
        <v>343</v>
      </c>
      <c r="CR3" s="29" t="s">
        <v>478</v>
      </c>
      <c r="CS3" s="29" t="s">
        <v>844</v>
      </c>
      <c r="CT3" s="29" t="s">
        <v>845</v>
      </c>
      <c r="CV3" s="29" t="s">
        <v>478</v>
      </c>
      <c r="CW3" s="29" t="s">
        <v>304</v>
      </c>
      <c r="CX3" s="29"/>
      <c r="CY3" s="29"/>
      <c r="CZ3" s="29" t="s">
        <v>203</v>
      </c>
    </row>
    <row r="4" spans="1:107" x14ac:dyDescent="0.15">
      <c r="N4" s="17" t="s">
        <v>740</v>
      </c>
      <c r="P4" s="17" t="s">
        <v>759</v>
      </c>
      <c r="AH4" s="187" t="s">
        <v>801</v>
      </c>
      <c r="AI4" s="187"/>
      <c r="AJ4" s="187"/>
      <c r="AK4" s="187"/>
      <c r="AL4" s="187"/>
      <c r="AM4" s="187"/>
      <c r="AN4" s="187"/>
      <c r="AO4" s="187"/>
      <c r="AP4" s="187"/>
      <c r="AQ4" s="187"/>
      <c r="AR4" s="187"/>
      <c r="AS4" s="187"/>
      <c r="AT4" s="187"/>
      <c r="AU4" s="187"/>
      <c r="AZ4" s="29" t="s">
        <v>1</v>
      </c>
      <c r="BA4" s="29" t="s">
        <v>2</v>
      </c>
      <c r="BB4" s="29" t="s">
        <v>0</v>
      </c>
      <c r="BC4" s="29" t="s">
        <v>545</v>
      </c>
      <c r="BD4" s="29" t="s">
        <v>30</v>
      </c>
      <c r="BQ4" s="29">
        <v>10</v>
      </c>
      <c r="BR4" s="29">
        <f>求节点(基础状态预期!$D$17:$D$55,基础状态预期!$AI$17:$AI$55,$BQ4)*SUM($AR$6:$AT$6)/3</f>
        <v>0</v>
      </c>
      <c r="BS4" s="29">
        <f>求节点(基础状态预期!$D$17:$D$55,基础状态预期!$AI$17:$AI$55,$BQ4)*AH$6</f>
        <v>0</v>
      </c>
      <c r="BT4" s="145">
        <f>BS4</f>
        <v>0</v>
      </c>
      <c r="BU4" s="29">
        <f>求节点(基础状态预期!$D$17:$D$55,基础状态预期!$AI$17:$AI$55,$BQ4)*AI$6</f>
        <v>0</v>
      </c>
      <c r="BV4" s="145">
        <f>BU4</f>
        <v>0</v>
      </c>
      <c r="BW4" s="29">
        <f>求节点(基础状态预期!$D$17:$D$55,基础状态预期!$AI$17:$AI$55,$BQ4)*$AU$6</f>
        <v>0</v>
      </c>
      <c r="BX4" s="29">
        <f>求节点(基础状态预期!$D$17:$D$55,基础状态预期!$AI$17:$AI$55,$BQ4)*$AJ$6</f>
        <v>0</v>
      </c>
      <c r="BY4" s="145">
        <f t="shared" ref="BY4:CA19" si="0">BX4</f>
        <v>0</v>
      </c>
      <c r="BZ4" s="29">
        <f>求节点(基础状态预期!$D$17:$D$55,基础状态预期!$AI$17:$AI$55,$BQ4)*$AK$6</f>
        <v>0</v>
      </c>
      <c r="CA4" s="145">
        <f t="shared" si="0"/>
        <v>0</v>
      </c>
      <c r="CB4" s="29">
        <f>求节点(基础状态预期!$D$17:$D$55,基础状态预期!$AI$17:$AI$55,$BQ4)*$W$60</f>
        <v>0</v>
      </c>
      <c r="CC4" s="41">
        <f>$BR4*(INDEX([2]非r将兵属性验证!$V$7:$V$166,$BQ4,1)+INDEX([2]非r将兵属性验证!$AP$7:$AP$166,$BQ4,1))</f>
        <v>0</v>
      </c>
      <c r="CD4" s="41">
        <f>$BS4*INDEX([2]非r将兵属性验证!W$7:W$166,$BQ4,1)</f>
        <v>0</v>
      </c>
      <c r="CE4" s="41">
        <f>BT4*INDEX([2]非r将兵属性验证!X$7:X$166,$BQ4,1)</f>
        <v>0</v>
      </c>
      <c r="CF4" s="41">
        <f>BU4*INDEX([2]非r将兵属性验证!$AQ$7:$AQ$166,$BQ4)</f>
        <v>0</v>
      </c>
      <c r="CG4" s="41">
        <f>BV4*INDEX([2]非r将兵属性验证!$AR$7:$AR$166,$BQ4)</f>
        <v>0</v>
      </c>
      <c r="CH4" s="41">
        <f>BW4*INDEX([2]非r将兵属性验证!$AM$7:$AM$166,$BQ4,1)</f>
        <v>0</v>
      </c>
      <c r="CI4" s="41">
        <f>BX4*INDEX([2]非r将兵属性验证!$AA$7:$AA$166,$BQ4,1)</f>
        <v>0</v>
      </c>
      <c r="CJ4" s="41">
        <f>BY4*INDEX([2]非r将兵属性验证!$AB$7:$AB$166,$BQ4,1)</f>
        <v>0</v>
      </c>
      <c r="CK4" s="41">
        <f>BZ4*INDEX([2]非r将兵属性验证!$AU$7:$AU$166,$BQ4,1)</f>
        <v>0</v>
      </c>
      <c r="CL4" s="41">
        <f>CA4*INDEX([2]非r将兵属性验证!$AV$7:$AV$166,$BQ4,1)</f>
        <v>0</v>
      </c>
      <c r="CM4" s="41">
        <f>CB4*(INDEX([2]非r将兵属性验证!$AC$7:$AC$166,$BQ4,1)*[2]战法技能效用!$AH$4+INDEX([2]非r将兵属性验证!$AX$7:$AX$166,$BQ4,1)*[2]战法技能效用!$AI$4)</f>
        <v>0</v>
      </c>
      <c r="CN4" s="29">
        <f t="shared" ref="CN4:CN13" si="1">SUM(CC4:CM4)</f>
        <v>0</v>
      </c>
      <c r="CR4" s="29">
        <f>基础状态预期!D17</f>
        <v>10</v>
      </c>
      <c r="CS4" s="29">
        <f>IF(基础状态预期!AI17="",0,基础状态预期!AI17)*$AB$37*基础状态预期!J17</f>
        <v>0</v>
      </c>
      <c r="CT4" s="29">
        <f>CS4*武将数量星级阶位验证!$E$7*1.8</f>
        <v>0</v>
      </c>
      <c r="CV4" s="29">
        <v>10</v>
      </c>
      <c r="CW4" s="29">
        <f>求节点($CR$4:$CR$42,CT$4:CT$42,$CV4)</f>
        <v>0</v>
      </c>
      <c r="CX4" s="29"/>
      <c r="CY4" s="29"/>
      <c r="CZ4" s="29">
        <f>SUM(CW4:CY4)</f>
        <v>0</v>
      </c>
      <c r="DA4" s="17" t="e">
        <f>CN4/CZ4</f>
        <v>#DIV/0!</v>
      </c>
      <c r="DB4" s="17">
        <f>武将升星!BF4/武将升星!BQ4</f>
        <v>2555.8340117252897</v>
      </c>
      <c r="DC4" s="17" t="e">
        <f>DA4/DB4</f>
        <v>#DIV/0!</v>
      </c>
    </row>
    <row r="5" spans="1:107" x14ac:dyDescent="0.15">
      <c r="I5" s="17" t="s">
        <v>778</v>
      </c>
      <c r="J5" s="17" t="s">
        <v>779</v>
      </c>
      <c r="K5" s="17" t="s">
        <v>780</v>
      </c>
      <c r="N5" s="17" t="s">
        <v>742</v>
      </c>
      <c r="P5" s="17" t="s">
        <v>760</v>
      </c>
      <c r="U5" s="29"/>
      <c r="V5" s="167" t="s">
        <v>850</v>
      </c>
      <c r="W5" s="202"/>
      <c r="X5" s="168"/>
      <c r="Y5" s="160" t="s">
        <v>813</v>
      </c>
      <c r="Z5" s="160"/>
      <c r="AG5" s="17" t="s">
        <v>799</v>
      </c>
      <c r="AH5" s="17" t="s">
        <v>797</v>
      </c>
      <c r="AI5" s="17" t="s">
        <v>798</v>
      </c>
      <c r="AJ5" s="17" t="s">
        <v>745</v>
      </c>
      <c r="AK5" s="17" t="s">
        <v>746</v>
      </c>
      <c r="AL5" s="17" t="s">
        <v>744</v>
      </c>
      <c r="AM5" s="17" t="s">
        <v>747</v>
      </c>
      <c r="AN5" s="17" t="s">
        <v>748</v>
      </c>
      <c r="AO5" s="17" t="s">
        <v>751</v>
      </c>
      <c r="AP5" s="17" t="s">
        <v>749</v>
      </c>
      <c r="AQ5" s="17" t="s">
        <v>750</v>
      </c>
      <c r="AR5" s="17" t="s">
        <v>752</v>
      </c>
      <c r="AS5" s="17" t="s">
        <v>753</v>
      </c>
      <c r="AT5" s="17" t="s">
        <v>754</v>
      </c>
      <c r="AU5" s="17" t="s">
        <v>231</v>
      </c>
      <c r="AZ5" s="29">
        <v>1</v>
      </c>
      <c r="BA5" s="29">
        <v>5</v>
      </c>
      <c r="BB5" s="29">
        <v>20</v>
      </c>
      <c r="BC5" s="148">
        <f>BB5</f>
        <v>20</v>
      </c>
      <c r="BD5" s="29">
        <v>30</v>
      </c>
      <c r="BI5" s="17" t="s">
        <v>783</v>
      </c>
      <c r="BJ5" s="17" t="s">
        <v>782</v>
      </c>
      <c r="BK5" s="17" t="s">
        <v>803</v>
      </c>
      <c r="BL5" s="17" t="s">
        <v>831</v>
      </c>
      <c r="BQ5" s="29">
        <v>20</v>
      </c>
      <c r="BR5" s="29">
        <f>求节点(基础状态预期!$D$17:$D$55,基础状态预期!$AI$17:$AI$55,$BQ5)*SUM($AR$6:$AT$6)/3</f>
        <v>0</v>
      </c>
      <c r="BS5" s="29">
        <f>求节点(基础状态预期!$D$17:$D$55,基础状态预期!$AI$17:$AI$55,$BQ5)*AH$6</f>
        <v>0</v>
      </c>
      <c r="BT5" s="145">
        <f t="shared" ref="BT5:BT19" si="2">BS5</f>
        <v>0</v>
      </c>
      <c r="BU5" s="29">
        <f>求节点(基础状态预期!$D$17:$D$55,基础状态预期!$AI$17:$AI$55,$BQ5)*AI$6</f>
        <v>0</v>
      </c>
      <c r="BV5" s="145">
        <f t="shared" ref="BV5:BV19" si="3">BU5</f>
        <v>0</v>
      </c>
      <c r="BW5" s="29">
        <f>求节点(基础状态预期!$D$17:$D$55,基础状态预期!$AI$17:$AI$55,$BQ5)*$AU$6</f>
        <v>0</v>
      </c>
      <c r="BX5" s="29">
        <f>求节点(基础状态预期!$D$17:$D$55,基础状态预期!$AI$17:$AI$55,$BQ5)*$AJ$6</f>
        <v>0</v>
      </c>
      <c r="BY5" s="145">
        <f t="shared" si="0"/>
        <v>0</v>
      </c>
      <c r="BZ5" s="29">
        <f>求节点(基础状态预期!$D$17:$D$55,基础状态预期!$AI$17:$AI$55,$BQ5)*$AK$6</f>
        <v>0</v>
      </c>
      <c r="CA5" s="145">
        <f t="shared" si="0"/>
        <v>0</v>
      </c>
      <c r="CB5" s="29">
        <f>求节点(基础状态预期!$D$17:$D$55,基础状态预期!$AI$17:$AI$55,$BQ5)*$W$60</f>
        <v>0</v>
      </c>
      <c r="CC5" s="29">
        <f>($BR5-$BR4)*(INDEX([2]非r将兵属性验证!$V$7:$V$166,$BQ5,1)+INDEX([2]非r将兵属性验证!$AP$7:$AP$166,$BQ5,1))+CC4</f>
        <v>0</v>
      </c>
      <c r="CD5" s="29">
        <f>($BS5-$BS4)*INDEX([2]非r将兵属性验证!W$7:W$166,$BQ5,1)+CD4</f>
        <v>0</v>
      </c>
      <c r="CE5" s="29">
        <f>(BT5-$BT4)*INDEX([2]非r将兵属性验证!X$7:X$166,$BQ5,1)+CE4</f>
        <v>0</v>
      </c>
      <c r="CF5" s="29">
        <f>(BU5-BU4)*INDEX([2]非r将兵属性验证!$AQ$7:$AQ$166,$BQ5)+CF4</f>
        <v>0</v>
      </c>
      <c r="CG5" s="29">
        <f>(BV5-BV4)*INDEX([2]非r将兵属性验证!$AR$7:$AR$166,$BQ5)+CG4</f>
        <v>0</v>
      </c>
      <c r="CH5" s="29">
        <f>(BW5-BW4)*INDEX([2]非r将兵属性验证!$AM$7:$AM$166,$BQ5,1)+CH4</f>
        <v>0</v>
      </c>
      <c r="CI5" s="29">
        <f>(BX5-BX4)*INDEX([2]非r将兵属性验证!$AA$7:$AA$166,$BQ5,1)+CI4</f>
        <v>0</v>
      </c>
      <c r="CJ5" s="29">
        <f>(BY5-BY4)*INDEX([2]非r将兵属性验证!$AB$7:$AB$166,$BQ5,1)+CJ4</f>
        <v>0</v>
      </c>
      <c r="CK5" s="29">
        <f>(BZ5-BZ4)*INDEX([2]非r将兵属性验证!$AU$7:$AU$166,$BQ5,1)+CK4</f>
        <v>0</v>
      </c>
      <c r="CL5" s="29">
        <f>(CA5-CA4)*INDEX([2]非r将兵属性验证!$AV$7:$AV$166,$BQ5,1)+CL4</f>
        <v>0</v>
      </c>
      <c r="CM5" s="29">
        <f>(CB5-CB4)*(INDEX([2]非r将兵属性验证!$AC$7:$AC$166,$BQ5,1)*[2]战法技能效用!$AH$4+INDEX([2]非r将兵属性验证!$AX$7:$AX$166,$BQ5,1)*[2]战法技能效用!$AI$4)+CM4</f>
        <v>0</v>
      </c>
      <c r="CN5" s="29">
        <f t="shared" si="1"/>
        <v>0</v>
      </c>
      <c r="CR5" s="29">
        <f>基础状态预期!D18</f>
        <v>20</v>
      </c>
      <c r="CS5" s="29">
        <f>IF(基础状态预期!AI18="",0,基础状态预期!AI18)*$AB$37*基础状态预期!J18</f>
        <v>0</v>
      </c>
      <c r="CT5" s="29">
        <f>CS5*武将数量星级阶位验证!$E$7*1.8</f>
        <v>0</v>
      </c>
      <c r="CV5" s="29">
        <v>20</v>
      </c>
      <c r="CW5" s="29">
        <f t="shared" ref="CW5:CW19" si="4">求节点($CR$4:$CR$42,CT$4:CT$42,$CV5)</f>
        <v>0</v>
      </c>
      <c r="CX5" s="29"/>
      <c r="CY5" s="29"/>
      <c r="CZ5" s="29">
        <f t="shared" ref="CZ5:CZ13" si="5">SUM(CW5:CY5)</f>
        <v>0</v>
      </c>
      <c r="DA5" s="17" t="e">
        <f t="shared" ref="DA5:DA19" si="6">CN5/CZ5</f>
        <v>#DIV/0!</v>
      </c>
      <c r="DB5" s="17">
        <f>武将升星!BF5/武将升星!BQ5</f>
        <v>1669.6893728568614</v>
      </c>
      <c r="DC5" s="17" t="e">
        <f t="shared" ref="DC5:DC19" si="7">DA5/DB5</f>
        <v>#DIV/0!</v>
      </c>
    </row>
    <row r="6" spans="1:107" x14ac:dyDescent="0.15">
      <c r="I6" s="17">
        <v>5</v>
      </c>
      <c r="J6" s="17">
        <v>1</v>
      </c>
      <c r="K6" s="17">
        <v>1</v>
      </c>
      <c r="L6" s="17">
        <f>K6*J6*I6</f>
        <v>5</v>
      </c>
      <c r="M6" s="17">
        <f>K6*J6</f>
        <v>1</v>
      </c>
      <c r="N6" s="17" t="s">
        <v>743</v>
      </c>
      <c r="P6" s="17" t="s">
        <v>761</v>
      </c>
      <c r="U6" s="29" t="s">
        <v>781</v>
      </c>
      <c r="V6" s="29" t="s">
        <v>815</v>
      </c>
      <c r="W6" s="29" t="s">
        <v>814</v>
      </c>
      <c r="X6" s="146" t="s">
        <v>820</v>
      </c>
      <c r="Y6" s="29" t="s">
        <v>812</v>
      </c>
      <c r="Z6" s="29" t="s">
        <v>816</v>
      </c>
      <c r="AG6" s="17" t="s">
        <v>800</v>
      </c>
      <c r="AH6" s="17">
        <v>2500</v>
      </c>
      <c r="AI6" s="17">
        <v>120</v>
      </c>
      <c r="AJ6" s="92">
        <v>0.12</v>
      </c>
      <c r="AK6" s="92">
        <v>0.1</v>
      </c>
      <c r="AL6" s="141">
        <f>AJ6</f>
        <v>0.12</v>
      </c>
      <c r="AM6" s="141">
        <f>AK6</f>
        <v>0.1</v>
      </c>
      <c r="AN6" s="92">
        <v>0.15</v>
      </c>
      <c r="AO6" s="92">
        <v>0.3</v>
      </c>
      <c r="AP6" s="92">
        <v>0.3</v>
      </c>
      <c r="AQ6" s="92">
        <v>0.15</v>
      </c>
      <c r="AR6" s="17">
        <v>40</v>
      </c>
      <c r="AS6" s="17">
        <v>40</v>
      </c>
      <c r="AT6" s="17">
        <v>40</v>
      </c>
      <c r="AU6" s="17">
        <v>500</v>
      </c>
      <c r="BI6" s="17">
        <v>1</v>
      </c>
      <c r="BJ6" s="17">
        <v>70</v>
      </c>
      <c r="BK6" s="17">
        <v>30</v>
      </c>
      <c r="BL6" s="17">
        <f>SUM($BK$6:$BK6)</f>
        <v>30</v>
      </c>
      <c r="BQ6" s="29">
        <v>30</v>
      </c>
      <c r="BR6" s="29">
        <f>求节点(基础状态预期!$D$17:$D$55,基础状态预期!$AI$17:$AI$55,$BQ6)*SUM($AR$6:$AT$6)/3</f>
        <v>0</v>
      </c>
      <c r="BS6" s="29">
        <f>求节点(基础状态预期!$D$17:$D$55,基础状态预期!$AI$17:$AI$55,$BQ6)*AH$6</f>
        <v>0</v>
      </c>
      <c r="BT6" s="145">
        <f t="shared" si="2"/>
        <v>0</v>
      </c>
      <c r="BU6" s="29">
        <f>求节点(基础状态预期!$D$17:$D$55,基础状态预期!$AI$17:$AI$55,$BQ6)*AI$6</f>
        <v>0</v>
      </c>
      <c r="BV6" s="145">
        <f t="shared" si="3"/>
        <v>0</v>
      </c>
      <c r="BW6" s="29">
        <f>求节点(基础状态预期!$D$17:$D$55,基础状态预期!$AI$17:$AI$55,$BQ6)*$AU$6</f>
        <v>0</v>
      </c>
      <c r="BX6" s="29">
        <f>求节点(基础状态预期!$D$17:$D$55,基础状态预期!$AI$17:$AI$55,$BQ6)*$AJ$6</f>
        <v>0</v>
      </c>
      <c r="BY6" s="145">
        <f t="shared" si="0"/>
        <v>0</v>
      </c>
      <c r="BZ6" s="29">
        <f>求节点(基础状态预期!$D$17:$D$55,基础状态预期!$AI$17:$AI$55,$BQ6)*$AK$6</f>
        <v>0</v>
      </c>
      <c r="CA6" s="145">
        <f t="shared" si="0"/>
        <v>0</v>
      </c>
      <c r="CB6" s="29">
        <f>求节点(基础状态预期!$D$17:$D$55,基础状态预期!$AI$17:$AI$55,$BQ6)*$W$60</f>
        <v>0</v>
      </c>
      <c r="CC6" s="29">
        <f>($BR6-$BR5)*(INDEX([2]非r将兵属性验证!$V$7:$V$166,$BQ6,1)+INDEX([2]非r将兵属性验证!$AP$7:$AP$166,$BQ6,1))+CC5</f>
        <v>0</v>
      </c>
      <c r="CD6" s="29">
        <f>($BS6-$BS5)*INDEX([2]非r将兵属性验证!W$7:W$166,$BQ6,1)+CD5</f>
        <v>0</v>
      </c>
      <c r="CE6" s="29">
        <f>(BT6-$BT5)*INDEX([2]非r将兵属性验证!X$7:X$166,$BQ6,1)+CE5</f>
        <v>0</v>
      </c>
      <c r="CF6" s="29">
        <f>(BU6-BU5)*INDEX([2]非r将兵属性验证!$AQ$7:$AQ$166,$BQ6)+CF5</f>
        <v>0</v>
      </c>
      <c r="CG6" s="29">
        <f>(BV6-BV5)*INDEX([2]非r将兵属性验证!$AR$7:$AR$166,$BQ6)+CG5</f>
        <v>0</v>
      </c>
      <c r="CH6" s="29">
        <f>(BW6-BW5)*INDEX([2]非r将兵属性验证!$AM$7:$AM$166,$BQ6,1)+CH5</f>
        <v>0</v>
      </c>
      <c r="CI6" s="29">
        <f>(BX6-BX5)*INDEX([2]非r将兵属性验证!$AA$7:$AA$166,$BQ6,1)+CI5</f>
        <v>0</v>
      </c>
      <c r="CJ6" s="29">
        <f>(BY6-BY5)*INDEX([2]非r将兵属性验证!$AB$7:$AB$166,$BQ6,1)+CJ5</f>
        <v>0</v>
      </c>
      <c r="CK6" s="29">
        <f>(BZ6-BZ5)*INDEX([2]非r将兵属性验证!$AU$7:$AU$166,$BQ6,1)+CK5</f>
        <v>0</v>
      </c>
      <c r="CL6" s="29">
        <f>(CA6-CA5)*INDEX([2]非r将兵属性验证!$AV$7:$AV$166,$BQ6,1)+CL5</f>
        <v>0</v>
      </c>
      <c r="CM6" s="29">
        <f>(CB6-CB5)*(INDEX([2]非r将兵属性验证!$AC$7:$AC$166,$BQ6,1)*[2]战法技能效用!$AH$4+INDEX([2]非r将兵属性验证!$AX$7:$AX$166,$BQ6,1)*[2]战法技能效用!$AI$4)+CM5</f>
        <v>0</v>
      </c>
      <c r="CN6" s="29">
        <f t="shared" si="1"/>
        <v>0</v>
      </c>
      <c r="CR6" s="29">
        <f>基础状态预期!D19</f>
        <v>28.071211008105138</v>
      </c>
      <c r="CS6" s="29">
        <f>IF(基础状态预期!AI19="",0,基础状态预期!AI19)*$AB$37*基础状态预期!J19</f>
        <v>0</v>
      </c>
      <c r="CT6" s="29">
        <f>CS6*武将数量星级阶位验证!$E$7*1.8</f>
        <v>0</v>
      </c>
      <c r="CV6" s="29">
        <v>30</v>
      </c>
      <c r="CW6" s="29">
        <f t="shared" si="4"/>
        <v>0</v>
      </c>
      <c r="CX6" s="29"/>
      <c r="CY6" s="29"/>
      <c r="CZ6" s="29">
        <f t="shared" si="5"/>
        <v>0</v>
      </c>
      <c r="DA6" s="17" t="e">
        <f t="shared" si="6"/>
        <v>#DIV/0!</v>
      </c>
      <c r="DB6" s="17">
        <f>武将升星!BF6/武将升星!BQ6</f>
        <v>1105.7412903772417</v>
      </c>
      <c r="DC6" s="17" t="e">
        <f t="shared" si="7"/>
        <v>#DIV/0!</v>
      </c>
    </row>
    <row r="7" spans="1:107" x14ac:dyDescent="0.15">
      <c r="N7" s="17" t="s">
        <v>745</v>
      </c>
      <c r="P7" s="17" t="s">
        <v>762</v>
      </c>
      <c r="U7" s="29">
        <v>1</v>
      </c>
      <c r="V7" s="29">
        <v>1</v>
      </c>
      <c r="W7" s="29"/>
      <c r="X7" s="29">
        <f>SUM(V7:W7)</f>
        <v>1</v>
      </c>
      <c r="Y7" s="29">
        <f>SUM(V$7:V7)/SUM(V$7:V$13)</f>
        <v>0.1</v>
      </c>
      <c r="Z7" s="29">
        <f>SUM(W$7:W7)/SUM(W$7:W$13)</f>
        <v>0</v>
      </c>
      <c r="AH7" s="17">
        <f>$AH$6/24000*[5]效果!$D$48</f>
        <v>90280.799271171491</v>
      </c>
      <c r="AI7" s="17">
        <f>$AI$6/1200*[5]效果!$D$52</f>
        <v>102365.85692617482</v>
      </c>
      <c r="AJ7" s="17">
        <f>$AJ$6*[5]效果!$D$50</f>
        <v>95345.326002765578</v>
      </c>
      <c r="AK7" s="17">
        <f>$AK$6*[5]效果!$D$54</f>
        <v>93674.05251114897</v>
      </c>
      <c r="AL7" s="142">
        <f>AJ7</f>
        <v>95345.326002765578</v>
      </c>
      <c r="AM7" s="142">
        <f>AK7</f>
        <v>93674.05251114897</v>
      </c>
      <c r="AN7" s="92"/>
      <c r="AR7" s="17">
        <f>AR$6*[5]效果!$D$47/3</f>
        <v>104365.20523704313</v>
      </c>
      <c r="AS7" s="17">
        <f>AS$6*[5]效果!$D$47/3</f>
        <v>104365.20523704313</v>
      </c>
      <c r="AT7" s="17">
        <f>AT$6*[5]效果!$D$47/3</f>
        <v>104365.20523704313</v>
      </c>
      <c r="AU7" s="17">
        <f>AU6/8000*[5]效果!$D$52*2</f>
        <v>127957.32115771851</v>
      </c>
      <c r="BI7" s="17">
        <v>2</v>
      </c>
      <c r="BJ7" s="17">
        <v>80</v>
      </c>
      <c r="BK7" s="17">
        <v>30</v>
      </c>
      <c r="BL7" s="17">
        <f>SUM($BK$6:$BK7)</f>
        <v>60</v>
      </c>
      <c r="BQ7" s="29">
        <v>40</v>
      </c>
      <c r="BR7" s="29">
        <f>求节点(基础状态预期!$D$17:$D$55,基础状态预期!$AI$17:$AI$55,$BQ7)*SUM($AR$6:$AT$6)/3</f>
        <v>0</v>
      </c>
      <c r="BS7" s="29">
        <f>求节点(基础状态预期!$D$17:$D$55,基础状态预期!$AI$17:$AI$55,$BQ7)*AH$6</f>
        <v>0</v>
      </c>
      <c r="BT7" s="145">
        <f t="shared" si="2"/>
        <v>0</v>
      </c>
      <c r="BU7" s="29">
        <f>求节点(基础状态预期!$D$17:$D$55,基础状态预期!$AI$17:$AI$55,$BQ7)*AI$6</f>
        <v>0</v>
      </c>
      <c r="BV7" s="145">
        <f t="shared" si="3"/>
        <v>0</v>
      </c>
      <c r="BW7" s="29">
        <f>求节点(基础状态预期!$D$17:$D$55,基础状态预期!$AI$17:$AI$55,$BQ7)*$AU$6</f>
        <v>0</v>
      </c>
      <c r="BX7" s="29">
        <f>求节点(基础状态预期!$D$17:$D$55,基础状态预期!$AI$17:$AI$55,$BQ7)*$AJ$6</f>
        <v>0</v>
      </c>
      <c r="BY7" s="145">
        <f t="shared" si="0"/>
        <v>0</v>
      </c>
      <c r="BZ7" s="29">
        <f>求节点(基础状态预期!$D$17:$D$55,基础状态预期!$AI$17:$AI$55,$BQ7)*$AK$6</f>
        <v>0</v>
      </c>
      <c r="CA7" s="145">
        <f t="shared" si="0"/>
        <v>0</v>
      </c>
      <c r="CB7" s="29">
        <f>求节点(基础状态预期!$D$17:$D$55,基础状态预期!$AI$17:$AI$55,$BQ7)*$W$60</f>
        <v>0</v>
      </c>
      <c r="CC7" s="29">
        <f>($BR7-$BR6)*(INDEX([2]非r将兵属性验证!$V$7:$V$166,$BQ7,1)+INDEX([2]非r将兵属性验证!$AP$7:$AP$166,$BQ7,1))+CC6</f>
        <v>0</v>
      </c>
      <c r="CD7" s="29">
        <f>($BS7-$BS6)*INDEX([2]非r将兵属性验证!W$7:W$166,$BQ7,1)+CD6</f>
        <v>0</v>
      </c>
      <c r="CE7" s="29">
        <f>(BT7-$BT6)*INDEX([2]非r将兵属性验证!X$7:X$166,$BQ7,1)+CE6</f>
        <v>0</v>
      </c>
      <c r="CF7" s="29">
        <f>(BU7-BU6)*INDEX([2]非r将兵属性验证!$AQ$7:$AQ$166,$BQ7)+CF6</f>
        <v>0</v>
      </c>
      <c r="CG7" s="29">
        <f>(BV7-BV6)*INDEX([2]非r将兵属性验证!$AR$7:$AR$166,$BQ7)+CG6</f>
        <v>0</v>
      </c>
      <c r="CH7" s="29">
        <f>(BW7-BW6)*INDEX([2]非r将兵属性验证!$AM$7:$AM$166,$BQ7,1)+CH6</f>
        <v>0</v>
      </c>
      <c r="CI7" s="29">
        <f>(BX7-BX6)*INDEX([2]非r将兵属性验证!$AA$7:$AA$166,$BQ7,1)+CI6</f>
        <v>0</v>
      </c>
      <c r="CJ7" s="29">
        <f>(BY7-BY6)*INDEX([2]非r将兵属性验证!$AB$7:$AB$166,$BQ7,1)+CJ6</f>
        <v>0</v>
      </c>
      <c r="CK7" s="29">
        <f>(BZ7-BZ6)*INDEX([2]非r将兵属性验证!$AU$7:$AU$166,$BQ7,1)+CK6</f>
        <v>0</v>
      </c>
      <c r="CL7" s="29">
        <f>(CA7-CA6)*INDEX([2]非r将兵属性验证!$AV$7:$AV$166,$BQ7,1)+CL6</f>
        <v>0</v>
      </c>
      <c r="CM7" s="29">
        <f>(CB7-CB6)*(INDEX([2]非r将兵属性验证!$AC$7:$AC$166,$BQ7,1)*[2]战法技能效用!$AH$4+INDEX([2]非r将兵属性验证!$AX$7:$AX$166,$BQ7,1)*[2]战法技能效用!$AI$4)+CM6</f>
        <v>0</v>
      </c>
      <c r="CN7" s="29">
        <f t="shared" si="1"/>
        <v>0</v>
      </c>
      <c r="CR7" s="29">
        <f>基础状态预期!D20</f>
        <v>34.585942742481357</v>
      </c>
      <c r="CS7" s="29">
        <f>IF(基础状态预期!AI20="",0,基础状态预期!AI20)*$AB$37*基础状态预期!J20</f>
        <v>0</v>
      </c>
      <c r="CT7" s="29">
        <f>CS7*武将数量星级阶位验证!$E$7*1.8</f>
        <v>0</v>
      </c>
      <c r="CV7" s="29">
        <v>40</v>
      </c>
      <c r="CW7" s="29">
        <f t="shared" si="4"/>
        <v>0</v>
      </c>
      <c r="CX7" s="29"/>
      <c r="CY7" s="29"/>
      <c r="CZ7" s="29">
        <f t="shared" si="5"/>
        <v>0</v>
      </c>
      <c r="DA7" s="17" t="e">
        <f t="shared" si="6"/>
        <v>#DIV/0!</v>
      </c>
      <c r="DB7" s="17">
        <f>武将升星!BF7/武将升星!BQ7</f>
        <v>1721.5528785795798</v>
      </c>
      <c r="DC7" s="17" t="e">
        <f t="shared" si="7"/>
        <v>#DIV/0!</v>
      </c>
    </row>
    <row r="8" spans="1:107" x14ac:dyDescent="0.15">
      <c r="N8" s="17" t="s">
        <v>746</v>
      </c>
      <c r="P8" s="17" t="s">
        <v>763</v>
      </c>
      <c r="U8" s="29">
        <v>2</v>
      </c>
      <c r="V8" s="29">
        <v>2</v>
      </c>
      <c r="W8" s="29"/>
      <c r="X8" s="29">
        <f t="shared" ref="X8:X13" si="8">SUM(V8:W8)</f>
        <v>2</v>
      </c>
      <c r="Y8" s="29">
        <f>SUM(V$7:V8)/SUM(V$7:V$13)</f>
        <v>0.3</v>
      </c>
      <c r="Z8" s="29">
        <f>SUM(W$7:W8)/SUM(W$7:W$13)</f>
        <v>0</v>
      </c>
      <c r="AZ8" s="187" t="s">
        <v>857</v>
      </c>
      <c r="BA8" s="187"/>
      <c r="BB8" s="187"/>
      <c r="BC8" s="187"/>
      <c r="BD8" s="187"/>
      <c r="BI8" s="17">
        <v>3</v>
      </c>
      <c r="BJ8" s="17">
        <v>90</v>
      </c>
      <c r="BK8" s="17">
        <v>40</v>
      </c>
      <c r="BL8" s="17">
        <f>SUM($BK$6:$BK8)</f>
        <v>100</v>
      </c>
      <c r="BQ8" s="29">
        <v>50</v>
      </c>
      <c r="BR8" s="29">
        <f>求节点(基础状态预期!$D$17:$D$55,基础状态预期!$AI$17:$AI$55,$BQ8)*SUM($AR$6:$AT$6)/3</f>
        <v>1.7400591500465808E-2</v>
      </c>
      <c r="BS8" s="29">
        <f>求节点(基础状态预期!$D$17:$D$55,基础状态预期!$AI$17:$AI$55,$BQ8)*AH$6</f>
        <v>1.087536968779113</v>
      </c>
      <c r="BT8" s="145">
        <f t="shared" si="2"/>
        <v>1.087536968779113</v>
      </c>
      <c r="BU8" s="29">
        <f>求节点(基础状态预期!$D$17:$D$55,基础状态预期!$AI$17:$AI$55,$BQ8)*AI$6</f>
        <v>5.2201774501397423E-2</v>
      </c>
      <c r="BV8" s="145">
        <f t="shared" si="3"/>
        <v>5.2201774501397423E-2</v>
      </c>
      <c r="BW8" s="29">
        <f>求节点(基础状态预期!$D$17:$D$55,基础状态预期!$AI$17:$AI$55,$BQ8)*$AU$6</f>
        <v>0.21750739375582259</v>
      </c>
      <c r="BX8" s="29">
        <f>求节点(基础状态预期!$D$17:$D$55,基础状态预期!$AI$17:$AI$55,$BQ8)*$AJ$6</f>
        <v>5.220177450139742E-5</v>
      </c>
      <c r="BY8" s="145">
        <f t="shared" si="0"/>
        <v>5.220177450139742E-5</v>
      </c>
      <c r="BZ8" s="29">
        <f>求节点(基础状态预期!$D$17:$D$55,基础状态预期!$AI$17:$AI$55,$BQ8)*$AK$6</f>
        <v>4.3501478751164522E-5</v>
      </c>
      <c r="CA8" s="145">
        <f t="shared" si="0"/>
        <v>4.3501478751164522E-5</v>
      </c>
      <c r="CB8" s="29">
        <f>求节点(基础状态预期!$D$17:$D$55,基础状态预期!$AI$17:$AI$55,$BQ8)*$W$60</f>
        <v>2.6100887250698714E-4</v>
      </c>
      <c r="CC8" s="29">
        <f>($BR8-$BR7)*(INDEX([2]非r将兵属性验证!$V$7:$V$166,$BQ8,1)+INDEX([2]非r将兵属性验证!$AP$7:$AP$166,$BQ8,1))+CC7</f>
        <v>284324.53583261708</v>
      </c>
      <c r="CD8" s="29">
        <f>($BS8-$BS7)*INDEX([2]非r将兵属性验证!W$7:W$166,$BQ8,1)+CD7</f>
        <v>219292.62167723625</v>
      </c>
      <c r="CE8" s="29">
        <f>(BT8-$BT7)*INDEX([2]非r将兵属性验证!X$7:X$166,$BQ8,1)+CE7</f>
        <v>219292.62167723625</v>
      </c>
      <c r="CF8" s="29">
        <f>(BU8-BU7)*INDEX([2]非r将兵属性验证!$AQ$7:$AQ$166,$BQ8)+CF7</f>
        <v>98469.708715033485</v>
      </c>
      <c r="CG8" s="29">
        <f>(BV8-BV7)*INDEX([2]非r将兵属性验证!$AR$7:$AR$166,$BQ8)+CG7</f>
        <v>98469.708715033485</v>
      </c>
      <c r="CH8" s="29">
        <f>(BW8-BW7)*INDEX([2]非r将兵属性验证!$AM$7:$AM$166,$BQ8,1)+CH7</f>
        <v>1075.1213686349204</v>
      </c>
      <c r="CI8" s="29">
        <f>(BX8-BX7)*INDEX([2]非r将兵属性验证!$AA$7:$AA$166,$BQ8,1)+CI7</f>
        <v>68845.124918796195</v>
      </c>
      <c r="CJ8" s="29">
        <f>(BY8-BY7)*INDEX([2]非r将兵属性验证!$AB$7:$AB$166,$BQ8,1)+CJ7</f>
        <v>68845.124918796195</v>
      </c>
      <c r="CK8" s="29">
        <f>(BZ8-BZ7)*INDEX([2]非r将兵属性验证!$AU$7:$AU$166,$BQ8,1)+CK7</f>
        <v>41236.570668125722</v>
      </c>
      <c r="CL8" s="29">
        <f>(CA8-CA7)*INDEX([2]非r将兵属性验证!$AV$7:$AV$166,$BQ8,1)+CL7</f>
        <v>41236.570668125722</v>
      </c>
      <c r="CM8" s="29">
        <f>(CB8-CB7)*(INDEX([2]非r将兵属性验证!$AC$7:$AC$166,$BQ8,1)*[2]战法技能效用!$AH$4+INDEX([2]非r将兵属性验证!$AX$7:$AX$166,$BQ8,1)*[2]战法技能效用!$AI$4)+CM7</f>
        <v>370861.82125742576</v>
      </c>
      <c r="CN8" s="29">
        <f t="shared" si="1"/>
        <v>1511949.5304170612</v>
      </c>
      <c r="CR8" s="29">
        <f>基础状态预期!D21</f>
        <v>40</v>
      </c>
      <c r="CS8" s="29">
        <f>IF(基础状态预期!AI21="",0,基础状态预期!AI21)*$AB$37*基础状态预期!J21</f>
        <v>0</v>
      </c>
      <c r="CT8" s="29">
        <f>CS8*武将数量星级阶位验证!$E$7*1.8</f>
        <v>0</v>
      </c>
      <c r="CV8" s="29">
        <v>50</v>
      </c>
      <c r="CW8" s="29">
        <f t="shared" si="4"/>
        <v>56.37791646150923</v>
      </c>
      <c r="CX8" s="29"/>
      <c r="CY8" s="29"/>
      <c r="CZ8" s="29">
        <f t="shared" si="5"/>
        <v>56.37791646150923</v>
      </c>
      <c r="DA8" s="17">
        <f t="shared" si="6"/>
        <v>26818.116477385451</v>
      </c>
      <c r="DB8" s="17">
        <f>武将升星!BF8/武将升星!BQ8</f>
        <v>3133.0970615553247</v>
      </c>
      <c r="DC8" s="17">
        <f t="shared" si="7"/>
        <v>8.5596187894901874</v>
      </c>
    </row>
    <row r="9" spans="1:107" x14ac:dyDescent="0.15">
      <c r="N9" s="17" t="s">
        <v>744</v>
      </c>
      <c r="P9" s="17" t="s">
        <v>764</v>
      </c>
      <c r="U9" s="29">
        <v>3</v>
      </c>
      <c r="V9" s="29">
        <v>2</v>
      </c>
      <c r="W9" s="29"/>
      <c r="X9" s="29">
        <f t="shared" si="8"/>
        <v>2</v>
      </c>
      <c r="Y9" s="29">
        <f>SUM(V$7:V9)/SUM(V$7:V$13)</f>
        <v>0.5</v>
      </c>
      <c r="Z9" s="29">
        <f>SUM(W$7:W9)/SUM(W$7:W$13)</f>
        <v>0</v>
      </c>
      <c r="AY9" s="17" t="s">
        <v>824</v>
      </c>
      <c r="AZ9" s="17" t="s">
        <v>825</v>
      </c>
      <c r="BA9" s="17" t="s">
        <v>826</v>
      </c>
      <c r="BB9" s="17" t="s">
        <v>827</v>
      </c>
      <c r="BC9" s="17" t="s">
        <v>828</v>
      </c>
      <c r="BD9" s="17" t="s">
        <v>829</v>
      </c>
      <c r="BI9" s="17">
        <v>4</v>
      </c>
      <c r="BJ9" s="17">
        <v>100</v>
      </c>
      <c r="BK9" s="17">
        <v>50</v>
      </c>
      <c r="BL9" s="17">
        <f>SUM($BK$6:$BK9)</f>
        <v>150</v>
      </c>
      <c r="BQ9" s="29">
        <v>60</v>
      </c>
      <c r="BR9" s="29">
        <f>求节点(基础状态预期!$D$17:$D$55,基础状态预期!$AI$17:$AI$55,$BQ9)*SUM($AR$6:$AT$6)/3</f>
        <v>0.35447301003177478</v>
      </c>
      <c r="BS9" s="29">
        <f>求节点(基础状态预期!$D$17:$D$55,基础状态预期!$AI$17:$AI$55,$BQ9)*AH$6</f>
        <v>22.154563126985924</v>
      </c>
      <c r="BT9" s="145">
        <f t="shared" si="2"/>
        <v>22.154563126985924</v>
      </c>
      <c r="BU9" s="29">
        <f>求节点(基础状态预期!$D$17:$D$55,基础状态预期!$AI$17:$AI$55,$BQ9)*AI$6</f>
        <v>1.0634190300953243</v>
      </c>
      <c r="BV9" s="145">
        <f t="shared" si="3"/>
        <v>1.0634190300953243</v>
      </c>
      <c r="BW9" s="29">
        <f>求节点(基础状态预期!$D$17:$D$55,基础状态预期!$AI$17:$AI$55,$BQ9)*$AU$6</f>
        <v>4.4309126253971849</v>
      </c>
      <c r="BX9" s="29">
        <f>求节点(基础状态预期!$D$17:$D$55,基础状态预期!$AI$17:$AI$55,$BQ9)*$AJ$6</f>
        <v>1.0634190300953244E-3</v>
      </c>
      <c r="BY9" s="145">
        <f t="shared" si="0"/>
        <v>1.0634190300953244E-3</v>
      </c>
      <c r="BZ9" s="29">
        <f>求节点(基础状态预期!$D$17:$D$55,基础状态预期!$AI$17:$AI$55,$BQ9)*$AK$6</f>
        <v>8.8618252507943708E-4</v>
      </c>
      <c r="CA9" s="145">
        <f t="shared" si="0"/>
        <v>8.8618252507943708E-4</v>
      </c>
      <c r="CB9" s="29">
        <f>求节点(基础状态预期!$D$17:$D$55,基础状态预期!$AI$17:$AI$55,$BQ9)*$W$60</f>
        <v>5.3170951504766225E-3</v>
      </c>
      <c r="CC9" s="29">
        <f>($BR9-$BR8)*(INDEX([2]非r将兵属性验证!$V$7:$V$166,$BQ9,1)+INDEX([2]非r将兵属性验证!$AP$7:$AP$166,$BQ9,1))+CC8</f>
        <v>12374839.094716329</v>
      </c>
      <c r="CD9" s="29">
        <f>($BS9-$BS8)*INDEX([2]非r将兵属性验证!W$7:W$166,$BQ9,1)+CD8</f>
        <v>8803105.061712129</v>
      </c>
      <c r="CE9" s="29">
        <f>(BT9-$BT8)*INDEX([2]非r将兵属性验证!X$7:X$166,$BQ9,1)+CE8</f>
        <v>8803105.061712129</v>
      </c>
      <c r="CF9" s="29">
        <f>(BU9-BU8)*INDEX([2]非r将兵属性验证!$AQ$7:$AQ$166,$BQ9)+CF8</f>
        <v>4489045.4817582723</v>
      </c>
      <c r="CG9" s="29">
        <f>(BV9-BV8)*INDEX([2]非r将兵属性验证!$AR$7:$AR$166,$BQ9)+CG8</f>
        <v>4489045.4817582723</v>
      </c>
      <c r="CH9" s="29">
        <f>(BW9-BW8)*INDEX([2]非r将兵属性验证!$AM$7:$AM$166,$BQ9,1)+CH8</f>
        <v>24605.618790443223</v>
      </c>
      <c r="CI9" s="29">
        <f>(BX9-BX8)*INDEX([2]非r将兵属性验证!$AA$7:$AA$166,$BQ9,1)+CI8</f>
        <v>3745778.5504779974</v>
      </c>
      <c r="CJ9" s="29">
        <f>(BY9-BY8)*INDEX([2]非r将兵属性验证!$AB$7:$AB$166,$BQ9,1)+CJ8</f>
        <v>3745778.5504779974</v>
      </c>
      <c r="CK9" s="29">
        <f>(BZ9-BZ8)*INDEX([2]非r将兵属性验证!$AU$7:$AU$166,$BQ9,1)+CK8</f>
        <v>2180959.9605282331</v>
      </c>
      <c r="CL9" s="29">
        <f>(CA9-CA8)*INDEX([2]非r将兵属性验证!$AV$7:$AV$166,$BQ9,1)+CL8</f>
        <v>2180959.9605282331</v>
      </c>
      <c r="CM9" s="29">
        <f>(CB9-CB8)*(INDEX([2]非r将兵属性验证!$AC$7:$AC$166,$BQ9,1)*[2]战法技能效用!$AH$4+INDEX([2]非r将兵属性验证!$AX$7:$AX$166,$BQ9,1)*[2]战法技能效用!$AI$4)+CM8</f>
        <v>18748369.054223608</v>
      </c>
      <c r="CN9" s="29">
        <f t="shared" si="1"/>
        <v>69585591.876683637</v>
      </c>
      <c r="CR9" s="29">
        <f>基础状态预期!D22</f>
        <v>43.920692243099523</v>
      </c>
      <c r="CS9" s="29">
        <f>IF(基础状态预期!AI22="",0,基础状态预期!AI22)*$AB$37*基础状态预期!J22</f>
        <v>0</v>
      </c>
      <c r="CT9" s="29">
        <f>CS9*武将数量星级阶位验证!$E$7*1.8</f>
        <v>0</v>
      </c>
      <c r="CV9" s="29">
        <v>60</v>
      </c>
      <c r="CW9" s="29">
        <f t="shared" si="4"/>
        <v>2553.8344056653323</v>
      </c>
      <c r="CX9" s="29"/>
      <c r="CY9" s="29"/>
      <c r="CZ9" s="29">
        <f t="shared" si="5"/>
        <v>2553.8344056653323</v>
      </c>
      <c r="DA9" s="17">
        <f t="shared" si="6"/>
        <v>27247.49565685133</v>
      </c>
      <c r="DB9" s="17">
        <f>武将升星!BF9/武将升星!BQ9</f>
        <v>5694.1313911141551</v>
      </c>
      <c r="DC9" s="17">
        <f t="shared" si="7"/>
        <v>4.7851891333894718</v>
      </c>
    </row>
    <row r="10" spans="1:107" x14ac:dyDescent="0.15">
      <c r="N10" s="17" t="s">
        <v>747</v>
      </c>
      <c r="P10" s="17" t="s">
        <v>765</v>
      </c>
      <c r="U10" s="29">
        <v>4</v>
      </c>
      <c r="V10" s="29"/>
      <c r="W10" s="29">
        <v>1</v>
      </c>
      <c r="X10" s="29">
        <f t="shared" si="8"/>
        <v>1</v>
      </c>
      <c r="Y10" s="29">
        <f>SUM(V$7:V10)/SUM(V$7:V$13)</f>
        <v>0.5</v>
      </c>
      <c r="Z10" s="29">
        <f>SUM(W$7:W10)/SUM(W$7:W$13)</f>
        <v>0.5</v>
      </c>
      <c r="AY10" s="17">
        <v>1</v>
      </c>
      <c r="AZ10" s="17">
        <f>求节点(基础状态预期!$D$17:$D$55,基础状态预期!$AI$17:$AI$55,$AY10)*求节点(基础状态预期!$D$17:$D$55,基础状态预期!$J$17:$J$55,$AY10)*$AB$49</f>
        <v>0</v>
      </c>
      <c r="BA10" s="17">
        <f>求节点(基础状态预期!$D$62:$D$100,基础状态预期!$AI$62:$AI$100,$AY10)*求节点(基础状态预期!$D$62:$D$100,基础状态预期!$J$62:$J$100,$AY10)*$AB$49</f>
        <v>0</v>
      </c>
      <c r="BB10" s="17">
        <f>求节点(基础状态预期!$D$107:$D$145,基础状态预期!$AI$107:$AI$145,$AY10)*求节点(基础状态预期!$D$107:$D$145,基础状态预期!$J$107:$J$145,$AY10)*$AB$49</f>
        <v>0</v>
      </c>
      <c r="BC10" s="17">
        <f>求节点(基础状态预期!$D$152:$D$190,基础状态预期!$AI$152:$AI$190,$AY10)*求节点(基础状态预期!$D$62:$D$100,基础状态预期!$J$152:$J$190,$AY10)*$AB$49</f>
        <v>0</v>
      </c>
      <c r="BD10" s="17">
        <f>求节点(基础状态预期!$D$197:$D$235,基础状态预期!$AI$197:$AI$235,$AY10)*求节点(基础状态预期!$D$197:$D$235,基础状态预期!$J$197:$J$235,$AY10)*$AB$49</f>
        <v>0</v>
      </c>
      <c r="BQ10" s="29">
        <v>70</v>
      </c>
      <c r="BR10" s="29">
        <f>求节点(基础状态预期!$D$17:$D$55,基础状态预期!$AI$17:$AI$55,$BQ10)*SUM($AR$6:$AT$6)/3</f>
        <v>0.72151018898576991</v>
      </c>
      <c r="BS10" s="29">
        <f>求节点(基础状态预期!$D$17:$D$55,基础状态预期!$AI$17:$AI$55,$BQ10)*AH$6</f>
        <v>45.094386811610619</v>
      </c>
      <c r="BT10" s="145">
        <f t="shared" si="2"/>
        <v>45.094386811610619</v>
      </c>
      <c r="BU10" s="29">
        <f>求节点(基础状态预期!$D$17:$D$55,基础状态预期!$AI$17:$AI$55,$BQ10)*AI$6</f>
        <v>2.1645305669573096</v>
      </c>
      <c r="BV10" s="145">
        <f t="shared" si="3"/>
        <v>2.1645305669573096</v>
      </c>
      <c r="BW10" s="29">
        <f>求节点(基础状态预期!$D$17:$D$55,基础状态预期!$AI$17:$AI$55,$BQ10)*$AU$6</f>
        <v>9.0188773623221241</v>
      </c>
      <c r="BX10" s="29">
        <f>求节点(基础状态预期!$D$17:$D$55,基础状态预期!$AI$17:$AI$55,$BQ10)*$AJ$6</f>
        <v>2.1645305669573097E-3</v>
      </c>
      <c r="BY10" s="145">
        <f t="shared" si="0"/>
        <v>2.1645305669573097E-3</v>
      </c>
      <c r="BZ10" s="29">
        <f>求节点(基础状态预期!$D$17:$D$55,基础状态预期!$AI$17:$AI$55,$BQ10)*$AK$6</f>
        <v>1.8037754724644249E-3</v>
      </c>
      <c r="CA10" s="145">
        <f t="shared" si="0"/>
        <v>1.8037754724644249E-3</v>
      </c>
      <c r="CB10" s="29">
        <f>求节点(基础状态预期!$D$17:$D$55,基础状态预期!$AI$17:$AI$55,$BQ10)*$W$60</f>
        <v>1.0822652834786549E-2</v>
      </c>
      <c r="CC10" s="29">
        <f>($BR10-$BR9)*(INDEX([2]非r将兵属性验证!$V$7:$V$166,$BQ10,1)+INDEX([2]非r将兵属性验证!$AP$7:$AP$166,$BQ10,1))+CC9</f>
        <v>46561384.713733464</v>
      </c>
      <c r="CD10" s="29">
        <f>($BS10-$BS9)*INDEX([2]非r将兵属性验证!W$7:W$166,$BQ10,1)+CD9</f>
        <v>28587635.932556301</v>
      </c>
      <c r="CE10" s="29">
        <f>(BT10-$BT9)*INDEX([2]非r将兵属性验证!X$7:X$166,$BQ10,1)+CE9</f>
        <v>28587635.932556301</v>
      </c>
      <c r="CF10" s="29">
        <f>(BU10-BU9)*INDEX([2]非r将兵属性验证!$AQ$7:$AQ$166,$BQ10)+CF9</f>
        <v>18585252.159054566</v>
      </c>
      <c r="CG10" s="29">
        <f>(BV10-BV9)*INDEX([2]非r将兵属性验证!$AR$7:$AR$166,$BQ10)+CG9</f>
        <v>18585252.159054566</v>
      </c>
      <c r="CH10" s="29">
        <f>(BW10-BW9)*INDEX([2]非r将兵属性验证!$AM$7:$AM$166,$BQ10,1)+CH9</f>
        <v>53293.485630486422</v>
      </c>
      <c r="CI10" s="29">
        <f>(BX10-BX9)*INDEX([2]非r将兵属性验证!$AA$7:$AA$166,$BQ10,1)+CI9</f>
        <v>14950331.209294908</v>
      </c>
      <c r="CJ10" s="29">
        <f>(BY10-BY9)*INDEX([2]非r将兵属性验证!$AB$7:$AB$166,$BQ10,1)+CJ9</f>
        <v>14950331.209294908</v>
      </c>
      <c r="CK10" s="29">
        <f>(BZ10-BZ9)*INDEX([2]非r将兵属性验证!$AU$7:$AU$166,$BQ10,1)+CK9</f>
        <v>10670897.074112464</v>
      </c>
      <c r="CL10" s="29">
        <f>(CA10-CA9)*INDEX([2]非r将兵属性验证!$AV$7:$AV$166,$BQ10,1)+CL9</f>
        <v>10670897.074112464</v>
      </c>
      <c r="CM10" s="29">
        <f>(CB10-CB9)*(INDEX([2]非r将兵属性验证!$AC$7:$AC$166,$BQ10,1)*[2]战法技能效用!$AH$4+INDEX([2]非r将兵属性验证!$AX$7:$AX$166,$BQ10,1)*[2]战法技能效用!$AI$4)+CM9</f>
        <v>70676283.778404966</v>
      </c>
      <c r="CN10" s="29">
        <f t="shared" si="1"/>
        <v>262879194.72780544</v>
      </c>
      <c r="CR10" s="29">
        <f>基础状态预期!D23</f>
        <v>49.533352307096472</v>
      </c>
      <c r="CS10" s="29">
        <f>IF(基础状态预期!AI23="",0,基础状态预期!AI23)*$AB$37*基础状态预期!J23</f>
        <v>0</v>
      </c>
      <c r="CT10" s="29">
        <f>CS10*武将数量星级阶位验证!$E$7*1.8</f>
        <v>0</v>
      </c>
      <c r="CV10" s="29">
        <v>70</v>
      </c>
      <c r="CW10" s="29">
        <f t="shared" si="4"/>
        <v>9967.2928163185534</v>
      </c>
      <c r="CX10" s="29"/>
      <c r="CY10" s="29"/>
      <c r="CZ10" s="29">
        <f t="shared" si="5"/>
        <v>9967.2928163185534</v>
      </c>
      <c r="DA10" s="17">
        <f t="shared" si="6"/>
        <v>26374.181994274008</v>
      </c>
      <c r="DB10" s="17">
        <f>武将升星!BF10/武将升星!BQ10</f>
        <v>10830.061978080324</v>
      </c>
      <c r="DC10" s="17">
        <f t="shared" si="7"/>
        <v>2.4352752595187774</v>
      </c>
    </row>
    <row r="11" spans="1:107" x14ac:dyDescent="0.15">
      <c r="I11" s="17">
        <v>5</v>
      </c>
      <c r="J11" s="17">
        <v>1</v>
      </c>
      <c r="K11" s="17">
        <v>2</v>
      </c>
      <c r="L11" s="17">
        <f>K11*J11*I11</f>
        <v>10</v>
      </c>
      <c r="M11" s="17">
        <f t="shared" ref="M11" si="9">K11*J11</f>
        <v>2</v>
      </c>
      <c r="N11" s="17" t="s">
        <v>748</v>
      </c>
      <c r="P11" s="17" t="s">
        <v>766</v>
      </c>
      <c r="U11" s="29">
        <v>5</v>
      </c>
      <c r="V11" s="29">
        <v>2</v>
      </c>
      <c r="W11" s="29"/>
      <c r="X11" s="29">
        <f t="shared" si="8"/>
        <v>2</v>
      </c>
      <c r="Y11" s="29">
        <f>SUM(V$7:V11)/SUM(V$7:V$13)</f>
        <v>0.7</v>
      </c>
      <c r="Z11" s="29">
        <f>SUM(W$7:W11)/SUM(W$7:W$13)</f>
        <v>0.5</v>
      </c>
      <c r="AY11" s="17">
        <v>2</v>
      </c>
      <c r="AZ11" s="17">
        <f>求节点(基础状态预期!$D$17:$D$55,基础状态预期!$AI$17:$AI$55,$AY11)*求节点(基础状态预期!$D$17:$D$55,基础状态预期!$J$17:$J$55,$AY11)*$AB$49</f>
        <v>0</v>
      </c>
      <c r="BA11" s="17">
        <f>求节点(基础状态预期!$D$62:$D$100,基础状态预期!$AI$62:$AI$100,$AY11)*求节点(基础状态预期!$D$62:$D$100,基础状态预期!$J$62:$J$100,$AY11)*$AB$49</f>
        <v>0</v>
      </c>
      <c r="BB11" s="17">
        <f>求节点(基础状态预期!$D$107:$D$145,基础状态预期!$AI$107:$AI$145,$AY11)*求节点(基础状态预期!$D$107:$D$145,基础状态预期!$J$107:$J$145,$AY11)*$AB$49</f>
        <v>0</v>
      </c>
      <c r="BC11" s="17">
        <f>求节点(基础状态预期!$D$152:$D$190,基础状态预期!$AI$152:$AI$190,$AY11)*求节点(基础状态预期!$D$62:$D$100,基础状态预期!$J$152:$J$190,$AY11)*$AB$49</f>
        <v>0</v>
      </c>
      <c r="BD11" s="17">
        <f>求节点(基础状态预期!$D$197:$D$235,基础状态预期!$AI$197:$AI$235,$AY11)*求节点(基础状态预期!$D$197:$D$235,基础状态预期!$J$197:$J$235,$AY11)*$AB$49</f>
        <v>0</v>
      </c>
      <c r="BQ11" s="29">
        <v>80</v>
      </c>
      <c r="BR11" s="29">
        <f>求节点(基础状态预期!$D$17:$D$55,基础状态预期!$AI$17:$AI$55,$BQ11)*SUM($AR$6:$AT$6)/3</f>
        <v>1.0534503973418654</v>
      </c>
      <c r="BS11" s="29">
        <f>求节点(基础状态预期!$D$17:$D$55,基础状态预期!$AI$17:$AI$55,$BQ11)*AH$6</f>
        <v>65.840649833866593</v>
      </c>
      <c r="BT11" s="145">
        <f t="shared" si="2"/>
        <v>65.840649833866593</v>
      </c>
      <c r="BU11" s="29">
        <f>求节点(基础状态预期!$D$17:$D$55,基础状态预期!$AI$17:$AI$55,$BQ11)*AI$6</f>
        <v>3.1603511920255962</v>
      </c>
      <c r="BV11" s="145">
        <f t="shared" si="3"/>
        <v>3.1603511920255962</v>
      </c>
      <c r="BW11" s="29">
        <f>求节点(基础状态预期!$D$17:$D$55,基础状态预期!$AI$17:$AI$55,$BQ11)*$AU$6</f>
        <v>13.168129966773318</v>
      </c>
      <c r="BX11" s="29">
        <f>求节点(基础状态预期!$D$17:$D$55,基础状态预期!$AI$17:$AI$55,$BQ11)*$AJ$6</f>
        <v>3.1603511920255964E-3</v>
      </c>
      <c r="BY11" s="145">
        <f t="shared" si="0"/>
        <v>3.1603511920255964E-3</v>
      </c>
      <c r="BZ11" s="29">
        <f>求节点(基础状态预期!$D$17:$D$55,基础状态预期!$AI$17:$AI$55,$BQ11)*$AK$6</f>
        <v>2.6336259933546638E-3</v>
      </c>
      <c r="CA11" s="145">
        <f t="shared" si="0"/>
        <v>2.6336259933546638E-3</v>
      </c>
      <c r="CB11" s="29">
        <f>求节点(基础状态预期!$D$17:$D$55,基础状态预期!$AI$17:$AI$55,$BQ11)*$W$60</f>
        <v>1.5801755960127985E-2</v>
      </c>
      <c r="CC11" s="29">
        <f>($BR11-$BR10)*(INDEX([2]非r将兵属性验证!$V$7:$V$166,$BQ11,1)+INDEX([2]非r将兵属性验证!$AP$7:$AP$166,$BQ11,1))+CC10</f>
        <v>123295311.39965442</v>
      </c>
      <c r="CD11" s="29">
        <f>($BS11-$BS10)*INDEX([2]非r将兵属性验证!W$7:W$166,$BQ11,1)+CD10</f>
        <v>63838270.727955125</v>
      </c>
      <c r="CE11" s="29">
        <f>(BT11-$BT10)*INDEX([2]非r将兵属性验证!X$7:X$166,$BQ11,1)+CE10</f>
        <v>63838270.727955125</v>
      </c>
      <c r="CF11" s="29">
        <f>(BU11-BU10)*INDEX([2]非r将兵属性验证!$AQ$7:$AQ$166,$BQ11)+CF10</f>
        <v>53464090.783018008</v>
      </c>
      <c r="CG11" s="29">
        <f>(BV11-BV10)*INDEX([2]非r将兵属性验证!$AR$7:$AR$166,$BQ11)+CG10</f>
        <v>53464090.783018008</v>
      </c>
      <c r="CH11" s="29">
        <f>(BW11-BW10)*INDEX([2]非r将兵属性验证!$AM$7:$AM$166,$BQ11,1)+CH10</f>
        <v>82017.294909129821</v>
      </c>
      <c r="CI11" s="29">
        <f>(BX11-BX10)*INDEX([2]非r将兵属性验证!$AA$7:$AA$166,$BQ11,1)+CI10</f>
        <v>40078884.061359838</v>
      </c>
      <c r="CJ11" s="29">
        <f>(BY11-BY10)*INDEX([2]非r将兵属性验证!$AB$7:$AB$166,$BQ11,1)+CJ10</f>
        <v>40078884.061359838</v>
      </c>
      <c r="CK11" s="29">
        <f>(BZ11-BZ10)*INDEX([2]非r将兵属性验证!$AU$7:$AU$166,$BQ11,1)+CK10</f>
        <v>36408810.71048522</v>
      </c>
      <c r="CL11" s="29">
        <f>(CA11-CA10)*INDEX([2]非r将兵属性验证!$AV$7:$AV$166,$BQ11,1)+CL10</f>
        <v>36408810.71048522</v>
      </c>
      <c r="CM11" s="29">
        <f>(CB11-CB10)*(INDEX([2]非r将兵属性验证!$AC$7:$AC$166,$BQ11,1)*[2]战法技能效用!$AH$4+INDEX([2]非r将兵属性验证!$AX$7:$AX$166,$BQ11,1)*[2]战法技能效用!$AI$4)+CM10</f>
        <v>191083206.2490885</v>
      </c>
      <c r="CN11" s="29">
        <f t="shared" si="1"/>
        <v>702040647.50928843</v>
      </c>
      <c r="CR11" s="29">
        <f>基础状态预期!D24</f>
        <v>53.567039423670657</v>
      </c>
      <c r="CS11" s="29">
        <f>IF(基础状态预期!AI24="",0,基础状态预期!AI24)*$AB$37*基础状态预期!J24</f>
        <v>9.0246080060285894E-2</v>
      </c>
      <c r="CT11" s="29">
        <f>CS11*武将数量星级阶位验证!$E$7*1.8</f>
        <v>487.32883232554389</v>
      </c>
      <c r="CV11" s="29">
        <v>80</v>
      </c>
      <c r="CW11" s="29">
        <f t="shared" si="4"/>
        <v>20479.075724325863</v>
      </c>
      <c r="CX11" s="29"/>
      <c r="CY11" s="29"/>
      <c r="CZ11" s="29">
        <f t="shared" si="5"/>
        <v>20479.075724325863</v>
      </c>
      <c r="DA11" s="17">
        <f t="shared" si="6"/>
        <v>34280.875609799936</v>
      </c>
      <c r="DB11" s="17">
        <f>武将升星!BF11/武将升星!BQ11</f>
        <v>18518.119575762026</v>
      </c>
      <c r="DC11" s="17">
        <f t="shared" si="7"/>
        <v>1.8512071633163794</v>
      </c>
    </row>
    <row r="12" spans="1:107" x14ac:dyDescent="0.15">
      <c r="N12" s="17" t="s">
        <v>751</v>
      </c>
      <c r="P12" s="17" t="s">
        <v>767</v>
      </c>
      <c r="U12" s="29">
        <v>6</v>
      </c>
      <c r="V12" s="29">
        <v>3</v>
      </c>
      <c r="W12" s="29"/>
      <c r="X12" s="29">
        <f t="shared" si="8"/>
        <v>3</v>
      </c>
      <c r="Y12" s="29">
        <f>SUM(V$7:V12)/SUM(V$7:V$13)</f>
        <v>1</v>
      </c>
      <c r="Z12" s="29">
        <f>SUM(W$7:W12)/SUM(W$7:W$13)</f>
        <v>0.5</v>
      </c>
      <c r="AH12" s="187" t="s">
        <v>802</v>
      </c>
      <c r="AI12" s="187"/>
      <c r="AJ12" s="187"/>
      <c r="AK12" s="187"/>
      <c r="AL12" s="187"/>
      <c r="AM12" s="187"/>
      <c r="AN12" s="187"/>
      <c r="AO12" s="187"/>
      <c r="AP12" s="187"/>
      <c r="AQ12" s="187"/>
      <c r="AR12" s="187"/>
      <c r="AS12" s="187"/>
      <c r="AT12" s="187"/>
      <c r="AU12" s="187"/>
      <c r="AY12" s="17">
        <v>3</v>
      </c>
      <c r="AZ12" s="17">
        <f>求节点(基础状态预期!$D$17:$D$55,基础状态预期!$AI$17:$AI$55,$AY12)*求节点(基础状态预期!$D$17:$D$55,基础状态预期!$J$17:$J$55,$AY12)*$AB$49</f>
        <v>0</v>
      </c>
      <c r="BA12" s="17">
        <f>求节点(基础状态预期!$D$62:$D$100,基础状态预期!$AI$62:$AI$100,$AY12)*求节点(基础状态预期!$D$62:$D$100,基础状态预期!$J$62:$J$100,$AY12)*$AB$49</f>
        <v>0</v>
      </c>
      <c r="BB12" s="17">
        <f>求节点(基础状态预期!$D$107:$D$145,基础状态预期!$AI$107:$AI$145,$AY12)*求节点(基础状态预期!$D$107:$D$145,基础状态预期!$J$107:$J$145,$AY12)*$AB$49</f>
        <v>0</v>
      </c>
      <c r="BC12" s="17">
        <f>求节点(基础状态预期!$D$152:$D$190,基础状态预期!$AI$152:$AI$190,$AY12)*求节点(基础状态预期!$D$62:$D$100,基础状态预期!$J$152:$J$190,$AY12)*$AB$49</f>
        <v>0</v>
      </c>
      <c r="BD12" s="17">
        <f>求节点(基础状态预期!$D$197:$D$235,基础状态预期!$AI$197:$AI$235,$AY12)*求节点(基础状态预期!$D$197:$D$235,基础状态预期!$J$197:$J$235,$AY12)*$AB$49</f>
        <v>0</v>
      </c>
      <c r="BQ12" s="29">
        <v>90</v>
      </c>
      <c r="BR12" s="29">
        <f>求节点(基础状态预期!$D$17:$D$55,基础状态预期!$AI$17:$AI$55,$BQ12)*SUM($AR$6:$AT$6)/3</f>
        <v>1.9304730995008079</v>
      </c>
      <c r="BS12" s="29">
        <f>求节点(基础状态预期!$D$17:$D$55,基础状态预期!$AI$17:$AI$55,$BQ12)*AH$6</f>
        <v>120.65456871880049</v>
      </c>
      <c r="BT12" s="145">
        <f t="shared" si="2"/>
        <v>120.65456871880049</v>
      </c>
      <c r="BU12" s="29">
        <f>求节点(基础状态预期!$D$17:$D$55,基础状态预期!$AI$17:$AI$55,$BQ12)*AI$6</f>
        <v>5.791419298502424</v>
      </c>
      <c r="BV12" s="145">
        <f t="shared" si="3"/>
        <v>5.791419298502424</v>
      </c>
      <c r="BW12" s="29">
        <f>求节点(基础状态预期!$D$17:$D$55,基础状态预期!$AI$17:$AI$55,$BQ12)*$AU$6</f>
        <v>24.1309137437601</v>
      </c>
      <c r="BX12" s="29">
        <f>求节点(基础状态预期!$D$17:$D$55,基础状态预期!$AI$17:$AI$55,$BQ12)*$AJ$6</f>
        <v>5.7914192985024232E-3</v>
      </c>
      <c r="BY12" s="145">
        <f t="shared" si="0"/>
        <v>5.7914192985024232E-3</v>
      </c>
      <c r="BZ12" s="29">
        <f>求节点(基础状态预期!$D$17:$D$55,基础状态预期!$AI$17:$AI$55,$BQ12)*$AK$6</f>
        <v>4.8261827487520205E-3</v>
      </c>
      <c r="CA12" s="145">
        <f t="shared" si="0"/>
        <v>4.8261827487520205E-3</v>
      </c>
      <c r="CB12" s="29">
        <f>求节点(基础状态预期!$D$17:$D$55,基础状态预期!$AI$17:$AI$55,$BQ12)*$W$60</f>
        <v>2.8957096492512123E-2</v>
      </c>
      <c r="CC12" s="29">
        <f>($BR12-$BR11)*(INDEX([2]非r将兵属性验证!$V$7:$V$166,$BQ12,1)+INDEX([2]非r将兵属性验证!$AP$7:$AP$166,$BQ12,1))+CC11</f>
        <v>559053685.01291597</v>
      </c>
      <c r="CD12" s="29">
        <f>($BS12-$BS11)*INDEX([2]非r将兵属性验证!W$7:W$166,$BQ12,1)+CD11</f>
        <v>239419076.12490138</v>
      </c>
      <c r="CE12" s="29">
        <f>(BT12-$BT11)*INDEX([2]非r将兵属性验证!X$7:X$166,$BQ12,1)+CE11</f>
        <v>239419076.12490138</v>
      </c>
      <c r="CF12" s="29">
        <f>(BU12-BU11)*INDEX([2]非r将兵属性验证!$AQ$7:$AQ$166,$BQ12)+CF11</f>
        <v>258254122.7742039</v>
      </c>
      <c r="CG12" s="29">
        <f>(BV12-BV11)*INDEX([2]非r将兵属性验证!$AR$7:$AR$166,$BQ12)+CG11</f>
        <v>258254122.7742039</v>
      </c>
      <c r="CH12" s="29">
        <f>(BW12-BW11)*INDEX([2]非r将兵属性验证!$AM$7:$AM$166,$BQ12,1)+CH11</f>
        <v>165271.66680895345</v>
      </c>
      <c r="CI12" s="29">
        <f>(BX12-BX11)*INDEX([2]非r将兵属性验证!$AA$7:$AA$166,$BQ12,1)+CI11</f>
        <v>186918232.52311027</v>
      </c>
      <c r="CJ12" s="29">
        <f>(BY12-BY11)*INDEX([2]非r将兵属性验证!$AB$7:$AB$166,$BQ12,1)+CJ11</f>
        <v>186918232.52311027</v>
      </c>
      <c r="CK12" s="29">
        <f>(BZ12-BZ11)*INDEX([2]非r将兵属性验证!$AU$7:$AU$166,$BQ12,1)+CK11</f>
        <v>211402899.60072297</v>
      </c>
      <c r="CL12" s="29">
        <f>(CA12-CA11)*INDEX([2]非r将兵属性验证!$AV$7:$AV$166,$BQ12,1)+CL11</f>
        <v>211402899.60072297</v>
      </c>
      <c r="CM12" s="29">
        <f>(CB12-CB11)*(INDEX([2]非r将兵属性验证!$AC$7:$AC$166,$BQ12,1)*[2]战法技能效用!$AH$4+INDEX([2]非r将兵属性验证!$AX$7:$AX$166,$BQ12,1)*[2]战法技能效用!$AI$4)+CM11</f>
        <v>857228603.59632051</v>
      </c>
      <c r="CN12" s="29">
        <f t="shared" si="1"/>
        <v>3208436222.3219228</v>
      </c>
      <c r="CR12" s="29">
        <f>基础状态预期!D25</f>
        <v>59.300028460644697</v>
      </c>
      <c r="CS12" s="29">
        <f>IF(基础状态预期!AI25="",0,基础状态预期!AI25)*$AB$37*基础状态预期!J25</f>
        <v>0.37578218491216697</v>
      </c>
      <c r="CT12" s="29">
        <f>CS12*武将数量星级阶位验证!$E$7*1.8</f>
        <v>2029.2237985257016</v>
      </c>
      <c r="CV12" s="29">
        <v>90</v>
      </c>
      <c r="CW12" s="29">
        <f t="shared" si="4"/>
        <v>37528.39705429571</v>
      </c>
      <c r="CX12" s="29"/>
      <c r="CY12" s="29"/>
      <c r="CZ12" s="29">
        <f t="shared" si="5"/>
        <v>37528.39705429571</v>
      </c>
      <c r="DA12" s="17">
        <f t="shared" si="6"/>
        <v>85493.558855711031</v>
      </c>
      <c r="DB12" s="17">
        <f>武将升星!BF12/武将升星!BQ12</f>
        <v>29362.955903884162</v>
      </c>
      <c r="DC12" s="17">
        <f t="shared" si="7"/>
        <v>2.9116128204382128</v>
      </c>
    </row>
    <row r="13" spans="1:107" x14ac:dyDescent="0.15">
      <c r="N13" s="17" t="s">
        <v>749</v>
      </c>
      <c r="P13" s="17" t="s">
        <v>768</v>
      </c>
      <c r="U13" s="29">
        <v>7</v>
      </c>
      <c r="V13" s="29"/>
      <c r="W13" s="29">
        <v>1</v>
      </c>
      <c r="X13" s="29">
        <f t="shared" si="8"/>
        <v>1</v>
      </c>
      <c r="Y13" s="29">
        <f>SUM(V$7:V13)/SUM(V$7:V$13)</f>
        <v>1</v>
      </c>
      <c r="Z13" s="29">
        <f>SUM(W$7:W13)/SUM(W$7:W$13)</f>
        <v>1</v>
      </c>
      <c r="AG13" s="17" t="s">
        <v>796</v>
      </c>
      <c r="AH13" s="17" t="s">
        <v>797</v>
      </c>
      <c r="AI13" s="17" t="s">
        <v>798</v>
      </c>
      <c r="AJ13" s="17" t="s">
        <v>745</v>
      </c>
      <c r="AK13" s="17" t="s">
        <v>746</v>
      </c>
      <c r="AL13" s="17" t="s">
        <v>744</v>
      </c>
      <c r="AM13" s="17" t="s">
        <v>747</v>
      </c>
      <c r="AN13" s="17" t="s">
        <v>748</v>
      </c>
      <c r="AO13" s="17" t="s">
        <v>751</v>
      </c>
      <c r="AP13" s="17" t="s">
        <v>749</v>
      </c>
      <c r="AQ13" s="17" t="s">
        <v>750</v>
      </c>
      <c r="AR13" s="17" t="s">
        <v>752</v>
      </c>
      <c r="AS13" s="17" t="s">
        <v>753</v>
      </c>
      <c r="AT13" s="17" t="s">
        <v>754</v>
      </c>
      <c r="AU13" s="17" t="s">
        <v>231</v>
      </c>
      <c r="AY13" s="17">
        <v>4</v>
      </c>
      <c r="AZ13" s="17">
        <f>求节点(基础状态预期!$D$17:$D$55,基础状态预期!$AI$17:$AI$55,$AY13)*求节点(基础状态预期!$D$17:$D$55,基础状态预期!$J$17:$J$55,$AY13)*$AB$49</f>
        <v>0</v>
      </c>
      <c r="BA13" s="17">
        <f>求节点(基础状态预期!$D$62:$D$100,基础状态预期!$AI$62:$AI$100,$AY13)*求节点(基础状态预期!$D$62:$D$100,基础状态预期!$J$62:$J$100,$AY13)*$AB$49</f>
        <v>0</v>
      </c>
      <c r="BB13" s="17">
        <f>求节点(基础状态预期!$D$107:$D$145,基础状态预期!$AI$107:$AI$145,$AY13)*求节点(基础状态预期!$D$107:$D$145,基础状态预期!$J$107:$J$145,$AY13)*$AB$49</f>
        <v>0</v>
      </c>
      <c r="BC13" s="17">
        <f>求节点(基础状态预期!$D$152:$D$190,基础状态预期!$AI$152:$AI$190,$AY13)*求节点(基础状态预期!$D$62:$D$100,基础状态预期!$J$152:$J$190,$AY13)*$AB$49</f>
        <v>0</v>
      </c>
      <c r="BD13" s="17">
        <f>求节点(基础状态预期!$D$197:$D$235,基础状态预期!$AI$197:$AI$235,$AY13)*求节点(基础状态预期!$D$197:$D$235,基础状态预期!$J$197:$J$235,$AY13)*$AB$49</f>
        <v>0</v>
      </c>
      <c r="BQ13" s="29">
        <v>100</v>
      </c>
      <c r="BR13" s="29">
        <f>求节点(基础状态预期!$D$17:$D$55,基础状态预期!$AI$17:$AI$55,$BQ13)*SUM($AR$6:$AT$6)/3</f>
        <v>3.3733391260028154</v>
      </c>
      <c r="BS13" s="29">
        <f>求节点(基础状态预期!$D$17:$D$55,基础状态预期!$AI$17:$AI$55,$BQ13)*AH$6</f>
        <v>210.83369537517598</v>
      </c>
      <c r="BT13" s="145">
        <f t="shared" si="2"/>
        <v>210.83369537517598</v>
      </c>
      <c r="BU13" s="29">
        <f>求节点(基础状态预期!$D$17:$D$55,基础状态预期!$AI$17:$AI$55,$BQ13)*AI$6</f>
        <v>10.120017378008447</v>
      </c>
      <c r="BV13" s="145">
        <f t="shared" si="3"/>
        <v>10.120017378008447</v>
      </c>
      <c r="BW13" s="29">
        <f>求节点(基础状态预期!$D$17:$D$55,基础状态预期!$AI$17:$AI$55,$BQ13)*$AU$6</f>
        <v>42.166739075035196</v>
      </c>
      <c r="BX13" s="29">
        <f>求节点(基础状态预期!$D$17:$D$55,基础状态预期!$AI$17:$AI$55,$BQ13)*$AJ$6</f>
        <v>1.0120017378008446E-2</v>
      </c>
      <c r="BY13" s="145">
        <f t="shared" si="0"/>
        <v>1.0120017378008446E-2</v>
      </c>
      <c r="BZ13" s="29">
        <f>求节点(基础状态预期!$D$17:$D$55,基础状态预期!$AI$17:$AI$55,$BQ13)*$AK$6</f>
        <v>8.43334781500704E-3</v>
      </c>
      <c r="CA13" s="145">
        <f t="shared" si="0"/>
        <v>8.43334781500704E-3</v>
      </c>
      <c r="CB13" s="29">
        <f>求节点(基础状态预期!$D$17:$D$55,基础状态预期!$AI$17:$AI$55,$BQ13)*$W$60</f>
        <v>5.0600086890042244E-2</v>
      </c>
      <c r="CC13" s="29">
        <f>($BR13-$BR12)*(INDEX([2]非r将兵属性验证!$V$7:$V$166,$BQ13,1)+INDEX([2]非r将兵属性验证!$AP$7:$AP$166,$BQ13,1))+CC12</f>
        <v>2131283911.7470665</v>
      </c>
      <c r="CD13" s="29">
        <f>($BS13-$BS12)*INDEX([2]非r将兵属性验证!W$7:W$166,$BQ13,1)+CD12</f>
        <v>754385807.31702375</v>
      </c>
      <c r="CE13" s="29">
        <f>(BT13-$BT12)*INDEX([2]非r将兵属性验证!X$7:X$166,$BQ13,1)+CE12</f>
        <v>754385807.31702375</v>
      </c>
      <c r="CF13" s="29">
        <f>(BU13-BU12)*INDEX([2]非r将兵属性验证!$AQ$7:$AQ$166,$BQ13)+CF12</f>
        <v>1052148620.5620146</v>
      </c>
      <c r="CG13" s="29">
        <f>(BV13-BV12)*INDEX([2]非r将兵属性验证!$AR$7:$AR$166,$BQ13)+CG12</f>
        <v>1052148620.5620146</v>
      </c>
      <c r="CH13" s="29">
        <f>(BW13-BW12)*INDEX([2]非r将兵属性验证!$AM$7:$AM$166,$BQ13,1)+CH12</f>
        <v>314325.90754259378</v>
      </c>
      <c r="CI13" s="29">
        <f>(BX13-BX12)*INDEX([2]非r将兵属性验证!$AA$7:$AA$166,$BQ13,1)+CI12</f>
        <v>668520609.75661838</v>
      </c>
      <c r="CJ13" s="29">
        <f>(BY13-BY12)*INDEX([2]非r将兵属性验证!$AB$7:$AB$166,$BQ13,1)+CJ12</f>
        <v>668520609.75661838</v>
      </c>
      <c r="CK13" s="29">
        <f>(BZ13-BZ12)*INDEX([2]非r将兵属性验证!$AU$7:$AU$166,$BQ13,1)+CK12</f>
        <v>1033953607.2446949</v>
      </c>
      <c r="CL13" s="29">
        <f>(CA13-CA12)*INDEX([2]非r将兵属性验证!$AV$7:$AV$166,$BQ13,1)+CL12</f>
        <v>1033953607.2446949</v>
      </c>
      <c r="CM13" s="29">
        <f>(CB13-CB12)*(INDEX([2]非r将兵属性验证!$AC$7:$AC$166,$BQ13,1)*[2]战法技能效用!$AH$4+INDEX([2]非r将兵属性验证!$AX$7:$AX$166,$BQ13,1)*[2]战法技能效用!$AI$4)+CM12</f>
        <v>2860027093.2303324</v>
      </c>
      <c r="CN13" s="29">
        <f t="shared" si="1"/>
        <v>12009642620.645645</v>
      </c>
      <c r="CR13" s="29">
        <f>基础状态预期!D26</f>
        <v>65.075479910097457</v>
      </c>
      <c r="CS13" s="29">
        <f>IF(基础状态预期!AI26="",0,基础状态预期!AI26)*$AB$37*基础状态预期!J26</f>
        <v>1.1773658581340483</v>
      </c>
      <c r="CT13" s="29">
        <f>CS13*武将数量星级阶位验证!$E$7*1.8</f>
        <v>6357.7756339238604</v>
      </c>
      <c r="CV13" s="29">
        <v>100</v>
      </c>
      <c r="CW13" s="29">
        <f t="shared" si="4"/>
        <v>65577.712609494745</v>
      </c>
      <c r="CX13" s="29"/>
      <c r="CY13" s="29"/>
      <c r="CZ13" s="29">
        <f t="shared" si="5"/>
        <v>65577.712609494745</v>
      </c>
      <c r="DA13" s="17">
        <f t="shared" si="6"/>
        <v>183136.04032152251</v>
      </c>
      <c r="DB13" s="17">
        <f>武将升星!BF13/武将升星!BQ13</f>
        <v>42618.034900081999</v>
      </c>
      <c r="DC13" s="17">
        <f t="shared" si="7"/>
        <v>4.2971488655186718</v>
      </c>
    </row>
    <row r="14" spans="1:107" x14ac:dyDescent="0.15">
      <c r="N14" s="17" t="s">
        <v>750</v>
      </c>
      <c r="P14" s="17" t="s">
        <v>769</v>
      </c>
      <c r="AG14" s="17" t="s">
        <v>800</v>
      </c>
      <c r="AH14" s="17">
        <v>3200</v>
      </c>
      <c r="AI14" s="17">
        <v>150</v>
      </c>
      <c r="AJ14" s="92">
        <v>0.15</v>
      </c>
      <c r="AK14" s="92">
        <v>0.12</v>
      </c>
      <c r="AL14" s="141">
        <f>AJ14</f>
        <v>0.15</v>
      </c>
      <c r="AM14" s="141">
        <f>AK14</f>
        <v>0.12</v>
      </c>
      <c r="AN14" s="92">
        <v>0.2</v>
      </c>
      <c r="AO14" s="92">
        <v>0.4</v>
      </c>
      <c r="AP14" s="92">
        <v>0.4</v>
      </c>
      <c r="AQ14" s="92">
        <v>0.2</v>
      </c>
      <c r="AR14" s="17">
        <v>50</v>
      </c>
      <c r="AS14" s="17">
        <v>50</v>
      </c>
      <c r="AT14" s="17">
        <v>50</v>
      </c>
      <c r="AU14" s="17">
        <v>600</v>
      </c>
      <c r="AY14" s="17">
        <v>5</v>
      </c>
      <c r="AZ14" s="17">
        <f>求节点(基础状态预期!$D$17:$D$55,基础状态预期!$AI$17:$AI$55,$AY14)*求节点(基础状态预期!$D$17:$D$55,基础状态预期!$J$17:$J$55,$AY14)*$AB$49</f>
        <v>0</v>
      </c>
      <c r="BA14" s="17">
        <f>求节点(基础状态预期!$D$62:$D$100,基础状态预期!$AI$62:$AI$100,$AY14)*求节点(基础状态预期!$D$62:$D$100,基础状态预期!$J$62:$J$100,$AY14)*$AB$49</f>
        <v>0</v>
      </c>
      <c r="BB14" s="17">
        <f>求节点(基础状态预期!$D$107:$D$145,基础状态预期!$AI$107:$AI$145,$AY14)*求节点(基础状态预期!$D$107:$D$145,基础状态预期!$J$107:$J$145,$AY14)*$AB$49</f>
        <v>0</v>
      </c>
      <c r="BC14" s="17">
        <f>求节点(基础状态预期!$D$152:$D$190,基础状态预期!$AI$152:$AI$190,$AY14)*求节点(基础状态预期!$D$62:$D$100,基础状态预期!$J$152:$J$190,$AY14)*$AB$49</f>
        <v>0</v>
      </c>
      <c r="BD14" s="17">
        <f>求节点(基础状态预期!$D$197:$D$235,基础状态预期!$AI$197:$AI$235,$AY14)*求节点(基础状态预期!$D$197:$D$235,基础状态预期!$J$197:$J$235,$AY14)*$AB$49</f>
        <v>0</v>
      </c>
      <c r="BQ14" s="29">
        <v>110</v>
      </c>
      <c r="BR14" s="29">
        <f>求节点(基础状态预期!$D$17:$D$55,基础状态预期!$AI$17:$AI$55,$BQ14)*SUM($AR$6:$AT$6)/3</f>
        <v>27.353727251649335</v>
      </c>
      <c r="BS14" s="29">
        <f>求节点(基础状态预期!$D$17:$D$55,基础状态预期!$AI$17:$AI$55,$BQ14)*AH$6</f>
        <v>1709.6079532280837</v>
      </c>
      <c r="BT14" s="145">
        <f t="shared" si="2"/>
        <v>1709.6079532280837</v>
      </c>
      <c r="BU14" s="29">
        <f>求节点(基础状态预期!$D$17:$D$55,基础状态预期!$AI$17:$AI$55,$BQ14)*AI$6</f>
        <v>82.061181754948009</v>
      </c>
      <c r="BV14" s="145">
        <f t="shared" si="3"/>
        <v>82.061181754948009</v>
      </c>
      <c r="BW14" s="29">
        <f>求节点(基础状态预期!$D$17:$D$55,基础状态预期!$AI$17:$AI$55,$BQ14)*$AU$6</f>
        <v>341.92159064561673</v>
      </c>
      <c r="BX14" s="29">
        <f>求节点(基础状态预期!$D$17:$D$55,基础状态预期!$AI$17:$AI$55,$BQ14)*$AJ$6</f>
        <v>8.2061181754948018E-2</v>
      </c>
      <c r="BY14" s="145">
        <f t="shared" si="0"/>
        <v>8.2061181754948018E-2</v>
      </c>
      <c r="BZ14" s="29">
        <f>求节点(基础状态预期!$D$17:$D$55,基础状态预期!$AI$17:$AI$55,$BQ14)*$AK$6</f>
        <v>6.838431812912335E-2</v>
      </c>
      <c r="CA14" s="145">
        <f t="shared" si="0"/>
        <v>6.838431812912335E-2</v>
      </c>
      <c r="CB14" s="29">
        <f>求节点(基础状态预期!$D$17:$D$55,基础状态预期!$AI$17:$AI$55,$BQ14)*$W$60</f>
        <v>0.4103059087747401</v>
      </c>
      <c r="CC14" s="29">
        <f>($BR14-$BR13)*(INDEX([2]非r将兵属性验证!$V$7:$V$166,$BQ14,1)+INDEX([2]非r将兵属性验证!$AP$7:$AP$166,$BQ14,1))+CC13</f>
        <v>55947853675.555588</v>
      </c>
      <c r="CD14" s="29">
        <f>($BS14-$BS13)*INDEX([2]非r将兵属性验证!W$7:W$166,$BQ14,1)+CD13</f>
        <v>14646394604.685171</v>
      </c>
      <c r="CE14" s="29">
        <f>(BT14-$BT13)*INDEX([2]非r将兵属性验证!X$7:X$166,$BQ14,1)+CE13</f>
        <v>14646394604.685171</v>
      </c>
      <c r="CF14" s="29">
        <f>(BU14-BU13)*INDEX([2]非r将兵属性验证!$AQ$7:$AQ$166,$BQ14)+CF13</f>
        <v>32237995854.857986</v>
      </c>
      <c r="CG14" s="29">
        <f>(BV14-BV13)*INDEX([2]非r将兵属性验证!$AR$7:$AR$166,$BQ14)+CG13</f>
        <v>32237995854.857986</v>
      </c>
      <c r="CH14" s="29">
        <f>(BW14-BW13)*INDEX([2]非r将兵属性验证!$AM$7:$AM$166,$BQ14,1)+CH13</f>
        <v>2992911.17363251</v>
      </c>
      <c r="CI14" s="29">
        <f>(BX14-BX13)*INDEX([2]非r将兵属性验证!$AA$7:$AA$166,$BQ14,1)+CI13</f>
        <v>15068394578.945303</v>
      </c>
      <c r="CJ14" s="29">
        <f>(BY14-BY13)*INDEX([2]非r将兵属性验证!$AB$7:$AB$166,$BQ14,1)+CJ13</f>
        <v>15068394578.945303</v>
      </c>
      <c r="CK14" s="29">
        <f>(BZ14-BZ13)*INDEX([2]非r将兵属性验证!$AU$7:$AU$166,$BQ14,1)+CK13</f>
        <v>36866608193.094666</v>
      </c>
      <c r="CL14" s="29">
        <f>(CA14-CA13)*INDEX([2]非r将兵属性验证!$AV$7:$AV$166,$BQ14,1)+CL13</f>
        <v>36866608193.094666</v>
      </c>
      <c r="CM14" s="29">
        <f>(CB14-CB13)*(INDEX([2]非r将兵属性验证!$AC$7:$AC$166,$BQ14,1)*[2]战法技能效用!$AH$4+INDEX([2]非r将兵属性验证!$AX$7:$AX$166,$BQ14,1)*[2]战法技能效用!$AI$4)+CM13</f>
        <v>57303579826.417572</v>
      </c>
      <c r="CN14" s="29">
        <f t="shared" ref="CN14:CN19" si="10">SUM(CC14:CM14)</f>
        <v>310893212876.31311</v>
      </c>
      <c r="CR14" s="29">
        <f>基础状态预期!D27</f>
        <v>69.18336653741882</v>
      </c>
      <c r="CS14" s="29">
        <f>IF(基础状态预期!AI27="",0,基础状态预期!AI27)*$AB$37*基础状态预期!J27</f>
        <v>1.7131649745233055</v>
      </c>
      <c r="CT14" s="29">
        <f>CS14*武将数量星级阶位验证!$E$7*1.8</f>
        <v>9251.09086242585</v>
      </c>
      <c r="CV14" s="29">
        <v>110</v>
      </c>
      <c r="CW14" s="29">
        <f t="shared" si="4"/>
        <v>531756.45777206309</v>
      </c>
      <c r="CX14" s="29"/>
      <c r="CY14" s="29"/>
      <c r="CZ14" s="29">
        <f t="shared" ref="CZ14:CZ19" si="11">SUM(CW14:CY14)</f>
        <v>531756.45777206309</v>
      </c>
      <c r="DA14" s="17">
        <f t="shared" si="6"/>
        <v>584653.38470713445</v>
      </c>
      <c r="DB14" s="17">
        <f>武将升星!BF14/武将升星!BQ14</f>
        <v>29110.436060493339</v>
      </c>
      <c r="DC14" s="17">
        <f t="shared" si="7"/>
        <v>20.083978937731729</v>
      </c>
    </row>
    <row r="15" spans="1:107" x14ac:dyDescent="0.15">
      <c r="N15" s="17" t="s">
        <v>752</v>
      </c>
      <c r="P15" s="17" t="s">
        <v>770</v>
      </c>
      <c r="AH15" s="17">
        <f>$AH$14/24000*[5]效果!$D$48</f>
        <v>115559.4230670995</v>
      </c>
      <c r="AI15" s="17">
        <f>$AI$14/1200*[5]效果!$D$52</f>
        <v>127957.32115771851</v>
      </c>
      <c r="AJ15" s="17">
        <f>$AJ$14*[5]效果!$D$50</f>
        <v>119181.65750345697</v>
      </c>
      <c r="AK15" s="17">
        <f>$AK$14*[5]效果!$D$54</f>
        <v>112408.86301337877</v>
      </c>
      <c r="AL15" s="142">
        <f>AJ15</f>
        <v>119181.65750345697</v>
      </c>
      <c r="AM15" s="142">
        <f>AK15</f>
        <v>112408.86301337877</v>
      </c>
      <c r="AN15" s="92"/>
      <c r="AR15" s="17">
        <f>AR$14*[5]效果!$D$47/3</f>
        <v>130456.50654630391</v>
      </c>
      <c r="AS15" s="17">
        <f>AS$14*[5]效果!$D$47/3</f>
        <v>130456.50654630391</v>
      </c>
      <c r="AT15" s="17">
        <f>AT$14*[5]效果!$D$47/3</f>
        <v>130456.50654630391</v>
      </c>
      <c r="AU15" s="17">
        <f>AU14/8000*[5]效果!$D$52*2</f>
        <v>153548.78538926222</v>
      </c>
      <c r="AY15" s="17">
        <v>6</v>
      </c>
      <c r="AZ15" s="17">
        <f>求节点(基础状态预期!$D$17:$D$55,基础状态预期!$AI$17:$AI$55,$AY15)*求节点(基础状态预期!$D$17:$D$55,基础状态预期!$J$17:$J$55,$AY15)*$AB$49</f>
        <v>0</v>
      </c>
      <c r="BA15" s="17">
        <f>求节点(基础状态预期!$D$62:$D$100,基础状态预期!$AI$62:$AI$100,$AY15)*求节点(基础状态预期!$D$62:$D$100,基础状态预期!$J$62:$J$100,$AY15)*$AB$49</f>
        <v>0</v>
      </c>
      <c r="BB15" s="17">
        <f>求节点(基础状态预期!$D$107:$D$145,基础状态预期!$AI$107:$AI$145,$AY15)*求节点(基础状态预期!$D$107:$D$145,基础状态预期!$J$107:$J$145,$AY15)*$AB$49</f>
        <v>0</v>
      </c>
      <c r="BC15" s="17">
        <f>求节点(基础状态预期!$D$152:$D$190,基础状态预期!$AI$152:$AI$190,$AY15)*求节点(基础状态预期!$D$62:$D$100,基础状态预期!$J$152:$J$190,$AY15)*$AB$49</f>
        <v>0</v>
      </c>
      <c r="BD15" s="17">
        <f>求节点(基础状态预期!$D$197:$D$235,基础状态预期!$AI$197:$AI$235,$AY15)*求节点(基础状态预期!$D$197:$D$235,基础状态预期!$J$197:$J$235,$AY15)*$AB$49</f>
        <v>0</v>
      </c>
      <c r="BJ15" s="187" t="s">
        <v>792</v>
      </c>
      <c r="BK15" s="187"/>
      <c r="BQ15" s="29">
        <v>120</v>
      </c>
      <c r="BR15" s="29">
        <f>求节点(基础状态预期!$D$17:$D$55,基础状态预期!$AI$17:$AI$55,$BQ15)*SUM($AR$6:$AT$6)/3</f>
        <v>40</v>
      </c>
      <c r="BS15" s="29">
        <f>求节点(基础状态预期!$D$17:$D$55,基础状态预期!$AI$17:$AI$55,$BQ15)*AH$6</f>
        <v>2500</v>
      </c>
      <c r="BT15" s="145">
        <f t="shared" si="2"/>
        <v>2500</v>
      </c>
      <c r="BU15" s="29">
        <f>求节点(基础状态预期!$D$17:$D$55,基础状态预期!$AI$17:$AI$55,$BQ15)*AI$6</f>
        <v>120</v>
      </c>
      <c r="BV15" s="145">
        <f t="shared" si="3"/>
        <v>120</v>
      </c>
      <c r="BW15" s="29">
        <f>求节点(基础状态预期!$D$17:$D$55,基础状态预期!$AI$17:$AI$55,$BQ15)*$AU$6</f>
        <v>500</v>
      </c>
      <c r="BX15" s="29">
        <f>求节点(基础状态预期!$D$17:$D$55,基础状态预期!$AI$17:$AI$55,$BQ15)*$AJ$6</f>
        <v>0.12</v>
      </c>
      <c r="BY15" s="145">
        <f t="shared" si="0"/>
        <v>0.12</v>
      </c>
      <c r="BZ15" s="29">
        <f>求节点(基础状态预期!$D$17:$D$55,基础状态预期!$AI$17:$AI$55,$BQ15)*$AK$6</f>
        <v>0.1</v>
      </c>
      <c r="CA15" s="145">
        <f t="shared" si="0"/>
        <v>0.1</v>
      </c>
      <c r="CB15" s="29">
        <f>求节点(基础状态预期!$D$17:$D$55,基础状态预期!$AI$17:$AI$55,$BQ15)*$W$60</f>
        <v>0.60000000000000009</v>
      </c>
      <c r="CC15" s="29">
        <f>($BR15-$BR14)*(INDEX([2]非r将兵属性验证!$V$7:$V$166,$BQ15,1)+INDEX([2]非r将兵属性验证!$AP$7:$AP$166,$BQ15,1))+CC14</f>
        <v>102741504739.16705</v>
      </c>
      <c r="CD15" s="29">
        <f>($BS15-$BS14)*INDEX([2]非r将兵属性验证!W$7:W$166,$BQ15,1)+CD14</f>
        <v>24743943061.426888</v>
      </c>
      <c r="CE15" s="29">
        <f>(BT15-$BT14)*INDEX([2]非r将兵属性验证!X$7:X$166,$BQ15,1)+CE14</f>
        <v>24743943061.426888</v>
      </c>
      <c r="CF15" s="29">
        <f>(BU15-BU14)*INDEX([2]非r将兵属性验证!$AQ$7:$AQ$166,$BQ15)+CF14</f>
        <v>59410147417.529861</v>
      </c>
      <c r="CG15" s="29">
        <f>(BV15-BV14)*INDEX([2]非r将兵属性验证!$AR$7:$AR$166,$BQ15)+CG14</f>
        <v>59410147417.529861</v>
      </c>
      <c r="CH15" s="29">
        <f>(BW15-BW14)*INDEX([2]非r将兵属性验证!$AM$7:$AM$166,$BQ15,1)+CH14</f>
        <v>4511968.560611913</v>
      </c>
      <c r="CI15" s="29">
        <f>(BX15-BX14)*INDEX([2]非r将兵属性验证!$AA$7:$AA$166,$BQ15,1)+CI14</f>
        <v>26351011948.698769</v>
      </c>
      <c r="CJ15" s="29">
        <f>(BY15-BY14)*INDEX([2]非r将兵属性验证!$AB$7:$AB$166,$BQ15,1)+CJ14</f>
        <v>26351011948.698769</v>
      </c>
      <c r="CK15" s="29">
        <f>(BZ15-BZ14)*INDEX([2]非r将兵属性验证!$AU$7:$AU$166,$BQ15,1)+CK14</f>
        <v>70806686088.209274</v>
      </c>
      <c r="CL15" s="29">
        <f>(CA15-CA14)*INDEX([2]非r将兵属性验证!$AV$7:$AV$166,$BQ15,1)+CL14</f>
        <v>70806686088.209274</v>
      </c>
      <c r="CM15" s="29">
        <f>(CB15-CB14)*(INDEX([2]非r将兵属性验证!$AC$7:$AC$166,$BQ15,1)*[2]战法技能效用!$AH$4+INDEX([2]非r将兵属性验证!$AX$7:$AX$166,$BQ15,1)*[2]战法技能效用!$AI$4)+CM14</f>
        <v>102471493663.6929</v>
      </c>
      <c r="CN15" s="29">
        <f t="shared" si="10"/>
        <v>567841087403.15015</v>
      </c>
      <c r="CR15" s="29">
        <f>基础状态预期!D28</f>
        <v>72.375871759353331</v>
      </c>
      <c r="CS15" s="29">
        <f>IF(基础状态预期!AI28="",0,基础状态预期!AI28)*$AB$37*基础状态预期!J28</f>
        <v>2.2316619009019907</v>
      </c>
      <c r="CT15" s="29">
        <f>CS15*武将数量星级阶位验证!$E$7*1.8</f>
        <v>12050.974264870751</v>
      </c>
      <c r="CV15" s="29">
        <v>120</v>
      </c>
      <c r="CW15" s="29">
        <f t="shared" si="4"/>
        <v>777600</v>
      </c>
      <c r="CX15" s="29"/>
      <c r="CY15" s="29"/>
      <c r="CZ15" s="29">
        <f t="shared" si="11"/>
        <v>777600</v>
      </c>
      <c r="DA15" s="17">
        <f t="shared" si="6"/>
        <v>730248.3119896478</v>
      </c>
      <c r="DB15" s="17">
        <f>武将升星!BF15/武将升星!BQ15</f>
        <v>16358.86421553012</v>
      </c>
      <c r="DC15" s="17">
        <f t="shared" si="7"/>
        <v>44.639303949744509</v>
      </c>
    </row>
    <row r="16" spans="1:107" x14ac:dyDescent="0.15">
      <c r="N16" s="17" t="s">
        <v>753</v>
      </c>
      <c r="P16" s="17" t="s">
        <v>771</v>
      </c>
      <c r="AY16" s="17">
        <v>7</v>
      </c>
      <c r="AZ16" s="17">
        <f>求节点(基础状态预期!$D$17:$D$55,基础状态预期!$AI$17:$AI$55,$AY16)*求节点(基础状态预期!$D$17:$D$55,基础状态预期!$J$17:$J$55,$AY16)*$AB$49</f>
        <v>0</v>
      </c>
      <c r="BA16" s="17">
        <f>求节点(基础状态预期!$D$62:$D$100,基础状态预期!$AI$62:$AI$100,$AY16)*求节点(基础状态预期!$D$62:$D$100,基础状态预期!$J$62:$J$100,$AY16)*$AB$49</f>
        <v>0</v>
      </c>
      <c r="BB16" s="17">
        <f>求节点(基础状态预期!$D$107:$D$145,基础状态预期!$AI$107:$AI$145,$AY16)*求节点(基础状态预期!$D$107:$D$145,基础状态预期!$J$107:$J$145,$AY16)*$AB$49</f>
        <v>0</v>
      </c>
      <c r="BC16" s="17">
        <f>求节点(基础状态预期!$D$152:$D$190,基础状态预期!$AI$152:$AI$190,$AY16)*求节点(基础状态预期!$D$62:$D$100,基础状态预期!$J$152:$J$190,$AY16)*$AB$49</f>
        <v>0</v>
      </c>
      <c r="BD16" s="17">
        <f>求节点(基础状态预期!$D$197:$D$235,基础状态预期!$AI$197:$AI$235,$AY16)*求节点(基础状态预期!$D$197:$D$235,基础状态预期!$J$197:$J$235,$AY16)*$AB$49</f>
        <v>0</v>
      </c>
      <c r="BI16" s="17" t="s">
        <v>793</v>
      </c>
      <c r="BJ16" s="17" t="s">
        <v>794</v>
      </c>
      <c r="BK16" s="17" t="s">
        <v>795</v>
      </c>
      <c r="BQ16" s="29">
        <v>130</v>
      </c>
      <c r="BR16" s="29">
        <f>求节点(基础状态预期!$D$17:$D$55,基础状态预期!$AI$17:$AI$55,$BQ16)*SUM($AR$6:$AT$6)/3</f>
        <v>40</v>
      </c>
      <c r="BS16" s="29">
        <f>求节点(基础状态预期!$D$17:$D$55,基础状态预期!$AI$17:$AI$55,$BQ16)*AH$6</f>
        <v>2500</v>
      </c>
      <c r="BT16" s="145">
        <f t="shared" si="2"/>
        <v>2500</v>
      </c>
      <c r="BU16" s="29">
        <f>求节点(基础状态预期!$D$17:$D$55,基础状态预期!$AI$17:$AI$55,$BQ16)*AI$6</f>
        <v>120</v>
      </c>
      <c r="BV16" s="145">
        <f t="shared" si="3"/>
        <v>120</v>
      </c>
      <c r="BW16" s="29">
        <f>求节点(基础状态预期!$D$17:$D$55,基础状态预期!$AI$17:$AI$55,$BQ16)*$AU$6</f>
        <v>500</v>
      </c>
      <c r="BX16" s="29">
        <f>求节点(基础状态预期!$D$17:$D$55,基础状态预期!$AI$17:$AI$55,$BQ16)*$AJ$6</f>
        <v>0.12</v>
      </c>
      <c r="BY16" s="145">
        <f t="shared" si="0"/>
        <v>0.12</v>
      </c>
      <c r="BZ16" s="29">
        <f>求节点(基础状态预期!$D$17:$D$55,基础状态预期!$AI$17:$AI$55,$BQ16)*$AK$6</f>
        <v>0.1</v>
      </c>
      <c r="CA16" s="145">
        <f t="shared" si="0"/>
        <v>0.1</v>
      </c>
      <c r="CB16" s="29">
        <f>求节点(基础状态预期!$D$17:$D$55,基础状态预期!$AI$17:$AI$55,$BQ16)*$W$60</f>
        <v>0.60000000000000009</v>
      </c>
      <c r="CC16" s="29">
        <f>($BR16-$BR15)*(INDEX([2]非r将兵属性验证!$V$7:$V$166,$BQ16,1)+INDEX([2]非r将兵属性验证!$AP$7:$AP$166,$BQ16,1))+CC15</f>
        <v>102741504739.16705</v>
      </c>
      <c r="CD16" s="29">
        <f>($BS16-$BS15)*INDEX([2]非r将兵属性验证!W$7:W$166,$BQ16,1)+CD15</f>
        <v>24743943061.426888</v>
      </c>
      <c r="CE16" s="29">
        <f>(BT16-$BT15)*INDEX([2]非r将兵属性验证!X$7:X$166,$BQ16,1)+CE15</f>
        <v>24743943061.426888</v>
      </c>
      <c r="CF16" s="29">
        <f>(BU16-BU15)*INDEX([2]非r将兵属性验证!$AQ$7:$AQ$166,$BQ16)+CF15</f>
        <v>59410147417.529861</v>
      </c>
      <c r="CG16" s="29">
        <f>(BV16-BV15)*INDEX([2]非r将兵属性验证!$AR$7:$AR$166,$BQ16)+CG15</f>
        <v>59410147417.529861</v>
      </c>
      <c r="CH16" s="29">
        <f>(BW16-BW15)*INDEX([2]非r将兵属性验证!$AM$7:$AM$166,$BQ16,1)+CH15</f>
        <v>4511968.560611913</v>
      </c>
      <c r="CI16" s="29">
        <f>(BX16-BX15)*INDEX([2]非r将兵属性验证!$AA$7:$AA$166,$BQ16,1)+CI15</f>
        <v>26351011948.698769</v>
      </c>
      <c r="CJ16" s="29">
        <f>(BY16-BY15)*INDEX([2]非r将兵属性验证!$AB$7:$AB$166,$BQ16,1)+CJ15</f>
        <v>26351011948.698769</v>
      </c>
      <c r="CK16" s="29">
        <f>(BZ16-BZ15)*INDEX([2]非r将兵属性验证!$AU$7:$AU$166,$BQ16,1)+CK15</f>
        <v>70806686088.209274</v>
      </c>
      <c r="CL16" s="29">
        <f>(CA16-CA15)*INDEX([2]非r将兵属性验证!$AV$7:$AV$166,$BQ16,1)+CL15</f>
        <v>70806686088.209274</v>
      </c>
      <c r="CM16" s="29">
        <f>(CB16-CB15)*(INDEX([2]非r将兵属性验证!$AC$7:$AC$166,$BQ16,1)*[2]战法技能效用!$AH$4+INDEX([2]非r将兵属性验证!$AX$7:$AX$166,$BQ16,1)*[2]战法技能效用!$AI$4)+CM15</f>
        <v>102471493663.6929</v>
      </c>
      <c r="CN16" s="29">
        <f t="shared" si="10"/>
        <v>567841087403.15015</v>
      </c>
      <c r="CR16" s="29">
        <f>基础状态预期!D29</f>
        <v>74.998404927577795</v>
      </c>
      <c r="CS16" s="29">
        <f>IF(基础状态预期!AI29="",0,基础状态预期!AI29)*$AB$37*基础状态预期!J29</f>
        <v>2.7228814434699102</v>
      </c>
      <c r="CT16" s="29">
        <f>CS16*武将数量星级阶位验证!$E$7*1.8</f>
        <v>14703.559794737515</v>
      </c>
      <c r="CV16" s="29">
        <v>130</v>
      </c>
      <c r="CW16" s="29">
        <f t="shared" si="4"/>
        <v>777600</v>
      </c>
      <c r="CX16" s="29"/>
      <c r="CY16" s="29"/>
      <c r="CZ16" s="29">
        <f t="shared" si="11"/>
        <v>777600</v>
      </c>
      <c r="DA16" s="17">
        <f t="shared" si="6"/>
        <v>730248.3119896478</v>
      </c>
      <c r="DB16" s="17">
        <f>武将升星!BF16/武将升星!BQ16</f>
        <v>9044.5577937786347</v>
      </c>
      <c r="DC16" s="17">
        <f t="shared" si="7"/>
        <v>80.738973495415607</v>
      </c>
    </row>
    <row r="17" spans="9:107" x14ac:dyDescent="0.15">
      <c r="I17" s="17">
        <v>5</v>
      </c>
      <c r="J17" s="17">
        <v>1</v>
      </c>
      <c r="K17" s="17">
        <v>2</v>
      </c>
      <c r="L17" s="17">
        <f>K17*J17*I17</f>
        <v>10</v>
      </c>
      <c r="M17" s="17">
        <f t="shared" ref="M17:M42" si="12">K17*J17</f>
        <v>2</v>
      </c>
      <c r="N17" s="17" t="s">
        <v>754</v>
      </c>
      <c r="P17" s="17" t="s">
        <v>772</v>
      </c>
      <c r="U17" s="29"/>
      <c r="V17" s="161" t="s">
        <v>853</v>
      </c>
      <c r="W17" s="162"/>
      <c r="X17" s="162"/>
      <c r="Y17" s="162"/>
      <c r="Z17" s="163"/>
      <c r="AA17" s="160" t="s">
        <v>855</v>
      </c>
      <c r="AB17" s="160"/>
      <c r="AH17" s="17">
        <f t="shared" ref="AH17:AU17" si="13">AH14/AH6</f>
        <v>1.28</v>
      </c>
      <c r="AI17" s="17">
        <f t="shared" si="13"/>
        <v>1.25</v>
      </c>
      <c r="AJ17" s="17">
        <f t="shared" si="13"/>
        <v>1.25</v>
      </c>
      <c r="AK17" s="17">
        <f t="shared" si="13"/>
        <v>1.2</v>
      </c>
      <c r="AL17" s="17">
        <f t="shared" si="13"/>
        <v>1.25</v>
      </c>
      <c r="AM17" s="17">
        <f t="shared" si="13"/>
        <v>1.2</v>
      </c>
      <c r="AN17" s="17">
        <f t="shared" si="13"/>
        <v>1.3333333333333335</v>
      </c>
      <c r="AO17" s="17">
        <f t="shared" si="13"/>
        <v>1.3333333333333335</v>
      </c>
      <c r="AP17" s="17">
        <f t="shared" si="13"/>
        <v>1.3333333333333335</v>
      </c>
      <c r="AQ17" s="17">
        <f t="shared" si="13"/>
        <v>1.3333333333333335</v>
      </c>
      <c r="AR17" s="17">
        <f t="shared" si="13"/>
        <v>1.25</v>
      </c>
      <c r="AS17" s="17">
        <f t="shared" si="13"/>
        <v>1.25</v>
      </c>
      <c r="AT17" s="17">
        <f t="shared" si="13"/>
        <v>1.25</v>
      </c>
      <c r="AU17" s="17">
        <f t="shared" si="13"/>
        <v>1.2</v>
      </c>
      <c r="AY17" s="17">
        <v>8</v>
      </c>
      <c r="AZ17" s="17">
        <f>求节点(基础状态预期!$D$17:$D$55,基础状态预期!$AI$17:$AI$55,$AY17)*求节点(基础状态预期!$D$17:$D$55,基础状态预期!$J$17:$J$55,$AY17)*$AB$49</f>
        <v>0</v>
      </c>
      <c r="BA17" s="17">
        <f>求节点(基础状态预期!$D$62:$D$100,基础状态预期!$AI$62:$AI$100,$AY17)*求节点(基础状态预期!$D$62:$D$100,基础状态预期!$J$62:$J$100,$AY17)*$AB$49</f>
        <v>0</v>
      </c>
      <c r="BB17" s="17">
        <f>求节点(基础状态预期!$D$107:$D$145,基础状态预期!$AI$107:$AI$145,$AY17)*求节点(基础状态预期!$D$107:$D$145,基础状态预期!$J$107:$J$145,$AY17)*$AB$49</f>
        <v>0</v>
      </c>
      <c r="BC17" s="17">
        <f>求节点(基础状态预期!$D$152:$D$190,基础状态预期!$AI$152:$AI$190,$AY17)*求节点(基础状态预期!$D$62:$D$100,基础状态预期!$J$152:$J$190,$AY17)*$AB$49</f>
        <v>0</v>
      </c>
      <c r="BD17" s="17">
        <f>求节点(基础状态预期!$D$197:$D$235,基础状态预期!$AI$197:$AI$235,$AY17)*求节点(基础状态预期!$D$197:$D$235,基础状态预期!$J$197:$J$235,$AY17)*$AB$49</f>
        <v>0</v>
      </c>
      <c r="BI17" s="17" t="s">
        <v>790</v>
      </c>
      <c r="BJ17" s="17" t="s">
        <v>807</v>
      </c>
      <c r="BK17" s="17" t="s">
        <v>791</v>
      </c>
      <c r="BQ17" s="29">
        <v>140</v>
      </c>
      <c r="BR17" s="29">
        <f>求节点(基础状态预期!$D$17:$D$55,基础状态预期!$AI$17:$AI$55,$BQ17)*SUM($AR$6:$AT$6)/3</f>
        <v>40</v>
      </c>
      <c r="BS17" s="29">
        <f>求节点(基础状态预期!$D$17:$D$55,基础状态预期!$AI$17:$AI$55,$BQ17)*AH$6</f>
        <v>2500</v>
      </c>
      <c r="BT17" s="145">
        <f t="shared" si="2"/>
        <v>2500</v>
      </c>
      <c r="BU17" s="29">
        <f>求节点(基础状态预期!$D$17:$D$55,基础状态预期!$AI$17:$AI$55,$BQ17)*AI$6</f>
        <v>120</v>
      </c>
      <c r="BV17" s="145">
        <f t="shared" si="3"/>
        <v>120</v>
      </c>
      <c r="BW17" s="29">
        <f>求节点(基础状态预期!$D$17:$D$55,基础状态预期!$AI$17:$AI$55,$BQ17)*$AU$6</f>
        <v>500</v>
      </c>
      <c r="BX17" s="29">
        <f>求节点(基础状态预期!$D$17:$D$55,基础状态预期!$AI$17:$AI$55,$BQ17)*$AJ$6</f>
        <v>0.12</v>
      </c>
      <c r="BY17" s="145">
        <f t="shared" si="0"/>
        <v>0.12</v>
      </c>
      <c r="BZ17" s="29">
        <f>求节点(基础状态预期!$D$17:$D$55,基础状态预期!$AI$17:$AI$55,$BQ17)*$AK$6</f>
        <v>0.1</v>
      </c>
      <c r="CA17" s="145">
        <f t="shared" si="0"/>
        <v>0.1</v>
      </c>
      <c r="CB17" s="29">
        <f>求节点(基础状态预期!$D$17:$D$55,基础状态预期!$AI$17:$AI$55,$BQ17)*$W$60</f>
        <v>0.60000000000000009</v>
      </c>
      <c r="CC17" s="29">
        <f>($BR17-$BR16)*(INDEX([2]非r将兵属性验证!$V$7:$V$166,$BQ17,1)+INDEX([2]非r将兵属性验证!$AP$7:$AP$166,$BQ17,1))+CC16</f>
        <v>102741504739.16705</v>
      </c>
      <c r="CD17" s="29">
        <f>($BS17-$BS16)*INDEX([2]非r将兵属性验证!W$7:W$166,$BQ17,1)+CD16</f>
        <v>24743943061.426888</v>
      </c>
      <c r="CE17" s="29">
        <f>(BT17-$BT16)*INDEX([2]非r将兵属性验证!X$7:X$166,$BQ17,1)+CE16</f>
        <v>24743943061.426888</v>
      </c>
      <c r="CF17" s="29">
        <f>(BU17-BU16)*INDEX([2]非r将兵属性验证!$AQ$7:$AQ$166,$BQ17)+CF16</f>
        <v>59410147417.529861</v>
      </c>
      <c r="CG17" s="29">
        <f>(BV17-BV16)*INDEX([2]非r将兵属性验证!$AR$7:$AR$166,$BQ17)+CG16</f>
        <v>59410147417.529861</v>
      </c>
      <c r="CH17" s="29">
        <f>(BW17-BW16)*INDEX([2]非r将兵属性验证!$AM$7:$AM$166,$BQ17,1)+CH16</f>
        <v>4511968.560611913</v>
      </c>
      <c r="CI17" s="29">
        <f>(BX17-BX16)*INDEX([2]非r将兵属性验证!$AA$7:$AA$166,$BQ17,1)+CI16</f>
        <v>26351011948.698769</v>
      </c>
      <c r="CJ17" s="29">
        <f>(BY17-BY16)*INDEX([2]非r将兵属性验证!$AB$7:$AB$166,$BQ17,1)+CJ16</f>
        <v>26351011948.698769</v>
      </c>
      <c r="CK17" s="29">
        <f>(BZ17-BZ16)*INDEX([2]非r将兵属性验证!$AU$7:$AU$166,$BQ17,1)+CK16</f>
        <v>70806686088.209274</v>
      </c>
      <c r="CL17" s="29">
        <f>(CA17-CA16)*INDEX([2]非r将兵属性验证!$AV$7:$AV$166,$BQ17,1)+CL16</f>
        <v>70806686088.209274</v>
      </c>
      <c r="CM17" s="29">
        <f>(CB17-CB16)*(INDEX([2]非r将兵属性验证!$AC$7:$AC$166,$BQ17,1)*[2]战法技能效用!$AH$4+INDEX([2]非r将兵属性验证!$AX$7:$AX$166,$BQ17,1)*[2]战法技能效用!$AI$4)+CM16</f>
        <v>102471493663.6929</v>
      </c>
      <c r="CN17" s="29">
        <f t="shared" si="10"/>
        <v>567841087403.15015</v>
      </c>
      <c r="CR17" s="29">
        <f>基础状态预期!D30</f>
        <v>77.875308029777003</v>
      </c>
      <c r="CS17" s="29">
        <f>IF(基础状态预期!AI30="",0,基础状态预期!AI30)*$AB$37*基础状态预期!J30</f>
        <v>3.3062103988042066</v>
      </c>
      <c r="CT17" s="29">
        <f>CS17*武将数量星级阶位验证!$E$7*1.8</f>
        <v>17853.536153542715</v>
      </c>
      <c r="CV17" s="29">
        <v>140</v>
      </c>
      <c r="CW17" s="29">
        <f t="shared" si="4"/>
        <v>777600</v>
      </c>
      <c r="CX17" s="29"/>
      <c r="CY17" s="29"/>
      <c r="CZ17" s="29">
        <f t="shared" si="11"/>
        <v>777600</v>
      </c>
      <c r="DA17" s="17">
        <f t="shared" si="6"/>
        <v>730248.3119896478</v>
      </c>
      <c r="DB17" s="17">
        <f>武将升星!BF17/武将升星!BQ17</f>
        <v>4941.6216112324264</v>
      </c>
      <c r="DC17" s="17">
        <f t="shared" si="7"/>
        <v>147.77503609944063</v>
      </c>
    </row>
    <row r="18" spans="9:107" x14ac:dyDescent="0.15">
      <c r="N18" s="17" t="s">
        <v>755</v>
      </c>
      <c r="P18" s="17" t="s">
        <v>773</v>
      </c>
      <c r="U18" s="29" t="s">
        <v>781</v>
      </c>
      <c r="V18" s="29" t="s">
        <v>784</v>
      </c>
      <c r="W18" s="29" t="s">
        <v>785</v>
      </c>
      <c r="X18" s="29" t="s">
        <v>786</v>
      </c>
      <c r="Y18" s="29" t="s">
        <v>787</v>
      </c>
      <c r="Z18" s="29" t="s">
        <v>788</v>
      </c>
      <c r="AA18" s="29" t="s">
        <v>817</v>
      </c>
      <c r="AB18" s="29" t="s">
        <v>818</v>
      </c>
      <c r="AY18" s="17">
        <v>9</v>
      </c>
      <c r="AZ18" s="17">
        <f>求节点(基础状态预期!$D$17:$D$55,基础状态预期!$AI$17:$AI$55,$AY18)*求节点(基础状态预期!$D$17:$D$55,基础状态预期!$J$17:$J$55,$AY18)*$AB$49</f>
        <v>0</v>
      </c>
      <c r="BA18" s="17">
        <f>求节点(基础状态预期!$D$62:$D$100,基础状态预期!$AI$62:$AI$100,$AY18)*求节点(基础状态预期!$D$62:$D$100,基础状态预期!$J$62:$J$100,$AY18)*$AB$49</f>
        <v>0</v>
      </c>
      <c r="BB18" s="17">
        <f>求节点(基础状态预期!$D$107:$D$145,基础状态预期!$AI$107:$AI$145,$AY18)*求节点(基础状态预期!$D$107:$D$145,基础状态预期!$J$107:$J$145,$AY18)*$AB$49</f>
        <v>0</v>
      </c>
      <c r="BC18" s="17">
        <f>求节点(基础状态预期!$D$152:$D$190,基础状态预期!$AI$152:$AI$190,$AY18)*求节点(基础状态预期!$D$62:$D$100,基础状态预期!$J$152:$J$190,$AY18)*$AB$49</f>
        <v>0</v>
      </c>
      <c r="BD18" s="17">
        <f>求节点(基础状态预期!$D$197:$D$235,基础状态预期!$AI$197:$AI$235,$AY18)*求节点(基础状态预期!$D$197:$D$235,基础状态预期!$J$197:$J$235,$AY18)*$AB$49</f>
        <v>0</v>
      </c>
      <c r="BI18" s="17">
        <v>1</v>
      </c>
      <c r="BJ18" s="17">
        <v>70</v>
      </c>
      <c r="BK18" s="17">
        <v>80</v>
      </c>
      <c r="BQ18" s="29">
        <v>150</v>
      </c>
      <c r="BR18" s="29">
        <f>求节点(基础状态预期!$D$17:$D$55,基础状态预期!$AI$17:$AI$55,$BQ18)*SUM($AR$6:$AT$6)/3</f>
        <v>40</v>
      </c>
      <c r="BS18" s="29">
        <f>求节点(基础状态预期!$D$17:$D$55,基础状态预期!$AI$17:$AI$55,$BQ18)*AH$6</f>
        <v>2500</v>
      </c>
      <c r="BT18" s="145">
        <f t="shared" si="2"/>
        <v>2500</v>
      </c>
      <c r="BU18" s="29">
        <f>求节点(基础状态预期!$D$17:$D$55,基础状态预期!$AI$17:$AI$55,$BQ18)*AI$6</f>
        <v>120</v>
      </c>
      <c r="BV18" s="145">
        <f t="shared" si="3"/>
        <v>120</v>
      </c>
      <c r="BW18" s="29">
        <f>求节点(基础状态预期!$D$17:$D$55,基础状态预期!$AI$17:$AI$55,$BQ18)*$AU$6</f>
        <v>500</v>
      </c>
      <c r="BX18" s="29">
        <f>求节点(基础状态预期!$D$17:$D$55,基础状态预期!$AI$17:$AI$55,$BQ18)*$AJ$6</f>
        <v>0.12</v>
      </c>
      <c r="BY18" s="145">
        <f t="shared" si="0"/>
        <v>0.12</v>
      </c>
      <c r="BZ18" s="29">
        <f>求节点(基础状态预期!$D$17:$D$55,基础状态预期!$AI$17:$AI$55,$BQ18)*$AK$6</f>
        <v>0.1</v>
      </c>
      <c r="CA18" s="145">
        <f t="shared" si="0"/>
        <v>0.1</v>
      </c>
      <c r="CB18" s="29">
        <f>求节点(基础状态预期!$D$17:$D$55,基础状态预期!$AI$17:$AI$55,$BQ18)*$W$60</f>
        <v>0.60000000000000009</v>
      </c>
      <c r="CC18" s="29">
        <f>($BR18-$BR17)*(INDEX([2]非r将兵属性验证!$V$7:$V$166,$BQ18,1)+INDEX([2]非r将兵属性验证!$AP$7:$AP$166,$BQ18,1))+CC17</f>
        <v>102741504739.16705</v>
      </c>
      <c r="CD18" s="29">
        <f>($BS18-$BS17)*INDEX([2]非r将兵属性验证!W$7:W$166,$BQ18,1)+CD17</f>
        <v>24743943061.426888</v>
      </c>
      <c r="CE18" s="29">
        <f>(BT18-$BT17)*INDEX([2]非r将兵属性验证!X$7:X$166,$BQ18,1)+CE17</f>
        <v>24743943061.426888</v>
      </c>
      <c r="CF18" s="29">
        <f>(BU18-BU17)*INDEX([2]非r将兵属性验证!$AQ$7:$AQ$166,$BQ18)+CF17</f>
        <v>59410147417.529861</v>
      </c>
      <c r="CG18" s="29">
        <f>(BV18-BV17)*INDEX([2]非r将兵属性验证!$AR$7:$AR$166,$BQ18)+CG17</f>
        <v>59410147417.529861</v>
      </c>
      <c r="CH18" s="29">
        <f>(BW18-BW17)*INDEX([2]非r将兵属性验证!$AM$7:$AM$166,$BQ18,1)+CH17</f>
        <v>4511968.560611913</v>
      </c>
      <c r="CI18" s="29">
        <f>(BX18-BX17)*INDEX([2]非r将兵属性验证!$AA$7:$AA$166,$BQ18,1)+CI17</f>
        <v>26351011948.698769</v>
      </c>
      <c r="CJ18" s="29">
        <f>(BY18-BY17)*INDEX([2]非r将兵属性验证!$AB$7:$AB$166,$BQ18,1)+CJ17</f>
        <v>26351011948.698769</v>
      </c>
      <c r="CK18" s="29">
        <f>(BZ18-BZ17)*INDEX([2]非r将兵属性验证!$AU$7:$AU$166,$BQ18,1)+CK17</f>
        <v>70806686088.209274</v>
      </c>
      <c r="CL18" s="29">
        <f>(CA18-CA17)*INDEX([2]非r将兵属性验证!$AV$7:$AV$166,$BQ18,1)+CL17</f>
        <v>70806686088.209274</v>
      </c>
      <c r="CM18" s="29">
        <f>(CB18-CB17)*(INDEX([2]非r将兵属性验证!$AC$7:$AC$166,$BQ18,1)*[2]战法技能效用!$AH$4+INDEX([2]非r将兵属性验证!$AX$7:$AX$166,$BQ18,1)*[2]战法技能效用!$AI$4)+CM17</f>
        <v>102471493663.6929</v>
      </c>
      <c r="CN18" s="29">
        <f t="shared" si="10"/>
        <v>567841087403.15015</v>
      </c>
      <c r="CR18" s="29">
        <f>基础状态预期!D31</f>
        <v>80.272123558064706</v>
      </c>
      <c r="CS18" s="29">
        <f>IF(基础状态预期!AI31="",0,基础状态预期!AI31)*$AB$37*基础状态预期!J31</f>
        <v>3.8546937398999468</v>
      </c>
      <c r="CT18" s="29">
        <f>CS18*武将数量星级阶位验证!$E$7*1.8</f>
        <v>20815.346195459711</v>
      </c>
      <c r="CV18" s="29">
        <v>150</v>
      </c>
      <c r="CW18" s="29">
        <f t="shared" si="4"/>
        <v>777600</v>
      </c>
      <c r="CX18" s="29"/>
      <c r="CY18" s="29"/>
      <c r="CZ18" s="29">
        <f t="shared" si="11"/>
        <v>777600</v>
      </c>
      <c r="DA18" s="17">
        <f t="shared" si="6"/>
        <v>730248.3119896478</v>
      </c>
      <c r="DB18" s="17">
        <f>武将升星!BF18/武将升星!BQ18</f>
        <v>2673.1292368837849</v>
      </c>
      <c r="DC18" s="17">
        <f t="shared" si="7"/>
        <v>273.18107254737106</v>
      </c>
    </row>
    <row r="19" spans="9:107" x14ac:dyDescent="0.15">
      <c r="P19" s="17" t="s">
        <v>774</v>
      </c>
      <c r="U19" s="29">
        <v>1</v>
      </c>
      <c r="V19" s="29"/>
      <c r="W19" s="29"/>
      <c r="X19" s="29"/>
      <c r="Y19" s="29"/>
      <c r="Z19" s="29"/>
      <c r="AA19" s="29">
        <f t="shared" ref="AA19:AA25" si="14">SUM(V19:Z19)</f>
        <v>0</v>
      </c>
      <c r="AB19" s="29">
        <f>SUMPRODUCT($AA$19:$AA19,$X$7:$X7)*$V$2</f>
        <v>0</v>
      </c>
      <c r="AC19" s="17">
        <f>AA19*X7</f>
        <v>0</v>
      </c>
      <c r="AY19" s="17">
        <v>10</v>
      </c>
      <c r="AZ19" s="17">
        <f>求节点(基础状态预期!$D$17:$D$55,基础状态预期!$AI$17:$AI$55,$AY19)*求节点(基础状态预期!$D$17:$D$55,基础状态预期!$J$17:$J$55,$AY19)*$AB$49</f>
        <v>0</v>
      </c>
      <c r="BA19" s="17">
        <f>求节点(基础状态预期!$D$62:$D$100,基础状态预期!$AI$62:$AI$100,$AY19)*求节点(基础状态预期!$D$62:$D$100,基础状态预期!$J$62:$J$100,$AY19)*$AB$49</f>
        <v>0</v>
      </c>
      <c r="BB19" s="17">
        <f>求节点(基础状态预期!$D$107:$D$145,基础状态预期!$AI$107:$AI$145,$AY19)*求节点(基础状态预期!$D$107:$D$145,基础状态预期!$J$107:$J$145,$AY19)*$AB$49</f>
        <v>0</v>
      </c>
      <c r="BC19" s="17">
        <f>求节点(基础状态预期!$D$152:$D$190,基础状态预期!$AI$152:$AI$190,$AY19)*求节点(基础状态预期!$D$62:$D$100,基础状态预期!$J$152:$J$190,$AY19)*$AB$49</f>
        <v>0</v>
      </c>
      <c r="BD19" s="17">
        <f>求节点(基础状态预期!$D$197:$D$235,基础状态预期!$AI$197:$AI$235,$AY19)*求节点(基础状态预期!$D$197:$D$235,基础状态预期!$J$197:$J$235,$AY19)*$AB$49</f>
        <v>0</v>
      </c>
      <c r="BI19" s="17">
        <v>2</v>
      </c>
      <c r="BJ19" s="17">
        <v>80</v>
      </c>
      <c r="BK19" s="17">
        <v>90</v>
      </c>
      <c r="BQ19" s="29">
        <v>160</v>
      </c>
      <c r="BR19" s="29">
        <f>求节点(基础状态预期!$D$17:$D$55,基础状态预期!$AI$17:$AI$55,$BQ19)*SUM($AR$6:$AT$6)/3</f>
        <v>40</v>
      </c>
      <c r="BS19" s="29">
        <f>求节点(基础状态预期!$D$17:$D$55,基础状态预期!$AI$17:$AI$55,$BQ19)*AH$6</f>
        <v>2500</v>
      </c>
      <c r="BT19" s="145">
        <f t="shared" si="2"/>
        <v>2500</v>
      </c>
      <c r="BU19" s="29">
        <f>求节点(基础状态预期!$D$17:$D$55,基础状态预期!$AI$17:$AI$55,$BQ19)*AI$6</f>
        <v>120</v>
      </c>
      <c r="BV19" s="145">
        <f t="shared" si="3"/>
        <v>120</v>
      </c>
      <c r="BW19" s="29">
        <f>求节点(基础状态预期!$D$17:$D$55,基础状态预期!$AI$17:$AI$55,$BQ19)*$AU$6</f>
        <v>500</v>
      </c>
      <c r="BX19" s="29">
        <f>求节点(基础状态预期!$D$17:$D$55,基础状态预期!$AI$17:$AI$55,$BQ19)*$AJ$6</f>
        <v>0.12</v>
      </c>
      <c r="BY19" s="145">
        <f t="shared" si="0"/>
        <v>0.12</v>
      </c>
      <c r="BZ19" s="29">
        <f>求节点(基础状态预期!$D$17:$D$55,基础状态预期!$AI$17:$AI$55,$BQ19)*$AK$6</f>
        <v>0.1</v>
      </c>
      <c r="CA19" s="145">
        <f t="shared" si="0"/>
        <v>0.1</v>
      </c>
      <c r="CB19" s="29">
        <f>求节点(基础状态预期!$D$17:$D$55,基础状态预期!$AI$17:$AI$55,$BQ19)*$W$60</f>
        <v>0.60000000000000009</v>
      </c>
      <c r="CC19" s="29">
        <f>($BR19-$BR18)*(INDEX([2]非r将兵属性验证!$V$7:$V$166,$BQ19,1)+INDEX([2]非r将兵属性验证!$AP$7:$AP$166,$BQ19,1))+CC18</f>
        <v>102741504739.16705</v>
      </c>
      <c r="CD19" s="29">
        <f>($BS19-$BS18)*INDEX([2]非r将兵属性验证!W$7:W$166,$BQ19,1)+CD18</f>
        <v>24743943061.426888</v>
      </c>
      <c r="CE19" s="29">
        <f>(BT19-$BT18)*INDEX([2]非r将兵属性验证!X$7:X$166,$BQ19,1)+CE18</f>
        <v>24743943061.426888</v>
      </c>
      <c r="CF19" s="29">
        <f>(BU19-BU18)*INDEX([2]非r将兵属性验证!$AQ$7:$AQ$166,$BQ19)+CF18</f>
        <v>59410147417.529861</v>
      </c>
      <c r="CG19" s="29">
        <f>(BV19-BV18)*INDEX([2]非r将兵属性验证!$AR$7:$AR$166,$BQ19)+CG18</f>
        <v>59410147417.529861</v>
      </c>
      <c r="CH19" s="29">
        <f>(BW19-BW18)*INDEX([2]非r将兵属性验证!$AM$7:$AM$166,$BQ19,1)+CH18</f>
        <v>4511968.560611913</v>
      </c>
      <c r="CI19" s="29">
        <f>(BX19-BX18)*INDEX([2]非r将兵属性验证!$AA$7:$AA$166,$BQ19,1)+CI18</f>
        <v>26351011948.698769</v>
      </c>
      <c r="CJ19" s="29">
        <f>(BY19-BY18)*INDEX([2]非r将兵属性验证!$AB$7:$AB$166,$BQ19,1)+CJ18</f>
        <v>26351011948.698769</v>
      </c>
      <c r="CK19" s="29">
        <f>(BZ19-BZ18)*INDEX([2]非r将兵属性验证!$AU$7:$AU$166,$BQ19,1)+CK18</f>
        <v>70806686088.209274</v>
      </c>
      <c r="CL19" s="29">
        <f>(CA19-CA18)*INDEX([2]非r将兵属性验证!$AV$7:$AV$166,$BQ19,1)+CL18</f>
        <v>70806686088.209274</v>
      </c>
      <c r="CM19" s="29">
        <f>(CB19-CB18)*(INDEX([2]非r将兵属性验证!$AC$7:$AC$166,$BQ19,1)*[2]战法技能效用!$AH$4+INDEX([2]非r将兵属性验证!$AX$7:$AX$166,$BQ19,1)*[2]战法技能效用!$AI$4)+CM18</f>
        <v>102471493663.6929</v>
      </c>
      <c r="CN19" s="29">
        <f t="shared" si="10"/>
        <v>567841087403.15015</v>
      </c>
      <c r="CR19" s="29">
        <f>基础状态预期!D32</f>
        <v>82.328492296001457</v>
      </c>
      <c r="CS19" s="29">
        <f>IF(基础状态预期!AI32="",0,基础状态预期!AI32)*$AB$37*基础状态预期!J32</f>
        <v>4.4152422141939667</v>
      </c>
      <c r="CT19" s="29">
        <f>CS19*武将数量星级阶位验证!$E$7*1.8</f>
        <v>23842.307956647419</v>
      </c>
      <c r="CV19" s="29">
        <v>160</v>
      </c>
      <c r="CW19" s="29">
        <f t="shared" si="4"/>
        <v>777600</v>
      </c>
      <c r="CX19" s="29"/>
      <c r="CY19" s="29"/>
      <c r="CZ19" s="29">
        <f t="shared" si="11"/>
        <v>777600</v>
      </c>
      <c r="DA19" s="17">
        <f t="shared" si="6"/>
        <v>730248.3119896478</v>
      </c>
      <c r="DB19" s="17">
        <f>武将升星!BF19/武将升星!BQ19</f>
        <v>1438.5108563757988</v>
      </c>
      <c r="DC19" s="17">
        <f t="shared" si="7"/>
        <v>507.6418497316343</v>
      </c>
    </row>
    <row r="20" spans="9:107" x14ac:dyDescent="0.15">
      <c r="P20" s="17" t="s">
        <v>775</v>
      </c>
      <c r="U20" s="29">
        <v>2</v>
      </c>
      <c r="V20" s="29"/>
      <c r="W20" s="29">
        <v>1</v>
      </c>
      <c r="X20" s="29">
        <v>1</v>
      </c>
      <c r="Y20" s="29">
        <v>2</v>
      </c>
      <c r="Z20" s="29">
        <v>2</v>
      </c>
      <c r="AA20" s="29">
        <f t="shared" si="14"/>
        <v>6</v>
      </c>
      <c r="AB20" s="29">
        <f>SUMPRODUCT($AA$19:$AA20,$X$7:$X8)*$V$2</f>
        <v>36</v>
      </c>
      <c r="AC20" s="17">
        <f t="shared" ref="AC20:AC25" si="15">AA20*X8</f>
        <v>12</v>
      </c>
      <c r="AY20" s="17">
        <v>11</v>
      </c>
      <c r="AZ20" s="17">
        <f>求节点(基础状态预期!$D$17:$D$55,基础状态预期!$AI$17:$AI$55,$AY20)*求节点(基础状态预期!$D$17:$D$55,基础状态预期!$J$17:$J$55,$AY20)*$AB$49</f>
        <v>0</v>
      </c>
      <c r="BA20" s="17">
        <f>求节点(基础状态预期!$D$62:$D$100,基础状态预期!$AI$62:$AI$100,$AY20)*求节点(基础状态预期!$D$62:$D$100,基础状态预期!$J$62:$J$100,$AY20)*$AB$49</f>
        <v>0</v>
      </c>
      <c r="BB20" s="17">
        <f>求节点(基础状态预期!$D$107:$D$145,基础状态预期!$AI$107:$AI$145,$AY20)*求节点(基础状态预期!$D$107:$D$145,基础状态预期!$J$107:$J$145,$AY20)*$AB$49</f>
        <v>0</v>
      </c>
      <c r="BC20" s="17">
        <f>求节点(基础状态预期!$D$152:$D$190,基础状态预期!$AI$152:$AI$190,$AY20)*求节点(基础状态预期!$D$62:$D$100,基础状态预期!$J$152:$J$190,$AY20)*$AB$49</f>
        <v>0</v>
      </c>
      <c r="BD20" s="17">
        <f>求节点(基础状态预期!$D$197:$D$235,基础状态预期!$AI$197:$AI$235,$AY20)*求节点(基础状态预期!$D$197:$D$235,基础状态预期!$J$197:$J$235,$AY20)*$AB$49</f>
        <v>0</v>
      </c>
      <c r="BI20" s="17">
        <v>3</v>
      </c>
      <c r="BJ20" s="17">
        <v>90</v>
      </c>
      <c r="BK20" s="17">
        <v>100</v>
      </c>
      <c r="CR20" s="29">
        <f>基础状态预期!D33</f>
        <v>84.132234338875293</v>
      </c>
      <c r="CS20" s="29">
        <f>IF(基础状态预期!AI33="",0,基础状态预期!AI33)*$AB$37*基础状态预期!J33</f>
        <v>4.9472457716692624</v>
      </c>
      <c r="CT20" s="29">
        <f>CS20*武将数量星级阶位验证!$E$7*1.8</f>
        <v>26715.12716701402</v>
      </c>
    </row>
    <row r="21" spans="9:107" x14ac:dyDescent="0.15">
      <c r="P21" s="17" t="s">
        <v>776</v>
      </c>
      <c r="U21" s="29">
        <v>3</v>
      </c>
      <c r="V21" s="29"/>
      <c r="W21" s="29"/>
      <c r="X21" s="29"/>
      <c r="Y21" s="29"/>
      <c r="Z21" s="29"/>
      <c r="AA21" s="29">
        <f t="shared" si="14"/>
        <v>0</v>
      </c>
      <c r="AB21" s="29">
        <f>SUMPRODUCT($AA$19:$AA21,$X$7:$X9)*$V$2</f>
        <v>36</v>
      </c>
      <c r="AC21" s="17">
        <f t="shared" si="15"/>
        <v>0</v>
      </c>
      <c r="AY21" s="17">
        <v>12</v>
      </c>
      <c r="AZ21" s="17">
        <f>求节点(基础状态预期!$D$17:$D$55,基础状态预期!$AI$17:$AI$55,$AY21)*求节点(基础状态预期!$D$17:$D$55,基础状态预期!$J$17:$J$55,$AY21)*$AB$49</f>
        <v>0</v>
      </c>
      <c r="BA21" s="17">
        <f>求节点(基础状态预期!$D$62:$D$100,基础状态预期!$AI$62:$AI$100,$AY21)*求节点(基础状态预期!$D$62:$D$100,基础状态预期!$J$62:$J$100,$AY21)*$AB$49</f>
        <v>0</v>
      </c>
      <c r="BB21" s="17">
        <f>求节点(基础状态预期!$D$107:$D$145,基础状态预期!$AI$107:$AI$145,$AY21)*求节点(基础状态预期!$D$107:$D$145,基础状态预期!$J$107:$J$145,$AY21)*$AB$49</f>
        <v>0</v>
      </c>
      <c r="BC21" s="17">
        <f>求节点(基础状态预期!$D$152:$D$190,基础状态预期!$AI$152:$AI$190,$AY21)*求节点(基础状态预期!$D$62:$D$100,基础状态预期!$J$152:$J$190,$AY21)*$AB$49</f>
        <v>0</v>
      </c>
      <c r="BD21" s="17">
        <f>求节点(基础状态预期!$D$197:$D$235,基础状态预期!$AI$197:$AI$235,$AY21)*求节点(基础状态预期!$D$197:$D$235,基础状态预期!$J$197:$J$235,$AY21)*$AB$49</f>
        <v>0</v>
      </c>
      <c r="BI21" s="17">
        <v>4</v>
      </c>
      <c r="BJ21" s="17">
        <v>100</v>
      </c>
      <c r="BK21" s="17">
        <v>110</v>
      </c>
      <c r="CR21" s="29">
        <f>基础状态预期!D34</f>
        <v>86.465948248806328</v>
      </c>
      <c r="CS21" s="29">
        <f>IF(基础状态预期!AI34="",0,基础状态预期!AI34)*$AB$37*基础状态预期!J34</f>
        <v>5.6846111905800498</v>
      </c>
      <c r="CT21" s="29">
        <f>CS21*武将数量星级阶位验证!$E$7*1.8</f>
        <v>30696.900429132271</v>
      </c>
    </row>
    <row r="22" spans="9:107" x14ac:dyDescent="0.15">
      <c r="P22" s="17" t="s">
        <v>777</v>
      </c>
      <c r="U22" s="29">
        <v>4</v>
      </c>
      <c r="V22" s="29">
        <v>10</v>
      </c>
      <c r="W22" s="29"/>
      <c r="X22" s="29"/>
      <c r="Y22" s="29"/>
      <c r="Z22" s="29"/>
      <c r="AA22" s="29">
        <f t="shared" si="14"/>
        <v>10</v>
      </c>
      <c r="AB22" s="29">
        <f>SUMPRODUCT($AA$19:$AA22,$X$7:$X10)*$V$2</f>
        <v>66</v>
      </c>
      <c r="AC22" s="17">
        <f t="shared" si="15"/>
        <v>10</v>
      </c>
      <c r="AY22" s="17">
        <v>13</v>
      </c>
      <c r="AZ22" s="17">
        <f>求节点(基础状态预期!$D$17:$D$55,基础状态预期!$AI$17:$AI$55,$AY22)*求节点(基础状态预期!$D$17:$D$55,基础状态预期!$J$17:$J$55,$AY22)*$AB$49</f>
        <v>0</v>
      </c>
      <c r="BA22" s="17">
        <f>求节点(基础状态预期!$D$62:$D$100,基础状态预期!$AI$62:$AI$100,$AY22)*求节点(基础状态预期!$D$62:$D$100,基础状态预期!$J$62:$J$100,$AY22)*$AB$49</f>
        <v>0</v>
      </c>
      <c r="BB22" s="17">
        <f>求节点(基础状态预期!$D$107:$D$145,基础状态预期!$AI$107:$AI$145,$AY22)*求节点(基础状态预期!$D$107:$D$145,基础状态预期!$J$107:$J$145,$AY22)*$AB$49</f>
        <v>0</v>
      </c>
      <c r="BC22" s="17">
        <f>求节点(基础状态预期!$D$152:$D$190,基础状态预期!$AI$152:$AI$190,$AY22)*求节点(基础状态预期!$D$62:$D$100,基础状态预期!$J$152:$J$190,$AY22)*$AB$49</f>
        <v>0</v>
      </c>
      <c r="BD22" s="17">
        <f>求节点(基础状态预期!$D$197:$D$235,基础状态预期!$AI$197:$AI$235,$AY22)*求节点(基础状态预期!$D$197:$D$235,基础状态预期!$J$197:$J$235,$AY22)*$AB$49</f>
        <v>0</v>
      </c>
      <c r="CR22" s="29">
        <f>基础状态预期!D35</f>
        <v>90.244911202258237</v>
      </c>
      <c r="CS22" s="29">
        <f>IF(基础状态预期!AI35="",0,基础状态预期!AI35)*$AB$37*基础状态预期!J35</f>
        <v>7.0373745384120703</v>
      </c>
      <c r="CT22" s="29">
        <f>CS22*武将数量星级阶位验证!$E$7*1.8</f>
        <v>38001.822507425182</v>
      </c>
    </row>
    <row r="23" spans="9:107" x14ac:dyDescent="0.15">
      <c r="I23" s="17">
        <v>1</v>
      </c>
      <c r="J23" s="17">
        <v>2</v>
      </c>
      <c r="K23" s="17">
        <v>1</v>
      </c>
      <c r="L23" s="17">
        <f>K23*J23*I23</f>
        <v>2</v>
      </c>
      <c r="M23" s="17">
        <f t="shared" si="12"/>
        <v>2</v>
      </c>
      <c r="U23" s="29">
        <v>5</v>
      </c>
      <c r="V23" s="29"/>
      <c r="W23" s="29"/>
      <c r="X23" s="29"/>
      <c r="Y23" s="29"/>
      <c r="Z23" s="29"/>
      <c r="AA23" s="29">
        <f t="shared" si="14"/>
        <v>0</v>
      </c>
      <c r="AB23" s="29">
        <f>SUMPRODUCT($AA$19:$AA23,$X$7:$X11)*$V$2</f>
        <v>66</v>
      </c>
      <c r="AC23" s="17">
        <f t="shared" si="15"/>
        <v>0</v>
      </c>
      <c r="AY23" s="17">
        <v>14</v>
      </c>
      <c r="AZ23" s="17">
        <f>求节点(基础状态预期!$D$17:$D$55,基础状态预期!$AI$17:$AI$55,$AY23)*求节点(基础状态预期!$D$17:$D$55,基础状态预期!$J$17:$J$55,$AY23)*$AB$49</f>
        <v>0</v>
      </c>
      <c r="BA23" s="17">
        <f>求节点(基础状态预期!$D$62:$D$100,基础状态预期!$AI$62:$AI$100,$AY23)*求节点(基础状态预期!$D$62:$D$100,基础状态预期!$J$62:$J$100,$AY23)*$AB$49</f>
        <v>0</v>
      </c>
      <c r="BB23" s="17">
        <f>求节点(基础状态预期!$D$107:$D$145,基础状态预期!$AI$107:$AI$145,$AY23)*求节点(基础状态预期!$D$107:$D$145,基础状态预期!$J$107:$J$145,$AY23)*$AB$49</f>
        <v>0</v>
      </c>
      <c r="BC23" s="17">
        <f>求节点(基础状态预期!$D$152:$D$190,基础状态预期!$AI$152:$AI$190,$AY23)*求节点(基础状态预期!$D$62:$D$100,基础状态预期!$J$152:$J$190,$AY23)*$AB$49</f>
        <v>0</v>
      </c>
      <c r="BD23" s="17">
        <f>求节点(基础状态预期!$D$197:$D$235,基础状态预期!$AI$197:$AI$235,$AY23)*求节点(基础状态预期!$D$197:$D$235,基础状态预期!$J$197:$J$235,$AY23)*$AB$49</f>
        <v>0</v>
      </c>
      <c r="CR23" s="29">
        <f>基础状态预期!D36</f>
        <v>93.235489905456092</v>
      </c>
      <c r="CS23" s="29">
        <f>IF(基础状态预期!AI36="",0,基础状态预期!AI36)*$AB$37*基础状态预期!J36</f>
        <v>8.3791472510426974</v>
      </c>
      <c r="CT23" s="29">
        <f>CS23*武将数量星级阶位验证!$E$7*1.8</f>
        <v>45247.395155630569</v>
      </c>
    </row>
    <row r="24" spans="9:107" x14ac:dyDescent="0.15">
      <c r="U24" s="29">
        <v>6</v>
      </c>
      <c r="V24" s="29"/>
      <c r="W24" s="29">
        <v>1</v>
      </c>
      <c r="X24" s="29">
        <v>1</v>
      </c>
      <c r="Y24" s="29">
        <v>2</v>
      </c>
      <c r="Z24" s="29">
        <v>2</v>
      </c>
      <c r="AA24" s="29">
        <f t="shared" si="14"/>
        <v>6</v>
      </c>
      <c r="AB24" s="29">
        <f>SUMPRODUCT($AA$19:$AA24,$X$7:$X12)*$V$2</f>
        <v>120</v>
      </c>
      <c r="AC24" s="17">
        <f t="shared" si="15"/>
        <v>18</v>
      </c>
      <c r="AY24" s="17">
        <v>15</v>
      </c>
      <c r="AZ24" s="17">
        <f>求节点(基础状态预期!$D$17:$D$55,基础状态预期!$AI$17:$AI$55,$AY24)*求节点(基础状态预期!$D$17:$D$55,基础状态预期!$J$17:$J$55,$AY24)*$AB$49</f>
        <v>0</v>
      </c>
      <c r="BA24" s="17">
        <f>求节点(基础状态预期!$D$62:$D$100,基础状态预期!$AI$62:$AI$100,$AY24)*求节点(基础状态预期!$D$62:$D$100,基础状态预期!$J$62:$J$100,$AY24)*$AB$49</f>
        <v>0</v>
      </c>
      <c r="BB24" s="17">
        <f>求节点(基础状态预期!$D$107:$D$145,基础状态预期!$AI$107:$AI$145,$AY24)*求节点(基础状态预期!$D$107:$D$145,基础状态预期!$J$107:$J$145,$AY24)*$AB$49</f>
        <v>0</v>
      </c>
      <c r="BC24" s="17">
        <f>求节点(基础状态预期!$D$152:$D$190,基础状态预期!$AI$152:$AI$190,$AY24)*求节点(基础状态预期!$D$62:$D$100,基础状态预期!$J$152:$J$190,$AY24)*$AB$49</f>
        <v>0</v>
      </c>
      <c r="BD24" s="17">
        <f>求节点(基础状态预期!$D$197:$D$235,基础状态预期!$AI$197:$AI$235,$AY24)*求节点(基础状态预期!$D$197:$D$235,基础状态预期!$J$197:$J$235,$AY24)*$AB$49</f>
        <v>0</v>
      </c>
      <c r="CR24" s="29">
        <f>基础状态预期!D37</f>
        <v>96.807063977001675</v>
      </c>
      <c r="CS24" s="29">
        <f>IF(基础状态预期!AI37="",0,基础状态预期!AI37)*$AB$37*基础状态预期!J37</f>
        <v>10.195998377172598</v>
      </c>
      <c r="CT24" s="29">
        <f>CS24*武将数量星级阶位验证!$E$7*1.8</f>
        <v>55058.391236732037</v>
      </c>
    </row>
    <row r="25" spans="9:107" x14ac:dyDescent="0.15">
      <c r="U25" s="29">
        <v>7</v>
      </c>
      <c r="V25" s="29">
        <v>10</v>
      </c>
      <c r="W25" s="29"/>
      <c r="X25" s="29"/>
      <c r="Y25" s="29"/>
      <c r="Z25" s="29"/>
      <c r="AA25" s="29">
        <f t="shared" si="14"/>
        <v>10</v>
      </c>
      <c r="AB25" s="29">
        <f>SUMPRODUCT($AA$19:$AA25,$X$7:$X13)*$V$2</f>
        <v>150</v>
      </c>
      <c r="AC25" s="17">
        <f t="shared" si="15"/>
        <v>10</v>
      </c>
      <c r="AY25" s="17">
        <v>16</v>
      </c>
      <c r="AZ25" s="17">
        <f>求节点(基础状态预期!$D$17:$D$55,基础状态预期!$AI$17:$AI$55,$AY25)*求节点(基础状态预期!$D$17:$D$55,基础状态预期!$J$17:$J$55,$AY25)*$AB$49</f>
        <v>0</v>
      </c>
      <c r="BA25" s="17">
        <f>求节点(基础状态预期!$D$62:$D$100,基础状态预期!$AI$62:$AI$100,$AY25)*求节点(基础状态预期!$D$62:$D$100,基础状态预期!$J$62:$J$100,$AY25)*$AB$49</f>
        <v>0</v>
      </c>
      <c r="BB25" s="17">
        <f>求节点(基础状态预期!$D$107:$D$145,基础状态预期!$AI$107:$AI$145,$AY25)*求节点(基础状态预期!$D$107:$D$145,基础状态预期!$J$107:$J$145,$AY25)*$AB$49</f>
        <v>0</v>
      </c>
      <c r="BC25" s="17">
        <f>求节点(基础状态预期!$D$152:$D$190,基础状态预期!$AI$152:$AI$190,$AY25)*求节点(基础状态预期!$D$62:$D$100,基础状态预期!$J$152:$J$190,$AY25)*$AB$49</f>
        <v>0</v>
      </c>
      <c r="BD25" s="17">
        <f>求节点(基础状态预期!$D$197:$D$235,基础状态预期!$AI$197:$AI$235,$AY25)*求节点(基础状态预期!$D$197:$D$235,基础状态预期!$J$197:$J$235,$AY25)*$AB$49</f>
        <v>0</v>
      </c>
      <c r="CR25" s="29">
        <f>基础状态预期!D38</f>
        <v>100.50342858241972</v>
      </c>
      <c r="CS25" s="29">
        <f>IF(基础状态预期!AI38="",0,基础状态预期!AI38)*$AB$37*基础状态预期!J38</f>
        <v>12.451164556700615</v>
      </c>
      <c r="CT25" s="29">
        <f>CS25*武将数量星级阶位验证!$E$7*1.8</f>
        <v>67236.288606183327</v>
      </c>
    </row>
    <row r="26" spans="9:107" x14ac:dyDescent="0.15">
      <c r="AY26" s="17">
        <v>17</v>
      </c>
      <c r="AZ26" s="17">
        <f>求节点(基础状态预期!$D$17:$D$55,基础状态预期!$AI$17:$AI$55,$AY26)*求节点(基础状态预期!$D$17:$D$55,基础状态预期!$J$17:$J$55,$AY26)*$AB$49</f>
        <v>0</v>
      </c>
      <c r="BA26" s="17">
        <f>求节点(基础状态预期!$D$62:$D$100,基础状态预期!$AI$62:$AI$100,$AY26)*求节点(基础状态预期!$D$62:$D$100,基础状态预期!$J$62:$J$100,$AY26)*$AB$49</f>
        <v>0</v>
      </c>
      <c r="BB26" s="17">
        <f>求节点(基础状态预期!$D$107:$D$145,基础状态预期!$AI$107:$AI$145,$AY26)*求节点(基础状态预期!$D$107:$D$145,基础状态预期!$J$107:$J$145,$AY26)*$AB$49</f>
        <v>0</v>
      </c>
      <c r="BC26" s="17">
        <f>求节点(基础状态预期!$D$152:$D$190,基础状态预期!$AI$152:$AI$190,$AY26)*求节点(基础状态预期!$D$62:$D$100,基础状态预期!$J$152:$J$190,$AY26)*$AB$49</f>
        <v>0</v>
      </c>
      <c r="BD26" s="17">
        <f>求节点(基础状态预期!$D$197:$D$235,基础状态预期!$AI$197:$AI$235,$AY26)*求节点(基础状态预期!$D$197:$D$235,基础状态预期!$J$197:$J$235,$AY26)*$AB$49</f>
        <v>0</v>
      </c>
      <c r="CR26" s="29">
        <f>基础状态预期!D39</f>
        <v>104.10129967499306</v>
      </c>
      <c r="CS26" s="29">
        <f>IF(基础状态预期!AI39="",0,基础状态预期!AI39)*$AB$37*基础状态预期!J39</f>
        <v>30.578604799603788</v>
      </c>
      <c r="CT26" s="29">
        <f>CS26*武将数量星级阶位验证!$E$7*1.8</f>
        <v>165124.46591786045</v>
      </c>
    </row>
    <row r="27" spans="9:107" x14ac:dyDescent="0.15">
      <c r="AY27" s="17">
        <v>18</v>
      </c>
      <c r="AZ27" s="17">
        <f>求节点(基础状态预期!$D$17:$D$55,基础状态预期!$AI$17:$AI$55,$AY27)*求节点(基础状态预期!$D$17:$D$55,基础状态预期!$J$17:$J$55,$AY27)*$AB$49</f>
        <v>0</v>
      </c>
      <c r="BA27" s="17">
        <f>求节点(基础状态预期!$D$62:$D$100,基础状态预期!$AI$62:$AI$100,$AY27)*求节点(基础状态预期!$D$62:$D$100,基础状态预期!$J$62:$J$100,$AY27)*$AB$49</f>
        <v>0</v>
      </c>
      <c r="BB27" s="17">
        <f>求节点(基础状态预期!$D$107:$D$145,基础状态预期!$AI$107:$AI$145,$AY27)*求节点(基础状态预期!$D$107:$D$145,基础状态预期!$J$107:$J$145,$AY27)*$AB$49</f>
        <v>0</v>
      </c>
      <c r="BC27" s="17">
        <f>求节点(基础状态预期!$D$152:$D$190,基础状态预期!$AI$152:$AI$190,$AY27)*求节点(基础状态预期!$D$62:$D$100,基础状态预期!$J$152:$J$190,$AY27)*$AB$49</f>
        <v>0</v>
      </c>
      <c r="BD27" s="17">
        <f>求节点(基础状态预期!$D$197:$D$235,基础状态预期!$AI$197:$AI$235,$AY27)*求节点(基础状态预期!$D$197:$D$235,基础状态预期!$J$197:$J$235,$AY27)*$AB$49</f>
        <v>0</v>
      </c>
      <c r="CR27" s="29">
        <f>基础状态预期!D40</f>
        <v>107.48165553683219</v>
      </c>
      <c r="CS27" s="29">
        <f>IF(基础状态预期!AI40="",0,基础状态预期!AI40)*$AB$37*基础状态预期!J40</f>
        <v>72</v>
      </c>
      <c r="CT27" s="29">
        <f>CS27*武将数量星级阶位验证!$E$7*1.8</f>
        <v>388800</v>
      </c>
    </row>
    <row r="28" spans="9:107" x14ac:dyDescent="0.15">
      <c r="U28" s="17" t="s">
        <v>846</v>
      </c>
      <c r="V28" s="17" t="s">
        <v>847</v>
      </c>
      <c r="W28" s="147">
        <v>10</v>
      </c>
      <c r="X28" s="17" t="s">
        <v>848</v>
      </c>
      <c r="AY28" s="17">
        <v>19</v>
      </c>
      <c r="AZ28" s="17">
        <f>求节点(基础状态预期!$D$17:$D$55,基础状态预期!$AI$17:$AI$55,$AY28)*求节点(基础状态预期!$D$17:$D$55,基础状态预期!$J$17:$J$55,$AY28)*$AB$49</f>
        <v>0</v>
      </c>
      <c r="BA28" s="17">
        <f>求节点(基础状态预期!$D$62:$D$100,基础状态预期!$AI$62:$AI$100,$AY28)*求节点(基础状态预期!$D$62:$D$100,基础状态预期!$J$62:$J$100,$AY28)*$AB$49</f>
        <v>0</v>
      </c>
      <c r="BB28" s="17">
        <f>求节点(基础状态预期!$D$107:$D$145,基础状态预期!$AI$107:$AI$145,$AY28)*求节点(基础状态预期!$D$107:$D$145,基础状态预期!$J$107:$J$145,$AY28)*$AB$49</f>
        <v>0</v>
      </c>
      <c r="BC28" s="17">
        <f>求节点(基础状态预期!$D$152:$D$190,基础状态预期!$AI$152:$AI$190,$AY28)*求节点(基础状态预期!$D$62:$D$100,基础状态预期!$J$152:$J$190,$AY28)*$AB$49</f>
        <v>0</v>
      </c>
      <c r="BD28" s="17">
        <f>求节点(基础状态预期!$D$197:$D$235,基础状态预期!$AI$197:$AI$235,$AY28)*求节点(基础状态预期!$D$197:$D$235,基础状态预期!$J$197:$J$235,$AY28)*$AB$49</f>
        <v>0</v>
      </c>
      <c r="CR28" s="29">
        <f>基础状态预期!D41</f>
        <v>111.03813549320469</v>
      </c>
      <c r="CS28" s="29">
        <f>IF(基础状态预期!AI41="",0,基础状态预期!AI41)*$AB$37*基础状态预期!J41</f>
        <v>109.38653796073734</v>
      </c>
      <c r="CT28" s="29">
        <f>CS28*武将数量星级阶位验证!$E$7*1.8</f>
        <v>590687.30498798168</v>
      </c>
    </row>
    <row r="29" spans="9:107" x14ac:dyDescent="0.15">
      <c r="I29" s="17">
        <v>5</v>
      </c>
      <c r="J29" s="17">
        <v>2</v>
      </c>
      <c r="K29" s="17">
        <v>2</v>
      </c>
      <c r="L29" s="17">
        <f>K29*J29*I29</f>
        <v>20</v>
      </c>
      <c r="M29" s="17">
        <f t="shared" si="12"/>
        <v>4</v>
      </c>
      <c r="U29" s="29"/>
      <c r="V29" s="161" t="s">
        <v>852</v>
      </c>
      <c r="W29" s="162"/>
      <c r="X29" s="162"/>
      <c r="Y29" s="162"/>
      <c r="Z29" s="163"/>
      <c r="AA29" s="160" t="s">
        <v>856</v>
      </c>
      <c r="AB29" s="160"/>
      <c r="AC29" s="184" t="s">
        <v>859</v>
      </c>
      <c r="AY29" s="17">
        <v>20</v>
      </c>
      <c r="AZ29" s="17">
        <f>求节点(基础状态预期!$D$17:$D$55,基础状态预期!$AI$17:$AI$55,$AY29)*求节点(基础状态预期!$D$17:$D$55,基础状态预期!$J$17:$J$55,$AY29)*$AB$49</f>
        <v>0</v>
      </c>
      <c r="BA29" s="17">
        <f>求节点(基础状态预期!$D$62:$D$100,基础状态预期!$AI$62:$AI$100,$AY29)*求节点(基础状态预期!$D$62:$D$100,基础状态预期!$J$62:$J$100,$AY29)*$AB$49</f>
        <v>0</v>
      </c>
      <c r="BB29" s="17">
        <f>求节点(基础状态预期!$D$107:$D$145,基础状态预期!$AI$107:$AI$145,$AY29)*求节点(基础状态预期!$D$107:$D$145,基础状态预期!$J$107:$J$145,$AY29)*$AB$49</f>
        <v>0</v>
      </c>
      <c r="BC29" s="17">
        <f>求节点(基础状态预期!$D$152:$D$190,基础状态预期!$AI$152:$AI$190,$AY29)*求节点(基础状态预期!$D$62:$D$100,基础状态预期!$J$152:$J$190,$AY29)*$AB$49</f>
        <v>0</v>
      </c>
      <c r="BD29" s="17">
        <f>求节点(基础状态预期!$D$197:$D$235,基础状态预期!$AI$197:$AI$235,$AY29)*求节点(基础状态预期!$D$197:$D$235,基础状态预期!$J$197:$J$235,$AY29)*$AB$49</f>
        <v>0</v>
      </c>
      <c r="CR29" s="29">
        <f>基础状态预期!D42</f>
        <v>114.50860608277577</v>
      </c>
      <c r="CS29" s="29">
        <f>IF(基础状态预期!AI42="",0,基础状态预期!AI42)*$AB$37*基础状态预期!J42</f>
        <v>144</v>
      </c>
      <c r="CT29" s="29">
        <f>CS29*武将数量星级阶位验证!$E$7*1.8</f>
        <v>777600</v>
      </c>
    </row>
    <row r="30" spans="9:107" x14ac:dyDescent="0.15">
      <c r="U30" s="29" t="s">
        <v>781</v>
      </c>
      <c r="V30" s="29" t="s">
        <v>784</v>
      </c>
      <c r="W30" s="29" t="s">
        <v>785</v>
      </c>
      <c r="X30" s="29" t="s">
        <v>786</v>
      </c>
      <c r="Y30" s="29" t="s">
        <v>787</v>
      </c>
      <c r="Z30" s="29" t="s">
        <v>788</v>
      </c>
      <c r="AA30" s="29" t="s">
        <v>817</v>
      </c>
      <c r="AB30" s="29" t="s">
        <v>818</v>
      </c>
      <c r="AC30" s="184"/>
      <c r="AY30" s="17">
        <v>21</v>
      </c>
      <c r="AZ30" s="17">
        <f>求节点(基础状态预期!$D$17:$D$55,基础状态预期!$AI$17:$AI$55,$AY30)*求节点(基础状态预期!$D$17:$D$55,基础状态预期!$J$17:$J$55,$AY30)*$AB$49</f>
        <v>0</v>
      </c>
      <c r="BA30" s="17">
        <f>求节点(基础状态预期!$D$62:$D$100,基础状态预期!$AI$62:$AI$100,$AY30)*求节点(基础状态预期!$D$62:$D$100,基础状态预期!$J$62:$J$100,$AY30)*$AB$49</f>
        <v>0</v>
      </c>
      <c r="BB30" s="17">
        <f>求节点(基础状态预期!$D$107:$D$145,基础状态预期!$AI$107:$AI$145,$AY30)*求节点(基础状态预期!$D$107:$D$145,基础状态预期!$J$107:$J$145,$AY30)*$AB$49</f>
        <v>0</v>
      </c>
      <c r="BC30" s="17">
        <f>求节点(基础状态预期!$D$152:$D$190,基础状态预期!$AI$152:$AI$190,$AY30)*求节点(基础状态预期!$D$62:$D$100,基础状态预期!$J$152:$J$190,$AY30)*$AB$49</f>
        <v>0</v>
      </c>
      <c r="BD30" s="17">
        <f>求节点(基础状态预期!$D$197:$D$235,基础状态预期!$AI$197:$AI$235,$AY30)*求节点(基础状态预期!$D$197:$D$235,基础状态预期!$J$197:$J$235,$AY30)*$AB$49</f>
        <v>0</v>
      </c>
      <c r="CR30" s="29">
        <f>基础状态预期!D43</f>
        <v>118.05948896247369</v>
      </c>
      <c r="CS30" s="29">
        <f>IF(基础状态预期!AI43="",0,基础状态预期!AI43)*$AB$37*基础状态预期!J43</f>
        <v>144</v>
      </c>
      <c r="CT30" s="29">
        <f>CS30*武将数量星级阶位验证!$E$7*1.8</f>
        <v>777600</v>
      </c>
    </row>
    <row r="31" spans="9:107" x14ac:dyDescent="0.15">
      <c r="U31" s="29">
        <v>1</v>
      </c>
      <c r="V31" s="29">
        <v>0.1</v>
      </c>
      <c r="W31" s="29">
        <v>0.1</v>
      </c>
      <c r="X31" s="29">
        <v>0.1</v>
      </c>
      <c r="Y31" s="29">
        <v>0.1</v>
      </c>
      <c r="Z31" s="29">
        <v>0.1</v>
      </c>
      <c r="AA31" s="29">
        <f>SUM($V31:$Z31)</f>
        <v>0.5</v>
      </c>
      <c r="AB31" s="29">
        <f>SUMPRODUCT($AA$31:AA31,$X$7:$X7)*$V$2</f>
        <v>1.5</v>
      </c>
      <c r="AC31" s="29">
        <f>AB31+18</f>
        <v>19.5</v>
      </c>
      <c r="AY31" s="17">
        <v>22</v>
      </c>
      <c r="AZ31" s="17">
        <f>求节点(基础状态预期!$D$17:$D$55,基础状态预期!$AI$17:$AI$55,$AY31)*求节点(基础状态预期!$D$17:$D$55,基础状态预期!$J$17:$J$55,$AY31)*$AB$49</f>
        <v>0</v>
      </c>
      <c r="BA31" s="17">
        <f>求节点(基础状态预期!$D$62:$D$100,基础状态预期!$AI$62:$AI$100,$AY31)*求节点(基础状态预期!$D$62:$D$100,基础状态预期!$J$62:$J$100,$AY31)*$AB$49</f>
        <v>0</v>
      </c>
      <c r="BB31" s="17">
        <f>求节点(基础状态预期!$D$107:$D$145,基础状态预期!$AI$107:$AI$145,$AY31)*求节点(基础状态预期!$D$107:$D$145,基础状态预期!$J$107:$J$145,$AY31)*$AB$49</f>
        <v>0</v>
      </c>
      <c r="BC31" s="17">
        <f>求节点(基础状态预期!$D$152:$D$190,基础状态预期!$AI$152:$AI$190,$AY31)*求节点(基础状态预期!$D$62:$D$100,基础状态预期!$J$152:$J$190,$AY31)*$AB$49</f>
        <v>0</v>
      </c>
      <c r="BD31" s="17">
        <f>求节点(基础状态预期!$D$197:$D$235,基础状态预期!$AI$197:$AI$235,$AY31)*求节点(基础状态预期!$D$197:$D$235,基础状态预期!$J$197:$J$235,$AY31)*$AB$49</f>
        <v>0</v>
      </c>
      <c r="CR31" s="29">
        <f>基础状态预期!D44</f>
        <v>121.47928719052189</v>
      </c>
      <c r="CS31" s="29">
        <f>IF(基础状态预期!AI44="",0,基础状态预期!AI44)*$AB$37*基础状态预期!J44</f>
        <v>144</v>
      </c>
      <c r="CT31" s="29">
        <f>CS31*武将数量星级阶位验证!$E$7*1.8</f>
        <v>777600</v>
      </c>
    </row>
    <row r="32" spans="9:107" x14ac:dyDescent="0.15">
      <c r="U32" s="29">
        <v>2</v>
      </c>
      <c r="V32" s="29">
        <f>V$31</f>
        <v>0.1</v>
      </c>
      <c r="W32" s="29">
        <f t="shared" ref="W32:Z36" si="16">W$31</f>
        <v>0.1</v>
      </c>
      <c r="X32" s="29">
        <f t="shared" si="16"/>
        <v>0.1</v>
      </c>
      <c r="Y32" s="29">
        <f t="shared" si="16"/>
        <v>0.1</v>
      </c>
      <c r="Z32" s="29">
        <f t="shared" si="16"/>
        <v>0.1</v>
      </c>
      <c r="AA32" s="29">
        <f t="shared" ref="AA32:AA37" si="17">SUM($V32:$Z32)</f>
        <v>0.5</v>
      </c>
      <c r="AB32" s="29">
        <f>SUMPRODUCT($AA$31:AA32,$X$7:$X8)*$V$2</f>
        <v>4.5</v>
      </c>
      <c r="AC32" s="29">
        <f t="shared" ref="AC32:AC37" si="18">AB32+18</f>
        <v>22.5</v>
      </c>
      <c r="AY32" s="17">
        <v>23</v>
      </c>
      <c r="AZ32" s="17">
        <f>求节点(基础状态预期!$D$17:$D$55,基础状态预期!$AI$17:$AI$55,$AY32)*求节点(基础状态预期!$D$17:$D$55,基础状态预期!$J$17:$J$55,$AY32)*$AB$49</f>
        <v>0</v>
      </c>
      <c r="BA32" s="17">
        <f>求节点(基础状态预期!$D$62:$D$100,基础状态预期!$AI$62:$AI$100,$AY32)*求节点(基础状态预期!$D$62:$D$100,基础状态预期!$J$62:$J$100,$AY32)*$AB$49</f>
        <v>0</v>
      </c>
      <c r="BB32" s="17">
        <f>求节点(基础状态预期!$D$107:$D$145,基础状态预期!$AI$107:$AI$145,$AY32)*求节点(基础状态预期!$D$107:$D$145,基础状态预期!$J$107:$J$145,$AY32)*$AB$49</f>
        <v>0</v>
      </c>
      <c r="BC32" s="17">
        <f>求节点(基础状态预期!$D$152:$D$190,基础状态预期!$AI$152:$AI$190,$AY32)*求节点(基础状态预期!$D$62:$D$100,基础状态预期!$J$152:$J$190,$AY32)*$AB$49</f>
        <v>0</v>
      </c>
      <c r="BD32" s="17">
        <f>求节点(基础状态预期!$D$197:$D$235,基础状态预期!$AI$197:$AI$235,$AY32)*求节点(基础状态预期!$D$197:$D$235,基础状态预期!$J$197:$J$235,$AY32)*$AB$49</f>
        <v>0</v>
      </c>
      <c r="CR32" s="29">
        <f>基础状态预期!D45</f>
        <v>125.02015904129435</v>
      </c>
      <c r="CS32" s="29">
        <f>IF(基础状态预期!AI45="",0,基础状态预期!AI45)*$AB$37*基础状态预期!J45</f>
        <v>144</v>
      </c>
      <c r="CT32" s="29">
        <f>CS32*武将数量星级阶位验证!$E$7*1.8</f>
        <v>777600</v>
      </c>
    </row>
    <row r="33" spans="9:104" x14ac:dyDescent="0.15">
      <c r="U33" s="29">
        <v>3</v>
      </c>
      <c r="V33" s="29">
        <f>V$31</f>
        <v>0.1</v>
      </c>
      <c r="W33" s="29">
        <f t="shared" si="16"/>
        <v>0.1</v>
      </c>
      <c r="X33" s="29">
        <f t="shared" si="16"/>
        <v>0.1</v>
      </c>
      <c r="Y33" s="29">
        <f t="shared" si="16"/>
        <v>0.1</v>
      </c>
      <c r="Z33" s="29">
        <f t="shared" si="16"/>
        <v>0.1</v>
      </c>
      <c r="AA33" s="29">
        <f t="shared" si="17"/>
        <v>0.5</v>
      </c>
      <c r="AB33" s="29">
        <f>SUMPRODUCT($AA$31:AA33,$X$7:$X9)*$V$2</f>
        <v>7.5</v>
      </c>
      <c r="AC33" s="29">
        <f t="shared" si="18"/>
        <v>25.5</v>
      </c>
      <c r="AY33" s="17">
        <v>24</v>
      </c>
      <c r="AZ33" s="17">
        <f>求节点(基础状态预期!$D$17:$D$55,基础状态预期!$AI$17:$AI$55,$AY33)*求节点(基础状态预期!$D$17:$D$55,基础状态预期!$J$17:$J$55,$AY33)*$AB$49</f>
        <v>0</v>
      </c>
      <c r="BA33" s="17">
        <f>求节点(基础状态预期!$D$62:$D$100,基础状态预期!$AI$62:$AI$100,$AY33)*求节点(基础状态预期!$D$62:$D$100,基础状态预期!$J$62:$J$100,$AY33)*$AB$49</f>
        <v>0</v>
      </c>
      <c r="BB33" s="17">
        <f>求节点(基础状态预期!$D$107:$D$145,基础状态预期!$AI$107:$AI$145,$AY33)*求节点(基础状态预期!$D$107:$D$145,基础状态预期!$J$107:$J$145,$AY33)*$AB$49</f>
        <v>0</v>
      </c>
      <c r="BC33" s="17">
        <f>求节点(基础状态预期!$D$152:$D$190,基础状态预期!$AI$152:$AI$190,$AY33)*求节点(基础状态预期!$D$62:$D$100,基础状态预期!$J$152:$J$190,$AY33)*$AB$49</f>
        <v>0</v>
      </c>
      <c r="BD33" s="17">
        <f>求节点(基础状态预期!$D$197:$D$235,基础状态预期!$AI$197:$AI$235,$AY33)*求节点(基础状态预期!$D$197:$D$235,基础状态预期!$J$197:$J$235,$AY33)*$AB$49</f>
        <v>0</v>
      </c>
      <c r="CR33" s="29">
        <f>基础状态预期!D46</f>
        <v>128.56549059889721</v>
      </c>
      <c r="CS33" s="29">
        <f>IF(基础状态预期!AI46="",0,基础状态预期!AI46)*$AB$37*基础状态预期!J46</f>
        <v>144</v>
      </c>
      <c r="CT33" s="29">
        <f>CS33*武将数量星级阶位验证!$E$7*1.8</f>
        <v>777600</v>
      </c>
    </row>
    <row r="34" spans="9:104" x14ac:dyDescent="0.15">
      <c r="U34" s="29">
        <v>4</v>
      </c>
      <c r="V34" s="29">
        <v>1</v>
      </c>
      <c r="W34" s="29"/>
      <c r="X34" s="29"/>
      <c r="Y34" s="29"/>
      <c r="Z34" s="29"/>
      <c r="AA34" s="29">
        <f t="shared" si="17"/>
        <v>1</v>
      </c>
      <c r="AB34" s="29">
        <f>SUMPRODUCT($AA$31:AA34,$X$7:$X10)*$V$2</f>
        <v>10.5</v>
      </c>
      <c r="AC34" s="29">
        <f t="shared" si="18"/>
        <v>28.5</v>
      </c>
      <c r="AY34" s="17">
        <v>25</v>
      </c>
      <c r="AZ34" s="17">
        <f>求节点(基础状态预期!$D$17:$D$55,基础状态预期!$AI$17:$AI$55,$AY34)*求节点(基础状态预期!$D$17:$D$55,基础状态预期!$J$17:$J$55,$AY34)*$AB$49</f>
        <v>0</v>
      </c>
      <c r="BA34" s="17">
        <f>求节点(基础状态预期!$D$62:$D$100,基础状态预期!$AI$62:$AI$100,$AY34)*求节点(基础状态预期!$D$62:$D$100,基础状态预期!$J$62:$J$100,$AY34)*$AB$49</f>
        <v>0</v>
      </c>
      <c r="BB34" s="17">
        <f>求节点(基础状态预期!$D$107:$D$145,基础状态预期!$AI$107:$AI$145,$AY34)*求节点(基础状态预期!$D$107:$D$145,基础状态预期!$J$107:$J$145,$AY34)*$AB$49</f>
        <v>0</v>
      </c>
      <c r="BC34" s="17">
        <f>求节点(基础状态预期!$D$152:$D$190,基础状态预期!$AI$152:$AI$190,$AY34)*求节点(基础状态预期!$D$62:$D$100,基础状态预期!$J$152:$J$190,$AY34)*$AB$49</f>
        <v>0</v>
      </c>
      <c r="BD34" s="17">
        <f>求节点(基础状态预期!$D$197:$D$235,基础状态预期!$AI$197:$AI$235,$AY34)*求节点(基础状态预期!$D$197:$D$235,基础状态预期!$J$197:$J$235,$AY34)*$AB$49</f>
        <v>0</v>
      </c>
      <c r="CR34" s="29">
        <f>基础状态预期!D47</f>
        <v>132.07530828871487</v>
      </c>
      <c r="CS34" s="29">
        <f>IF(基础状态预期!AI47="",0,基础状态预期!AI47)*$AB$37*基础状态预期!J47</f>
        <v>144</v>
      </c>
      <c r="CT34" s="29">
        <f>CS34*武将数量星级阶位验证!$E$7*1.8</f>
        <v>777600</v>
      </c>
    </row>
    <row r="35" spans="9:104" x14ac:dyDescent="0.15">
      <c r="U35" s="29">
        <v>5</v>
      </c>
      <c r="V35" s="29">
        <f>V$31</f>
        <v>0.1</v>
      </c>
      <c r="W35" s="29">
        <f t="shared" si="16"/>
        <v>0.1</v>
      </c>
      <c r="X35" s="29">
        <f t="shared" si="16"/>
        <v>0.1</v>
      </c>
      <c r="Y35" s="29">
        <f t="shared" si="16"/>
        <v>0.1</v>
      </c>
      <c r="Z35" s="29">
        <f t="shared" si="16"/>
        <v>0.1</v>
      </c>
      <c r="AA35" s="29">
        <f t="shared" si="17"/>
        <v>0.5</v>
      </c>
      <c r="AB35" s="29">
        <f>SUMPRODUCT($AA$31:AA35,$X$7:$X11)*$V$2</f>
        <v>13.5</v>
      </c>
      <c r="AC35" s="29">
        <f t="shared" si="18"/>
        <v>31.5</v>
      </c>
      <c r="AY35" s="17">
        <v>26</v>
      </c>
      <c r="AZ35" s="17">
        <f>求节点(基础状态预期!$D$17:$D$55,基础状态预期!$AI$17:$AI$55,$AY35)*求节点(基础状态预期!$D$17:$D$55,基础状态预期!$J$17:$J$55,$AY35)*$AB$49</f>
        <v>0</v>
      </c>
      <c r="BA35" s="17">
        <f>求节点(基础状态预期!$D$62:$D$100,基础状态预期!$AI$62:$AI$100,$AY35)*求节点(基础状态预期!$D$62:$D$100,基础状态预期!$J$62:$J$100,$AY35)*$AB$49</f>
        <v>0</v>
      </c>
      <c r="BB35" s="17">
        <f>求节点(基础状态预期!$D$107:$D$145,基础状态预期!$AI$107:$AI$145,$AY35)*求节点(基础状态预期!$D$107:$D$145,基础状态预期!$J$107:$J$145,$AY35)*$AB$49</f>
        <v>0</v>
      </c>
      <c r="BC35" s="17">
        <f>求节点(基础状态预期!$D$152:$D$190,基础状态预期!$AI$152:$AI$190,$AY35)*求节点(基础状态预期!$D$62:$D$100,基础状态预期!$J$152:$J$190,$AY35)*$AB$49</f>
        <v>0</v>
      </c>
      <c r="BD35" s="17">
        <f>求节点(基础状态预期!$D$197:$D$235,基础状态预期!$AI$197:$AI$235,$AY35)*求节点(基础状态预期!$D$197:$D$235,基础状态预期!$J$197:$J$235,$AY35)*$AB$49</f>
        <v>0</v>
      </c>
      <c r="CR35" s="29">
        <f>基础状态预期!D48</f>
        <v>135.54811255008914</v>
      </c>
      <c r="CS35" s="29">
        <f>IF(基础状态预期!AI48="",0,基础状态预期!AI48)*$AB$37*基础状态预期!J48</f>
        <v>144</v>
      </c>
      <c r="CT35" s="29">
        <f>CS35*武将数量星级阶位验证!$E$7*1.8</f>
        <v>777600</v>
      </c>
    </row>
    <row r="36" spans="9:104" x14ac:dyDescent="0.15">
      <c r="I36" s="17">
        <v>5</v>
      </c>
      <c r="J36" s="17">
        <v>2</v>
      </c>
      <c r="K36" s="17">
        <v>3</v>
      </c>
      <c r="L36" s="17">
        <f>K36*J36*I36</f>
        <v>30</v>
      </c>
      <c r="M36" s="17">
        <f t="shared" si="12"/>
        <v>6</v>
      </c>
      <c r="U36" s="29">
        <v>6</v>
      </c>
      <c r="V36" s="29">
        <f>V$31</f>
        <v>0.1</v>
      </c>
      <c r="W36" s="29">
        <f t="shared" si="16"/>
        <v>0.1</v>
      </c>
      <c r="X36" s="29">
        <f t="shared" si="16"/>
        <v>0.1</v>
      </c>
      <c r="Y36" s="29">
        <f t="shared" si="16"/>
        <v>0.1</v>
      </c>
      <c r="Z36" s="29">
        <f t="shared" si="16"/>
        <v>0.1</v>
      </c>
      <c r="AA36" s="29">
        <f t="shared" si="17"/>
        <v>0.5</v>
      </c>
      <c r="AB36" s="29">
        <f>SUMPRODUCT($AA$31:AA36,$X$7:$X12)*$V$2</f>
        <v>18</v>
      </c>
      <c r="AC36" s="29">
        <f t="shared" si="18"/>
        <v>36</v>
      </c>
      <c r="AY36" s="17">
        <v>27</v>
      </c>
      <c r="AZ36" s="17">
        <f>求节点(基础状态预期!$D$17:$D$55,基础状态预期!$AI$17:$AI$55,$AY36)*求节点(基础状态预期!$D$17:$D$55,基础状态预期!$J$17:$J$55,$AY36)*$AB$49</f>
        <v>0</v>
      </c>
      <c r="BA36" s="17">
        <f>求节点(基础状态预期!$D$62:$D$100,基础状态预期!$AI$62:$AI$100,$AY36)*求节点(基础状态预期!$D$62:$D$100,基础状态预期!$J$62:$J$100,$AY36)*$AB$49</f>
        <v>0</v>
      </c>
      <c r="BB36" s="17">
        <f>求节点(基础状态预期!$D$107:$D$145,基础状态预期!$AI$107:$AI$145,$AY36)*求节点(基础状态预期!$D$107:$D$145,基础状态预期!$J$107:$J$145,$AY36)*$AB$49</f>
        <v>0</v>
      </c>
      <c r="BC36" s="17">
        <f>求节点(基础状态预期!$D$152:$D$190,基础状态预期!$AI$152:$AI$190,$AY36)*求节点(基础状态预期!$D$62:$D$100,基础状态预期!$J$152:$J$190,$AY36)*$AB$49</f>
        <v>0</v>
      </c>
      <c r="BD36" s="17">
        <f>求节点(基础状态预期!$D$197:$D$235,基础状态预期!$AI$197:$AI$235,$AY36)*求节点(基础状态预期!$D$197:$D$235,基础状态预期!$J$197:$J$235,$AY36)*$AB$49</f>
        <v>0</v>
      </c>
      <c r="CR36" s="29">
        <f>基础状态预期!D49</f>
        <v>139.0493876099641</v>
      </c>
      <c r="CS36" s="29">
        <f>IF(基础状态预期!AI49="",0,基础状态预期!AI49)*$AB$37*基础状态预期!J49</f>
        <v>144</v>
      </c>
      <c r="CT36" s="29">
        <f>CS36*武将数量星级阶位验证!$E$7*1.8</f>
        <v>777600</v>
      </c>
    </row>
    <row r="37" spans="9:104" x14ac:dyDescent="0.15">
      <c r="U37" s="29">
        <v>7</v>
      </c>
      <c r="V37" s="29">
        <v>2</v>
      </c>
      <c r="W37" s="29"/>
      <c r="X37" s="29"/>
      <c r="Y37" s="29"/>
      <c r="Z37" s="29"/>
      <c r="AA37" s="29">
        <f t="shared" si="17"/>
        <v>2</v>
      </c>
      <c r="AB37" s="29">
        <f>SUMPRODUCT($AA$31:AA37,$X$7:$X13)*$V$2</f>
        <v>24</v>
      </c>
      <c r="AC37" s="29">
        <f t="shared" si="18"/>
        <v>42</v>
      </c>
      <c r="AY37" s="17">
        <v>28</v>
      </c>
      <c r="AZ37" s="17">
        <f>求节点(基础状态预期!$D$17:$D$55,基础状态预期!$AI$17:$AI$55,$AY37)*求节点(基础状态预期!$D$17:$D$55,基础状态预期!$J$17:$J$55,$AY37)*$AB$49</f>
        <v>0</v>
      </c>
      <c r="BA37" s="17">
        <f>求节点(基础状态预期!$D$62:$D$100,基础状态预期!$AI$62:$AI$100,$AY37)*求节点(基础状态预期!$D$62:$D$100,基础状态预期!$J$62:$J$100,$AY37)*$AB$49</f>
        <v>0</v>
      </c>
      <c r="BB37" s="17">
        <f>求节点(基础状态预期!$D$107:$D$145,基础状态预期!$AI$107:$AI$145,$AY37)*求节点(基础状态预期!$D$107:$D$145,基础状态预期!$J$107:$J$145,$AY37)*$AB$49</f>
        <v>0</v>
      </c>
      <c r="BC37" s="17">
        <f>求节点(基础状态预期!$D$152:$D$190,基础状态预期!$AI$152:$AI$190,$AY37)*求节点(基础状态预期!$D$62:$D$100,基础状态预期!$J$152:$J$190,$AY37)*$AB$49</f>
        <v>0</v>
      </c>
      <c r="BD37" s="17">
        <f>求节点(基础状态预期!$D$197:$D$235,基础状态预期!$AI$197:$AI$235,$AY37)*求节点(基础状态预期!$D$197:$D$235,基础状态预期!$J$197:$J$235,$AY37)*$AB$49</f>
        <v>0</v>
      </c>
      <c r="CR37" s="29">
        <f>基础状态预期!D50</f>
        <v>142.53355653582128</v>
      </c>
      <c r="CS37" s="29">
        <f>IF(基础状态预期!AI50="",0,基础状态预期!AI50)*$AB$37*基础状态预期!J50</f>
        <v>144</v>
      </c>
      <c r="CT37" s="29">
        <f>CS37*武将数量星级阶位验证!$E$7*1.8</f>
        <v>777600</v>
      </c>
    </row>
    <row r="38" spans="9:104" x14ac:dyDescent="0.15">
      <c r="AY38" s="17">
        <v>29</v>
      </c>
      <c r="AZ38" s="17">
        <f>求节点(基础状态预期!$D$17:$D$55,基础状态预期!$AI$17:$AI$55,$AY38)*求节点(基础状态预期!$D$17:$D$55,基础状态预期!$J$17:$J$55,$AY38)*$AB$49</f>
        <v>0</v>
      </c>
      <c r="BA38" s="17">
        <f>求节点(基础状态预期!$D$62:$D$100,基础状态预期!$AI$62:$AI$100,$AY38)*求节点(基础状态预期!$D$62:$D$100,基础状态预期!$J$62:$J$100,$AY38)*$AB$49</f>
        <v>0</v>
      </c>
      <c r="BB38" s="17">
        <f>求节点(基础状态预期!$D$107:$D$145,基础状态预期!$AI$107:$AI$145,$AY38)*求节点(基础状态预期!$D$107:$D$145,基础状态预期!$J$107:$J$145,$AY38)*$AB$49</f>
        <v>0</v>
      </c>
      <c r="BC38" s="17">
        <f>求节点(基础状态预期!$D$152:$D$190,基础状态预期!$AI$152:$AI$190,$AY38)*求节点(基础状态预期!$D$62:$D$100,基础状态预期!$J$152:$J$190,$AY38)*$AB$49</f>
        <v>0</v>
      </c>
      <c r="BD38" s="17">
        <f>求节点(基础状态预期!$D$197:$D$235,基础状态预期!$AI$197:$AI$235,$AY38)*求节点(基础状态预期!$D$197:$D$235,基础状态预期!$J$197:$J$235,$AY38)*$AB$49</f>
        <v>0</v>
      </c>
      <c r="CR38" s="29">
        <f>基础状态预期!D51</f>
        <v>146.02664953963369</v>
      </c>
      <c r="CS38" s="29">
        <f>IF(基础状态预期!AI51="",0,基础状态预期!AI51)*$AB$37*基础状态预期!J51</f>
        <v>144</v>
      </c>
      <c r="CT38" s="29">
        <f>CS38*武将数量星级阶位验证!$E$7*1.8</f>
        <v>777600</v>
      </c>
    </row>
    <row r="39" spans="9:104" x14ac:dyDescent="0.15">
      <c r="AY39" s="17">
        <v>30</v>
      </c>
      <c r="AZ39" s="17">
        <f>求节点(基础状态预期!$D$17:$D$55,基础状态预期!$AI$17:$AI$55,$AY39)*求节点(基础状态预期!$D$17:$D$55,基础状态预期!$J$17:$J$55,$AY39)*$AB$49</f>
        <v>0</v>
      </c>
      <c r="BA39" s="17">
        <f>求节点(基础状态预期!$D$62:$D$100,基础状态预期!$AI$62:$AI$100,$AY39)*求节点(基础状态预期!$D$62:$D$100,基础状态预期!$J$62:$J$100,$AY39)*$AB$49</f>
        <v>0</v>
      </c>
      <c r="BB39" s="17">
        <f>求节点(基础状态预期!$D$107:$D$145,基础状态预期!$AI$107:$AI$145,$AY39)*求节点(基础状态预期!$D$107:$D$145,基础状态预期!$J$107:$J$145,$AY39)*$AB$49</f>
        <v>0</v>
      </c>
      <c r="BC39" s="17">
        <f>求节点(基础状态预期!$D$152:$D$190,基础状态预期!$AI$152:$AI$190,$AY39)*求节点(基础状态预期!$D$62:$D$100,基础状态预期!$J$152:$J$190,$AY39)*$AB$49</f>
        <v>0</v>
      </c>
      <c r="BD39" s="17">
        <f>求节点(基础状态预期!$D$197:$D$235,基础状态预期!$AI$197:$AI$235,$AY39)*求节点(基础状态预期!$D$197:$D$235,基础状态预期!$J$197:$J$235,$AY39)*$AB$49</f>
        <v>0</v>
      </c>
      <c r="CR39" s="29">
        <f>基础状态预期!D52</f>
        <v>149.52287096243165</v>
      </c>
      <c r="CS39" s="29">
        <f>IF(基础状态预期!AI52="",0,基础状态预期!AI52)*$AB$37*基础状态预期!J52</f>
        <v>144</v>
      </c>
      <c r="CT39" s="29">
        <f>CS39*武将数量星级阶位验证!$E$7*1.8</f>
        <v>777600</v>
      </c>
    </row>
    <row r="40" spans="9:104" x14ac:dyDescent="0.15">
      <c r="U40" s="27" t="s">
        <v>860</v>
      </c>
      <c r="Y40" s="147">
        <v>500</v>
      </c>
      <c r="AY40" s="17">
        <v>31</v>
      </c>
      <c r="AZ40" s="17">
        <f>求节点(基础状态预期!$D$17:$D$55,基础状态预期!$AI$17:$AI$55,$AY40)*求节点(基础状态预期!$D$17:$D$55,基础状态预期!$J$17:$J$55,$AY40)*$AB$49</f>
        <v>0</v>
      </c>
      <c r="BA40" s="17">
        <f>求节点(基础状态预期!$D$62:$D$100,基础状态预期!$AI$62:$AI$100,$AY40)*求节点(基础状态预期!$D$62:$D$100,基础状态预期!$J$62:$J$100,$AY40)*$AB$49</f>
        <v>0</v>
      </c>
      <c r="BB40" s="17">
        <f>求节点(基础状态预期!$D$107:$D$145,基础状态预期!$AI$107:$AI$145,$AY40)*求节点(基础状态预期!$D$107:$D$145,基础状态预期!$J$107:$J$145,$AY40)*$AB$49</f>
        <v>0</v>
      </c>
      <c r="BC40" s="17">
        <f>求节点(基础状态预期!$D$152:$D$190,基础状态预期!$AI$152:$AI$190,$AY40)*求节点(基础状态预期!$D$62:$D$100,基础状态预期!$J$152:$J$190,$AY40)*$AB$49</f>
        <v>0</v>
      </c>
      <c r="BD40" s="17">
        <f>求节点(基础状态预期!$D$197:$D$235,基础状态预期!$AI$197:$AI$235,$AY40)*求节点(基础状态预期!$D$197:$D$235,基础状态预期!$J$197:$J$235,$AY40)*$AB$49</f>
        <v>0</v>
      </c>
      <c r="CR40" s="29">
        <f>基础状态预期!D53</f>
        <v>153.02723536432757</v>
      </c>
      <c r="CS40" s="29">
        <f>IF(基础状态预期!AI53="",0,基础状态预期!AI53)*$AB$37*基础状态预期!J53</f>
        <v>144</v>
      </c>
      <c r="CT40" s="29">
        <f>CS40*武将数量星级阶位验证!$E$7*1.8</f>
        <v>777600</v>
      </c>
    </row>
    <row r="41" spans="9:104" ht="13.5" customHeight="1" x14ac:dyDescent="0.15">
      <c r="U41" s="29"/>
      <c r="V41" s="161" t="s">
        <v>851</v>
      </c>
      <c r="W41" s="162"/>
      <c r="X41" s="162"/>
      <c r="Y41" s="162"/>
      <c r="Z41" s="163"/>
      <c r="AA41" s="169" t="s">
        <v>854</v>
      </c>
      <c r="AB41" s="169" t="s">
        <v>858</v>
      </c>
      <c r="AY41" s="17">
        <v>32</v>
      </c>
      <c r="AZ41" s="17">
        <f>求节点(基础状态预期!$D$17:$D$55,基础状态预期!$AI$17:$AI$55,$AY41)*求节点(基础状态预期!$D$17:$D$55,基础状态预期!$J$17:$J$55,$AY41)*$AB$49</f>
        <v>0</v>
      </c>
      <c r="BA41" s="17">
        <f>求节点(基础状态预期!$D$62:$D$100,基础状态预期!$AI$62:$AI$100,$AY41)*求节点(基础状态预期!$D$62:$D$100,基础状态预期!$J$62:$J$100,$AY41)*$AB$49</f>
        <v>0</v>
      </c>
      <c r="BB41" s="17">
        <f>求节点(基础状态预期!$D$107:$D$145,基础状态预期!$AI$107:$AI$145,$AY41)*求节点(基础状态预期!$D$107:$D$145,基础状态预期!$J$107:$J$145,$AY41)*$AB$49</f>
        <v>0</v>
      </c>
      <c r="BC41" s="17">
        <f>求节点(基础状态预期!$D$152:$D$190,基础状态预期!$AI$152:$AI$190,$AY41)*求节点(基础状态预期!$D$62:$D$100,基础状态预期!$J$152:$J$190,$AY41)*$AB$49</f>
        <v>0</v>
      </c>
      <c r="BD41" s="17">
        <f>求节点(基础状态预期!$D$197:$D$235,基础状态预期!$AI$197:$AI$235,$AY41)*求节点(基础状态预期!$D$197:$D$235,基础状态预期!$J$197:$J$235,$AY41)*$AB$49</f>
        <v>0</v>
      </c>
      <c r="CR41" s="29">
        <f>基础状态预期!D54</f>
        <v>156.52008914974525</v>
      </c>
      <c r="CS41" s="29">
        <f>IF(基础状态预期!AI54="",0,基础状态预期!AI54)*$AB$37*基础状态预期!J54</f>
        <v>144</v>
      </c>
      <c r="CT41" s="29">
        <f>CS41*武将数量星级阶位验证!$E$7*1.8</f>
        <v>777600</v>
      </c>
    </row>
    <row r="42" spans="9:104" x14ac:dyDescent="0.15">
      <c r="I42" s="17">
        <v>1</v>
      </c>
      <c r="J42" s="17">
        <v>3</v>
      </c>
      <c r="K42" s="17">
        <v>1</v>
      </c>
      <c r="L42" s="17">
        <f>K42*J42*I42</f>
        <v>3</v>
      </c>
      <c r="M42" s="17">
        <f t="shared" si="12"/>
        <v>3</v>
      </c>
      <c r="U42" s="29" t="s">
        <v>781</v>
      </c>
      <c r="V42" s="29" t="s">
        <v>784</v>
      </c>
      <c r="W42" s="29" t="s">
        <v>785</v>
      </c>
      <c r="X42" s="29" t="s">
        <v>786</v>
      </c>
      <c r="Y42" s="29" t="s">
        <v>787</v>
      </c>
      <c r="Z42" s="29" t="s">
        <v>788</v>
      </c>
      <c r="AA42" s="171"/>
      <c r="AB42" s="171"/>
      <c r="AY42" s="17">
        <v>33</v>
      </c>
      <c r="AZ42" s="17">
        <f>求节点(基础状态预期!$D$17:$D$55,基础状态预期!$AI$17:$AI$55,$AY42)*求节点(基础状态预期!$D$17:$D$55,基础状态预期!$J$17:$J$55,$AY42)*$AB$49</f>
        <v>0</v>
      </c>
      <c r="BA42" s="17">
        <f>求节点(基础状态预期!$D$62:$D$100,基础状态预期!$AI$62:$AI$100,$AY42)*求节点(基础状态预期!$D$62:$D$100,基础状态预期!$J$62:$J$100,$AY42)*$AB$49</f>
        <v>0</v>
      </c>
      <c r="BB42" s="17">
        <f>求节点(基础状态预期!$D$107:$D$145,基础状态预期!$AI$107:$AI$145,$AY42)*求节点(基础状态预期!$D$107:$D$145,基础状态预期!$J$107:$J$145,$AY42)*$AB$49</f>
        <v>0</v>
      </c>
      <c r="BC42" s="17">
        <f>求节点(基础状态预期!$D$152:$D$190,基础状态预期!$AI$152:$AI$190,$AY42)*求节点(基础状态预期!$D$62:$D$100,基础状态预期!$J$152:$J$190,$AY42)*$AB$49</f>
        <v>0</v>
      </c>
      <c r="BD42" s="17">
        <f>求节点(基础状态预期!$D$197:$D$235,基础状态预期!$AI$197:$AI$235,$AY42)*求节点(基础状态预期!$D$197:$D$235,基础状态预期!$J$197:$J$235,$AY42)*$AB$49</f>
        <v>0</v>
      </c>
      <c r="CR42" s="29">
        <f>基础状态预期!D55</f>
        <v>159.99202506384199</v>
      </c>
      <c r="CS42" s="29">
        <f>IF(基础状态预期!AI55="",0,基础状态预期!AI55)*$AB$37*基础状态预期!J55</f>
        <v>144</v>
      </c>
      <c r="CT42" s="29">
        <f>CS42*武将数量星级阶位验证!$E$7*1.8</f>
        <v>777600</v>
      </c>
    </row>
    <row r="43" spans="9:104" x14ac:dyDescent="0.15">
      <c r="U43" s="29">
        <v>1</v>
      </c>
      <c r="V43" s="29">
        <v>4</v>
      </c>
      <c r="W43" s="29">
        <v>4</v>
      </c>
      <c r="X43" s="29">
        <v>4</v>
      </c>
      <c r="Y43" s="29">
        <v>4</v>
      </c>
      <c r="Z43" s="29">
        <v>4</v>
      </c>
      <c r="AA43" s="29">
        <f>SUM($V43:$Z43)</f>
        <v>20</v>
      </c>
      <c r="AB43" s="29">
        <f>SUMPRODUCT($AA$43:$AA43,$X$7:$X7)*$V$2</f>
        <v>60</v>
      </c>
      <c r="AC43" s="17">
        <f>AA43*X7</f>
        <v>20</v>
      </c>
      <c r="AY43" s="17">
        <v>34</v>
      </c>
      <c r="AZ43" s="17">
        <f>求节点(基础状态预期!$D$17:$D$55,基础状态预期!$AI$17:$AI$55,$AY43)*求节点(基础状态预期!$D$17:$D$55,基础状态预期!$J$17:$J$55,$AY43)*$AB$49</f>
        <v>0</v>
      </c>
      <c r="BA43" s="17">
        <f>求节点(基础状态预期!$D$62:$D$100,基础状态预期!$AI$62:$AI$100,$AY43)*求节点(基础状态预期!$D$62:$D$100,基础状态预期!$J$62:$J$100,$AY43)*$AB$49</f>
        <v>0</v>
      </c>
      <c r="BB43" s="17">
        <f>求节点(基础状态预期!$D$107:$D$145,基础状态预期!$AI$107:$AI$145,$AY43)*求节点(基础状态预期!$D$107:$D$145,基础状态预期!$J$107:$J$145,$AY43)*$AB$49</f>
        <v>0</v>
      </c>
      <c r="BC43" s="17">
        <f>求节点(基础状态预期!$D$152:$D$190,基础状态预期!$AI$152:$AI$190,$AY43)*求节点(基础状态预期!$D$62:$D$100,基础状态预期!$J$152:$J$190,$AY43)*$AB$49</f>
        <v>0</v>
      </c>
      <c r="BD43" s="17">
        <f>求节点(基础状态预期!$D$197:$D$235,基础状态预期!$AI$197:$AI$235,$AY43)*求节点(基础状态预期!$D$197:$D$235,基础状态预期!$J$197:$J$235,$AY43)*$AB$49</f>
        <v>0</v>
      </c>
    </row>
    <row r="44" spans="9:104" x14ac:dyDescent="0.15">
      <c r="U44" s="29">
        <v>2</v>
      </c>
      <c r="V44" s="29">
        <f>V$43</f>
        <v>4</v>
      </c>
      <c r="W44" s="29">
        <f t="shared" ref="W44:Z44" si="19">W$43</f>
        <v>4</v>
      </c>
      <c r="X44" s="29">
        <f t="shared" si="19"/>
        <v>4</v>
      </c>
      <c r="Y44" s="29">
        <f t="shared" si="19"/>
        <v>4</v>
      </c>
      <c r="Z44" s="29">
        <f t="shared" si="19"/>
        <v>4</v>
      </c>
      <c r="AA44" s="29">
        <f t="shared" ref="AA44:AA49" si="20">SUM($V44:$Z44)</f>
        <v>20</v>
      </c>
      <c r="AB44" s="29">
        <f>SUMPRODUCT($AA$43:$AA44,$X$7:$X8)*$V$2</f>
        <v>180</v>
      </c>
      <c r="AC44" s="17">
        <f t="shared" ref="AC44:AC49" si="21">AA44*X8</f>
        <v>40</v>
      </c>
      <c r="AY44" s="17">
        <v>35</v>
      </c>
      <c r="AZ44" s="17">
        <f>求节点(基础状态预期!$D$17:$D$55,基础状态预期!$AI$17:$AI$55,$AY44)*求节点(基础状态预期!$D$17:$D$55,基础状态预期!$J$17:$J$55,$AY44)*$AB$49</f>
        <v>0</v>
      </c>
      <c r="BA44" s="17">
        <f>求节点(基础状态预期!$D$62:$D$100,基础状态预期!$AI$62:$AI$100,$AY44)*求节点(基础状态预期!$D$62:$D$100,基础状态预期!$J$62:$J$100,$AY44)*$AB$49</f>
        <v>0</v>
      </c>
      <c r="BB44" s="17">
        <f>求节点(基础状态预期!$D$107:$D$145,基础状态预期!$AI$107:$AI$145,$AY44)*求节点(基础状态预期!$D$107:$D$145,基础状态预期!$J$107:$J$145,$AY44)*$AB$49</f>
        <v>0</v>
      </c>
      <c r="BC44" s="17">
        <f>求节点(基础状态预期!$D$152:$D$190,基础状态预期!$AI$152:$AI$190,$AY44)*求节点(基础状态预期!$D$62:$D$100,基础状态预期!$J$152:$J$190,$AY44)*$AB$49</f>
        <v>0</v>
      </c>
      <c r="BD44" s="17">
        <f>求节点(基础状态预期!$D$197:$D$235,基础状态预期!$AI$197:$AI$235,$AY44)*求节点(基础状态预期!$D$197:$D$235,基础状态预期!$J$197:$J$235,$AY44)*$AB$49</f>
        <v>0</v>
      </c>
    </row>
    <row r="45" spans="9:104" x14ac:dyDescent="0.15">
      <c r="U45" s="29">
        <v>3</v>
      </c>
      <c r="V45" s="29">
        <v>8</v>
      </c>
      <c r="W45" s="29">
        <v>8</v>
      </c>
      <c r="X45" s="29">
        <v>8</v>
      </c>
      <c r="Y45" s="29">
        <v>8</v>
      </c>
      <c r="Z45" s="29">
        <v>8</v>
      </c>
      <c r="AA45" s="29">
        <f t="shared" si="20"/>
        <v>40</v>
      </c>
      <c r="AB45" s="29">
        <f>SUMPRODUCT($AA$43:$AA45,$X$7:$X9)*$V$2</f>
        <v>420</v>
      </c>
      <c r="AC45" s="17">
        <f t="shared" si="21"/>
        <v>80</v>
      </c>
      <c r="AY45" s="17">
        <v>36</v>
      </c>
      <c r="AZ45" s="17">
        <f>求节点(基础状态预期!$D$17:$D$55,基础状态预期!$AI$17:$AI$55,$AY45)*求节点(基础状态预期!$D$17:$D$55,基础状态预期!$J$17:$J$55,$AY45)*$AB$49</f>
        <v>0</v>
      </c>
      <c r="BA45" s="17">
        <f>求节点(基础状态预期!$D$62:$D$100,基础状态预期!$AI$62:$AI$100,$AY45)*求节点(基础状态预期!$D$62:$D$100,基础状态预期!$J$62:$J$100,$AY45)*$AB$49</f>
        <v>0</v>
      </c>
      <c r="BB45" s="17">
        <f>求节点(基础状态预期!$D$107:$D$145,基础状态预期!$AI$107:$AI$145,$AY45)*求节点(基础状态预期!$D$107:$D$145,基础状态预期!$J$107:$J$145,$AY45)*$AB$49</f>
        <v>0</v>
      </c>
      <c r="BC45" s="17">
        <f>求节点(基础状态预期!$D$152:$D$190,基础状态预期!$AI$152:$AI$190,$AY45)*求节点(基础状态预期!$D$62:$D$100,基础状态预期!$J$152:$J$190,$AY45)*$AB$49</f>
        <v>0</v>
      </c>
      <c r="BD45" s="17">
        <f>求节点(基础状态预期!$D$197:$D$235,基础状态预期!$AI$197:$AI$235,$AY45)*求节点(基础状态预期!$D$197:$D$235,基础状态预期!$J$197:$J$235,$AY45)*$AB$49</f>
        <v>0</v>
      </c>
    </row>
    <row r="46" spans="9:104" x14ac:dyDescent="0.15">
      <c r="U46" s="29">
        <v>4</v>
      </c>
      <c r="V46" s="29">
        <v>100</v>
      </c>
      <c r="W46" s="29"/>
      <c r="X46" s="29"/>
      <c r="Y46" s="29"/>
      <c r="Z46" s="29"/>
      <c r="AA46" s="29">
        <f t="shared" si="20"/>
        <v>100</v>
      </c>
      <c r="AB46" s="29">
        <f>SUMPRODUCT($AA$43:$AA46,$X$7:$X10)*$V$2</f>
        <v>720</v>
      </c>
      <c r="AC46" s="17">
        <f t="shared" si="21"/>
        <v>100</v>
      </c>
      <c r="AY46" s="17">
        <v>37</v>
      </c>
      <c r="AZ46" s="17">
        <f>求节点(基础状态预期!$D$17:$D$55,基础状态预期!$AI$17:$AI$55,$AY46)*求节点(基础状态预期!$D$17:$D$55,基础状态预期!$J$17:$J$55,$AY46)*$AB$49</f>
        <v>0</v>
      </c>
      <c r="BA46" s="17">
        <f>求节点(基础状态预期!$D$62:$D$100,基础状态预期!$AI$62:$AI$100,$AY46)*求节点(基础状态预期!$D$62:$D$100,基础状态预期!$J$62:$J$100,$AY46)*$AB$49</f>
        <v>0</v>
      </c>
      <c r="BB46" s="17">
        <f>求节点(基础状态预期!$D$107:$D$145,基础状态预期!$AI$107:$AI$145,$AY46)*求节点(基础状态预期!$D$107:$D$145,基础状态预期!$J$107:$J$145,$AY46)*$AB$49</f>
        <v>0</v>
      </c>
      <c r="BC46" s="17">
        <f>求节点(基础状态预期!$D$152:$D$190,基础状态预期!$AI$152:$AI$190,$AY46)*求节点(基础状态预期!$D$62:$D$100,基础状态预期!$J$152:$J$190,$AY46)*$AB$49</f>
        <v>0</v>
      </c>
      <c r="BD46" s="17">
        <f>求节点(基础状态预期!$D$197:$D$235,基础状态预期!$AI$197:$AI$235,$AY46)*求节点(基础状态预期!$D$197:$D$235,基础状态预期!$J$197:$J$235,$AY46)*$AB$49</f>
        <v>0</v>
      </c>
    </row>
    <row r="47" spans="9:104" x14ac:dyDescent="0.15">
      <c r="U47" s="29">
        <v>5</v>
      </c>
      <c r="V47" s="29">
        <v>10</v>
      </c>
      <c r="W47" s="29">
        <v>10</v>
      </c>
      <c r="X47" s="29">
        <v>10</v>
      </c>
      <c r="Y47" s="29">
        <v>15</v>
      </c>
      <c r="Z47" s="29">
        <v>15</v>
      </c>
      <c r="AA47" s="29">
        <f t="shared" si="20"/>
        <v>60</v>
      </c>
      <c r="AB47" s="29">
        <f>SUMPRODUCT($AA$43:$AA47,$X$7:$X11)*$V$2</f>
        <v>1080</v>
      </c>
      <c r="AC47" s="17">
        <f t="shared" si="21"/>
        <v>120</v>
      </c>
      <c r="AY47" s="17">
        <v>38</v>
      </c>
      <c r="AZ47" s="17">
        <f>求节点(基础状态预期!$D$17:$D$55,基础状态预期!$AI$17:$AI$55,$AY47)*求节点(基础状态预期!$D$17:$D$55,基础状态预期!$J$17:$J$55,$AY47)*$AB$49</f>
        <v>0</v>
      </c>
      <c r="BA47" s="17">
        <f>求节点(基础状态预期!$D$62:$D$100,基础状态预期!$AI$62:$AI$100,$AY47)*求节点(基础状态预期!$D$62:$D$100,基础状态预期!$J$62:$J$100,$AY47)*$AB$49</f>
        <v>0</v>
      </c>
      <c r="BB47" s="17">
        <f>求节点(基础状态预期!$D$107:$D$145,基础状态预期!$AI$107:$AI$145,$AY47)*求节点(基础状态预期!$D$107:$D$145,基础状态预期!$J$107:$J$145,$AY47)*$AB$49</f>
        <v>0</v>
      </c>
      <c r="BC47" s="17">
        <f>求节点(基础状态预期!$D$152:$D$190,基础状态预期!$AI$152:$AI$190,$AY47)*求节点(基础状态预期!$D$62:$D$100,基础状态预期!$J$152:$J$190,$AY47)*$AB$49</f>
        <v>0</v>
      </c>
      <c r="BD47" s="17">
        <f>求节点(基础状态预期!$D$197:$D$235,基础状态预期!$AI$197:$AI$235,$AY47)*求节点(基础状态预期!$D$197:$D$235,基础状态预期!$J$197:$J$235,$AY47)*$AB$49</f>
        <v>0</v>
      </c>
      <c r="BQ47" s="29" t="s">
        <v>76</v>
      </c>
      <c r="BR47" s="161" t="s">
        <v>55</v>
      </c>
      <c r="BS47" s="162"/>
      <c r="BT47" s="162"/>
      <c r="BU47" s="162"/>
      <c r="BV47" s="162"/>
      <c r="BW47" s="162"/>
      <c r="BX47" s="162"/>
      <c r="BY47" s="162"/>
      <c r="BZ47" s="162"/>
      <c r="CA47" s="162"/>
      <c r="CB47" s="163"/>
      <c r="CC47" s="160" t="s">
        <v>342</v>
      </c>
      <c r="CD47" s="160"/>
      <c r="CE47" s="160"/>
      <c r="CF47" s="160"/>
      <c r="CG47" s="160"/>
      <c r="CH47" s="160"/>
      <c r="CI47" s="160"/>
      <c r="CJ47" s="160"/>
      <c r="CK47" s="160"/>
      <c r="CL47" s="160"/>
      <c r="CM47" s="160"/>
      <c r="CN47" s="160"/>
      <c r="CR47" s="29" t="s">
        <v>76</v>
      </c>
      <c r="CS47" s="160" t="s">
        <v>306</v>
      </c>
      <c r="CT47" s="160"/>
      <c r="CV47" s="29" t="s">
        <v>76</v>
      </c>
      <c r="CW47" s="161" t="s">
        <v>366</v>
      </c>
      <c r="CX47" s="162"/>
      <c r="CY47" s="163"/>
    </row>
    <row r="48" spans="9:104" x14ac:dyDescent="0.15">
      <c r="U48" s="29">
        <v>6</v>
      </c>
      <c r="V48" s="29">
        <v>10</v>
      </c>
      <c r="W48" s="29">
        <v>10</v>
      </c>
      <c r="X48" s="29">
        <v>10</v>
      </c>
      <c r="Y48" s="29">
        <v>15</v>
      </c>
      <c r="Z48" s="29">
        <v>15</v>
      </c>
      <c r="AA48" s="29">
        <f t="shared" si="20"/>
        <v>60</v>
      </c>
      <c r="AB48" s="29">
        <f>SUMPRODUCT($AA$43:$AA48,$X$7:$X12)*$V$2</f>
        <v>1620</v>
      </c>
      <c r="AC48" s="17">
        <f t="shared" si="21"/>
        <v>180</v>
      </c>
      <c r="AY48" s="17">
        <v>39</v>
      </c>
      <c r="AZ48" s="17">
        <f>求节点(基础状态预期!$D$17:$D$55,基础状态预期!$AI$17:$AI$55,$AY48)*求节点(基础状态预期!$D$17:$D$55,基础状态预期!$J$17:$J$55,$AY48)*$AB$49</f>
        <v>0</v>
      </c>
      <c r="BA48" s="17">
        <f>求节点(基础状态预期!$D$62:$D$100,基础状态预期!$AI$62:$AI$100,$AY48)*求节点(基础状态预期!$D$62:$D$100,基础状态预期!$J$62:$J$100,$AY48)*$AB$49</f>
        <v>0</v>
      </c>
      <c r="BB48" s="17">
        <f>求节点(基础状态预期!$D$107:$D$145,基础状态预期!$AI$107:$AI$145,$AY48)*求节点(基础状态预期!$D$107:$D$145,基础状态预期!$J$107:$J$145,$AY48)*$AB$49</f>
        <v>0</v>
      </c>
      <c r="BC48" s="17">
        <f>求节点(基础状态预期!$D$152:$D$190,基础状态预期!$AI$152:$AI$190,$AY48)*求节点(基础状态预期!$D$62:$D$100,基础状态预期!$J$152:$J$190,$AY48)*$AB$49</f>
        <v>0</v>
      </c>
      <c r="BD48" s="17">
        <f>求节点(基础状态预期!$D$197:$D$235,基础状态预期!$AI$197:$AI$235,$AY48)*求节点(基础状态预期!$D$197:$D$235,基础状态预期!$J$197:$J$235,$AY48)*$AB$49</f>
        <v>0</v>
      </c>
      <c r="BQ48" s="29" t="s">
        <v>478</v>
      </c>
      <c r="BR48" s="29" t="s">
        <v>152</v>
      </c>
      <c r="BS48" s="29" t="s">
        <v>835</v>
      </c>
      <c r="BT48" s="29" t="s">
        <v>836</v>
      </c>
      <c r="BU48" s="29" t="s">
        <v>837</v>
      </c>
      <c r="BV48" s="29" t="s">
        <v>838</v>
      </c>
      <c r="BW48" s="29" t="s">
        <v>839</v>
      </c>
      <c r="BX48" s="29" t="s">
        <v>840</v>
      </c>
      <c r="BY48" s="29" t="s">
        <v>841</v>
      </c>
      <c r="BZ48" s="29" t="s">
        <v>842</v>
      </c>
      <c r="CA48" s="29" t="s">
        <v>843</v>
      </c>
      <c r="CB48" s="29" t="s">
        <v>197</v>
      </c>
      <c r="CC48" s="29" t="s">
        <v>152</v>
      </c>
      <c r="CD48" s="29" t="s">
        <v>835</v>
      </c>
      <c r="CE48" s="29" t="s">
        <v>836</v>
      </c>
      <c r="CF48" s="29" t="s">
        <v>837</v>
      </c>
      <c r="CG48" s="29" t="s">
        <v>838</v>
      </c>
      <c r="CH48" s="29" t="s">
        <v>839</v>
      </c>
      <c r="CI48" s="29" t="s">
        <v>840</v>
      </c>
      <c r="CJ48" s="29" t="s">
        <v>841</v>
      </c>
      <c r="CK48" s="29" t="s">
        <v>842</v>
      </c>
      <c r="CL48" s="29" t="s">
        <v>843</v>
      </c>
      <c r="CM48" s="29" t="s">
        <v>197</v>
      </c>
      <c r="CN48" s="29" t="s">
        <v>343</v>
      </c>
      <c r="CR48" s="29" t="s">
        <v>478</v>
      </c>
      <c r="CS48" s="29" t="s">
        <v>844</v>
      </c>
      <c r="CT48" s="29" t="s">
        <v>845</v>
      </c>
      <c r="CV48" s="29" t="s">
        <v>478</v>
      </c>
      <c r="CW48" s="29" t="s">
        <v>304</v>
      </c>
      <c r="CX48" s="29"/>
      <c r="CY48" s="29"/>
      <c r="CZ48" s="29" t="s">
        <v>203</v>
      </c>
    </row>
    <row r="49" spans="21:104" x14ac:dyDescent="0.15">
      <c r="U49" s="29">
        <v>7</v>
      </c>
      <c r="V49" s="29">
        <v>200</v>
      </c>
      <c r="W49" s="29"/>
      <c r="X49" s="29"/>
      <c r="Y49" s="29"/>
      <c r="Z49" s="29"/>
      <c r="AA49" s="29">
        <f t="shared" si="20"/>
        <v>200</v>
      </c>
      <c r="AB49" s="29">
        <f>SUMPRODUCT($AA$43:$AA49,$X$7:$X13)*$V$2</f>
        <v>2220</v>
      </c>
      <c r="AC49" s="17">
        <f t="shared" si="21"/>
        <v>200</v>
      </c>
      <c r="AY49" s="17">
        <v>40</v>
      </c>
      <c r="AZ49" s="17">
        <f>求节点(基础状态预期!$D$17:$D$55,基础状态预期!$AI$17:$AI$55,$AY49)*求节点(基础状态预期!$D$17:$D$55,基础状态预期!$J$17:$J$55,$AY49)*$AB$49</f>
        <v>0</v>
      </c>
      <c r="BA49" s="17">
        <f>求节点(基础状态预期!$D$62:$D$100,基础状态预期!$AI$62:$AI$100,$AY49)*求节点(基础状态预期!$D$62:$D$100,基础状态预期!$J$62:$J$100,$AY49)*$AB$49</f>
        <v>0</v>
      </c>
      <c r="BB49" s="17">
        <f>求节点(基础状态预期!$D$107:$D$145,基础状态预期!$AI$107:$AI$145,$AY49)*求节点(基础状态预期!$D$107:$D$145,基础状态预期!$J$107:$J$145,$AY49)*$AB$49</f>
        <v>0</v>
      </c>
      <c r="BC49" s="17">
        <f>求节点(基础状态预期!$D$152:$D$190,基础状态预期!$AI$152:$AI$190,$AY49)*求节点(基础状态预期!$D$62:$D$100,基础状态预期!$J$152:$J$190,$AY49)*$AB$49</f>
        <v>0</v>
      </c>
      <c r="BD49" s="17">
        <f>求节点(基础状态预期!$D$197:$D$235,基础状态预期!$AI$197:$AI$235,$AY49)*求节点(基础状态预期!$D$197:$D$235,基础状态预期!$J$197:$J$235,$AY49)*$AB$49</f>
        <v>0</v>
      </c>
      <c r="BQ49" s="29">
        <v>10</v>
      </c>
      <c r="BR49" s="29">
        <f>求节点(基础状态预期!$D$17:$D$55,基础状态预期!$AI$17:$AI$55,$BQ49)*SUM($AR$6:$AT$6)/3</f>
        <v>0</v>
      </c>
      <c r="BS49" s="29">
        <f>求节点(基础状态预期!$D$17:$D$55,基础状态预期!$AI$17:$AI$55,$BQ49)*AH$6</f>
        <v>0</v>
      </c>
      <c r="BT49" s="145">
        <f>BS49</f>
        <v>0</v>
      </c>
      <c r="BU49" s="29">
        <f>求节点(基础状态预期!$D$17:$D$55,基础状态预期!$AI$17:$AI$55,$BQ49)*AI$6</f>
        <v>0</v>
      </c>
      <c r="BV49" s="145">
        <f>BU49</f>
        <v>0</v>
      </c>
      <c r="BW49" s="29">
        <f>求节点(基础状态预期!$D$17:$D$55,基础状态预期!$AI$17:$AI$55,$BQ49)*$AU$6</f>
        <v>0</v>
      </c>
      <c r="BX49" s="29">
        <f>求节点(基础状态预期!$D$17:$D$55,基础状态预期!$AI$17:$AI$55,$BQ49)*$AJ$6</f>
        <v>0</v>
      </c>
      <c r="BY49" s="145">
        <f t="shared" ref="BY49" si="22">BX49</f>
        <v>0</v>
      </c>
      <c r="BZ49" s="29">
        <f>求节点(基础状态预期!$D$17:$D$55,基础状态预期!$AI$17:$AI$55,$BQ49)*$AK$6</f>
        <v>0</v>
      </c>
      <c r="CA49" s="145">
        <f t="shared" ref="CA49" si="23">BZ49</f>
        <v>0</v>
      </c>
      <c r="CB49" s="29">
        <f>求节点(基础状态预期!$D$17:$D$55,基础状态预期!$AI$17:$AI$55,$BQ49)*$W$60</f>
        <v>0</v>
      </c>
      <c r="CC49" s="41">
        <f>$BR49*(INDEX([2]小r将兵属性验证!$V$7:$V$166,$BQ49,1)+INDEX([2]小r将兵属性验证!$AP$7:$AP$166,$BQ49,1))</f>
        <v>0</v>
      </c>
      <c r="CD49" s="41">
        <f>$BS49*INDEX([2]小r将兵属性验证!W$7:W$166,$BQ49,1)</f>
        <v>0</v>
      </c>
      <c r="CE49" s="41">
        <f>BT49*INDEX([2]小r将兵属性验证!X$7:X$166,$BQ49,1)</f>
        <v>0</v>
      </c>
      <c r="CF49" s="41">
        <f>BU49*INDEX([2]小r将兵属性验证!$AQ$7:$AQ$166,$BQ49)</f>
        <v>0</v>
      </c>
      <c r="CG49" s="41">
        <f>BV49*INDEX([2]小r将兵属性验证!$AR$7:$AR$166,$BQ49)</f>
        <v>0</v>
      </c>
      <c r="CH49" s="41">
        <f>BW49*INDEX([2]小r将兵属性验证!$AM$7:$AM$166,$BQ49,1)</f>
        <v>0</v>
      </c>
      <c r="CI49" s="41">
        <f>BX49*INDEX([2]小r将兵属性验证!$AA$7:$AA$166,$BQ49,1)</f>
        <v>0</v>
      </c>
      <c r="CJ49" s="41">
        <f>BY49*INDEX([2]小r将兵属性验证!$AB$7:$AB$166,$BQ49,1)</f>
        <v>0</v>
      </c>
      <c r="CK49" s="41">
        <f>BZ49*INDEX([2]小r将兵属性验证!$AU$7:$AU$166,$BQ49,1)</f>
        <v>0</v>
      </c>
      <c r="CL49" s="41">
        <f>CA49*INDEX([2]小r将兵属性验证!$AV$7:$AV$166,$BQ49,1)</f>
        <v>0</v>
      </c>
      <c r="CM49" s="41">
        <f>CB49*(INDEX([2]小r将兵属性验证!$AC$7:$AC$166,$BQ49,1)*[2]战法技能效用!$AH$4+INDEX([2]小r将兵属性验证!$AX$7:$AX$166,$BQ49,1)*[2]战法技能效用!$AI$4)</f>
        <v>0</v>
      </c>
      <c r="CN49" s="29">
        <f t="shared" ref="CN49:CN58" si="24">SUM(CC49:CM49)</f>
        <v>0</v>
      </c>
      <c r="CR49" s="29">
        <f>基础状态预期!D62</f>
        <v>9.9592453074578113</v>
      </c>
      <c r="CS49" s="29">
        <f>IF(基础状态预期!AI62="",0,基础状态预期!AI62)*$AB$37*基础状态预期!J62</f>
        <v>0</v>
      </c>
      <c r="CT49" s="29">
        <f>CS49*武将数量星级阶位验证!$E$7*1.8</f>
        <v>0</v>
      </c>
      <c r="CV49" s="29">
        <v>10</v>
      </c>
      <c r="CW49" s="29">
        <f>求节点($CR$49:$CR$87,CT$49:CT$87,$CV49)</f>
        <v>0</v>
      </c>
      <c r="CX49" s="29"/>
      <c r="CY49" s="29"/>
      <c r="CZ49" s="29">
        <f>SUM(CW49:CY49)</f>
        <v>0</v>
      </c>
    </row>
    <row r="50" spans="21:104" x14ac:dyDescent="0.15">
      <c r="AY50" s="17">
        <v>41</v>
      </c>
      <c r="AZ50" s="17">
        <f>求节点(基础状态预期!$D$17:$D$55,基础状态预期!$AI$17:$AI$55,$AY50)*求节点(基础状态预期!$D$17:$D$55,基础状态预期!$J$17:$J$55,$AY50)*$AB$49</f>
        <v>0</v>
      </c>
      <c r="BA50" s="17">
        <f>求节点(基础状态预期!$D$62:$D$100,基础状态预期!$AI$62:$AI$100,$AY50)*求节点(基础状态预期!$D$62:$D$100,基础状态预期!$J$62:$J$100,$AY50)*$AB$49</f>
        <v>0</v>
      </c>
      <c r="BB50" s="17">
        <f>求节点(基础状态预期!$D$107:$D$145,基础状态预期!$AI$107:$AI$145,$AY50)*求节点(基础状态预期!$D$107:$D$145,基础状态预期!$J$107:$J$145,$AY50)*$AB$49</f>
        <v>0</v>
      </c>
      <c r="BC50" s="17">
        <f>求节点(基础状态预期!$D$152:$D$190,基础状态预期!$AI$152:$AI$190,$AY50)*求节点(基础状态预期!$D$62:$D$100,基础状态预期!$J$152:$J$190,$AY50)*$AB$49</f>
        <v>0</v>
      </c>
      <c r="BD50" s="17">
        <f>求节点(基础状态预期!$D$197:$D$235,基础状态预期!$AI$197:$AI$235,$AY50)*求节点(基础状态预期!$D$197:$D$235,基础状态预期!$J$197:$J$235,$AY50)*$AB$49</f>
        <v>0</v>
      </c>
      <c r="BQ50" s="29">
        <v>20</v>
      </c>
      <c r="BR50" s="29">
        <f>求节点(基础状态预期!$D$17:$D$55,基础状态预期!$AI$17:$AI$55,$BQ50)*SUM($AR$6:$AT$6)/3</f>
        <v>0</v>
      </c>
      <c r="BS50" s="29">
        <f>求节点(基础状态预期!$D$17:$D$55,基础状态预期!$AI$17:$AI$55,$BQ50)*AH$6</f>
        <v>0</v>
      </c>
      <c r="BT50" s="145">
        <f t="shared" ref="BT50:BT64" si="25">BS50</f>
        <v>0</v>
      </c>
      <c r="BU50" s="29">
        <f>求节点(基础状态预期!$D$17:$D$55,基础状态预期!$AI$17:$AI$55,$BQ50)*AI$6</f>
        <v>0</v>
      </c>
      <c r="BV50" s="145">
        <f t="shared" ref="BV50:BV64" si="26">BU50</f>
        <v>0</v>
      </c>
      <c r="BW50" s="29">
        <f>求节点(基础状态预期!$D$17:$D$55,基础状态预期!$AI$17:$AI$55,$BQ50)*$AU$6</f>
        <v>0</v>
      </c>
      <c r="BX50" s="29">
        <f>求节点(基础状态预期!$D$17:$D$55,基础状态预期!$AI$17:$AI$55,$BQ50)*$AJ$6</f>
        <v>0</v>
      </c>
      <c r="BY50" s="145">
        <f t="shared" ref="BY50" si="27">BX50</f>
        <v>0</v>
      </c>
      <c r="BZ50" s="29">
        <f>求节点(基础状态预期!$D$17:$D$55,基础状态预期!$AI$17:$AI$55,$BQ50)*$AK$6</f>
        <v>0</v>
      </c>
      <c r="CA50" s="145">
        <f t="shared" ref="CA50" si="28">BZ50</f>
        <v>0</v>
      </c>
      <c r="CB50" s="29">
        <f>求节点(基础状态预期!$D$17:$D$55,基础状态预期!$AI$17:$AI$55,$BQ50)*$W$60</f>
        <v>0</v>
      </c>
      <c r="CC50" s="29">
        <f>($BR50-$BR49)*(INDEX([2]小r将兵属性验证!$V$7:$V$166,$BQ50,1)+INDEX([2]小r将兵属性验证!$AP$7:$AP$166,$BQ50,1))+CC49</f>
        <v>0</v>
      </c>
      <c r="CD50" s="29">
        <f>($BS50-$BS49)*INDEX([2]小r将兵属性验证!W$7:W$166,$BQ50,1)+CD49</f>
        <v>0</v>
      </c>
      <c r="CE50" s="29">
        <f>(BT50-$BT49)*INDEX([2]小r将兵属性验证!X$7:X$166,$BQ50,1)+CE49</f>
        <v>0</v>
      </c>
      <c r="CF50" s="29">
        <f>(BU50-BU49)*INDEX([2]小r将兵属性验证!$AQ$7:$AQ$166,$BQ50)+CF49</f>
        <v>0</v>
      </c>
      <c r="CG50" s="29">
        <f>(BV50-BV49)*INDEX([2]小r将兵属性验证!$AR$7:$AR$166,$BQ50)+CG49</f>
        <v>0</v>
      </c>
      <c r="CH50" s="29">
        <f>(BW50-BW49)*INDEX([2]小r将兵属性验证!$AM$7:$AM$166,$BQ50,1)+CH49</f>
        <v>0</v>
      </c>
      <c r="CI50" s="29">
        <f>(BX50-BX49)*INDEX([2]小r将兵属性验证!$AA$7:$AA$166,$BQ50,1)+CI49</f>
        <v>0</v>
      </c>
      <c r="CJ50" s="29">
        <f>(BY50-BY49)*INDEX([2]小r将兵属性验证!$AB$7:$AB$166,$BQ50,1)+CJ49</f>
        <v>0</v>
      </c>
      <c r="CK50" s="29">
        <f>(BZ50-BZ49)*INDEX([2]小r将兵属性验证!$AU$7:$AU$166,$BQ50,1)+CK49</f>
        <v>0</v>
      </c>
      <c r="CL50" s="29">
        <f>(CA50-CA49)*INDEX([2]小r将兵属性验证!$AV$7:$AV$166,$BQ50,1)+CL49</f>
        <v>0</v>
      </c>
      <c r="CM50" s="29">
        <f>(CB50-CB49)*(INDEX([2]小r将兵属性验证!$AC$7:$AC$166,$BQ50,1)*[2]战法技能效用!$AH$4+INDEX([2]小r将兵属性验证!$AX$7:$AX$166,$BQ50,1)*[2]战法技能效用!$AI$4)+CM49</f>
        <v>0</v>
      </c>
      <c r="CN50" s="29">
        <f t="shared" si="24"/>
        <v>0</v>
      </c>
      <c r="CR50" s="29">
        <f>基础状态预期!D63</f>
        <v>19.766822802328868</v>
      </c>
      <c r="CS50" s="29">
        <f>IF(基础状态预期!AI63="",0,基础状态预期!AI63)*$AB$37*基础状态预期!J63</f>
        <v>0</v>
      </c>
      <c r="CT50" s="29">
        <f>CS50*武将数量星级阶位验证!$E$7*1.8</f>
        <v>0</v>
      </c>
      <c r="CV50" s="29">
        <v>20</v>
      </c>
      <c r="CW50" s="29">
        <f t="shared" ref="CW50:CW64" si="29">求节点($CR$49:$CR$87,CT$49:CT$87,$CV50)</f>
        <v>0</v>
      </c>
      <c r="CX50" s="29"/>
      <c r="CY50" s="29"/>
      <c r="CZ50" s="29">
        <f t="shared" ref="CZ50:CZ58" si="30">SUM(CW50:CY50)</f>
        <v>0</v>
      </c>
    </row>
    <row r="51" spans="21:104" x14ac:dyDescent="0.15">
      <c r="AB51" s="17">
        <f>AB49*6</f>
        <v>13320</v>
      </c>
      <c r="AY51" s="17">
        <v>42</v>
      </c>
      <c r="AZ51" s="17">
        <f>求节点(基础状态预期!$D$17:$D$55,基础状态预期!$AI$17:$AI$55,$AY51)*求节点(基础状态预期!$D$17:$D$55,基础状态预期!$J$17:$J$55,$AY51)*$AB$49</f>
        <v>0</v>
      </c>
      <c r="BA51" s="17">
        <f>求节点(基础状态预期!$D$62:$D$100,基础状态预期!$AI$62:$AI$100,$AY51)*求节点(基础状态预期!$D$62:$D$100,基础状态预期!$J$62:$J$100,$AY51)*$AB$49</f>
        <v>0</v>
      </c>
      <c r="BB51" s="17">
        <f>求节点(基础状态预期!$D$107:$D$145,基础状态预期!$AI$107:$AI$145,$AY51)*求节点(基础状态预期!$D$107:$D$145,基础状态预期!$J$107:$J$145,$AY51)*$AB$49</f>
        <v>0</v>
      </c>
      <c r="BC51" s="17">
        <f>求节点(基础状态预期!$D$152:$D$190,基础状态预期!$AI$152:$AI$190,$AY51)*求节点(基础状态预期!$D$62:$D$100,基础状态预期!$J$152:$J$190,$AY51)*$AB$49</f>
        <v>0</v>
      </c>
      <c r="BD51" s="17">
        <f>求节点(基础状态预期!$D$197:$D$235,基础状态预期!$AI$197:$AI$235,$AY51)*求节点(基础状态预期!$D$197:$D$235,基础状态预期!$J$197:$J$235,$AY51)*$AB$49</f>
        <v>0</v>
      </c>
      <c r="BQ51" s="29">
        <v>30</v>
      </c>
      <c r="BR51" s="29">
        <f>求节点(基础状态预期!$D$17:$D$55,基础状态预期!$AI$17:$AI$55,$BQ51)*SUM($AR$6:$AT$6)/3</f>
        <v>0</v>
      </c>
      <c r="BS51" s="29">
        <f>求节点(基础状态预期!$D$17:$D$55,基础状态预期!$AI$17:$AI$55,$BQ51)*AH$6</f>
        <v>0</v>
      </c>
      <c r="BT51" s="145">
        <f t="shared" si="25"/>
        <v>0</v>
      </c>
      <c r="BU51" s="29">
        <f>求节点(基础状态预期!$D$17:$D$55,基础状态预期!$AI$17:$AI$55,$BQ51)*AI$6</f>
        <v>0</v>
      </c>
      <c r="BV51" s="145">
        <f t="shared" si="26"/>
        <v>0</v>
      </c>
      <c r="BW51" s="29">
        <f>求节点(基础状态预期!$D$17:$D$55,基础状态预期!$AI$17:$AI$55,$BQ51)*$AU$6</f>
        <v>0</v>
      </c>
      <c r="BX51" s="29">
        <f>求节点(基础状态预期!$D$17:$D$55,基础状态预期!$AI$17:$AI$55,$BQ51)*$AJ$6</f>
        <v>0</v>
      </c>
      <c r="BY51" s="145">
        <f t="shared" ref="BY51" si="31">BX51</f>
        <v>0</v>
      </c>
      <c r="BZ51" s="29">
        <f>求节点(基础状态预期!$D$17:$D$55,基础状态预期!$AI$17:$AI$55,$BQ51)*$AK$6</f>
        <v>0</v>
      </c>
      <c r="CA51" s="145">
        <f t="shared" ref="CA51" si="32">BZ51</f>
        <v>0</v>
      </c>
      <c r="CB51" s="29">
        <f>求节点(基础状态预期!$D$17:$D$55,基础状态预期!$AI$17:$AI$55,$BQ51)*$W$60</f>
        <v>0</v>
      </c>
      <c r="CC51" s="29">
        <f>($BR51-$BR50)*(INDEX([2]小r将兵属性验证!$V$7:$V$166,$BQ51,1)+INDEX([2]小r将兵属性验证!$AP$7:$AP$166,$BQ51,1))+CC50</f>
        <v>0</v>
      </c>
      <c r="CD51" s="29">
        <f>($BS51-$BS50)*INDEX([2]小r将兵属性验证!W$7:W$166,$BQ51,1)+CD50</f>
        <v>0</v>
      </c>
      <c r="CE51" s="29">
        <f>(BT51-$BT50)*INDEX([2]小r将兵属性验证!X$7:X$166,$BQ51,1)+CE50</f>
        <v>0</v>
      </c>
      <c r="CF51" s="29">
        <f>(BU51-BU50)*INDEX([2]小r将兵属性验证!$AQ$7:$AQ$166,$BQ51)+CF50</f>
        <v>0</v>
      </c>
      <c r="CG51" s="29">
        <f>(BV51-BV50)*INDEX([2]小r将兵属性验证!$AR$7:$AR$166,$BQ51)+CG50</f>
        <v>0</v>
      </c>
      <c r="CH51" s="29">
        <f>(BW51-BW50)*INDEX([2]小r将兵属性验证!$AM$7:$AM$166,$BQ51,1)+CH50</f>
        <v>0</v>
      </c>
      <c r="CI51" s="29">
        <f>(BX51-BX50)*INDEX([2]小r将兵属性验证!$AA$7:$AA$166,$BQ51,1)+CI50</f>
        <v>0</v>
      </c>
      <c r="CJ51" s="29">
        <f>(BY51-BY50)*INDEX([2]小r将兵属性验证!$AB$7:$AB$166,$BQ51,1)+CJ50</f>
        <v>0</v>
      </c>
      <c r="CK51" s="29">
        <f>(BZ51-BZ50)*INDEX([2]小r将兵属性验证!$AU$7:$AU$166,$BQ51,1)+CK50</f>
        <v>0</v>
      </c>
      <c r="CL51" s="29">
        <f>(CA51-CA50)*INDEX([2]小r将兵属性验证!$AV$7:$AV$166,$BQ51,1)+CL50</f>
        <v>0</v>
      </c>
      <c r="CM51" s="29">
        <f>(CB51-CB50)*(INDEX([2]小r将兵属性验证!$AC$7:$AC$166,$BQ51,1)*[2]战法技能效用!$AH$4+INDEX([2]小r将兵属性验证!$AX$7:$AX$166,$BQ51,1)*[2]战法技能效用!$AI$4)+CM50</f>
        <v>0</v>
      </c>
      <c r="CN51" s="29">
        <f t="shared" si="24"/>
        <v>0</v>
      </c>
      <c r="CR51" s="29">
        <f>基础状态预期!D64</f>
        <v>27.773265580596355</v>
      </c>
      <c r="CS51" s="29">
        <f>IF(基础状态预期!AI64="",0,基础状态预期!AI64)*$AB$37*基础状态预期!J64</f>
        <v>0</v>
      </c>
      <c r="CT51" s="29">
        <f>CS51*武将数量星级阶位验证!$E$7*1.8</f>
        <v>0</v>
      </c>
      <c r="CV51" s="29">
        <v>30</v>
      </c>
      <c r="CW51" s="29">
        <f t="shared" si="29"/>
        <v>0</v>
      </c>
      <c r="CX51" s="29"/>
      <c r="CY51" s="29"/>
      <c r="CZ51" s="29">
        <f t="shared" si="30"/>
        <v>0</v>
      </c>
    </row>
    <row r="52" spans="21:104" x14ac:dyDescent="0.15">
      <c r="V52" s="161" t="s">
        <v>830</v>
      </c>
      <c r="W52" s="163"/>
      <c r="AY52" s="17">
        <v>43</v>
      </c>
      <c r="AZ52" s="17">
        <f>求节点(基础状态预期!$D$17:$D$55,基础状态预期!$AI$17:$AI$55,$AY52)*求节点(基础状态预期!$D$17:$D$55,基础状态预期!$J$17:$J$55,$AY52)*$AB$49</f>
        <v>0</v>
      </c>
      <c r="BA52" s="17">
        <f>求节点(基础状态预期!$D$62:$D$100,基础状态预期!$AI$62:$AI$100,$AY52)*求节点(基础状态预期!$D$62:$D$100,基础状态预期!$J$62:$J$100,$AY52)*$AB$49</f>
        <v>0</v>
      </c>
      <c r="BB52" s="17">
        <f>求节点(基础状态预期!$D$107:$D$145,基础状态预期!$AI$107:$AI$145,$AY52)*求节点(基础状态预期!$D$107:$D$145,基础状态预期!$J$107:$J$145,$AY52)*$AB$49</f>
        <v>0</v>
      </c>
      <c r="BC52" s="17">
        <f>求节点(基础状态预期!$D$152:$D$190,基础状态预期!$AI$152:$AI$190,$AY52)*求节点(基础状态预期!$D$62:$D$100,基础状态预期!$J$152:$J$190,$AY52)*$AB$49</f>
        <v>0</v>
      </c>
      <c r="BD52" s="17">
        <f>求节点(基础状态预期!$D$197:$D$235,基础状态预期!$AI$197:$AI$235,$AY52)*求节点(基础状态预期!$D$197:$D$235,基础状态预期!$J$197:$J$235,$AY52)*$AB$49</f>
        <v>0</v>
      </c>
      <c r="BQ52" s="29">
        <v>40</v>
      </c>
      <c r="BR52" s="29">
        <f>求节点(基础状态预期!$D$17:$D$55,基础状态预期!$AI$17:$AI$55,$BQ52)*SUM($AR$6:$AT$6)/3</f>
        <v>0</v>
      </c>
      <c r="BS52" s="29">
        <f>求节点(基础状态预期!$D$17:$D$55,基础状态预期!$AI$17:$AI$55,$BQ52)*AH$6</f>
        <v>0</v>
      </c>
      <c r="BT52" s="145">
        <f t="shared" si="25"/>
        <v>0</v>
      </c>
      <c r="BU52" s="29">
        <f>求节点(基础状态预期!$D$17:$D$55,基础状态预期!$AI$17:$AI$55,$BQ52)*AI$6</f>
        <v>0</v>
      </c>
      <c r="BV52" s="145">
        <f t="shared" si="26"/>
        <v>0</v>
      </c>
      <c r="BW52" s="29">
        <f>求节点(基础状态预期!$D$17:$D$55,基础状态预期!$AI$17:$AI$55,$BQ52)*$AU$6</f>
        <v>0</v>
      </c>
      <c r="BX52" s="29">
        <f>求节点(基础状态预期!$D$17:$D$55,基础状态预期!$AI$17:$AI$55,$BQ52)*$AJ$6</f>
        <v>0</v>
      </c>
      <c r="BY52" s="145">
        <f t="shared" ref="BY52" si="33">BX52</f>
        <v>0</v>
      </c>
      <c r="BZ52" s="29">
        <f>求节点(基础状态预期!$D$17:$D$55,基础状态预期!$AI$17:$AI$55,$BQ52)*$AK$6</f>
        <v>0</v>
      </c>
      <c r="CA52" s="145">
        <f t="shared" ref="CA52" si="34">BZ52</f>
        <v>0</v>
      </c>
      <c r="CB52" s="29">
        <f>求节点(基础状态预期!$D$17:$D$55,基础状态预期!$AI$17:$AI$55,$BQ52)*$W$60</f>
        <v>0</v>
      </c>
      <c r="CC52" s="29">
        <f>($BR52-$BR51)*(INDEX([2]小r将兵属性验证!$V$7:$V$166,$BQ52,1)+INDEX([2]小r将兵属性验证!$AP$7:$AP$166,$BQ52,1))+CC51</f>
        <v>0</v>
      </c>
      <c r="CD52" s="29">
        <f>($BS52-$BS51)*INDEX([2]小r将兵属性验证!W$7:W$166,$BQ52,1)+CD51</f>
        <v>0</v>
      </c>
      <c r="CE52" s="29">
        <f>(BT52-$BT51)*INDEX([2]小r将兵属性验证!X$7:X$166,$BQ52,1)+CE51</f>
        <v>0</v>
      </c>
      <c r="CF52" s="29">
        <f>(BU52-BU51)*INDEX([2]小r将兵属性验证!$AQ$7:$AQ$166,$BQ52)+CF51</f>
        <v>0</v>
      </c>
      <c r="CG52" s="29">
        <f>(BV52-BV51)*INDEX([2]小r将兵属性验证!$AR$7:$AR$166,$BQ52)+CG51</f>
        <v>0</v>
      </c>
      <c r="CH52" s="29">
        <f>(BW52-BW51)*INDEX([2]小r将兵属性验证!$AM$7:$AM$166,$BQ52,1)+CH51</f>
        <v>0</v>
      </c>
      <c r="CI52" s="29">
        <f>(BX52-BX51)*INDEX([2]小r将兵属性验证!$AA$7:$AA$166,$BQ52,1)+CI51</f>
        <v>0</v>
      </c>
      <c r="CJ52" s="29">
        <f>(BY52-BY51)*INDEX([2]小r将兵属性验证!$AB$7:$AB$166,$BQ52,1)+CJ51</f>
        <v>0</v>
      </c>
      <c r="CK52" s="29">
        <f>(BZ52-BZ51)*INDEX([2]小r将兵属性验证!$AU$7:$AU$166,$BQ52,1)+CK51</f>
        <v>0</v>
      </c>
      <c r="CL52" s="29">
        <f>(CA52-CA51)*INDEX([2]小r将兵属性验证!$AV$7:$AV$166,$BQ52,1)+CL51</f>
        <v>0</v>
      </c>
      <c r="CM52" s="29">
        <f>(CB52-CB51)*(INDEX([2]小r将兵属性验证!$AC$7:$AC$166,$BQ52,1)*[2]战法技能效用!$AH$4+INDEX([2]小r将兵属性验证!$AX$7:$AX$166,$BQ52,1)*[2]战法技能效用!$AI$4)+CM51</f>
        <v>0</v>
      </c>
      <c r="CN52" s="29">
        <f t="shared" si="24"/>
        <v>0</v>
      </c>
      <c r="CR52" s="29">
        <f>基础状态预期!D65</f>
        <v>34.250806171891597</v>
      </c>
      <c r="CS52" s="29">
        <f>IF(基础状态预期!AI65="",0,基础状态预期!AI65)*$AB$37*基础状态预期!J65</f>
        <v>0</v>
      </c>
      <c r="CT52" s="29">
        <f>CS52*武将数量星级阶位验证!$E$7*1.8</f>
        <v>0</v>
      </c>
      <c r="CV52" s="29">
        <v>40</v>
      </c>
      <c r="CW52" s="29">
        <f t="shared" si="29"/>
        <v>0</v>
      </c>
      <c r="CX52" s="29"/>
      <c r="CY52" s="29"/>
      <c r="CZ52" s="29">
        <f t="shared" si="30"/>
        <v>0</v>
      </c>
    </row>
    <row r="53" spans="21:104" x14ac:dyDescent="0.15">
      <c r="U53" s="29" t="s">
        <v>781</v>
      </c>
      <c r="V53" s="29" t="s">
        <v>833</v>
      </c>
      <c r="W53" s="29" t="s">
        <v>834</v>
      </c>
      <c r="AY53" s="17">
        <v>44</v>
      </c>
      <c r="AZ53" s="17">
        <f>求节点(基础状态预期!$D$17:$D$55,基础状态预期!$AI$17:$AI$55,$AY53)*求节点(基础状态预期!$D$17:$D$55,基础状态预期!$J$17:$J$55,$AY53)*$AB$49</f>
        <v>0</v>
      </c>
      <c r="BA53" s="17">
        <f>求节点(基础状态预期!$D$62:$D$100,基础状态预期!$AI$62:$AI$100,$AY53)*求节点(基础状态预期!$D$62:$D$100,基础状态预期!$J$62:$J$100,$AY53)*$AB$49</f>
        <v>0</v>
      </c>
      <c r="BB53" s="17">
        <f>求节点(基础状态预期!$D$107:$D$145,基础状态预期!$AI$107:$AI$145,$AY53)*求节点(基础状态预期!$D$107:$D$145,基础状态预期!$J$107:$J$145,$AY53)*$AB$49</f>
        <v>0</v>
      </c>
      <c r="BC53" s="17">
        <f>求节点(基础状态预期!$D$152:$D$190,基础状态预期!$AI$152:$AI$190,$AY53)*求节点(基础状态预期!$D$62:$D$100,基础状态预期!$J$152:$J$190,$AY53)*$AB$49</f>
        <v>0</v>
      </c>
      <c r="BD53" s="17">
        <f>求节点(基础状态预期!$D$197:$D$235,基础状态预期!$AI$197:$AI$235,$AY53)*求节点(基础状态预期!$D$197:$D$235,基础状态预期!$J$197:$J$235,$AY53)*$AB$49</f>
        <v>0</v>
      </c>
      <c r="BQ53" s="29">
        <v>50</v>
      </c>
      <c r="BR53" s="29">
        <f>求节点(基础状态预期!$D$17:$D$55,基础状态预期!$AI$17:$AI$55,$BQ53)*SUM($AR$6:$AT$6)/3</f>
        <v>1.7400591500465808E-2</v>
      </c>
      <c r="BS53" s="29">
        <f>求节点(基础状态预期!$D$17:$D$55,基础状态预期!$AI$17:$AI$55,$BQ53)*AH$6</f>
        <v>1.087536968779113</v>
      </c>
      <c r="BT53" s="145">
        <f t="shared" si="25"/>
        <v>1.087536968779113</v>
      </c>
      <c r="BU53" s="29">
        <f>求节点(基础状态预期!$D$17:$D$55,基础状态预期!$AI$17:$AI$55,$BQ53)*AI$6</f>
        <v>5.2201774501397423E-2</v>
      </c>
      <c r="BV53" s="145">
        <f t="shared" si="26"/>
        <v>5.2201774501397423E-2</v>
      </c>
      <c r="BW53" s="29">
        <f>求节点(基础状态预期!$D$17:$D$55,基础状态预期!$AI$17:$AI$55,$BQ53)*$AU$6</f>
        <v>0.21750739375582259</v>
      </c>
      <c r="BX53" s="29">
        <f>求节点(基础状态预期!$D$17:$D$55,基础状态预期!$AI$17:$AI$55,$BQ53)*$AJ$6</f>
        <v>5.220177450139742E-5</v>
      </c>
      <c r="BY53" s="145">
        <f t="shared" ref="BY53" si="35">BX53</f>
        <v>5.220177450139742E-5</v>
      </c>
      <c r="BZ53" s="29">
        <f>求节点(基础状态预期!$D$17:$D$55,基础状态预期!$AI$17:$AI$55,$BQ53)*$AK$6</f>
        <v>4.3501478751164522E-5</v>
      </c>
      <c r="CA53" s="145">
        <f t="shared" ref="CA53" si="36">BZ53</f>
        <v>4.3501478751164522E-5</v>
      </c>
      <c r="CB53" s="29">
        <f>求节点(基础状态预期!$D$17:$D$55,基础状态预期!$AI$17:$AI$55,$BQ53)*$W$60</f>
        <v>2.6100887250698714E-4</v>
      </c>
      <c r="CC53" s="29">
        <f>($BR53-$BR52)*(INDEX([2]小r将兵属性验证!$V$7:$V$166,$BQ53,1)+INDEX([2]小r将兵属性验证!$AP$7:$AP$166,$BQ53,1))+CC52</f>
        <v>299647.13290870993</v>
      </c>
      <c r="CD53" s="29">
        <f>($BS53-$BS52)*INDEX([2]小r将兵属性验证!W$7:W$166,$BQ53,1)+CD52</f>
        <v>236461.92699678836</v>
      </c>
      <c r="CE53" s="29">
        <f>(BT53-$BT52)*INDEX([2]小r将兵属性验证!X$7:X$166,$BQ53,1)+CE52</f>
        <v>236461.92699678836</v>
      </c>
      <c r="CF53" s="29">
        <f>(BU53-BU52)*INDEX([2]小r将兵属性验证!$AQ$7:$AQ$166,$BQ53)+CF52</f>
        <v>106083.12506563323</v>
      </c>
      <c r="CG53" s="29">
        <f>(BV53-BV52)*INDEX([2]小r将兵属性验证!$AR$7:$AR$166,$BQ53)+CG52</f>
        <v>106083.12506563323</v>
      </c>
      <c r="CH53" s="29">
        <f>(BW53-BW52)*INDEX([2]小r将兵属性验证!$AM$7:$AM$166,$BQ53,1)+CH52</f>
        <v>1086.9800735082049</v>
      </c>
      <c r="CI53" s="29">
        <f>(BX53-BX52)*INDEX([2]小r将兵属性验证!$AA$7:$AA$166,$BQ53,1)+CI52</f>
        <v>75281.294958499027</v>
      </c>
      <c r="CJ53" s="29">
        <f>(BY53-BY52)*INDEX([2]小r将兵属性验证!$AB$7:$AB$166,$BQ53,1)+CJ52</f>
        <v>75281.294958499027</v>
      </c>
      <c r="CK53" s="29">
        <f>(BZ53-BZ52)*INDEX([2]小r将兵属性验证!$AU$7:$AU$166,$BQ53,1)+CK52</f>
        <v>44429.550940024536</v>
      </c>
      <c r="CL53" s="29">
        <f>(CA53-CA52)*INDEX([2]小r将兵属性验证!$AV$7:$AV$166,$BQ53,1)+CL52</f>
        <v>44429.550940024536</v>
      </c>
      <c r="CM53" s="29">
        <f>(CB53-CB52)*(INDEX([2]小r将兵属性验证!$AC$7:$AC$166,$BQ53,1)*[2]战法技能效用!$AH$4+INDEX([2]小r将兵属性验证!$AX$7:$AX$166,$BQ53,1)*[2]战法技能效用!$AI$4)+CM52</f>
        <v>397228.63936452684</v>
      </c>
      <c r="CN53" s="29">
        <f t="shared" si="24"/>
        <v>1622474.5482686351</v>
      </c>
      <c r="CR53" s="29">
        <f>基础状态预期!D66</f>
        <v>39.661158518499626</v>
      </c>
      <c r="CS53" s="29">
        <f>IF(基础状态预期!AI66="",0,基础状态预期!AI66)*$AB$37*基础状态预期!J66</f>
        <v>0</v>
      </c>
      <c r="CT53" s="29">
        <f>CS53*武将数量星级阶位验证!$E$7*1.8</f>
        <v>0</v>
      </c>
      <c r="CV53" s="29">
        <v>50</v>
      </c>
      <c r="CW53" s="29">
        <f t="shared" si="29"/>
        <v>142.22261266541196</v>
      </c>
      <c r="CX53" s="29"/>
      <c r="CY53" s="29"/>
      <c r="CZ53" s="29">
        <f t="shared" si="30"/>
        <v>142.22261266541196</v>
      </c>
    </row>
    <row r="54" spans="21:104" x14ac:dyDescent="0.15">
      <c r="U54" s="29">
        <v>1</v>
      </c>
      <c r="V54" s="29"/>
      <c r="W54" s="37">
        <f>SUM($V$54:V54)*$V$2</f>
        <v>0</v>
      </c>
      <c r="AY54" s="17">
        <v>45</v>
      </c>
      <c r="AZ54" s="17">
        <f>求节点(基础状态预期!$D$17:$D$55,基础状态预期!$AI$17:$AI$55,$AY54)*求节点(基础状态预期!$D$17:$D$55,基础状态预期!$J$17:$J$55,$AY54)*$AB$49</f>
        <v>0</v>
      </c>
      <c r="BA54" s="17">
        <f>求节点(基础状态预期!$D$62:$D$100,基础状态预期!$AI$62:$AI$100,$AY54)*求节点(基础状态预期!$D$62:$D$100,基础状态预期!$J$62:$J$100,$AY54)*$AB$49</f>
        <v>0</v>
      </c>
      <c r="BB54" s="17">
        <f>求节点(基础状态预期!$D$107:$D$145,基础状态预期!$AI$107:$AI$145,$AY54)*求节点(基础状态预期!$D$107:$D$145,基础状态预期!$J$107:$J$145,$AY54)*$AB$49</f>
        <v>0</v>
      </c>
      <c r="BC54" s="17">
        <f>求节点(基础状态预期!$D$152:$D$190,基础状态预期!$AI$152:$AI$190,$AY54)*求节点(基础状态预期!$D$62:$D$100,基础状态预期!$J$152:$J$190,$AY54)*$AB$49</f>
        <v>0</v>
      </c>
      <c r="BD54" s="17">
        <f>求节点(基础状态预期!$D$197:$D$235,基础状态预期!$AI$197:$AI$235,$AY54)*求节点(基础状态预期!$D$197:$D$235,基础状态预期!$J$197:$J$235,$AY54)*$AB$49</f>
        <v>0</v>
      </c>
      <c r="BQ54" s="29">
        <v>60</v>
      </c>
      <c r="BR54" s="29">
        <f>求节点(基础状态预期!$D$17:$D$55,基础状态预期!$AI$17:$AI$55,$BQ54)*SUM($AR$6:$AT$6)/3</f>
        <v>0.35447301003177478</v>
      </c>
      <c r="BS54" s="29">
        <f>求节点(基础状态预期!$D$17:$D$55,基础状态预期!$AI$17:$AI$55,$BQ54)*AH$6</f>
        <v>22.154563126985924</v>
      </c>
      <c r="BT54" s="145">
        <f t="shared" si="25"/>
        <v>22.154563126985924</v>
      </c>
      <c r="BU54" s="29">
        <f>求节点(基础状态预期!$D$17:$D$55,基础状态预期!$AI$17:$AI$55,$BQ54)*AI$6</f>
        <v>1.0634190300953243</v>
      </c>
      <c r="BV54" s="145">
        <f t="shared" si="26"/>
        <v>1.0634190300953243</v>
      </c>
      <c r="BW54" s="29">
        <f>求节点(基础状态预期!$D$17:$D$55,基础状态预期!$AI$17:$AI$55,$BQ54)*$AU$6</f>
        <v>4.4309126253971849</v>
      </c>
      <c r="BX54" s="29">
        <f>求节点(基础状态预期!$D$17:$D$55,基础状态预期!$AI$17:$AI$55,$BQ54)*$AJ$6</f>
        <v>1.0634190300953244E-3</v>
      </c>
      <c r="BY54" s="145">
        <f t="shared" ref="BY54" si="37">BX54</f>
        <v>1.0634190300953244E-3</v>
      </c>
      <c r="BZ54" s="29">
        <f>求节点(基础状态预期!$D$17:$D$55,基础状态预期!$AI$17:$AI$55,$BQ54)*$AK$6</f>
        <v>8.8618252507943708E-4</v>
      </c>
      <c r="CA54" s="145">
        <f t="shared" ref="CA54" si="38">BZ54</f>
        <v>8.8618252507943708E-4</v>
      </c>
      <c r="CB54" s="29">
        <f>求节点(基础状态预期!$D$17:$D$55,基础状态预期!$AI$17:$AI$55,$BQ54)*$W$60</f>
        <v>5.3170951504766225E-3</v>
      </c>
      <c r="CC54" s="29">
        <f>($BR54-$BR53)*(INDEX([2]小r将兵属性验证!$V$7:$V$166,$BQ54,1)+INDEX([2]小r将兵属性验证!$AP$7:$AP$166,$BQ54,1))+CC53</f>
        <v>13421595.96337338</v>
      </c>
      <c r="CD54" s="29">
        <f>($BS54-$BS53)*INDEX([2]小r将兵属性验证!W$7:W$166,$BQ54,1)+CD53</f>
        <v>9568425.191973269</v>
      </c>
      <c r="CE54" s="29">
        <f>(BT54-$BT53)*INDEX([2]小r将兵属性验证!X$7:X$166,$BQ54,1)+CE53</f>
        <v>9568425.191973269</v>
      </c>
      <c r="CF54" s="29">
        <f>(BU54-BU53)*INDEX([2]小r将兵属性验证!$AQ$7:$AQ$166,$BQ54)+CF53</f>
        <v>5038117.8057753472</v>
      </c>
      <c r="CG54" s="29">
        <f>(BV54-BV53)*INDEX([2]小r将兵属性验证!$AR$7:$AR$166,$BQ54)+CG53</f>
        <v>5038117.8057753472</v>
      </c>
      <c r="CH54" s="29">
        <f>(BW54-BW53)*INDEX([2]小r将兵属性验证!$AM$7:$AM$166,$BQ54,1)+CH53</f>
        <v>24834.69079750295</v>
      </c>
      <c r="CI54" s="29">
        <f>(BX54-BX53)*INDEX([2]小r将兵属性验证!$AA$7:$AA$166,$BQ54,1)+CI53</f>
        <v>4110572.0722756125</v>
      </c>
      <c r="CJ54" s="29">
        <f>(BY54-BY53)*INDEX([2]小r将兵属性验证!$AB$7:$AB$166,$BQ54,1)+CJ53</f>
        <v>4110572.0722756125</v>
      </c>
      <c r="CK54" s="29">
        <f>(BZ54-BZ53)*INDEX([2]小r将兵属性验证!$AU$7:$AU$166,$BQ54,1)+CK53</f>
        <v>2448566.530207505</v>
      </c>
      <c r="CL54" s="29">
        <f>(CA54-CA53)*INDEX([2]小r将兵属性验证!$AV$7:$AV$166,$BQ54,1)+CL53</f>
        <v>2448566.530207505</v>
      </c>
      <c r="CM54" s="29">
        <f>(CB54-CB53)*(INDEX([2]小r将兵属性验证!$AC$7:$AC$166,$BQ54,1)*[2]战法技能效用!$AH$4+INDEX([2]小r将兵属性验证!$AX$7:$AX$166,$BQ54,1)*[2]战法技能效用!$AI$4)+CM53</f>
        <v>20295484.210415699</v>
      </c>
      <c r="CN54" s="29">
        <f t="shared" si="24"/>
        <v>76073278.065050036</v>
      </c>
      <c r="CR54" s="29">
        <f>基础状态预期!D67</f>
        <v>43.535389560453282</v>
      </c>
      <c r="CS54" s="29">
        <f>IF(基础状态预期!AI67="",0,基础状态预期!AI67)*$AB$37*基础状态预期!J67</f>
        <v>0</v>
      </c>
      <c r="CT54" s="29">
        <f>CS54*武将数量星级阶位验证!$E$7*1.8</f>
        <v>0</v>
      </c>
      <c r="CV54" s="29">
        <v>60</v>
      </c>
      <c r="CW54" s="29">
        <f t="shared" si="29"/>
        <v>4056.5023394530499</v>
      </c>
      <c r="CX54" s="29"/>
      <c r="CY54" s="29"/>
      <c r="CZ54" s="29">
        <f t="shared" si="30"/>
        <v>4056.5023394530499</v>
      </c>
    </row>
    <row r="55" spans="21:104" x14ac:dyDescent="0.15">
      <c r="U55" s="29">
        <v>2</v>
      </c>
      <c r="V55" s="29"/>
      <c r="W55" s="37">
        <f>SUM($V$54:V55)*$V$2</f>
        <v>0</v>
      </c>
      <c r="AY55" s="17">
        <v>46</v>
      </c>
      <c r="AZ55" s="17">
        <f>求节点(基础状态预期!$D$17:$D$55,基础状态预期!$AI$17:$AI$55,$AY55)*求节点(基础状态预期!$D$17:$D$55,基础状态预期!$J$17:$J$55,$AY55)*$AB$49</f>
        <v>0</v>
      </c>
      <c r="BA55" s="17">
        <f>求节点(基础状态预期!$D$62:$D$100,基础状态预期!$AI$62:$AI$100,$AY55)*求节点(基础状态预期!$D$62:$D$100,基础状态预期!$J$62:$J$100,$AY55)*$AB$49</f>
        <v>0</v>
      </c>
      <c r="BB55" s="17">
        <f>求节点(基础状态预期!$D$107:$D$145,基础状态预期!$AI$107:$AI$145,$AY55)*求节点(基础状态预期!$D$107:$D$145,基础状态预期!$J$107:$J$145,$AY55)*$AB$49</f>
        <v>0</v>
      </c>
      <c r="BC55" s="17">
        <f>求节点(基础状态预期!$D$152:$D$190,基础状态预期!$AI$152:$AI$190,$AY55)*求节点(基础状态预期!$D$62:$D$100,基础状态预期!$J$152:$J$190,$AY55)*$AB$49</f>
        <v>0</v>
      </c>
      <c r="BD55" s="17">
        <f>求节点(基础状态预期!$D$197:$D$235,基础状态预期!$AI$197:$AI$235,$AY55)*求节点(基础状态预期!$D$197:$D$235,基础状态预期!$J$197:$J$235,$AY55)*$AB$49</f>
        <v>0</v>
      </c>
      <c r="BQ55" s="29">
        <v>70</v>
      </c>
      <c r="BR55" s="29">
        <f>求节点(基础状态预期!$D$17:$D$55,基础状态预期!$AI$17:$AI$55,$BQ55)*SUM($AR$6:$AT$6)/3</f>
        <v>0.72151018898576991</v>
      </c>
      <c r="BS55" s="29">
        <f>求节点(基础状态预期!$D$17:$D$55,基础状态预期!$AI$17:$AI$55,$BQ55)*AH$6</f>
        <v>45.094386811610619</v>
      </c>
      <c r="BT55" s="145">
        <f t="shared" si="25"/>
        <v>45.094386811610619</v>
      </c>
      <c r="BU55" s="29">
        <f>求节点(基础状态预期!$D$17:$D$55,基础状态预期!$AI$17:$AI$55,$BQ55)*AI$6</f>
        <v>2.1645305669573096</v>
      </c>
      <c r="BV55" s="145">
        <f t="shared" si="26"/>
        <v>2.1645305669573096</v>
      </c>
      <c r="BW55" s="29">
        <f>求节点(基础状态预期!$D$17:$D$55,基础状态预期!$AI$17:$AI$55,$BQ55)*$AU$6</f>
        <v>9.0188773623221241</v>
      </c>
      <c r="BX55" s="29">
        <f>求节点(基础状态预期!$D$17:$D$55,基础状态预期!$AI$17:$AI$55,$BQ55)*$AJ$6</f>
        <v>2.1645305669573097E-3</v>
      </c>
      <c r="BY55" s="145">
        <f t="shared" ref="BY55" si="39">BX55</f>
        <v>2.1645305669573097E-3</v>
      </c>
      <c r="BZ55" s="29">
        <f>求节点(基础状态预期!$D$17:$D$55,基础状态预期!$AI$17:$AI$55,$BQ55)*$AK$6</f>
        <v>1.8037754724644249E-3</v>
      </c>
      <c r="CA55" s="145">
        <f t="shared" ref="CA55" si="40">BZ55</f>
        <v>1.8037754724644249E-3</v>
      </c>
      <c r="CB55" s="29">
        <f>求节点(基础状态预期!$D$17:$D$55,基础状态预期!$AI$17:$AI$55,$BQ55)*$W$60</f>
        <v>1.0822652834786549E-2</v>
      </c>
      <c r="CC55" s="29">
        <f>($BR55-$BR54)*(INDEX([2]小r将兵属性验证!$V$7:$V$166,$BQ55,1)+INDEX([2]小r将兵属性验证!$AP$7:$AP$166,$BQ55,1))+CC54</f>
        <v>58191371.289720848</v>
      </c>
      <c r="CD55" s="29">
        <f>($BS55-$BS54)*INDEX([2]小r将兵属性验证!W$7:W$166,$BQ55,1)+CD54</f>
        <v>32960480.538245652</v>
      </c>
      <c r="CE55" s="29">
        <f>(BT55-$BT54)*INDEX([2]小r将兵属性验证!X$7:X$166,$BQ55,1)+CE54</f>
        <v>32960480.538245652</v>
      </c>
      <c r="CF55" s="29">
        <f>(BU55-BU54)*INDEX([2]小r将兵属性验证!$AQ$7:$AQ$166,$BQ55)+CF54</f>
        <v>26036616.199458789</v>
      </c>
      <c r="CG55" s="29">
        <f>(BV55-BV54)*INDEX([2]小r将兵属性验证!$AR$7:$AR$166,$BQ55)+CG54</f>
        <v>26036616.199458789</v>
      </c>
      <c r="CH55" s="29">
        <f>(BW55-BW54)*INDEX([2]小r将兵属性验证!$AM$7:$AM$166,$BQ55,1)+CH54</f>
        <v>53769.702315325107</v>
      </c>
      <c r="CI55" s="29">
        <f>(BX55-BX54)*INDEX([2]小r将兵属性验证!$AA$7:$AA$166,$BQ55,1)+CI54</f>
        <v>17581848.121711824</v>
      </c>
      <c r="CJ55" s="29">
        <f>(BY55-BY54)*INDEX([2]小r将兵属性验证!$AB$7:$AB$166,$BQ55,1)+CJ54</f>
        <v>17581848.121711824</v>
      </c>
      <c r="CK55" s="29">
        <f>(BZ55-BZ54)*INDEX([2]小r将兵属性验证!$AU$7:$AU$166,$BQ55,1)+CK54</f>
        <v>15088647.015424099</v>
      </c>
      <c r="CL55" s="29">
        <f>(CA55-CA54)*INDEX([2]小r将兵属性验证!$AV$7:$AV$166,$BQ55,1)+CL54</f>
        <v>15088647.015424099</v>
      </c>
      <c r="CM55" s="29">
        <f>(CB55-CB54)*(INDEX([2]小r将兵属性验证!$AC$7:$AC$166,$BQ55,1)*[2]战法技能效用!$AH$4+INDEX([2]小r将兵属性验证!$AX$7:$AX$166,$BQ55,1)*[2]战法技能效用!$AI$4)+CM54</f>
        <v>82084003.978854775</v>
      </c>
      <c r="CN55" s="29">
        <f t="shared" si="24"/>
        <v>323664328.72057164</v>
      </c>
      <c r="CR55" s="29">
        <f>基础状态预期!D68</f>
        <v>49.178590903134719</v>
      </c>
      <c r="CS55" s="29">
        <f>IF(基础状态预期!AI68="",0,基础状态预期!AI68)*$AB$37*基础状态预期!J68</f>
        <v>0</v>
      </c>
      <c r="CT55" s="29">
        <f>CS55*武将数量星级阶位验证!$E$7*1.8</f>
        <v>0</v>
      </c>
      <c r="CV55" s="29">
        <v>70</v>
      </c>
      <c r="CW55" s="29">
        <f t="shared" si="29"/>
        <v>16271.917004493276</v>
      </c>
      <c r="CX55" s="29"/>
      <c r="CY55" s="29"/>
      <c r="CZ55" s="29">
        <f t="shared" si="30"/>
        <v>16271.917004493276</v>
      </c>
    </row>
    <row r="56" spans="21:104" x14ac:dyDescent="0.15">
      <c r="U56" s="29">
        <v>3</v>
      </c>
      <c r="V56" s="29"/>
      <c r="W56" s="37">
        <f>SUM($V$54:V56)*$V$2</f>
        <v>0</v>
      </c>
      <c r="AY56" s="17">
        <v>47</v>
      </c>
      <c r="AZ56" s="17">
        <f>求节点(基础状态预期!$D$17:$D$55,基础状态预期!$AI$17:$AI$55,$AY56)*求节点(基础状态预期!$D$17:$D$55,基础状态预期!$J$17:$J$55,$AY56)*$AB$49</f>
        <v>0</v>
      </c>
      <c r="BA56" s="17">
        <f>求节点(基础状态预期!$D$62:$D$100,基础状态预期!$AI$62:$AI$100,$AY56)*求节点(基础状态预期!$D$62:$D$100,基础状态预期!$J$62:$J$100,$AY56)*$AB$49</f>
        <v>0</v>
      </c>
      <c r="BB56" s="17">
        <f>求节点(基础状态预期!$D$107:$D$145,基础状态预期!$AI$107:$AI$145,$AY56)*求节点(基础状态预期!$D$107:$D$145,基础状态预期!$J$107:$J$145,$AY56)*$AB$49</f>
        <v>0</v>
      </c>
      <c r="BC56" s="17">
        <f>求节点(基础状态预期!$D$152:$D$190,基础状态预期!$AI$152:$AI$190,$AY56)*求节点(基础状态预期!$D$62:$D$100,基础状态预期!$J$152:$J$190,$AY56)*$AB$49</f>
        <v>0</v>
      </c>
      <c r="BD56" s="17">
        <f>求节点(基础状态预期!$D$197:$D$235,基础状态预期!$AI$197:$AI$235,$AY56)*求节点(基础状态预期!$D$197:$D$235,基础状态预期!$J$197:$J$235,$AY56)*$AB$49</f>
        <v>0</v>
      </c>
      <c r="BQ56" s="29">
        <v>80</v>
      </c>
      <c r="BR56" s="29">
        <f>求节点(基础状态预期!$D$17:$D$55,基础状态预期!$AI$17:$AI$55,$BQ56)*SUM($AR$6:$AT$6)/3</f>
        <v>1.0534503973418654</v>
      </c>
      <c r="BS56" s="29">
        <f>求节点(基础状态预期!$D$17:$D$55,基础状态预期!$AI$17:$AI$55,$BQ56)*AH$6</f>
        <v>65.840649833866593</v>
      </c>
      <c r="BT56" s="145">
        <f t="shared" si="25"/>
        <v>65.840649833866593</v>
      </c>
      <c r="BU56" s="29">
        <f>求节点(基础状态预期!$D$17:$D$55,基础状态预期!$AI$17:$AI$55,$BQ56)*AI$6</f>
        <v>3.1603511920255962</v>
      </c>
      <c r="BV56" s="145">
        <f t="shared" si="26"/>
        <v>3.1603511920255962</v>
      </c>
      <c r="BW56" s="29">
        <f>求节点(基础状态预期!$D$17:$D$55,基础状态预期!$AI$17:$AI$55,$BQ56)*$AU$6</f>
        <v>13.168129966773318</v>
      </c>
      <c r="BX56" s="29">
        <f>求节点(基础状态预期!$D$17:$D$55,基础状态预期!$AI$17:$AI$55,$BQ56)*$AJ$6</f>
        <v>3.1603511920255964E-3</v>
      </c>
      <c r="BY56" s="145">
        <f t="shared" ref="BY56" si="41">BX56</f>
        <v>3.1603511920255964E-3</v>
      </c>
      <c r="BZ56" s="29">
        <f>求节点(基础状态预期!$D$17:$D$55,基础状态预期!$AI$17:$AI$55,$BQ56)*$AK$6</f>
        <v>2.6336259933546638E-3</v>
      </c>
      <c r="CA56" s="145">
        <f t="shared" ref="CA56" si="42">BZ56</f>
        <v>2.6336259933546638E-3</v>
      </c>
      <c r="CB56" s="29">
        <f>求节点(基础状态预期!$D$17:$D$55,基础状态预期!$AI$17:$AI$55,$BQ56)*$W$60</f>
        <v>1.5801755960127985E-2</v>
      </c>
      <c r="CC56" s="29">
        <f>($BR56-$BR55)*(INDEX([2]小r将兵属性验证!$V$7:$V$166,$BQ56,1)+INDEX([2]小r将兵属性验证!$AP$7:$AP$166,$BQ56,1))+CC55</f>
        <v>157583874.21229237</v>
      </c>
      <c r="CD56" s="29">
        <f>($BS56-$BS55)*INDEX([2]小r将兵属性验证!W$7:W$166,$BQ56,1)+CD55</f>
        <v>74708271.483452424</v>
      </c>
      <c r="CE56" s="29">
        <f>(BT56-$BT55)*INDEX([2]小r将兵属性验证!X$7:X$166,$BQ56,1)+CE55</f>
        <v>74708271.483452424</v>
      </c>
      <c r="CF56" s="29">
        <f>(BU56-BU55)*INDEX([2]小r将兵属性验证!$AQ$7:$AQ$166,$BQ56)+CF55</f>
        <v>75090350.905718446</v>
      </c>
      <c r="CG56" s="29">
        <f>(BV56-BV55)*INDEX([2]小r将兵属性验证!$AR$7:$AR$166,$BQ56)+CG55</f>
        <v>75090350.905718446</v>
      </c>
      <c r="CH56" s="29">
        <f>(BW56-BW55)*INDEX([2]小r将兵属性验证!$AM$7:$AM$166,$BQ56,1)+CH55</f>
        <v>82722.623105304767</v>
      </c>
      <c r="CI56" s="29">
        <f>(BX56-BX55)*INDEX([2]小r将兵属性验证!$AA$7:$AA$166,$BQ56,1)+CI55</f>
        <v>48037489.289075479</v>
      </c>
      <c r="CJ56" s="29">
        <f>(BY56-BY55)*INDEX([2]小r将兵属性验证!$AB$7:$AB$166,$BQ56,1)+CJ55</f>
        <v>48037489.289075479</v>
      </c>
      <c r="CK56" s="29">
        <f>(BZ56-BZ55)*INDEX([2]小r将兵属性验证!$AU$7:$AU$166,$BQ56,1)+CK55</f>
        <v>51200318.367142648</v>
      </c>
      <c r="CL56" s="29">
        <f>(CA56-CA55)*INDEX([2]小r将兵属性验证!$AV$7:$AV$166,$BQ56,1)+CL55</f>
        <v>51200318.367142648</v>
      </c>
      <c r="CM56" s="29">
        <f>(CB56-CB55)*(INDEX([2]小r将兵属性验证!$AC$7:$AC$166,$BQ56,1)*[2]战法技能效用!$AH$4+INDEX([2]小r将兵属性验证!$AX$7:$AX$166,$BQ56,1)*[2]战法技能效用!$AI$4)+CM55</f>
        <v>224546736.60940742</v>
      </c>
      <c r="CN56" s="29">
        <f t="shared" si="24"/>
        <v>880286193.53558314</v>
      </c>
      <c r="CR56" s="29">
        <f>基础状态预期!D69</f>
        <v>53.226994578658328</v>
      </c>
      <c r="CS56" s="29">
        <f>IF(基础状态预期!AI69="",0,基础状态预期!AI69)*$AB$37*基础状态预期!J69</f>
        <v>0.12980732338705014</v>
      </c>
      <c r="CT56" s="29">
        <f>CS56*武将数量星级阶位验证!$E$7*1.8</f>
        <v>700.95954629007088</v>
      </c>
      <c r="CV56" s="29">
        <v>80</v>
      </c>
      <c r="CW56" s="29">
        <f t="shared" si="29"/>
        <v>33897.03694369139</v>
      </c>
      <c r="CX56" s="29"/>
      <c r="CY56" s="29"/>
      <c r="CZ56" s="29">
        <f t="shared" si="30"/>
        <v>33897.03694369139</v>
      </c>
    </row>
    <row r="57" spans="21:104" x14ac:dyDescent="0.15">
      <c r="U57" s="29">
        <v>4</v>
      </c>
      <c r="V57" s="20">
        <v>0.1</v>
      </c>
      <c r="W57" s="37">
        <f>SUM($V$54:V57)*$V$2</f>
        <v>0.30000000000000004</v>
      </c>
      <c r="AY57" s="17">
        <v>48</v>
      </c>
      <c r="AZ57" s="17">
        <f>求节点(基础状态预期!$D$17:$D$55,基础状态预期!$AI$17:$AI$55,$AY57)*求节点(基础状态预期!$D$17:$D$55,基础状态预期!$J$17:$J$55,$AY57)*$AB$49</f>
        <v>0</v>
      </c>
      <c r="BA57" s="17">
        <f>求节点(基础状态预期!$D$62:$D$100,基础状态预期!$AI$62:$AI$100,$AY57)*求节点(基础状态预期!$D$62:$D$100,基础状态预期!$J$62:$J$100,$AY57)*$AB$49</f>
        <v>0</v>
      </c>
      <c r="BB57" s="17">
        <f>求节点(基础状态预期!$D$107:$D$145,基础状态预期!$AI$107:$AI$145,$AY57)*求节点(基础状态预期!$D$107:$D$145,基础状态预期!$J$107:$J$145,$AY57)*$AB$49</f>
        <v>0</v>
      </c>
      <c r="BC57" s="17">
        <f>求节点(基础状态预期!$D$152:$D$190,基础状态预期!$AI$152:$AI$190,$AY57)*求节点(基础状态预期!$D$62:$D$100,基础状态预期!$J$152:$J$190,$AY57)*$AB$49</f>
        <v>0</v>
      </c>
      <c r="BD57" s="17">
        <f>求节点(基础状态预期!$D$197:$D$235,基础状态预期!$AI$197:$AI$235,$AY57)*求节点(基础状态预期!$D$197:$D$235,基础状态预期!$J$197:$J$235,$AY57)*$AB$49</f>
        <v>0</v>
      </c>
      <c r="BQ57" s="29">
        <v>90</v>
      </c>
      <c r="BR57" s="29">
        <f>求节点(基础状态预期!$D$17:$D$55,基础状态预期!$AI$17:$AI$55,$BQ57)*SUM($AR$6:$AT$6)/3</f>
        <v>1.9304730995008079</v>
      </c>
      <c r="BS57" s="29">
        <f>求节点(基础状态预期!$D$17:$D$55,基础状态预期!$AI$17:$AI$55,$BQ57)*AH$6</f>
        <v>120.65456871880049</v>
      </c>
      <c r="BT57" s="145">
        <f t="shared" si="25"/>
        <v>120.65456871880049</v>
      </c>
      <c r="BU57" s="29">
        <f>求节点(基础状态预期!$D$17:$D$55,基础状态预期!$AI$17:$AI$55,$BQ57)*AI$6</f>
        <v>5.791419298502424</v>
      </c>
      <c r="BV57" s="145">
        <f t="shared" si="26"/>
        <v>5.791419298502424</v>
      </c>
      <c r="BW57" s="29">
        <f>求节点(基础状态预期!$D$17:$D$55,基础状态预期!$AI$17:$AI$55,$BQ57)*$AU$6</f>
        <v>24.1309137437601</v>
      </c>
      <c r="BX57" s="29">
        <f>求节点(基础状态预期!$D$17:$D$55,基础状态预期!$AI$17:$AI$55,$BQ57)*$AJ$6</f>
        <v>5.7914192985024232E-3</v>
      </c>
      <c r="BY57" s="145">
        <f t="shared" ref="BY57" si="43">BX57</f>
        <v>5.7914192985024232E-3</v>
      </c>
      <c r="BZ57" s="29">
        <f>求节点(基础状态预期!$D$17:$D$55,基础状态预期!$AI$17:$AI$55,$BQ57)*$AK$6</f>
        <v>4.8261827487520205E-3</v>
      </c>
      <c r="CA57" s="145">
        <f t="shared" ref="CA57" si="44">BZ57</f>
        <v>4.8261827487520205E-3</v>
      </c>
      <c r="CB57" s="29">
        <f>求节点(基础状态预期!$D$17:$D$55,基础状态预期!$AI$17:$AI$55,$BQ57)*$W$60</f>
        <v>2.8957096492512123E-2</v>
      </c>
      <c r="CC57" s="29">
        <f>($BR57-$BR56)*(INDEX([2]小r将兵属性验证!$V$7:$V$166,$BQ57,1)+INDEX([2]小r将兵属性验证!$AP$7:$AP$166,$BQ57,1))+CC56</f>
        <v>751451429.1744895</v>
      </c>
      <c r="CD57" s="29">
        <f>($BS57-$BS56)*INDEX([2]小r将兵属性验证!W$7:W$166,$BQ57,1)+CD56</f>
        <v>297370739.29210007</v>
      </c>
      <c r="CE57" s="29">
        <f>(BT57-$BT56)*INDEX([2]小r将兵属性验证!X$7:X$166,$BQ57,1)+CE56</f>
        <v>297370739.29210007</v>
      </c>
      <c r="CF57" s="29">
        <f>(BU57-BU56)*INDEX([2]小r将兵属性验证!$AQ$7:$AQ$166,$BQ57)+CF56</f>
        <v>393229154.62692666</v>
      </c>
      <c r="CG57" s="29">
        <f>(BV57-BV56)*INDEX([2]小r将兵属性验证!$AR$7:$AR$166,$BQ57)+CG56</f>
        <v>393229154.62692666</v>
      </c>
      <c r="CH57" s="29">
        <f>(BW57-BW56)*INDEX([2]小r将兵属性验证!$AM$7:$AM$166,$BQ57,1)+CH56</f>
        <v>166475.23728231096</v>
      </c>
      <c r="CI57" s="29">
        <f>(BX57-BX56)*INDEX([2]小r将兵属性验证!$AA$7:$AA$166,$BQ57,1)+CI56</f>
        <v>233523007.62500316</v>
      </c>
      <c r="CJ57" s="29">
        <f>(BY57-BY56)*INDEX([2]小r将兵属性验证!$AB$7:$AB$166,$BQ57,1)+CJ56</f>
        <v>233523007.62500316</v>
      </c>
      <c r="CK57" s="29">
        <f>(BZ57-BZ56)*INDEX([2]小r将兵属性验证!$AU$7:$AU$166,$BQ57,1)+CK56</f>
        <v>322490240.34666383</v>
      </c>
      <c r="CL57" s="29">
        <f>(CA57-CA56)*INDEX([2]小r将兵属性验证!$AV$7:$AV$166,$BQ57,1)+CL56</f>
        <v>322490240.34666383</v>
      </c>
      <c r="CM57" s="29">
        <f>(CB57-CB56)*(INDEX([2]小r将兵属性验证!$AC$7:$AC$166,$BQ57,1)*[2]战法技能效用!$AH$4+INDEX([2]小r将兵属性验证!$AX$7:$AX$166,$BQ57,1)*[2]战法技能效用!$AI$4)+CM56</f>
        <v>1054860874.9882295</v>
      </c>
      <c r="CN57" s="29">
        <f t="shared" si="24"/>
        <v>4299705063.1813889</v>
      </c>
      <c r="CR57" s="29">
        <f>基础状态预期!D70</f>
        <v>59.016342740868758</v>
      </c>
      <c r="CS57" s="29">
        <f>IF(基础状态预期!AI70="",0,基础状态预期!AI70)*$AB$37*基础状态预期!J70</f>
        <v>0.5492856403751436</v>
      </c>
      <c r="CT57" s="29">
        <f>CS57*武将数量星级阶位验证!$E$7*1.8</f>
        <v>2966.1424580257753</v>
      </c>
      <c r="CV57" s="29">
        <v>90</v>
      </c>
      <c r="CW57" s="29">
        <f t="shared" si="29"/>
        <v>62725.688726680484</v>
      </c>
      <c r="CX57" s="29"/>
      <c r="CY57" s="29"/>
      <c r="CZ57" s="29">
        <f t="shared" si="30"/>
        <v>62725.688726680484</v>
      </c>
    </row>
    <row r="58" spans="21:104" x14ac:dyDescent="0.15">
      <c r="U58" s="29">
        <v>5</v>
      </c>
      <c r="V58" s="29"/>
      <c r="W58" s="37">
        <f>SUM($V$54:V58)*$V$2</f>
        <v>0.30000000000000004</v>
      </c>
      <c r="AY58" s="17">
        <v>49</v>
      </c>
      <c r="AZ58" s="17">
        <f>求节点(基础状态预期!$D$17:$D$55,基础状态预期!$AI$17:$AI$55,$AY58)*求节点(基础状态预期!$D$17:$D$55,基础状态预期!$J$17:$J$55,$AY58)*$AB$49</f>
        <v>0</v>
      </c>
      <c r="BA58" s="17">
        <f>求节点(基础状态预期!$D$62:$D$100,基础状态预期!$AI$62:$AI$100,$AY58)*求节点(基础状态预期!$D$62:$D$100,基础状态预期!$J$62:$J$100,$AY58)*$AB$49</f>
        <v>0</v>
      </c>
      <c r="BB58" s="17">
        <f>求节点(基础状态预期!$D$107:$D$145,基础状态预期!$AI$107:$AI$145,$AY58)*求节点(基础状态预期!$D$107:$D$145,基础状态预期!$J$107:$J$145,$AY58)*$AB$49</f>
        <v>0</v>
      </c>
      <c r="BC58" s="17">
        <f>求节点(基础状态预期!$D$152:$D$190,基础状态预期!$AI$152:$AI$190,$AY58)*求节点(基础状态预期!$D$62:$D$100,基础状态预期!$J$152:$J$190,$AY58)*$AB$49</f>
        <v>0</v>
      </c>
      <c r="BD58" s="17">
        <f>求节点(基础状态预期!$D$197:$D$235,基础状态预期!$AI$197:$AI$235,$AY58)*求节点(基础状态预期!$D$197:$D$235,基础状态预期!$J$197:$J$235,$AY58)*$AB$49</f>
        <v>0.38428846254432347</v>
      </c>
      <c r="BQ58" s="29">
        <v>100</v>
      </c>
      <c r="BR58" s="29">
        <f>求节点(基础状态预期!$D$17:$D$55,基础状态预期!$AI$17:$AI$55,$BQ58)*SUM($AR$6:$AT$6)/3</f>
        <v>3.3733391260028154</v>
      </c>
      <c r="BS58" s="29">
        <f>求节点(基础状态预期!$D$17:$D$55,基础状态预期!$AI$17:$AI$55,$BQ58)*AH$6</f>
        <v>210.83369537517598</v>
      </c>
      <c r="BT58" s="145">
        <f t="shared" si="25"/>
        <v>210.83369537517598</v>
      </c>
      <c r="BU58" s="29">
        <f>求节点(基础状态预期!$D$17:$D$55,基础状态预期!$AI$17:$AI$55,$BQ58)*AI$6</f>
        <v>10.120017378008447</v>
      </c>
      <c r="BV58" s="145">
        <f t="shared" si="26"/>
        <v>10.120017378008447</v>
      </c>
      <c r="BW58" s="29">
        <f>求节点(基础状态预期!$D$17:$D$55,基础状态预期!$AI$17:$AI$55,$BQ58)*$AU$6</f>
        <v>42.166739075035196</v>
      </c>
      <c r="BX58" s="29">
        <f>求节点(基础状态预期!$D$17:$D$55,基础状态预期!$AI$17:$AI$55,$BQ58)*$AJ$6</f>
        <v>1.0120017378008446E-2</v>
      </c>
      <c r="BY58" s="145">
        <f t="shared" ref="BY58" si="45">BX58</f>
        <v>1.0120017378008446E-2</v>
      </c>
      <c r="BZ58" s="29">
        <f>求节点(基础状态预期!$D$17:$D$55,基础状态预期!$AI$17:$AI$55,$BQ58)*$AK$6</f>
        <v>8.43334781500704E-3</v>
      </c>
      <c r="CA58" s="145">
        <f t="shared" ref="CA58" si="46">BZ58</f>
        <v>8.43334781500704E-3</v>
      </c>
      <c r="CB58" s="29">
        <f>求节点(基础状态预期!$D$17:$D$55,基础状态预期!$AI$17:$AI$55,$BQ58)*$W$60</f>
        <v>5.0600086890042244E-2</v>
      </c>
      <c r="CC58" s="29">
        <f>($BR58-$BR57)*(INDEX([2]小r将兵属性验证!$V$7:$V$166,$BQ58,1)+INDEX([2]小r将兵属性验证!$AP$7:$AP$166,$BQ58,1))+CC57</f>
        <v>2921964655.9246445</v>
      </c>
      <c r="CD58" s="29">
        <f>($BS58-$BS57)*INDEX([2]小r将兵属性验证!W$7:W$166,$BQ58,1)+CD57</f>
        <v>951968551.33754528</v>
      </c>
      <c r="CE58" s="29">
        <f>(BT58-$BT57)*INDEX([2]小r将兵属性验证!X$7:X$166,$BQ58,1)+CE57</f>
        <v>951968551.33754528</v>
      </c>
      <c r="CF58" s="29">
        <f>(BU58-BU57)*INDEX([2]小r将兵属性验证!$AQ$7:$AQ$166,$BQ58)+CF57</f>
        <v>1625478970.8822851</v>
      </c>
      <c r="CG58" s="29">
        <f>(BV58-BV57)*INDEX([2]小r将兵属性验证!$AR$7:$AR$166,$BQ58)+CG57</f>
        <v>1625478970.8822851</v>
      </c>
      <c r="CH58" s="29">
        <f>(BW58-BW57)*INDEX([2]小r将兵属性验证!$AM$7:$AM$166,$BQ58,1)+CH57</f>
        <v>316357.32543704193</v>
      </c>
      <c r="CI58" s="29">
        <f>(BX58-BX57)*INDEX([2]小r将兵属性验证!$AA$7:$AA$166,$BQ58,1)+CI57</f>
        <v>846832901.89656115</v>
      </c>
      <c r="CJ58" s="29">
        <f>(BY58-BY57)*INDEX([2]小r将兵属性验证!$AB$7:$AB$166,$BQ58,1)+CJ57</f>
        <v>846832901.89656115</v>
      </c>
      <c r="CK58" s="29">
        <f>(BZ58-BZ57)*INDEX([2]小r将兵属性验证!$AU$7:$AU$166,$BQ58,1)+CK57</f>
        <v>1599219026.3243537</v>
      </c>
      <c r="CL58" s="29">
        <f>(CA58-CA57)*INDEX([2]小r将兵属性验证!$AV$7:$AV$166,$BQ58,1)+CL57</f>
        <v>1599219026.3243537</v>
      </c>
      <c r="CM58" s="29">
        <f>(CB58-CB57)*(INDEX([2]小r将兵属性验证!$AC$7:$AC$166,$BQ58,1)*[2]战法技能效用!$AH$4+INDEX([2]小r将兵属性验证!$AX$7:$AX$166,$BQ58,1)*[2]战法技能效用!$AI$4)+CM57</f>
        <v>3644341646.4839182</v>
      </c>
      <c r="CN58" s="29">
        <f t="shared" si="24"/>
        <v>16613621560.61549</v>
      </c>
      <c r="CR58" s="29">
        <f>基础状态预期!D71</f>
        <v>64.781009552500748</v>
      </c>
      <c r="CS58" s="29">
        <f>IF(基础状态预期!AI71="",0,基础状态预期!AI71)*$AB$37*基础状态预期!J71</f>
        <v>1.732617380137411</v>
      </c>
      <c r="CT58" s="29">
        <f>CS58*武将数量星级阶位验证!$E$7*1.8</f>
        <v>9356.1338527420194</v>
      </c>
      <c r="CV58" s="29">
        <v>100</v>
      </c>
      <c r="CW58" s="29">
        <f t="shared" si="29"/>
        <v>379402.21995014232</v>
      </c>
      <c r="CX58" s="29"/>
      <c r="CY58" s="29"/>
      <c r="CZ58" s="29">
        <f t="shared" si="30"/>
        <v>379402.21995014232</v>
      </c>
    </row>
    <row r="59" spans="21:104" x14ac:dyDescent="0.15">
      <c r="U59" s="29">
        <v>6</v>
      </c>
      <c r="V59" s="29"/>
      <c r="W59" s="37">
        <f>SUM($V$54:V59)*$V$2</f>
        <v>0.30000000000000004</v>
      </c>
      <c r="AY59" s="17">
        <v>50</v>
      </c>
      <c r="AZ59" s="17">
        <f>求节点(基础状态预期!$D$17:$D$55,基础状态预期!$AI$17:$AI$55,$AY59)*求节点(基础状态预期!$D$17:$D$55,基础状态预期!$J$17:$J$55,$AY59)*$AB$49</f>
        <v>0.11172333977625645</v>
      </c>
      <c r="BA59" s="17">
        <f>求节点(基础状态预期!$D$62:$D$100,基础状态预期!$AI$62:$AI$100,$AY59)*求节点(基础状态预期!$D$62:$D$100,基础状态预期!$J$62:$J$100,$AY59)*$AB$49</f>
        <v>0.49430194932231936</v>
      </c>
      <c r="BB59" s="17">
        <f>求节点(基础状态预期!$D$107:$D$145,基础状态预期!$AI$107:$AI$145,$AY59)*求节点(基础状态预期!$D$107:$D$145,基础状态预期!$J$107:$J$145,$AY59)*$AB$49</f>
        <v>0.55141522594402015</v>
      </c>
      <c r="BC59" s="17">
        <f>求节点(基础状态预期!$D$152:$D$190,基础状态预期!$AI$152:$AI$190,$AY59)*求节点(基础状态预期!$D$62:$D$100,基础状态预期!$J$152:$J$190,$AY59)*$AB$49</f>
        <v>1.3569517991110369</v>
      </c>
      <c r="BD59" s="17">
        <f>求节点(基础状态预期!$D$197:$D$235,基础状态预期!$AI$197:$AI$235,$AY59)*求节点(基础状态预期!$D$197:$D$235,基础状态预期!$J$197:$J$235,$AY59)*$AB$49</f>
        <v>3.3964182311074378</v>
      </c>
      <c r="BQ59" s="29">
        <v>110</v>
      </c>
      <c r="BR59" s="29">
        <f>求节点(基础状态预期!$D$17:$D$55,基础状态预期!$AI$17:$AI$55,$BQ59)*SUM($AR$6:$AT$6)/3</f>
        <v>27.353727251649335</v>
      </c>
      <c r="BS59" s="29">
        <f>求节点(基础状态预期!$D$17:$D$55,基础状态预期!$AI$17:$AI$55,$BQ59)*AH$6</f>
        <v>1709.6079532280837</v>
      </c>
      <c r="BT59" s="145">
        <f t="shared" si="25"/>
        <v>1709.6079532280837</v>
      </c>
      <c r="BU59" s="29">
        <f>求节点(基础状态预期!$D$17:$D$55,基础状态预期!$AI$17:$AI$55,$BQ59)*AI$6</f>
        <v>82.061181754948009</v>
      </c>
      <c r="BV59" s="145">
        <f t="shared" si="26"/>
        <v>82.061181754948009</v>
      </c>
      <c r="BW59" s="29">
        <f>求节点(基础状态预期!$D$17:$D$55,基础状态预期!$AI$17:$AI$55,$BQ59)*$AU$6</f>
        <v>341.92159064561673</v>
      </c>
      <c r="BX59" s="29">
        <f>求节点(基础状态预期!$D$17:$D$55,基础状态预期!$AI$17:$AI$55,$BQ59)*$AJ$6</f>
        <v>8.2061181754948018E-2</v>
      </c>
      <c r="BY59" s="145">
        <f t="shared" ref="BY59" si="47">BX59</f>
        <v>8.2061181754948018E-2</v>
      </c>
      <c r="BZ59" s="29">
        <f>求节点(基础状态预期!$D$17:$D$55,基础状态预期!$AI$17:$AI$55,$BQ59)*$AK$6</f>
        <v>6.838431812912335E-2</v>
      </c>
      <c r="CA59" s="145">
        <f t="shared" ref="CA59" si="48">BZ59</f>
        <v>6.838431812912335E-2</v>
      </c>
      <c r="CB59" s="29">
        <f>求节点(基础状态预期!$D$17:$D$55,基础状态预期!$AI$17:$AI$55,$BQ59)*$W$60</f>
        <v>0.4103059087747401</v>
      </c>
      <c r="CC59" s="29">
        <f>($BR59-$BR58)*(INDEX([2]小r将兵属性验证!$V$7:$V$166,$BQ59,1)+INDEX([2]小r将兵属性验证!$AP$7:$AP$166,$BQ59,1))+CC58</f>
        <v>70298412835.374298</v>
      </c>
      <c r="CD59" s="29">
        <f>($BS59-$BS58)*INDEX([2]小r将兵属性验证!W$7:W$166,$BQ59,1)+CD58</f>
        <v>17297537711.718872</v>
      </c>
      <c r="CE59" s="29">
        <f>(BT59-$BT58)*INDEX([2]小r将兵属性验证!X$7:X$166,$BQ59,1)+CE58</f>
        <v>17297537711.718872</v>
      </c>
      <c r="CF59" s="29">
        <f>(BU59-BU58)*INDEX([2]小r将兵属性验证!$AQ$7:$AQ$166,$BQ59)+CF58</f>
        <v>43049554336.963814</v>
      </c>
      <c r="CG59" s="29">
        <f>(BV59-BV58)*INDEX([2]小r将兵属性验证!$AR$7:$AR$166,$BQ59)+CG58</f>
        <v>43049554336.963814</v>
      </c>
      <c r="CH59" s="29">
        <f>(BW59-BW58)*INDEX([2]小r将兵属性验证!$AM$7:$AM$166,$BQ59,1)+CH58</f>
        <v>3007831.8040655502</v>
      </c>
      <c r="CI59" s="29">
        <f>(BX59-BX58)*INDEX([2]小r将兵属性验证!$AA$7:$AA$166,$BQ59,1)+CI58</f>
        <v>17887753814.448719</v>
      </c>
      <c r="CJ59" s="29">
        <f>(BY59-BY58)*INDEX([2]小r将兵属性验证!$AB$7:$AB$166,$BQ59,1)+CJ58</f>
        <v>17887753814.448719</v>
      </c>
      <c r="CK59" s="29">
        <f>(BZ59-BZ58)*INDEX([2]小r将兵属性验证!$AU$7:$AU$166,$BQ59,1)+CK58</f>
        <v>49195635855.386833</v>
      </c>
      <c r="CL59" s="29">
        <f>(CA59-CA58)*INDEX([2]小r将兵属性验证!$AV$7:$AV$166,$BQ59,1)+CL58</f>
        <v>49195635855.386833</v>
      </c>
      <c r="CM59" s="29">
        <f>(CB59-CB58)*(INDEX([2]小r将兵属性验证!$AC$7:$AC$166,$BQ59,1)*[2]战法技能效用!$AH$4+INDEX([2]小r将兵属性验证!$AX$7:$AX$166,$BQ59,1)*[2]战法技能效用!$AI$4)+CM58</f>
        <v>72652300171.79509</v>
      </c>
      <c r="CN59" s="29">
        <f t="shared" ref="CN59:CN64" si="49">SUM(CC59:CM59)</f>
        <v>397814684276.00995</v>
      </c>
      <c r="CR59" s="29">
        <f>基础状态预期!D72</f>
        <v>68.923431594456531</v>
      </c>
      <c r="CS59" s="29">
        <f>IF(基础状态预期!AI72="",0,基础状态预期!AI72)*$AB$37*基础状态预期!J72</f>
        <v>2.7342483323113678</v>
      </c>
      <c r="CT59" s="29">
        <f>CS59*武将数量星级阶位验证!$E$7*1.8</f>
        <v>14764.940994481387</v>
      </c>
      <c r="CV59" s="29">
        <v>110</v>
      </c>
      <c r="CW59" s="29">
        <f t="shared" si="29"/>
        <v>777600</v>
      </c>
      <c r="CX59" s="29"/>
      <c r="CY59" s="29"/>
      <c r="CZ59" s="29">
        <f t="shared" ref="CZ59:CZ64" si="50">SUM(CW59:CY59)</f>
        <v>777600</v>
      </c>
    </row>
    <row r="60" spans="21:104" x14ac:dyDescent="0.15">
      <c r="U60" s="29">
        <v>7</v>
      </c>
      <c r="V60" s="20">
        <v>0.1</v>
      </c>
      <c r="W60" s="37">
        <f>SUM($V$54:V60)*$V$2</f>
        <v>0.60000000000000009</v>
      </c>
      <c r="AY60" s="17">
        <v>51</v>
      </c>
      <c r="AZ60" s="17">
        <f>求节点(基础状态预期!$D$17:$D$55,基础状态预期!$AI$17:$AI$55,$AY60)*求节点(基础状态预期!$D$17:$D$55,基础状态预期!$J$17:$J$55,$AY60)*$AB$49</f>
        <v>1.1036141762297214</v>
      </c>
      <c r="BA60" s="17">
        <f>求节点(基础状态预期!$D$62:$D$100,基础状态预期!$AI$62:$AI$100,$AY60)*求节点(基础状态预期!$D$62:$D$100,基础状态预期!$J$62:$J$100,$AY60)*$AB$49</f>
        <v>2.4304590560282606</v>
      </c>
      <c r="BB60" s="17">
        <f>求节点(基础状态预期!$D$107:$D$145,基础状态预期!$AI$107:$AI$145,$AY60)*求节点(基础状态预期!$D$107:$D$145,基础状态预期!$J$107:$J$145,$AY60)*$AB$49</f>
        <v>2.7491051924088756</v>
      </c>
      <c r="BC60" s="17">
        <f>求节点(基础状态预期!$D$152:$D$190,基础状态预期!$AI$152:$AI$190,$AY60)*求节点(基础状态预期!$D$62:$D$100,基础状态预期!$J$152:$J$190,$AY60)*$AB$49</f>
        <v>5.3808106255883388</v>
      </c>
      <c r="BD60" s="17">
        <f>求节点(基础状态预期!$D$197:$D$235,基础状态预期!$AI$197:$AI$235,$AY60)*求节点(基础状态预期!$D$197:$D$235,基础状态预期!$J$197:$J$235,$AY60)*$AB$49</f>
        <v>9.4001397883734708</v>
      </c>
      <c r="BQ60" s="29">
        <v>120</v>
      </c>
      <c r="BR60" s="29">
        <f>求节点(基础状态预期!$D$17:$D$55,基础状态预期!$AI$17:$AI$55,$BQ60)*SUM($AR$6:$AT$6)/3</f>
        <v>40</v>
      </c>
      <c r="BS60" s="29">
        <f>求节点(基础状态预期!$D$17:$D$55,基础状态预期!$AI$17:$AI$55,$BQ60)*AH$6</f>
        <v>2500</v>
      </c>
      <c r="BT60" s="145">
        <f t="shared" si="25"/>
        <v>2500</v>
      </c>
      <c r="BU60" s="29">
        <f>求节点(基础状态预期!$D$17:$D$55,基础状态预期!$AI$17:$AI$55,$BQ60)*AI$6</f>
        <v>120</v>
      </c>
      <c r="BV60" s="145">
        <f t="shared" si="26"/>
        <v>120</v>
      </c>
      <c r="BW60" s="29">
        <f>求节点(基础状态预期!$D$17:$D$55,基础状态预期!$AI$17:$AI$55,$BQ60)*$AU$6</f>
        <v>500</v>
      </c>
      <c r="BX60" s="29">
        <f>求节点(基础状态预期!$D$17:$D$55,基础状态预期!$AI$17:$AI$55,$BQ60)*$AJ$6</f>
        <v>0.12</v>
      </c>
      <c r="BY60" s="145">
        <f t="shared" ref="BY60" si="51">BX60</f>
        <v>0.12</v>
      </c>
      <c r="BZ60" s="29">
        <f>求节点(基础状态预期!$D$17:$D$55,基础状态预期!$AI$17:$AI$55,$BQ60)*$AK$6</f>
        <v>0.1</v>
      </c>
      <c r="CA60" s="145">
        <f t="shared" ref="CA60" si="52">BZ60</f>
        <v>0.1</v>
      </c>
      <c r="CB60" s="29">
        <f>求节点(基础状态预期!$D$17:$D$55,基础状态预期!$AI$17:$AI$55,$BQ60)*$W$60</f>
        <v>0.60000000000000009</v>
      </c>
      <c r="CC60" s="29">
        <f>($BR60-$BR59)*(INDEX([2]小r将兵属性验证!$V$7:$V$166,$BQ60,1)+INDEX([2]小r将兵属性验证!$AP$7:$AP$166,$BQ60,1))+CC59</f>
        <v>124217206981.97765</v>
      </c>
      <c r="CD60" s="29">
        <f>($BS60-$BS59)*INDEX([2]小r将兵属性验证!W$7:W$166,$BQ60,1)+CD59</f>
        <v>28330773123.736908</v>
      </c>
      <c r="CE60" s="29">
        <f>(BT60-$BT59)*INDEX([2]小r将兵属性验证!X$7:X$166,$BQ60,1)+CE59</f>
        <v>28330773123.736908</v>
      </c>
      <c r="CF60" s="29">
        <f>(BU60-BU59)*INDEX([2]小r将兵属性验证!$AQ$7:$AQ$166,$BQ60)+CF59</f>
        <v>75501925500.523483</v>
      </c>
      <c r="CG60" s="29">
        <f>(BV60-BV59)*INDEX([2]小r将兵属性验证!$AR$7:$AR$166,$BQ60)+CG59</f>
        <v>75501925500.523483</v>
      </c>
      <c r="CH60" s="29">
        <f>(BW60-BW59)*INDEX([2]小r将兵属性验证!$AM$7:$AM$166,$BQ60,1)+CH59</f>
        <v>4533515.0664767483</v>
      </c>
      <c r="CI60" s="29">
        <f>(BX60-BX59)*INDEX([2]小r将兵属性验证!$AA$7:$AA$166,$BQ60,1)+CI59</f>
        <v>29953164454.092186</v>
      </c>
      <c r="CJ60" s="29">
        <f>(BY60-BY59)*INDEX([2]小r将兵属性验证!$AB$7:$AB$166,$BQ60,1)+CJ59</f>
        <v>29953164454.092186</v>
      </c>
      <c r="CK60" s="29">
        <f>(BZ60-BZ59)*INDEX([2]小r将兵属性验证!$AU$7:$AU$166,$BQ60,1)+CK59</f>
        <v>89660630870.614548</v>
      </c>
      <c r="CL60" s="29">
        <f>(CA60-CA59)*INDEX([2]小r将兵属性验证!$AV$7:$AV$166,$BQ60,1)+CL59</f>
        <v>89660630870.614548</v>
      </c>
      <c r="CM60" s="29">
        <f>(CB60-CB59)*(INDEX([2]小r将兵属性验证!$AC$7:$AC$166,$BQ60,1)*[2]战法技能效用!$AH$4+INDEX([2]小r将兵属性验证!$AX$7:$AX$166,$BQ60,1)*[2]战法技能效用!$AI$4)+CM59</f>
        <v>127720539292.9473</v>
      </c>
      <c r="CN60" s="29">
        <f t="shared" si="49"/>
        <v>698835267687.92554</v>
      </c>
      <c r="CR60" s="29">
        <f>基础状态预期!D73</f>
        <v>72.103942950990486</v>
      </c>
      <c r="CS60" s="29">
        <f>IF(基础状态预期!AI73="",0,基础状态预期!AI73)*$AB$37*基础状态预期!J73</f>
        <v>3.5587051226344442</v>
      </c>
      <c r="CT60" s="29">
        <f>CS60*武将数量星级阶位验证!$E$7*1.8</f>
        <v>19217.007662225999</v>
      </c>
      <c r="CV60" s="29">
        <v>120</v>
      </c>
      <c r="CW60" s="29">
        <f t="shared" si="29"/>
        <v>777600</v>
      </c>
      <c r="CX60" s="29"/>
      <c r="CY60" s="29"/>
      <c r="CZ60" s="29">
        <f t="shared" si="50"/>
        <v>777600</v>
      </c>
    </row>
    <row r="61" spans="21:104" x14ac:dyDescent="0.15">
      <c r="AY61" s="17">
        <v>52</v>
      </c>
      <c r="AZ61" s="17">
        <f>求节点(基础状态预期!$D$17:$D$55,基础状态预期!$AI$17:$AI$55,$AY61)*求节点(基础状态预期!$D$17:$D$55,基础状态预期!$J$17:$J$55,$AY61)*$AB$49</f>
        <v>3.1216191220275262</v>
      </c>
      <c r="BA61" s="17">
        <f>求节点(基础状态预期!$D$62:$D$100,基础状态预期!$AI$62:$AI$100,$AY61)*求节点(基础状态预期!$D$62:$D$100,基础状态预期!$J$62:$J$100,$AY61)*$AB$49</f>
        <v>5.8318377290901475</v>
      </c>
      <c r="BB61" s="17">
        <f>求节点(基础状态预期!$D$107:$D$145,基础状态预期!$AI$107:$AI$145,$AY61)*求节点(基础状态预期!$D$107:$D$145,基础状态预期!$J$107:$J$145,$AY61)*$AB$49</f>
        <v>6.6229628628931287</v>
      </c>
      <c r="BC61" s="17">
        <f>求节点(基础状态预期!$D$152:$D$190,基础状态预期!$AI$152:$AI$190,$AY61)*求节点(基础状态预期!$D$62:$D$100,基础状态预期!$J$152:$J$190,$AY61)*$AB$49</f>
        <v>12.00911273114906</v>
      </c>
      <c r="BD61" s="17">
        <f>求节点(基础状态预期!$D$197:$D$235,基础状态预期!$AI$197:$AI$235,$AY61)*求节点(基础状态预期!$D$197:$D$235,基础状态预期!$J$197:$J$235,$AY61)*$AB$49</f>
        <v>18.395453134342418</v>
      </c>
      <c r="BQ61" s="29">
        <v>130</v>
      </c>
      <c r="BR61" s="29">
        <f>求节点(基础状态预期!$D$17:$D$55,基础状态预期!$AI$17:$AI$55,$BQ61)*SUM($AR$6:$AT$6)/3</f>
        <v>40</v>
      </c>
      <c r="BS61" s="29">
        <f>求节点(基础状态预期!$D$17:$D$55,基础状态预期!$AI$17:$AI$55,$BQ61)*AH$6</f>
        <v>2500</v>
      </c>
      <c r="BT61" s="145">
        <f t="shared" si="25"/>
        <v>2500</v>
      </c>
      <c r="BU61" s="29">
        <f>求节点(基础状态预期!$D$17:$D$55,基础状态预期!$AI$17:$AI$55,$BQ61)*AI$6</f>
        <v>120</v>
      </c>
      <c r="BV61" s="145">
        <f t="shared" si="26"/>
        <v>120</v>
      </c>
      <c r="BW61" s="29">
        <f>求节点(基础状态预期!$D$17:$D$55,基础状态预期!$AI$17:$AI$55,$BQ61)*$AU$6</f>
        <v>500</v>
      </c>
      <c r="BX61" s="29">
        <f>求节点(基础状态预期!$D$17:$D$55,基础状态预期!$AI$17:$AI$55,$BQ61)*$AJ$6</f>
        <v>0.12</v>
      </c>
      <c r="BY61" s="145">
        <f t="shared" ref="BY61" si="53">BX61</f>
        <v>0.12</v>
      </c>
      <c r="BZ61" s="29">
        <f>求节点(基础状态预期!$D$17:$D$55,基础状态预期!$AI$17:$AI$55,$BQ61)*$AK$6</f>
        <v>0.1</v>
      </c>
      <c r="CA61" s="145">
        <f t="shared" ref="CA61" si="54">BZ61</f>
        <v>0.1</v>
      </c>
      <c r="CB61" s="29">
        <f>求节点(基础状态预期!$D$17:$D$55,基础状态预期!$AI$17:$AI$55,$BQ61)*$W$60</f>
        <v>0.60000000000000009</v>
      </c>
      <c r="CC61" s="29">
        <f>($BR61-$BR60)*(INDEX([2]小r将兵属性验证!$V$7:$V$166,$BQ61,1)+INDEX([2]小r将兵属性验证!$AP$7:$AP$166,$BQ61,1))+CC60</f>
        <v>124217206981.97765</v>
      </c>
      <c r="CD61" s="29">
        <f>($BS61-$BS60)*INDEX([2]小r将兵属性验证!W$7:W$166,$BQ61,1)+CD60</f>
        <v>28330773123.736908</v>
      </c>
      <c r="CE61" s="29">
        <f>(BT61-$BT60)*INDEX([2]小r将兵属性验证!X$7:X$166,$BQ61,1)+CE60</f>
        <v>28330773123.736908</v>
      </c>
      <c r="CF61" s="29">
        <f>(BU61-BU60)*INDEX([2]小r将兵属性验证!$AQ$7:$AQ$166,$BQ61)+CF60</f>
        <v>75501925500.523483</v>
      </c>
      <c r="CG61" s="29">
        <f>(BV61-BV60)*INDEX([2]小r将兵属性验证!$AR$7:$AR$166,$BQ61)+CG60</f>
        <v>75501925500.523483</v>
      </c>
      <c r="CH61" s="29">
        <f>(BW61-BW60)*INDEX([2]小r将兵属性验证!$AM$7:$AM$166,$BQ61,1)+CH60</f>
        <v>4533515.0664767483</v>
      </c>
      <c r="CI61" s="29">
        <f>(BX61-BX60)*INDEX([2]小r将兵属性验证!$AA$7:$AA$166,$BQ61,1)+CI60</f>
        <v>29953164454.092186</v>
      </c>
      <c r="CJ61" s="29">
        <f>(BY61-BY60)*INDEX([2]小r将兵属性验证!$AB$7:$AB$166,$BQ61,1)+CJ60</f>
        <v>29953164454.092186</v>
      </c>
      <c r="CK61" s="29">
        <f>(BZ61-BZ60)*INDEX([2]小r将兵属性验证!$AU$7:$AU$166,$BQ61,1)+CK60</f>
        <v>89660630870.614548</v>
      </c>
      <c r="CL61" s="29">
        <f>(CA61-CA60)*INDEX([2]小r将兵属性验证!$AV$7:$AV$166,$BQ61,1)+CL60</f>
        <v>89660630870.614548</v>
      </c>
      <c r="CM61" s="29">
        <f>(CB61-CB60)*(INDEX([2]小r将兵属性验证!$AC$7:$AC$166,$BQ61,1)*[2]战法技能效用!$AH$4+INDEX([2]小r将兵属性验证!$AX$7:$AX$166,$BQ61,1)*[2]战法技能效用!$AI$4)+CM60</f>
        <v>127720539292.9473</v>
      </c>
      <c r="CN61" s="29">
        <f t="shared" si="49"/>
        <v>698835267687.92554</v>
      </c>
      <c r="CR61" s="29">
        <f>基础状态预期!D74</f>
        <v>74.74003809013405</v>
      </c>
      <c r="CS61" s="29">
        <f>IF(基础状态预期!AI74="",0,基础状态预期!AI74)*$AB$37*基础状态预期!J74</f>
        <v>4.339634581481099</v>
      </c>
      <c r="CT61" s="29">
        <f>CS61*武将数量星级阶位验证!$E$7*1.8</f>
        <v>23434.026739997938</v>
      </c>
      <c r="CV61" s="29">
        <v>130</v>
      </c>
      <c r="CW61" s="29">
        <f t="shared" si="29"/>
        <v>777600</v>
      </c>
      <c r="CX61" s="29"/>
      <c r="CY61" s="29"/>
      <c r="CZ61" s="29">
        <f t="shared" si="50"/>
        <v>777600</v>
      </c>
    </row>
    <row r="62" spans="21:104" x14ac:dyDescent="0.15">
      <c r="AY62" s="17">
        <v>53</v>
      </c>
      <c r="AZ62" s="17">
        <f>求节点(基础状态预期!$D$17:$D$55,基础状态预期!$AI$17:$AI$55,$AY62)*求节点(基础状态预期!$D$17:$D$55,基础状态预期!$J$17:$J$55,$AY62)*$AB$49</f>
        <v>6.165738177169672</v>
      </c>
      <c r="BA62" s="17">
        <f>求节点(基础状态预期!$D$62:$D$100,基础状态预期!$AI$62:$AI$100,$AY62)*求节点(基础状态预期!$D$62:$D$100,基础状态预期!$J$62:$J$100,$AY62)*$AB$49</f>
        <v>10.698437968507978</v>
      </c>
      <c r="BB62" s="17">
        <f>求节点(基础状态预期!$D$107:$D$145,基础状态预期!$AI$107:$AI$145,$AY62)*求节点(基础状态预期!$D$107:$D$145,基础状态预期!$J$107:$J$145,$AY62)*$AB$49</f>
        <v>12.17298823739678</v>
      </c>
      <c r="BC62" s="17">
        <f>求节点(基础状态预期!$D$152:$D$190,基础状态预期!$AI$152:$AI$190,$AY62)*求节点(基础状态预期!$D$62:$D$100,基础状态预期!$J$152:$J$190,$AY62)*$AB$49</f>
        <v>20.888171749017701</v>
      </c>
      <c r="BD62" s="17">
        <f>求节点(基础状态预期!$D$197:$D$235,基础状态预期!$AI$197:$AI$235,$AY62)*求节点(基础状态预期!$D$197:$D$235,基础状态预期!$J$197:$J$235,$AY62)*$AB$49</f>
        <v>28.367886267615578</v>
      </c>
      <c r="BQ62" s="29">
        <v>140</v>
      </c>
      <c r="BR62" s="29">
        <f>求节点(基础状态预期!$D$17:$D$55,基础状态预期!$AI$17:$AI$55,$BQ62)*SUM($AR$6:$AT$6)/3</f>
        <v>40</v>
      </c>
      <c r="BS62" s="29">
        <f>求节点(基础状态预期!$D$17:$D$55,基础状态预期!$AI$17:$AI$55,$BQ62)*AH$6</f>
        <v>2500</v>
      </c>
      <c r="BT62" s="145">
        <f t="shared" si="25"/>
        <v>2500</v>
      </c>
      <c r="BU62" s="29">
        <f>求节点(基础状态预期!$D$17:$D$55,基础状态预期!$AI$17:$AI$55,$BQ62)*AI$6</f>
        <v>120</v>
      </c>
      <c r="BV62" s="145">
        <f t="shared" si="26"/>
        <v>120</v>
      </c>
      <c r="BW62" s="29">
        <f>求节点(基础状态预期!$D$17:$D$55,基础状态预期!$AI$17:$AI$55,$BQ62)*$AU$6</f>
        <v>500</v>
      </c>
      <c r="BX62" s="29">
        <f>求节点(基础状态预期!$D$17:$D$55,基础状态预期!$AI$17:$AI$55,$BQ62)*$AJ$6</f>
        <v>0.12</v>
      </c>
      <c r="BY62" s="145">
        <f t="shared" ref="BY62" si="55">BX62</f>
        <v>0.12</v>
      </c>
      <c r="BZ62" s="29">
        <f>求节点(基础状态预期!$D$17:$D$55,基础状态预期!$AI$17:$AI$55,$BQ62)*$AK$6</f>
        <v>0.1</v>
      </c>
      <c r="CA62" s="145">
        <f t="shared" ref="CA62" si="56">BZ62</f>
        <v>0.1</v>
      </c>
      <c r="CB62" s="29">
        <f>求节点(基础状态预期!$D$17:$D$55,基础状态预期!$AI$17:$AI$55,$BQ62)*$W$60</f>
        <v>0.60000000000000009</v>
      </c>
      <c r="CC62" s="29">
        <f>($BR62-$BR61)*(INDEX([2]小r将兵属性验证!$V$7:$V$166,$BQ62,1)+INDEX([2]小r将兵属性验证!$AP$7:$AP$166,$BQ62,1))+CC61</f>
        <v>124217206981.97765</v>
      </c>
      <c r="CD62" s="29">
        <f>($BS62-$BS61)*INDEX([2]小r将兵属性验证!W$7:W$166,$BQ62,1)+CD61</f>
        <v>28330773123.736908</v>
      </c>
      <c r="CE62" s="29">
        <f>(BT62-$BT61)*INDEX([2]小r将兵属性验证!X$7:X$166,$BQ62,1)+CE61</f>
        <v>28330773123.736908</v>
      </c>
      <c r="CF62" s="29">
        <f>(BU62-BU61)*INDEX([2]小r将兵属性验证!$AQ$7:$AQ$166,$BQ62)+CF61</f>
        <v>75501925500.523483</v>
      </c>
      <c r="CG62" s="29">
        <f>(BV62-BV61)*INDEX([2]小r将兵属性验证!$AR$7:$AR$166,$BQ62)+CG61</f>
        <v>75501925500.523483</v>
      </c>
      <c r="CH62" s="29">
        <f>(BW62-BW61)*INDEX([2]小r将兵属性验证!$AM$7:$AM$166,$BQ62,1)+CH61</f>
        <v>4533515.0664767483</v>
      </c>
      <c r="CI62" s="29">
        <f>(BX62-BX61)*INDEX([2]小r将兵属性验证!$AA$7:$AA$166,$BQ62,1)+CI61</f>
        <v>29953164454.092186</v>
      </c>
      <c r="CJ62" s="29">
        <f>(BY62-BY61)*INDEX([2]小r将兵属性验证!$AB$7:$AB$166,$BQ62,1)+CJ61</f>
        <v>29953164454.092186</v>
      </c>
      <c r="CK62" s="29">
        <f>(BZ62-BZ61)*INDEX([2]小r将兵属性验证!$AU$7:$AU$166,$BQ62,1)+CK61</f>
        <v>89660630870.614548</v>
      </c>
      <c r="CL62" s="29">
        <f>(CA62-CA61)*INDEX([2]小r将兵属性验证!$AV$7:$AV$166,$BQ62,1)+CL61</f>
        <v>89660630870.614548</v>
      </c>
      <c r="CM62" s="29">
        <f>(CB62-CB61)*(INDEX([2]小r将兵属性验证!$AC$7:$AC$166,$BQ62,1)*[2]战法技能效用!$AH$4+INDEX([2]小r将兵属性验证!$AX$7:$AX$166,$BQ62,1)*[2]战法技能效用!$AI$4)+CM61</f>
        <v>127720539292.9473</v>
      </c>
      <c r="CN62" s="29">
        <f t="shared" si="49"/>
        <v>698835267687.92554</v>
      </c>
      <c r="CR62" s="29">
        <f>基础状态预期!D75</f>
        <v>77.609642525433856</v>
      </c>
      <c r="CS62" s="29">
        <f>IF(基础状态预期!AI75="",0,基础状态预期!AI75)*$AB$37*基础状态预期!J75</f>
        <v>5.3735131675897438</v>
      </c>
      <c r="CT62" s="29">
        <f>CS62*武将数量星级阶位验证!$E$7*1.8</f>
        <v>29016.971104984619</v>
      </c>
      <c r="CV62" s="29">
        <v>140</v>
      </c>
      <c r="CW62" s="29">
        <f t="shared" si="29"/>
        <v>777600</v>
      </c>
      <c r="CX62" s="29"/>
      <c r="CY62" s="29"/>
      <c r="CZ62" s="29">
        <f t="shared" si="50"/>
        <v>777600</v>
      </c>
    </row>
    <row r="63" spans="21:104" x14ac:dyDescent="0.15">
      <c r="AY63" s="17">
        <v>54</v>
      </c>
      <c r="AZ63" s="17">
        <f>求节点(基础状态预期!$D$17:$D$55,基础状态预期!$AI$17:$AI$55,$AY63)*求节点(基础状态预期!$D$17:$D$55,基础状态预期!$J$17:$J$55,$AY63)*$AB$49</f>
        <v>9.7118244388421271</v>
      </c>
      <c r="BA63" s="17">
        <f>求节点(基础状态预期!$D$62:$D$100,基础状态预期!$AI$62:$AI$100,$AY63)*求节点(基础状态预期!$D$62:$D$100,基础状态预期!$J$62:$J$100,$AY63)*$AB$49</f>
        <v>15.638080654998435</v>
      </c>
      <c r="BB63" s="17">
        <f>求节点(基础状态预期!$D$107:$D$145,基础状态预期!$AI$107:$AI$145,$AY63)*求节点(基础状态预期!$D$107:$D$145,基础状态预期!$J$107:$J$145,$AY63)*$AB$49</f>
        <v>17.742502693828978</v>
      </c>
      <c r="BC63" s="17">
        <f>求节点(基础状态预期!$D$152:$D$190,基础状态预期!$AI$152:$AI$190,$AY63)*求节点(基础状态预期!$D$62:$D$100,基础状态预期!$J$152:$J$190,$AY63)*$AB$49</f>
        <v>29.212945201568655</v>
      </c>
      <c r="BD63" s="17">
        <f>求节点(基础状态预期!$D$197:$D$235,基础状态预期!$AI$197:$AI$235,$AY63)*求节点(基础状态预期!$D$197:$D$235,基础状态预期!$J$197:$J$235,$AY63)*$AB$49</f>
        <v>37.542881344029887</v>
      </c>
      <c r="BQ63" s="29">
        <v>150</v>
      </c>
      <c r="BR63" s="29">
        <f>求节点(基础状态预期!$D$17:$D$55,基础状态预期!$AI$17:$AI$55,$BQ63)*SUM($AR$6:$AT$6)/3</f>
        <v>40</v>
      </c>
      <c r="BS63" s="29">
        <f>求节点(基础状态预期!$D$17:$D$55,基础状态预期!$AI$17:$AI$55,$BQ63)*AH$6</f>
        <v>2500</v>
      </c>
      <c r="BT63" s="145">
        <f t="shared" si="25"/>
        <v>2500</v>
      </c>
      <c r="BU63" s="29">
        <f>求节点(基础状态预期!$D$17:$D$55,基础状态预期!$AI$17:$AI$55,$BQ63)*AI$6</f>
        <v>120</v>
      </c>
      <c r="BV63" s="145">
        <f t="shared" si="26"/>
        <v>120</v>
      </c>
      <c r="BW63" s="29">
        <f>求节点(基础状态预期!$D$17:$D$55,基础状态预期!$AI$17:$AI$55,$BQ63)*$AU$6</f>
        <v>500</v>
      </c>
      <c r="BX63" s="29">
        <f>求节点(基础状态预期!$D$17:$D$55,基础状态预期!$AI$17:$AI$55,$BQ63)*$AJ$6</f>
        <v>0.12</v>
      </c>
      <c r="BY63" s="145">
        <f t="shared" ref="BY63" si="57">BX63</f>
        <v>0.12</v>
      </c>
      <c r="BZ63" s="29">
        <f>求节点(基础状态预期!$D$17:$D$55,基础状态预期!$AI$17:$AI$55,$BQ63)*$AK$6</f>
        <v>0.1</v>
      </c>
      <c r="CA63" s="145">
        <f t="shared" ref="CA63" si="58">BZ63</f>
        <v>0.1</v>
      </c>
      <c r="CB63" s="29">
        <f>求节点(基础状态预期!$D$17:$D$55,基础状态预期!$AI$17:$AI$55,$BQ63)*$W$60</f>
        <v>0.60000000000000009</v>
      </c>
      <c r="CC63" s="29">
        <f>($BR63-$BR62)*(INDEX([2]小r将兵属性验证!$V$7:$V$166,$BQ63,1)+INDEX([2]小r将兵属性验证!$AP$7:$AP$166,$BQ63,1))+CC62</f>
        <v>124217206981.97765</v>
      </c>
      <c r="CD63" s="29">
        <f>($BS63-$BS62)*INDEX([2]小r将兵属性验证!W$7:W$166,$BQ63,1)+CD62</f>
        <v>28330773123.736908</v>
      </c>
      <c r="CE63" s="29">
        <f>(BT63-$BT62)*INDEX([2]小r将兵属性验证!X$7:X$166,$BQ63,1)+CE62</f>
        <v>28330773123.736908</v>
      </c>
      <c r="CF63" s="29">
        <f>(BU63-BU62)*INDEX([2]小r将兵属性验证!$AQ$7:$AQ$166,$BQ63)+CF62</f>
        <v>75501925500.523483</v>
      </c>
      <c r="CG63" s="29">
        <f>(BV63-BV62)*INDEX([2]小r将兵属性验证!$AR$7:$AR$166,$BQ63)+CG62</f>
        <v>75501925500.523483</v>
      </c>
      <c r="CH63" s="29">
        <f>(BW63-BW62)*INDEX([2]小r将兵属性验证!$AM$7:$AM$166,$BQ63,1)+CH62</f>
        <v>4533515.0664767483</v>
      </c>
      <c r="CI63" s="29">
        <f>(BX63-BX62)*INDEX([2]小r将兵属性验证!$AA$7:$AA$166,$BQ63,1)+CI62</f>
        <v>29953164454.092186</v>
      </c>
      <c r="CJ63" s="29">
        <f>(BY63-BY62)*INDEX([2]小r将兵属性验证!$AB$7:$AB$166,$BQ63,1)+CJ62</f>
        <v>29953164454.092186</v>
      </c>
      <c r="CK63" s="29">
        <f>(BZ63-BZ62)*INDEX([2]小r将兵属性验证!$AU$7:$AU$166,$BQ63,1)+CK62</f>
        <v>89660630870.614548</v>
      </c>
      <c r="CL63" s="29">
        <f>(CA63-CA62)*INDEX([2]小r将兵属性验证!$AV$7:$AV$166,$BQ63,1)+CL62</f>
        <v>89660630870.614548</v>
      </c>
      <c r="CM63" s="29">
        <f>(CB63-CB62)*(INDEX([2]小r将兵属性验证!$AC$7:$AC$166,$BQ63,1)*[2]战法技能效用!$AH$4+INDEX([2]小r将兵属性验证!$AX$7:$AX$166,$BQ63,1)*[2]战法技能效用!$AI$4)+CM62</f>
        <v>127720539292.9473</v>
      </c>
      <c r="CN63" s="29">
        <f t="shared" si="49"/>
        <v>698835267687.92554</v>
      </c>
      <c r="CR63" s="29">
        <f>基础状态预期!D76</f>
        <v>79.994335665275713</v>
      </c>
      <c r="CS63" s="29">
        <f>IF(基础状态预期!AI76="",0,基础状态预期!AI76)*$AB$37*基础状态预期!J76</f>
        <v>6.2747607961221021</v>
      </c>
      <c r="CT63" s="29">
        <f>CS63*武将数量星级阶位验证!$E$7*1.8</f>
        <v>33883.708299059355</v>
      </c>
      <c r="CV63" s="29">
        <v>150</v>
      </c>
      <c r="CW63" s="29">
        <f t="shared" si="29"/>
        <v>777600</v>
      </c>
      <c r="CX63" s="29"/>
      <c r="CY63" s="29"/>
      <c r="CZ63" s="29">
        <f t="shared" si="50"/>
        <v>777600</v>
      </c>
    </row>
    <row r="64" spans="21:104" x14ac:dyDescent="0.15">
      <c r="AY64" s="17">
        <v>55</v>
      </c>
      <c r="AZ64" s="17">
        <f>求节点(基础状态预期!$D$17:$D$55,基础状态预期!$AI$17:$AI$55,$AY64)*求节点(基础状态预期!$D$17:$D$55,基础状态预期!$J$17:$J$55,$AY64)*$AB$49</f>
        <v>13.256159240925838</v>
      </c>
      <c r="BA64" s="17">
        <f>求节点(基础状态预期!$D$62:$D$100,基础状态预期!$AI$62:$AI$100,$AY64)*求节点(基础状态预期!$D$62:$D$100,基础状态预期!$J$62:$J$100,$AY64)*$AB$49</f>
        <v>21.043914077131259</v>
      </c>
      <c r="BB64" s="17">
        <f>求节点(基础状态预期!$D$107:$D$145,基础状态预期!$AI$107:$AI$145,$AY64)*求节点(基础状态预期!$D$107:$D$145,基础状态预期!$J$107:$J$145,$AY64)*$AB$49</f>
        <v>23.844954464790725</v>
      </c>
      <c r="BC64" s="17">
        <f>求节点(基础状态预期!$D$152:$D$190,基础状态预期!$AI$152:$AI$190,$AY64)*求节点(基础状态预期!$D$62:$D$100,基础状态预期!$J$152:$J$190,$AY64)*$AB$49</f>
        <v>38.423080541979303</v>
      </c>
      <c r="BD64" s="17">
        <f>求节点(基础状态预期!$D$197:$D$235,基础状态预期!$AI$197:$AI$235,$AY64)*求节点(基础状态预期!$D$197:$D$235,基础状态预期!$J$197:$J$235,$AY64)*$AB$49</f>
        <v>48.000170860985186</v>
      </c>
      <c r="BQ64" s="29">
        <v>160</v>
      </c>
      <c r="BR64" s="29">
        <f>求节点(基础状态预期!$D$17:$D$55,基础状态预期!$AI$17:$AI$55,$BQ64)*SUM($AR$6:$AT$6)/3</f>
        <v>40</v>
      </c>
      <c r="BS64" s="29">
        <f>求节点(基础状态预期!$D$17:$D$55,基础状态预期!$AI$17:$AI$55,$BQ64)*AH$6</f>
        <v>2500</v>
      </c>
      <c r="BT64" s="145">
        <f t="shared" si="25"/>
        <v>2500</v>
      </c>
      <c r="BU64" s="29">
        <f>求节点(基础状态预期!$D$17:$D$55,基础状态预期!$AI$17:$AI$55,$BQ64)*AI$6</f>
        <v>120</v>
      </c>
      <c r="BV64" s="145">
        <f t="shared" si="26"/>
        <v>120</v>
      </c>
      <c r="BW64" s="29">
        <f>求节点(基础状态预期!$D$17:$D$55,基础状态预期!$AI$17:$AI$55,$BQ64)*$AU$6</f>
        <v>500</v>
      </c>
      <c r="BX64" s="29">
        <f>求节点(基础状态预期!$D$17:$D$55,基础状态预期!$AI$17:$AI$55,$BQ64)*$AJ$6</f>
        <v>0.12</v>
      </c>
      <c r="BY64" s="145">
        <f t="shared" ref="BY64" si="59">BX64</f>
        <v>0.12</v>
      </c>
      <c r="BZ64" s="29">
        <f>求节点(基础状态预期!$D$17:$D$55,基础状态预期!$AI$17:$AI$55,$BQ64)*$AK$6</f>
        <v>0.1</v>
      </c>
      <c r="CA64" s="145">
        <f t="shared" ref="CA64" si="60">BZ64</f>
        <v>0.1</v>
      </c>
      <c r="CB64" s="29">
        <f>求节点(基础状态预期!$D$17:$D$55,基础状态预期!$AI$17:$AI$55,$BQ64)*$W$60</f>
        <v>0.60000000000000009</v>
      </c>
      <c r="CC64" s="29">
        <f>($BR64-$BR63)*(INDEX([2]小r将兵属性验证!$V$7:$V$166,$BQ64,1)+INDEX([2]小r将兵属性验证!$AP$7:$AP$166,$BQ64,1))+CC63</f>
        <v>124217206981.97765</v>
      </c>
      <c r="CD64" s="29">
        <f>($BS64-$BS63)*INDEX([2]小r将兵属性验证!W$7:W$166,$BQ64,1)+CD63</f>
        <v>28330773123.736908</v>
      </c>
      <c r="CE64" s="29">
        <f>(BT64-$BT63)*INDEX([2]小r将兵属性验证!X$7:X$166,$BQ64,1)+CE63</f>
        <v>28330773123.736908</v>
      </c>
      <c r="CF64" s="29">
        <f>(BU64-BU63)*INDEX([2]小r将兵属性验证!$AQ$7:$AQ$166,$BQ64)+CF63</f>
        <v>75501925500.523483</v>
      </c>
      <c r="CG64" s="29">
        <f>(BV64-BV63)*INDEX([2]小r将兵属性验证!$AR$7:$AR$166,$BQ64)+CG63</f>
        <v>75501925500.523483</v>
      </c>
      <c r="CH64" s="29">
        <f>(BW64-BW63)*INDEX([2]小r将兵属性验证!$AM$7:$AM$166,$BQ64,1)+CH63</f>
        <v>4533515.0664767483</v>
      </c>
      <c r="CI64" s="29">
        <f>(BX64-BX63)*INDEX([2]小r将兵属性验证!$AA$7:$AA$166,$BQ64,1)+CI63</f>
        <v>29953164454.092186</v>
      </c>
      <c r="CJ64" s="29">
        <f>(BY64-BY63)*INDEX([2]小r将兵属性验证!$AB$7:$AB$166,$BQ64,1)+CJ63</f>
        <v>29953164454.092186</v>
      </c>
      <c r="CK64" s="29">
        <f>(BZ64-BZ63)*INDEX([2]小r将兵属性验证!$AU$7:$AU$166,$BQ64,1)+CK63</f>
        <v>89660630870.614548</v>
      </c>
      <c r="CL64" s="29">
        <f>(CA64-CA63)*INDEX([2]小r将兵属性验证!$AV$7:$AV$166,$BQ64,1)+CL63</f>
        <v>89660630870.614548</v>
      </c>
      <c r="CM64" s="29">
        <f>(CB64-CB63)*(INDEX([2]小r将兵属性验证!$AC$7:$AC$166,$BQ64,1)*[2]战法技能效用!$AH$4+INDEX([2]小r将兵属性验证!$AX$7:$AX$166,$BQ64,1)*[2]战法技能效用!$AI$4)+CM63</f>
        <v>127720539292.9473</v>
      </c>
      <c r="CN64" s="29">
        <f t="shared" si="49"/>
        <v>698835267687.92554</v>
      </c>
      <c r="CR64" s="29">
        <f>基础状态预期!D77</f>
        <v>82.100546804797787</v>
      </c>
      <c r="CS64" s="29">
        <f>IF(基础状态预期!AI77="",0,基础状态预期!AI77)*$AB$37*基础状态预期!J77</f>
        <v>7.1925548193158599</v>
      </c>
      <c r="CT64" s="29">
        <f>CS64*武将数量星级阶位验证!$E$7*1.8</f>
        <v>38839.796024305644</v>
      </c>
      <c r="CV64" s="29">
        <v>160</v>
      </c>
      <c r="CW64" s="29">
        <f t="shared" si="29"/>
        <v>777600</v>
      </c>
      <c r="CX64" s="29"/>
      <c r="CY64" s="29"/>
      <c r="CZ64" s="29">
        <f t="shared" si="50"/>
        <v>777600</v>
      </c>
    </row>
    <row r="65" spans="51:98" x14ac:dyDescent="0.15">
      <c r="AY65" s="17">
        <v>56</v>
      </c>
      <c r="AZ65" s="17">
        <f>求节点(基础状态预期!$D$17:$D$55,基础状态预期!$AI$17:$AI$55,$AY65)*求节点(基础状态预期!$D$17:$D$55,基础状态预期!$J$17:$J$55,$AY65)*$AB$49</f>
        <v>17.350110300713368</v>
      </c>
      <c r="BA65" s="17">
        <f>求节点(基础状态预期!$D$62:$D$100,基础状态预期!$AI$62:$AI$100,$AY65)*求节点(基础状态预期!$D$62:$D$100,基础状态预期!$J$62:$J$100,$AY65)*$AB$49</f>
        <v>27.249190317652587</v>
      </c>
      <c r="BB65" s="17">
        <f>求节点(基础状态预期!$D$107:$D$145,基础状态预期!$AI$107:$AI$145,$AY65)*求节点(基础状态预期!$D$107:$D$145,基础状态预期!$J$107:$J$145,$AY65)*$AB$49</f>
        <v>30.845092357398212</v>
      </c>
      <c r="BC65" s="17">
        <f>求节点(基础状态预期!$D$152:$D$190,基础状态预期!$AI$152:$AI$190,$AY65)*求节点(基础状态预期!$D$62:$D$100,基础状态预期!$J$152:$J$190,$AY65)*$AB$49</f>
        <v>48.8916970037155</v>
      </c>
      <c r="BD65" s="17">
        <f>求节点(基础状态预期!$D$197:$D$235,基础状态预期!$AI$197:$AI$235,$AY65)*求节点(基础状态预期!$D$197:$D$235,基础状态预期!$J$197:$J$235,$AY65)*$AB$49</f>
        <v>59.739754818481465</v>
      </c>
      <c r="CR65" s="29">
        <f>基础状态预期!D78</f>
        <v>83.885420957389968</v>
      </c>
      <c r="CS65" s="29">
        <f>IF(基础状态预期!AI78="",0,基础状态预期!AI78)*$AB$37*基础状态预期!J78</f>
        <v>8.0642167146563022</v>
      </c>
      <c r="CT65" s="29">
        <f>CS65*武将数量星级阶位验证!$E$7*1.8</f>
        <v>43546.770259144032</v>
      </c>
    </row>
    <row r="66" spans="51:98" x14ac:dyDescent="0.15">
      <c r="AY66" s="17">
        <v>57</v>
      </c>
      <c r="AZ66" s="17">
        <f>求节点(基础状态预期!$D$17:$D$55,基础状态预期!$AI$17:$AI$55,$AY66)*求节点(基础状态预期!$D$17:$D$55,基础状态预期!$J$17:$J$55,$AY66)*$AB$49</f>
        <v>21.993677618204714</v>
      </c>
      <c r="BA66" s="17">
        <f>求节点(基础状态预期!$D$62:$D$100,基础状态预期!$AI$62:$AI$100,$AY66)*求节点(基础状态预期!$D$62:$D$100,基础状态预期!$J$62:$J$100,$AY66)*$AB$49</f>
        <v>34.253909376562426</v>
      </c>
      <c r="BB66" s="17">
        <f>求节点(基础状态预期!$D$107:$D$145,基础状态预期!$AI$107:$AI$145,$AY66)*求节点(基础状态预期!$D$107:$D$145,基础状态预期!$J$107:$J$145,$AY66)*$AB$49</f>
        <v>38.742916371651447</v>
      </c>
      <c r="BC66" s="17">
        <f>求节点(基础状态预期!$D$152:$D$190,基础状态预期!$AI$152:$AI$190,$AY66)*求节点(基础状态预期!$D$62:$D$100,基础状态预期!$J$152:$J$190,$AY66)*$AB$49</f>
        <v>60.618794586777234</v>
      </c>
      <c r="BD66" s="17">
        <f>求节点(基础状态预期!$D$197:$D$235,基础状态预期!$AI$197:$AI$235,$AY66)*求节点(基础状态预期!$D$197:$D$235,基础状态预期!$J$197:$J$235,$AY66)*$AB$49</f>
        <v>72.761633216518746</v>
      </c>
      <c r="CR66" s="29">
        <f>基础状态预期!D79</f>
        <v>86.247032860782397</v>
      </c>
      <c r="CS66" s="29">
        <f>IF(基础状态预期!AI79="",0,基础状态预期!AI79)*$AB$37*基础状态预期!J79</f>
        <v>9.365635848469573</v>
      </c>
      <c r="CT66" s="29">
        <f>CS66*武将数量星级阶位验证!$E$7*1.8</f>
        <v>50574.433581735691</v>
      </c>
    </row>
    <row r="67" spans="51:98" x14ac:dyDescent="0.15">
      <c r="AY67" s="17">
        <v>58</v>
      </c>
      <c r="AZ67" s="17">
        <f>求节点(基础状态预期!$D$17:$D$55,基础状态预期!$AI$17:$AI$55,$AY67)*求节点(基础状态预期!$D$17:$D$55,基础状态预期!$J$17:$J$55,$AY67)*$AB$49</f>
        <v>27.186861193399885</v>
      </c>
      <c r="BA67" s="17">
        <f>求节点(基础状态预期!$D$62:$D$100,基础状态预期!$AI$62:$AI$100,$AY67)*求节点(基础状态预期!$D$62:$D$100,基础状态预期!$J$62:$J$100,$AY67)*$AB$49</f>
        <v>42.058071253860774</v>
      </c>
      <c r="BB67" s="17">
        <f>求节点(基础状态预期!$D$107:$D$145,基础状态预期!$AI$107:$AI$145,$AY67)*求节点(基础状态预期!$D$107:$D$145,基础状态预期!$J$107:$J$145,$AY67)*$AB$49</f>
        <v>47.538426507550419</v>
      </c>
      <c r="BC67" s="17">
        <f>求节点(基础状态预期!$D$152:$D$190,基础状态预期!$AI$152:$AI$190,$AY67)*求节点(基础状态预期!$D$62:$D$100,基础状态预期!$J$152:$J$190,$AY67)*$AB$49</f>
        <v>73.604373291164535</v>
      </c>
      <c r="BD67" s="17">
        <f>求节点(基础状态预期!$D$197:$D$235,基础状态预期!$AI$197:$AI$235,$AY67)*求节点(基础状态预期!$D$197:$D$235,基础状态预期!$J$197:$J$235,$AY67)*$AB$49</f>
        <v>87.065806055097013</v>
      </c>
      <c r="CR67" s="29">
        <f>基础状态预期!D80</f>
        <v>90.122782504866933</v>
      </c>
      <c r="CS67" s="29">
        <f>IF(基础状态预期!AI80="",0,基础状态预期!AI80)*$AB$37*基础状态预期!J80</f>
        <v>11.689487146023527</v>
      </c>
      <c r="CT67" s="29">
        <f>CS67*武将数量星级阶位验证!$E$7*1.8</f>
        <v>63123.230588527047</v>
      </c>
    </row>
    <row r="68" spans="51:98" x14ac:dyDescent="0.15">
      <c r="AY68" s="17">
        <v>59</v>
      </c>
      <c r="AZ68" s="17">
        <f>求节点(基础状态预期!$D$17:$D$55,基础状态预期!$AI$17:$AI$55,$AY68)*求节点(基础状态预期!$D$17:$D$55,基础状态预期!$J$17:$J$55,$AY68)*$AB$49</f>
        <v>32.929661026298881</v>
      </c>
      <c r="BA68" s="17">
        <f>求节点(基础状态预期!$D$62:$D$100,基础状态预期!$AI$62:$AI$100,$AY68)*求节点(基础状态预期!$D$62:$D$100,基础状态预期!$J$62:$J$100,$AY68)*$AB$49</f>
        <v>50.661675949547615</v>
      </c>
      <c r="BB68" s="17">
        <f>求节点(基础状态预期!$D$107:$D$145,基础状态预期!$AI$107:$AI$145,$AY68)*求节点(基础状态预期!$D$107:$D$145,基础状态预期!$J$107:$J$145,$AY68)*$AB$49</f>
        <v>57.231622765095153</v>
      </c>
      <c r="BC68" s="17">
        <f>求节点(基础状态预期!$D$152:$D$190,基础状态预期!$AI$152:$AI$190,$AY68)*求节点(基础状态预期!$D$62:$D$100,基础状态预期!$J$152:$J$190,$AY68)*$AB$49</f>
        <v>90.975395040492955</v>
      </c>
      <c r="BD68" s="17">
        <f>求节点(基础状态预期!$D$197:$D$235,基础状态预期!$AI$197:$AI$235,$AY68)*求节点(基础状态预期!$D$197:$D$235,基础状态预期!$J$197:$J$235,$AY68)*$AB$49</f>
        <v>106.72991096968113</v>
      </c>
      <c r="CR68" s="29">
        <f>基础状态预期!D81</f>
        <v>93.149045658279036</v>
      </c>
      <c r="CS68" s="29">
        <f>IF(基础状态预期!AI81="",0,基础状态预期!AI81)*$AB$37*基础状态预期!J81</f>
        <v>13.948916453523125</v>
      </c>
      <c r="CT68" s="29">
        <f>CS68*武将数量星级阶位验证!$E$7*1.8</f>
        <v>75324.148849024874</v>
      </c>
    </row>
    <row r="69" spans="51:98" x14ac:dyDescent="0.15">
      <c r="AY69" s="17">
        <v>60</v>
      </c>
      <c r="AZ69" s="17">
        <f>求节点(基础状态预期!$D$17:$D$55,基础状态预期!$AI$17:$AI$55,$AY69)*求节点(基础状态预期!$D$17:$D$55,基础状态预期!$J$17:$J$55,$AY69)*$AB$49</f>
        <v>41.730857379556532</v>
      </c>
      <c r="BA69" s="17">
        <f>求节点(基础状态预期!$D$62:$D$100,基础状态预期!$AI$62:$AI$100,$AY69)*求节点(基础状态预期!$D$62:$D$100,基础状态预期!$J$62:$J$100,$AY69)*$AB$49</f>
        <v>65.521314103892706</v>
      </c>
      <c r="BB69" s="17">
        <f>求节点(基础状态预期!$D$107:$D$145,基础状态预期!$AI$107:$AI$145,$AY69)*求节点(基础状态预期!$D$107:$D$145,基础状态预期!$J$107:$J$145,$AY69)*$AB$49</f>
        <v>73.944417823715327</v>
      </c>
      <c r="BC69" s="17">
        <f>求节点(基础状态预期!$D$152:$D$190,基础状态预期!$AI$152:$AI$190,$AY69)*求节点(基础状态预期!$D$62:$D$100,基础状态预期!$J$152:$J$190,$AY69)*$AB$49</f>
        <v>118.16754458596708</v>
      </c>
      <c r="BD69" s="17">
        <f>求节点(基础状态预期!$D$197:$D$235,基础状态预期!$AI$197:$AI$235,$AY69)*求节点(基础状态预期!$D$197:$D$235,基础状态预期!$J$197:$J$235,$AY69)*$AB$49</f>
        <v>134.01388859215956</v>
      </c>
      <c r="CR69" s="29">
        <f>基础状态预期!D82</f>
        <v>96.770480813454071</v>
      </c>
      <c r="CS69" s="29">
        <f>IF(基础状态预期!AI82="",0,基础状态预期!AI82)*$AB$37*基础状态预期!J82</f>
        <v>50.445736474758228</v>
      </c>
      <c r="CT69" s="29">
        <f>CS69*武将数量星级阶位验证!$E$7*1.8</f>
        <v>272406.97696369444</v>
      </c>
    </row>
    <row r="70" spans="51:98" x14ac:dyDescent="0.15">
      <c r="AY70" s="17">
        <v>61</v>
      </c>
      <c r="AZ70" s="17">
        <f>求节点(基础状态预期!$D$17:$D$55,基础状态预期!$AI$17:$AI$55,$AY70)*求节点(基础状态预期!$D$17:$D$55,基础状态预期!$J$17:$J$55,$AY70)*$AB$49</f>
        <v>52.654205561506288</v>
      </c>
      <c r="BA70" s="17">
        <f>求节点(基础状态预期!$D$62:$D$100,基础状态预期!$AI$62:$AI$100,$AY70)*求节点(基础状态预期!$D$62:$D$100,基础状态预期!$J$62:$J$100,$AY70)*$AB$49</f>
        <v>82.150595046659419</v>
      </c>
      <c r="BB70" s="17">
        <f>求节点(基础状态预期!$D$107:$D$145,基础状态预期!$AI$107:$AI$145,$AY70)*求节点(基础状态预期!$D$107:$D$145,基础状态预期!$J$107:$J$145,$AY70)*$AB$49</f>
        <v>93.207897008800714</v>
      </c>
      <c r="BC70" s="17">
        <f>求节点(基础状态预期!$D$152:$D$190,基础状态预期!$AI$152:$AI$190,$AY70)*求节点(基础状态预期!$D$62:$D$100,基础状态预期!$J$152:$J$190,$AY70)*$AB$49</f>
        <v>148.44356354427978</v>
      </c>
      <c r="BD70" s="17">
        <f>求节点(基础状态预期!$D$197:$D$235,基础状态预期!$AI$197:$AI$235,$AY70)*求节点(基础状态预期!$D$197:$D$235,基础状态预期!$J$197:$J$235,$AY70)*$AB$49</f>
        <v>164.14657143988856</v>
      </c>
      <c r="CR70" s="29">
        <f>基础状态预期!D83</f>
        <v>100.40175326279811</v>
      </c>
      <c r="CS70" s="29">
        <f>IF(基础状态预期!AI83="",0,基础状态预期!AI83)*$AB$37*基础状态预期!J83</f>
        <v>72.724530338090474</v>
      </c>
      <c r="CT70" s="29">
        <f>CS70*武将数量星级阶位验证!$E$7*1.8</f>
        <v>392712.46382568858</v>
      </c>
    </row>
    <row r="71" spans="51:98" x14ac:dyDescent="0.15">
      <c r="AY71" s="17">
        <v>62</v>
      </c>
      <c r="AZ71" s="17">
        <f>求节点(基础状态预期!$D$17:$D$55,基础状态预期!$AI$17:$AI$55,$AY71)*求节点(基础状态预期!$D$17:$D$55,基础状态预期!$J$17:$J$55,$AY71)*$AB$49</f>
        <v>64.712118978317164</v>
      </c>
      <c r="BA71" s="17">
        <f>求节点(基础状态预期!$D$62:$D$100,基础状态预期!$AI$62:$AI$100,$AY71)*求节点(基础状态预期!$D$62:$D$100,基础状态预期!$J$62:$J$100,$AY71)*$AB$49</f>
        <v>100.46610782485011</v>
      </c>
      <c r="BB71" s="17">
        <f>求节点(基础状态预期!$D$107:$D$145,基础状态预期!$AI$107:$AI$145,$AY71)*求节点(基础状态预期!$D$107:$D$145,基础状态预期!$J$107:$J$145,$AY71)*$AB$49</f>
        <v>114.45912301235597</v>
      </c>
      <c r="BC71" s="17">
        <f>求节点(基础状态预期!$D$152:$D$190,基础状态预期!$AI$152:$AI$190,$AY71)*求节点(基础状态预期!$D$62:$D$100,基础状态预期!$J$152:$J$190,$AY71)*$AB$49</f>
        <v>181.80290136474463</v>
      </c>
      <c r="BD71" s="17">
        <f>求节点(基础状态预期!$D$197:$D$235,基础状态预期!$AI$197:$AI$235,$AY71)*求节点(基础状态预期!$D$197:$D$235,基础状态预期!$J$197:$J$235,$AY71)*$AB$49</f>
        <v>197.12795951286813</v>
      </c>
      <c r="CR71" s="29">
        <f>基础状态预期!D84</f>
        <v>104.06236366727887</v>
      </c>
      <c r="CS71" s="29">
        <f>IF(基础状态预期!AI84="",0,基础状态预期!AI84)*$AB$37*基础状态预期!J84</f>
        <v>144</v>
      </c>
      <c r="CT71" s="29">
        <f>CS71*武将数量星级阶位验证!$E$7*1.8</f>
        <v>777600</v>
      </c>
    </row>
    <row r="72" spans="51:98" x14ac:dyDescent="0.15">
      <c r="AY72" s="17">
        <v>63</v>
      </c>
      <c r="AZ72" s="17">
        <f>求节点(基础状态预期!$D$17:$D$55,基础状态预期!$AI$17:$AI$55,$AY72)*求节点(基础状态预期!$D$17:$D$55,基础状态预期!$J$17:$J$55,$AY72)*$AB$49</f>
        <v>77.904597629989198</v>
      </c>
      <c r="BA72" s="17">
        <f>求节点(基础状态预期!$D$62:$D$100,基础状态预期!$AI$62:$AI$100,$AY72)*求节点(基础状态预期!$D$62:$D$100,基础状态预期!$J$62:$J$100,$AY72)*$AB$49</f>
        <v>120.46785243846473</v>
      </c>
      <c r="BB72" s="17">
        <f>求节点(基础状态预期!$D$107:$D$145,基础状态预期!$AI$107:$AI$145,$AY72)*求节点(基础状态预期!$D$107:$D$145,基础状态预期!$J$107:$J$145,$AY72)*$AB$49</f>
        <v>137.69809583438112</v>
      </c>
      <c r="BC72" s="17">
        <f>求节点(基础状态预期!$D$152:$D$190,基础状态预期!$AI$152:$AI$190,$AY72)*求节点(基础状态预期!$D$62:$D$100,基础状态预期!$J$152:$J$190,$AY72)*$AB$49</f>
        <v>218.2455580473617</v>
      </c>
      <c r="BD72" s="17">
        <f>求节点(基础状态预期!$D$197:$D$235,基础状态预期!$AI$197:$AI$235,$AY72)*求节点(基础状态预期!$D$197:$D$235,基础状态预期!$J$197:$J$235,$AY72)*$AB$49</f>
        <v>232.95805281109818</v>
      </c>
      <c r="CR72" s="29">
        <f>基础状态预期!D85</f>
        <v>107.42257994053838</v>
      </c>
      <c r="CS72" s="29">
        <f>IF(基础状态预期!AI85="",0,基础状态预期!AI85)*$AB$37*基础状态预期!J85</f>
        <v>144</v>
      </c>
      <c r="CT72" s="29">
        <f>CS72*武将数量星级阶位验证!$E$7*1.8</f>
        <v>777600</v>
      </c>
    </row>
    <row r="73" spans="51:98" x14ac:dyDescent="0.15">
      <c r="AY73" s="17">
        <v>64</v>
      </c>
      <c r="AZ73" s="17">
        <f>求节点(基础状态预期!$D$17:$D$55,基础状态预期!$AI$17:$AI$55,$AY73)*求节点(基础状态预期!$D$17:$D$55,基础状态预期!$J$17:$J$55,$AY73)*$AB$49</f>
        <v>92.231641516522359</v>
      </c>
      <c r="BA73" s="17">
        <f>求节点(基础状态预期!$D$62:$D$100,基础状态预期!$AI$62:$AI$100,$AY73)*求节点(基础状态预期!$D$62:$D$100,基础状态预期!$J$62:$J$100,$AY73)*$AB$49</f>
        <v>142.15582888750333</v>
      </c>
      <c r="BB73" s="17">
        <f>求节点(基础状态预期!$D$107:$D$145,基础状态预期!$AI$107:$AI$145,$AY73)*求节点(基础状态预期!$D$107:$D$145,基础状态预期!$J$107:$J$145,$AY73)*$AB$49</f>
        <v>162.92481547487608</v>
      </c>
      <c r="BC73" s="17">
        <f>求节点(基础状态预期!$D$152:$D$190,基础状态预期!$AI$152:$AI$190,$AY73)*求节点(基础状态预期!$D$62:$D$100,基础状态预期!$J$152:$J$190,$AY73)*$AB$49</f>
        <v>257.77153359213082</v>
      </c>
      <c r="BD73" s="17">
        <f>求节点(基础状态预期!$D$197:$D$235,基础状态预期!$AI$197:$AI$235,$AY73)*求节点(基础状态预期!$D$197:$D$235,基础状态预期!$J$197:$J$235,$AY73)*$AB$49</f>
        <v>271.63685133457886</v>
      </c>
      <c r="CR73" s="29">
        <f>基础状态预期!D86</f>
        <v>111.00691759243479</v>
      </c>
      <c r="CS73" s="29">
        <f>IF(基础状态预期!AI86="",0,基础状态预期!AI86)*$AB$37*基础状态预期!J86</f>
        <v>144</v>
      </c>
      <c r="CT73" s="29">
        <f>CS73*武将数量星级阶位验证!$E$7*1.8</f>
        <v>777600</v>
      </c>
    </row>
    <row r="74" spans="51:98" x14ac:dyDescent="0.15">
      <c r="AY74" s="17">
        <v>65</v>
      </c>
      <c r="AZ74" s="17">
        <f>求节点(基础状态预期!$D$17:$D$55,基础状态预期!$AI$17:$AI$55,$AY74)*求节点(基础状态预期!$D$17:$D$55,基础状态预期!$J$17:$J$55,$AY74)*$AB$49</f>
        <v>107.69325063791668</v>
      </c>
      <c r="BA74" s="17">
        <f>求节点(基础状态预期!$D$62:$D$100,基础状态预期!$AI$62:$AI$100,$AY74)*求节点(基础状态预期!$D$62:$D$100,基础状态预期!$J$62:$J$100,$AY74)*$AB$49</f>
        <v>164.67407645643928</v>
      </c>
      <c r="BB74" s="17">
        <f>求节点(基础状态预期!$D$107:$D$145,基础状态预期!$AI$107:$AI$145,$AY74)*求节点(基础状态预期!$D$107:$D$145,基础状态预期!$J$107:$J$145,$AY74)*$AB$49</f>
        <v>189.68935344201395</v>
      </c>
      <c r="BC74" s="17">
        <f>求节点(基础状态预期!$D$152:$D$190,基础状态预期!$AI$152:$AI$190,$AY74)*求节点(基础状态预期!$D$62:$D$100,基础状态预期!$J$152:$J$190,$AY74)*$AB$49</f>
        <v>295.68147615687184</v>
      </c>
      <c r="BD74" s="17">
        <f>求节点(基础状态预期!$D$197:$D$235,基础状态预期!$AI$197:$AI$235,$AY74)*求节点(基础状态预期!$D$197:$D$235,基础状态预期!$J$197:$J$235,$AY74)*$AB$49</f>
        <v>310.84698584727482</v>
      </c>
      <c r="CR74" s="29">
        <f>基础状态预期!D87</f>
        <v>114.47614359759058</v>
      </c>
      <c r="CS74" s="29">
        <f>IF(基础状态预期!AI87="",0,基础状态预期!AI87)*$AB$37*基础状态预期!J87</f>
        <v>144</v>
      </c>
      <c r="CT74" s="29">
        <f>CS74*武将数量星级阶位验证!$E$7*1.8</f>
        <v>777600</v>
      </c>
    </row>
    <row r="75" spans="51:98" x14ac:dyDescent="0.15">
      <c r="AY75" s="17">
        <v>66</v>
      </c>
      <c r="AZ75" s="17">
        <f>求节点(基础状态预期!$D$17:$D$55,基础状态预期!$AI$17:$AI$55,$AY75)*求节点(基础状态预期!$D$17:$D$55,基础状态预期!$J$17:$J$55,$AY75)*$AB$49</f>
        <v>119.48249233580293</v>
      </c>
      <c r="BA75" s="17">
        <f>求节点(基础状态预期!$D$62:$D$100,基础状态预期!$AI$62:$AI$100,$AY75)*求节点(基础状态预期!$D$62:$D$100,基础状态预期!$J$62:$J$100,$AY75)*$AB$49</f>
        <v>185.49477927942883</v>
      </c>
      <c r="BB75" s="17">
        <f>求节点(基础状态预期!$D$107:$D$145,基础状态预期!$AI$107:$AI$145,$AY75)*求节点(基础状态预期!$D$107:$D$145,基础状态预期!$J$107:$J$145,$AY75)*$AB$49</f>
        <v>216.23266804586052</v>
      </c>
      <c r="BC75" s="17">
        <f>求节点(基础状态预期!$D$152:$D$190,基础状态预期!$AI$152:$AI$190,$AY75)*求节点(基础状态预期!$D$62:$D$100,基础状态预期!$J$152:$J$190,$AY75)*$AB$49</f>
        <v>337.26030373929598</v>
      </c>
      <c r="BD75" s="17">
        <f>求节点(基础状态预期!$D$197:$D$235,基础状态预期!$AI$197:$AI$235,$AY75)*求节点(基础状态预期!$D$197:$D$235,基础状态预期!$J$197:$J$235,$AY75)*$AB$49</f>
        <v>351.82227650285733</v>
      </c>
      <c r="CR75" s="29">
        <f>基础状态预期!D88</f>
        <v>118.05724034557241</v>
      </c>
      <c r="CS75" s="29">
        <f>IF(基础状态预期!AI88="",0,基础状态预期!AI88)*$AB$37*基础状态预期!J88</f>
        <v>144</v>
      </c>
      <c r="CT75" s="29">
        <f>CS75*武将数量星级阶位验证!$E$7*1.8</f>
        <v>777600</v>
      </c>
    </row>
    <row r="76" spans="51:98" x14ac:dyDescent="0.15">
      <c r="AY76" s="17">
        <v>67</v>
      </c>
      <c r="AZ76" s="17">
        <f>求节点(基础状态预期!$D$17:$D$55,基础状态预期!$AI$17:$AI$55,$AY76)*求节点(基础状态预期!$D$17:$D$55,基础状态预期!$J$17:$J$55,$AY76)*$AB$49</f>
        <v>131.30015106241777</v>
      </c>
      <c r="BA76" s="17">
        <f>求节点(基础状态预期!$D$62:$D$100,基础状态预期!$AI$62:$AI$100,$AY76)*求节点(基础状态预期!$D$62:$D$100,基础状态预期!$J$62:$J$100,$AY76)*$AB$49</f>
        <v>207.45852610797905</v>
      </c>
      <c r="BB76" s="17">
        <f>求节点(基础状态预期!$D$107:$D$145,基础状态预期!$AI$107:$AI$145,$AY76)*求节点(基础状态预期!$D$107:$D$145,基础状态预期!$J$107:$J$145,$AY76)*$AB$49</f>
        <v>244.47393208344602</v>
      </c>
      <c r="BC76" s="17">
        <f>求节点(基础状态预期!$D$152:$D$190,基础状态预期!$AI$152:$AI$190,$AY76)*求节点(基础状态预期!$D$62:$D$100,基础状态预期!$J$152:$J$190,$AY76)*$AB$49</f>
        <v>381.50621863421793</v>
      </c>
      <c r="BD76" s="17">
        <f>求节点(基础状态预期!$D$197:$D$235,基础状态预期!$AI$197:$AI$235,$AY76)*求节点(基础状态预期!$D$197:$D$235,基础状态预期!$J$197:$J$235,$AY76)*$AB$49</f>
        <v>395.27758803180149</v>
      </c>
      <c r="CR76" s="29">
        <f>基础状态预期!D89</f>
        <v>121.49411884885473</v>
      </c>
      <c r="CS76" s="29">
        <f>IF(基础状态预期!AI89="",0,基础状态预期!AI89)*$AB$37*基础状态预期!J89</f>
        <v>144</v>
      </c>
      <c r="CT76" s="29">
        <f>CS76*武将数量星级阶位验证!$E$7*1.8</f>
        <v>777600</v>
      </c>
    </row>
    <row r="77" spans="51:98" x14ac:dyDescent="0.15">
      <c r="AY77" s="17">
        <v>68</v>
      </c>
      <c r="AZ77" s="17">
        <f>求节点(基础状态预期!$D$17:$D$55,基础状态预期!$AI$17:$AI$55,$AY77)*求节点(基础状态预期!$D$17:$D$55,基础状态预期!$J$17:$J$55,$AY77)*$AB$49</f>
        <v>143.51068429158084</v>
      </c>
      <c r="BA77" s="17">
        <f>求节点(基础状态预期!$D$62:$D$100,基础状态预期!$AI$62:$AI$100,$AY77)*求节点(基础状态预期!$D$62:$D$100,基础状态预期!$J$62:$J$100,$AY77)*$AB$49</f>
        <v>230.56531694208996</v>
      </c>
      <c r="BB77" s="17">
        <f>求节点(基础状态预期!$D$107:$D$145,基础状态预期!$AI$107:$AI$145,$AY77)*求节点(基础状态预期!$D$107:$D$145,基础状态预期!$J$107:$J$145,$AY77)*$AB$49</f>
        <v>274.41314555477044</v>
      </c>
      <c r="BC77" s="17">
        <f>求节点(基础状态预期!$D$152:$D$190,基础状态预期!$AI$152:$AI$190,$AY77)*求节点(基础状态预期!$D$62:$D$100,基础状态预期!$J$152:$J$190,$AY77)*$AB$49</f>
        <v>428.41922084163781</v>
      </c>
      <c r="BD77" s="17">
        <f>求节点(基础状态预期!$D$197:$D$235,基础状态预期!$AI$197:$AI$235,$AY77)*求节点(基础状态预期!$D$197:$D$235,基础状态预期!$J$197:$J$235,$AY77)*$AB$49</f>
        <v>441.21292043410722</v>
      </c>
      <c r="CR77" s="29">
        <f>基础状态预期!D90</f>
        <v>125.03100311549058</v>
      </c>
      <c r="CS77" s="29">
        <f>IF(基础状态预期!AI90="",0,基础状态预期!AI90)*$AB$37*基础状态预期!J90</f>
        <v>144</v>
      </c>
      <c r="CT77" s="29">
        <f>CS77*武将数量星级阶位验证!$E$7*1.8</f>
        <v>777600</v>
      </c>
    </row>
    <row r="78" spans="51:98" x14ac:dyDescent="0.15">
      <c r="AY78" s="17">
        <v>69</v>
      </c>
      <c r="AZ78" s="17">
        <f>求节点(基础状态预期!$D$17:$D$55,基础状态预期!$AI$17:$AI$55,$AY78)*求节点(基础状态预期!$D$17:$D$55,基础状态预期!$J$17:$J$55,$AY78)*$AB$49</f>
        <v>156.11409202329216</v>
      </c>
      <c r="BA78" s="17">
        <f>求节点(基础状态预期!$D$62:$D$100,基础状态预期!$AI$62:$AI$100,$AY78)*求节点(基础状态预期!$D$62:$D$100,基础状态预期!$J$62:$J$100,$AY78)*$AB$49</f>
        <v>254.69268671369426</v>
      </c>
      <c r="BB78" s="17">
        <f>求节点(基础状态预期!$D$107:$D$145,基础状态预期!$AI$107:$AI$145,$AY78)*求节点(基础状态预期!$D$107:$D$145,基础状态预期!$J$107:$J$145,$AY78)*$AB$49</f>
        <v>306.05030845983373</v>
      </c>
      <c r="BC78" s="17">
        <f>求节点(基础状态预期!$D$152:$D$190,基础状态预期!$AI$152:$AI$190,$AY78)*求节点(基础状态预期!$D$62:$D$100,基础状态预期!$J$152:$J$190,$AY78)*$AB$49</f>
        <v>476.19540890919444</v>
      </c>
      <c r="BD78" s="17">
        <f>求节点(基础状态预期!$D$197:$D$235,基础状态预期!$AI$197:$AI$235,$AY78)*求节点(基础状态预期!$D$197:$D$235,基础状态预期!$J$197:$J$235,$AY78)*$AB$49</f>
        <v>491.8526765970783</v>
      </c>
      <c r="CR78" s="29">
        <f>基础状态预期!D91</f>
        <v>128.62542789463421</v>
      </c>
      <c r="CS78" s="29">
        <f>IF(基础状态预期!AI91="",0,基础状态预期!AI91)*$AB$37*基础状态预期!J91</f>
        <v>144</v>
      </c>
      <c r="CT78" s="29">
        <f>CS78*武将数量星级阶位验证!$E$7*1.8</f>
        <v>777600</v>
      </c>
    </row>
    <row r="79" spans="51:98" x14ac:dyDescent="0.15">
      <c r="AY79" s="17">
        <v>70</v>
      </c>
      <c r="AZ79" s="17">
        <f>求节点(基础状态预期!$D$17:$D$55,基础状态预期!$AI$17:$AI$55,$AY79)*求节点(基础状态预期!$D$17:$D$55,基础状态预期!$J$17:$J$55,$AY79)*$AB$49</f>
        <v>170.41835238828176</v>
      </c>
      <c r="BA79" s="17">
        <f>求节点(基础状态预期!$D$62:$D$100,基础状态预期!$AI$62:$AI$100,$AY79)*求节点(基础状态预期!$D$62:$D$100,基础状态预期!$J$62:$J$100,$AY79)*$AB$49</f>
        <v>278.14826755590218</v>
      </c>
      <c r="BB79" s="17">
        <f>求节点(基础状态预期!$D$107:$D$145,基础状态预期!$AI$107:$AI$145,$AY79)*求节点(基础状态预期!$D$107:$D$145,基础状态预期!$J$107:$J$145,$AY79)*$AB$49</f>
        <v>337.00900974161789</v>
      </c>
      <c r="BC79" s="17">
        <f>求节点(基础状态预期!$D$152:$D$190,基础状态预期!$AI$152:$AI$190,$AY79)*求节点(基础状态预期!$D$62:$D$100,基础状态预期!$J$152:$J$190,$AY79)*$AB$49</f>
        <v>530.22124935691863</v>
      </c>
      <c r="BD79" s="17">
        <f>求节点(基础状态预期!$D$197:$D$235,基础状态预期!$AI$197:$AI$235,$AY79)*求节点(基础状态预期!$D$197:$D$235,基础状态预期!$J$197:$J$235,$AY79)*$AB$49</f>
        <v>547.48765832811432</v>
      </c>
      <c r="CR79" s="29">
        <f>基础状态预期!D92</f>
        <v>132.09902390525281</v>
      </c>
      <c r="CS79" s="29">
        <f>IF(基础状态预期!AI92="",0,基础状态预期!AI92)*$AB$37*基础状态预期!J92</f>
        <v>144</v>
      </c>
      <c r="CT79" s="29">
        <f>CS79*武将数量星级阶位验证!$E$7*1.8</f>
        <v>777600</v>
      </c>
    </row>
    <row r="80" spans="51:98" x14ac:dyDescent="0.15">
      <c r="AY80" s="17">
        <v>71</v>
      </c>
      <c r="AZ80" s="17">
        <f>求节点(基础状态预期!$D$17:$D$55,基础状态预期!$AI$17:$AI$55,$AY80)*求节点(基础状态预期!$D$17:$D$55,基础状态预期!$J$17:$J$55,$AY80)*$AB$49</f>
        <v>185.34977271191141</v>
      </c>
      <c r="BA80" s="17">
        <f>求节点(基础状态预期!$D$62:$D$100,基础状态预期!$AI$62:$AI$100,$AY80)*求节点(基础状态预期!$D$62:$D$100,基础状态预期!$J$62:$J$100,$AY80)*$AB$49</f>
        <v>302.119198660856</v>
      </c>
      <c r="BB80" s="17">
        <f>求节点(基础状态预期!$D$107:$D$145,基础状态预期!$AI$107:$AI$145,$AY80)*求节点(基础状态预期!$D$107:$D$145,基础状态预期!$J$107:$J$145,$AY80)*$AB$49</f>
        <v>368.95645420684986</v>
      </c>
      <c r="BC80" s="17">
        <f>求节点(基础状态预期!$D$152:$D$190,基础状态预期!$AI$152:$AI$190,$AY80)*求节点(基础状态预期!$D$62:$D$100,基础状态预期!$J$152:$J$190,$AY80)*$AB$49</f>
        <v>586.68487740334649</v>
      </c>
      <c r="BD80" s="17">
        <f>求节点(基础状态预期!$D$197:$D$235,基础状态预期!$AI$197:$AI$235,$AY80)*求节点(基础状态预期!$D$197:$D$235,基础状态预期!$J$197:$J$235,$AY80)*$AB$49</f>
        <v>605.7661669189747</v>
      </c>
      <c r="CR80" s="29">
        <f>基础状态预期!D93</f>
        <v>135.61521761503846</v>
      </c>
      <c r="CS80" s="29">
        <f>IF(基础状态预期!AI93="",0,基础状态预期!AI93)*$AB$37*基础状态预期!J93</f>
        <v>144</v>
      </c>
      <c r="CT80" s="29">
        <f>CS80*武将数量星级阶位验证!$E$7*1.8</f>
        <v>777600</v>
      </c>
    </row>
    <row r="81" spans="51:104" x14ac:dyDescent="0.15">
      <c r="AY81" s="17">
        <v>72</v>
      </c>
      <c r="AZ81" s="17">
        <f>求节点(基础状态预期!$D$17:$D$55,基础状态预期!$AI$17:$AI$55,$AY81)*求节点(基础状态预期!$D$17:$D$55,基础状态预期!$J$17:$J$55,$AY81)*$AB$49</f>
        <v>200.60866369124102</v>
      </c>
      <c r="BA81" s="17">
        <f>求节点(基础状态预期!$D$62:$D$100,基础状态预期!$AI$62:$AI$100,$AY81)*求节点(基础状态预期!$D$62:$D$100,基础状态预期!$J$62:$J$100,$AY81)*$AB$49</f>
        <v>326.60548002855575</v>
      </c>
      <c r="BB81" s="17">
        <f>求节点(基础状态预期!$D$107:$D$145,基础状态预期!$AI$107:$AI$145,$AY81)*求节点(基础状态预期!$D$107:$D$145,基础状态预期!$J$107:$J$145,$AY81)*$AB$49</f>
        <v>401.92795806868554</v>
      </c>
      <c r="BC81" s="17">
        <f>求节点(基础状态预期!$D$152:$D$190,基础状态预期!$AI$152:$AI$190,$AY81)*求节点(基础状态预期!$D$62:$D$100,基础状态预期!$J$152:$J$190,$AY81)*$AB$49</f>
        <v>647.56276027496403</v>
      </c>
      <c r="BD81" s="17">
        <f>求节点(基础状态预期!$D$197:$D$235,基础状态预期!$AI$197:$AI$235,$AY81)*求节点(基础状态预期!$D$197:$D$235,基础状态预期!$J$197:$J$235,$AY81)*$AB$49</f>
        <v>667.19178113703686</v>
      </c>
      <c r="CR81" s="29">
        <f>基础状态预期!D94</f>
        <v>139.08794136138388</v>
      </c>
      <c r="CS81" s="29">
        <f>IF(基础状态预期!AI94="",0,基础状态预期!AI94)*$AB$37*基础状态预期!J94</f>
        <v>144</v>
      </c>
      <c r="CT81" s="29">
        <f>CS81*武将数量星级阶位验证!$E$7*1.8</f>
        <v>777600</v>
      </c>
    </row>
    <row r="82" spans="51:104" x14ac:dyDescent="0.15">
      <c r="AY82" s="17">
        <v>73</v>
      </c>
      <c r="AZ82" s="17">
        <f>求节点(基础状态预期!$D$17:$D$55,基础状态预期!$AI$17:$AI$55,$AY82)*求节点(基础状态预期!$D$17:$D$55,基础状态预期!$J$17:$J$55,$AY82)*$AB$49</f>
        <v>216.83354742775123</v>
      </c>
      <c r="BA82" s="17">
        <f>求节点(基础状态预期!$D$62:$D$100,基础状态预期!$AI$62:$AI$100,$AY82)*求节点(基础状态预期!$D$62:$D$100,基础状态预期!$J$62:$J$100,$AY82)*$AB$49</f>
        <v>352.93256279092844</v>
      </c>
      <c r="BB82" s="17">
        <f>求节点(基础状态预期!$D$107:$D$145,基础状态预期!$AI$107:$AI$145,$AY82)*求节点(基础状态预期!$D$107:$D$145,基础状态预期!$J$107:$J$145,$AY82)*$AB$49</f>
        <v>435.89052370291142</v>
      </c>
      <c r="BC82" s="17">
        <f>求节点(基础状态预期!$D$152:$D$190,基础状态预期!$AI$152:$AI$190,$AY82)*求节点(基础状态预期!$D$62:$D$100,基础状态预期!$J$152:$J$190,$AY82)*$AB$49</f>
        <v>711.45653054882791</v>
      </c>
      <c r="BD82" s="17">
        <f>求节点(基础状态预期!$D$197:$D$235,基础状态预期!$AI$197:$AI$235,$AY82)*求节点(基础状态预期!$D$197:$D$235,基础状态预期!$J$197:$J$235,$AY82)*$AB$49</f>
        <v>733.1162932675802</v>
      </c>
      <c r="CR82" s="29">
        <f>基础状态预期!D95</f>
        <v>142.60670974426387</v>
      </c>
      <c r="CS82" s="29">
        <f>IF(基础状态预期!AI95="",0,基础状态预期!AI95)*$AB$37*基础状态预期!J95</f>
        <v>144</v>
      </c>
      <c r="CT82" s="29">
        <f>CS82*武将数量星级阶位验证!$E$7*1.8</f>
        <v>777600</v>
      </c>
    </row>
    <row r="83" spans="51:104" x14ac:dyDescent="0.15">
      <c r="AY83" s="17">
        <v>74</v>
      </c>
      <c r="AZ83" s="17">
        <f>求节点(基础状态预期!$D$17:$D$55,基础状态预期!$AI$17:$AI$55,$AY83)*求节点(基础状态预期!$D$17:$D$55,基础状态预期!$J$17:$J$55,$AY83)*$AB$49</f>
        <v>234.0368052886457</v>
      </c>
      <c r="BA83" s="17">
        <f>求节点(基础状态预期!$D$62:$D$100,基础状态预期!$AI$62:$AI$100,$AY83)*求节点(基础状态预期!$D$62:$D$100,基础状态预期!$J$62:$J$100,$AY83)*$AB$49</f>
        <v>380.41545769327087</v>
      </c>
      <c r="BB83" s="17">
        <f>求节点(基础状态预期!$D$107:$D$145,基础状态预期!$AI$107:$AI$145,$AY83)*求节点(基础状态预期!$D$107:$D$145,基础状态预期!$J$107:$J$145,$AY83)*$AB$49</f>
        <v>471.17108073416262</v>
      </c>
      <c r="BC83" s="17">
        <f>求节点(基础状态预期!$D$152:$D$190,基础状态预期!$AI$152:$AI$190,$AY83)*求节点(基础状态预期!$D$62:$D$100,基础状态预期!$J$152:$J$190,$AY83)*$AB$49</f>
        <v>776.40987940835271</v>
      </c>
      <c r="BD83" s="17">
        <f>求节点(基础状态预期!$D$197:$D$235,基础状态预期!$AI$197:$AI$235,$AY83)*求节点(基础状态预期!$D$197:$D$235,基础状态预期!$J$197:$J$235,$AY83)*$AB$49</f>
        <v>802.01275185125519</v>
      </c>
      <c r="CR83" s="29">
        <f>基础状态预期!D96</f>
        <v>146.07830147206653</v>
      </c>
      <c r="CS83" s="29">
        <f>IF(基础状态预期!AI96="",0,基础状态预期!AI96)*$AB$37*基础状态预期!J96</f>
        <v>144</v>
      </c>
      <c r="CT83" s="29">
        <f>CS83*武将数量星级阶位验证!$E$7*1.8</f>
        <v>777600</v>
      </c>
    </row>
    <row r="84" spans="51:104" x14ac:dyDescent="0.15">
      <c r="AY84" s="17">
        <v>75</v>
      </c>
      <c r="AZ84" s="17">
        <f>求节点(基础状态预期!$D$17:$D$55,基础状态预期!$AI$17:$AI$55,$AY84)*求节点(基础状态预期!$D$17:$D$55,基础状态预期!$J$17:$J$55,$AY84)*$AB$49</f>
        <v>251.89501567054057</v>
      </c>
      <c r="BA84" s="17">
        <f>求节点(基础状态预期!$D$62:$D$100,基础状态预期!$AI$62:$AI$100,$AY84)*求节点(基础状态预期!$D$62:$D$100,基础状态预期!$J$62:$J$100,$AY84)*$AB$49</f>
        <v>409.67378115798613</v>
      </c>
      <c r="BB84" s="17">
        <f>求节点(基础状态预期!$D$107:$D$145,基础状态预期!$AI$107:$AI$145,$AY84)*求节点(基础状态预期!$D$107:$D$145,基础状态预期!$J$107:$J$145,$AY84)*$AB$49</f>
        <v>508.46320242734691</v>
      </c>
      <c r="BC84" s="17">
        <f>求节点(基础状态预期!$D$152:$D$190,基础状态预期!$AI$152:$AI$190,$AY84)*求节点(基础状态预期!$D$62:$D$100,基础状态预期!$J$152:$J$190,$AY84)*$AB$49</f>
        <v>845.9229308400312</v>
      </c>
      <c r="BD84" s="17">
        <f>求节点(基础状态预期!$D$197:$D$235,基础状态预期!$AI$197:$AI$235,$AY84)*求节点(基础状态预期!$D$197:$D$235,基础状态预期!$J$197:$J$235,$AY84)*$AB$49</f>
        <v>877.71313173351484</v>
      </c>
      <c r="CR84" s="29">
        <f>基础状态预期!D97</f>
        <v>149.61701338734093</v>
      </c>
      <c r="CS84" s="29">
        <f>IF(基础状态预期!AI97="",0,基础状态预期!AI97)*$AB$37*基础状态预期!J97</f>
        <v>144</v>
      </c>
      <c r="CT84" s="29">
        <f>CS84*武将数量星级阶位验证!$E$7*1.8</f>
        <v>777600</v>
      </c>
    </row>
    <row r="85" spans="51:104" x14ac:dyDescent="0.15">
      <c r="AY85" s="17">
        <v>76</v>
      </c>
      <c r="AZ85" s="17">
        <f>求节点(基础状态预期!$D$17:$D$55,基础状态预期!$AI$17:$AI$55,$AY85)*求节点(基础状态预期!$D$17:$D$55,基础状态预期!$J$17:$J$55,$AY85)*$AB$49</f>
        <v>270.06459071306432</v>
      </c>
      <c r="BA85" s="17">
        <f>求节点(基础状态预期!$D$62:$D$100,基础状态预期!$AI$62:$AI$100,$AY85)*求节点(基础状态预期!$D$62:$D$100,基础状态预期!$J$62:$J$100,$AY85)*$AB$49</f>
        <v>442.19245762504681</v>
      </c>
      <c r="BB85" s="17">
        <f>求节点(基础状态预期!$D$107:$D$145,基础状态预期!$AI$107:$AI$145,$AY85)*求节点(基础状态预期!$D$107:$D$145,基础状态预期!$J$107:$J$145,$AY85)*$AB$49</f>
        <v>550.65895845736304</v>
      </c>
      <c r="BC85" s="17">
        <f>求节点(基础状态预期!$D$152:$D$190,基础状态预期!$AI$152:$AI$190,$AY85)*求节点(基础状态预期!$D$62:$D$100,基础状态预期!$J$152:$J$190,$AY85)*$AB$49</f>
        <v>918.89056547250425</v>
      </c>
      <c r="BD85" s="17">
        <f>求节点(基础状态预期!$D$197:$D$235,基础状态预期!$AI$197:$AI$235,$AY85)*求节点(基础状态预期!$D$197:$D$235,基础状态预期!$J$197:$J$235,$AY85)*$AB$49</f>
        <v>958.87252422917322</v>
      </c>
      <c r="CR85" s="29">
        <f>基础状态预期!D98</f>
        <v>153.01012120353457</v>
      </c>
      <c r="CS85" s="29">
        <f>IF(基础状态预期!AI98="",0,基础状态预期!AI98)*$AB$37*基础状态预期!J98</f>
        <v>144</v>
      </c>
      <c r="CT85" s="29">
        <f>CS85*武将数量星级阶位验证!$E$7*1.8</f>
        <v>777600</v>
      </c>
    </row>
    <row r="86" spans="51:104" x14ac:dyDescent="0.15">
      <c r="AY86" s="17">
        <v>77</v>
      </c>
      <c r="AZ86" s="17">
        <f>求节点(基础状态预期!$D$17:$D$55,基础状态预期!$AI$17:$AI$55,$AY86)*求节点(基础状态预期!$D$17:$D$55,基础状态预期!$J$17:$J$55,$AY86)*$AB$49</f>
        <v>288.85964557992946</v>
      </c>
      <c r="BA86" s="17">
        <f>求节点(基础状态预期!$D$62:$D$100,基础状态预期!$AI$62:$AI$100,$AY86)*求节点(基础状态预期!$D$62:$D$100,基础状态预期!$J$62:$J$100,$AY86)*$AB$49</f>
        <v>475.90813971088977</v>
      </c>
      <c r="BB86" s="17">
        <f>求节点(基础状态预期!$D$107:$D$145,基础状态预期!$AI$107:$AI$145,$AY86)*求节点(基础状态预期!$D$107:$D$145,基础状态预期!$J$107:$J$145,$AY86)*$AB$49</f>
        <v>594.45648406811392</v>
      </c>
      <c r="BC86" s="17">
        <f>求节点(基础状态预期!$D$152:$D$190,基础状态预期!$AI$152:$AI$190,$AY86)*求节点(基础状态预期!$D$62:$D$100,基础状态预期!$J$152:$J$190,$AY86)*$AB$49</f>
        <v>994.68451104035682</v>
      </c>
      <c r="BD86" s="17">
        <f>求节点(基础状态预期!$D$197:$D$235,基础状态预期!$AI$197:$AI$235,$AY86)*求节点(基础状态预期!$D$197:$D$235,基础状态预期!$J$197:$J$235,$AY86)*$AB$49</f>
        <v>1043.2824823403532</v>
      </c>
      <c r="CR86" s="29">
        <f>基础状态预期!D99</f>
        <v>154.95970315183646</v>
      </c>
      <c r="CS86" s="29">
        <f>IF(基础状态预期!AI99="",0,基础状态预期!AI99)*$AB$37*基础状态预期!J99</f>
        <v>144</v>
      </c>
      <c r="CT86" s="29">
        <f>CS86*武将数量星级阶位验证!$E$7*1.8</f>
        <v>777600</v>
      </c>
    </row>
    <row r="87" spans="51:104" x14ac:dyDescent="0.15">
      <c r="AY87" s="17">
        <v>78</v>
      </c>
      <c r="AZ87" s="17">
        <f>求节点(基础状态预期!$D$17:$D$55,基础状态预期!$AI$17:$AI$55,$AY87)*求节点(基础状态预期!$D$17:$D$55,基础状态预期!$J$17:$J$55,$AY87)*$AB$49</f>
        <v>308.46388522240778</v>
      </c>
      <c r="BA87" s="17">
        <f>求节点(基础状态预期!$D$62:$D$100,基础状态预期!$AI$62:$AI$100,$AY87)*求节点(基础状态预期!$D$62:$D$100,基础状态预期!$J$62:$J$100,$AY87)*$AB$49</f>
        <v>510.69629786639399</v>
      </c>
      <c r="BB87" s="17">
        <f>求节点(基础状态预期!$D$107:$D$145,基础状态预期!$AI$107:$AI$145,$AY87)*求节点(基础状态预期!$D$107:$D$145,基础状态预期!$J$107:$J$145,$AY87)*$AB$49</f>
        <v>640.38646577777354</v>
      </c>
      <c r="BC87" s="17">
        <f>求节点(基础状态预期!$D$152:$D$190,基础状态预期!$AI$152:$AI$190,$AY87)*求节点(基础状态预期!$D$62:$D$100,基础状态预期!$J$152:$J$190,$AY87)*$AB$49</f>
        <v>1082.2409827250374</v>
      </c>
      <c r="BD87" s="17">
        <f>求节点(基础状态预期!$D$197:$D$235,基础状态预期!$AI$197:$AI$235,$AY87)*求节点(基础状态预期!$D$197:$D$235,基础状态预期!$J$197:$J$235,$AY87)*$AB$49</f>
        <v>1131.5708343838462</v>
      </c>
      <c r="CR87" s="29">
        <f>基础状态预期!D100</f>
        <v>157.63974470288184</v>
      </c>
      <c r="CS87" s="29">
        <f>IF(基础状态预期!AI100="",0,基础状态预期!AI100)*$AB$37*基础状态预期!J100</f>
        <v>144</v>
      </c>
      <c r="CT87" s="29">
        <f>CS87*武将数量星级阶位验证!$E$7*1.8</f>
        <v>777600</v>
      </c>
    </row>
    <row r="88" spans="51:104" x14ac:dyDescent="0.15">
      <c r="AY88" s="17">
        <v>79</v>
      </c>
      <c r="AZ88" s="17">
        <f>求节点(基础状态预期!$D$17:$D$55,基础状态预期!$AI$17:$AI$55,$AY88)*求节点(基础状态预期!$D$17:$D$55,基础状态预期!$J$17:$J$55,$AY88)*$AB$49</f>
        <v>329.6314337686245</v>
      </c>
      <c r="BA88" s="17">
        <f>求节点(基础状态预期!$D$62:$D$100,基础状态预期!$AI$62:$AI$100,$AY88)*求节点(基础状态预期!$D$62:$D$100,基础状态预期!$J$62:$J$100,$AY88)*$AB$49</f>
        <v>545.65484420782047</v>
      </c>
      <c r="BB88" s="17">
        <f>求节点(基础状态预期!$D$107:$D$145,基础状态预期!$AI$107:$AI$145,$AY88)*求节点(基础状态预期!$D$107:$D$145,基础状态预期!$J$107:$J$145,$AY88)*$AB$49</f>
        <v>688.10131460800062</v>
      </c>
      <c r="BC88" s="17">
        <f>求节点(基础状态预期!$D$152:$D$190,基础状态预期!$AI$152:$AI$190,$AY88)*求节点(基础状态预期!$D$62:$D$100,基础状态预期!$J$152:$J$190,$AY88)*$AB$49</f>
        <v>1162.3340618756511</v>
      </c>
      <c r="BD88" s="17">
        <f>求节点(基础状态预期!$D$197:$D$235,基础状态预期!$AI$197:$AI$235,$AY88)*求节点(基础状态预期!$D$197:$D$235,基础状态预期!$J$197:$J$235,$AY88)*$AB$49</f>
        <v>1220.4320373619678</v>
      </c>
    </row>
    <row r="89" spans="51:104" x14ac:dyDescent="0.15">
      <c r="AY89" s="17">
        <v>80</v>
      </c>
      <c r="AZ89" s="17">
        <f>求节点(基础状态预期!$D$17:$D$55,基础状态预期!$AI$17:$AI$55,$AY89)*求节点(基础状态预期!$D$17:$D$55,基础状态预期!$J$17:$J$55,$AY89)*$AB$49</f>
        <v>350.79898231484123</v>
      </c>
      <c r="BA89" s="17">
        <f>求节点(基础状态预期!$D$62:$D$100,基础状态预期!$AI$62:$AI$100,$AY89)*求节点(基础状态预期!$D$62:$D$100,基础状态预期!$J$62:$J$100,$AY89)*$AB$49</f>
        <v>580.64368838730604</v>
      </c>
      <c r="BB89" s="17">
        <f>求节点(基础状态预期!$D$107:$D$145,基础状态预期!$AI$107:$AI$145,$AY89)*求节点(基础状态预期!$D$107:$D$145,基础状态预期!$J$107:$J$145,$AY89)*$AB$49</f>
        <v>735.8161634382277</v>
      </c>
      <c r="BC89" s="17">
        <f>求节点(基础状态预期!$D$152:$D$190,基础状态预期!$AI$152:$AI$190,$AY89)*求节点(基础状态预期!$D$62:$D$100,基础状态预期!$J$152:$J$190,$AY89)*$AB$49</f>
        <v>1347.3708588118316</v>
      </c>
      <c r="BD89" s="17">
        <f>求节点(基础状态预期!$D$197:$D$235,基础状态预期!$AI$197:$AI$235,$AY89)*求节点(基础状态预期!$D$197:$D$235,基础状态预期!$J$197:$J$235,$AY89)*$AB$49</f>
        <v>1584.2365816738159</v>
      </c>
    </row>
    <row r="90" spans="51:104" x14ac:dyDescent="0.15">
      <c r="AY90" s="17">
        <v>81</v>
      </c>
      <c r="AZ90" s="17">
        <f>求节点(基础状态预期!$D$17:$D$55,基础状态预期!$AI$17:$AI$55,$AY90)*求节点(基础状态预期!$D$17:$D$55,基础状态预期!$J$17:$J$55,$AY90)*$AB$49</f>
        <v>374.91236168244819</v>
      </c>
      <c r="BA90" s="17">
        <f>求节点(基础状态预期!$D$62:$D$100,基础状态预期!$AI$62:$AI$100,$AY90)*求节点(基础状态预期!$D$62:$D$100,基础状态预期!$J$62:$J$100,$AY90)*$AB$49</f>
        <v>620.9511131997524</v>
      </c>
      <c r="BB90" s="17">
        <f>求节点(基础状态预期!$D$107:$D$145,基础状态预期!$AI$107:$AI$145,$AY90)*求节点(基础状态预期!$D$107:$D$145,基础状态预期!$J$107:$J$145,$AY90)*$AB$49</f>
        <v>788.17324116004829</v>
      </c>
      <c r="BC90" s="17">
        <f>求节点(基础状态预期!$D$152:$D$190,基础状态预期!$AI$152:$AI$190,$AY90)*求节点(基础状态预期!$D$62:$D$100,基础状态预期!$J$152:$J$190,$AY90)*$AB$49</f>
        <v>1989.743320591683</v>
      </c>
      <c r="BD90" s="17">
        <f>求节点(基础状态预期!$D$197:$D$235,基础状态预期!$AI$197:$AI$235,$AY90)*求节点(基础状态预期!$D$197:$D$235,基础状态预期!$J$197:$J$235,$AY90)*$AB$49</f>
        <v>2675.319855870187</v>
      </c>
    </row>
    <row r="91" spans="51:104" x14ac:dyDescent="0.15">
      <c r="AY91" s="17">
        <v>82</v>
      </c>
      <c r="AZ91" s="17">
        <f>求节点(基础状态预期!$D$17:$D$55,基础状态预期!$AI$17:$AI$55,$AY91)*求节点(基础状态预期!$D$17:$D$55,基础状态预期!$J$17:$J$55,$AY91)*$AB$49</f>
        <v>400.12706803137905</v>
      </c>
      <c r="BA91" s="17">
        <f>求节点(基础状态预期!$D$62:$D$100,基础状态预期!$AI$62:$AI$100,$AY91)*求节点(基础状态预期!$D$62:$D$100,基础状态预期!$J$62:$J$100,$AY91)*$AB$49</f>
        <v>661.25853801219853</v>
      </c>
      <c r="BB91" s="17">
        <f>求节点(基础状态预期!$D$107:$D$145,基础状态预期!$AI$107:$AI$145,$AY91)*求节点(基础状态预期!$D$107:$D$145,基础状态预期!$J$107:$J$145,$AY91)*$AB$49</f>
        <v>841.25400907113465</v>
      </c>
      <c r="BC91" s="17">
        <f>求节点(基础状态预期!$D$152:$D$190,基础状态预期!$AI$152:$AI$190,$AY91)*求节点(基础状态预期!$D$62:$D$100,基础状态预期!$J$152:$J$190,$AY91)*$AB$49</f>
        <v>2690.2907655708582</v>
      </c>
      <c r="BD91" s="17">
        <f>求节点(基础状态预期!$D$197:$D$235,基础状态预期!$AI$197:$AI$235,$AY91)*求节点(基础状态预期!$D$197:$D$235,基础状态预期!$J$197:$J$235,$AY91)*$AB$49</f>
        <v>3823.5263493138095</v>
      </c>
    </row>
    <row r="92" spans="51:104" x14ac:dyDescent="0.15">
      <c r="AY92" s="17">
        <v>83</v>
      </c>
      <c r="AZ92" s="17">
        <f>求节点(基础状态预期!$D$17:$D$55,基础状态预期!$AI$17:$AI$55,$AY92)*求节点(基础状态预期!$D$17:$D$55,基础状态预期!$J$17:$J$55,$AY92)*$AB$49</f>
        <v>426.73021575484631</v>
      </c>
      <c r="BA92" s="17">
        <f>求节点(基础状态预期!$D$62:$D$100,基础状态预期!$AI$62:$AI$100,$AY92)*求节点(基础状态预期!$D$62:$D$100,基础状态预期!$J$62:$J$100,$AY92)*$AB$49</f>
        <v>705.94262496461897</v>
      </c>
      <c r="BB92" s="17">
        <f>求节点(基础状态预期!$D$107:$D$145,基础状态预期!$AI$107:$AI$145,$AY92)*求节点(基础状态预期!$D$107:$D$145,基础状态预期!$J$107:$J$145,$AY92)*$AB$49</f>
        <v>898.67521558237127</v>
      </c>
      <c r="BC92" s="17">
        <f>求节点(基础状态预期!$D$152:$D$190,基础状态预期!$AI$152:$AI$190,$AY92)*求节点(基础状态预期!$D$62:$D$100,基础状态预期!$J$152:$J$190,$AY92)*$AB$49</f>
        <v>4052.6756252718042</v>
      </c>
      <c r="BD92" s="17">
        <f>求节点(基础状态预期!$D$197:$D$235,基础状态预期!$AI$197:$AI$235,$AY92)*求节点(基础状态预期!$D$197:$D$235,基础状态预期!$J$197:$J$235,$AY92)*$AB$49</f>
        <v>5334.5789072824928</v>
      </c>
      <c r="BQ92" s="29" t="s">
        <v>77</v>
      </c>
      <c r="BR92" s="161" t="s">
        <v>55</v>
      </c>
      <c r="BS92" s="162"/>
      <c r="BT92" s="162"/>
      <c r="BU92" s="162"/>
      <c r="BV92" s="162"/>
      <c r="BW92" s="162"/>
      <c r="BX92" s="162"/>
      <c r="BY92" s="162"/>
      <c r="BZ92" s="162"/>
      <c r="CA92" s="162"/>
      <c r="CB92" s="163"/>
      <c r="CC92" s="160" t="s">
        <v>342</v>
      </c>
      <c r="CD92" s="160"/>
      <c r="CE92" s="160"/>
      <c r="CF92" s="160"/>
      <c r="CG92" s="160"/>
      <c r="CH92" s="160"/>
      <c r="CI92" s="160"/>
      <c r="CJ92" s="160"/>
      <c r="CK92" s="160"/>
      <c r="CL92" s="160"/>
      <c r="CM92" s="160"/>
      <c r="CN92" s="160"/>
      <c r="CR92" s="29" t="s">
        <v>77</v>
      </c>
      <c r="CS92" s="160" t="s">
        <v>306</v>
      </c>
      <c r="CT92" s="160"/>
      <c r="CV92" s="29" t="s">
        <v>77</v>
      </c>
      <c r="CW92" s="160" t="s">
        <v>307</v>
      </c>
      <c r="CX92" s="160"/>
      <c r="CY92" s="160"/>
    </row>
    <row r="93" spans="51:104" x14ac:dyDescent="0.15">
      <c r="AY93" s="17">
        <v>84</v>
      </c>
      <c r="AZ93" s="17">
        <f>求节点(基础状态预期!$D$17:$D$55,基础状态预期!$AI$17:$AI$55,$AY93)*求节点(基础状态预期!$D$17:$D$55,基础状态预期!$J$17:$J$55,$AY93)*$AB$49</f>
        <v>454.01256982586409</v>
      </c>
      <c r="BA93" s="17">
        <f>求节点(基础状态预期!$D$62:$D$100,基础状态预期!$AI$62:$AI$100,$AY93)*求节点(基础状态预期!$D$62:$D$100,基础状态预期!$J$62:$J$100,$AY93)*$AB$49</f>
        <v>751.78062077039203</v>
      </c>
      <c r="BB93" s="17">
        <f>求节点(基础状态预期!$D$107:$D$145,基础状态预期!$AI$107:$AI$145,$AY93)*求节点(基础状态预期!$D$107:$D$145,基础状态预期!$J$107:$J$145,$AY93)*$AB$49</f>
        <v>957.45713130545892</v>
      </c>
      <c r="BC93" s="17">
        <f>求节点(基础状态预期!$D$152:$D$190,基础状态预期!$AI$152:$AI$190,$AY93)*求节点(基础状态预期!$D$62:$D$100,基础状态预期!$J$152:$J$190,$AY93)*$AB$49</f>
        <v>5240.4293551896426</v>
      </c>
      <c r="BD93" s="17">
        <f>求节点(基础状态预期!$D$197:$D$235,基础状态预期!$AI$197:$AI$235,$AY93)*求节点(基础状态预期!$D$197:$D$235,基础状态预期!$J$197:$J$235,$AY93)*$AB$49</f>
        <v>6515.545078127815</v>
      </c>
      <c r="BQ93" s="29" t="s">
        <v>478</v>
      </c>
      <c r="BR93" s="29" t="s">
        <v>152</v>
      </c>
      <c r="BS93" s="29" t="s">
        <v>835</v>
      </c>
      <c r="BT93" s="29" t="s">
        <v>836</v>
      </c>
      <c r="BU93" s="29" t="s">
        <v>837</v>
      </c>
      <c r="BV93" s="29" t="s">
        <v>838</v>
      </c>
      <c r="BW93" s="29" t="s">
        <v>839</v>
      </c>
      <c r="BX93" s="29" t="s">
        <v>840</v>
      </c>
      <c r="BY93" s="29" t="s">
        <v>841</v>
      </c>
      <c r="BZ93" s="29" t="s">
        <v>842</v>
      </c>
      <c r="CA93" s="29" t="s">
        <v>843</v>
      </c>
      <c r="CB93" s="29" t="s">
        <v>197</v>
      </c>
      <c r="CC93" s="29" t="s">
        <v>152</v>
      </c>
      <c r="CD93" s="29" t="s">
        <v>835</v>
      </c>
      <c r="CE93" s="29" t="s">
        <v>836</v>
      </c>
      <c r="CF93" s="29" t="s">
        <v>837</v>
      </c>
      <c r="CG93" s="29" t="s">
        <v>838</v>
      </c>
      <c r="CH93" s="29" t="s">
        <v>839</v>
      </c>
      <c r="CI93" s="29" t="s">
        <v>840</v>
      </c>
      <c r="CJ93" s="29" t="s">
        <v>841</v>
      </c>
      <c r="CK93" s="29" t="s">
        <v>842</v>
      </c>
      <c r="CL93" s="29" t="s">
        <v>843</v>
      </c>
      <c r="CM93" s="29" t="s">
        <v>197</v>
      </c>
      <c r="CN93" s="29" t="s">
        <v>343</v>
      </c>
      <c r="CR93" s="29" t="s">
        <v>478</v>
      </c>
      <c r="CS93" s="29" t="s">
        <v>844</v>
      </c>
      <c r="CT93" s="29" t="s">
        <v>845</v>
      </c>
      <c r="CV93" s="29" t="s">
        <v>478</v>
      </c>
      <c r="CW93" s="29" t="s">
        <v>304</v>
      </c>
      <c r="CX93" s="29"/>
      <c r="CY93" s="29"/>
      <c r="CZ93" s="29" t="s">
        <v>203</v>
      </c>
    </row>
    <row r="94" spans="51:104" x14ac:dyDescent="0.15">
      <c r="AY94" s="17">
        <v>85</v>
      </c>
      <c r="AZ94" s="17">
        <f>求节点(基础状态预期!$D$17:$D$55,基础状态预期!$AI$17:$AI$55,$AY94)*求节点(基础状态预期!$D$17:$D$55,基础状态预期!$J$17:$J$55,$AY94)*$AB$49</f>
        <v>482.98199131015093</v>
      </c>
      <c r="BA94" s="17">
        <f>求节点(基础状态预期!$D$62:$D$100,基础状态预期!$AI$62:$AI$100,$AY94)*求节点(基础状态预期!$D$62:$D$100,基础状态预期!$J$62:$J$100,$AY94)*$AB$49</f>
        <v>802.75481754878774</v>
      </c>
      <c r="BB94" s="17">
        <f>求节点(基础状态预期!$D$107:$D$145,基础状态预期!$AI$107:$AI$145,$AY94)*求节点(基础状态预期!$D$107:$D$145,基础状态预期!$J$107:$J$145,$AY94)*$AB$49</f>
        <v>1024.6126911326246</v>
      </c>
      <c r="BC94" s="17">
        <f>求节点(基础状态预期!$D$152:$D$190,基础状态预期!$AI$152:$AI$190,$AY94)*求节点(基础状态预期!$D$62:$D$100,基础状态预期!$J$152:$J$190,$AY94)*$AB$49</f>
        <v>5934.2838794376275</v>
      </c>
      <c r="BD94" s="17">
        <f>求节点(基础状态预期!$D$197:$D$235,基础状态预期!$AI$197:$AI$235,$AY94)*求节点(基础状态预期!$D$197:$D$235,基础状态预期!$J$197:$J$235,$AY94)*$AB$49</f>
        <v>7035.219364577737</v>
      </c>
      <c r="BQ94" s="29">
        <v>10</v>
      </c>
      <c r="BR94" s="29">
        <f>求节点(基础状态预期!$D$17:$D$55,基础状态预期!$AI$17:$AI$55,$BQ94)*SUM($AR$6:$AT$6)/3</f>
        <v>0</v>
      </c>
      <c r="BS94" s="29">
        <f>求节点(基础状态预期!$D$17:$D$55,基础状态预期!$AI$17:$AI$55,$BQ94)*AH$6</f>
        <v>0</v>
      </c>
      <c r="BT94" s="145">
        <f>BS94</f>
        <v>0</v>
      </c>
      <c r="BU94" s="29">
        <f>求节点(基础状态预期!$D$17:$D$55,基础状态预期!$AI$17:$AI$55,$BQ94)*AI$6</f>
        <v>0</v>
      </c>
      <c r="BV94" s="145">
        <f>BU94</f>
        <v>0</v>
      </c>
      <c r="BW94" s="29">
        <f>求节点(基础状态预期!$D$17:$D$55,基础状态预期!$AI$17:$AI$55,$BQ94)*$AU$6</f>
        <v>0</v>
      </c>
      <c r="BX94" s="29">
        <f>求节点(基础状态预期!$D$17:$D$55,基础状态预期!$AI$17:$AI$55,$BQ94)*$AJ$6</f>
        <v>0</v>
      </c>
      <c r="BY94" s="145">
        <f t="shared" ref="BY94" si="61">BX94</f>
        <v>0</v>
      </c>
      <c r="BZ94" s="29">
        <f>求节点(基础状态预期!$D$17:$D$55,基础状态预期!$AI$17:$AI$55,$BQ94)*$AK$6</f>
        <v>0</v>
      </c>
      <c r="CA94" s="145">
        <f t="shared" ref="CA94" si="62">BZ94</f>
        <v>0</v>
      </c>
      <c r="CB94" s="29">
        <f>求节点(基础状态预期!$D$17:$D$55,基础状态预期!$AI$17:$AI$55,$BQ94)*$W$60</f>
        <v>0</v>
      </c>
      <c r="CC94" s="41">
        <f>$BR94*(INDEX([2]中r将兵属性验证!$V$7:$V$166,$BQ94,1)+INDEX([2]中r将兵属性验证!$AP$7:$AP$166,$BQ94,1))</f>
        <v>0</v>
      </c>
      <c r="CD94" s="41">
        <f>$BS94*INDEX([2]中r将兵属性验证!W$7:W$166,$BQ94,1)</f>
        <v>0</v>
      </c>
      <c r="CE94" s="41">
        <f>BT94*INDEX([2]中r将兵属性验证!X$7:X$166,$BQ94,1)</f>
        <v>0</v>
      </c>
      <c r="CF94" s="41">
        <f>BU94*INDEX([2]中r将兵属性验证!$AQ$7:$AQ$166,$BQ94)</f>
        <v>0</v>
      </c>
      <c r="CG94" s="41">
        <f>BV94*INDEX([2]中r将兵属性验证!$AR$7:$AR$166,$BQ94)</f>
        <v>0</v>
      </c>
      <c r="CH94" s="41">
        <f>BW94*INDEX([2]中r将兵属性验证!$AM$7:$AM$166,$BQ94,1)</f>
        <v>0</v>
      </c>
      <c r="CI94" s="41">
        <f>BX94*INDEX([2]中r将兵属性验证!$AA$7:$AA$166,$BQ94,1)</f>
        <v>0</v>
      </c>
      <c r="CJ94" s="41">
        <f>BY94*INDEX([2]中r将兵属性验证!$AB$7:$AB$166,$BQ94,1)</f>
        <v>0</v>
      </c>
      <c r="CK94" s="41">
        <f>BZ94*INDEX([2]中r将兵属性验证!$AU$7:$AU$166,$BQ94,1)</f>
        <v>0</v>
      </c>
      <c r="CL94" s="41">
        <f>CA94*INDEX([2]中r将兵属性验证!$AV$7:$AV$166,$BQ94,1)</f>
        <v>0</v>
      </c>
      <c r="CM94" s="41">
        <f>CB94*(INDEX([2]中r将兵属性验证!$AC$7:$AC$166,$BQ94,1)*[2]战法技能效用!$AH$4+INDEX([2]中r将兵属性验证!$AX$7:$AX$166,$BQ94,1)*[2]战法技能效用!$AI$4)</f>
        <v>0</v>
      </c>
      <c r="CN94" s="29">
        <f t="shared" ref="CN94:CN103" si="63">SUM(CC94:CM94)</f>
        <v>0</v>
      </c>
      <c r="CR94" s="29">
        <f>基础状态预期!D107</f>
        <v>10.099965341977441</v>
      </c>
      <c r="CS94" s="29">
        <f>IF(基础状态预期!AI107="",0,基础状态预期!AI107)*$AB$37*基础状态预期!J107</f>
        <v>0</v>
      </c>
      <c r="CT94" s="29">
        <f>CS94*武将数量星级阶位验证!$E$7*1.8</f>
        <v>0</v>
      </c>
      <c r="CV94" s="29">
        <v>10</v>
      </c>
      <c r="CW94" s="29">
        <f>求节点($CR$94:$CR$132,CT$94:CT$132,$CV94)</f>
        <v>0</v>
      </c>
      <c r="CX94" s="29"/>
      <c r="CY94" s="29"/>
      <c r="CZ94" s="29">
        <f>SUM(CW94:CY94)</f>
        <v>0</v>
      </c>
    </row>
    <row r="95" spans="51:104" x14ac:dyDescent="0.15">
      <c r="AY95" s="17">
        <v>86</v>
      </c>
      <c r="AZ95" s="17">
        <f>求节点(基础状态预期!$D$17:$D$55,基础状态预期!$AI$17:$AI$55,$AY95)*求节点(基础状态预期!$D$17:$D$55,基础状态预期!$J$17:$J$55,$AY95)*$AB$49</f>
        <v>512.20849630675673</v>
      </c>
      <c r="BA95" s="17">
        <f>求节点(基础状态预期!$D$62:$D$100,基础状态预期!$AI$62:$AI$100,$AY95)*求节点(基础状态预期!$D$62:$D$100,基础状态预期!$J$62:$J$100,$AY95)*$AB$49</f>
        <v>853.72901432718368</v>
      </c>
      <c r="BB95" s="17">
        <f>求节点(基础状态预期!$D$107:$D$145,基础状态预期!$AI$107:$AI$145,$AY95)*求节点(基础状态预期!$D$107:$D$145,基础状态预期!$J$107:$J$145,$AY95)*$AB$49</f>
        <v>1092.1515229728013</v>
      </c>
      <c r="BC95" s="17">
        <f>求节点(基础状态预期!$D$152:$D$190,基础状态预期!$AI$152:$AI$190,$AY95)*求节点(基础状态预期!$D$62:$D$100,基础状态预期!$J$152:$J$190,$AY95)*$AB$49</f>
        <v>6628.1384036856116</v>
      </c>
      <c r="BD95" s="17">
        <f>求节点(基础状态预期!$D$197:$D$235,基础状态预期!$AI$197:$AI$235,$AY95)*求节点(基础状态预期!$D$197:$D$235,基础状态预期!$J$197:$J$235,$AY95)*$AB$49</f>
        <v>7554.8936510276581</v>
      </c>
      <c r="BQ95" s="29">
        <v>20</v>
      </c>
      <c r="BR95" s="29">
        <f>求节点(基础状态预期!$D$17:$D$55,基础状态预期!$AI$17:$AI$55,$BQ95)*SUM($AR$6:$AT$6)/3</f>
        <v>0</v>
      </c>
      <c r="BS95" s="29">
        <f>求节点(基础状态预期!$D$17:$D$55,基础状态预期!$AI$17:$AI$55,$BQ95)*AH$6</f>
        <v>0</v>
      </c>
      <c r="BT95" s="145">
        <f t="shared" ref="BT95:BT109" si="64">BS95</f>
        <v>0</v>
      </c>
      <c r="BU95" s="29">
        <f>求节点(基础状态预期!$D$17:$D$55,基础状态预期!$AI$17:$AI$55,$BQ95)*AI$6</f>
        <v>0</v>
      </c>
      <c r="BV95" s="145">
        <f t="shared" ref="BV95:BV109" si="65">BU95</f>
        <v>0</v>
      </c>
      <c r="BW95" s="29">
        <f>求节点(基础状态预期!$D$17:$D$55,基础状态预期!$AI$17:$AI$55,$BQ95)*$AU$6</f>
        <v>0</v>
      </c>
      <c r="BX95" s="29">
        <f>求节点(基础状态预期!$D$17:$D$55,基础状态预期!$AI$17:$AI$55,$BQ95)*$AJ$6</f>
        <v>0</v>
      </c>
      <c r="BY95" s="145">
        <f t="shared" ref="BY95" si="66">BX95</f>
        <v>0</v>
      </c>
      <c r="BZ95" s="29">
        <f>求节点(基础状态预期!$D$17:$D$55,基础状态预期!$AI$17:$AI$55,$BQ95)*$AK$6</f>
        <v>0</v>
      </c>
      <c r="CA95" s="145">
        <f t="shared" ref="CA95" si="67">BZ95</f>
        <v>0</v>
      </c>
      <c r="CB95" s="29">
        <f>求节点(基础状态预期!$D$17:$D$55,基础状态预期!$AI$17:$AI$55,$BQ95)*$W$60</f>
        <v>0</v>
      </c>
      <c r="CC95" s="29">
        <f>($BR95-$BR94)*(INDEX([2]中r将兵属性验证!$V$7:$V$166,$BQ95,1)+INDEX([2]中r将兵属性验证!$AP$7:$AP$166,$BQ95,1))+CC94</f>
        <v>0</v>
      </c>
      <c r="CD95" s="29">
        <f>($BS95-$BS94)*INDEX([2]中r将兵属性验证!W$7:W$166,$BQ95,1)+CD94</f>
        <v>0</v>
      </c>
      <c r="CE95" s="29">
        <f>(BT95-$BT94)*INDEX([2]中r将兵属性验证!X$7:X$166,$BQ95,1)+CE94</f>
        <v>0</v>
      </c>
      <c r="CF95" s="29">
        <f>(BU95-BU94)*INDEX([2]中r将兵属性验证!$AQ$7:$AQ$166,$BQ95)+CF94</f>
        <v>0</v>
      </c>
      <c r="CG95" s="29">
        <f>(BV95-BV94)*INDEX([2]中r将兵属性验证!$AR$7:$AR$166,$BQ95)+CG94</f>
        <v>0</v>
      </c>
      <c r="CH95" s="29">
        <f>(BW95-BW94)*INDEX([2]中r将兵属性验证!$AM$7:$AM$166,$BQ95,1)+CH94</f>
        <v>0</v>
      </c>
      <c r="CI95" s="29">
        <f>(BX95-BX94)*INDEX([2]中r将兵属性验证!$AA$7:$AA$166,$BQ95,1)+CI94</f>
        <v>0</v>
      </c>
      <c r="CJ95" s="29">
        <f>(BY95-BY94)*INDEX([2]中r将兵属性验证!$AB$7:$AB$166,$BQ95,1)+CJ94</f>
        <v>0</v>
      </c>
      <c r="CK95" s="29">
        <f>(BZ95-BZ94)*INDEX([2]中r将兵属性验证!$AU$7:$AU$166,$BQ95,1)+CK94</f>
        <v>0</v>
      </c>
      <c r="CL95" s="29">
        <f>(CA95-CA94)*INDEX([2]中r将兵属性验证!$AV$7:$AV$166,$BQ95,1)+CL94</f>
        <v>0</v>
      </c>
      <c r="CM95" s="29">
        <f>(CB95-CB94)*(INDEX([2]中r将兵属性验证!$AC$7:$AC$166,$BQ95,1)*[2]战法技能效用!$AH$4+INDEX([2]中r将兵属性验证!$AX$7:$AX$166,$BQ95,1)*[2]战法技能效用!$AI$4)+CM94</f>
        <v>0</v>
      </c>
      <c r="CN95" s="29">
        <f t="shared" si="63"/>
        <v>0</v>
      </c>
      <c r="CR95" s="29">
        <f>基础状态预期!D108</f>
        <v>19.800198258084681</v>
      </c>
      <c r="CS95" s="29">
        <f>IF(基础状态预期!AI108="",0,基础状态预期!AI108)*$AB$37*基础状态预期!J108</f>
        <v>0</v>
      </c>
      <c r="CT95" s="29">
        <f>CS95*武将数量星级阶位验证!$E$7*1.8</f>
        <v>0</v>
      </c>
      <c r="CV95" s="29">
        <v>20</v>
      </c>
      <c r="CW95" s="29">
        <f t="shared" ref="CW95:CW109" si="68">求节点($CR$94:$CR$132,CT$94:CT$132,$CV95)</f>
        <v>0</v>
      </c>
      <c r="CX95" s="29"/>
      <c r="CY95" s="29"/>
      <c r="CZ95" s="29">
        <f t="shared" ref="CZ95:CZ103" si="69">SUM(CW95:CY95)</f>
        <v>0</v>
      </c>
    </row>
    <row r="96" spans="51:104" x14ac:dyDescent="0.15">
      <c r="AY96" s="17">
        <v>87</v>
      </c>
      <c r="AZ96" s="17">
        <f>求节点(基础状态预期!$D$17:$D$55,基础状态预期!$AI$17:$AI$55,$AY96)*求节点(基础状态预期!$D$17:$D$55,基础状态预期!$J$17:$J$55,$AY96)*$AB$49</f>
        <v>543.51028118484066</v>
      </c>
      <c r="BA96" s="17">
        <f>求节点(基础状态预期!$D$62:$D$100,基础状态预期!$AI$62:$AI$100,$AY96)*求节点(基础状态预期!$D$62:$D$100,基础状态预期!$J$62:$J$100,$AY96)*$AB$49</f>
        <v>908.08226644098613</v>
      </c>
      <c r="BB96" s="17">
        <f>求节点(基础状态预期!$D$107:$D$145,基础状态预期!$AI$107:$AI$145,$AY96)*求节点(基础状态预期!$D$107:$D$145,基础状态预期!$J$107:$J$145,$AY96)*$AB$49</f>
        <v>1322.0981917882009</v>
      </c>
      <c r="BC96" s="17">
        <f>求节点(基础状态预期!$D$152:$D$190,基础状态预期!$AI$152:$AI$190,$AY96)*求节点(基础状态预期!$D$62:$D$100,基础状态预期!$J$152:$J$190,$AY96)*$AB$49</f>
        <v>8059.440025630287</v>
      </c>
      <c r="BD96" s="17">
        <f>求节点(基础状态预期!$D$197:$D$235,基础状态预期!$AI$197:$AI$235,$AY96)*求节点(基础状态预期!$D$197:$D$235,基础状态预期!$J$197:$J$235,$AY96)*$AB$49</f>
        <v>8746.1602936786148</v>
      </c>
      <c r="BQ96" s="29">
        <v>30</v>
      </c>
      <c r="BR96" s="29">
        <f>求节点(基础状态预期!$D$17:$D$55,基础状态预期!$AI$17:$AI$55,$BQ96)*SUM($AR$6:$AT$6)/3</f>
        <v>0</v>
      </c>
      <c r="BS96" s="29">
        <f>求节点(基础状态预期!$D$17:$D$55,基础状态预期!$AI$17:$AI$55,$BQ96)*AH$6</f>
        <v>0</v>
      </c>
      <c r="BT96" s="145">
        <f t="shared" si="64"/>
        <v>0</v>
      </c>
      <c r="BU96" s="29">
        <f>求节点(基础状态预期!$D$17:$D$55,基础状态预期!$AI$17:$AI$55,$BQ96)*AI$6</f>
        <v>0</v>
      </c>
      <c r="BV96" s="145">
        <f t="shared" si="65"/>
        <v>0</v>
      </c>
      <c r="BW96" s="29">
        <f>求节点(基础状态预期!$D$17:$D$55,基础状态预期!$AI$17:$AI$55,$BQ96)*$AU$6</f>
        <v>0</v>
      </c>
      <c r="BX96" s="29">
        <f>求节点(基础状态预期!$D$17:$D$55,基础状态预期!$AI$17:$AI$55,$BQ96)*$AJ$6</f>
        <v>0</v>
      </c>
      <c r="BY96" s="145">
        <f t="shared" ref="BY96" si="70">BX96</f>
        <v>0</v>
      </c>
      <c r="BZ96" s="29">
        <f>求节点(基础状态预期!$D$17:$D$55,基础状态预期!$AI$17:$AI$55,$BQ96)*$AK$6</f>
        <v>0</v>
      </c>
      <c r="CA96" s="145">
        <f t="shared" ref="CA96" si="71">BZ96</f>
        <v>0</v>
      </c>
      <c r="CB96" s="29">
        <f>求节点(基础状态预期!$D$17:$D$55,基础状态预期!$AI$17:$AI$55,$BQ96)*$W$60</f>
        <v>0</v>
      </c>
      <c r="CC96" s="29">
        <f>($BR96-$BR95)*(INDEX([2]中r将兵属性验证!$V$7:$V$166,$BQ96,1)+INDEX([2]中r将兵属性验证!$AP$7:$AP$166,$BQ96,1))+CC95</f>
        <v>0</v>
      </c>
      <c r="CD96" s="29">
        <f>($BS96-$BS95)*INDEX([2]中r将兵属性验证!W$7:W$166,$BQ96,1)+CD95</f>
        <v>0</v>
      </c>
      <c r="CE96" s="29">
        <f>(BT96-$BT95)*INDEX([2]中r将兵属性验证!X$7:X$166,$BQ96,1)+CE95</f>
        <v>0</v>
      </c>
      <c r="CF96" s="29">
        <f>(BU96-BU95)*INDEX([2]中r将兵属性验证!$AQ$7:$AQ$166,$BQ96)+CF95</f>
        <v>0</v>
      </c>
      <c r="CG96" s="29">
        <f>(BV96-BV95)*INDEX([2]中r将兵属性验证!$AR$7:$AR$166,$BQ96)+CG95</f>
        <v>0</v>
      </c>
      <c r="CH96" s="29">
        <f>(BW96-BW95)*INDEX([2]中r将兵属性验证!$AM$7:$AM$166,$BQ96,1)+CH95</f>
        <v>0</v>
      </c>
      <c r="CI96" s="29">
        <f>(BX96-BX95)*INDEX([2]中r将兵属性验证!$AA$7:$AA$166,$BQ96,1)+CI95</f>
        <v>0</v>
      </c>
      <c r="CJ96" s="29">
        <f>(BY96-BY95)*INDEX([2]中r将兵属性验证!$AB$7:$AB$166,$BQ96,1)+CJ95</f>
        <v>0</v>
      </c>
      <c r="CK96" s="29">
        <f>(BZ96-BZ95)*INDEX([2]中r将兵属性验证!$AU$7:$AU$166,$BQ96,1)+CK95</f>
        <v>0</v>
      </c>
      <c r="CL96" s="29">
        <f>(CA96-CA95)*INDEX([2]中r将兵属性验证!$AV$7:$AV$166,$BQ96,1)+CL95</f>
        <v>0</v>
      </c>
      <c r="CM96" s="29">
        <f>(CB96-CB95)*(INDEX([2]中r将兵属性验证!$AC$7:$AC$166,$BQ96,1)*[2]战法技能效用!$AH$4+INDEX([2]中r将兵属性验证!$AX$7:$AX$166,$BQ96,1)*[2]战法技能效用!$AI$4)+CM95</f>
        <v>0</v>
      </c>
      <c r="CN96" s="29">
        <f t="shared" si="63"/>
        <v>0</v>
      </c>
      <c r="CR96" s="29">
        <f>基础状态预期!D109</f>
        <v>27.769105021676069</v>
      </c>
      <c r="CS96" s="29">
        <f>IF(基础状态预期!AI109="",0,基础状态预期!AI109)*$AB$37*基础状态预期!J109</f>
        <v>0</v>
      </c>
      <c r="CT96" s="29">
        <f>CS96*武将数量星级阶位验证!$E$7*1.8</f>
        <v>0</v>
      </c>
      <c r="CV96" s="29">
        <v>30</v>
      </c>
      <c r="CW96" s="29">
        <f t="shared" si="68"/>
        <v>0</v>
      </c>
      <c r="CX96" s="29"/>
      <c r="CY96" s="29"/>
      <c r="CZ96" s="29">
        <f t="shared" si="69"/>
        <v>0</v>
      </c>
    </row>
    <row r="97" spans="51:104" x14ac:dyDescent="0.15">
      <c r="AY97" s="17">
        <v>88</v>
      </c>
      <c r="AZ97" s="17">
        <f>求节点(基础状态预期!$D$17:$D$55,基础状态预期!$AI$17:$AI$55,$AY97)*求节点(基础状态预期!$D$17:$D$55,基础状态预期!$J$17:$J$55,$AY97)*$AB$49</f>
        <v>576.62270150115</v>
      </c>
      <c r="BA97" s="17">
        <f>求节点(基础状态预期!$D$62:$D$100,基础状态预期!$AI$62:$AI$100,$AY97)*求节点(基础状态预期!$D$62:$D$100,基础状态预期!$J$62:$J$100,$AY97)*$AB$49</f>
        <v>963.54411634448127</v>
      </c>
      <c r="BB97" s="17">
        <f>求节点(基础状态预期!$D$107:$D$145,基础状态预期!$AI$107:$AI$145,$AY97)*求节点(基础状态预期!$D$107:$D$145,基础状态预期!$J$107:$J$145,$AY97)*$AB$49</f>
        <v>1653.7599941702267</v>
      </c>
      <c r="BC97" s="17">
        <f>求节点(基础状态预期!$D$152:$D$190,基础状态预期!$AI$152:$AI$190,$AY97)*求节点(基础状态预期!$D$62:$D$100,基础状态预期!$J$152:$J$190,$AY97)*$AB$49</f>
        <v>9526.2348390254738</v>
      </c>
      <c r="BD97" s="17">
        <f>求节点(基础状态预期!$D$197:$D$235,基础状态预期!$AI$197:$AI$235,$AY97)*求节点(基础状态预期!$D$197:$D$235,基础状态预期!$J$197:$J$235,$AY97)*$AB$49</f>
        <v>10060.412321555905</v>
      </c>
      <c r="BQ97" s="29">
        <v>40</v>
      </c>
      <c r="BR97" s="29">
        <f>求节点(基础状态预期!$D$17:$D$55,基础状态预期!$AI$17:$AI$55,$BQ97)*SUM($AR$6:$AT$6)/3</f>
        <v>0</v>
      </c>
      <c r="BS97" s="29">
        <f>求节点(基础状态预期!$D$17:$D$55,基础状态预期!$AI$17:$AI$55,$BQ97)*AH$6</f>
        <v>0</v>
      </c>
      <c r="BT97" s="145">
        <f t="shared" si="64"/>
        <v>0</v>
      </c>
      <c r="BU97" s="29">
        <f>求节点(基础状态预期!$D$17:$D$55,基础状态预期!$AI$17:$AI$55,$BQ97)*AI$6</f>
        <v>0</v>
      </c>
      <c r="BV97" s="145">
        <f t="shared" si="65"/>
        <v>0</v>
      </c>
      <c r="BW97" s="29">
        <f>求节点(基础状态预期!$D$17:$D$55,基础状态预期!$AI$17:$AI$55,$BQ97)*$AU$6</f>
        <v>0</v>
      </c>
      <c r="BX97" s="29">
        <f>求节点(基础状态预期!$D$17:$D$55,基础状态预期!$AI$17:$AI$55,$BQ97)*$AJ$6</f>
        <v>0</v>
      </c>
      <c r="BY97" s="145">
        <f t="shared" ref="BY97" si="72">BX97</f>
        <v>0</v>
      </c>
      <c r="BZ97" s="29">
        <f>求节点(基础状态预期!$D$17:$D$55,基础状态预期!$AI$17:$AI$55,$BQ97)*$AK$6</f>
        <v>0</v>
      </c>
      <c r="CA97" s="145">
        <f t="shared" ref="CA97" si="73">BZ97</f>
        <v>0</v>
      </c>
      <c r="CB97" s="29">
        <f>求节点(基础状态预期!$D$17:$D$55,基础状态预期!$AI$17:$AI$55,$BQ97)*$W$60</f>
        <v>0</v>
      </c>
      <c r="CC97" s="29">
        <f>($BR97-$BR96)*(INDEX([2]中r将兵属性验证!$V$7:$V$166,$BQ97,1)+INDEX([2]中r将兵属性验证!$AP$7:$AP$166,$BQ97,1))+CC96</f>
        <v>0</v>
      </c>
      <c r="CD97" s="29">
        <f>($BS97-$BS96)*INDEX([2]中r将兵属性验证!W$7:W$166,$BQ97,1)+CD96</f>
        <v>0</v>
      </c>
      <c r="CE97" s="29">
        <f>(BT97-$BT96)*INDEX([2]中r将兵属性验证!X$7:X$166,$BQ97,1)+CE96</f>
        <v>0</v>
      </c>
      <c r="CF97" s="29">
        <f>(BU97-BU96)*INDEX([2]中r将兵属性验证!$AQ$7:$AQ$166,$BQ97)+CF96</f>
        <v>0</v>
      </c>
      <c r="CG97" s="29">
        <f>(BV97-BV96)*INDEX([2]中r将兵属性验证!$AR$7:$AR$166,$BQ97)+CG96</f>
        <v>0</v>
      </c>
      <c r="CH97" s="29">
        <f>(BW97-BW96)*INDEX([2]中r将兵属性验证!$AM$7:$AM$166,$BQ97,1)+CH96</f>
        <v>0</v>
      </c>
      <c r="CI97" s="29">
        <f>(BX97-BX96)*INDEX([2]中r将兵属性验证!$AA$7:$AA$166,$BQ97,1)+CI96</f>
        <v>0</v>
      </c>
      <c r="CJ97" s="29">
        <f>(BY97-BY96)*INDEX([2]中r将兵属性验证!$AB$7:$AB$166,$BQ97,1)+CJ96</f>
        <v>0</v>
      </c>
      <c r="CK97" s="29">
        <f>(BZ97-BZ96)*INDEX([2]中r将兵属性验证!$AU$7:$AU$166,$BQ97,1)+CK96</f>
        <v>0</v>
      </c>
      <c r="CL97" s="29">
        <f>(CA97-CA96)*INDEX([2]中r将兵属性验证!$AV$7:$AV$166,$BQ97,1)+CL96</f>
        <v>0</v>
      </c>
      <c r="CM97" s="29">
        <f>(CB97-CB96)*(INDEX([2]中r将兵属性验证!$AC$7:$AC$166,$BQ97,1)*[2]战法技能效用!$AH$4+INDEX([2]中r将兵属性验证!$AX$7:$AX$166,$BQ97,1)*[2]战法技能效用!$AI$4)+CM96</f>
        <v>0</v>
      </c>
      <c r="CN97" s="29">
        <f t="shared" si="63"/>
        <v>0</v>
      </c>
      <c r="CR97" s="29">
        <f>基础状态预期!D110</f>
        <v>34.192155176139416</v>
      </c>
      <c r="CS97" s="29">
        <f>IF(基础状态预期!AI110="",0,基础状态预期!AI110)*$AB$37*基础状态预期!J110</f>
        <v>0</v>
      </c>
      <c r="CT97" s="29">
        <f>CS97*武将数量星级阶位验证!$E$7*1.8</f>
        <v>0</v>
      </c>
      <c r="CV97" s="29">
        <v>40</v>
      </c>
      <c r="CW97" s="29">
        <f t="shared" si="68"/>
        <v>0</v>
      </c>
      <c r="CX97" s="29"/>
      <c r="CY97" s="29"/>
      <c r="CZ97" s="29">
        <f t="shared" si="69"/>
        <v>0</v>
      </c>
    </row>
    <row r="98" spans="51:104" x14ac:dyDescent="0.15">
      <c r="AY98" s="17">
        <v>89</v>
      </c>
      <c r="AZ98" s="17">
        <f>求节点(基础状态预期!$D$17:$D$55,基础状态预期!$AI$17:$AI$55,$AY98)*求节点(基础状态预期!$D$17:$D$55,基础状态预期!$J$17:$J$55,$AY98)*$AB$49</f>
        <v>609.73512181745957</v>
      </c>
      <c r="BA98" s="17">
        <f>求节点(基础状态预期!$D$62:$D$100,基础状态预期!$AI$62:$AI$100,$AY98)*求节点(基础状态预期!$D$62:$D$100,基础状态预期!$J$62:$J$100,$AY98)*$AB$49</f>
        <v>1019.0059662479762</v>
      </c>
      <c r="BB98" s="17">
        <f>求节点(基础状态预期!$D$107:$D$145,基础状态预期!$AI$107:$AI$145,$AY98)*求节点(基础状态预期!$D$107:$D$145,基础状态预期!$J$107:$J$145,$AY98)*$AB$49</f>
        <v>1985.4217965522525</v>
      </c>
      <c r="BC98" s="17">
        <f>求节点(基础状态预期!$D$152:$D$190,基础状态预期!$AI$152:$AI$190,$AY98)*求节点(基础状态预期!$D$62:$D$100,基础状态预期!$J$152:$J$190,$AY98)*$AB$49</f>
        <v>10993.029652420657</v>
      </c>
      <c r="BD98" s="17">
        <f>求节点(基础状态预期!$D$197:$D$235,基础状态预期!$AI$197:$AI$235,$AY98)*求节点(基础状态预期!$D$197:$D$235,基础状态预期!$J$197:$J$235,$AY98)*$AB$49</f>
        <v>11374.664349433193</v>
      </c>
      <c r="BQ98" s="29">
        <v>50</v>
      </c>
      <c r="BR98" s="29">
        <f>求节点(基础状态预期!$D$17:$D$55,基础状态预期!$AI$17:$AI$55,$BQ98)*SUM($AR$6:$AT$6)/3</f>
        <v>1.7400591500465808E-2</v>
      </c>
      <c r="BS98" s="29">
        <f>求节点(基础状态预期!$D$17:$D$55,基础状态预期!$AI$17:$AI$55,$BQ98)*AH$6</f>
        <v>1.087536968779113</v>
      </c>
      <c r="BT98" s="145">
        <f t="shared" si="64"/>
        <v>1.087536968779113</v>
      </c>
      <c r="BU98" s="29">
        <f>求节点(基础状态预期!$D$17:$D$55,基础状态预期!$AI$17:$AI$55,$BQ98)*AI$6</f>
        <v>5.2201774501397423E-2</v>
      </c>
      <c r="BV98" s="145">
        <f t="shared" si="65"/>
        <v>5.2201774501397423E-2</v>
      </c>
      <c r="BW98" s="29">
        <f>求节点(基础状态预期!$D$17:$D$55,基础状态预期!$AI$17:$AI$55,$BQ98)*$AU$6</f>
        <v>0.21750739375582259</v>
      </c>
      <c r="BX98" s="29">
        <f>求节点(基础状态预期!$D$17:$D$55,基础状态预期!$AI$17:$AI$55,$BQ98)*$AJ$6</f>
        <v>5.220177450139742E-5</v>
      </c>
      <c r="BY98" s="145">
        <f t="shared" ref="BY98" si="74">BX98</f>
        <v>5.220177450139742E-5</v>
      </c>
      <c r="BZ98" s="29">
        <f>求节点(基础状态预期!$D$17:$D$55,基础状态预期!$AI$17:$AI$55,$BQ98)*$AK$6</f>
        <v>4.3501478751164522E-5</v>
      </c>
      <c r="CA98" s="145">
        <f t="shared" ref="CA98" si="75">BZ98</f>
        <v>4.3501478751164522E-5</v>
      </c>
      <c r="CB98" s="29">
        <f>求节点(基础状态预期!$D$17:$D$55,基础状态预期!$AI$17:$AI$55,$BQ98)*$W$60</f>
        <v>2.6100887250698714E-4</v>
      </c>
      <c r="CC98" s="29">
        <f>($BR98-$BR97)*(INDEX([2]中r将兵属性验证!$V$7:$V$166,$BQ98,1)+INDEX([2]中r将兵属性验证!$AP$7:$AP$166,$BQ98,1))+CC97</f>
        <v>357223.56973402255</v>
      </c>
      <c r="CD98" s="29">
        <f>($BS98-$BS97)*INDEX([2]中r将兵属性验证!W$7:W$166,$BQ98,1)+CD97</f>
        <v>279378.46823453461</v>
      </c>
      <c r="CE98" s="29">
        <f>(BT98-$BT97)*INDEX([2]中r将兵属性验证!X$7:X$166,$BQ98,1)+CE97</f>
        <v>279378.46823453461</v>
      </c>
      <c r="CF98" s="29">
        <f>(BU98-BU97)*INDEX([2]中r将兵属性验证!$AQ$7:$AQ$166,$BQ98)+CF97</f>
        <v>122350.19680104395</v>
      </c>
      <c r="CG98" s="29">
        <f>(BV98-BV97)*INDEX([2]中r将兵属性验证!$AR$7:$AR$166,$BQ98)+CG97</f>
        <v>122350.19680104395</v>
      </c>
      <c r="CH98" s="29">
        <f>(BW98-BW97)*INDEX([2]中r将兵属性验证!$AM$7:$AM$166,$BQ98,1)+CH97</f>
        <v>1098.9067848963552</v>
      </c>
      <c r="CI98" s="29">
        <f>(BX98-BX97)*INDEX([2]中r将兵属性验证!$AA$7:$AA$166,$BQ98,1)+CI97</f>
        <v>94813.623768391102</v>
      </c>
      <c r="CJ98" s="29">
        <f>(BY98-BY97)*INDEX([2]中r将兵属性验证!$AB$7:$AB$166,$BQ98,1)+CJ97</f>
        <v>94813.623768391102</v>
      </c>
      <c r="CK98" s="29">
        <f>(BZ98-BZ97)*INDEX([2]中r将兵属性验证!$AU$7:$AU$166,$BQ98,1)+CK97</f>
        <v>53218.552919917398</v>
      </c>
      <c r="CL98" s="29">
        <f>(CA98-CA97)*INDEX([2]中r将兵属性验证!$AV$7:$AV$166,$BQ98,1)+CL97</f>
        <v>53218.552919917398</v>
      </c>
      <c r="CM98" s="29">
        <f>(CB98-CB97)*(INDEX([2]中r将兵属性验证!$AC$7:$AC$166,$BQ98,1)*[2]战法技能效用!$AH$4+INDEX([2]中r将兵属性验证!$AX$7:$AX$166,$BQ98,1)*[2]战法技能效用!$AI$4)+CM97</f>
        <v>476440.12733276741</v>
      </c>
      <c r="CN98" s="29">
        <f t="shared" si="63"/>
        <v>1934284.2872994605</v>
      </c>
      <c r="CR98" s="29">
        <f>基础状态预期!D111</f>
        <v>39.631851677253941</v>
      </c>
      <c r="CS98" s="29">
        <f>IF(基础状态预期!AI111="",0,基础状态预期!AI111)*$AB$37*基础状态预期!J111</f>
        <v>0</v>
      </c>
      <c r="CT98" s="29">
        <f>CS98*武将数量星级阶位验证!$E$7*1.8</f>
        <v>0</v>
      </c>
      <c r="CV98" s="29">
        <v>50</v>
      </c>
      <c r="CW98" s="29">
        <f t="shared" si="68"/>
        <v>159.68869962771075</v>
      </c>
      <c r="CX98" s="29"/>
      <c r="CY98" s="29"/>
      <c r="CZ98" s="29">
        <f t="shared" si="69"/>
        <v>159.68869962771075</v>
      </c>
    </row>
    <row r="99" spans="51:104" x14ac:dyDescent="0.15">
      <c r="AY99" s="17">
        <v>90</v>
      </c>
      <c r="AZ99" s="17">
        <f>求节点(基础状态预期!$D$17:$D$55,基础状态预期!$AI$17:$AI$55,$AY99)*求节点(基础状态预期!$D$17:$D$55,基础状态预期!$J$17:$J$55,$AY99)*$AB$49</f>
        <v>642.84754213376902</v>
      </c>
      <c r="BA99" s="17">
        <f>求节点(基础状态预期!$D$62:$D$100,基础状态预期!$AI$62:$AI$100,$AY99)*求节点(基础状态预期!$D$62:$D$100,基础状态预期!$J$62:$J$100,$AY99)*$AB$49</f>
        <v>1074.4678161514712</v>
      </c>
      <c r="BB99" s="17">
        <f>求节点(基础状态预期!$D$107:$D$145,基础状态预期!$AI$107:$AI$145,$AY99)*求节点(基础状态预期!$D$107:$D$145,基础状态预期!$J$107:$J$145,$AY99)*$AB$49</f>
        <v>2317.0835989342781</v>
      </c>
      <c r="BC99" s="17">
        <f>求节点(基础状态预期!$D$152:$D$190,基础状态预期!$AI$152:$AI$190,$AY99)*求节点(基础状态预期!$D$62:$D$100,基础状态预期!$J$152:$J$190,$AY99)*$AB$49</f>
        <v>12459.824465815842</v>
      </c>
      <c r="BD99" s="17">
        <f>求节点(基础状态预期!$D$197:$D$235,基础状态预期!$AI$197:$AI$235,$AY99)*求节点(基础状态预期!$D$197:$D$235,基础状态预期!$J$197:$J$235,$AY99)*$AB$49</f>
        <v>12688.916377310481</v>
      </c>
      <c r="BQ99" s="29">
        <v>60</v>
      </c>
      <c r="BR99" s="29">
        <f>求节点(基础状态预期!$D$17:$D$55,基础状态预期!$AI$17:$AI$55,$BQ99)*SUM($AR$6:$AT$6)/3</f>
        <v>0.35447301003177478</v>
      </c>
      <c r="BS99" s="29">
        <f>求节点(基础状态预期!$D$17:$D$55,基础状态预期!$AI$17:$AI$55,$BQ99)*AH$6</f>
        <v>22.154563126985924</v>
      </c>
      <c r="BT99" s="145">
        <f t="shared" si="64"/>
        <v>22.154563126985924</v>
      </c>
      <c r="BU99" s="29">
        <f>求节点(基础状态预期!$D$17:$D$55,基础状态预期!$AI$17:$AI$55,$BQ99)*AI$6</f>
        <v>1.0634190300953243</v>
      </c>
      <c r="BV99" s="145">
        <f t="shared" si="65"/>
        <v>1.0634190300953243</v>
      </c>
      <c r="BW99" s="29">
        <f>求节点(基础状态预期!$D$17:$D$55,基础状态预期!$AI$17:$AI$55,$BQ99)*$AU$6</f>
        <v>4.4309126253971849</v>
      </c>
      <c r="BX99" s="29">
        <f>求节点(基础状态预期!$D$17:$D$55,基础状态预期!$AI$17:$AI$55,$BQ99)*$AJ$6</f>
        <v>1.0634190300953244E-3</v>
      </c>
      <c r="BY99" s="145">
        <f t="shared" ref="BY99" si="76">BX99</f>
        <v>1.0634190300953244E-3</v>
      </c>
      <c r="BZ99" s="29">
        <f>求节点(基础状态预期!$D$17:$D$55,基础状态预期!$AI$17:$AI$55,$BQ99)*$AK$6</f>
        <v>8.8618252507943708E-4</v>
      </c>
      <c r="CA99" s="145">
        <f t="shared" ref="CA99" si="77">BZ99</f>
        <v>8.8618252507943708E-4</v>
      </c>
      <c r="CB99" s="29">
        <f>求节点(基础状态预期!$D$17:$D$55,基础状态预期!$AI$17:$AI$55,$BQ99)*$W$60</f>
        <v>5.3170951504766225E-3</v>
      </c>
      <c r="CC99" s="29">
        <f>($BR99-$BR98)*(INDEX([2]中r将兵属性验证!$V$7:$V$166,$BQ99,1)+INDEX([2]中r将兵属性验证!$AP$7:$AP$166,$BQ99,1))+CC98</f>
        <v>15665629.742394254</v>
      </c>
      <c r="CD99" s="29">
        <f>($BS99-$BS98)*INDEX([2]中r将兵属性验证!W$7:W$166,$BQ99,1)+CD98</f>
        <v>11194662.302467238</v>
      </c>
      <c r="CE99" s="29">
        <f>(BT99-$BT98)*INDEX([2]中r将兵属性验证!X$7:X$166,$BQ99,1)+CE98</f>
        <v>11194662.302467238</v>
      </c>
      <c r="CF99" s="29">
        <f>(BU99-BU98)*INDEX([2]中r将兵属性验证!$AQ$7:$AQ$166,$BQ99)+CF98</f>
        <v>5794201.6545256693</v>
      </c>
      <c r="CG99" s="29">
        <f>(BV99-BV98)*INDEX([2]中r将兵属性验证!$AR$7:$AR$166,$BQ99)+CG98</f>
        <v>5794201.6545256693</v>
      </c>
      <c r="CH99" s="29">
        <f>(BW99-BW98)*INDEX([2]中r将兵属性验证!$AM$7:$AM$166,$BQ99,1)+CH98</f>
        <v>25100.920728223151</v>
      </c>
      <c r="CI99" s="29">
        <f>(BX99-BX98)*INDEX([2]中r将兵属性验证!$AA$7:$AA$166,$BQ99,1)+CI98</f>
        <v>4966820.7579155257</v>
      </c>
      <c r="CJ99" s="29">
        <f>(BY99-BY98)*INDEX([2]中r将兵属性验证!$AB$7:$AB$166,$BQ99,1)+CJ98</f>
        <v>4966820.7579155257</v>
      </c>
      <c r="CK99" s="29">
        <f>(BZ99-BZ98)*INDEX([2]中r将兵属性验证!$AU$7:$AU$166,$BQ99,1)+CK98</f>
        <v>2987751.9631676376</v>
      </c>
      <c r="CL99" s="29">
        <f>(CA99-CA98)*INDEX([2]中r将兵属性验证!$AV$7:$AV$166,$BQ99,1)+CL98</f>
        <v>2987751.9631676376</v>
      </c>
      <c r="CM99" s="29">
        <f>(CB99-CB98)*(INDEX([2]中r将兵属性验证!$AC$7:$AC$166,$BQ99,1)*[2]战法技能效用!$AH$4+INDEX([2]中r将兵属性验证!$AX$7:$AX$166,$BQ99,1)*[2]战法技能效用!$AI$4)+CM98</f>
        <v>23627523.157342836</v>
      </c>
      <c r="CN99" s="29">
        <f t="shared" si="63"/>
        <v>89205127.176617444</v>
      </c>
      <c r="CR99" s="29">
        <f>基础状态预期!D112</f>
        <v>43.484929789964411</v>
      </c>
      <c r="CS99" s="29">
        <f>IF(基础状态预期!AI112="",0,基础状态预期!AI112)*$AB$37*基础状态预期!J112</f>
        <v>0</v>
      </c>
      <c r="CT99" s="29">
        <f>CS99*武将数量星级阶位验证!$E$7*1.8</f>
        <v>0</v>
      </c>
      <c r="CV99" s="29">
        <v>60</v>
      </c>
      <c r="CW99" s="29">
        <f t="shared" si="68"/>
        <v>4570.9343861336974</v>
      </c>
      <c r="CX99" s="29"/>
      <c r="CY99" s="29"/>
      <c r="CZ99" s="29">
        <f t="shared" si="69"/>
        <v>4570.9343861336974</v>
      </c>
    </row>
    <row r="100" spans="51:104" x14ac:dyDescent="0.15">
      <c r="AY100" s="17">
        <v>91</v>
      </c>
      <c r="AZ100" s="17">
        <f>求节点(基础状态预期!$D$17:$D$55,基础状态预期!$AI$17:$AI$55,$AY100)*求节点(基础状态预期!$D$17:$D$55,基础状态预期!$J$17:$J$55,$AY100)*$AB$49</f>
        <v>682.29458218903505</v>
      </c>
      <c r="BA100" s="17">
        <f>求节点(基础状态预期!$D$62:$D$100,基础状态预期!$AI$62:$AI$100,$AY100)*求节点(基础状态预期!$D$62:$D$100,基础状态预期!$J$62:$J$100,$AY100)*$AB$49</f>
        <v>1141.8592092578019</v>
      </c>
      <c r="BB100" s="17">
        <f>求节点(基础状态预期!$D$107:$D$145,基础状态预期!$AI$107:$AI$145,$AY100)*求节点(基础状态预期!$D$107:$D$145,基础状态预期!$J$107:$J$145,$AY100)*$AB$49</f>
        <v>3164.8307043193122</v>
      </c>
      <c r="BC100" s="17">
        <f>求节点(基础状态预期!$D$152:$D$190,基础状态预期!$AI$152:$AI$190,$AY100)*求节点(基础状态预期!$D$62:$D$100,基础状态预期!$J$152:$J$190,$AY100)*$AB$49</f>
        <v>12982.85508550246</v>
      </c>
      <c r="BD100" s="17">
        <f>求节点(基础状态预期!$D$197:$D$235,基础状态预期!$AI$197:$AI$235,$AY100)*求节点(基础状态预期!$D$197:$D$235,基础状态预期!$J$197:$J$235,$AY100)*$AB$49</f>
        <v>13320</v>
      </c>
      <c r="BQ100" s="29">
        <v>70</v>
      </c>
      <c r="BR100" s="29">
        <f>求节点(基础状态预期!$D$17:$D$55,基础状态预期!$AI$17:$AI$55,$BQ100)*SUM($AR$6:$AT$6)/3</f>
        <v>0.72151018898576991</v>
      </c>
      <c r="BS100" s="29">
        <f>求节点(基础状态预期!$D$17:$D$55,基础状态预期!$AI$17:$AI$55,$BQ100)*AH$6</f>
        <v>45.094386811610619</v>
      </c>
      <c r="BT100" s="145">
        <f t="shared" si="64"/>
        <v>45.094386811610619</v>
      </c>
      <c r="BU100" s="29">
        <f>求节点(基础状态预期!$D$17:$D$55,基础状态预期!$AI$17:$AI$55,$BQ100)*AI$6</f>
        <v>2.1645305669573096</v>
      </c>
      <c r="BV100" s="145">
        <f t="shared" si="65"/>
        <v>2.1645305669573096</v>
      </c>
      <c r="BW100" s="29">
        <f>求节点(基础状态预期!$D$17:$D$55,基础状态预期!$AI$17:$AI$55,$BQ100)*$AU$6</f>
        <v>9.0188773623221241</v>
      </c>
      <c r="BX100" s="29">
        <f>求节点(基础状态预期!$D$17:$D$55,基础状态预期!$AI$17:$AI$55,$BQ100)*$AJ$6</f>
        <v>2.1645305669573097E-3</v>
      </c>
      <c r="BY100" s="145">
        <f t="shared" ref="BY100" si="78">BX100</f>
        <v>2.1645305669573097E-3</v>
      </c>
      <c r="BZ100" s="29">
        <f>求节点(基础状态预期!$D$17:$D$55,基础状态预期!$AI$17:$AI$55,$BQ100)*$AK$6</f>
        <v>1.8037754724644249E-3</v>
      </c>
      <c r="CA100" s="145">
        <f t="shared" ref="CA100" si="79">BZ100</f>
        <v>1.8037754724644249E-3</v>
      </c>
      <c r="CB100" s="29">
        <f>求节点(基础状态预期!$D$17:$D$55,基础状态预期!$AI$17:$AI$55,$BQ100)*$W$60</f>
        <v>1.0822652834786549E-2</v>
      </c>
      <c r="CC100" s="29">
        <f>($BR100-$BR99)*(INDEX([2]中r将兵属性验证!$V$7:$V$166,$BQ100,1)+INDEX([2]中r将兵属性验证!$AP$7:$AP$166,$BQ100,1))+CC99</f>
        <v>71702960.701703444</v>
      </c>
      <c r="CD100" s="29">
        <f>($BS100-$BS99)*INDEX([2]中r将兵属性验证!W$7:W$166,$BQ100,1)+CD99</f>
        <v>39267263.345252335</v>
      </c>
      <c r="CE100" s="29">
        <f>(BT100-$BT99)*INDEX([2]中r将兵属性验证!X$7:X$166,$BQ100,1)+CE99</f>
        <v>39267263.345252335</v>
      </c>
      <c r="CF100" s="29">
        <f>(BU100-BU99)*INDEX([2]中r将兵属性验证!$AQ$7:$AQ$166,$BQ100)+CF99</f>
        <v>31840853.766702391</v>
      </c>
      <c r="CG100" s="29">
        <f>(BV100-BV99)*INDEX([2]中r将兵属性验证!$AR$7:$AR$166,$BQ100)+CG99</f>
        <v>31840853.766702391</v>
      </c>
      <c r="CH100" s="29">
        <f>(BW100-BW99)*INDEX([2]中r将兵属性验证!$AM$7:$AM$166,$BQ100,1)+CH99</f>
        <v>54307.908552618283</v>
      </c>
      <c r="CI100" s="29">
        <f>(BX100-BX99)*INDEX([2]中r将兵属性验证!$AA$7:$AA$166,$BQ100,1)+CI99</f>
        <v>22030706.825709734</v>
      </c>
      <c r="CJ100" s="29">
        <f>(BY100-BY99)*INDEX([2]中r将兵属性验证!$AB$7:$AB$166,$BQ100,1)+CJ99</f>
        <v>22030706.825709734</v>
      </c>
      <c r="CK100" s="29">
        <f>(BZ100-BZ99)*INDEX([2]中r将兵属性验证!$AU$7:$AU$166,$BQ100,1)+CK99</f>
        <v>19609711.006774373</v>
      </c>
      <c r="CL100" s="29">
        <f>(CA100-CA99)*INDEX([2]中r将兵属性验证!$AV$7:$AV$166,$BQ100,1)+CL99</f>
        <v>19609711.006774373</v>
      </c>
      <c r="CM100" s="29">
        <f>(CB100-CB99)*(INDEX([2]中r将兵属性验证!$AC$7:$AC$166,$BQ100,1)*[2]战法技能效用!$AH$4+INDEX([2]中r将兵属性验证!$AX$7:$AX$166,$BQ100,1)*[2]战法技能效用!$AI$4)+CM99</f>
        <v>98565781.52830705</v>
      </c>
      <c r="CN100" s="29">
        <f t="shared" si="63"/>
        <v>395820120.02744079</v>
      </c>
      <c r="CR100" s="29">
        <f>基础状态预期!D113</f>
        <v>49.18886033229559</v>
      </c>
      <c r="CS100" s="29">
        <f>IF(基础状态预期!AI113="",0,基础状态预期!AI113)*$AB$37*基础状态预期!J113</f>
        <v>0</v>
      </c>
      <c r="CT100" s="29">
        <f>CS100*武将数量星级阶位验证!$E$7*1.8</f>
        <v>0</v>
      </c>
      <c r="CV100" s="29">
        <v>70</v>
      </c>
      <c r="CW100" s="29">
        <f t="shared" si="68"/>
        <v>19739.610219352056</v>
      </c>
      <c r="CX100" s="29"/>
      <c r="CY100" s="29"/>
      <c r="CZ100" s="29">
        <f t="shared" si="69"/>
        <v>19739.610219352056</v>
      </c>
    </row>
    <row r="101" spans="51:104" x14ac:dyDescent="0.15">
      <c r="AY101" s="17">
        <v>92</v>
      </c>
      <c r="AZ101" s="17">
        <f>求节点(基础状态预期!$D$17:$D$55,基础状态预期!$AI$17:$AI$55,$AY101)*求节点(基础状态预期!$D$17:$D$55,基础状态预期!$J$17:$J$55,$AY101)*$AB$49</f>
        <v>723.79624064250311</v>
      </c>
      <c r="BA101" s="17">
        <f>求节点(基础状态预期!$D$62:$D$100,基础状态预期!$AI$62:$AI$100,$AY101)*求节点(基础状态预期!$D$62:$D$100,基础状态预期!$J$62:$J$100,$AY101)*$AB$49</f>
        <v>1210.9203583875692</v>
      </c>
      <c r="BB101" s="17">
        <f>求节点(基础状态预期!$D$107:$D$145,基础状态预期!$AI$107:$AI$145,$AY101)*求节点(基础状态预期!$D$107:$D$145,基础状态预期!$J$107:$J$145,$AY101)*$AB$49</f>
        <v>4365.6035392728982</v>
      </c>
      <c r="BC101" s="17">
        <f>求节点(基础状态预期!$D$152:$D$190,基础状态预期!$AI$152:$AI$190,$AY101)*求节点(基础状态预期!$D$62:$D$100,基础状态预期!$J$152:$J$190,$AY101)*$AB$49</f>
        <v>13123.327918028257</v>
      </c>
      <c r="BD101" s="17">
        <f>求节点(基础状态预期!$D$197:$D$235,基础状态预期!$AI$197:$AI$235,$AY101)*求节点(基础状态预期!$D$197:$D$235,基础状态预期!$J$197:$J$235,$AY101)*$AB$49</f>
        <v>13320</v>
      </c>
      <c r="BQ101" s="29">
        <v>80</v>
      </c>
      <c r="BR101" s="29">
        <f>求节点(基础状态预期!$D$17:$D$55,基础状态预期!$AI$17:$AI$55,$BQ101)*SUM($AR$6:$AT$6)/3</f>
        <v>1.0534503973418654</v>
      </c>
      <c r="BS101" s="29">
        <f>求节点(基础状态预期!$D$17:$D$55,基础状态预期!$AI$17:$AI$55,$BQ101)*AH$6</f>
        <v>65.840649833866593</v>
      </c>
      <c r="BT101" s="145">
        <f t="shared" si="64"/>
        <v>65.840649833866593</v>
      </c>
      <c r="BU101" s="29">
        <f>求节点(基础状态预期!$D$17:$D$55,基础状态预期!$AI$17:$AI$55,$BQ101)*AI$6</f>
        <v>3.1603511920255962</v>
      </c>
      <c r="BV101" s="145">
        <f t="shared" si="65"/>
        <v>3.1603511920255962</v>
      </c>
      <c r="BW101" s="29">
        <f>求节点(基础状态预期!$D$17:$D$55,基础状态预期!$AI$17:$AI$55,$BQ101)*$AU$6</f>
        <v>13.168129966773318</v>
      </c>
      <c r="BX101" s="29">
        <f>求节点(基础状态预期!$D$17:$D$55,基础状态预期!$AI$17:$AI$55,$BQ101)*$AJ$6</f>
        <v>3.1603511920255964E-3</v>
      </c>
      <c r="BY101" s="145">
        <f t="shared" ref="BY101" si="80">BX101</f>
        <v>3.1603511920255964E-3</v>
      </c>
      <c r="BZ101" s="29">
        <f>求节点(基础状态预期!$D$17:$D$55,基础状态预期!$AI$17:$AI$55,$BQ101)*$AK$6</f>
        <v>2.6336259933546638E-3</v>
      </c>
      <c r="CA101" s="145">
        <f t="shared" ref="CA101" si="81">BZ101</f>
        <v>2.6336259933546638E-3</v>
      </c>
      <c r="CB101" s="29">
        <f>求节点(基础状态预期!$D$17:$D$55,基础状态预期!$AI$17:$AI$55,$BQ101)*$W$60</f>
        <v>1.5801755960127985E-2</v>
      </c>
      <c r="CC101" s="29">
        <f>($BR101-$BR100)*(INDEX([2]中r将兵属性验证!$V$7:$V$166,$BQ101,1)+INDEX([2]中r将兵属性验证!$AP$7:$AP$166,$BQ101,1))+CC100</f>
        <v>193490702.17359385</v>
      </c>
      <c r="CD101" s="29">
        <f>($BS101-$BS100)*INDEX([2]中r将兵属性验证!W$7:W$166,$BQ101,1)+CD100</f>
        <v>90457373.466052651</v>
      </c>
      <c r="CE101" s="29">
        <f>(BT101-$BT100)*INDEX([2]中r将兵属性验证!X$7:X$166,$BQ101,1)+CE100</f>
        <v>90457373.466052651</v>
      </c>
      <c r="CF101" s="29">
        <f>(BU101-BU100)*INDEX([2]中r将兵属性验证!$AQ$7:$AQ$166,$BQ101)+CF100</f>
        <v>93354556.965288311</v>
      </c>
      <c r="CG101" s="29">
        <f>(BV101-BV100)*INDEX([2]中r将兵属性验证!$AR$7:$AR$166,$BQ101)+CG100</f>
        <v>93354556.965288311</v>
      </c>
      <c r="CH101" s="29">
        <f>(BW101-BW100)*INDEX([2]中r将兵属性验证!$AM$7:$AM$166,$BQ101,1)+CH100</f>
        <v>83491.843708491419</v>
      </c>
      <c r="CI101" s="29">
        <f>(BX101-BX100)*INDEX([2]中r将兵属性验证!$AA$7:$AA$166,$BQ101,1)+CI100</f>
        <v>60615269.296235353</v>
      </c>
      <c r="CJ101" s="29">
        <f>(BY101-BY100)*INDEX([2]中r将兵属性验证!$AB$7:$AB$166,$BQ101,1)+CJ100</f>
        <v>60615269.296235353</v>
      </c>
      <c r="CK101" s="29">
        <f>(BZ101-BZ100)*INDEX([2]中r将兵属性验证!$AU$7:$AU$166,$BQ101,1)+CK100</f>
        <v>66355204.07350982</v>
      </c>
      <c r="CL101" s="29">
        <f>(CA101-CA100)*INDEX([2]中r将兵属性验证!$AV$7:$AV$166,$BQ101,1)+CL100</f>
        <v>66355204.07350982</v>
      </c>
      <c r="CM101" s="29">
        <f>(CB101-CB100)*(INDEX([2]中r将兵属性验证!$AC$7:$AC$166,$BQ101,1)*[2]战法技能效用!$AH$4+INDEX([2]中r将兵属性验证!$AX$7:$AX$166,$BQ101,1)*[2]战法技能效用!$AI$4)+CM100</f>
        <v>264639617.22857863</v>
      </c>
      <c r="CN101" s="29">
        <f t="shared" si="63"/>
        <v>1079778618.8480532</v>
      </c>
      <c r="CR101" s="29">
        <f>基础状态预期!D114</f>
        <v>53.212684955585161</v>
      </c>
      <c r="CS101" s="29">
        <f>IF(基础状态预期!AI114="",0,基础状态预期!AI114)*$AB$37*基础状态预期!J114</f>
        <v>0.14669787670968459</v>
      </c>
      <c r="CT101" s="29">
        <f>CS101*武将数量星级阶位验证!$E$7*1.8</f>
        <v>792.16853423229679</v>
      </c>
      <c r="CV101" s="29">
        <v>80</v>
      </c>
      <c r="CW101" s="29">
        <f t="shared" si="68"/>
        <v>42955.754406123553</v>
      </c>
      <c r="CX101" s="29"/>
      <c r="CY101" s="29"/>
      <c r="CZ101" s="29">
        <f t="shared" si="69"/>
        <v>42955.754406123553</v>
      </c>
    </row>
    <row r="102" spans="51:104" x14ac:dyDescent="0.15">
      <c r="AY102" s="17">
        <v>93</v>
      </c>
      <c r="AZ102" s="17">
        <f>求节点(基础状态预期!$D$17:$D$55,基础状态预期!$AI$17:$AI$55,$AY102)*求节点(基础状态预期!$D$17:$D$55,基础状态预期!$J$17:$J$55,$AY102)*$AB$49</f>
        <v>765.29789909597127</v>
      </c>
      <c r="BA102" s="17">
        <f>求节点(基础状态预期!$D$62:$D$100,基础状态预期!$AI$62:$AI$100,$AY102)*求节点(基础状态预期!$D$62:$D$100,基础状态预期!$J$62:$J$100,$AY102)*$AB$49</f>
        <v>1279.9815075173362</v>
      </c>
      <c r="BB102" s="17">
        <f>求节点(基础状态预期!$D$107:$D$145,基础状态预期!$AI$107:$AI$145,$AY102)*求节点(基础状态预期!$D$107:$D$145,基础状态预期!$J$107:$J$145,$AY102)*$AB$49</f>
        <v>5566.3763742264837</v>
      </c>
      <c r="BC102" s="17">
        <f>求节点(基础状态预期!$D$152:$D$190,基础状态预期!$AI$152:$AI$190,$AY102)*求节点(基础状态预期!$D$62:$D$100,基础状态预期!$J$152:$J$190,$AY102)*$AB$49</f>
        <v>13263.800750554055</v>
      </c>
      <c r="BD102" s="17">
        <f>求节点(基础状态预期!$D$197:$D$235,基础状态预期!$AI$197:$AI$235,$AY102)*求节点(基础状态预期!$D$197:$D$235,基础状态预期!$J$197:$J$235,$AY102)*$AB$49</f>
        <v>13320</v>
      </c>
      <c r="BQ102" s="29">
        <v>90</v>
      </c>
      <c r="BR102" s="29">
        <f>求节点(基础状态预期!$D$17:$D$55,基础状态预期!$AI$17:$AI$55,$BQ102)*SUM($AR$6:$AT$6)/3</f>
        <v>1.9304730995008079</v>
      </c>
      <c r="BS102" s="29">
        <f>求节点(基础状态预期!$D$17:$D$55,基础状态预期!$AI$17:$AI$55,$BQ102)*AH$6</f>
        <v>120.65456871880049</v>
      </c>
      <c r="BT102" s="145">
        <f t="shared" si="64"/>
        <v>120.65456871880049</v>
      </c>
      <c r="BU102" s="29">
        <f>求节点(基础状态预期!$D$17:$D$55,基础状态预期!$AI$17:$AI$55,$BQ102)*AI$6</f>
        <v>5.791419298502424</v>
      </c>
      <c r="BV102" s="145">
        <f t="shared" si="65"/>
        <v>5.791419298502424</v>
      </c>
      <c r="BW102" s="29">
        <f>求节点(基础状态预期!$D$17:$D$55,基础状态预期!$AI$17:$AI$55,$BQ102)*$AU$6</f>
        <v>24.1309137437601</v>
      </c>
      <c r="BX102" s="29">
        <f>求节点(基础状态预期!$D$17:$D$55,基础状态预期!$AI$17:$AI$55,$BQ102)*$AJ$6</f>
        <v>5.7914192985024232E-3</v>
      </c>
      <c r="BY102" s="145">
        <f t="shared" ref="BY102" si="82">BX102</f>
        <v>5.7914192985024232E-3</v>
      </c>
      <c r="BZ102" s="29">
        <f>求节点(基础状态预期!$D$17:$D$55,基础状态预期!$AI$17:$AI$55,$BQ102)*$AK$6</f>
        <v>4.8261827487520205E-3</v>
      </c>
      <c r="CA102" s="145">
        <f t="shared" ref="CA102" si="83">BZ102</f>
        <v>4.8261827487520205E-3</v>
      </c>
      <c r="CB102" s="29">
        <f>求节点(基础状态预期!$D$17:$D$55,基础状态预期!$AI$17:$AI$55,$BQ102)*$W$60</f>
        <v>2.8957096492512123E-2</v>
      </c>
      <c r="CC102" s="29">
        <f>($BR102-$BR101)*(INDEX([2]中r将兵属性验证!$V$7:$V$166,$BQ102,1)+INDEX([2]中r将兵属性验证!$AP$7:$AP$166,$BQ102,1))+CC101</f>
        <v>950681484.90324545</v>
      </c>
      <c r="CD102" s="29">
        <f>($BS102-$BS101)*INDEX([2]中r将兵属性验证!W$7:W$166,$BQ102,1)+CD101</f>
        <v>374781513.07431942</v>
      </c>
      <c r="CE102" s="29">
        <f>(BT102-$BT101)*INDEX([2]中r将兵属性验证!X$7:X$166,$BQ102,1)+CE101</f>
        <v>374781513.07431942</v>
      </c>
      <c r="CF102" s="29">
        <f>(BU102-BU101)*INDEX([2]中r将兵属性验证!$AQ$7:$AQ$166,$BQ102)+CF101</f>
        <v>520719936.65126145</v>
      </c>
      <c r="CG102" s="29">
        <f>(BV102-BV101)*INDEX([2]中r将兵属性验证!$AR$7:$AR$166,$BQ102)+CG101</f>
        <v>520719936.65126145</v>
      </c>
      <c r="CH102" s="29">
        <f>(BW102-BW101)*INDEX([2]中r将兵属性验证!$AM$7:$AM$166,$BQ102,1)+CH101</f>
        <v>167818.88367195963</v>
      </c>
      <c r="CI102" s="29">
        <f>(BX102-BX101)*INDEX([2]中r将兵属性验证!$AA$7:$AA$166,$BQ102,1)+CI101</f>
        <v>302656494.79811752</v>
      </c>
      <c r="CJ102" s="29">
        <f>(BY102-BY101)*INDEX([2]中r将兵属性验证!$AB$7:$AB$166,$BQ102,1)+CJ101</f>
        <v>302656494.79811752</v>
      </c>
      <c r="CK102" s="29">
        <f>(BZ102-BZ101)*INDEX([2]中r将兵属性验证!$AU$7:$AU$166,$BQ102,1)+CK101</f>
        <v>445479759.13438725</v>
      </c>
      <c r="CL102" s="29">
        <f>(CA102-CA101)*INDEX([2]中r将兵属性验证!$AV$7:$AV$166,$BQ102,1)+CL101</f>
        <v>445479759.13438725</v>
      </c>
      <c r="CM102" s="29">
        <f>(CB102-CB101)*(INDEX([2]中r将兵属性验证!$AC$7:$AC$166,$BQ102,1)*[2]战法技能效用!$AH$4+INDEX([2]中r将兵属性验证!$AX$7:$AX$166,$BQ102,1)*[2]战法技能效用!$AI$4)+CM101</f>
        <v>1274998070.9549735</v>
      </c>
      <c r="CN102" s="29">
        <f t="shared" si="63"/>
        <v>5513122782.0580616</v>
      </c>
      <c r="CR102" s="29">
        <f>基础状态预期!D115</f>
        <v>59.09095196730258</v>
      </c>
      <c r="CS102" s="29">
        <f>IF(基础状态预期!AI115="",0,基础状态预期!AI115)*$AB$37*基础状态预期!J115</f>
        <v>0.62873269340777305</v>
      </c>
      <c r="CT102" s="29">
        <f>CS102*武将数量星级阶位验证!$E$7*1.8</f>
        <v>3395.1565444019743</v>
      </c>
      <c r="CV102" s="29">
        <v>90</v>
      </c>
      <c r="CW102" s="29">
        <f t="shared" si="68"/>
        <v>135267.58307292004</v>
      </c>
      <c r="CX102" s="29"/>
      <c r="CY102" s="29"/>
      <c r="CZ102" s="29">
        <f t="shared" si="69"/>
        <v>135267.58307292004</v>
      </c>
    </row>
    <row r="103" spans="51:104" x14ac:dyDescent="0.15">
      <c r="AY103" s="17">
        <v>94</v>
      </c>
      <c r="AZ103" s="17">
        <f>求节点(基础状态预期!$D$17:$D$55,基础状态预期!$AI$17:$AI$55,$AY103)*求节点(基础状态预期!$D$17:$D$55,基础状态预期!$J$17:$J$55,$AY103)*$AB$49</f>
        <v>811.04478173215455</v>
      </c>
      <c r="BA103" s="17">
        <f>求节点(基础状态预期!$D$62:$D$100,基础状态预期!$AI$62:$AI$100,$AY103)*求节点(基础状态预期!$D$62:$D$100,基础状态预期!$J$62:$J$100,$AY103)*$AB$49</f>
        <v>2083.5470981395993</v>
      </c>
      <c r="BB103" s="17">
        <f>求节点(基础状态预期!$D$107:$D$145,基础状态预期!$AI$107:$AI$145,$AY103)*求节点(基础状态预期!$D$107:$D$145,基础状态预期!$J$107:$J$145,$AY103)*$AB$49</f>
        <v>6506.31434425937</v>
      </c>
      <c r="BC103" s="17">
        <f>求节点(基础状态预期!$D$152:$D$190,基础状态预期!$AI$152:$AI$190,$AY103)*求节点(基础状态预期!$D$62:$D$100,基础状态预期!$J$152:$J$190,$AY103)*$AB$49</f>
        <v>13320</v>
      </c>
      <c r="BD103" s="17">
        <f>求节点(基础状态预期!$D$197:$D$235,基础状态预期!$AI$197:$AI$235,$AY103)*求节点(基础状态预期!$D$197:$D$235,基础状态预期!$J$197:$J$235,$AY103)*$AB$49</f>
        <v>13320</v>
      </c>
      <c r="BQ103" s="29">
        <v>100</v>
      </c>
      <c r="BR103" s="29">
        <f>求节点(基础状态预期!$D$17:$D$55,基础状态预期!$AI$17:$AI$55,$BQ103)*SUM($AR$6:$AT$6)/3</f>
        <v>3.3733391260028154</v>
      </c>
      <c r="BS103" s="29">
        <f>求节点(基础状态预期!$D$17:$D$55,基础状态预期!$AI$17:$AI$55,$BQ103)*AH$6</f>
        <v>210.83369537517598</v>
      </c>
      <c r="BT103" s="145">
        <f t="shared" si="64"/>
        <v>210.83369537517598</v>
      </c>
      <c r="BU103" s="29">
        <f>求节点(基础状态预期!$D$17:$D$55,基础状态预期!$AI$17:$AI$55,$BQ103)*AI$6</f>
        <v>10.120017378008447</v>
      </c>
      <c r="BV103" s="145">
        <f t="shared" si="65"/>
        <v>10.120017378008447</v>
      </c>
      <c r="BW103" s="29">
        <f>求节点(基础状态预期!$D$17:$D$55,基础状态预期!$AI$17:$AI$55,$BQ103)*$AU$6</f>
        <v>42.166739075035196</v>
      </c>
      <c r="BX103" s="29">
        <f>求节点(基础状态预期!$D$17:$D$55,基础状态预期!$AI$17:$AI$55,$BQ103)*$AJ$6</f>
        <v>1.0120017378008446E-2</v>
      </c>
      <c r="BY103" s="145">
        <f t="shared" ref="BY103" si="84">BX103</f>
        <v>1.0120017378008446E-2</v>
      </c>
      <c r="BZ103" s="29">
        <f>求节点(基础状态预期!$D$17:$D$55,基础状态预期!$AI$17:$AI$55,$BQ103)*$AK$6</f>
        <v>8.43334781500704E-3</v>
      </c>
      <c r="CA103" s="145">
        <f t="shared" ref="CA103" si="85">BZ103</f>
        <v>8.43334781500704E-3</v>
      </c>
      <c r="CB103" s="29">
        <f>求节点(基础状态预期!$D$17:$D$55,基础状态预期!$AI$17:$AI$55,$BQ103)*$W$60</f>
        <v>5.0600086890042244E-2</v>
      </c>
      <c r="CC103" s="29">
        <f>($BR103-$BR102)*(INDEX([2]中r将兵属性验证!$V$7:$V$166,$BQ103,1)+INDEX([2]中r将兵属性验证!$AP$7:$AP$166,$BQ103,1))+CC102</f>
        <v>3821688460.4328232</v>
      </c>
      <c r="CD103" s="29">
        <f>($BS103-$BS102)*INDEX([2]中r将兵属性验证!W$7:W$166,$BQ103,1)+CD102</f>
        <v>1227824539.989851</v>
      </c>
      <c r="CE103" s="29">
        <f>(BT103-$BT102)*INDEX([2]中r将兵属性验证!X$7:X$166,$BQ103,1)+CE102</f>
        <v>1227824539.989851</v>
      </c>
      <c r="CF103" s="29">
        <f>(BU103-BU102)*INDEX([2]中r将兵属性验证!$AQ$7:$AQ$166,$BQ103)+CF102</f>
        <v>2270228358.1918573</v>
      </c>
      <c r="CG103" s="29">
        <f>(BV103-BV102)*INDEX([2]中r将兵属性验证!$AR$7:$AR$166,$BQ103)+CG102</f>
        <v>2270228358.1918573</v>
      </c>
      <c r="CH103" s="29">
        <f>(BW103-BW102)*INDEX([2]中r将兵属性验证!$AM$7:$AM$166,$BQ103,1)+CH102</f>
        <v>318598.45937062532</v>
      </c>
      <c r="CI103" s="29">
        <f>(BX103-BX102)*INDEX([2]中r将兵属性验证!$AA$7:$AA$166,$BQ103,1)+CI102</f>
        <v>1131713149.8663592</v>
      </c>
      <c r="CJ103" s="29">
        <f>(BY103-BY102)*INDEX([2]中r将兵属性验证!$AB$7:$AB$166,$BQ103,1)+CJ102</f>
        <v>1131713149.8663592</v>
      </c>
      <c r="CK103" s="29">
        <f>(BZ103-BZ102)*INDEX([2]中r将兵属性验证!$AU$7:$AU$166,$BQ103,1)+CK102</f>
        <v>2297796283.1028676</v>
      </c>
      <c r="CL103" s="29">
        <f>(CA103-CA102)*INDEX([2]中r将兵属性验证!$AV$7:$AV$166,$BQ103,1)+CL102</f>
        <v>2297796283.1028676</v>
      </c>
      <c r="CM103" s="29">
        <f>(CB103-CB102)*(INDEX([2]中r将兵属性验证!$AC$7:$AC$166,$BQ103,1)*[2]战法技能效用!$AH$4+INDEX([2]中r将兵属性验证!$AX$7:$AX$166,$BQ103,1)*[2]战法技能效用!$AI$4)+CM102</f>
        <v>4400653626.654254</v>
      </c>
      <c r="CN103" s="29">
        <f t="shared" si="63"/>
        <v>22077785347.84832</v>
      </c>
      <c r="CR103" s="29">
        <f>基础状态预期!D116</f>
        <v>64.819145630244321</v>
      </c>
      <c r="CS103" s="29">
        <f>IF(基础状态预期!AI116="",0,基础状态预期!AI116)*$AB$37*基础状态预期!J116</f>
        <v>2.0007587926248211</v>
      </c>
      <c r="CT103" s="29">
        <f>CS103*武将数量星级阶位验证!$E$7*1.8</f>
        <v>10804.097480174036</v>
      </c>
      <c r="CV103" s="29">
        <v>100</v>
      </c>
      <c r="CW103" s="29">
        <f t="shared" si="68"/>
        <v>724346.16216465621</v>
      </c>
      <c r="CX103" s="29"/>
      <c r="CY103" s="29"/>
      <c r="CZ103" s="29">
        <f t="shared" si="69"/>
        <v>724346.16216465621</v>
      </c>
    </row>
    <row r="104" spans="51:104" x14ac:dyDescent="0.15">
      <c r="AY104" s="17">
        <v>95</v>
      </c>
      <c r="AZ104" s="17">
        <f>求节点(基础状态预期!$D$17:$D$55,基础状态预期!$AI$17:$AI$55,$AY104)*求节点(基础状态预期!$D$17:$D$55,基础状态预期!$J$17:$J$55,$AY104)*$AB$49</f>
        <v>858.09930889594068</v>
      </c>
      <c r="BA104" s="17">
        <f>求节点(基础状态预期!$D$62:$D$100,基础状态预期!$AI$62:$AI$100,$AY104)*求节点(基础状态预期!$D$62:$D$100,基础状态预期!$J$62:$J$100,$AY104)*$AB$49</f>
        <v>3015.7620094407175</v>
      </c>
      <c r="BB104" s="17">
        <f>求节点(基础状态预期!$D$107:$D$145,基础状态预期!$AI$107:$AI$145,$AY104)*求节点(基础状态预期!$D$107:$D$145,基础状态预期!$J$107:$J$145,$AY104)*$AB$49</f>
        <v>7213.5567658872606</v>
      </c>
      <c r="BC104" s="17">
        <f>求节点(基础状态预期!$D$152:$D$190,基础状态预期!$AI$152:$AI$190,$AY104)*求节点(基础状态预期!$D$62:$D$100,基础状态预期!$J$152:$J$190,$AY104)*$AB$49</f>
        <v>13320</v>
      </c>
      <c r="BD104" s="17">
        <f>求节点(基础状态预期!$D$197:$D$235,基础状态预期!$AI$197:$AI$235,$AY104)*求节点(基础状态预期!$D$197:$D$235,基础状态预期!$J$197:$J$235,$AY104)*$AB$49</f>
        <v>13320</v>
      </c>
      <c r="BQ104" s="29">
        <v>110</v>
      </c>
      <c r="BR104" s="29">
        <f>求节点(基础状态预期!$D$17:$D$55,基础状态预期!$AI$17:$AI$55,$BQ104)*SUM($AR$6:$AT$6)/3</f>
        <v>27.353727251649335</v>
      </c>
      <c r="BS104" s="29">
        <f>求节点(基础状态预期!$D$17:$D$55,基础状态预期!$AI$17:$AI$55,$BQ104)*AH$6</f>
        <v>1709.6079532280837</v>
      </c>
      <c r="BT104" s="145">
        <f t="shared" si="64"/>
        <v>1709.6079532280837</v>
      </c>
      <c r="BU104" s="29">
        <f>求节点(基础状态预期!$D$17:$D$55,基础状态预期!$AI$17:$AI$55,$BQ104)*AI$6</f>
        <v>82.061181754948009</v>
      </c>
      <c r="BV104" s="145">
        <f t="shared" si="65"/>
        <v>82.061181754948009</v>
      </c>
      <c r="BW104" s="29">
        <f>求节点(基础状态预期!$D$17:$D$55,基础状态预期!$AI$17:$AI$55,$BQ104)*$AU$6</f>
        <v>341.92159064561673</v>
      </c>
      <c r="BX104" s="29">
        <f>求节点(基础状态预期!$D$17:$D$55,基础状态预期!$AI$17:$AI$55,$BQ104)*$AJ$6</f>
        <v>8.2061181754948018E-2</v>
      </c>
      <c r="BY104" s="145">
        <f t="shared" ref="BY104" si="86">BX104</f>
        <v>8.2061181754948018E-2</v>
      </c>
      <c r="BZ104" s="29">
        <f>求节点(基础状态预期!$D$17:$D$55,基础状态预期!$AI$17:$AI$55,$BQ104)*$AK$6</f>
        <v>6.838431812912335E-2</v>
      </c>
      <c r="CA104" s="145">
        <f t="shared" ref="CA104" si="87">BZ104</f>
        <v>6.838431812912335E-2</v>
      </c>
      <c r="CB104" s="29">
        <f>求节点(基础状态预期!$D$17:$D$55,基础状态预期!$AI$17:$AI$55,$BQ104)*$W$60</f>
        <v>0.4103059087747401</v>
      </c>
      <c r="CC104" s="29">
        <f>($BR104-$BR103)*(INDEX([2]中r将兵属性验证!$V$7:$V$166,$BQ104,1)+INDEX([2]中r将兵属性验证!$AP$7:$AP$166,$BQ104,1))+CC103</f>
        <v>80131508280.069763</v>
      </c>
      <c r="CD104" s="29">
        <f>($BS104-$BS103)*INDEX([2]中r将兵属性验证!W$7:W$166,$BQ104,1)+CD103</f>
        <v>18821733165.138474</v>
      </c>
      <c r="CE104" s="29">
        <f>(BT104-$BT103)*INDEX([2]中r将兵属性验证!X$7:X$166,$BQ104,1)+CE103</f>
        <v>18821733165.138474</v>
      </c>
      <c r="CF104" s="29">
        <f>(BU104-BU103)*INDEX([2]中r将兵属性验证!$AQ$7:$AQ$166,$BQ104)+CF103</f>
        <v>49377835903.198334</v>
      </c>
      <c r="CG104" s="29">
        <f>(BV104-BV103)*INDEX([2]中r将兵属性验证!$AR$7:$AR$166,$BQ104)+CG103</f>
        <v>49377835903.198334</v>
      </c>
      <c r="CH104" s="29">
        <f>(BW104-BW103)*INDEX([2]中r将兵属性验证!$AM$7:$AM$166,$BQ104,1)+CH103</f>
        <v>3023578.531169611</v>
      </c>
      <c r="CI104" s="29">
        <f>(BX104-BX103)*INDEX([2]中r将兵属性验证!$AA$7:$AA$166,$BQ104,1)+CI103</f>
        <v>19474078746.442043</v>
      </c>
      <c r="CJ104" s="29">
        <f>(BY104-BY103)*INDEX([2]中r将兵属性验证!$AB$7:$AB$166,$BQ104,1)+CJ103</f>
        <v>19474078746.442043</v>
      </c>
      <c r="CK104" s="29">
        <f>(BZ104-BZ103)*INDEX([2]中r将兵属性验证!$AU$7:$AU$166,$BQ104,1)+CK103</f>
        <v>57446565412.376808</v>
      </c>
      <c r="CL104" s="29">
        <f>(CA104-CA103)*INDEX([2]中r将兵属性验证!$AV$7:$AV$166,$BQ104,1)+CL103</f>
        <v>57446565412.376808</v>
      </c>
      <c r="CM104" s="29">
        <f>(CB104-CB103)*(INDEX([2]中r将兵属性验证!$AC$7:$AC$166,$BQ104,1)*[2]战法技能效用!$AH$4+INDEX([2]中r将兵属性验证!$AX$7:$AX$166,$BQ104,1)*[2]战法技能效用!$AI$4)+CM103</f>
        <v>85002909630.310913</v>
      </c>
      <c r="CN104" s="29">
        <f t="shared" ref="CN104:CN109" si="88">SUM(CC104:CM104)</f>
        <v>455377867943.22321</v>
      </c>
      <c r="CR104" s="29">
        <f>基础状态预期!D117</f>
        <v>69.01697485309198</v>
      </c>
      <c r="CS104" s="29">
        <f>IF(基础状态预期!AI117="",0,基础状态预期!AI117)*$AB$37*基础状态预期!J117</f>
        <v>3.3146162216416526</v>
      </c>
      <c r="CT104" s="29">
        <f>CS104*武将数量星级阶位验证!$E$7*1.8</f>
        <v>17898.927596864924</v>
      </c>
      <c r="CV104" s="29">
        <v>110</v>
      </c>
      <c r="CW104" s="29">
        <f t="shared" si="68"/>
        <v>777600</v>
      </c>
      <c r="CX104" s="29"/>
      <c r="CY104" s="29"/>
      <c r="CZ104" s="29">
        <f t="shared" ref="CZ104:CZ109" si="89">SUM(CW104:CY104)</f>
        <v>777600</v>
      </c>
    </row>
    <row r="105" spans="51:104" x14ac:dyDescent="0.15">
      <c r="AY105" s="17">
        <v>96</v>
      </c>
      <c r="AZ105" s="17">
        <f>求节点(基础状态预期!$D$17:$D$55,基础状态预期!$AI$17:$AI$55,$AY105)*求节点(基础状态预期!$D$17:$D$55,基础状态预期!$J$17:$J$55,$AY105)*$AB$49</f>
        <v>905.1538360597267</v>
      </c>
      <c r="BA105" s="17">
        <f>求节点(基础状态预期!$D$62:$D$100,基础状态预期!$AI$62:$AI$100,$AY105)*求节点(基础状态预期!$D$62:$D$100,基础状态预期!$J$62:$J$100,$AY105)*$AB$49</f>
        <v>3947.9769207418349</v>
      </c>
      <c r="BB105" s="17">
        <f>求节点(基础状态预期!$D$107:$D$145,基础状态预期!$AI$107:$AI$145,$AY105)*求节点(基础状态预期!$D$107:$D$145,基础状态预期!$J$107:$J$145,$AY105)*$AB$49</f>
        <v>7920.7991875151502</v>
      </c>
      <c r="BC105" s="17">
        <f>求节点(基础状态预期!$D$152:$D$190,基础状态预期!$AI$152:$AI$190,$AY105)*求节点(基础状态预期!$D$62:$D$100,基础状态预期!$J$152:$J$190,$AY105)*$AB$49</f>
        <v>13320</v>
      </c>
      <c r="BD105" s="17">
        <f>求节点(基础状态预期!$D$197:$D$235,基础状态预期!$AI$197:$AI$235,$AY105)*求节点(基础状态预期!$D$197:$D$235,基础状态预期!$J$197:$J$235,$AY105)*$AB$49</f>
        <v>13320</v>
      </c>
      <c r="BQ105" s="29">
        <v>120</v>
      </c>
      <c r="BR105" s="29">
        <f>求节点(基础状态预期!$D$17:$D$55,基础状态预期!$AI$17:$AI$55,$BQ105)*SUM($AR$6:$AT$6)/3</f>
        <v>40</v>
      </c>
      <c r="BS105" s="29">
        <f>求节点(基础状态预期!$D$17:$D$55,基础状态预期!$AI$17:$AI$55,$BQ105)*AH$6</f>
        <v>2500</v>
      </c>
      <c r="BT105" s="145">
        <f t="shared" si="64"/>
        <v>2500</v>
      </c>
      <c r="BU105" s="29">
        <f>求节点(基础状态预期!$D$17:$D$55,基础状态预期!$AI$17:$AI$55,$BQ105)*AI$6</f>
        <v>120</v>
      </c>
      <c r="BV105" s="145">
        <f t="shared" si="65"/>
        <v>120</v>
      </c>
      <c r="BW105" s="29">
        <f>求节点(基础状态预期!$D$17:$D$55,基础状态预期!$AI$17:$AI$55,$BQ105)*$AU$6</f>
        <v>500</v>
      </c>
      <c r="BX105" s="29">
        <f>求节点(基础状态预期!$D$17:$D$55,基础状态预期!$AI$17:$AI$55,$BQ105)*$AJ$6</f>
        <v>0.12</v>
      </c>
      <c r="BY105" s="145">
        <f t="shared" ref="BY105" si="90">BX105</f>
        <v>0.12</v>
      </c>
      <c r="BZ105" s="29">
        <f>求节点(基础状态预期!$D$17:$D$55,基础状态预期!$AI$17:$AI$55,$BQ105)*$AK$6</f>
        <v>0.1</v>
      </c>
      <c r="CA105" s="145">
        <f t="shared" ref="CA105" si="91">BZ105</f>
        <v>0.1</v>
      </c>
      <c r="CB105" s="29">
        <f>求节点(基础状态预期!$D$17:$D$55,基础状态预期!$AI$17:$AI$55,$BQ105)*$W$60</f>
        <v>0.60000000000000009</v>
      </c>
      <c r="CC105" s="29">
        <f>($BR105-$BR104)*(INDEX([2]中r将兵属性验证!$V$7:$V$166,$BQ105,1)+INDEX([2]中r将兵属性验证!$AP$7:$AP$166,$BQ105,1))+CC104</f>
        <v>139319626480.38004</v>
      </c>
      <c r="CD105" s="29">
        <f>($BS105-$BS104)*INDEX([2]中r将兵属性验证!W$7:W$166,$BQ105,1)+CD104</f>
        <v>30552105820.668488</v>
      </c>
      <c r="CE105" s="29">
        <f>(BT105-$BT104)*INDEX([2]中r将兵属性验证!X$7:X$166,$BQ105,1)+CE104</f>
        <v>30552105820.668488</v>
      </c>
      <c r="CF105" s="29">
        <f>(BU105-BU104)*INDEX([2]中r将兵属性验证!$AQ$7:$AQ$166,$BQ105)+CF104</f>
        <v>84760903320.285065</v>
      </c>
      <c r="CG105" s="29">
        <f>(BV105-BV104)*INDEX([2]中r将兵属性验证!$AR$7:$AR$166,$BQ105)+CG104</f>
        <v>84760903320.285065</v>
      </c>
      <c r="CH105" s="29">
        <f>(BW105-BW104)*INDEX([2]中r将兵属性验证!$AM$7:$AM$166,$BQ105,1)+CH104</f>
        <v>4556537.5654404098</v>
      </c>
      <c r="CI105" s="29">
        <f>(BX105-BX104)*INDEX([2]中r将兵属性验证!$AA$7:$AA$166,$BQ105,1)+CI104</f>
        <v>32278466969.28949</v>
      </c>
      <c r="CJ105" s="29">
        <f>(BY105-BY104)*INDEX([2]中r将兵属性验证!$AB$7:$AB$166,$BQ105,1)+CJ104</f>
        <v>32278466969.28949</v>
      </c>
      <c r="CK105" s="29">
        <f>(BZ105-BZ104)*INDEX([2]中r将兵属性验证!$AU$7:$AU$166,$BQ105,1)+CK104</f>
        <v>102239078853.87524</v>
      </c>
      <c r="CL105" s="29">
        <f>(CA105-CA104)*INDEX([2]中r将兵属性验证!$AV$7:$AV$166,$BQ105,1)+CL104</f>
        <v>102239078853.87524</v>
      </c>
      <c r="CM105" s="29">
        <f>(CB105-CB104)*(INDEX([2]中r将兵属性验证!$AC$7:$AC$166,$BQ105,1)*[2]战法技能效用!$AH$4+INDEX([2]中r将兵属性验证!$AX$7:$AX$166,$BQ105,1)*[2]战法技能效用!$AI$4)+CM104</f>
        <v>148040369599.70444</v>
      </c>
      <c r="CN105" s="29">
        <f t="shared" si="88"/>
        <v>787025662545.88647</v>
      </c>
      <c r="CR105" s="29">
        <f>基础状态预期!D118</f>
        <v>72.23150684883845</v>
      </c>
      <c r="CS105" s="29">
        <f>IF(基础状态预期!AI118="",0,基础状态预期!AI118)*$AB$37*基础状态预期!J118</f>
        <v>4.4292655984696729</v>
      </c>
      <c r="CT105" s="29">
        <f>CS105*武将数量星级阶位验证!$E$7*1.8</f>
        <v>23918.034231736234</v>
      </c>
      <c r="CV105" s="29">
        <v>120</v>
      </c>
      <c r="CW105" s="29">
        <f t="shared" si="68"/>
        <v>777600</v>
      </c>
      <c r="CX105" s="29"/>
      <c r="CY105" s="29"/>
      <c r="CZ105" s="29">
        <f t="shared" si="89"/>
        <v>777600</v>
      </c>
    </row>
    <row r="106" spans="51:104" x14ac:dyDescent="0.15">
      <c r="AY106" s="17">
        <v>97</v>
      </c>
      <c r="AZ106" s="17">
        <f>求节点(基础状态预期!$D$17:$D$55,基础状态预期!$AI$17:$AI$55,$AY106)*求节点(基础状态预期!$D$17:$D$55,基础状态预期!$J$17:$J$55,$AY106)*$AB$49</f>
        <v>954.01811788420491</v>
      </c>
      <c r="BA106" s="17">
        <f>求节点(基础状态预期!$D$62:$D$100,基础状态预期!$AI$62:$AI$100,$AY106)*求节点(基础状态预期!$D$62:$D$100,基础状态预期!$J$62:$J$100,$AY106)*$AB$49</f>
        <v>4796.4853737958738</v>
      </c>
      <c r="BB106" s="17">
        <f>求节点(基础状态预期!$D$107:$D$145,基础状态预期!$AI$107:$AI$145,$AY106)*求节点(基础状态预期!$D$107:$D$145,基础状态预期!$J$107:$J$145,$AY106)*$AB$49</f>
        <v>8628.0416091430398</v>
      </c>
      <c r="BC106" s="17">
        <f>求节点(基础状态预期!$D$152:$D$190,基础状态预期!$AI$152:$AI$190,$AY106)*求节点(基础状态预期!$D$62:$D$100,基础状态预期!$J$152:$J$190,$AY106)*$AB$49</f>
        <v>13320</v>
      </c>
      <c r="BD106" s="17">
        <f>求节点(基础状态预期!$D$197:$D$235,基础状态预期!$AI$197:$AI$235,$AY106)*求节点(基础状态预期!$D$197:$D$235,基础状态预期!$J$197:$J$235,$AY106)*$AB$49</f>
        <v>13320</v>
      </c>
      <c r="BQ106" s="29">
        <v>130</v>
      </c>
      <c r="BR106" s="29">
        <f>求节点(基础状态预期!$D$17:$D$55,基础状态预期!$AI$17:$AI$55,$BQ106)*SUM($AR$6:$AT$6)/3</f>
        <v>40</v>
      </c>
      <c r="BS106" s="29">
        <f>求节点(基础状态预期!$D$17:$D$55,基础状态预期!$AI$17:$AI$55,$BQ106)*AH$6</f>
        <v>2500</v>
      </c>
      <c r="BT106" s="145">
        <f t="shared" si="64"/>
        <v>2500</v>
      </c>
      <c r="BU106" s="29">
        <f>求节点(基础状态预期!$D$17:$D$55,基础状态预期!$AI$17:$AI$55,$BQ106)*AI$6</f>
        <v>120</v>
      </c>
      <c r="BV106" s="145">
        <f t="shared" si="65"/>
        <v>120</v>
      </c>
      <c r="BW106" s="29">
        <f>求节点(基础状态预期!$D$17:$D$55,基础状态预期!$AI$17:$AI$55,$BQ106)*$AU$6</f>
        <v>500</v>
      </c>
      <c r="BX106" s="29">
        <f>求节点(基础状态预期!$D$17:$D$55,基础状态预期!$AI$17:$AI$55,$BQ106)*$AJ$6</f>
        <v>0.12</v>
      </c>
      <c r="BY106" s="145">
        <f t="shared" ref="BY106" si="92">BX106</f>
        <v>0.12</v>
      </c>
      <c r="BZ106" s="29">
        <f>求节点(基础状态预期!$D$17:$D$55,基础状态预期!$AI$17:$AI$55,$BQ106)*$AK$6</f>
        <v>0.1</v>
      </c>
      <c r="CA106" s="145">
        <f t="shared" ref="CA106" si="93">BZ106</f>
        <v>0.1</v>
      </c>
      <c r="CB106" s="29">
        <f>求节点(基础状态预期!$D$17:$D$55,基础状态预期!$AI$17:$AI$55,$BQ106)*$W$60</f>
        <v>0.60000000000000009</v>
      </c>
      <c r="CC106" s="29">
        <f>($BR106-$BR105)*(INDEX([2]中r将兵属性验证!$V$7:$V$166,$BQ106,1)+INDEX([2]中r将兵属性验证!$AP$7:$AP$166,$BQ106,1))+CC105</f>
        <v>139319626480.38004</v>
      </c>
      <c r="CD106" s="29">
        <f>($BS106-$BS105)*INDEX([2]中r将兵属性验证!W$7:W$166,$BQ106,1)+CD105</f>
        <v>30552105820.668488</v>
      </c>
      <c r="CE106" s="29">
        <f>(BT106-$BT105)*INDEX([2]中r将兵属性验证!X$7:X$166,$BQ106,1)+CE105</f>
        <v>30552105820.668488</v>
      </c>
      <c r="CF106" s="29">
        <f>(BU106-BU105)*INDEX([2]中r将兵属性验证!$AQ$7:$AQ$166,$BQ106)+CF105</f>
        <v>84760903320.285065</v>
      </c>
      <c r="CG106" s="29">
        <f>(BV106-BV105)*INDEX([2]中r将兵属性验证!$AR$7:$AR$166,$BQ106)+CG105</f>
        <v>84760903320.285065</v>
      </c>
      <c r="CH106" s="29">
        <f>(BW106-BW105)*INDEX([2]中r将兵属性验证!$AM$7:$AM$166,$BQ106,1)+CH105</f>
        <v>4556537.5654404098</v>
      </c>
      <c r="CI106" s="29">
        <f>(BX106-BX105)*INDEX([2]中r将兵属性验证!$AA$7:$AA$166,$BQ106,1)+CI105</f>
        <v>32278466969.28949</v>
      </c>
      <c r="CJ106" s="29">
        <f>(BY106-BY105)*INDEX([2]中r将兵属性验证!$AB$7:$AB$166,$BQ106,1)+CJ105</f>
        <v>32278466969.28949</v>
      </c>
      <c r="CK106" s="29">
        <f>(BZ106-BZ105)*INDEX([2]中r将兵属性验证!$AU$7:$AU$166,$BQ106,1)+CK105</f>
        <v>102239078853.87524</v>
      </c>
      <c r="CL106" s="29">
        <f>(CA106-CA105)*INDEX([2]中r将兵属性验证!$AV$7:$AV$166,$BQ106,1)+CL105</f>
        <v>102239078853.87524</v>
      </c>
      <c r="CM106" s="29">
        <f>(CB106-CB105)*(INDEX([2]中r将兵属性验证!$AC$7:$AC$166,$BQ106,1)*[2]战法技能效用!$AH$4+INDEX([2]中r将兵属性验证!$AX$7:$AX$166,$BQ106,1)*[2]战法技能效用!$AI$4)+CM105</f>
        <v>148040369599.70444</v>
      </c>
      <c r="CN106" s="29">
        <f t="shared" si="88"/>
        <v>787025662545.88647</v>
      </c>
      <c r="CR106" s="29">
        <f>基础状态预期!D119</f>
        <v>74.840792411391348</v>
      </c>
      <c r="CS106" s="29">
        <f>IF(基础状态预期!AI119="",0,基础状态预期!AI119)*$AB$37*基础状态预期!J119</f>
        <v>5.4258716201985351</v>
      </c>
      <c r="CT106" s="29">
        <f>CS106*武将数量星级阶位验证!$E$7*1.8</f>
        <v>29299.706749072091</v>
      </c>
      <c r="CV106" s="29">
        <v>130</v>
      </c>
      <c r="CW106" s="29">
        <f t="shared" si="68"/>
        <v>777600</v>
      </c>
      <c r="CX106" s="29"/>
      <c r="CY106" s="29"/>
      <c r="CZ106" s="29">
        <f t="shared" si="89"/>
        <v>777600</v>
      </c>
    </row>
    <row r="107" spans="51:104" x14ac:dyDescent="0.15">
      <c r="AY107" s="17">
        <v>98</v>
      </c>
      <c r="AZ107" s="17">
        <f>求节点(基础状态预期!$D$17:$D$55,基础状态预期!$AI$17:$AI$55,$AY107)*求节点(基础状态预期!$D$17:$D$55,基础状态预期!$J$17:$J$55,$AY107)*$AB$49</f>
        <v>1010.4527215757824</v>
      </c>
      <c r="BA107" s="17">
        <f>求节点(基础状态预期!$D$62:$D$100,基础状态预期!$AI$62:$AI$100,$AY107)*求节点(基础状态预期!$D$62:$D$100,基础状态预期!$J$62:$J$100,$AY107)*$AB$49</f>
        <v>5363.9967519989877</v>
      </c>
      <c r="BB107" s="17">
        <f>求节点(基础状态预期!$D$107:$D$145,基础状态预期!$AI$107:$AI$145,$AY107)*求节点(基础状态预期!$D$107:$D$145,基础状态预期!$J$107:$J$145,$AY107)*$AB$49</f>
        <v>9846.9217216333018</v>
      </c>
      <c r="BC107" s="17">
        <f>求节点(基础状态预期!$D$152:$D$190,基础状态预期!$AI$152:$AI$190,$AY107)*求节点(基础状态预期!$D$62:$D$100,基础状态预期!$J$152:$J$190,$AY107)*$AB$49</f>
        <v>13320</v>
      </c>
      <c r="BD107" s="17">
        <f>求节点(基础状态预期!$D$197:$D$235,基础状态预期!$AI$197:$AI$235,$AY107)*求节点(基础状态预期!$D$197:$D$235,基础状态预期!$J$197:$J$235,$AY107)*$AB$49</f>
        <v>13320</v>
      </c>
      <c r="BQ107" s="29">
        <v>140</v>
      </c>
      <c r="BR107" s="29">
        <f>求节点(基础状态预期!$D$17:$D$55,基础状态预期!$AI$17:$AI$55,$BQ107)*SUM($AR$6:$AT$6)/3</f>
        <v>40</v>
      </c>
      <c r="BS107" s="29">
        <f>求节点(基础状态预期!$D$17:$D$55,基础状态预期!$AI$17:$AI$55,$BQ107)*AH$6</f>
        <v>2500</v>
      </c>
      <c r="BT107" s="145">
        <f t="shared" si="64"/>
        <v>2500</v>
      </c>
      <c r="BU107" s="29">
        <f>求节点(基础状态预期!$D$17:$D$55,基础状态预期!$AI$17:$AI$55,$BQ107)*AI$6</f>
        <v>120</v>
      </c>
      <c r="BV107" s="145">
        <f t="shared" si="65"/>
        <v>120</v>
      </c>
      <c r="BW107" s="29">
        <f>求节点(基础状态预期!$D$17:$D$55,基础状态预期!$AI$17:$AI$55,$BQ107)*$AU$6</f>
        <v>500</v>
      </c>
      <c r="BX107" s="29">
        <f>求节点(基础状态预期!$D$17:$D$55,基础状态预期!$AI$17:$AI$55,$BQ107)*$AJ$6</f>
        <v>0.12</v>
      </c>
      <c r="BY107" s="145">
        <f t="shared" ref="BY107" si="94">BX107</f>
        <v>0.12</v>
      </c>
      <c r="BZ107" s="29">
        <f>求节点(基础状态预期!$D$17:$D$55,基础状态预期!$AI$17:$AI$55,$BQ107)*$AK$6</f>
        <v>0.1</v>
      </c>
      <c r="CA107" s="145">
        <f t="shared" ref="CA107" si="95">BZ107</f>
        <v>0.1</v>
      </c>
      <c r="CB107" s="29">
        <f>求节点(基础状态预期!$D$17:$D$55,基础状态预期!$AI$17:$AI$55,$BQ107)*$W$60</f>
        <v>0.60000000000000009</v>
      </c>
      <c r="CC107" s="29">
        <f>($BR107-$BR106)*(INDEX([2]中r将兵属性验证!$V$7:$V$166,$BQ107,1)+INDEX([2]中r将兵属性验证!$AP$7:$AP$166,$BQ107,1))+CC106</f>
        <v>139319626480.38004</v>
      </c>
      <c r="CD107" s="29">
        <f>($BS107-$BS106)*INDEX([2]中r将兵属性验证!W$7:W$166,$BQ107,1)+CD106</f>
        <v>30552105820.668488</v>
      </c>
      <c r="CE107" s="29">
        <f>(BT107-$BT106)*INDEX([2]中r将兵属性验证!X$7:X$166,$BQ107,1)+CE106</f>
        <v>30552105820.668488</v>
      </c>
      <c r="CF107" s="29">
        <f>(BU107-BU106)*INDEX([2]中r将兵属性验证!$AQ$7:$AQ$166,$BQ107)+CF106</f>
        <v>84760903320.285065</v>
      </c>
      <c r="CG107" s="29">
        <f>(BV107-BV106)*INDEX([2]中r将兵属性验证!$AR$7:$AR$166,$BQ107)+CG106</f>
        <v>84760903320.285065</v>
      </c>
      <c r="CH107" s="29">
        <f>(BW107-BW106)*INDEX([2]中r将兵属性验证!$AM$7:$AM$166,$BQ107,1)+CH106</f>
        <v>4556537.5654404098</v>
      </c>
      <c r="CI107" s="29">
        <f>(BX107-BX106)*INDEX([2]中r将兵属性验证!$AA$7:$AA$166,$BQ107,1)+CI106</f>
        <v>32278466969.28949</v>
      </c>
      <c r="CJ107" s="29">
        <f>(BY107-BY106)*INDEX([2]中r将兵属性验证!$AB$7:$AB$166,$BQ107,1)+CJ106</f>
        <v>32278466969.28949</v>
      </c>
      <c r="CK107" s="29">
        <f>(BZ107-BZ106)*INDEX([2]中r将兵属性验证!$AU$7:$AU$166,$BQ107,1)+CK106</f>
        <v>102239078853.87524</v>
      </c>
      <c r="CL107" s="29">
        <f>(CA107-CA106)*INDEX([2]中r将兵属性验证!$AV$7:$AV$166,$BQ107,1)+CL106</f>
        <v>102239078853.87524</v>
      </c>
      <c r="CM107" s="29">
        <f>(CB107-CB106)*(INDEX([2]中r将兵属性验证!$AC$7:$AC$166,$BQ107,1)*[2]战法技能效用!$AH$4+INDEX([2]中r将兵属性验证!$AX$7:$AX$166,$BQ107,1)*[2]战法技能效用!$AI$4)+CM106</f>
        <v>148040369599.70444</v>
      </c>
      <c r="CN107" s="29">
        <f t="shared" si="88"/>
        <v>787025662545.88647</v>
      </c>
      <c r="CR107" s="29">
        <f>基础状态预期!D120</f>
        <v>77.697893604818219</v>
      </c>
      <c r="CS107" s="29">
        <f>IF(基础状态预期!AI120="",0,基础状态预期!AI120)*$AB$37*基础状态预期!J120</f>
        <v>6.7672595113624867</v>
      </c>
      <c r="CT107" s="29">
        <f>CS107*武将数量星级阶位验证!$E$7*1.8</f>
        <v>36543.201361357431</v>
      </c>
      <c r="CV107" s="29">
        <v>140</v>
      </c>
      <c r="CW107" s="29">
        <f t="shared" si="68"/>
        <v>777600</v>
      </c>
      <c r="CX107" s="29"/>
      <c r="CY107" s="29"/>
      <c r="CZ107" s="29">
        <f t="shared" si="89"/>
        <v>777600</v>
      </c>
    </row>
    <row r="108" spans="51:104" x14ac:dyDescent="0.15">
      <c r="AY108" s="17">
        <v>99</v>
      </c>
      <c r="AZ108" s="17">
        <f>求节点(基础状态预期!$D$17:$D$55,基础状态预期!$AI$17:$AI$55,$AY108)*求节点(基础状态预期!$D$17:$D$55,基础状态预期!$J$17:$J$55,$AY108)*$AB$49</f>
        <v>1066.88732526736</v>
      </c>
      <c r="BA108" s="17">
        <f>求节点(基础状态预期!$D$62:$D$100,基础状态预期!$AI$62:$AI$100,$AY108)*求节点(基础状态预期!$D$62:$D$100,基础状态预期!$J$62:$J$100,$AY108)*$AB$49</f>
        <v>5931.5081302021017</v>
      </c>
      <c r="BB108" s="17">
        <f>求节点(基础状态预期!$D$107:$D$145,基础状态预期!$AI$107:$AI$145,$AY108)*求节点(基础状态预期!$D$107:$D$145,基础状态预期!$J$107:$J$145,$AY108)*$AB$49</f>
        <v>11127.351601578754</v>
      </c>
      <c r="BC108" s="17">
        <f>求节点(基础状态预期!$D$152:$D$190,基础状态预期!$AI$152:$AI$190,$AY108)*求节点(基础状态预期!$D$62:$D$100,基础状态预期!$J$152:$J$190,$AY108)*$AB$49</f>
        <v>13320</v>
      </c>
      <c r="BD108" s="17">
        <f>求节点(基础状态预期!$D$197:$D$235,基础状态预期!$AI$197:$AI$235,$AY108)*求节点(基础状态预期!$D$197:$D$235,基础状态预期!$J$197:$J$235,$AY108)*$AB$49</f>
        <v>13320</v>
      </c>
      <c r="BQ108" s="29">
        <v>150</v>
      </c>
      <c r="BR108" s="29">
        <f>求节点(基础状态预期!$D$17:$D$55,基础状态预期!$AI$17:$AI$55,$BQ108)*SUM($AR$6:$AT$6)/3</f>
        <v>40</v>
      </c>
      <c r="BS108" s="29">
        <f>求节点(基础状态预期!$D$17:$D$55,基础状态预期!$AI$17:$AI$55,$BQ108)*AH$6</f>
        <v>2500</v>
      </c>
      <c r="BT108" s="145">
        <f t="shared" si="64"/>
        <v>2500</v>
      </c>
      <c r="BU108" s="29">
        <f>求节点(基础状态预期!$D$17:$D$55,基础状态预期!$AI$17:$AI$55,$BQ108)*AI$6</f>
        <v>120</v>
      </c>
      <c r="BV108" s="145">
        <f t="shared" si="65"/>
        <v>120</v>
      </c>
      <c r="BW108" s="29">
        <f>求节点(基础状态预期!$D$17:$D$55,基础状态预期!$AI$17:$AI$55,$BQ108)*$AU$6</f>
        <v>500</v>
      </c>
      <c r="BX108" s="29">
        <f>求节点(基础状态预期!$D$17:$D$55,基础状态预期!$AI$17:$AI$55,$BQ108)*$AJ$6</f>
        <v>0.12</v>
      </c>
      <c r="BY108" s="145">
        <f t="shared" ref="BY108" si="96">BX108</f>
        <v>0.12</v>
      </c>
      <c r="BZ108" s="29">
        <f>求节点(基础状态预期!$D$17:$D$55,基础状态预期!$AI$17:$AI$55,$BQ108)*$AK$6</f>
        <v>0.1</v>
      </c>
      <c r="CA108" s="145">
        <f t="shared" ref="CA108" si="97">BZ108</f>
        <v>0.1</v>
      </c>
      <c r="CB108" s="29">
        <f>求节点(基础状态预期!$D$17:$D$55,基础状态预期!$AI$17:$AI$55,$BQ108)*$W$60</f>
        <v>0.60000000000000009</v>
      </c>
      <c r="CC108" s="29">
        <f>($BR108-$BR107)*(INDEX([2]中r将兵属性验证!$V$7:$V$166,$BQ108,1)+INDEX([2]中r将兵属性验证!$AP$7:$AP$166,$BQ108,1))+CC107</f>
        <v>139319626480.38004</v>
      </c>
      <c r="CD108" s="29">
        <f>($BS108-$BS107)*INDEX([2]中r将兵属性验证!W$7:W$166,$BQ108,1)+CD107</f>
        <v>30552105820.668488</v>
      </c>
      <c r="CE108" s="29">
        <f>(BT108-$BT107)*INDEX([2]中r将兵属性验证!X$7:X$166,$BQ108,1)+CE107</f>
        <v>30552105820.668488</v>
      </c>
      <c r="CF108" s="29">
        <f>(BU108-BU107)*INDEX([2]中r将兵属性验证!$AQ$7:$AQ$166,$BQ108)+CF107</f>
        <v>84760903320.285065</v>
      </c>
      <c r="CG108" s="29">
        <f>(BV108-BV107)*INDEX([2]中r将兵属性验证!$AR$7:$AR$166,$BQ108)+CG107</f>
        <v>84760903320.285065</v>
      </c>
      <c r="CH108" s="29">
        <f>(BW108-BW107)*INDEX([2]中r将兵属性验证!$AM$7:$AM$166,$BQ108,1)+CH107</f>
        <v>4556537.5654404098</v>
      </c>
      <c r="CI108" s="29">
        <f>(BX108-BX107)*INDEX([2]中r将兵属性验证!$AA$7:$AA$166,$BQ108,1)+CI107</f>
        <v>32278466969.28949</v>
      </c>
      <c r="CJ108" s="29">
        <f>(BY108-BY107)*INDEX([2]中r将兵属性验证!$AB$7:$AB$166,$BQ108,1)+CJ107</f>
        <v>32278466969.28949</v>
      </c>
      <c r="CK108" s="29">
        <f>(BZ108-BZ107)*INDEX([2]中r将兵属性验证!$AU$7:$AU$166,$BQ108,1)+CK107</f>
        <v>102239078853.87524</v>
      </c>
      <c r="CL108" s="29">
        <f>(CA108-CA107)*INDEX([2]中r将兵属性验证!$AV$7:$AV$166,$BQ108,1)+CL107</f>
        <v>102239078853.87524</v>
      </c>
      <c r="CM108" s="29">
        <f>(CB108-CB107)*(INDEX([2]中r将兵属性验证!$AC$7:$AC$166,$BQ108,1)*[2]战法技能效用!$AH$4+INDEX([2]中r将兵属性验证!$AX$7:$AX$166,$BQ108,1)*[2]战法技能效用!$AI$4)+CM107</f>
        <v>148040369599.70444</v>
      </c>
      <c r="CN108" s="29">
        <f t="shared" si="88"/>
        <v>787025662545.88647</v>
      </c>
      <c r="CR108" s="29">
        <f>基础状态预期!D121</f>
        <v>80.134867890916794</v>
      </c>
      <c r="CS108" s="29">
        <f>IF(基础状态预期!AI121="",0,基础状态预期!AI121)*$AB$37*基础状态预期!J121</f>
        <v>8.0243390753013397</v>
      </c>
      <c r="CT108" s="29">
        <f>CS108*武将数量星级阶位验证!$E$7*1.8</f>
        <v>43331.431006627237</v>
      </c>
      <c r="CV108" s="29">
        <v>150</v>
      </c>
      <c r="CW108" s="29">
        <f t="shared" si="68"/>
        <v>777600</v>
      </c>
      <c r="CX108" s="29"/>
      <c r="CY108" s="29"/>
      <c r="CZ108" s="29">
        <f t="shared" si="89"/>
        <v>777600</v>
      </c>
    </row>
    <row r="109" spans="51:104" x14ac:dyDescent="0.15">
      <c r="AY109" s="17">
        <v>100</v>
      </c>
      <c r="AZ109" s="17">
        <f>求节点(基础状态预期!$D$17:$D$55,基础状态预期!$AI$17:$AI$55,$AY109)*求节点(基础状态预期!$D$17:$D$55,基础状态预期!$J$17:$J$55,$AY109)*$AB$49</f>
        <v>1123.3219289589374</v>
      </c>
      <c r="BA109" s="17">
        <f>求节点(基础状态预期!$D$62:$D$100,基础状态预期!$AI$62:$AI$100,$AY109)*求节点(基础状态预期!$D$62:$D$100,基础状态预期!$J$62:$J$100,$AY109)*$AB$49</f>
        <v>6499.0195084052166</v>
      </c>
      <c r="BB109" s="17">
        <f>求节点(基础状态预期!$D$107:$D$145,基础状态预期!$AI$107:$AI$145,$AY109)*求节点(基础状态预期!$D$107:$D$145,基础状态预期!$J$107:$J$145,$AY109)*$AB$49</f>
        <v>12407.781481524204</v>
      </c>
      <c r="BC109" s="17">
        <f>求节点(基础状态预期!$D$152:$D$190,基础状态预期!$AI$152:$AI$190,$AY109)*求节点(基础状态预期!$D$62:$D$100,基础状态预期!$J$152:$J$190,$AY109)*$AB$49</f>
        <v>13320</v>
      </c>
      <c r="BD109" s="17">
        <f>求节点(基础状态预期!$D$197:$D$235,基础状态预期!$AI$197:$AI$235,$AY109)*求节点(基础状态预期!$D$197:$D$235,基础状态预期!$J$197:$J$235,$AY109)*$AB$49</f>
        <v>13320</v>
      </c>
      <c r="BQ109" s="29">
        <v>160</v>
      </c>
      <c r="BR109" s="29">
        <f>求节点(基础状态预期!$D$17:$D$55,基础状态预期!$AI$17:$AI$55,$BQ109)*SUM($AR$6:$AT$6)/3</f>
        <v>40</v>
      </c>
      <c r="BS109" s="29">
        <f>求节点(基础状态预期!$D$17:$D$55,基础状态预期!$AI$17:$AI$55,$BQ109)*AH$6</f>
        <v>2500</v>
      </c>
      <c r="BT109" s="145">
        <f t="shared" si="64"/>
        <v>2500</v>
      </c>
      <c r="BU109" s="29">
        <f>求节点(基础状态预期!$D$17:$D$55,基础状态预期!$AI$17:$AI$55,$BQ109)*AI$6</f>
        <v>120</v>
      </c>
      <c r="BV109" s="145">
        <f t="shared" si="65"/>
        <v>120</v>
      </c>
      <c r="BW109" s="29">
        <f>求节点(基础状态预期!$D$17:$D$55,基础状态预期!$AI$17:$AI$55,$BQ109)*$AU$6</f>
        <v>500</v>
      </c>
      <c r="BX109" s="29">
        <f>求节点(基础状态预期!$D$17:$D$55,基础状态预期!$AI$17:$AI$55,$BQ109)*$AJ$6</f>
        <v>0.12</v>
      </c>
      <c r="BY109" s="145">
        <f t="shared" ref="BY109" si="98">BX109</f>
        <v>0.12</v>
      </c>
      <c r="BZ109" s="29">
        <f>求节点(基础状态预期!$D$17:$D$55,基础状态预期!$AI$17:$AI$55,$BQ109)*$AK$6</f>
        <v>0.1</v>
      </c>
      <c r="CA109" s="145">
        <f t="shared" ref="CA109" si="99">BZ109</f>
        <v>0.1</v>
      </c>
      <c r="CB109" s="29">
        <f>求节点(基础状态预期!$D$17:$D$55,基础状态预期!$AI$17:$AI$55,$BQ109)*$W$60</f>
        <v>0.60000000000000009</v>
      </c>
      <c r="CC109" s="29">
        <f>($BR109-$BR108)*(INDEX([2]中r将兵属性验证!$V$7:$V$166,$BQ109,1)+INDEX([2]中r将兵属性验证!$AP$7:$AP$166,$BQ109,1))+CC108</f>
        <v>139319626480.38004</v>
      </c>
      <c r="CD109" s="29">
        <f>($BS109-$BS108)*INDEX([2]中r将兵属性验证!W$7:W$166,$BQ109,1)+CD108</f>
        <v>30552105820.668488</v>
      </c>
      <c r="CE109" s="29">
        <f>(BT109-$BT108)*INDEX([2]中r将兵属性验证!X$7:X$166,$BQ109,1)+CE108</f>
        <v>30552105820.668488</v>
      </c>
      <c r="CF109" s="29">
        <f>(BU109-BU108)*INDEX([2]中r将兵属性验证!$AQ$7:$AQ$166,$BQ109)+CF108</f>
        <v>84760903320.285065</v>
      </c>
      <c r="CG109" s="29">
        <f>(BV109-BV108)*INDEX([2]中r将兵属性验证!$AR$7:$AR$166,$BQ109)+CG108</f>
        <v>84760903320.285065</v>
      </c>
      <c r="CH109" s="29">
        <f>(BW109-BW108)*INDEX([2]中r将兵属性验证!$AM$7:$AM$166,$BQ109,1)+CH108</f>
        <v>4556537.5654404098</v>
      </c>
      <c r="CI109" s="29">
        <f>(BX109-BX108)*INDEX([2]中r将兵属性验证!$AA$7:$AA$166,$BQ109,1)+CI108</f>
        <v>32278466969.28949</v>
      </c>
      <c r="CJ109" s="29">
        <f>(BY109-BY108)*INDEX([2]中r将兵属性验证!$AB$7:$AB$166,$BQ109,1)+CJ108</f>
        <v>32278466969.28949</v>
      </c>
      <c r="CK109" s="29">
        <f>(BZ109-BZ108)*INDEX([2]中r将兵属性验证!$AU$7:$AU$166,$BQ109,1)+CK108</f>
        <v>102239078853.87524</v>
      </c>
      <c r="CL109" s="29">
        <f>(CA109-CA108)*INDEX([2]中r将兵属性验证!$AV$7:$AV$166,$BQ109,1)+CL108</f>
        <v>102239078853.87524</v>
      </c>
      <c r="CM109" s="29">
        <f>(CB109-CB108)*(INDEX([2]中r将兵属性验证!$AC$7:$AC$166,$BQ109,1)*[2]战法技能效用!$AH$4+INDEX([2]中r将兵属性验证!$AX$7:$AX$166,$BQ109,1)*[2]战法技能效用!$AI$4)+CM108</f>
        <v>148040369599.70444</v>
      </c>
      <c r="CN109" s="29">
        <f t="shared" si="88"/>
        <v>787025662545.88647</v>
      </c>
      <c r="CR109" s="29">
        <f>基础状态预期!D122</f>
        <v>82.238672852681816</v>
      </c>
      <c r="CS109" s="29">
        <f>IF(基础状态预期!AI122="",0,基础状态预期!AI122)*$AB$37*基础状态预期!J122</f>
        <v>9.231599431038001</v>
      </c>
      <c r="CT109" s="29">
        <f>CS109*武将数量星级阶位验证!$E$7*1.8</f>
        <v>49850.636927605206</v>
      </c>
      <c r="CV109" s="29">
        <v>160</v>
      </c>
      <c r="CW109" s="29">
        <f t="shared" si="68"/>
        <v>777600</v>
      </c>
      <c r="CX109" s="29"/>
      <c r="CY109" s="29"/>
      <c r="CZ109" s="29">
        <f t="shared" si="89"/>
        <v>777600</v>
      </c>
    </row>
    <row r="110" spans="51:104" x14ac:dyDescent="0.15">
      <c r="AY110" s="17">
        <v>101</v>
      </c>
      <c r="AZ110" s="17">
        <f>求节点(基础状态预期!$D$17:$D$55,基础状态预期!$AI$17:$AI$55,$AY110)*求节点(基础状态预期!$D$17:$D$55,基础状态预期!$J$17:$J$55,$AY110)*$AB$49</f>
        <v>1383.1598858342577</v>
      </c>
      <c r="BA110" s="17">
        <f>求节点(基础状态预期!$D$62:$D$100,基础状态预期!$AI$62:$AI$100,$AY110)*求节点(基础状态预期!$D$62:$D$100,基础状态预期!$J$62:$J$100,$AY110)*$AB$49</f>
        <v>7804.4976465081481</v>
      </c>
      <c r="BB110" s="17">
        <f>求节点(基础状态预期!$D$107:$D$145,基础状态预期!$AI$107:$AI$145,$AY110)*求节点(基础状态预期!$D$107:$D$145,基础状态预期!$J$107:$J$145,$AY110)*$AB$49</f>
        <v>13320</v>
      </c>
      <c r="BC110" s="17">
        <f>求节点(基础状态预期!$D$152:$D$190,基础状态预期!$AI$152:$AI$190,$AY110)*求节点(基础状态预期!$D$62:$D$100,基础状态预期!$J$152:$J$190,$AY110)*$AB$49</f>
        <v>13320</v>
      </c>
      <c r="BD110" s="17">
        <f>求节点(基础状态预期!$D$197:$D$235,基础状态预期!$AI$197:$AI$235,$AY110)*求节点(基础状态预期!$D$197:$D$235,基础状态预期!$J$197:$J$235,$AY110)*$AB$49</f>
        <v>13320</v>
      </c>
      <c r="CR110" s="29">
        <f>基础状态预期!D123</f>
        <v>84.043767921022209</v>
      </c>
      <c r="CS110" s="29">
        <f>IF(基础状态预期!AI123="",0,基础状态预期!AI123)*$AB$37*基础状态预期!J123</f>
        <v>10.378701551895798</v>
      </c>
      <c r="CT110" s="29">
        <f>CS110*武将数量星级阶位验证!$E$7*1.8</f>
        <v>56044.988380237315</v>
      </c>
    </row>
    <row r="111" spans="51:104" x14ac:dyDescent="0.15">
      <c r="AY111" s="17">
        <v>102</v>
      </c>
      <c r="AZ111" s="17">
        <f>求节点(基础状态预期!$D$17:$D$55,基础状态预期!$AI$17:$AI$55,$AY111)*求节点(基础状态预期!$D$17:$D$55,基础状态预期!$J$17:$J$55,$AY111)*$AB$49</f>
        <v>1849.2099969485048</v>
      </c>
      <c r="BA111" s="17">
        <f>求节点(基础状态预期!$D$62:$D$100,基础状态预期!$AI$62:$AI$100,$AY111)*求节点(基础状态预期!$D$62:$D$100,基础状态预期!$J$62:$J$100,$AY111)*$AB$49</f>
        <v>9605.5581842961892</v>
      </c>
      <c r="BB111" s="17">
        <f>求节点(基础状态预期!$D$107:$D$145,基础状态预期!$AI$107:$AI$145,$AY111)*求节点(基础状态预期!$D$107:$D$145,基础状态预期!$J$107:$J$145,$AY111)*$AB$49</f>
        <v>13320</v>
      </c>
      <c r="BC111" s="17">
        <f>求节点(基础状态预期!$D$152:$D$190,基础状态预期!$AI$152:$AI$190,$AY111)*求节点(基础状态预期!$D$62:$D$100,基础状态预期!$J$152:$J$190,$AY111)*$AB$49</f>
        <v>13320</v>
      </c>
      <c r="BD111" s="17">
        <f>求节点(基础状态预期!$D$197:$D$235,基础状态预期!$AI$197:$AI$235,$AY111)*求节点(基础状态预期!$D$197:$D$235,基础状态预期!$J$197:$J$235,$AY111)*$AB$49</f>
        <v>13320</v>
      </c>
      <c r="CR111" s="29">
        <f>基础状态预期!D124</f>
        <v>86.385105215793828</v>
      </c>
      <c r="CS111" s="29">
        <f>IF(基础状态预期!AI124="",0,基础状态预期!AI124)*$AB$37*基础状态预期!J124</f>
        <v>12.088227885222437</v>
      </c>
      <c r="CT111" s="29">
        <f>CS111*武将数量星级阶位验证!$E$7*1.8</f>
        <v>65276.430580201166</v>
      </c>
    </row>
    <row r="112" spans="51:104" x14ac:dyDescent="0.15">
      <c r="AY112" s="17">
        <v>103</v>
      </c>
      <c r="AZ112" s="17">
        <f>求节点(基础状态预期!$D$17:$D$55,基础状态预期!$AI$17:$AI$55,$AY112)*求节点(基础状态预期!$D$17:$D$55,基础状态预期!$J$17:$J$55,$AY112)*$AB$49</f>
        <v>2315.2601080627514</v>
      </c>
      <c r="BA112" s="17">
        <f>求节点(基础状态预期!$D$62:$D$100,基础状态预期!$AI$62:$AI$100,$AY112)*求节点(基础状态预期!$D$62:$D$100,基础状态预期!$J$62:$J$100,$AY112)*$AB$49</f>
        <v>11406.618722084233</v>
      </c>
      <c r="BB112" s="17">
        <f>求节点(基础状态预期!$D$107:$D$145,基础状态预期!$AI$107:$AI$145,$AY112)*求节点(基础状态预期!$D$107:$D$145,基础状态预期!$J$107:$J$145,$AY112)*$AB$49</f>
        <v>13320</v>
      </c>
      <c r="BC112" s="17">
        <f>求节点(基础状态预期!$D$152:$D$190,基础状态预期!$AI$152:$AI$190,$AY112)*求节点(基础状态预期!$D$62:$D$100,基础状态预期!$J$152:$J$190,$AY112)*$AB$49</f>
        <v>13320</v>
      </c>
      <c r="BD112" s="17">
        <f>求节点(基础状态预期!$D$197:$D$235,基础状态预期!$AI$197:$AI$235,$AY112)*求节点(基础状态预期!$D$197:$D$235,基础状态预期!$J$197:$J$235,$AY112)*$AB$49</f>
        <v>13320</v>
      </c>
      <c r="CR112" s="29">
        <f>基础状态预期!D125</f>
        <v>90.406191748048585</v>
      </c>
      <c r="CS112" s="29">
        <f>IF(基础状态预期!AI125="",0,基础状态预期!AI125)*$AB$37*基础状态预期!J125</f>
        <v>26.505966337348948</v>
      </c>
      <c r="CT112" s="29">
        <f>CS112*武将数量星级阶位验证!$E$7*1.8</f>
        <v>143132.21822168431</v>
      </c>
    </row>
    <row r="113" spans="51:98" x14ac:dyDescent="0.15">
      <c r="AY113" s="17">
        <v>104</v>
      </c>
      <c r="AZ113" s="17">
        <f>求节点(基础状态预期!$D$17:$D$55,基础状态预期!$AI$17:$AI$55,$AY113)*求节点(基础状态预期!$D$17:$D$55,基础状态预期!$J$17:$J$55,$AY113)*$AB$49</f>
        <v>2781.310219176999</v>
      </c>
      <c r="BA113" s="17">
        <f>求节点(基础状态预期!$D$62:$D$100,基础状态预期!$AI$62:$AI$100,$AY113)*求节点(基础状态预期!$D$62:$D$100,基础状态预期!$J$62:$J$100,$AY113)*$AB$49</f>
        <v>13207.679259872277</v>
      </c>
      <c r="BB113" s="17">
        <f>求节点(基础状态预期!$D$107:$D$145,基础状态预期!$AI$107:$AI$145,$AY113)*求节点(基础状态预期!$D$107:$D$145,基础状态预期!$J$107:$J$145,$AY113)*$AB$49</f>
        <v>13320</v>
      </c>
      <c r="BC113" s="17">
        <f>求节点(基础状态预期!$D$152:$D$190,基础状态预期!$AI$152:$AI$190,$AY113)*求节点(基础状态预期!$D$62:$D$100,基础状态预期!$J$152:$J$190,$AY113)*$AB$49</f>
        <v>13320</v>
      </c>
      <c r="BD113" s="17">
        <f>求节点(基础状态预期!$D$197:$D$235,基础状态预期!$AI$197:$AI$235,$AY113)*求节点(基础状态预期!$D$197:$D$235,基础状态预期!$J$197:$J$235,$AY113)*$AB$49</f>
        <v>13320</v>
      </c>
      <c r="CR113" s="29">
        <f>基础状态预期!D126</f>
        <v>93.471491811086082</v>
      </c>
      <c r="CS113" s="29">
        <f>IF(基础状态预期!AI126="",0,基础状态预期!AI126)*$AB$37*基础状态预期!J126</f>
        <v>66.297631706829407</v>
      </c>
      <c r="CT113" s="29">
        <f>CS113*武将数量星级阶位验证!$E$7*1.8</f>
        <v>358007.21121687879</v>
      </c>
    </row>
    <row r="114" spans="51:98" x14ac:dyDescent="0.15">
      <c r="AY114" s="17">
        <v>105</v>
      </c>
      <c r="AZ114" s="17">
        <f>求节点(基础状态预期!$D$17:$D$55,基础状态预期!$AI$17:$AI$55,$AY114)*求节点(基础状态预期!$D$17:$D$55,基础状态预期!$J$17:$J$55,$AY114)*$AB$49</f>
        <v>3847.156736658862</v>
      </c>
      <c r="BA114" s="17">
        <f>求节点(基础状态预期!$D$62:$D$100,基础状态预期!$AI$62:$AI$100,$AY114)*求节点(基础状态预期!$D$62:$D$100,基础状态预期!$J$62:$J$100,$AY114)*$AB$49</f>
        <v>13320</v>
      </c>
      <c r="BB114" s="17">
        <f>求节点(基础状态预期!$D$107:$D$145,基础状态预期!$AI$107:$AI$145,$AY114)*求节点(基础状态预期!$D$107:$D$145,基础状态预期!$J$107:$J$145,$AY114)*$AB$49</f>
        <v>13320</v>
      </c>
      <c r="BC114" s="17">
        <f>求节点(基础状态预期!$D$152:$D$190,基础状态预期!$AI$152:$AI$190,$AY114)*求节点(基础状态预期!$D$62:$D$100,基础状态预期!$J$152:$J$190,$AY114)*$AB$49</f>
        <v>13320</v>
      </c>
      <c r="BD114" s="17">
        <f>求节点(基础状态预期!$D$197:$D$235,基础状态预期!$AI$197:$AI$235,$AY114)*求节点(基础状态预期!$D$197:$D$235,基础状态预期!$J$197:$J$235,$AY114)*$AB$49</f>
        <v>13320</v>
      </c>
      <c r="CR114" s="29">
        <f>基础状态预期!D127</f>
        <v>97.107381566993553</v>
      </c>
      <c r="CS114" s="29">
        <f>IF(基础状态预期!AI127="",0,基础状态预期!AI127)*$AB$37*基础状态预期!J127</f>
        <v>94.097150363478463</v>
      </c>
      <c r="CT114" s="29">
        <f>CS114*武将数量星级阶位验证!$E$7*1.8</f>
        <v>508124.61196278367</v>
      </c>
    </row>
    <row r="115" spans="51:98" x14ac:dyDescent="0.15">
      <c r="AY115" s="17">
        <v>106</v>
      </c>
      <c r="AZ115" s="17">
        <f>求节点(基础状态预期!$D$17:$D$55,基础状态预期!$AI$17:$AI$55,$AY115)*求节点(基础状态预期!$D$17:$D$55,基础状态预期!$J$17:$J$55,$AY115)*$AB$49</f>
        <v>4980.6110866254585</v>
      </c>
      <c r="BA115" s="17">
        <f>求节点(基础状态预期!$D$62:$D$100,基础状态预期!$AI$62:$AI$100,$AY115)*求节点(基础状态预期!$D$62:$D$100,基础状态预期!$J$62:$J$100,$AY115)*$AB$49</f>
        <v>13320</v>
      </c>
      <c r="BB115" s="17">
        <f>求节点(基础状态预期!$D$107:$D$145,基础状态预期!$AI$107:$AI$145,$AY115)*求节点(基础状态预期!$D$107:$D$145,基础状态预期!$J$107:$J$145,$AY115)*$AB$49</f>
        <v>13320</v>
      </c>
      <c r="BC115" s="17">
        <f>求节点(基础状态预期!$D$152:$D$190,基础状态预期!$AI$152:$AI$190,$AY115)*求节点(基础状态预期!$D$62:$D$100,基础状态预期!$J$152:$J$190,$AY115)*$AB$49</f>
        <v>13320</v>
      </c>
      <c r="BD115" s="17">
        <f>求节点(基础状态预期!$D$197:$D$235,基础状态预期!$AI$197:$AI$235,$AY115)*求节点(基础状态预期!$D$197:$D$235,基础状态预期!$J$197:$J$235,$AY115)*$AB$49</f>
        <v>13320</v>
      </c>
      <c r="CR115" s="29">
        <f>基础状态预期!D128</f>
        <v>100.71243145193914</v>
      </c>
      <c r="CS115" s="29">
        <f>IF(基础状态预期!AI128="",0,基础状态预期!AI128)*$AB$37*基础状态预期!J128</f>
        <v>144</v>
      </c>
      <c r="CT115" s="29">
        <f>CS115*武将数量星级阶位验证!$E$7*1.8</f>
        <v>777600</v>
      </c>
    </row>
    <row r="116" spans="51:98" x14ac:dyDescent="0.15">
      <c r="AY116" s="17">
        <v>107</v>
      </c>
      <c r="AZ116" s="17">
        <f>求节点(基础状态预期!$D$17:$D$55,基础状态预期!$AI$17:$AI$55,$AY116)*求节点(基础状态预期!$D$17:$D$55,基础状态预期!$J$17:$J$55,$AY116)*$AB$49</f>
        <v>6114.0654365920545</v>
      </c>
      <c r="BA116" s="17">
        <f>求节点(基础状态预期!$D$62:$D$100,基础状态预期!$AI$62:$AI$100,$AY116)*求节点(基础状态预期!$D$62:$D$100,基础状态预期!$J$62:$J$100,$AY116)*$AB$49</f>
        <v>13320</v>
      </c>
      <c r="BB116" s="17">
        <f>求节点(基础状态预期!$D$107:$D$145,基础状态预期!$AI$107:$AI$145,$AY116)*求节点(基础状态预期!$D$107:$D$145,基础状态预期!$J$107:$J$145,$AY116)*$AB$49</f>
        <v>13320</v>
      </c>
      <c r="BC116" s="17">
        <f>求节点(基础状态预期!$D$152:$D$190,基础状态预期!$AI$152:$AI$190,$AY116)*求节点(基础状态预期!$D$62:$D$100,基础状态预期!$J$152:$J$190,$AY116)*$AB$49</f>
        <v>13320</v>
      </c>
      <c r="BD116" s="17">
        <f>求节点(基础状态预期!$D$197:$D$235,基础状态预期!$AI$197:$AI$235,$AY116)*求节点(基础状态预期!$D$197:$D$235,基础状态预期!$J$197:$J$235,$AY116)*$AB$49</f>
        <v>13320</v>
      </c>
      <c r="CR116" s="29">
        <f>基础状态预期!D129</f>
        <v>104.39233713204413</v>
      </c>
      <c r="CS116" s="29">
        <f>IF(基础状态预期!AI129="",0,基础状态预期!AI129)*$AB$37*基础状态预期!J129</f>
        <v>144</v>
      </c>
      <c r="CT116" s="29">
        <f>CS116*武将数量星级阶位验证!$E$7*1.8</f>
        <v>777600</v>
      </c>
    </row>
    <row r="117" spans="51:98" x14ac:dyDescent="0.15">
      <c r="AY117" s="17">
        <v>108</v>
      </c>
      <c r="AZ117" s="17">
        <f>求节点(基础状态预期!$D$17:$D$55,基础状态预期!$AI$17:$AI$55,$AY117)*求节点(基础状态预期!$D$17:$D$55,基础状态预期!$J$17:$J$55,$AY117)*$AB$49</f>
        <v>7164.0284859660178</v>
      </c>
      <c r="BA117" s="17">
        <f>求节点(基础状态预期!$D$62:$D$100,基础状态预期!$AI$62:$AI$100,$AY117)*求节点(基础状态预期!$D$62:$D$100,基础状态预期!$J$62:$J$100,$AY117)*$AB$49</f>
        <v>13320</v>
      </c>
      <c r="BB117" s="17">
        <f>求节点(基础状态预期!$D$107:$D$145,基础状态预期!$AI$107:$AI$145,$AY117)*求节点(基础状态预期!$D$107:$D$145,基础状态预期!$J$107:$J$145,$AY117)*$AB$49</f>
        <v>13320</v>
      </c>
      <c r="BC117" s="17">
        <f>求节点(基础状态预期!$D$152:$D$190,基础状态预期!$AI$152:$AI$190,$AY117)*求节点(基础状态预期!$D$62:$D$100,基础状态预期!$J$152:$J$190,$AY117)*$AB$49</f>
        <v>13320</v>
      </c>
      <c r="BD117" s="17">
        <f>求节点(基础状态预期!$D$197:$D$235,基础状态预期!$AI$197:$AI$235,$AY117)*求节点(基础状态预期!$D$197:$D$235,基础状态预期!$J$197:$J$235,$AY117)*$AB$49</f>
        <v>13320</v>
      </c>
      <c r="CR117" s="29">
        <f>基础状态预期!D130</f>
        <v>107.81562240612369</v>
      </c>
      <c r="CS117" s="29">
        <f>IF(基础状态预期!AI130="",0,基础状态预期!AI130)*$AB$37*基础状态预期!J130</f>
        <v>144</v>
      </c>
      <c r="CT117" s="29">
        <f>CS117*武将数量星级阶位验证!$E$7*1.8</f>
        <v>777600</v>
      </c>
    </row>
    <row r="118" spans="51:98" x14ac:dyDescent="0.15">
      <c r="AY118" s="17">
        <v>109</v>
      </c>
      <c r="AZ118" s="17">
        <f>求节点(基础状态预期!$D$17:$D$55,基础状态预期!$AI$17:$AI$55,$AY118)*求节点(基础状态预期!$D$17:$D$55,基础状态预期!$J$17:$J$55,$AY118)*$AB$49</f>
        <v>8136.4098303826231</v>
      </c>
      <c r="BA118" s="17">
        <f>求节点(基础状态预期!$D$62:$D$100,基础状态预期!$AI$62:$AI$100,$AY118)*求节点(基础状态预期!$D$62:$D$100,基础状态预期!$J$62:$J$100,$AY118)*$AB$49</f>
        <v>13320</v>
      </c>
      <c r="BB118" s="17">
        <f>求节点(基础状态预期!$D$107:$D$145,基础状态预期!$AI$107:$AI$145,$AY118)*求节点(基础状态预期!$D$107:$D$145,基础状态预期!$J$107:$J$145,$AY118)*$AB$49</f>
        <v>13320</v>
      </c>
      <c r="BC118" s="17">
        <f>求节点(基础状态预期!$D$152:$D$190,基础状态预期!$AI$152:$AI$190,$AY118)*求节点(基础状态预期!$D$62:$D$100,基础状态预期!$J$152:$J$190,$AY118)*$AB$49</f>
        <v>13320</v>
      </c>
      <c r="BD118" s="17">
        <f>求节点(基础状态预期!$D$197:$D$235,基础状态预期!$AI$197:$AI$235,$AY118)*求节点(基础状态预期!$D$197:$D$235,基础状态预期!$J$197:$J$235,$AY118)*$AB$49</f>
        <v>13320</v>
      </c>
      <c r="CR118" s="29">
        <f>基础状态预期!D131</f>
        <v>111.36292001894914</v>
      </c>
      <c r="CS118" s="29">
        <f>IF(基础状态预期!AI131="",0,基础状态预期!AI131)*$AB$37*基础状态预期!J131</f>
        <v>144</v>
      </c>
      <c r="CT118" s="29">
        <f>CS118*武将数量星级阶位验证!$E$7*1.8</f>
        <v>777600</v>
      </c>
    </row>
    <row r="119" spans="51:98" x14ac:dyDescent="0.15">
      <c r="AY119" s="17">
        <v>110</v>
      </c>
      <c r="AZ119" s="17">
        <f>求节点(基础状态预期!$D$17:$D$55,基础状态预期!$AI$17:$AI$55,$AY119)*求节点(基础状态预期!$D$17:$D$55,基础状态预期!$J$17:$J$55,$AY119)*$AB$49</f>
        <v>9108.7911747992293</v>
      </c>
      <c r="BA119" s="17">
        <f>求节点(基础状态预期!$D$62:$D$100,基础状态预期!$AI$62:$AI$100,$AY119)*求节点(基础状态预期!$D$62:$D$100,基础状态预期!$J$62:$J$100,$AY119)*$AB$49</f>
        <v>13320</v>
      </c>
      <c r="BB119" s="17">
        <f>求节点(基础状态预期!$D$107:$D$145,基础状态预期!$AI$107:$AI$145,$AY119)*求节点(基础状态预期!$D$107:$D$145,基础状态预期!$J$107:$J$145,$AY119)*$AB$49</f>
        <v>13320</v>
      </c>
      <c r="BC119" s="17">
        <f>求节点(基础状态预期!$D$152:$D$190,基础状态预期!$AI$152:$AI$190,$AY119)*求节点(基础状态预期!$D$62:$D$100,基础状态预期!$J$152:$J$190,$AY119)*$AB$49</f>
        <v>13320</v>
      </c>
      <c r="BD119" s="17">
        <f>求节点(基础状态预期!$D$197:$D$235,基础状态预期!$AI$197:$AI$235,$AY119)*求节点(基础状态预期!$D$197:$D$235,基础状态预期!$J$197:$J$235,$AY119)*$AB$49</f>
        <v>13320</v>
      </c>
      <c r="CR119" s="29">
        <f>基础状态预期!D132</f>
        <v>114.91934497223426</v>
      </c>
      <c r="CS119" s="29">
        <f>IF(基础状态预期!AI132="",0,基础状态预期!AI132)*$AB$37*基础状态预期!J132</f>
        <v>144</v>
      </c>
      <c r="CT119" s="29">
        <f>CS119*武将数量星级阶位验证!$E$7*1.8</f>
        <v>777600</v>
      </c>
    </row>
    <row r="120" spans="51:98" x14ac:dyDescent="0.15">
      <c r="AY120" s="17">
        <v>111</v>
      </c>
      <c r="AZ120" s="17">
        <f>求节点(基础状态预期!$D$17:$D$55,基础状态预期!$AI$17:$AI$55,$AY120)*求节点(基础状态预期!$D$17:$D$55,基础状态预期!$J$17:$J$55,$AY120)*$AB$49</f>
        <v>10081.172519215836</v>
      </c>
      <c r="BA120" s="17">
        <f>求节点(基础状态预期!$D$62:$D$100,基础状态预期!$AI$62:$AI$100,$AY120)*求节点(基础状态预期!$D$62:$D$100,基础状态预期!$J$62:$J$100,$AY120)*$AB$49</f>
        <v>13320</v>
      </c>
      <c r="BB120" s="17">
        <f>求节点(基础状态预期!$D$107:$D$145,基础状态预期!$AI$107:$AI$145,$AY120)*求节点(基础状态预期!$D$107:$D$145,基础状态预期!$J$107:$J$145,$AY120)*$AB$49</f>
        <v>13320</v>
      </c>
      <c r="BC120" s="17">
        <f>求节点(基础状态预期!$D$152:$D$190,基础状态预期!$AI$152:$AI$190,$AY120)*求节点(基础状态预期!$D$62:$D$100,基础状态预期!$J$152:$J$190,$AY120)*$AB$49</f>
        <v>13320</v>
      </c>
      <c r="BD120" s="17">
        <f>求节点(基础状态预期!$D$197:$D$235,基础状态预期!$AI$197:$AI$235,$AY120)*求节点(基础状态预期!$D$197:$D$235,基础状态预期!$J$197:$J$235,$AY120)*$AB$49</f>
        <v>13320</v>
      </c>
      <c r="CR120" s="29">
        <f>基础状态预期!D133</f>
        <v>118.44741987029688</v>
      </c>
      <c r="CS120" s="29">
        <f>IF(基础状态预期!AI133="",0,基础状态预期!AI133)*$AB$37*基础状态预期!J133</f>
        <v>144</v>
      </c>
      <c r="CT120" s="29">
        <f>CS120*武将数量星级阶位验证!$E$7*1.8</f>
        <v>777600</v>
      </c>
    </row>
    <row r="121" spans="51:98" x14ac:dyDescent="0.15">
      <c r="AY121" s="17">
        <v>112</v>
      </c>
      <c r="AZ121" s="17">
        <f>求节点(基础状态预期!$D$17:$D$55,基础状态预期!$AI$17:$AI$55,$AY121)*求节点(基础状态预期!$D$17:$D$55,基础状态预期!$J$17:$J$55,$AY121)*$AB$49</f>
        <v>11005.640211080781</v>
      </c>
      <c r="BA121" s="17">
        <f>求节点(基础状态预期!$D$62:$D$100,基础状态预期!$AI$62:$AI$100,$AY121)*求节点(基础状态预期!$D$62:$D$100,基础状态预期!$J$62:$J$100,$AY121)*$AB$49</f>
        <v>13320</v>
      </c>
      <c r="BB121" s="17">
        <f>求节点(基础状态预期!$D$107:$D$145,基础状态预期!$AI$107:$AI$145,$AY121)*求节点(基础状态预期!$D$107:$D$145,基础状态预期!$J$107:$J$145,$AY121)*$AB$49</f>
        <v>13320</v>
      </c>
      <c r="BC121" s="17">
        <f>求节点(基础状态预期!$D$152:$D$190,基础状态预期!$AI$152:$AI$190,$AY121)*求节点(基础状态预期!$D$62:$D$100,基础状态预期!$J$152:$J$190,$AY121)*$AB$49</f>
        <v>13320</v>
      </c>
      <c r="BD121" s="17">
        <f>求节点(基础状态预期!$D$197:$D$235,基础状态预期!$AI$197:$AI$235,$AY121)*求节点(基础状态预期!$D$197:$D$235,基础状态预期!$J$197:$J$235,$AY121)*$AB$49</f>
        <v>13320</v>
      </c>
      <c r="CR121" s="29">
        <f>基础状态预期!D134</f>
        <v>121.97211685892326</v>
      </c>
      <c r="CS121" s="29">
        <f>IF(基础状态预期!AI134="",0,基础状态预期!AI134)*$AB$37*基础状态预期!J134</f>
        <v>144</v>
      </c>
      <c r="CT121" s="29">
        <f>CS121*武将数量星级阶位验证!$E$7*1.8</f>
        <v>777600</v>
      </c>
    </row>
    <row r="122" spans="51:98" x14ac:dyDescent="0.15">
      <c r="AY122" s="17">
        <v>113</v>
      </c>
      <c r="AZ122" s="17">
        <f>求节点(基础状态预期!$D$17:$D$55,基础状态预期!$AI$17:$AI$55,$AY122)*求节点(基础状态预期!$D$17:$D$55,基础状态预期!$J$17:$J$55,$AY122)*$AB$49</f>
        <v>11928.208247892037</v>
      </c>
      <c r="BA122" s="17">
        <f>求节点(基础状态预期!$D$62:$D$100,基础状态预期!$AI$62:$AI$100,$AY122)*求节点(基础状态预期!$D$62:$D$100,基础状态预期!$J$62:$J$100,$AY122)*$AB$49</f>
        <v>13320</v>
      </c>
      <c r="BB122" s="17">
        <f>求节点(基础状态预期!$D$107:$D$145,基础状态预期!$AI$107:$AI$145,$AY122)*求节点(基础状态预期!$D$107:$D$145,基础状态预期!$J$107:$J$145,$AY122)*$AB$49</f>
        <v>13320</v>
      </c>
      <c r="BC122" s="17">
        <f>求节点(基础状态预期!$D$152:$D$190,基础状态预期!$AI$152:$AI$190,$AY122)*求节点(基础状态预期!$D$62:$D$100,基础状态预期!$J$152:$J$190,$AY122)*$AB$49</f>
        <v>13320</v>
      </c>
      <c r="BD122" s="17">
        <f>求节点(基础状态预期!$D$197:$D$235,基础状态预期!$AI$197:$AI$235,$AY122)*求节点(基础状态预期!$D$197:$D$235,基础状态预期!$J$197:$J$235,$AY122)*$AB$49</f>
        <v>13320</v>
      </c>
      <c r="CR122" s="29">
        <f>基础状态预期!D135</f>
        <v>125.41953077529134</v>
      </c>
      <c r="CS122" s="29">
        <f>IF(基础状态预期!AI135="",0,基础状态预期!AI135)*$AB$37*基础状态预期!J135</f>
        <v>144</v>
      </c>
      <c r="CT122" s="29">
        <f>CS122*武将数量星级阶位验证!$E$7*1.8</f>
        <v>777600</v>
      </c>
    </row>
    <row r="123" spans="51:98" x14ac:dyDescent="0.15">
      <c r="AY123" s="17">
        <v>114</v>
      </c>
      <c r="AZ123" s="17">
        <f>求节点(基础状态预期!$D$17:$D$55,基础状态预期!$AI$17:$AI$55,$AY123)*求节点(基础状态预期!$D$17:$D$55,基础状态预期!$J$17:$J$55,$AY123)*$AB$49</f>
        <v>12850.776284703294</v>
      </c>
      <c r="BA123" s="17">
        <f>求节点(基础状态预期!$D$62:$D$100,基础状态预期!$AI$62:$AI$100,$AY123)*求节点(基础状态预期!$D$62:$D$100,基础状态预期!$J$62:$J$100,$AY123)*$AB$49</f>
        <v>13320</v>
      </c>
      <c r="BB123" s="17">
        <f>求节点(基础状态预期!$D$107:$D$145,基础状态预期!$AI$107:$AI$145,$AY123)*求节点(基础状态预期!$D$107:$D$145,基础状态预期!$J$107:$J$145,$AY123)*$AB$49</f>
        <v>13320</v>
      </c>
      <c r="BC123" s="17">
        <f>求节点(基础状态预期!$D$152:$D$190,基础状态预期!$AI$152:$AI$190,$AY123)*求节点(基础状态预期!$D$62:$D$100,基础状态预期!$J$152:$J$190,$AY123)*$AB$49</f>
        <v>13320</v>
      </c>
      <c r="BD123" s="17">
        <f>求节点(基础状态预期!$D$197:$D$235,基础状态预期!$AI$197:$AI$235,$AY123)*求节点(基础状态预期!$D$197:$D$235,基础状态预期!$J$197:$J$235,$AY123)*$AB$49</f>
        <v>13320</v>
      </c>
      <c r="CR123" s="29">
        <f>基础状态预期!D136</f>
        <v>129.09045404756728</v>
      </c>
      <c r="CS123" s="29">
        <f>IF(基础状态预期!AI136="",0,基础状态预期!AI136)*$AB$37*基础状态预期!J136</f>
        <v>144</v>
      </c>
      <c r="CT123" s="29">
        <f>CS123*武将数量星级阶位验证!$E$7*1.8</f>
        <v>777600</v>
      </c>
    </row>
    <row r="124" spans="51:98" x14ac:dyDescent="0.15">
      <c r="AY124" s="17">
        <v>115</v>
      </c>
      <c r="AZ124" s="17">
        <f>求节点(基础状态预期!$D$17:$D$55,基础状态预期!$AI$17:$AI$55,$AY124)*求节点(基础状态预期!$D$17:$D$55,基础状态预期!$J$17:$J$55,$AY124)*$AB$49</f>
        <v>13320</v>
      </c>
      <c r="BA124" s="17">
        <f>求节点(基础状态预期!$D$62:$D$100,基础状态预期!$AI$62:$AI$100,$AY124)*求节点(基础状态预期!$D$62:$D$100,基础状态预期!$J$62:$J$100,$AY124)*$AB$49</f>
        <v>13320</v>
      </c>
      <c r="BB124" s="17">
        <f>求节点(基础状态预期!$D$107:$D$145,基础状态预期!$AI$107:$AI$145,$AY124)*求节点(基础状态预期!$D$107:$D$145,基础状态预期!$J$107:$J$145,$AY124)*$AB$49</f>
        <v>13320</v>
      </c>
      <c r="BC124" s="17">
        <f>求节点(基础状态预期!$D$152:$D$190,基础状态预期!$AI$152:$AI$190,$AY124)*求节点(基础状态预期!$D$62:$D$100,基础状态预期!$J$152:$J$190,$AY124)*$AB$49</f>
        <v>13320</v>
      </c>
      <c r="BD124" s="17">
        <f>求节点(基础状态预期!$D$197:$D$235,基础状态预期!$AI$197:$AI$235,$AY124)*求节点(基础状态预期!$D$197:$D$235,基础状态预期!$J$197:$J$235,$AY124)*$AB$49</f>
        <v>13320</v>
      </c>
      <c r="CR124" s="29">
        <f>基础状态预期!D137</f>
        <v>132.53488795708068</v>
      </c>
      <c r="CS124" s="29">
        <f>IF(基础状态预期!AI137="",0,基础状态预期!AI137)*$AB$37*基础状态预期!J137</f>
        <v>144</v>
      </c>
      <c r="CT124" s="29">
        <f>CS124*武将数量星级阶位验证!$E$7*1.8</f>
        <v>777600</v>
      </c>
    </row>
    <row r="125" spans="51:98" x14ac:dyDescent="0.15">
      <c r="AY125" s="17">
        <v>116</v>
      </c>
      <c r="AZ125" s="17">
        <f>求节点(基础状态预期!$D$17:$D$55,基础状态预期!$AI$17:$AI$55,$AY125)*求节点(基础状态预期!$D$17:$D$55,基础状态预期!$J$17:$J$55,$AY125)*$AB$49</f>
        <v>13320</v>
      </c>
      <c r="BA125" s="17">
        <f>求节点(基础状态预期!$D$62:$D$100,基础状态预期!$AI$62:$AI$100,$AY125)*求节点(基础状态预期!$D$62:$D$100,基础状态预期!$J$62:$J$100,$AY125)*$AB$49</f>
        <v>13320</v>
      </c>
      <c r="BB125" s="17">
        <f>求节点(基础状态预期!$D$107:$D$145,基础状态预期!$AI$107:$AI$145,$AY125)*求节点(基础状态预期!$D$107:$D$145,基础状态预期!$J$107:$J$145,$AY125)*$AB$49</f>
        <v>13320</v>
      </c>
      <c r="BC125" s="17">
        <f>求节点(基础状态预期!$D$152:$D$190,基础状态预期!$AI$152:$AI$190,$AY125)*求节点(基础状态预期!$D$62:$D$100,基础状态预期!$J$152:$J$190,$AY125)*$AB$49</f>
        <v>13320</v>
      </c>
      <c r="BD125" s="17">
        <f>求节点(基础状态预期!$D$197:$D$235,基础状态预期!$AI$197:$AI$235,$AY125)*求节点(基础状态预期!$D$197:$D$235,基础状态预期!$J$197:$J$235,$AY125)*$AB$49</f>
        <v>13320</v>
      </c>
      <c r="CR125" s="29">
        <f>基础状态预期!D138</f>
        <v>136.07141427598387</v>
      </c>
      <c r="CS125" s="29">
        <f>IF(基础状态预期!AI138="",0,基础状态预期!AI138)*$AB$37*基础状态预期!J138</f>
        <v>144</v>
      </c>
      <c r="CT125" s="29">
        <f>CS125*武将数量星级阶位验证!$E$7*1.8</f>
        <v>777600</v>
      </c>
    </row>
    <row r="126" spans="51:98" x14ac:dyDescent="0.15">
      <c r="AY126" s="17">
        <v>117</v>
      </c>
      <c r="AZ126" s="17">
        <f>求节点(基础状态预期!$D$17:$D$55,基础状态预期!$AI$17:$AI$55,$AY126)*求节点(基础状态预期!$D$17:$D$55,基础状态预期!$J$17:$J$55,$AY126)*$AB$49</f>
        <v>13320</v>
      </c>
      <c r="BA126" s="17">
        <f>求节点(基础状态预期!$D$62:$D$100,基础状态预期!$AI$62:$AI$100,$AY126)*求节点(基础状态预期!$D$62:$D$100,基础状态预期!$J$62:$J$100,$AY126)*$AB$49</f>
        <v>13320</v>
      </c>
      <c r="BB126" s="17">
        <f>求节点(基础状态预期!$D$107:$D$145,基础状态预期!$AI$107:$AI$145,$AY126)*求节点(基础状态预期!$D$107:$D$145,基础状态预期!$J$107:$J$145,$AY126)*$AB$49</f>
        <v>13320</v>
      </c>
      <c r="BC126" s="17">
        <f>求节点(基础状态预期!$D$152:$D$190,基础状态预期!$AI$152:$AI$190,$AY126)*求节点(基础状态预期!$D$62:$D$100,基础状态预期!$J$152:$J$190,$AY126)*$AB$49</f>
        <v>13320</v>
      </c>
      <c r="BD126" s="17">
        <f>求节点(基础状态预期!$D$197:$D$235,基础状态预期!$AI$197:$AI$235,$AY126)*求节点(基础状态预期!$D$197:$D$235,基础状态预期!$J$197:$J$235,$AY126)*$AB$49</f>
        <v>13320</v>
      </c>
      <c r="CR126" s="29">
        <f>基础状态预期!D139</f>
        <v>139.56936219880694</v>
      </c>
      <c r="CS126" s="29">
        <f>IF(基础状态预期!AI139="",0,基础状态预期!AI139)*$AB$37*基础状态预期!J139</f>
        <v>144</v>
      </c>
      <c r="CT126" s="29">
        <f>CS126*武将数量星级阶位验证!$E$7*1.8</f>
        <v>777600</v>
      </c>
    </row>
    <row r="127" spans="51:98" x14ac:dyDescent="0.15">
      <c r="AY127" s="17">
        <v>118</v>
      </c>
      <c r="AZ127" s="17">
        <f>求节点(基础状态预期!$D$17:$D$55,基础状态预期!$AI$17:$AI$55,$AY127)*求节点(基础状态预期!$D$17:$D$55,基础状态预期!$J$17:$J$55,$AY127)*$AB$49</f>
        <v>13320</v>
      </c>
      <c r="BA127" s="17">
        <f>求节点(基础状态预期!$D$62:$D$100,基础状态预期!$AI$62:$AI$100,$AY127)*求节点(基础状态预期!$D$62:$D$100,基础状态预期!$J$62:$J$100,$AY127)*$AB$49</f>
        <v>13320</v>
      </c>
      <c r="BB127" s="17">
        <f>求节点(基础状态预期!$D$107:$D$145,基础状态预期!$AI$107:$AI$145,$AY127)*求节点(基础状态预期!$D$107:$D$145,基础状态预期!$J$107:$J$145,$AY127)*$AB$49</f>
        <v>13320</v>
      </c>
      <c r="BC127" s="17">
        <f>求节点(基础状态预期!$D$152:$D$190,基础状态预期!$AI$152:$AI$190,$AY127)*求节点(基础状态预期!$D$62:$D$100,基础状态预期!$J$152:$J$190,$AY127)*$AB$49</f>
        <v>13320</v>
      </c>
      <c r="BD127" s="17">
        <f>求节点(基础状态预期!$D$197:$D$235,基础状态预期!$AI$197:$AI$235,$AY127)*求节点(基础状态预期!$D$197:$D$235,基础状态预期!$J$197:$J$235,$AY127)*$AB$49</f>
        <v>13320</v>
      </c>
      <c r="CR127" s="29">
        <f>基础状态预期!D140</f>
        <v>143.08413721822018</v>
      </c>
      <c r="CS127" s="29">
        <f>IF(基础状态预期!AI140="",0,基础状态预期!AI140)*$AB$37*基础状态预期!J140</f>
        <v>144</v>
      </c>
      <c r="CT127" s="29">
        <f>CS127*武将数量星级阶位验证!$E$7*1.8</f>
        <v>777600</v>
      </c>
    </row>
    <row r="128" spans="51:98" x14ac:dyDescent="0.15">
      <c r="AY128" s="17">
        <v>119</v>
      </c>
      <c r="AZ128" s="17">
        <f>求节点(基础状态预期!$D$17:$D$55,基础状态预期!$AI$17:$AI$55,$AY128)*求节点(基础状态预期!$D$17:$D$55,基础状态预期!$J$17:$J$55,$AY128)*$AB$49</f>
        <v>13320</v>
      </c>
      <c r="BA128" s="17">
        <f>求节点(基础状态预期!$D$62:$D$100,基础状态预期!$AI$62:$AI$100,$AY128)*求节点(基础状态预期!$D$62:$D$100,基础状态预期!$J$62:$J$100,$AY128)*$AB$49</f>
        <v>13320</v>
      </c>
      <c r="BB128" s="17">
        <f>求节点(基础状态预期!$D$107:$D$145,基础状态预期!$AI$107:$AI$145,$AY128)*求节点(基础状态预期!$D$107:$D$145,基础状态预期!$J$107:$J$145,$AY128)*$AB$49</f>
        <v>13320</v>
      </c>
      <c r="BC128" s="17">
        <f>求节点(基础状态预期!$D$152:$D$190,基础状态预期!$AI$152:$AI$190,$AY128)*求节点(基础状态预期!$D$62:$D$100,基础状态预期!$J$152:$J$190,$AY128)*$AB$49</f>
        <v>13320</v>
      </c>
      <c r="BD128" s="17">
        <f>求节点(基础状态预期!$D$197:$D$235,基础状态预期!$AI$197:$AI$235,$AY128)*求节点(基础状态预期!$D$197:$D$235,基础状态预期!$J$197:$J$235,$AY128)*$AB$49</f>
        <v>13320</v>
      </c>
      <c r="CR128" s="29">
        <f>基础状态预期!D141</f>
        <v>146.62302564097175</v>
      </c>
      <c r="CS128" s="29">
        <f>IF(基础状态预期!AI141="",0,基础状态预期!AI141)*$AB$37*基础状态预期!J141</f>
        <v>144</v>
      </c>
      <c r="CT128" s="29">
        <f>CS128*武将数量星级阶位验证!$E$7*1.8</f>
        <v>777600</v>
      </c>
    </row>
    <row r="129" spans="51:104" x14ac:dyDescent="0.15">
      <c r="AY129" s="17">
        <v>120</v>
      </c>
      <c r="AZ129" s="17">
        <f>求节点(基础状态预期!$D$17:$D$55,基础状态预期!$AI$17:$AI$55,$AY129)*求节点(基础状态预期!$D$17:$D$55,基础状态预期!$J$17:$J$55,$AY129)*$AB$49</f>
        <v>13320</v>
      </c>
      <c r="BA129" s="17">
        <f>求节点(基础状态预期!$D$62:$D$100,基础状态预期!$AI$62:$AI$100,$AY129)*求节点(基础状态预期!$D$62:$D$100,基础状态预期!$J$62:$J$100,$AY129)*$AB$49</f>
        <v>13320</v>
      </c>
      <c r="BB129" s="17">
        <f>求节点(基础状态预期!$D$107:$D$145,基础状态预期!$AI$107:$AI$145,$AY129)*求节点(基础状态预期!$D$107:$D$145,基础状态预期!$J$107:$J$145,$AY129)*$AB$49</f>
        <v>13320</v>
      </c>
      <c r="BC129" s="17">
        <f>求节点(基础状态预期!$D$152:$D$190,基础状态预期!$AI$152:$AI$190,$AY129)*求节点(基础状态预期!$D$62:$D$100,基础状态预期!$J$152:$J$190,$AY129)*$AB$49</f>
        <v>13320</v>
      </c>
      <c r="BD129" s="17">
        <f>求节点(基础状态预期!$D$197:$D$235,基础状态预期!$AI$197:$AI$235,$AY129)*求节点(基础状态预期!$D$197:$D$235,基础状态预期!$J$197:$J$235,$AY129)*$AB$49</f>
        <v>13320</v>
      </c>
      <c r="CR129" s="29">
        <f>基础状态预期!D142</f>
        <v>150.12999034316616</v>
      </c>
      <c r="CS129" s="29">
        <f>IF(基础状态预期!AI142="",0,基础状态预期!AI142)*$AB$37*基础状态预期!J142</f>
        <v>144</v>
      </c>
      <c r="CT129" s="29">
        <f>CS129*武将数量星级阶位验证!$E$7*1.8</f>
        <v>777600</v>
      </c>
    </row>
    <row r="130" spans="51:104" x14ac:dyDescent="0.15">
      <c r="AY130" s="17">
        <v>121</v>
      </c>
      <c r="AZ130" s="17">
        <f>求节点(基础状态预期!$D$17:$D$55,基础状态预期!$AI$17:$AI$55,$AY130)*求节点(基础状态预期!$D$17:$D$55,基础状态预期!$J$17:$J$55,$AY130)*$AB$49</f>
        <v>13320</v>
      </c>
      <c r="BA130" s="17">
        <f>求节点(基础状态预期!$D$62:$D$100,基础状态预期!$AI$62:$AI$100,$AY130)*求节点(基础状态预期!$D$62:$D$100,基础状态预期!$J$62:$J$100,$AY130)*$AB$49</f>
        <v>13320</v>
      </c>
      <c r="BB130" s="17">
        <f>求节点(基础状态预期!$D$107:$D$145,基础状态预期!$AI$107:$AI$145,$AY130)*求节点(基础状态预期!$D$107:$D$145,基础状态预期!$J$107:$J$145,$AY130)*$AB$49</f>
        <v>13320</v>
      </c>
      <c r="BC130" s="17">
        <f>求节点(基础状态预期!$D$152:$D$190,基础状态预期!$AI$152:$AI$190,$AY130)*求节点(基础状态预期!$D$62:$D$100,基础状态预期!$J$152:$J$190,$AY130)*$AB$49</f>
        <v>13320</v>
      </c>
      <c r="BD130" s="17">
        <f>求节点(基础状态预期!$D$197:$D$235,基础状态预期!$AI$197:$AI$235,$AY130)*求节点(基础状态预期!$D$197:$D$235,基础状态预期!$J$197:$J$235,$AY130)*$AB$49</f>
        <v>13320</v>
      </c>
      <c r="CR130" s="29">
        <f>基础状态预期!D143</f>
        <v>153.11600330857166</v>
      </c>
      <c r="CS130" s="29">
        <f>IF(基础状态预期!AI143="",0,基础状态预期!AI143)*$AB$37*基础状态预期!J143</f>
        <v>144</v>
      </c>
      <c r="CT130" s="29">
        <f>CS130*武将数量星级阶位验证!$E$7*1.8</f>
        <v>777600</v>
      </c>
    </row>
    <row r="131" spans="51:104" x14ac:dyDescent="0.15">
      <c r="AY131" s="17">
        <v>122</v>
      </c>
      <c r="AZ131" s="17">
        <f>求节点(基础状态预期!$D$17:$D$55,基础状态预期!$AI$17:$AI$55,$AY131)*求节点(基础状态预期!$D$17:$D$55,基础状态预期!$J$17:$J$55,$AY131)*$AB$49</f>
        <v>13320</v>
      </c>
      <c r="BA131" s="17">
        <f>求节点(基础状态预期!$D$62:$D$100,基础状态预期!$AI$62:$AI$100,$AY131)*求节点(基础状态预期!$D$62:$D$100,基础状态预期!$J$62:$J$100,$AY131)*$AB$49</f>
        <v>13320</v>
      </c>
      <c r="BB131" s="17">
        <f>求节点(基础状态预期!$D$107:$D$145,基础状态预期!$AI$107:$AI$145,$AY131)*求节点(基础状态预期!$D$107:$D$145,基础状态预期!$J$107:$J$145,$AY131)*$AB$49</f>
        <v>13320</v>
      </c>
      <c r="BC131" s="17">
        <f>求节点(基础状态预期!$D$152:$D$190,基础状态预期!$AI$152:$AI$190,$AY131)*求节点(基础状态预期!$D$62:$D$100,基础状态预期!$J$152:$J$190,$AY131)*$AB$49</f>
        <v>13320</v>
      </c>
      <c r="BD131" s="17">
        <f>求节点(基础状态预期!$D$197:$D$235,基础状态预期!$AI$197:$AI$235,$AY131)*求节点(基础状态预期!$D$197:$D$235,基础状态预期!$J$197:$J$235,$AY131)*$AB$49</f>
        <v>13320</v>
      </c>
      <c r="CR131" s="29">
        <f>基础状态预期!D144</f>
        <v>154.20294442048996</v>
      </c>
      <c r="CS131" s="29">
        <f>IF(基础状态预期!AI144="",0,基础状态预期!AI144)*$AB$37*基础状态预期!J144</f>
        <v>144</v>
      </c>
      <c r="CT131" s="29">
        <f>CS131*武将数量星级阶位验证!$E$7*1.8</f>
        <v>777600</v>
      </c>
    </row>
    <row r="132" spans="51:104" x14ac:dyDescent="0.15">
      <c r="AY132" s="17">
        <v>123</v>
      </c>
      <c r="AZ132" s="17">
        <f>求节点(基础状态预期!$D$17:$D$55,基础状态预期!$AI$17:$AI$55,$AY132)*求节点(基础状态预期!$D$17:$D$55,基础状态预期!$J$17:$J$55,$AY132)*$AB$49</f>
        <v>13320</v>
      </c>
      <c r="BA132" s="17">
        <f>求节点(基础状态预期!$D$62:$D$100,基础状态预期!$AI$62:$AI$100,$AY132)*求节点(基础状态预期!$D$62:$D$100,基础状态预期!$J$62:$J$100,$AY132)*$AB$49</f>
        <v>13320</v>
      </c>
      <c r="BB132" s="17">
        <f>求节点(基础状态预期!$D$107:$D$145,基础状态预期!$AI$107:$AI$145,$AY132)*求节点(基础状态预期!$D$107:$D$145,基础状态预期!$J$107:$J$145,$AY132)*$AB$49</f>
        <v>13320</v>
      </c>
      <c r="BC132" s="17">
        <f>求节点(基础状态预期!$D$152:$D$190,基础状态预期!$AI$152:$AI$190,$AY132)*求节点(基础状态预期!$D$62:$D$100,基础状态预期!$J$152:$J$190,$AY132)*$AB$49</f>
        <v>13320</v>
      </c>
      <c r="BD132" s="17">
        <f>求节点(基础状态预期!$D$197:$D$235,基础状态预期!$AI$197:$AI$235,$AY132)*求节点(基础状态预期!$D$197:$D$235,基础状态预期!$J$197:$J$235,$AY132)*$AB$49</f>
        <v>13320</v>
      </c>
      <c r="CR132" s="29">
        <f>基础状态预期!D145</f>
        <v>155.2512378743358</v>
      </c>
      <c r="CS132" s="29">
        <f>IF(基础状态预期!AI145="",0,基础状态预期!AI145)*$AB$37*基础状态预期!J145</f>
        <v>144</v>
      </c>
      <c r="CT132" s="29">
        <f>CS132*武将数量星级阶位验证!$E$7*1.8</f>
        <v>777600</v>
      </c>
    </row>
    <row r="133" spans="51:104" x14ac:dyDescent="0.15">
      <c r="AY133" s="17">
        <v>124</v>
      </c>
      <c r="AZ133" s="17">
        <f>求节点(基础状态预期!$D$17:$D$55,基础状态预期!$AI$17:$AI$55,$AY133)*求节点(基础状态预期!$D$17:$D$55,基础状态预期!$J$17:$J$55,$AY133)*$AB$49</f>
        <v>13320</v>
      </c>
      <c r="BA133" s="17">
        <f>求节点(基础状态预期!$D$62:$D$100,基础状态预期!$AI$62:$AI$100,$AY133)*求节点(基础状态预期!$D$62:$D$100,基础状态预期!$J$62:$J$100,$AY133)*$AB$49</f>
        <v>13320</v>
      </c>
      <c r="BB133" s="17">
        <f>求节点(基础状态预期!$D$107:$D$145,基础状态预期!$AI$107:$AI$145,$AY133)*求节点(基础状态预期!$D$107:$D$145,基础状态预期!$J$107:$J$145,$AY133)*$AB$49</f>
        <v>13320</v>
      </c>
      <c r="BC133" s="17">
        <f>求节点(基础状态预期!$D$152:$D$190,基础状态预期!$AI$152:$AI$190,$AY133)*求节点(基础状态预期!$D$62:$D$100,基础状态预期!$J$152:$J$190,$AY133)*$AB$49</f>
        <v>13320</v>
      </c>
      <c r="BD133" s="17">
        <f>求节点(基础状态预期!$D$197:$D$235,基础状态预期!$AI$197:$AI$235,$AY133)*求节点(基础状态预期!$D$197:$D$235,基础状态预期!$J$197:$J$235,$AY133)*$AB$49</f>
        <v>13320</v>
      </c>
    </row>
    <row r="134" spans="51:104" x14ac:dyDescent="0.15">
      <c r="AY134" s="17">
        <v>125</v>
      </c>
      <c r="AZ134" s="17">
        <f>求节点(基础状态预期!$D$17:$D$55,基础状态预期!$AI$17:$AI$55,$AY134)*求节点(基础状态预期!$D$17:$D$55,基础状态预期!$J$17:$J$55,$AY134)*$AB$49</f>
        <v>13320</v>
      </c>
      <c r="BA134" s="17">
        <f>求节点(基础状态预期!$D$62:$D$100,基础状态预期!$AI$62:$AI$100,$AY134)*求节点(基础状态预期!$D$62:$D$100,基础状态预期!$J$62:$J$100,$AY134)*$AB$49</f>
        <v>13320</v>
      </c>
      <c r="BB134" s="17">
        <f>求节点(基础状态预期!$D$107:$D$145,基础状态预期!$AI$107:$AI$145,$AY134)*求节点(基础状态预期!$D$107:$D$145,基础状态预期!$J$107:$J$145,$AY134)*$AB$49</f>
        <v>13320</v>
      </c>
      <c r="BC134" s="17">
        <f>求节点(基础状态预期!$D$152:$D$190,基础状态预期!$AI$152:$AI$190,$AY134)*求节点(基础状态预期!$D$62:$D$100,基础状态预期!$J$152:$J$190,$AY134)*$AB$49</f>
        <v>13320</v>
      </c>
      <c r="BD134" s="17">
        <f>求节点(基础状态预期!$D$197:$D$235,基础状态预期!$AI$197:$AI$235,$AY134)*求节点(基础状态预期!$D$197:$D$235,基础状态预期!$J$197:$J$235,$AY134)*$AB$49</f>
        <v>13320</v>
      </c>
    </row>
    <row r="135" spans="51:104" x14ac:dyDescent="0.15">
      <c r="AY135" s="17">
        <v>126</v>
      </c>
      <c r="AZ135" s="17">
        <f>求节点(基础状态预期!$D$17:$D$55,基础状态预期!$AI$17:$AI$55,$AY135)*求节点(基础状态预期!$D$17:$D$55,基础状态预期!$J$17:$J$55,$AY135)*$AB$49</f>
        <v>13320</v>
      </c>
      <c r="BA135" s="17">
        <f>求节点(基础状态预期!$D$62:$D$100,基础状态预期!$AI$62:$AI$100,$AY135)*求节点(基础状态预期!$D$62:$D$100,基础状态预期!$J$62:$J$100,$AY135)*$AB$49</f>
        <v>13320</v>
      </c>
      <c r="BB135" s="17">
        <f>求节点(基础状态预期!$D$107:$D$145,基础状态预期!$AI$107:$AI$145,$AY135)*求节点(基础状态预期!$D$107:$D$145,基础状态预期!$J$107:$J$145,$AY135)*$AB$49</f>
        <v>13320</v>
      </c>
      <c r="BC135" s="17">
        <f>求节点(基础状态预期!$D$152:$D$190,基础状态预期!$AI$152:$AI$190,$AY135)*求节点(基础状态预期!$D$62:$D$100,基础状态预期!$J$152:$J$190,$AY135)*$AB$49</f>
        <v>13320</v>
      </c>
      <c r="BD135" s="17">
        <f>求节点(基础状态预期!$D$197:$D$235,基础状态预期!$AI$197:$AI$235,$AY135)*求节点(基础状态预期!$D$197:$D$235,基础状态预期!$J$197:$J$235,$AY135)*$AB$49</f>
        <v>13320</v>
      </c>
    </row>
    <row r="136" spans="51:104" x14ac:dyDescent="0.15">
      <c r="AY136" s="17">
        <v>127</v>
      </c>
      <c r="AZ136" s="17">
        <f>求节点(基础状态预期!$D$17:$D$55,基础状态预期!$AI$17:$AI$55,$AY136)*求节点(基础状态预期!$D$17:$D$55,基础状态预期!$J$17:$J$55,$AY136)*$AB$49</f>
        <v>13320</v>
      </c>
      <c r="BA136" s="17">
        <f>求节点(基础状态预期!$D$62:$D$100,基础状态预期!$AI$62:$AI$100,$AY136)*求节点(基础状态预期!$D$62:$D$100,基础状态预期!$J$62:$J$100,$AY136)*$AB$49</f>
        <v>13320</v>
      </c>
      <c r="BB136" s="17">
        <f>求节点(基础状态预期!$D$107:$D$145,基础状态预期!$AI$107:$AI$145,$AY136)*求节点(基础状态预期!$D$107:$D$145,基础状态预期!$J$107:$J$145,$AY136)*$AB$49</f>
        <v>13320</v>
      </c>
      <c r="BC136" s="17">
        <f>求节点(基础状态预期!$D$152:$D$190,基础状态预期!$AI$152:$AI$190,$AY136)*求节点(基础状态预期!$D$62:$D$100,基础状态预期!$J$152:$J$190,$AY136)*$AB$49</f>
        <v>13320</v>
      </c>
      <c r="BD136" s="17">
        <f>求节点(基础状态预期!$D$197:$D$235,基础状态预期!$AI$197:$AI$235,$AY136)*求节点(基础状态预期!$D$197:$D$235,基础状态预期!$J$197:$J$235,$AY136)*$AB$49</f>
        <v>13320</v>
      </c>
    </row>
    <row r="137" spans="51:104" x14ac:dyDescent="0.15">
      <c r="AY137" s="17">
        <v>128</v>
      </c>
      <c r="AZ137" s="17">
        <f>求节点(基础状态预期!$D$17:$D$55,基础状态预期!$AI$17:$AI$55,$AY137)*求节点(基础状态预期!$D$17:$D$55,基础状态预期!$J$17:$J$55,$AY137)*$AB$49</f>
        <v>13320</v>
      </c>
      <c r="BA137" s="17">
        <f>求节点(基础状态预期!$D$62:$D$100,基础状态预期!$AI$62:$AI$100,$AY137)*求节点(基础状态预期!$D$62:$D$100,基础状态预期!$J$62:$J$100,$AY137)*$AB$49</f>
        <v>13320</v>
      </c>
      <c r="BB137" s="17">
        <f>求节点(基础状态预期!$D$107:$D$145,基础状态预期!$AI$107:$AI$145,$AY137)*求节点(基础状态预期!$D$107:$D$145,基础状态预期!$J$107:$J$145,$AY137)*$AB$49</f>
        <v>13320</v>
      </c>
      <c r="BC137" s="17">
        <f>求节点(基础状态预期!$D$152:$D$190,基础状态预期!$AI$152:$AI$190,$AY137)*求节点(基础状态预期!$D$62:$D$100,基础状态预期!$J$152:$J$190,$AY137)*$AB$49</f>
        <v>13320</v>
      </c>
      <c r="BD137" s="17">
        <f>求节点(基础状态预期!$D$197:$D$235,基础状态预期!$AI$197:$AI$235,$AY137)*求节点(基础状态预期!$D$197:$D$235,基础状态预期!$J$197:$J$235,$AY137)*$AB$49</f>
        <v>13320</v>
      </c>
      <c r="BQ137" s="29" t="s">
        <v>78</v>
      </c>
      <c r="BR137" s="161" t="s">
        <v>55</v>
      </c>
      <c r="BS137" s="162"/>
      <c r="BT137" s="162"/>
      <c r="BU137" s="162"/>
      <c r="BV137" s="162"/>
      <c r="BW137" s="162"/>
      <c r="BX137" s="162"/>
      <c r="BY137" s="162"/>
      <c r="BZ137" s="162"/>
      <c r="CA137" s="162"/>
      <c r="CB137" s="163"/>
      <c r="CC137" s="160" t="s">
        <v>342</v>
      </c>
      <c r="CD137" s="160"/>
      <c r="CE137" s="160"/>
      <c r="CF137" s="160"/>
      <c r="CG137" s="160"/>
      <c r="CH137" s="160"/>
      <c r="CI137" s="160"/>
      <c r="CJ137" s="160"/>
      <c r="CK137" s="160"/>
      <c r="CL137" s="160"/>
      <c r="CM137" s="160"/>
      <c r="CN137" s="160"/>
      <c r="CR137" s="29" t="s">
        <v>78</v>
      </c>
      <c r="CS137" s="160" t="s">
        <v>306</v>
      </c>
      <c r="CT137" s="160"/>
      <c r="CV137" s="29" t="s">
        <v>78</v>
      </c>
      <c r="CW137" s="160" t="s">
        <v>307</v>
      </c>
      <c r="CX137" s="160"/>
      <c r="CY137" s="160"/>
    </row>
    <row r="138" spans="51:104" x14ac:dyDescent="0.15">
      <c r="AY138" s="17">
        <v>129</v>
      </c>
      <c r="AZ138" s="17">
        <f>求节点(基础状态预期!$D$17:$D$55,基础状态预期!$AI$17:$AI$55,$AY138)*求节点(基础状态预期!$D$17:$D$55,基础状态预期!$J$17:$J$55,$AY138)*$AB$49</f>
        <v>13320</v>
      </c>
      <c r="BA138" s="17">
        <f>求节点(基础状态预期!$D$62:$D$100,基础状态预期!$AI$62:$AI$100,$AY138)*求节点(基础状态预期!$D$62:$D$100,基础状态预期!$J$62:$J$100,$AY138)*$AB$49</f>
        <v>13320</v>
      </c>
      <c r="BB138" s="17">
        <f>求节点(基础状态预期!$D$107:$D$145,基础状态预期!$AI$107:$AI$145,$AY138)*求节点(基础状态预期!$D$107:$D$145,基础状态预期!$J$107:$J$145,$AY138)*$AB$49</f>
        <v>13320</v>
      </c>
      <c r="BC138" s="17">
        <f>求节点(基础状态预期!$D$152:$D$190,基础状态预期!$AI$152:$AI$190,$AY138)*求节点(基础状态预期!$D$62:$D$100,基础状态预期!$J$152:$J$190,$AY138)*$AB$49</f>
        <v>13320</v>
      </c>
      <c r="BD138" s="17">
        <f>求节点(基础状态预期!$D$197:$D$235,基础状态预期!$AI$197:$AI$235,$AY138)*求节点(基础状态预期!$D$197:$D$235,基础状态预期!$J$197:$J$235,$AY138)*$AB$49</f>
        <v>13320</v>
      </c>
      <c r="BQ138" s="29" t="s">
        <v>478</v>
      </c>
      <c r="BR138" s="29" t="s">
        <v>152</v>
      </c>
      <c r="BS138" s="29" t="s">
        <v>835</v>
      </c>
      <c r="BT138" s="29" t="s">
        <v>836</v>
      </c>
      <c r="BU138" s="29" t="s">
        <v>837</v>
      </c>
      <c r="BV138" s="29" t="s">
        <v>838</v>
      </c>
      <c r="BW138" s="29" t="s">
        <v>839</v>
      </c>
      <c r="BX138" s="29" t="s">
        <v>840</v>
      </c>
      <c r="BY138" s="29" t="s">
        <v>841</v>
      </c>
      <c r="BZ138" s="29" t="s">
        <v>842</v>
      </c>
      <c r="CA138" s="29" t="s">
        <v>843</v>
      </c>
      <c r="CB138" s="29" t="s">
        <v>197</v>
      </c>
      <c r="CC138" s="29" t="s">
        <v>152</v>
      </c>
      <c r="CD138" s="29" t="s">
        <v>835</v>
      </c>
      <c r="CE138" s="29" t="s">
        <v>836</v>
      </c>
      <c r="CF138" s="29" t="s">
        <v>837</v>
      </c>
      <c r="CG138" s="29" t="s">
        <v>838</v>
      </c>
      <c r="CH138" s="29" t="s">
        <v>839</v>
      </c>
      <c r="CI138" s="29" t="s">
        <v>840</v>
      </c>
      <c r="CJ138" s="29" t="s">
        <v>841</v>
      </c>
      <c r="CK138" s="29" t="s">
        <v>842</v>
      </c>
      <c r="CL138" s="29" t="s">
        <v>843</v>
      </c>
      <c r="CM138" s="29" t="s">
        <v>197</v>
      </c>
      <c r="CN138" s="29" t="s">
        <v>343</v>
      </c>
      <c r="CR138" s="29" t="s">
        <v>478</v>
      </c>
      <c r="CS138" s="29" t="s">
        <v>844</v>
      </c>
      <c r="CT138" s="29" t="s">
        <v>845</v>
      </c>
      <c r="CV138" s="29" t="s">
        <v>478</v>
      </c>
      <c r="CW138" s="29" t="s">
        <v>304</v>
      </c>
      <c r="CX138" s="29"/>
      <c r="CY138" s="29"/>
      <c r="CZ138" s="29" t="s">
        <v>203</v>
      </c>
    </row>
    <row r="139" spans="51:104" x14ac:dyDescent="0.15">
      <c r="AY139" s="17">
        <v>130</v>
      </c>
      <c r="AZ139" s="17">
        <f>求节点(基础状态预期!$D$17:$D$55,基础状态预期!$AI$17:$AI$55,$AY139)*求节点(基础状态预期!$D$17:$D$55,基础状态预期!$J$17:$J$55,$AY139)*$AB$49</f>
        <v>13320</v>
      </c>
      <c r="BA139" s="17">
        <f>求节点(基础状态预期!$D$62:$D$100,基础状态预期!$AI$62:$AI$100,$AY139)*求节点(基础状态预期!$D$62:$D$100,基础状态预期!$J$62:$J$100,$AY139)*$AB$49</f>
        <v>13320</v>
      </c>
      <c r="BB139" s="17">
        <f>求节点(基础状态预期!$D$107:$D$145,基础状态预期!$AI$107:$AI$145,$AY139)*求节点(基础状态预期!$D$107:$D$145,基础状态预期!$J$107:$J$145,$AY139)*$AB$49</f>
        <v>13320</v>
      </c>
      <c r="BC139" s="17">
        <f>求节点(基础状态预期!$D$152:$D$190,基础状态预期!$AI$152:$AI$190,$AY139)*求节点(基础状态预期!$D$62:$D$100,基础状态预期!$J$152:$J$190,$AY139)*$AB$49</f>
        <v>13320</v>
      </c>
      <c r="BD139" s="17">
        <f>求节点(基础状态预期!$D$197:$D$235,基础状态预期!$AI$197:$AI$235,$AY139)*求节点(基础状态预期!$D$197:$D$235,基础状态预期!$J$197:$J$235,$AY139)*$AB$49</f>
        <v>13320</v>
      </c>
      <c r="BQ139" s="29">
        <v>10</v>
      </c>
      <c r="BR139" s="29">
        <f>求节点(基础状态预期!$D$17:$D$55,基础状态预期!$AI$17:$AI$55,$BQ139)*SUM($AR$6:$AT$6)/3</f>
        <v>0</v>
      </c>
      <c r="BS139" s="29">
        <f>求节点(基础状态预期!$D$17:$D$55,基础状态预期!$AI$17:$AI$55,$BQ139)*AH$6</f>
        <v>0</v>
      </c>
      <c r="BT139" s="145">
        <f>BS139</f>
        <v>0</v>
      </c>
      <c r="BU139" s="29">
        <f>求节点(基础状态预期!$D$17:$D$55,基础状态预期!$AI$17:$AI$55,$BQ139)*AI$6</f>
        <v>0</v>
      </c>
      <c r="BV139" s="145">
        <f>BU139</f>
        <v>0</v>
      </c>
      <c r="BW139" s="29">
        <f>求节点(基础状态预期!$D$17:$D$55,基础状态预期!$AI$17:$AI$55,$BQ139)*$AU$6</f>
        <v>0</v>
      </c>
      <c r="BX139" s="29">
        <f>求节点(基础状态预期!$D$17:$D$55,基础状态预期!$AI$17:$AI$55,$BQ139)*$AJ$6</f>
        <v>0</v>
      </c>
      <c r="BY139" s="145">
        <f t="shared" ref="BY139" si="100">BX139</f>
        <v>0</v>
      </c>
      <c r="BZ139" s="29">
        <f>求节点(基础状态预期!$D$17:$D$55,基础状态预期!$AI$17:$AI$55,$BQ139)*$AK$6</f>
        <v>0</v>
      </c>
      <c r="CA139" s="145">
        <f t="shared" ref="CA139" si="101">BZ139</f>
        <v>0</v>
      </c>
      <c r="CB139" s="29">
        <f>求节点(基础状态预期!$D$17:$D$55,基础状态预期!$AI$17:$AI$55,$BQ139)*$W$60</f>
        <v>0</v>
      </c>
      <c r="CC139" s="41">
        <f>$BR139*(INDEX([2]大r将兵属性验证!$V$7:$V$166,$BQ139,1)+INDEX([2]大r将兵属性验证!$AP$7:$AP$166,$BQ139,1))</f>
        <v>0</v>
      </c>
      <c r="CD139" s="41">
        <f>$BS139*INDEX([2]大r将兵属性验证!W$7:W$166,$BQ139,1)</f>
        <v>0</v>
      </c>
      <c r="CE139" s="41">
        <f>BT139*INDEX([2]大r将兵属性验证!X$7:X$166,$BQ139,1)</f>
        <v>0</v>
      </c>
      <c r="CF139" s="41">
        <f>BU139*INDEX([2]大r将兵属性验证!$AQ$7:$AQ$166,$BQ139)</f>
        <v>0</v>
      </c>
      <c r="CG139" s="41">
        <f>BV139*INDEX([2]大r将兵属性验证!$AR$7:$AR$166,$BQ139)</f>
        <v>0</v>
      </c>
      <c r="CH139" s="41">
        <f>BW139*INDEX([2]大r将兵属性验证!$AM$7:$AM$166,$BQ139,1)</f>
        <v>0</v>
      </c>
      <c r="CI139" s="41">
        <f>BX139*INDEX([2]大r将兵属性验证!$AA$7:$AA$166,$BQ139,1)</f>
        <v>0</v>
      </c>
      <c r="CJ139" s="41">
        <f>BY139*INDEX([2]大r将兵属性验证!$AB$7:$AB$166,$BQ139,1)</f>
        <v>0</v>
      </c>
      <c r="CK139" s="41">
        <f>BZ139*INDEX([2]大r将兵属性验证!$AU$7:$AU$166,$BQ139,1)</f>
        <v>0</v>
      </c>
      <c r="CL139" s="41">
        <f>CA139*INDEX([2]大r将兵属性验证!$AV$7:$AV$166,$BQ139,1)</f>
        <v>0</v>
      </c>
      <c r="CM139" s="41">
        <f>CB139*(INDEX([2]大r将兵属性验证!$AC$7:$AC$166,$BQ139,1)*[2]战法技能效用!$AH$4+INDEX([2]大r将兵属性验证!$AX$7:$AX$166,$BQ139,1)*[2]战法技能效用!$AI$4)</f>
        <v>0</v>
      </c>
      <c r="CN139" s="29">
        <f t="shared" ref="CN139:CN148" si="102">SUM(CC139:CM139)</f>
        <v>0</v>
      </c>
      <c r="CR139" s="29">
        <f>基础状态预期!D152</f>
        <v>10.00263241450434</v>
      </c>
      <c r="CS139" s="29">
        <f>IF(基础状态预期!AI152="",0,基础状态预期!AI152)*$AB$37*基础状态预期!J152</f>
        <v>0</v>
      </c>
      <c r="CT139" s="29">
        <f>CS139*武将数量星级阶位验证!$E$7*1.8</f>
        <v>0</v>
      </c>
      <c r="CV139" s="29">
        <v>10</v>
      </c>
      <c r="CW139" s="29">
        <f>求节点($CR$139:$CR$177,CT$139:CT$177,$CV139)</f>
        <v>0</v>
      </c>
      <c r="CX139" s="29"/>
      <c r="CY139" s="29"/>
      <c r="CZ139" s="29">
        <f>SUM(CW139:CY139)</f>
        <v>0</v>
      </c>
    </row>
    <row r="140" spans="51:104" x14ac:dyDescent="0.15">
      <c r="AY140" s="17">
        <v>131</v>
      </c>
      <c r="AZ140" s="17">
        <f>求节点(基础状态预期!$D$17:$D$55,基础状态预期!$AI$17:$AI$55,$AY140)*求节点(基础状态预期!$D$17:$D$55,基础状态预期!$J$17:$J$55,$AY140)*$AB$49</f>
        <v>13320</v>
      </c>
      <c r="BA140" s="17">
        <f>求节点(基础状态预期!$D$62:$D$100,基础状态预期!$AI$62:$AI$100,$AY140)*求节点(基础状态预期!$D$62:$D$100,基础状态预期!$J$62:$J$100,$AY140)*$AB$49</f>
        <v>13320</v>
      </c>
      <c r="BB140" s="17">
        <f>求节点(基础状态预期!$D$107:$D$145,基础状态预期!$AI$107:$AI$145,$AY140)*求节点(基础状态预期!$D$107:$D$145,基础状态预期!$J$107:$J$145,$AY140)*$AB$49</f>
        <v>13320</v>
      </c>
      <c r="BC140" s="17">
        <f>求节点(基础状态预期!$D$152:$D$190,基础状态预期!$AI$152:$AI$190,$AY140)*求节点(基础状态预期!$D$62:$D$100,基础状态预期!$J$152:$J$190,$AY140)*$AB$49</f>
        <v>13320</v>
      </c>
      <c r="BD140" s="17">
        <f>求节点(基础状态预期!$D$197:$D$235,基础状态预期!$AI$197:$AI$235,$AY140)*求节点(基础状态预期!$D$197:$D$235,基础状态预期!$J$197:$J$235,$AY140)*$AB$49</f>
        <v>13320</v>
      </c>
      <c r="BQ140" s="29">
        <v>20</v>
      </c>
      <c r="BR140" s="29">
        <f>求节点(基础状态预期!$D$17:$D$55,基础状态预期!$AI$17:$AI$55,$BQ140)*SUM($AR$6:$AT$6)/3</f>
        <v>0</v>
      </c>
      <c r="BS140" s="29">
        <f>求节点(基础状态预期!$D$17:$D$55,基础状态预期!$AI$17:$AI$55,$BQ140)*AH$6</f>
        <v>0</v>
      </c>
      <c r="BT140" s="145">
        <f t="shared" ref="BT140:BT154" si="103">BS140</f>
        <v>0</v>
      </c>
      <c r="BU140" s="29">
        <f>求节点(基础状态预期!$D$17:$D$55,基础状态预期!$AI$17:$AI$55,$BQ140)*AI$6</f>
        <v>0</v>
      </c>
      <c r="BV140" s="145">
        <f t="shared" ref="BV140:BV154" si="104">BU140</f>
        <v>0</v>
      </c>
      <c r="BW140" s="29">
        <f>求节点(基础状态预期!$D$17:$D$55,基础状态预期!$AI$17:$AI$55,$BQ140)*$AU$6</f>
        <v>0</v>
      </c>
      <c r="BX140" s="29">
        <f>求节点(基础状态预期!$D$17:$D$55,基础状态预期!$AI$17:$AI$55,$BQ140)*$AJ$6</f>
        <v>0</v>
      </c>
      <c r="BY140" s="145">
        <f t="shared" ref="BY140" si="105">BX140</f>
        <v>0</v>
      </c>
      <c r="BZ140" s="29">
        <f>求节点(基础状态预期!$D$17:$D$55,基础状态预期!$AI$17:$AI$55,$BQ140)*$AK$6</f>
        <v>0</v>
      </c>
      <c r="CA140" s="145">
        <f t="shared" ref="CA140" si="106">BZ140</f>
        <v>0</v>
      </c>
      <c r="CB140" s="29">
        <f>求节点(基础状态预期!$D$17:$D$55,基础状态预期!$AI$17:$AI$55,$BQ140)*$W$60</f>
        <v>0</v>
      </c>
      <c r="CC140" s="29">
        <f>($BR140-$BR139)*(INDEX([2]大r将兵属性验证!$V$7:$V$166,$BQ140,1)+INDEX([2]大r将兵属性验证!$AP$7:$AP$166,$BQ140,1))+CC139</f>
        <v>0</v>
      </c>
      <c r="CD140" s="29">
        <f>($BS140-$BS139)*INDEX([2]大r将兵属性验证!W$7:W$166,$BQ140,1)+CD139</f>
        <v>0</v>
      </c>
      <c r="CE140" s="29">
        <f>(BT140-$BT139)*INDEX([2]大r将兵属性验证!X$7:X$166,$BQ140,1)+CE139</f>
        <v>0</v>
      </c>
      <c r="CF140" s="29">
        <f>(BU140-BU139)*INDEX([2]大r将兵属性验证!$AQ$7:$AQ$166,$BQ140)+CF139</f>
        <v>0</v>
      </c>
      <c r="CG140" s="29">
        <f>(BV140-BV139)*INDEX([2]大r将兵属性验证!$AR$7:$AR$166,$BQ140)+CG139</f>
        <v>0</v>
      </c>
      <c r="CH140" s="29">
        <f>(BW140-BW139)*INDEX([2]大r将兵属性验证!$AM$7:$AM$166,$BQ140,1)+CH139</f>
        <v>0</v>
      </c>
      <c r="CI140" s="29">
        <f>(BX140-BX139)*INDEX([2]大r将兵属性验证!$AA$7:$AA$166,$BQ140,1)+CI139</f>
        <v>0</v>
      </c>
      <c r="CJ140" s="29">
        <f>(BY140-BY139)*INDEX([2]大r将兵属性验证!$AB$7:$AB$166,$BQ140,1)+CJ139</f>
        <v>0</v>
      </c>
      <c r="CK140" s="29">
        <f>(BZ140-BZ139)*INDEX([2]大r将兵属性验证!$AU$7:$AU$166,$BQ140,1)+CK139</f>
        <v>0</v>
      </c>
      <c r="CL140" s="29">
        <f>(CA140-CA139)*INDEX([2]大r将兵属性验证!$AV$7:$AV$166,$BQ140,1)+CL139</f>
        <v>0</v>
      </c>
      <c r="CM140" s="29">
        <f>(CB140-CB139)*(INDEX([2]大r将兵属性验证!$AC$7:$AC$166,$BQ140,1)*[2]战法技能效用!$AH$4+INDEX([2]大r将兵属性验证!$AX$7:$AX$166,$BQ140,1)*[2]战法技能效用!$AI$4)+CM139</f>
        <v>0</v>
      </c>
      <c r="CN140" s="29">
        <f t="shared" si="102"/>
        <v>0</v>
      </c>
      <c r="CR140" s="29">
        <f>基础状态预期!D153</f>
        <v>19.43005414991557</v>
      </c>
      <c r="CS140" s="29">
        <f>IF(基础状态预期!AI153="",0,基础状态预期!AI153)*$AB$37*基础状态预期!J153</f>
        <v>0</v>
      </c>
      <c r="CT140" s="29">
        <f>CS140*武将数量星级阶位验证!$E$7*1.8</f>
        <v>0</v>
      </c>
      <c r="CV140" s="29">
        <v>20</v>
      </c>
      <c r="CW140" s="29">
        <f t="shared" ref="CW140:CW154" si="107">求节点($CR$139:$CR$177,CT$139:CT$177,$CV140)</f>
        <v>0</v>
      </c>
      <c r="CX140" s="29"/>
      <c r="CY140" s="29"/>
      <c r="CZ140" s="29">
        <f t="shared" ref="CZ140:CZ148" si="108">SUM(CW140:CY140)</f>
        <v>0</v>
      </c>
    </row>
    <row r="141" spans="51:104" x14ac:dyDescent="0.15">
      <c r="AY141" s="17">
        <v>132</v>
      </c>
      <c r="AZ141" s="17">
        <f>求节点(基础状态预期!$D$17:$D$55,基础状态预期!$AI$17:$AI$55,$AY141)*求节点(基础状态预期!$D$17:$D$55,基础状态预期!$J$17:$J$55,$AY141)*$AB$49</f>
        <v>13320</v>
      </c>
      <c r="BA141" s="17">
        <f>求节点(基础状态预期!$D$62:$D$100,基础状态预期!$AI$62:$AI$100,$AY141)*求节点(基础状态预期!$D$62:$D$100,基础状态预期!$J$62:$J$100,$AY141)*$AB$49</f>
        <v>13320</v>
      </c>
      <c r="BB141" s="17">
        <f>求节点(基础状态预期!$D$107:$D$145,基础状态预期!$AI$107:$AI$145,$AY141)*求节点(基础状态预期!$D$107:$D$145,基础状态预期!$J$107:$J$145,$AY141)*$AB$49</f>
        <v>13320</v>
      </c>
      <c r="BC141" s="17">
        <f>求节点(基础状态预期!$D$152:$D$190,基础状态预期!$AI$152:$AI$190,$AY141)*求节点(基础状态预期!$D$62:$D$100,基础状态预期!$J$152:$J$190,$AY141)*$AB$49</f>
        <v>13320</v>
      </c>
      <c r="BD141" s="17">
        <f>求节点(基础状态预期!$D$197:$D$235,基础状态预期!$AI$197:$AI$235,$AY141)*求节点(基础状态预期!$D$197:$D$235,基础状态预期!$J$197:$J$235,$AY141)*$AB$49</f>
        <v>13320</v>
      </c>
      <c r="BQ141" s="29">
        <v>30</v>
      </c>
      <c r="BR141" s="29">
        <f>求节点(基础状态预期!$D$17:$D$55,基础状态预期!$AI$17:$AI$55,$BQ141)*SUM($AR$6:$AT$6)/3</f>
        <v>0</v>
      </c>
      <c r="BS141" s="29">
        <f>求节点(基础状态预期!$D$17:$D$55,基础状态预期!$AI$17:$AI$55,$BQ141)*AH$6</f>
        <v>0</v>
      </c>
      <c r="BT141" s="145">
        <f t="shared" si="103"/>
        <v>0</v>
      </c>
      <c r="BU141" s="29">
        <f>求节点(基础状态预期!$D$17:$D$55,基础状态预期!$AI$17:$AI$55,$BQ141)*AI$6</f>
        <v>0</v>
      </c>
      <c r="BV141" s="145">
        <f t="shared" si="104"/>
        <v>0</v>
      </c>
      <c r="BW141" s="29">
        <f>求节点(基础状态预期!$D$17:$D$55,基础状态预期!$AI$17:$AI$55,$BQ141)*$AU$6</f>
        <v>0</v>
      </c>
      <c r="BX141" s="29">
        <f>求节点(基础状态预期!$D$17:$D$55,基础状态预期!$AI$17:$AI$55,$BQ141)*$AJ$6</f>
        <v>0</v>
      </c>
      <c r="BY141" s="145">
        <f t="shared" ref="BY141" si="109">BX141</f>
        <v>0</v>
      </c>
      <c r="BZ141" s="29">
        <f>求节点(基础状态预期!$D$17:$D$55,基础状态预期!$AI$17:$AI$55,$BQ141)*$AK$6</f>
        <v>0</v>
      </c>
      <c r="CA141" s="145">
        <f t="shared" ref="CA141" si="110">BZ141</f>
        <v>0</v>
      </c>
      <c r="CB141" s="29">
        <f>求节点(基础状态预期!$D$17:$D$55,基础状态预期!$AI$17:$AI$55,$BQ141)*$W$60</f>
        <v>0</v>
      </c>
      <c r="CC141" s="29">
        <f>($BR141-$BR140)*(INDEX([2]大r将兵属性验证!$V$7:$V$166,$BQ141,1)+INDEX([2]大r将兵属性验证!$AP$7:$AP$166,$BQ141,1))+CC140</f>
        <v>0</v>
      </c>
      <c r="CD141" s="29">
        <f>($BS141-$BS140)*INDEX([2]大r将兵属性验证!W$7:W$166,$BQ141,1)+CD140</f>
        <v>0</v>
      </c>
      <c r="CE141" s="29">
        <f>(BT141-$BT140)*INDEX([2]大r将兵属性验证!X$7:X$166,$BQ141,1)+CE140</f>
        <v>0</v>
      </c>
      <c r="CF141" s="29">
        <f>(BU141-BU140)*INDEX([2]大r将兵属性验证!$AQ$7:$AQ$166,$BQ141)+CF140</f>
        <v>0</v>
      </c>
      <c r="CG141" s="29">
        <f>(BV141-BV140)*INDEX([2]大r将兵属性验证!$AR$7:$AR$166,$BQ141)+CG140</f>
        <v>0</v>
      </c>
      <c r="CH141" s="29">
        <f>(BW141-BW140)*INDEX([2]大r将兵属性验证!$AM$7:$AM$166,$BQ141,1)+CH140</f>
        <v>0</v>
      </c>
      <c r="CI141" s="29">
        <f>(BX141-BX140)*INDEX([2]大r将兵属性验证!$AA$7:$AA$166,$BQ141,1)+CI140</f>
        <v>0</v>
      </c>
      <c r="CJ141" s="29">
        <f>(BY141-BY140)*INDEX([2]大r将兵属性验证!$AB$7:$AB$166,$BQ141,1)+CJ140</f>
        <v>0</v>
      </c>
      <c r="CK141" s="29">
        <f>(BZ141-BZ140)*INDEX([2]大r将兵属性验证!$AU$7:$AU$166,$BQ141,1)+CK140</f>
        <v>0</v>
      </c>
      <c r="CL141" s="29">
        <f>(CA141-CA140)*INDEX([2]大r将兵属性验证!$AV$7:$AV$166,$BQ141,1)+CL140</f>
        <v>0</v>
      </c>
      <c r="CM141" s="29">
        <f>(CB141-CB140)*(INDEX([2]大r将兵属性验证!$AC$7:$AC$166,$BQ141,1)*[2]战法技能效用!$AH$4+INDEX([2]大r将兵属性验证!$AX$7:$AX$166,$BQ141,1)*[2]战法技能效用!$AI$4)+CM140</f>
        <v>0</v>
      </c>
      <c r="CN141" s="29">
        <f t="shared" si="102"/>
        <v>0</v>
      </c>
      <c r="CR141" s="29">
        <f>基础状态预期!D154</f>
        <v>27.324610510337703</v>
      </c>
      <c r="CS141" s="29">
        <f>IF(基础状态预期!AI154="",0,基础状态预期!AI154)*$AB$37*基础状态预期!J154</f>
        <v>0</v>
      </c>
      <c r="CT141" s="29">
        <f>CS141*武将数量星级阶位验证!$E$7*1.8</f>
        <v>0</v>
      </c>
      <c r="CV141" s="29">
        <v>30</v>
      </c>
      <c r="CW141" s="29">
        <f t="shared" si="107"/>
        <v>0</v>
      </c>
      <c r="CX141" s="29"/>
      <c r="CY141" s="29"/>
      <c r="CZ141" s="29">
        <f t="shared" si="108"/>
        <v>0</v>
      </c>
    </row>
    <row r="142" spans="51:104" x14ac:dyDescent="0.15">
      <c r="AY142" s="17">
        <v>133</v>
      </c>
      <c r="AZ142" s="17">
        <f>求节点(基础状态预期!$D$17:$D$55,基础状态预期!$AI$17:$AI$55,$AY142)*求节点(基础状态预期!$D$17:$D$55,基础状态预期!$J$17:$J$55,$AY142)*$AB$49</f>
        <v>13320</v>
      </c>
      <c r="BA142" s="17">
        <f>求节点(基础状态预期!$D$62:$D$100,基础状态预期!$AI$62:$AI$100,$AY142)*求节点(基础状态预期!$D$62:$D$100,基础状态预期!$J$62:$J$100,$AY142)*$AB$49</f>
        <v>13320</v>
      </c>
      <c r="BB142" s="17">
        <f>求节点(基础状态预期!$D$107:$D$145,基础状态预期!$AI$107:$AI$145,$AY142)*求节点(基础状态预期!$D$107:$D$145,基础状态预期!$J$107:$J$145,$AY142)*$AB$49</f>
        <v>13320</v>
      </c>
      <c r="BC142" s="17">
        <f>求节点(基础状态预期!$D$152:$D$190,基础状态预期!$AI$152:$AI$190,$AY142)*求节点(基础状态预期!$D$62:$D$100,基础状态预期!$J$152:$J$190,$AY142)*$AB$49</f>
        <v>13320</v>
      </c>
      <c r="BD142" s="17">
        <f>求节点(基础状态预期!$D$197:$D$235,基础状态预期!$AI$197:$AI$235,$AY142)*求节点(基础状态预期!$D$197:$D$235,基础状态预期!$J$197:$J$235,$AY142)*$AB$49</f>
        <v>13320</v>
      </c>
      <c r="BQ142" s="29">
        <v>40</v>
      </c>
      <c r="BR142" s="29">
        <f>求节点(基础状态预期!$D$17:$D$55,基础状态预期!$AI$17:$AI$55,$BQ142)*SUM($AR$6:$AT$6)/3</f>
        <v>0</v>
      </c>
      <c r="BS142" s="29">
        <f>求节点(基础状态预期!$D$17:$D$55,基础状态预期!$AI$17:$AI$55,$BQ142)*AH$6</f>
        <v>0</v>
      </c>
      <c r="BT142" s="145">
        <f t="shared" si="103"/>
        <v>0</v>
      </c>
      <c r="BU142" s="29">
        <f>求节点(基础状态预期!$D$17:$D$55,基础状态预期!$AI$17:$AI$55,$BQ142)*AI$6</f>
        <v>0</v>
      </c>
      <c r="BV142" s="145">
        <f t="shared" si="104"/>
        <v>0</v>
      </c>
      <c r="BW142" s="29">
        <f>求节点(基础状态预期!$D$17:$D$55,基础状态预期!$AI$17:$AI$55,$BQ142)*$AU$6</f>
        <v>0</v>
      </c>
      <c r="BX142" s="29">
        <f>求节点(基础状态预期!$D$17:$D$55,基础状态预期!$AI$17:$AI$55,$BQ142)*$AJ$6</f>
        <v>0</v>
      </c>
      <c r="BY142" s="145">
        <f t="shared" ref="BY142" si="111">BX142</f>
        <v>0</v>
      </c>
      <c r="BZ142" s="29">
        <f>求节点(基础状态预期!$D$17:$D$55,基础状态预期!$AI$17:$AI$55,$BQ142)*$AK$6</f>
        <v>0</v>
      </c>
      <c r="CA142" s="145">
        <f t="shared" ref="CA142" si="112">BZ142</f>
        <v>0</v>
      </c>
      <c r="CB142" s="29">
        <f>求节点(基础状态预期!$D$17:$D$55,基础状态预期!$AI$17:$AI$55,$BQ142)*$W$60</f>
        <v>0</v>
      </c>
      <c r="CC142" s="29">
        <f>($BR142-$BR141)*(INDEX([2]大r将兵属性验证!$V$7:$V$166,$BQ142,1)+INDEX([2]大r将兵属性验证!$AP$7:$AP$166,$BQ142,1))+CC141</f>
        <v>0</v>
      </c>
      <c r="CD142" s="29">
        <f>($BS142-$BS141)*INDEX([2]大r将兵属性验证!W$7:W$166,$BQ142,1)+CD141</f>
        <v>0</v>
      </c>
      <c r="CE142" s="29">
        <f>(BT142-$BT141)*INDEX([2]大r将兵属性验证!X$7:X$166,$BQ142,1)+CE141</f>
        <v>0</v>
      </c>
      <c r="CF142" s="29">
        <f>(BU142-BU141)*INDEX([2]大r将兵属性验证!$AQ$7:$AQ$166,$BQ142)+CF141</f>
        <v>0</v>
      </c>
      <c r="CG142" s="29">
        <f>(BV142-BV141)*INDEX([2]大r将兵属性验证!$AR$7:$AR$166,$BQ142)+CG141</f>
        <v>0</v>
      </c>
      <c r="CH142" s="29">
        <f>(BW142-BW141)*INDEX([2]大r将兵属性验证!$AM$7:$AM$166,$BQ142,1)+CH141</f>
        <v>0</v>
      </c>
      <c r="CI142" s="29">
        <f>(BX142-BX141)*INDEX([2]大r将兵属性验证!$AA$7:$AA$166,$BQ142,1)+CI141</f>
        <v>0</v>
      </c>
      <c r="CJ142" s="29">
        <f>(BY142-BY141)*INDEX([2]大r将兵属性验证!$AB$7:$AB$166,$BQ142,1)+CJ141</f>
        <v>0</v>
      </c>
      <c r="CK142" s="29">
        <f>(BZ142-BZ141)*INDEX([2]大r将兵属性验证!$AU$7:$AU$166,$BQ142,1)+CK141</f>
        <v>0</v>
      </c>
      <c r="CL142" s="29">
        <f>(CA142-CA141)*INDEX([2]大r将兵属性验证!$AV$7:$AV$166,$BQ142,1)+CL141</f>
        <v>0</v>
      </c>
      <c r="CM142" s="29">
        <f>(CB142-CB141)*(INDEX([2]大r将兵属性验证!$AC$7:$AC$166,$BQ142,1)*[2]战法技能效用!$AH$4+INDEX([2]大r将兵属性验证!$AX$7:$AX$166,$BQ142,1)*[2]战法技能效用!$AI$4)+CM141</f>
        <v>0</v>
      </c>
      <c r="CN142" s="29">
        <f t="shared" si="102"/>
        <v>0</v>
      </c>
      <c r="CR142" s="29">
        <f>基础状态预期!D155</f>
        <v>33.672145166817529</v>
      </c>
      <c r="CS142" s="29">
        <f>IF(基础状态预期!AI155="",0,基础状态预期!AI155)*$AB$37*基础状态预期!J155</f>
        <v>0</v>
      </c>
      <c r="CT142" s="29">
        <f>CS142*武将数量星级阶位验证!$E$7*1.8</f>
        <v>0</v>
      </c>
      <c r="CV142" s="29">
        <v>40</v>
      </c>
      <c r="CW142" s="29">
        <f t="shared" si="107"/>
        <v>0</v>
      </c>
      <c r="CX142" s="29"/>
      <c r="CY142" s="29"/>
      <c r="CZ142" s="29">
        <f t="shared" si="108"/>
        <v>0</v>
      </c>
    </row>
    <row r="143" spans="51:104" x14ac:dyDescent="0.15">
      <c r="AY143" s="17">
        <v>134</v>
      </c>
      <c r="AZ143" s="17">
        <f>求节点(基础状态预期!$D$17:$D$55,基础状态预期!$AI$17:$AI$55,$AY143)*求节点(基础状态预期!$D$17:$D$55,基础状态预期!$J$17:$J$55,$AY143)*$AB$49</f>
        <v>13320</v>
      </c>
      <c r="BA143" s="17">
        <f>求节点(基础状态预期!$D$62:$D$100,基础状态预期!$AI$62:$AI$100,$AY143)*求节点(基础状态预期!$D$62:$D$100,基础状态预期!$J$62:$J$100,$AY143)*$AB$49</f>
        <v>13320</v>
      </c>
      <c r="BB143" s="17">
        <f>求节点(基础状态预期!$D$107:$D$145,基础状态预期!$AI$107:$AI$145,$AY143)*求节点(基础状态预期!$D$107:$D$145,基础状态预期!$J$107:$J$145,$AY143)*$AB$49</f>
        <v>13320</v>
      </c>
      <c r="BC143" s="17">
        <f>求节点(基础状态预期!$D$152:$D$190,基础状态预期!$AI$152:$AI$190,$AY143)*求节点(基础状态预期!$D$62:$D$100,基础状态预期!$J$152:$J$190,$AY143)*$AB$49</f>
        <v>13320</v>
      </c>
      <c r="BD143" s="17">
        <f>求节点(基础状态预期!$D$197:$D$235,基础状态预期!$AI$197:$AI$235,$AY143)*求节点(基础状态预期!$D$197:$D$235,基础状态预期!$J$197:$J$235,$AY143)*$AB$49</f>
        <v>13320</v>
      </c>
      <c r="BQ143" s="29">
        <v>50</v>
      </c>
      <c r="BR143" s="29">
        <f>求节点(基础状态预期!$D$17:$D$55,基础状态预期!$AI$17:$AI$55,$BQ143)*SUM($AR$6:$AT$6)/3</f>
        <v>1.7400591500465808E-2</v>
      </c>
      <c r="BS143" s="29">
        <f>求节点(基础状态预期!$D$17:$D$55,基础状态预期!$AI$17:$AI$55,$BQ143)*AH$6</f>
        <v>1.087536968779113</v>
      </c>
      <c r="BT143" s="145">
        <f t="shared" si="103"/>
        <v>1.087536968779113</v>
      </c>
      <c r="BU143" s="29">
        <f>求节点(基础状态预期!$D$17:$D$55,基础状态预期!$AI$17:$AI$55,$BQ143)*AI$6</f>
        <v>5.2201774501397423E-2</v>
      </c>
      <c r="BV143" s="145">
        <f t="shared" si="104"/>
        <v>5.2201774501397423E-2</v>
      </c>
      <c r="BW143" s="29">
        <f>求节点(基础状态预期!$D$17:$D$55,基础状态预期!$AI$17:$AI$55,$BQ143)*$AU$6</f>
        <v>0.21750739375582259</v>
      </c>
      <c r="BX143" s="29">
        <f>求节点(基础状态预期!$D$17:$D$55,基础状态预期!$AI$17:$AI$55,$BQ143)*$AJ$6</f>
        <v>5.220177450139742E-5</v>
      </c>
      <c r="BY143" s="145">
        <f t="shared" ref="BY143" si="113">BX143</f>
        <v>5.220177450139742E-5</v>
      </c>
      <c r="BZ143" s="29">
        <f>求节点(基础状态预期!$D$17:$D$55,基础状态预期!$AI$17:$AI$55,$BQ143)*$AK$6</f>
        <v>4.3501478751164522E-5</v>
      </c>
      <c r="CA143" s="145">
        <f t="shared" ref="CA143" si="114">BZ143</f>
        <v>4.3501478751164522E-5</v>
      </c>
      <c r="CB143" s="29">
        <f>求节点(基础状态预期!$D$17:$D$55,基础状态预期!$AI$17:$AI$55,$BQ143)*$W$60</f>
        <v>2.6100887250698714E-4</v>
      </c>
      <c r="CC143" s="29">
        <f>($BR143-$BR142)*(INDEX([2]大r将兵属性验证!$V$7:$V$166,$BQ143,1)+INDEX([2]大r将兵属性验证!$AP$7:$AP$166,$BQ143,1))+CC142</f>
        <v>450848.37685226899</v>
      </c>
      <c r="CD143" s="29">
        <f>($BS143-$BS142)*INDEX([2]大r将兵属性验证!W$7:W$166,$BQ143,1)+CD142</f>
        <v>377168.51082416857</v>
      </c>
      <c r="CE143" s="29">
        <f>(BT143-$BT142)*INDEX([2]大r将兵属性验证!X$7:X$166,$BQ143,1)+CE142</f>
        <v>377168.51082416857</v>
      </c>
      <c r="CF143" s="29">
        <f>(BU143-BU142)*INDEX([2]大r将兵属性验证!$AQ$7:$AQ$166,$BQ143)+CF142</f>
        <v>154131.55061860694</v>
      </c>
      <c r="CG143" s="29">
        <f>(BV143-BV142)*INDEX([2]大r将兵属性验证!$AR$7:$AR$166,$BQ143)+CG142</f>
        <v>154131.55061860694</v>
      </c>
      <c r="CH143" s="29">
        <f>(BW143-BW142)*INDEX([2]大r将兵属性验证!$AM$7:$AM$166,$BQ143,1)+CH142</f>
        <v>1112.6460395459178</v>
      </c>
      <c r="CI143" s="29">
        <f>(BX143-BX142)*INDEX([2]大r将兵属性验证!$AA$7:$AA$166,$BQ143,1)+CI142</f>
        <v>133171.67756712413</v>
      </c>
      <c r="CJ143" s="29">
        <f>(BY143-BY142)*INDEX([2]大r将兵属性验证!$AB$7:$AB$166,$BQ143,1)+CJ142</f>
        <v>133171.67756712413</v>
      </c>
      <c r="CK143" s="29">
        <f>(BZ143-BZ142)*INDEX([2]大r将兵属性验证!$AU$7:$AU$166,$BQ143,1)+CK142</f>
        <v>68469.905849843621</v>
      </c>
      <c r="CL143" s="29">
        <f>(CA143-CA142)*INDEX([2]大r将兵属性验证!$AV$7:$AV$166,$BQ143,1)+CL142</f>
        <v>68469.905849843621</v>
      </c>
      <c r="CM143" s="29">
        <f>(CB143-CB142)*(INDEX([2]大r将兵属性验证!$AC$7:$AC$166,$BQ143,1)*[2]战法技能效用!$AH$4+INDEX([2]大r将兵属性验证!$AX$7:$AX$166,$BQ143,1)*[2]战法技能效用!$AI$4)+CM142</f>
        <v>597444.04914363939</v>
      </c>
      <c r="CN143" s="29">
        <f t="shared" si="102"/>
        <v>2515288.3617549408</v>
      </c>
      <c r="CR143" s="29">
        <f>基础状态预期!D156</f>
        <v>39.138098927718012</v>
      </c>
      <c r="CS143" s="29">
        <f>IF(基础状态预期!AI156="",0,基础状态预期!AI156)*$AB$37*基础状态预期!J156</f>
        <v>0</v>
      </c>
      <c r="CT143" s="29">
        <f>CS143*武将数量星级阶位验证!$E$7*1.8</f>
        <v>0</v>
      </c>
      <c r="CV143" s="29">
        <v>50</v>
      </c>
      <c r="CW143" s="29">
        <f t="shared" si="107"/>
        <v>390.4278152153521</v>
      </c>
      <c r="CX143" s="29"/>
      <c r="CY143" s="29"/>
      <c r="CZ143" s="29">
        <f t="shared" si="108"/>
        <v>390.4278152153521</v>
      </c>
    </row>
    <row r="144" spans="51:104" x14ac:dyDescent="0.15">
      <c r="AY144" s="17">
        <v>135</v>
      </c>
      <c r="AZ144" s="17">
        <f>求节点(基础状态预期!$D$17:$D$55,基础状态预期!$AI$17:$AI$55,$AY144)*求节点(基础状态预期!$D$17:$D$55,基础状态预期!$J$17:$J$55,$AY144)*$AB$49</f>
        <v>13320</v>
      </c>
      <c r="BA144" s="17">
        <f>求节点(基础状态预期!$D$62:$D$100,基础状态预期!$AI$62:$AI$100,$AY144)*求节点(基础状态预期!$D$62:$D$100,基础状态预期!$J$62:$J$100,$AY144)*$AB$49</f>
        <v>13320</v>
      </c>
      <c r="BB144" s="17">
        <f>求节点(基础状态预期!$D$107:$D$145,基础状态预期!$AI$107:$AI$145,$AY144)*求节点(基础状态预期!$D$107:$D$145,基础状态预期!$J$107:$J$145,$AY144)*$AB$49</f>
        <v>13320</v>
      </c>
      <c r="BC144" s="17">
        <f>求节点(基础状态预期!$D$152:$D$190,基础状态预期!$AI$152:$AI$190,$AY144)*求节点(基础状态预期!$D$62:$D$100,基础状态预期!$J$152:$J$190,$AY144)*$AB$49</f>
        <v>13320</v>
      </c>
      <c r="BD144" s="17">
        <f>求节点(基础状态预期!$D$197:$D$235,基础状态预期!$AI$197:$AI$235,$AY144)*求节点(基础状态预期!$D$197:$D$235,基础状态预期!$J$197:$J$235,$AY144)*$AB$49</f>
        <v>13320</v>
      </c>
      <c r="BQ144" s="29">
        <v>60</v>
      </c>
      <c r="BR144" s="29">
        <f>求节点(基础状态预期!$D$17:$D$55,基础状态预期!$AI$17:$AI$55,$BQ144)*SUM($AR$6:$AT$6)/3</f>
        <v>0.35447301003177478</v>
      </c>
      <c r="BS144" s="29">
        <f>求节点(基础状态预期!$D$17:$D$55,基础状态预期!$AI$17:$AI$55,$BQ144)*AH$6</f>
        <v>22.154563126985924</v>
      </c>
      <c r="BT144" s="145">
        <f t="shared" si="103"/>
        <v>22.154563126985924</v>
      </c>
      <c r="BU144" s="29">
        <f>求节点(基础状态预期!$D$17:$D$55,基础状态预期!$AI$17:$AI$55,$BQ144)*AI$6</f>
        <v>1.0634190300953243</v>
      </c>
      <c r="BV144" s="145">
        <f t="shared" si="104"/>
        <v>1.0634190300953243</v>
      </c>
      <c r="BW144" s="29">
        <f>求节点(基础状态预期!$D$17:$D$55,基础状态预期!$AI$17:$AI$55,$BQ144)*$AU$6</f>
        <v>4.4309126253971849</v>
      </c>
      <c r="BX144" s="29">
        <f>求节点(基础状态预期!$D$17:$D$55,基础状态预期!$AI$17:$AI$55,$BQ144)*$AJ$6</f>
        <v>1.0634190300953244E-3</v>
      </c>
      <c r="BY144" s="145">
        <f t="shared" ref="BY144" si="115">BX144</f>
        <v>1.0634190300953244E-3</v>
      </c>
      <c r="BZ144" s="29">
        <f>求节点(基础状态预期!$D$17:$D$55,基础状态预期!$AI$17:$AI$55,$BQ144)*$AK$6</f>
        <v>8.8618252507943708E-4</v>
      </c>
      <c r="CA144" s="145">
        <f t="shared" ref="CA144" si="116">BZ144</f>
        <v>8.8618252507943708E-4</v>
      </c>
      <c r="CB144" s="29">
        <f>求节点(基础状态预期!$D$17:$D$55,基础状态预期!$AI$17:$AI$55,$BQ144)*$W$60</f>
        <v>5.3170951504766225E-3</v>
      </c>
      <c r="CC144" s="29">
        <f>($BR144-$BR143)*(INDEX([2]大r将兵属性验证!$V$7:$V$166,$BQ144,1)+INDEX([2]大r将兵属性验证!$AP$7:$AP$166,$BQ144,1))+CC143</f>
        <v>21076626.274925236</v>
      </c>
      <c r="CD144" s="29">
        <f>($BS144-$BS143)*INDEX([2]大r将兵属性验证!W$7:W$166,$BQ144,1)+CD143</f>
        <v>16147263.455859907</v>
      </c>
      <c r="CE144" s="29">
        <f>(BT144-$BT143)*INDEX([2]大r将兵属性验证!X$7:X$166,$BQ144,1)+CE143</f>
        <v>16147263.455859907</v>
      </c>
      <c r="CF144" s="29">
        <f>(BU144-BU143)*INDEX([2]大r将兵属性验证!$AQ$7:$AQ$166,$BQ144)+CF143</f>
        <v>7912584.2995992796</v>
      </c>
      <c r="CG144" s="29">
        <f>(BV144-BV143)*INDEX([2]大r将兵属性验证!$AR$7:$AR$166,$BQ144)+CG143</f>
        <v>7912584.2995992796</v>
      </c>
      <c r="CH144" s="29">
        <f>(BW144-BW143)*INDEX([2]大r将兵属性验证!$AM$7:$AM$166,$BQ144,1)+CH143</f>
        <v>25380.537630544753</v>
      </c>
      <c r="CI144" s="29">
        <f>(BX144-BX143)*INDEX([2]大r将兵属性验证!$AA$7:$AA$166,$BQ144,1)+CI143</f>
        <v>7800709.7202944076</v>
      </c>
      <c r="CJ144" s="29">
        <f>(BY144-BY143)*INDEX([2]大r将兵属性验证!$AB$7:$AB$166,$BQ144,1)+CJ143</f>
        <v>7800709.7202944076</v>
      </c>
      <c r="CK144" s="29">
        <f>(BZ144-BZ143)*INDEX([2]大r将兵属性验证!$AU$7:$AU$166,$BQ144,1)+CK143</f>
        <v>4233332.0272436822</v>
      </c>
      <c r="CL144" s="29">
        <f>(CA144-CA143)*INDEX([2]大r将兵属性验证!$AV$7:$AV$166,$BQ144,1)+CL143</f>
        <v>4233332.0272436822</v>
      </c>
      <c r="CM144" s="29">
        <f>(CB144-CB143)*(INDEX([2]大r将兵属性验证!$AC$7:$AC$166,$BQ144,1)*[2]战法技能效用!$AH$4+INDEX([2]大r将兵属性验证!$AX$7:$AX$166,$BQ144,1)*[2]战法技能效用!$AI$4)+CM143</f>
        <v>32654962.992053714</v>
      </c>
      <c r="CN144" s="29">
        <f t="shared" si="102"/>
        <v>125944748.81060405</v>
      </c>
      <c r="CR144" s="29">
        <f>基础状态预期!D157</f>
        <v>42.970748198558951</v>
      </c>
      <c r="CS144" s="29">
        <f>IF(基础状态预期!AI157="",0,基础状态预期!AI157)*$AB$37*基础状态预期!J157</f>
        <v>0</v>
      </c>
      <c r="CT144" s="29">
        <f>CS144*武将数量星级阶位验证!$E$7*1.8</f>
        <v>0</v>
      </c>
      <c r="CV144" s="29">
        <v>60</v>
      </c>
      <c r="CW144" s="29">
        <f t="shared" si="107"/>
        <v>7600.6274168612827</v>
      </c>
      <c r="CX144" s="29"/>
      <c r="CY144" s="29"/>
      <c r="CZ144" s="29">
        <f t="shared" si="108"/>
        <v>7600.6274168612827</v>
      </c>
    </row>
    <row r="145" spans="51:104" x14ac:dyDescent="0.15">
      <c r="AY145" s="17">
        <v>136</v>
      </c>
      <c r="AZ145" s="17">
        <f>求节点(基础状态预期!$D$17:$D$55,基础状态预期!$AI$17:$AI$55,$AY145)*求节点(基础状态预期!$D$17:$D$55,基础状态预期!$J$17:$J$55,$AY145)*$AB$49</f>
        <v>13320</v>
      </c>
      <c r="BA145" s="17">
        <f>求节点(基础状态预期!$D$62:$D$100,基础状态预期!$AI$62:$AI$100,$AY145)*求节点(基础状态预期!$D$62:$D$100,基础状态预期!$J$62:$J$100,$AY145)*$AB$49</f>
        <v>13320</v>
      </c>
      <c r="BB145" s="17">
        <f>求节点(基础状态预期!$D$107:$D$145,基础状态预期!$AI$107:$AI$145,$AY145)*求节点(基础状态预期!$D$107:$D$145,基础状态预期!$J$107:$J$145,$AY145)*$AB$49</f>
        <v>13320</v>
      </c>
      <c r="BC145" s="17">
        <f>求节点(基础状态预期!$D$152:$D$190,基础状态预期!$AI$152:$AI$190,$AY145)*求节点(基础状态预期!$D$62:$D$100,基础状态预期!$J$152:$J$190,$AY145)*$AB$49</f>
        <v>13320</v>
      </c>
      <c r="BD145" s="17">
        <f>求节点(基础状态预期!$D$197:$D$235,基础状态预期!$AI$197:$AI$235,$AY145)*求节点(基础状态预期!$D$197:$D$235,基础状态预期!$J$197:$J$235,$AY145)*$AB$49</f>
        <v>13320</v>
      </c>
      <c r="BQ145" s="29">
        <v>70</v>
      </c>
      <c r="BR145" s="29">
        <f>求节点(基础状态预期!$D$17:$D$55,基础状态预期!$AI$17:$AI$55,$BQ145)*SUM($AR$6:$AT$6)/3</f>
        <v>0.72151018898576991</v>
      </c>
      <c r="BS145" s="29">
        <f>求节点(基础状态预期!$D$17:$D$55,基础状态预期!$AI$17:$AI$55,$BQ145)*AH$6</f>
        <v>45.094386811610619</v>
      </c>
      <c r="BT145" s="145">
        <f t="shared" si="103"/>
        <v>45.094386811610619</v>
      </c>
      <c r="BU145" s="29">
        <f>求节点(基础状态预期!$D$17:$D$55,基础状态预期!$AI$17:$AI$55,$BQ145)*AI$6</f>
        <v>2.1645305669573096</v>
      </c>
      <c r="BV145" s="145">
        <f t="shared" si="104"/>
        <v>2.1645305669573096</v>
      </c>
      <c r="BW145" s="29">
        <f>求节点(基础状态预期!$D$17:$D$55,基础状态预期!$AI$17:$AI$55,$BQ145)*$AU$6</f>
        <v>9.0188773623221241</v>
      </c>
      <c r="BX145" s="29">
        <f>求节点(基础状态预期!$D$17:$D$55,基础状态预期!$AI$17:$AI$55,$BQ145)*$AJ$6</f>
        <v>2.1645305669573097E-3</v>
      </c>
      <c r="BY145" s="145">
        <f t="shared" ref="BY145" si="117">BX145</f>
        <v>2.1645305669573097E-3</v>
      </c>
      <c r="BZ145" s="29">
        <f>求节点(基础状态预期!$D$17:$D$55,基础状态预期!$AI$17:$AI$55,$BQ145)*$AK$6</f>
        <v>1.8037754724644249E-3</v>
      </c>
      <c r="CA145" s="145">
        <f t="shared" ref="CA145" si="118">BZ145</f>
        <v>1.8037754724644249E-3</v>
      </c>
      <c r="CB145" s="29">
        <f>求节点(基础状态预期!$D$17:$D$55,基础状态预期!$AI$17:$AI$55,$BQ145)*$W$60</f>
        <v>1.0822652834786549E-2</v>
      </c>
      <c r="CC145" s="29">
        <f>($BR145-$BR144)*(INDEX([2]大r将兵属性验证!$V$7:$V$166,$BQ145,1)+INDEX([2]大r将兵属性验证!$AP$7:$AP$166,$BQ145,1))+CC144</f>
        <v>92453733.619422361</v>
      </c>
      <c r="CD145" s="29">
        <f>($BS145-$BS144)*INDEX([2]大r将兵属性验证!W$7:W$166,$BQ145,1)+CD144</f>
        <v>54584677.913594984</v>
      </c>
      <c r="CE145" s="29">
        <f>(BT145-$BT144)*INDEX([2]大r将兵属性验证!X$7:X$166,$BQ145,1)+CE144</f>
        <v>54584677.913594984</v>
      </c>
      <c r="CF145" s="29">
        <f>(BU145-BU144)*INDEX([2]大r将兵属性验证!$AQ$7:$AQ$166,$BQ145)+CF144</f>
        <v>44164856.443405285</v>
      </c>
      <c r="CG145" s="29">
        <f>(BV145-BV144)*INDEX([2]大r将兵属性验证!$AR$7:$AR$166,$BQ145)+CG144</f>
        <v>44164856.443405285</v>
      </c>
      <c r="CH145" s="29">
        <f>(BW145-BW144)*INDEX([2]大r将兵属性验证!$AM$7:$AM$166,$BQ145,1)+CH144</f>
        <v>54872.755285340092</v>
      </c>
      <c r="CI145" s="29">
        <f>(BX145-BX144)*INDEX([2]大r将兵属性验证!$AA$7:$AA$166,$BQ145,1)+CI144</f>
        <v>32083093.093607791</v>
      </c>
      <c r="CJ145" s="29">
        <f>(BY145-BY144)*INDEX([2]大r将兵属性验证!$AB$7:$AB$166,$BQ145,1)+CJ144</f>
        <v>32083093.093607791</v>
      </c>
      <c r="CK145" s="29">
        <f>(BZ145-BZ144)*INDEX([2]大r将兵属性验证!$AU$7:$AU$166,$BQ145,1)+CK144</f>
        <v>28031258.069121245</v>
      </c>
      <c r="CL145" s="29">
        <f>(CA145-CA144)*INDEX([2]大r将兵属性验证!$AV$7:$AV$166,$BQ145,1)+CL144</f>
        <v>28031258.069121245</v>
      </c>
      <c r="CM145" s="29">
        <f>(CB145-CB144)*(INDEX([2]大r将兵属性验证!$AC$7:$AC$166,$BQ145,1)*[2]战法技能效用!$AH$4+INDEX([2]大r将兵属性验证!$AX$7:$AX$166,$BQ145,1)*[2]战法技能效用!$AI$4)+CM144</f>
        <v>130661810.56505488</v>
      </c>
      <c r="CN145" s="29">
        <f t="shared" si="102"/>
        <v>540898187.97922111</v>
      </c>
      <c r="CR145" s="29">
        <f>基础状态预期!D158</f>
        <v>48.731413734867289</v>
      </c>
      <c r="CS145" s="29">
        <f>IF(基础状态预期!AI158="",0,基础状态预期!AI158)*$AB$37*基础状态预期!J158</f>
        <v>0</v>
      </c>
      <c r="CT145" s="29">
        <f>CS145*武将数量星级阶位验证!$E$7*1.8</f>
        <v>0</v>
      </c>
      <c r="CV145" s="29">
        <v>70</v>
      </c>
      <c r="CW145" s="29">
        <f t="shared" si="107"/>
        <v>31726.813585306583</v>
      </c>
      <c r="CX145" s="29"/>
      <c r="CY145" s="29"/>
      <c r="CZ145" s="29">
        <f t="shared" si="108"/>
        <v>31726.813585306583</v>
      </c>
    </row>
    <row r="146" spans="51:104" x14ac:dyDescent="0.15">
      <c r="AY146" s="17">
        <v>137</v>
      </c>
      <c r="AZ146" s="17">
        <f>求节点(基础状态预期!$D$17:$D$55,基础状态预期!$AI$17:$AI$55,$AY146)*求节点(基础状态预期!$D$17:$D$55,基础状态预期!$J$17:$J$55,$AY146)*$AB$49</f>
        <v>13320</v>
      </c>
      <c r="BA146" s="17">
        <f>求节点(基础状态预期!$D$62:$D$100,基础状态预期!$AI$62:$AI$100,$AY146)*求节点(基础状态预期!$D$62:$D$100,基础状态预期!$J$62:$J$100,$AY146)*$AB$49</f>
        <v>13320</v>
      </c>
      <c r="BB146" s="17">
        <f>求节点(基础状态预期!$D$107:$D$145,基础状态预期!$AI$107:$AI$145,$AY146)*求节点(基础状态预期!$D$107:$D$145,基础状态预期!$J$107:$J$145,$AY146)*$AB$49</f>
        <v>13320</v>
      </c>
      <c r="BC146" s="17">
        <f>求节点(基础状态预期!$D$152:$D$190,基础状态预期!$AI$152:$AI$190,$AY146)*求节点(基础状态预期!$D$62:$D$100,基础状态预期!$J$152:$J$190,$AY146)*$AB$49</f>
        <v>13320</v>
      </c>
      <c r="BD146" s="17">
        <f>求节点(基础状态预期!$D$197:$D$235,基础状态预期!$AI$197:$AI$235,$AY146)*求节点(基础状态预期!$D$197:$D$235,基础状态预期!$J$197:$J$235,$AY146)*$AB$49</f>
        <v>13320</v>
      </c>
      <c r="BQ146" s="29">
        <v>80</v>
      </c>
      <c r="BR146" s="29">
        <f>求节点(基础状态预期!$D$17:$D$55,基础状态预期!$AI$17:$AI$55,$BQ146)*SUM($AR$6:$AT$6)/3</f>
        <v>1.0534503973418654</v>
      </c>
      <c r="BS146" s="29">
        <f>求节点(基础状态预期!$D$17:$D$55,基础状态预期!$AI$17:$AI$55,$BQ146)*AH$6</f>
        <v>65.840649833866593</v>
      </c>
      <c r="BT146" s="145">
        <f t="shared" si="103"/>
        <v>65.840649833866593</v>
      </c>
      <c r="BU146" s="29">
        <f>求节点(基础状态预期!$D$17:$D$55,基础状态预期!$AI$17:$AI$55,$BQ146)*AI$6</f>
        <v>3.1603511920255962</v>
      </c>
      <c r="BV146" s="145">
        <f t="shared" si="104"/>
        <v>3.1603511920255962</v>
      </c>
      <c r="BW146" s="29">
        <f>求节点(基础状态预期!$D$17:$D$55,基础状态预期!$AI$17:$AI$55,$BQ146)*$AU$6</f>
        <v>13.168129966773318</v>
      </c>
      <c r="BX146" s="29">
        <f>求节点(基础状态预期!$D$17:$D$55,基础状态预期!$AI$17:$AI$55,$BQ146)*$AJ$6</f>
        <v>3.1603511920255964E-3</v>
      </c>
      <c r="BY146" s="145">
        <f t="shared" ref="BY146" si="119">BX146</f>
        <v>3.1603511920255964E-3</v>
      </c>
      <c r="BZ146" s="29">
        <f>求节点(基础状态预期!$D$17:$D$55,基础状态预期!$AI$17:$AI$55,$BQ146)*$AK$6</f>
        <v>2.6336259933546638E-3</v>
      </c>
      <c r="CA146" s="145">
        <f t="shared" ref="CA146" si="120">BZ146</f>
        <v>2.6336259933546638E-3</v>
      </c>
      <c r="CB146" s="29">
        <f>求节点(基础状态预期!$D$17:$D$55,基础状态预期!$AI$17:$AI$55,$BQ146)*$W$60</f>
        <v>1.5801755960127985E-2</v>
      </c>
      <c r="CC146" s="29">
        <f>($BR146-$BR145)*(INDEX([2]大r将兵属性验证!$V$7:$V$166,$BQ146,1)+INDEX([2]大r将兵属性验证!$AP$7:$AP$166,$BQ146,1))+CC145</f>
        <v>263631778.42376298</v>
      </c>
      <c r="CD146" s="29">
        <f>($BS146-$BS145)*INDEX([2]大r将兵属性验证!W$7:W$166,$BQ146,1)+CD145</f>
        <v>131694877.96791434</v>
      </c>
      <c r="CE146" s="29">
        <f>(BT146-$BT145)*INDEX([2]大r将兵属性验证!X$7:X$166,$BQ146,1)+CE145</f>
        <v>131694877.96791434</v>
      </c>
      <c r="CF146" s="29">
        <f>(BU146-BU145)*INDEX([2]大r将兵属性验证!$AQ$7:$AQ$166,$BQ146)+CF145</f>
        <v>142779028.84979022</v>
      </c>
      <c r="CG146" s="29">
        <f>(BV146-BV145)*INDEX([2]大r将兵属性验证!$AR$7:$AR$166,$BQ146)+CG145</f>
        <v>142779028.84979022</v>
      </c>
      <c r="CH146" s="29">
        <f>(BW146-BW145)*INDEX([2]大r将兵属性验证!$AM$7:$AM$166,$BQ146,1)+CH145</f>
        <v>84315.662044813987</v>
      </c>
      <c r="CI146" s="29">
        <f>(BX146-BX145)*INDEX([2]大r将兵属性验证!$AA$7:$AA$166,$BQ146,1)+CI145</f>
        <v>90832216.354868233</v>
      </c>
      <c r="CJ146" s="29">
        <f>(BY146-BY145)*INDEX([2]大r将兵属性验证!$AB$7:$AB$166,$BQ146,1)+CJ145</f>
        <v>90832216.354868233</v>
      </c>
      <c r="CK146" s="29">
        <f>(BZ146-BZ145)*INDEX([2]大r将兵属性验证!$AU$7:$AU$166,$BQ146,1)+CK145</f>
        <v>104527584.14657982</v>
      </c>
      <c r="CL146" s="29">
        <f>(CA146-CA145)*INDEX([2]大r将兵属性验证!$AV$7:$AV$166,$BQ146,1)+CL145</f>
        <v>104527584.14657982</v>
      </c>
      <c r="CM146" s="29">
        <f>(CB146-CB145)*(INDEX([2]大r将兵属性验证!$AC$7:$AC$166,$BQ146,1)*[2]战法技能效用!$AH$4+INDEX([2]大r将兵属性验证!$AX$7:$AX$166,$BQ146,1)*[2]战法技能效用!$AI$4)+CM145</f>
        <v>355008571.54355049</v>
      </c>
      <c r="CN146" s="29">
        <f t="shared" si="102"/>
        <v>1558392080.2676632</v>
      </c>
      <c r="CR146" s="29">
        <f>基础状态预期!D159</f>
        <v>52.769987980532711</v>
      </c>
      <c r="CS146" s="29">
        <f>IF(基础状态预期!AI159="",0,基础状态预期!AI159)*$AB$37*基础状态预期!J159</f>
        <v>0.23017335979632125</v>
      </c>
      <c r="CT146" s="29">
        <f>CS146*武将数量星级阶位验证!$E$7*1.8</f>
        <v>1242.9361429001347</v>
      </c>
      <c r="CV146" s="29">
        <v>80</v>
      </c>
      <c r="CW146" s="29">
        <f t="shared" si="107"/>
        <v>78657.325811717747</v>
      </c>
      <c r="CX146" s="29"/>
      <c r="CY146" s="29"/>
      <c r="CZ146" s="29">
        <f t="shared" si="108"/>
        <v>78657.325811717747</v>
      </c>
    </row>
    <row r="147" spans="51:104" x14ac:dyDescent="0.15">
      <c r="AY147" s="17">
        <v>138</v>
      </c>
      <c r="AZ147" s="17">
        <f>求节点(基础状态预期!$D$17:$D$55,基础状态预期!$AI$17:$AI$55,$AY147)*求节点(基础状态预期!$D$17:$D$55,基础状态预期!$J$17:$J$55,$AY147)*$AB$49</f>
        <v>13320</v>
      </c>
      <c r="BA147" s="17">
        <f>求节点(基础状态预期!$D$62:$D$100,基础状态预期!$AI$62:$AI$100,$AY147)*求节点(基础状态预期!$D$62:$D$100,基础状态预期!$J$62:$J$100,$AY147)*$AB$49</f>
        <v>13320</v>
      </c>
      <c r="BB147" s="17">
        <f>求节点(基础状态预期!$D$107:$D$145,基础状态预期!$AI$107:$AI$145,$AY147)*求节点(基础状态预期!$D$107:$D$145,基础状态预期!$J$107:$J$145,$AY147)*$AB$49</f>
        <v>13320</v>
      </c>
      <c r="BC147" s="17">
        <f>求节点(基础状态预期!$D$152:$D$190,基础状态预期!$AI$152:$AI$190,$AY147)*求节点(基础状态预期!$D$62:$D$100,基础状态预期!$J$152:$J$190,$AY147)*$AB$49</f>
        <v>13320</v>
      </c>
      <c r="BD147" s="17">
        <f>求节点(基础状态预期!$D$197:$D$235,基础状态预期!$AI$197:$AI$235,$AY147)*求节点(基础状态预期!$D$197:$D$235,基础状态预期!$J$197:$J$235,$AY147)*$AB$49</f>
        <v>13320</v>
      </c>
      <c r="BQ147" s="29">
        <v>90</v>
      </c>
      <c r="BR147" s="29">
        <f>求节点(基础状态预期!$D$17:$D$55,基础状态预期!$AI$17:$AI$55,$BQ147)*SUM($AR$6:$AT$6)/3</f>
        <v>1.9304730995008079</v>
      </c>
      <c r="BS147" s="29">
        <f>求节点(基础状态预期!$D$17:$D$55,基础状态预期!$AI$17:$AI$55,$BQ147)*AH$6</f>
        <v>120.65456871880049</v>
      </c>
      <c r="BT147" s="145">
        <f t="shared" si="103"/>
        <v>120.65456871880049</v>
      </c>
      <c r="BU147" s="29">
        <f>求节点(基础状态预期!$D$17:$D$55,基础状态预期!$AI$17:$AI$55,$BQ147)*AI$6</f>
        <v>5.791419298502424</v>
      </c>
      <c r="BV147" s="145">
        <f t="shared" si="104"/>
        <v>5.791419298502424</v>
      </c>
      <c r="BW147" s="29">
        <f>求节点(基础状态预期!$D$17:$D$55,基础状态预期!$AI$17:$AI$55,$BQ147)*$AU$6</f>
        <v>24.1309137437601</v>
      </c>
      <c r="BX147" s="29">
        <f>求节点(基础状态预期!$D$17:$D$55,基础状态预期!$AI$17:$AI$55,$BQ147)*$AJ$6</f>
        <v>5.7914192985024232E-3</v>
      </c>
      <c r="BY147" s="145">
        <f t="shared" ref="BY147" si="121">BX147</f>
        <v>5.7914192985024232E-3</v>
      </c>
      <c r="BZ147" s="29">
        <f>求节点(基础状态预期!$D$17:$D$55,基础状态预期!$AI$17:$AI$55,$BQ147)*$AK$6</f>
        <v>4.8261827487520205E-3</v>
      </c>
      <c r="CA147" s="145">
        <f t="shared" ref="CA147" si="122">BZ147</f>
        <v>4.8261827487520205E-3</v>
      </c>
      <c r="CB147" s="29">
        <f>求节点(基础状态预期!$D$17:$D$55,基础状态预期!$AI$17:$AI$55,$BQ147)*$W$60</f>
        <v>2.8957096492512123E-2</v>
      </c>
      <c r="CC147" s="29">
        <f>($BR147-$BR146)*(INDEX([2]大r将兵属性验证!$V$7:$V$166,$BQ147,1)+INDEX([2]大r将兵属性验证!$AP$7:$AP$166,$BQ147,1))+CC146</f>
        <v>1400588693.8570654</v>
      </c>
      <c r="CD147" s="29">
        <f>($BS147-$BS146)*INDEX([2]大r将兵属性验证!W$7:W$166,$BQ147,1)+CD146</f>
        <v>554580565.29326177</v>
      </c>
      <c r="CE147" s="29">
        <f>(BT147-$BT146)*INDEX([2]大r将兵属性验证!X$7:X$166,$BQ147,1)+CE146</f>
        <v>554580565.29326177</v>
      </c>
      <c r="CF147" s="29">
        <f>(BU147-BU146)*INDEX([2]大r将兵属性验证!$AQ$7:$AQ$166,$BQ147)+CF146</f>
        <v>879051785.54708838</v>
      </c>
      <c r="CG147" s="29">
        <f>(BV147-BV146)*INDEX([2]大r将兵属性验证!$AR$7:$AR$166,$BQ147)+CG146</f>
        <v>879051785.54708838</v>
      </c>
      <c r="CH147" s="29">
        <f>(BW147-BW146)*INDEX([2]大r将兵属性验证!$AM$7:$AM$166,$BQ147,1)+CH146</f>
        <v>169194.32653317839</v>
      </c>
      <c r="CI147" s="29">
        <f>(BX147-BX146)*INDEX([2]大r将兵属性验证!$AA$7:$AA$166,$BQ147,1)+CI146</f>
        <v>459275848.85363925</v>
      </c>
      <c r="CJ147" s="29">
        <f>(BY147-BY146)*INDEX([2]大r将兵属性验证!$AB$7:$AB$166,$BQ147,1)+CJ146</f>
        <v>459275848.85363925</v>
      </c>
      <c r="CK147" s="29">
        <f>(BZ147-BZ146)*INDEX([2]大r将兵属性验证!$AU$7:$AU$166,$BQ147,1)+CK146</f>
        <v>774070447.94060171</v>
      </c>
      <c r="CL147" s="29">
        <f>(CA147-CA146)*INDEX([2]大r将兵属性验证!$AV$7:$AV$166,$BQ147,1)+CL146</f>
        <v>774070447.94060171</v>
      </c>
      <c r="CM147" s="29">
        <f>(CB147-CB146)*(INDEX([2]大r将兵属性验证!$AC$7:$AC$166,$BQ147,1)*[2]战法技能效用!$AH$4+INDEX([2]大r将兵属性验证!$AX$7:$AX$166,$BQ147,1)*[2]战法技能效用!$AI$4)+CM146</f>
        <v>1704726360.8898544</v>
      </c>
      <c r="CN147" s="29">
        <f t="shared" si="102"/>
        <v>8439441544.3426361</v>
      </c>
      <c r="CR147" s="29">
        <f>基础状态预期!D160</f>
        <v>58.701446767877648</v>
      </c>
      <c r="CS147" s="29">
        <f>IF(基础状态预期!AI160="",0,基础状态预期!AI160)*$AB$37*基础状态预期!J160</f>
        <v>0.92753953729363747</v>
      </c>
      <c r="CT147" s="29">
        <f>CS147*武将数量星级阶位验证!$E$7*1.8</f>
        <v>5008.7135013856423</v>
      </c>
      <c r="CV147" s="29">
        <v>90</v>
      </c>
      <c r="CW147" s="29">
        <f t="shared" si="107"/>
        <v>727384.34719357349</v>
      </c>
      <c r="CX147" s="29"/>
      <c r="CY147" s="29"/>
      <c r="CZ147" s="29">
        <f t="shared" si="108"/>
        <v>727384.34719357349</v>
      </c>
    </row>
    <row r="148" spans="51:104" x14ac:dyDescent="0.15">
      <c r="AY148" s="17">
        <v>139</v>
      </c>
      <c r="AZ148" s="17">
        <f>求节点(基础状态预期!$D$17:$D$55,基础状态预期!$AI$17:$AI$55,$AY148)*求节点(基础状态预期!$D$17:$D$55,基础状态预期!$J$17:$J$55,$AY148)*$AB$49</f>
        <v>13320</v>
      </c>
      <c r="BA148" s="17">
        <f>求节点(基础状态预期!$D$62:$D$100,基础状态预期!$AI$62:$AI$100,$AY148)*求节点(基础状态预期!$D$62:$D$100,基础状态预期!$J$62:$J$100,$AY148)*$AB$49</f>
        <v>13320</v>
      </c>
      <c r="BB148" s="17">
        <f>求节点(基础状态预期!$D$107:$D$145,基础状态预期!$AI$107:$AI$145,$AY148)*求节点(基础状态预期!$D$107:$D$145,基础状态预期!$J$107:$J$145,$AY148)*$AB$49</f>
        <v>13320</v>
      </c>
      <c r="BC148" s="17">
        <f>求节点(基础状态预期!$D$152:$D$190,基础状态预期!$AI$152:$AI$190,$AY148)*求节点(基础状态预期!$D$62:$D$100,基础状态预期!$J$152:$J$190,$AY148)*$AB$49</f>
        <v>13320</v>
      </c>
      <c r="BD148" s="17">
        <f>求节点(基础状态预期!$D$197:$D$235,基础状态预期!$AI$197:$AI$235,$AY148)*求节点(基础状态预期!$D$197:$D$235,基础状态预期!$J$197:$J$235,$AY148)*$AB$49</f>
        <v>13320</v>
      </c>
      <c r="BQ148" s="29">
        <v>100</v>
      </c>
      <c r="BR148" s="29">
        <f>求节点(基础状态预期!$D$17:$D$55,基础状态预期!$AI$17:$AI$55,$BQ148)*SUM($AR$6:$AT$6)/3</f>
        <v>3.3733391260028154</v>
      </c>
      <c r="BS148" s="29">
        <f>求节点(基础状态预期!$D$17:$D$55,基础状态预期!$AI$17:$AI$55,$BQ148)*AH$6</f>
        <v>210.83369537517598</v>
      </c>
      <c r="BT148" s="145">
        <f t="shared" si="103"/>
        <v>210.83369537517598</v>
      </c>
      <c r="BU148" s="29">
        <f>求节点(基础状态预期!$D$17:$D$55,基础状态预期!$AI$17:$AI$55,$BQ148)*AI$6</f>
        <v>10.120017378008447</v>
      </c>
      <c r="BV148" s="145">
        <f t="shared" si="104"/>
        <v>10.120017378008447</v>
      </c>
      <c r="BW148" s="29">
        <f>求节点(基础状态预期!$D$17:$D$55,基础状态预期!$AI$17:$AI$55,$BQ148)*$AU$6</f>
        <v>42.166739075035196</v>
      </c>
      <c r="BX148" s="29">
        <f>求节点(基础状态预期!$D$17:$D$55,基础状态预期!$AI$17:$AI$55,$BQ148)*$AJ$6</f>
        <v>1.0120017378008446E-2</v>
      </c>
      <c r="BY148" s="145">
        <f t="shared" ref="BY148" si="123">BX148</f>
        <v>1.0120017378008446E-2</v>
      </c>
      <c r="BZ148" s="29">
        <f>求节点(基础状态预期!$D$17:$D$55,基础状态预期!$AI$17:$AI$55,$BQ148)*$AK$6</f>
        <v>8.43334781500704E-3</v>
      </c>
      <c r="CA148" s="145">
        <f t="shared" ref="CA148" si="124">BZ148</f>
        <v>8.43334781500704E-3</v>
      </c>
      <c r="CB148" s="29">
        <f>求节点(基础状态预期!$D$17:$D$55,基础状态预期!$AI$17:$AI$55,$BQ148)*$W$60</f>
        <v>5.0600086890042244E-2</v>
      </c>
      <c r="CC148" s="29">
        <f>($BR148-$BR147)*(INDEX([2]大r将兵属性验证!$V$7:$V$166,$BQ148,1)+INDEX([2]大r将兵属性验证!$AP$7:$AP$166,$BQ148,1))+CC147</f>
        <v>4795643264.2382259</v>
      </c>
      <c r="CD148" s="29">
        <f>($BS148-$BS147)*INDEX([2]大r将兵属性验证!W$7:W$166,$BQ148,1)+CD147</f>
        <v>1503390316.5980206</v>
      </c>
      <c r="CE148" s="29">
        <f>(BT148-$BT147)*INDEX([2]大r将兵属性验证!X$7:X$166,$BQ148,1)+CE147</f>
        <v>1503390316.5980206</v>
      </c>
      <c r="CF148" s="29">
        <f>(BU148-BU147)*INDEX([2]大r将兵属性验证!$AQ$7:$AQ$166,$BQ148)+CF147</f>
        <v>2987819144.0159483</v>
      </c>
      <c r="CG148" s="29">
        <f>(BV148-BV147)*INDEX([2]大r将兵属性验证!$AR$7:$AR$166,$BQ148)+CG147</f>
        <v>2987819144.0159483</v>
      </c>
      <c r="CH148" s="29">
        <f>(BW148-BW147)*INDEX([2]大r将兵属性验证!$AM$7:$AM$166,$BQ148,1)+CH147</f>
        <v>320907.80152009649</v>
      </c>
      <c r="CI148" s="29">
        <f>(BX148-BX147)*INDEX([2]大r将兵属性验证!$AA$7:$AA$166,$BQ148,1)+CI147</f>
        <v>1383775385.4519954</v>
      </c>
      <c r="CJ148" s="29">
        <f>(BY148-BY147)*INDEX([2]大r将兵属性验证!$AB$7:$AB$166,$BQ148,1)+CJ147</f>
        <v>1383775385.4519954</v>
      </c>
      <c r="CK148" s="29">
        <f>(BZ148-BZ147)*INDEX([2]大r将兵属性验证!$AU$7:$AU$166,$BQ148,1)+CK147</f>
        <v>3032582546.1350536</v>
      </c>
      <c r="CL148" s="29">
        <f>(CA148-CA147)*INDEX([2]大r将兵属性验证!$AV$7:$AV$166,$BQ148,1)+CL147</f>
        <v>3032582546.1350536</v>
      </c>
      <c r="CM148" s="29">
        <f>(CB148-CB147)*(INDEX([2]大r将兵属性验证!$AC$7:$AC$166,$BQ148,1)*[2]战法技能效用!$AH$4+INDEX([2]大r将兵属性验证!$AX$7:$AX$166,$BQ148,1)*[2]战法技能效用!$AI$4)+CM147</f>
        <v>5595002406.1256838</v>
      </c>
      <c r="CN148" s="29">
        <f t="shared" si="102"/>
        <v>28206101362.567463</v>
      </c>
      <c r="CR148" s="29">
        <f>基础状态预期!D161</f>
        <v>64.399012521055653</v>
      </c>
      <c r="CS148" s="29">
        <f>IF(基础状态预期!AI161="",0,基础状态预期!AI161)*$AB$37*基础状态预期!J161</f>
        <v>3.0335300085996089</v>
      </c>
      <c r="CT148" s="29">
        <f>CS148*武将数量星级阶位验证!$E$7*1.8</f>
        <v>16381.062046437888</v>
      </c>
      <c r="CV148" s="29">
        <v>100</v>
      </c>
      <c r="CW148" s="29">
        <f t="shared" si="107"/>
        <v>777600</v>
      </c>
      <c r="CX148" s="29"/>
      <c r="CY148" s="29"/>
      <c r="CZ148" s="29">
        <f t="shared" si="108"/>
        <v>777600</v>
      </c>
    </row>
    <row r="149" spans="51:104" x14ac:dyDescent="0.15">
      <c r="AY149" s="17">
        <v>140</v>
      </c>
      <c r="AZ149" s="17">
        <f>求节点(基础状态预期!$D$17:$D$55,基础状态预期!$AI$17:$AI$55,$AY149)*求节点(基础状态预期!$D$17:$D$55,基础状态预期!$J$17:$J$55,$AY149)*$AB$49</f>
        <v>13320</v>
      </c>
      <c r="BA149" s="17">
        <f>求节点(基础状态预期!$D$62:$D$100,基础状态预期!$AI$62:$AI$100,$AY149)*求节点(基础状态预期!$D$62:$D$100,基础状态预期!$J$62:$J$100,$AY149)*$AB$49</f>
        <v>13320</v>
      </c>
      <c r="BB149" s="17">
        <f>求节点(基础状态预期!$D$107:$D$145,基础状态预期!$AI$107:$AI$145,$AY149)*求节点(基础状态预期!$D$107:$D$145,基础状态预期!$J$107:$J$145,$AY149)*$AB$49</f>
        <v>13320</v>
      </c>
      <c r="BC149" s="17">
        <f>求节点(基础状态预期!$D$152:$D$190,基础状态预期!$AI$152:$AI$190,$AY149)*求节点(基础状态预期!$D$62:$D$100,基础状态预期!$J$152:$J$190,$AY149)*$AB$49</f>
        <v>13320</v>
      </c>
      <c r="BD149" s="17">
        <f>求节点(基础状态预期!$D$197:$D$235,基础状态预期!$AI$197:$AI$235,$AY149)*求节点(基础状态预期!$D$197:$D$235,基础状态预期!$J$197:$J$235,$AY149)*$AB$49</f>
        <v>13320</v>
      </c>
      <c r="BQ149" s="29">
        <v>110</v>
      </c>
      <c r="BR149" s="29">
        <f>求节点(基础状态预期!$D$17:$D$55,基础状态预期!$AI$17:$AI$55,$BQ149)*SUM($AR$6:$AT$6)/3</f>
        <v>27.353727251649335</v>
      </c>
      <c r="BS149" s="29">
        <f>求节点(基础状态预期!$D$17:$D$55,基础状态预期!$AI$17:$AI$55,$BQ149)*AH$6</f>
        <v>1709.6079532280837</v>
      </c>
      <c r="BT149" s="145">
        <f t="shared" si="103"/>
        <v>1709.6079532280837</v>
      </c>
      <c r="BU149" s="29">
        <f>求节点(基础状态预期!$D$17:$D$55,基础状态预期!$AI$17:$AI$55,$BQ149)*AI$6</f>
        <v>82.061181754948009</v>
      </c>
      <c r="BV149" s="145">
        <f t="shared" si="104"/>
        <v>82.061181754948009</v>
      </c>
      <c r="BW149" s="29">
        <f>求节点(基础状态预期!$D$17:$D$55,基础状态预期!$AI$17:$AI$55,$BQ149)*$AU$6</f>
        <v>341.92159064561673</v>
      </c>
      <c r="BX149" s="29">
        <f>求节点(基础状态预期!$D$17:$D$55,基础状态预期!$AI$17:$AI$55,$BQ149)*$AJ$6</f>
        <v>8.2061181754948018E-2</v>
      </c>
      <c r="BY149" s="145">
        <f t="shared" ref="BY149" si="125">BX149</f>
        <v>8.2061181754948018E-2</v>
      </c>
      <c r="BZ149" s="29">
        <f>求节点(基础状态预期!$D$17:$D$55,基础状态预期!$AI$17:$AI$55,$BQ149)*$AK$6</f>
        <v>6.838431812912335E-2</v>
      </c>
      <c r="CA149" s="145">
        <f t="shared" ref="CA149" si="126">BZ149</f>
        <v>6.838431812912335E-2</v>
      </c>
      <c r="CB149" s="29">
        <f>求节点(基础状态预期!$D$17:$D$55,基础状态预期!$AI$17:$AI$55,$BQ149)*$W$60</f>
        <v>0.4103059087747401</v>
      </c>
      <c r="CC149" s="29">
        <f>($BR149-$BR148)*(INDEX([2]大r将兵属性验证!$V$7:$V$166,$BQ149,1)+INDEX([2]大r将兵属性验证!$AP$7:$AP$166,$BQ149,1))+CC148</f>
        <v>86810060792.652939</v>
      </c>
      <c r="CD149" s="29">
        <f>($BS149-$BS148)*INDEX([2]大r将兵属性验证!W$7:W$166,$BQ149,1)+CD148</f>
        <v>19919680938.448166</v>
      </c>
      <c r="CE149" s="29">
        <f>(BT149-$BT148)*INDEX([2]大r将兵属性验证!X$7:X$166,$BQ149,1)+CE148</f>
        <v>19919680938.448166</v>
      </c>
      <c r="CF149" s="29">
        <f>(BU149-BU148)*INDEX([2]大r将兵属性验证!$AQ$7:$AQ$166,$BQ149)+CF148</f>
        <v>53541817805.54747</v>
      </c>
      <c r="CG149" s="29">
        <f>(BV149-BV148)*INDEX([2]大r将兵属性验证!$AR$7:$AR$166,$BQ149)+CG148</f>
        <v>53541817805.54747</v>
      </c>
      <c r="CH149" s="29">
        <f>(BW149-BW148)*INDEX([2]大r将兵属性验证!$AM$7:$AM$166,$BQ149,1)+CH148</f>
        <v>3040881.6344879903</v>
      </c>
      <c r="CI149" s="29">
        <f>(BX149-BX148)*INDEX([2]大r将兵属性验证!$AA$7:$AA$166,$BQ149,1)+CI148</f>
        <v>20583507674.382763</v>
      </c>
      <c r="CJ149" s="29">
        <f>(BY149-BY148)*INDEX([2]大r将兵属性验证!$AB$7:$AB$166,$BQ149,1)+CJ148</f>
        <v>20583507674.382763</v>
      </c>
      <c r="CK149" s="29">
        <f>(BZ149-BZ148)*INDEX([2]大r将兵属性验证!$AU$7:$AU$166,$BQ149,1)+CK148</f>
        <v>62828211189.929886</v>
      </c>
      <c r="CL149" s="29">
        <f>(CA149-CA148)*INDEX([2]大r将兵属性验证!$AV$7:$AV$166,$BQ149,1)+CL148</f>
        <v>62828211189.929886</v>
      </c>
      <c r="CM149" s="29">
        <f>(CB149-CB148)*(INDEX([2]大r将兵属性验证!$AC$7:$AC$166,$BQ149,1)*[2]战法技能效用!$AH$4+INDEX([2]大r将兵属性验证!$AX$7:$AX$166,$BQ149,1)*[2]战法技能效用!$AI$4)+CM148</f>
        <v>99090217829.740021</v>
      </c>
      <c r="CN149" s="29">
        <f t="shared" ref="CN149:CN154" si="127">SUM(CC149:CM149)</f>
        <v>499649754720.64404</v>
      </c>
      <c r="CR149" s="29">
        <f>基础状态预期!D162</f>
        <v>68.627579426319684</v>
      </c>
      <c r="CS149" s="29">
        <f>IF(基础状态预期!AI162="",0,基础状态预期!AI162)*$AB$37*基础状态预期!J162</f>
        <v>5.0548268566781038</v>
      </c>
      <c r="CT149" s="29">
        <f>CS149*武将数量星级阶位验证!$E$7*1.8</f>
        <v>27296.065026061762</v>
      </c>
      <c r="CV149" s="29">
        <v>110</v>
      </c>
      <c r="CW149" s="29">
        <f t="shared" si="107"/>
        <v>777600</v>
      </c>
      <c r="CX149" s="29"/>
      <c r="CY149" s="29"/>
      <c r="CZ149" s="29">
        <f t="shared" ref="CZ149:CZ154" si="128">SUM(CW149:CY149)</f>
        <v>777600</v>
      </c>
    </row>
    <row r="150" spans="51:104" x14ac:dyDescent="0.15">
      <c r="AY150" s="17">
        <v>141</v>
      </c>
      <c r="AZ150" s="17">
        <f>求节点(基础状态预期!$D$17:$D$55,基础状态预期!$AI$17:$AI$55,$AY150)*求节点(基础状态预期!$D$17:$D$55,基础状态预期!$J$17:$J$55,$AY150)*$AB$49</f>
        <v>13320</v>
      </c>
      <c r="BA150" s="17">
        <f>求节点(基础状态预期!$D$62:$D$100,基础状态预期!$AI$62:$AI$100,$AY150)*求节点(基础状态预期!$D$62:$D$100,基础状态预期!$J$62:$J$100,$AY150)*$AB$49</f>
        <v>13320</v>
      </c>
      <c r="BB150" s="17">
        <f>求节点(基础状态预期!$D$107:$D$145,基础状态预期!$AI$107:$AI$145,$AY150)*求节点(基础状态预期!$D$107:$D$145,基础状态预期!$J$107:$J$145,$AY150)*$AB$49</f>
        <v>13320</v>
      </c>
      <c r="BC150" s="17">
        <f>求节点(基础状态预期!$D$152:$D$190,基础状态预期!$AI$152:$AI$190,$AY150)*求节点(基础状态预期!$D$62:$D$100,基础状态预期!$J$152:$J$190,$AY150)*$AB$49</f>
        <v>13320</v>
      </c>
      <c r="BD150" s="17">
        <f>求节点(基础状态预期!$D$197:$D$235,基础状态预期!$AI$197:$AI$235,$AY150)*求节点(基础状态预期!$D$197:$D$235,基础状态预期!$J$197:$J$235,$AY150)*$AB$49</f>
        <v>13320</v>
      </c>
      <c r="BQ150" s="29">
        <v>120</v>
      </c>
      <c r="BR150" s="29">
        <f>求节点(基础状态预期!$D$17:$D$55,基础状态预期!$AI$17:$AI$55,$BQ150)*SUM($AR$6:$AT$6)/3</f>
        <v>40</v>
      </c>
      <c r="BS150" s="29">
        <f>求节点(基础状态预期!$D$17:$D$55,基础状态预期!$AI$17:$AI$55,$BQ150)*AH$6</f>
        <v>2500</v>
      </c>
      <c r="BT150" s="145">
        <f t="shared" si="103"/>
        <v>2500</v>
      </c>
      <c r="BU150" s="29">
        <f>求节点(基础状态预期!$D$17:$D$55,基础状态预期!$AI$17:$AI$55,$BQ150)*AI$6</f>
        <v>120</v>
      </c>
      <c r="BV150" s="145">
        <f t="shared" si="104"/>
        <v>120</v>
      </c>
      <c r="BW150" s="29">
        <f>求节点(基础状态预期!$D$17:$D$55,基础状态预期!$AI$17:$AI$55,$BQ150)*$AU$6</f>
        <v>500</v>
      </c>
      <c r="BX150" s="29">
        <f>求节点(基础状态预期!$D$17:$D$55,基础状态预期!$AI$17:$AI$55,$BQ150)*$AJ$6</f>
        <v>0.12</v>
      </c>
      <c r="BY150" s="145">
        <f t="shared" ref="BY150" si="129">BX150</f>
        <v>0.12</v>
      </c>
      <c r="BZ150" s="29">
        <f>求节点(基础状态预期!$D$17:$D$55,基础状态预期!$AI$17:$AI$55,$BQ150)*$AK$6</f>
        <v>0.1</v>
      </c>
      <c r="CA150" s="145">
        <f t="shared" ref="CA150" si="130">BZ150</f>
        <v>0.1</v>
      </c>
      <c r="CB150" s="29">
        <f>求节点(基础状态预期!$D$17:$D$55,基础状态预期!$AI$17:$AI$55,$BQ150)*$W$60</f>
        <v>0.60000000000000009</v>
      </c>
      <c r="CC150" s="29">
        <f>($BR150-$BR149)*(INDEX([2]大r将兵属性验证!$V$7:$V$166,$BQ150,1)+INDEX([2]大r将兵属性验证!$AP$7:$AP$166,$BQ150,1))+CC149</f>
        <v>149620216494.91174</v>
      </c>
      <c r="CD150" s="29">
        <f>($BS150-$BS149)*INDEX([2]大r将兵属性验证!W$7:W$166,$BQ150,1)+CD149</f>
        <v>32105824478.186195</v>
      </c>
      <c r="CE150" s="29">
        <f>(BT150-$BT149)*INDEX([2]大r将兵属性验证!X$7:X$166,$BQ150,1)+CE149</f>
        <v>32105824478.186195</v>
      </c>
      <c r="CF150" s="29">
        <f>(BU150-BU149)*INDEX([2]大r将兵属性验证!$AQ$7:$AQ$166,$BQ150)+CF149</f>
        <v>91305614573.683136</v>
      </c>
      <c r="CG150" s="29">
        <f>(BV150-BV149)*INDEX([2]大r将兵属性验证!$AR$7:$AR$166,$BQ150)+CG149</f>
        <v>91305614573.683136</v>
      </c>
      <c r="CH150" s="29">
        <f>(BW150-BW149)*INDEX([2]大r将兵属性验证!$AM$7:$AM$166,$BQ150,1)+CH149</f>
        <v>4580775.8210753324</v>
      </c>
      <c r="CI150" s="29">
        <f>(BX150-BX149)*INDEX([2]大r将兵属性验证!$AA$7:$AA$166,$BQ150,1)+CI149</f>
        <v>33859085334.475475</v>
      </c>
      <c r="CJ150" s="29">
        <f>(BY150-BY149)*INDEX([2]大r将兵属性验证!$AB$7:$AB$166,$BQ150,1)+CJ149</f>
        <v>33859085334.475475</v>
      </c>
      <c r="CK150" s="29">
        <f>(BZ150-BZ149)*INDEX([2]大r将兵属性验证!$AU$7:$AU$166,$BQ150,1)+CK149</f>
        <v>110995813756.61505</v>
      </c>
      <c r="CL150" s="29">
        <f>(CA150-CA149)*INDEX([2]大r将兵属性验证!$AV$7:$AV$166,$BQ150,1)+CL149</f>
        <v>110995813756.61505</v>
      </c>
      <c r="CM150" s="29">
        <f>(CB150-CB149)*(INDEX([2]大r将兵属性验证!$AC$7:$AC$166,$BQ150,1)*[2]战法技能效用!$AH$4+INDEX([2]大r将兵属性验证!$AX$7:$AX$166,$BQ150,1)*[2]战法技能效用!$AI$4)+CM149</f>
        <v>168531131762.37012</v>
      </c>
      <c r="CN150" s="29">
        <f t="shared" si="127"/>
        <v>854688605319.02246</v>
      </c>
      <c r="CR150" s="29">
        <f>基础状态预期!D163</f>
        <v>71.882008108111634</v>
      </c>
      <c r="CS150" s="29">
        <f>IF(基础状态预期!AI163="",0,基础状态预期!AI163)*$AB$37*基础状态预期!J163</f>
        <v>7.0005044790600834</v>
      </c>
      <c r="CT150" s="29">
        <f>CS150*武将数量星级阶位验证!$E$7*1.8</f>
        <v>37802.724186924446</v>
      </c>
      <c r="CV150" s="29">
        <v>120</v>
      </c>
      <c r="CW150" s="29">
        <f t="shared" si="107"/>
        <v>777600</v>
      </c>
      <c r="CX150" s="29"/>
      <c r="CY150" s="29"/>
      <c r="CZ150" s="29">
        <f t="shared" si="128"/>
        <v>777600</v>
      </c>
    </row>
    <row r="151" spans="51:104" x14ac:dyDescent="0.15">
      <c r="AY151" s="17">
        <v>142</v>
      </c>
      <c r="AZ151" s="17">
        <f>求节点(基础状态预期!$D$17:$D$55,基础状态预期!$AI$17:$AI$55,$AY151)*求节点(基础状态预期!$D$17:$D$55,基础状态预期!$J$17:$J$55,$AY151)*$AB$49</f>
        <v>13320</v>
      </c>
      <c r="BA151" s="17">
        <f>求节点(基础状态预期!$D$62:$D$100,基础状态预期!$AI$62:$AI$100,$AY151)*求节点(基础状态预期!$D$62:$D$100,基础状态预期!$J$62:$J$100,$AY151)*$AB$49</f>
        <v>13320</v>
      </c>
      <c r="BB151" s="17">
        <f>求节点(基础状态预期!$D$107:$D$145,基础状态预期!$AI$107:$AI$145,$AY151)*求节点(基础状态预期!$D$107:$D$145,基础状态预期!$J$107:$J$145,$AY151)*$AB$49</f>
        <v>13320</v>
      </c>
      <c r="BC151" s="17">
        <f>求节点(基础状态预期!$D$152:$D$190,基础状态预期!$AI$152:$AI$190,$AY151)*求节点(基础状态预期!$D$62:$D$100,基础状态预期!$J$152:$J$190,$AY151)*$AB$49</f>
        <v>13320</v>
      </c>
      <c r="BD151" s="17">
        <f>求节点(基础状态预期!$D$197:$D$235,基础状态预期!$AI$197:$AI$235,$AY151)*求节点(基础状态预期!$D$197:$D$235,基础状态预期!$J$197:$J$235,$AY151)*$AB$49</f>
        <v>13320</v>
      </c>
      <c r="BQ151" s="29">
        <v>130</v>
      </c>
      <c r="BR151" s="29">
        <f>求节点(基础状态预期!$D$17:$D$55,基础状态预期!$AI$17:$AI$55,$BQ151)*SUM($AR$6:$AT$6)/3</f>
        <v>40</v>
      </c>
      <c r="BS151" s="29">
        <f>求节点(基础状态预期!$D$17:$D$55,基础状态预期!$AI$17:$AI$55,$BQ151)*AH$6</f>
        <v>2500</v>
      </c>
      <c r="BT151" s="145">
        <f t="shared" si="103"/>
        <v>2500</v>
      </c>
      <c r="BU151" s="29">
        <f>求节点(基础状态预期!$D$17:$D$55,基础状态预期!$AI$17:$AI$55,$BQ151)*AI$6</f>
        <v>120</v>
      </c>
      <c r="BV151" s="145">
        <f t="shared" si="104"/>
        <v>120</v>
      </c>
      <c r="BW151" s="29">
        <f>求节点(基础状态预期!$D$17:$D$55,基础状态预期!$AI$17:$AI$55,$BQ151)*$AU$6</f>
        <v>500</v>
      </c>
      <c r="BX151" s="29">
        <f>求节点(基础状态预期!$D$17:$D$55,基础状态预期!$AI$17:$AI$55,$BQ151)*$AJ$6</f>
        <v>0.12</v>
      </c>
      <c r="BY151" s="145">
        <f t="shared" ref="BY151" si="131">BX151</f>
        <v>0.12</v>
      </c>
      <c r="BZ151" s="29">
        <f>求节点(基础状态预期!$D$17:$D$55,基础状态预期!$AI$17:$AI$55,$BQ151)*$AK$6</f>
        <v>0.1</v>
      </c>
      <c r="CA151" s="145">
        <f t="shared" ref="CA151" si="132">BZ151</f>
        <v>0.1</v>
      </c>
      <c r="CB151" s="29">
        <f>求节点(基础状态预期!$D$17:$D$55,基础状态预期!$AI$17:$AI$55,$BQ151)*$W$60</f>
        <v>0.60000000000000009</v>
      </c>
      <c r="CC151" s="29">
        <f>($BR151-$BR150)*(INDEX([2]大r将兵属性验证!$V$7:$V$166,$BQ151,1)+INDEX([2]大r将兵属性验证!$AP$7:$AP$166,$BQ151,1))+CC150</f>
        <v>149620216494.91174</v>
      </c>
      <c r="CD151" s="29">
        <f>($BS151-$BS150)*INDEX([2]大r将兵属性验证!W$7:W$166,$BQ151,1)+CD150</f>
        <v>32105824478.186195</v>
      </c>
      <c r="CE151" s="29">
        <f>(BT151-$BT150)*INDEX([2]大r将兵属性验证!X$7:X$166,$BQ151,1)+CE150</f>
        <v>32105824478.186195</v>
      </c>
      <c r="CF151" s="29">
        <f>(BU151-BU150)*INDEX([2]大r将兵属性验证!$AQ$7:$AQ$166,$BQ151)+CF150</f>
        <v>91305614573.683136</v>
      </c>
      <c r="CG151" s="29">
        <f>(BV151-BV150)*INDEX([2]大r将兵属性验证!$AR$7:$AR$166,$BQ151)+CG150</f>
        <v>91305614573.683136</v>
      </c>
      <c r="CH151" s="29">
        <f>(BW151-BW150)*INDEX([2]大r将兵属性验证!$AM$7:$AM$166,$BQ151,1)+CH150</f>
        <v>4580775.8210753324</v>
      </c>
      <c r="CI151" s="29">
        <f>(BX151-BX150)*INDEX([2]大r将兵属性验证!$AA$7:$AA$166,$BQ151,1)+CI150</f>
        <v>33859085334.475475</v>
      </c>
      <c r="CJ151" s="29">
        <f>(BY151-BY150)*INDEX([2]大r将兵属性验证!$AB$7:$AB$166,$BQ151,1)+CJ150</f>
        <v>33859085334.475475</v>
      </c>
      <c r="CK151" s="29">
        <f>(BZ151-BZ150)*INDEX([2]大r将兵属性验证!$AU$7:$AU$166,$BQ151,1)+CK150</f>
        <v>110995813756.61505</v>
      </c>
      <c r="CL151" s="29">
        <f>(CA151-CA150)*INDEX([2]大r将兵属性验证!$AV$7:$AV$166,$BQ151,1)+CL150</f>
        <v>110995813756.61505</v>
      </c>
      <c r="CM151" s="29">
        <f>(CB151-CB150)*(INDEX([2]大r将兵属性验证!$AC$7:$AC$166,$BQ151,1)*[2]战法技能效用!$AH$4+INDEX([2]大r将兵属性验证!$AX$7:$AX$166,$BQ151,1)*[2]战法技能效用!$AI$4)+CM150</f>
        <v>168531131762.37012</v>
      </c>
      <c r="CN151" s="29">
        <f t="shared" si="127"/>
        <v>854688605319.02246</v>
      </c>
      <c r="CR151" s="29">
        <f>基础状态预期!D164</f>
        <v>74.493385467679886</v>
      </c>
      <c r="CS151" s="29">
        <f>IF(基础状态预期!AI164="",0,基础状态预期!AI164)*$AB$37*基础状态预期!J164</f>
        <v>8.826102895575838</v>
      </c>
      <c r="CT151" s="29">
        <f>CS151*武将数量星级阶位验证!$E$7*1.8</f>
        <v>47660.955636109524</v>
      </c>
      <c r="CV151" s="29">
        <v>130</v>
      </c>
      <c r="CW151" s="29">
        <f t="shared" si="107"/>
        <v>777600</v>
      </c>
      <c r="CX151" s="29"/>
      <c r="CY151" s="29"/>
      <c r="CZ151" s="29">
        <f t="shared" si="128"/>
        <v>777600</v>
      </c>
    </row>
    <row r="152" spans="51:104" x14ac:dyDescent="0.15">
      <c r="AY152" s="17">
        <v>143</v>
      </c>
      <c r="AZ152" s="17">
        <f>求节点(基础状态预期!$D$17:$D$55,基础状态预期!$AI$17:$AI$55,$AY152)*求节点(基础状态预期!$D$17:$D$55,基础状态预期!$J$17:$J$55,$AY152)*$AB$49</f>
        <v>13320</v>
      </c>
      <c r="BA152" s="17">
        <f>求节点(基础状态预期!$D$62:$D$100,基础状态预期!$AI$62:$AI$100,$AY152)*求节点(基础状态预期!$D$62:$D$100,基础状态预期!$J$62:$J$100,$AY152)*$AB$49</f>
        <v>13320</v>
      </c>
      <c r="BB152" s="17">
        <f>求节点(基础状态预期!$D$107:$D$145,基础状态预期!$AI$107:$AI$145,$AY152)*求节点(基础状态预期!$D$107:$D$145,基础状态预期!$J$107:$J$145,$AY152)*$AB$49</f>
        <v>13320</v>
      </c>
      <c r="BC152" s="17">
        <f>求节点(基础状态预期!$D$152:$D$190,基础状态预期!$AI$152:$AI$190,$AY152)*求节点(基础状态预期!$D$62:$D$100,基础状态预期!$J$152:$J$190,$AY152)*$AB$49</f>
        <v>13320</v>
      </c>
      <c r="BD152" s="17">
        <f>求节点(基础状态预期!$D$197:$D$235,基础状态预期!$AI$197:$AI$235,$AY152)*求节点(基础状态预期!$D$197:$D$235,基础状态预期!$J$197:$J$235,$AY152)*$AB$49</f>
        <v>13320</v>
      </c>
      <c r="BQ152" s="29">
        <v>140</v>
      </c>
      <c r="BR152" s="29">
        <f>求节点(基础状态预期!$D$17:$D$55,基础状态预期!$AI$17:$AI$55,$BQ152)*SUM($AR$6:$AT$6)/3</f>
        <v>40</v>
      </c>
      <c r="BS152" s="29">
        <f>求节点(基础状态预期!$D$17:$D$55,基础状态预期!$AI$17:$AI$55,$BQ152)*AH$6</f>
        <v>2500</v>
      </c>
      <c r="BT152" s="145">
        <f t="shared" si="103"/>
        <v>2500</v>
      </c>
      <c r="BU152" s="29">
        <f>求节点(基础状态预期!$D$17:$D$55,基础状态预期!$AI$17:$AI$55,$BQ152)*AI$6</f>
        <v>120</v>
      </c>
      <c r="BV152" s="145">
        <f t="shared" si="104"/>
        <v>120</v>
      </c>
      <c r="BW152" s="29">
        <f>求节点(基础状态预期!$D$17:$D$55,基础状态预期!$AI$17:$AI$55,$BQ152)*$AU$6</f>
        <v>500</v>
      </c>
      <c r="BX152" s="29">
        <f>求节点(基础状态预期!$D$17:$D$55,基础状态预期!$AI$17:$AI$55,$BQ152)*$AJ$6</f>
        <v>0.12</v>
      </c>
      <c r="BY152" s="145">
        <f t="shared" ref="BY152" si="133">BX152</f>
        <v>0.12</v>
      </c>
      <c r="BZ152" s="29">
        <f>求节点(基础状态预期!$D$17:$D$55,基础状态预期!$AI$17:$AI$55,$BQ152)*$AK$6</f>
        <v>0.1</v>
      </c>
      <c r="CA152" s="145">
        <f t="shared" ref="CA152" si="134">BZ152</f>
        <v>0.1</v>
      </c>
      <c r="CB152" s="29">
        <f>求节点(基础状态预期!$D$17:$D$55,基础状态预期!$AI$17:$AI$55,$BQ152)*$W$60</f>
        <v>0.60000000000000009</v>
      </c>
      <c r="CC152" s="29">
        <f>($BR152-$BR151)*(INDEX([2]大r将兵属性验证!$V$7:$V$166,$BQ152,1)+INDEX([2]大r将兵属性验证!$AP$7:$AP$166,$BQ152,1))+CC151</f>
        <v>149620216494.91174</v>
      </c>
      <c r="CD152" s="29">
        <f>($BS152-$BS151)*INDEX([2]大r将兵属性验证!W$7:W$166,$BQ152,1)+CD151</f>
        <v>32105824478.186195</v>
      </c>
      <c r="CE152" s="29">
        <f>(BT152-$BT151)*INDEX([2]大r将兵属性验证!X$7:X$166,$BQ152,1)+CE151</f>
        <v>32105824478.186195</v>
      </c>
      <c r="CF152" s="29">
        <f>(BU152-BU151)*INDEX([2]大r将兵属性验证!$AQ$7:$AQ$166,$BQ152)+CF151</f>
        <v>91305614573.683136</v>
      </c>
      <c r="CG152" s="29">
        <f>(BV152-BV151)*INDEX([2]大r将兵属性验证!$AR$7:$AR$166,$BQ152)+CG151</f>
        <v>91305614573.683136</v>
      </c>
      <c r="CH152" s="29">
        <f>(BW152-BW151)*INDEX([2]大r将兵属性验证!$AM$7:$AM$166,$BQ152,1)+CH151</f>
        <v>4580775.8210753324</v>
      </c>
      <c r="CI152" s="29">
        <f>(BX152-BX151)*INDEX([2]大r将兵属性验证!$AA$7:$AA$166,$BQ152,1)+CI151</f>
        <v>33859085334.475475</v>
      </c>
      <c r="CJ152" s="29">
        <f>(BY152-BY151)*INDEX([2]大r将兵属性验证!$AB$7:$AB$166,$BQ152,1)+CJ151</f>
        <v>33859085334.475475</v>
      </c>
      <c r="CK152" s="29">
        <f>(BZ152-BZ151)*INDEX([2]大r将兵属性验证!$AU$7:$AU$166,$BQ152,1)+CK151</f>
        <v>110995813756.61505</v>
      </c>
      <c r="CL152" s="29">
        <f>(CA152-CA151)*INDEX([2]大r将兵属性验证!$AV$7:$AV$166,$BQ152,1)+CL151</f>
        <v>110995813756.61505</v>
      </c>
      <c r="CM152" s="29">
        <f>(CB152-CB151)*(INDEX([2]大r将兵属性验证!$AC$7:$AC$166,$BQ152,1)*[2]战法技能效用!$AH$4+INDEX([2]大r将兵属性验证!$AX$7:$AX$166,$BQ152,1)*[2]战法技能效用!$AI$4)+CM151</f>
        <v>168531131762.37012</v>
      </c>
      <c r="CN152" s="29">
        <f t="shared" si="127"/>
        <v>854688605319.02246</v>
      </c>
      <c r="CR152" s="29">
        <f>基础状态预期!D165</f>
        <v>77.332919927503724</v>
      </c>
      <c r="CS152" s="29">
        <f>IF(基础状态预期!AI165="",0,基础状态预期!AI165)*$AB$37*基础状态预期!J165</f>
        <v>11.122297142473471</v>
      </c>
      <c r="CT152" s="29">
        <f>CS152*武将数量星级阶位验证!$E$7*1.8</f>
        <v>60060.404569356746</v>
      </c>
      <c r="CV152" s="29">
        <v>140</v>
      </c>
      <c r="CW152" s="29">
        <f t="shared" si="107"/>
        <v>777600</v>
      </c>
      <c r="CX152" s="29"/>
      <c r="CY152" s="29"/>
      <c r="CZ152" s="29">
        <f t="shared" si="128"/>
        <v>777600</v>
      </c>
    </row>
    <row r="153" spans="51:104" x14ac:dyDescent="0.15">
      <c r="AY153" s="17">
        <v>144</v>
      </c>
      <c r="AZ153" s="17">
        <f>求节点(基础状态预期!$D$17:$D$55,基础状态预期!$AI$17:$AI$55,$AY153)*求节点(基础状态预期!$D$17:$D$55,基础状态预期!$J$17:$J$55,$AY153)*$AB$49</f>
        <v>13320</v>
      </c>
      <c r="BA153" s="17">
        <f>求节点(基础状态预期!$D$62:$D$100,基础状态预期!$AI$62:$AI$100,$AY153)*求节点(基础状态预期!$D$62:$D$100,基础状态预期!$J$62:$J$100,$AY153)*$AB$49</f>
        <v>13320</v>
      </c>
      <c r="BB153" s="17">
        <f>求节点(基础状态预期!$D$107:$D$145,基础状态预期!$AI$107:$AI$145,$AY153)*求节点(基础状态预期!$D$107:$D$145,基础状态预期!$J$107:$J$145,$AY153)*$AB$49</f>
        <v>13320</v>
      </c>
      <c r="BC153" s="17">
        <f>求节点(基础状态预期!$D$152:$D$190,基础状态预期!$AI$152:$AI$190,$AY153)*求节点(基础状态预期!$D$62:$D$100,基础状态预期!$J$152:$J$190,$AY153)*$AB$49</f>
        <v>13320</v>
      </c>
      <c r="BD153" s="17">
        <f>求节点(基础状态预期!$D$197:$D$235,基础状态预期!$AI$197:$AI$235,$AY153)*求节点(基础状态预期!$D$197:$D$235,基础状态预期!$J$197:$J$235,$AY153)*$AB$49</f>
        <v>13320</v>
      </c>
      <c r="BQ153" s="29">
        <v>150</v>
      </c>
      <c r="BR153" s="29">
        <f>求节点(基础状态预期!$D$17:$D$55,基础状态预期!$AI$17:$AI$55,$BQ153)*SUM($AR$6:$AT$6)/3</f>
        <v>40</v>
      </c>
      <c r="BS153" s="29">
        <f>求节点(基础状态预期!$D$17:$D$55,基础状态预期!$AI$17:$AI$55,$BQ153)*AH$6</f>
        <v>2500</v>
      </c>
      <c r="BT153" s="145">
        <f t="shared" si="103"/>
        <v>2500</v>
      </c>
      <c r="BU153" s="29">
        <f>求节点(基础状态预期!$D$17:$D$55,基础状态预期!$AI$17:$AI$55,$BQ153)*AI$6</f>
        <v>120</v>
      </c>
      <c r="BV153" s="145">
        <f t="shared" si="104"/>
        <v>120</v>
      </c>
      <c r="BW153" s="29">
        <f>求节点(基础状态预期!$D$17:$D$55,基础状态预期!$AI$17:$AI$55,$BQ153)*$AU$6</f>
        <v>500</v>
      </c>
      <c r="BX153" s="29">
        <f>求节点(基础状态预期!$D$17:$D$55,基础状态预期!$AI$17:$AI$55,$BQ153)*$AJ$6</f>
        <v>0.12</v>
      </c>
      <c r="BY153" s="145">
        <f t="shared" ref="BY153" si="135">BX153</f>
        <v>0.12</v>
      </c>
      <c r="BZ153" s="29">
        <f>求节点(基础状态预期!$D$17:$D$55,基础状态预期!$AI$17:$AI$55,$BQ153)*$AK$6</f>
        <v>0.1</v>
      </c>
      <c r="CA153" s="145">
        <f t="shared" ref="CA153" si="136">BZ153</f>
        <v>0.1</v>
      </c>
      <c r="CB153" s="29">
        <f>求节点(基础状态预期!$D$17:$D$55,基础状态预期!$AI$17:$AI$55,$BQ153)*$W$60</f>
        <v>0.60000000000000009</v>
      </c>
      <c r="CC153" s="29">
        <f>($BR153-$BR152)*(INDEX([2]大r将兵属性验证!$V$7:$V$166,$BQ153,1)+INDEX([2]大r将兵属性验证!$AP$7:$AP$166,$BQ153,1))+CC152</f>
        <v>149620216494.91174</v>
      </c>
      <c r="CD153" s="29">
        <f>($BS153-$BS152)*INDEX([2]大r将兵属性验证!W$7:W$166,$BQ153,1)+CD152</f>
        <v>32105824478.186195</v>
      </c>
      <c r="CE153" s="29">
        <f>(BT153-$BT152)*INDEX([2]大r将兵属性验证!X$7:X$166,$BQ153,1)+CE152</f>
        <v>32105824478.186195</v>
      </c>
      <c r="CF153" s="29">
        <f>(BU153-BU152)*INDEX([2]大r将兵属性验证!$AQ$7:$AQ$166,$BQ153)+CF152</f>
        <v>91305614573.683136</v>
      </c>
      <c r="CG153" s="29">
        <f>(BV153-BV152)*INDEX([2]大r将兵属性验证!$AR$7:$AR$166,$BQ153)+CG152</f>
        <v>91305614573.683136</v>
      </c>
      <c r="CH153" s="29">
        <f>(BW153-BW152)*INDEX([2]大r将兵属性验证!$AM$7:$AM$166,$BQ153,1)+CH152</f>
        <v>4580775.8210753324</v>
      </c>
      <c r="CI153" s="29">
        <f>(BX153-BX152)*INDEX([2]大r将兵属性验证!$AA$7:$AA$166,$BQ153,1)+CI152</f>
        <v>33859085334.475475</v>
      </c>
      <c r="CJ153" s="29">
        <f>(BY153-BY152)*INDEX([2]大r将兵属性验证!$AB$7:$AB$166,$BQ153,1)+CJ152</f>
        <v>33859085334.475475</v>
      </c>
      <c r="CK153" s="29">
        <f>(BZ153-BZ152)*INDEX([2]大r将兵属性验证!$AU$7:$AU$166,$BQ153,1)+CK152</f>
        <v>110995813756.61505</v>
      </c>
      <c r="CL153" s="29">
        <f>(CA153-CA152)*INDEX([2]大r将兵属性验证!$AV$7:$AV$166,$BQ153,1)+CL152</f>
        <v>110995813756.61505</v>
      </c>
      <c r="CM153" s="29">
        <f>(CB153-CB152)*(INDEX([2]大r将兵属性验证!$AC$7:$AC$166,$BQ153,1)*[2]战法技能效用!$AH$4+INDEX([2]大r将兵属性验证!$AX$7:$AX$166,$BQ153,1)*[2]战法技能效用!$AI$4)+CM152</f>
        <v>168531131762.37012</v>
      </c>
      <c r="CN153" s="29">
        <f t="shared" si="127"/>
        <v>854688605319.02246</v>
      </c>
      <c r="CR153" s="29">
        <f>基础状态预期!D166</f>
        <v>79.813360188853366</v>
      </c>
      <c r="CS153" s="29">
        <f>IF(基础状态预期!AI166="",0,基础状态预期!AI166)*$AB$37*基础状态预期!J166</f>
        <v>13.270038744426399</v>
      </c>
      <c r="CT153" s="29">
        <f>CS153*武将数量星级阶位验证!$E$7*1.8</f>
        <v>71658.209219902565</v>
      </c>
      <c r="CV153" s="29">
        <v>150</v>
      </c>
      <c r="CW153" s="29">
        <f t="shared" si="107"/>
        <v>777600</v>
      </c>
      <c r="CX153" s="29"/>
      <c r="CY153" s="29"/>
      <c r="CZ153" s="29">
        <f t="shared" si="128"/>
        <v>777600</v>
      </c>
    </row>
    <row r="154" spans="51:104" x14ac:dyDescent="0.15">
      <c r="AY154" s="17">
        <v>145</v>
      </c>
      <c r="AZ154" s="17">
        <f>求节点(基础状态预期!$D$17:$D$55,基础状态预期!$AI$17:$AI$55,$AY154)*求节点(基础状态预期!$D$17:$D$55,基础状态预期!$J$17:$J$55,$AY154)*$AB$49</f>
        <v>13320</v>
      </c>
      <c r="BA154" s="17">
        <f>求节点(基础状态预期!$D$62:$D$100,基础状态预期!$AI$62:$AI$100,$AY154)*求节点(基础状态预期!$D$62:$D$100,基础状态预期!$J$62:$J$100,$AY154)*$AB$49</f>
        <v>13320</v>
      </c>
      <c r="BB154" s="17">
        <f>求节点(基础状态预期!$D$107:$D$145,基础状态预期!$AI$107:$AI$145,$AY154)*求节点(基础状态预期!$D$107:$D$145,基础状态预期!$J$107:$J$145,$AY154)*$AB$49</f>
        <v>13320</v>
      </c>
      <c r="BC154" s="17">
        <f>求节点(基础状态预期!$D$152:$D$190,基础状态预期!$AI$152:$AI$190,$AY154)*求节点(基础状态预期!$D$62:$D$100,基础状态预期!$J$152:$J$190,$AY154)*$AB$49</f>
        <v>13320</v>
      </c>
      <c r="BD154" s="17">
        <f>求节点(基础状态预期!$D$197:$D$235,基础状态预期!$AI$197:$AI$235,$AY154)*求节点(基础状态预期!$D$197:$D$235,基础状态预期!$J$197:$J$235,$AY154)*$AB$49</f>
        <v>13320</v>
      </c>
      <c r="BQ154" s="29">
        <v>160</v>
      </c>
      <c r="BR154" s="29">
        <f>求节点(基础状态预期!$D$17:$D$55,基础状态预期!$AI$17:$AI$55,$BQ154)*SUM($AR$6:$AT$6)/3</f>
        <v>40</v>
      </c>
      <c r="BS154" s="29">
        <f>求节点(基础状态预期!$D$17:$D$55,基础状态预期!$AI$17:$AI$55,$BQ154)*AH$6</f>
        <v>2500</v>
      </c>
      <c r="BT154" s="145">
        <f t="shared" si="103"/>
        <v>2500</v>
      </c>
      <c r="BU154" s="29">
        <f>求节点(基础状态预期!$D$17:$D$55,基础状态预期!$AI$17:$AI$55,$BQ154)*AI$6</f>
        <v>120</v>
      </c>
      <c r="BV154" s="145">
        <f t="shared" si="104"/>
        <v>120</v>
      </c>
      <c r="BW154" s="29">
        <f>求节点(基础状态预期!$D$17:$D$55,基础状态预期!$AI$17:$AI$55,$BQ154)*$AU$6</f>
        <v>500</v>
      </c>
      <c r="BX154" s="29">
        <f>求节点(基础状态预期!$D$17:$D$55,基础状态预期!$AI$17:$AI$55,$BQ154)*$AJ$6</f>
        <v>0.12</v>
      </c>
      <c r="BY154" s="145">
        <f t="shared" ref="BY154" si="137">BX154</f>
        <v>0.12</v>
      </c>
      <c r="BZ154" s="29">
        <f>求节点(基础状态预期!$D$17:$D$55,基础状态预期!$AI$17:$AI$55,$BQ154)*$AK$6</f>
        <v>0.1</v>
      </c>
      <c r="CA154" s="145">
        <f t="shared" ref="CA154" si="138">BZ154</f>
        <v>0.1</v>
      </c>
      <c r="CB154" s="29">
        <f>求节点(基础状态预期!$D$17:$D$55,基础状态预期!$AI$17:$AI$55,$BQ154)*$W$60</f>
        <v>0.60000000000000009</v>
      </c>
      <c r="CC154" s="29">
        <f>($BR154-$BR153)*(INDEX([2]大r将兵属性验证!$V$7:$V$166,$BQ154,1)+INDEX([2]大r将兵属性验证!$AP$7:$AP$166,$BQ154,1))+CC153</f>
        <v>149620216494.91174</v>
      </c>
      <c r="CD154" s="29">
        <f>($BS154-$BS153)*INDEX([2]大r将兵属性验证!W$7:W$166,$BQ154,1)+CD153</f>
        <v>32105824478.186195</v>
      </c>
      <c r="CE154" s="29">
        <f>(BT154-$BT153)*INDEX([2]大r将兵属性验证!X$7:X$166,$BQ154,1)+CE153</f>
        <v>32105824478.186195</v>
      </c>
      <c r="CF154" s="29">
        <f>(BU154-BU153)*INDEX([2]大r将兵属性验证!$AQ$7:$AQ$166,$BQ154)+CF153</f>
        <v>91305614573.683136</v>
      </c>
      <c r="CG154" s="29">
        <f>(BV154-BV153)*INDEX([2]大r将兵属性验证!$AR$7:$AR$166,$BQ154)+CG153</f>
        <v>91305614573.683136</v>
      </c>
      <c r="CH154" s="29">
        <f>(BW154-BW153)*INDEX([2]大r将兵属性验证!$AM$7:$AM$166,$BQ154,1)+CH153</f>
        <v>4580775.8210753324</v>
      </c>
      <c r="CI154" s="29">
        <f>(BX154-BX153)*INDEX([2]大r将兵属性验证!$AA$7:$AA$166,$BQ154,1)+CI153</f>
        <v>33859085334.475475</v>
      </c>
      <c r="CJ154" s="29">
        <f>(BY154-BY153)*INDEX([2]大r将兵属性验证!$AB$7:$AB$166,$BQ154,1)+CJ153</f>
        <v>33859085334.475475</v>
      </c>
      <c r="CK154" s="29">
        <f>(BZ154-BZ153)*INDEX([2]大r将兵属性验证!$AU$7:$AU$166,$BQ154,1)+CK153</f>
        <v>110995813756.61505</v>
      </c>
      <c r="CL154" s="29">
        <f>(CA154-CA153)*INDEX([2]大r将兵属性验证!$AV$7:$AV$166,$BQ154,1)+CL153</f>
        <v>110995813756.61505</v>
      </c>
      <c r="CM154" s="29">
        <f>(CB154-CB153)*(INDEX([2]大r将兵属性验证!$AC$7:$AC$166,$BQ154,1)*[2]战法技能效用!$AH$4+INDEX([2]大r将兵属性验证!$AX$7:$AX$166,$BQ154,1)*[2]战法技能效用!$AI$4)+CM153</f>
        <v>168531131762.37012</v>
      </c>
      <c r="CN154" s="29">
        <f t="shared" si="127"/>
        <v>854688605319.02246</v>
      </c>
      <c r="CR154" s="29">
        <f>基础状态预期!D167</f>
        <v>81.919202803497143</v>
      </c>
      <c r="CS154" s="29">
        <f>IF(基础状态预期!AI167="",0,基础状态预期!AI167)*$AB$37*基础状态预期!J167</f>
        <v>27.89420419836847</v>
      </c>
      <c r="CT154" s="29">
        <f>CS154*武将数量星级阶位验证!$E$7*1.8</f>
        <v>150628.70267118973</v>
      </c>
      <c r="CV154" s="29">
        <v>160</v>
      </c>
      <c r="CW154" s="29">
        <f t="shared" si="107"/>
        <v>777600</v>
      </c>
      <c r="CX154" s="29"/>
      <c r="CY154" s="29"/>
      <c r="CZ154" s="29">
        <f t="shared" si="128"/>
        <v>777600</v>
      </c>
    </row>
    <row r="155" spans="51:104" x14ac:dyDescent="0.15">
      <c r="AY155" s="17">
        <v>146</v>
      </c>
      <c r="AZ155" s="17">
        <f>求节点(基础状态预期!$D$17:$D$55,基础状态预期!$AI$17:$AI$55,$AY155)*求节点(基础状态预期!$D$17:$D$55,基础状态预期!$J$17:$J$55,$AY155)*$AB$49</f>
        <v>13320</v>
      </c>
      <c r="BA155" s="17">
        <f>求节点(基础状态预期!$D$62:$D$100,基础状态预期!$AI$62:$AI$100,$AY155)*求节点(基础状态预期!$D$62:$D$100,基础状态预期!$J$62:$J$100,$AY155)*$AB$49</f>
        <v>13320</v>
      </c>
      <c r="BB155" s="17">
        <f>求节点(基础状态预期!$D$107:$D$145,基础状态预期!$AI$107:$AI$145,$AY155)*求节点(基础状态预期!$D$107:$D$145,基础状态预期!$J$107:$J$145,$AY155)*$AB$49</f>
        <v>13320</v>
      </c>
      <c r="BC155" s="17">
        <f>求节点(基础状态预期!$D$152:$D$190,基础状态预期!$AI$152:$AI$190,$AY155)*求节点(基础状态预期!$D$62:$D$100,基础状态预期!$J$152:$J$190,$AY155)*$AB$49</f>
        <v>13320</v>
      </c>
      <c r="BD155" s="17">
        <f>求节点(基础状态预期!$D$197:$D$235,基础状态预期!$AI$197:$AI$235,$AY155)*求节点(基础状态预期!$D$197:$D$235,基础状态预期!$J$197:$J$235,$AY155)*$AB$49</f>
        <v>13320</v>
      </c>
      <c r="CR155" s="29">
        <f>基础状态预期!D168</f>
        <v>83.738783536778797</v>
      </c>
      <c r="CS155" s="29">
        <f>IF(基础状态预期!AI168="",0,基础状态预期!AI168)*$AB$37*基础状态预期!J168</f>
        <v>54.693871679735715</v>
      </c>
      <c r="CT155" s="29">
        <f>CS155*武将数量星级阶位验证!$E$7*1.8</f>
        <v>295346.9070705729</v>
      </c>
    </row>
    <row r="156" spans="51:104" x14ac:dyDescent="0.15">
      <c r="AY156" s="17">
        <v>147</v>
      </c>
      <c r="AZ156" s="17">
        <f>求节点(基础状态预期!$D$17:$D$55,基础状态预期!$AI$17:$AI$55,$AY156)*求节点(基础状态预期!$D$17:$D$55,基础状态预期!$J$17:$J$55,$AY156)*$AB$49</f>
        <v>13320</v>
      </c>
      <c r="BA156" s="17">
        <f>求节点(基础状态预期!$D$62:$D$100,基础状态预期!$AI$62:$AI$100,$AY156)*求节点(基础状态预期!$D$62:$D$100,基础状态预期!$J$62:$J$100,$AY156)*$AB$49</f>
        <v>13320</v>
      </c>
      <c r="BB156" s="17">
        <f>求节点(基础状态预期!$D$107:$D$145,基础状态预期!$AI$107:$AI$145,$AY156)*求节点(基础状态预期!$D$107:$D$145,基础状态预期!$J$107:$J$145,$AY156)*$AB$49</f>
        <v>13320</v>
      </c>
      <c r="BC156" s="17">
        <f>求节点(基础状态预期!$D$152:$D$190,基础状态预期!$AI$152:$AI$190,$AY156)*求节点(基础状态预期!$D$62:$D$100,基础状态预期!$J$152:$J$190,$AY156)*$AB$49</f>
        <v>13320</v>
      </c>
      <c r="BD156" s="17">
        <f>求节点(基础状态预期!$D$197:$D$235,基础状态预期!$AI$197:$AI$235,$AY156)*求节点(基础状态预期!$D$197:$D$235,基础状态预期!$J$197:$J$235,$AY156)*$AB$49</f>
        <v>13320</v>
      </c>
      <c r="CR156" s="29">
        <f>基础状态预期!D169</f>
        <v>86.045919706798657</v>
      </c>
      <c r="CS156" s="29">
        <f>IF(基础状态预期!AI169="",0,基础状态预期!AI169)*$AB$37*基础状态预期!J169</f>
        <v>72</v>
      </c>
      <c r="CT156" s="29">
        <f>CS156*武将数量星级阶位验证!$E$7*1.8</f>
        <v>388800</v>
      </c>
    </row>
    <row r="157" spans="51:104" x14ac:dyDescent="0.15">
      <c r="AY157" s="17">
        <v>148</v>
      </c>
      <c r="AZ157" s="17">
        <f>求节点(基础状态预期!$D$17:$D$55,基础状态预期!$AI$17:$AI$55,$AY157)*求节点(基础状态预期!$D$17:$D$55,基础状态预期!$J$17:$J$55,$AY157)*$AB$49</f>
        <v>13320</v>
      </c>
      <c r="BA157" s="17">
        <f>求节点(基础状态预期!$D$62:$D$100,基础状态预期!$AI$62:$AI$100,$AY157)*求节点(基础状态预期!$D$62:$D$100,基础状态预期!$J$62:$J$100,$AY157)*$AB$49</f>
        <v>13320</v>
      </c>
      <c r="BB157" s="17">
        <f>求节点(基础状态预期!$D$107:$D$145,基础状态预期!$AI$107:$AI$145,$AY157)*求节点(基础状态预期!$D$107:$D$145,基础状态预期!$J$107:$J$145,$AY157)*$AB$49</f>
        <v>13320</v>
      </c>
      <c r="BC157" s="17">
        <f>求节点(基础状态预期!$D$152:$D$190,基础状态预期!$AI$152:$AI$190,$AY157)*求节点(基础状态预期!$D$62:$D$100,基础状态预期!$J$152:$J$190,$AY157)*$AB$49</f>
        <v>13320</v>
      </c>
      <c r="BD157" s="17">
        <f>求节点(基础状态预期!$D$197:$D$235,基础状态预期!$AI$197:$AI$235,$AY157)*求节点(基础状态预期!$D$197:$D$235,基础状态预期!$J$197:$J$235,$AY157)*$AB$49</f>
        <v>13320</v>
      </c>
      <c r="CR157" s="29">
        <f>基础状态预期!D170</f>
        <v>90.288435080379244</v>
      </c>
      <c r="CS157" s="29">
        <f>IF(基础状态预期!AI170="",0,基础状态预期!AI170)*$AB$37*基础状态预期!J170</f>
        <v>139.27458968343069</v>
      </c>
      <c r="CT157" s="29">
        <f>CS157*武将数量星级阶位验证!$E$7*1.8</f>
        <v>752082.78429052583</v>
      </c>
    </row>
    <row r="158" spans="51:104" x14ac:dyDescent="0.15">
      <c r="AY158" s="17">
        <v>149</v>
      </c>
      <c r="AZ158" s="17">
        <f>求节点(基础状态预期!$D$17:$D$55,基础状态预期!$AI$17:$AI$55,$AY158)*求节点(基础状态预期!$D$17:$D$55,基础状态预期!$J$17:$J$55,$AY158)*$AB$49</f>
        <v>13320</v>
      </c>
      <c r="BA158" s="17">
        <f>求节点(基础状态预期!$D$62:$D$100,基础状态预期!$AI$62:$AI$100,$AY158)*求节点(基础状态预期!$D$62:$D$100,基础状态预期!$J$62:$J$100,$AY158)*$AB$49</f>
        <v>13320</v>
      </c>
      <c r="BB158" s="17">
        <f>求节点(基础状态预期!$D$107:$D$145,基础状态预期!$AI$107:$AI$145,$AY158)*求节点(基础状态预期!$D$107:$D$145,基础状态预期!$J$107:$J$145,$AY158)*$AB$49</f>
        <v>13320</v>
      </c>
      <c r="BC158" s="17">
        <f>求节点(基础状态预期!$D$152:$D$190,基础状态预期!$AI$152:$AI$190,$AY158)*求节点(基础状态预期!$D$62:$D$100,基础状态预期!$J$152:$J$190,$AY158)*$AB$49</f>
        <v>13320</v>
      </c>
      <c r="BD158" s="17">
        <f>求节点(基础状态预期!$D$197:$D$235,基础状态预期!$AI$197:$AI$235,$AY158)*求节点(基础状态预期!$D$197:$D$235,基础状态预期!$J$197:$J$235,$AY158)*$AB$49</f>
        <v>13320</v>
      </c>
      <c r="CR158" s="29">
        <f>基础状态预期!D171</f>
        <v>93.400072017025948</v>
      </c>
      <c r="CS158" s="29">
        <f>IF(基础状态预期!AI171="",0,基础状态预期!AI171)*$AB$37*基础状态预期!J171</f>
        <v>144</v>
      </c>
      <c r="CT158" s="29">
        <f>CS158*武将数量星级阶位验证!$E$7*1.8</f>
        <v>777600</v>
      </c>
    </row>
    <row r="159" spans="51:104" x14ac:dyDescent="0.15">
      <c r="AY159" s="17">
        <v>150</v>
      </c>
      <c r="AZ159" s="17">
        <f>求节点(基础状态预期!$D$17:$D$55,基础状态预期!$AI$17:$AI$55,$AY159)*求节点(基础状态预期!$D$17:$D$55,基础状态预期!$J$17:$J$55,$AY159)*$AB$49</f>
        <v>13320</v>
      </c>
      <c r="BA159" s="17">
        <f>求节点(基础状态预期!$D$62:$D$100,基础状态预期!$AI$62:$AI$100,$AY159)*求节点(基础状态预期!$D$62:$D$100,基础状态预期!$J$62:$J$100,$AY159)*$AB$49</f>
        <v>13320</v>
      </c>
      <c r="BB159" s="17">
        <f>求节点(基础状态预期!$D$107:$D$145,基础状态预期!$AI$107:$AI$145,$AY159)*求节点(基础状态预期!$D$107:$D$145,基础状态预期!$J$107:$J$145,$AY159)*$AB$49</f>
        <v>13320</v>
      </c>
      <c r="BC159" s="17">
        <f>求节点(基础状态预期!$D$152:$D$190,基础状态预期!$AI$152:$AI$190,$AY159)*求节点(基础状态预期!$D$62:$D$100,基础状态预期!$J$152:$J$190,$AY159)*$AB$49</f>
        <v>13320</v>
      </c>
      <c r="BD159" s="17">
        <f>求节点(基础状态预期!$D$197:$D$235,基础状态预期!$AI$197:$AI$235,$AY159)*求节点(基础状态预期!$D$197:$D$235,基础状态预期!$J$197:$J$235,$AY159)*$AB$49</f>
        <v>13320</v>
      </c>
      <c r="CR159" s="29">
        <f>基础状态预期!D172</f>
        <v>97.006001686863456</v>
      </c>
      <c r="CS159" s="29">
        <f>IF(基础状态预期!AI172="",0,基础状态预期!AI172)*$AB$37*基础状态预期!J172</f>
        <v>144</v>
      </c>
      <c r="CT159" s="29">
        <f>CS159*武将数量星级阶位验证!$E$7*1.8</f>
        <v>777600</v>
      </c>
    </row>
    <row r="160" spans="51:104" x14ac:dyDescent="0.15">
      <c r="AY160" s="17">
        <v>151</v>
      </c>
      <c r="AZ160" s="17">
        <f>求节点(基础状态预期!$D$17:$D$55,基础状态预期!$AI$17:$AI$55,$AY160)*求节点(基础状态预期!$D$17:$D$55,基础状态预期!$J$17:$J$55,$AY160)*$AB$49</f>
        <v>13320</v>
      </c>
      <c r="BA160" s="17">
        <f>求节点(基础状态预期!$D$62:$D$100,基础状态预期!$AI$62:$AI$100,$AY160)*求节点(基础状态预期!$D$62:$D$100,基础状态预期!$J$62:$J$100,$AY160)*$AB$49</f>
        <v>13320</v>
      </c>
      <c r="BB160" s="17">
        <f>求节点(基础状态预期!$D$107:$D$145,基础状态预期!$AI$107:$AI$145,$AY160)*求节点(基础状态预期!$D$107:$D$145,基础状态预期!$J$107:$J$145,$AY160)*$AB$49</f>
        <v>13320</v>
      </c>
      <c r="BC160" s="17">
        <f>求节点(基础状态预期!$D$152:$D$190,基础状态预期!$AI$152:$AI$190,$AY160)*求节点(基础状态预期!$D$62:$D$100,基础状态预期!$J$152:$J$190,$AY160)*$AB$49</f>
        <v>13320</v>
      </c>
      <c r="BD160" s="17">
        <f>求节点(基础状态预期!$D$197:$D$235,基础状态预期!$AI$197:$AI$235,$AY160)*求节点(基础状态预期!$D$197:$D$235,基础状态预期!$J$197:$J$235,$AY160)*$AB$49</f>
        <v>13320</v>
      </c>
      <c r="CR160" s="29">
        <f>基础状态预期!D173</f>
        <v>100.64473135315967</v>
      </c>
      <c r="CS160" s="29">
        <f>IF(基础状态预期!AI173="",0,基础状态预期!AI173)*$AB$37*基础状态预期!J173</f>
        <v>144</v>
      </c>
      <c r="CT160" s="29">
        <f>CS160*武将数量星级阶位验证!$E$7*1.8</f>
        <v>777600</v>
      </c>
    </row>
    <row r="161" spans="51:98" x14ac:dyDescent="0.15">
      <c r="AY161" s="17">
        <v>152</v>
      </c>
      <c r="AZ161" s="17">
        <f>求节点(基础状态预期!$D$17:$D$55,基础状态预期!$AI$17:$AI$55,$AY161)*求节点(基础状态预期!$D$17:$D$55,基础状态预期!$J$17:$J$55,$AY161)*$AB$49</f>
        <v>13320</v>
      </c>
      <c r="BA161" s="17">
        <f>求节点(基础状态预期!$D$62:$D$100,基础状态预期!$AI$62:$AI$100,$AY161)*求节点(基础状态预期!$D$62:$D$100,基础状态预期!$J$62:$J$100,$AY161)*$AB$49</f>
        <v>13320</v>
      </c>
      <c r="BB161" s="17">
        <f>求节点(基础状态预期!$D$107:$D$145,基础状态预期!$AI$107:$AI$145,$AY161)*求节点(基础状态预期!$D$107:$D$145,基础状态预期!$J$107:$J$145,$AY161)*$AB$49</f>
        <v>13320</v>
      </c>
      <c r="BC161" s="17">
        <f>求节点(基础状态预期!$D$152:$D$190,基础状态预期!$AI$152:$AI$190,$AY161)*求节点(基础状态预期!$D$62:$D$100,基础状态预期!$J$152:$J$190,$AY161)*$AB$49</f>
        <v>13320</v>
      </c>
      <c r="BD161" s="17">
        <f>求节点(基础状态预期!$D$197:$D$235,基础状态预期!$AI$197:$AI$235,$AY161)*求节点(基础状态预期!$D$197:$D$235,基础状态预期!$J$197:$J$235,$AY161)*$AB$49</f>
        <v>13320</v>
      </c>
      <c r="CR161" s="29">
        <f>基础状态预期!D174</f>
        <v>104.30731379164318</v>
      </c>
      <c r="CS161" s="29">
        <f>IF(基础状态预期!AI174="",0,基础状态预期!AI174)*$AB$37*基础状态预期!J174</f>
        <v>144</v>
      </c>
      <c r="CT161" s="29">
        <f>CS161*武将数量星级阶位验证!$E$7*1.8</f>
        <v>777600</v>
      </c>
    </row>
    <row r="162" spans="51:98" x14ac:dyDescent="0.15">
      <c r="AY162" s="17">
        <v>153</v>
      </c>
      <c r="AZ162" s="17">
        <f>求节点(基础状态预期!$D$17:$D$55,基础状态预期!$AI$17:$AI$55,$AY162)*求节点(基础状态预期!$D$17:$D$55,基础状态预期!$J$17:$J$55,$AY162)*$AB$49</f>
        <v>13320</v>
      </c>
      <c r="BA162" s="17">
        <f>求节点(基础状态预期!$D$62:$D$100,基础状态预期!$AI$62:$AI$100,$AY162)*求节点(基础状态预期!$D$62:$D$100,基础状态预期!$J$62:$J$100,$AY162)*$AB$49</f>
        <v>13320</v>
      </c>
      <c r="BB162" s="17">
        <f>求节点(基础状态预期!$D$107:$D$145,基础状态预期!$AI$107:$AI$145,$AY162)*求节点(基础状态预期!$D$107:$D$145,基础状态预期!$J$107:$J$145,$AY162)*$AB$49</f>
        <v>13320</v>
      </c>
      <c r="BC162" s="17">
        <f>求节点(基础状态预期!$D$152:$D$190,基础状态预期!$AI$152:$AI$190,$AY162)*求节点(基础状态预期!$D$62:$D$100,基础状态预期!$J$152:$J$190,$AY162)*$AB$49</f>
        <v>13320</v>
      </c>
      <c r="BD162" s="17">
        <f>求节点(基础状态预期!$D$197:$D$235,基础状态预期!$AI$197:$AI$235,$AY162)*求节点(基础状态预期!$D$197:$D$235,基础状态预期!$J$197:$J$235,$AY162)*$AB$49</f>
        <v>13320</v>
      </c>
      <c r="CR162" s="29">
        <f>基础状态预期!D175</f>
        <v>107.78950972208385</v>
      </c>
      <c r="CS162" s="29">
        <f>IF(基础状态预期!AI175="",0,基础状态预期!AI175)*$AB$37*基础状态预期!J175</f>
        <v>144</v>
      </c>
      <c r="CT162" s="29">
        <f>CS162*武将数量星级阶位验证!$E$7*1.8</f>
        <v>777600</v>
      </c>
    </row>
    <row r="163" spans="51:98" x14ac:dyDescent="0.15">
      <c r="AY163" s="17">
        <v>154</v>
      </c>
      <c r="AZ163" s="17">
        <f>求节点(基础状态预期!$D$17:$D$55,基础状态预期!$AI$17:$AI$55,$AY163)*求节点(基础状态预期!$D$17:$D$55,基础状态预期!$J$17:$J$55,$AY163)*$AB$49</f>
        <v>13320</v>
      </c>
      <c r="BA163" s="17">
        <f>求节点(基础状态预期!$D$62:$D$100,基础状态预期!$AI$62:$AI$100,$AY163)*求节点(基础状态预期!$D$62:$D$100,基础状态预期!$J$62:$J$100,$AY163)*$AB$49</f>
        <v>13320</v>
      </c>
      <c r="BB163" s="17">
        <f>求节点(基础状态预期!$D$107:$D$145,基础状态预期!$AI$107:$AI$145,$AY163)*求节点(基础状态预期!$D$107:$D$145,基础状态预期!$J$107:$J$145,$AY163)*$AB$49</f>
        <v>13320</v>
      </c>
      <c r="BC163" s="17">
        <f>求节点(基础状态预期!$D$152:$D$190,基础状态预期!$AI$152:$AI$190,$AY163)*求节点(基础状态预期!$D$62:$D$100,基础状态预期!$J$152:$J$190,$AY163)*$AB$49</f>
        <v>13320</v>
      </c>
      <c r="BD163" s="17">
        <f>求节点(基础状态预期!$D$197:$D$235,基础状态预期!$AI$197:$AI$235,$AY163)*求节点(基础状态预期!$D$197:$D$235,基础状态预期!$J$197:$J$235,$AY163)*$AB$49</f>
        <v>13320</v>
      </c>
      <c r="CR163" s="29">
        <f>基础状态预期!D176</f>
        <v>111.29737083030383</v>
      </c>
      <c r="CS163" s="29">
        <f>IF(基础状态预期!AI176="",0,基础状态预期!AI176)*$AB$37*基础状态预期!J176</f>
        <v>144</v>
      </c>
      <c r="CT163" s="29">
        <f>CS163*武将数量星级阶位验证!$E$7*1.8</f>
        <v>777600</v>
      </c>
    </row>
    <row r="164" spans="51:98" x14ac:dyDescent="0.15">
      <c r="AY164" s="17">
        <v>155</v>
      </c>
      <c r="AZ164" s="17">
        <f>求节点(基础状态预期!$D$17:$D$55,基础状态预期!$AI$17:$AI$55,$AY164)*求节点(基础状态预期!$D$17:$D$55,基础状态预期!$J$17:$J$55,$AY164)*$AB$49</f>
        <v>13320</v>
      </c>
      <c r="BA164" s="17">
        <f>求节点(基础状态预期!$D$62:$D$100,基础状态预期!$AI$62:$AI$100,$AY164)*求节点(基础状态预期!$D$62:$D$100,基础状态预期!$J$62:$J$100,$AY164)*$AB$49</f>
        <v>13320</v>
      </c>
      <c r="BB164" s="17">
        <f>求节点(基础状态预期!$D$107:$D$145,基础状态预期!$AI$107:$AI$145,$AY164)*求节点(基础状态预期!$D$107:$D$145,基础状态预期!$J$107:$J$145,$AY164)*$AB$49</f>
        <v>13320</v>
      </c>
      <c r="BC164" s="17">
        <f>求节点(基础状态预期!$D$152:$D$190,基础状态预期!$AI$152:$AI$190,$AY164)*求节点(基础状态预期!$D$62:$D$100,基础状态预期!$J$152:$J$190,$AY164)*$AB$49</f>
        <v>13320</v>
      </c>
      <c r="BD164" s="17">
        <f>求节点(基础状态预期!$D$197:$D$235,基础状态预期!$AI$197:$AI$235,$AY164)*求节点(基础状态预期!$D$197:$D$235,基础状态预期!$J$197:$J$235,$AY164)*$AB$49</f>
        <v>13320</v>
      </c>
      <c r="CR164" s="29">
        <f>基础状态预期!D177</f>
        <v>114.91888401282834</v>
      </c>
      <c r="CS164" s="29">
        <f>IF(基础状态预期!AI177="",0,基础状态预期!AI177)*$AB$37*基础状态预期!J177</f>
        <v>144</v>
      </c>
      <c r="CT164" s="29">
        <f>CS164*武将数量星级阶位验证!$E$7*1.8</f>
        <v>777600</v>
      </c>
    </row>
    <row r="165" spans="51:98" x14ac:dyDescent="0.15">
      <c r="AY165" s="17">
        <v>156</v>
      </c>
      <c r="AZ165" s="17">
        <f>求节点(基础状态预期!$D$17:$D$55,基础状态预期!$AI$17:$AI$55,$AY165)*求节点(基础状态预期!$D$17:$D$55,基础状态预期!$J$17:$J$55,$AY165)*$AB$49</f>
        <v>13320</v>
      </c>
      <c r="BA165" s="17">
        <f>求节点(基础状态预期!$D$62:$D$100,基础状态预期!$AI$62:$AI$100,$AY165)*求节点(基础状态预期!$D$62:$D$100,基础状态预期!$J$62:$J$100,$AY165)*$AB$49</f>
        <v>13320</v>
      </c>
      <c r="BB165" s="17">
        <f>求节点(基础状态预期!$D$107:$D$145,基础状态预期!$AI$107:$AI$145,$AY165)*求节点(基础状态预期!$D$107:$D$145,基础状态预期!$J$107:$J$145,$AY165)*$AB$49</f>
        <v>13320</v>
      </c>
      <c r="BC165" s="17">
        <f>求节点(基础状态预期!$D$152:$D$190,基础状态预期!$AI$152:$AI$190,$AY165)*求节点(基础状态预期!$D$62:$D$100,基础状态预期!$J$152:$J$190,$AY165)*$AB$49</f>
        <v>13320</v>
      </c>
      <c r="BD165" s="17">
        <f>求节点(基础状态预期!$D$197:$D$235,基础状态预期!$AI$197:$AI$235,$AY165)*求节点(基础状态预期!$D$197:$D$235,基础状态预期!$J$197:$J$235,$AY165)*$AB$49</f>
        <v>13320</v>
      </c>
      <c r="CR165" s="29">
        <f>基础状态预期!D178</f>
        <v>118.4172728380062</v>
      </c>
      <c r="CS165" s="29">
        <f>IF(基础状态预期!AI178="",0,基础状态预期!AI178)*$AB$37*基础状态预期!J178</f>
        <v>144</v>
      </c>
      <c r="CT165" s="29">
        <f>CS165*武将数量星级阶位验证!$E$7*1.8</f>
        <v>777600</v>
      </c>
    </row>
    <row r="166" spans="51:98" x14ac:dyDescent="0.15">
      <c r="AY166" s="17">
        <v>157</v>
      </c>
      <c r="AZ166" s="17">
        <f>求节点(基础状态预期!$D$17:$D$55,基础状态预期!$AI$17:$AI$55,$AY166)*求节点(基础状态预期!$D$17:$D$55,基础状态预期!$J$17:$J$55,$AY166)*$AB$49</f>
        <v>13320</v>
      </c>
      <c r="BA166" s="17">
        <f>求节点(基础状态预期!$D$62:$D$100,基础状态预期!$AI$62:$AI$100,$AY166)*求节点(基础状态预期!$D$62:$D$100,基础状态预期!$J$62:$J$100,$AY166)*$AB$49</f>
        <v>13320</v>
      </c>
      <c r="BB166" s="17">
        <f>求节点(基础状态预期!$D$107:$D$145,基础状态预期!$AI$107:$AI$145,$AY166)*求节点(基础状态预期!$D$107:$D$145,基础状态预期!$J$107:$J$145,$AY166)*$AB$49</f>
        <v>13320</v>
      </c>
      <c r="BC166" s="17">
        <f>求节点(基础状态预期!$D$152:$D$190,基础状态预期!$AI$152:$AI$190,$AY166)*求节点(基础状态预期!$D$62:$D$100,基础状态预期!$J$152:$J$190,$AY166)*$AB$49</f>
        <v>13320</v>
      </c>
      <c r="BD166" s="17">
        <f>求节点(基础状态预期!$D$197:$D$235,基础状态预期!$AI$197:$AI$235,$AY166)*求节点(基础状态预期!$D$197:$D$235,基础状态预期!$J$197:$J$235,$AY166)*$AB$49</f>
        <v>13320</v>
      </c>
      <c r="CR166" s="29">
        <f>基础状态预期!D179</f>
        <v>121.99245722798884</v>
      </c>
      <c r="CS166" s="29">
        <f>IF(基础状态预期!AI179="",0,基础状态预期!AI179)*$AB$37*基础状态预期!J179</f>
        <v>144</v>
      </c>
      <c r="CT166" s="29">
        <f>CS166*武将数量星级阶位验证!$E$7*1.8</f>
        <v>777600</v>
      </c>
    </row>
    <row r="167" spans="51:98" x14ac:dyDescent="0.15">
      <c r="AY167" s="17">
        <v>158</v>
      </c>
      <c r="AZ167" s="17">
        <f>求节点(基础状态预期!$D$17:$D$55,基础状态预期!$AI$17:$AI$55,$AY167)*求节点(基础状态预期!$D$17:$D$55,基础状态预期!$J$17:$J$55,$AY167)*$AB$49</f>
        <v>13320</v>
      </c>
      <c r="BA167" s="17">
        <f>求节点(基础状态预期!$D$62:$D$100,基础状态预期!$AI$62:$AI$100,$AY167)*求节点(基础状态预期!$D$62:$D$100,基础状态预期!$J$62:$J$100,$AY167)*$AB$49</f>
        <v>13320</v>
      </c>
      <c r="BB167" s="17">
        <f>求节点(基础状态预期!$D$107:$D$145,基础状态预期!$AI$107:$AI$145,$AY167)*求节点(基础状态预期!$D$107:$D$145,基础状态预期!$J$107:$J$145,$AY167)*$AB$49</f>
        <v>13320</v>
      </c>
      <c r="BC167" s="17">
        <f>求节点(基础状态预期!$D$152:$D$190,基础状态预期!$AI$152:$AI$190,$AY167)*求节点(基础状态预期!$D$62:$D$100,基础状态预期!$J$152:$J$190,$AY167)*$AB$49</f>
        <v>13320</v>
      </c>
      <c r="BD167" s="17">
        <f>求节点(基础状态预期!$D$197:$D$235,基础状态预期!$AI$197:$AI$235,$AY167)*求节点(基础状态预期!$D$197:$D$235,基础状态预期!$J$197:$J$235,$AY167)*$AB$49</f>
        <v>13320</v>
      </c>
      <c r="CR167" s="29">
        <f>基础状态预期!D180</f>
        <v>125.43876546297123</v>
      </c>
      <c r="CS167" s="29">
        <f>IF(基础状态预期!AI180="",0,基础状态预期!AI180)*$AB$37*基础状态预期!J180</f>
        <v>144</v>
      </c>
      <c r="CT167" s="29">
        <f>CS167*武将数量星级阶位验证!$E$7*1.8</f>
        <v>777600</v>
      </c>
    </row>
    <row r="168" spans="51:98" x14ac:dyDescent="0.15">
      <c r="AY168" s="17">
        <v>159</v>
      </c>
      <c r="AZ168" s="17">
        <f>求节点(基础状态预期!$D$17:$D$55,基础状态预期!$AI$17:$AI$55,$AY168)*求节点(基础状态预期!$D$17:$D$55,基础状态预期!$J$17:$J$55,$AY168)*$AB$49</f>
        <v>13320</v>
      </c>
      <c r="BA168" s="17">
        <f>求节点(基础状态预期!$D$62:$D$100,基础状态预期!$AI$62:$AI$100,$AY168)*求节点(基础状态预期!$D$62:$D$100,基础状态预期!$J$62:$J$100,$AY168)*$AB$49</f>
        <v>13320</v>
      </c>
      <c r="BB168" s="17">
        <f>求节点(基础状态预期!$D$107:$D$145,基础状态预期!$AI$107:$AI$145,$AY168)*求节点(基础状态预期!$D$107:$D$145,基础状态预期!$J$107:$J$145,$AY168)*$AB$49</f>
        <v>13320</v>
      </c>
      <c r="BC168" s="17">
        <f>求节点(基础状态预期!$D$152:$D$190,基础状态预期!$AI$152:$AI$190,$AY168)*求节点(基础状态预期!$D$62:$D$100,基础状态预期!$J$152:$J$190,$AY168)*$AB$49</f>
        <v>13320</v>
      </c>
      <c r="BD168" s="17">
        <f>求节点(基础状态预期!$D$197:$D$235,基础状态预期!$AI$197:$AI$235,$AY168)*求节点(基础状态预期!$D$197:$D$235,基础状态预期!$J$197:$J$235,$AY168)*$AB$49</f>
        <v>13320</v>
      </c>
      <c r="CR168" s="29">
        <f>基础状态预期!D181</f>
        <v>129.12105302323599</v>
      </c>
      <c r="CS168" s="29">
        <f>IF(基础状态预期!AI181="",0,基础状态预期!AI181)*$AB$37*基础状态预期!J181</f>
        <v>144</v>
      </c>
      <c r="CT168" s="29">
        <f>CS168*武将数量星级阶位验证!$E$7*1.8</f>
        <v>777600</v>
      </c>
    </row>
    <row r="169" spans="51:98" x14ac:dyDescent="0.15">
      <c r="AY169" s="17">
        <v>160</v>
      </c>
      <c r="AZ169" s="17">
        <f>求节点(基础状态预期!$D$17:$D$55,基础状态预期!$AI$17:$AI$55,$AY169)*求节点(基础状态预期!$D$17:$D$55,基础状态预期!$J$17:$J$55,$AY169)*$AB$49</f>
        <v>13320</v>
      </c>
      <c r="BA169" s="17">
        <f>求节点(基础状态预期!$D$62:$D$100,基础状态预期!$AI$62:$AI$100,$AY169)*求节点(基础状态预期!$D$62:$D$100,基础状态预期!$J$62:$J$100,$AY169)*$AB$49</f>
        <v>13320</v>
      </c>
      <c r="BB169" s="17">
        <f>求节点(基础状态预期!$D$107:$D$145,基础状态预期!$AI$107:$AI$145,$AY169)*求节点(基础状态预期!$D$107:$D$145,基础状态预期!$J$107:$J$145,$AY169)*$AB$49</f>
        <v>13320</v>
      </c>
      <c r="BC169" s="17">
        <f>求节点(基础状态预期!$D$152:$D$190,基础状态预期!$AI$152:$AI$190,$AY169)*求节点(基础状态预期!$D$62:$D$100,基础状态预期!$J$152:$J$190,$AY169)*$AB$49</f>
        <v>13320</v>
      </c>
      <c r="BD169" s="17">
        <f>求节点(基础状态预期!$D$197:$D$235,基础状态预期!$AI$197:$AI$235,$AY169)*求节点(基础状态预期!$D$197:$D$235,基础状态预期!$J$197:$J$235,$AY169)*$AB$49</f>
        <v>13320</v>
      </c>
      <c r="CR169" s="29">
        <f>基础状态预期!D182</f>
        <v>132.61179169042359</v>
      </c>
      <c r="CS169" s="29">
        <f>IF(基础状态预期!AI182="",0,基础状态预期!AI182)*$AB$37*基础状态预期!J182</f>
        <v>144</v>
      </c>
      <c r="CT169" s="29">
        <f>CS169*武将数量星级阶位验证!$E$7*1.8</f>
        <v>777600</v>
      </c>
    </row>
    <row r="170" spans="51:98" x14ac:dyDescent="0.15">
      <c r="CR170" s="29">
        <f>基础状态预期!D183</f>
        <v>136.12035534953262</v>
      </c>
      <c r="CS170" s="29">
        <f>IF(基础状态预期!AI183="",0,基础状态预期!AI183)*$AB$37*基础状态预期!J183</f>
        <v>144</v>
      </c>
      <c r="CT170" s="29">
        <f>CS170*武将数量星级阶位验证!$E$7*1.8</f>
        <v>777600</v>
      </c>
    </row>
    <row r="171" spans="51:98" x14ac:dyDescent="0.15">
      <c r="CR171" s="29">
        <f>基础状态预期!D184</f>
        <v>139.6793621861803</v>
      </c>
      <c r="CS171" s="29">
        <f>IF(基础状态预期!AI184="",0,基础状态预期!AI184)*$AB$37*基础状态预期!J184</f>
        <v>144</v>
      </c>
      <c r="CT171" s="29">
        <f>CS171*武将数量星级阶位验证!$E$7*1.8</f>
        <v>777600</v>
      </c>
    </row>
    <row r="172" spans="51:98" x14ac:dyDescent="0.15">
      <c r="CR172" s="29">
        <f>基础状态预期!D185</f>
        <v>143.14123736077869</v>
      </c>
      <c r="CS172" s="29">
        <f>IF(基础状态预期!AI185="",0,基础状态预期!AI185)*$AB$37*基础状态预期!J185</f>
        <v>144</v>
      </c>
      <c r="CT172" s="29">
        <f>CS172*武将数量星级阶位验证!$E$7*1.8</f>
        <v>777600</v>
      </c>
    </row>
    <row r="173" spans="51:98" x14ac:dyDescent="0.15">
      <c r="CR173" s="29">
        <f>基础状态预期!D186</f>
        <v>146.75578521325724</v>
      </c>
      <c r="CS173" s="29">
        <f>IF(基础状态预期!AI186="",0,基础状态预期!AI186)*$AB$37*基础状态预期!J186</f>
        <v>144</v>
      </c>
      <c r="CT173" s="29">
        <f>CS173*武将数量星级阶位验证!$E$7*1.8</f>
        <v>777600</v>
      </c>
    </row>
    <row r="174" spans="51:98" x14ac:dyDescent="0.15">
      <c r="CR174" s="29">
        <f>基础状态预期!D187</f>
        <v>150.21349802228445</v>
      </c>
      <c r="CS174" s="29">
        <f>IF(基础状态预期!AI187="",0,基础状态预期!AI187)*$AB$37*基础状态预期!J187</f>
        <v>144</v>
      </c>
      <c r="CT174" s="29">
        <f>CS174*武将数量星级阶位验证!$E$7*1.8</f>
        <v>777600</v>
      </c>
    </row>
    <row r="175" spans="51:98" x14ac:dyDescent="0.15">
      <c r="CR175" s="29">
        <f>基础状态预期!D188</f>
        <v>152.32856849044819</v>
      </c>
      <c r="CS175" s="29">
        <f>IF(基础状态预期!AI188="",0,基础状态预期!AI188)*$AB$37*基础状态预期!J188</f>
        <v>144</v>
      </c>
      <c r="CT175" s="29">
        <f>CS175*武将数量星级阶位验证!$E$7*1.8</f>
        <v>777600</v>
      </c>
    </row>
    <row r="176" spans="51:98" x14ac:dyDescent="0.15">
      <c r="CR176" s="29">
        <f>基础状态预期!D189</f>
        <v>153.15627769682186</v>
      </c>
      <c r="CS176" s="29">
        <f>IF(基础状态预期!AI189="",0,基础状态预期!AI189)*$AB$37*基础状态预期!J189</f>
        <v>144</v>
      </c>
      <c r="CT176" s="29">
        <f>CS176*武将数量星级阶位验证!$E$7*1.8</f>
        <v>777600</v>
      </c>
    </row>
    <row r="177" spans="69:104" x14ac:dyDescent="0.15">
      <c r="CR177" s="29">
        <f>基础状态预期!D190</f>
        <v>153.85863088955028</v>
      </c>
      <c r="CS177" s="29">
        <f>IF(基础状态预期!AI190="",0,基础状态预期!AI190)*$AB$37*基础状态预期!J190</f>
        <v>144</v>
      </c>
      <c r="CT177" s="29">
        <f>CS177*武将数量星级阶位验证!$E$7*1.8</f>
        <v>777600</v>
      </c>
    </row>
    <row r="182" spans="69:104" x14ac:dyDescent="0.15">
      <c r="BQ182" s="29" t="s">
        <v>79</v>
      </c>
      <c r="BR182" s="161" t="s">
        <v>55</v>
      </c>
      <c r="BS182" s="162"/>
      <c r="BT182" s="162"/>
      <c r="BU182" s="162"/>
      <c r="BV182" s="162"/>
      <c r="BW182" s="162"/>
      <c r="BX182" s="162"/>
      <c r="BY182" s="162"/>
      <c r="BZ182" s="162"/>
      <c r="CA182" s="162"/>
      <c r="CB182" s="163"/>
      <c r="CC182" s="160" t="s">
        <v>342</v>
      </c>
      <c r="CD182" s="160"/>
      <c r="CE182" s="160"/>
      <c r="CF182" s="160"/>
      <c r="CG182" s="160"/>
      <c r="CH182" s="160"/>
      <c r="CI182" s="160"/>
      <c r="CJ182" s="160"/>
      <c r="CK182" s="160"/>
      <c r="CL182" s="160"/>
      <c r="CM182" s="160"/>
      <c r="CN182" s="160"/>
      <c r="CR182" s="29" t="s">
        <v>79</v>
      </c>
      <c r="CS182" s="160" t="s">
        <v>307</v>
      </c>
      <c r="CT182" s="160"/>
      <c r="CV182" s="29" t="s">
        <v>79</v>
      </c>
      <c r="CW182" s="160" t="s">
        <v>307</v>
      </c>
      <c r="CX182" s="160"/>
      <c r="CY182" s="160"/>
    </row>
    <row r="183" spans="69:104" x14ac:dyDescent="0.15">
      <c r="BQ183" s="29" t="s">
        <v>478</v>
      </c>
      <c r="BR183" s="29" t="s">
        <v>152</v>
      </c>
      <c r="BS183" s="29" t="s">
        <v>835</v>
      </c>
      <c r="BT183" s="29" t="s">
        <v>836</v>
      </c>
      <c r="BU183" s="29" t="s">
        <v>837</v>
      </c>
      <c r="BV183" s="29" t="s">
        <v>838</v>
      </c>
      <c r="BW183" s="29" t="s">
        <v>839</v>
      </c>
      <c r="BX183" s="29" t="s">
        <v>840</v>
      </c>
      <c r="BY183" s="29" t="s">
        <v>841</v>
      </c>
      <c r="BZ183" s="29" t="s">
        <v>842</v>
      </c>
      <c r="CA183" s="29" t="s">
        <v>843</v>
      </c>
      <c r="CB183" s="29" t="s">
        <v>197</v>
      </c>
      <c r="CC183" s="29" t="s">
        <v>152</v>
      </c>
      <c r="CD183" s="29" t="s">
        <v>835</v>
      </c>
      <c r="CE183" s="29" t="s">
        <v>836</v>
      </c>
      <c r="CF183" s="29" t="s">
        <v>837</v>
      </c>
      <c r="CG183" s="29" t="s">
        <v>838</v>
      </c>
      <c r="CH183" s="29" t="s">
        <v>839</v>
      </c>
      <c r="CI183" s="29" t="s">
        <v>840</v>
      </c>
      <c r="CJ183" s="29" t="s">
        <v>841</v>
      </c>
      <c r="CK183" s="29" t="s">
        <v>842</v>
      </c>
      <c r="CL183" s="29" t="s">
        <v>843</v>
      </c>
      <c r="CM183" s="29" t="s">
        <v>197</v>
      </c>
      <c r="CN183" s="29" t="s">
        <v>343</v>
      </c>
      <c r="CR183" s="29" t="s">
        <v>478</v>
      </c>
      <c r="CS183" s="29" t="s">
        <v>844</v>
      </c>
      <c r="CT183" s="29" t="s">
        <v>845</v>
      </c>
      <c r="CV183" s="29" t="s">
        <v>478</v>
      </c>
      <c r="CW183" s="29" t="s">
        <v>304</v>
      </c>
      <c r="CX183" s="29"/>
      <c r="CY183" s="29"/>
      <c r="CZ183" s="29" t="s">
        <v>203</v>
      </c>
    </row>
    <row r="184" spans="69:104" x14ac:dyDescent="0.15">
      <c r="BQ184" s="29">
        <v>10</v>
      </c>
      <c r="BR184" s="29">
        <f>求节点(基础状态预期!$D$17:$D$55,基础状态预期!$AI$17:$AI$55,$BQ184)*SUM($AR$6:$AT$6)/3</f>
        <v>0</v>
      </c>
      <c r="BS184" s="29">
        <f>求节点(基础状态预期!$D$17:$D$55,基础状态预期!$AI$17:$AI$55,$BQ184)*AH$6</f>
        <v>0</v>
      </c>
      <c r="BT184" s="145">
        <f>BS184</f>
        <v>0</v>
      </c>
      <c r="BU184" s="29">
        <f>求节点(基础状态预期!$D$17:$D$55,基础状态预期!$AI$17:$AI$55,$BQ184)*AI$6</f>
        <v>0</v>
      </c>
      <c r="BV184" s="145">
        <f>BU184</f>
        <v>0</v>
      </c>
      <c r="BW184" s="29">
        <f>求节点(基础状态预期!$D$17:$D$55,基础状态预期!$AI$17:$AI$55,$BQ184)*$AU$6</f>
        <v>0</v>
      </c>
      <c r="BX184" s="29">
        <f>求节点(基础状态预期!$D$17:$D$55,基础状态预期!$AI$17:$AI$55,$BQ184)*$AJ$6</f>
        <v>0</v>
      </c>
      <c r="BY184" s="145">
        <f t="shared" ref="BY184" si="139">BX184</f>
        <v>0</v>
      </c>
      <c r="BZ184" s="29">
        <f>求节点(基础状态预期!$D$17:$D$55,基础状态预期!$AI$17:$AI$55,$BQ184)*$AK$6</f>
        <v>0</v>
      </c>
      <c r="CA184" s="145">
        <f t="shared" ref="CA184" si="140">BZ184</f>
        <v>0</v>
      </c>
      <c r="CB184" s="29">
        <f>求节点(基础状态预期!$D$17:$D$55,基础状态预期!$AI$17:$AI$55,$BQ184)*$W$60</f>
        <v>0</v>
      </c>
      <c r="CC184" s="41">
        <f>$BR184*(INDEX([2]超r将兵属性验证!$V$7:$V$166,$BQ184,1)+INDEX([2]超r将兵属性验证!$AP$7:$AP$166,$BQ184,1))</f>
        <v>0</v>
      </c>
      <c r="CD184" s="41">
        <f>$BS184*INDEX([2]超r将兵属性验证!W$7:W$166,$BQ184,1)</f>
        <v>0</v>
      </c>
      <c r="CE184" s="41">
        <f>BT184*INDEX([2]超r将兵属性验证!X$7:X$166,$BQ184,1)</f>
        <v>0</v>
      </c>
      <c r="CF184" s="41">
        <f>BU184*INDEX([2]超r将兵属性验证!$AQ$7:$AQ$166,$BQ184)</f>
        <v>0</v>
      </c>
      <c r="CG184" s="41">
        <f>BV184*INDEX([2]超r将兵属性验证!$AR$7:$AR$166,$BQ184)</f>
        <v>0</v>
      </c>
      <c r="CH184" s="41">
        <f>BW184*INDEX([2]超r将兵属性验证!$AM$7:$AM$166,$BQ184,1)</f>
        <v>0</v>
      </c>
      <c r="CI184" s="41">
        <f>BX184*INDEX([2]超r将兵属性验证!$AA$7:$AA$166,$BQ184,1)</f>
        <v>0</v>
      </c>
      <c r="CJ184" s="41">
        <f>BY184*INDEX([2]超r将兵属性验证!$AB$7:$AB$166,$BQ184,1)</f>
        <v>0</v>
      </c>
      <c r="CK184" s="41">
        <f>BZ184*INDEX([2]超r将兵属性验证!$AU$7:$AU$166,$BQ184,1)</f>
        <v>0</v>
      </c>
      <c r="CL184" s="41">
        <f>CA184*INDEX([2]超r将兵属性验证!$AV$7:$AV$166,$BQ184,1)</f>
        <v>0</v>
      </c>
      <c r="CM184" s="41">
        <f>CB184*(INDEX([2]超r将兵属性验证!$AC$7:$AC$166,$BQ184,1)*[2]战法技能效用!$AH$4+INDEX([2]超r将兵属性验证!$AX$7:$AX$166,$BQ184,1)*[2]战法技能效用!$AI$4)</f>
        <v>0</v>
      </c>
      <c r="CN184" s="29">
        <f t="shared" ref="CN184:CN193" si="141">SUM(CC184:CM184)</f>
        <v>0</v>
      </c>
      <c r="CR184" s="29">
        <f>基础状态预期!D197</f>
        <v>10.040470049930473</v>
      </c>
      <c r="CS184" s="29">
        <f>IF(基础状态预期!AI197="",0,基础状态预期!AI197)*$AB$37*基础状态预期!J197</f>
        <v>0</v>
      </c>
      <c r="CT184" s="29">
        <f>CS184*武将数量星级阶位验证!$E$7*1.8</f>
        <v>0</v>
      </c>
      <c r="CV184" s="29">
        <v>10</v>
      </c>
      <c r="CW184" s="29">
        <f>求节点($CR$184:$CR$222,CT$184:CT$222,$CV184)</f>
        <v>0</v>
      </c>
      <c r="CX184" s="29"/>
      <c r="CY184" s="29"/>
      <c r="CZ184" s="29">
        <f>SUM(CW184:CY184)</f>
        <v>0</v>
      </c>
    </row>
    <row r="185" spans="69:104" x14ac:dyDescent="0.15">
      <c r="BQ185" s="29">
        <v>20</v>
      </c>
      <c r="BR185" s="29">
        <f>求节点(基础状态预期!$D$17:$D$55,基础状态预期!$AI$17:$AI$55,$BQ185)*SUM($AR$6:$AT$6)/3</f>
        <v>0</v>
      </c>
      <c r="BS185" s="29">
        <f>求节点(基础状态预期!$D$17:$D$55,基础状态预期!$AI$17:$AI$55,$BQ185)*AH$6</f>
        <v>0</v>
      </c>
      <c r="BT185" s="145">
        <f t="shared" ref="BT185:BT199" si="142">BS185</f>
        <v>0</v>
      </c>
      <c r="BU185" s="29">
        <f>求节点(基础状态预期!$D$17:$D$55,基础状态预期!$AI$17:$AI$55,$BQ185)*AI$6</f>
        <v>0</v>
      </c>
      <c r="BV185" s="145">
        <f t="shared" ref="BV185:BV199" si="143">BU185</f>
        <v>0</v>
      </c>
      <c r="BW185" s="29">
        <f>求节点(基础状态预期!$D$17:$D$55,基础状态预期!$AI$17:$AI$55,$BQ185)*$AU$6</f>
        <v>0</v>
      </c>
      <c r="BX185" s="29">
        <f>求节点(基础状态预期!$D$17:$D$55,基础状态预期!$AI$17:$AI$55,$BQ185)*$AJ$6</f>
        <v>0</v>
      </c>
      <c r="BY185" s="145">
        <f t="shared" ref="BY185" si="144">BX185</f>
        <v>0</v>
      </c>
      <c r="BZ185" s="29">
        <f>求节点(基础状态预期!$D$17:$D$55,基础状态预期!$AI$17:$AI$55,$BQ185)*$AK$6</f>
        <v>0</v>
      </c>
      <c r="CA185" s="145">
        <f t="shared" ref="CA185" si="145">BZ185</f>
        <v>0</v>
      </c>
      <c r="CB185" s="29">
        <f>求节点(基础状态预期!$D$17:$D$55,基础状态预期!$AI$17:$AI$55,$BQ185)*$W$60</f>
        <v>0</v>
      </c>
      <c r="CC185" s="29">
        <f>($BR185-$BR184)*(INDEX([2]超r将兵属性验证!$V$7:$V$166,$BQ185,1)+INDEX([2]超r将兵属性验证!$AP$7:$AP$166,$BQ185,1))+CC184</f>
        <v>0</v>
      </c>
      <c r="CD185" s="29">
        <f>($BS185-$BS184)*INDEX([2]超r将兵属性验证!W$7:W$166,$BQ185,1)+CD184</f>
        <v>0</v>
      </c>
      <c r="CE185" s="29">
        <f>(BT185-$BT184)*INDEX([2]超r将兵属性验证!X$7:X$166,$BQ185,1)+CE184</f>
        <v>0</v>
      </c>
      <c r="CF185" s="29">
        <f>(BU185-BU184)*INDEX([2]超r将兵属性验证!$AQ$7:$AQ$166,$BQ185)+CF184</f>
        <v>0</v>
      </c>
      <c r="CG185" s="29">
        <f>(BV185-BV184)*INDEX([2]超r将兵属性验证!$AR$7:$AR$166,$BQ185)+CG184</f>
        <v>0</v>
      </c>
      <c r="CH185" s="29">
        <f>(BW185-BW184)*INDEX([2]超r将兵属性验证!$AM$7:$AM$166,$BQ185,1)+CH184</f>
        <v>0</v>
      </c>
      <c r="CI185" s="29">
        <f>(BX185-BX184)*INDEX([2]超r将兵属性验证!$AA$7:$AA$166,$BQ185,1)+CI184</f>
        <v>0</v>
      </c>
      <c r="CJ185" s="29">
        <f>(BY185-BY184)*INDEX([2]超r将兵属性验证!$AB$7:$AB$166,$BQ185,1)+CJ184</f>
        <v>0</v>
      </c>
      <c r="CK185" s="29">
        <f>(BZ185-BZ184)*INDEX([2]超r将兵属性验证!$AU$7:$AU$166,$BQ185,1)+CK184</f>
        <v>0</v>
      </c>
      <c r="CL185" s="29">
        <f>(CA185-CA184)*INDEX([2]超r将兵属性验证!$AV$7:$AV$166,$BQ185,1)+CL184</f>
        <v>0</v>
      </c>
      <c r="CM185" s="29">
        <f>(CB185-CB184)*(INDEX([2]超r将兵属性验证!$AC$7:$AC$166,$BQ185,1)*[2]战法技能效用!$AH$4+INDEX([2]超r将兵属性验证!$AX$7:$AX$166,$BQ185,1)*[2]战法技能效用!$AI$4)+CM184</f>
        <v>0</v>
      </c>
      <c r="CN185" s="29">
        <f t="shared" si="141"/>
        <v>0</v>
      </c>
      <c r="CR185" s="29">
        <f>基础状态预期!D198</f>
        <v>19.288856680060892</v>
      </c>
      <c r="CS185" s="29">
        <f>IF(基础状态预期!AI198="",0,基础状态预期!AI198)*$AB$37*基础状态预期!J198</f>
        <v>0</v>
      </c>
      <c r="CT185" s="29">
        <f>CS185*武将数量星级阶位验证!$E$7*1.8</f>
        <v>0</v>
      </c>
      <c r="CV185" s="29">
        <v>20</v>
      </c>
      <c r="CW185" s="29">
        <f t="shared" ref="CW185:CW199" si="146">求节点($CR$184:$CR$222,CT$184:CT$222,$CV185)</f>
        <v>0</v>
      </c>
      <c r="CX185" s="29"/>
      <c r="CY185" s="29"/>
      <c r="CZ185" s="29">
        <f t="shared" ref="CZ185:CZ193" si="147">SUM(CW185:CY185)</f>
        <v>0</v>
      </c>
    </row>
    <row r="186" spans="69:104" x14ac:dyDescent="0.15">
      <c r="BQ186" s="29">
        <v>30</v>
      </c>
      <c r="BR186" s="29">
        <f>求节点(基础状态预期!$D$17:$D$55,基础状态预期!$AI$17:$AI$55,$BQ186)*SUM($AR$6:$AT$6)/3</f>
        <v>0</v>
      </c>
      <c r="BS186" s="29">
        <f>求节点(基础状态预期!$D$17:$D$55,基础状态预期!$AI$17:$AI$55,$BQ186)*AH$6</f>
        <v>0</v>
      </c>
      <c r="BT186" s="145">
        <f t="shared" si="142"/>
        <v>0</v>
      </c>
      <c r="BU186" s="29">
        <f>求节点(基础状态预期!$D$17:$D$55,基础状态预期!$AI$17:$AI$55,$BQ186)*AI$6</f>
        <v>0</v>
      </c>
      <c r="BV186" s="145">
        <f t="shared" si="143"/>
        <v>0</v>
      </c>
      <c r="BW186" s="29">
        <f>求节点(基础状态预期!$D$17:$D$55,基础状态预期!$AI$17:$AI$55,$BQ186)*$AU$6</f>
        <v>0</v>
      </c>
      <c r="BX186" s="29">
        <f>求节点(基础状态预期!$D$17:$D$55,基础状态预期!$AI$17:$AI$55,$BQ186)*$AJ$6</f>
        <v>0</v>
      </c>
      <c r="BY186" s="145">
        <f t="shared" ref="BY186" si="148">BX186</f>
        <v>0</v>
      </c>
      <c r="BZ186" s="29">
        <f>求节点(基础状态预期!$D$17:$D$55,基础状态预期!$AI$17:$AI$55,$BQ186)*$AK$6</f>
        <v>0</v>
      </c>
      <c r="CA186" s="145">
        <f t="shared" ref="CA186" si="149">BZ186</f>
        <v>0</v>
      </c>
      <c r="CB186" s="29">
        <f>求节点(基础状态预期!$D$17:$D$55,基础状态预期!$AI$17:$AI$55,$BQ186)*$W$60</f>
        <v>0</v>
      </c>
      <c r="CC186" s="29">
        <f>($BR186-$BR185)*(INDEX([2]超r将兵属性验证!$V$7:$V$166,$BQ186,1)+INDEX([2]超r将兵属性验证!$AP$7:$AP$166,$BQ186,1))+CC185</f>
        <v>0</v>
      </c>
      <c r="CD186" s="29">
        <f>($BS186-$BS185)*INDEX([2]超r将兵属性验证!W$7:W$166,$BQ186,1)+CD185</f>
        <v>0</v>
      </c>
      <c r="CE186" s="29">
        <f>(BT186-$BT185)*INDEX([2]超r将兵属性验证!X$7:X$166,$BQ186,1)+CE185</f>
        <v>0</v>
      </c>
      <c r="CF186" s="29">
        <f>(BU186-BU185)*INDEX([2]超r将兵属性验证!$AQ$7:$AQ$166,$BQ186)+CF185</f>
        <v>0</v>
      </c>
      <c r="CG186" s="29">
        <f>(BV186-BV185)*INDEX([2]超r将兵属性验证!$AR$7:$AR$166,$BQ186)+CG185</f>
        <v>0</v>
      </c>
      <c r="CH186" s="29">
        <f>(BW186-BW185)*INDEX([2]超r将兵属性验证!$AM$7:$AM$166,$BQ186,1)+CH185</f>
        <v>0</v>
      </c>
      <c r="CI186" s="29">
        <f>(BX186-BX185)*INDEX([2]超r将兵属性验证!$AA$7:$AA$166,$BQ186,1)+CI185</f>
        <v>0</v>
      </c>
      <c r="CJ186" s="29">
        <f>(BY186-BY185)*INDEX([2]超r将兵属性验证!$AB$7:$AB$166,$BQ186,1)+CJ185</f>
        <v>0</v>
      </c>
      <c r="CK186" s="29">
        <f>(BZ186-BZ185)*INDEX([2]超r将兵属性验证!$AU$7:$AU$166,$BQ186,1)+CK185</f>
        <v>0</v>
      </c>
      <c r="CL186" s="29">
        <f>(CA186-CA185)*INDEX([2]超r将兵属性验证!$AV$7:$AV$166,$BQ186,1)+CL185</f>
        <v>0</v>
      </c>
      <c r="CM186" s="29">
        <f>(CB186-CB185)*(INDEX([2]超r将兵属性验证!$AC$7:$AC$166,$BQ186,1)*[2]战法技能效用!$AH$4+INDEX([2]超r将兵属性验证!$AX$7:$AX$166,$BQ186,1)*[2]战法技能效用!$AI$4)+CM185</f>
        <v>0</v>
      </c>
      <c r="CN186" s="29">
        <f t="shared" si="141"/>
        <v>0</v>
      </c>
      <c r="CR186" s="29">
        <f>基础状态预期!D199</f>
        <v>27.144641112884834</v>
      </c>
      <c r="CS186" s="29">
        <f>IF(基础状态预期!AI199="",0,基础状态预期!AI199)*$AB$37*基础状态预期!J199</f>
        <v>0</v>
      </c>
      <c r="CT186" s="29">
        <f>CS186*武将数量星级阶位验证!$E$7*1.8</f>
        <v>0</v>
      </c>
      <c r="CV186" s="29">
        <v>30</v>
      </c>
      <c r="CW186" s="29">
        <f t="shared" si="146"/>
        <v>0</v>
      </c>
      <c r="CX186" s="29"/>
      <c r="CY186" s="29"/>
      <c r="CZ186" s="29">
        <f t="shared" si="147"/>
        <v>0</v>
      </c>
    </row>
    <row r="187" spans="69:104" x14ac:dyDescent="0.15">
      <c r="BQ187" s="29">
        <v>40</v>
      </c>
      <c r="BR187" s="29">
        <f>求节点(基础状态预期!$D$17:$D$55,基础状态预期!$AI$17:$AI$55,$BQ187)*SUM($AR$6:$AT$6)/3</f>
        <v>0</v>
      </c>
      <c r="BS187" s="29">
        <f>求节点(基础状态预期!$D$17:$D$55,基础状态预期!$AI$17:$AI$55,$BQ187)*AH$6</f>
        <v>0</v>
      </c>
      <c r="BT187" s="145">
        <f t="shared" si="142"/>
        <v>0</v>
      </c>
      <c r="BU187" s="29">
        <f>求节点(基础状态预期!$D$17:$D$55,基础状态预期!$AI$17:$AI$55,$BQ187)*AI$6</f>
        <v>0</v>
      </c>
      <c r="BV187" s="145">
        <f t="shared" si="143"/>
        <v>0</v>
      </c>
      <c r="BW187" s="29">
        <f>求节点(基础状态预期!$D$17:$D$55,基础状态预期!$AI$17:$AI$55,$BQ187)*$AU$6</f>
        <v>0</v>
      </c>
      <c r="BX187" s="29">
        <f>求节点(基础状态预期!$D$17:$D$55,基础状态预期!$AI$17:$AI$55,$BQ187)*$AJ$6</f>
        <v>0</v>
      </c>
      <c r="BY187" s="145">
        <f t="shared" ref="BY187" si="150">BX187</f>
        <v>0</v>
      </c>
      <c r="BZ187" s="29">
        <f>求节点(基础状态预期!$D$17:$D$55,基础状态预期!$AI$17:$AI$55,$BQ187)*$AK$6</f>
        <v>0</v>
      </c>
      <c r="CA187" s="145">
        <f t="shared" ref="CA187" si="151">BZ187</f>
        <v>0</v>
      </c>
      <c r="CB187" s="29">
        <f>求节点(基础状态预期!$D$17:$D$55,基础状态预期!$AI$17:$AI$55,$BQ187)*$W$60</f>
        <v>0</v>
      </c>
      <c r="CC187" s="29">
        <f>($BR187-$BR186)*(INDEX([2]超r将兵属性验证!$V$7:$V$166,$BQ187,1)+INDEX([2]超r将兵属性验证!$AP$7:$AP$166,$BQ187,1))+CC186</f>
        <v>0</v>
      </c>
      <c r="CD187" s="29">
        <f>($BS187-$BS186)*INDEX([2]超r将兵属性验证!W$7:W$166,$BQ187,1)+CD186</f>
        <v>0</v>
      </c>
      <c r="CE187" s="29">
        <f>(BT187-$BT186)*INDEX([2]超r将兵属性验证!X$7:X$166,$BQ187,1)+CE186</f>
        <v>0</v>
      </c>
      <c r="CF187" s="29">
        <f>(BU187-BU186)*INDEX([2]超r将兵属性验证!$AQ$7:$AQ$166,$BQ187)+CF186</f>
        <v>0</v>
      </c>
      <c r="CG187" s="29">
        <f>(BV187-BV186)*INDEX([2]超r将兵属性验证!$AR$7:$AR$166,$BQ187)+CG186</f>
        <v>0</v>
      </c>
      <c r="CH187" s="29">
        <f>(BW187-BW186)*INDEX([2]超r将兵属性验证!$AM$7:$AM$166,$BQ187,1)+CH186</f>
        <v>0</v>
      </c>
      <c r="CI187" s="29">
        <f>(BX187-BX186)*INDEX([2]超r将兵属性验证!$AA$7:$AA$166,$BQ187,1)+CI186</f>
        <v>0</v>
      </c>
      <c r="CJ187" s="29">
        <f>(BY187-BY186)*INDEX([2]超r将兵属性验证!$AB$7:$AB$166,$BQ187,1)+CJ186</f>
        <v>0</v>
      </c>
      <c r="CK187" s="29">
        <f>(BZ187-BZ186)*INDEX([2]超r将兵属性验证!$AU$7:$AU$166,$BQ187,1)+CK186</f>
        <v>0</v>
      </c>
      <c r="CL187" s="29">
        <f>(CA187-CA186)*INDEX([2]超r将兵属性验证!$AV$7:$AV$166,$BQ187,1)+CL186</f>
        <v>0</v>
      </c>
      <c r="CM187" s="29">
        <f>(CB187-CB186)*(INDEX([2]超r将兵属性验证!$AC$7:$AC$166,$BQ187,1)*[2]战法技能效用!$AH$4+INDEX([2]超r将兵属性验证!$AX$7:$AX$166,$BQ187,1)*[2]战法技能效用!$AI$4)+CM186</f>
        <v>0</v>
      </c>
      <c r="CN187" s="29">
        <f t="shared" si="141"/>
        <v>0</v>
      </c>
      <c r="CR187" s="29">
        <f>基础状态预期!D200</f>
        <v>33.399598377161809</v>
      </c>
      <c r="CS187" s="29">
        <f>IF(基础状态预期!AI200="",0,基础状态预期!AI200)*$AB$37*基础状态预期!J200</f>
        <v>0</v>
      </c>
      <c r="CT187" s="29">
        <f>CS187*武将数量星级阶位验证!$E$7*1.8</f>
        <v>0</v>
      </c>
      <c r="CV187" s="29">
        <v>40</v>
      </c>
      <c r="CW187" s="29">
        <f t="shared" si="146"/>
        <v>0</v>
      </c>
      <c r="CX187" s="29"/>
      <c r="CY187" s="29"/>
      <c r="CZ187" s="29">
        <f t="shared" si="147"/>
        <v>0</v>
      </c>
    </row>
    <row r="188" spans="69:104" x14ac:dyDescent="0.15">
      <c r="BQ188" s="29">
        <v>50</v>
      </c>
      <c r="BR188" s="29">
        <f>求节点(基础状态预期!$D$17:$D$55,基础状态预期!$AI$17:$AI$55,$BQ188)*SUM($AR$6:$AT$6)/3</f>
        <v>1.7400591500465808E-2</v>
      </c>
      <c r="BS188" s="29">
        <f>求节点(基础状态预期!$D$17:$D$55,基础状态预期!$AI$17:$AI$55,$BQ188)*AH$6</f>
        <v>1.087536968779113</v>
      </c>
      <c r="BT188" s="145">
        <f t="shared" si="142"/>
        <v>1.087536968779113</v>
      </c>
      <c r="BU188" s="29">
        <f>求节点(基础状态预期!$D$17:$D$55,基础状态预期!$AI$17:$AI$55,$BQ188)*AI$6</f>
        <v>5.2201774501397423E-2</v>
      </c>
      <c r="BV188" s="145">
        <f t="shared" si="143"/>
        <v>5.2201774501397423E-2</v>
      </c>
      <c r="BW188" s="29">
        <f>求节点(基础状态预期!$D$17:$D$55,基础状态预期!$AI$17:$AI$55,$BQ188)*$AU$6</f>
        <v>0.21750739375582259</v>
      </c>
      <c r="BX188" s="29">
        <f>求节点(基础状态预期!$D$17:$D$55,基础状态预期!$AI$17:$AI$55,$BQ188)*$AJ$6</f>
        <v>5.220177450139742E-5</v>
      </c>
      <c r="BY188" s="145">
        <f t="shared" ref="BY188" si="152">BX188</f>
        <v>5.220177450139742E-5</v>
      </c>
      <c r="BZ188" s="29">
        <f>求节点(基础状态预期!$D$17:$D$55,基础状态预期!$AI$17:$AI$55,$BQ188)*$AK$6</f>
        <v>4.3501478751164522E-5</v>
      </c>
      <c r="CA188" s="145">
        <f t="shared" ref="CA188" si="153">BZ188</f>
        <v>4.3501478751164522E-5</v>
      </c>
      <c r="CB188" s="29">
        <f>求节点(基础状态预期!$D$17:$D$55,基础状态预期!$AI$17:$AI$55,$BQ188)*$W$60</f>
        <v>2.6100887250698714E-4</v>
      </c>
      <c r="CC188" s="29">
        <f>($BR188-$BR187)*(INDEX([2]超r将兵属性验证!$V$7:$V$166,$BQ188,1)+INDEX([2]超r将兵属性验证!$AP$7:$AP$166,$BQ188,1))+CC187</f>
        <v>518832.21166413091</v>
      </c>
      <c r="CD188" s="29">
        <f>($BS188-$BS187)*INDEX([2]超r将兵属性验证!W$7:W$166,$BQ188,1)+CD187</f>
        <v>415729.98430624569</v>
      </c>
      <c r="CE188" s="29">
        <f>(BT188-$BT187)*INDEX([2]超r将兵属性验证!X$7:X$166,$BQ188,1)+CE187</f>
        <v>415729.98430624569</v>
      </c>
      <c r="CF188" s="29">
        <f>(BU188-BU187)*INDEX([2]超r将兵属性验证!$AQ$7:$AQ$166,$BQ188)+CF187</f>
        <v>166234.02798321153</v>
      </c>
      <c r="CG188" s="29">
        <f>(BV188-BV187)*INDEX([2]超r将兵属性验证!$AR$7:$AR$166,$BQ188)+CG187</f>
        <v>166234.02798321153</v>
      </c>
      <c r="CH188" s="29">
        <f>(BW188-BW187)*INDEX([2]超r将兵属性验证!$AM$7:$AM$166,$BQ188,1)+CH187</f>
        <v>1128.4170345497578</v>
      </c>
      <c r="CI188" s="29">
        <f>(BX188-BX187)*INDEX([2]超r将兵属性验证!$AA$7:$AA$166,$BQ188,1)+CI187</f>
        <v>156446.84300443559</v>
      </c>
      <c r="CJ188" s="29">
        <f>(BY188-BY187)*INDEX([2]超r将兵属性验证!$AB$7:$AB$166,$BQ188,1)+CJ187</f>
        <v>156446.84300443559</v>
      </c>
      <c r="CK188" s="29">
        <f>(BZ188-BZ187)*INDEX([2]超r将兵属性验证!$AU$7:$AU$166,$BQ188,1)+CK187</f>
        <v>75556.548473775882</v>
      </c>
      <c r="CL188" s="29">
        <f>(CA188-CA187)*INDEX([2]超r将兵属性验证!$AV$7:$AV$166,$BQ188,1)+CL187</f>
        <v>75556.548473775882</v>
      </c>
      <c r="CM188" s="29">
        <f>(CB188-CB187)*(INDEX([2]超r将兵属性验证!$AC$7:$AC$166,$BQ188,1)*[2]战法技能效用!$AH$4+INDEX([2]超r将兵属性验证!$AX$7:$AX$166,$BQ188,1)*[2]战法技能效用!$AI$4)+CM187</f>
        <v>674904.07294482749</v>
      </c>
      <c r="CN188" s="29">
        <f t="shared" si="141"/>
        <v>2822799.5091788452</v>
      </c>
      <c r="CR188" s="29">
        <f>基础状态预期!D201</f>
        <v>38.848984787984186</v>
      </c>
      <c r="CS188" s="29">
        <f>IF(基础状态预期!AI201="",0,基础状态预期!AI201)*$AB$37*基础状态预期!J201</f>
        <v>0</v>
      </c>
      <c r="CT188" s="29">
        <f>CS188*武将数量星级阶位验证!$E$7*1.8</f>
        <v>0</v>
      </c>
      <c r="CV188" s="29">
        <v>50</v>
      </c>
      <c r="CW188" s="29">
        <f t="shared" si="146"/>
        <v>535.05268356225019</v>
      </c>
      <c r="CX188" s="29"/>
      <c r="CY188" s="29"/>
      <c r="CZ188" s="29">
        <f t="shared" si="147"/>
        <v>535.05268356225019</v>
      </c>
    </row>
    <row r="189" spans="69:104" x14ac:dyDescent="0.15">
      <c r="BQ189" s="29">
        <v>60</v>
      </c>
      <c r="BR189" s="29">
        <f>求节点(基础状态预期!$D$17:$D$55,基础状态预期!$AI$17:$AI$55,$BQ189)*SUM($AR$6:$AT$6)/3</f>
        <v>0.35447301003177478</v>
      </c>
      <c r="BS189" s="29">
        <f>求节点(基础状态预期!$D$17:$D$55,基础状态预期!$AI$17:$AI$55,$BQ189)*AH$6</f>
        <v>22.154563126985924</v>
      </c>
      <c r="BT189" s="145">
        <f t="shared" si="142"/>
        <v>22.154563126985924</v>
      </c>
      <c r="BU189" s="29">
        <f>求节点(基础状态预期!$D$17:$D$55,基础状态预期!$AI$17:$AI$55,$BQ189)*AI$6</f>
        <v>1.0634190300953243</v>
      </c>
      <c r="BV189" s="145">
        <f t="shared" si="143"/>
        <v>1.0634190300953243</v>
      </c>
      <c r="BW189" s="29">
        <f>求节点(基础状态预期!$D$17:$D$55,基础状态预期!$AI$17:$AI$55,$BQ189)*$AU$6</f>
        <v>4.4309126253971849</v>
      </c>
      <c r="BX189" s="29">
        <f>求节点(基础状态预期!$D$17:$D$55,基础状态预期!$AI$17:$AI$55,$BQ189)*$AJ$6</f>
        <v>1.0634190300953244E-3</v>
      </c>
      <c r="BY189" s="145">
        <f t="shared" ref="BY189" si="154">BX189</f>
        <v>1.0634190300953244E-3</v>
      </c>
      <c r="BZ189" s="29">
        <f>求节点(基础状态预期!$D$17:$D$55,基础状态预期!$AI$17:$AI$55,$BQ189)*$AK$6</f>
        <v>8.8618252507943708E-4</v>
      </c>
      <c r="CA189" s="145">
        <f t="shared" ref="CA189" si="155">BZ189</f>
        <v>8.8618252507943708E-4</v>
      </c>
      <c r="CB189" s="29">
        <f>求节点(基础状态预期!$D$17:$D$55,基础状态预期!$AI$17:$AI$55,$BQ189)*$W$60</f>
        <v>5.3170951504766225E-3</v>
      </c>
      <c r="CC189" s="29">
        <f>($BR189-$BR188)*(INDEX([2]超r将兵属性验证!$V$7:$V$166,$BQ189,1)+INDEX([2]超r将兵属性验证!$AP$7:$AP$166,$BQ189,1))+CC188</f>
        <v>24260569.794494227</v>
      </c>
      <c r="CD189" s="29">
        <f>($BS189-$BS188)*INDEX([2]超r将兵属性验证!W$7:W$166,$BQ189,1)+CD188</f>
        <v>19031317.162426058</v>
      </c>
      <c r="CE189" s="29">
        <f>(BT189-$BT188)*INDEX([2]超r将兵属性验证!X$7:X$166,$BQ189,1)+CE188</f>
        <v>19031317.162426058</v>
      </c>
      <c r="CF189" s="29">
        <f>(BU189-BU188)*INDEX([2]超r将兵属性验证!$AQ$7:$AQ$166,$BQ189)+CF188</f>
        <v>9269085.2835718431</v>
      </c>
      <c r="CG189" s="29">
        <f>(BV189-BV188)*INDEX([2]超r将兵属性验证!$AR$7:$AR$166,$BQ189)+CG188</f>
        <v>9269085.2835718431</v>
      </c>
      <c r="CH189" s="29">
        <f>(BW189-BW188)*INDEX([2]超r将兵属性验证!$AM$7:$AM$166,$BQ189,1)+CH188</f>
        <v>25700.051970842709</v>
      </c>
      <c r="CI189" s="29">
        <f>(BX189-BX188)*INDEX([2]超r将兵属性验证!$AA$7:$AA$166,$BQ189,1)+CI188</f>
        <v>9450098.8894420583</v>
      </c>
      <c r="CJ189" s="29">
        <f>(BY189-BY188)*INDEX([2]超r将兵属性验证!$AB$7:$AB$166,$BQ189,1)+CJ188</f>
        <v>9450098.8894420583</v>
      </c>
      <c r="CK189" s="29">
        <f>(BZ189-BZ188)*INDEX([2]超r将兵属性验证!$AU$7:$AU$166,$BQ189,1)+CK188</f>
        <v>5196997.4478514474</v>
      </c>
      <c r="CL189" s="29">
        <f>(CA189-CA188)*INDEX([2]超r将兵属性验证!$AV$7:$AV$166,$BQ189,1)+CL188</f>
        <v>5196997.4478514474</v>
      </c>
      <c r="CM189" s="29">
        <f>(CB189-CB188)*(INDEX([2]超r将兵属性验证!$AC$7:$AC$166,$BQ189,1)*[2]战法技能效用!$AH$4+INDEX([2]超r将兵属性验证!$AX$7:$AX$166,$BQ189,1)*[2]战法技能效用!$AI$4)+CM188</f>
        <v>37942661.768777296</v>
      </c>
      <c r="CN189" s="29">
        <f t="shared" si="141"/>
        <v>148123929.18182516</v>
      </c>
      <c r="CR189" s="29">
        <f>基础状态预期!D202</f>
        <v>42.643360270022924</v>
      </c>
      <c r="CS189" s="29">
        <f>IF(基础状态预期!AI202="",0,基础状态预期!AI202)*$AB$37*基础状态预期!J202</f>
        <v>0</v>
      </c>
      <c r="CT189" s="29">
        <f>CS189*武将数量星级阶位验证!$E$7*1.8</f>
        <v>0</v>
      </c>
      <c r="CV189" s="29">
        <v>60</v>
      </c>
      <c r="CW189" s="29">
        <f t="shared" si="146"/>
        <v>8331.7003132666923</v>
      </c>
      <c r="CX189" s="29"/>
      <c r="CY189" s="29"/>
      <c r="CZ189" s="29">
        <f t="shared" si="147"/>
        <v>8331.7003132666923</v>
      </c>
    </row>
    <row r="190" spans="69:104" x14ac:dyDescent="0.15">
      <c r="BQ190" s="29">
        <v>70</v>
      </c>
      <c r="BR190" s="29">
        <f>求节点(基础状态预期!$D$17:$D$55,基础状态预期!$AI$17:$AI$55,$BQ190)*SUM($AR$6:$AT$6)/3</f>
        <v>0.72151018898576991</v>
      </c>
      <c r="BS190" s="29">
        <f>求节点(基础状态预期!$D$17:$D$55,基础状态预期!$AI$17:$AI$55,$BQ190)*AH$6</f>
        <v>45.094386811610619</v>
      </c>
      <c r="BT190" s="145">
        <f t="shared" si="142"/>
        <v>45.094386811610619</v>
      </c>
      <c r="BU190" s="29">
        <f>求节点(基础状态预期!$D$17:$D$55,基础状态预期!$AI$17:$AI$55,$BQ190)*AI$6</f>
        <v>2.1645305669573096</v>
      </c>
      <c r="BV190" s="145">
        <f t="shared" si="143"/>
        <v>2.1645305669573096</v>
      </c>
      <c r="BW190" s="29">
        <f>求节点(基础状态预期!$D$17:$D$55,基础状态预期!$AI$17:$AI$55,$BQ190)*$AU$6</f>
        <v>9.0188773623221241</v>
      </c>
      <c r="BX190" s="29">
        <f>求节点(基础状态预期!$D$17:$D$55,基础状态预期!$AI$17:$AI$55,$BQ190)*$AJ$6</f>
        <v>2.1645305669573097E-3</v>
      </c>
      <c r="BY190" s="145">
        <f t="shared" ref="BY190" si="156">BX190</f>
        <v>2.1645305669573097E-3</v>
      </c>
      <c r="BZ190" s="29">
        <f>求节点(基础状态预期!$D$17:$D$55,基础状态预期!$AI$17:$AI$55,$BQ190)*$AK$6</f>
        <v>1.8037754724644249E-3</v>
      </c>
      <c r="CA190" s="145">
        <f t="shared" ref="CA190" si="157">BZ190</f>
        <v>1.8037754724644249E-3</v>
      </c>
      <c r="CB190" s="29">
        <f>求节点(基础状态预期!$D$17:$D$55,基础状态预期!$AI$17:$AI$55,$BQ190)*$W$60</f>
        <v>1.0822652834786549E-2</v>
      </c>
      <c r="CC190" s="29">
        <f>($BR190-$BR189)*(INDEX([2]超r将兵属性验证!$V$7:$V$166,$BQ190,1)+INDEX([2]超r将兵属性验证!$AP$7:$AP$166,$BQ190,1))+CC189</f>
        <v>102602180.06348723</v>
      </c>
      <c r="CD190" s="29">
        <f>($BS190-$BS189)*INDEX([2]超r将兵属性验证!W$7:W$166,$BQ190,1)+CD189</f>
        <v>62480248.170379683</v>
      </c>
      <c r="CE190" s="29">
        <f>(BT190-$BT189)*INDEX([2]超r将兵属性验证!X$7:X$166,$BQ190,1)+CE189</f>
        <v>62480248.170379683</v>
      </c>
      <c r="CF190" s="29">
        <f>(BU190-BU189)*INDEX([2]超r将兵属性验证!$AQ$7:$AQ$166,$BQ190)+CF189</f>
        <v>50793091.142900839</v>
      </c>
      <c r="CG190" s="29">
        <f>(BV190-BV189)*INDEX([2]超r将兵属性验证!$AR$7:$AR$166,$BQ190)+CG189</f>
        <v>50793091.142900839</v>
      </c>
      <c r="CH190" s="29">
        <f>(BW190-BW189)*INDEX([2]超r将兵属性验证!$AM$7:$AM$166,$BQ190,1)+CH189</f>
        <v>55512.799214832798</v>
      </c>
      <c r="CI190" s="29">
        <f>(BX190-BX189)*INDEX([2]超r将兵属性验证!$AA$7:$AA$166,$BQ190,1)+CI189</f>
        <v>36943437.581963144</v>
      </c>
      <c r="CJ190" s="29">
        <f>(BY190-BY189)*INDEX([2]超r将兵属性验证!$AB$7:$AB$166,$BQ190,1)+CJ189</f>
        <v>36943437.581963144</v>
      </c>
      <c r="CK190" s="29">
        <f>(BZ190-BZ189)*INDEX([2]超r将兵属性验证!$AU$7:$AU$166,$BQ190,1)+CK189</f>
        <v>33009445.939406872</v>
      </c>
      <c r="CL190" s="29">
        <f>(CA190-CA189)*INDEX([2]超r将兵属性验证!$AV$7:$AV$166,$BQ190,1)+CL189</f>
        <v>33009445.939406872</v>
      </c>
      <c r="CM190" s="29">
        <f>(CB190-CB189)*(INDEX([2]超r将兵属性验证!$AC$7:$AC$166,$BQ190,1)*[2]战法技能效用!$AH$4+INDEX([2]超r将兵属性验证!$AX$7:$AX$166,$BQ190,1)*[2]战法技能效用!$AI$4)+CM189</f>
        <v>145851211.75164878</v>
      </c>
      <c r="CN190" s="29">
        <f t="shared" si="141"/>
        <v>614961350.28365183</v>
      </c>
      <c r="CR190" s="29">
        <f>基础状态预期!D203</f>
        <v>48.493134765265182</v>
      </c>
      <c r="CS190" s="29">
        <f>IF(基础状态预期!AI203="",0,基础状态预期!AI203)*$AB$37*基础状态预期!J203</f>
        <v>0</v>
      </c>
      <c r="CT190" s="29">
        <f>CS190*武将数量星级阶位验证!$E$7*1.8</f>
        <v>0</v>
      </c>
      <c r="CV190" s="29">
        <v>70</v>
      </c>
      <c r="CW190" s="29">
        <f t="shared" si="146"/>
        <v>32163.39568256689</v>
      </c>
      <c r="CX190" s="29"/>
      <c r="CY190" s="29"/>
      <c r="CZ190" s="29">
        <f t="shared" si="147"/>
        <v>32163.39568256689</v>
      </c>
    </row>
    <row r="191" spans="69:104" x14ac:dyDescent="0.15">
      <c r="BQ191" s="29">
        <v>80</v>
      </c>
      <c r="BR191" s="29">
        <f>求节点(基础状态预期!$D$17:$D$55,基础状态预期!$AI$17:$AI$55,$BQ191)*SUM($AR$6:$AT$6)/3</f>
        <v>1.0534503973418654</v>
      </c>
      <c r="BS191" s="29">
        <f>求节点(基础状态预期!$D$17:$D$55,基础状态预期!$AI$17:$AI$55,$BQ191)*AH$6</f>
        <v>65.840649833866593</v>
      </c>
      <c r="BT191" s="145">
        <f t="shared" si="142"/>
        <v>65.840649833866593</v>
      </c>
      <c r="BU191" s="29">
        <f>求节点(基础状态预期!$D$17:$D$55,基础状态预期!$AI$17:$AI$55,$BQ191)*AI$6</f>
        <v>3.1603511920255962</v>
      </c>
      <c r="BV191" s="145">
        <f t="shared" si="143"/>
        <v>3.1603511920255962</v>
      </c>
      <c r="BW191" s="29">
        <f>求节点(基础状态预期!$D$17:$D$55,基础状态预期!$AI$17:$AI$55,$BQ191)*$AU$6</f>
        <v>13.168129966773318</v>
      </c>
      <c r="BX191" s="29">
        <f>求节点(基础状态预期!$D$17:$D$55,基础状态预期!$AI$17:$AI$55,$BQ191)*$AJ$6</f>
        <v>3.1603511920255964E-3</v>
      </c>
      <c r="BY191" s="145">
        <f t="shared" ref="BY191" si="158">BX191</f>
        <v>3.1603511920255964E-3</v>
      </c>
      <c r="BZ191" s="29">
        <f>求节点(基础状态预期!$D$17:$D$55,基础状态预期!$AI$17:$AI$55,$BQ191)*$AK$6</f>
        <v>2.6336259933546638E-3</v>
      </c>
      <c r="CA191" s="145">
        <f t="shared" ref="CA191" si="159">BZ191</f>
        <v>2.6336259933546638E-3</v>
      </c>
      <c r="CB191" s="29">
        <f>求节点(基础状态预期!$D$17:$D$55,基础状态预期!$AI$17:$AI$55,$BQ191)*$W$60</f>
        <v>1.5801755960127985E-2</v>
      </c>
      <c r="CC191" s="29">
        <f>($BR191-$BR190)*(INDEX([2]超r将兵属性验证!$V$7:$V$166,$BQ191,1)+INDEX([2]超r将兵属性验证!$AP$7:$AP$166,$BQ191,1))+CC190</f>
        <v>305177192.1967032</v>
      </c>
      <c r="CD191" s="29">
        <f>($BS191-$BS190)*INDEX([2]超r将兵属性验证!W$7:W$166,$BQ191,1)+CD190</f>
        <v>154124551.97053796</v>
      </c>
      <c r="CE191" s="29">
        <f>(BT191-$BT190)*INDEX([2]超r将兵属性验证!X$7:X$166,$BQ191,1)+CE190</f>
        <v>154124551.97053796</v>
      </c>
      <c r="CF191" s="29">
        <f>(BU191-BU190)*INDEX([2]超r将兵属性验证!$AQ$7:$AQ$166,$BQ191)+CF190</f>
        <v>173554930.15080133</v>
      </c>
      <c r="CG191" s="29">
        <f>(BV191-BV190)*INDEX([2]超r将兵属性验证!$AR$7:$AR$166,$BQ191)+CG190</f>
        <v>173554930.15080133</v>
      </c>
      <c r="CH191" s="29">
        <f>(BW191-BW190)*INDEX([2]超r将兵属性验证!$AM$7:$AM$166,$BQ191,1)+CH190</f>
        <v>85234.946249770263</v>
      </c>
      <c r="CI191" s="29">
        <f>(BX191-BX190)*INDEX([2]超r将兵属性验证!$AA$7:$AA$166,$BQ191,1)+CI190</f>
        <v>107110745.01235986</v>
      </c>
      <c r="CJ191" s="29">
        <f>(BY191-BY190)*INDEX([2]超r将兵属性验证!$AB$7:$AB$166,$BQ191,1)+CJ190</f>
        <v>107110745.01235986</v>
      </c>
      <c r="CK191" s="29">
        <f>(BZ191-BZ190)*INDEX([2]超r将兵属性验证!$AU$7:$AU$166,$BQ191,1)+CK190</f>
        <v>130474559.23587359</v>
      </c>
      <c r="CL191" s="29">
        <f>(CA191-CA190)*INDEX([2]超r将兵属性验证!$AV$7:$AV$166,$BQ191,1)+CL190</f>
        <v>130474559.23587359</v>
      </c>
      <c r="CM191" s="29">
        <f>(CB191-CB190)*(INDEX([2]超r将兵属性验证!$AC$7:$AC$166,$BQ191,1)*[2]战法技能效用!$AH$4+INDEX([2]超r将兵属性验证!$AX$7:$AX$166,$BQ191,1)*[2]战法技能效用!$AI$4)+CM190</f>
        <v>403376455.94466424</v>
      </c>
      <c r="CN191" s="29">
        <f t="shared" si="141"/>
        <v>1839168455.8267629</v>
      </c>
      <c r="CR191" s="29">
        <f>基础状态预期!D204</f>
        <v>52.559419343629337</v>
      </c>
      <c r="CS191" s="29">
        <f>IF(基础状态预期!AI204="",0,基础状态预期!AI204)*$AB$37*基础状态预期!J204</f>
        <v>0.26737829089378284</v>
      </c>
      <c r="CT191" s="29">
        <f>CS191*武将数量星级阶位验证!$E$7*1.8</f>
        <v>1443.8427708264273</v>
      </c>
      <c r="CV191" s="29">
        <v>80</v>
      </c>
      <c r="CW191" s="29">
        <f t="shared" si="146"/>
        <v>92485.162605822756</v>
      </c>
      <c r="CX191" s="29"/>
      <c r="CY191" s="29"/>
      <c r="CZ191" s="29">
        <f t="shared" si="147"/>
        <v>92485.162605822756</v>
      </c>
    </row>
    <row r="192" spans="69:104" x14ac:dyDescent="0.15">
      <c r="BQ192" s="29">
        <v>90</v>
      </c>
      <c r="BR192" s="29">
        <f>求节点(基础状态预期!$D$17:$D$55,基础状态预期!$AI$17:$AI$55,$BQ192)*SUM($AR$6:$AT$6)/3</f>
        <v>1.9304730995008079</v>
      </c>
      <c r="BS192" s="29">
        <f>求节点(基础状态预期!$D$17:$D$55,基础状态预期!$AI$17:$AI$55,$BQ192)*AH$6</f>
        <v>120.65456871880049</v>
      </c>
      <c r="BT192" s="145">
        <f t="shared" si="142"/>
        <v>120.65456871880049</v>
      </c>
      <c r="BU192" s="29">
        <f>求节点(基础状态预期!$D$17:$D$55,基础状态预期!$AI$17:$AI$55,$BQ192)*AI$6</f>
        <v>5.791419298502424</v>
      </c>
      <c r="BV192" s="145">
        <f t="shared" si="143"/>
        <v>5.791419298502424</v>
      </c>
      <c r="BW192" s="29">
        <f>求节点(基础状态预期!$D$17:$D$55,基础状态预期!$AI$17:$AI$55,$BQ192)*$AU$6</f>
        <v>24.1309137437601</v>
      </c>
      <c r="BX192" s="29">
        <f>求节点(基础状态预期!$D$17:$D$55,基础状态预期!$AI$17:$AI$55,$BQ192)*$AJ$6</f>
        <v>5.7914192985024232E-3</v>
      </c>
      <c r="BY192" s="145">
        <f t="shared" ref="BY192" si="160">BX192</f>
        <v>5.7914192985024232E-3</v>
      </c>
      <c r="BZ192" s="29">
        <f>求节点(基础状态预期!$D$17:$D$55,基础状态预期!$AI$17:$AI$55,$BQ192)*$AK$6</f>
        <v>4.8261827487520205E-3</v>
      </c>
      <c r="CA192" s="145">
        <f t="shared" ref="CA192" si="161">BZ192</f>
        <v>4.8261827487520205E-3</v>
      </c>
      <c r="CB192" s="29">
        <f>求节点(基础状态预期!$D$17:$D$55,基础状态预期!$AI$17:$AI$55,$BQ192)*$W$60</f>
        <v>2.8957096492512123E-2</v>
      </c>
      <c r="CC192" s="29">
        <f>($BR192-$BR191)*(INDEX([2]超r将兵属性验证!$V$7:$V$166,$BQ192,1)+INDEX([2]超r将兵属性验证!$AP$7:$AP$166,$BQ192,1))+CC191</f>
        <v>1620034097.7086451</v>
      </c>
      <c r="CD192" s="29">
        <f>($BS192-$BS191)*INDEX([2]超r将兵属性验证!W$7:W$166,$BQ192,1)+CD191</f>
        <v>611134175.69661653</v>
      </c>
      <c r="CE192" s="29">
        <f>(BT192-$BT191)*INDEX([2]超r将兵属性验证!X$7:X$166,$BQ192,1)+CE191</f>
        <v>611134175.69661653</v>
      </c>
      <c r="CF192" s="29">
        <f>(BU192-BU191)*INDEX([2]超r将兵属性验证!$AQ$7:$AQ$166,$BQ192)+CF191</f>
        <v>1025868721.5712174</v>
      </c>
      <c r="CG192" s="29">
        <f>(BV192-BV191)*INDEX([2]超r将兵属性验证!$AR$7:$AR$166,$BQ192)+CG191</f>
        <v>1025868721.5712174</v>
      </c>
      <c r="CH192" s="29">
        <f>(BW192-BW191)*INDEX([2]超r将兵属性验证!$AM$7:$AM$166,$BQ192,1)+CH191</f>
        <v>170743.95313335437</v>
      </c>
      <c r="CI192" s="29">
        <f>(BX192-BX191)*INDEX([2]超r将兵属性验证!$AA$7:$AA$166,$BQ192,1)+CI191</f>
        <v>509849454.7814734</v>
      </c>
      <c r="CJ192" s="29">
        <f>(BY192-BY191)*INDEX([2]超r将兵属性验证!$AB$7:$AB$166,$BQ192,1)+CJ191</f>
        <v>509849454.7814734</v>
      </c>
      <c r="CK192" s="29">
        <f>(BZ192-BZ191)*INDEX([2]超r将兵属性验证!$AU$7:$AU$166,$BQ192,1)+CK191</f>
        <v>928267792.75212848</v>
      </c>
      <c r="CL192" s="29">
        <f>(CA192-CA191)*INDEX([2]超r将兵属性验证!$AV$7:$AV$166,$BQ192,1)+CL191</f>
        <v>928267792.75212848</v>
      </c>
      <c r="CM192" s="29">
        <f>(CB192-CB191)*(INDEX([2]超r将兵属性验证!$AC$7:$AC$166,$BQ192,1)*[2]战法技能效用!$AH$4+INDEX([2]超r将兵属性验证!$AX$7:$AX$166,$BQ192,1)*[2]战法技能效用!$AI$4)+CM191</f>
        <v>1877708884.1164401</v>
      </c>
      <c r="CN192" s="29">
        <f t="shared" si="141"/>
        <v>9648154015.3810902</v>
      </c>
      <c r="CR192" s="29">
        <f>基础状态预期!D205</f>
        <v>58.560986008166232</v>
      </c>
      <c r="CS192" s="29">
        <f>IF(基础状态预期!AI205="",0,基础状态预期!AI205)*$AB$37*基础状态预期!J205</f>
        <v>1.0340723667551084</v>
      </c>
      <c r="CT192" s="29">
        <f>CS192*武将数量星级阶位验证!$E$7*1.8</f>
        <v>5583.9907804775858</v>
      </c>
      <c r="CV192" s="29">
        <v>90</v>
      </c>
      <c r="CW192" s="29">
        <f t="shared" si="146"/>
        <v>740758.36148623354</v>
      </c>
      <c r="CX192" s="29"/>
      <c r="CY192" s="29"/>
      <c r="CZ192" s="29">
        <f t="shared" si="147"/>
        <v>740758.36148623354</v>
      </c>
    </row>
    <row r="193" spans="69:104" x14ac:dyDescent="0.15">
      <c r="BQ193" s="29">
        <v>100</v>
      </c>
      <c r="BR193" s="29">
        <f>求节点(基础状态预期!$D$17:$D$55,基础状态预期!$AI$17:$AI$55,$BQ193)*SUM($AR$6:$AT$6)/3</f>
        <v>3.3733391260028154</v>
      </c>
      <c r="BS193" s="29">
        <f>求节点(基础状态预期!$D$17:$D$55,基础状态预期!$AI$17:$AI$55,$BQ193)*AH$6</f>
        <v>210.83369537517598</v>
      </c>
      <c r="BT193" s="145">
        <f t="shared" si="142"/>
        <v>210.83369537517598</v>
      </c>
      <c r="BU193" s="29">
        <f>求节点(基础状态预期!$D$17:$D$55,基础状态预期!$AI$17:$AI$55,$BQ193)*AI$6</f>
        <v>10.120017378008447</v>
      </c>
      <c r="BV193" s="145">
        <f t="shared" si="143"/>
        <v>10.120017378008447</v>
      </c>
      <c r="BW193" s="29">
        <f>求节点(基础状态预期!$D$17:$D$55,基础状态预期!$AI$17:$AI$55,$BQ193)*$AU$6</f>
        <v>42.166739075035196</v>
      </c>
      <c r="BX193" s="29">
        <f>求节点(基础状态预期!$D$17:$D$55,基础状态预期!$AI$17:$AI$55,$BQ193)*$AJ$6</f>
        <v>1.0120017378008446E-2</v>
      </c>
      <c r="BY193" s="145">
        <f t="shared" ref="BY193" si="162">BX193</f>
        <v>1.0120017378008446E-2</v>
      </c>
      <c r="BZ193" s="29">
        <f>求节点(基础状态预期!$D$17:$D$55,基础状态预期!$AI$17:$AI$55,$BQ193)*$AK$6</f>
        <v>8.43334781500704E-3</v>
      </c>
      <c r="CA193" s="145">
        <f t="shared" ref="CA193" si="163">BZ193</f>
        <v>8.43334781500704E-3</v>
      </c>
      <c r="CB193" s="29">
        <f>求节点(基础状态预期!$D$17:$D$55,基础状态预期!$AI$17:$AI$55,$BQ193)*$W$60</f>
        <v>5.0600086890042244E-2</v>
      </c>
      <c r="CC193" s="29">
        <f>($BR193-$BR192)*(INDEX([2]超r将兵属性验证!$V$7:$V$166,$BQ193,1)+INDEX([2]超r将兵属性验证!$AP$7:$AP$166,$BQ193,1))+CC192</f>
        <v>5165950242.988903</v>
      </c>
      <c r="CD193" s="29">
        <f>($BS193-$BS192)*INDEX([2]超r将兵属性验证!W$7:W$166,$BQ193,1)+CD192</f>
        <v>1577833327.9021676</v>
      </c>
      <c r="CE193" s="29">
        <f>(BT193-$BT192)*INDEX([2]超r将兵属性验证!X$7:X$166,$BQ193,1)+CE192</f>
        <v>1577833327.9021676</v>
      </c>
      <c r="CF193" s="29">
        <f>(BU193-BU192)*INDEX([2]超r将兵属性验证!$AQ$7:$AQ$166,$BQ193)+CF192</f>
        <v>3220000108.9403825</v>
      </c>
      <c r="CG193" s="29">
        <f>(BV193-BV192)*INDEX([2]超r将兵属性验证!$AR$7:$AR$166,$BQ193)+CG192</f>
        <v>3220000108.9403825</v>
      </c>
      <c r="CH193" s="29">
        <f>(BW193-BW192)*INDEX([2]超r将兵属性验证!$AM$7:$AM$166,$BQ193,1)+CH192</f>
        <v>323415.64116781869</v>
      </c>
      <c r="CI193" s="29">
        <f>(BX193-BX192)*INDEX([2]超r将兵属性验证!$AA$7:$AA$166,$BQ193,1)+CI192</f>
        <v>1451780033.6093826</v>
      </c>
      <c r="CJ193" s="29">
        <f>(BY193-BY192)*INDEX([2]超r将兵属性验证!$AB$7:$AB$166,$BQ193,1)+CJ192</f>
        <v>1451780033.6093826</v>
      </c>
      <c r="CK193" s="29">
        <f>(BZ193-BZ192)*INDEX([2]超r将兵属性验证!$AU$7:$AU$166,$BQ193,1)+CK192</f>
        <v>3306992364.6214299</v>
      </c>
      <c r="CL193" s="29">
        <f>(CA193-CA192)*INDEX([2]超r将兵属性验证!$AV$7:$AV$166,$BQ193,1)+CL192</f>
        <v>3306992364.6214299</v>
      </c>
      <c r="CM193" s="29">
        <f>(CB193-CB192)*(INDEX([2]超r将兵属性验证!$AC$7:$AC$166,$BQ193,1)*[2]战法技能效用!$AH$4+INDEX([2]超r将兵属性验证!$AX$7:$AX$166,$BQ193,1)*[2]战法技能效用!$AI$4)+CM192</f>
        <v>5932840171.063117</v>
      </c>
      <c r="CN193" s="29">
        <f t="shared" si="141"/>
        <v>30212325499.839912</v>
      </c>
      <c r="CR193" s="29">
        <f>基础状态预期!D206</f>
        <v>64.247064283227857</v>
      </c>
      <c r="CS193" s="29">
        <f>IF(基础状态预期!AI206="",0,基础状态预期!AI206)*$AB$37*基础状态预期!J206</f>
        <v>3.0446686615270133</v>
      </c>
      <c r="CT193" s="29">
        <f>CS193*武将数量星级阶位验证!$E$7*1.8</f>
        <v>16441.210772245871</v>
      </c>
      <c r="CV193" s="29">
        <v>100</v>
      </c>
      <c r="CW193" s="29">
        <f t="shared" si="146"/>
        <v>777600</v>
      </c>
      <c r="CX193" s="29"/>
      <c r="CY193" s="29"/>
      <c r="CZ193" s="29">
        <f t="shared" si="147"/>
        <v>777600</v>
      </c>
    </row>
    <row r="194" spans="69:104" x14ac:dyDescent="0.15">
      <c r="BQ194" s="29">
        <v>110</v>
      </c>
      <c r="BR194" s="29">
        <f>求节点(基础状态预期!$D$17:$D$55,基础状态预期!$AI$17:$AI$55,$BQ194)*SUM($AR$6:$AT$6)/3</f>
        <v>27.353727251649335</v>
      </c>
      <c r="BS194" s="29">
        <f>求节点(基础状态预期!$D$17:$D$55,基础状态预期!$AI$17:$AI$55,$BQ194)*AH$6</f>
        <v>1709.6079532280837</v>
      </c>
      <c r="BT194" s="145">
        <f t="shared" si="142"/>
        <v>1709.6079532280837</v>
      </c>
      <c r="BU194" s="29">
        <f>求节点(基础状态预期!$D$17:$D$55,基础状态预期!$AI$17:$AI$55,$BQ194)*AI$6</f>
        <v>82.061181754948009</v>
      </c>
      <c r="BV194" s="145">
        <f t="shared" si="143"/>
        <v>82.061181754948009</v>
      </c>
      <c r="BW194" s="29">
        <f>求节点(基础状态预期!$D$17:$D$55,基础状态预期!$AI$17:$AI$55,$BQ194)*$AU$6</f>
        <v>341.92159064561673</v>
      </c>
      <c r="BX194" s="29">
        <f>求节点(基础状态预期!$D$17:$D$55,基础状态预期!$AI$17:$AI$55,$BQ194)*$AJ$6</f>
        <v>8.2061181754948018E-2</v>
      </c>
      <c r="BY194" s="145">
        <f t="shared" ref="BY194" si="164">BX194</f>
        <v>8.2061181754948018E-2</v>
      </c>
      <c r="BZ194" s="29">
        <f>求节点(基础状态预期!$D$17:$D$55,基础状态预期!$AI$17:$AI$55,$BQ194)*$AK$6</f>
        <v>6.838431812912335E-2</v>
      </c>
      <c r="CA194" s="145">
        <f t="shared" ref="CA194" si="165">BZ194</f>
        <v>6.838431812912335E-2</v>
      </c>
      <c r="CB194" s="29">
        <f>求节点(基础状态预期!$D$17:$D$55,基础状态预期!$AI$17:$AI$55,$BQ194)*$W$60</f>
        <v>0.4103059087747401</v>
      </c>
      <c r="CC194" s="29">
        <f>($BR194-$BR193)*(INDEX([2]超r将兵属性验证!$V$7:$V$166,$BQ194,1)+INDEX([2]超r将兵属性验证!$AP$7:$AP$166,$BQ194,1))+CC193</f>
        <v>90692489731.888062</v>
      </c>
      <c r="CD194" s="29">
        <f>($BS194-$BS193)*INDEX([2]超r将兵属性验证!W$7:W$166,$BQ194,1)+CD193</f>
        <v>20761506114.520931</v>
      </c>
      <c r="CE194" s="29">
        <f>(BT194-$BT193)*INDEX([2]超r将兵属性验证!X$7:X$166,$BQ194,1)+CE193</f>
        <v>20761506114.520931</v>
      </c>
      <c r="CF194" s="29">
        <f>(BU194-BU193)*INDEX([2]超r将兵属性验证!$AQ$7:$AQ$166,$BQ194)+CF193</f>
        <v>56765541634.955879</v>
      </c>
      <c r="CG194" s="29">
        <f>(BV194-BV193)*INDEX([2]超r将兵属性验证!$AR$7:$AR$166,$BQ194)+CG193</f>
        <v>56765541634.955879</v>
      </c>
      <c r="CH194" s="29">
        <f>(BW194-BW193)*INDEX([2]超r将兵属性验证!$AM$7:$AM$166,$BQ194,1)+CH193</f>
        <v>3059374.8338463753</v>
      </c>
      <c r="CI194" s="29">
        <f>(BX194-BX193)*INDEX([2]超r将兵属性验证!$AA$7:$AA$166,$BQ194,1)+CI193</f>
        <v>21419145258.91309</v>
      </c>
      <c r="CJ194" s="29">
        <f>(BY194-BY193)*INDEX([2]超r将兵属性验证!$AB$7:$AB$166,$BQ194,1)+CJ193</f>
        <v>21419145258.91309</v>
      </c>
      <c r="CK194" s="29">
        <f>(BZ194-BZ193)*INDEX([2]超r将兵属性验证!$AU$7:$AU$166,$BQ194,1)+CK193</f>
        <v>67232198493.968735</v>
      </c>
      <c r="CL194" s="29">
        <f>(CA194-CA193)*INDEX([2]超r将兵属性验证!$AV$7:$AV$166,$BQ194,1)+CL193</f>
        <v>67232198493.968735</v>
      </c>
      <c r="CM194" s="29">
        <f>(CB194-CB193)*(INDEX([2]超r将兵属性验证!$AC$7:$AC$166,$BQ194,1)*[2]战法技能效用!$AH$4+INDEX([2]超r将兵属性验证!$AX$7:$AX$166,$BQ194,1)*[2]战法技能效用!$AI$4)+CM193</f>
        <v>103752425169.8972</v>
      </c>
      <c r="CN194" s="29">
        <f t="shared" ref="CN194:CN199" si="166">SUM(CC194:CM194)</f>
        <v>526804757281.33643</v>
      </c>
      <c r="CR194" s="29">
        <f>基础状态预期!D207</f>
        <v>68.518369035696878</v>
      </c>
      <c r="CS194" s="29">
        <f>IF(基础状态预期!AI207="",0,基础状态预期!AI207)*$AB$37*基础状态预期!J207</f>
        <v>5.0378416888812518</v>
      </c>
      <c r="CT194" s="29">
        <f>CS194*武将数量星级阶位验证!$E$7*1.8</f>
        <v>27204.345119958758</v>
      </c>
      <c r="CV194" s="29">
        <v>110</v>
      </c>
      <c r="CW194" s="29">
        <f t="shared" si="146"/>
        <v>777600</v>
      </c>
      <c r="CX194" s="29"/>
      <c r="CY194" s="29"/>
      <c r="CZ194" s="29">
        <f t="shared" ref="CZ194:CZ199" si="167">SUM(CW194:CY194)</f>
        <v>777600</v>
      </c>
    </row>
    <row r="195" spans="69:104" x14ac:dyDescent="0.15">
      <c r="BQ195" s="29">
        <v>120</v>
      </c>
      <c r="BR195" s="29">
        <f>求节点(基础状态预期!$D$17:$D$55,基础状态预期!$AI$17:$AI$55,$BQ195)*SUM($AR$6:$AT$6)/3</f>
        <v>40</v>
      </c>
      <c r="BS195" s="29">
        <f>求节点(基础状态预期!$D$17:$D$55,基础状态预期!$AI$17:$AI$55,$BQ195)*AH$6</f>
        <v>2500</v>
      </c>
      <c r="BT195" s="145">
        <f t="shared" si="142"/>
        <v>2500</v>
      </c>
      <c r="BU195" s="29">
        <f>求节点(基础状态预期!$D$17:$D$55,基础状态预期!$AI$17:$AI$55,$BQ195)*AI$6</f>
        <v>120</v>
      </c>
      <c r="BV195" s="145">
        <f t="shared" si="143"/>
        <v>120</v>
      </c>
      <c r="BW195" s="29">
        <f>求节点(基础状态预期!$D$17:$D$55,基础状态预期!$AI$17:$AI$55,$BQ195)*$AU$6</f>
        <v>500</v>
      </c>
      <c r="BX195" s="29">
        <f>求节点(基础状态预期!$D$17:$D$55,基础状态预期!$AI$17:$AI$55,$BQ195)*$AJ$6</f>
        <v>0.12</v>
      </c>
      <c r="BY195" s="145">
        <f t="shared" ref="BY195" si="168">BX195</f>
        <v>0.12</v>
      </c>
      <c r="BZ195" s="29">
        <f>求节点(基础状态预期!$D$17:$D$55,基础状态预期!$AI$17:$AI$55,$BQ195)*$AK$6</f>
        <v>0.1</v>
      </c>
      <c r="CA195" s="145">
        <f t="shared" ref="CA195" si="169">BZ195</f>
        <v>0.1</v>
      </c>
      <c r="CB195" s="29">
        <f>求节点(基础状态预期!$D$17:$D$55,基础状态预期!$AI$17:$AI$55,$BQ195)*$W$60</f>
        <v>0.60000000000000009</v>
      </c>
      <c r="CC195" s="29">
        <f>($BR195-$BR194)*(INDEX([2]超r将兵属性验证!$V$7:$V$166,$BQ195,1)+INDEX([2]超r将兵属性验证!$AP$7:$AP$166,$BQ195,1))+CC194</f>
        <v>155913300460.24817</v>
      </c>
      <c r="CD195" s="29">
        <f>($BS195-$BS194)*INDEX([2]超r将兵属性验证!W$7:W$166,$BQ195,1)+CD194</f>
        <v>33711129063.595341</v>
      </c>
      <c r="CE195" s="29">
        <f>(BT195-$BT194)*INDEX([2]超r将兵属性验证!X$7:X$166,$BQ195,1)+CE194</f>
        <v>33711129063.595341</v>
      </c>
      <c r="CF195" s="29">
        <f>(BU195-BU194)*INDEX([2]超r将兵属性验证!$AQ$7:$AQ$166,$BQ195)+CF194</f>
        <v>97388055160.420715</v>
      </c>
      <c r="CG195" s="29">
        <f>(BV195-BV194)*INDEX([2]超r将兵属性验证!$AR$7:$AR$166,$BQ195)+CG194</f>
        <v>97388055160.420715</v>
      </c>
      <c r="CH195" s="29">
        <f>(BW195-BW194)*INDEX([2]超r将兵属性验证!$AM$7:$AM$166,$BQ195,1)+CH194</f>
        <v>4607258.8932999931</v>
      </c>
      <c r="CI195" s="29">
        <f>(BX195-BX194)*INDEX([2]超r将兵属性验证!$AA$7:$AA$166,$BQ195,1)+CI194</f>
        <v>35495904797.71347</v>
      </c>
      <c r="CJ195" s="29">
        <f>(BY195-BY194)*INDEX([2]超r将兵属性验证!$AB$7:$AB$166,$BQ195,1)+CJ194</f>
        <v>35495904797.71347</v>
      </c>
      <c r="CK195" s="29">
        <f>(BZ195-BZ194)*INDEX([2]超r将兵属性验证!$AU$7:$AU$166,$BQ195,1)+CK194</f>
        <v>119466557598.13385</v>
      </c>
      <c r="CL195" s="29">
        <f>(CA195-CA194)*INDEX([2]超r将兵属性验证!$AV$7:$AV$166,$BQ195,1)+CL194</f>
        <v>119466557598.13385</v>
      </c>
      <c r="CM195" s="29">
        <f>(CB195-CB194)*(INDEX([2]超r将兵属性验证!$AC$7:$AC$166,$BQ195,1)*[2]战法技能效用!$AH$4+INDEX([2]超r将兵属性验证!$AX$7:$AX$166,$BQ195,1)*[2]战法技能效用!$AI$4)+CM194</f>
        <v>177942029810.4873</v>
      </c>
      <c r="CN195" s="29">
        <f t="shared" si="166"/>
        <v>905983230769.35547</v>
      </c>
      <c r="CR195" s="29">
        <f>基础状态预期!D208</f>
        <v>71.7664716439551</v>
      </c>
      <c r="CS195" s="29">
        <f>IF(基础状态预期!AI208="",0,基础状态预期!AI208)*$AB$37*基础状态预期!J208</f>
        <v>7.0510766850104396</v>
      </c>
      <c r="CT195" s="29">
        <f>CS195*武将数量星级阶位验证!$E$7*1.8</f>
        <v>38075.814099056377</v>
      </c>
      <c r="CV195" s="29">
        <v>120</v>
      </c>
      <c r="CW195" s="29">
        <f t="shared" si="146"/>
        <v>777600</v>
      </c>
      <c r="CX195" s="29"/>
      <c r="CY195" s="29"/>
      <c r="CZ195" s="29">
        <f t="shared" si="167"/>
        <v>777600</v>
      </c>
    </row>
    <row r="196" spans="69:104" x14ac:dyDescent="0.15">
      <c r="BQ196" s="29">
        <v>130</v>
      </c>
      <c r="BR196" s="29">
        <f>求节点(基础状态预期!$D$17:$D$55,基础状态预期!$AI$17:$AI$55,$BQ196)*SUM($AR$6:$AT$6)/3</f>
        <v>40</v>
      </c>
      <c r="BS196" s="29">
        <f>求节点(基础状态预期!$D$17:$D$55,基础状态预期!$AI$17:$AI$55,$BQ196)*AH$6</f>
        <v>2500</v>
      </c>
      <c r="BT196" s="145">
        <f t="shared" si="142"/>
        <v>2500</v>
      </c>
      <c r="BU196" s="29">
        <f>求节点(基础状态预期!$D$17:$D$55,基础状态预期!$AI$17:$AI$55,$BQ196)*AI$6</f>
        <v>120</v>
      </c>
      <c r="BV196" s="145">
        <f t="shared" si="143"/>
        <v>120</v>
      </c>
      <c r="BW196" s="29">
        <f>求节点(基础状态预期!$D$17:$D$55,基础状态预期!$AI$17:$AI$55,$BQ196)*$AU$6</f>
        <v>500</v>
      </c>
      <c r="BX196" s="29">
        <f>求节点(基础状态预期!$D$17:$D$55,基础状态预期!$AI$17:$AI$55,$BQ196)*$AJ$6</f>
        <v>0.12</v>
      </c>
      <c r="BY196" s="145">
        <f t="shared" ref="BY196" si="170">BX196</f>
        <v>0.12</v>
      </c>
      <c r="BZ196" s="29">
        <f>求节点(基础状态预期!$D$17:$D$55,基础状态预期!$AI$17:$AI$55,$BQ196)*$AK$6</f>
        <v>0.1</v>
      </c>
      <c r="CA196" s="145">
        <f t="shared" ref="CA196" si="171">BZ196</f>
        <v>0.1</v>
      </c>
      <c r="CB196" s="29">
        <f>求节点(基础状态预期!$D$17:$D$55,基础状态预期!$AI$17:$AI$55,$BQ196)*$W$60</f>
        <v>0.60000000000000009</v>
      </c>
      <c r="CC196" s="29">
        <f>($BR196-$BR195)*(INDEX([2]超r将兵属性验证!$V$7:$V$166,$BQ196,1)+INDEX([2]超r将兵属性验证!$AP$7:$AP$166,$BQ196,1))+CC195</f>
        <v>155913300460.24817</v>
      </c>
      <c r="CD196" s="29">
        <f>($BS196-$BS195)*INDEX([2]超r将兵属性验证!W$7:W$166,$BQ196,1)+CD195</f>
        <v>33711129063.595341</v>
      </c>
      <c r="CE196" s="29">
        <f>(BT196-$BT195)*INDEX([2]超r将兵属性验证!X$7:X$166,$BQ196,1)+CE195</f>
        <v>33711129063.595341</v>
      </c>
      <c r="CF196" s="29">
        <f>(BU196-BU195)*INDEX([2]超r将兵属性验证!$AQ$7:$AQ$166,$BQ196)+CF195</f>
        <v>97388055160.420715</v>
      </c>
      <c r="CG196" s="29">
        <f>(BV196-BV195)*INDEX([2]超r将兵属性验证!$AR$7:$AR$166,$BQ196)+CG195</f>
        <v>97388055160.420715</v>
      </c>
      <c r="CH196" s="29">
        <f>(BW196-BW195)*INDEX([2]超r将兵属性验证!$AM$7:$AM$166,$BQ196,1)+CH195</f>
        <v>4607258.8932999931</v>
      </c>
      <c r="CI196" s="29">
        <f>(BX196-BX195)*INDEX([2]超r将兵属性验证!$AA$7:$AA$166,$BQ196,1)+CI195</f>
        <v>35495904797.71347</v>
      </c>
      <c r="CJ196" s="29">
        <f>(BY196-BY195)*INDEX([2]超r将兵属性验证!$AB$7:$AB$166,$BQ196,1)+CJ195</f>
        <v>35495904797.71347</v>
      </c>
      <c r="CK196" s="29">
        <f>(BZ196-BZ195)*INDEX([2]超r将兵属性验证!$AU$7:$AU$166,$BQ196,1)+CK195</f>
        <v>119466557598.13385</v>
      </c>
      <c r="CL196" s="29">
        <f>(CA196-CA195)*INDEX([2]超r将兵属性验证!$AV$7:$AV$166,$BQ196,1)+CL195</f>
        <v>119466557598.13385</v>
      </c>
      <c r="CM196" s="29">
        <f>(CB196-CB195)*(INDEX([2]超r将兵属性验证!$AC$7:$AC$166,$BQ196,1)*[2]战法技能效用!$AH$4+INDEX([2]超r将兵属性验证!$AX$7:$AX$166,$BQ196,1)*[2]战法技能效用!$AI$4)+CM195</f>
        <v>177942029810.4873</v>
      </c>
      <c r="CN196" s="29">
        <f t="shared" si="166"/>
        <v>905983230769.35547</v>
      </c>
      <c r="CR196" s="29">
        <f>基础状态预期!D209</f>
        <v>74.370993278111257</v>
      </c>
      <c r="CS196" s="29">
        <f>IF(基础状态预期!AI209="",0,基础状态预期!AI209)*$AB$37*基础状态预期!J209</f>
        <v>8.9549046959937488</v>
      </c>
      <c r="CT196" s="29">
        <f>CS196*武将数量星级阶位验证!$E$7*1.8</f>
        <v>48356.485358366248</v>
      </c>
      <c r="CV196" s="29">
        <v>130</v>
      </c>
      <c r="CW196" s="29">
        <f t="shared" si="146"/>
        <v>777600</v>
      </c>
      <c r="CX196" s="29"/>
      <c r="CY196" s="29"/>
      <c r="CZ196" s="29">
        <f t="shared" si="167"/>
        <v>777600</v>
      </c>
    </row>
    <row r="197" spans="69:104" x14ac:dyDescent="0.15">
      <c r="BQ197" s="29">
        <v>140</v>
      </c>
      <c r="BR197" s="29">
        <f>求节点(基础状态预期!$D$17:$D$55,基础状态预期!$AI$17:$AI$55,$BQ197)*SUM($AR$6:$AT$6)/3</f>
        <v>40</v>
      </c>
      <c r="BS197" s="29">
        <f>求节点(基础状态预期!$D$17:$D$55,基础状态预期!$AI$17:$AI$55,$BQ197)*AH$6</f>
        <v>2500</v>
      </c>
      <c r="BT197" s="145">
        <f t="shared" si="142"/>
        <v>2500</v>
      </c>
      <c r="BU197" s="29">
        <f>求节点(基础状态预期!$D$17:$D$55,基础状态预期!$AI$17:$AI$55,$BQ197)*AI$6</f>
        <v>120</v>
      </c>
      <c r="BV197" s="145">
        <f t="shared" si="143"/>
        <v>120</v>
      </c>
      <c r="BW197" s="29">
        <f>求节点(基础状态预期!$D$17:$D$55,基础状态预期!$AI$17:$AI$55,$BQ197)*$AU$6</f>
        <v>500</v>
      </c>
      <c r="BX197" s="29">
        <f>求节点(基础状态预期!$D$17:$D$55,基础状态预期!$AI$17:$AI$55,$BQ197)*$AJ$6</f>
        <v>0.12</v>
      </c>
      <c r="BY197" s="145">
        <f t="shared" ref="BY197" si="172">BX197</f>
        <v>0.12</v>
      </c>
      <c r="BZ197" s="29">
        <f>求节点(基础状态预期!$D$17:$D$55,基础状态预期!$AI$17:$AI$55,$BQ197)*$AK$6</f>
        <v>0.1</v>
      </c>
      <c r="CA197" s="145">
        <f t="shared" ref="CA197" si="173">BZ197</f>
        <v>0.1</v>
      </c>
      <c r="CB197" s="29">
        <f>求节点(基础状态预期!$D$17:$D$55,基础状态预期!$AI$17:$AI$55,$BQ197)*$W$60</f>
        <v>0.60000000000000009</v>
      </c>
      <c r="CC197" s="29">
        <f>($BR197-$BR196)*(INDEX([2]超r将兵属性验证!$V$7:$V$166,$BQ197,1)+INDEX([2]超r将兵属性验证!$AP$7:$AP$166,$BQ197,1))+CC196</f>
        <v>155913300460.24817</v>
      </c>
      <c r="CD197" s="29">
        <f>($BS197-$BS196)*INDEX([2]超r将兵属性验证!W$7:W$166,$BQ197,1)+CD196</f>
        <v>33711129063.595341</v>
      </c>
      <c r="CE197" s="29">
        <f>(BT197-$BT196)*INDEX([2]超r将兵属性验证!X$7:X$166,$BQ197,1)+CE196</f>
        <v>33711129063.595341</v>
      </c>
      <c r="CF197" s="29">
        <f>(BU197-BU196)*INDEX([2]超r将兵属性验证!$AQ$7:$AQ$166,$BQ197)+CF196</f>
        <v>97388055160.420715</v>
      </c>
      <c r="CG197" s="29">
        <f>(BV197-BV196)*INDEX([2]超r将兵属性验证!$AR$7:$AR$166,$BQ197)+CG196</f>
        <v>97388055160.420715</v>
      </c>
      <c r="CH197" s="29">
        <f>(BW197-BW196)*INDEX([2]超r将兵属性验证!$AM$7:$AM$166,$BQ197,1)+CH196</f>
        <v>4607258.8932999931</v>
      </c>
      <c r="CI197" s="29">
        <f>(BX197-BX196)*INDEX([2]超r将兵属性验证!$AA$7:$AA$166,$BQ197,1)+CI196</f>
        <v>35495904797.71347</v>
      </c>
      <c r="CJ197" s="29">
        <f>(BY197-BY196)*INDEX([2]超r将兵属性验证!$AB$7:$AB$166,$BQ197,1)+CJ196</f>
        <v>35495904797.71347</v>
      </c>
      <c r="CK197" s="29">
        <f>(BZ197-BZ196)*INDEX([2]超r将兵属性验证!$AU$7:$AU$166,$BQ197,1)+CK196</f>
        <v>119466557598.13385</v>
      </c>
      <c r="CL197" s="29">
        <f>(CA197-CA196)*INDEX([2]超r将兵属性验证!$AV$7:$AV$166,$BQ197,1)+CL196</f>
        <v>119466557598.13385</v>
      </c>
      <c r="CM197" s="29">
        <f>(CB197-CB196)*(INDEX([2]超r将兵属性验证!$AC$7:$AC$166,$BQ197,1)*[2]战法技能效用!$AH$4+INDEX([2]超r将兵属性验证!$AX$7:$AX$166,$BQ197,1)*[2]战法技能效用!$AI$4)+CM196</f>
        <v>177942029810.4873</v>
      </c>
      <c r="CN197" s="29">
        <f t="shared" si="166"/>
        <v>905983230769.35547</v>
      </c>
      <c r="CR197" s="29">
        <f>基础状态预期!D210</f>
        <v>77.234275947206214</v>
      </c>
      <c r="CS197" s="29">
        <f>IF(基础状态预期!AI210="",0,基础状态预期!AI210)*$AB$37*基础状态预期!J210</f>
        <v>11.497596474630356</v>
      </c>
      <c r="CT197" s="29">
        <f>CS197*武将数量星级阶位验证!$E$7*1.8</f>
        <v>62087.020963003924</v>
      </c>
      <c r="CV197" s="29">
        <v>140</v>
      </c>
      <c r="CW197" s="29">
        <f t="shared" si="146"/>
        <v>777600</v>
      </c>
      <c r="CX197" s="29"/>
      <c r="CY197" s="29"/>
      <c r="CZ197" s="29">
        <f t="shared" si="167"/>
        <v>777600</v>
      </c>
    </row>
    <row r="198" spans="69:104" x14ac:dyDescent="0.15">
      <c r="BQ198" s="29">
        <v>150</v>
      </c>
      <c r="BR198" s="29">
        <f>求节点(基础状态预期!$D$17:$D$55,基础状态预期!$AI$17:$AI$55,$BQ198)*SUM($AR$6:$AT$6)/3</f>
        <v>40</v>
      </c>
      <c r="BS198" s="29">
        <f>求节点(基础状态预期!$D$17:$D$55,基础状态预期!$AI$17:$AI$55,$BQ198)*AH$6</f>
        <v>2500</v>
      </c>
      <c r="BT198" s="145">
        <f t="shared" si="142"/>
        <v>2500</v>
      </c>
      <c r="BU198" s="29">
        <f>求节点(基础状态预期!$D$17:$D$55,基础状态预期!$AI$17:$AI$55,$BQ198)*AI$6</f>
        <v>120</v>
      </c>
      <c r="BV198" s="145">
        <f t="shared" si="143"/>
        <v>120</v>
      </c>
      <c r="BW198" s="29">
        <f>求节点(基础状态预期!$D$17:$D$55,基础状态预期!$AI$17:$AI$55,$BQ198)*$AU$6</f>
        <v>500</v>
      </c>
      <c r="BX198" s="29">
        <f>求节点(基础状态预期!$D$17:$D$55,基础状态预期!$AI$17:$AI$55,$BQ198)*$AJ$6</f>
        <v>0.12</v>
      </c>
      <c r="BY198" s="145">
        <f t="shared" ref="BY198" si="174">BX198</f>
        <v>0.12</v>
      </c>
      <c r="BZ198" s="29">
        <f>求节点(基础状态预期!$D$17:$D$55,基础状态预期!$AI$17:$AI$55,$BQ198)*$AK$6</f>
        <v>0.1</v>
      </c>
      <c r="CA198" s="145">
        <f t="shared" ref="CA198" si="175">BZ198</f>
        <v>0.1</v>
      </c>
      <c r="CB198" s="29">
        <f>求节点(基础状态预期!$D$17:$D$55,基础状态预期!$AI$17:$AI$55,$BQ198)*$W$60</f>
        <v>0.60000000000000009</v>
      </c>
      <c r="CC198" s="29">
        <f>($BR198-$BR197)*(INDEX([2]超r将兵属性验证!$V$7:$V$166,$BQ198,1)+INDEX([2]超r将兵属性验证!$AP$7:$AP$166,$BQ198,1))+CC197</f>
        <v>155913300460.24817</v>
      </c>
      <c r="CD198" s="29">
        <f>($BS198-$BS197)*INDEX([2]超r将兵属性验证!W$7:W$166,$BQ198,1)+CD197</f>
        <v>33711129063.595341</v>
      </c>
      <c r="CE198" s="29">
        <f>(BT198-$BT197)*INDEX([2]超r将兵属性验证!X$7:X$166,$BQ198,1)+CE197</f>
        <v>33711129063.595341</v>
      </c>
      <c r="CF198" s="29">
        <f>(BU198-BU197)*INDEX([2]超r将兵属性验证!$AQ$7:$AQ$166,$BQ198)+CF197</f>
        <v>97388055160.420715</v>
      </c>
      <c r="CG198" s="29">
        <f>(BV198-BV197)*INDEX([2]超r将兵属性验证!$AR$7:$AR$166,$BQ198)+CG197</f>
        <v>97388055160.420715</v>
      </c>
      <c r="CH198" s="29">
        <f>(BW198-BW197)*INDEX([2]超r将兵属性验证!$AM$7:$AM$166,$BQ198,1)+CH197</f>
        <v>4607258.8932999931</v>
      </c>
      <c r="CI198" s="29">
        <f>(BX198-BX197)*INDEX([2]超r将兵属性验证!$AA$7:$AA$166,$BQ198,1)+CI197</f>
        <v>35495904797.71347</v>
      </c>
      <c r="CJ198" s="29">
        <f>(BY198-BY197)*INDEX([2]超r将兵属性验证!$AB$7:$AB$166,$BQ198,1)+CJ197</f>
        <v>35495904797.71347</v>
      </c>
      <c r="CK198" s="29">
        <f>(BZ198-BZ197)*INDEX([2]超r将兵属性验证!$AU$7:$AU$166,$BQ198,1)+CK197</f>
        <v>119466557598.13385</v>
      </c>
      <c r="CL198" s="29">
        <f>(CA198-CA197)*INDEX([2]超r将兵属性验证!$AV$7:$AV$166,$BQ198,1)+CL197</f>
        <v>119466557598.13385</v>
      </c>
      <c r="CM198" s="29">
        <f>(CB198-CB197)*(INDEX([2]超r将兵属性验证!$AC$7:$AC$166,$BQ198,1)*[2]战法技能效用!$AH$4+INDEX([2]超r将兵属性验证!$AX$7:$AX$166,$BQ198,1)*[2]战法技能效用!$AI$4)+CM197</f>
        <v>177942029810.4873</v>
      </c>
      <c r="CN198" s="29">
        <f t="shared" si="166"/>
        <v>905983230769.35547</v>
      </c>
      <c r="CR198" s="29">
        <f>基础状态预期!D211</f>
        <v>79.725666247801229</v>
      </c>
      <c r="CS198" s="29">
        <f>IF(基础状态预期!AI211="",0,基础状态预期!AI211)*$AB$37*基础状态预期!J211</f>
        <v>13.890979601104913</v>
      </c>
      <c r="CT198" s="29">
        <f>CS198*武将数量星级阶位验证!$E$7*1.8</f>
        <v>75011.28984596653</v>
      </c>
      <c r="CV198" s="29">
        <v>150</v>
      </c>
      <c r="CW198" s="29">
        <f t="shared" si="146"/>
        <v>777600</v>
      </c>
      <c r="CX198" s="29"/>
      <c r="CY198" s="29"/>
      <c r="CZ198" s="29">
        <f t="shared" si="167"/>
        <v>777600</v>
      </c>
    </row>
    <row r="199" spans="69:104" x14ac:dyDescent="0.15">
      <c r="BQ199" s="29">
        <v>160</v>
      </c>
      <c r="BR199" s="29">
        <f>求节点(基础状态预期!$D$17:$D$55,基础状态预期!$AI$17:$AI$55,$BQ199)*SUM($AR$6:$AT$6)/3</f>
        <v>40</v>
      </c>
      <c r="BS199" s="29">
        <f>求节点(基础状态预期!$D$17:$D$55,基础状态预期!$AI$17:$AI$55,$BQ199)*AH$6</f>
        <v>2500</v>
      </c>
      <c r="BT199" s="145">
        <f t="shared" si="142"/>
        <v>2500</v>
      </c>
      <c r="BU199" s="29">
        <f>求节点(基础状态预期!$D$17:$D$55,基础状态预期!$AI$17:$AI$55,$BQ199)*AI$6</f>
        <v>120</v>
      </c>
      <c r="BV199" s="145">
        <f t="shared" si="143"/>
        <v>120</v>
      </c>
      <c r="BW199" s="29">
        <f>求节点(基础状态预期!$D$17:$D$55,基础状态预期!$AI$17:$AI$55,$BQ199)*$AU$6</f>
        <v>500</v>
      </c>
      <c r="BX199" s="29">
        <f>求节点(基础状态预期!$D$17:$D$55,基础状态预期!$AI$17:$AI$55,$BQ199)*$AJ$6</f>
        <v>0.12</v>
      </c>
      <c r="BY199" s="145">
        <f t="shared" ref="BY199" si="176">BX199</f>
        <v>0.12</v>
      </c>
      <c r="BZ199" s="29">
        <f>求节点(基础状态预期!$D$17:$D$55,基础状态预期!$AI$17:$AI$55,$BQ199)*$AK$6</f>
        <v>0.1</v>
      </c>
      <c r="CA199" s="145">
        <f t="shared" ref="CA199" si="177">BZ199</f>
        <v>0.1</v>
      </c>
      <c r="CB199" s="29">
        <f>求节点(基础状态预期!$D$17:$D$55,基础状态预期!$AI$17:$AI$55,$BQ199)*$W$60</f>
        <v>0.60000000000000009</v>
      </c>
      <c r="CC199" s="29">
        <f>($BR199-$BR198)*(INDEX([2]超r将兵属性验证!$V$7:$V$166,$BQ199,1)+INDEX([2]超r将兵属性验证!$AP$7:$AP$166,$BQ199,1))+CC198</f>
        <v>155913300460.24817</v>
      </c>
      <c r="CD199" s="29">
        <f>($BS199-$BS198)*INDEX([2]超r将兵属性验证!W$7:W$166,$BQ199,1)+CD198</f>
        <v>33711129063.595341</v>
      </c>
      <c r="CE199" s="29">
        <f>(BT199-$BT198)*INDEX([2]超r将兵属性验证!X$7:X$166,$BQ199,1)+CE198</f>
        <v>33711129063.595341</v>
      </c>
      <c r="CF199" s="29">
        <f>(BU199-BU198)*INDEX([2]超r将兵属性验证!$AQ$7:$AQ$166,$BQ199)+CF198</f>
        <v>97388055160.420715</v>
      </c>
      <c r="CG199" s="29">
        <f>(BV199-BV198)*INDEX([2]超r将兵属性验证!$AR$7:$AR$166,$BQ199)+CG198</f>
        <v>97388055160.420715</v>
      </c>
      <c r="CH199" s="29">
        <f>(BW199-BW198)*INDEX([2]超r将兵属性验证!$AM$7:$AM$166,$BQ199,1)+CH198</f>
        <v>4607258.8932999931</v>
      </c>
      <c r="CI199" s="29">
        <f>(BX199-BX198)*INDEX([2]超r将兵属性验证!$AA$7:$AA$166,$BQ199,1)+CI198</f>
        <v>35495904797.71347</v>
      </c>
      <c r="CJ199" s="29">
        <f>(BY199-BY198)*INDEX([2]超r将兵属性验证!$AB$7:$AB$166,$BQ199,1)+CJ198</f>
        <v>35495904797.71347</v>
      </c>
      <c r="CK199" s="29">
        <f>(BZ199-BZ198)*INDEX([2]超r将兵属性验证!$AU$7:$AU$166,$BQ199,1)+CK198</f>
        <v>119466557598.13385</v>
      </c>
      <c r="CL199" s="29">
        <f>(CA199-CA198)*INDEX([2]超r将兵属性验证!$AV$7:$AV$166,$BQ199,1)+CL198</f>
        <v>119466557598.13385</v>
      </c>
      <c r="CM199" s="29">
        <f>(CB199-CB198)*(INDEX([2]超r将兵属性验证!$AC$7:$AC$166,$BQ199,1)*[2]战法技能效用!$AH$4+INDEX([2]超r将兵属性验证!$AX$7:$AX$166,$BQ199,1)*[2]战法技能效用!$AI$4)+CM198</f>
        <v>177942029810.4873</v>
      </c>
      <c r="CN199" s="29">
        <f t="shared" si="166"/>
        <v>905983230769.35547</v>
      </c>
      <c r="CR199" s="29">
        <f>基础状态预期!D212</f>
        <v>81.863982387630472</v>
      </c>
      <c r="CS199" s="29">
        <f>IF(基础状态预期!AI212="",0,基础状态预期!AI212)*$AB$37*基础状态预期!J212</f>
        <v>39.11347662934098</v>
      </c>
      <c r="CT199" s="29">
        <f>CS199*武将数量星级阶位验证!$E$7*1.8</f>
        <v>211212.77379844128</v>
      </c>
      <c r="CV199" s="29">
        <v>160</v>
      </c>
      <c r="CW199" s="29">
        <f t="shared" si="146"/>
        <v>777600</v>
      </c>
      <c r="CX199" s="29"/>
      <c r="CY199" s="29"/>
      <c r="CZ199" s="29">
        <f t="shared" si="167"/>
        <v>777600</v>
      </c>
    </row>
    <row r="200" spans="69:104" x14ac:dyDescent="0.15">
      <c r="CR200" s="29">
        <f>基础状态预期!D213</f>
        <v>83.667042947574714</v>
      </c>
      <c r="CS200" s="29">
        <f>IF(基础状态预期!AI213="",0,基础状态预期!AI213)*$AB$37*基础状态预期!J213</f>
        <v>68.567739021516061</v>
      </c>
      <c r="CT200" s="29">
        <f>CS200*武将数量星级阶位验证!$E$7*1.8</f>
        <v>370265.79071618675</v>
      </c>
    </row>
    <row r="201" spans="69:104" x14ac:dyDescent="0.15">
      <c r="CR201" s="29">
        <f>基础状态预期!D214</f>
        <v>86.154780808490059</v>
      </c>
      <c r="CS201" s="29">
        <f>IF(基础状态预期!AI214="",0,基础状态预期!AI214)*$AB$37*基础状态预期!J214</f>
        <v>82.544100078225654</v>
      </c>
      <c r="CT201" s="29">
        <f>CS201*武将数量星级阶位验证!$E$7*1.8</f>
        <v>445738.14042241854</v>
      </c>
    </row>
    <row r="202" spans="69:104" x14ac:dyDescent="0.15">
      <c r="CR202" s="29">
        <f>基础状态预期!D215</f>
        <v>90.480184629206022</v>
      </c>
      <c r="CS202" s="29">
        <f>IF(基础状态预期!AI215="",0,基础状态预期!AI215)*$AB$37*基础状态预期!J215</f>
        <v>144</v>
      </c>
      <c r="CT202" s="29">
        <f>CS202*武将数量星级阶位验证!$E$7*1.8</f>
        <v>777600</v>
      </c>
    </row>
    <row r="203" spans="69:104" x14ac:dyDescent="0.15">
      <c r="CR203" s="29">
        <f>基础状态预期!D216</f>
        <v>93.6774218048877</v>
      </c>
      <c r="CS203" s="29">
        <f>IF(基础状态预期!AI216="",0,基础状态预期!AI216)*$AB$37*基础状态预期!J216</f>
        <v>144</v>
      </c>
      <c r="CT203" s="29">
        <f>CS203*武将数量星级阶位验证!$E$7*1.8</f>
        <v>777600</v>
      </c>
    </row>
    <row r="204" spans="69:104" x14ac:dyDescent="0.15">
      <c r="CR204" s="29">
        <f>基础状态预期!D217</f>
        <v>97.125654465362558</v>
      </c>
      <c r="CS204" s="29">
        <f>IF(基础状态预期!AI217="",0,基础状态预期!AI217)*$AB$37*基础状态预期!J217</f>
        <v>144</v>
      </c>
      <c r="CT204" s="29">
        <f>CS204*武将数量星级阶位验证!$E$7*1.8</f>
        <v>777600</v>
      </c>
    </row>
    <row r="205" spans="69:104" x14ac:dyDescent="0.15">
      <c r="CR205" s="29">
        <f>基础状态预期!D218</f>
        <v>100.89689545435591</v>
      </c>
      <c r="CS205" s="29">
        <f>IF(基础状态预期!AI218="",0,基础状态预期!AI218)*$AB$37*基础状态预期!J218</f>
        <v>144</v>
      </c>
      <c r="CT205" s="29">
        <f>CS205*武将数量星级阶位验证!$E$7*1.8</f>
        <v>777600</v>
      </c>
    </row>
    <row r="206" spans="69:104" x14ac:dyDescent="0.15">
      <c r="CR206" s="29">
        <f>基础状态预期!D219</f>
        <v>104.52148587104635</v>
      </c>
      <c r="CS206" s="29">
        <f>IF(基础状态预期!AI219="",0,基础状态预期!AI219)*$AB$37*基础状态预期!J219</f>
        <v>144</v>
      </c>
      <c r="CT206" s="29">
        <f>CS206*武将数量星级阶位验证!$E$7*1.8</f>
        <v>777600</v>
      </c>
    </row>
    <row r="207" spans="69:104" x14ac:dyDescent="0.15">
      <c r="CR207" s="29">
        <f>基础状态预期!D220</f>
        <v>108.05586950728798</v>
      </c>
      <c r="CS207" s="29">
        <f>IF(基础状态预期!AI220="",0,基础状态预期!AI220)*$AB$37*基础状态预期!J220</f>
        <v>144</v>
      </c>
      <c r="CT207" s="29">
        <f>CS207*武将数量星级阶位验证!$E$7*1.8</f>
        <v>777600</v>
      </c>
    </row>
    <row r="208" spans="69:104" x14ac:dyDescent="0.15">
      <c r="CR208" s="29">
        <f>基础状态预期!D221</f>
        <v>111.54601176466306</v>
      </c>
      <c r="CS208" s="29">
        <f>IF(基础状态预期!AI221="",0,基础状态预期!AI221)*$AB$37*基础状态预期!J221</f>
        <v>144</v>
      </c>
      <c r="CT208" s="29">
        <f>CS208*武将数量星级阶位验证!$E$7*1.8</f>
        <v>777600</v>
      </c>
    </row>
    <row r="209" spans="96:98" x14ac:dyDescent="0.15">
      <c r="CR209" s="29">
        <f>基础状态预期!D222</f>
        <v>115.20444967370992</v>
      </c>
      <c r="CS209" s="29">
        <f>IF(基础状态预期!AI222="",0,基础状态预期!AI222)*$AB$37*基础状态预期!J222</f>
        <v>144</v>
      </c>
      <c r="CT209" s="29">
        <f>CS209*武将数量星级阶位验证!$E$7*1.8</f>
        <v>777600</v>
      </c>
    </row>
    <row r="210" spans="96:98" x14ac:dyDescent="0.15">
      <c r="CR210" s="29">
        <f>基础状态预期!D223</f>
        <v>118.75432507225094</v>
      </c>
      <c r="CS210" s="29">
        <f>IF(基础状态预期!AI223="",0,基础状态预期!AI223)*$AB$37*基础状态预期!J223</f>
        <v>144</v>
      </c>
      <c r="CT210" s="29">
        <f>CS210*武将数量星级阶位验证!$E$7*1.8</f>
        <v>777600</v>
      </c>
    </row>
    <row r="211" spans="96:98" x14ac:dyDescent="0.15">
      <c r="CR211" s="29">
        <f>基础状态预期!D224</f>
        <v>122.26514676047371</v>
      </c>
      <c r="CS211" s="29">
        <f>IF(基础状态预期!AI224="",0,基础状态预期!AI224)*$AB$37*基础状态预期!J224</f>
        <v>144</v>
      </c>
      <c r="CT211" s="29">
        <f>CS211*武将数量星级阶位验证!$E$7*1.8</f>
        <v>777600</v>
      </c>
    </row>
    <row r="212" spans="96:98" x14ac:dyDescent="0.15">
      <c r="CR212" s="29">
        <f>基础状态预期!D225</f>
        <v>125.84855083483956</v>
      </c>
      <c r="CS212" s="29">
        <f>IF(基础状态预期!AI225="",0,基础状态预期!AI225)*$AB$37*基础状态预期!J225</f>
        <v>144</v>
      </c>
      <c r="CT212" s="29">
        <f>CS212*武将数量星级阶位验证!$E$7*1.8</f>
        <v>777600</v>
      </c>
    </row>
    <row r="213" spans="96:98" x14ac:dyDescent="0.15">
      <c r="CR213" s="29">
        <f>基础状态预期!D226</f>
        <v>129.43528964176323</v>
      </c>
      <c r="CS213" s="29">
        <f>IF(基础状态预期!AI226="",0,基础状态预期!AI226)*$AB$37*基础状态预期!J226</f>
        <v>144</v>
      </c>
      <c r="CT213" s="29">
        <f>CS213*武将数量星级阶位验证!$E$7*1.8</f>
        <v>777600</v>
      </c>
    </row>
    <row r="214" spans="96:98" x14ac:dyDescent="0.15">
      <c r="CR214" s="29">
        <f>基础状态预期!D227</f>
        <v>133.03192104200832</v>
      </c>
      <c r="CS214" s="29">
        <f>IF(基础状态预期!AI227="",0,基础状态预期!AI227)*$AB$37*基础状态预期!J227</f>
        <v>144</v>
      </c>
      <c r="CT214" s="29">
        <f>CS214*武将数量星级阶位验证!$E$7*1.8</f>
        <v>777600</v>
      </c>
    </row>
    <row r="215" spans="96:98" x14ac:dyDescent="0.15">
      <c r="CR215" s="29">
        <f>基础状态预期!D228</f>
        <v>136.45508882162355</v>
      </c>
      <c r="CS215" s="29">
        <f>IF(基础状态预期!AI228="",0,基础状态预期!AI228)*$AB$37*基础状态预期!J228</f>
        <v>144</v>
      </c>
      <c r="CT215" s="29">
        <f>CS215*武将数量星级阶位验证!$E$7*1.8</f>
        <v>777600</v>
      </c>
    </row>
    <row r="216" spans="96:98" x14ac:dyDescent="0.15">
      <c r="CR216" s="29">
        <f>基础状态预期!D229</f>
        <v>140.08772492574531</v>
      </c>
      <c r="CS216" s="29">
        <f>IF(基础状态预期!AI229="",0,基础状态预期!AI229)*$AB$37*基础状态预期!J229</f>
        <v>144</v>
      </c>
      <c r="CT216" s="29">
        <f>CS216*武将数量星级阶位验证!$E$7*1.8</f>
        <v>777600</v>
      </c>
    </row>
    <row r="217" spans="96:98" x14ac:dyDescent="0.15">
      <c r="CR217" s="29">
        <f>基础状态预期!D230</f>
        <v>143.51956656528549</v>
      </c>
      <c r="CS217" s="29">
        <f>IF(基础状态预期!AI230="",0,基础状态预期!AI230)*$AB$37*基础状态预期!J230</f>
        <v>144</v>
      </c>
      <c r="CT217" s="29">
        <f>CS217*武将数量星级阶位验证!$E$7*1.8</f>
        <v>777600</v>
      </c>
    </row>
    <row r="218" spans="96:98" x14ac:dyDescent="0.15">
      <c r="CR218" s="29">
        <f>基础状态预期!D231</f>
        <v>147.17868266109423</v>
      </c>
      <c r="CS218" s="29">
        <f>IF(基础状态预期!AI231="",0,基础状态预期!AI231)*$AB$37*基础状态预期!J231</f>
        <v>144</v>
      </c>
      <c r="CT218" s="29">
        <f>CS218*武将数量星级阶位验证!$E$7*1.8</f>
        <v>777600</v>
      </c>
    </row>
    <row r="219" spans="96:98" x14ac:dyDescent="0.15">
      <c r="CR219" s="29">
        <f>基础状态预期!D232</f>
        <v>150.49637054967232</v>
      </c>
      <c r="CS219" s="29">
        <f>IF(基础状态预期!AI232="",0,基础状态预期!AI232)*$AB$37*基础状态预期!J232</f>
        <v>144</v>
      </c>
      <c r="CT219" s="29">
        <f>CS219*武将数量星级阶位验证!$E$7*1.8</f>
        <v>777600</v>
      </c>
    </row>
    <row r="220" spans="96:98" x14ac:dyDescent="0.15">
      <c r="CR220" s="29">
        <f>基础状态预期!D233</f>
        <v>151.40240982411487</v>
      </c>
      <c r="CS220" s="29">
        <f>IF(基础状态预期!AI233="",0,基础状态预期!AI233)*$AB$37*基础状态预期!J233</f>
        <v>144</v>
      </c>
      <c r="CT220" s="29">
        <f>CS220*武将数量星级阶位验证!$E$7*1.8</f>
        <v>777600</v>
      </c>
    </row>
    <row r="221" spans="96:98" x14ac:dyDescent="0.15">
      <c r="CR221" s="29">
        <f>基础状态预期!D234</f>
        <v>152.00526961196863</v>
      </c>
      <c r="CS221" s="29">
        <f>IF(基础状态预期!AI234="",0,基础状态预期!AI234)*$AB$37*基础状态预期!J234</f>
        <v>144</v>
      </c>
      <c r="CT221" s="29">
        <f>CS221*武将数量星级阶位验证!$E$7*1.8</f>
        <v>777600</v>
      </c>
    </row>
    <row r="222" spans="96:98" x14ac:dyDescent="0.15">
      <c r="CR222" s="29">
        <f>基础状态预期!D235</f>
        <v>152.38629594951036</v>
      </c>
      <c r="CS222" s="29">
        <f>IF(基础状态预期!AI235="",0,基础状态预期!AI235)*$AB$37*基础状态预期!J235</f>
        <v>144</v>
      </c>
      <c r="CT222" s="29">
        <f>CS222*武将数量星级阶位验证!$E$7*1.8</f>
        <v>777600</v>
      </c>
    </row>
  </sheetData>
  <mergeCells count="36">
    <mergeCell ref="AZ3:BD3"/>
    <mergeCell ref="Y5:Z5"/>
    <mergeCell ref="AA29:AB29"/>
    <mergeCell ref="V5:X5"/>
    <mergeCell ref="AA17:AB17"/>
    <mergeCell ref="V29:Z29"/>
    <mergeCell ref="V17:Z17"/>
    <mergeCell ref="BJ15:BK15"/>
    <mergeCell ref="AH4:AU4"/>
    <mergeCell ref="AH12:AU12"/>
    <mergeCell ref="AZ8:BD8"/>
    <mergeCell ref="V52:W52"/>
    <mergeCell ref="AC29:AC30"/>
    <mergeCell ref="AA41:AA42"/>
    <mergeCell ref="AB41:AB42"/>
    <mergeCell ref="V41:Z41"/>
    <mergeCell ref="BR2:CB2"/>
    <mergeCell ref="CC2:CN2"/>
    <mergeCell ref="CS2:CT2"/>
    <mergeCell ref="CW2:CZ2"/>
    <mergeCell ref="CC47:CN47"/>
    <mergeCell ref="CS47:CT47"/>
    <mergeCell ref="CC182:CN182"/>
    <mergeCell ref="CS182:CT182"/>
    <mergeCell ref="CW182:CY182"/>
    <mergeCell ref="BR47:CB47"/>
    <mergeCell ref="BR92:CB92"/>
    <mergeCell ref="BR137:CB137"/>
    <mergeCell ref="BR182:CB182"/>
    <mergeCell ref="CW47:CY47"/>
    <mergeCell ref="CC92:CN92"/>
    <mergeCell ref="CS92:CT92"/>
    <mergeCell ref="CW92:CY92"/>
    <mergeCell ref="CC137:CN137"/>
    <mergeCell ref="CS137:CT137"/>
    <mergeCell ref="CW137:CY137"/>
  </mergeCells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B2:R163"/>
  <sheetViews>
    <sheetView workbookViewId="0">
      <selection activeCell="G6" sqref="G6"/>
    </sheetView>
  </sheetViews>
  <sheetFormatPr defaultColWidth="7.5" defaultRowHeight="11.25" x14ac:dyDescent="0.15"/>
  <cols>
    <col min="1" max="16384" width="7.5" style="16"/>
  </cols>
  <sheetData>
    <row r="2" spans="2:18" x14ac:dyDescent="0.15">
      <c r="B2" s="203" t="s">
        <v>478</v>
      </c>
      <c r="C2" s="203"/>
      <c r="D2" s="203"/>
      <c r="E2" s="203"/>
      <c r="F2" s="203"/>
      <c r="G2" s="203" t="s">
        <v>222</v>
      </c>
      <c r="H2" s="203"/>
      <c r="I2" s="203"/>
      <c r="J2" s="203"/>
      <c r="K2" s="203"/>
      <c r="N2" s="203" t="s">
        <v>220</v>
      </c>
      <c r="O2" s="203"/>
      <c r="P2" s="203"/>
      <c r="Q2" s="203"/>
      <c r="R2" s="203"/>
    </row>
    <row r="3" spans="2:18" x14ac:dyDescent="0.15">
      <c r="B3" s="16" t="s">
        <v>215</v>
      </c>
      <c r="C3" s="16" t="s">
        <v>217</v>
      </c>
      <c r="D3" s="16" t="s">
        <v>216</v>
      </c>
      <c r="E3" s="16" t="s">
        <v>78</v>
      </c>
      <c r="F3" s="16" t="s">
        <v>218</v>
      </c>
      <c r="G3" s="16" t="s">
        <v>215</v>
      </c>
      <c r="H3" s="16" t="s">
        <v>217</v>
      </c>
      <c r="I3" s="16" t="s">
        <v>216</v>
      </c>
      <c r="J3" s="16" t="s">
        <v>78</v>
      </c>
      <c r="K3" s="16" t="s">
        <v>218</v>
      </c>
      <c r="M3" s="16" t="s">
        <v>478</v>
      </c>
      <c r="N3" s="16" t="s">
        <v>215</v>
      </c>
      <c r="O3" s="16" t="s">
        <v>217</v>
      </c>
      <c r="P3" s="16" t="s">
        <v>216</v>
      </c>
      <c r="Q3" s="16" t="s">
        <v>78</v>
      </c>
      <c r="R3" s="16" t="s">
        <v>218</v>
      </c>
    </row>
    <row r="4" spans="2:18" x14ac:dyDescent="0.15">
      <c r="B4" s="16">
        <f>基础状态预期!D17</f>
        <v>10</v>
      </c>
      <c r="C4" s="16">
        <f>基础状态预期!D62</f>
        <v>9.9592453074578113</v>
      </c>
      <c r="D4" s="16">
        <f>基础状态预期!D107</f>
        <v>10.099965341977441</v>
      </c>
      <c r="E4" s="16">
        <f>基础状态预期!D152</f>
        <v>10.00263241450434</v>
      </c>
      <c r="F4" s="16">
        <f>基础状态预期!D197</f>
        <v>10.040470049930473</v>
      </c>
      <c r="G4" s="16">
        <f>武将升级!W4</f>
        <v>99600</v>
      </c>
      <c r="H4" s="16">
        <f>武将升级!W49</f>
        <v>98524.076116886208</v>
      </c>
      <c r="I4" s="16">
        <f>武将升级!W94</f>
        <v>102862.86876214368</v>
      </c>
      <c r="J4" s="16">
        <f>武将升级!W139</f>
        <v>99685.922009421673</v>
      </c>
      <c r="K4" s="16">
        <f>武将升级!W184</f>
        <v>100920.94242973064</v>
      </c>
      <c r="M4" s="16">
        <v>1</v>
      </c>
      <c r="N4" s="16">
        <f>求节点(B$4:B$42,G$4:G$42,$M4)</f>
        <v>9960</v>
      </c>
      <c r="O4" s="16">
        <f t="shared" ref="O4:R4" si="0">求节点(C$4:C$42,H$4:H$42,$M4)</f>
        <v>9892.7251087095938</v>
      </c>
      <c r="P4" s="16">
        <f t="shared" si="0"/>
        <v>10184.477399603085</v>
      </c>
      <c r="Q4" s="16">
        <f t="shared" si="0"/>
        <v>9965.9687448747864</v>
      </c>
      <c r="R4" s="16">
        <f t="shared" si="0"/>
        <v>10051.416111781495</v>
      </c>
    </row>
    <row r="5" spans="2:18" x14ac:dyDescent="0.15">
      <c r="B5" s="16">
        <f>基础状态预期!D18</f>
        <v>20</v>
      </c>
      <c r="C5" s="16">
        <f>基础状态预期!D63</f>
        <v>19.766822802328868</v>
      </c>
      <c r="D5" s="16">
        <f>基础状态预期!D108</f>
        <v>19.800198258084681</v>
      </c>
      <c r="E5" s="16">
        <f>基础状态预期!D153</f>
        <v>19.43005414991557</v>
      </c>
      <c r="F5" s="16">
        <f>基础状态预期!D198</f>
        <v>19.288856680060892</v>
      </c>
      <c r="G5" s="16">
        <f>武将升级!W5</f>
        <v>825600</v>
      </c>
      <c r="H5" s="16">
        <f>武将升级!W50</f>
        <v>797338.92364225886</v>
      </c>
      <c r="I5" s="16">
        <f>武将升级!W95</f>
        <v>801384.02887986321</v>
      </c>
      <c r="J5" s="16">
        <f>武将升级!W140</f>
        <v>756522.56296976702</v>
      </c>
      <c r="K5" s="16">
        <f>武将升级!W185</f>
        <v>739409.42962338007</v>
      </c>
      <c r="M5" s="16">
        <v>2</v>
      </c>
      <c r="N5" s="16">
        <f t="shared" ref="N5:N68" si="1">求节点(B$4:B$42,G$4:G$42,$M5)</f>
        <v>19920</v>
      </c>
      <c r="O5" s="16">
        <f t="shared" ref="O5:O68" si="2">求节点(C$4:C$42,H$4:H$42,$M5)</f>
        <v>19785.450217419202</v>
      </c>
      <c r="P5" s="16">
        <f t="shared" ref="P5:P68" si="3">求节点(D$4:D$42,I$4:I$42,$M5)</f>
        <v>20368.954799206171</v>
      </c>
      <c r="Q5" s="16">
        <f t="shared" ref="Q5:Q68" si="4">求节点(E$4:E$42,J$4:J$42,$M5)</f>
        <v>19931.937489749573</v>
      </c>
      <c r="R5" s="16">
        <f t="shared" ref="R5:R68" si="5">求节点(F$4:F$42,K$4:K$42,$M5)</f>
        <v>20102.832223562975</v>
      </c>
    </row>
    <row r="6" spans="2:18" x14ac:dyDescent="0.15">
      <c r="B6" s="16">
        <f>基础状态预期!D19</f>
        <v>28.071211008105138</v>
      </c>
      <c r="C6" s="16">
        <f>基础状态预期!D64</f>
        <v>27.773265580596355</v>
      </c>
      <c r="D6" s="16">
        <f>基础状态预期!D109</f>
        <v>27.769105021676069</v>
      </c>
      <c r="E6" s="16">
        <f>基础状态预期!D154</f>
        <v>27.324610510337703</v>
      </c>
      <c r="F6" s="16">
        <f>基础状态预期!D199</f>
        <v>27.144641112884834</v>
      </c>
      <c r="G6" s="16">
        <f>武将升级!W6</f>
        <v>3486878.1018022257</v>
      </c>
      <c r="H6" s="16">
        <f>武将升级!W51</f>
        <v>3272594.8766771723</v>
      </c>
      <c r="I6" s="16">
        <f>武将升级!W96</f>
        <v>3269823.9444362614</v>
      </c>
      <c r="J6" s="16">
        <f>武将升级!W141</f>
        <v>2973790.5998849096</v>
      </c>
      <c r="K6" s="16">
        <f>武将升级!W186</f>
        <v>2853930.9811812993</v>
      </c>
      <c r="M6" s="16">
        <v>3</v>
      </c>
      <c r="N6" s="16">
        <f t="shared" si="1"/>
        <v>29880</v>
      </c>
      <c r="O6" s="16">
        <f t="shared" si="2"/>
        <v>29678.17532612881</v>
      </c>
      <c r="P6" s="16">
        <f t="shared" si="3"/>
        <v>30553.432198809256</v>
      </c>
      <c r="Q6" s="16">
        <f t="shared" si="4"/>
        <v>29897.906234624359</v>
      </c>
      <c r="R6" s="16">
        <f t="shared" si="5"/>
        <v>30154.24833534447</v>
      </c>
    </row>
    <row r="7" spans="2:18" x14ac:dyDescent="0.15">
      <c r="B7" s="16">
        <f>基础状态预期!D20</f>
        <v>34.585942742481357</v>
      </c>
      <c r="C7" s="16">
        <f>基础状态预期!D65</f>
        <v>34.250806171891597</v>
      </c>
      <c r="D7" s="16">
        <f>基础状态预期!D110</f>
        <v>34.192155176139416</v>
      </c>
      <c r="E7" s="16">
        <f>基础状态预期!D155</f>
        <v>33.672145166817529</v>
      </c>
      <c r="F7" s="16">
        <f>基础状态预期!D200</f>
        <v>33.399598377161809</v>
      </c>
      <c r="G7" s="16">
        <f>武将升级!W7</f>
        <v>15125855.402506452</v>
      </c>
      <c r="H7" s="16">
        <f>武将升级!W52</f>
        <v>14181172.437328033</v>
      </c>
      <c r="I7" s="16">
        <f>武将升级!W97</f>
        <v>14015847.010501783</v>
      </c>
      <c r="J7" s="16">
        <f>武将升级!W142</f>
        <v>12660595.445974382</v>
      </c>
      <c r="K7" s="16">
        <f>武将升级!W187</f>
        <v>11984243.332764745</v>
      </c>
      <c r="M7" s="16">
        <v>4</v>
      </c>
      <c r="N7" s="16">
        <f t="shared" si="1"/>
        <v>39840</v>
      </c>
      <c r="O7" s="16">
        <f t="shared" si="2"/>
        <v>39570.900434838419</v>
      </c>
      <c r="P7" s="16">
        <f t="shared" si="3"/>
        <v>40737.909598412341</v>
      </c>
      <c r="Q7" s="16">
        <f t="shared" si="4"/>
        <v>39863.874979499145</v>
      </c>
      <c r="R7" s="16">
        <f t="shared" si="5"/>
        <v>40205.664447125957</v>
      </c>
    </row>
    <row r="8" spans="2:18" x14ac:dyDescent="0.15">
      <c r="B8" s="16">
        <f>基础状态预期!D21</f>
        <v>40</v>
      </c>
      <c r="C8" s="16">
        <f>基础状态预期!D66</f>
        <v>39.661158518499626</v>
      </c>
      <c r="D8" s="16">
        <f>基础状态预期!D111</f>
        <v>39.631851677253941</v>
      </c>
      <c r="E8" s="16">
        <f>基础状态预期!D156</f>
        <v>39.138098927718012</v>
      </c>
      <c r="F8" s="16">
        <f>基础状态预期!D201</f>
        <v>38.848984787984186</v>
      </c>
      <c r="G8" s="16">
        <f>武将升级!W8</f>
        <v>35676600</v>
      </c>
      <c r="H8" s="16">
        <f>武将升级!W53</f>
        <v>34116438.282579675</v>
      </c>
      <c r="I8" s="16">
        <f>武将升级!W98</f>
        <v>33981497.862748042</v>
      </c>
      <c r="J8" s="16">
        <f>武将升级!W143</f>
        <v>31708062.702784814</v>
      </c>
      <c r="K8" s="16">
        <f>武将升级!W188</f>
        <v>30432861.998409849</v>
      </c>
      <c r="M8" s="16">
        <v>5</v>
      </c>
      <c r="N8" s="16">
        <f t="shared" si="1"/>
        <v>49800</v>
      </c>
      <c r="O8" s="16">
        <f t="shared" si="2"/>
        <v>49463.625543548027</v>
      </c>
      <c r="P8" s="16">
        <f t="shared" si="3"/>
        <v>50922.386998015427</v>
      </c>
      <c r="Q8" s="16">
        <f t="shared" si="4"/>
        <v>49829.843724373932</v>
      </c>
      <c r="R8" s="16">
        <f t="shared" si="5"/>
        <v>50257.080558907444</v>
      </c>
    </row>
    <row r="9" spans="2:18" x14ac:dyDescent="0.15">
      <c r="B9" s="16">
        <f>基础状态预期!D22</f>
        <v>43.920692243099523</v>
      </c>
      <c r="C9" s="16">
        <f>基础状态预期!D67</f>
        <v>43.535389560453282</v>
      </c>
      <c r="D9" s="16">
        <f>基础状态预期!D112</f>
        <v>43.484929789964411</v>
      </c>
      <c r="E9" s="16">
        <f>基础状态预期!D157</f>
        <v>42.970748198558951</v>
      </c>
      <c r="F9" s="16">
        <f>基础状态预期!D202</f>
        <v>42.643360270022924</v>
      </c>
      <c r="G9" s="16">
        <f>武将升级!W9</f>
        <v>58762470.202168889</v>
      </c>
      <c r="H9" s="16">
        <f>武将升级!W54</f>
        <v>56114053.682731681</v>
      </c>
      <c r="I9" s="16">
        <f>武将升级!W99</f>
        <v>55767213.404299378</v>
      </c>
      <c r="J9" s="16">
        <f>武将升级!W144</f>
        <v>52253785.501681991</v>
      </c>
      <c r="K9" s="16">
        <f>武将升级!W189</f>
        <v>50236813.951557234</v>
      </c>
      <c r="M9" s="16">
        <v>6</v>
      </c>
      <c r="N9" s="16">
        <f t="shared" si="1"/>
        <v>59760</v>
      </c>
      <c r="O9" s="16">
        <f t="shared" si="2"/>
        <v>59356.350652257635</v>
      </c>
      <c r="P9" s="16">
        <f t="shared" si="3"/>
        <v>61106.864397618505</v>
      </c>
      <c r="Q9" s="16">
        <f t="shared" si="4"/>
        <v>59795.812469248718</v>
      </c>
      <c r="R9" s="16">
        <f t="shared" si="5"/>
        <v>60308.496670688932</v>
      </c>
    </row>
    <row r="10" spans="2:18" x14ac:dyDescent="0.15">
      <c r="B10" s="16">
        <f>基础状态预期!D23</f>
        <v>49.533352307096472</v>
      </c>
      <c r="C10" s="16">
        <f>基础状态预期!D68</f>
        <v>49.178590903134719</v>
      </c>
      <c r="D10" s="16">
        <f>基础状态预期!D113</f>
        <v>49.18886033229559</v>
      </c>
      <c r="E10" s="16">
        <f>基础状态预期!D158</f>
        <v>48.731413734867289</v>
      </c>
      <c r="F10" s="16">
        <f>基础状态预期!D203</f>
        <v>48.493134765265182</v>
      </c>
      <c r="G10" s="16">
        <f>武将升级!W10</f>
        <v>117550039.97305411</v>
      </c>
      <c r="H10" s="16">
        <f>武将升级!W55</f>
        <v>112315251.64847529</v>
      </c>
      <c r="I10" s="16">
        <f>武将升级!W100</f>
        <v>112466785.29128727</v>
      </c>
      <c r="J10" s="16">
        <f>武将升级!W145</f>
        <v>106227807.01699623</v>
      </c>
      <c r="K10" s="16">
        <f>武将升级!W190</f>
        <v>103165159.76490645</v>
      </c>
      <c r="M10" s="16">
        <v>7</v>
      </c>
      <c r="N10" s="16">
        <f t="shared" si="1"/>
        <v>69720</v>
      </c>
      <c r="O10" s="16">
        <f t="shared" si="2"/>
        <v>69249.075760967244</v>
      </c>
      <c r="P10" s="16">
        <f t="shared" si="3"/>
        <v>71291.341797221598</v>
      </c>
      <c r="Q10" s="16">
        <f t="shared" si="4"/>
        <v>69761.781214123504</v>
      </c>
      <c r="R10" s="16">
        <f t="shared" si="5"/>
        <v>70359.912782470419</v>
      </c>
    </row>
    <row r="11" spans="2:18" x14ac:dyDescent="0.15">
      <c r="B11" s="16">
        <f>基础状态预期!D24</f>
        <v>53.567039423670657</v>
      </c>
      <c r="C11" s="16">
        <f>基础状态预期!D69</f>
        <v>53.226994578658328</v>
      </c>
      <c r="D11" s="16">
        <f>基础状态预期!D114</f>
        <v>53.212684955585161</v>
      </c>
      <c r="E11" s="16">
        <f>基础状态预期!D159</f>
        <v>52.769987980532711</v>
      </c>
      <c r="F11" s="16">
        <f>基础状态预期!D204</f>
        <v>52.559419343629337</v>
      </c>
      <c r="G11" s="16">
        <f>武将升级!W11</f>
        <v>198788463.69240996</v>
      </c>
      <c r="H11" s="16">
        <f>武将升级!W56</f>
        <v>189808627.43429339</v>
      </c>
      <c r="I11" s="16">
        <f>武将升级!W101</f>
        <v>189430741.77010182</v>
      </c>
      <c r="J11" s="16">
        <f>武将升级!W146</f>
        <v>178582484.6124087</v>
      </c>
      <c r="K11" s="16">
        <f>武将升级!W191</f>
        <v>173793016.73858672</v>
      </c>
      <c r="M11" s="16">
        <v>8</v>
      </c>
      <c r="N11" s="16">
        <f t="shared" si="1"/>
        <v>79680</v>
      </c>
      <c r="O11" s="16">
        <f t="shared" si="2"/>
        <v>79141.800869676837</v>
      </c>
      <c r="P11" s="16">
        <f t="shared" si="3"/>
        <v>81475.819196824683</v>
      </c>
      <c r="Q11" s="16">
        <f t="shared" si="4"/>
        <v>79727.749958998291</v>
      </c>
      <c r="R11" s="16">
        <f t="shared" si="5"/>
        <v>80411.328894251899</v>
      </c>
    </row>
    <row r="12" spans="2:18" x14ac:dyDescent="0.15">
      <c r="B12" s="16">
        <f>基础状态预期!D25</f>
        <v>59.300028460644697</v>
      </c>
      <c r="C12" s="16">
        <f>基础状态预期!D70</f>
        <v>59.016342740868758</v>
      </c>
      <c r="D12" s="16">
        <f>基础状态预期!D115</f>
        <v>59.09095196730258</v>
      </c>
      <c r="E12" s="16">
        <f>基础状态预期!D160</f>
        <v>58.701446767877648</v>
      </c>
      <c r="F12" s="16">
        <f>基础状态预期!D205</f>
        <v>58.560986008166232</v>
      </c>
      <c r="G12" s="16">
        <f>武将升级!W12</f>
        <v>444599984.80264401</v>
      </c>
      <c r="H12" s="16">
        <f>武将升级!W57</f>
        <v>425613580.42376786</v>
      </c>
      <c r="I12" s="16">
        <f>武将升级!W102</f>
        <v>430606996.88684016</v>
      </c>
      <c r="J12" s="16">
        <f>武将升级!W147</f>
        <v>407459094.97166109</v>
      </c>
      <c r="K12" s="16">
        <f>武将升级!W192</f>
        <v>399432521.04225606</v>
      </c>
      <c r="M12" s="16">
        <v>9</v>
      </c>
      <c r="N12" s="16">
        <f t="shared" si="1"/>
        <v>89640</v>
      </c>
      <c r="O12" s="16">
        <f t="shared" si="2"/>
        <v>89034.525978386446</v>
      </c>
      <c r="P12" s="16">
        <f t="shared" si="3"/>
        <v>91660.296596427754</v>
      </c>
      <c r="Q12" s="16">
        <f t="shared" si="4"/>
        <v>89693.718703873077</v>
      </c>
      <c r="R12" s="16">
        <f t="shared" si="5"/>
        <v>90462.745006033394</v>
      </c>
    </row>
    <row r="13" spans="2:18" x14ac:dyDescent="0.15">
      <c r="B13" s="16">
        <f>基础状态预期!D26</f>
        <v>65.075479910097457</v>
      </c>
      <c r="C13" s="16">
        <f>基础状态预期!D71</f>
        <v>64.781009552500748</v>
      </c>
      <c r="D13" s="16">
        <f>基础状态预期!D116</f>
        <v>64.819145630244321</v>
      </c>
      <c r="E13" s="16">
        <f>基础状态预期!D161</f>
        <v>64.399012521055653</v>
      </c>
      <c r="F13" s="16">
        <f>基础状态预期!D206</f>
        <v>64.247064283227857</v>
      </c>
      <c r="G13" s="16">
        <f>武将升级!W13</f>
        <v>1059068638.6263151</v>
      </c>
      <c r="H13" s="16">
        <f>武将升级!W58</f>
        <v>1013205949.7620265</v>
      </c>
      <c r="I13" s="16">
        <f>武将升级!W103</f>
        <v>1018889979.6053951</v>
      </c>
      <c r="J13" s="16">
        <f>武将升级!W148</f>
        <v>956270820.21326089</v>
      </c>
      <c r="K13" s="16">
        <f>武将升级!W193</f>
        <v>933623543.15797913</v>
      </c>
      <c r="M13" s="16">
        <v>10</v>
      </c>
      <c r="N13" s="16">
        <f t="shared" si="1"/>
        <v>99600</v>
      </c>
      <c r="O13" s="16">
        <f t="shared" si="2"/>
        <v>101427.95164269336</v>
      </c>
      <c r="P13" s="16">
        <f t="shared" si="3"/>
        <v>101844.77399603084</v>
      </c>
      <c r="Q13" s="16">
        <f t="shared" si="4"/>
        <v>99659.687448747864</v>
      </c>
      <c r="R13" s="16">
        <f t="shared" si="5"/>
        <v>100514.16111781487</v>
      </c>
    </row>
    <row r="14" spans="2:18" x14ac:dyDescent="0.15">
      <c r="B14" s="16">
        <f>基础状态预期!D27</f>
        <v>69.18336653741882</v>
      </c>
      <c r="C14" s="16">
        <f>基础状态预期!D72</f>
        <v>68.923431594456531</v>
      </c>
      <c r="D14" s="16">
        <f>基础状态预期!D117</f>
        <v>69.01697485309198</v>
      </c>
      <c r="E14" s="16">
        <f>基础状态预期!D162</f>
        <v>68.627579426319684</v>
      </c>
      <c r="F14" s="16">
        <f>基础状态预期!D207</f>
        <v>68.518369035696878</v>
      </c>
      <c r="G14" s="16">
        <f>武将升级!W14</f>
        <v>2015731773.9408188</v>
      </c>
      <c r="H14" s="16">
        <f>武将升级!W59</f>
        <v>1932424936.7103677</v>
      </c>
      <c r="I14" s="16">
        <f>武将升级!W104</f>
        <v>1959937580.5790381</v>
      </c>
      <c r="J14" s="16">
        <f>武将升级!W149</f>
        <v>1848112216.6190922</v>
      </c>
      <c r="K14" s="16">
        <f>武将升级!W194</f>
        <v>1816989155.5523891</v>
      </c>
      <c r="M14" s="16">
        <v>11</v>
      </c>
      <c r="N14" s="16">
        <f t="shared" si="1"/>
        <v>172200</v>
      </c>
      <c r="O14" s="16">
        <f t="shared" si="2"/>
        <v>172680.49569761648</v>
      </c>
      <c r="P14" s="16">
        <f t="shared" si="3"/>
        <v>167675.04996494012</v>
      </c>
      <c r="Q14" s="16">
        <f t="shared" si="4"/>
        <v>169175.50177426741</v>
      </c>
      <c r="R14" s="16">
        <f t="shared" si="5"/>
        <v>167164.80211450366</v>
      </c>
    </row>
    <row r="15" spans="2:18" x14ac:dyDescent="0.15">
      <c r="B15" s="16">
        <f>基础状态预期!D28</f>
        <v>72.375871759353331</v>
      </c>
      <c r="C15" s="16">
        <f>基础状态预期!D73</f>
        <v>72.103942950990486</v>
      </c>
      <c r="D15" s="16">
        <f>基础状态预期!D118</f>
        <v>72.23150684883845</v>
      </c>
      <c r="E15" s="16">
        <f>基础状态预期!D163</f>
        <v>71.882008108111634</v>
      </c>
      <c r="F15" s="16">
        <f>基础状态预期!D208</f>
        <v>71.7664716439551</v>
      </c>
      <c r="G15" s="16">
        <f>武将升级!W15</f>
        <v>3354145429.195878</v>
      </c>
      <c r="H15" s="16">
        <f>武将升级!W60</f>
        <v>3205469984.7963419</v>
      </c>
      <c r="I15" s="16">
        <f>武将升级!W105</f>
        <v>3275214780.5613294</v>
      </c>
      <c r="J15" s="16">
        <f>武将升级!W150</f>
        <v>3093837002.7129889</v>
      </c>
      <c r="K15" s="16">
        <f>武将升级!W195</f>
        <v>3040174659.2833319</v>
      </c>
      <c r="M15" s="16">
        <v>12</v>
      </c>
      <c r="N15" s="16">
        <f t="shared" si="1"/>
        <v>244800</v>
      </c>
      <c r="O15" s="16">
        <f t="shared" si="2"/>
        <v>243933.03975253965</v>
      </c>
      <c r="P15" s="16">
        <f t="shared" si="3"/>
        <v>239685.81157849115</v>
      </c>
      <c r="Q15" s="16">
        <f t="shared" si="4"/>
        <v>238848.48972315056</v>
      </c>
      <c r="R15" s="16">
        <f t="shared" si="5"/>
        <v>236202.62597812878</v>
      </c>
    </row>
    <row r="16" spans="2:18" x14ac:dyDescent="0.15">
      <c r="B16" s="16">
        <f>基础状态预期!D29</f>
        <v>74.998404927577795</v>
      </c>
      <c r="C16" s="16">
        <f>基础状态预期!D74</f>
        <v>74.74003809013405</v>
      </c>
      <c r="D16" s="16">
        <f>基础状态预期!D119</f>
        <v>74.840792411391348</v>
      </c>
      <c r="E16" s="16">
        <f>基础状态预期!D164</f>
        <v>74.493385467679886</v>
      </c>
      <c r="F16" s="16">
        <f>基础状态预期!D209</f>
        <v>74.370993278111257</v>
      </c>
      <c r="G16" s="16">
        <f>武将升级!W16</f>
        <v>5095698770.8556728</v>
      </c>
      <c r="H16" s="16">
        <f>武将升级!W61</f>
        <v>4899894894.6918879</v>
      </c>
      <c r="I16" s="16">
        <f>武将升级!W106</f>
        <v>4976251778.716238</v>
      </c>
      <c r="J16" s="16">
        <f>武将升级!W151</f>
        <v>4712968662.1292295</v>
      </c>
      <c r="K16" s="16">
        <f>武将升级!W196</f>
        <v>4620213472.0018282</v>
      </c>
      <c r="M16" s="16">
        <v>13</v>
      </c>
      <c r="N16" s="16">
        <f t="shared" si="1"/>
        <v>317400</v>
      </c>
      <c r="O16" s="16">
        <f t="shared" si="2"/>
        <v>315185.58380746277</v>
      </c>
      <c r="P16" s="16">
        <f t="shared" si="3"/>
        <v>311696.57319204218</v>
      </c>
      <c r="Q16" s="16">
        <f t="shared" si="4"/>
        <v>308521.47767203365</v>
      </c>
      <c r="R16" s="16">
        <f t="shared" si="5"/>
        <v>305240.44984175393</v>
      </c>
    </row>
    <row r="17" spans="2:18" x14ac:dyDescent="0.15">
      <c r="B17" s="16">
        <f>基础状态预期!D30</f>
        <v>77.875308029777003</v>
      </c>
      <c r="C17" s="16">
        <f>基础状态预期!D75</f>
        <v>77.609642525433856</v>
      </c>
      <c r="D17" s="16">
        <f>基础状态预期!D120</f>
        <v>77.697893604818219</v>
      </c>
      <c r="E17" s="16">
        <f>基础状态预期!D165</f>
        <v>77.332919927503724</v>
      </c>
      <c r="F17" s="16">
        <f>基础状态预期!D210</f>
        <v>77.234275947206214</v>
      </c>
      <c r="G17" s="16">
        <f>武将升级!W17</f>
        <v>8123217021.6939754</v>
      </c>
      <c r="H17" s="16">
        <f>武将升级!W62</f>
        <v>7794469030.8121452</v>
      </c>
      <c r="I17" s="16">
        <f>武将升级!W107</f>
        <v>7903675399.5971889</v>
      </c>
      <c r="J17" s="16">
        <f>武将升级!W152</f>
        <v>7452038430.6254253</v>
      </c>
      <c r="K17" s="16">
        <f>武将升级!W197</f>
        <v>7329971358.2910881</v>
      </c>
      <c r="M17" s="16">
        <v>14</v>
      </c>
      <c r="N17" s="16">
        <f t="shared" si="1"/>
        <v>390000</v>
      </c>
      <c r="O17" s="16">
        <f t="shared" si="2"/>
        <v>386438.12786238594</v>
      </c>
      <c r="P17" s="16">
        <f t="shared" si="3"/>
        <v>383707.33480559324</v>
      </c>
      <c r="Q17" s="16">
        <f t="shared" si="4"/>
        <v>378194.4656209168</v>
      </c>
      <c r="R17" s="16">
        <f t="shared" si="5"/>
        <v>374278.27370537911</v>
      </c>
    </row>
    <row r="18" spans="2:18" x14ac:dyDescent="0.15">
      <c r="B18" s="16">
        <f>基础状态预期!D31</f>
        <v>80.272123558064706</v>
      </c>
      <c r="C18" s="16">
        <f>基础状态预期!D76</f>
        <v>79.994335665275713</v>
      </c>
      <c r="D18" s="16">
        <f>基础状态预期!D121</f>
        <v>80.134867890916794</v>
      </c>
      <c r="E18" s="16">
        <f>基础状态预期!D166</f>
        <v>79.813360188853366</v>
      </c>
      <c r="F18" s="16">
        <f>基础状态预期!D211</f>
        <v>79.725666247801229</v>
      </c>
      <c r="G18" s="16">
        <f>武将升级!W18</f>
        <v>12001253316.009705</v>
      </c>
      <c r="H18" s="16">
        <f>武将升级!W63</f>
        <v>11441449125.585463</v>
      </c>
      <c r="I18" s="16">
        <f>武将升级!W108</f>
        <v>11723798780.992096</v>
      </c>
      <c r="J18" s="16">
        <f>武将升级!W153</f>
        <v>11130835268.966925</v>
      </c>
      <c r="K18" s="16">
        <f>武将升级!W198</f>
        <v>10980323421.88818</v>
      </c>
      <c r="M18" s="16">
        <v>15</v>
      </c>
      <c r="N18" s="16">
        <f t="shared" si="1"/>
        <v>462600</v>
      </c>
      <c r="O18" s="16">
        <f t="shared" si="2"/>
        <v>457690.67191730905</v>
      </c>
      <c r="P18" s="16">
        <f t="shared" si="3"/>
        <v>455718.09641914431</v>
      </c>
      <c r="Q18" s="16">
        <f t="shared" si="4"/>
        <v>447867.45356979989</v>
      </c>
      <c r="R18" s="16">
        <f t="shared" si="5"/>
        <v>443316.09756900417</v>
      </c>
    </row>
    <row r="19" spans="2:18" x14ac:dyDescent="0.15">
      <c r="B19" s="16">
        <f>基础状态预期!D32</f>
        <v>82.328492296001457</v>
      </c>
      <c r="C19" s="16">
        <f>基础状态预期!D77</f>
        <v>82.100546804797787</v>
      </c>
      <c r="D19" s="16">
        <f>基础状态预期!D122</f>
        <v>82.238672852681816</v>
      </c>
      <c r="E19" s="16">
        <f>基础状态预期!D167</f>
        <v>81.919202803497143</v>
      </c>
      <c r="F19" s="16">
        <f>基础状态预期!D212</f>
        <v>81.863982387630472</v>
      </c>
      <c r="G19" s="16">
        <f>武将升级!W19</f>
        <v>16774657857.160393</v>
      </c>
      <c r="H19" s="16">
        <f>武将升级!W64</f>
        <v>16135438704.572018</v>
      </c>
      <c r="I19" s="16">
        <f>武将升级!W109</f>
        <v>16522780497.614639</v>
      </c>
      <c r="J19" s="16">
        <f>武将升级!W154</f>
        <v>15661111798.907665</v>
      </c>
      <c r="K19" s="16">
        <f>武将升级!W199</f>
        <v>15529639454.529345</v>
      </c>
      <c r="M19" s="16">
        <v>16</v>
      </c>
      <c r="N19" s="16">
        <f t="shared" si="1"/>
        <v>535200</v>
      </c>
      <c r="O19" s="16">
        <f t="shared" si="2"/>
        <v>528943.21597223217</v>
      </c>
      <c r="P19" s="16">
        <f t="shared" si="3"/>
        <v>527728.85803269537</v>
      </c>
      <c r="Q19" s="16">
        <f t="shared" si="4"/>
        <v>517540.44151868304</v>
      </c>
      <c r="R19" s="16">
        <f t="shared" si="5"/>
        <v>512353.92143262934</v>
      </c>
    </row>
    <row r="20" spans="2:18" x14ac:dyDescent="0.15">
      <c r="B20" s="16">
        <f>基础状态预期!D33</f>
        <v>84.132234338875293</v>
      </c>
      <c r="C20" s="16">
        <f>基础状态预期!D78</f>
        <v>83.885420957389968</v>
      </c>
      <c r="D20" s="16">
        <f>基础状态预期!D123</f>
        <v>84.043767921022209</v>
      </c>
      <c r="E20" s="16">
        <f>基础状态预期!D168</f>
        <v>83.738783536778797</v>
      </c>
      <c r="F20" s="16">
        <f>基础状态预期!D213</f>
        <v>83.667042947574714</v>
      </c>
      <c r="G20" s="16">
        <f>武将升级!W20</f>
        <v>22475235446.010574</v>
      </c>
      <c r="H20" s="16">
        <f>武将升级!W65</f>
        <v>21582310997.372341</v>
      </c>
      <c r="I20" s="16">
        <f>武将升级!W110</f>
        <v>22131050725.477036</v>
      </c>
      <c r="J20" s="16">
        <f>武将升级!W155</f>
        <v>21097963725.865738</v>
      </c>
      <c r="K20" s="16">
        <f>武将升级!W200</f>
        <v>20861002665.773098</v>
      </c>
      <c r="M20" s="16">
        <v>17</v>
      </c>
      <c r="N20" s="16">
        <f t="shared" si="1"/>
        <v>607800</v>
      </c>
      <c r="O20" s="16">
        <f t="shared" si="2"/>
        <v>600195.76002715528</v>
      </c>
      <c r="P20" s="16">
        <f t="shared" si="3"/>
        <v>599739.61964624643</v>
      </c>
      <c r="Q20" s="16">
        <f t="shared" si="4"/>
        <v>587213.42946756608</v>
      </c>
      <c r="R20" s="16">
        <f t="shared" si="5"/>
        <v>581391.7452962544</v>
      </c>
    </row>
    <row r="21" spans="2:18" x14ac:dyDescent="0.15">
      <c r="B21" s="16">
        <f>基础状态预期!D34</f>
        <v>86.465948248806328</v>
      </c>
      <c r="C21" s="16">
        <f>基础状态预期!D79</f>
        <v>86.247032860782397</v>
      </c>
      <c r="D21" s="16">
        <f>基础状态预期!D124</f>
        <v>86.385105215793828</v>
      </c>
      <c r="E21" s="16">
        <f>基础状态预期!D169</f>
        <v>86.045919706798657</v>
      </c>
      <c r="F21" s="16">
        <f>基础状态预期!D214</f>
        <v>86.154780808490059</v>
      </c>
      <c r="G21" s="16">
        <f>武将升级!W21</f>
        <v>32937196113.343918</v>
      </c>
      <c r="H21" s="16">
        <f>武将升级!W66</f>
        <v>31758932023.55817</v>
      </c>
      <c r="I21" s="16">
        <f>武将升级!W111</f>
        <v>32502076208.94698</v>
      </c>
      <c r="J21" s="16">
        <f>武将升级!W156</f>
        <v>30676484556.244041</v>
      </c>
      <c r="K21" s="16">
        <f>武将升级!W201</f>
        <v>31262405573.744522</v>
      </c>
      <c r="M21" s="16">
        <v>18</v>
      </c>
      <c r="N21" s="16">
        <f t="shared" si="1"/>
        <v>680400</v>
      </c>
      <c r="O21" s="16">
        <f t="shared" si="2"/>
        <v>671448.30408207851</v>
      </c>
      <c r="P21" s="16">
        <f t="shared" si="3"/>
        <v>671750.38125979737</v>
      </c>
      <c r="Q21" s="16">
        <f t="shared" si="4"/>
        <v>656886.41741644917</v>
      </c>
      <c r="R21" s="16">
        <f t="shared" si="5"/>
        <v>650429.56915987958</v>
      </c>
    </row>
    <row r="22" spans="2:18" x14ac:dyDescent="0.15">
      <c r="B22" s="16">
        <f>基础状态预期!D35</f>
        <v>90.244911202258237</v>
      </c>
      <c r="C22" s="16">
        <f>基础状态预期!D80</f>
        <v>90.122782504866933</v>
      </c>
      <c r="D22" s="16">
        <f>基础状态预期!D125</f>
        <v>90.406191748048585</v>
      </c>
      <c r="E22" s="16">
        <f>基础状态预期!D170</f>
        <v>90.288435080379244</v>
      </c>
      <c r="F22" s="16">
        <f>基础状态预期!D215</f>
        <v>90.480184629206022</v>
      </c>
      <c r="G22" s="16">
        <f>武将升级!W22</f>
        <v>60774522816.232155</v>
      </c>
      <c r="H22" s="16">
        <f>武将升级!W67</f>
        <v>59526418627.540024</v>
      </c>
      <c r="I22" s="16">
        <f>武将升级!W112</f>
        <v>62422742514.429153</v>
      </c>
      <c r="J22" s="16">
        <f>武将升级!W157</f>
        <v>61219318640.238251</v>
      </c>
      <c r="K22" s="16">
        <f>武将升级!W202</f>
        <v>63178918801.236679</v>
      </c>
      <c r="M22" s="16">
        <v>19</v>
      </c>
      <c r="N22" s="16">
        <f t="shared" si="1"/>
        <v>753000</v>
      </c>
      <c r="O22" s="16">
        <f t="shared" si="2"/>
        <v>742700.84813700162</v>
      </c>
      <c r="P22" s="16">
        <f t="shared" si="3"/>
        <v>743761.14287334844</v>
      </c>
      <c r="Q22" s="16">
        <f t="shared" si="4"/>
        <v>726559.40536533238</v>
      </c>
      <c r="R22" s="16">
        <f t="shared" si="5"/>
        <v>719467.39302350476</v>
      </c>
    </row>
    <row r="23" spans="2:18" x14ac:dyDescent="0.15">
      <c r="B23" s="16">
        <f>基础状态预期!D36</f>
        <v>93.235489905456092</v>
      </c>
      <c r="C23" s="16">
        <f>基础状态预期!D81</f>
        <v>93.149045658279036</v>
      </c>
      <c r="D23" s="16">
        <f>基础状态预期!D126</f>
        <v>93.471491811086082</v>
      </c>
      <c r="E23" s="16">
        <f>基础状态预期!D171</f>
        <v>93.400072017025948</v>
      </c>
      <c r="F23" s="16">
        <f>基础状态预期!D216</f>
        <v>93.6774218048877</v>
      </c>
      <c r="G23" s="16">
        <f>武将升级!W23</f>
        <v>98396359604.614838</v>
      </c>
      <c r="H23" s="16">
        <f>武将升级!W68</f>
        <v>96973494211.62027</v>
      </c>
      <c r="I23" s="16">
        <f>武将升级!W113</f>
        <v>102280932091.13202</v>
      </c>
      <c r="J23" s="16">
        <f>武将升级!W158</f>
        <v>101105367994.48575</v>
      </c>
      <c r="K23" s="16">
        <f>武将升级!W203</f>
        <v>105670523314.70715</v>
      </c>
      <c r="M23" s="16">
        <v>20</v>
      </c>
      <c r="N23" s="16">
        <f t="shared" si="1"/>
        <v>825600</v>
      </c>
      <c r="O23" s="16">
        <f t="shared" si="2"/>
        <v>869427.52311544004</v>
      </c>
      <c r="P23" s="16">
        <f t="shared" si="3"/>
        <v>863274.39973911515</v>
      </c>
      <c r="Q23" s="16">
        <f t="shared" si="4"/>
        <v>916597.76649862796</v>
      </c>
      <c r="R23" s="16">
        <f t="shared" si="5"/>
        <v>930826.07160436967</v>
      </c>
    </row>
    <row r="24" spans="2:18" x14ac:dyDescent="0.15">
      <c r="B24" s="16">
        <f>基础状态预期!D37</f>
        <v>96.807063977001675</v>
      </c>
      <c r="C24" s="16">
        <f>基础状态预期!D82</f>
        <v>96.770480813454071</v>
      </c>
      <c r="D24" s="16">
        <f>基础状态预期!D127</f>
        <v>97.107381566993553</v>
      </c>
      <c r="E24" s="16">
        <f>基础状态预期!D172</f>
        <v>97.006001686863456</v>
      </c>
      <c r="F24" s="16">
        <f>基础状态预期!D217</f>
        <v>97.125654465362558</v>
      </c>
      <c r="G24" s="16">
        <f>武将升级!W24</f>
        <v>173995392069.77505</v>
      </c>
      <c r="H24" s="16">
        <f>武将升级!W69</f>
        <v>173034462186.03647</v>
      </c>
      <c r="I24" s="16">
        <f>武将升级!W114</f>
        <v>182345066858.24316</v>
      </c>
      <c r="J24" s="16">
        <f>武将升级!W159</f>
        <v>179246667386.37976</v>
      </c>
      <c r="K24" s="16">
        <f>武将升级!W204</f>
        <v>182903528148.42508</v>
      </c>
      <c r="M24" s="16">
        <v>21</v>
      </c>
      <c r="N24" s="16">
        <f t="shared" si="1"/>
        <v>1155324.7586675358</v>
      </c>
      <c r="O24" s="16">
        <f t="shared" si="2"/>
        <v>1178585.537677624</v>
      </c>
      <c r="P24" s="16">
        <f t="shared" si="3"/>
        <v>1173033.3150817179</v>
      </c>
      <c r="Q24" s="16">
        <f t="shared" si="4"/>
        <v>1197458.1385938856</v>
      </c>
      <c r="R24" s="16">
        <f t="shared" si="5"/>
        <v>1199993.5328094892</v>
      </c>
    </row>
    <row r="25" spans="2:18" x14ac:dyDescent="0.15">
      <c r="B25" s="16">
        <f>基础状态预期!D38</f>
        <v>100.50342858241972</v>
      </c>
      <c r="C25" s="16">
        <f>基础状态预期!D83</f>
        <v>100.40175326279811</v>
      </c>
      <c r="D25" s="16">
        <f>基础状态预期!D128</f>
        <v>100.71243145193914</v>
      </c>
      <c r="E25" s="16">
        <f>基础状态预期!D173</f>
        <v>100.64473135315967</v>
      </c>
      <c r="F25" s="16">
        <f>基础状态预期!D218</f>
        <v>100.89689545435591</v>
      </c>
      <c r="G25" s="16">
        <f>武将升级!W25</f>
        <v>310330736701.58435</v>
      </c>
      <c r="H25" s="16">
        <f>武将升级!W70</f>
        <v>305479307976.61816</v>
      </c>
      <c r="I25" s="16">
        <f>武将升级!W115</f>
        <v>320303289810.44537</v>
      </c>
      <c r="J25" s="16">
        <f>武将升级!W160</f>
        <v>317072985690.19189</v>
      </c>
      <c r="K25" s="16">
        <f>武将升级!W205</f>
        <v>329104973084.00153</v>
      </c>
      <c r="M25" s="16">
        <v>22</v>
      </c>
      <c r="N25" s="16">
        <f t="shared" si="1"/>
        <v>1485049.5173350717</v>
      </c>
      <c r="O25" s="16">
        <f t="shared" si="2"/>
        <v>1487743.5522398083</v>
      </c>
      <c r="P25" s="16">
        <f t="shared" si="3"/>
        <v>1482792.2304243203</v>
      </c>
      <c r="Q25" s="16">
        <f t="shared" si="4"/>
        <v>1478318.5106891431</v>
      </c>
      <c r="R25" s="16">
        <f t="shared" si="5"/>
        <v>1469160.9940146084</v>
      </c>
    </row>
    <row r="26" spans="2:18" x14ac:dyDescent="0.15">
      <c r="B26" s="16">
        <f>基础状态预期!D39</f>
        <v>104.10129967499306</v>
      </c>
      <c r="C26" s="16">
        <f>基础状态预期!D84</f>
        <v>104.06236366727887</v>
      </c>
      <c r="D26" s="16">
        <f>基础状态预期!D129</f>
        <v>104.39233713204413</v>
      </c>
      <c r="E26" s="16">
        <f>基础状态预期!D174</f>
        <v>104.30731379164318</v>
      </c>
      <c r="F26" s="16">
        <f>基础状态预期!D219</f>
        <v>104.52148587104635</v>
      </c>
      <c r="G26" s="16">
        <f>武将升级!W26</f>
        <v>535554100726.77173</v>
      </c>
      <c r="H26" s="16">
        <f>武将升级!W71</f>
        <v>532235684636.78998</v>
      </c>
      <c r="I26" s="16">
        <f>武将升级!W116</f>
        <v>560358476854.78003</v>
      </c>
      <c r="J26" s="16">
        <f>武将升级!W161</f>
        <v>553112155586.26111</v>
      </c>
      <c r="K26" s="16">
        <f>武将升级!W206</f>
        <v>571365492690.91284</v>
      </c>
      <c r="M26" s="16">
        <v>23</v>
      </c>
      <c r="N26" s="16">
        <f t="shared" si="1"/>
        <v>1814774.2760026078</v>
      </c>
      <c r="O26" s="16">
        <f t="shared" si="2"/>
        <v>1796901.5668019922</v>
      </c>
      <c r="P26" s="16">
        <f t="shared" si="3"/>
        <v>1792551.1457669232</v>
      </c>
      <c r="Q26" s="16">
        <f t="shared" si="4"/>
        <v>1759178.8827844006</v>
      </c>
      <c r="R26" s="16">
        <f t="shared" si="5"/>
        <v>1738328.4552197279</v>
      </c>
    </row>
    <row r="27" spans="2:18" x14ac:dyDescent="0.15">
      <c r="B27" s="16">
        <f>基础状态预期!D40</f>
        <v>107.48165553683219</v>
      </c>
      <c r="C27" s="16">
        <f>基础状态预期!D85</f>
        <v>107.42257994053838</v>
      </c>
      <c r="D27" s="16">
        <f>基础状态预期!D130</f>
        <v>107.81562240612369</v>
      </c>
      <c r="E27" s="16">
        <f>基础状态预期!D175</f>
        <v>107.78950972208385</v>
      </c>
      <c r="F27" s="16">
        <f>基础状态预期!D220</f>
        <v>108.05586950728798</v>
      </c>
      <c r="G27" s="16">
        <f>武将升级!W27</f>
        <v>887018256401.05713</v>
      </c>
      <c r="H27" s="16">
        <f>武将升级!W72</f>
        <v>879287991154.84668</v>
      </c>
      <c r="I27" s="16">
        <f>武将升级!W117</f>
        <v>930719084577.72327</v>
      </c>
      <c r="J27" s="16">
        <f>武将升级!W162</f>
        <v>927302141092.04846</v>
      </c>
      <c r="K27" s="16">
        <f>武将升级!W207</f>
        <v>963272783059.87988</v>
      </c>
      <c r="M27" s="16">
        <v>24</v>
      </c>
      <c r="N27" s="16">
        <f t="shared" si="1"/>
        <v>2144499.0346701434</v>
      </c>
      <c r="O27" s="16">
        <f t="shared" si="2"/>
        <v>2106059.5813641762</v>
      </c>
      <c r="P27" s="16">
        <f t="shared" si="3"/>
        <v>2102310.0611095256</v>
      </c>
      <c r="Q27" s="16">
        <f t="shared" si="4"/>
        <v>2040039.2548796581</v>
      </c>
      <c r="R27" s="16">
        <f t="shared" si="5"/>
        <v>2007495.9164248472</v>
      </c>
    </row>
    <row r="28" spans="2:18" x14ac:dyDescent="0.15">
      <c r="B28" s="16">
        <f>基础状态预期!D41</f>
        <v>111.03813549320469</v>
      </c>
      <c r="C28" s="16">
        <f>基础状态预期!D86</f>
        <v>111.00691759243479</v>
      </c>
      <c r="D28" s="16">
        <f>基础状态预期!D131</f>
        <v>111.36292001894914</v>
      </c>
      <c r="E28" s="16">
        <f>基础状态预期!D176</f>
        <v>111.29737083030383</v>
      </c>
      <c r="F28" s="16">
        <f>基础状态预期!D221</f>
        <v>111.54601176466306</v>
      </c>
      <c r="G28" s="16">
        <f>武将升级!W28</f>
        <v>1489837587618.8059</v>
      </c>
      <c r="H28" s="16">
        <f>武将升级!W73</f>
        <v>1482517392099.697</v>
      </c>
      <c r="I28" s="16">
        <f>武将升级!W118</f>
        <v>1565995374382.0493</v>
      </c>
      <c r="J28" s="16">
        <f>武将升级!W163</f>
        <v>1550624934180.4712</v>
      </c>
      <c r="K28" s="16">
        <f>武将升级!W208</f>
        <v>1608928029797.9126</v>
      </c>
      <c r="M28" s="16">
        <v>25</v>
      </c>
      <c r="N28" s="16">
        <f t="shared" si="1"/>
        <v>2474223.7933376795</v>
      </c>
      <c r="O28" s="16">
        <f t="shared" si="2"/>
        <v>2415217.5959263602</v>
      </c>
      <c r="P28" s="16">
        <f t="shared" si="3"/>
        <v>2412068.976452128</v>
      </c>
      <c r="Q28" s="16">
        <f t="shared" si="4"/>
        <v>2320899.6269749161</v>
      </c>
      <c r="R28" s="16">
        <f t="shared" si="5"/>
        <v>2276663.3776299665</v>
      </c>
    </row>
    <row r="29" spans="2:18" x14ac:dyDescent="0.15">
      <c r="B29" s="16">
        <f>基础状态预期!D42</f>
        <v>114.50860608277577</v>
      </c>
      <c r="C29" s="16">
        <f>基础状态预期!D87</f>
        <v>114.47614359759058</v>
      </c>
      <c r="D29" s="16">
        <f>基础状态预期!D132</f>
        <v>114.91934497223426</v>
      </c>
      <c r="E29" s="16">
        <f>基础状态预期!D177</f>
        <v>114.91888401282834</v>
      </c>
      <c r="F29" s="16">
        <f>基础状态预期!D222</f>
        <v>115.20444967370992</v>
      </c>
      <c r="G29" s="16">
        <f>武将升级!W29</f>
        <v>2504210378948.9736</v>
      </c>
      <c r="H29" s="16">
        <f>武将升级!W74</f>
        <v>2491905980626.98</v>
      </c>
      <c r="I29" s="16">
        <f>武将升级!W119</f>
        <v>2659894544021.3301</v>
      </c>
      <c r="J29" s="16">
        <f>武将升级!W164</f>
        <v>2659719824553.3574</v>
      </c>
      <c r="K29" s="16">
        <f>武将升级!W209</f>
        <v>2781988417787.6011</v>
      </c>
      <c r="M29" s="16">
        <v>26</v>
      </c>
      <c r="N29" s="16">
        <f t="shared" si="1"/>
        <v>2803948.5520052155</v>
      </c>
      <c r="O29" s="16">
        <f t="shared" si="2"/>
        <v>2724375.6104885442</v>
      </c>
      <c r="P29" s="16">
        <f t="shared" si="3"/>
        <v>2721827.8917947309</v>
      </c>
      <c r="Q29" s="16">
        <f t="shared" si="4"/>
        <v>2601759.9990701731</v>
      </c>
      <c r="R29" s="16">
        <f t="shared" si="5"/>
        <v>2545830.8388350857</v>
      </c>
    </row>
    <row r="30" spans="2:18" x14ac:dyDescent="0.15">
      <c r="B30" s="16">
        <f>基础状态预期!D43</f>
        <v>118.05948896247369</v>
      </c>
      <c r="C30" s="16">
        <f>基础状态预期!D88</f>
        <v>118.05724034557241</v>
      </c>
      <c r="D30" s="16">
        <f>基础状态预期!D133</f>
        <v>118.44741987029688</v>
      </c>
      <c r="E30" s="16">
        <f>基础状态预期!D178</f>
        <v>118.4172728380062</v>
      </c>
      <c r="F30" s="16">
        <f>基础状态预期!D223</f>
        <v>118.75432507225094</v>
      </c>
      <c r="G30" s="16">
        <f>武将升级!W30</f>
        <v>4341392552737.5635</v>
      </c>
      <c r="H30" s="16">
        <f>武将升级!W75</f>
        <v>4339711963749.3618</v>
      </c>
      <c r="I30" s="16">
        <f>武将升级!W120</f>
        <v>4631327406246.1523</v>
      </c>
      <c r="J30" s="16">
        <f>武将升级!W165</f>
        <v>4608795880104.125</v>
      </c>
      <c r="K30" s="16">
        <f>武将升级!W210</f>
        <v>4860704630321.6523</v>
      </c>
      <c r="M30" s="16">
        <v>27</v>
      </c>
      <c r="N30" s="16">
        <f t="shared" si="1"/>
        <v>3133673.3106727512</v>
      </c>
      <c r="O30" s="16">
        <f t="shared" si="2"/>
        <v>3033533.6250507282</v>
      </c>
      <c r="P30" s="16">
        <f t="shared" si="3"/>
        <v>3031586.8071373338</v>
      </c>
      <c r="Q30" s="16">
        <f t="shared" si="4"/>
        <v>2882620.3711654311</v>
      </c>
      <c r="R30" s="16">
        <f t="shared" si="5"/>
        <v>2814998.3000402055</v>
      </c>
    </row>
    <row r="31" spans="2:18" x14ac:dyDescent="0.15">
      <c r="B31" s="16">
        <f>基础状态预期!D44</f>
        <v>121.47928719052189</v>
      </c>
      <c r="C31" s="16">
        <f>基础状态预期!D89</f>
        <v>121.49411884885473</v>
      </c>
      <c r="D31" s="16">
        <f>基础状态预期!D134</f>
        <v>121.97211685892326</v>
      </c>
      <c r="E31" s="16">
        <f>基础状态预期!D179</f>
        <v>121.99245722798884</v>
      </c>
      <c r="F31" s="16">
        <f>基础状态预期!D224</f>
        <v>122.26514676047371</v>
      </c>
      <c r="G31" s="16">
        <f>武将升级!W31</f>
        <v>7600880797986.8906</v>
      </c>
      <c r="H31" s="16">
        <f>武将升级!W76</f>
        <v>7619647694036.4297</v>
      </c>
      <c r="I31" s="16">
        <f>武将升级!W121</f>
        <v>8224471427535.0439</v>
      </c>
      <c r="J31" s="16">
        <f>武将升级!W166</f>
        <v>8250208643380.8145</v>
      </c>
      <c r="K31" s="16">
        <f>武将升级!W211</f>
        <v>8660443992326.8711</v>
      </c>
      <c r="M31" s="16">
        <v>28</v>
      </c>
      <c r="N31" s="16">
        <f t="shared" si="1"/>
        <v>3463398.0693402872</v>
      </c>
      <c r="O31" s="16">
        <f t="shared" si="2"/>
        <v>3654429.6123880651</v>
      </c>
      <c r="P31" s="16">
        <f t="shared" si="3"/>
        <v>3656120.5952857789</v>
      </c>
      <c r="Q31" s="16">
        <f t="shared" si="4"/>
        <v>4004484.6465538661</v>
      </c>
      <c r="R31" s="16">
        <f t="shared" si="5"/>
        <v>4102491.6798557146</v>
      </c>
    </row>
    <row r="32" spans="2:18" x14ac:dyDescent="0.15">
      <c r="B32" s="16">
        <f>基础状态预期!D45</f>
        <v>125.02015904129435</v>
      </c>
      <c r="C32" s="16">
        <f>基础状态预期!D90</f>
        <v>125.03100311549058</v>
      </c>
      <c r="D32" s="16">
        <f>基础状态预期!D135</f>
        <v>125.41953077529134</v>
      </c>
      <c r="E32" s="16">
        <f>基础状态预期!D180</f>
        <v>125.43876546297123</v>
      </c>
      <c r="F32" s="16">
        <f>基础状态预期!D225</f>
        <v>125.84855083483956</v>
      </c>
      <c r="G32" s="16">
        <f>武将升级!W32</f>
        <v>13789659202629.895</v>
      </c>
      <c r="H32" s="16">
        <f>武将升级!W77</f>
        <v>13817693346316.816</v>
      </c>
      <c r="I32" s="16">
        <f>武将升级!W122</f>
        <v>14822116595743.307</v>
      </c>
      <c r="J32" s="16">
        <f>武将升级!W167</f>
        <v>14871842186737.402</v>
      </c>
      <c r="K32" s="16">
        <f>武将升级!W212</f>
        <v>15931220957840.848</v>
      </c>
      <c r="M32" s="16">
        <v>29</v>
      </c>
      <c r="N32" s="16">
        <f t="shared" si="1"/>
        <v>5146217.9540890716</v>
      </c>
      <c r="O32" s="16">
        <f t="shared" si="2"/>
        <v>5338491.2414746061</v>
      </c>
      <c r="P32" s="16">
        <f t="shared" si="3"/>
        <v>5329161.0990405502</v>
      </c>
      <c r="Q32" s="16">
        <f t="shared" si="4"/>
        <v>5530558.2121705227</v>
      </c>
      <c r="R32" s="16">
        <f t="shared" si="5"/>
        <v>5562183.8833065787</v>
      </c>
    </row>
    <row r="33" spans="2:18" x14ac:dyDescent="0.15">
      <c r="B33" s="16">
        <f>基础状态预期!D46</f>
        <v>128.56549059889721</v>
      </c>
      <c r="C33" s="16">
        <f>基础状态预期!D91</f>
        <v>128.62542789463421</v>
      </c>
      <c r="D33" s="16">
        <f>基础状态预期!D136</f>
        <v>129.09045404756728</v>
      </c>
      <c r="E33" s="16">
        <f>基础状态预期!D181</f>
        <v>129.12105302323599</v>
      </c>
      <c r="F33" s="16">
        <f>基础状态预期!D226</f>
        <v>129.43528964176323</v>
      </c>
      <c r="G33" s="16">
        <f>武将升级!W33</f>
        <v>25636074285154.719</v>
      </c>
      <c r="H33" s="16">
        <f>武将升级!W78</f>
        <v>25902260197478.492</v>
      </c>
      <c r="I33" s="16">
        <f>武将升级!W123</f>
        <v>28047167887568.805</v>
      </c>
      <c r="J33" s="16">
        <f>武将升级!W168</f>
        <v>28210018729468.887</v>
      </c>
      <c r="K33" s="16">
        <f>武将升级!W213</f>
        <v>29882417780896.148</v>
      </c>
      <c r="M33" s="16">
        <v>30</v>
      </c>
      <c r="N33" s="16">
        <f t="shared" si="1"/>
        <v>6932780.7436647266</v>
      </c>
      <c r="O33" s="16">
        <f t="shared" si="2"/>
        <v>7022552.8705611471</v>
      </c>
      <c r="P33" s="16">
        <f t="shared" si="3"/>
        <v>7002201.6027953224</v>
      </c>
      <c r="Q33" s="16">
        <f t="shared" si="4"/>
        <v>7056631.7777871806</v>
      </c>
      <c r="R33" s="16">
        <f t="shared" si="5"/>
        <v>7021876.0867574429</v>
      </c>
    </row>
    <row r="34" spans="2:18" x14ac:dyDescent="0.15">
      <c r="B34" s="16">
        <f>基础状态预期!D47</f>
        <v>132.07530828871487</v>
      </c>
      <c r="C34" s="16">
        <f>基础状态预期!D92</f>
        <v>132.09902390525281</v>
      </c>
      <c r="D34" s="16">
        <f>基础状态预期!D137</f>
        <v>132.53488795708068</v>
      </c>
      <c r="E34" s="16">
        <f>基础状态预期!D182</f>
        <v>132.61179169042359</v>
      </c>
      <c r="F34" s="16">
        <f>基础状态预期!D227</f>
        <v>133.03192104200832</v>
      </c>
      <c r="G34" s="16">
        <f>武将升级!W34</f>
        <v>47605822540616.031</v>
      </c>
      <c r="H34" s="16">
        <f>武将升级!W79</f>
        <v>47823304973644.414</v>
      </c>
      <c r="I34" s="16">
        <f>武将升级!W124</f>
        <v>51820366332326.844</v>
      </c>
      <c r="J34" s="16">
        <f>武将升级!W169</f>
        <v>52525606738353.078</v>
      </c>
      <c r="K34" s="16">
        <f>武将升级!W214</f>
        <v>56436690648719.555</v>
      </c>
      <c r="M34" s="16">
        <v>31</v>
      </c>
      <c r="N34" s="16">
        <f t="shared" si="1"/>
        <v>8719343.5332403816</v>
      </c>
      <c r="O34" s="16">
        <f t="shared" si="2"/>
        <v>8706614.4996476881</v>
      </c>
      <c r="P34" s="16">
        <f t="shared" si="3"/>
        <v>8675242.1065500937</v>
      </c>
      <c r="Q34" s="16">
        <f t="shared" si="4"/>
        <v>8582705.3434038367</v>
      </c>
      <c r="R34" s="16">
        <f t="shared" si="5"/>
        <v>8481568.2902083062</v>
      </c>
    </row>
    <row r="35" spans="2:18" x14ac:dyDescent="0.15">
      <c r="B35" s="16">
        <f>基础状态预期!D48</f>
        <v>135.54811255008914</v>
      </c>
      <c r="C35" s="16">
        <f>基础状态预期!D93</f>
        <v>135.61521761503846</v>
      </c>
      <c r="D35" s="16">
        <f>基础状态预期!D138</f>
        <v>136.07141427598387</v>
      </c>
      <c r="E35" s="16">
        <f>基础状态预期!D183</f>
        <v>136.12035534953262</v>
      </c>
      <c r="F35" s="16">
        <f>基础状态预期!D228</f>
        <v>136.45508882162355</v>
      </c>
      <c r="G35" s="16">
        <f>武将升级!W35</f>
        <v>88883835257497.094</v>
      </c>
      <c r="H35" s="16">
        <f>武将升级!W80</f>
        <v>89938104949469.734</v>
      </c>
      <c r="I35" s="16">
        <f>武将升级!W125</f>
        <v>97312339109406.406</v>
      </c>
      <c r="J35" s="16">
        <f>武将升级!W170</f>
        <v>98223133551305.313</v>
      </c>
      <c r="K35" s="16">
        <f>武将升级!W215</f>
        <v>104452530738399.72</v>
      </c>
      <c r="M35" s="16">
        <v>32</v>
      </c>
      <c r="N35" s="16">
        <f t="shared" si="1"/>
        <v>10505906.322816037</v>
      </c>
      <c r="O35" s="16">
        <f t="shared" si="2"/>
        <v>10390676.128734229</v>
      </c>
      <c r="P35" s="16">
        <f t="shared" si="3"/>
        <v>10348282.610304866</v>
      </c>
      <c r="Q35" s="16">
        <f t="shared" si="4"/>
        <v>10108778.909020495</v>
      </c>
      <c r="R35" s="16">
        <f t="shared" si="5"/>
        <v>9941260.4936591703</v>
      </c>
    </row>
    <row r="36" spans="2:18" x14ac:dyDescent="0.15">
      <c r="B36" s="16">
        <f>基础状态预期!D49</f>
        <v>139.0493876099641</v>
      </c>
      <c r="C36" s="16">
        <f>基础状态预期!D94</f>
        <v>139.08794136138388</v>
      </c>
      <c r="D36" s="16">
        <f>基础状态预期!D139</f>
        <v>139.56936219880694</v>
      </c>
      <c r="E36" s="16">
        <f>基础状态预期!D184</f>
        <v>139.6793621861803</v>
      </c>
      <c r="F36" s="16">
        <f>基础状态预期!D229</f>
        <v>140.08772492574531</v>
      </c>
      <c r="G36" s="16">
        <f>武将升级!W36</f>
        <v>163806971860186.47</v>
      </c>
      <c r="H36" s="16">
        <f>武将升级!W81</f>
        <v>164970831458552.13</v>
      </c>
      <c r="I36" s="16">
        <f>武将升级!W126</f>
        <v>179503950593633.94</v>
      </c>
      <c r="J36" s="16">
        <f>武将升级!W171</f>
        <v>182824627218085.19</v>
      </c>
      <c r="K36" s="16">
        <f>武将升级!W216</f>
        <v>195597112689191.25</v>
      </c>
      <c r="M36" s="16">
        <v>33</v>
      </c>
      <c r="N36" s="16">
        <f t="shared" si="1"/>
        <v>12292469.112391694</v>
      </c>
      <c r="O36" s="16">
        <f t="shared" si="2"/>
        <v>12074737.75782077</v>
      </c>
      <c r="P36" s="16">
        <f t="shared" si="3"/>
        <v>12021323.114059638</v>
      </c>
      <c r="Q36" s="16">
        <f t="shared" si="4"/>
        <v>11634852.474637151</v>
      </c>
      <c r="R36" s="16">
        <f t="shared" si="5"/>
        <v>11400952.697110035</v>
      </c>
    </row>
    <row r="37" spans="2:18" x14ac:dyDescent="0.15">
      <c r="B37" s="16">
        <f>基础状态预期!D50</f>
        <v>142.53355653582128</v>
      </c>
      <c r="C37" s="16">
        <f>基础状态预期!D95</f>
        <v>142.60670974426387</v>
      </c>
      <c r="D37" s="16">
        <f>基础状态预期!D140</f>
        <v>143.08413721822018</v>
      </c>
      <c r="E37" s="16">
        <f>基础状态预期!D185</f>
        <v>143.14123736077869</v>
      </c>
      <c r="F37" s="16">
        <f>基础状态预期!D230</f>
        <v>143.51956656528549</v>
      </c>
      <c r="G37" s="16">
        <f>武将升级!W37</f>
        <v>294355419722839.44</v>
      </c>
      <c r="H37" s="16">
        <f>武将升级!W82</f>
        <v>297851893567180.25</v>
      </c>
      <c r="I37" s="16">
        <f>武将升级!W127</f>
        <v>321320178743729.25</v>
      </c>
      <c r="J37" s="16">
        <f>武将升级!W172</f>
        <v>324489736702231</v>
      </c>
      <c r="K37" s="16">
        <f>武将升级!W217</f>
        <v>345490320717400.69</v>
      </c>
      <c r="M37" s="16">
        <v>34</v>
      </c>
      <c r="N37" s="16">
        <f t="shared" si="1"/>
        <v>14079031.901967349</v>
      </c>
      <c r="O37" s="16">
        <f t="shared" si="2"/>
        <v>13758799.386907311</v>
      </c>
      <c r="P37" s="16">
        <f t="shared" si="3"/>
        <v>13694363.617814409</v>
      </c>
      <c r="Q37" s="16">
        <f t="shared" si="4"/>
        <v>13803086.669500826</v>
      </c>
      <c r="R37" s="16">
        <f t="shared" si="5"/>
        <v>14016872.284159785</v>
      </c>
    </row>
    <row r="38" spans="2:18" x14ac:dyDescent="0.15">
      <c r="B38" s="16">
        <f>基础状态预期!D51</f>
        <v>146.02664953963369</v>
      </c>
      <c r="C38" s="16">
        <f>基础状态预期!D96</f>
        <v>146.07830147206653</v>
      </c>
      <c r="D38" s="16">
        <f>基础状态预期!D141</f>
        <v>146.62302564097175</v>
      </c>
      <c r="E38" s="16">
        <f>基础状态预期!D186</f>
        <v>146.75578521325724</v>
      </c>
      <c r="F38" s="16">
        <f>基础状态预期!D231</f>
        <v>147.17868266109423</v>
      </c>
      <c r="G38" s="16">
        <f>武将升级!W38</f>
        <v>513413452117658.81</v>
      </c>
      <c r="H38" s="16">
        <f>武将升级!W83</f>
        <v>517871341222232.13</v>
      </c>
      <c r="I38" s="16">
        <f>武将升级!W128</f>
        <v>564884489098511.5</v>
      </c>
      <c r="J38" s="16">
        <f>武将升级!W173</f>
        <v>576342481528686.63</v>
      </c>
      <c r="K38" s="16">
        <f>武将升级!W218</f>
        <v>615251395713921.88</v>
      </c>
      <c r="M38" s="16">
        <v>35</v>
      </c>
      <c r="N38" s="16">
        <f t="shared" si="1"/>
        <v>16697538.992698874</v>
      </c>
      <c r="O38" s="16">
        <f t="shared" si="2"/>
        <v>16941691.009159382</v>
      </c>
      <c r="P38" s="16">
        <f t="shared" si="3"/>
        <v>16980929.289024152</v>
      </c>
      <c r="Q38" s="16">
        <f t="shared" si="4"/>
        <v>17287833.904843789</v>
      </c>
      <c r="R38" s="16">
        <f t="shared" si="5"/>
        <v>17402321.080561247</v>
      </c>
    </row>
    <row r="39" spans="2:18" x14ac:dyDescent="0.15">
      <c r="B39" s="16">
        <f>基础状态预期!D52</f>
        <v>149.52287096243165</v>
      </c>
      <c r="C39" s="16">
        <f>基础状态预期!D97</f>
        <v>149.61701338734093</v>
      </c>
      <c r="D39" s="16">
        <f>基础状态预期!D142</f>
        <v>150.12999034316616</v>
      </c>
      <c r="E39" s="16">
        <f>基础状态预期!D187</f>
        <v>150.21349802228445</v>
      </c>
      <c r="F39" s="16">
        <f>基础状态预期!D232</f>
        <v>150.49637054967232</v>
      </c>
      <c r="G39" s="16">
        <f>武将升级!W39</f>
        <v>882139597630673</v>
      </c>
      <c r="H39" s="16">
        <f>武将升级!W84</f>
        <v>894674247918827.75</v>
      </c>
      <c r="I39" s="16">
        <f>武将升级!W129</f>
        <v>945667232849400</v>
      </c>
      <c r="J39" s="16">
        <f>武将升级!W174</f>
        <v>945667232849400</v>
      </c>
      <c r="K39" s="16">
        <f>武将升级!W219</f>
        <v>945667232849400</v>
      </c>
      <c r="M39" s="16">
        <v>36</v>
      </c>
      <c r="N39" s="16">
        <f t="shared" si="1"/>
        <v>20493351.194159098</v>
      </c>
      <c r="O39" s="16">
        <f t="shared" si="2"/>
        <v>20626343.055481259</v>
      </c>
      <c r="P39" s="16">
        <f t="shared" si="3"/>
        <v>20651290.466004439</v>
      </c>
      <c r="Q39" s="16">
        <f t="shared" si="4"/>
        <v>20772581.140186753</v>
      </c>
      <c r="R39" s="16">
        <f t="shared" si="5"/>
        <v>20787769.87696271</v>
      </c>
    </row>
    <row r="40" spans="2:18" x14ac:dyDescent="0.15">
      <c r="B40" s="16">
        <f>基础状态预期!D53</f>
        <v>153.02723536432757</v>
      </c>
      <c r="C40" s="16">
        <f>基础状态预期!D98</f>
        <v>153.01012120353457</v>
      </c>
      <c r="D40" s="16">
        <f>基础状态预期!D143</f>
        <v>153.11600330857166</v>
      </c>
      <c r="E40" s="16">
        <f>基础状态预期!D188</f>
        <v>152.32856849044819</v>
      </c>
      <c r="F40" s="16">
        <f>基础状态预期!D233</f>
        <v>151.40240982411487</v>
      </c>
      <c r="G40" s="16">
        <f>武将升级!W40</f>
        <v>945667232849400</v>
      </c>
      <c r="H40" s="16">
        <f>武将升级!W85</f>
        <v>945667232849400</v>
      </c>
      <c r="I40" s="16">
        <f>武将升级!W130</f>
        <v>945667232849400</v>
      </c>
      <c r="J40" s="16">
        <f>武将升级!W175</f>
        <v>945667232849400</v>
      </c>
      <c r="K40" s="16">
        <f>武将升级!W220</f>
        <v>945667232849400</v>
      </c>
      <c r="M40" s="16">
        <v>37</v>
      </c>
      <c r="N40" s="16">
        <f t="shared" si="1"/>
        <v>24289163.395619325</v>
      </c>
      <c r="O40" s="16">
        <f t="shared" si="2"/>
        <v>24310995.101803135</v>
      </c>
      <c r="P40" s="16">
        <f t="shared" si="3"/>
        <v>24321651.642984726</v>
      </c>
      <c r="Q40" s="16">
        <f t="shared" si="4"/>
        <v>24257328.375529718</v>
      </c>
      <c r="R40" s="16">
        <f t="shared" si="5"/>
        <v>24173218.67336417</v>
      </c>
    </row>
    <row r="41" spans="2:18" x14ac:dyDescent="0.15">
      <c r="B41" s="16">
        <f>基础状态预期!D54</f>
        <v>156.52008914974525</v>
      </c>
      <c r="C41" s="16">
        <f>基础状态预期!D99</f>
        <v>154.95970315183646</v>
      </c>
      <c r="D41" s="16">
        <f>基础状态预期!D144</f>
        <v>154.20294442048996</v>
      </c>
      <c r="E41" s="16">
        <f>基础状态预期!D189</f>
        <v>153.15627769682186</v>
      </c>
      <c r="F41" s="16">
        <f>基础状态预期!D234</f>
        <v>152.00526961196863</v>
      </c>
      <c r="G41" s="16">
        <f>武将升级!W41</f>
        <v>945667232849400</v>
      </c>
      <c r="H41" s="16">
        <f>武将升级!W86</f>
        <v>945667232849400</v>
      </c>
      <c r="I41" s="16">
        <f>武将升级!W131</f>
        <v>945667232849400</v>
      </c>
      <c r="J41" s="16">
        <f>武将升级!W176</f>
        <v>945667232849400</v>
      </c>
      <c r="K41" s="16">
        <f>武将升级!W221</f>
        <v>945667232849400</v>
      </c>
      <c r="M41" s="16">
        <v>38</v>
      </c>
      <c r="N41" s="16">
        <f t="shared" si="1"/>
        <v>28084975.597079549</v>
      </c>
      <c r="O41" s="16">
        <f t="shared" si="2"/>
        <v>27995647.148125011</v>
      </c>
      <c r="P41" s="16">
        <f t="shared" si="3"/>
        <v>27992012.819965012</v>
      </c>
      <c r="Q41" s="16">
        <f t="shared" si="4"/>
        <v>27742075.610872682</v>
      </c>
      <c r="R41" s="16">
        <f t="shared" si="5"/>
        <v>27558667.469765633</v>
      </c>
    </row>
    <row r="42" spans="2:18" x14ac:dyDescent="0.15">
      <c r="B42" s="16">
        <f>基础状态预期!D55</f>
        <v>159.99202506384199</v>
      </c>
      <c r="C42" s="16">
        <f>基础状态预期!D100</f>
        <v>157.63974470288184</v>
      </c>
      <c r="D42" s="16">
        <f>基础状态预期!D145</f>
        <v>155.2512378743358</v>
      </c>
      <c r="E42" s="16">
        <f>基础状态预期!D190</f>
        <v>153.85863088955028</v>
      </c>
      <c r="F42" s="16">
        <f>基础状态预期!D235</f>
        <v>152.38629594951036</v>
      </c>
      <c r="G42" s="16">
        <f>武将升级!W42</f>
        <v>945667232849400</v>
      </c>
      <c r="H42" s="16">
        <f>武将升级!W87</f>
        <v>945667232849400</v>
      </c>
      <c r="I42" s="16">
        <f>武将升级!W132</f>
        <v>945667232849400</v>
      </c>
      <c r="J42" s="16">
        <f>武将升级!W177</f>
        <v>945667232849400</v>
      </c>
      <c r="K42" s="16">
        <f>武将升级!W222</f>
        <v>945667232849400</v>
      </c>
      <c r="M42" s="16">
        <v>39</v>
      </c>
      <c r="N42" s="16">
        <f t="shared" si="1"/>
        <v>31880787.798539773</v>
      </c>
      <c r="O42" s="16">
        <f t="shared" si="2"/>
        <v>31680299.194446888</v>
      </c>
      <c r="P42" s="16">
        <f t="shared" si="3"/>
        <v>31662373.996945299</v>
      </c>
      <c r="Q42" s="16">
        <f t="shared" si="4"/>
        <v>31226822.846215643</v>
      </c>
      <c r="R42" s="16">
        <f t="shared" si="5"/>
        <v>31221054.420881603</v>
      </c>
    </row>
    <row r="43" spans="2:18" x14ac:dyDescent="0.15">
      <c r="M43" s="16">
        <v>40</v>
      </c>
      <c r="N43" s="16">
        <f t="shared" si="1"/>
        <v>35676600</v>
      </c>
      <c r="O43" s="16">
        <f t="shared" si="2"/>
        <v>36040356.735286169</v>
      </c>
      <c r="P43" s="16">
        <f t="shared" si="3"/>
        <v>36063047.834441423</v>
      </c>
      <c r="Q43" s="16">
        <f t="shared" si="4"/>
        <v>36328464.743197054</v>
      </c>
      <c r="R43" s="16">
        <f t="shared" si="5"/>
        <v>36440345.98727835</v>
      </c>
    </row>
    <row r="44" spans="2:18" x14ac:dyDescent="0.15">
      <c r="M44" s="16">
        <v>41</v>
      </c>
      <c r="N44" s="16">
        <f t="shared" si="1"/>
        <v>41564812.787627071</v>
      </c>
      <c r="O44" s="16">
        <f t="shared" si="2"/>
        <v>41718287.442552216</v>
      </c>
      <c r="P44" s="16">
        <f t="shared" si="3"/>
        <v>41717154.733983628</v>
      </c>
      <c r="Q44" s="16">
        <f t="shared" si="4"/>
        <v>41689175.141409189</v>
      </c>
      <c r="R44" s="16">
        <f t="shared" si="5"/>
        <v>41659637.5536751</v>
      </c>
    </row>
    <row r="45" spans="2:18" x14ac:dyDescent="0.15">
      <c r="M45" s="16">
        <v>42</v>
      </c>
      <c r="N45" s="16">
        <f t="shared" si="1"/>
        <v>47453025.57525415</v>
      </c>
      <c r="O45" s="16">
        <f t="shared" si="2"/>
        <v>47396218.149818271</v>
      </c>
      <c r="P45" s="16">
        <f t="shared" si="3"/>
        <v>47371261.633525841</v>
      </c>
      <c r="Q45" s="16">
        <f t="shared" si="4"/>
        <v>47049885.539621323</v>
      </c>
      <c r="R45" s="16">
        <f t="shared" si="5"/>
        <v>46878929.120071851</v>
      </c>
    </row>
    <row r="46" spans="2:18" x14ac:dyDescent="0.15">
      <c r="M46" s="16">
        <v>43</v>
      </c>
      <c r="N46" s="16">
        <f t="shared" si="1"/>
        <v>53341238.362881221</v>
      </c>
      <c r="O46" s="16">
        <f t="shared" si="2"/>
        <v>53074148.857084319</v>
      </c>
      <c r="P46" s="16">
        <f t="shared" si="3"/>
        <v>53025368.533068046</v>
      </c>
      <c r="Q46" s="16">
        <f t="shared" si="4"/>
        <v>52527857.542558134</v>
      </c>
      <c r="R46" s="16">
        <f t="shared" si="5"/>
        <v>53463664.999295682</v>
      </c>
    </row>
    <row r="47" spans="2:18" x14ac:dyDescent="0.15">
      <c r="M47" s="16">
        <v>44</v>
      </c>
      <c r="N47" s="16">
        <f t="shared" si="1"/>
        <v>59593147.6775546</v>
      </c>
      <c r="O47" s="16">
        <f t="shared" si="2"/>
        <v>60741154.809254475</v>
      </c>
      <c r="P47" s="16">
        <f t="shared" si="3"/>
        <v>60887237.251718655</v>
      </c>
      <c r="Q47" s="16">
        <f t="shared" si="4"/>
        <v>61897264.80550833</v>
      </c>
      <c r="R47" s="16">
        <f t="shared" si="5"/>
        <v>62511594.258175135</v>
      </c>
    </row>
    <row r="48" spans="2:18" x14ac:dyDescent="0.15">
      <c r="M48" s="16">
        <v>45</v>
      </c>
      <c r="N48" s="16">
        <f t="shared" si="1"/>
        <v>70067248.923768461</v>
      </c>
      <c r="O48" s="16">
        <f t="shared" si="2"/>
        <v>70700253.298382446</v>
      </c>
      <c r="P48" s="16">
        <f t="shared" si="3"/>
        <v>70827675.948543131</v>
      </c>
      <c r="Q48" s="16">
        <f t="shared" si="4"/>
        <v>71266672.068458527</v>
      </c>
      <c r="R48" s="16">
        <f t="shared" si="5"/>
        <v>71559523.517054588</v>
      </c>
    </row>
    <row r="49" spans="13:18" x14ac:dyDescent="0.15">
      <c r="M49" s="16">
        <v>46</v>
      </c>
      <c r="N49" s="16">
        <f t="shared" si="1"/>
        <v>80541350.169982329</v>
      </c>
      <c r="O49" s="16">
        <f t="shared" si="2"/>
        <v>80659351.78751041</v>
      </c>
      <c r="P49" s="16">
        <f t="shared" si="3"/>
        <v>80768114.645367622</v>
      </c>
      <c r="Q49" s="16">
        <f t="shared" si="4"/>
        <v>80636079.331408724</v>
      </c>
      <c r="R49" s="16">
        <f t="shared" si="5"/>
        <v>80607452.775934041</v>
      </c>
    </row>
    <row r="50" spans="13:18" x14ac:dyDescent="0.15">
      <c r="M50" s="16">
        <v>47</v>
      </c>
      <c r="N50" s="16">
        <f t="shared" si="1"/>
        <v>91015451.416196197</v>
      </c>
      <c r="O50" s="16">
        <f t="shared" si="2"/>
        <v>90618450.276638389</v>
      </c>
      <c r="P50" s="16">
        <f t="shared" si="3"/>
        <v>90708553.342192098</v>
      </c>
      <c r="Q50" s="16">
        <f t="shared" si="4"/>
        <v>90005486.594358921</v>
      </c>
      <c r="R50" s="16">
        <f t="shared" si="5"/>
        <v>89655382.034813493</v>
      </c>
    </row>
    <row r="51" spans="13:18" x14ac:dyDescent="0.15">
      <c r="M51" s="16">
        <v>48</v>
      </c>
      <c r="N51" s="16">
        <f t="shared" si="1"/>
        <v>101489552.66241005</v>
      </c>
      <c r="O51" s="16">
        <f t="shared" si="2"/>
        <v>100577548.76576635</v>
      </c>
      <c r="P51" s="16">
        <f t="shared" si="3"/>
        <v>100648992.03901657</v>
      </c>
      <c r="Q51" s="16">
        <f t="shared" si="4"/>
        <v>99374893.857309133</v>
      </c>
      <c r="R51" s="16">
        <f t="shared" si="5"/>
        <v>98703311.293692961</v>
      </c>
    </row>
    <row r="52" spans="13:18" x14ac:dyDescent="0.15">
      <c r="M52" s="16">
        <v>49</v>
      </c>
      <c r="N52" s="16">
        <f t="shared" si="1"/>
        <v>111963653.90862392</v>
      </c>
      <c r="O52" s="16">
        <f t="shared" si="2"/>
        <v>110536647.25489432</v>
      </c>
      <c r="P52" s="16">
        <f t="shared" si="3"/>
        <v>110589430.73584107</v>
      </c>
      <c r="Q52" s="16">
        <f t="shared" si="4"/>
        <v>111039770.70469892</v>
      </c>
      <c r="R52" s="16">
        <f t="shared" si="5"/>
        <v>111968971.84787267</v>
      </c>
    </row>
    <row r="53" spans="13:18" x14ac:dyDescent="0.15">
      <c r="M53" s="16">
        <v>50</v>
      </c>
      <c r="N53" s="16">
        <f t="shared" si="1"/>
        <v>126948320.48122437</v>
      </c>
      <c r="O53" s="16">
        <f t="shared" si="2"/>
        <v>128038427.72454628</v>
      </c>
      <c r="P53" s="16">
        <f t="shared" si="3"/>
        <v>127981506.71381426</v>
      </c>
      <c r="Q53" s="16">
        <f t="shared" si="4"/>
        <v>128955667.05675195</v>
      </c>
      <c r="R53" s="16">
        <f t="shared" si="5"/>
        <v>129338109.59821023</v>
      </c>
    </row>
    <row r="54" spans="13:18" x14ac:dyDescent="0.15">
      <c r="M54" s="16">
        <v>51</v>
      </c>
      <c r="N54" s="16">
        <f t="shared" si="1"/>
        <v>147088311.85178754</v>
      </c>
      <c r="O54" s="16">
        <f t="shared" si="2"/>
        <v>147180139.37112397</v>
      </c>
      <c r="P54" s="16">
        <f t="shared" si="3"/>
        <v>147108572.05193895</v>
      </c>
      <c r="Q54" s="16">
        <f t="shared" si="4"/>
        <v>146871563.40880498</v>
      </c>
      <c r="R54" s="16">
        <f t="shared" si="5"/>
        <v>146707247.34854779</v>
      </c>
    </row>
    <row r="55" spans="13:18" x14ac:dyDescent="0.15">
      <c r="M55" s="16">
        <v>52</v>
      </c>
      <c r="N55" s="16">
        <f t="shared" si="1"/>
        <v>167228303.22235066</v>
      </c>
      <c r="O55" s="16">
        <f t="shared" si="2"/>
        <v>166321851.01770163</v>
      </c>
      <c r="P55" s="16">
        <f t="shared" si="3"/>
        <v>166235637.39006361</v>
      </c>
      <c r="Q55" s="16">
        <f t="shared" si="4"/>
        <v>164787459.760858</v>
      </c>
      <c r="R55" s="16">
        <f t="shared" si="5"/>
        <v>164076385.09888536</v>
      </c>
    </row>
    <row r="56" spans="13:18" x14ac:dyDescent="0.15">
      <c r="M56" s="16">
        <v>53</v>
      </c>
      <c r="N56" s="16">
        <f t="shared" si="1"/>
        <v>187368294.59291381</v>
      </c>
      <c r="O56" s="16">
        <f t="shared" si="2"/>
        <v>185463562.66427928</v>
      </c>
      <c r="P56" s="16">
        <f t="shared" si="3"/>
        <v>185362702.72818831</v>
      </c>
      <c r="Q56" s="16">
        <f t="shared" si="4"/>
        <v>187457935.53350061</v>
      </c>
      <c r="R56" s="16">
        <f t="shared" si="5"/>
        <v>190357425.07827693</v>
      </c>
    </row>
    <row r="57" spans="13:18" x14ac:dyDescent="0.15">
      <c r="M57" s="16">
        <v>54</v>
      </c>
      <c r="N57" s="16">
        <f t="shared" si="1"/>
        <v>217352374.62297282</v>
      </c>
      <c r="O57" s="16">
        <f t="shared" si="2"/>
        <v>221293779.46399722</v>
      </c>
      <c r="P57" s="16">
        <f t="shared" si="3"/>
        <v>221733067.20556426</v>
      </c>
      <c r="Q57" s="16">
        <f t="shared" si="4"/>
        <v>226044836.08612218</v>
      </c>
      <c r="R57" s="16">
        <f t="shared" si="5"/>
        <v>227954192.20859432</v>
      </c>
    </row>
    <row r="58" spans="13:18" x14ac:dyDescent="0.15">
      <c r="M58" s="16">
        <v>55</v>
      </c>
      <c r="N58" s="16">
        <f t="shared" si="1"/>
        <v>260229051.95915994</v>
      </c>
      <c r="O58" s="16">
        <f t="shared" si="2"/>
        <v>262024608.97752953</v>
      </c>
      <c r="P58" s="16">
        <f t="shared" si="3"/>
        <v>262761529.27371985</v>
      </c>
      <c r="Q58" s="16">
        <f t="shared" si="4"/>
        <v>264631736.63874376</v>
      </c>
      <c r="R58" s="16">
        <f t="shared" si="5"/>
        <v>265550959.33891171</v>
      </c>
    </row>
    <row r="59" spans="13:18" x14ac:dyDescent="0.15">
      <c r="M59" s="16">
        <v>56</v>
      </c>
      <c r="N59" s="16">
        <f t="shared" si="1"/>
        <v>303105729.29534709</v>
      </c>
      <c r="O59" s="16">
        <f t="shared" si="2"/>
        <v>302755438.49106181</v>
      </c>
      <c r="P59" s="16">
        <f t="shared" si="3"/>
        <v>303789991.34187543</v>
      </c>
      <c r="Q59" s="16">
        <f t="shared" si="4"/>
        <v>303218637.1913653</v>
      </c>
      <c r="R59" s="16">
        <f t="shared" si="5"/>
        <v>303147726.4692291</v>
      </c>
    </row>
    <row r="60" spans="13:18" x14ac:dyDescent="0.15">
      <c r="M60" s="16">
        <v>57</v>
      </c>
      <c r="N60" s="16">
        <f t="shared" si="1"/>
        <v>345982406.63153422</v>
      </c>
      <c r="O60" s="16">
        <f t="shared" si="2"/>
        <v>343486268.00459409</v>
      </c>
      <c r="P60" s="16">
        <f t="shared" si="3"/>
        <v>344818453.41003096</v>
      </c>
      <c r="Q60" s="16">
        <f t="shared" si="4"/>
        <v>341805537.74398685</v>
      </c>
      <c r="R60" s="16">
        <f t="shared" si="5"/>
        <v>340744493.59954649</v>
      </c>
    </row>
    <row r="61" spans="13:18" x14ac:dyDescent="0.15">
      <c r="M61" s="16">
        <v>58</v>
      </c>
      <c r="N61" s="16">
        <f t="shared" si="1"/>
        <v>388859083.96772134</v>
      </c>
      <c r="O61" s="16">
        <f t="shared" si="2"/>
        <v>384217097.51812637</v>
      </c>
      <c r="P61" s="16">
        <f t="shared" si="3"/>
        <v>385846915.47818655</v>
      </c>
      <c r="Q61" s="16">
        <f t="shared" si="4"/>
        <v>380392438.29660845</v>
      </c>
      <c r="R61" s="16">
        <f t="shared" si="5"/>
        <v>378341260.72986388</v>
      </c>
    </row>
    <row r="62" spans="13:18" x14ac:dyDescent="0.15">
      <c r="M62" s="16">
        <v>59</v>
      </c>
      <c r="N62" s="16">
        <f t="shared" si="1"/>
        <v>431735761.30390847</v>
      </c>
      <c r="O62" s="16">
        <f t="shared" si="2"/>
        <v>424947927.03165865</v>
      </c>
      <c r="P62" s="16">
        <f t="shared" si="3"/>
        <v>426875377.54634213</v>
      </c>
      <c r="Q62" s="16">
        <f t="shared" si="4"/>
        <v>436216905.14807391</v>
      </c>
      <c r="R62" s="16">
        <f t="shared" si="5"/>
        <v>440676647.78059971</v>
      </c>
    </row>
    <row r="63" spans="13:18" x14ac:dyDescent="0.15">
      <c r="M63" s="16">
        <v>60</v>
      </c>
      <c r="N63" s="16">
        <f t="shared" si="1"/>
        <v>519072183.7756421</v>
      </c>
      <c r="O63" s="16">
        <f t="shared" si="2"/>
        <v>525877744.58039045</v>
      </c>
      <c r="P63" s="16">
        <f t="shared" si="3"/>
        <v>523965832.07591355</v>
      </c>
      <c r="Q63" s="16">
        <f t="shared" si="4"/>
        <v>532540800.12646568</v>
      </c>
      <c r="R63" s="16">
        <f t="shared" si="5"/>
        <v>534623828.29315317</v>
      </c>
    </row>
    <row r="64" spans="13:18" x14ac:dyDescent="0.15">
      <c r="M64" s="16">
        <v>61</v>
      </c>
      <c r="N64" s="16">
        <f t="shared" si="1"/>
        <v>625465365.19211709</v>
      </c>
      <c r="O64" s="16">
        <f t="shared" si="2"/>
        <v>627807723.97705054</v>
      </c>
      <c r="P64" s="16">
        <f t="shared" si="3"/>
        <v>626665394.50942945</v>
      </c>
      <c r="Q64" s="16">
        <f t="shared" si="4"/>
        <v>628864695.10485744</v>
      </c>
      <c r="R64" s="16">
        <f t="shared" si="5"/>
        <v>628571008.80570662</v>
      </c>
    </row>
    <row r="65" spans="13:18" x14ac:dyDescent="0.15">
      <c r="M65" s="16">
        <v>62</v>
      </c>
      <c r="N65" s="16">
        <f t="shared" si="1"/>
        <v>731858546.60859215</v>
      </c>
      <c r="O65" s="16">
        <f t="shared" si="2"/>
        <v>729737703.37371051</v>
      </c>
      <c r="P65" s="16">
        <f t="shared" si="3"/>
        <v>729364956.94294524</v>
      </c>
      <c r="Q65" s="16">
        <f t="shared" si="4"/>
        <v>725188590.08324933</v>
      </c>
      <c r="R65" s="16">
        <f t="shared" si="5"/>
        <v>722518189.31826007</v>
      </c>
    </row>
    <row r="66" spans="13:18" x14ac:dyDescent="0.15">
      <c r="M66" s="16">
        <v>63</v>
      </c>
      <c r="N66" s="16">
        <f t="shared" si="1"/>
        <v>838251728.02506709</v>
      </c>
      <c r="O66" s="16">
        <f t="shared" si="2"/>
        <v>831667682.77037048</v>
      </c>
      <c r="P66" s="16">
        <f t="shared" si="3"/>
        <v>832064519.37646103</v>
      </c>
      <c r="Q66" s="16">
        <f t="shared" si="4"/>
        <v>821512485.06164098</v>
      </c>
      <c r="R66" s="16">
        <f t="shared" si="5"/>
        <v>816465369.83081353</v>
      </c>
    </row>
    <row r="67" spans="13:18" x14ac:dyDescent="0.15">
      <c r="M67" s="16">
        <v>64</v>
      </c>
      <c r="N67" s="16">
        <f t="shared" si="1"/>
        <v>944644909.44154215</v>
      </c>
      <c r="O67" s="16">
        <f t="shared" si="2"/>
        <v>933597662.16703057</v>
      </c>
      <c r="P67" s="16">
        <f t="shared" si="3"/>
        <v>934764081.80997682</v>
      </c>
      <c r="Q67" s="16">
        <f t="shared" si="4"/>
        <v>917836380.04003286</v>
      </c>
      <c r="R67" s="16">
        <f t="shared" si="5"/>
        <v>910412550.34336698</v>
      </c>
    </row>
    <row r="68" spans="13:18" x14ac:dyDescent="0.15">
      <c r="M68" s="16">
        <v>65</v>
      </c>
      <c r="N68" s="16">
        <f t="shared" si="1"/>
        <v>1051038090.8580172</v>
      </c>
      <c r="O68" s="16">
        <f t="shared" si="2"/>
        <v>1061800751.369104</v>
      </c>
      <c r="P68" s="16">
        <f t="shared" si="3"/>
        <v>1059432974.9844993</v>
      </c>
      <c r="Q68" s="16">
        <f t="shared" si="4"/>
        <v>1083024286.447155</v>
      </c>
      <c r="R68" s="16">
        <f t="shared" si="5"/>
        <v>1089341188.9559236</v>
      </c>
    </row>
    <row r="69" spans="13:18" x14ac:dyDescent="0.15">
      <c r="M69" s="16">
        <v>66</v>
      </c>
      <c r="N69" s="16">
        <f t="shared" ref="N69:N103" si="6">求节点(B$4:B$42,G$4:G$42,$M69)</f>
        <v>1274375040.2161131</v>
      </c>
      <c r="O69" s="16">
        <f t="shared" ref="O69:O103" si="7">求节点(C$4:C$42,H$4:H$42,$M69)</f>
        <v>1283704501.792937</v>
      </c>
      <c r="P69" s="16">
        <f t="shared" ref="P69:P103" si="8">求节点(D$4:D$42,I$4:I$42,$M69)</f>
        <v>1283607792.7335811</v>
      </c>
      <c r="Q69" s="16">
        <f t="shared" ref="Q69:Q103" si="9">求节点(E$4:E$42,J$4:J$42,$M69)</f>
        <v>1293932950.395596</v>
      </c>
      <c r="R69" s="16">
        <f t="shared" ref="R69:R103" si="10">求节点(F$4:F$42,K$4:K$42,$M69)</f>
        <v>1296155186.9231215</v>
      </c>
    </row>
    <row r="70" spans="13:18" x14ac:dyDescent="0.15">
      <c r="M70" s="16">
        <v>67</v>
      </c>
      <c r="N70" s="16">
        <f t="shared" si="6"/>
        <v>1507259543.1504884</v>
      </c>
      <c r="O70" s="16">
        <f t="shared" si="7"/>
        <v>1505608252.2167702</v>
      </c>
      <c r="P70" s="16">
        <f t="shared" si="8"/>
        <v>1507782610.4826627</v>
      </c>
      <c r="Q70" s="16">
        <f t="shared" si="9"/>
        <v>1504841614.3440373</v>
      </c>
      <c r="R70" s="16">
        <f t="shared" si="10"/>
        <v>1502969184.8903191</v>
      </c>
    </row>
    <row r="71" spans="13:18" x14ac:dyDescent="0.15">
      <c r="M71" s="16">
        <v>68</v>
      </c>
      <c r="N71" s="16">
        <f t="shared" si="6"/>
        <v>1740144046.0848639</v>
      </c>
      <c r="O71" s="16">
        <f t="shared" si="7"/>
        <v>1727512002.6406033</v>
      </c>
      <c r="P71" s="16">
        <f t="shared" si="8"/>
        <v>1731957428.2317443</v>
      </c>
      <c r="Q71" s="16">
        <f t="shared" si="9"/>
        <v>1715750278.2924786</v>
      </c>
      <c r="R71" s="16">
        <f t="shared" si="10"/>
        <v>1709783182.8575168</v>
      </c>
    </row>
    <row r="72" spans="13:18" x14ac:dyDescent="0.15">
      <c r="M72" s="16">
        <v>69</v>
      </c>
      <c r="N72" s="16">
        <f t="shared" si="6"/>
        <v>1973028549.0192394</v>
      </c>
      <c r="O72" s="16">
        <f t="shared" si="7"/>
        <v>1963072533.4613435</v>
      </c>
      <c r="P72" s="16">
        <f t="shared" si="8"/>
        <v>1956132245.9808259</v>
      </c>
      <c r="Q72" s="16">
        <f t="shared" si="9"/>
        <v>1990666743.0342867</v>
      </c>
      <c r="R72" s="16">
        <f t="shared" si="10"/>
        <v>1998363971.7868578</v>
      </c>
    </row>
    <row r="73" spans="13:18" x14ac:dyDescent="0.15">
      <c r="M73" s="16">
        <v>70</v>
      </c>
      <c r="N73" s="16">
        <f t="shared" si="6"/>
        <v>2358094057.3749456</v>
      </c>
      <c r="O73" s="16">
        <f t="shared" si="7"/>
        <v>2363336800.8630824</v>
      </c>
      <c r="P73" s="16">
        <f t="shared" si="8"/>
        <v>2362158048.2702036</v>
      </c>
      <c r="Q73" s="16">
        <f t="shared" si="9"/>
        <v>2373445076.1603265</v>
      </c>
      <c r="R73" s="16">
        <f t="shared" si="10"/>
        <v>2374948597.1065826</v>
      </c>
    </row>
    <row r="74" spans="13:18" x14ac:dyDescent="0.15">
      <c r="M74" s="16">
        <v>71</v>
      </c>
      <c r="N74" s="16">
        <f t="shared" si="6"/>
        <v>2777330225.2782335</v>
      </c>
      <c r="O74" s="16">
        <f t="shared" si="7"/>
        <v>2763601068.2648211</v>
      </c>
      <c r="P74" s="16">
        <f t="shared" si="8"/>
        <v>2771324048.7090516</v>
      </c>
      <c r="Q74" s="16">
        <f t="shared" si="9"/>
        <v>2756223409.286366</v>
      </c>
      <c r="R74" s="16">
        <f t="shared" si="10"/>
        <v>2751533222.4263072</v>
      </c>
    </row>
    <row r="75" spans="13:18" x14ac:dyDescent="0.15">
      <c r="M75" s="16">
        <v>72</v>
      </c>
      <c r="N75" s="16">
        <f t="shared" si="6"/>
        <v>3196566393.1815209</v>
      </c>
      <c r="O75" s="16">
        <f t="shared" si="7"/>
        <v>3163865335.6665602</v>
      </c>
      <c r="P75" s="16">
        <f t="shared" si="8"/>
        <v>3180490049.1478996</v>
      </c>
      <c r="Q75" s="16">
        <f t="shared" si="9"/>
        <v>3166995486.3043675</v>
      </c>
      <c r="R75" s="16">
        <f t="shared" si="10"/>
        <v>3181845153.2359896</v>
      </c>
    </row>
    <row r="76" spans="13:18" x14ac:dyDescent="0.15">
      <c r="M76" s="16">
        <v>73</v>
      </c>
      <c r="N76" s="16">
        <f t="shared" si="6"/>
        <v>3768612112.1314292</v>
      </c>
      <c r="O76" s="16">
        <f t="shared" si="7"/>
        <v>3781436065.0731306</v>
      </c>
      <c r="P76" s="16">
        <f t="shared" si="8"/>
        <v>3776208348.1934838</v>
      </c>
      <c r="Q76" s="16">
        <f t="shared" si="9"/>
        <v>3787025239.3707485</v>
      </c>
      <c r="R76" s="16">
        <f t="shared" si="10"/>
        <v>3788497366.0637074</v>
      </c>
    </row>
    <row r="77" spans="13:18" x14ac:dyDescent="0.15">
      <c r="M77" s="16">
        <v>74</v>
      </c>
      <c r="N77" s="16">
        <f t="shared" si="6"/>
        <v>4432685063.7192564</v>
      </c>
      <c r="O77" s="16">
        <f t="shared" si="7"/>
        <v>4424214424.9035139</v>
      </c>
      <c r="P77" s="16">
        <f t="shared" si="8"/>
        <v>4428125111.3746786</v>
      </c>
      <c r="Q77" s="16">
        <f t="shared" si="9"/>
        <v>4407054992.437129</v>
      </c>
      <c r="R77" s="16">
        <f t="shared" si="10"/>
        <v>4395149578.8914251</v>
      </c>
    </row>
    <row r="78" spans="13:18" x14ac:dyDescent="0.15">
      <c r="M78" s="16">
        <v>75</v>
      </c>
      <c r="N78" s="16">
        <f t="shared" si="6"/>
        <v>5097377350.4595337</v>
      </c>
      <c r="O78" s="16">
        <f t="shared" si="7"/>
        <v>5162118848.425005</v>
      </c>
      <c r="P78" s="16">
        <f t="shared" si="8"/>
        <v>5139377976.9022579</v>
      </c>
      <c r="Q78" s="16">
        <f t="shared" si="9"/>
        <v>5201658822.2215118</v>
      </c>
      <c r="R78" s="16">
        <f t="shared" si="10"/>
        <v>5215493827.5057192</v>
      </c>
    </row>
    <row r="79" spans="13:18" x14ac:dyDescent="0.15">
      <c r="M79" s="16">
        <v>76</v>
      </c>
      <c r="N79" s="16">
        <f t="shared" si="6"/>
        <v>6149730573.1050787</v>
      </c>
      <c r="O79" s="16">
        <f t="shared" si="7"/>
        <v>6170820291.9108362</v>
      </c>
      <c r="P79" s="16">
        <f t="shared" si="8"/>
        <v>6163991185.4283905</v>
      </c>
      <c r="Q79" s="16">
        <f t="shared" si="9"/>
        <v>6166278131.2141991</v>
      </c>
      <c r="R79" s="16">
        <f t="shared" si="10"/>
        <v>6161875376.046917</v>
      </c>
    </row>
    <row r="80" spans="13:18" x14ac:dyDescent="0.15">
      <c r="M80" s="16">
        <v>77</v>
      </c>
      <c r="N80" s="16">
        <f t="shared" si="6"/>
        <v>7202083795.7506237</v>
      </c>
      <c r="O80" s="16">
        <f t="shared" si="7"/>
        <v>7179521735.3966675</v>
      </c>
      <c r="P80" s="16">
        <f t="shared" si="8"/>
        <v>7188604393.954524</v>
      </c>
      <c r="Q80" s="16">
        <f t="shared" si="9"/>
        <v>7130897440.2068872</v>
      </c>
      <c r="R80" s="16">
        <f t="shared" si="10"/>
        <v>7108256924.5881157</v>
      </c>
    </row>
    <row r="81" spans="13:18" x14ac:dyDescent="0.15">
      <c r="M81" s="16">
        <v>78</v>
      </c>
      <c r="N81" s="16">
        <f t="shared" si="6"/>
        <v>8324968045.2614746</v>
      </c>
      <c r="O81" s="16">
        <f t="shared" si="7"/>
        <v>8391453991.1844969</v>
      </c>
      <c r="P81" s="16">
        <f t="shared" si="8"/>
        <v>8377247776.0010691</v>
      </c>
      <c r="Q81" s="16">
        <f t="shared" si="9"/>
        <v>8441399916.1081009</v>
      </c>
      <c r="R81" s="16">
        <f t="shared" si="10"/>
        <v>8451900096.4715977</v>
      </c>
    </row>
    <row r="82" spans="13:18" x14ac:dyDescent="0.15">
      <c r="M82" s="16">
        <v>79</v>
      </c>
      <c r="N82" s="16">
        <f t="shared" si="6"/>
        <v>9942963359.6886215</v>
      </c>
      <c r="O82" s="16">
        <f t="shared" si="7"/>
        <v>9920782873.7321148</v>
      </c>
      <c r="P82" s="16">
        <f t="shared" si="8"/>
        <v>9944815970.3748627</v>
      </c>
      <c r="Q82" s="16">
        <f t="shared" si="9"/>
        <v>9924522447.0816212</v>
      </c>
      <c r="R82" s="16">
        <f t="shared" si="10"/>
        <v>9917086848.9147148</v>
      </c>
    </row>
    <row r="83" spans="13:18" x14ac:dyDescent="0.15">
      <c r="M83" s="16">
        <v>80</v>
      </c>
      <c r="N83" s="16">
        <f t="shared" si="6"/>
        <v>11560958674.115767</v>
      </c>
      <c r="O83" s="16">
        <f t="shared" si="7"/>
        <v>11454072897.090977</v>
      </c>
      <c r="P83" s="16">
        <f t="shared" si="8"/>
        <v>11512384164.748655</v>
      </c>
      <c r="Q83" s="16">
        <f t="shared" si="9"/>
        <v>11532351483.953959</v>
      </c>
      <c r="R83" s="16">
        <f t="shared" si="10"/>
        <v>11563974694.927788</v>
      </c>
    </row>
    <row r="84" spans="13:18" x14ac:dyDescent="0.15">
      <c r="M84" s="16">
        <v>81</v>
      </c>
      <c r="N84" s="16">
        <f t="shared" si="6"/>
        <v>13690857251.93445</v>
      </c>
      <c r="O84" s="16">
        <f t="shared" si="7"/>
        <v>13682714409.286036</v>
      </c>
      <c r="P84" s="16">
        <f t="shared" si="8"/>
        <v>13697248435.02762</v>
      </c>
      <c r="Q84" s="16">
        <f t="shared" si="9"/>
        <v>13683640710.621584</v>
      </c>
      <c r="R84" s="16">
        <f t="shared" si="10"/>
        <v>13691497350.677116</v>
      </c>
    </row>
    <row r="85" spans="13:18" x14ac:dyDescent="0.15">
      <c r="M85" s="16">
        <v>82</v>
      </c>
      <c r="N85" s="16">
        <f t="shared" si="6"/>
        <v>16012135752.764055</v>
      </c>
      <c r="O85" s="16">
        <f t="shared" si="7"/>
        <v>15911355921.481094</v>
      </c>
      <c r="P85" s="16">
        <f t="shared" si="8"/>
        <v>15978344736.177305</v>
      </c>
      <c r="Q85" s="16">
        <f t="shared" si="9"/>
        <v>15902531366.319283</v>
      </c>
      <c r="R85" s="16">
        <f t="shared" si="10"/>
        <v>15931821894.08675</v>
      </c>
    </row>
    <row r="86" spans="13:18" x14ac:dyDescent="0.15">
      <c r="M86" s="16">
        <v>83</v>
      </c>
      <c r="N86" s="16">
        <f t="shared" si="6"/>
        <v>18896902433.804707</v>
      </c>
      <c r="O86" s="16">
        <f t="shared" si="7"/>
        <v>18880285830.349773</v>
      </c>
      <c r="P86" s="16">
        <f t="shared" si="8"/>
        <v>18888156398.781757</v>
      </c>
      <c r="Q86" s="16">
        <f t="shared" si="9"/>
        <v>18890500972.456291</v>
      </c>
      <c r="R86" s="16">
        <f t="shared" si="10"/>
        <v>18888662795.430973</v>
      </c>
    </row>
    <row r="87" spans="13:18" x14ac:dyDescent="0.15">
      <c r="M87" s="16">
        <v>84</v>
      </c>
      <c r="N87" s="16">
        <f t="shared" si="6"/>
        <v>22057319751.442688</v>
      </c>
      <c r="O87" s="16">
        <f t="shared" si="7"/>
        <v>22076053213.233681</v>
      </c>
      <c r="P87" s="16">
        <f t="shared" si="8"/>
        <v>21995067677.985825</v>
      </c>
      <c r="Q87" s="16">
        <f t="shared" si="9"/>
        <v>22182454258.637589</v>
      </c>
      <c r="R87" s="16">
        <f t="shared" si="10"/>
        <v>22253118976.633801</v>
      </c>
    </row>
    <row r="88" spans="13:18" x14ac:dyDescent="0.15">
      <c r="M88" s="16">
        <v>85</v>
      </c>
      <c r="N88" s="16">
        <f t="shared" si="6"/>
        <v>26365399607.314087</v>
      </c>
      <c r="O88" s="16">
        <f t="shared" si="7"/>
        <v>26385237551.086662</v>
      </c>
      <c r="P88" s="16">
        <f t="shared" si="8"/>
        <v>26366710099.005043</v>
      </c>
      <c r="Q88" s="16">
        <f t="shared" si="9"/>
        <v>26334147147.356789</v>
      </c>
      <c r="R88" s="16">
        <f t="shared" si="10"/>
        <v>26434187678.198803</v>
      </c>
    </row>
    <row r="89" spans="13:18" x14ac:dyDescent="0.15">
      <c r="M89" s="16">
        <v>86</v>
      </c>
      <c r="N89" s="16">
        <f t="shared" si="6"/>
        <v>30848365845.297607</v>
      </c>
      <c r="O89" s="16">
        <f t="shared" si="7"/>
        <v>30694421888.939648</v>
      </c>
      <c r="P89" s="16">
        <f t="shared" si="8"/>
        <v>30796240823.44582</v>
      </c>
      <c r="Q89" s="16">
        <f t="shared" si="9"/>
        <v>30485840036.075989</v>
      </c>
      <c r="R89" s="16">
        <f t="shared" si="10"/>
        <v>30615256379.763809</v>
      </c>
    </row>
    <row r="90" spans="13:18" x14ac:dyDescent="0.15">
      <c r="M90" s="16">
        <v>87</v>
      </c>
      <c r="N90" s="16">
        <f t="shared" si="6"/>
        <v>36871231259.321709</v>
      </c>
      <c r="O90" s="16">
        <f t="shared" si="7"/>
        <v>37153502589.635551</v>
      </c>
      <c r="P90" s="16">
        <f t="shared" si="8"/>
        <v>37077471814.994263</v>
      </c>
      <c r="Q90" s="16">
        <f t="shared" si="9"/>
        <v>37545125806.08432</v>
      </c>
      <c r="R90" s="16">
        <f t="shared" si="10"/>
        <v>37499152620.750175</v>
      </c>
    </row>
    <row r="91" spans="13:18" x14ac:dyDescent="0.15">
      <c r="M91" s="16">
        <v>88</v>
      </c>
      <c r="N91" s="16">
        <f t="shared" si="6"/>
        <v>44237624379.80999</v>
      </c>
      <c r="O91" s="16">
        <f t="shared" si="7"/>
        <v>44317919580.903992</v>
      </c>
      <c r="P91" s="16">
        <f t="shared" si="8"/>
        <v>44518412482.516953</v>
      </c>
      <c r="Q91" s="16">
        <f t="shared" si="9"/>
        <v>44744353479.882179</v>
      </c>
      <c r="R91" s="16">
        <f t="shared" si="10"/>
        <v>44878004295.738792</v>
      </c>
    </row>
    <row r="92" spans="13:18" x14ac:dyDescent="0.15">
      <c r="M92" s="16">
        <v>89</v>
      </c>
      <c r="N92" s="16">
        <f t="shared" si="6"/>
        <v>51604017500.298279</v>
      </c>
      <c r="O92" s="16">
        <f t="shared" si="7"/>
        <v>51482336572.172432</v>
      </c>
      <c r="P92" s="16">
        <f t="shared" si="8"/>
        <v>51959353150.039627</v>
      </c>
      <c r="Q92" s="16">
        <f t="shared" si="9"/>
        <v>51943581153.680038</v>
      </c>
      <c r="R92" s="16">
        <f t="shared" si="10"/>
        <v>52256855970.727417</v>
      </c>
    </row>
    <row r="93" spans="13:18" x14ac:dyDescent="0.15">
      <c r="M93" s="16">
        <v>90</v>
      </c>
      <c r="N93" s="16">
        <f t="shared" si="6"/>
        <v>58970410620.78656</v>
      </c>
      <c r="O93" s="16">
        <f t="shared" si="7"/>
        <v>58646753563.440872</v>
      </c>
      <c r="P93" s="16">
        <f t="shared" si="8"/>
        <v>59400293817.562317</v>
      </c>
      <c r="Q93" s="16">
        <f t="shared" si="9"/>
        <v>59142808827.47789</v>
      </c>
      <c r="R93" s="16">
        <f t="shared" si="10"/>
        <v>59635707645.716034</v>
      </c>
    </row>
    <row r="94" spans="13:18" x14ac:dyDescent="0.15">
      <c r="M94" s="16">
        <v>91</v>
      </c>
      <c r="N94" s="16">
        <f t="shared" si="6"/>
        <v>70273629955.26178</v>
      </c>
      <c r="O94" s="16">
        <f t="shared" si="7"/>
        <v>70381135543.644318</v>
      </c>
      <c r="P94" s="16">
        <f t="shared" si="8"/>
        <v>70144049202.765762</v>
      </c>
      <c r="Q94" s="16">
        <f t="shared" si="9"/>
        <v>70340406376.5634</v>
      </c>
      <c r="R94" s="16">
        <f t="shared" si="10"/>
        <v>70087317503.654312</v>
      </c>
    </row>
    <row r="95" spans="13:18" x14ac:dyDescent="0.15">
      <c r="M95" s="16">
        <v>92</v>
      </c>
      <c r="N95" s="16">
        <f t="shared" si="6"/>
        <v>82853749230.555664</v>
      </c>
      <c r="O95" s="16">
        <f t="shared" si="7"/>
        <v>82755167042.477722</v>
      </c>
      <c r="P95" s="16">
        <f t="shared" si="8"/>
        <v>83147079495.730362</v>
      </c>
      <c r="Q95" s="16">
        <f t="shared" si="9"/>
        <v>83158755742.614838</v>
      </c>
      <c r="R95" s="16">
        <f t="shared" si="10"/>
        <v>83377418355.934967</v>
      </c>
    </row>
    <row r="96" spans="13:18" x14ac:dyDescent="0.15">
      <c r="M96" s="16">
        <v>93</v>
      </c>
      <c r="N96" s="16">
        <f t="shared" si="6"/>
        <v>95433868505.849518</v>
      </c>
      <c r="O96" s="16">
        <f t="shared" si="7"/>
        <v>95129198541.311127</v>
      </c>
      <c r="P96" s="16">
        <f t="shared" si="8"/>
        <v>96150109788.694946</v>
      </c>
      <c r="Q96" s="16">
        <f t="shared" si="9"/>
        <v>95977105108.66626</v>
      </c>
      <c r="R96" s="16">
        <f t="shared" si="10"/>
        <v>96667519208.215622</v>
      </c>
    </row>
    <row r="97" spans="13:18" x14ac:dyDescent="0.15">
      <c r="M97" s="16">
        <v>94</v>
      </c>
      <c r="N97" s="16">
        <f t="shared" si="6"/>
        <v>114578642905.92589</v>
      </c>
      <c r="O97" s="16">
        <f t="shared" si="7"/>
        <v>114846080122.99228</v>
      </c>
      <c r="P97" s="16">
        <f t="shared" si="8"/>
        <v>113918950211.44893</v>
      </c>
      <c r="Q97" s="16">
        <f t="shared" si="9"/>
        <v>114105941057.03883</v>
      </c>
      <c r="R97" s="16">
        <f t="shared" si="10"/>
        <v>112895581991.2668</v>
      </c>
    </row>
    <row r="98" spans="13:18" x14ac:dyDescent="0.15">
      <c r="M98" s="16">
        <v>95</v>
      </c>
      <c r="N98" s="16">
        <f t="shared" si="6"/>
        <v>135745509657.32581</v>
      </c>
      <c r="O98" s="16">
        <f t="shared" si="7"/>
        <v>135849070571.60628</v>
      </c>
      <c r="P98" s="16">
        <f t="shared" si="8"/>
        <v>135939456921.53981</v>
      </c>
      <c r="Q98" s="16">
        <f t="shared" si="9"/>
        <v>135776163869.62498</v>
      </c>
      <c r="R98" s="16">
        <f t="shared" si="10"/>
        <v>135293434003.68935</v>
      </c>
    </row>
    <row r="99" spans="13:18" x14ac:dyDescent="0.15">
      <c r="M99" s="16">
        <v>96</v>
      </c>
      <c r="N99" s="16">
        <f t="shared" si="6"/>
        <v>156912376408.72571</v>
      </c>
      <c r="O99" s="16">
        <f t="shared" si="7"/>
        <v>156852061020.22028</v>
      </c>
      <c r="P99" s="16">
        <f t="shared" si="8"/>
        <v>157959963631.63068</v>
      </c>
      <c r="Q99" s="16">
        <f t="shared" si="9"/>
        <v>157446386682.21112</v>
      </c>
      <c r="R99" s="16">
        <f t="shared" si="10"/>
        <v>157691286016.11188</v>
      </c>
    </row>
    <row r="100" spans="13:18" x14ac:dyDescent="0.15">
      <c r="M100" s="16">
        <v>97</v>
      </c>
      <c r="N100" s="16">
        <f t="shared" si="6"/>
        <v>181111572965.13681</v>
      </c>
      <c r="O100" s="16">
        <f t="shared" si="7"/>
        <v>181405806857.11633</v>
      </c>
      <c r="P100" s="16">
        <f t="shared" si="8"/>
        <v>179980470341.72156</v>
      </c>
      <c r="Q100" s="16">
        <f t="shared" si="9"/>
        <v>179116609494.7973</v>
      </c>
      <c r="R100" s="16">
        <f t="shared" si="10"/>
        <v>180089138028.53442</v>
      </c>
    </row>
    <row r="101" spans="13:18" x14ac:dyDescent="0.15">
      <c r="M101" s="16">
        <v>98</v>
      </c>
      <c r="N101" s="16">
        <f t="shared" si="6"/>
        <v>217995203013.96164</v>
      </c>
      <c r="O101" s="16">
        <f t="shared" si="7"/>
        <v>217879204994.59479</v>
      </c>
      <c r="P101" s="16">
        <f t="shared" si="8"/>
        <v>216503832124.20773</v>
      </c>
      <c r="Q101" s="16">
        <f t="shared" si="9"/>
        <v>216896930105.47263</v>
      </c>
      <c r="R101" s="16">
        <f t="shared" si="10"/>
        <v>216799686179.70605</v>
      </c>
    </row>
    <row r="102" spans="13:18" x14ac:dyDescent="0.15">
      <c r="M102" s="16">
        <v>99</v>
      </c>
      <c r="N102" s="16">
        <f t="shared" si="6"/>
        <v>254878833062.78644</v>
      </c>
      <c r="O102" s="16">
        <f t="shared" si="7"/>
        <v>254352603132.07324</v>
      </c>
      <c r="P102" s="16">
        <f t="shared" si="8"/>
        <v>254771880377.38315</v>
      </c>
      <c r="Q102" s="16">
        <f t="shared" si="9"/>
        <v>254774522271.89005</v>
      </c>
      <c r="R102" s="16">
        <f t="shared" si="10"/>
        <v>255567149028.74597</v>
      </c>
    </row>
    <row r="103" spans="13:18" x14ac:dyDescent="0.15">
      <c r="M103" s="16">
        <v>100</v>
      </c>
      <c r="N103" s="16">
        <f t="shared" si="6"/>
        <v>291762463111.61127</v>
      </c>
      <c r="O103" s="16">
        <f t="shared" si="7"/>
        <v>290826001269.5517</v>
      </c>
      <c r="P103" s="16">
        <f t="shared" si="8"/>
        <v>293039928630.55859</v>
      </c>
      <c r="Q103" s="16">
        <f t="shared" si="9"/>
        <v>292652114438.30743</v>
      </c>
      <c r="R103" s="16">
        <f t="shared" si="10"/>
        <v>294334611877.78589</v>
      </c>
    </row>
    <row r="104" spans="13:18" x14ac:dyDescent="0.15">
      <c r="M104" s="16">
        <v>101</v>
      </c>
      <c r="N104" s="16">
        <f t="shared" ref="N104:N163" si="11">求节点(B$4:B$42,G$4:G$42,$M104)</f>
        <v>341415642822.05231</v>
      </c>
      <c r="O104" s="16">
        <f t="shared" ref="O104:O163" si="12">求节点(C$4:C$42,H$4:H$42,$M104)</f>
        <v>342537680075.05859</v>
      </c>
      <c r="P104" s="16">
        <f t="shared" ref="P104:P163" si="13">求节点(D$4:D$42,I$4:I$42,$M104)</f>
        <v>339062553659.52539</v>
      </c>
      <c r="Q104" s="16">
        <f t="shared" ref="Q104:Q163" si="14">求节点(E$4:E$42,J$4:J$42,$M104)</f>
        <v>339968665964.63019</v>
      </c>
      <c r="R104" s="16">
        <f t="shared" ref="R104:R163" si="15">求节点(F$4:F$42,K$4:K$42,$M104)</f>
        <v>335996278839.97107</v>
      </c>
    </row>
    <row r="105" spans="13:18" x14ac:dyDescent="0.15">
      <c r="M105" s="16">
        <v>102</v>
      </c>
      <c r="N105" s="16">
        <f t="shared" si="11"/>
        <v>404014707165.98865</v>
      </c>
      <c r="O105" s="16">
        <f t="shared" si="12"/>
        <v>404482643238.19965</v>
      </c>
      <c r="P105" s="16">
        <f t="shared" si="13"/>
        <v>404296613418.76501</v>
      </c>
      <c r="Q105" s="16">
        <f t="shared" si="14"/>
        <v>404414770280.52405</v>
      </c>
      <c r="R105" s="16">
        <f t="shared" si="15"/>
        <v>402834318937.23425</v>
      </c>
    </row>
    <row r="106" spans="13:18" x14ac:dyDescent="0.15">
      <c r="M106" s="16">
        <v>103</v>
      </c>
      <c r="N106" s="16">
        <f t="shared" si="11"/>
        <v>466613771509.92505</v>
      </c>
      <c r="O106" s="16">
        <f t="shared" si="12"/>
        <v>466427606401.3407</v>
      </c>
      <c r="P106" s="16">
        <f t="shared" si="13"/>
        <v>469530673178.00464</v>
      </c>
      <c r="Q106" s="16">
        <f t="shared" si="14"/>
        <v>468860874596.41791</v>
      </c>
      <c r="R106" s="16">
        <f t="shared" si="15"/>
        <v>469672359034.49744</v>
      </c>
    </row>
    <row r="107" spans="13:18" x14ac:dyDescent="0.15">
      <c r="M107" s="16">
        <v>104</v>
      </c>
      <c r="N107" s="16">
        <f t="shared" si="11"/>
        <v>529212835853.86145</v>
      </c>
      <c r="O107" s="16">
        <f t="shared" si="12"/>
        <v>528372569564.48181</v>
      </c>
      <c r="P107" s="16">
        <f t="shared" si="13"/>
        <v>534764732937.24432</v>
      </c>
      <c r="Q107" s="16">
        <f t="shared" si="14"/>
        <v>533306978912.31177</v>
      </c>
      <c r="R107" s="16">
        <f t="shared" si="15"/>
        <v>536510399131.76062</v>
      </c>
    </row>
    <row r="108" spans="13:18" x14ac:dyDescent="0.15">
      <c r="M108" s="16">
        <v>105</v>
      </c>
      <c r="N108" s="16">
        <f t="shared" si="11"/>
        <v>628994248404.27734</v>
      </c>
      <c r="O108" s="16">
        <f t="shared" si="12"/>
        <v>629077323829.95496</v>
      </c>
      <c r="P108" s="16">
        <f t="shared" si="13"/>
        <v>626100701369.59583</v>
      </c>
      <c r="Q108" s="16">
        <f t="shared" si="14"/>
        <v>627546865017.52954</v>
      </c>
      <c r="R108" s="16">
        <f t="shared" si="15"/>
        <v>624425147494.23486</v>
      </c>
    </row>
    <row r="109" spans="13:18" x14ac:dyDescent="0.15">
      <c r="M109" s="16">
        <v>106</v>
      </c>
      <c r="N109" s="16">
        <f t="shared" si="11"/>
        <v>732966779711.40015</v>
      </c>
      <c r="O109" s="16">
        <f t="shared" si="12"/>
        <v>732360052766.151</v>
      </c>
      <c r="P109" s="16">
        <f t="shared" si="13"/>
        <v>734289350012.82776</v>
      </c>
      <c r="Q109" s="16">
        <f t="shared" si="14"/>
        <v>735004915334.1969</v>
      </c>
      <c r="R109" s="16">
        <f t="shared" si="15"/>
        <v>735309344204.04956</v>
      </c>
    </row>
    <row r="110" spans="13:18" x14ac:dyDescent="0.15">
      <c r="M110" s="16">
        <v>107</v>
      </c>
      <c r="N110" s="16">
        <f t="shared" si="11"/>
        <v>836939311018.52295</v>
      </c>
      <c r="O110" s="16">
        <f t="shared" si="12"/>
        <v>835642781702.34692</v>
      </c>
      <c r="P110" s="16">
        <f t="shared" si="13"/>
        <v>842477998656.05957</v>
      </c>
      <c r="Q110" s="16">
        <f t="shared" si="14"/>
        <v>842462965650.86414</v>
      </c>
      <c r="R110" s="16">
        <f t="shared" si="15"/>
        <v>846193540913.86426</v>
      </c>
    </row>
    <row r="111" spans="13:18" x14ac:dyDescent="0.15">
      <c r="M111" s="16">
        <v>108</v>
      </c>
      <c r="N111" s="16">
        <f t="shared" si="11"/>
        <v>974877056804.91162</v>
      </c>
      <c r="O111" s="16">
        <f t="shared" si="12"/>
        <v>976465431002.9823</v>
      </c>
      <c r="P111" s="16">
        <f t="shared" si="13"/>
        <v>963738787615.12732</v>
      </c>
      <c r="Q111" s="16">
        <f t="shared" si="14"/>
        <v>964704815799.20947</v>
      </c>
      <c r="R111" s="16">
        <f t="shared" si="15"/>
        <v>957077737623.67908</v>
      </c>
    </row>
    <row r="112" spans="13:18" x14ac:dyDescent="0.15">
      <c r="M112" s="16">
        <v>109</v>
      </c>
      <c r="N112" s="16">
        <f t="shared" si="11"/>
        <v>1144375926083.6819</v>
      </c>
      <c r="O112" s="16">
        <f t="shared" si="12"/>
        <v>1144761350508.6943</v>
      </c>
      <c r="P112" s="16">
        <f t="shared" si="13"/>
        <v>1142826182906.5317</v>
      </c>
      <c r="Q112" s="16">
        <f t="shared" si="14"/>
        <v>1142397938148.834</v>
      </c>
      <c r="R112" s="16">
        <f t="shared" si="15"/>
        <v>1137931224255.7249</v>
      </c>
    </row>
    <row r="113" spans="13:18" x14ac:dyDescent="0.15">
      <c r="M113" s="16">
        <v>110</v>
      </c>
      <c r="N113" s="16">
        <f t="shared" si="11"/>
        <v>1313874795362.4521</v>
      </c>
      <c r="O113" s="16">
        <f t="shared" si="12"/>
        <v>1313057270014.4065</v>
      </c>
      <c r="P113" s="16">
        <f t="shared" si="13"/>
        <v>1321913578197.9363</v>
      </c>
      <c r="Q113" s="16">
        <f t="shared" si="14"/>
        <v>1320091060498.4583</v>
      </c>
      <c r="R113" s="16">
        <f t="shared" si="15"/>
        <v>1322925187001.4229</v>
      </c>
    </row>
    <row r="114" spans="13:18" x14ac:dyDescent="0.15">
      <c r="M114" s="16">
        <v>111</v>
      </c>
      <c r="N114" s="16">
        <f t="shared" si="11"/>
        <v>1483373664641.2224</v>
      </c>
      <c r="O114" s="16">
        <f t="shared" si="12"/>
        <v>1481353189520.1187</v>
      </c>
      <c r="P114" s="16">
        <f t="shared" si="13"/>
        <v>1501000973489.3408</v>
      </c>
      <c r="Q114" s="16">
        <f t="shared" si="14"/>
        <v>1497784182848.0828</v>
      </c>
      <c r="R114" s="16">
        <f t="shared" si="15"/>
        <v>1507919149747.1211</v>
      </c>
    </row>
    <row r="115" spans="13:18" x14ac:dyDescent="0.15">
      <c r="M115" s="16">
        <v>112</v>
      </c>
      <c r="N115" s="16">
        <f t="shared" si="11"/>
        <v>1770977899705.4036</v>
      </c>
      <c r="O115" s="16">
        <f t="shared" si="12"/>
        <v>1771459665728.9731</v>
      </c>
      <c r="P115" s="16">
        <f t="shared" si="13"/>
        <v>1761950939709.4177</v>
      </c>
      <c r="Q115" s="16">
        <f t="shared" si="14"/>
        <v>1765806374275.0049</v>
      </c>
      <c r="R115" s="16">
        <f t="shared" si="15"/>
        <v>1754497157586.0754</v>
      </c>
    </row>
    <row r="116" spans="13:18" x14ac:dyDescent="0.15">
      <c r="M116" s="16">
        <v>113</v>
      </c>
      <c r="N116" s="16">
        <f t="shared" si="11"/>
        <v>2063264713596.9849</v>
      </c>
      <c r="O116" s="16">
        <f t="shared" si="12"/>
        <v>2062414647337.8911</v>
      </c>
      <c r="P116" s="16">
        <f t="shared" si="13"/>
        <v>2069534871328.397</v>
      </c>
      <c r="Q116" s="16">
        <f t="shared" si="14"/>
        <v>2072058163092.1177</v>
      </c>
      <c r="R116" s="16">
        <f t="shared" si="15"/>
        <v>2075142311926.0901</v>
      </c>
    </row>
    <row r="117" spans="13:18" x14ac:dyDescent="0.15">
      <c r="M117" s="16">
        <v>114</v>
      </c>
      <c r="N117" s="16">
        <f t="shared" si="11"/>
        <v>2355551527488.5659</v>
      </c>
      <c r="O117" s="16">
        <f t="shared" si="12"/>
        <v>2353369628946.8091</v>
      </c>
      <c r="P117" s="16">
        <f t="shared" si="13"/>
        <v>2377118802947.376</v>
      </c>
      <c r="Q117" s="16">
        <f t="shared" si="14"/>
        <v>2378309951909.2305</v>
      </c>
      <c r="R117" s="16">
        <f t="shared" si="15"/>
        <v>2395787466266.1045</v>
      </c>
    </row>
    <row r="118" spans="13:18" x14ac:dyDescent="0.15">
      <c r="M118" s="16">
        <v>115</v>
      </c>
      <c r="N118" s="16">
        <f t="shared" si="11"/>
        <v>2758451415789.1694</v>
      </c>
      <c r="O118" s="16">
        <f t="shared" si="12"/>
        <v>2762210041865.9326</v>
      </c>
      <c r="P118" s="16">
        <f t="shared" si="13"/>
        <v>2704963307252.0532</v>
      </c>
      <c r="Q118" s="16">
        <f t="shared" si="14"/>
        <v>2704912407830.7759</v>
      </c>
      <c r="R118" s="16">
        <f t="shared" si="15"/>
        <v>2716432620606.1191</v>
      </c>
    </row>
    <row r="119" spans="13:18" x14ac:dyDescent="0.15">
      <c r="M119" s="16">
        <v>116</v>
      </c>
      <c r="N119" s="16">
        <f t="shared" si="11"/>
        <v>3275838847600.1787</v>
      </c>
      <c r="O119" s="16">
        <f t="shared" si="12"/>
        <v>3278198889183.0947</v>
      </c>
      <c r="P119" s="16">
        <f t="shared" si="13"/>
        <v>3263747607241.6582</v>
      </c>
      <c r="Q119" s="16">
        <f t="shared" si="14"/>
        <v>3262047750112.7129</v>
      </c>
      <c r="R119" s="16">
        <f t="shared" si="15"/>
        <v>3247842335315.417</v>
      </c>
    </row>
    <row r="120" spans="13:18" x14ac:dyDescent="0.15">
      <c r="M120" s="16">
        <v>117</v>
      </c>
      <c r="N120" s="16">
        <f t="shared" si="11"/>
        <v>3793226279411.1885</v>
      </c>
      <c r="O120" s="16">
        <f t="shared" si="12"/>
        <v>3794187736500.2559</v>
      </c>
      <c r="P120" s="16">
        <f t="shared" si="13"/>
        <v>3822531907231.2637</v>
      </c>
      <c r="Q120" s="16">
        <f t="shared" si="14"/>
        <v>3819183092394.6494</v>
      </c>
      <c r="R120" s="16">
        <f t="shared" si="15"/>
        <v>3833416751078.9658</v>
      </c>
    </row>
    <row r="121" spans="13:18" x14ac:dyDescent="0.15">
      <c r="M121" s="16">
        <v>118</v>
      </c>
      <c r="N121" s="16">
        <f t="shared" si="11"/>
        <v>4310613711222.1973</v>
      </c>
      <c r="O121" s="16">
        <f t="shared" si="12"/>
        <v>4310176583817.418</v>
      </c>
      <c r="P121" s="16">
        <f t="shared" si="13"/>
        <v>4381316207220.8687</v>
      </c>
      <c r="Q121" s="16">
        <f t="shared" si="14"/>
        <v>4376318434676.5864</v>
      </c>
      <c r="R121" s="16">
        <f t="shared" si="15"/>
        <v>4418991166842.5137</v>
      </c>
    </row>
    <row r="122" spans="13:18" x14ac:dyDescent="0.15">
      <c r="M122" s="16">
        <v>119</v>
      </c>
      <c r="N122" s="16">
        <f t="shared" si="11"/>
        <v>5237815226508.5498</v>
      </c>
      <c r="O122" s="16">
        <f t="shared" si="12"/>
        <v>5239421125035.3984</v>
      </c>
      <c r="P122" s="16">
        <f t="shared" si="13"/>
        <v>5194638237143.8662</v>
      </c>
      <c r="Q122" s="16">
        <f t="shared" si="14"/>
        <v>5202317750231.3711</v>
      </c>
      <c r="R122" s="16">
        <f t="shared" si="15"/>
        <v>5126596998583.2998</v>
      </c>
    </row>
    <row r="123" spans="13:18" x14ac:dyDescent="0.15">
      <c r="M123" s="16">
        <v>120</v>
      </c>
      <c r="N123" s="16">
        <f t="shared" si="11"/>
        <v>6190938196897.8408</v>
      </c>
      <c r="O123" s="16">
        <f t="shared" si="12"/>
        <v>6193756789550.3467</v>
      </c>
      <c r="P123" s="16">
        <f t="shared" si="13"/>
        <v>6214057504355.5967</v>
      </c>
      <c r="Q123" s="16">
        <f t="shared" si="14"/>
        <v>6220842213886.9004</v>
      </c>
      <c r="R123" s="16">
        <f t="shared" si="15"/>
        <v>6208890461322.1309</v>
      </c>
    </row>
    <row r="124" spans="13:18" x14ac:dyDescent="0.15">
      <c r="M124" s="16">
        <v>121</v>
      </c>
      <c r="N124" s="16">
        <f t="shared" si="11"/>
        <v>7144061167287.1309</v>
      </c>
      <c r="O124" s="16">
        <f t="shared" si="12"/>
        <v>7148092454065.2949</v>
      </c>
      <c r="P124" s="16">
        <f t="shared" si="13"/>
        <v>7233476771567.3271</v>
      </c>
      <c r="Q124" s="16">
        <f t="shared" si="14"/>
        <v>7239366677542.4307</v>
      </c>
      <c r="R124" s="16">
        <f t="shared" si="15"/>
        <v>7291183924060.9629</v>
      </c>
    </row>
    <row r="125" spans="13:18" x14ac:dyDescent="0.15">
      <c r="M125" s="16">
        <v>122</v>
      </c>
      <c r="N125" s="16">
        <f t="shared" si="11"/>
        <v>8510988908681.749</v>
      </c>
      <c r="O125" s="16">
        <f t="shared" si="12"/>
        <v>8506155205465.0996</v>
      </c>
      <c r="P125" s="16">
        <f t="shared" si="13"/>
        <v>8277834056874.6758</v>
      </c>
      <c r="Q125" s="16">
        <f t="shared" si="14"/>
        <v>8264701099874.4121</v>
      </c>
      <c r="R125" s="16">
        <f t="shared" si="15"/>
        <v>8373477386799.7939</v>
      </c>
    </row>
    <row r="126" spans="13:18" x14ac:dyDescent="0.15">
      <c r="M126" s="16">
        <v>123</v>
      </c>
      <c r="N126" s="16">
        <f t="shared" si="11"/>
        <v>10258800935059.627</v>
      </c>
      <c r="O126" s="16">
        <f t="shared" si="12"/>
        <v>10258557937651.678</v>
      </c>
      <c r="P126" s="16">
        <f t="shared" si="13"/>
        <v>10191629536112.928</v>
      </c>
      <c r="Q126" s="16">
        <f t="shared" si="14"/>
        <v>10186071183995.867</v>
      </c>
      <c r="R126" s="16">
        <f t="shared" si="15"/>
        <v>10151471489114.713</v>
      </c>
    </row>
    <row r="127" spans="13:18" x14ac:dyDescent="0.15">
      <c r="M127" s="16">
        <v>124</v>
      </c>
      <c r="N127" s="16">
        <f t="shared" si="11"/>
        <v>12006612961437.504</v>
      </c>
      <c r="O127" s="16">
        <f t="shared" si="12"/>
        <v>12010960669838.254</v>
      </c>
      <c r="P127" s="16">
        <f t="shared" si="13"/>
        <v>12105425015351.18</v>
      </c>
      <c r="Q127" s="16">
        <f t="shared" si="14"/>
        <v>12107441268117.32</v>
      </c>
      <c r="R127" s="16">
        <f t="shared" si="15"/>
        <v>12180485469850.527</v>
      </c>
    </row>
    <row r="128" spans="13:18" x14ac:dyDescent="0.15">
      <c r="M128" s="16">
        <v>125</v>
      </c>
      <c r="N128" s="16">
        <f t="shared" si="11"/>
        <v>13754424987815.383</v>
      </c>
      <c r="O128" s="16">
        <f t="shared" si="12"/>
        <v>13763363402024.832</v>
      </c>
      <c r="P128" s="16">
        <f t="shared" si="13"/>
        <v>14019220494589.43</v>
      </c>
      <c r="Q128" s="16">
        <f t="shared" si="14"/>
        <v>14028811352238.775</v>
      </c>
      <c r="R128" s="16">
        <f t="shared" si="15"/>
        <v>14209499450586.34</v>
      </c>
    </row>
    <row r="129" spans="13:18" x14ac:dyDescent="0.15">
      <c r="M129" s="16">
        <v>126</v>
      </c>
      <c r="N129" s="16">
        <f t="shared" si="11"/>
        <v>17063712002231.678</v>
      </c>
      <c r="O129" s="16">
        <f t="shared" si="12"/>
        <v>17075490726684.133</v>
      </c>
      <c r="P129" s="16">
        <f t="shared" si="13"/>
        <v>16913343979348.838</v>
      </c>
      <c r="Q129" s="16">
        <f t="shared" si="14"/>
        <v>16904775577803.047</v>
      </c>
      <c r="R129" s="16">
        <f t="shared" si="15"/>
        <v>16520306817051.48</v>
      </c>
    </row>
    <row r="130" spans="13:18" x14ac:dyDescent="0.15">
      <c r="M130" s="16">
        <v>127</v>
      </c>
      <c r="N130" s="16">
        <f t="shared" si="11"/>
        <v>20405124473829.859</v>
      </c>
      <c r="O130" s="16">
        <f t="shared" si="12"/>
        <v>20437521536532.043</v>
      </c>
      <c r="P130" s="16">
        <f t="shared" si="13"/>
        <v>20515993860839.297</v>
      </c>
      <c r="Q130" s="16">
        <f t="shared" si="14"/>
        <v>20527028409619.492</v>
      </c>
      <c r="R130" s="16">
        <f t="shared" si="15"/>
        <v>20409967473725.043</v>
      </c>
    </row>
    <row r="131" spans="13:18" x14ac:dyDescent="0.15">
      <c r="M131" s="16">
        <v>128</v>
      </c>
      <c r="N131" s="16">
        <f t="shared" si="11"/>
        <v>23746536945428.047</v>
      </c>
      <c r="O131" s="16">
        <f t="shared" si="12"/>
        <v>23799552346379.953</v>
      </c>
      <c r="P131" s="16">
        <f t="shared" si="13"/>
        <v>24118643742329.758</v>
      </c>
      <c r="Q131" s="16">
        <f t="shared" si="14"/>
        <v>24149281241435.941</v>
      </c>
      <c r="R131" s="16">
        <f t="shared" si="15"/>
        <v>24299628130398.605</v>
      </c>
    </row>
    <row r="132" spans="13:18" x14ac:dyDescent="0.15">
      <c r="M132" s="16">
        <v>129</v>
      </c>
      <c r="N132" s="16">
        <f t="shared" si="11"/>
        <v>28355891381226.008</v>
      </c>
      <c r="O132" s="16">
        <f t="shared" si="12"/>
        <v>28266096368560.426</v>
      </c>
      <c r="P132" s="16">
        <f t="shared" si="13"/>
        <v>27721293623820.219</v>
      </c>
      <c r="Q132" s="16">
        <f t="shared" si="14"/>
        <v>27771534073252.391</v>
      </c>
      <c r="R132" s="16">
        <f t="shared" si="15"/>
        <v>28189288787072.168</v>
      </c>
    </row>
    <row r="133" spans="13:18" x14ac:dyDescent="0.15">
      <c r="M133" s="16">
        <v>130</v>
      </c>
      <c r="N133" s="16">
        <f t="shared" si="11"/>
        <v>34615404038877.102</v>
      </c>
      <c r="O133" s="16">
        <f t="shared" si="12"/>
        <v>34576860403627.973</v>
      </c>
      <c r="P133" s="16">
        <f t="shared" si="13"/>
        <v>34324778952216.641</v>
      </c>
      <c r="Q133" s="16">
        <f t="shared" si="14"/>
        <v>34332537372741.32</v>
      </c>
      <c r="R133" s="16">
        <f t="shared" si="15"/>
        <v>34051728248152.691</v>
      </c>
    </row>
    <row r="134" spans="13:18" x14ac:dyDescent="0.15">
      <c r="M134" s="16">
        <v>131</v>
      </c>
      <c r="N134" s="16">
        <f t="shared" si="11"/>
        <v>40874916696528.195</v>
      </c>
      <c r="O134" s="16">
        <f t="shared" si="12"/>
        <v>40887624438695.516</v>
      </c>
      <c r="P134" s="16">
        <f t="shared" si="13"/>
        <v>41226696384598.578</v>
      </c>
      <c r="Q134" s="16">
        <f t="shared" si="14"/>
        <v>41298280250444.234</v>
      </c>
      <c r="R134" s="16">
        <f t="shared" si="15"/>
        <v>41434823681844.867</v>
      </c>
    </row>
    <row r="135" spans="13:18" x14ac:dyDescent="0.15">
      <c r="M135" s="16">
        <v>132</v>
      </c>
      <c r="N135" s="16">
        <f t="shared" si="11"/>
        <v>47134429354179.289</v>
      </c>
      <c r="O135" s="16">
        <f t="shared" si="12"/>
        <v>47198388473763.063</v>
      </c>
      <c r="P135" s="16">
        <f t="shared" si="13"/>
        <v>48128613816980.508</v>
      </c>
      <c r="Q135" s="16">
        <f t="shared" si="14"/>
        <v>48264023128147.156</v>
      </c>
      <c r="R135" s="16">
        <f t="shared" si="15"/>
        <v>48817919115537.047</v>
      </c>
    </row>
    <row r="136" spans="13:18" x14ac:dyDescent="0.15">
      <c r="M136" s="16">
        <v>133</v>
      </c>
      <c r="N136" s="16">
        <f t="shared" si="11"/>
        <v>58596777787404.883</v>
      </c>
      <c r="O136" s="16">
        <f t="shared" si="12"/>
        <v>58614641044714.109</v>
      </c>
      <c r="P136" s="16">
        <f t="shared" si="13"/>
        <v>57803317535511.883</v>
      </c>
      <c r="Q136" s="16">
        <f t="shared" si="14"/>
        <v>57581852358928.188</v>
      </c>
      <c r="R136" s="16">
        <f t="shared" si="15"/>
        <v>56201014549229.227</v>
      </c>
    </row>
    <row r="137" spans="13:18" x14ac:dyDescent="0.15">
      <c r="M137" s="16">
        <v>134</v>
      </c>
      <c r="N137" s="16">
        <f t="shared" si="11"/>
        <v>70482853019455.625</v>
      </c>
      <c r="O137" s="16">
        <f t="shared" si="12"/>
        <v>70592024389271.828</v>
      </c>
      <c r="P137" s="16">
        <f t="shared" si="13"/>
        <v>70666779779216.719</v>
      </c>
      <c r="Q137" s="16">
        <f t="shared" si="14"/>
        <v>70606420601921.594</v>
      </c>
      <c r="R137" s="16">
        <f t="shared" si="15"/>
        <v>70015669954939.094</v>
      </c>
    </row>
    <row r="138" spans="13:18" x14ac:dyDescent="0.15">
      <c r="M138" s="16">
        <v>135</v>
      </c>
      <c r="N138" s="16">
        <f t="shared" si="11"/>
        <v>82368928251506.359</v>
      </c>
      <c r="O138" s="16">
        <f t="shared" si="12"/>
        <v>82569407733829.547</v>
      </c>
      <c r="P138" s="16">
        <f t="shared" si="13"/>
        <v>83530242022921.547</v>
      </c>
      <c r="Q138" s="16">
        <f t="shared" si="14"/>
        <v>83630988844915.016</v>
      </c>
      <c r="R138" s="16">
        <f t="shared" si="15"/>
        <v>84042397004548.469</v>
      </c>
    </row>
    <row r="139" spans="13:18" x14ac:dyDescent="0.15">
      <c r="M139" s="16">
        <v>136</v>
      </c>
      <c r="N139" s="16">
        <f t="shared" si="11"/>
        <v>98553691112786.906</v>
      </c>
      <c r="O139" s="16">
        <f t="shared" si="12"/>
        <v>98251830303153.516</v>
      </c>
      <c r="P139" s="16">
        <f t="shared" si="13"/>
        <v>96393704266626.375</v>
      </c>
      <c r="Q139" s="16">
        <f t="shared" si="14"/>
        <v>96655557087908.438</v>
      </c>
      <c r="R139" s="16">
        <f t="shared" si="15"/>
        <v>98069124054157.844</v>
      </c>
    </row>
    <row r="140" spans="13:18" x14ac:dyDescent="0.15">
      <c r="M140" s="16">
        <v>137</v>
      </c>
      <c r="N140" s="16">
        <f t="shared" si="11"/>
        <v>119952505922088.17</v>
      </c>
      <c r="O140" s="16">
        <f t="shared" si="12"/>
        <v>119858134745896.56</v>
      </c>
      <c r="P140" s="16">
        <f t="shared" si="13"/>
        <v>119131405242482.83</v>
      </c>
      <c r="Q140" s="16">
        <f t="shared" si="14"/>
        <v>119133251104108.47</v>
      </c>
      <c r="R140" s="16">
        <f t="shared" si="15"/>
        <v>118124613526180.72</v>
      </c>
    </row>
    <row r="141" spans="13:18" x14ac:dyDescent="0.15">
      <c r="M141" s="16">
        <v>138</v>
      </c>
      <c r="N141" s="16">
        <f t="shared" si="11"/>
        <v>141351320731389.44</v>
      </c>
      <c r="O141" s="16">
        <f t="shared" si="12"/>
        <v>141464439188639.59</v>
      </c>
      <c r="P141" s="16">
        <f t="shared" si="13"/>
        <v>142628499338124.34</v>
      </c>
      <c r="Q141" s="16">
        <f t="shared" si="14"/>
        <v>142904347241273.56</v>
      </c>
      <c r="R141" s="16">
        <f t="shared" si="15"/>
        <v>143215093094826.38</v>
      </c>
    </row>
    <row r="142" spans="13:18" x14ac:dyDescent="0.15">
      <c r="M142" s="16">
        <v>139</v>
      </c>
      <c r="N142" s="16">
        <f t="shared" si="11"/>
        <v>162750135540690.69</v>
      </c>
      <c r="O142" s="16">
        <f t="shared" si="12"/>
        <v>163070743631382.66</v>
      </c>
      <c r="P142" s="16">
        <f t="shared" si="13"/>
        <v>166125593433765.88</v>
      </c>
      <c r="Q142" s="16">
        <f t="shared" si="14"/>
        <v>166675443378438.66</v>
      </c>
      <c r="R142" s="16">
        <f t="shared" si="15"/>
        <v>168305572663472.03</v>
      </c>
    </row>
    <row r="143" spans="13:18" x14ac:dyDescent="0.15">
      <c r="M143" s="16">
        <v>140</v>
      </c>
      <c r="N143" s="16">
        <f t="shared" si="11"/>
        <v>199425500892231.69</v>
      </c>
      <c r="O143" s="16">
        <f t="shared" si="12"/>
        <v>199413371409267.78</v>
      </c>
      <c r="P143" s="16">
        <f t="shared" si="13"/>
        <v>196879580136558.56</v>
      </c>
      <c r="Q143" s="16">
        <f t="shared" si="14"/>
        <v>195945606083186.72</v>
      </c>
      <c r="R143" s="16">
        <f t="shared" si="15"/>
        <v>193396052232117.69</v>
      </c>
    </row>
    <row r="144" spans="13:18" x14ac:dyDescent="0.15">
      <c r="M144" s="16">
        <v>141</v>
      </c>
      <c r="N144" s="16">
        <f t="shared" si="11"/>
        <v>236894536016737.13</v>
      </c>
      <c r="O144" s="16">
        <f t="shared" si="12"/>
        <v>237176886267233.47</v>
      </c>
      <c r="P144" s="16">
        <f t="shared" si="13"/>
        <v>237228173536363.25</v>
      </c>
      <c r="Q144" s="16">
        <f t="shared" si="14"/>
        <v>236867101613591.06</v>
      </c>
      <c r="R144" s="16">
        <f t="shared" si="15"/>
        <v>235442726749206.81</v>
      </c>
    </row>
    <row r="145" spans="13:18" x14ac:dyDescent="0.15">
      <c r="M145" s="16">
        <v>142</v>
      </c>
      <c r="N145" s="16">
        <f t="shared" si="11"/>
        <v>274363571141242.59</v>
      </c>
      <c r="O145" s="16">
        <f t="shared" si="12"/>
        <v>274940401125199.16</v>
      </c>
      <c r="P145" s="16">
        <f t="shared" si="13"/>
        <v>277576766936167.94</v>
      </c>
      <c r="Q145" s="16">
        <f t="shared" si="14"/>
        <v>277788597143995.41</v>
      </c>
      <c r="R145" s="16">
        <f t="shared" si="15"/>
        <v>279119919280821.69</v>
      </c>
    </row>
    <row r="146" spans="13:18" x14ac:dyDescent="0.15">
      <c r="M146" s="16">
        <v>143</v>
      </c>
      <c r="N146" s="16">
        <f t="shared" si="11"/>
        <v>323606913277375.69</v>
      </c>
      <c r="O146" s="16">
        <f t="shared" si="12"/>
        <v>322777493009701.13</v>
      </c>
      <c r="P146" s="16">
        <f t="shared" si="13"/>
        <v>317925360335972.63</v>
      </c>
      <c r="Q146" s="16">
        <f t="shared" si="14"/>
        <v>318710092674399.75</v>
      </c>
      <c r="R146" s="16">
        <f t="shared" si="15"/>
        <v>322797111812436.63</v>
      </c>
    </row>
    <row r="147" spans="13:18" x14ac:dyDescent="0.15">
      <c r="M147" s="16">
        <v>144</v>
      </c>
      <c r="N147" s="16">
        <f t="shared" si="11"/>
        <v>386318679656265.63</v>
      </c>
      <c r="O147" s="16">
        <f t="shared" si="12"/>
        <v>386154602101475.81</v>
      </c>
      <c r="P147" s="16">
        <f t="shared" si="13"/>
        <v>384354516133313.13</v>
      </c>
      <c r="Q147" s="16">
        <f t="shared" si="14"/>
        <v>384326191127364.88</v>
      </c>
      <c r="R147" s="16">
        <f t="shared" si="15"/>
        <v>380909322579983.88</v>
      </c>
    </row>
    <row r="148" spans="13:18" x14ac:dyDescent="0.15">
      <c r="M148" s="16">
        <v>145</v>
      </c>
      <c r="N148" s="16">
        <f t="shared" si="11"/>
        <v>449030446035155.63</v>
      </c>
      <c r="O148" s="16">
        <f t="shared" si="12"/>
        <v>449531711193250.5</v>
      </c>
      <c r="P148" s="16">
        <f t="shared" si="13"/>
        <v>453179605047929.25</v>
      </c>
      <c r="Q148" s="16">
        <f t="shared" si="14"/>
        <v>454003715151222.06</v>
      </c>
      <c r="R148" s="16">
        <f t="shared" si="15"/>
        <v>454632338721918.63</v>
      </c>
    </row>
    <row r="149" spans="13:18" x14ac:dyDescent="0.15">
      <c r="M149" s="16">
        <v>146</v>
      </c>
      <c r="N149" s="16">
        <f t="shared" si="11"/>
        <v>511742212414045.56</v>
      </c>
      <c r="O149" s="16">
        <f t="shared" si="12"/>
        <v>512908820285025.25</v>
      </c>
      <c r="P149" s="16">
        <f t="shared" si="13"/>
        <v>522004693962545.31</v>
      </c>
      <c r="Q149" s="16">
        <f t="shared" si="14"/>
        <v>523681239175079.25</v>
      </c>
      <c r="R149" s="16">
        <f t="shared" si="15"/>
        <v>528355354863853.38</v>
      </c>
    </row>
    <row r="150" spans="13:18" x14ac:dyDescent="0.15">
      <c r="M150" s="16">
        <v>147</v>
      </c>
      <c r="N150" s="16">
        <f t="shared" si="11"/>
        <v>616067065857307.25</v>
      </c>
      <c r="O150" s="16">
        <f t="shared" si="12"/>
        <v>616014024983584.5</v>
      </c>
      <c r="P150" s="16">
        <f t="shared" si="13"/>
        <v>605815990537545.13</v>
      </c>
      <c r="Q150" s="16">
        <f t="shared" si="14"/>
        <v>602427518188508.5</v>
      </c>
      <c r="R150" s="16">
        <f t="shared" si="15"/>
        <v>602078371005788.25</v>
      </c>
    </row>
    <row r="151" spans="13:18" x14ac:dyDescent="0.15">
      <c r="M151" s="16">
        <v>148</v>
      </c>
      <c r="N151" s="16">
        <f t="shared" si="11"/>
        <v>721531251594699.63</v>
      </c>
      <c r="O151" s="16">
        <f t="shared" si="12"/>
        <v>722494268563225.25</v>
      </c>
      <c r="P151" s="16">
        <f t="shared" si="13"/>
        <v>714394997196101.38</v>
      </c>
      <c r="Q151" s="16">
        <f t="shared" si="14"/>
        <v>709239382481141.5</v>
      </c>
      <c r="R151" s="16">
        <f t="shared" si="15"/>
        <v>697048196739934.38</v>
      </c>
    </row>
    <row r="152" spans="13:18" x14ac:dyDescent="0.15">
      <c r="M152" s="16">
        <v>149</v>
      </c>
      <c r="N152" s="16">
        <f t="shared" si="11"/>
        <v>826995437332092</v>
      </c>
      <c r="O152" s="16">
        <f t="shared" si="12"/>
        <v>828974512142866</v>
      </c>
      <c r="P152" s="16">
        <f t="shared" si="13"/>
        <v>822974003854657.63</v>
      </c>
      <c r="Q152" s="16">
        <f t="shared" si="14"/>
        <v>816051246773774.38</v>
      </c>
      <c r="R152" s="16">
        <f t="shared" si="15"/>
        <v>796640397161502.38</v>
      </c>
    </row>
    <row r="153" spans="13:18" x14ac:dyDescent="0.15">
      <c r="M153" s="16">
        <v>150</v>
      </c>
      <c r="N153" s="16">
        <f t="shared" si="11"/>
        <v>890789063261161</v>
      </c>
      <c r="O153" s="16">
        <f t="shared" si="12"/>
        <v>900429924315177.25</v>
      </c>
      <c r="P153" s="16">
        <f t="shared" si="13"/>
        <v>931553010513214</v>
      </c>
      <c r="Q153" s="16">
        <f t="shared" si="14"/>
        <v>922863111066407.25</v>
      </c>
      <c r="R153" s="16">
        <f t="shared" si="15"/>
        <v>896232597583070.38</v>
      </c>
    </row>
    <row r="154" spans="13:18" x14ac:dyDescent="0.15">
      <c r="M154" s="16">
        <v>151</v>
      </c>
      <c r="N154" s="16">
        <f t="shared" si="11"/>
        <v>908917210888832.75</v>
      </c>
      <c r="O154" s="16">
        <f t="shared" si="12"/>
        <v>915458325324779.13</v>
      </c>
      <c r="P154" s="16">
        <f t="shared" si="13"/>
        <v>945667232849400</v>
      </c>
      <c r="Q154" s="16">
        <f t="shared" si="14"/>
        <v>945667232849400</v>
      </c>
      <c r="R154" s="16">
        <f t="shared" si="15"/>
        <v>945667232849400</v>
      </c>
    </row>
    <row r="155" spans="13:18" x14ac:dyDescent="0.15">
      <c r="M155" s="16">
        <v>152</v>
      </c>
      <c r="N155" s="16">
        <f t="shared" si="11"/>
        <v>927045358516504.63</v>
      </c>
      <c r="O155" s="16">
        <f t="shared" si="12"/>
        <v>930486726334380.88</v>
      </c>
      <c r="P155" s="16">
        <f t="shared" si="13"/>
        <v>945667232849400</v>
      </c>
      <c r="Q155" s="16">
        <f t="shared" si="14"/>
        <v>945667232849400</v>
      </c>
      <c r="R155" s="16">
        <f t="shared" si="15"/>
        <v>945667232849400</v>
      </c>
    </row>
    <row r="156" spans="13:18" x14ac:dyDescent="0.15">
      <c r="M156" s="16">
        <v>153</v>
      </c>
      <c r="N156" s="16">
        <f t="shared" si="11"/>
        <v>945173506144176.5</v>
      </c>
      <c r="O156" s="16">
        <f t="shared" si="12"/>
        <v>945515127343982.75</v>
      </c>
      <c r="P156" s="16">
        <f t="shared" si="13"/>
        <v>945667232849400</v>
      </c>
      <c r="Q156" s="16">
        <f t="shared" si="14"/>
        <v>945667232849400</v>
      </c>
      <c r="R156" s="16">
        <f t="shared" si="15"/>
        <v>945667232849400</v>
      </c>
    </row>
    <row r="157" spans="13:18" x14ac:dyDescent="0.15">
      <c r="M157" s="16">
        <v>154</v>
      </c>
      <c r="N157" s="16">
        <f t="shared" si="11"/>
        <v>945667232849400</v>
      </c>
      <c r="O157" s="16">
        <f t="shared" si="12"/>
        <v>945667232849400</v>
      </c>
      <c r="P157" s="16">
        <f t="shared" si="13"/>
        <v>945667232849400</v>
      </c>
      <c r="Q157" s="16">
        <f t="shared" si="14"/>
        <v>945667232849400</v>
      </c>
      <c r="R157" s="16">
        <f t="shared" si="15"/>
        <v>945667232849400</v>
      </c>
    </row>
    <row r="158" spans="13:18" x14ac:dyDescent="0.15">
      <c r="M158" s="16">
        <v>155</v>
      </c>
      <c r="N158" s="16">
        <f t="shared" si="11"/>
        <v>945667232849400</v>
      </c>
      <c r="O158" s="16">
        <f t="shared" si="12"/>
        <v>945667232849400</v>
      </c>
      <c r="P158" s="16">
        <f t="shared" si="13"/>
        <v>945667232849400</v>
      </c>
      <c r="Q158" s="16">
        <f t="shared" si="14"/>
        <v>945667232849400</v>
      </c>
      <c r="R158" s="16">
        <f t="shared" si="15"/>
        <v>945667232849400</v>
      </c>
    </row>
    <row r="159" spans="13:18" x14ac:dyDescent="0.15">
      <c r="M159" s="16">
        <v>156</v>
      </c>
      <c r="N159" s="16">
        <f t="shared" si="11"/>
        <v>945667232849400</v>
      </c>
      <c r="O159" s="16">
        <f t="shared" si="12"/>
        <v>945667232849400</v>
      </c>
      <c r="P159" s="16">
        <f t="shared" si="13"/>
        <v>945667232849400</v>
      </c>
      <c r="Q159" s="16">
        <f t="shared" si="14"/>
        <v>945667232849400</v>
      </c>
      <c r="R159" s="16">
        <f t="shared" si="15"/>
        <v>945667232849400</v>
      </c>
    </row>
    <row r="160" spans="13:18" x14ac:dyDescent="0.15">
      <c r="M160" s="16">
        <v>157</v>
      </c>
      <c r="N160" s="16">
        <f t="shared" si="11"/>
        <v>945667232849400</v>
      </c>
      <c r="O160" s="16">
        <f t="shared" si="12"/>
        <v>945667232849400</v>
      </c>
      <c r="P160" s="16">
        <f t="shared" si="13"/>
        <v>945667232849400</v>
      </c>
      <c r="Q160" s="16">
        <f t="shared" si="14"/>
        <v>945667232849400</v>
      </c>
      <c r="R160" s="16">
        <f t="shared" si="15"/>
        <v>945667232849400</v>
      </c>
    </row>
    <row r="161" spans="13:18" x14ac:dyDescent="0.15">
      <c r="M161" s="16">
        <v>158</v>
      </c>
      <c r="N161" s="16">
        <f t="shared" si="11"/>
        <v>945667232849400</v>
      </c>
      <c r="O161" s="16">
        <f t="shared" si="12"/>
        <v>945667232849400</v>
      </c>
      <c r="P161" s="16">
        <f t="shared" si="13"/>
        <v>945667232849400</v>
      </c>
      <c r="Q161" s="16">
        <f t="shared" si="14"/>
        <v>945667232849400</v>
      </c>
      <c r="R161" s="16">
        <f t="shared" si="15"/>
        <v>945667232849400</v>
      </c>
    </row>
    <row r="162" spans="13:18" x14ac:dyDescent="0.15">
      <c r="M162" s="16">
        <v>159</v>
      </c>
      <c r="N162" s="16">
        <f t="shared" si="11"/>
        <v>945667232849400</v>
      </c>
      <c r="O162" s="16">
        <f t="shared" si="12"/>
        <v>945667232849400</v>
      </c>
      <c r="P162" s="16">
        <f t="shared" si="13"/>
        <v>945667232849400</v>
      </c>
      <c r="Q162" s="16">
        <f t="shared" si="14"/>
        <v>945667232849400</v>
      </c>
      <c r="R162" s="16">
        <f t="shared" si="15"/>
        <v>945667232849400</v>
      </c>
    </row>
    <row r="163" spans="13:18" x14ac:dyDescent="0.15">
      <c r="M163" s="16">
        <v>160</v>
      </c>
      <c r="N163" s="16">
        <f t="shared" si="11"/>
        <v>945667232849400</v>
      </c>
      <c r="O163" s="16">
        <f t="shared" si="12"/>
        <v>945667232849400</v>
      </c>
      <c r="P163" s="16">
        <f t="shared" si="13"/>
        <v>945667232849400</v>
      </c>
      <c r="Q163" s="16">
        <f t="shared" si="14"/>
        <v>945667232849400</v>
      </c>
      <c r="R163" s="16">
        <f t="shared" si="15"/>
        <v>945667232849400</v>
      </c>
    </row>
  </sheetData>
  <mergeCells count="3">
    <mergeCell ref="B2:F2"/>
    <mergeCell ref="G2:K2"/>
    <mergeCell ref="N2:R2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B2:BC163"/>
  <sheetViews>
    <sheetView topLeftCell="Z1" workbookViewId="0">
      <selection activeCell="AM22" sqref="AM22"/>
    </sheetView>
  </sheetViews>
  <sheetFormatPr defaultColWidth="7.5" defaultRowHeight="11.25" x14ac:dyDescent="0.15"/>
  <cols>
    <col min="1" max="16384" width="7.5" style="16"/>
  </cols>
  <sheetData>
    <row r="2" spans="2:55" x14ac:dyDescent="0.15">
      <c r="B2" s="203" t="s">
        <v>478</v>
      </c>
      <c r="C2" s="203"/>
      <c r="D2" s="203"/>
      <c r="E2" s="203"/>
      <c r="F2" s="203"/>
      <c r="G2" s="203" t="s">
        <v>219</v>
      </c>
      <c r="H2" s="203"/>
      <c r="I2" s="203"/>
      <c r="J2" s="203"/>
      <c r="K2" s="203"/>
      <c r="L2" s="203" t="s">
        <v>221</v>
      </c>
      <c r="M2" s="203"/>
      <c r="N2" s="203"/>
      <c r="Q2" s="203" t="s">
        <v>220</v>
      </c>
      <c r="R2" s="203"/>
      <c r="S2" s="203"/>
      <c r="T2" s="203"/>
      <c r="U2" s="203"/>
      <c r="X2" s="203" t="s">
        <v>262</v>
      </c>
      <c r="Y2" s="203"/>
      <c r="Z2" s="203"/>
      <c r="AA2" s="203"/>
      <c r="AB2" s="203"/>
      <c r="AO2" s="203" t="s">
        <v>266</v>
      </c>
      <c r="AP2" s="203"/>
      <c r="AQ2" s="203"/>
      <c r="AR2" s="203"/>
      <c r="AS2" s="203"/>
      <c r="AT2" s="203" t="s">
        <v>267</v>
      </c>
      <c r="AU2" s="203"/>
      <c r="AV2" s="203"/>
      <c r="AW2" s="203"/>
      <c r="AX2" s="203"/>
      <c r="AY2" s="203" t="s">
        <v>268</v>
      </c>
      <c r="AZ2" s="203"/>
      <c r="BA2" s="203"/>
      <c r="BB2" s="203"/>
      <c r="BC2" s="203"/>
    </row>
    <row r="3" spans="2:55" x14ac:dyDescent="0.15">
      <c r="B3" s="16" t="s">
        <v>215</v>
      </c>
      <c r="C3" s="16" t="s">
        <v>217</v>
      </c>
      <c r="D3" s="16" t="s">
        <v>216</v>
      </c>
      <c r="E3" s="16" t="s">
        <v>78</v>
      </c>
      <c r="F3" s="16" t="s">
        <v>218</v>
      </c>
      <c r="G3" s="16" t="s">
        <v>215</v>
      </c>
      <c r="H3" s="16" t="s">
        <v>217</v>
      </c>
      <c r="I3" s="16" t="s">
        <v>216</v>
      </c>
      <c r="J3" s="16" t="s">
        <v>78</v>
      </c>
      <c r="K3" s="16" t="s">
        <v>218</v>
      </c>
      <c r="L3" s="16" t="s">
        <v>212</v>
      </c>
      <c r="M3" s="16" t="s">
        <v>213</v>
      </c>
      <c r="N3" s="16" t="s">
        <v>214</v>
      </c>
      <c r="P3" s="16" t="s">
        <v>478</v>
      </c>
      <c r="Q3" s="16" t="s">
        <v>215</v>
      </c>
      <c r="R3" s="16" t="s">
        <v>217</v>
      </c>
      <c r="S3" s="16" t="s">
        <v>216</v>
      </c>
      <c r="T3" s="16" t="s">
        <v>78</v>
      </c>
      <c r="U3" s="16" t="s">
        <v>218</v>
      </c>
      <c r="X3" s="203" t="s">
        <v>260</v>
      </c>
      <c r="Y3" s="203"/>
      <c r="Z3" s="203"/>
      <c r="AA3" s="203"/>
      <c r="AB3" s="203"/>
      <c r="AC3" s="203" t="s">
        <v>261</v>
      </c>
      <c r="AD3" s="203"/>
      <c r="AE3" s="203"/>
      <c r="AF3" s="203"/>
      <c r="AG3" s="203"/>
      <c r="AH3" s="203" t="s">
        <v>297</v>
      </c>
      <c r="AI3" s="203"/>
      <c r="AJ3" s="203"/>
      <c r="AK3" s="203"/>
      <c r="AL3" s="203"/>
      <c r="AN3" s="16" t="s">
        <v>478</v>
      </c>
      <c r="AO3" s="16" t="s">
        <v>215</v>
      </c>
      <c r="AP3" s="16" t="s">
        <v>76</v>
      </c>
      <c r="AQ3" s="16" t="s">
        <v>216</v>
      </c>
      <c r="AR3" s="16" t="s">
        <v>78</v>
      </c>
      <c r="AS3" s="16" t="s">
        <v>79</v>
      </c>
      <c r="AT3" s="16" t="s">
        <v>215</v>
      </c>
      <c r="AU3" s="16" t="s">
        <v>76</v>
      </c>
      <c r="AV3" s="16" t="s">
        <v>216</v>
      </c>
      <c r="AW3" s="16" t="s">
        <v>78</v>
      </c>
      <c r="AX3" s="16" t="s">
        <v>79</v>
      </c>
      <c r="AY3" s="16" t="s">
        <v>215</v>
      </c>
      <c r="AZ3" s="16" t="s">
        <v>76</v>
      </c>
      <c r="BA3" s="16" t="s">
        <v>216</v>
      </c>
      <c r="BB3" s="16" t="s">
        <v>78</v>
      </c>
      <c r="BC3" s="16" t="s">
        <v>79</v>
      </c>
    </row>
    <row r="4" spans="2:55" x14ac:dyDescent="0.15">
      <c r="B4" s="16">
        <f>基础状态预期!D17</f>
        <v>10</v>
      </c>
      <c r="C4" s="16">
        <f>基础状态预期!D62</f>
        <v>9.9592453074578113</v>
      </c>
      <c r="D4" s="16">
        <f>基础状态预期!D107</f>
        <v>10.099965341977441</v>
      </c>
      <c r="E4" s="16">
        <f>基础状态预期!D152</f>
        <v>10.00263241450434</v>
      </c>
      <c r="F4" s="16">
        <f>基础状态预期!D197</f>
        <v>10.040470049930473</v>
      </c>
      <c r="G4" s="16">
        <f>武将升星!AD4+武将进阶!Y4+武将觉醒!S5</f>
        <v>132362.35349539161</v>
      </c>
      <c r="H4" s="16">
        <f>武将升星!AD49+武将进阶!Y49+武将觉醒!S50</f>
        <v>140130.78629542881</v>
      </c>
      <c r="I4" s="16">
        <f>武将升星!AD94+武将进阶!Y94+武将觉醒!S95</f>
        <v>156668.99587326415</v>
      </c>
      <c r="J4" s="16">
        <f>武将升星!AD139+武将进阶!Y139+武将觉醒!S140</f>
        <v>174036.31290512509</v>
      </c>
      <c r="K4" s="16">
        <f>武将升星!AD184+武将进阶!Y184+武将觉醒!S185</f>
        <v>185161.65402408602</v>
      </c>
      <c r="L4" s="23">
        <f>武将升星!AD4/$G4</f>
        <v>3.2957660393546077E-2</v>
      </c>
      <c r="M4" s="23">
        <f>武将进阶!Y4/$G4</f>
        <v>0.96704233960645392</v>
      </c>
      <c r="N4" s="23">
        <f>武将觉醒!S5/$G4</f>
        <v>0</v>
      </c>
      <c r="O4" s="23"/>
      <c r="P4" s="16">
        <v>1</v>
      </c>
      <c r="Q4" s="16">
        <f t="shared" ref="Q4:Q35" si="0">求节点(B$4:B$42,G$4:G$42,$P4)</f>
        <v>13236.235349539158</v>
      </c>
      <c r="R4" s="16">
        <f t="shared" ref="R4:R35" si="1">求节点(C$4:C$42,H$4:H$42,$P4)</f>
        <v>14070.422202623551</v>
      </c>
      <c r="S4" s="16">
        <f t="shared" ref="S4:S35" si="2">求节点(D$4:D$42,I$4:I$42,$P4)</f>
        <v>15511.834998296195</v>
      </c>
      <c r="T4" s="16">
        <f t="shared" ref="T4:T35" si="3">求节点(E$4:E$42,J$4:J$42,$P4)</f>
        <v>17399.051139054471</v>
      </c>
      <c r="U4" s="16">
        <f t="shared" ref="U4:U35" si="4">求节点(F$4:F$42,K$4:K$42,$P4)</f>
        <v>18441.532428590668</v>
      </c>
      <c r="X4" s="16" t="s">
        <v>215</v>
      </c>
      <c r="Y4" s="16" t="s">
        <v>76</v>
      </c>
      <c r="Z4" s="16" t="s">
        <v>216</v>
      </c>
      <c r="AA4" s="16" t="s">
        <v>78</v>
      </c>
      <c r="AB4" s="16" t="s">
        <v>79</v>
      </c>
      <c r="AC4" s="16" t="s">
        <v>215</v>
      </c>
      <c r="AD4" s="16" t="s">
        <v>76</v>
      </c>
      <c r="AE4" s="16" t="s">
        <v>216</v>
      </c>
      <c r="AF4" s="16" t="s">
        <v>78</v>
      </c>
      <c r="AG4" s="16" t="s">
        <v>79</v>
      </c>
      <c r="AH4" s="16" t="s">
        <v>215</v>
      </c>
      <c r="AI4" s="16" t="s">
        <v>76</v>
      </c>
      <c r="AJ4" s="16" t="s">
        <v>216</v>
      </c>
      <c r="AK4" s="16" t="s">
        <v>78</v>
      </c>
      <c r="AL4" s="16" t="s">
        <v>79</v>
      </c>
      <c r="AN4" s="16">
        <v>1</v>
      </c>
      <c r="AO4" s="16">
        <f t="shared" ref="AO4:AO35" si="5">求节点(B$4:B$42,X$5:X$42,$AN4)</f>
        <v>436.23534953916123</v>
      </c>
      <c r="AP4" s="16">
        <f t="shared" ref="AP4:AP35" si="6">求节点(C$4:C$42,Y$5:Y$42,$AN4)</f>
        <v>542.33071849550015</v>
      </c>
      <c r="AQ4" s="16">
        <f t="shared" ref="AQ4:AQ35" si="7">求节点(D$4:D$42,Z$5:Z$42,$AN4)</f>
        <v>942.87249471135692</v>
      </c>
      <c r="AR4" s="16">
        <f t="shared" ref="AR4:AR35" si="8">求节点(E$4:E$42,AA$5:AA$42,$AN4)</f>
        <v>0</v>
      </c>
      <c r="AS4" s="16">
        <f t="shared" ref="AS4:AS35" si="9">求节点(F$4:F$42,AB$5:AB$42,$AN4)</f>
        <v>0</v>
      </c>
      <c r="AT4" s="16">
        <f t="shared" ref="AT4:AT35" si="10">求节点(B$4:B$42,AC$5:AC$42,$AN4)</f>
        <v>12800</v>
      </c>
      <c r="AU4" s="16">
        <f t="shared" ref="AU4:AU35" si="11">求节点(C$4:C$42,AD$5:AD$42,$AN4)</f>
        <v>12800</v>
      </c>
      <c r="AV4" s="16">
        <f t="shared" ref="AV4:AV35" si="12">求节点(D$4:D$42,AE$5:AE$42,$AN4)</f>
        <v>12799.999999999985</v>
      </c>
      <c r="AW4" s="16">
        <f t="shared" ref="AW4:AW35" si="13">求节点(E$4:E$42,AF$5:AF$42,$AN4)</f>
        <v>14400</v>
      </c>
      <c r="AX4" s="16">
        <f t="shared" ref="AX4:AX35" si="14">求节点(F$4:F$42,AG$5:AG$42,$AN4)</f>
        <v>14400.000000000015</v>
      </c>
      <c r="AY4" s="16">
        <f t="shared" ref="AY4:AY35" si="15">求节点(B$4:B$42,AH$5:AH$42,$AN4)</f>
        <v>0</v>
      </c>
      <c r="AZ4" s="16">
        <f t="shared" ref="AZ4:AZ35" si="16">求节点(C$4:C$42,AI$5:AI$42,$AN4)</f>
        <v>728.09148412805189</v>
      </c>
      <c r="BA4" s="16">
        <f t="shared" ref="BA4:BA35" si="17">求节点(D$4:D$42,AJ$5:AJ$42,$AN4)</f>
        <v>1768.9625035848276</v>
      </c>
      <c r="BB4" s="16">
        <f t="shared" ref="BB4:BB35" si="18">求节点(E$4:E$42,AK$5:AK$42,$AN4)</f>
        <v>2999.0511390544925</v>
      </c>
      <c r="BC4" s="16">
        <f t="shared" ref="BC4:BC35" si="19">求节点(F$4:F$42,AL$5:AL$42,$AN4)</f>
        <v>4041.5324285906463</v>
      </c>
    </row>
    <row r="5" spans="2:55" x14ac:dyDescent="0.15">
      <c r="B5" s="16">
        <f>基础状态预期!D18</f>
        <v>20</v>
      </c>
      <c r="C5" s="16">
        <f>基础状态预期!D63</f>
        <v>19.766822802328868</v>
      </c>
      <c r="D5" s="16">
        <f>基础状态预期!D108</f>
        <v>19.800198258084681</v>
      </c>
      <c r="E5" s="16">
        <f>基础状态预期!D153</f>
        <v>19.43005414991557</v>
      </c>
      <c r="F5" s="16">
        <f>基础状态预期!D198</f>
        <v>19.288856680060892</v>
      </c>
      <c r="G5" s="16">
        <f>武将升星!AD5+武将进阶!Y5+武将觉醒!S6</f>
        <v>412362.35349539161</v>
      </c>
      <c r="H5" s="16">
        <f>武将升星!AD50+武将进阶!Y50+武将觉醒!S51</f>
        <v>410043.4530168022</v>
      </c>
      <c r="I5" s="16">
        <f>武将升星!AD95+武将进阶!Y95+武将觉醒!S96</f>
        <v>414645.83443490788</v>
      </c>
      <c r="J5" s="16">
        <f>武将升星!AD140+武将进阶!Y140+武将觉醒!S141</f>
        <v>414839.79967359739</v>
      </c>
      <c r="K5" s="16">
        <f>武将升星!AD185+武将进阶!Y185+武将觉醒!S186</f>
        <v>428123.34386638826</v>
      </c>
      <c r="L5" s="23">
        <f>武将升星!AD5/$G5</f>
        <v>1.0578932481139711E-2</v>
      </c>
      <c r="M5" s="23">
        <f>武将进阶!Y5/$G5</f>
        <v>0.69841487118978374</v>
      </c>
      <c r="N5" s="23">
        <f>武将觉醒!S6/$G5</f>
        <v>0.29100619632907654</v>
      </c>
      <c r="O5" s="23"/>
      <c r="P5" s="16">
        <v>2</v>
      </c>
      <c r="Q5" s="16">
        <f t="shared" si="0"/>
        <v>26472.470699078316</v>
      </c>
      <c r="R5" s="16">
        <f t="shared" si="1"/>
        <v>28140.844405247102</v>
      </c>
      <c r="S5" s="16">
        <f t="shared" si="2"/>
        <v>31023.669996592376</v>
      </c>
      <c r="T5" s="16">
        <f t="shared" si="3"/>
        <v>34798.10227810897</v>
      </c>
      <c r="U5" s="16">
        <f t="shared" si="4"/>
        <v>36883.064857181307</v>
      </c>
      <c r="X5" s="16">
        <f>武将升星!AD4</f>
        <v>4362.3534953916133</v>
      </c>
      <c r="Y5" s="16">
        <f>武将升星!AD49</f>
        <v>5401.2046632665324</v>
      </c>
      <c r="Z5" s="16">
        <f>武将升星!AD94</f>
        <v>9522.9795184885061</v>
      </c>
      <c r="AA5" s="16">
        <f>武将升星!AD139</f>
        <v>0</v>
      </c>
      <c r="AB5" s="16">
        <f>武将升星!AD184</f>
        <v>0</v>
      </c>
      <c r="AC5" s="16">
        <f>武将进阶!Y4</f>
        <v>128000</v>
      </c>
      <c r="AD5" s="16">
        <f>武将进阶!Y49</f>
        <v>127478.33993546</v>
      </c>
      <c r="AE5" s="16">
        <f>武将进阶!Y94</f>
        <v>129279.55637731124</v>
      </c>
      <c r="AF5" s="16">
        <f>武将进阶!Y139</f>
        <v>144037.90676886248</v>
      </c>
      <c r="AG5" s="16">
        <f>武将进阶!Y184</f>
        <v>144582.76871899882</v>
      </c>
      <c r="AH5" s="16">
        <f>武将觉醒!S5</f>
        <v>0</v>
      </c>
      <c r="AI5" s="16">
        <f>武将觉醒!S50</f>
        <v>7251.2416967022891</v>
      </c>
      <c r="AJ5" s="16">
        <f>武将觉醒!S95</f>
        <v>17866.459977464408</v>
      </c>
      <c r="AK5" s="16">
        <f>武将觉醒!S140</f>
        <v>29998.406136262623</v>
      </c>
      <c r="AL5" s="16">
        <f>武将觉醒!S185</f>
        <v>40578.885305087184</v>
      </c>
      <c r="AN5" s="16">
        <v>2</v>
      </c>
      <c r="AO5" s="16">
        <f t="shared" si="5"/>
        <v>872.47069907832247</v>
      </c>
      <c r="AP5" s="16">
        <f t="shared" si="6"/>
        <v>1084.6614369910003</v>
      </c>
      <c r="AQ5" s="16">
        <f t="shared" si="7"/>
        <v>1885.744989422712</v>
      </c>
      <c r="AR5" s="16">
        <f t="shared" si="8"/>
        <v>0</v>
      </c>
      <c r="AS5" s="16">
        <f t="shared" si="9"/>
        <v>0</v>
      </c>
      <c r="AT5" s="16">
        <f t="shared" si="10"/>
        <v>25600</v>
      </c>
      <c r="AU5" s="16">
        <f t="shared" si="11"/>
        <v>25600</v>
      </c>
      <c r="AV5" s="16">
        <f t="shared" si="12"/>
        <v>25599.999999999985</v>
      </c>
      <c r="AW5" s="16">
        <f t="shared" si="13"/>
        <v>28799.999999999985</v>
      </c>
      <c r="AX5" s="16">
        <f t="shared" si="14"/>
        <v>28800.000000000015</v>
      </c>
      <c r="AY5" s="16">
        <f t="shared" si="15"/>
        <v>0</v>
      </c>
      <c r="AZ5" s="16">
        <f t="shared" si="16"/>
        <v>1456.1829682561029</v>
      </c>
      <c r="BA5" s="16">
        <f t="shared" si="17"/>
        <v>3537.925007169657</v>
      </c>
      <c r="BB5" s="16">
        <f t="shared" si="18"/>
        <v>5998.102278108985</v>
      </c>
      <c r="BC5" s="16">
        <f t="shared" si="19"/>
        <v>8083.0648571812999</v>
      </c>
    </row>
    <row r="6" spans="2:55" x14ac:dyDescent="0.15">
      <c r="B6" s="16">
        <f>基础状态预期!D19</f>
        <v>28.071211008105138</v>
      </c>
      <c r="C6" s="16">
        <f>基础状态预期!D64</f>
        <v>27.773265580596355</v>
      </c>
      <c r="D6" s="16">
        <f>基础状态预期!D109</f>
        <v>27.769105021676069</v>
      </c>
      <c r="E6" s="16">
        <f>基础状态预期!D154</f>
        <v>27.324610510337703</v>
      </c>
      <c r="F6" s="16">
        <f>基础状态预期!D199</f>
        <v>27.144641112884834</v>
      </c>
      <c r="G6" s="16">
        <f>武将升星!AD6+武将进阶!Y6+武将觉醒!S7</f>
        <v>661264.10756224778</v>
      </c>
      <c r="H6" s="16">
        <f>武将升星!AD51+武将进阶!Y51+武将觉醒!S52</f>
        <v>649900.05515022343</v>
      </c>
      <c r="I6" s="16">
        <f>武将升星!AD96+武将进阶!Y96+武将觉醒!S97</f>
        <v>667941.21415816247</v>
      </c>
      <c r="J6" s="16">
        <f>武将升星!AD141+武将进阶!Y141+武将觉醒!S142</f>
        <v>685785.2046506817</v>
      </c>
      <c r="K6" s="16">
        <f>武将升星!AD186+武将进阶!Y186+武将觉醒!S187</f>
        <v>874661.40402011189</v>
      </c>
      <c r="L6" s="23">
        <f>武将升星!AD6/$G6</f>
        <v>6.5969911953537644E-3</v>
      </c>
      <c r="M6" s="23">
        <f>武将进阶!Y6/$G6</f>
        <v>0.81193240027217883</v>
      </c>
      <c r="N6" s="23">
        <f>武将觉醒!S7/$G6</f>
        <v>0.18147060853246727</v>
      </c>
      <c r="O6" s="23"/>
      <c r="P6" s="16">
        <v>3</v>
      </c>
      <c r="Q6" s="16">
        <f t="shared" si="0"/>
        <v>39708.706048617474</v>
      </c>
      <c r="R6" s="16">
        <f t="shared" si="1"/>
        <v>42211.266607870653</v>
      </c>
      <c r="S6" s="16">
        <f t="shared" si="2"/>
        <v>46535.504994888557</v>
      </c>
      <c r="T6" s="16">
        <f t="shared" si="3"/>
        <v>52197.153417163456</v>
      </c>
      <c r="U6" s="16">
        <f t="shared" si="4"/>
        <v>55324.597285771961</v>
      </c>
      <c r="X6" s="16">
        <f>武将升星!AD5</f>
        <v>4362.3534953916133</v>
      </c>
      <c r="Y6" s="16">
        <f>武将升星!AD50</f>
        <v>5401.2046632665324</v>
      </c>
      <c r="Z6" s="16">
        <f>武将升星!AD95</f>
        <v>9522.9795184885061</v>
      </c>
      <c r="AA6" s="16">
        <f>武将升星!AD140</f>
        <v>15047.019914813172</v>
      </c>
      <c r="AB6" s="16">
        <f>武将升星!AD185</f>
        <v>30363.807673511361</v>
      </c>
      <c r="AC6" s="16">
        <f>武将进阶!Y5</f>
        <v>288000</v>
      </c>
      <c r="AD6" s="16">
        <f>武将进阶!Y50</f>
        <v>284642.24835353566</v>
      </c>
      <c r="AE6" s="16">
        <f>武将进阶!Y95</f>
        <v>285122.85491641937</v>
      </c>
      <c r="AF6" s="16">
        <f>武将进阶!Y140</f>
        <v>279792.77975878422</v>
      </c>
      <c r="AG6" s="16">
        <f>武将进阶!Y185</f>
        <v>277759.53619287687</v>
      </c>
      <c r="AH6" s="16">
        <f>武将觉醒!S6</f>
        <v>120000</v>
      </c>
      <c r="AI6" s="16">
        <f>武将觉醒!S51</f>
        <v>120000</v>
      </c>
      <c r="AJ6" s="16">
        <f>武将觉醒!S96</f>
        <v>120000</v>
      </c>
      <c r="AK6" s="16">
        <f>武将觉醒!S141</f>
        <v>120000</v>
      </c>
      <c r="AL6" s="16">
        <f>武将觉醒!S186</f>
        <v>120000</v>
      </c>
      <c r="AN6" s="16">
        <v>3</v>
      </c>
      <c r="AO6" s="16">
        <f t="shared" si="5"/>
        <v>1308.7060486174837</v>
      </c>
      <c r="AP6" s="16">
        <f t="shared" si="6"/>
        <v>1626.9921554865005</v>
      </c>
      <c r="AQ6" s="16">
        <f t="shared" si="7"/>
        <v>2828.6174841340689</v>
      </c>
      <c r="AR6" s="16">
        <f t="shared" si="8"/>
        <v>0</v>
      </c>
      <c r="AS6" s="16">
        <f t="shared" si="9"/>
        <v>0</v>
      </c>
      <c r="AT6" s="16">
        <f t="shared" si="10"/>
        <v>38400</v>
      </c>
      <c r="AU6" s="16">
        <f t="shared" si="11"/>
        <v>38400</v>
      </c>
      <c r="AV6" s="16">
        <f t="shared" si="12"/>
        <v>38399.999999999985</v>
      </c>
      <c r="AW6" s="16">
        <f t="shared" si="13"/>
        <v>43199.999999999985</v>
      </c>
      <c r="AX6" s="16">
        <f t="shared" si="14"/>
        <v>43200.000000000015</v>
      </c>
      <c r="AY6" s="16">
        <f t="shared" si="15"/>
        <v>0</v>
      </c>
      <c r="AZ6" s="16">
        <f t="shared" si="16"/>
        <v>2184.2744523841548</v>
      </c>
      <c r="BA6" s="16">
        <f t="shared" si="17"/>
        <v>5306.8875107544845</v>
      </c>
      <c r="BB6" s="16">
        <f t="shared" si="18"/>
        <v>8997.1534171634776</v>
      </c>
      <c r="BC6" s="16">
        <f t="shared" si="19"/>
        <v>12124.597285771946</v>
      </c>
    </row>
    <row r="7" spans="2:55" x14ac:dyDescent="0.15">
      <c r="B7" s="16">
        <f>基础状态预期!D20</f>
        <v>34.585942742481357</v>
      </c>
      <c r="C7" s="16">
        <f>基础状态预期!D65</f>
        <v>34.250806171891597</v>
      </c>
      <c r="D7" s="16">
        <f>基础状态预期!D110</f>
        <v>34.192155176139416</v>
      </c>
      <c r="E7" s="16">
        <f>基础状态预期!D155</f>
        <v>33.672145166817529</v>
      </c>
      <c r="F7" s="16">
        <f>基础状态预期!D200</f>
        <v>33.399598377161809</v>
      </c>
      <c r="G7" s="16">
        <f>武将升星!AD7+武将进阶!Y7+武将觉醒!S8</f>
        <v>1851508.7710359422</v>
      </c>
      <c r="H7" s="16">
        <f>武将升星!AD52+武将进阶!Y52+武将觉醒!S53</f>
        <v>2579738.6257389765</v>
      </c>
      <c r="I7" s="16">
        <f>武将升星!AD97+武将进阶!Y97+武将觉醒!S98</f>
        <v>3535445.9177437453</v>
      </c>
      <c r="J7" s="16">
        <f>武将升星!AD142+武将进阶!Y142+武将觉醒!S143</f>
        <v>4204815.7800548747</v>
      </c>
      <c r="K7" s="16">
        <f>武将升星!AD187+武将进阶!Y187+武将觉醒!S188</f>
        <v>4235401.2466654014</v>
      </c>
      <c r="L7" s="23">
        <f>武将升星!AD7/$G7</f>
        <v>1.4251673144153352E-2</v>
      </c>
      <c r="M7" s="23">
        <f>武将进阶!Y7/$G7</f>
        <v>0.49265243364554334</v>
      </c>
      <c r="N7" s="23">
        <f>武将觉醒!S8/$G7</f>
        <v>0.49309589321030323</v>
      </c>
      <c r="O7" s="23"/>
      <c r="P7" s="16">
        <v>4</v>
      </c>
      <c r="Q7" s="16">
        <f t="shared" si="0"/>
        <v>52944.941398156632</v>
      </c>
      <c r="R7" s="16">
        <f t="shared" si="1"/>
        <v>56281.688810494205</v>
      </c>
      <c r="S7" s="16">
        <f t="shared" si="2"/>
        <v>62047.339993184738</v>
      </c>
      <c r="T7" s="16">
        <f t="shared" si="3"/>
        <v>69596.204556217941</v>
      </c>
      <c r="U7" s="16">
        <f t="shared" si="4"/>
        <v>73766.129714362614</v>
      </c>
      <c r="X7" s="16">
        <f>武将升星!AD6</f>
        <v>4362.3534953916133</v>
      </c>
      <c r="Y7" s="16">
        <f>武将升星!AD51</f>
        <v>10159.957707873293</v>
      </c>
      <c r="Z7" s="16">
        <f>武将升星!AD96</f>
        <v>28440.764909621066</v>
      </c>
      <c r="AA7" s="16">
        <f>武将升星!AD141</f>
        <v>71887.639255230024</v>
      </c>
      <c r="AB7" s="16">
        <f>武将升星!AD186</f>
        <v>107880.95236312899</v>
      </c>
      <c r="AC7" s="16">
        <f>武将进阶!Y6</f>
        <v>536901.75406685611</v>
      </c>
      <c r="AD7" s="16">
        <f>武将进阶!Y51</f>
        <v>519740.09744235012</v>
      </c>
      <c r="AE7" s="16">
        <f>武将进阶!Y96</f>
        <v>519500.44924854138</v>
      </c>
      <c r="AF7" s="16">
        <f>武将进阶!Y141</f>
        <v>493897.56539545173</v>
      </c>
      <c r="AG7" s="16">
        <f>武将进阶!Y186</f>
        <v>483531.3281021663</v>
      </c>
      <c r="AH7" s="16">
        <f>武将觉醒!S7</f>
        <v>120000</v>
      </c>
      <c r="AI7" s="16">
        <f>武将觉醒!S52</f>
        <v>120000</v>
      </c>
      <c r="AJ7" s="16">
        <f>武将觉醒!S97</f>
        <v>120000</v>
      </c>
      <c r="AK7" s="16">
        <f>武将觉醒!S142</f>
        <v>120000</v>
      </c>
      <c r="AL7" s="16">
        <f>武将觉醒!S187</f>
        <v>283249.12355481659</v>
      </c>
      <c r="AN7" s="16">
        <v>4</v>
      </c>
      <c r="AO7" s="16">
        <f t="shared" si="5"/>
        <v>1744.9413981566449</v>
      </c>
      <c r="AP7" s="16">
        <f t="shared" si="6"/>
        <v>2169.3228739820006</v>
      </c>
      <c r="AQ7" s="16">
        <f t="shared" si="7"/>
        <v>3771.489978845425</v>
      </c>
      <c r="AR7" s="16">
        <f t="shared" si="8"/>
        <v>0</v>
      </c>
      <c r="AS7" s="16">
        <f t="shared" si="9"/>
        <v>0</v>
      </c>
      <c r="AT7" s="16">
        <f t="shared" si="10"/>
        <v>51200</v>
      </c>
      <c r="AU7" s="16">
        <f t="shared" si="11"/>
        <v>51200</v>
      </c>
      <c r="AV7" s="16">
        <f t="shared" si="12"/>
        <v>51199.999999999985</v>
      </c>
      <c r="AW7" s="16">
        <f t="shared" si="13"/>
        <v>57599.999999999985</v>
      </c>
      <c r="AX7" s="16">
        <f t="shared" si="14"/>
        <v>57600.000000000015</v>
      </c>
      <c r="AY7" s="16">
        <f t="shared" si="15"/>
        <v>0</v>
      </c>
      <c r="AZ7" s="16">
        <f t="shared" si="16"/>
        <v>2912.3659365122057</v>
      </c>
      <c r="BA7" s="16">
        <f t="shared" si="17"/>
        <v>7075.8500143393121</v>
      </c>
      <c r="BB7" s="16">
        <f t="shared" si="18"/>
        <v>11996.204556217966</v>
      </c>
      <c r="BC7" s="16">
        <f t="shared" si="19"/>
        <v>16166.129714362596</v>
      </c>
    </row>
    <row r="8" spans="2:55" x14ac:dyDescent="0.15">
      <c r="B8" s="16">
        <f>基础状态预期!D21</f>
        <v>40</v>
      </c>
      <c r="C8" s="16">
        <f>基础状态预期!D66</f>
        <v>39.661158518499626</v>
      </c>
      <c r="D8" s="16">
        <f>基础状态预期!D111</f>
        <v>39.631851677253941</v>
      </c>
      <c r="E8" s="16">
        <f>基础状态预期!D156</f>
        <v>39.138098927718012</v>
      </c>
      <c r="F8" s="16">
        <f>基础状态预期!D201</f>
        <v>38.848984787984186</v>
      </c>
      <c r="G8" s="16">
        <f>武将升星!AD8+武将进阶!Y8+武将觉醒!S9</f>
        <v>4395308.0266135149</v>
      </c>
      <c r="H8" s="16">
        <f>武将升星!AD53+武将进阶!Y53+武将觉醒!S54</f>
        <v>4402010.8485750072</v>
      </c>
      <c r="I8" s="16">
        <f>武将升星!AD98+武将进阶!Y98+武将觉醒!S99</f>
        <v>4484048.5699050715</v>
      </c>
      <c r="J8" s="16">
        <f>武将升星!AD143+武将进阶!Y143+武将觉醒!S144</f>
        <v>4832699.4909292068</v>
      </c>
      <c r="K8" s="16">
        <f>武将升星!AD188+武将进阶!Y188+武将觉醒!S189</f>
        <v>4834949.8215864133</v>
      </c>
      <c r="L8" s="23">
        <f>武将升星!AD8/$G8</f>
        <v>1.167336311877246E-2</v>
      </c>
      <c r="M8" s="23">
        <f>武将进阶!Y8/$G8</f>
        <v>0.27847877613780447</v>
      </c>
      <c r="N8" s="23">
        <f>武将觉醒!S9/$G8</f>
        <v>0.7098478607434231</v>
      </c>
      <c r="O8" s="23"/>
      <c r="P8" s="16">
        <v>5</v>
      </c>
      <c r="Q8" s="16">
        <f t="shared" si="0"/>
        <v>66181.176747695805</v>
      </c>
      <c r="R8" s="16">
        <f t="shared" si="1"/>
        <v>70352.111013117756</v>
      </c>
      <c r="S8" s="16">
        <f t="shared" si="2"/>
        <v>77559.174991480919</v>
      </c>
      <c r="T8" s="16">
        <f t="shared" si="3"/>
        <v>86995.255695272441</v>
      </c>
      <c r="U8" s="16">
        <f t="shared" si="4"/>
        <v>92207.662142953268</v>
      </c>
      <c r="X8" s="16">
        <f>武将升星!AD7</f>
        <v>26387.097828337315</v>
      </c>
      <c r="Y8" s="16">
        <f>武将升星!AD52</f>
        <v>40152.099768757427</v>
      </c>
      <c r="Z8" s="16">
        <f>武将升星!AD97</f>
        <v>82955.521349129383</v>
      </c>
      <c r="AA8" s="16">
        <f>武将升星!AD142</f>
        <v>225300.218446185</v>
      </c>
      <c r="AB8" s="16">
        <f>武将升星!AD187</f>
        <v>271584.38014088158</v>
      </c>
      <c r="AC8" s="16">
        <f>武将进阶!Y7</f>
        <v>912150.30196692608</v>
      </c>
      <c r="AD8" s="16">
        <f>武将进阶!Y52</f>
        <v>892846.43550095579</v>
      </c>
      <c r="AE8" s="16">
        <f>武将进阶!Y97</f>
        <v>889468.13814563036</v>
      </c>
      <c r="AF8" s="16">
        <f>武将进阶!Y142</f>
        <v>859515.56160868972</v>
      </c>
      <c r="AG8" s="16">
        <f>武将进阶!Y187</f>
        <v>843816.86652452033</v>
      </c>
      <c r="AH8" s="16">
        <f>武将觉醒!S8</f>
        <v>912971.37124067871</v>
      </c>
      <c r="AI8" s="16">
        <f>武将觉醒!S53</f>
        <v>1646740.0904692635</v>
      </c>
      <c r="AJ8" s="16">
        <f>武将觉醒!S98</f>
        <v>2563022.2582489853</v>
      </c>
      <c r="AK8" s="16">
        <f>武将觉醒!S143</f>
        <v>3120000</v>
      </c>
      <c r="AL8" s="16">
        <f>武将觉醒!S188</f>
        <v>3120000</v>
      </c>
      <c r="AN8" s="16">
        <v>5</v>
      </c>
      <c r="AO8" s="16">
        <f t="shared" si="5"/>
        <v>2181.1767476958066</v>
      </c>
      <c r="AP8" s="16">
        <f t="shared" si="6"/>
        <v>2711.6535924775008</v>
      </c>
      <c r="AQ8" s="16">
        <f t="shared" si="7"/>
        <v>4714.362473556781</v>
      </c>
      <c r="AR8" s="16">
        <f t="shared" si="8"/>
        <v>0</v>
      </c>
      <c r="AS8" s="16">
        <f t="shared" si="9"/>
        <v>0</v>
      </c>
      <c r="AT8" s="16">
        <f t="shared" si="10"/>
        <v>64000</v>
      </c>
      <c r="AU8" s="16">
        <f t="shared" si="11"/>
        <v>64000</v>
      </c>
      <c r="AV8" s="16">
        <f t="shared" si="12"/>
        <v>63999.999999999993</v>
      </c>
      <c r="AW8" s="16">
        <f t="shared" si="13"/>
        <v>71999.999999999985</v>
      </c>
      <c r="AX8" s="16">
        <f t="shared" si="14"/>
        <v>72000.000000000015</v>
      </c>
      <c r="AY8" s="16">
        <f t="shared" si="15"/>
        <v>0</v>
      </c>
      <c r="AZ8" s="16">
        <f t="shared" si="16"/>
        <v>3640.4574206402572</v>
      </c>
      <c r="BA8" s="16">
        <f t="shared" si="17"/>
        <v>8844.8125179241397</v>
      </c>
      <c r="BB8" s="16">
        <f t="shared" si="18"/>
        <v>14995.255695272459</v>
      </c>
      <c r="BC8" s="16">
        <f t="shared" si="19"/>
        <v>20207.662142953246</v>
      </c>
    </row>
    <row r="9" spans="2:55" x14ac:dyDescent="0.15">
      <c r="B9" s="16">
        <f>基础状态预期!D22</f>
        <v>43.920692243099523</v>
      </c>
      <c r="C9" s="16">
        <f>基础状态预期!D67</f>
        <v>43.535389560453282</v>
      </c>
      <c r="D9" s="16">
        <f>基础状态预期!D112</f>
        <v>43.484929789964411</v>
      </c>
      <c r="E9" s="16">
        <f>基础状态预期!D157</f>
        <v>42.970748198558951</v>
      </c>
      <c r="F9" s="16">
        <f>基础状态预期!D202</f>
        <v>42.643360270022924</v>
      </c>
      <c r="G9" s="16">
        <f>武将升星!AD9+武将进阶!Y9+武将觉醒!S10</f>
        <v>4661273.1456887741</v>
      </c>
      <c r="H9" s="16">
        <f>武将升星!AD54+武将进阶!Y54+武将觉醒!S55</f>
        <v>4679991.614330722</v>
      </c>
      <c r="I9" s="16">
        <f>武将升星!AD99+武将进阶!Y99+武将觉醒!S100</f>
        <v>4838258.8615770992</v>
      </c>
      <c r="J9" s="16">
        <f>武将升星!AD144+武将进阶!Y144+武将觉醒!S145</f>
        <v>5335615.2373094736</v>
      </c>
      <c r="K9" s="16">
        <f>武将升星!AD189+武将进阶!Y189+武将觉醒!S190</f>
        <v>5333564.3550910912</v>
      </c>
      <c r="L9" s="23">
        <f>武将升星!AD9/$G9</f>
        <v>1.9617231092929052E-2</v>
      </c>
      <c r="M9" s="23">
        <f>武将进阶!Y9/$G9</f>
        <v>0.31103774181169508</v>
      </c>
      <c r="N9" s="23">
        <f>武将觉醒!S10/$G9</f>
        <v>0.6693450270953758</v>
      </c>
      <c r="O9" s="23"/>
      <c r="P9" s="16">
        <v>6</v>
      </c>
      <c r="Q9" s="16">
        <f t="shared" si="0"/>
        <v>79417.412097234963</v>
      </c>
      <c r="R9" s="16">
        <f t="shared" si="1"/>
        <v>84422.533215741307</v>
      </c>
      <c r="S9" s="16">
        <f t="shared" si="2"/>
        <v>93071.009989777114</v>
      </c>
      <c r="T9" s="16">
        <f t="shared" si="3"/>
        <v>104394.30683432693</v>
      </c>
      <c r="U9" s="16">
        <f t="shared" si="4"/>
        <v>110649.19457154392</v>
      </c>
      <c r="X9" s="16">
        <f>武将升星!AD8</f>
        <v>51308.026613514769</v>
      </c>
      <c r="Y9" s="16">
        <f>武将升星!AD53</f>
        <v>77528.117909427965</v>
      </c>
      <c r="Z9" s="16">
        <f>武将升星!AD98</f>
        <v>161253.91329524448</v>
      </c>
      <c r="AA9" s="16">
        <f>武将升星!AD143</f>
        <v>538344.99269264983</v>
      </c>
      <c r="AB9" s="16">
        <f>武将升星!AD188</f>
        <v>557248.29779852438</v>
      </c>
      <c r="AC9" s="16">
        <f>武将进阶!Y8</f>
        <v>1224000.0000000002</v>
      </c>
      <c r="AD9" s="16">
        <f>武将进阶!Y53</f>
        <v>1204482.7306655787</v>
      </c>
      <c r="AE9" s="16">
        <f>武将进阶!Y98</f>
        <v>1202794.6566098267</v>
      </c>
      <c r="AF9" s="16">
        <f>武将进阶!Y143</f>
        <v>1174354.4982365575</v>
      </c>
      <c r="AG9" s="16">
        <f>武将进阶!Y188</f>
        <v>1157701.5237878892</v>
      </c>
      <c r="AH9" s="16">
        <f>武将觉醒!S9</f>
        <v>3120000</v>
      </c>
      <c r="AI9" s="16">
        <f>武将觉醒!S54</f>
        <v>3120000</v>
      </c>
      <c r="AJ9" s="16">
        <f>武将觉醒!S99</f>
        <v>3120000</v>
      </c>
      <c r="AK9" s="16">
        <f>武将觉醒!S144</f>
        <v>3120000</v>
      </c>
      <c r="AL9" s="16">
        <f>武将觉醒!S189</f>
        <v>3120000</v>
      </c>
      <c r="AN9" s="16">
        <v>6</v>
      </c>
      <c r="AO9" s="16">
        <f t="shared" si="5"/>
        <v>2617.4120972349679</v>
      </c>
      <c r="AP9" s="16">
        <f t="shared" si="6"/>
        <v>3253.9843109730004</v>
      </c>
      <c r="AQ9" s="16">
        <f t="shared" si="7"/>
        <v>5657.2349682681379</v>
      </c>
      <c r="AR9" s="16">
        <f t="shared" si="8"/>
        <v>0</v>
      </c>
      <c r="AS9" s="16">
        <f t="shared" si="9"/>
        <v>0</v>
      </c>
      <c r="AT9" s="16">
        <f t="shared" si="10"/>
        <v>76800</v>
      </c>
      <c r="AU9" s="16">
        <f t="shared" si="11"/>
        <v>76800</v>
      </c>
      <c r="AV9" s="16">
        <f t="shared" si="12"/>
        <v>76800</v>
      </c>
      <c r="AW9" s="16">
        <f t="shared" si="13"/>
        <v>86399.999999999985</v>
      </c>
      <c r="AX9" s="16">
        <f t="shared" si="14"/>
        <v>86400</v>
      </c>
      <c r="AY9" s="16">
        <f t="shared" si="15"/>
        <v>0</v>
      </c>
      <c r="AZ9" s="16">
        <f t="shared" si="16"/>
        <v>4368.5489047683086</v>
      </c>
      <c r="BA9" s="16">
        <f t="shared" si="17"/>
        <v>10613.775021508969</v>
      </c>
      <c r="BB9" s="16">
        <f t="shared" si="18"/>
        <v>17994.306834326952</v>
      </c>
      <c r="BC9" s="16">
        <f t="shared" si="19"/>
        <v>24249.194571543896</v>
      </c>
    </row>
    <row r="10" spans="2:55" x14ac:dyDescent="0.15">
      <c r="B10" s="16">
        <f>基础状态预期!D23</f>
        <v>49.533352307096472</v>
      </c>
      <c r="C10" s="16">
        <f>基础状态预期!D68</f>
        <v>49.178590903134719</v>
      </c>
      <c r="D10" s="16">
        <f>基础状态预期!D113</f>
        <v>49.18886033229559</v>
      </c>
      <c r="E10" s="16">
        <f>基础状态预期!D158</f>
        <v>48.731413734867289</v>
      </c>
      <c r="F10" s="16">
        <f>基础状态预期!D203</f>
        <v>48.493134765265182</v>
      </c>
      <c r="G10" s="16">
        <f>武将升星!AD10+武将进阶!Y10+武将觉醒!S11</f>
        <v>5071789.2200143691</v>
      </c>
      <c r="H10" s="16">
        <f>武将升星!AD55+武将进阶!Y55+武将觉醒!S56</f>
        <v>5150474.6362859719</v>
      </c>
      <c r="I10" s="16">
        <f>武将升星!AD100+武将进阶!Y100+武将觉醒!S101</f>
        <v>5417450.0217256928</v>
      </c>
      <c r="J10" s="16">
        <f>武将升星!AD145+武将进阶!Y145+武将觉醒!S146</f>
        <v>6558899.5451716995</v>
      </c>
      <c r="K10" s="16">
        <f>武将升星!AD190+武将进阶!Y190+武将觉醒!S191</f>
        <v>6617012.5010319259</v>
      </c>
      <c r="L10" s="23">
        <f>武将升星!AD10/$G10</f>
        <v>3.5227829741139388E-2</v>
      </c>
      <c r="M10" s="23">
        <f>武将进阶!Y10/$G10</f>
        <v>0.34960464955673631</v>
      </c>
      <c r="N10" s="23">
        <f>武将觉醒!S11/$G10</f>
        <v>0.61516752070212422</v>
      </c>
      <c r="O10" s="23"/>
      <c r="P10" s="16">
        <v>7</v>
      </c>
      <c r="Q10" s="16">
        <f t="shared" si="0"/>
        <v>92653.647446774121</v>
      </c>
      <c r="R10" s="16">
        <f t="shared" si="1"/>
        <v>98492.955418364872</v>
      </c>
      <c r="S10" s="16">
        <f t="shared" si="2"/>
        <v>108582.84498807328</v>
      </c>
      <c r="T10" s="16">
        <f t="shared" si="3"/>
        <v>121793.35797338141</v>
      </c>
      <c r="U10" s="16">
        <f t="shared" si="4"/>
        <v>129090.72700013456</v>
      </c>
      <c r="X10" s="16">
        <f>武将升星!AD9</f>
        <v>91441.272486241025</v>
      </c>
      <c r="Y10" s="16">
        <f>武将升星!AD54</f>
        <v>132353.17564861226</v>
      </c>
      <c r="Z10" s="16">
        <f>武将升星!AD99</f>
        <v>293526.90567514859</v>
      </c>
      <c r="AA10" s="16">
        <f>武将升星!AD144</f>
        <v>820500.14107247838</v>
      </c>
      <c r="AB10" s="16">
        <f>武将升星!AD189</f>
        <v>837306.80353777064</v>
      </c>
      <c r="AC10" s="16">
        <f>武将进阶!Y9</f>
        <v>1449831.8732025325</v>
      </c>
      <c r="AD10" s="16">
        <f>武将进阶!Y54</f>
        <v>1427638.4386821094</v>
      </c>
      <c r="AE10" s="16">
        <f>武将进阶!Y99</f>
        <v>1424731.9559019501</v>
      </c>
      <c r="AF10" s="16">
        <f>武将进阶!Y144</f>
        <v>1395115.0962369954</v>
      </c>
      <c r="AG10" s="16">
        <f>武将进阶!Y189</f>
        <v>1376257.5515533204</v>
      </c>
      <c r="AH10" s="16">
        <f>武将觉醒!S10</f>
        <v>3120000</v>
      </c>
      <c r="AI10" s="16">
        <f>武将觉醒!S55</f>
        <v>3120000</v>
      </c>
      <c r="AJ10" s="16">
        <f>武将觉醒!S100</f>
        <v>3120000</v>
      </c>
      <c r="AK10" s="16">
        <f>武将觉醒!S145</f>
        <v>3120000</v>
      </c>
      <c r="AL10" s="16">
        <f>武将觉醒!S190</f>
        <v>3120000</v>
      </c>
      <c r="AN10" s="16">
        <v>7</v>
      </c>
      <c r="AO10" s="16">
        <f t="shared" si="5"/>
        <v>3053.6474467741291</v>
      </c>
      <c r="AP10" s="16">
        <f t="shared" si="6"/>
        <v>3796.3150294685006</v>
      </c>
      <c r="AQ10" s="16">
        <f t="shared" si="7"/>
        <v>6600.107462979493</v>
      </c>
      <c r="AR10" s="16">
        <f t="shared" si="8"/>
        <v>0</v>
      </c>
      <c r="AS10" s="16">
        <f t="shared" si="9"/>
        <v>0</v>
      </c>
      <c r="AT10" s="16">
        <f t="shared" si="10"/>
        <v>89600</v>
      </c>
      <c r="AU10" s="16">
        <f t="shared" si="11"/>
        <v>89600</v>
      </c>
      <c r="AV10" s="16">
        <f t="shared" si="12"/>
        <v>89600</v>
      </c>
      <c r="AW10" s="16">
        <f t="shared" si="13"/>
        <v>100799.99999999999</v>
      </c>
      <c r="AX10" s="16">
        <f t="shared" si="14"/>
        <v>100800</v>
      </c>
      <c r="AY10" s="16">
        <f t="shared" si="15"/>
        <v>0</v>
      </c>
      <c r="AZ10" s="16">
        <f t="shared" si="16"/>
        <v>5096.6403888963596</v>
      </c>
      <c r="BA10" s="16">
        <f t="shared" si="17"/>
        <v>12382.737525093797</v>
      </c>
      <c r="BB10" s="16">
        <f t="shared" si="18"/>
        <v>20993.35797338144</v>
      </c>
      <c r="BC10" s="16">
        <f t="shared" si="19"/>
        <v>28290.727000134546</v>
      </c>
    </row>
    <row r="11" spans="2:55" x14ac:dyDescent="0.15">
      <c r="B11" s="16">
        <f>基础状态预期!D24</f>
        <v>53.567039423670657</v>
      </c>
      <c r="C11" s="16">
        <f>基础状态预期!D69</f>
        <v>53.226994578658328</v>
      </c>
      <c r="D11" s="16">
        <f>基础状态预期!D114</f>
        <v>53.212684955585161</v>
      </c>
      <c r="E11" s="16">
        <f>基础状态预期!D159</f>
        <v>52.769987980532711</v>
      </c>
      <c r="F11" s="16">
        <f>基础状态预期!D204</f>
        <v>52.559419343629337</v>
      </c>
      <c r="G11" s="16">
        <f>武将升星!AD11+武将进阶!Y11+武将觉醒!S12</f>
        <v>10073192.214456327</v>
      </c>
      <c r="H11" s="16">
        <f>武将升星!AD56+武将进阶!Y56+武将觉醒!S57</f>
        <v>9908558.131728448</v>
      </c>
      <c r="I11" s="16">
        <f>武将升星!AD101+武将进阶!Y101+武将觉醒!S102</f>
        <v>10160400.062824097</v>
      </c>
      <c r="J11" s="16">
        <f>武将升星!AD146+武将进阶!Y146+武将觉醒!S147</f>
        <v>11448543.311606532</v>
      </c>
      <c r="K11" s="16">
        <f>武将升星!AD191+武将进阶!Y191+武将觉醒!S192</f>
        <v>11518326.726273285</v>
      </c>
      <c r="L11" s="23">
        <f>武将升星!AD11/$G11</f>
        <v>2.8164451847757652E-2</v>
      </c>
      <c r="M11" s="23">
        <f>武将进阶!Y11/$G11</f>
        <v>0.51021425660906594</v>
      </c>
      <c r="N11" s="23">
        <f>武将觉醒!S12/$G11</f>
        <v>0.46162129154317649</v>
      </c>
      <c r="O11" s="23"/>
      <c r="P11" s="16">
        <v>8</v>
      </c>
      <c r="Q11" s="16">
        <f t="shared" si="0"/>
        <v>105889.88279631329</v>
      </c>
      <c r="R11" s="16">
        <f t="shared" si="1"/>
        <v>112563.37762098841</v>
      </c>
      <c r="S11" s="16">
        <f t="shared" si="2"/>
        <v>124094.67998636948</v>
      </c>
      <c r="T11" s="16">
        <f t="shared" si="3"/>
        <v>139192.40911243591</v>
      </c>
      <c r="U11" s="16">
        <f t="shared" si="4"/>
        <v>147532.25942872523</v>
      </c>
      <c r="X11" s="16">
        <f>武将升星!AD10</f>
        <v>178668.12712561234</v>
      </c>
      <c r="Y11" s="16">
        <f>武将升星!AD55</f>
        <v>277787.80026541225</v>
      </c>
      <c r="Z11" s="16">
        <f>武将升星!AD100</f>
        <v>544171.66658546659</v>
      </c>
      <c r="AA11" s="16">
        <f>武将升星!AD145</f>
        <v>1711970.1140433436</v>
      </c>
      <c r="AB11" s="16">
        <f>武将升星!AD190</f>
        <v>1783807.9385526516</v>
      </c>
      <c r="AC11" s="16">
        <f>武将进阶!Y10</f>
        <v>1773121.0928887567</v>
      </c>
      <c r="AD11" s="16">
        <f>武将进阶!Y55</f>
        <v>1752686.8360205598</v>
      </c>
      <c r="AE11" s="16">
        <f>武将进阶!Y100</f>
        <v>1753278.355140226</v>
      </c>
      <c r="AF11" s="16">
        <f>武将进阶!Y145</f>
        <v>1726929.4311283557</v>
      </c>
      <c r="AG11" s="16">
        <f>武将进阶!Y190</f>
        <v>1713204.5624792743</v>
      </c>
      <c r="AH11" s="16">
        <f>武将觉醒!S11</f>
        <v>3120000</v>
      </c>
      <c r="AI11" s="16">
        <f>武将觉醒!S56</f>
        <v>3120000</v>
      </c>
      <c r="AJ11" s="16">
        <f>武将觉醒!S101</f>
        <v>3120000</v>
      </c>
      <c r="AK11" s="16">
        <f>武将觉醒!S146</f>
        <v>3120000</v>
      </c>
      <c r="AL11" s="16">
        <f>武将觉醒!S191</f>
        <v>3120000</v>
      </c>
      <c r="AN11" s="16">
        <v>8</v>
      </c>
      <c r="AO11" s="16">
        <f t="shared" si="5"/>
        <v>3489.8827963132908</v>
      </c>
      <c r="AP11" s="16">
        <f t="shared" si="6"/>
        <v>4338.6457479640012</v>
      </c>
      <c r="AQ11" s="16">
        <f t="shared" si="7"/>
        <v>7542.9799576908499</v>
      </c>
      <c r="AR11" s="16">
        <f t="shared" si="8"/>
        <v>0</v>
      </c>
      <c r="AS11" s="16">
        <f t="shared" si="9"/>
        <v>0</v>
      </c>
      <c r="AT11" s="16">
        <f t="shared" si="10"/>
        <v>102400</v>
      </c>
      <c r="AU11" s="16">
        <f t="shared" si="11"/>
        <v>102400</v>
      </c>
      <c r="AV11" s="16">
        <f t="shared" si="12"/>
        <v>102400</v>
      </c>
      <c r="AW11" s="16">
        <f t="shared" si="13"/>
        <v>115199.99999999999</v>
      </c>
      <c r="AX11" s="16">
        <f t="shared" si="14"/>
        <v>115200</v>
      </c>
      <c r="AY11" s="16">
        <f t="shared" si="15"/>
        <v>0</v>
      </c>
      <c r="AZ11" s="16">
        <f t="shared" si="16"/>
        <v>5824.7318730244115</v>
      </c>
      <c r="BA11" s="16">
        <f t="shared" si="17"/>
        <v>14151.700028678624</v>
      </c>
      <c r="BB11" s="16">
        <f t="shared" si="18"/>
        <v>23992.409112435933</v>
      </c>
      <c r="BC11" s="16">
        <f t="shared" si="19"/>
        <v>32332.259428725196</v>
      </c>
    </row>
    <row r="12" spans="2:55" x14ac:dyDescent="0.15">
      <c r="B12" s="16">
        <f>基础状态预期!D25</f>
        <v>59.300028460644697</v>
      </c>
      <c r="C12" s="16">
        <f>基础状态预期!D70</f>
        <v>59.016342740868758</v>
      </c>
      <c r="D12" s="16">
        <f>基础状态预期!D115</f>
        <v>59.09095196730258</v>
      </c>
      <c r="E12" s="16">
        <f>基础状态预期!D160</f>
        <v>58.701446767877648</v>
      </c>
      <c r="F12" s="16">
        <f>基础状态预期!D205</f>
        <v>58.560986008166232</v>
      </c>
      <c r="G12" s="16">
        <f>武将升星!AD12+武将进阶!Y12+武将觉醒!S13</f>
        <v>18510690.038337126</v>
      </c>
      <c r="H12" s="16">
        <f>武将升星!AD57+武将进阶!Y57+武将觉醒!S58</f>
        <v>18358805.559724152</v>
      </c>
      <c r="I12" s="16">
        <f>武将升星!AD102+武将进阶!Y102+武将觉醒!S103</f>
        <v>18843462.733107865</v>
      </c>
      <c r="J12" s="16">
        <f>武将升星!AD147+武将进阶!Y147+武将觉醒!S148</f>
        <v>20787759.958608434</v>
      </c>
      <c r="K12" s="16">
        <f>武将升星!AD192+武将进阶!Y192+武将觉醒!S193</f>
        <v>21748328.134886555</v>
      </c>
      <c r="L12" s="23">
        <f>武将升星!AD12/$G12</f>
        <v>2.1752982481164879E-2</v>
      </c>
      <c r="M12" s="23">
        <f>武将进阶!Y12/$G12</f>
        <v>0.64438588175346267</v>
      </c>
      <c r="N12" s="23">
        <f>武将觉醒!S13/$G12</f>
        <v>0.33386113576537252</v>
      </c>
      <c r="O12" s="23"/>
      <c r="P12" s="16">
        <v>9</v>
      </c>
      <c r="Q12" s="16">
        <f t="shared" si="0"/>
        <v>119126.11814585245</v>
      </c>
      <c r="R12" s="16">
        <f t="shared" si="1"/>
        <v>126633.79982361197</v>
      </c>
      <c r="S12" s="16">
        <f t="shared" si="2"/>
        <v>139606.51498466564</v>
      </c>
      <c r="T12" s="16">
        <f t="shared" si="3"/>
        <v>156591.46025149038</v>
      </c>
      <c r="U12" s="16">
        <f t="shared" si="4"/>
        <v>165973.79185731587</v>
      </c>
      <c r="X12" s="16">
        <f>武将升星!AD11</f>
        <v>283705.9370772625</v>
      </c>
      <c r="Y12" s="16">
        <f>武将升星!AD56</f>
        <v>380226.29531885311</v>
      </c>
      <c r="Z12" s="16">
        <f>武将升星!AD101</f>
        <v>643058.0169346903</v>
      </c>
      <c r="AA12" s="16">
        <f>武将升星!AD146</f>
        <v>2271192.5425574132</v>
      </c>
      <c r="AB12" s="16">
        <f>武将升星!AD191</f>
        <v>2502692.6703659571</v>
      </c>
      <c r="AC12" s="16">
        <f>武将进阶!Y11</f>
        <v>5139486.2773790658</v>
      </c>
      <c r="AD12" s="16">
        <f>武将进阶!Y56</f>
        <v>4878331.8364095949</v>
      </c>
      <c r="AE12" s="16">
        <f>武将进阶!Y101</f>
        <v>4867342.0458894074</v>
      </c>
      <c r="AF12" s="16">
        <f>武将进阶!Y146</f>
        <v>4527350.7690491192</v>
      </c>
      <c r="AG12" s="16">
        <f>武将进阶!Y191</f>
        <v>4365634.0559073277</v>
      </c>
      <c r="AH12" s="16">
        <f>武将觉醒!S12</f>
        <v>4650000</v>
      </c>
      <c r="AI12" s="16">
        <f>武将觉醒!S57</f>
        <v>4650000</v>
      </c>
      <c r="AJ12" s="16">
        <f>武将觉醒!S102</f>
        <v>4650000</v>
      </c>
      <c r="AK12" s="16">
        <f>武将觉醒!S147</f>
        <v>4650000</v>
      </c>
      <c r="AL12" s="16">
        <f>武将觉醒!S192</f>
        <v>4650000</v>
      </c>
      <c r="AN12" s="16">
        <v>9</v>
      </c>
      <c r="AO12" s="16">
        <f t="shared" si="5"/>
        <v>3926.118145852452</v>
      </c>
      <c r="AP12" s="16">
        <f t="shared" si="6"/>
        <v>4880.9764664595004</v>
      </c>
      <c r="AQ12" s="16">
        <f t="shared" si="7"/>
        <v>8485.8524524022068</v>
      </c>
      <c r="AR12" s="16">
        <f t="shared" si="8"/>
        <v>0</v>
      </c>
      <c r="AS12" s="16">
        <f t="shared" si="9"/>
        <v>0</v>
      </c>
      <c r="AT12" s="16">
        <f t="shared" si="10"/>
        <v>115200</v>
      </c>
      <c r="AU12" s="16">
        <f t="shared" si="11"/>
        <v>115200.00000000001</v>
      </c>
      <c r="AV12" s="16">
        <f t="shared" si="12"/>
        <v>115199.99999999999</v>
      </c>
      <c r="AW12" s="16">
        <f t="shared" si="13"/>
        <v>129599.99999999997</v>
      </c>
      <c r="AX12" s="16">
        <f t="shared" si="14"/>
        <v>129600.00000000001</v>
      </c>
      <c r="AY12" s="16">
        <f t="shared" si="15"/>
        <v>0</v>
      </c>
      <c r="AZ12" s="16">
        <f t="shared" si="16"/>
        <v>6552.8233571524624</v>
      </c>
      <c r="BA12" s="16">
        <f t="shared" si="17"/>
        <v>15920.662532263454</v>
      </c>
      <c r="BB12" s="16">
        <f t="shared" si="18"/>
        <v>26991.460251490425</v>
      </c>
      <c r="BC12" s="16">
        <f t="shared" si="19"/>
        <v>36373.791857315846</v>
      </c>
    </row>
    <row r="13" spans="2:55" x14ac:dyDescent="0.15">
      <c r="B13" s="16">
        <f>基础状态预期!D26</f>
        <v>65.075479910097457</v>
      </c>
      <c r="C13" s="16">
        <f>基础状态预期!D71</f>
        <v>64.781009552500748</v>
      </c>
      <c r="D13" s="16">
        <f>基础状态预期!D116</f>
        <v>64.819145630244321</v>
      </c>
      <c r="E13" s="16">
        <f>基础状态预期!D161</f>
        <v>64.399012521055653</v>
      </c>
      <c r="F13" s="16">
        <f>基础状态预期!D206</f>
        <v>64.247064283227857</v>
      </c>
      <c r="G13" s="16">
        <f>武将升星!AD13+武将进阶!Y13+武将觉醒!S14</f>
        <v>29223118.641796164</v>
      </c>
      <c r="H13" s="16">
        <f>武将升星!AD58+武将进阶!Y58+武将觉醒!S59</f>
        <v>29227203.575178277</v>
      </c>
      <c r="I13" s="16">
        <f>武将升星!AD103+武将进阶!Y103+武将觉醒!S104</f>
        <v>29825380.508203708</v>
      </c>
      <c r="J13" s="16">
        <f>武将升星!AD148+武将进阶!Y148+武将觉醒!S149</f>
        <v>32653290.124260321</v>
      </c>
      <c r="K13" s="16">
        <f>武将升星!AD193+武将进阶!Y193+武将觉醒!S194</f>
        <v>33592442.623471282</v>
      </c>
      <c r="L13" s="23">
        <f>武将升星!AD13/$G13</f>
        <v>1.8689510591205195E-2</v>
      </c>
      <c r="M13" s="23">
        <f>武将进阶!Y13/$G13</f>
        <v>0.7174782785313143</v>
      </c>
      <c r="N13" s="23">
        <f>武将觉醒!S14/$G13</f>
        <v>0.2638322108774806</v>
      </c>
      <c r="O13" s="23"/>
      <c r="P13" s="16">
        <v>10</v>
      </c>
      <c r="Q13" s="16">
        <f t="shared" si="0"/>
        <v>132362.35349539161</v>
      </c>
      <c r="R13" s="16">
        <f t="shared" si="1"/>
        <v>141252.38923470964</v>
      </c>
      <c r="S13" s="16">
        <f t="shared" si="2"/>
        <v>155118.34998296184</v>
      </c>
      <c r="T13" s="16">
        <f t="shared" si="3"/>
        <v>173990.51139054488</v>
      </c>
      <c r="U13" s="16">
        <f t="shared" si="4"/>
        <v>184415.32428590651</v>
      </c>
      <c r="X13" s="16">
        <f>武将升星!AD12</f>
        <v>402662.71611822076</v>
      </c>
      <c r="Y13" s="16">
        <f>武将升星!AD57</f>
        <v>523116.52849014668</v>
      </c>
      <c r="Z13" s="16">
        <f>武将升星!AD102</f>
        <v>936148.84449738509</v>
      </c>
      <c r="AA13" s="16">
        <f>武将升星!AD147</f>
        <v>3254371.0614458867</v>
      </c>
      <c r="AB13" s="16">
        <f>武将升星!AD192</f>
        <v>4349781.5670469655</v>
      </c>
      <c r="AC13" s="16">
        <f>武将进阶!Y12</f>
        <v>11928027.322218906</v>
      </c>
      <c r="AD13" s="16">
        <f>武将进阶!Y57</f>
        <v>11655689.031234004</v>
      </c>
      <c r="AE13" s="16">
        <f>武将进阶!Y102</f>
        <v>11727313.888610482</v>
      </c>
      <c r="AF13" s="16">
        <f>武将进阶!Y147</f>
        <v>11353388.897162545</v>
      </c>
      <c r="AG13" s="16">
        <f>武将进阶!Y192</f>
        <v>11218546.567839589</v>
      </c>
      <c r="AH13" s="16">
        <f>武将觉醒!S13</f>
        <v>6180000</v>
      </c>
      <c r="AI13" s="16">
        <f>武将觉醒!S58</f>
        <v>6180000</v>
      </c>
      <c r="AJ13" s="16">
        <f>武将觉醒!S103</f>
        <v>6180000</v>
      </c>
      <c r="AK13" s="16">
        <f>武将觉醒!S148</f>
        <v>6180000</v>
      </c>
      <c r="AL13" s="16">
        <f>武将觉醒!S193</f>
        <v>6180000</v>
      </c>
      <c r="AN13" s="16">
        <v>10</v>
      </c>
      <c r="AO13" s="16">
        <f t="shared" si="5"/>
        <v>4362.3534953916133</v>
      </c>
      <c r="AP13" s="16">
        <f t="shared" si="6"/>
        <v>5401.2046632665324</v>
      </c>
      <c r="AQ13" s="16">
        <f t="shared" si="7"/>
        <v>9428.7249471135619</v>
      </c>
      <c r="AR13" s="16">
        <f t="shared" si="8"/>
        <v>0</v>
      </c>
      <c r="AS13" s="16">
        <f t="shared" si="9"/>
        <v>0</v>
      </c>
      <c r="AT13" s="16">
        <f t="shared" si="10"/>
        <v>128000</v>
      </c>
      <c r="AU13" s="16">
        <f t="shared" si="11"/>
        <v>128131.42340787273</v>
      </c>
      <c r="AV13" s="16">
        <f t="shared" si="12"/>
        <v>127999.99999999999</v>
      </c>
      <c r="AW13" s="16">
        <f t="shared" si="13"/>
        <v>143999.99999999997</v>
      </c>
      <c r="AX13" s="16">
        <f t="shared" si="14"/>
        <v>144000</v>
      </c>
      <c r="AY13" s="16">
        <f t="shared" si="15"/>
        <v>0</v>
      </c>
      <c r="AZ13" s="16">
        <f t="shared" si="16"/>
        <v>7719.7611635703761</v>
      </c>
      <c r="BA13" s="16">
        <f t="shared" si="17"/>
        <v>17689.625035848279</v>
      </c>
      <c r="BB13" s="16">
        <f t="shared" si="18"/>
        <v>29990.511390544918</v>
      </c>
      <c r="BC13" s="16">
        <f t="shared" si="19"/>
        <v>40415.324285906492</v>
      </c>
    </row>
    <row r="14" spans="2:55" x14ac:dyDescent="0.15">
      <c r="B14" s="16">
        <f>基础状态预期!D27</f>
        <v>69.18336653741882</v>
      </c>
      <c r="C14" s="16">
        <f>基础状态预期!D72</f>
        <v>68.923431594456531</v>
      </c>
      <c r="D14" s="16">
        <f>基础状态预期!D117</f>
        <v>69.01697485309198</v>
      </c>
      <c r="E14" s="16">
        <f>基础状态预期!D162</f>
        <v>68.627579426319684</v>
      </c>
      <c r="F14" s="16">
        <f>基础状态预期!D207</f>
        <v>68.518369035696878</v>
      </c>
      <c r="G14" s="16">
        <f>武将升星!AD14+武将进阶!Y14+武将觉醒!S15</f>
        <v>39814237.14066726</v>
      </c>
      <c r="H14" s="16">
        <f>武将升星!AD59+武将进阶!Y59+武将觉醒!S60</f>
        <v>40072857.792858191</v>
      </c>
      <c r="I14" s="16">
        <f>武将升星!AD104+武将进阶!Y104+武将觉醒!S105</f>
        <v>41007877.282238312</v>
      </c>
      <c r="J14" s="16">
        <f>武将升星!AD149+武将进阶!Y149+武将觉醒!S150</f>
        <v>44691439.840280563</v>
      </c>
      <c r="K14" s="16">
        <f>武将升星!AD194+武将进阶!Y194+武将觉醒!S195</f>
        <v>45601075.693218216</v>
      </c>
      <c r="L14" s="23">
        <f>武将升星!AD14/$G14</f>
        <v>1.4863841602327052E-2</v>
      </c>
      <c r="M14" s="23">
        <f>武将进阶!Y14/$G14</f>
        <v>0.75305837257060171</v>
      </c>
      <c r="N14" s="23">
        <f>武将觉醒!S15/$G14</f>
        <v>0.2320777858270712</v>
      </c>
      <c r="O14" s="23"/>
      <c r="P14" s="16">
        <v>11</v>
      </c>
      <c r="Q14" s="16">
        <f t="shared" si="0"/>
        <v>160362.35349539161</v>
      </c>
      <c r="R14" s="16">
        <f t="shared" si="1"/>
        <v>168773.21859981291</v>
      </c>
      <c r="S14" s="16">
        <f t="shared" si="2"/>
        <v>180605.33819418115</v>
      </c>
      <c r="T14" s="16">
        <f t="shared" si="3"/>
        <v>199511.95183565936</v>
      </c>
      <c r="U14" s="16">
        <f t="shared" si="4"/>
        <v>210369.18777528955</v>
      </c>
      <c r="X14" s="16">
        <f>武将升星!AD13</f>
        <v>546165.78536389535</v>
      </c>
      <c r="Y14" s="16">
        <f>武将升星!AD58</f>
        <v>889480.57069741469</v>
      </c>
      <c r="Z14" s="16">
        <f>武将升星!AD103</f>
        <v>1443724.7421622467</v>
      </c>
      <c r="AA14" s="16">
        <f>武将升星!AD148</f>
        <v>4755627.7000042051</v>
      </c>
      <c r="AB14" s="16">
        <f>武将升星!AD193</f>
        <v>5869824.5691927839</v>
      </c>
      <c r="AC14" s="16">
        <f>武将进阶!Y13</f>
        <v>20966952.85643227</v>
      </c>
      <c r="AD14" s="16">
        <f>武将进阶!Y58</f>
        <v>20627723.004480861</v>
      </c>
      <c r="AE14" s="16">
        <f>武将进阶!Y103</f>
        <v>20671655.766041461</v>
      </c>
      <c r="AF14" s="16">
        <f>武将进阶!Y148</f>
        <v>20187662.424256116</v>
      </c>
      <c r="AG14" s="16">
        <f>武将进阶!Y193</f>
        <v>20012618.054278497</v>
      </c>
      <c r="AH14" s="16">
        <f>武将觉醒!S14</f>
        <v>7710000</v>
      </c>
      <c r="AI14" s="16">
        <f>武将觉醒!S59</f>
        <v>7710000</v>
      </c>
      <c r="AJ14" s="16">
        <f>武将觉醒!S104</f>
        <v>7710000</v>
      </c>
      <c r="AK14" s="16">
        <f>武将觉醒!S149</f>
        <v>7710000</v>
      </c>
      <c r="AL14" s="16">
        <f>武将觉醒!S194</f>
        <v>7710000</v>
      </c>
      <c r="AN14" s="16">
        <v>11</v>
      </c>
      <c r="AO14" s="16">
        <f t="shared" si="5"/>
        <v>4362.3534953916133</v>
      </c>
      <c r="AP14" s="16">
        <f t="shared" si="6"/>
        <v>5401.2046632665324</v>
      </c>
      <c r="AQ14" s="16">
        <f t="shared" si="7"/>
        <v>9522.9795184885061</v>
      </c>
      <c r="AR14" s="16">
        <f t="shared" si="8"/>
        <v>1591.8891020830829</v>
      </c>
      <c r="AS14" s="16">
        <f t="shared" si="9"/>
        <v>3150.2773430736447</v>
      </c>
      <c r="AT14" s="16">
        <f t="shared" si="10"/>
        <v>144000</v>
      </c>
      <c r="AU14" s="16">
        <f t="shared" si="11"/>
        <v>144156.16636812623</v>
      </c>
      <c r="AV14" s="16">
        <f t="shared" si="12"/>
        <v>143739.45348687907</v>
      </c>
      <c r="AW14" s="16">
        <f t="shared" si="13"/>
        <v>158399.99999999997</v>
      </c>
      <c r="AX14" s="16">
        <f t="shared" si="14"/>
        <v>158400</v>
      </c>
      <c r="AY14" s="16">
        <f t="shared" si="15"/>
        <v>12000</v>
      </c>
      <c r="AZ14" s="16">
        <f t="shared" si="16"/>
        <v>19215.847568420148</v>
      </c>
      <c r="BA14" s="16">
        <f t="shared" si="17"/>
        <v>27342.905188813587</v>
      </c>
      <c r="BB14" s="16">
        <f t="shared" si="18"/>
        <v>39520.062733576306</v>
      </c>
      <c r="BC14" s="16">
        <f t="shared" si="19"/>
        <v>48818.910432215896</v>
      </c>
    </row>
    <row r="15" spans="2:55" x14ac:dyDescent="0.15">
      <c r="B15" s="16">
        <f>基础状态预期!D28</f>
        <v>72.375871759353331</v>
      </c>
      <c r="C15" s="16">
        <f>基础状态预期!D73</f>
        <v>72.103942950990486</v>
      </c>
      <c r="D15" s="16">
        <f>基础状态预期!D118</f>
        <v>72.23150684883845</v>
      </c>
      <c r="E15" s="16">
        <f>基础状态预期!D163</f>
        <v>71.882008108111634</v>
      </c>
      <c r="F15" s="16">
        <f>基础状态预期!D208</f>
        <v>71.7664716439551</v>
      </c>
      <c r="G15" s="16">
        <f>武将升星!AD15+武将进阶!Y15+武将觉醒!S16</f>
        <v>50543218.515220724</v>
      </c>
      <c r="H15" s="16">
        <f>武将升星!AD60+武将进阶!Y60+武将觉醒!S61</f>
        <v>50831877.634742521</v>
      </c>
      <c r="I15" s="16">
        <f>武将升星!AD105+武将进阶!Y105+武将觉醒!S106</f>
        <v>52022106.574109346</v>
      </c>
      <c r="J15" s="16">
        <f>武将升星!AD150+武将进阶!Y150+武将觉醒!S151</f>
        <v>56402526.133883804</v>
      </c>
      <c r="K15" s="16">
        <f>武将升星!AD195+武将进阶!Y195+武将觉醒!S196</f>
        <v>56997257.681983754</v>
      </c>
      <c r="L15" s="23">
        <f>武将升星!AD15/$G15</f>
        <v>1.1947784699784327E-2</v>
      </c>
      <c r="M15" s="23">
        <f>武将进阶!Y15/$G15</f>
        <v>0.77496724927739125</v>
      </c>
      <c r="N15" s="23">
        <f>武将觉醒!S16/$G15</f>
        <v>0.21308496602282445</v>
      </c>
      <c r="O15" s="23"/>
      <c r="P15" s="16">
        <v>12</v>
      </c>
      <c r="Q15" s="16">
        <f t="shared" si="0"/>
        <v>188362.35349539161</v>
      </c>
      <c r="R15" s="16">
        <f t="shared" si="1"/>
        <v>196294.04796491619</v>
      </c>
      <c r="S15" s="16">
        <f t="shared" si="2"/>
        <v>207200.24996514217</v>
      </c>
      <c r="T15" s="16">
        <f t="shared" si="3"/>
        <v>225054.83020970807</v>
      </c>
      <c r="U15" s="16">
        <f t="shared" si="4"/>
        <v>236639.89850128308</v>
      </c>
      <c r="X15" s="16">
        <f>武将升星!AD14</f>
        <v>591792.51437636488</v>
      </c>
      <c r="Y15" s="16">
        <f>武将升星!AD59</f>
        <v>1199765.7299086163</v>
      </c>
      <c r="Z15" s="16">
        <f>武将升星!AD104</f>
        <v>2009063.0796826866</v>
      </c>
      <c r="AA15" s="16">
        <f>武将升星!AD149</f>
        <v>6215973.0913069025</v>
      </c>
      <c r="AB15" s="16">
        <f>武将升星!AD194</f>
        <v>7272387.709241611</v>
      </c>
      <c r="AC15" s="16">
        <f>武将进阶!Y14</f>
        <v>29982444.626290895</v>
      </c>
      <c r="AD15" s="16">
        <f>武将进阶!Y59</f>
        <v>29633092.062949575</v>
      </c>
      <c r="AE15" s="16">
        <f>武将进阶!Y104</f>
        <v>29758814.202555627</v>
      </c>
      <c r="AF15" s="16">
        <f>武将进阶!Y149</f>
        <v>29235466.748973656</v>
      </c>
      <c r="AG15" s="16">
        <f>武将进阶!Y194</f>
        <v>29088687.983976606</v>
      </c>
      <c r="AH15" s="16">
        <f>武将觉醒!S15</f>
        <v>9240000</v>
      </c>
      <c r="AI15" s="16">
        <f>武将觉醒!S60</f>
        <v>9240000</v>
      </c>
      <c r="AJ15" s="16">
        <f>武将觉醒!S105</f>
        <v>9240000</v>
      </c>
      <c r="AK15" s="16">
        <f>武将觉醒!S150</f>
        <v>9240000</v>
      </c>
      <c r="AL15" s="16">
        <f>武将觉醒!S195</f>
        <v>9240000</v>
      </c>
      <c r="AN15" s="16">
        <v>12</v>
      </c>
      <c r="AO15" s="16">
        <f t="shared" si="5"/>
        <v>4362.3534953916133</v>
      </c>
      <c r="AP15" s="16">
        <f t="shared" si="6"/>
        <v>5401.2046632665324</v>
      </c>
      <c r="AQ15" s="16">
        <f t="shared" si="7"/>
        <v>9522.9795184885061</v>
      </c>
      <c r="AR15" s="16">
        <f t="shared" si="8"/>
        <v>3187.9797764074997</v>
      </c>
      <c r="AS15" s="16">
        <f t="shared" si="9"/>
        <v>6433.4237866477897</v>
      </c>
      <c r="AT15" s="16">
        <f t="shared" si="10"/>
        <v>160000</v>
      </c>
      <c r="AU15" s="16">
        <f t="shared" si="11"/>
        <v>160180.90932837973</v>
      </c>
      <c r="AV15" s="16">
        <f t="shared" si="12"/>
        <v>159805.38714918631</v>
      </c>
      <c r="AW15" s="16">
        <f t="shared" si="13"/>
        <v>172800</v>
      </c>
      <c r="AX15" s="16">
        <f t="shared" si="14"/>
        <v>172800</v>
      </c>
      <c r="AY15" s="16">
        <f t="shared" si="15"/>
        <v>24000</v>
      </c>
      <c r="AZ15" s="16">
        <f t="shared" si="16"/>
        <v>30711.933973269915</v>
      </c>
      <c r="BA15" s="16">
        <f t="shared" si="17"/>
        <v>37871.883297467335</v>
      </c>
      <c r="BB15" s="16">
        <f t="shared" si="18"/>
        <v>49066.850433300599</v>
      </c>
      <c r="BC15" s="16">
        <f t="shared" si="19"/>
        <v>57406.47471463526</v>
      </c>
    </row>
    <row r="16" spans="2:55" x14ac:dyDescent="0.15">
      <c r="B16" s="16">
        <f>基础状态预期!D29</f>
        <v>74.998404927577795</v>
      </c>
      <c r="C16" s="16">
        <f>基础状态预期!D74</f>
        <v>74.74003809013405</v>
      </c>
      <c r="D16" s="16">
        <f>基础状态预期!D119</f>
        <v>74.840792411391348</v>
      </c>
      <c r="E16" s="16">
        <f>基础状态预期!D164</f>
        <v>74.493385467679886</v>
      </c>
      <c r="F16" s="16">
        <f>基础状态预期!D209</f>
        <v>74.370993278111257</v>
      </c>
      <c r="G16" s="16">
        <f>武将升星!AD16+武将进阶!Y16+武将觉醒!S17</f>
        <v>58134272.810512446</v>
      </c>
      <c r="H16" s="16">
        <f>武将升星!AD61+武将进阶!Y61+武将觉醒!S62</f>
        <v>58667225.113075562</v>
      </c>
      <c r="I16" s="16">
        <f>武将升星!AD106+武将进阶!Y106+武将觉醒!S107</f>
        <v>60014546.210169263</v>
      </c>
      <c r="J16" s="16">
        <f>武将升星!AD151+武将进阶!Y151+武将觉醒!S152</f>
        <v>66550359.864202455</v>
      </c>
      <c r="K16" s="16">
        <f>武将升星!AD196+武将进阶!Y196+武将觉醒!S197</f>
        <v>66803713.239461318</v>
      </c>
      <c r="L16" s="23">
        <f>武将升星!AD16/$G16</f>
        <v>1.2073359393231713E-2</v>
      </c>
      <c r="M16" s="23">
        <f>武将进阶!Y16/$G16</f>
        <v>0.78950668208078634</v>
      </c>
      <c r="N16" s="23">
        <f>武将觉醒!S17/$G16</f>
        <v>0.19841995852598196</v>
      </c>
      <c r="O16" s="23"/>
      <c r="P16" s="16">
        <v>13</v>
      </c>
      <c r="Q16" s="16">
        <f t="shared" si="0"/>
        <v>216362.35349539161</v>
      </c>
      <c r="R16" s="16">
        <f t="shared" si="1"/>
        <v>223814.87733001946</v>
      </c>
      <c r="S16" s="16">
        <f t="shared" si="2"/>
        <v>233795.16173610315</v>
      </c>
      <c r="T16" s="16">
        <f t="shared" si="3"/>
        <v>250597.70858375679</v>
      </c>
      <c r="U16" s="16">
        <f t="shared" si="4"/>
        <v>262910.60922727658</v>
      </c>
      <c r="X16" s="16">
        <f>武将升星!AD15</f>
        <v>603879.49285401008</v>
      </c>
      <c r="Y16" s="16">
        <f>武将升星!AD60</f>
        <v>1310221.2620211323</v>
      </c>
      <c r="Z16" s="16">
        <f>武将升星!AD105</f>
        <v>2304512.0542934756</v>
      </c>
      <c r="AA16" s="16">
        <f>武将升星!AD150</f>
        <v>7221761.6798243476</v>
      </c>
      <c r="AB16" s="16">
        <f>武将升星!AD195</f>
        <v>7993957.2368687233</v>
      </c>
      <c r="AC16" s="16">
        <f>武将进阶!Y15</f>
        <v>39169339.022366717</v>
      </c>
      <c r="AD16" s="16">
        <f>武将进阶!Y60</f>
        <v>38751656.372721389</v>
      </c>
      <c r="AE16" s="16">
        <f>武将进阶!Y105</f>
        <v>38947594.51981587</v>
      </c>
      <c r="AF16" s="16">
        <f>武将进阶!Y150</f>
        <v>38410764.454059459</v>
      </c>
      <c r="AG16" s="16">
        <f>武将进阶!Y195</f>
        <v>38233300.44511503</v>
      </c>
      <c r="AH16" s="16">
        <f>武将觉醒!S16</f>
        <v>10770000</v>
      </c>
      <c r="AI16" s="16">
        <f>武将觉醒!S61</f>
        <v>10770000</v>
      </c>
      <c r="AJ16" s="16">
        <f>武将觉醒!S106</f>
        <v>10770000</v>
      </c>
      <c r="AK16" s="16">
        <f>武将觉醒!S151</f>
        <v>10770000</v>
      </c>
      <c r="AL16" s="16">
        <f>武将觉醒!S196</f>
        <v>10770000</v>
      </c>
      <c r="AN16" s="16">
        <v>13</v>
      </c>
      <c r="AO16" s="16">
        <f t="shared" si="5"/>
        <v>4362.3534953916133</v>
      </c>
      <c r="AP16" s="16">
        <f t="shared" si="6"/>
        <v>5401.2046632665324</v>
      </c>
      <c r="AQ16" s="16">
        <f t="shared" si="7"/>
        <v>9522.9795184885061</v>
      </c>
      <c r="AR16" s="16">
        <f t="shared" si="8"/>
        <v>4784.070450731916</v>
      </c>
      <c r="AS16" s="16">
        <f t="shared" si="9"/>
        <v>9716.5702302219361</v>
      </c>
      <c r="AT16" s="16">
        <f t="shared" si="10"/>
        <v>176000</v>
      </c>
      <c r="AU16" s="16">
        <f t="shared" si="11"/>
        <v>176205.65228863322</v>
      </c>
      <c r="AV16" s="16">
        <f t="shared" si="12"/>
        <v>175871.32081149356</v>
      </c>
      <c r="AW16" s="16">
        <f t="shared" si="13"/>
        <v>187200</v>
      </c>
      <c r="AX16" s="16">
        <f t="shared" si="14"/>
        <v>187200</v>
      </c>
      <c r="AY16" s="16">
        <f t="shared" si="15"/>
        <v>36000</v>
      </c>
      <c r="AZ16" s="16">
        <f t="shared" si="16"/>
        <v>42208.020378119683</v>
      </c>
      <c r="BA16" s="16">
        <f t="shared" si="17"/>
        <v>48400.861406121083</v>
      </c>
      <c r="BB16" s="16">
        <f t="shared" si="18"/>
        <v>58613.638133024891</v>
      </c>
      <c r="BC16" s="16">
        <f t="shared" si="19"/>
        <v>65994.038997054624</v>
      </c>
    </row>
    <row r="17" spans="2:55" x14ac:dyDescent="0.15">
      <c r="B17" s="16">
        <f>基础状态预期!D30</f>
        <v>77.875308029777003</v>
      </c>
      <c r="C17" s="16">
        <f>基础状态预期!D75</f>
        <v>77.609642525433856</v>
      </c>
      <c r="D17" s="16">
        <f>基础状态预期!D120</f>
        <v>77.697893604818219</v>
      </c>
      <c r="E17" s="16">
        <f>基础状态预期!D165</f>
        <v>77.332919927503724</v>
      </c>
      <c r="F17" s="16">
        <f>基础状态预期!D210</f>
        <v>77.234275947206214</v>
      </c>
      <c r="G17" s="16">
        <f>武将升星!AD17+武将进阶!Y17+武将觉醒!S18</f>
        <v>111387100.32396363</v>
      </c>
      <c r="H17" s="16">
        <f>武将升星!AD62+武将进阶!Y62+武将觉醒!S63</f>
        <v>108263798.17789698</v>
      </c>
      <c r="I17" s="16">
        <f>武将升星!AD107+武将进阶!Y107+武将觉醒!S108</f>
        <v>111427038.85603015</v>
      </c>
      <c r="J17" s="16">
        <f>武将升星!AD152+武将进阶!Y152+武将觉醒!S153</f>
        <v>115699815.20291097</v>
      </c>
      <c r="K17" s="16">
        <f>武将升星!AD197+武将进阶!Y197+武将觉醒!S198</f>
        <v>115458914.61878169</v>
      </c>
      <c r="L17" s="23">
        <f>武将升星!AD17/$G17</f>
        <v>7.1981186967352787E-3</v>
      </c>
      <c r="M17" s="23">
        <f>武将进阶!Y17/$G17</f>
        <v>0.88237616805436891</v>
      </c>
      <c r="N17" s="23">
        <f>武将觉醒!S18/$G17</f>
        <v>0.11042571324889583</v>
      </c>
      <c r="O17" s="23"/>
      <c r="P17" s="16">
        <v>14</v>
      </c>
      <c r="Q17" s="16">
        <f t="shared" si="0"/>
        <v>244362.35349539161</v>
      </c>
      <c r="R17" s="16">
        <f t="shared" si="1"/>
        <v>251335.70669512276</v>
      </c>
      <c r="S17" s="16">
        <f t="shared" si="2"/>
        <v>260390.07350706414</v>
      </c>
      <c r="T17" s="16">
        <f t="shared" si="3"/>
        <v>276140.5869578055</v>
      </c>
      <c r="U17" s="16">
        <f t="shared" si="4"/>
        <v>289181.31995327014</v>
      </c>
      <c r="X17" s="16">
        <f>武将升星!AD16</f>
        <v>701875.96870549547</v>
      </c>
      <c r="Y17" s="16">
        <f>武将升星!AD61</f>
        <v>1656482.9499767867</v>
      </c>
      <c r="Z17" s="16">
        <f>武将升星!AD106</f>
        <v>2839372.9947785917</v>
      </c>
      <c r="AA17" s="16">
        <f>武将升星!AD151</f>
        <v>9942154.7809488829</v>
      </c>
      <c r="AB17" s="16">
        <f>武将升星!AD196</f>
        <v>10395252.209583743</v>
      </c>
      <c r="AC17" s="16">
        <f>武将进阶!Y16</f>
        <v>45897396.841806948</v>
      </c>
      <c r="AD17" s="16">
        <f>武将进阶!Y61</f>
        <v>45475742.163098775</v>
      </c>
      <c r="AE17" s="16">
        <f>武将进阶!Y106</f>
        <v>45640173.215390675</v>
      </c>
      <c r="AF17" s="16">
        <f>武将进阶!Y151</f>
        <v>45073205.08325357</v>
      </c>
      <c r="AG17" s="16">
        <f>武将进阶!Y196</f>
        <v>44873461.029877573</v>
      </c>
      <c r="AH17" s="16">
        <f>武将觉醒!S17</f>
        <v>11535000</v>
      </c>
      <c r="AI17" s="16">
        <f>武将觉醒!S62</f>
        <v>11535000</v>
      </c>
      <c r="AJ17" s="16">
        <f>武将觉醒!S107</f>
        <v>11535000</v>
      </c>
      <c r="AK17" s="16">
        <f>武将觉醒!S152</f>
        <v>11535000</v>
      </c>
      <c r="AL17" s="16">
        <f>武将觉醒!S197</f>
        <v>11535000</v>
      </c>
      <c r="AN17" s="16">
        <v>14</v>
      </c>
      <c r="AO17" s="16">
        <f t="shared" si="5"/>
        <v>4362.3534953916133</v>
      </c>
      <c r="AP17" s="16">
        <f t="shared" si="6"/>
        <v>5401.2046632665324</v>
      </c>
      <c r="AQ17" s="16">
        <f t="shared" si="7"/>
        <v>9522.9795184885061</v>
      </c>
      <c r="AR17" s="16">
        <f t="shared" si="8"/>
        <v>6380.1611250563328</v>
      </c>
      <c r="AS17" s="16">
        <f t="shared" si="9"/>
        <v>12999.716673796082</v>
      </c>
      <c r="AT17" s="16">
        <f t="shared" si="10"/>
        <v>192000</v>
      </c>
      <c r="AU17" s="16">
        <f t="shared" si="11"/>
        <v>192230.39524888675</v>
      </c>
      <c r="AV17" s="16">
        <f t="shared" si="12"/>
        <v>191937.25447380083</v>
      </c>
      <c r="AW17" s="16">
        <f t="shared" si="13"/>
        <v>201600</v>
      </c>
      <c r="AX17" s="16">
        <f t="shared" si="14"/>
        <v>201600</v>
      </c>
      <c r="AY17" s="16">
        <f t="shared" si="15"/>
        <v>48000</v>
      </c>
      <c r="AZ17" s="16">
        <f t="shared" si="16"/>
        <v>53704.106782969451</v>
      </c>
      <c r="BA17" s="16">
        <f t="shared" si="17"/>
        <v>58929.839514774823</v>
      </c>
      <c r="BB17" s="16">
        <f t="shared" si="18"/>
        <v>68160.425832749184</v>
      </c>
      <c r="BC17" s="16">
        <f t="shared" si="19"/>
        <v>74581.603279474002</v>
      </c>
    </row>
    <row r="18" spans="2:55" x14ac:dyDescent="0.15">
      <c r="B18" s="16">
        <f>基础状态预期!D31</f>
        <v>80.272123558064706</v>
      </c>
      <c r="C18" s="16">
        <f>基础状态预期!D76</f>
        <v>79.994335665275713</v>
      </c>
      <c r="D18" s="16">
        <f>基础状态预期!D121</f>
        <v>80.134867890916794</v>
      </c>
      <c r="E18" s="16">
        <f>基础状态预期!D166</f>
        <v>79.813360188853366</v>
      </c>
      <c r="F18" s="16">
        <f>基础状态预期!D211</f>
        <v>79.725666247801229</v>
      </c>
      <c r="G18" s="16">
        <f>武将升星!AD18+武将进阶!Y18+武将觉醒!S19</f>
        <v>153071458.28155923</v>
      </c>
      <c r="H18" s="16">
        <f>武将升星!AD63+武将进阶!Y63+武将觉醒!S64</f>
        <v>150469309.33092314</v>
      </c>
      <c r="I18" s="16">
        <f>武将升星!AD108+武将进阶!Y108+武将觉醒!S109</f>
        <v>155172157.95293394</v>
      </c>
      <c r="J18" s="16">
        <f>武将升星!AD153+武将进阶!Y153+武将觉醒!S154</f>
        <v>166938015.1666491</v>
      </c>
      <c r="K18" s="16">
        <f>武将升星!AD198+武将进阶!Y198+武将觉醒!S199</f>
        <v>165509512.76200527</v>
      </c>
      <c r="L18" s="23">
        <f>武将升星!AD18/$G18</f>
        <v>6.9847325569643943E-3</v>
      </c>
      <c r="M18" s="23">
        <f>武将进阶!Y18/$G18</f>
        <v>0.91266064001552782</v>
      </c>
      <c r="N18" s="23">
        <f>武将觉醒!S19/$G18</f>
        <v>8.0354627427507833E-2</v>
      </c>
      <c r="O18" s="23"/>
      <c r="P18" s="16">
        <v>15</v>
      </c>
      <c r="Q18" s="16">
        <f t="shared" si="0"/>
        <v>272362.35349539161</v>
      </c>
      <c r="R18" s="16">
        <f t="shared" si="1"/>
        <v>278856.53606022603</v>
      </c>
      <c r="S18" s="16">
        <f t="shared" si="2"/>
        <v>286984.98527802515</v>
      </c>
      <c r="T18" s="16">
        <f t="shared" si="3"/>
        <v>301683.46533185424</v>
      </c>
      <c r="U18" s="16">
        <f t="shared" si="4"/>
        <v>315452.03067926364</v>
      </c>
      <c r="X18" s="16">
        <f>武将升星!AD17</f>
        <v>801777.56941705081</v>
      </c>
      <c r="Y18" s="16">
        <f>武将升星!AD62</f>
        <v>2269175.3383999988</v>
      </c>
      <c r="Z18" s="16">
        <f>武将升星!AD107</f>
        <v>3907437.3647712325</v>
      </c>
      <c r="AA18" s="16">
        <f>武将升星!AD152</f>
        <v>14486958.855646539</v>
      </c>
      <c r="AB18" s="16">
        <f>武将升星!AD197</f>
        <v>15950626.251058377</v>
      </c>
      <c r="AC18" s="16">
        <f>武将进阶!Y17</f>
        <v>98285322.754546583</v>
      </c>
      <c r="AD18" s="16">
        <f>武将进阶!Y62</f>
        <v>93694622.83949697</v>
      </c>
      <c r="AE18" s="16">
        <f>武将进阶!Y107</f>
        <v>95219601.491258919</v>
      </c>
      <c r="AF18" s="16">
        <f>武将进阶!Y152</f>
        <v>88912856.347264439</v>
      </c>
      <c r="AG18" s="16">
        <f>武将进阶!Y197</f>
        <v>87208288.367723316</v>
      </c>
      <c r="AH18" s="16">
        <f>武将觉醒!S18</f>
        <v>12300000</v>
      </c>
      <c r="AI18" s="16">
        <f>武将觉醒!S63</f>
        <v>12300000</v>
      </c>
      <c r="AJ18" s="16">
        <f>武将觉醒!S108</f>
        <v>12300000</v>
      </c>
      <c r="AK18" s="16">
        <f>武将觉醒!S153</f>
        <v>12300000</v>
      </c>
      <c r="AL18" s="16">
        <f>武将觉醒!S198</f>
        <v>12300000</v>
      </c>
      <c r="AN18" s="16">
        <v>15</v>
      </c>
      <c r="AO18" s="16">
        <f t="shared" si="5"/>
        <v>4362.3534953916133</v>
      </c>
      <c r="AP18" s="16">
        <f t="shared" si="6"/>
        <v>5401.2046632665324</v>
      </c>
      <c r="AQ18" s="16">
        <f t="shared" si="7"/>
        <v>9522.9795184885061</v>
      </c>
      <c r="AR18" s="16">
        <f t="shared" si="8"/>
        <v>7976.2517993807496</v>
      </c>
      <c r="AS18" s="16">
        <f t="shared" si="9"/>
        <v>16282.863117370227</v>
      </c>
      <c r="AT18" s="16">
        <f t="shared" si="10"/>
        <v>208000</v>
      </c>
      <c r="AU18" s="16">
        <f t="shared" si="11"/>
        <v>208255.13820914025</v>
      </c>
      <c r="AV18" s="16">
        <f t="shared" si="12"/>
        <v>208003.18813610805</v>
      </c>
      <c r="AW18" s="16">
        <f t="shared" si="13"/>
        <v>216000</v>
      </c>
      <c r="AX18" s="16">
        <f t="shared" si="14"/>
        <v>216000</v>
      </c>
      <c r="AY18" s="16">
        <f t="shared" si="15"/>
        <v>60000</v>
      </c>
      <c r="AZ18" s="16">
        <f t="shared" si="16"/>
        <v>65200.193187819226</v>
      </c>
      <c r="BA18" s="16">
        <f t="shared" si="17"/>
        <v>69458.817623428564</v>
      </c>
      <c r="BB18" s="16">
        <f t="shared" si="18"/>
        <v>77707.213532473485</v>
      </c>
      <c r="BC18" s="16">
        <f t="shared" si="19"/>
        <v>83169.16756189338</v>
      </c>
    </row>
    <row r="19" spans="2:55" x14ac:dyDescent="0.15">
      <c r="B19" s="16">
        <f>基础状态预期!D32</f>
        <v>82.328492296001457</v>
      </c>
      <c r="C19" s="16">
        <f>基础状态预期!D77</f>
        <v>82.100546804797787</v>
      </c>
      <c r="D19" s="16">
        <f>基础状态预期!D122</f>
        <v>82.238672852681816</v>
      </c>
      <c r="E19" s="16">
        <f>基础状态预期!D167</f>
        <v>81.919202803497143</v>
      </c>
      <c r="F19" s="16">
        <f>基础状态预期!D212</f>
        <v>81.863982387630472</v>
      </c>
      <c r="G19" s="16">
        <f>武将升星!AD19+武将进阶!Y19+武将觉醒!S20</f>
        <v>188878777.45432469</v>
      </c>
      <c r="H19" s="16">
        <f>武将升星!AD64+武将进阶!Y64+武将觉醒!S65</f>
        <v>188057770.05201644</v>
      </c>
      <c r="I19" s="16">
        <f>武将升星!AD109+武将进阶!Y109+武将觉醒!S110</f>
        <v>194536425.41504055</v>
      </c>
      <c r="J19" s="16">
        <f>武将升星!AD154+武将进阶!Y154+武将觉醒!S155</f>
        <v>203413824.44443053</v>
      </c>
      <c r="K19" s="16">
        <f>武将升星!AD199+武将进阶!Y199+武将觉醒!S200</f>
        <v>202459615.65825459</v>
      </c>
      <c r="L19" s="23">
        <f>武将升星!AD19/$G19</f>
        <v>7.1073658857421923E-3</v>
      </c>
      <c r="M19" s="23">
        <f>武将进阶!Y19/$G19</f>
        <v>0.92777150104797446</v>
      </c>
      <c r="N19" s="23">
        <f>武将觉醒!S20/$G19</f>
        <v>6.5121133066283365E-2</v>
      </c>
      <c r="O19" s="23"/>
      <c r="P19" s="16">
        <v>16</v>
      </c>
      <c r="Q19" s="16">
        <f t="shared" si="0"/>
        <v>300362.35349539161</v>
      </c>
      <c r="R19" s="16">
        <f t="shared" si="1"/>
        <v>306377.36542532931</v>
      </c>
      <c r="S19" s="16">
        <f t="shared" si="2"/>
        <v>313579.89704898617</v>
      </c>
      <c r="T19" s="16">
        <f t="shared" si="3"/>
        <v>327226.34370590292</v>
      </c>
      <c r="U19" s="16">
        <f t="shared" si="4"/>
        <v>341722.74140525714</v>
      </c>
      <c r="X19" s="16">
        <f>武将升星!AD18</f>
        <v>1069163.1982012237</v>
      </c>
      <c r="Y19" s="16">
        <f>武将升星!AD63</f>
        <v>3267189.0349587314</v>
      </c>
      <c r="Z19" s="16">
        <f>武将升星!AD108</f>
        <v>5541640.7978917407</v>
      </c>
      <c r="AA19" s="16">
        <f>武将升星!AD153</f>
        <v>22863151.103262961</v>
      </c>
      <c r="AB19" s="16">
        <f>武将升星!AD198</f>
        <v>22950000</v>
      </c>
      <c r="AC19" s="16">
        <f>武将进阶!Y18</f>
        <v>139702295.08335802</v>
      </c>
      <c r="AD19" s="16">
        <f>武将进阶!Y63</f>
        <v>134902120.29596442</v>
      </c>
      <c r="AE19" s="16">
        <f>武将进阶!Y108</f>
        <v>137330517.1550422</v>
      </c>
      <c r="AF19" s="16">
        <f>武将进阶!Y153</f>
        <v>131774864.06338616</v>
      </c>
      <c r="AG19" s="16">
        <f>武将进阶!Y198</f>
        <v>130259512.76200527</v>
      </c>
      <c r="AH19" s="16">
        <f>武将觉醒!S19</f>
        <v>12300000</v>
      </c>
      <c r="AI19" s="16">
        <f>武将觉醒!S64</f>
        <v>12300000</v>
      </c>
      <c r="AJ19" s="16">
        <f>武将觉醒!S109</f>
        <v>12300000</v>
      </c>
      <c r="AK19" s="16">
        <f>武将觉醒!S154</f>
        <v>12300000</v>
      </c>
      <c r="AL19" s="16">
        <f>武将觉醒!S199</f>
        <v>12300000</v>
      </c>
      <c r="AN19" s="16">
        <v>16</v>
      </c>
      <c r="AO19" s="16">
        <f t="shared" si="5"/>
        <v>4362.3534953916133</v>
      </c>
      <c r="AP19" s="16">
        <f t="shared" si="6"/>
        <v>5401.2046632665324</v>
      </c>
      <c r="AQ19" s="16">
        <f t="shared" si="7"/>
        <v>9522.9795184885061</v>
      </c>
      <c r="AR19" s="16">
        <f t="shared" si="8"/>
        <v>9572.3424737051664</v>
      </c>
      <c r="AS19" s="16">
        <f t="shared" si="9"/>
        <v>19566.009560944371</v>
      </c>
      <c r="AT19" s="16">
        <f t="shared" si="10"/>
        <v>224000</v>
      </c>
      <c r="AU19" s="16">
        <f t="shared" si="11"/>
        <v>224279.88116939375</v>
      </c>
      <c r="AV19" s="16">
        <f t="shared" si="12"/>
        <v>224069.12179841532</v>
      </c>
      <c r="AW19" s="16">
        <f t="shared" si="13"/>
        <v>230400</v>
      </c>
      <c r="AX19" s="16">
        <f t="shared" si="14"/>
        <v>230400</v>
      </c>
      <c r="AY19" s="16">
        <f t="shared" si="15"/>
        <v>72000</v>
      </c>
      <c r="AZ19" s="16">
        <f t="shared" si="16"/>
        <v>76696.279592668987</v>
      </c>
      <c r="BA19" s="16">
        <f t="shared" si="17"/>
        <v>79987.795732082304</v>
      </c>
      <c r="BB19" s="16">
        <f t="shared" si="18"/>
        <v>87254.00123219777</v>
      </c>
      <c r="BC19" s="16">
        <f t="shared" si="19"/>
        <v>91756.731844312744</v>
      </c>
    </row>
    <row r="20" spans="2:55" x14ac:dyDescent="0.15">
      <c r="B20" s="16">
        <f>基础状态预期!D33</f>
        <v>84.132234338875293</v>
      </c>
      <c r="C20" s="16">
        <f>基础状态预期!D78</f>
        <v>83.885420957389968</v>
      </c>
      <c r="D20" s="16">
        <f>基础状态预期!D123</f>
        <v>84.043767921022209</v>
      </c>
      <c r="E20" s="16">
        <f>基础状态预期!D168</f>
        <v>83.738783536778797</v>
      </c>
      <c r="F20" s="16">
        <f>基础状态预期!D213</f>
        <v>83.667042947574714</v>
      </c>
      <c r="G20" s="16">
        <f>武将升星!AD20+武将进阶!Y20+武将觉醒!S21</f>
        <v>220558574.00314257</v>
      </c>
      <c r="H20" s="16">
        <f>武将升星!AD65+武将进阶!Y65+武将觉醒!S66</f>
        <v>220033555.8727518</v>
      </c>
      <c r="I20" s="16">
        <f>武将升星!AD110+武将进阶!Y110+武将觉醒!S111</f>
        <v>228763245.72765732</v>
      </c>
      <c r="J20" s="16">
        <f>武将升星!AD155+武将进阶!Y155+武将觉醒!S156</f>
        <v>234856179.51553756</v>
      </c>
      <c r="K20" s="16">
        <f>武将升星!AD200+武将进阶!Y200+武将觉醒!S201</f>
        <v>233616502.13409099</v>
      </c>
      <c r="L20" s="23">
        <f>武将升星!AD20/$G20</f>
        <v>8.4039563447264581E-3</v>
      </c>
      <c r="M20" s="23">
        <f>武将进阶!Y20/$G20</f>
        <v>0.93582854490537337</v>
      </c>
      <c r="N20" s="23">
        <f>武将觉醒!S21/$G20</f>
        <v>5.5767498749900092E-2</v>
      </c>
      <c r="O20" s="23"/>
      <c r="P20" s="16">
        <v>17</v>
      </c>
      <c r="Q20" s="16">
        <f t="shared" si="0"/>
        <v>328362.35349539161</v>
      </c>
      <c r="R20" s="16">
        <f t="shared" si="1"/>
        <v>333898.19479043258</v>
      </c>
      <c r="S20" s="16">
        <f t="shared" si="2"/>
        <v>340174.80881994712</v>
      </c>
      <c r="T20" s="16">
        <f t="shared" si="3"/>
        <v>352769.22207995167</v>
      </c>
      <c r="U20" s="16">
        <f t="shared" si="4"/>
        <v>367993.45213125064</v>
      </c>
      <c r="X20" s="16">
        <f>武将升星!AD19</f>
        <v>1342430.5794195589</v>
      </c>
      <c r="Y20" s="16">
        <f>武将升星!AD64</f>
        <v>4460321.2651106184</v>
      </c>
      <c r="Z20" s="16">
        <f>武将升星!AD109</f>
        <v>8552158.520698797</v>
      </c>
      <c r="AA20" s="16">
        <f>武将升星!AD154</f>
        <v>22950000</v>
      </c>
      <c r="AB20" s="16">
        <f>武将升星!AD199</f>
        <v>22950000</v>
      </c>
      <c r="AC20" s="16">
        <f>武将进阶!Y19</f>
        <v>175236346.87490514</v>
      </c>
      <c r="AD20" s="16">
        <f>武将进阶!Y64</f>
        <v>171297448.78690583</v>
      </c>
      <c r="AE20" s="16">
        <f>武将进阶!Y109</f>
        <v>173684266.89434177</v>
      </c>
      <c r="AF20" s="16">
        <f>武将进阶!Y154</f>
        <v>168163824.44443053</v>
      </c>
      <c r="AG20" s="16">
        <f>武将进阶!Y199</f>
        <v>167209615.65825459</v>
      </c>
      <c r="AH20" s="16">
        <f>武将觉醒!S20</f>
        <v>12300000</v>
      </c>
      <c r="AI20" s="16">
        <f>武将觉醒!S65</f>
        <v>12300000</v>
      </c>
      <c r="AJ20" s="16">
        <f>武将觉醒!S110</f>
        <v>12300000</v>
      </c>
      <c r="AK20" s="16">
        <f>武将觉醒!S155</f>
        <v>12300000</v>
      </c>
      <c r="AL20" s="16">
        <f>武将觉醒!S200</f>
        <v>12300000</v>
      </c>
      <c r="AN20" s="16">
        <v>17</v>
      </c>
      <c r="AO20" s="16">
        <f t="shared" si="5"/>
        <v>4362.3534953916133</v>
      </c>
      <c r="AP20" s="16">
        <f t="shared" si="6"/>
        <v>5401.2046632665324</v>
      </c>
      <c r="AQ20" s="16">
        <f t="shared" si="7"/>
        <v>9522.9795184885061</v>
      </c>
      <c r="AR20" s="16">
        <f t="shared" si="8"/>
        <v>11168.433148029584</v>
      </c>
      <c r="AS20" s="16">
        <f t="shared" si="9"/>
        <v>22849.156004518518</v>
      </c>
      <c r="AT20" s="16">
        <f t="shared" si="10"/>
        <v>240000</v>
      </c>
      <c r="AU20" s="16">
        <f t="shared" si="11"/>
        <v>240304.62412964727</v>
      </c>
      <c r="AV20" s="16">
        <f t="shared" si="12"/>
        <v>240135.05546072256</v>
      </c>
      <c r="AW20" s="16">
        <f t="shared" si="13"/>
        <v>244800</v>
      </c>
      <c r="AX20" s="16">
        <f t="shared" si="14"/>
        <v>244800</v>
      </c>
      <c r="AY20" s="16">
        <f t="shared" si="15"/>
        <v>84000</v>
      </c>
      <c r="AZ20" s="16">
        <f t="shared" si="16"/>
        <v>88192.365997518762</v>
      </c>
      <c r="BA20" s="16">
        <f t="shared" si="17"/>
        <v>90516.773840736045</v>
      </c>
      <c r="BB20" s="16">
        <f t="shared" si="18"/>
        <v>96800.788931922056</v>
      </c>
      <c r="BC20" s="16">
        <f t="shared" si="19"/>
        <v>100344.29612673211</v>
      </c>
    </row>
    <row r="21" spans="2:55" x14ac:dyDescent="0.15">
      <c r="B21" s="16">
        <f>基础状态预期!D34</f>
        <v>86.465948248806328</v>
      </c>
      <c r="C21" s="16">
        <f>基础状态预期!D79</f>
        <v>86.247032860782397</v>
      </c>
      <c r="D21" s="16">
        <f>基础状态预期!D124</f>
        <v>86.385105215793828</v>
      </c>
      <c r="E21" s="16">
        <f>基础状态预期!D169</f>
        <v>86.045919706798657</v>
      </c>
      <c r="F21" s="16">
        <f>基础状态预期!D214</f>
        <v>86.154780808490059</v>
      </c>
      <c r="G21" s="16">
        <f>武将升星!AD21+武将进阶!Y21+武将觉醒!S22</f>
        <v>261604081.6501888</v>
      </c>
      <c r="H21" s="16">
        <f>武将升星!AD66+武将进阶!Y66+武将觉醒!S67</f>
        <v>264149381.04034078</v>
      </c>
      <c r="I21" s="16">
        <f>武将升星!AD111+武将进阶!Y111+武将觉醒!S112</f>
        <v>275888706.88128495</v>
      </c>
      <c r="J21" s="16">
        <f>武将升星!AD156+武将进阶!Y156+武将觉醒!S157</f>
        <v>274723492.53348076</v>
      </c>
      <c r="K21" s="16">
        <f>武将升星!AD201+武将进阶!Y201+武将觉醒!S202</f>
        <v>276604612.37070823</v>
      </c>
      <c r="L21" s="23">
        <f>武将升星!AD21/$G21</f>
        <v>9.8335465356210756E-3</v>
      </c>
      <c r="M21" s="23">
        <f>武将进阶!Y21/$G21</f>
        <v>0.94314883843936848</v>
      </c>
      <c r="N21" s="23">
        <f>武将觉醒!S22/$G21</f>
        <v>4.7017615025010534E-2</v>
      </c>
      <c r="O21" s="23"/>
      <c r="P21" s="16">
        <v>18</v>
      </c>
      <c r="Q21" s="16">
        <f t="shared" si="0"/>
        <v>356362.35349539161</v>
      </c>
      <c r="R21" s="16">
        <f t="shared" si="1"/>
        <v>361419.02415553585</v>
      </c>
      <c r="S21" s="16">
        <f t="shared" si="2"/>
        <v>366769.72059090814</v>
      </c>
      <c r="T21" s="16">
        <f t="shared" si="3"/>
        <v>378312.10045400041</v>
      </c>
      <c r="U21" s="16">
        <f t="shared" si="4"/>
        <v>394264.1628572442</v>
      </c>
      <c r="X21" s="16">
        <f>武将升星!AD20</f>
        <v>1853564.6273775301</v>
      </c>
      <c r="Y21" s="16">
        <f>武将升星!AD65</f>
        <v>5593481.7290531918</v>
      </c>
      <c r="Z21" s="16">
        <f>武将升星!AD110</f>
        <v>11586936.052393598</v>
      </c>
      <c r="AA21" s="16">
        <f>武将升星!AD155</f>
        <v>22950000</v>
      </c>
      <c r="AB21" s="16">
        <f>武将升星!AD200</f>
        <v>22950000</v>
      </c>
      <c r="AC21" s="16">
        <f>武将进阶!Y20</f>
        <v>206405009.37576503</v>
      </c>
      <c r="AD21" s="16">
        <f>武将进阶!Y65</f>
        <v>202140074.1436986</v>
      </c>
      <c r="AE21" s="16">
        <f>武将进阶!Y110</f>
        <v>204876309.67526373</v>
      </c>
      <c r="AF21" s="16">
        <f>武将进阶!Y155</f>
        <v>199606179.51553756</v>
      </c>
      <c r="AG21" s="16">
        <f>武将进阶!Y200</f>
        <v>198366502.13409099</v>
      </c>
      <c r="AH21" s="16">
        <f>武将觉醒!S21</f>
        <v>12300000</v>
      </c>
      <c r="AI21" s="16">
        <f>武将觉醒!S66</f>
        <v>12300000</v>
      </c>
      <c r="AJ21" s="16">
        <f>武将觉醒!S111</f>
        <v>12300000</v>
      </c>
      <c r="AK21" s="16">
        <f>武将觉醒!S156</f>
        <v>12300000</v>
      </c>
      <c r="AL21" s="16">
        <f>武将觉醒!S201</f>
        <v>12300000</v>
      </c>
      <c r="AN21" s="16">
        <v>18</v>
      </c>
      <c r="AO21" s="16">
        <f t="shared" si="5"/>
        <v>4362.3534953916133</v>
      </c>
      <c r="AP21" s="16">
        <f t="shared" si="6"/>
        <v>5401.2046632665324</v>
      </c>
      <c r="AQ21" s="16">
        <f t="shared" si="7"/>
        <v>9522.9795184885061</v>
      </c>
      <c r="AR21" s="16">
        <f t="shared" si="8"/>
        <v>12764.523822354</v>
      </c>
      <c r="AS21" s="16">
        <f t="shared" si="9"/>
        <v>26132.302448092662</v>
      </c>
      <c r="AT21" s="16">
        <f t="shared" si="10"/>
        <v>256000</v>
      </c>
      <c r="AU21" s="16">
        <f t="shared" si="11"/>
        <v>256329.36708990077</v>
      </c>
      <c r="AV21" s="16">
        <f t="shared" si="12"/>
        <v>256200.98912302981</v>
      </c>
      <c r="AW21" s="16">
        <f t="shared" si="13"/>
        <v>259200</v>
      </c>
      <c r="AX21" s="16">
        <f t="shared" si="14"/>
        <v>259200.00000000003</v>
      </c>
      <c r="AY21" s="16">
        <f t="shared" si="15"/>
        <v>96000</v>
      </c>
      <c r="AZ21" s="16">
        <f t="shared" si="16"/>
        <v>99688.452402368537</v>
      </c>
      <c r="BA21" s="16">
        <f t="shared" si="17"/>
        <v>101045.75194938979</v>
      </c>
      <c r="BB21" s="16">
        <f t="shared" si="18"/>
        <v>106347.57663164636</v>
      </c>
      <c r="BC21" s="16">
        <f t="shared" si="19"/>
        <v>108931.86040915147</v>
      </c>
    </row>
    <row r="22" spans="2:55" x14ac:dyDescent="0.15">
      <c r="B22" s="16">
        <f>基础状态预期!D35</f>
        <v>90.244911202258237</v>
      </c>
      <c r="C22" s="16">
        <f>基础状态预期!D80</f>
        <v>90.122782504866933</v>
      </c>
      <c r="D22" s="16">
        <f>基础状态预期!D125</f>
        <v>90.406191748048585</v>
      </c>
      <c r="E22" s="16">
        <f>基础状态预期!D170</f>
        <v>90.288435080379244</v>
      </c>
      <c r="F22" s="16">
        <f>基础状态预期!D215</f>
        <v>90.480184629206022</v>
      </c>
      <c r="G22" s="16">
        <f>武将升星!AD22+武将进阶!Y22+武将觉醒!S23</f>
        <v>328590652.474958</v>
      </c>
      <c r="H22" s="16">
        <f>武将升星!AD67+武将进阶!Y67+武将觉醒!S68</f>
        <v>338920681.5535925</v>
      </c>
      <c r="I22" s="16">
        <f>武将升星!AD112+武将进阶!Y112+武将觉醒!S113</f>
        <v>350068993.40627944</v>
      </c>
      <c r="J22" s="16">
        <f>武将升星!AD157+武将进阶!Y157+武将觉醒!S158</f>
        <v>348034158.1889534</v>
      </c>
      <c r="K22" s="16">
        <f>武将升星!AD202+武将进阶!Y202+武将觉醒!S203</f>
        <v>351347590.39267999</v>
      </c>
      <c r="L22" s="23">
        <f>武将升星!AD22/$G22</f>
        <v>1.2960158385090516E-2</v>
      </c>
      <c r="M22" s="23">
        <f>武将进阶!Y22/$G22</f>
        <v>0.94960724909483663</v>
      </c>
      <c r="N22" s="23">
        <f>武将觉醒!S23/$G22</f>
        <v>3.7432592520072944E-2</v>
      </c>
      <c r="O22" s="23"/>
      <c r="P22" s="16">
        <v>19</v>
      </c>
      <c r="Q22" s="16">
        <f t="shared" si="0"/>
        <v>384362.35349539161</v>
      </c>
      <c r="R22" s="16">
        <f t="shared" si="1"/>
        <v>388939.85352063912</v>
      </c>
      <c r="S22" s="16">
        <f t="shared" si="2"/>
        <v>393364.63236186909</v>
      </c>
      <c r="T22" s="16">
        <f t="shared" si="3"/>
        <v>403854.97882804909</v>
      </c>
      <c r="U22" s="16">
        <f t="shared" si="4"/>
        <v>420534.8735832377</v>
      </c>
      <c r="X22" s="16">
        <f>武将升星!AD21</f>
        <v>2572495.9108155472</v>
      </c>
      <c r="Y22" s="16">
        <f>武将升星!AD66</f>
        <v>8900653.2060208898</v>
      </c>
      <c r="Z22" s="16">
        <f>武将升星!AD111</f>
        <v>18254088.752367504</v>
      </c>
      <c r="AA22" s="16">
        <f>武将升星!AD156</f>
        <v>22950000</v>
      </c>
      <c r="AB22" s="16">
        <f>武将升星!AD201</f>
        <v>22950000</v>
      </c>
      <c r="AC22" s="16">
        <f>武将进阶!Y21</f>
        <v>246731585.73937327</v>
      </c>
      <c r="AD22" s="16">
        <f>武将进阶!Y66</f>
        <v>242948727.83431989</v>
      </c>
      <c r="AE22" s="16">
        <f>武将进阶!Y111</f>
        <v>245334618.12891743</v>
      </c>
      <c r="AF22" s="16">
        <f>武将进阶!Y156</f>
        <v>239473492.53348076</v>
      </c>
      <c r="AG22" s="16">
        <f>武将进阶!Y201</f>
        <v>241354612.37070823</v>
      </c>
      <c r="AH22" s="16">
        <f>武将觉醒!S22</f>
        <v>12300000</v>
      </c>
      <c r="AI22" s="16">
        <f>武将觉醒!S67</f>
        <v>12300000</v>
      </c>
      <c r="AJ22" s="16">
        <f>武将觉醒!S112</f>
        <v>12300000</v>
      </c>
      <c r="AK22" s="16">
        <f>武将觉醒!S157</f>
        <v>12300000</v>
      </c>
      <c r="AL22" s="16">
        <f>武将觉醒!S202</f>
        <v>12300000</v>
      </c>
      <c r="AN22" s="16">
        <v>19</v>
      </c>
      <c r="AO22" s="16">
        <f t="shared" si="5"/>
        <v>4362.3534953916133</v>
      </c>
      <c r="AP22" s="16">
        <f t="shared" si="6"/>
        <v>5401.2046632665324</v>
      </c>
      <c r="AQ22" s="16">
        <f t="shared" si="7"/>
        <v>9522.9795184885061</v>
      </c>
      <c r="AR22" s="16">
        <f t="shared" si="8"/>
        <v>14360.614496678418</v>
      </c>
      <c r="AS22" s="16">
        <f t="shared" si="9"/>
        <v>29415.448891666809</v>
      </c>
      <c r="AT22" s="16">
        <f t="shared" si="10"/>
        <v>272000</v>
      </c>
      <c r="AU22" s="16">
        <f t="shared" si="11"/>
        <v>272354.11005015427</v>
      </c>
      <c r="AV22" s="16">
        <f t="shared" si="12"/>
        <v>272266.92278533708</v>
      </c>
      <c r="AW22" s="16">
        <f t="shared" si="13"/>
        <v>273600</v>
      </c>
      <c r="AX22" s="16">
        <f t="shared" si="14"/>
        <v>273600</v>
      </c>
      <c r="AY22" s="16">
        <f t="shared" si="15"/>
        <v>108000</v>
      </c>
      <c r="AZ22" s="16">
        <f t="shared" si="16"/>
        <v>111184.5388072183</v>
      </c>
      <c r="BA22" s="16">
        <f t="shared" si="17"/>
        <v>111574.73005804355</v>
      </c>
      <c r="BB22" s="16">
        <f t="shared" si="18"/>
        <v>115894.36433137064</v>
      </c>
      <c r="BC22" s="16">
        <f t="shared" si="19"/>
        <v>117519.42469157085</v>
      </c>
    </row>
    <row r="23" spans="2:55" x14ac:dyDescent="0.15">
      <c r="B23" s="16">
        <f>基础状态预期!D36</f>
        <v>93.235489905456092</v>
      </c>
      <c r="C23" s="16">
        <f>基础状态预期!D81</f>
        <v>93.149045658279036</v>
      </c>
      <c r="D23" s="16">
        <f>基础状态预期!D126</f>
        <v>93.471491811086082</v>
      </c>
      <c r="E23" s="16">
        <f>基础状态预期!D171</f>
        <v>93.400072017025948</v>
      </c>
      <c r="F23" s="16">
        <f>基础状态预期!D216</f>
        <v>93.6774218048877</v>
      </c>
      <c r="G23" s="16">
        <f>武将升星!AD23+武将进阶!Y23+武将觉醒!S24</f>
        <v>382345048.41899228</v>
      </c>
      <c r="H23" s="16">
        <f>武将升星!AD68+武将进阶!Y68+武将觉醒!S69</f>
        <v>397465508.97506177</v>
      </c>
      <c r="I23" s="16">
        <f>武将升星!AD113+武将进阶!Y113+武将觉醒!S114</f>
        <v>403037378.4955675</v>
      </c>
      <c r="J23" s="16">
        <f>武将升星!AD158+武将进阶!Y158+武将觉醒!S159</f>
        <v>401803244.45420837</v>
      </c>
      <c r="K23" s="16">
        <f>武将升星!AD203+武将进阶!Y203+武将觉醒!S204</f>
        <v>406595848.78845936</v>
      </c>
      <c r="L23" s="23">
        <f>武将升星!AD23/$G23</f>
        <v>1.6570851064789907E-2</v>
      </c>
      <c r="M23" s="23">
        <f>武将进阶!Y23/$G23</f>
        <v>0.95125925409582124</v>
      </c>
      <c r="N23" s="23">
        <f>武将觉醒!S24/$G23</f>
        <v>3.2169894839388799E-2</v>
      </c>
      <c r="O23" s="23"/>
      <c r="P23" s="16">
        <v>20</v>
      </c>
      <c r="Q23" s="16">
        <f t="shared" si="0"/>
        <v>412362.35349539161</v>
      </c>
      <c r="R23" s="16">
        <f t="shared" si="1"/>
        <v>417028.963545923</v>
      </c>
      <c r="S23" s="16">
        <f t="shared" si="2"/>
        <v>420996.62502503401</v>
      </c>
      <c r="T23" s="16">
        <f t="shared" si="3"/>
        <v>434400.64668208937</v>
      </c>
      <c r="U23" s="16">
        <f t="shared" si="4"/>
        <v>468546.11275628465</v>
      </c>
      <c r="X23" s="16">
        <f>武将升星!AD22</f>
        <v>4258586.8999356907</v>
      </c>
      <c r="Y23" s="16">
        <f>武将升星!AD67</f>
        <v>16698999.869491747</v>
      </c>
      <c r="Z23" s="16">
        <f>武将升星!AD112</f>
        <v>22950000</v>
      </c>
      <c r="AA23" s="16">
        <f>武将升星!AD157</f>
        <v>22950000</v>
      </c>
      <c r="AB23" s="16">
        <f>武将升星!AD202</f>
        <v>22950000</v>
      </c>
      <c r="AC23" s="16">
        <f>武将进阶!Y22</f>
        <v>312032065.57502234</v>
      </c>
      <c r="AD23" s="16">
        <f>武将进阶!Y67</f>
        <v>309921681.68410075</v>
      </c>
      <c r="AE23" s="16">
        <f>武将进阶!Y112</f>
        <v>314818993.40627944</v>
      </c>
      <c r="AF23" s="16">
        <f>武将进阶!Y157</f>
        <v>312784158.1889534</v>
      </c>
      <c r="AG23" s="16">
        <f>武将进阶!Y202</f>
        <v>316097590.39267999</v>
      </c>
      <c r="AH23" s="16">
        <f>武将觉醒!S23</f>
        <v>12300000</v>
      </c>
      <c r="AI23" s="16">
        <f>武将觉醒!S68</f>
        <v>12300000</v>
      </c>
      <c r="AJ23" s="16">
        <f>武将觉醒!S113</f>
        <v>12300000</v>
      </c>
      <c r="AK23" s="16">
        <f>武将觉醒!S158</f>
        <v>12300000</v>
      </c>
      <c r="AL23" s="16">
        <f>武将觉醒!S203</f>
        <v>12300000</v>
      </c>
      <c r="AN23" s="16">
        <v>20</v>
      </c>
      <c r="AO23" s="16">
        <f t="shared" si="5"/>
        <v>4362.3534953916133</v>
      </c>
      <c r="AP23" s="16">
        <f t="shared" si="6"/>
        <v>5539.7971356142189</v>
      </c>
      <c r="AQ23" s="16">
        <f t="shared" si="7"/>
        <v>9997.2988431413905</v>
      </c>
      <c r="AR23" s="16">
        <f t="shared" si="8"/>
        <v>19150.616574368483</v>
      </c>
      <c r="AS23" s="16">
        <f t="shared" si="9"/>
        <v>37381.031745552078</v>
      </c>
      <c r="AT23" s="16">
        <f t="shared" si="10"/>
        <v>288000</v>
      </c>
      <c r="AU23" s="16">
        <f t="shared" si="11"/>
        <v>291489.1664103088</v>
      </c>
      <c r="AV23" s="16">
        <f t="shared" si="12"/>
        <v>290999.3261818926</v>
      </c>
      <c r="AW23" s="16">
        <f t="shared" si="13"/>
        <v>295250.03010772087</v>
      </c>
      <c r="AX23" s="16">
        <f t="shared" si="14"/>
        <v>296386.98664031597</v>
      </c>
      <c r="AY23" s="16">
        <f t="shared" si="15"/>
        <v>120000</v>
      </c>
      <c r="AZ23" s="16">
        <f t="shared" si="16"/>
        <v>120000</v>
      </c>
      <c r="BA23" s="16">
        <f t="shared" si="17"/>
        <v>120000</v>
      </c>
      <c r="BB23" s="16">
        <f t="shared" si="18"/>
        <v>120000</v>
      </c>
      <c r="BC23" s="16">
        <f t="shared" si="19"/>
        <v>134778.0943704166</v>
      </c>
    </row>
    <row r="24" spans="2:55" x14ac:dyDescent="0.15">
      <c r="B24" s="16">
        <f>基础状态预期!D37</f>
        <v>96.807063977001675</v>
      </c>
      <c r="C24" s="16">
        <f>基础状态预期!D82</f>
        <v>96.770480813454071</v>
      </c>
      <c r="D24" s="16">
        <f>基础状态预期!D127</f>
        <v>97.107381566993553</v>
      </c>
      <c r="E24" s="16">
        <f>基础状态预期!D172</f>
        <v>97.006001686863456</v>
      </c>
      <c r="F24" s="16">
        <f>基础状态预期!D217</f>
        <v>97.125654465362558</v>
      </c>
      <c r="G24" s="16">
        <f>武将升星!AD24+武将进阶!Y24+武将觉醒!S25</f>
        <v>448785661.30323762</v>
      </c>
      <c r="H24" s="16">
        <f>武将升星!AD69+武将进阶!Y69+武将觉醒!S70</f>
        <v>460043908.45648634</v>
      </c>
      <c r="I24" s="16">
        <f>武将升星!AD114+武将进阶!Y114+武将觉醒!S115</f>
        <v>465865553.47764862</v>
      </c>
      <c r="J24" s="16">
        <f>武将升星!AD159+武将进阶!Y159+武将觉醒!S160</f>
        <v>464113709.1490007</v>
      </c>
      <c r="K24" s="16">
        <f>武将升星!AD204+武将进阶!Y204+武将觉醒!S205</f>
        <v>466181309.16146511</v>
      </c>
      <c r="L24" s="23">
        <f>武将升星!AD24/$G24</f>
        <v>2.4643380424705576E-2</v>
      </c>
      <c r="M24" s="23">
        <f>武将进阶!Y24/$G24</f>
        <v>0.94794932682828059</v>
      </c>
      <c r="N24" s="23">
        <f>武将觉醒!S25/$G24</f>
        <v>2.7407292747013763E-2</v>
      </c>
      <c r="O24" s="23"/>
      <c r="P24" s="16">
        <v>21</v>
      </c>
      <c r="Q24" s="16">
        <f t="shared" si="0"/>
        <v>443200.57019136305</v>
      </c>
      <c r="R24" s="16">
        <f t="shared" si="1"/>
        <v>446986.91225998651</v>
      </c>
      <c r="S24" s="16">
        <f t="shared" si="2"/>
        <v>452782.08659932663</v>
      </c>
      <c r="T24" s="16">
        <f t="shared" si="3"/>
        <v>468721.1825814108</v>
      </c>
      <c r="U24" s="16">
        <f t="shared" si="4"/>
        <v>525388.05692776002</v>
      </c>
      <c r="X24" s="16">
        <f>武将升星!AD23</f>
        <v>6335782.852711007</v>
      </c>
      <c r="Y24" s="16">
        <f>武将升星!AD68</f>
        <v>22950000</v>
      </c>
      <c r="Z24" s="16">
        <f>武将升星!AD113</f>
        <v>22950000</v>
      </c>
      <c r="AA24" s="16">
        <f>武将升星!AD158</f>
        <v>22950000</v>
      </c>
      <c r="AB24" s="16">
        <f>武将升星!AD203</f>
        <v>22950000</v>
      </c>
      <c r="AC24" s="16">
        <f>武将进阶!Y23</f>
        <v>363709265.56628126</v>
      </c>
      <c r="AD24" s="16">
        <f>武将进阶!Y68</f>
        <v>362215508.97506177</v>
      </c>
      <c r="AE24" s="16">
        <f>武将进阶!Y113</f>
        <v>367787378.4955675</v>
      </c>
      <c r="AF24" s="16">
        <f>武将进阶!Y158</f>
        <v>366553244.45420837</v>
      </c>
      <c r="AG24" s="16">
        <f>武将进阶!Y203</f>
        <v>371345848.78845936</v>
      </c>
      <c r="AH24" s="16">
        <f>武将觉醒!S24</f>
        <v>12300000</v>
      </c>
      <c r="AI24" s="16">
        <f>武将觉醒!S69</f>
        <v>12300000</v>
      </c>
      <c r="AJ24" s="16">
        <f>武将觉醒!S114</f>
        <v>12300000</v>
      </c>
      <c r="AK24" s="16">
        <f>武将觉醒!S159</f>
        <v>12300000</v>
      </c>
      <c r="AL24" s="16">
        <f>武将觉醒!S204</f>
        <v>12300000</v>
      </c>
      <c r="AN24" s="16">
        <v>21</v>
      </c>
      <c r="AO24" s="16">
        <f t="shared" si="5"/>
        <v>4362.3534953916133</v>
      </c>
      <c r="AP24" s="16">
        <f t="shared" si="6"/>
        <v>6134.1625955815116</v>
      </c>
      <c r="AQ24" s="16">
        <f t="shared" si="7"/>
        <v>12371.248740204408</v>
      </c>
      <c r="AR24" s="16">
        <f t="shared" si="8"/>
        <v>26350.592956243032</v>
      </c>
      <c r="AS24" s="16">
        <f t="shared" si="9"/>
        <v>47248.556160520311</v>
      </c>
      <c r="AT24" s="16">
        <f t="shared" si="10"/>
        <v>318838.21669597144</v>
      </c>
      <c r="AU24" s="16">
        <f t="shared" si="11"/>
        <v>320852.74966440495</v>
      </c>
      <c r="AV24" s="16">
        <f t="shared" si="12"/>
        <v>320410.8378591222</v>
      </c>
      <c r="AW24" s="16">
        <f t="shared" si="13"/>
        <v>322370.58962516778</v>
      </c>
      <c r="AX24" s="16">
        <f t="shared" si="14"/>
        <v>322580.65242492047</v>
      </c>
      <c r="AY24" s="16">
        <f t="shared" si="15"/>
        <v>120000</v>
      </c>
      <c r="AZ24" s="16">
        <f t="shared" si="16"/>
        <v>120000</v>
      </c>
      <c r="BA24" s="16">
        <f t="shared" si="17"/>
        <v>120000</v>
      </c>
      <c r="BB24" s="16">
        <f t="shared" si="18"/>
        <v>120000</v>
      </c>
      <c r="BC24" s="16">
        <f t="shared" si="19"/>
        <v>155558.84834231919</v>
      </c>
    </row>
    <row r="25" spans="2:55" x14ac:dyDescent="0.15">
      <c r="B25" s="16">
        <f>基础状态预期!D38</f>
        <v>100.50342858241972</v>
      </c>
      <c r="C25" s="16">
        <f>基础状态预期!D83</f>
        <v>100.40175326279811</v>
      </c>
      <c r="D25" s="16">
        <f>基础状态预期!D128</f>
        <v>100.71243145193914</v>
      </c>
      <c r="E25" s="16">
        <f>基础状态预期!D173</f>
        <v>100.64473135315967</v>
      </c>
      <c r="F25" s="16">
        <f>基础状态预期!D218</f>
        <v>100.89689545435591</v>
      </c>
      <c r="G25" s="16">
        <f>武将升星!AD25+武将进阶!Y25+武将觉醒!S26</f>
        <v>634358984.43011057</v>
      </c>
      <c r="H25" s="16">
        <f>武将升星!AD70+武将进阶!Y70+武将觉醒!S71</f>
        <v>613042149.33611608</v>
      </c>
      <c r="I25" s="16">
        <f>武将升星!AD115+武将进阶!Y115+武将觉醒!S116</f>
        <v>688201416.85311508</v>
      </c>
      <c r="J25" s="16">
        <f>武将升星!AD160+武将进阶!Y160+武将觉醒!S161</f>
        <v>671823408.95638919</v>
      </c>
      <c r="K25" s="16">
        <f>武将升星!AD205+武将进阶!Y205+武将觉醒!S206</f>
        <v>732826948.31778336</v>
      </c>
      <c r="L25" s="23">
        <f>武将升星!AD25/$G25</f>
        <v>3.1006957028917845E-2</v>
      </c>
      <c r="M25" s="23">
        <f>武将进阶!Y25/$G25</f>
        <v>0.94960339089411205</v>
      </c>
      <c r="N25" s="23">
        <f>武将觉醒!S26/$G25</f>
        <v>1.9389652076970201E-2</v>
      </c>
      <c r="O25" s="23"/>
      <c r="P25" s="16">
        <v>22</v>
      </c>
      <c r="Q25" s="16">
        <f t="shared" si="0"/>
        <v>474038.78688733443</v>
      </c>
      <c r="R25" s="16">
        <f t="shared" si="1"/>
        <v>476944.86097404995</v>
      </c>
      <c r="S25" s="16">
        <f t="shared" si="2"/>
        <v>484567.5481736192</v>
      </c>
      <c r="T25" s="16">
        <f t="shared" si="3"/>
        <v>503041.71848073229</v>
      </c>
      <c r="U25" s="16">
        <f t="shared" si="4"/>
        <v>582230.00109923538</v>
      </c>
      <c r="X25" s="16">
        <f>武将升星!AD24</f>
        <v>11059595.780648753</v>
      </c>
      <c r="Y25" s="16">
        <f>武将升星!AD69</f>
        <v>22950000</v>
      </c>
      <c r="Z25" s="16">
        <f>武将升星!AD114</f>
        <v>22950000</v>
      </c>
      <c r="AA25" s="16">
        <f>武将升星!AD159</f>
        <v>22950000</v>
      </c>
      <c r="AB25" s="16">
        <f>武将升星!AD204</f>
        <v>22950000</v>
      </c>
      <c r="AC25" s="16">
        <f>武将进阶!Y24</f>
        <v>425426065.52258885</v>
      </c>
      <c r="AD25" s="16">
        <f>武将进阶!Y69</f>
        <v>424793908.45648634</v>
      </c>
      <c r="AE25" s="16">
        <f>武将进阶!Y114</f>
        <v>430615553.47764862</v>
      </c>
      <c r="AF25" s="16">
        <f>武将进阶!Y159</f>
        <v>428863709.1490007</v>
      </c>
      <c r="AG25" s="16">
        <f>武将进阶!Y204</f>
        <v>430931309.16146511</v>
      </c>
      <c r="AH25" s="16">
        <f>武将觉醒!S25</f>
        <v>12300000</v>
      </c>
      <c r="AI25" s="16">
        <f>武将觉醒!S70</f>
        <v>12300000</v>
      </c>
      <c r="AJ25" s="16">
        <f>武将觉醒!S115</f>
        <v>12300000</v>
      </c>
      <c r="AK25" s="16">
        <f>武将觉醒!S160</f>
        <v>12300000</v>
      </c>
      <c r="AL25" s="16">
        <f>武将觉醒!S205</f>
        <v>12300000</v>
      </c>
      <c r="AN25" s="16">
        <v>22</v>
      </c>
      <c r="AO25" s="16">
        <f t="shared" si="5"/>
        <v>4362.3534953916133</v>
      </c>
      <c r="AP25" s="16">
        <f t="shared" si="6"/>
        <v>6728.5280555488034</v>
      </c>
      <c r="AQ25" s="16">
        <f t="shared" si="7"/>
        <v>14745.198637267426</v>
      </c>
      <c r="AR25" s="16">
        <f t="shared" si="8"/>
        <v>33550.569338117581</v>
      </c>
      <c r="AS25" s="16">
        <f t="shared" si="9"/>
        <v>57116.080575488544</v>
      </c>
      <c r="AT25" s="16">
        <f t="shared" si="10"/>
        <v>349676.43339194282</v>
      </c>
      <c r="AU25" s="16">
        <f t="shared" si="11"/>
        <v>350216.33291850111</v>
      </c>
      <c r="AV25" s="16">
        <f t="shared" si="12"/>
        <v>349822.3495363518</v>
      </c>
      <c r="AW25" s="16">
        <f t="shared" si="13"/>
        <v>349491.14914261468</v>
      </c>
      <c r="AX25" s="16">
        <f t="shared" si="14"/>
        <v>348774.31820952502</v>
      </c>
      <c r="AY25" s="16">
        <f t="shared" si="15"/>
        <v>120000</v>
      </c>
      <c r="AZ25" s="16">
        <f t="shared" si="16"/>
        <v>120000</v>
      </c>
      <c r="BA25" s="16">
        <f t="shared" si="17"/>
        <v>120000</v>
      </c>
      <c r="BB25" s="16">
        <f t="shared" si="18"/>
        <v>120000</v>
      </c>
      <c r="BC25" s="16">
        <f t="shared" si="19"/>
        <v>176339.60231422176</v>
      </c>
    </row>
    <row r="26" spans="2:55" x14ac:dyDescent="0.15">
      <c r="B26" s="16">
        <f>基础状态预期!D39</f>
        <v>104.10129967499306</v>
      </c>
      <c r="C26" s="16">
        <f>基础状态预期!D84</f>
        <v>104.06236366727887</v>
      </c>
      <c r="D26" s="16">
        <f>基础状态预期!D129</f>
        <v>104.39233713204413</v>
      </c>
      <c r="E26" s="16">
        <f>基础状态预期!D174</f>
        <v>104.30731379164318</v>
      </c>
      <c r="F26" s="16">
        <f>基础状态预期!D219</f>
        <v>104.52148587104635</v>
      </c>
      <c r="G26" s="16">
        <f>武将升星!AD26+武将进阶!Y26+武将觉醒!S27</f>
        <v>1508036417.3743219</v>
      </c>
      <c r="H26" s="16">
        <f>武将升星!AD71+武将进阶!Y71+武将觉醒!S72</f>
        <v>1498617018.3881063</v>
      </c>
      <c r="I26" s="16">
        <f>武将升星!AD116+武将进阶!Y116+武将觉醒!S117</f>
        <v>1578444198.9841194</v>
      </c>
      <c r="J26" s="16">
        <f>武将升星!AD161+武将进阶!Y161+武将觉醒!S162</f>
        <v>1557875352.4743168</v>
      </c>
      <c r="K26" s="16">
        <f>武将升星!AD206+武将进阶!Y206+武将觉醒!S207</f>
        <v>1609687861.9235327</v>
      </c>
      <c r="L26" s="23">
        <f>武将升星!AD26/$G26</f>
        <v>1.5218465373640506E-2</v>
      </c>
      <c r="M26" s="23">
        <f>武将进阶!Y26/$G26</f>
        <v>0.97662523292283976</v>
      </c>
      <c r="N26" s="23">
        <f>武将觉醒!S27/$G26</f>
        <v>8.1563017035197489E-3</v>
      </c>
      <c r="O26" s="23"/>
      <c r="P26" s="16">
        <v>23</v>
      </c>
      <c r="Q26" s="16">
        <f t="shared" si="0"/>
        <v>504877.00358330586</v>
      </c>
      <c r="R26" s="16">
        <f t="shared" si="1"/>
        <v>506902.80968811346</v>
      </c>
      <c r="S26" s="16">
        <f t="shared" si="2"/>
        <v>516353.00974791183</v>
      </c>
      <c r="T26" s="16">
        <f t="shared" si="3"/>
        <v>537362.25438005372</v>
      </c>
      <c r="U26" s="16">
        <f t="shared" si="4"/>
        <v>639071.94527071074</v>
      </c>
      <c r="X26" s="16">
        <f>武将升星!AD25</f>
        <v>19669541.771132402</v>
      </c>
      <c r="Y26" s="16">
        <f>武将升星!AD70</f>
        <v>22950000</v>
      </c>
      <c r="Z26" s="16">
        <f>武将升星!AD115</f>
        <v>22950000</v>
      </c>
      <c r="AA26" s="16">
        <f>武将升星!AD160</f>
        <v>22950000</v>
      </c>
      <c r="AB26" s="16">
        <f>武将升星!AD205</f>
        <v>22950000</v>
      </c>
      <c r="AC26" s="16">
        <f>武将进阶!Y25</f>
        <v>602389442.65897822</v>
      </c>
      <c r="AD26" s="16">
        <f>武将进阶!Y70</f>
        <v>577792149.33611608</v>
      </c>
      <c r="AE26" s="16">
        <f>武将进阶!Y115</f>
        <v>652951416.85311508</v>
      </c>
      <c r="AF26" s="16">
        <f>武将进阶!Y160</f>
        <v>636573408.95638919</v>
      </c>
      <c r="AG26" s="16">
        <f>武将进阶!Y205</f>
        <v>697576948.31778336</v>
      </c>
      <c r="AH26" s="16">
        <f>武将觉醒!S26</f>
        <v>12300000</v>
      </c>
      <c r="AI26" s="16">
        <f>武将觉醒!S71</f>
        <v>12300000</v>
      </c>
      <c r="AJ26" s="16">
        <f>武将觉醒!S116</f>
        <v>12300000</v>
      </c>
      <c r="AK26" s="16">
        <f>武将觉醒!S161</f>
        <v>12300000</v>
      </c>
      <c r="AL26" s="16">
        <f>武将觉醒!S206</f>
        <v>12300000</v>
      </c>
      <c r="AN26" s="16">
        <v>23</v>
      </c>
      <c r="AO26" s="16">
        <f t="shared" si="5"/>
        <v>4362.3534953916133</v>
      </c>
      <c r="AP26" s="16">
        <f t="shared" si="6"/>
        <v>7322.8935155160962</v>
      </c>
      <c r="AQ26" s="16">
        <f t="shared" si="7"/>
        <v>17119.148534330441</v>
      </c>
      <c r="AR26" s="16">
        <f t="shared" si="8"/>
        <v>40750.545719992122</v>
      </c>
      <c r="AS26" s="16">
        <f t="shared" si="9"/>
        <v>66983.604990456777</v>
      </c>
      <c r="AT26" s="16">
        <f t="shared" si="10"/>
        <v>380514.65008791425</v>
      </c>
      <c r="AU26" s="16">
        <f t="shared" si="11"/>
        <v>379579.91617259732</v>
      </c>
      <c r="AV26" s="16">
        <f t="shared" si="12"/>
        <v>379233.8612135814</v>
      </c>
      <c r="AW26" s="16">
        <f t="shared" si="13"/>
        <v>376611.70866006159</v>
      </c>
      <c r="AX26" s="16">
        <f t="shared" si="14"/>
        <v>374967.98399412958</v>
      </c>
      <c r="AY26" s="16">
        <f t="shared" si="15"/>
        <v>120000</v>
      </c>
      <c r="AZ26" s="16">
        <f t="shared" si="16"/>
        <v>120000</v>
      </c>
      <c r="BA26" s="16">
        <f t="shared" si="17"/>
        <v>120000</v>
      </c>
      <c r="BB26" s="16">
        <f t="shared" si="18"/>
        <v>120000</v>
      </c>
      <c r="BC26" s="16">
        <f t="shared" si="19"/>
        <v>197120.35628612433</v>
      </c>
    </row>
    <row r="27" spans="2:55" x14ac:dyDescent="0.15">
      <c r="B27" s="16">
        <f>基础状态预期!D40</f>
        <v>107.48165553683219</v>
      </c>
      <c r="C27" s="16">
        <f>基础状态预期!D85</f>
        <v>107.42257994053838</v>
      </c>
      <c r="D27" s="16">
        <f>基础状态预期!D130</f>
        <v>107.81562240612369</v>
      </c>
      <c r="E27" s="16">
        <f>基础状态预期!D175</f>
        <v>107.78950972208385</v>
      </c>
      <c r="F27" s="16">
        <f>基础状态预期!D220</f>
        <v>108.05586950728798</v>
      </c>
      <c r="G27" s="16">
        <f>武将升星!AD27+武将进阶!Y27+武将觉醒!S28</f>
        <v>2325812107.4704456</v>
      </c>
      <c r="H27" s="16">
        <f>武将升星!AD72+武将进阶!Y72+武将觉醒!S73</f>
        <v>2311520539.2150469</v>
      </c>
      <c r="I27" s="16">
        <f>武将升星!AD117+武将进阶!Y117+武将觉醒!S118</f>
        <v>2406605372.4894457</v>
      </c>
      <c r="J27" s="16">
        <f>武将升星!AD162+武将进阶!Y162+武将觉醒!S163</f>
        <v>2400288191.966526</v>
      </c>
      <c r="K27" s="16">
        <f>武将升星!AD207+武将进阶!Y207+武将觉醒!S208</f>
        <v>2464725951.2031088</v>
      </c>
      <c r="L27" s="23">
        <f>武将升星!AD27/$G27</f>
        <v>9.8675210806088848E-3</v>
      </c>
      <c r="M27" s="23">
        <f>武将进阶!Y27/$G27</f>
        <v>0.98484400356899937</v>
      </c>
      <c r="N27" s="23">
        <f>武将觉醒!S28/$G27</f>
        <v>5.2884753503916904E-3</v>
      </c>
      <c r="O27" s="23"/>
      <c r="P27" s="16">
        <v>24</v>
      </c>
      <c r="Q27" s="16">
        <f t="shared" si="0"/>
        <v>535715.2202792773</v>
      </c>
      <c r="R27" s="16">
        <f t="shared" si="1"/>
        <v>536860.7584021769</v>
      </c>
      <c r="S27" s="16">
        <f t="shared" si="2"/>
        <v>548138.47132220445</v>
      </c>
      <c r="T27" s="16">
        <f t="shared" si="3"/>
        <v>571682.79027937516</v>
      </c>
      <c r="U27" s="16">
        <f t="shared" si="4"/>
        <v>695913.8894421861</v>
      </c>
      <c r="X27" s="16">
        <f>武将升星!AD26</f>
        <v>22950000</v>
      </c>
      <c r="Y27" s="16">
        <f>武将升星!AD71</f>
        <v>22950000</v>
      </c>
      <c r="Z27" s="16">
        <f>武将升星!AD116</f>
        <v>22950000</v>
      </c>
      <c r="AA27" s="16">
        <f>武将升星!AD161</f>
        <v>22950000</v>
      </c>
      <c r="AB27" s="16">
        <f>武将升星!AD206</f>
        <v>22950000</v>
      </c>
      <c r="AC27" s="16">
        <f>武将进阶!Y26</f>
        <v>1472786417.3743219</v>
      </c>
      <c r="AD27" s="16">
        <f>武将进阶!Y71</f>
        <v>1463367018.3881063</v>
      </c>
      <c r="AE27" s="16">
        <f>武将进阶!Y116</f>
        <v>1543194198.9841194</v>
      </c>
      <c r="AF27" s="16">
        <f>武将进阶!Y161</f>
        <v>1522625352.4743168</v>
      </c>
      <c r="AG27" s="16">
        <f>武将进阶!Y206</f>
        <v>1574437861.9235327</v>
      </c>
      <c r="AH27" s="16">
        <f>武将觉醒!S27</f>
        <v>12300000</v>
      </c>
      <c r="AI27" s="16">
        <f>武将觉醒!S72</f>
        <v>12300000</v>
      </c>
      <c r="AJ27" s="16">
        <f>武将觉醒!S117</f>
        <v>12300000</v>
      </c>
      <c r="AK27" s="16">
        <f>武将觉醒!S162</f>
        <v>12300000</v>
      </c>
      <c r="AL27" s="16">
        <f>武将觉醒!S207</f>
        <v>12300000</v>
      </c>
      <c r="AN27" s="16">
        <v>24</v>
      </c>
      <c r="AO27" s="16">
        <f t="shared" si="5"/>
        <v>4362.3534953916133</v>
      </c>
      <c r="AP27" s="16">
        <f t="shared" si="6"/>
        <v>7917.258975483388</v>
      </c>
      <c r="AQ27" s="16">
        <f t="shared" si="7"/>
        <v>19493.09843139346</v>
      </c>
      <c r="AR27" s="16">
        <f t="shared" si="8"/>
        <v>47950.522101866678</v>
      </c>
      <c r="AS27" s="16">
        <f t="shared" si="9"/>
        <v>76851.129405425017</v>
      </c>
      <c r="AT27" s="16">
        <f t="shared" si="10"/>
        <v>411352.86678388563</v>
      </c>
      <c r="AU27" s="16">
        <f t="shared" si="11"/>
        <v>408943.49942669348</v>
      </c>
      <c r="AV27" s="16">
        <f t="shared" si="12"/>
        <v>408645.37289081095</v>
      </c>
      <c r="AW27" s="16">
        <f t="shared" si="13"/>
        <v>403732.26817750849</v>
      </c>
      <c r="AX27" s="16">
        <f t="shared" si="14"/>
        <v>401161.64977873408</v>
      </c>
      <c r="AY27" s="16">
        <f t="shared" si="15"/>
        <v>120000</v>
      </c>
      <c r="AZ27" s="16">
        <f t="shared" si="16"/>
        <v>120000</v>
      </c>
      <c r="BA27" s="16">
        <f t="shared" si="17"/>
        <v>120000</v>
      </c>
      <c r="BB27" s="16">
        <f t="shared" si="18"/>
        <v>120000</v>
      </c>
      <c r="BC27" s="16">
        <f t="shared" si="19"/>
        <v>217901.11025802692</v>
      </c>
    </row>
    <row r="28" spans="2:55" x14ac:dyDescent="0.15">
      <c r="B28" s="16">
        <f>基础状态预期!D41</f>
        <v>111.03813549320469</v>
      </c>
      <c r="C28" s="16">
        <f>基础状态预期!D86</f>
        <v>111.00691759243479</v>
      </c>
      <c r="D28" s="16">
        <f>基础状态预期!D131</f>
        <v>111.36292001894914</v>
      </c>
      <c r="E28" s="16">
        <f>基础状态预期!D176</f>
        <v>111.29737083030383</v>
      </c>
      <c r="F28" s="16">
        <f>基础状态预期!D221</f>
        <v>111.54601176466306</v>
      </c>
      <c r="G28" s="16">
        <f>武将升星!AD28+武将进阶!Y28+武将觉醒!S29</f>
        <v>3186195738.5160789</v>
      </c>
      <c r="H28" s="16">
        <f>武将升星!AD73+武将进阶!Y73+武将觉醒!S74</f>
        <v>3178643503.9618254</v>
      </c>
      <c r="I28" s="16">
        <f>武将升星!AD118+武将进阶!Y118+武将觉醒!S119</f>
        <v>3264767610.9841762</v>
      </c>
      <c r="J28" s="16">
        <f>武将升星!AD163+武将进阶!Y163+武将觉醒!S164</f>
        <v>3248909951.2671056</v>
      </c>
      <c r="K28" s="16">
        <f>武将升星!AD208+武将进阶!Y208+武将觉醒!S209</f>
        <v>3309061166.1072865</v>
      </c>
      <c r="L28" s="23">
        <f>武将升星!AD28/$G28</f>
        <v>7.2029473025058419E-3</v>
      </c>
      <c r="M28" s="23">
        <f>武将进阶!Y28/$G28</f>
        <v>0.98893664956804661</v>
      </c>
      <c r="N28" s="23">
        <f>武将觉醒!S29/$G28</f>
        <v>3.8604031294475756E-3</v>
      </c>
      <c r="O28" s="23"/>
      <c r="P28" s="16">
        <v>25</v>
      </c>
      <c r="Q28" s="16">
        <f t="shared" si="0"/>
        <v>566553.43697524874</v>
      </c>
      <c r="R28" s="16">
        <f t="shared" si="1"/>
        <v>566818.7071162404</v>
      </c>
      <c r="S28" s="16">
        <f t="shared" si="2"/>
        <v>579923.93289649708</v>
      </c>
      <c r="T28" s="16">
        <f t="shared" si="3"/>
        <v>606003.32617869659</v>
      </c>
      <c r="U28" s="16">
        <f t="shared" si="4"/>
        <v>752755.83361366135</v>
      </c>
      <c r="X28" s="16">
        <f>武将升星!AD27</f>
        <v>22950000</v>
      </c>
      <c r="Y28" s="16">
        <f>武将升星!AD72</f>
        <v>22950000</v>
      </c>
      <c r="Z28" s="16">
        <f>武将升星!AD117</f>
        <v>22950000</v>
      </c>
      <c r="AA28" s="16">
        <f>武将升星!AD162</f>
        <v>22950000</v>
      </c>
      <c r="AB28" s="16">
        <f>武将升星!AD207</f>
        <v>22950000</v>
      </c>
      <c r="AC28" s="16">
        <f>武将进阶!Y27</f>
        <v>2290562107.4704456</v>
      </c>
      <c r="AD28" s="16">
        <f>武将进阶!Y72</f>
        <v>2276270539.2150469</v>
      </c>
      <c r="AE28" s="16">
        <f>武将进阶!Y117</f>
        <v>2371355372.4894457</v>
      </c>
      <c r="AF28" s="16">
        <f>武将进阶!Y162</f>
        <v>2365038191.966526</v>
      </c>
      <c r="AG28" s="16">
        <f>武将进阶!Y207</f>
        <v>2429475951.2031088</v>
      </c>
      <c r="AH28" s="16">
        <f>武将觉醒!S28</f>
        <v>12300000</v>
      </c>
      <c r="AI28" s="16">
        <f>武将觉醒!S73</f>
        <v>12300000</v>
      </c>
      <c r="AJ28" s="16">
        <f>武将觉醒!S118</f>
        <v>12300000</v>
      </c>
      <c r="AK28" s="16">
        <f>武将觉醒!S163</f>
        <v>12300000</v>
      </c>
      <c r="AL28" s="16">
        <f>武将觉醒!S208</f>
        <v>12300000</v>
      </c>
      <c r="AN28" s="16">
        <v>25</v>
      </c>
      <c r="AO28" s="16">
        <f t="shared" si="5"/>
        <v>4362.3534953916133</v>
      </c>
      <c r="AP28" s="16">
        <f t="shared" si="6"/>
        <v>8511.6244354506798</v>
      </c>
      <c r="AQ28" s="16">
        <f t="shared" si="7"/>
        <v>21867.048328456476</v>
      </c>
      <c r="AR28" s="16">
        <f t="shared" si="8"/>
        <v>55150.498483741227</v>
      </c>
      <c r="AS28" s="16">
        <f t="shared" si="9"/>
        <v>86718.653820393243</v>
      </c>
      <c r="AT28" s="16">
        <f t="shared" si="10"/>
        <v>442191.08347985707</v>
      </c>
      <c r="AU28" s="16">
        <f t="shared" si="11"/>
        <v>438307.08268078964</v>
      </c>
      <c r="AV28" s="16">
        <f t="shared" si="12"/>
        <v>438056.88456804061</v>
      </c>
      <c r="AW28" s="16">
        <f t="shared" si="13"/>
        <v>430852.8276949554</v>
      </c>
      <c r="AX28" s="16">
        <f t="shared" si="14"/>
        <v>427355.31556333863</v>
      </c>
      <c r="AY28" s="16">
        <f t="shared" si="15"/>
        <v>120000</v>
      </c>
      <c r="AZ28" s="16">
        <f t="shared" si="16"/>
        <v>120000</v>
      </c>
      <c r="BA28" s="16">
        <f t="shared" si="17"/>
        <v>120000</v>
      </c>
      <c r="BB28" s="16">
        <f t="shared" si="18"/>
        <v>120000</v>
      </c>
      <c r="BC28" s="16">
        <f t="shared" si="19"/>
        <v>238681.86422992952</v>
      </c>
    </row>
    <row r="29" spans="2:55" x14ac:dyDescent="0.15">
      <c r="B29" s="16">
        <f>基础状态预期!D42</f>
        <v>114.50860608277577</v>
      </c>
      <c r="C29" s="16">
        <f>基础状态预期!D87</f>
        <v>114.47614359759058</v>
      </c>
      <c r="D29" s="16">
        <f>基础状态预期!D132</f>
        <v>114.91934497223426</v>
      </c>
      <c r="E29" s="16">
        <f>基础状态预期!D177</f>
        <v>114.91888401282834</v>
      </c>
      <c r="F29" s="16">
        <f>基础状态预期!D222</f>
        <v>115.20444967370992</v>
      </c>
      <c r="G29" s="16">
        <f>武将升星!AD29+武将进阶!Y29+武将觉醒!S30</f>
        <v>4025771983.5451164</v>
      </c>
      <c r="H29" s="16">
        <f>武将升星!AD74+武将进阶!Y74+武将觉醒!S75</f>
        <v>4017918659.1291118</v>
      </c>
      <c r="I29" s="16">
        <f>武将升星!AD119+武将进阶!Y119+武将觉醒!S120</f>
        <v>4125137935.6829123</v>
      </c>
      <c r="J29" s="16">
        <f>武将升星!AD164+武将进阶!Y164+武将觉醒!S165</f>
        <v>4125026420.3834338</v>
      </c>
      <c r="K29" s="16">
        <f>武将升星!AD209+武将进阶!Y209+武将觉醒!S210</f>
        <v>4194110465.0639009</v>
      </c>
      <c r="L29" s="23">
        <f>武将升星!AD29/$G29</f>
        <v>5.7007699625824578E-3</v>
      </c>
      <c r="M29" s="23">
        <f>武将进阶!Y29/$G29</f>
        <v>0.99124391541694856</v>
      </c>
      <c r="N29" s="23">
        <f>武将觉醒!S30/$G29</f>
        <v>3.0553146204690298E-3</v>
      </c>
      <c r="O29" s="23"/>
      <c r="P29" s="16">
        <v>26</v>
      </c>
      <c r="Q29" s="16">
        <f t="shared" si="0"/>
        <v>597391.65367122018</v>
      </c>
      <c r="R29" s="16">
        <f t="shared" si="1"/>
        <v>596776.65583030391</v>
      </c>
      <c r="S29" s="16">
        <f t="shared" si="2"/>
        <v>611709.3944707897</v>
      </c>
      <c r="T29" s="16">
        <f t="shared" si="3"/>
        <v>640323.86207801802</v>
      </c>
      <c r="U29" s="16">
        <f t="shared" si="4"/>
        <v>809597.77778513683</v>
      </c>
      <c r="X29" s="16">
        <f>武将升星!AD28</f>
        <v>22950000</v>
      </c>
      <c r="Y29" s="16">
        <f>武将升星!AD73</f>
        <v>22950000</v>
      </c>
      <c r="Z29" s="16">
        <f>武将升星!AD118</f>
        <v>22950000</v>
      </c>
      <c r="AA29" s="16">
        <f>武将升星!AD163</f>
        <v>22950000</v>
      </c>
      <c r="AB29" s="16">
        <f>武将升星!AD208</f>
        <v>22950000</v>
      </c>
      <c r="AC29" s="16">
        <f>武将进阶!Y28</f>
        <v>3150945738.5160789</v>
      </c>
      <c r="AD29" s="16">
        <f>武将进阶!Y73</f>
        <v>3143393503.9618254</v>
      </c>
      <c r="AE29" s="16">
        <f>武将进阶!Y118</f>
        <v>3229517610.9841762</v>
      </c>
      <c r="AF29" s="16">
        <f>武将进阶!Y163</f>
        <v>3213659951.2671056</v>
      </c>
      <c r="AG29" s="16">
        <f>武将进阶!Y208</f>
        <v>3273811166.1072865</v>
      </c>
      <c r="AH29" s="16">
        <f>武将觉醒!S29</f>
        <v>12300000</v>
      </c>
      <c r="AI29" s="16">
        <f>武将觉醒!S74</f>
        <v>12300000</v>
      </c>
      <c r="AJ29" s="16">
        <f>武将觉醒!S119</f>
        <v>12300000</v>
      </c>
      <c r="AK29" s="16">
        <f>武将觉醒!S164</f>
        <v>12300000</v>
      </c>
      <c r="AL29" s="16">
        <f>武将觉醒!S209</f>
        <v>12300000</v>
      </c>
      <c r="AN29" s="16">
        <v>26</v>
      </c>
      <c r="AO29" s="16">
        <f t="shared" si="5"/>
        <v>4362.3534953916133</v>
      </c>
      <c r="AP29" s="16">
        <f t="shared" si="6"/>
        <v>9105.9898954179716</v>
      </c>
      <c r="AQ29" s="16">
        <f t="shared" si="7"/>
        <v>24240.998225519495</v>
      </c>
      <c r="AR29" s="16">
        <f t="shared" si="8"/>
        <v>62350.474865615775</v>
      </c>
      <c r="AS29" s="16">
        <f t="shared" si="9"/>
        <v>96586.178235361484</v>
      </c>
      <c r="AT29" s="16">
        <f t="shared" si="10"/>
        <v>473029.30017582851</v>
      </c>
      <c r="AU29" s="16">
        <f t="shared" si="11"/>
        <v>467670.66593488585</v>
      </c>
      <c r="AV29" s="16">
        <f t="shared" si="12"/>
        <v>467468.39624527015</v>
      </c>
      <c r="AW29" s="16">
        <f t="shared" si="13"/>
        <v>457973.3872124023</v>
      </c>
      <c r="AX29" s="16">
        <f t="shared" si="14"/>
        <v>453548.98134794319</v>
      </c>
      <c r="AY29" s="16">
        <f t="shared" si="15"/>
        <v>120000</v>
      </c>
      <c r="AZ29" s="16">
        <f t="shared" si="16"/>
        <v>120000</v>
      </c>
      <c r="BA29" s="16">
        <f t="shared" si="17"/>
        <v>120000</v>
      </c>
      <c r="BB29" s="16">
        <f t="shared" si="18"/>
        <v>120000</v>
      </c>
      <c r="BC29" s="16">
        <f t="shared" si="19"/>
        <v>259462.61820183208</v>
      </c>
    </row>
    <row r="30" spans="2:55" x14ac:dyDescent="0.15">
      <c r="B30" s="16">
        <f>基础状态预期!D43</f>
        <v>118.05948896247369</v>
      </c>
      <c r="C30" s="16">
        <f>基础状态预期!D88</f>
        <v>118.05724034557241</v>
      </c>
      <c r="D30" s="16">
        <f>基础状态预期!D133</f>
        <v>118.44741987029688</v>
      </c>
      <c r="E30" s="16">
        <f>基础状态预期!D178</f>
        <v>118.4172728380062</v>
      </c>
      <c r="F30" s="16">
        <f>基础状态预期!D223</f>
        <v>118.75432507225094</v>
      </c>
      <c r="G30" s="16">
        <f>武将升星!AD30+武将进阶!Y30+武将觉醒!S31</f>
        <v>4884801569.8016357</v>
      </c>
      <c r="H30" s="16">
        <f>武将升星!AD75+武将进阶!Y75+武将觉醒!S76</f>
        <v>4884257584.400878</v>
      </c>
      <c r="I30" s="16">
        <f>武将升星!AD120+武将进阶!Y120+武将觉醒!S121</f>
        <v>4978649815.0222206</v>
      </c>
      <c r="J30" s="16">
        <f>武将升星!AD165+武将进阶!Y165+武将觉醒!S166</f>
        <v>4971356644.9704609</v>
      </c>
      <c r="K30" s="16">
        <f>武将升星!AD210+武将进阶!Y210+武将觉醒!S211</f>
        <v>5052896321.4789486</v>
      </c>
      <c r="L30" s="23">
        <f>武将升星!AD30/$G30</f>
        <v>4.6982461154367761E-3</v>
      </c>
      <c r="M30" s="23">
        <f>武将进阶!Y30/$G30</f>
        <v>0.9927837396266167</v>
      </c>
      <c r="N30" s="23">
        <f>武将觉醒!S31/$G30</f>
        <v>2.5180142579465073E-3</v>
      </c>
      <c r="O30" s="23"/>
      <c r="P30" s="16">
        <v>27</v>
      </c>
      <c r="Q30" s="16">
        <f t="shared" si="0"/>
        <v>628229.8703671915</v>
      </c>
      <c r="R30" s="16">
        <f t="shared" si="1"/>
        <v>626734.60454436729</v>
      </c>
      <c r="S30" s="16">
        <f t="shared" si="2"/>
        <v>643494.85604508233</v>
      </c>
      <c r="T30" s="16">
        <f t="shared" si="3"/>
        <v>674644.39797733957</v>
      </c>
      <c r="U30" s="16">
        <f t="shared" si="4"/>
        <v>866439.72195661208</v>
      </c>
      <c r="X30" s="16">
        <f>武将升星!AD29</f>
        <v>22950000</v>
      </c>
      <c r="Y30" s="16">
        <f>武将升星!AD74</f>
        <v>22950000</v>
      </c>
      <c r="Z30" s="16">
        <f>武将升星!AD119</f>
        <v>22950000</v>
      </c>
      <c r="AA30" s="16">
        <f>武将升星!AD164</f>
        <v>22950000</v>
      </c>
      <c r="AB30" s="16">
        <f>武将升星!AD209</f>
        <v>22950000</v>
      </c>
      <c r="AC30" s="16">
        <f>武将进阶!Y29</f>
        <v>3990521983.5451164</v>
      </c>
      <c r="AD30" s="16">
        <f>武将进阶!Y74</f>
        <v>3982668659.1291118</v>
      </c>
      <c r="AE30" s="16">
        <f>武将进阶!Y119</f>
        <v>4089887935.6829123</v>
      </c>
      <c r="AF30" s="16">
        <f>武将进阶!Y164</f>
        <v>4089776420.3834338</v>
      </c>
      <c r="AG30" s="16">
        <f>武将进阶!Y209</f>
        <v>4158860465.0639009</v>
      </c>
      <c r="AH30" s="16">
        <f>武将觉醒!S30</f>
        <v>12300000</v>
      </c>
      <c r="AI30" s="16">
        <f>武将觉醒!S75</f>
        <v>12300000</v>
      </c>
      <c r="AJ30" s="16">
        <f>武将觉醒!S120</f>
        <v>12300000</v>
      </c>
      <c r="AK30" s="16">
        <f>武将觉醒!S165</f>
        <v>12300000</v>
      </c>
      <c r="AL30" s="16">
        <f>武将觉醒!S210</f>
        <v>12300000</v>
      </c>
      <c r="AN30" s="16">
        <v>27</v>
      </c>
      <c r="AO30" s="16">
        <f t="shared" si="5"/>
        <v>4362.3534953916133</v>
      </c>
      <c r="AP30" s="16">
        <f t="shared" si="6"/>
        <v>9700.3553553852653</v>
      </c>
      <c r="AQ30" s="16">
        <f t="shared" si="7"/>
        <v>26614.948122582515</v>
      </c>
      <c r="AR30" s="16">
        <f t="shared" si="8"/>
        <v>69550.451247490331</v>
      </c>
      <c r="AS30" s="16">
        <f t="shared" si="9"/>
        <v>106453.70265032971</v>
      </c>
      <c r="AT30" s="16">
        <f t="shared" si="10"/>
        <v>503867.51687179989</v>
      </c>
      <c r="AU30" s="16">
        <f t="shared" si="11"/>
        <v>497034.24918898201</v>
      </c>
      <c r="AV30" s="16">
        <f t="shared" si="12"/>
        <v>496879.90792249975</v>
      </c>
      <c r="AW30" s="16">
        <f t="shared" si="13"/>
        <v>485093.94672984921</v>
      </c>
      <c r="AX30" s="16">
        <f t="shared" si="14"/>
        <v>479742.64713254769</v>
      </c>
      <c r="AY30" s="16">
        <f t="shared" si="15"/>
        <v>120000</v>
      </c>
      <c r="AZ30" s="16">
        <f t="shared" si="16"/>
        <v>120000</v>
      </c>
      <c r="BA30" s="16">
        <f t="shared" si="17"/>
        <v>120000</v>
      </c>
      <c r="BB30" s="16">
        <f t="shared" si="18"/>
        <v>120000</v>
      </c>
      <c r="BC30" s="16">
        <f t="shared" si="19"/>
        <v>280243.37217373471</v>
      </c>
    </row>
    <row r="31" spans="2:55" x14ac:dyDescent="0.15">
      <c r="B31" s="16">
        <f>基础状态预期!D44</f>
        <v>121.47928719052189</v>
      </c>
      <c r="C31" s="16">
        <f>基础状态预期!D89</f>
        <v>121.49411884885473</v>
      </c>
      <c r="D31" s="16">
        <f>基础状态预期!D134</f>
        <v>121.97211685892326</v>
      </c>
      <c r="E31" s="16">
        <f>基础状态预期!D179</f>
        <v>121.99245722798884</v>
      </c>
      <c r="F31" s="16">
        <f>基础状态预期!D224</f>
        <v>122.26514676047371</v>
      </c>
      <c r="G31" s="16">
        <f>武将升星!AD31+武将进阶!Y31+武将觉醒!S32</f>
        <v>5712119157.131053</v>
      </c>
      <c r="H31" s="16">
        <f>武将升星!AD76+武将进阶!Y76+武将觉醒!S77</f>
        <v>5715707231.9149351</v>
      </c>
      <c r="I31" s="16">
        <f>武将升星!AD121+武将进阶!Y121+武将觉醒!S122</f>
        <v>5831344510.5107155</v>
      </c>
      <c r="J31" s="16">
        <f>武将升星!AD166+武将进阶!Y166+武将觉醒!S167</f>
        <v>5836265252.5950594</v>
      </c>
      <c r="K31" s="16">
        <f>武将升星!AD211+武将进阶!Y211+武将觉醒!S212</f>
        <v>5902234304.2937994</v>
      </c>
      <c r="L31" s="23">
        <f>武将升星!AD31/$G31</f>
        <v>4.0177733287214508E-3</v>
      </c>
      <c r="M31" s="23">
        <f>武将进阶!Y31/$G31</f>
        <v>0.99382891024673503</v>
      </c>
      <c r="N31" s="23">
        <f>武将觉醒!S32/$G31</f>
        <v>2.1533164245435229E-3</v>
      </c>
      <c r="O31" s="23"/>
      <c r="P31" s="16">
        <v>28</v>
      </c>
      <c r="Q31" s="16">
        <f t="shared" si="0"/>
        <v>659068.08706316294</v>
      </c>
      <c r="R31" s="16">
        <f t="shared" si="1"/>
        <v>717450.5122532188</v>
      </c>
      <c r="S31" s="16">
        <f t="shared" si="2"/>
        <v>771021.90330988576</v>
      </c>
      <c r="T31" s="16">
        <f t="shared" si="3"/>
        <v>1060216.6009412098</v>
      </c>
      <c r="U31" s="16">
        <f t="shared" si="4"/>
        <v>1334239.0750149528</v>
      </c>
      <c r="X31" s="16">
        <f>武将升星!AD30</f>
        <v>22950000</v>
      </c>
      <c r="Y31" s="16">
        <f>武将升星!AD75</f>
        <v>22950000</v>
      </c>
      <c r="Z31" s="16">
        <f>武将升星!AD120</f>
        <v>22950000</v>
      </c>
      <c r="AA31" s="16">
        <f>武将升星!AD165</f>
        <v>22950000</v>
      </c>
      <c r="AB31" s="16">
        <f>武将升星!AD210</f>
        <v>22950000</v>
      </c>
      <c r="AC31" s="16">
        <f>武将进阶!Y30</f>
        <v>4849551569.8016357</v>
      </c>
      <c r="AD31" s="16">
        <f>武将进阶!Y75</f>
        <v>4849007584.400878</v>
      </c>
      <c r="AE31" s="16">
        <f>武将进阶!Y120</f>
        <v>4943399815.0222206</v>
      </c>
      <c r="AF31" s="16">
        <f>武将进阶!Y165</f>
        <v>4936106644.9704609</v>
      </c>
      <c r="AG31" s="16">
        <f>武将进阶!Y210</f>
        <v>5017646321.4789486</v>
      </c>
      <c r="AH31" s="16">
        <f>武将觉醒!S31</f>
        <v>12300000</v>
      </c>
      <c r="AI31" s="16">
        <f>武将觉醒!S76</f>
        <v>12300000</v>
      </c>
      <c r="AJ31" s="16">
        <f>武将觉醒!S121</f>
        <v>12300000</v>
      </c>
      <c r="AK31" s="16">
        <f>武将觉醒!S166</f>
        <v>12300000</v>
      </c>
      <c r="AL31" s="16">
        <f>武将觉醒!S211</f>
        <v>12300000</v>
      </c>
      <c r="AN31" s="16">
        <v>28</v>
      </c>
      <c r="AO31" s="16">
        <f t="shared" si="5"/>
        <v>4362.3534953916133</v>
      </c>
      <c r="AP31" s="16">
        <f t="shared" si="6"/>
        <v>11209.777592596922</v>
      </c>
      <c r="AQ31" s="16">
        <f t="shared" si="7"/>
        <v>30400.454341236029</v>
      </c>
      <c r="AR31" s="16">
        <f t="shared" si="8"/>
        <v>88211.022926996695</v>
      </c>
      <c r="AS31" s="16">
        <f t="shared" si="9"/>
        <v>130267.22550373409</v>
      </c>
      <c r="AT31" s="16">
        <f t="shared" si="10"/>
        <v>534705.73356777127</v>
      </c>
      <c r="AU31" s="16">
        <f t="shared" si="11"/>
        <v>532800</v>
      </c>
      <c r="AV31" s="16">
        <f t="shared" si="12"/>
        <v>532799.99999999988</v>
      </c>
      <c r="AW31" s="16">
        <f t="shared" si="13"/>
        <v>532800.00000000012</v>
      </c>
      <c r="AX31" s="16">
        <f t="shared" si="14"/>
        <v>532799.99999999988</v>
      </c>
      <c r="AY31" s="16">
        <f t="shared" si="15"/>
        <v>120000</v>
      </c>
      <c r="AZ31" s="16">
        <f t="shared" si="16"/>
        <v>173440.73466062182</v>
      </c>
      <c r="BA31" s="16">
        <f t="shared" si="17"/>
        <v>207821.44896864984</v>
      </c>
      <c r="BB31" s="16">
        <f t="shared" si="18"/>
        <v>439205.57801421301</v>
      </c>
      <c r="BC31" s="16">
        <f t="shared" si="19"/>
        <v>671171.84951121872</v>
      </c>
    </row>
    <row r="32" spans="2:55" x14ac:dyDescent="0.15">
      <c r="B32" s="16">
        <f>基础状态预期!D45</f>
        <v>125.02015904129435</v>
      </c>
      <c r="C32" s="16">
        <f>基础状态预期!D90</f>
        <v>125.03100311549058</v>
      </c>
      <c r="D32" s="16">
        <f>基础状态预期!D135</f>
        <v>125.41953077529134</v>
      </c>
      <c r="E32" s="16">
        <f>基础状态预期!D180</f>
        <v>125.43876546297123</v>
      </c>
      <c r="F32" s="16">
        <f>基础状态预期!D225</f>
        <v>125.84855083483956</v>
      </c>
      <c r="G32" s="16">
        <f>武将升星!AD32+武将进阶!Y32+武将觉醒!S33</f>
        <v>6563850000</v>
      </c>
      <c r="H32" s="16">
        <f>武将升星!AD77+武将进阶!Y77+武将觉醒!S78</f>
        <v>6563850000</v>
      </c>
      <c r="I32" s="16">
        <f>武将升星!AD122+武将进阶!Y122+武将觉醒!S123</f>
        <v>6563850000</v>
      </c>
      <c r="J32" s="16">
        <f>武将升星!AD167+武将进阶!Y167+武将觉醒!S168</f>
        <v>6563850000</v>
      </c>
      <c r="K32" s="16">
        <f>武将升星!AD212+武将进阶!Y212+武将觉醒!S213</f>
        <v>6563850000</v>
      </c>
      <c r="L32" s="23">
        <f>武将升星!AD32/$G32</f>
        <v>3.4964235928608973E-3</v>
      </c>
      <c r="M32" s="23">
        <f>武将进阶!Y32/$G32</f>
        <v>0.99462967618089992</v>
      </c>
      <c r="N32" s="23">
        <f>武将觉醒!S33/$G32</f>
        <v>1.8739002262391736E-3</v>
      </c>
      <c r="O32" s="23"/>
      <c r="P32" s="16">
        <v>29</v>
      </c>
      <c r="Q32" s="16">
        <f t="shared" si="0"/>
        <v>830954.30911923049</v>
      </c>
      <c r="R32" s="16">
        <f t="shared" si="1"/>
        <v>1015378.1814649164</v>
      </c>
      <c r="S32" s="16">
        <f t="shared" si="2"/>
        <v>1217461.6219212946</v>
      </c>
      <c r="T32" s="16">
        <f t="shared" si="3"/>
        <v>1614609.883664262</v>
      </c>
      <c r="U32" s="16">
        <f t="shared" si="4"/>
        <v>1871531.2899176816</v>
      </c>
      <c r="X32" s="16">
        <f>武将升星!AD31</f>
        <v>22950000</v>
      </c>
      <c r="Y32" s="16">
        <f>武将升星!AD76</f>
        <v>22950000</v>
      </c>
      <c r="Z32" s="16">
        <f>武将升星!AD121</f>
        <v>22950000</v>
      </c>
      <c r="AA32" s="16">
        <f>武将升星!AD166</f>
        <v>22950000</v>
      </c>
      <c r="AB32" s="16">
        <f>武将升星!AD211</f>
        <v>22950000</v>
      </c>
      <c r="AC32" s="16">
        <f>武将进阶!Y31</f>
        <v>5676869157.131053</v>
      </c>
      <c r="AD32" s="16">
        <f>武将进阶!Y76</f>
        <v>5680457231.9149351</v>
      </c>
      <c r="AE32" s="16">
        <f>武将进阶!Y121</f>
        <v>5796094510.5107155</v>
      </c>
      <c r="AF32" s="16">
        <f>武将进阶!Y166</f>
        <v>5801015252.5950594</v>
      </c>
      <c r="AG32" s="16">
        <f>武将进阶!Y211</f>
        <v>5866984304.2937994</v>
      </c>
      <c r="AH32" s="16">
        <f>武将觉醒!S32</f>
        <v>12300000</v>
      </c>
      <c r="AI32" s="16">
        <f>武将觉醒!S77</f>
        <v>12300000</v>
      </c>
      <c r="AJ32" s="16">
        <f>武将觉醒!S122</f>
        <v>12300000</v>
      </c>
      <c r="AK32" s="16">
        <f>武将觉醒!S167</f>
        <v>12300000</v>
      </c>
      <c r="AL32" s="16">
        <f>武将觉醒!S212</f>
        <v>12300000</v>
      </c>
      <c r="AN32" s="16">
        <v>29</v>
      </c>
      <c r="AO32" s="16">
        <f t="shared" si="5"/>
        <v>7502.3661497572493</v>
      </c>
      <c r="AP32" s="16">
        <f t="shared" si="6"/>
        <v>15839.951906161037</v>
      </c>
      <c r="AQ32" s="16">
        <f t="shared" si="7"/>
        <v>38887.817062765811</v>
      </c>
      <c r="AR32" s="16">
        <f t="shared" si="8"/>
        <v>112379.86760346412</v>
      </c>
      <c r="AS32" s="16">
        <f t="shared" si="9"/>
        <v>156439.01547145908</v>
      </c>
      <c r="AT32" s="16">
        <f t="shared" si="10"/>
        <v>590400.00000000012</v>
      </c>
      <c r="AU32" s="16">
        <f t="shared" si="11"/>
        <v>590400</v>
      </c>
      <c r="AV32" s="16">
        <f t="shared" si="12"/>
        <v>590399.99999999988</v>
      </c>
      <c r="AW32" s="16">
        <f t="shared" si="13"/>
        <v>590400</v>
      </c>
      <c r="AX32" s="16">
        <f t="shared" si="14"/>
        <v>590400</v>
      </c>
      <c r="AY32" s="16">
        <f t="shared" si="15"/>
        <v>233051.94296947302</v>
      </c>
      <c r="AZ32" s="16">
        <f t="shared" si="16"/>
        <v>409138.22955875541</v>
      </c>
      <c r="BA32" s="16">
        <f t="shared" si="17"/>
        <v>588173.80485852878</v>
      </c>
      <c r="BB32" s="16">
        <f t="shared" si="18"/>
        <v>911830.01606079785</v>
      </c>
      <c r="BC32" s="16">
        <f t="shared" si="19"/>
        <v>1124692.2744462229</v>
      </c>
    </row>
    <row r="33" spans="2:55" x14ac:dyDescent="0.15">
      <c r="B33" s="16">
        <f>基础状态预期!D46</f>
        <v>128.56549059889721</v>
      </c>
      <c r="C33" s="16">
        <f>基础状态预期!D91</f>
        <v>128.62542789463421</v>
      </c>
      <c r="D33" s="16">
        <f>基础状态预期!D136</f>
        <v>129.09045404756728</v>
      </c>
      <c r="E33" s="16">
        <f>基础状态预期!D181</f>
        <v>129.12105302323599</v>
      </c>
      <c r="F33" s="16">
        <f>基础状态预期!D226</f>
        <v>129.43528964176323</v>
      </c>
      <c r="G33" s="16">
        <f>武将升星!AD33+武将进阶!Y33+武将觉醒!S34</f>
        <v>6563850000</v>
      </c>
      <c r="H33" s="16">
        <f>武将升星!AD78+武将进阶!Y78+武将觉醒!S79</f>
        <v>6563850000</v>
      </c>
      <c r="I33" s="16">
        <f>武将升星!AD123+武将进阶!Y123+武将觉醒!S124</f>
        <v>6563850000</v>
      </c>
      <c r="J33" s="16">
        <f>武将升星!AD168+武将进阶!Y168+武将觉醒!S169</f>
        <v>6563850000</v>
      </c>
      <c r="K33" s="16">
        <f>武将升星!AD213+武将进阶!Y213+武将觉醒!S214</f>
        <v>6563850000</v>
      </c>
      <c r="L33" s="23">
        <f>武将升星!AD33/$G33</f>
        <v>3.4964235928608973E-3</v>
      </c>
      <c r="M33" s="23">
        <f>武将进阶!Y33/$G33</f>
        <v>0.99462967618089992</v>
      </c>
      <c r="N33" s="23">
        <f>武将觉醒!S34/$G33</f>
        <v>1.8739002262391736E-3</v>
      </c>
      <c r="O33" s="23"/>
      <c r="P33" s="16">
        <v>30</v>
      </c>
      <c r="Q33" s="16">
        <f t="shared" si="0"/>
        <v>1013654.796568797</v>
      </c>
      <c r="R33" s="16">
        <f t="shared" si="1"/>
        <v>1313305.8506766141</v>
      </c>
      <c r="S33" s="16">
        <f t="shared" si="2"/>
        <v>1663901.3405327033</v>
      </c>
      <c r="T33" s="16">
        <f t="shared" si="3"/>
        <v>2169003.1663873144</v>
      </c>
      <c r="U33" s="16">
        <f t="shared" si="4"/>
        <v>2408823.5048204106</v>
      </c>
      <c r="X33" s="16">
        <f>武将升星!AD32</f>
        <v>22950000</v>
      </c>
      <c r="Y33" s="16">
        <f>武将升星!AD77</f>
        <v>22950000</v>
      </c>
      <c r="Z33" s="16">
        <f>武将升星!AD122</f>
        <v>22950000</v>
      </c>
      <c r="AA33" s="16">
        <f>武将升星!AD167</f>
        <v>22950000</v>
      </c>
      <c r="AB33" s="16">
        <f>武将升星!AD212</f>
        <v>22950000</v>
      </c>
      <c r="AC33" s="16">
        <f>武将进阶!Y32</f>
        <v>6528600000</v>
      </c>
      <c r="AD33" s="16">
        <f>武将进阶!Y77</f>
        <v>6528600000</v>
      </c>
      <c r="AE33" s="16">
        <f>武将进阶!Y122</f>
        <v>6528600000</v>
      </c>
      <c r="AF33" s="16">
        <f>武将进阶!Y167</f>
        <v>6528600000</v>
      </c>
      <c r="AG33" s="16">
        <f>武将进阶!Y212</f>
        <v>6528600000</v>
      </c>
      <c r="AH33" s="16">
        <f>武将觉醒!S33</f>
        <v>12300000</v>
      </c>
      <c r="AI33" s="16">
        <f>武将觉醒!S78</f>
        <v>12300000</v>
      </c>
      <c r="AJ33" s="16">
        <f>武将觉醒!S123</f>
        <v>12300000</v>
      </c>
      <c r="AK33" s="16">
        <f>武将觉醒!S168</f>
        <v>12300000</v>
      </c>
      <c r="AL33" s="16">
        <f>武将觉醒!S213</f>
        <v>12300000</v>
      </c>
      <c r="AN33" s="16">
        <v>30</v>
      </c>
      <c r="AO33" s="16">
        <f t="shared" si="5"/>
        <v>10883.126130514087</v>
      </c>
      <c r="AP33" s="16">
        <f t="shared" si="6"/>
        <v>20470.126219725149</v>
      </c>
      <c r="AQ33" s="16">
        <f t="shared" si="7"/>
        <v>47375.179784295593</v>
      </c>
      <c r="AR33" s="16">
        <f t="shared" si="8"/>
        <v>136548.71227993155</v>
      </c>
      <c r="AS33" s="16">
        <f t="shared" si="9"/>
        <v>182610.80543918404</v>
      </c>
      <c r="AT33" s="16">
        <f t="shared" si="10"/>
        <v>648000.00000000012</v>
      </c>
      <c r="AU33" s="16">
        <f t="shared" si="11"/>
        <v>648000</v>
      </c>
      <c r="AV33" s="16">
        <f t="shared" si="12"/>
        <v>647999.99999999988</v>
      </c>
      <c r="AW33" s="16">
        <f t="shared" si="13"/>
        <v>648000</v>
      </c>
      <c r="AX33" s="16">
        <f t="shared" si="14"/>
        <v>648000</v>
      </c>
      <c r="AY33" s="16">
        <f t="shared" si="15"/>
        <v>354771.67043828266</v>
      </c>
      <c r="AZ33" s="16">
        <f t="shared" si="16"/>
        <v>644835.72445688897</v>
      </c>
      <c r="BA33" s="16">
        <f t="shared" si="17"/>
        <v>968526.16074840783</v>
      </c>
      <c r="BB33" s="16">
        <f t="shared" si="18"/>
        <v>1384454.4541073828</v>
      </c>
      <c r="BC33" s="16">
        <f t="shared" si="19"/>
        <v>1578212.6993812267</v>
      </c>
    </row>
    <row r="34" spans="2:55" x14ac:dyDescent="0.15">
      <c r="B34" s="16">
        <f>基础状态预期!D47</f>
        <v>132.07530828871487</v>
      </c>
      <c r="C34" s="16">
        <f>基础状态预期!D92</f>
        <v>132.09902390525281</v>
      </c>
      <c r="D34" s="16">
        <f>基础状态预期!D137</f>
        <v>132.53488795708068</v>
      </c>
      <c r="E34" s="16">
        <f>基础状态预期!D182</f>
        <v>132.61179169042359</v>
      </c>
      <c r="F34" s="16">
        <f>基础状态预期!D227</f>
        <v>133.03192104200832</v>
      </c>
      <c r="G34" s="16">
        <f>武将升星!AD34+武将进阶!Y34+武将觉醒!S35</f>
        <v>6563850000</v>
      </c>
      <c r="H34" s="16">
        <f>武将升星!AD79+武将进阶!Y79+武将觉醒!S80</f>
        <v>6563850000</v>
      </c>
      <c r="I34" s="16">
        <f>武将升星!AD124+武将进阶!Y124+武将觉醒!S125</f>
        <v>6563850000</v>
      </c>
      <c r="J34" s="16">
        <f>武将升星!AD169+武将进阶!Y169+武将觉醒!S170</f>
        <v>6563850000</v>
      </c>
      <c r="K34" s="16">
        <f>武将升星!AD214+武将进阶!Y214+武将觉醒!S215</f>
        <v>6563850000</v>
      </c>
      <c r="L34" s="23">
        <f>武将升星!AD34/$G34</f>
        <v>3.4964235928608973E-3</v>
      </c>
      <c r="M34" s="23">
        <f>武将进阶!Y34/$G34</f>
        <v>0.99462967618089992</v>
      </c>
      <c r="N34" s="23">
        <f>武将觉醒!S35/$G34</f>
        <v>1.8739002262391736E-3</v>
      </c>
      <c r="O34" s="23"/>
      <c r="P34" s="16">
        <v>31</v>
      </c>
      <c r="Q34" s="16">
        <f t="shared" si="0"/>
        <v>1196355.2840183633</v>
      </c>
      <c r="R34" s="16">
        <f t="shared" si="1"/>
        <v>1611233.5198883116</v>
      </c>
      <c r="S34" s="16">
        <f t="shared" si="2"/>
        <v>2110341.0591441123</v>
      </c>
      <c r="T34" s="16">
        <f t="shared" si="3"/>
        <v>2723396.4491103664</v>
      </c>
      <c r="U34" s="16">
        <f t="shared" si="4"/>
        <v>2946115.7197231394</v>
      </c>
      <c r="X34" s="16">
        <f>武将升星!AD33</f>
        <v>22950000</v>
      </c>
      <c r="Y34" s="16">
        <f>武将升星!AD78</f>
        <v>22950000</v>
      </c>
      <c r="Z34" s="16">
        <f>武将升星!AD123</f>
        <v>22950000</v>
      </c>
      <c r="AA34" s="16">
        <f>武将升星!AD168</f>
        <v>22950000</v>
      </c>
      <c r="AB34" s="16">
        <f>武将升星!AD213</f>
        <v>22950000</v>
      </c>
      <c r="AC34" s="16">
        <f>武将进阶!Y33</f>
        <v>6528600000</v>
      </c>
      <c r="AD34" s="16">
        <f>武将进阶!Y78</f>
        <v>6528600000</v>
      </c>
      <c r="AE34" s="16">
        <f>武将进阶!Y123</f>
        <v>6528600000</v>
      </c>
      <c r="AF34" s="16">
        <f>武将进阶!Y168</f>
        <v>6528600000</v>
      </c>
      <c r="AG34" s="16">
        <f>武将进阶!Y213</f>
        <v>6528600000</v>
      </c>
      <c r="AH34" s="16">
        <f>武将觉醒!S34</f>
        <v>12300000</v>
      </c>
      <c r="AI34" s="16">
        <f>武将觉醒!S79</f>
        <v>12300000</v>
      </c>
      <c r="AJ34" s="16">
        <f>武将觉醒!S124</f>
        <v>12300000</v>
      </c>
      <c r="AK34" s="16">
        <f>武将觉醒!S169</f>
        <v>12300000</v>
      </c>
      <c r="AL34" s="16">
        <f>武将觉醒!S214</f>
        <v>12300000</v>
      </c>
      <c r="AN34" s="16">
        <v>31</v>
      </c>
      <c r="AO34" s="16">
        <f t="shared" si="5"/>
        <v>14263.886111270924</v>
      </c>
      <c r="AP34" s="16">
        <f t="shared" si="6"/>
        <v>25100.300533289264</v>
      </c>
      <c r="AQ34" s="16">
        <f t="shared" si="7"/>
        <v>55862.542505825375</v>
      </c>
      <c r="AR34" s="16">
        <f t="shared" si="8"/>
        <v>160717.556956399</v>
      </c>
      <c r="AS34" s="16">
        <f t="shared" si="9"/>
        <v>208782.59540690901</v>
      </c>
      <c r="AT34" s="16">
        <f t="shared" si="10"/>
        <v>705600</v>
      </c>
      <c r="AU34" s="16">
        <f t="shared" si="11"/>
        <v>705600</v>
      </c>
      <c r="AV34" s="16">
        <f t="shared" si="12"/>
        <v>705599.99999999988</v>
      </c>
      <c r="AW34" s="16">
        <f t="shared" si="13"/>
        <v>705600</v>
      </c>
      <c r="AX34" s="16">
        <f t="shared" si="14"/>
        <v>705600</v>
      </c>
      <c r="AY34" s="16">
        <f t="shared" si="15"/>
        <v>476491.39790709224</v>
      </c>
      <c r="AZ34" s="16">
        <f t="shared" si="16"/>
        <v>880533.21935502265</v>
      </c>
      <c r="BA34" s="16">
        <f t="shared" si="17"/>
        <v>1348878.5166382869</v>
      </c>
      <c r="BB34" s="16">
        <f t="shared" si="18"/>
        <v>1857078.8921539676</v>
      </c>
      <c r="BC34" s="16">
        <f t="shared" si="19"/>
        <v>2031733.1243162309</v>
      </c>
    </row>
    <row r="35" spans="2:55" x14ac:dyDescent="0.15">
      <c r="B35" s="16">
        <f>基础状态预期!D48</f>
        <v>135.54811255008914</v>
      </c>
      <c r="C35" s="16">
        <f>基础状态预期!D93</f>
        <v>135.61521761503846</v>
      </c>
      <c r="D35" s="16">
        <f>基础状态预期!D138</f>
        <v>136.07141427598387</v>
      </c>
      <c r="E35" s="16">
        <f>基础状态预期!D183</f>
        <v>136.12035534953262</v>
      </c>
      <c r="F35" s="16">
        <f>基础状态预期!D228</f>
        <v>136.45508882162355</v>
      </c>
      <c r="G35" s="16">
        <f>武将升星!AD35+武将进阶!Y35+武将觉醒!S36</f>
        <v>6563850000</v>
      </c>
      <c r="H35" s="16">
        <f>武将升星!AD80+武将进阶!Y80+武将觉醒!S81</f>
        <v>6563850000</v>
      </c>
      <c r="I35" s="16">
        <f>武将升星!AD125+武将进阶!Y125+武将觉醒!S126</f>
        <v>6563850000</v>
      </c>
      <c r="J35" s="16">
        <f>武将升星!AD170+武将进阶!Y170+武将觉醒!S171</f>
        <v>6563850000</v>
      </c>
      <c r="K35" s="16">
        <f>武将升星!AD215+武将进阶!Y215+武将觉醒!S216</f>
        <v>6563850000</v>
      </c>
      <c r="L35" s="23">
        <f>武将升星!AD35/$G35</f>
        <v>3.4964235928608973E-3</v>
      </c>
      <c r="M35" s="23">
        <f>武将进阶!Y35/$G35</f>
        <v>0.99462967618089992</v>
      </c>
      <c r="N35" s="23">
        <f>武将觉醒!S36/$G35</f>
        <v>1.8739002262391736E-3</v>
      </c>
      <c r="O35" s="23"/>
      <c r="P35" s="16">
        <v>32</v>
      </c>
      <c r="Q35" s="16">
        <f t="shared" si="0"/>
        <v>1379055.7714679297</v>
      </c>
      <c r="R35" s="16">
        <f t="shared" si="1"/>
        <v>1909161.1891000094</v>
      </c>
      <c r="S35" s="16">
        <f t="shared" si="2"/>
        <v>2556780.7777555212</v>
      </c>
      <c r="T35" s="16">
        <f t="shared" si="3"/>
        <v>3277789.7318334188</v>
      </c>
      <c r="U35" s="16">
        <f t="shared" si="4"/>
        <v>3483407.9346258687</v>
      </c>
      <c r="X35" s="16">
        <f>武将升星!AD34</f>
        <v>22950000</v>
      </c>
      <c r="Y35" s="16">
        <f>武将升星!AD79</f>
        <v>22950000</v>
      </c>
      <c r="Z35" s="16">
        <f>武将升星!AD124</f>
        <v>22950000</v>
      </c>
      <c r="AA35" s="16">
        <f>武将升星!AD169</f>
        <v>22950000</v>
      </c>
      <c r="AB35" s="16">
        <f>武将升星!AD214</f>
        <v>22950000</v>
      </c>
      <c r="AC35" s="16">
        <f>武将进阶!Y34</f>
        <v>6528600000</v>
      </c>
      <c r="AD35" s="16">
        <f>武将进阶!Y79</f>
        <v>6528600000</v>
      </c>
      <c r="AE35" s="16">
        <f>武将进阶!Y124</f>
        <v>6528600000</v>
      </c>
      <c r="AF35" s="16">
        <f>武将进阶!Y169</f>
        <v>6528600000</v>
      </c>
      <c r="AG35" s="16">
        <f>武将进阶!Y214</f>
        <v>6528600000</v>
      </c>
      <c r="AH35" s="16">
        <f>武将觉醒!S35</f>
        <v>12300000</v>
      </c>
      <c r="AI35" s="16">
        <f>武将觉醒!S80</f>
        <v>12300000</v>
      </c>
      <c r="AJ35" s="16">
        <f>武将觉醒!S125</f>
        <v>12300000</v>
      </c>
      <c r="AK35" s="16">
        <f>武将觉醒!S170</f>
        <v>12300000</v>
      </c>
      <c r="AL35" s="16">
        <f>武将觉醒!S215</f>
        <v>12300000</v>
      </c>
      <c r="AN35" s="16">
        <v>32</v>
      </c>
      <c r="AO35" s="16">
        <f t="shared" si="5"/>
        <v>17644.64609202776</v>
      </c>
      <c r="AP35" s="16">
        <f t="shared" si="6"/>
        <v>29730.47484685338</v>
      </c>
      <c r="AQ35" s="16">
        <f t="shared" si="7"/>
        <v>64349.905227355157</v>
      </c>
      <c r="AR35" s="16">
        <f t="shared" si="8"/>
        <v>184886.40163286641</v>
      </c>
      <c r="AS35" s="16">
        <f t="shared" si="9"/>
        <v>234954.385374634</v>
      </c>
      <c r="AT35" s="16">
        <f t="shared" si="10"/>
        <v>763200</v>
      </c>
      <c r="AU35" s="16">
        <f t="shared" si="11"/>
        <v>763199.99999999988</v>
      </c>
      <c r="AV35" s="16">
        <f t="shared" si="12"/>
        <v>763200</v>
      </c>
      <c r="AW35" s="16">
        <f t="shared" si="13"/>
        <v>763200</v>
      </c>
      <c r="AX35" s="16">
        <f t="shared" si="14"/>
        <v>763200</v>
      </c>
      <c r="AY35" s="16">
        <f t="shared" si="15"/>
        <v>598211.12537590181</v>
      </c>
      <c r="AZ35" s="16">
        <f t="shared" si="16"/>
        <v>1116230.7142531562</v>
      </c>
      <c r="BA35" s="16">
        <f t="shared" si="17"/>
        <v>1729230.8725281658</v>
      </c>
      <c r="BB35" s="16">
        <f t="shared" si="18"/>
        <v>2329703.3302005525</v>
      </c>
      <c r="BC35" s="16">
        <f t="shared" si="19"/>
        <v>2485253.5492512346</v>
      </c>
    </row>
    <row r="36" spans="2:55" x14ac:dyDescent="0.15">
      <c r="B36" s="16">
        <f>基础状态预期!D49</f>
        <v>139.0493876099641</v>
      </c>
      <c r="C36" s="16">
        <f>基础状态预期!D94</f>
        <v>139.08794136138388</v>
      </c>
      <c r="D36" s="16">
        <f>基础状态预期!D139</f>
        <v>139.56936219880694</v>
      </c>
      <c r="E36" s="16">
        <f>基础状态预期!D184</f>
        <v>139.6793621861803</v>
      </c>
      <c r="F36" s="16">
        <f>基础状态预期!D229</f>
        <v>140.08772492574531</v>
      </c>
      <c r="G36" s="16">
        <f>武将升星!AD36+武将进阶!Y36+武将觉醒!S37</f>
        <v>6563850000</v>
      </c>
      <c r="H36" s="16">
        <f>武将升星!AD81+武将进阶!Y81+武将觉醒!S82</f>
        <v>6563850000</v>
      </c>
      <c r="I36" s="16">
        <f>武将升星!AD126+武将进阶!Y126+武将觉醒!S127</f>
        <v>6563850000</v>
      </c>
      <c r="J36" s="16">
        <f>武将升星!AD171+武将进阶!Y171+武将觉醒!S172</f>
        <v>6563850000</v>
      </c>
      <c r="K36" s="16">
        <f>武将升星!AD216+武将进阶!Y216+武将觉醒!S217</f>
        <v>6563850000</v>
      </c>
      <c r="L36" s="23">
        <f>武将升星!AD36/$G36</f>
        <v>3.4964235928608973E-3</v>
      </c>
      <c r="M36" s="23">
        <f>武将进阶!Y36/$G36</f>
        <v>0.99462967618089992</v>
      </c>
      <c r="N36" s="23">
        <f>武将觉醒!S37/$G36</f>
        <v>1.8739002262391736E-3</v>
      </c>
      <c r="O36" s="23"/>
      <c r="P36" s="16">
        <v>33</v>
      </c>
      <c r="Q36" s="16">
        <f t="shared" ref="Q36:Q67" si="20">求节点(B$4:B$42,G$4:G$42,$P36)</f>
        <v>1561756.2589174961</v>
      </c>
      <c r="R36" s="16">
        <f t="shared" ref="R36:R67" si="21">求节点(C$4:C$42,H$4:H$42,$P36)</f>
        <v>2207088.8583117072</v>
      </c>
      <c r="S36" s="16">
        <f t="shared" ref="S36:S67" si="22">求节点(D$4:D$42,I$4:I$42,$P36)</f>
        <v>3003220.4963669297</v>
      </c>
      <c r="T36" s="16">
        <f t="shared" ref="T36:T67" si="23">求节点(E$4:E$42,J$4:J$42,$P36)</f>
        <v>3832183.0145564713</v>
      </c>
      <c r="U36" s="16">
        <f t="shared" ref="U36:U67" si="24">求节点(F$4:F$42,K$4:K$42,$P36)</f>
        <v>4020700.1495285975</v>
      </c>
      <c r="X36" s="16">
        <f>武将升星!AD35</f>
        <v>22950000</v>
      </c>
      <c r="Y36" s="16">
        <f>武将升星!AD80</f>
        <v>22950000</v>
      </c>
      <c r="Z36" s="16">
        <f>武将升星!AD125</f>
        <v>22950000</v>
      </c>
      <c r="AA36" s="16">
        <f>武将升星!AD170</f>
        <v>22950000</v>
      </c>
      <c r="AB36" s="16">
        <f>武将升星!AD215</f>
        <v>22950000</v>
      </c>
      <c r="AC36" s="16">
        <f>武将进阶!Y35</f>
        <v>6528600000</v>
      </c>
      <c r="AD36" s="16">
        <f>武将进阶!Y80</f>
        <v>6528600000</v>
      </c>
      <c r="AE36" s="16">
        <f>武将进阶!Y125</f>
        <v>6528600000</v>
      </c>
      <c r="AF36" s="16">
        <f>武将进阶!Y170</f>
        <v>6528600000</v>
      </c>
      <c r="AG36" s="16">
        <f>武将进阶!Y215</f>
        <v>6528600000</v>
      </c>
      <c r="AH36" s="16">
        <f>武将觉醒!S36</f>
        <v>12300000</v>
      </c>
      <c r="AI36" s="16">
        <f>武将觉醒!S81</f>
        <v>12300000</v>
      </c>
      <c r="AJ36" s="16">
        <f>武将觉醒!S126</f>
        <v>12300000</v>
      </c>
      <c r="AK36" s="16">
        <f>武将觉醒!S171</f>
        <v>12300000</v>
      </c>
      <c r="AL36" s="16">
        <f>武将觉醒!S216</f>
        <v>12300000</v>
      </c>
      <c r="AN36" s="16">
        <v>33</v>
      </c>
      <c r="AO36" s="16">
        <f t="shared" ref="AO36:AO67" si="25">求节点(B$4:B$42,X$5:X$42,$AN36)</f>
        <v>21025.406072784597</v>
      </c>
      <c r="AP36" s="16">
        <f t="shared" ref="AP36:AP67" si="26">求节点(C$4:C$42,Y$5:Y$42,$AN36)</f>
        <v>34360.649160417495</v>
      </c>
      <c r="AQ36" s="16">
        <f t="shared" ref="AQ36:AQ67" si="27">求节点(D$4:D$42,Z$5:Z$42,$AN36)</f>
        <v>72837.267948884939</v>
      </c>
      <c r="AR36" s="16">
        <f t="shared" ref="AR36:AR67" si="28">求节点(E$4:E$42,AA$5:AA$42,$AN36)</f>
        <v>209055.24630933383</v>
      </c>
      <c r="AS36" s="16">
        <f t="shared" ref="AS36:AS67" si="29">求节点(F$4:F$42,AB$5:AB$42,$AN36)</f>
        <v>261126.17534235894</v>
      </c>
      <c r="AT36" s="16">
        <f t="shared" ref="AT36:AT67" si="30">求节点(B$4:B$42,AC$5:AC$42,$AN36)</f>
        <v>820800</v>
      </c>
      <c r="AU36" s="16">
        <f t="shared" ref="AU36:AU67" si="31">求节点(C$4:C$42,AD$5:AD$42,$AN36)</f>
        <v>820799.99999999988</v>
      </c>
      <c r="AV36" s="16">
        <f t="shared" ref="AV36:AV67" si="32">求节点(D$4:D$42,AE$5:AE$42,$AN36)</f>
        <v>820800</v>
      </c>
      <c r="AW36" s="16">
        <f t="shared" ref="AW36:AW67" si="33">求节点(E$4:E$42,AF$5:AF$42,$AN36)</f>
        <v>820800</v>
      </c>
      <c r="AX36" s="16">
        <f t="shared" ref="AX36:AX67" si="34">求节点(F$4:F$42,AG$5:AG$42,$AN36)</f>
        <v>820800.00000000012</v>
      </c>
      <c r="AY36" s="16">
        <f t="shared" ref="AY36:AY67" si="35">求节点(B$4:B$42,AH$5:AH$42,$AN36)</f>
        <v>719930.85284471139</v>
      </c>
      <c r="AZ36" s="16">
        <f t="shared" ref="AZ36:AZ67" si="36">求节点(C$4:C$42,AI$5:AI$42,$AN36)</f>
        <v>1351928.2091512899</v>
      </c>
      <c r="BA36" s="16">
        <f t="shared" ref="BA36:BA67" si="37">求节点(D$4:D$42,AJ$5:AJ$42,$AN36)</f>
        <v>2109583.2284180447</v>
      </c>
      <c r="BB36" s="16">
        <f t="shared" ref="BB36:BB67" si="38">求节点(E$4:E$42,AK$5:AK$42,$AN36)</f>
        <v>2802327.7682471373</v>
      </c>
      <c r="BC36" s="16">
        <f t="shared" ref="BC36:BC67" si="39">求节点(F$4:F$42,AL$5:AL$42,$AN36)</f>
        <v>2938773.9741862384</v>
      </c>
    </row>
    <row r="37" spans="2:55" x14ac:dyDescent="0.15">
      <c r="B37" s="16">
        <f>基础状态预期!D50</f>
        <v>142.53355653582128</v>
      </c>
      <c r="C37" s="16">
        <f>基础状态预期!D95</f>
        <v>142.60670974426387</v>
      </c>
      <c r="D37" s="16">
        <f>基础状态预期!D140</f>
        <v>143.08413721822018</v>
      </c>
      <c r="E37" s="16">
        <f>基础状态预期!D185</f>
        <v>143.14123736077869</v>
      </c>
      <c r="F37" s="16">
        <f>基础状态预期!D230</f>
        <v>143.51956656528549</v>
      </c>
      <c r="G37" s="16">
        <f>武将升星!AD37+武将进阶!Y37+武将觉醒!S38</f>
        <v>6563850000</v>
      </c>
      <c r="H37" s="16">
        <f>武将升星!AD82+武将进阶!Y82+武将觉醒!S83</f>
        <v>6563850000</v>
      </c>
      <c r="I37" s="16">
        <f>武将升星!AD127+武将进阶!Y127+武将觉醒!S128</f>
        <v>6563850000</v>
      </c>
      <c r="J37" s="16">
        <f>武将升星!AD172+武将进阶!Y172+武将觉醒!S173</f>
        <v>6563850000</v>
      </c>
      <c r="K37" s="16">
        <f>武将升星!AD217+武将进阶!Y217+武将觉醒!S218</f>
        <v>6563850000</v>
      </c>
      <c r="L37" s="23">
        <f>武将升星!AD37/$G37</f>
        <v>3.4964235928608973E-3</v>
      </c>
      <c r="M37" s="23">
        <f>武将进阶!Y37/$G37</f>
        <v>0.99462967618089992</v>
      </c>
      <c r="N37" s="23">
        <f>武将觉醒!S38/$G37</f>
        <v>1.8739002262391736E-3</v>
      </c>
      <c r="O37" s="23"/>
      <c r="P37" s="16">
        <v>34</v>
      </c>
      <c r="Q37" s="16">
        <f t="shared" si="20"/>
        <v>1744456.7463670624</v>
      </c>
      <c r="R37" s="16">
        <f t="shared" si="21"/>
        <v>2505016.5275234049</v>
      </c>
      <c r="S37" s="16">
        <f t="shared" si="22"/>
        <v>3449660.2149783387</v>
      </c>
      <c r="T37" s="16">
        <f t="shared" si="23"/>
        <v>4242477.0407042475</v>
      </c>
      <c r="U37" s="16">
        <f t="shared" si="24"/>
        <v>4301458.2134897774</v>
      </c>
      <c r="X37" s="16">
        <f>武将升星!AD36</f>
        <v>22950000</v>
      </c>
      <c r="Y37" s="16">
        <f>武将升星!AD81</f>
        <v>22950000</v>
      </c>
      <c r="Z37" s="16">
        <f>武将升星!AD126</f>
        <v>22950000</v>
      </c>
      <c r="AA37" s="16">
        <f>武将升星!AD171</f>
        <v>22950000</v>
      </c>
      <c r="AB37" s="16">
        <f>武将升星!AD216</f>
        <v>22950000</v>
      </c>
      <c r="AC37" s="16">
        <f>武将进阶!Y36</f>
        <v>6528600000</v>
      </c>
      <c r="AD37" s="16">
        <f>武将进阶!Y81</f>
        <v>6528600000</v>
      </c>
      <c r="AE37" s="16">
        <f>武将进阶!Y126</f>
        <v>6528600000</v>
      </c>
      <c r="AF37" s="16">
        <f>武将进阶!Y171</f>
        <v>6528600000</v>
      </c>
      <c r="AG37" s="16">
        <f>武将进阶!Y216</f>
        <v>6528600000</v>
      </c>
      <c r="AH37" s="16">
        <f>武将觉醒!S37</f>
        <v>12300000</v>
      </c>
      <c r="AI37" s="16">
        <f>武将觉醒!S82</f>
        <v>12300000</v>
      </c>
      <c r="AJ37" s="16">
        <f>武将觉醒!S127</f>
        <v>12300000</v>
      </c>
      <c r="AK37" s="16">
        <f>武将觉醒!S172</f>
        <v>12300000</v>
      </c>
      <c r="AL37" s="16">
        <f>武将觉醒!S217</f>
        <v>12300000</v>
      </c>
      <c r="AN37" s="16">
        <v>34</v>
      </c>
      <c r="AO37" s="16">
        <f t="shared" si="25"/>
        <v>24406.166053541434</v>
      </c>
      <c r="AP37" s="16">
        <f t="shared" si="26"/>
        <v>38990.823473981611</v>
      </c>
      <c r="AQ37" s="16">
        <f t="shared" si="27"/>
        <v>81324.630670414714</v>
      </c>
      <c r="AR37" s="16">
        <f t="shared" si="28"/>
        <v>244077.04070424792</v>
      </c>
      <c r="AS37" s="16">
        <f t="shared" si="29"/>
        <v>303058.21348977799</v>
      </c>
      <c r="AT37" s="16">
        <f t="shared" si="30"/>
        <v>878400</v>
      </c>
      <c r="AU37" s="16">
        <f t="shared" si="31"/>
        <v>878399.99999999977</v>
      </c>
      <c r="AV37" s="16">
        <f t="shared" si="32"/>
        <v>878400</v>
      </c>
      <c r="AW37" s="16">
        <f t="shared" si="33"/>
        <v>878400</v>
      </c>
      <c r="AX37" s="16">
        <f t="shared" si="34"/>
        <v>878400.00000000012</v>
      </c>
      <c r="AY37" s="16">
        <f t="shared" si="35"/>
        <v>841650.58031352097</v>
      </c>
      <c r="AZ37" s="16">
        <f t="shared" si="36"/>
        <v>1587625.7040494233</v>
      </c>
      <c r="BA37" s="16">
        <f t="shared" si="37"/>
        <v>2489935.5843079239</v>
      </c>
      <c r="BB37" s="16">
        <f t="shared" si="38"/>
        <v>3120000</v>
      </c>
      <c r="BC37" s="16">
        <f t="shared" si="39"/>
        <v>3120000</v>
      </c>
    </row>
    <row r="38" spans="2:55" x14ac:dyDescent="0.15">
      <c r="B38" s="16">
        <f>基础状态预期!D51</f>
        <v>146.02664953963369</v>
      </c>
      <c r="C38" s="16">
        <f>基础状态预期!D96</f>
        <v>146.07830147206653</v>
      </c>
      <c r="D38" s="16">
        <f>基础状态预期!D141</f>
        <v>146.62302564097175</v>
      </c>
      <c r="E38" s="16">
        <f>基础状态预期!D186</f>
        <v>146.75578521325724</v>
      </c>
      <c r="F38" s="16">
        <f>基础状态预期!D231</f>
        <v>147.17868266109423</v>
      </c>
      <c r="G38" s="16">
        <f>武将升星!AD38+武将进阶!Y38+武将觉醒!S39</f>
        <v>6563850000</v>
      </c>
      <c r="H38" s="16">
        <f>武将升星!AD83+武将进阶!Y83+武将觉醒!S84</f>
        <v>6563850000</v>
      </c>
      <c r="I38" s="16">
        <f>武将升星!AD128+武将进阶!Y128+武将觉醒!S129</f>
        <v>6563850000</v>
      </c>
      <c r="J38" s="16">
        <f>武将升星!AD173+武将进阶!Y173+武将觉醒!S174</f>
        <v>6563850000</v>
      </c>
      <c r="K38" s="16">
        <f>武将升星!AD218+武将进阶!Y218+武将觉醒!S219</f>
        <v>6563850000</v>
      </c>
      <c r="L38" s="23">
        <f>武将升星!AD38/$G38</f>
        <v>3.4964235928608973E-3</v>
      </c>
      <c r="M38" s="23">
        <f>武将进阶!Y38/$G38</f>
        <v>0.99462967618089992</v>
      </c>
      <c r="N38" s="23">
        <f>武将觉醒!S39/$G38</f>
        <v>1.8739002262391736E-3</v>
      </c>
      <c r="O38" s="23"/>
      <c r="P38" s="16">
        <v>35</v>
      </c>
      <c r="Q38" s="16">
        <f t="shared" si="20"/>
        <v>2046053.9140485507</v>
      </c>
      <c r="R38" s="16">
        <f t="shared" si="21"/>
        <v>2832076.1843710048</v>
      </c>
      <c r="S38" s="16">
        <f t="shared" si="22"/>
        <v>3676322.1122689252</v>
      </c>
      <c r="T38" s="16">
        <f t="shared" si="23"/>
        <v>4357348.7974625584</v>
      </c>
      <c r="U38" s="16">
        <f t="shared" si="24"/>
        <v>4411479.5130860629</v>
      </c>
      <c r="X38" s="16">
        <f>武将升星!AD37</f>
        <v>22950000</v>
      </c>
      <c r="Y38" s="16">
        <f>武将升星!AD82</f>
        <v>22950000</v>
      </c>
      <c r="Z38" s="16">
        <f>武将升星!AD127</f>
        <v>22950000</v>
      </c>
      <c r="AA38" s="16">
        <f>武将升星!AD172</f>
        <v>22950000</v>
      </c>
      <c r="AB38" s="16">
        <f>武将升星!AD217</f>
        <v>22950000</v>
      </c>
      <c r="AC38" s="16">
        <f>武将进阶!Y37</f>
        <v>6528600000</v>
      </c>
      <c r="AD38" s="16">
        <f>武将进阶!Y82</f>
        <v>6528600000</v>
      </c>
      <c r="AE38" s="16">
        <f>武将进阶!Y127</f>
        <v>6528600000</v>
      </c>
      <c r="AF38" s="16">
        <f>武将进阶!Y172</f>
        <v>6528600000</v>
      </c>
      <c r="AG38" s="16">
        <f>武将进阶!Y217</f>
        <v>6528600000</v>
      </c>
      <c r="AH38" s="16">
        <f>武将觉醒!S38</f>
        <v>12300000</v>
      </c>
      <c r="AI38" s="16">
        <f>武将觉醒!S83</f>
        <v>12300000</v>
      </c>
      <c r="AJ38" s="16">
        <f>武将觉醒!S128</f>
        <v>12300000</v>
      </c>
      <c r="AK38" s="16">
        <f>武将觉醒!S173</f>
        <v>12300000</v>
      </c>
      <c r="AL38" s="16">
        <f>武将觉醒!S218</f>
        <v>12300000</v>
      </c>
      <c r="AN38" s="16">
        <v>35</v>
      </c>
      <c r="AO38" s="16">
        <f t="shared" si="25"/>
        <v>28293.00516119349</v>
      </c>
      <c r="AP38" s="16">
        <f t="shared" si="26"/>
        <v>45327.711321637827</v>
      </c>
      <c r="AQ38" s="16">
        <f t="shared" si="27"/>
        <v>94583.550713877325</v>
      </c>
      <c r="AR38" s="16">
        <f t="shared" si="28"/>
        <v>301348.79746255843</v>
      </c>
      <c r="AS38" s="16">
        <f t="shared" si="29"/>
        <v>355479.51308606274</v>
      </c>
      <c r="AT38" s="16">
        <f t="shared" si="30"/>
        <v>935999.99999999988</v>
      </c>
      <c r="AU38" s="16">
        <f t="shared" si="31"/>
        <v>935999.99999999988</v>
      </c>
      <c r="AV38" s="16">
        <f t="shared" si="32"/>
        <v>936000</v>
      </c>
      <c r="AW38" s="16">
        <f t="shared" si="33"/>
        <v>936000</v>
      </c>
      <c r="AX38" s="16">
        <f t="shared" si="34"/>
        <v>936000.00000000012</v>
      </c>
      <c r="AY38" s="16">
        <f t="shared" si="35"/>
        <v>1081760.908887357</v>
      </c>
      <c r="AZ38" s="16">
        <f t="shared" si="36"/>
        <v>1850748.4730493671</v>
      </c>
      <c r="BA38" s="16">
        <f t="shared" si="37"/>
        <v>2645738.5615550475</v>
      </c>
      <c r="BB38" s="16">
        <f t="shared" si="38"/>
        <v>3120000</v>
      </c>
      <c r="BC38" s="16">
        <f t="shared" si="39"/>
        <v>3120000</v>
      </c>
    </row>
    <row r="39" spans="2:55" x14ac:dyDescent="0.15">
      <c r="B39" s="16">
        <f>基础状态预期!D52</f>
        <v>149.52287096243165</v>
      </c>
      <c r="C39" s="16">
        <f>基础状态预期!D97</f>
        <v>149.61701338734093</v>
      </c>
      <c r="D39" s="16">
        <f>基础状态预期!D142</f>
        <v>150.12999034316616</v>
      </c>
      <c r="E39" s="16">
        <f>基础状态预期!D187</f>
        <v>150.21349802228445</v>
      </c>
      <c r="F39" s="16">
        <f>基础状态预期!D232</f>
        <v>150.49637054967232</v>
      </c>
      <c r="G39" s="16">
        <f>武将升星!AD39+武将进阶!Y39+武将觉醒!S40</f>
        <v>6563850000</v>
      </c>
      <c r="H39" s="16">
        <f>武将升星!AD84+武将进阶!Y84+武将觉醒!S85</f>
        <v>6563850000</v>
      </c>
      <c r="I39" s="16">
        <f>武将升星!AD129+武将进阶!Y129+武将觉醒!S130</f>
        <v>6563850000</v>
      </c>
      <c r="J39" s="16">
        <f>武将升星!AD174+武将进阶!Y174+武将觉醒!S175</f>
        <v>6563850000</v>
      </c>
      <c r="K39" s="16">
        <f>武将升星!AD219+武将进阶!Y219+武将觉醒!S220</f>
        <v>6563850000</v>
      </c>
      <c r="L39" s="23">
        <f>武将升星!AD39/$G39</f>
        <v>3.4964235928608973E-3</v>
      </c>
      <c r="M39" s="23">
        <f>武将进阶!Y39/$G39</f>
        <v>0.99462967618089992</v>
      </c>
      <c r="N39" s="23">
        <f>武将觉醒!S40/$G39</f>
        <v>1.8739002262391736E-3</v>
      </c>
      <c r="O39" s="23"/>
      <c r="P39" s="16">
        <v>36</v>
      </c>
      <c r="Q39" s="16">
        <f t="shared" si="20"/>
        <v>2515904.7365615433</v>
      </c>
      <c r="R39" s="16">
        <f t="shared" si="21"/>
        <v>3168888.3004947333</v>
      </c>
      <c r="S39" s="16">
        <f t="shared" si="22"/>
        <v>3850707.3287910176</v>
      </c>
      <c r="T39" s="16">
        <f t="shared" si="23"/>
        <v>4472220.5542208683</v>
      </c>
      <c r="U39" s="16">
        <f t="shared" si="24"/>
        <v>4521500.8126823474</v>
      </c>
      <c r="X39" s="16">
        <f>武将升星!AD38</f>
        <v>22950000</v>
      </c>
      <c r="Y39" s="16">
        <f>武将升星!AD83</f>
        <v>22950000</v>
      </c>
      <c r="Z39" s="16">
        <f>武将升星!AD128</f>
        <v>22950000</v>
      </c>
      <c r="AA39" s="16">
        <f>武将升星!AD173</f>
        <v>22950000</v>
      </c>
      <c r="AB39" s="16">
        <f>武将升星!AD218</f>
        <v>22950000</v>
      </c>
      <c r="AC39" s="16">
        <f>武将进阶!Y38</f>
        <v>6528600000</v>
      </c>
      <c r="AD39" s="16">
        <f>武将进阶!Y83</f>
        <v>6528600000</v>
      </c>
      <c r="AE39" s="16">
        <f>武将进阶!Y128</f>
        <v>6528600000</v>
      </c>
      <c r="AF39" s="16">
        <f>武将进阶!Y173</f>
        <v>6528600000</v>
      </c>
      <c r="AG39" s="16">
        <f>武将进阶!Y218</f>
        <v>6528600000</v>
      </c>
      <c r="AH39" s="16">
        <f>武将觉醒!S39</f>
        <v>12300000</v>
      </c>
      <c r="AI39" s="16">
        <f>武将觉醒!S84</f>
        <v>12300000</v>
      </c>
      <c r="AJ39" s="16">
        <f>武将觉醒!S129</f>
        <v>12300000</v>
      </c>
      <c r="AK39" s="16">
        <f>武将觉醒!S174</f>
        <v>12300000</v>
      </c>
      <c r="AL39" s="16">
        <f>武将觉醒!S219</f>
        <v>12300000</v>
      </c>
      <c r="AN39" s="16">
        <v>36</v>
      </c>
      <c r="AO39" s="16">
        <f t="shared" si="25"/>
        <v>32896.009451657745</v>
      </c>
      <c r="AP39" s="16">
        <f t="shared" si="26"/>
        <v>52235.952365144556</v>
      </c>
      <c r="AQ39" s="16">
        <f t="shared" si="27"/>
        <v>108977.44050719075</v>
      </c>
      <c r="AR39" s="16">
        <f t="shared" si="28"/>
        <v>358620.55422086886</v>
      </c>
      <c r="AS39" s="16">
        <f t="shared" si="29"/>
        <v>407900.81268234749</v>
      </c>
      <c r="AT39" s="16">
        <f t="shared" si="30"/>
        <v>993600</v>
      </c>
      <c r="AU39" s="16">
        <f t="shared" si="31"/>
        <v>993600</v>
      </c>
      <c r="AV39" s="16">
        <f t="shared" si="32"/>
        <v>993599.99999999988</v>
      </c>
      <c r="AW39" s="16">
        <f t="shared" si="33"/>
        <v>993600</v>
      </c>
      <c r="AX39" s="16">
        <f t="shared" si="34"/>
        <v>993600.00000000012</v>
      </c>
      <c r="AY39" s="16">
        <f t="shared" si="35"/>
        <v>1489408.7271098858</v>
      </c>
      <c r="AZ39" s="16">
        <f t="shared" si="36"/>
        <v>2123052.3481295886</v>
      </c>
      <c r="BA39" s="16">
        <f t="shared" si="37"/>
        <v>2748129.8882838269</v>
      </c>
      <c r="BB39" s="16">
        <f t="shared" si="38"/>
        <v>3120000</v>
      </c>
      <c r="BC39" s="16">
        <f t="shared" si="39"/>
        <v>3120000</v>
      </c>
    </row>
    <row r="40" spans="2:55" x14ac:dyDescent="0.15">
      <c r="B40" s="16">
        <f>基础状态预期!D53</f>
        <v>153.02723536432757</v>
      </c>
      <c r="C40" s="16">
        <f>基础状态预期!D98</f>
        <v>153.01012120353457</v>
      </c>
      <c r="D40" s="16">
        <f>基础状态预期!D143</f>
        <v>153.11600330857166</v>
      </c>
      <c r="E40" s="16">
        <f>基础状态预期!D188</f>
        <v>152.32856849044819</v>
      </c>
      <c r="F40" s="16">
        <f>基础状态预期!D233</f>
        <v>151.40240982411487</v>
      </c>
      <c r="G40" s="16">
        <f>武将升星!AD40+武将进阶!Y40+武将觉醒!S41</f>
        <v>6563850000</v>
      </c>
      <c r="H40" s="16">
        <f>武将升星!AD85+武将进阶!Y85+武将觉醒!S86</f>
        <v>6563850000</v>
      </c>
      <c r="I40" s="16">
        <f>武将升星!AD130+武将进阶!Y130+武将觉醒!S131</f>
        <v>6563850000</v>
      </c>
      <c r="J40" s="16">
        <f>武将升星!AD175+武将进阶!Y175+武将觉醒!S176</f>
        <v>6563850000</v>
      </c>
      <c r="K40" s="16">
        <f>武将升星!AD220+武将进阶!Y220+武将觉醒!S221</f>
        <v>6563850000</v>
      </c>
      <c r="L40" s="23">
        <f>武将升星!AD40/$G40</f>
        <v>3.4964235928608973E-3</v>
      </c>
      <c r="M40" s="23">
        <f>武将进阶!Y40/$G40</f>
        <v>0.99462967618089992</v>
      </c>
      <c r="N40" s="23">
        <f>武将觉醒!S41/$G40</f>
        <v>1.8739002262391736E-3</v>
      </c>
      <c r="O40" s="23"/>
      <c r="P40" s="16">
        <v>37</v>
      </c>
      <c r="Q40" s="16">
        <f t="shared" si="20"/>
        <v>2985755.5590745364</v>
      </c>
      <c r="R40" s="16">
        <f t="shared" si="21"/>
        <v>3505700.4166184617</v>
      </c>
      <c r="S40" s="16">
        <f t="shared" si="22"/>
        <v>4025092.5453131106</v>
      </c>
      <c r="T40" s="16">
        <f t="shared" si="23"/>
        <v>4587092.3109791791</v>
      </c>
      <c r="U40" s="16">
        <f t="shared" si="24"/>
        <v>4631522.1122786319</v>
      </c>
      <c r="X40" s="16">
        <f>武将升星!AD39</f>
        <v>22950000</v>
      </c>
      <c r="Y40" s="16">
        <f>武将升星!AD84</f>
        <v>22950000</v>
      </c>
      <c r="Z40" s="16">
        <f>武将升星!AD129</f>
        <v>22950000</v>
      </c>
      <c r="AA40" s="16">
        <f>武将升星!AD174</f>
        <v>22950000</v>
      </c>
      <c r="AB40" s="16">
        <f>武将升星!AD219</f>
        <v>22950000</v>
      </c>
      <c r="AC40" s="16">
        <f>武将进阶!Y39</f>
        <v>6528600000</v>
      </c>
      <c r="AD40" s="16">
        <f>武将进阶!Y84</f>
        <v>6528600000</v>
      </c>
      <c r="AE40" s="16">
        <f>武将进阶!Y129</f>
        <v>6528600000</v>
      </c>
      <c r="AF40" s="16">
        <f>武将进阶!Y174</f>
        <v>6528600000</v>
      </c>
      <c r="AG40" s="16">
        <f>武将进阶!Y219</f>
        <v>6528600000</v>
      </c>
      <c r="AH40" s="16">
        <f>武将觉醒!S40</f>
        <v>12300000</v>
      </c>
      <c r="AI40" s="16">
        <f>武将觉醒!S85</f>
        <v>12300000</v>
      </c>
      <c r="AJ40" s="16">
        <f>武将觉醒!S130</f>
        <v>12300000</v>
      </c>
      <c r="AK40" s="16">
        <f>武将觉醒!S175</f>
        <v>12300000</v>
      </c>
      <c r="AL40" s="16">
        <f>武将觉醒!S220</f>
        <v>12300000</v>
      </c>
      <c r="AN40" s="16">
        <v>37</v>
      </c>
      <c r="AO40" s="16">
        <f t="shared" si="25"/>
        <v>37499.013742121999</v>
      </c>
      <c r="AP40" s="16">
        <f t="shared" si="26"/>
        <v>59144.193408651285</v>
      </c>
      <c r="AQ40" s="16">
        <f t="shared" si="27"/>
        <v>123371.33030050417</v>
      </c>
      <c r="AR40" s="16">
        <f t="shared" si="28"/>
        <v>415892.31097917934</v>
      </c>
      <c r="AS40" s="16">
        <f t="shared" si="29"/>
        <v>460322.1122786323</v>
      </c>
      <c r="AT40" s="16">
        <f t="shared" si="30"/>
        <v>1051200</v>
      </c>
      <c r="AU40" s="16">
        <f t="shared" si="31"/>
        <v>1051200</v>
      </c>
      <c r="AV40" s="16">
        <f t="shared" si="32"/>
        <v>1051199.9999999998</v>
      </c>
      <c r="AW40" s="16">
        <f t="shared" si="33"/>
        <v>1051200</v>
      </c>
      <c r="AX40" s="16">
        <f t="shared" si="34"/>
        <v>1051200</v>
      </c>
      <c r="AY40" s="16">
        <f t="shared" si="35"/>
        <v>1897056.5453324141</v>
      </c>
      <c r="AZ40" s="16">
        <f t="shared" si="36"/>
        <v>2395356.2232098104</v>
      </c>
      <c r="BA40" s="16">
        <f t="shared" si="37"/>
        <v>2850521.2150126062</v>
      </c>
      <c r="BB40" s="16">
        <f t="shared" si="38"/>
        <v>3120000</v>
      </c>
      <c r="BC40" s="16">
        <f t="shared" si="39"/>
        <v>3120000</v>
      </c>
    </row>
    <row r="41" spans="2:55" x14ac:dyDescent="0.15">
      <c r="B41" s="16">
        <f>基础状态预期!D54</f>
        <v>156.52008914974525</v>
      </c>
      <c r="C41" s="16">
        <f>基础状态预期!D99</f>
        <v>154.95970315183646</v>
      </c>
      <c r="D41" s="16">
        <f>基础状态预期!D144</f>
        <v>154.20294442048996</v>
      </c>
      <c r="E41" s="16">
        <f>基础状态预期!D189</f>
        <v>153.15627769682186</v>
      </c>
      <c r="F41" s="16">
        <f>基础状态预期!D234</f>
        <v>152.00526961196863</v>
      </c>
      <c r="G41" s="16">
        <f>武将升星!AD41+武将进阶!Y41+武将觉醒!S42</f>
        <v>6563850000</v>
      </c>
      <c r="H41" s="16">
        <f>武将升星!AD86+武将进阶!Y86+武将觉醒!S87</f>
        <v>6563850000</v>
      </c>
      <c r="I41" s="16">
        <f>武将升星!AD131+武将进阶!Y131+武将觉醒!S132</f>
        <v>6563850000</v>
      </c>
      <c r="J41" s="16">
        <f>武将升星!AD176+武将进阶!Y176+武将觉醒!S177</f>
        <v>6563850000</v>
      </c>
      <c r="K41" s="16">
        <f>武将升星!AD221+武将进阶!Y221+武将觉醒!S222</f>
        <v>6563850000</v>
      </c>
      <c r="L41" s="23">
        <f>武将升星!AD41/$G41</f>
        <v>3.4964235928608973E-3</v>
      </c>
      <c r="M41" s="23">
        <f>武将进阶!Y41/$G41</f>
        <v>0.99462967618089992</v>
      </c>
      <c r="N41" s="23">
        <f>武将觉醒!S42/$G41</f>
        <v>1.8739002262391736E-3</v>
      </c>
      <c r="O41" s="23"/>
      <c r="P41" s="16">
        <v>38</v>
      </c>
      <c r="Q41" s="16">
        <f t="shared" si="20"/>
        <v>3455606.3815875296</v>
      </c>
      <c r="R41" s="16">
        <f t="shared" si="21"/>
        <v>3842512.5327421902</v>
      </c>
      <c r="S41" s="16">
        <f t="shared" si="22"/>
        <v>4199477.7618352026</v>
      </c>
      <c r="T41" s="16">
        <f t="shared" si="23"/>
        <v>4701964.0677374899</v>
      </c>
      <c r="U41" s="16">
        <f t="shared" si="24"/>
        <v>4741543.4118749164</v>
      </c>
      <c r="X41" s="16">
        <f>武将升星!AD40</f>
        <v>22950000</v>
      </c>
      <c r="Y41" s="16">
        <f>武将升星!AD85</f>
        <v>22950000</v>
      </c>
      <c r="Z41" s="16">
        <f>武将升星!AD130</f>
        <v>22950000</v>
      </c>
      <c r="AA41" s="16">
        <f>武将升星!AD175</f>
        <v>22950000</v>
      </c>
      <c r="AB41" s="16">
        <f>武将升星!AD220</f>
        <v>22950000</v>
      </c>
      <c r="AC41" s="16">
        <f>武将进阶!Y40</f>
        <v>6528600000</v>
      </c>
      <c r="AD41" s="16">
        <f>武将进阶!Y85</f>
        <v>6528600000</v>
      </c>
      <c r="AE41" s="16">
        <f>武将进阶!Y130</f>
        <v>6528600000</v>
      </c>
      <c r="AF41" s="16">
        <f>武将进阶!Y175</f>
        <v>6528600000</v>
      </c>
      <c r="AG41" s="16">
        <f>武将进阶!Y220</f>
        <v>6528600000</v>
      </c>
      <c r="AH41" s="16">
        <f>武将觉醒!S41</f>
        <v>12300000</v>
      </c>
      <c r="AI41" s="16">
        <f>武将觉醒!S86</f>
        <v>12300000</v>
      </c>
      <c r="AJ41" s="16">
        <f>武将觉醒!S131</f>
        <v>12300000</v>
      </c>
      <c r="AK41" s="16">
        <f>武将觉醒!S176</f>
        <v>12300000</v>
      </c>
      <c r="AL41" s="16">
        <f>武将觉醒!S221</f>
        <v>12300000</v>
      </c>
      <c r="AN41" s="16">
        <v>38</v>
      </c>
      <c r="AO41" s="16">
        <f t="shared" si="25"/>
        <v>42102.01803258626</v>
      </c>
      <c r="AP41" s="16">
        <f t="shared" si="26"/>
        <v>66052.434452158021</v>
      </c>
      <c r="AQ41" s="16">
        <f t="shared" si="27"/>
        <v>137765.2200938176</v>
      </c>
      <c r="AR41" s="16">
        <f t="shared" si="28"/>
        <v>473164.06773748982</v>
      </c>
      <c r="AS41" s="16">
        <f t="shared" si="29"/>
        <v>512743.4118749171</v>
      </c>
      <c r="AT41" s="16">
        <f t="shared" si="30"/>
        <v>1108800</v>
      </c>
      <c r="AU41" s="16">
        <f t="shared" si="31"/>
        <v>1108800.0000000002</v>
      </c>
      <c r="AV41" s="16">
        <f t="shared" si="32"/>
        <v>1108799.9999999998</v>
      </c>
      <c r="AW41" s="16">
        <f t="shared" si="33"/>
        <v>1108800</v>
      </c>
      <c r="AX41" s="16">
        <f t="shared" si="34"/>
        <v>1108800</v>
      </c>
      <c r="AY41" s="16">
        <f t="shared" si="35"/>
        <v>2304704.3635549429</v>
      </c>
      <c r="AZ41" s="16">
        <f t="shared" si="36"/>
        <v>2667660.0982900318</v>
      </c>
      <c r="BA41" s="16">
        <f t="shared" si="37"/>
        <v>2952912.5417413851</v>
      </c>
      <c r="BB41" s="16">
        <f t="shared" si="38"/>
        <v>3120000</v>
      </c>
      <c r="BC41" s="16">
        <f t="shared" si="39"/>
        <v>3120000</v>
      </c>
    </row>
    <row r="42" spans="2:55" x14ac:dyDescent="0.15">
      <c r="B42" s="16">
        <f>基础状态预期!D55</f>
        <v>159.99202506384199</v>
      </c>
      <c r="C42" s="16">
        <f>基础状态预期!D100</f>
        <v>157.63974470288184</v>
      </c>
      <c r="D42" s="16">
        <f>基础状态预期!D145</f>
        <v>155.2512378743358</v>
      </c>
      <c r="E42" s="16">
        <f>基础状态预期!D190</f>
        <v>153.85863088955028</v>
      </c>
      <c r="F42" s="16">
        <f>基础状态预期!D235</f>
        <v>152.38629594951036</v>
      </c>
      <c r="G42" s="16">
        <f>武将升星!AD42+武将进阶!Y42+武将觉醒!S43</f>
        <v>6563850000</v>
      </c>
      <c r="H42" s="16">
        <f>武将升星!AD87+武将进阶!Y87+武将觉醒!S88</f>
        <v>6563850000</v>
      </c>
      <c r="I42" s="16">
        <f>武将升星!AD132+武将进阶!Y132+武将觉醒!S133</f>
        <v>6563850000</v>
      </c>
      <c r="J42" s="16">
        <f>武将升星!AD177+武将进阶!Y177+武将觉醒!S178</f>
        <v>6563850000</v>
      </c>
      <c r="K42" s="16">
        <f>武将升星!AD222+武将进阶!Y222+武将觉醒!S223</f>
        <v>6563850000</v>
      </c>
      <c r="L42" s="23">
        <f>武将升星!AD42/$G42</f>
        <v>3.4964235928608973E-3</v>
      </c>
      <c r="M42" s="23">
        <f>武将进阶!Y42/$G42</f>
        <v>0.99462967618089992</v>
      </c>
      <c r="N42" s="23">
        <f>武将觉醒!S43/$G42</f>
        <v>1.8739002262391736E-3</v>
      </c>
      <c r="O42" s="23"/>
      <c r="P42" s="16">
        <v>39</v>
      </c>
      <c r="Q42" s="16">
        <f t="shared" si="20"/>
        <v>3925457.2041005222</v>
      </c>
      <c r="R42" s="16">
        <f t="shared" si="21"/>
        <v>4179324.6488659186</v>
      </c>
      <c r="S42" s="16">
        <f t="shared" si="22"/>
        <v>4373862.9783572955</v>
      </c>
      <c r="T42" s="16">
        <f t="shared" si="23"/>
        <v>4816835.8244957998</v>
      </c>
      <c r="U42" s="16">
        <f t="shared" si="24"/>
        <v>4854794.5575245963</v>
      </c>
      <c r="X42" s="16">
        <f>武将升星!AD41</f>
        <v>22950000</v>
      </c>
      <c r="Y42" s="16">
        <f>武将升星!AD86</f>
        <v>22950000</v>
      </c>
      <c r="Z42" s="16">
        <f>武将升星!AD131</f>
        <v>22950000</v>
      </c>
      <c r="AA42" s="16">
        <f>武将升星!AD176</f>
        <v>22950000</v>
      </c>
      <c r="AB42" s="16">
        <f>武将升星!AD221</f>
        <v>22950000</v>
      </c>
      <c r="AC42" s="16">
        <f>武将进阶!Y41</f>
        <v>6528600000</v>
      </c>
      <c r="AD42" s="16">
        <f>武将进阶!Y86</f>
        <v>6528600000</v>
      </c>
      <c r="AE42" s="16">
        <f>武将进阶!Y131</f>
        <v>6528600000</v>
      </c>
      <c r="AF42" s="16">
        <f>武将进阶!Y176</f>
        <v>6528600000</v>
      </c>
      <c r="AG42" s="16">
        <f>武将进阶!Y221</f>
        <v>6528600000</v>
      </c>
      <c r="AH42" s="16">
        <f>武将觉醒!S42</f>
        <v>12300000</v>
      </c>
      <c r="AI42" s="16">
        <f>武将觉醒!S87</f>
        <v>12300000</v>
      </c>
      <c r="AJ42" s="16">
        <f>武将觉醒!S132</f>
        <v>12300000</v>
      </c>
      <c r="AK42" s="16">
        <f>武将觉醒!S177</f>
        <v>12300000</v>
      </c>
      <c r="AL42" s="16">
        <f>武将觉醒!S222</f>
        <v>12300000</v>
      </c>
      <c r="AN42" s="16">
        <v>39</v>
      </c>
      <c r="AO42" s="16">
        <f t="shared" si="25"/>
        <v>46705.022323050514</v>
      </c>
      <c r="AP42" s="16">
        <f t="shared" si="26"/>
        <v>72960.675495664749</v>
      </c>
      <c r="AQ42" s="16">
        <f t="shared" si="27"/>
        <v>152159.10988713102</v>
      </c>
      <c r="AR42" s="16">
        <f t="shared" si="28"/>
        <v>530435.82449580031</v>
      </c>
      <c r="AS42" s="16">
        <f t="shared" si="29"/>
        <v>568394.55752459657</v>
      </c>
      <c r="AT42" s="16">
        <f t="shared" si="30"/>
        <v>1166400.0000000002</v>
      </c>
      <c r="AU42" s="16">
        <f t="shared" si="31"/>
        <v>1166400.0000000002</v>
      </c>
      <c r="AV42" s="16">
        <f t="shared" si="32"/>
        <v>1166399.9999999998</v>
      </c>
      <c r="AW42" s="16">
        <f t="shared" si="33"/>
        <v>1166400</v>
      </c>
      <c r="AX42" s="16">
        <f t="shared" si="34"/>
        <v>1166400</v>
      </c>
      <c r="AY42" s="16">
        <f t="shared" si="35"/>
        <v>2712352.1817774717</v>
      </c>
      <c r="AZ42" s="16">
        <f t="shared" si="36"/>
        <v>2939963.9733702536</v>
      </c>
      <c r="BA42" s="16">
        <f t="shared" si="37"/>
        <v>3055303.8684701645</v>
      </c>
      <c r="BB42" s="16">
        <f t="shared" si="38"/>
        <v>3120000</v>
      </c>
      <c r="BC42" s="16">
        <f t="shared" si="39"/>
        <v>3120000</v>
      </c>
    </row>
    <row r="43" spans="2:55" x14ac:dyDescent="0.15">
      <c r="L43" s="23"/>
      <c r="M43" s="23"/>
      <c r="N43" s="23"/>
      <c r="O43" s="23"/>
      <c r="P43" s="16">
        <v>40</v>
      </c>
      <c r="Q43" s="16">
        <f t="shared" si="20"/>
        <v>4395308.0266135149</v>
      </c>
      <c r="R43" s="16">
        <f t="shared" si="21"/>
        <v>4426323.1349299727</v>
      </c>
      <c r="S43" s="16">
        <f t="shared" si="22"/>
        <v>4517892.1414507097</v>
      </c>
      <c r="T43" s="16">
        <f t="shared" si="23"/>
        <v>4945797.1396941142</v>
      </c>
      <c r="U43" s="16">
        <f t="shared" si="24"/>
        <v>4986203.41146247</v>
      </c>
      <c r="AN43" s="16">
        <v>40</v>
      </c>
      <c r="AO43" s="16">
        <f t="shared" si="25"/>
        <v>51308.026613514769</v>
      </c>
      <c r="AP43" s="16">
        <f t="shared" si="26"/>
        <v>82323.134929972235</v>
      </c>
      <c r="AQ43" s="16">
        <f t="shared" si="27"/>
        <v>173892.14145070961</v>
      </c>
      <c r="AR43" s="16">
        <f t="shared" si="28"/>
        <v>601797.13969411503</v>
      </c>
      <c r="AS43" s="16">
        <f t="shared" si="29"/>
        <v>642203.41146247031</v>
      </c>
      <c r="AT43" s="16">
        <f t="shared" si="30"/>
        <v>1224000.0000000002</v>
      </c>
      <c r="AU43" s="16">
        <f t="shared" si="31"/>
        <v>1224000.0000000002</v>
      </c>
      <c r="AV43" s="16">
        <f t="shared" si="32"/>
        <v>1223999.9999999998</v>
      </c>
      <c r="AW43" s="16">
        <f t="shared" si="33"/>
        <v>1224000</v>
      </c>
      <c r="AX43" s="16">
        <f t="shared" si="34"/>
        <v>1224000</v>
      </c>
      <c r="AY43" s="16">
        <f t="shared" si="35"/>
        <v>3120000</v>
      </c>
      <c r="AZ43" s="16">
        <f t="shared" si="36"/>
        <v>3120000</v>
      </c>
      <c r="BA43" s="16">
        <f t="shared" si="37"/>
        <v>3120000</v>
      </c>
      <c r="BB43" s="16">
        <f t="shared" si="38"/>
        <v>3120000</v>
      </c>
      <c r="BC43" s="16">
        <f t="shared" si="39"/>
        <v>3120000</v>
      </c>
    </row>
    <row r="44" spans="2:55" x14ac:dyDescent="0.15">
      <c r="N44" s="23"/>
      <c r="O44" s="23"/>
      <c r="P44" s="16">
        <v>41</v>
      </c>
      <c r="Q44" s="16">
        <f t="shared" si="20"/>
        <v>4463144.2918912508</v>
      </c>
      <c r="R44" s="16">
        <f t="shared" si="21"/>
        <v>4498074.3451044541</v>
      </c>
      <c r="S44" s="16">
        <f t="shared" si="22"/>
        <v>4609821.3163365144</v>
      </c>
      <c r="T44" s="16">
        <f t="shared" si="23"/>
        <v>5077015.9679355826</v>
      </c>
      <c r="U44" s="16">
        <f t="shared" si="24"/>
        <v>5117612.2654003436</v>
      </c>
      <c r="AN44" s="16">
        <v>41</v>
      </c>
      <c r="AO44" s="16">
        <f t="shared" si="25"/>
        <v>61544.291891250192</v>
      </c>
      <c r="AP44" s="16">
        <f t="shared" si="26"/>
        <v>96474.345104453125</v>
      </c>
      <c r="AQ44" s="16">
        <f t="shared" si="27"/>
        <v>208221.31633651431</v>
      </c>
      <c r="AR44" s="16">
        <f t="shared" si="28"/>
        <v>675415.96793558355</v>
      </c>
      <c r="AS44" s="16">
        <f t="shared" si="29"/>
        <v>716012.26540034392</v>
      </c>
      <c r="AT44" s="16">
        <f t="shared" si="30"/>
        <v>1281600.0000000002</v>
      </c>
      <c r="AU44" s="16">
        <f t="shared" si="31"/>
        <v>1281600.0000000002</v>
      </c>
      <c r="AV44" s="16">
        <f t="shared" si="32"/>
        <v>1281599.9999999998</v>
      </c>
      <c r="AW44" s="16">
        <f t="shared" si="33"/>
        <v>1281600</v>
      </c>
      <c r="AX44" s="16">
        <f t="shared" si="34"/>
        <v>1281600</v>
      </c>
      <c r="AY44" s="16">
        <f t="shared" si="35"/>
        <v>3120000</v>
      </c>
      <c r="AZ44" s="16">
        <f t="shared" si="36"/>
        <v>3120000</v>
      </c>
      <c r="BA44" s="16">
        <f t="shared" si="37"/>
        <v>3120000</v>
      </c>
      <c r="BB44" s="16">
        <f t="shared" si="38"/>
        <v>3120000</v>
      </c>
      <c r="BC44" s="16">
        <f t="shared" si="39"/>
        <v>3120000</v>
      </c>
    </row>
    <row r="45" spans="2:55" x14ac:dyDescent="0.15">
      <c r="L45" s="23"/>
      <c r="M45" s="23"/>
      <c r="N45" s="23"/>
      <c r="O45" s="23"/>
      <c r="P45" s="16">
        <v>42</v>
      </c>
      <c r="Q45" s="16">
        <f t="shared" si="20"/>
        <v>4530980.5571689857</v>
      </c>
      <c r="R45" s="16">
        <f t="shared" si="21"/>
        <v>4569825.5552789345</v>
      </c>
      <c r="S45" s="16">
        <f t="shared" si="22"/>
        <v>4701750.4912223192</v>
      </c>
      <c r="T45" s="16">
        <f t="shared" si="23"/>
        <v>5208234.796177052</v>
      </c>
      <c r="U45" s="16">
        <f t="shared" si="24"/>
        <v>5249021.1193382181</v>
      </c>
      <c r="AN45" s="16">
        <v>42</v>
      </c>
      <c r="AO45" s="16">
        <f t="shared" si="25"/>
        <v>71780.557168985615</v>
      </c>
      <c r="AP45" s="16">
        <f t="shared" si="26"/>
        <v>110625.55527893403</v>
      </c>
      <c r="AQ45" s="16">
        <f t="shared" si="27"/>
        <v>242550.49122231902</v>
      </c>
      <c r="AR45" s="16">
        <f t="shared" si="28"/>
        <v>749034.79617705196</v>
      </c>
      <c r="AS45" s="16">
        <f t="shared" si="29"/>
        <v>789821.11933821766</v>
      </c>
      <c r="AT45" s="16">
        <f t="shared" si="30"/>
        <v>1339200</v>
      </c>
      <c r="AU45" s="16">
        <f t="shared" si="31"/>
        <v>1339200.0000000002</v>
      </c>
      <c r="AV45" s="16">
        <f t="shared" si="32"/>
        <v>1339200</v>
      </c>
      <c r="AW45" s="16">
        <f t="shared" si="33"/>
        <v>1339200</v>
      </c>
      <c r="AX45" s="16">
        <f t="shared" si="34"/>
        <v>1339200</v>
      </c>
      <c r="AY45" s="16">
        <f t="shared" si="35"/>
        <v>3120000</v>
      </c>
      <c r="AZ45" s="16">
        <f t="shared" si="36"/>
        <v>3120000</v>
      </c>
      <c r="BA45" s="16">
        <f t="shared" si="37"/>
        <v>3120000</v>
      </c>
      <c r="BB45" s="16">
        <f t="shared" si="38"/>
        <v>3120000</v>
      </c>
      <c r="BC45" s="16">
        <f t="shared" si="39"/>
        <v>3120000</v>
      </c>
    </row>
    <row r="46" spans="2:55" x14ac:dyDescent="0.15">
      <c r="L46" s="23"/>
      <c r="M46" s="23"/>
      <c r="N46" s="23"/>
      <c r="O46" s="23"/>
      <c r="P46" s="16">
        <v>43</v>
      </c>
      <c r="Q46" s="16">
        <f t="shared" si="20"/>
        <v>4598816.8224467216</v>
      </c>
      <c r="R46" s="16">
        <f t="shared" si="21"/>
        <v>4641576.7654534159</v>
      </c>
      <c r="S46" s="16">
        <f t="shared" si="22"/>
        <v>4793679.666108124</v>
      </c>
      <c r="T46" s="16">
        <f t="shared" si="23"/>
        <v>5341826.892795112</v>
      </c>
      <c r="U46" s="16">
        <f t="shared" si="24"/>
        <v>5411811.5765147889</v>
      </c>
      <c r="AN46" s="16">
        <v>43</v>
      </c>
      <c r="AO46" s="16">
        <f t="shared" si="25"/>
        <v>82016.822446721024</v>
      </c>
      <c r="AP46" s="16">
        <f t="shared" si="26"/>
        <v>124776.76545341492</v>
      </c>
      <c r="AQ46" s="16">
        <f t="shared" si="27"/>
        <v>276879.66610812373</v>
      </c>
      <c r="AR46" s="16">
        <f t="shared" si="28"/>
        <v>825026.89279511222</v>
      </c>
      <c r="AS46" s="16">
        <f t="shared" si="29"/>
        <v>895011.57651478832</v>
      </c>
      <c r="AT46" s="16">
        <f t="shared" si="30"/>
        <v>1396800</v>
      </c>
      <c r="AU46" s="16">
        <f t="shared" si="31"/>
        <v>1396800.0000000002</v>
      </c>
      <c r="AV46" s="16">
        <f t="shared" si="32"/>
        <v>1396800</v>
      </c>
      <c r="AW46" s="16">
        <f t="shared" si="33"/>
        <v>1396799.9999999998</v>
      </c>
      <c r="AX46" s="16">
        <f t="shared" si="34"/>
        <v>1396800</v>
      </c>
      <c r="AY46" s="16">
        <f t="shared" si="35"/>
        <v>3120000</v>
      </c>
      <c r="AZ46" s="16">
        <f t="shared" si="36"/>
        <v>3120000</v>
      </c>
      <c r="BA46" s="16">
        <f t="shared" si="37"/>
        <v>3120000</v>
      </c>
      <c r="BB46" s="16">
        <f t="shared" si="38"/>
        <v>3120000</v>
      </c>
      <c r="BC46" s="16">
        <f t="shared" si="39"/>
        <v>3120000</v>
      </c>
    </row>
    <row r="47" spans="2:55" x14ac:dyDescent="0.15">
      <c r="L47" s="23"/>
      <c r="M47" s="23"/>
      <c r="N47" s="23"/>
      <c r="O47" s="23"/>
      <c r="P47" s="16">
        <v>44</v>
      </c>
      <c r="Q47" s="16">
        <f t="shared" si="20"/>
        <v>4667073.8014660934</v>
      </c>
      <c r="R47" s="16">
        <f t="shared" si="21"/>
        <v>4718726.9544959962</v>
      </c>
      <c r="S47" s="16">
        <f t="shared" si="22"/>
        <v>4890560.3596922159</v>
      </c>
      <c r="T47" s="16">
        <f t="shared" si="23"/>
        <v>5554178.1046736883</v>
      </c>
      <c r="U47" s="16">
        <f t="shared" si="24"/>
        <v>5631212.8794170953</v>
      </c>
      <c r="AN47" s="16">
        <v>44</v>
      </c>
      <c r="AO47" s="16">
        <f t="shared" si="25"/>
        <v>92673.801466092715</v>
      </c>
      <c r="AP47" s="16">
        <f t="shared" si="26"/>
        <v>144326.95449599545</v>
      </c>
      <c r="AQ47" s="16">
        <f t="shared" si="27"/>
        <v>316160.35969221569</v>
      </c>
      <c r="AR47" s="16">
        <f t="shared" si="28"/>
        <v>979778.10467368877</v>
      </c>
      <c r="AS47" s="16">
        <f t="shared" si="29"/>
        <v>1056812.8794170951</v>
      </c>
      <c r="AT47" s="16">
        <f t="shared" si="30"/>
        <v>1454400</v>
      </c>
      <c r="AU47" s="16">
        <f t="shared" si="31"/>
        <v>1454400.0000000002</v>
      </c>
      <c r="AV47" s="16">
        <f t="shared" si="32"/>
        <v>1454400</v>
      </c>
      <c r="AW47" s="16">
        <f t="shared" si="33"/>
        <v>1454399.9999999998</v>
      </c>
      <c r="AX47" s="16">
        <f t="shared" si="34"/>
        <v>1454400</v>
      </c>
      <c r="AY47" s="16">
        <f t="shared" si="35"/>
        <v>3120000</v>
      </c>
      <c r="AZ47" s="16">
        <f t="shared" si="36"/>
        <v>3120000</v>
      </c>
      <c r="BA47" s="16">
        <f t="shared" si="37"/>
        <v>3120000</v>
      </c>
      <c r="BB47" s="16">
        <f t="shared" si="38"/>
        <v>3120000</v>
      </c>
      <c r="BC47" s="16">
        <f t="shared" si="39"/>
        <v>3120000</v>
      </c>
    </row>
    <row r="48" spans="2:55" x14ac:dyDescent="0.15">
      <c r="L48" s="23"/>
      <c r="M48" s="23"/>
      <c r="N48" s="23"/>
      <c r="O48" s="23"/>
      <c r="P48" s="16">
        <v>45</v>
      </c>
      <c r="Q48" s="16">
        <f t="shared" si="20"/>
        <v>4740214.891367279</v>
      </c>
      <c r="R48" s="16">
        <f t="shared" si="21"/>
        <v>4802098.6071068691</v>
      </c>
      <c r="S48" s="16">
        <f t="shared" si="22"/>
        <v>4992102.8234109068</v>
      </c>
      <c r="T48" s="16">
        <f t="shared" si="23"/>
        <v>5766529.3165522646</v>
      </c>
      <c r="U48" s="16">
        <f t="shared" si="24"/>
        <v>5850614.1823194018</v>
      </c>
      <c r="AN48" s="16">
        <v>45</v>
      </c>
      <c r="AO48" s="16">
        <f t="shared" si="25"/>
        <v>108214.89136727843</v>
      </c>
      <c r="AP48" s="16">
        <f t="shared" si="26"/>
        <v>170098.60710686879</v>
      </c>
      <c r="AQ48" s="16">
        <f t="shared" si="27"/>
        <v>360102.82341090613</v>
      </c>
      <c r="AR48" s="16">
        <f t="shared" si="28"/>
        <v>1134529.3165522653</v>
      </c>
      <c r="AS48" s="16">
        <f t="shared" si="29"/>
        <v>1218614.1823194018</v>
      </c>
      <c r="AT48" s="16">
        <f t="shared" si="30"/>
        <v>1512000</v>
      </c>
      <c r="AU48" s="16">
        <f t="shared" si="31"/>
        <v>1512000.0000000002</v>
      </c>
      <c r="AV48" s="16">
        <f t="shared" si="32"/>
        <v>1512000</v>
      </c>
      <c r="AW48" s="16">
        <f t="shared" si="33"/>
        <v>1511999.9999999998</v>
      </c>
      <c r="AX48" s="16">
        <f t="shared" si="34"/>
        <v>1512000</v>
      </c>
      <c r="AY48" s="16">
        <f t="shared" si="35"/>
        <v>3120000</v>
      </c>
      <c r="AZ48" s="16">
        <f t="shared" si="36"/>
        <v>3120000</v>
      </c>
      <c r="BA48" s="16">
        <f t="shared" si="37"/>
        <v>3120000</v>
      </c>
      <c r="BB48" s="16">
        <f t="shared" si="38"/>
        <v>3120000</v>
      </c>
      <c r="BC48" s="16">
        <f t="shared" si="39"/>
        <v>3120000</v>
      </c>
    </row>
    <row r="49" spans="12:55" x14ac:dyDescent="0.15">
      <c r="L49" s="23"/>
      <c r="M49" s="23"/>
      <c r="N49" s="23"/>
      <c r="O49" s="23"/>
      <c r="P49" s="16">
        <v>46</v>
      </c>
      <c r="Q49" s="16">
        <f t="shared" si="20"/>
        <v>4813355.9812684646</v>
      </c>
      <c r="R49" s="16">
        <f t="shared" si="21"/>
        <v>4885470.259717742</v>
      </c>
      <c r="S49" s="16">
        <f t="shared" si="22"/>
        <v>5093645.2871295968</v>
      </c>
      <c r="T49" s="16">
        <f t="shared" si="23"/>
        <v>5978880.5284308419</v>
      </c>
      <c r="U49" s="16">
        <f t="shared" si="24"/>
        <v>6070015.4852217082</v>
      </c>
      <c r="AN49" s="16">
        <v>46</v>
      </c>
      <c r="AO49" s="16">
        <f t="shared" si="25"/>
        <v>123755.98126846414</v>
      </c>
      <c r="AP49" s="16">
        <f t="shared" si="26"/>
        <v>195870.25971774213</v>
      </c>
      <c r="AQ49" s="16">
        <f t="shared" si="27"/>
        <v>404045.28712959657</v>
      </c>
      <c r="AR49" s="16">
        <f t="shared" si="28"/>
        <v>1289280.5284308419</v>
      </c>
      <c r="AS49" s="16">
        <f t="shared" si="29"/>
        <v>1380415.4852217087</v>
      </c>
      <c r="AT49" s="16">
        <f t="shared" si="30"/>
        <v>1569600</v>
      </c>
      <c r="AU49" s="16">
        <f t="shared" si="31"/>
        <v>1569600.0000000002</v>
      </c>
      <c r="AV49" s="16">
        <f t="shared" si="32"/>
        <v>1569600</v>
      </c>
      <c r="AW49" s="16">
        <f t="shared" si="33"/>
        <v>1569599.9999999998</v>
      </c>
      <c r="AX49" s="16">
        <f t="shared" si="34"/>
        <v>1569600</v>
      </c>
      <c r="AY49" s="16">
        <f t="shared" si="35"/>
        <v>3120000</v>
      </c>
      <c r="AZ49" s="16">
        <f t="shared" si="36"/>
        <v>3120000</v>
      </c>
      <c r="BA49" s="16">
        <f t="shared" si="37"/>
        <v>3120000</v>
      </c>
      <c r="BB49" s="16">
        <f t="shared" si="38"/>
        <v>3120000</v>
      </c>
      <c r="BC49" s="16">
        <f t="shared" si="39"/>
        <v>3120000</v>
      </c>
    </row>
    <row r="50" spans="12:55" x14ac:dyDescent="0.15">
      <c r="L50" s="23"/>
      <c r="M50" s="23"/>
      <c r="N50" s="23"/>
      <c r="O50" s="23"/>
      <c r="P50" s="16">
        <v>47</v>
      </c>
      <c r="Q50" s="16">
        <f t="shared" si="20"/>
        <v>4886497.0711696502</v>
      </c>
      <c r="R50" s="16">
        <f t="shared" si="21"/>
        <v>4968841.9123286158</v>
      </c>
      <c r="S50" s="16">
        <f t="shared" si="22"/>
        <v>5195187.7508482877</v>
      </c>
      <c r="T50" s="16">
        <f t="shared" si="23"/>
        <v>6191231.7403094182</v>
      </c>
      <c r="U50" s="16">
        <f t="shared" si="24"/>
        <v>6289416.7881240156</v>
      </c>
      <c r="AN50" s="16">
        <v>47</v>
      </c>
      <c r="AO50" s="16">
        <f t="shared" si="25"/>
        <v>139297.07116964983</v>
      </c>
      <c r="AP50" s="16">
        <f t="shared" si="26"/>
        <v>221641.91232861546</v>
      </c>
      <c r="AQ50" s="16">
        <f t="shared" si="27"/>
        <v>447987.75084828696</v>
      </c>
      <c r="AR50" s="16">
        <f t="shared" si="28"/>
        <v>1444031.7403094182</v>
      </c>
      <c r="AS50" s="16">
        <f t="shared" si="29"/>
        <v>1542216.7881240151</v>
      </c>
      <c r="AT50" s="16">
        <f t="shared" si="30"/>
        <v>1627200</v>
      </c>
      <c r="AU50" s="16">
        <f t="shared" si="31"/>
        <v>1627200</v>
      </c>
      <c r="AV50" s="16">
        <f t="shared" si="32"/>
        <v>1627200</v>
      </c>
      <c r="AW50" s="16">
        <f t="shared" si="33"/>
        <v>1627199.9999999998</v>
      </c>
      <c r="AX50" s="16">
        <f t="shared" si="34"/>
        <v>1627199.9999999998</v>
      </c>
      <c r="AY50" s="16">
        <f t="shared" si="35"/>
        <v>3120000</v>
      </c>
      <c r="AZ50" s="16">
        <f t="shared" si="36"/>
        <v>3120000</v>
      </c>
      <c r="BA50" s="16">
        <f t="shared" si="37"/>
        <v>3120000</v>
      </c>
      <c r="BB50" s="16">
        <f t="shared" si="38"/>
        <v>3120000</v>
      </c>
      <c r="BC50" s="16">
        <f t="shared" si="39"/>
        <v>3120000</v>
      </c>
    </row>
    <row r="51" spans="12:55" x14ac:dyDescent="0.15">
      <c r="L51" s="23"/>
      <c r="M51" s="23"/>
      <c r="N51" s="23"/>
      <c r="O51" s="23"/>
      <c r="P51" s="16">
        <v>48</v>
      </c>
      <c r="Q51" s="16">
        <f t="shared" si="20"/>
        <v>4959638.1610708358</v>
      </c>
      <c r="R51" s="16">
        <f t="shared" si="21"/>
        <v>5052213.5649394887</v>
      </c>
      <c r="S51" s="16">
        <f t="shared" si="22"/>
        <v>5296730.2145669777</v>
      </c>
      <c r="T51" s="16">
        <f t="shared" si="23"/>
        <v>6403582.9521879945</v>
      </c>
      <c r="U51" s="16">
        <f t="shared" si="24"/>
        <v>6508818.091026322</v>
      </c>
      <c r="AN51" s="16">
        <v>48</v>
      </c>
      <c r="AO51" s="16">
        <f t="shared" si="25"/>
        <v>154838.16107083554</v>
      </c>
      <c r="AP51" s="16">
        <f t="shared" si="26"/>
        <v>247413.5649394888</v>
      </c>
      <c r="AQ51" s="16">
        <f t="shared" si="27"/>
        <v>491930.21456697735</v>
      </c>
      <c r="AR51" s="16">
        <f t="shared" si="28"/>
        <v>1598782.952187995</v>
      </c>
      <c r="AS51" s="16">
        <f t="shared" si="29"/>
        <v>1704018.091026322</v>
      </c>
      <c r="AT51" s="16">
        <f t="shared" si="30"/>
        <v>1684800</v>
      </c>
      <c r="AU51" s="16">
        <f t="shared" si="31"/>
        <v>1684800</v>
      </c>
      <c r="AV51" s="16">
        <f t="shared" si="32"/>
        <v>1684800</v>
      </c>
      <c r="AW51" s="16">
        <f t="shared" si="33"/>
        <v>1684799.9999999998</v>
      </c>
      <c r="AX51" s="16">
        <f t="shared" si="34"/>
        <v>1684799.9999999998</v>
      </c>
      <c r="AY51" s="16">
        <f t="shared" si="35"/>
        <v>3120000</v>
      </c>
      <c r="AZ51" s="16">
        <f t="shared" si="36"/>
        <v>3120000</v>
      </c>
      <c r="BA51" s="16">
        <f t="shared" si="37"/>
        <v>3120000</v>
      </c>
      <c r="BB51" s="16">
        <f t="shared" si="38"/>
        <v>3120000</v>
      </c>
      <c r="BC51" s="16">
        <f t="shared" si="39"/>
        <v>3120000</v>
      </c>
    </row>
    <row r="52" spans="12:55" x14ac:dyDescent="0.15">
      <c r="L52" s="23"/>
      <c r="M52" s="23"/>
      <c r="N52" s="23"/>
      <c r="O52" s="23"/>
      <c r="P52" s="16">
        <v>49</v>
      </c>
      <c r="Q52" s="16">
        <f t="shared" si="20"/>
        <v>5032779.2509720214</v>
      </c>
      <c r="R52" s="16">
        <f t="shared" si="21"/>
        <v>5135585.2175503615</v>
      </c>
      <c r="S52" s="16">
        <f t="shared" si="22"/>
        <v>5398272.6782856677</v>
      </c>
      <c r="T52" s="16">
        <f t="shared" si="23"/>
        <v>6884086.3752679201</v>
      </c>
      <c r="U52" s="16">
        <f t="shared" si="24"/>
        <v>7227964.7689830009</v>
      </c>
      <c r="AN52" s="16">
        <v>49</v>
      </c>
      <c r="AO52" s="16">
        <f t="shared" si="25"/>
        <v>170379.25097202125</v>
      </c>
      <c r="AP52" s="16">
        <f t="shared" si="26"/>
        <v>273185.21755036211</v>
      </c>
      <c r="AQ52" s="16">
        <f t="shared" si="27"/>
        <v>535872.67828566779</v>
      </c>
      <c r="AR52" s="16">
        <f t="shared" si="28"/>
        <v>1749161.3241874301</v>
      </c>
      <c r="AS52" s="16">
        <f t="shared" si="29"/>
        <v>1873417.4263579578</v>
      </c>
      <c r="AT52" s="16">
        <f t="shared" si="30"/>
        <v>1742400</v>
      </c>
      <c r="AU52" s="16">
        <f t="shared" si="31"/>
        <v>1742400</v>
      </c>
      <c r="AV52" s="16">
        <f t="shared" si="32"/>
        <v>1742400</v>
      </c>
      <c r="AW52" s="16">
        <f t="shared" si="33"/>
        <v>1913172.0658297907</v>
      </c>
      <c r="AX52" s="16">
        <f t="shared" si="34"/>
        <v>2043831.7657393124</v>
      </c>
      <c r="AY52" s="16">
        <f t="shared" si="35"/>
        <v>3120000</v>
      </c>
      <c r="AZ52" s="16">
        <f t="shared" si="36"/>
        <v>3120000</v>
      </c>
      <c r="BA52" s="16">
        <f t="shared" si="37"/>
        <v>3120000</v>
      </c>
      <c r="BB52" s="16">
        <f t="shared" si="38"/>
        <v>3221752.9852506993</v>
      </c>
      <c r="BC52" s="16">
        <f t="shared" si="39"/>
        <v>3310715.576885731</v>
      </c>
    </row>
    <row r="53" spans="12:55" x14ac:dyDescent="0.15">
      <c r="L53" s="23"/>
      <c r="M53" s="23"/>
      <c r="N53" s="23"/>
      <c r="O53" s="23"/>
      <c r="P53" s="16">
        <v>50</v>
      </c>
      <c r="Q53" s="16">
        <f t="shared" si="20"/>
        <v>5650389.6669968106</v>
      </c>
      <c r="R53" s="16">
        <f t="shared" si="21"/>
        <v>6115875.6634687446</v>
      </c>
      <c r="S53" s="16">
        <f t="shared" si="22"/>
        <v>6373554.0472361296</v>
      </c>
      <c r="T53" s="16">
        <f t="shared" si="23"/>
        <v>8094821.51816714</v>
      </c>
      <c r="U53" s="16">
        <f t="shared" si="24"/>
        <v>8433319.22236293</v>
      </c>
      <c r="AN53" s="16">
        <v>50</v>
      </c>
      <c r="AO53" s="16">
        <f t="shared" si="25"/>
        <v>190819.70216478044</v>
      </c>
      <c r="AP53" s="16">
        <f t="shared" si="26"/>
        <v>298572.26704544562</v>
      </c>
      <c r="AQ53" s="16">
        <f t="shared" si="27"/>
        <v>564105.59732850106</v>
      </c>
      <c r="AR53" s="16">
        <f t="shared" si="28"/>
        <v>1887631.5848528815</v>
      </c>
      <c r="AS53" s="16">
        <f t="shared" si="29"/>
        <v>2050208.9710615282</v>
      </c>
      <c r="AT53" s="16">
        <f t="shared" si="30"/>
        <v>2162567.8946395419</v>
      </c>
      <c r="AU53" s="16">
        <f t="shared" si="31"/>
        <v>2386870.9349071346</v>
      </c>
      <c r="AV53" s="16">
        <f t="shared" si="32"/>
        <v>2381024.5478308117</v>
      </c>
      <c r="AW53" s="16">
        <f t="shared" si="33"/>
        <v>2606590.3782271519</v>
      </c>
      <c r="AX53" s="16">
        <f t="shared" si="34"/>
        <v>2696129.8138250448</v>
      </c>
      <c r="AY53" s="16">
        <f t="shared" si="35"/>
        <v>3297002.0701924879</v>
      </c>
      <c r="AZ53" s="16">
        <f t="shared" si="36"/>
        <v>3430432.4615161642</v>
      </c>
      <c r="BA53" s="16">
        <f t="shared" si="37"/>
        <v>3428423.9020768171</v>
      </c>
      <c r="BB53" s="16">
        <f t="shared" si="38"/>
        <v>3600599.5550871063</v>
      </c>
      <c r="BC53" s="16">
        <f t="shared" si="39"/>
        <v>3686980.4374763565</v>
      </c>
    </row>
    <row r="54" spans="12:55" x14ac:dyDescent="0.15">
      <c r="L54" s="23"/>
      <c r="M54" s="23"/>
      <c r="N54" s="23"/>
      <c r="O54" s="23"/>
      <c r="P54" s="16">
        <v>51</v>
      </c>
      <c r="Q54" s="16">
        <f t="shared" si="20"/>
        <v>6890298.17995298</v>
      </c>
      <c r="R54" s="16">
        <f t="shared" si="21"/>
        <v>7291174.3433433697</v>
      </c>
      <c r="S54" s="16">
        <f t="shared" si="22"/>
        <v>7552270.9360504672</v>
      </c>
      <c r="T54" s="16">
        <f t="shared" si="23"/>
        <v>9305556.6610663589</v>
      </c>
      <c r="U54" s="16">
        <f t="shared" si="24"/>
        <v>9638673.675742859</v>
      </c>
      <c r="AN54" s="16">
        <v>51</v>
      </c>
      <c r="AO54" s="16">
        <f t="shared" si="25"/>
        <v>216859.85027643142</v>
      </c>
      <c r="AP54" s="16">
        <f t="shared" si="26"/>
        <v>323875.69606680964</v>
      </c>
      <c r="AQ54" s="16">
        <f t="shared" si="27"/>
        <v>588680.81111313705</v>
      </c>
      <c r="AR54" s="16">
        <f t="shared" si="28"/>
        <v>2026101.8455183329</v>
      </c>
      <c r="AS54" s="16">
        <f t="shared" si="29"/>
        <v>2227000.5157650989</v>
      </c>
      <c r="AT54" s="16">
        <f t="shared" si="30"/>
        <v>2997130.6872414052</v>
      </c>
      <c r="AU54" s="16">
        <f t="shared" si="31"/>
        <v>3158939.4465742111</v>
      </c>
      <c r="AV54" s="16">
        <f t="shared" si="32"/>
        <v>3154930.9633155307</v>
      </c>
      <c r="AW54" s="16">
        <f t="shared" si="33"/>
        <v>3300008.6906245132</v>
      </c>
      <c r="AX54" s="16">
        <f t="shared" si="34"/>
        <v>3348427.8619107772</v>
      </c>
      <c r="AY54" s="16">
        <f t="shared" si="35"/>
        <v>3676307.6424351437</v>
      </c>
      <c r="AZ54" s="16">
        <f t="shared" si="36"/>
        <v>3808359.2007023483</v>
      </c>
      <c r="BA54" s="16">
        <f t="shared" si="37"/>
        <v>3808659.1616217988</v>
      </c>
      <c r="BB54" s="16">
        <f t="shared" si="38"/>
        <v>3979446.1249235133</v>
      </c>
      <c r="BC54" s="16">
        <f t="shared" si="39"/>
        <v>4063245.2980669825</v>
      </c>
    </row>
    <row r="55" spans="12:55" x14ac:dyDescent="0.15">
      <c r="L55" s="23"/>
      <c r="M55" s="23"/>
      <c r="N55" s="23"/>
      <c r="O55" s="23"/>
      <c r="P55" s="16">
        <v>52</v>
      </c>
      <c r="Q55" s="16">
        <f t="shared" si="20"/>
        <v>8130206.6929091495</v>
      </c>
      <c r="R55" s="16">
        <f t="shared" si="21"/>
        <v>8466473.0232179947</v>
      </c>
      <c r="S55" s="16">
        <f t="shared" si="22"/>
        <v>8730987.8248648029</v>
      </c>
      <c r="T55" s="16">
        <f t="shared" si="23"/>
        <v>10516291.80396558</v>
      </c>
      <c r="U55" s="16">
        <f t="shared" si="24"/>
        <v>10844028.129122788</v>
      </c>
      <c r="AN55" s="16">
        <v>52</v>
      </c>
      <c r="AO55" s="16">
        <f t="shared" si="25"/>
        <v>242899.9983880824</v>
      </c>
      <c r="AP55" s="16">
        <f t="shared" si="26"/>
        <v>349179.12508817366</v>
      </c>
      <c r="AQ55" s="16">
        <f t="shared" si="27"/>
        <v>613256.02489777317</v>
      </c>
      <c r="AR55" s="16">
        <f t="shared" si="28"/>
        <v>2164572.1061837841</v>
      </c>
      <c r="AS55" s="16">
        <f t="shared" si="29"/>
        <v>2403792.060468669</v>
      </c>
      <c r="AT55" s="16">
        <f t="shared" si="30"/>
        <v>3831693.4798432682</v>
      </c>
      <c r="AU55" s="16">
        <f t="shared" si="31"/>
        <v>3931007.9582412876</v>
      </c>
      <c r="AV55" s="16">
        <f t="shared" si="32"/>
        <v>3928837.3788002501</v>
      </c>
      <c r="AW55" s="16">
        <f t="shared" si="33"/>
        <v>3993427.0030218745</v>
      </c>
      <c r="AX55" s="16">
        <f t="shared" si="34"/>
        <v>4000725.9099965096</v>
      </c>
      <c r="AY55" s="16">
        <f t="shared" si="35"/>
        <v>4055613.2146778</v>
      </c>
      <c r="AZ55" s="16">
        <f t="shared" si="36"/>
        <v>4186285.9398885323</v>
      </c>
      <c r="BA55" s="16">
        <f t="shared" si="37"/>
        <v>4188894.4211667813</v>
      </c>
      <c r="BB55" s="16">
        <f t="shared" si="38"/>
        <v>4358292.6947599202</v>
      </c>
      <c r="BC55" s="16">
        <f t="shared" si="39"/>
        <v>4439510.1586576086</v>
      </c>
    </row>
    <row r="56" spans="12:55" x14ac:dyDescent="0.15">
      <c r="L56" s="23"/>
      <c r="M56" s="23"/>
      <c r="N56" s="23"/>
      <c r="O56" s="23"/>
      <c r="P56" s="16">
        <v>53</v>
      </c>
      <c r="Q56" s="16">
        <f t="shared" si="20"/>
        <v>9370115.2058653198</v>
      </c>
      <c r="R56" s="16">
        <f t="shared" si="21"/>
        <v>9641771.7030926179</v>
      </c>
      <c r="S56" s="16">
        <f t="shared" si="22"/>
        <v>9909704.7136791404</v>
      </c>
      <c r="T56" s="16">
        <f t="shared" si="23"/>
        <v>11810702.463045394</v>
      </c>
      <c r="U56" s="16">
        <f t="shared" si="24"/>
        <v>12269320.756200874</v>
      </c>
      <c r="AN56" s="16">
        <v>53</v>
      </c>
      <c r="AO56" s="16">
        <f t="shared" si="25"/>
        <v>268940.14649973338</v>
      </c>
      <c r="AP56" s="16">
        <f t="shared" si="26"/>
        <v>374482.55410953768</v>
      </c>
      <c r="AQ56" s="16">
        <f t="shared" si="27"/>
        <v>637831.23868240917</v>
      </c>
      <c r="AR56" s="16">
        <f t="shared" si="28"/>
        <v>2309318.5558593823</v>
      </c>
      <c r="AS56" s="16">
        <f t="shared" si="29"/>
        <v>2638289.204398205</v>
      </c>
      <c r="AT56" s="16">
        <f t="shared" si="30"/>
        <v>4666256.2724451311</v>
      </c>
      <c r="AU56" s="16">
        <f t="shared" si="31"/>
        <v>4703076.4699083641</v>
      </c>
      <c r="AV56" s="16">
        <f t="shared" si="32"/>
        <v>4702743.7942849696</v>
      </c>
      <c r="AW56" s="16">
        <f t="shared" si="33"/>
        <v>4792053.0743501196</v>
      </c>
      <c r="AX56" s="16">
        <f t="shared" si="34"/>
        <v>4868712.8120592143</v>
      </c>
      <c r="AY56" s="16">
        <f t="shared" si="35"/>
        <v>4434918.7869204562</v>
      </c>
      <c r="AZ56" s="16">
        <f t="shared" si="36"/>
        <v>4564212.6790747158</v>
      </c>
      <c r="BA56" s="16">
        <f t="shared" si="37"/>
        <v>4569129.680711763</v>
      </c>
      <c r="BB56" s="16">
        <f t="shared" si="38"/>
        <v>4709330.8328358931</v>
      </c>
      <c r="BC56" s="16">
        <f t="shared" si="39"/>
        <v>4762318.7397434553</v>
      </c>
    </row>
    <row r="57" spans="12:55" x14ac:dyDescent="0.15">
      <c r="L57" s="23"/>
      <c r="M57" s="23"/>
      <c r="N57" s="23"/>
      <c r="O57" s="23"/>
      <c r="P57" s="16">
        <v>54</v>
      </c>
      <c r="Q57" s="16">
        <f t="shared" si="20"/>
        <v>10710399.768324802</v>
      </c>
      <c r="R57" s="16">
        <f t="shared" si="21"/>
        <v>11036852.179779824</v>
      </c>
      <c r="S57" s="16">
        <f t="shared" si="22"/>
        <v>11323379.876140535</v>
      </c>
      <c r="T57" s="16">
        <f t="shared" si="23"/>
        <v>13385225.187021423</v>
      </c>
      <c r="U57" s="16">
        <f t="shared" si="24"/>
        <v>13973875.91328379</v>
      </c>
      <c r="AN57" s="16">
        <v>54</v>
      </c>
      <c r="AO57" s="16">
        <f t="shared" si="25"/>
        <v>292689.66184626013</v>
      </c>
      <c r="AP57" s="16">
        <f t="shared" si="26"/>
        <v>399305.28690881695</v>
      </c>
      <c r="AQ57" s="16">
        <f t="shared" si="27"/>
        <v>682313.60322570615</v>
      </c>
      <c r="AR57" s="16">
        <f t="shared" si="28"/>
        <v>2475075.1688845176</v>
      </c>
      <c r="AS57" s="16">
        <f t="shared" si="29"/>
        <v>2946056.9923652057</v>
      </c>
      <c r="AT57" s="16">
        <f t="shared" si="30"/>
        <v>5652163.1069096169</v>
      </c>
      <c r="AU57" s="16">
        <f t="shared" si="31"/>
        <v>5783258.2127787061</v>
      </c>
      <c r="AV57" s="16">
        <f t="shared" si="32"/>
        <v>5786143.2887166748</v>
      </c>
      <c r="AW57" s="16">
        <f t="shared" si="33"/>
        <v>5942872.5224557221</v>
      </c>
      <c r="AX57" s="16">
        <f t="shared" si="34"/>
        <v>6010566.7470368836</v>
      </c>
      <c r="AY57" s="16">
        <f t="shared" si="35"/>
        <v>4765546.9995689252</v>
      </c>
      <c r="AZ57" s="16">
        <f t="shared" si="36"/>
        <v>4854288.6800923012</v>
      </c>
      <c r="BA57" s="16">
        <f t="shared" si="37"/>
        <v>4854922.9841981549</v>
      </c>
      <c r="BB57" s="16">
        <f t="shared" si="38"/>
        <v>4967277.4956811834</v>
      </c>
      <c r="BC57" s="16">
        <f t="shared" si="39"/>
        <v>5017252.1738816993</v>
      </c>
    </row>
    <row r="58" spans="12:55" x14ac:dyDescent="0.15">
      <c r="L58" s="23"/>
      <c r="M58" s="23"/>
      <c r="N58" s="23"/>
      <c r="O58" s="23"/>
      <c r="P58" s="16">
        <v>55</v>
      </c>
      <c r="Q58" s="16">
        <f t="shared" si="20"/>
        <v>12182144.746287335</v>
      </c>
      <c r="R58" s="16">
        <f t="shared" si="21"/>
        <v>12496472.018012064</v>
      </c>
      <c r="S58" s="16">
        <f t="shared" si="22"/>
        <v>12800526.568009995</v>
      </c>
      <c r="T58" s="16">
        <f t="shared" si="23"/>
        <v>14959747.910997452</v>
      </c>
      <c r="U58" s="16">
        <f t="shared" si="24"/>
        <v>15678431.070366703</v>
      </c>
      <c r="AN58" s="16">
        <v>55</v>
      </c>
      <c r="AO58" s="16">
        <f t="shared" si="25"/>
        <v>313439.18330422294</v>
      </c>
      <c r="AP58" s="16">
        <f t="shared" si="26"/>
        <v>423986.86230689025</v>
      </c>
      <c r="AQ58" s="16">
        <f t="shared" si="27"/>
        <v>732173.67711797124</v>
      </c>
      <c r="AR58" s="16">
        <f t="shared" si="28"/>
        <v>2640831.7819096535</v>
      </c>
      <c r="AS58" s="16">
        <f t="shared" si="29"/>
        <v>3253824.7803322058</v>
      </c>
      <c r="AT58" s="16">
        <f t="shared" si="30"/>
        <v>6836282.0719134184</v>
      </c>
      <c r="AU58" s="16">
        <f t="shared" si="31"/>
        <v>6953918.018499691</v>
      </c>
      <c r="AV58" s="16">
        <f t="shared" si="32"/>
        <v>6953149.1135706287</v>
      </c>
      <c r="AW58" s="16">
        <f t="shared" si="33"/>
        <v>7093691.9705613237</v>
      </c>
      <c r="AX58" s="16">
        <f t="shared" si="34"/>
        <v>7152420.6820145529</v>
      </c>
      <c r="AY58" s="16">
        <f t="shared" si="35"/>
        <v>5032423.491069694</v>
      </c>
      <c r="AZ58" s="16">
        <f t="shared" si="36"/>
        <v>5118567.1372054815</v>
      </c>
      <c r="BA58" s="16">
        <f t="shared" si="37"/>
        <v>5115203.7773213973</v>
      </c>
      <c r="BB58" s="16">
        <f t="shared" si="38"/>
        <v>5225224.1585264737</v>
      </c>
      <c r="BC58" s="16">
        <f t="shared" si="39"/>
        <v>5272185.6080199443</v>
      </c>
    </row>
    <row r="59" spans="12:55" x14ac:dyDescent="0.15">
      <c r="L59" s="23"/>
      <c r="M59" s="23"/>
      <c r="N59" s="23"/>
      <c r="O59" s="23"/>
      <c r="P59" s="16">
        <v>56</v>
      </c>
      <c r="Q59" s="16">
        <f t="shared" si="20"/>
        <v>13653889.724249866</v>
      </c>
      <c r="R59" s="16">
        <f t="shared" si="21"/>
        <v>13956091.856244303</v>
      </c>
      <c r="S59" s="16">
        <f t="shared" si="22"/>
        <v>14277673.259879457</v>
      </c>
      <c r="T59" s="16">
        <f t="shared" si="23"/>
        <v>16534270.634973481</v>
      </c>
      <c r="U59" s="16">
        <f t="shared" si="24"/>
        <v>17382986.227449618</v>
      </c>
      <c r="AN59" s="16">
        <v>56</v>
      </c>
      <c r="AO59" s="16">
        <f t="shared" si="25"/>
        <v>334188.70476218569</v>
      </c>
      <c r="AP59" s="16">
        <f t="shared" si="26"/>
        <v>448668.43770496349</v>
      </c>
      <c r="AQ59" s="16">
        <f t="shared" si="27"/>
        <v>782033.75101023633</v>
      </c>
      <c r="AR59" s="16">
        <f t="shared" si="28"/>
        <v>2806588.3949347888</v>
      </c>
      <c r="AS59" s="16">
        <f t="shared" si="29"/>
        <v>3561592.568299206</v>
      </c>
      <c r="AT59" s="16">
        <f t="shared" si="30"/>
        <v>8020401.0369172199</v>
      </c>
      <c r="AU59" s="16">
        <f t="shared" si="31"/>
        <v>8124577.8242206778</v>
      </c>
      <c r="AV59" s="16">
        <f t="shared" si="32"/>
        <v>8120154.9384245826</v>
      </c>
      <c r="AW59" s="16">
        <f t="shared" si="33"/>
        <v>8244511.4186669271</v>
      </c>
      <c r="AX59" s="16">
        <f t="shared" si="34"/>
        <v>8294274.6169922221</v>
      </c>
      <c r="AY59" s="16">
        <f t="shared" si="35"/>
        <v>5299299.9825704619</v>
      </c>
      <c r="AZ59" s="16">
        <f t="shared" si="36"/>
        <v>5382845.5943186628</v>
      </c>
      <c r="BA59" s="16">
        <f t="shared" si="37"/>
        <v>5375484.5704446388</v>
      </c>
      <c r="BB59" s="16">
        <f t="shared" si="38"/>
        <v>5483170.8213717649</v>
      </c>
      <c r="BC59" s="16">
        <f t="shared" si="39"/>
        <v>5527119.0421581883</v>
      </c>
    </row>
    <row r="60" spans="12:55" x14ac:dyDescent="0.15">
      <c r="L60" s="23"/>
      <c r="M60" s="23"/>
      <c r="N60" s="23"/>
      <c r="O60" s="23"/>
      <c r="P60" s="16">
        <v>57</v>
      </c>
      <c r="Q60" s="16">
        <f t="shared" si="20"/>
        <v>15125634.702212399</v>
      </c>
      <c r="R60" s="16">
        <f t="shared" si="21"/>
        <v>15415711.694476545</v>
      </c>
      <c r="S60" s="16">
        <f t="shared" si="22"/>
        <v>15754819.951748917</v>
      </c>
      <c r="T60" s="16">
        <f t="shared" si="23"/>
        <v>18108793.358949509</v>
      </c>
      <c r="U60" s="16">
        <f t="shared" si="24"/>
        <v>19087541.384532534</v>
      </c>
      <c r="AN60" s="16">
        <v>57</v>
      </c>
      <c r="AO60" s="16">
        <f t="shared" si="25"/>
        <v>354938.2262201485</v>
      </c>
      <c r="AP60" s="16">
        <f t="shared" si="26"/>
        <v>473350.01310303673</v>
      </c>
      <c r="AQ60" s="16">
        <f t="shared" si="27"/>
        <v>831893.82490250142</v>
      </c>
      <c r="AR60" s="16">
        <f t="shared" si="28"/>
        <v>2972345.0079599242</v>
      </c>
      <c r="AS60" s="16">
        <f t="shared" si="29"/>
        <v>3869360.3562662061</v>
      </c>
      <c r="AT60" s="16">
        <f t="shared" si="30"/>
        <v>9204520.0019210204</v>
      </c>
      <c r="AU60" s="16">
        <f t="shared" si="31"/>
        <v>9295237.6299416628</v>
      </c>
      <c r="AV60" s="16">
        <f t="shared" si="32"/>
        <v>9287160.7632785365</v>
      </c>
      <c r="AW60" s="16">
        <f t="shared" si="33"/>
        <v>9395330.8667725287</v>
      </c>
      <c r="AX60" s="16">
        <f t="shared" si="34"/>
        <v>9436128.5519698933</v>
      </c>
      <c r="AY60" s="16">
        <f t="shared" si="35"/>
        <v>5566176.4740712307</v>
      </c>
      <c r="AZ60" s="16">
        <f t="shared" si="36"/>
        <v>5647124.0514318431</v>
      </c>
      <c r="BA60" s="16">
        <f t="shared" si="37"/>
        <v>5635765.3635678813</v>
      </c>
      <c r="BB60" s="16">
        <f t="shared" si="38"/>
        <v>5741117.4842170551</v>
      </c>
      <c r="BC60" s="16">
        <f t="shared" si="39"/>
        <v>5782052.4762964323</v>
      </c>
    </row>
    <row r="61" spans="12:55" x14ac:dyDescent="0.15">
      <c r="L61" s="23"/>
      <c r="M61" s="23"/>
      <c r="N61" s="23"/>
      <c r="O61" s="23"/>
      <c r="P61" s="16">
        <v>58</v>
      </c>
      <c r="Q61" s="16">
        <f t="shared" si="20"/>
        <v>16597379.680174932</v>
      </c>
      <c r="R61" s="16">
        <f t="shared" si="21"/>
        <v>16875331.532708783</v>
      </c>
      <c r="S61" s="16">
        <f t="shared" si="22"/>
        <v>17231966.643618379</v>
      </c>
      <c r="T61" s="16">
        <f t="shared" si="23"/>
        <v>19683316.082925536</v>
      </c>
      <c r="U61" s="16">
        <f t="shared" si="24"/>
        <v>20792096.541615449</v>
      </c>
      <c r="AN61" s="16">
        <v>58</v>
      </c>
      <c r="AO61" s="16">
        <f t="shared" si="25"/>
        <v>375687.74767811131</v>
      </c>
      <c r="AP61" s="16">
        <f t="shared" si="26"/>
        <v>498031.58850110997</v>
      </c>
      <c r="AQ61" s="16">
        <f t="shared" si="27"/>
        <v>881753.89879476652</v>
      </c>
      <c r="AR61" s="16">
        <f t="shared" si="28"/>
        <v>3138101.6209850595</v>
      </c>
      <c r="AS61" s="16">
        <f t="shared" si="29"/>
        <v>4177128.1442332063</v>
      </c>
      <c r="AT61" s="16">
        <f t="shared" si="30"/>
        <v>10388638.966924824</v>
      </c>
      <c r="AU61" s="16">
        <f t="shared" si="31"/>
        <v>10465897.43566265</v>
      </c>
      <c r="AV61" s="16">
        <f t="shared" si="32"/>
        <v>10454166.588132491</v>
      </c>
      <c r="AW61" s="16">
        <f t="shared" si="33"/>
        <v>10546150.314878132</v>
      </c>
      <c r="AX61" s="16">
        <f t="shared" si="34"/>
        <v>10577982.486947563</v>
      </c>
      <c r="AY61" s="16">
        <f t="shared" si="35"/>
        <v>5833052.9655719986</v>
      </c>
      <c r="AZ61" s="16">
        <f t="shared" si="36"/>
        <v>5911402.5085450234</v>
      </c>
      <c r="BA61" s="16">
        <f t="shared" si="37"/>
        <v>5896046.1566911228</v>
      </c>
      <c r="BB61" s="16">
        <f t="shared" si="38"/>
        <v>5999064.1470623454</v>
      </c>
      <c r="BC61" s="16">
        <f t="shared" si="39"/>
        <v>6036985.9104346773</v>
      </c>
    </row>
    <row r="62" spans="12:55" x14ac:dyDescent="0.15">
      <c r="L62" s="23"/>
      <c r="M62" s="23"/>
      <c r="N62" s="23"/>
      <c r="O62" s="23"/>
      <c r="P62" s="16">
        <v>59</v>
      </c>
      <c r="Q62" s="16">
        <f t="shared" si="20"/>
        <v>18069124.658137463</v>
      </c>
      <c r="R62" s="16">
        <f t="shared" si="21"/>
        <v>18334951.370941024</v>
      </c>
      <c r="S62" s="16">
        <f t="shared" si="22"/>
        <v>18709113.335487839</v>
      </c>
      <c r="T62" s="16">
        <f t="shared" si="23"/>
        <v>21409515.377547599</v>
      </c>
      <c r="U62" s="16">
        <f t="shared" si="24"/>
        <v>22662795.317685477</v>
      </c>
      <c r="AN62" s="16">
        <v>59</v>
      </c>
      <c r="AO62" s="16">
        <f t="shared" si="25"/>
        <v>396437.26913607412</v>
      </c>
      <c r="AP62" s="16">
        <f t="shared" si="26"/>
        <v>522713.16389918327</v>
      </c>
      <c r="AQ62" s="16">
        <f t="shared" si="27"/>
        <v>931613.97268703161</v>
      </c>
      <c r="AR62" s="16">
        <f t="shared" si="28"/>
        <v>3333037.1165829813</v>
      </c>
      <c r="AS62" s="16">
        <f t="shared" si="29"/>
        <v>4467141.9187427554</v>
      </c>
      <c r="AT62" s="16">
        <f t="shared" si="30"/>
        <v>11572757.931928623</v>
      </c>
      <c r="AU62" s="16">
        <f t="shared" si="31"/>
        <v>11636557.241383635</v>
      </c>
      <c r="AV62" s="16">
        <f t="shared" si="32"/>
        <v>11621172.412986446</v>
      </c>
      <c r="AW62" s="16">
        <f t="shared" si="33"/>
        <v>11816306.049719417</v>
      </c>
      <c r="AX62" s="16">
        <f t="shared" si="34"/>
        <v>11897524.281647304</v>
      </c>
      <c r="AY62" s="16">
        <f t="shared" si="35"/>
        <v>6099929.4570727665</v>
      </c>
      <c r="AZ62" s="16">
        <f t="shared" si="36"/>
        <v>6175680.9656582046</v>
      </c>
      <c r="BA62" s="16">
        <f t="shared" si="37"/>
        <v>6156326.9498143652</v>
      </c>
      <c r="BB62" s="16">
        <f t="shared" si="38"/>
        <v>6260172.2112451987</v>
      </c>
      <c r="BC62" s="16">
        <f t="shared" si="39"/>
        <v>6298129.1172954151</v>
      </c>
    </row>
    <row r="63" spans="12:55" x14ac:dyDescent="0.15">
      <c r="L63" s="23"/>
      <c r="M63" s="23"/>
      <c r="N63" s="23"/>
      <c r="O63" s="23"/>
      <c r="P63" s="16">
        <v>60</v>
      </c>
      <c r="Q63" s="16">
        <f t="shared" si="20"/>
        <v>19809011.945364412</v>
      </c>
      <c r="R63" s="16">
        <f t="shared" si="21"/>
        <v>20213340.947867852</v>
      </c>
      <c r="S63" s="16">
        <f t="shared" si="22"/>
        <v>20586261.831064485</v>
      </c>
      <c r="T63" s="16">
        <f t="shared" si="23"/>
        <v>23492076.716841228</v>
      </c>
      <c r="U63" s="16">
        <f t="shared" si="24"/>
        <v>24745797.681640159</v>
      </c>
      <c r="AN63" s="16">
        <v>60</v>
      </c>
      <c r="AO63" s="16">
        <f t="shared" si="25"/>
        <v>420054.9607178396</v>
      </c>
      <c r="AP63" s="16">
        <f t="shared" si="26"/>
        <v>585631.26895609568</v>
      </c>
      <c r="AQ63" s="16">
        <f t="shared" si="27"/>
        <v>1016699.6949691392</v>
      </c>
      <c r="AR63" s="16">
        <f t="shared" si="28"/>
        <v>3596528.0008647367</v>
      </c>
      <c r="AS63" s="16">
        <f t="shared" si="29"/>
        <v>4734469.0515422672</v>
      </c>
      <c r="AT63" s="16">
        <f t="shared" si="30"/>
        <v>13023524.475242466</v>
      </c>
      <c r="AU63" s="16">
        <f t="shared" si="31"/>
        <v>13186637.24304538</v>
      </c>
      <c r="AV63" s="16">
        <f t="shared" si="32"/>
        <v>13146755.490254262</v>
      </c>
      <c r="AW63" s="16">
        <f t="shared" si="33"/>
        <v>13366840.771002093</v>
      </c>
      <c r="AX63" s="16">
        <f t="shared" si="34"/>
        <v>13444121.261328101</v>
      </c>
      <c r="AY63" s="16">
        <f t="shared" si="35"/>
        <v>6365432.509404107</v>
      </c>
      <c r="AZ63" s="16">
        <f t="shared" si="36"/>
        <v>6441072.4358663727</v>
      </c>
      <c r="BA63" s="16">
        <f t="shared" si="37"/>
        <v>6422806.6458410863</v>
      </c>
      <c r="BB63" s="16">
        <f t="shared" si="38"/>
        <v>6528707.9449743964</v>
      </c>
      <c r="BC63" s="16">
        <f t="shared" si="39"/>
        <v>6567207.3687697873</v>
      </c>
    </row>
    <row r="64" spans="12:55" x14ac:dyDescent="0.15">
      <c r="L64" s="23"/>
      <c r="M64" s="23"/>
      <c r="N64" s="23"/>
      <c r="O64" s="23"/>
      <c r="P64" s="16">
        <v>61</v>
      </c>
      <c r="Q64" s="16">
        <f t="shared" si="20"/>
        <v>21663832.940262407</v>
      </c>
      <c r="R64" s="16">
        <f t="shared" si="21"/>
        <v>22098688.075567197</v>
      </c>
      <c r="S64" s="16">
        <f t="shared" si="22"/>
        <v>22503431.260258686</v>
      </c>
      <c r="T64" s="16">
        <f t="shared" si="23"/>
        <v>25574638.056134854</v>
      </c>
      <c r="U64" s="16">
        <f t="shared" si="24"/>
        <v>26828800.045594841</v>
      </c>
      <c r="AN64" s="16">
        <v>61</v>
      </c>
      <c r="AO64" s="16">
        <f t="shared" si="25"/>
        <v>444902.03466549987</v>
      </c>
      <c r="AP64" s="16">
        <f t="shared" si="26"/>
        <v>649184.64579099207</v>
      </c>
      <c r="AQ64" s="16">
        <f t="shared" si="27"/>
        <v>1105309.8096984294</v>
      </c>
      <c r="AR64" s="16">
        <f t="shared" si="28"/>
        <v>3860018.8851464922</v>
      </c>
      <c r="AS64" s="16">
        <f t="shared" si="29"/>
        <v>5001796.184341779</v>
      </c>
      <c r="AT64" s="16">
        <f t="shared" si="30"/>
        <v>14588584.040424997</v>
      </c>
      <c r="AU64" s="16">
        <f t="shared" si="31"/>
        <v>14743021.031808857</v>
      </c>
      <c r="AV64" s="16">
        <f t="shared" si="32"/>
        <v>14708214.896785147</v>
      </c>
      <c r="AW64" s="16">
        <f t="shared" si="33"/>
        <v>14917375.492284767</v>
      </c>
      <c r="AX64" s="16">
        <f t="shared" si="34"/>
        <v>14990718.2410089</v>
      </c>
      <c r="AY64" s="16">
        <f t="shared" si="35"/>
        <v>6630346.8651719103</v>
      </c>
      <c r="AZ64" s="16">
        <f t="shared" si="36"/>
        <v>6706482.3979673488</v>
      </c>
      <c r="BA64" s="16">
        <f t="shared" si="37"/>
        <v>6689906.5537751112</v>
      </c>
      <c r="BB64" s="16">
        <f t="shared" si="38"/>
        <v>6797243.6787035931</v>
      </c>
      <c r="BC64" s="16">
        <f t="shared" si="39"/>
        <v>6836285.6202441603</v>
      </c>
    </row>
    <row r="65" spans="12:55" x14ac:dyDescent="0.15">
      <c r="L65" s="23"/>
      <c r="M65" s="23"/>
      <c r="N65" s="23"/>
      <c r="O65" s="23"/>
      <c r="P65" s="16">
        <v>62</v>
      </c>
      <c r="Q65" s="16">
        <f t="shared" si="20"/>
        <v>23518653.935160402</v>
      </c>
      <c r="R65" s="16">
        <f t="shared" si="21"/>
        <v>23984035.203266546</v>
      </c>
      <c r="S65" s="16">
        <f t="shared" si="22"/>
        <v>24420600.689452883</v>
      </c>
      <c r="T65" s="16">
        <f t="shared" si="23"/>
        <v>27657199.395428479</v>
      </c>
      <c r="U65" s="16">
        <f t="shared" si="24"/>
        <v>28911802.409549523</v>
      </c>
      <c r="AN65" s="16">
        <v>62</v>
      </c>
      <c r="AO65" s="16">
        <f t="shared" si="25"/>
        <v>469749.10861316021</v>
      </c>
      <c r="AP65" s="16">
        <f t="shared" si="26"/>
        <v>712738.02262588835</v>
      </c>
      <c r="AQ65" s="16">
        <f t="shared" si="27"/>
        <v>1193919.9244277198</v>
      </c>
      <c r="AR65" s="16">
        <f t="shared" si="28"/>
        <v>4123509.7694282476</v>
      </c>
      <c r="AS65" s="16">
        <f t="shared" si="29"/>
        <v>5269123.3171412908</v>
      </c>
      <c r="AT65" s="16">
        <f t="shared" si="30"/>
        <v>16153643.60560753</v>
      </c>
      <c r="AU65" s="16">
        <f t="shared" si="31"/>
        <v>16299404.820572332</v>
      </c>
      <c r="AV65" s="16">
        <f t="shared" si="32"/>
        <v>16269674.303316031</v>
      </c>
      <c r="AW65" s="16">
        <f t="shared" si="33"/>
        <v>16467910.213567443</v>
      </c>
      <c r="AX65" s="16">
        <f t="shared" si="34"/>
        <v>16537315.220689697</v>
      </c>
      <c r="AY65" s="16">
        <f t="shared" si="35"/>
        <v>6895261.2209397126</v>
      </c>
      <c r="AZ65" s="16">
        <f t="shared" si="36"/>
        <v>6971892.360068325</v>
      </c>
      <c r="BA65" s="16">
        <f t="shared" si="37"/>
        <v>6957006.4617091352</v>
      </c>
      <c r="BB65" s="16">
        <f t="shared" si="38"/>
        <v>7065779.4124327898</v>
      </c>
      <c r="BC65" s="16">
        <f t="shared" si="39"/>
        <v>7105363.8717185333</v>
      </c>
    </row>
    <row r="66" spans="12:55" x14ac:dyDescent="0.15">
      <c r="L66" s="23"/>
      <c r="M66" s="23"/>
      <c r="N66" s="23"/>
      <c r="O66" s="23"/>
      <c r="P66" s="16">
        <v>63</v>
      </c>
      <c r="Q66" s="16">
        <f t="shared" si="20"/>
        <v>25373474.930058397</v>
      </c>
      <c r="R66" s="16">
        <f t="shared" si="21"/>
        <v>25869382.330965891</v>
      </c>
      <c r="S66" s="16">
        <f t="shared" si="22"/>
        <v>26337770.118647084</v>
      </c>
      <c r="T66" s="16">
        <f t="shared" si="23"/>
        <v>29739760.734722108</v>
      </c>
      <c r="U66" s="16">
        <f t="shared" si="24"/>
        <v>30994804.773504205</v>
      </c>
      <c r="AN66" s="16">
        <v>63</v>
      </c>
      <c r="AO66" s="16">
        <f t="shared" si="25"/>
        <v>494596.18256082048</v>
      </c>
      <c r="AP66" s="16">
        <f t="shared" si="26"/>
        <v>776291.39946078463</v>
      </c>
      <c r="AQ66" s="16">
        <f t="shared" si="27"/>
        <v>1282530.0391570101</v>
      </c>
      <c r="AR66" s="16">
        <f t="shared" si="28"/>
        <v>4387000.653710003</v>
      </c>
      <c r="AS66" s="16">
        <f t="shared" si="29"/>
        <v>5536450.4499408025</v>
      </c>
      <c r="AT66" s="16">
        <f t="shared" si="30"/>
        <v>17718703.170790061</v>
      </c>
      <c r="AU66" s="16">
        <f t="shared" si="31"/>
        <v>17855788.609335806</v>
      </c>
      <c r="AV66" s="16">
        <f t="shared" si="32"/>
        <v>17831133.709846914</v>
      </c>
      <c r="AW66" s="16">
        <f t="shared" si="33"/>
        <v>18018444.934850119</v>
      </c>
      <c r="AX66" s="16">
        <f t="shared" si="34"/>
        <v>18083912.200370494</v>
      </c>
      <c r="AY66" s="16">
        <f t="shared" si="35"/>
        <v>7160175.5767075159</v>
      </c>
      <c r="AZ66" s="16">
        <f t="shared" si="36"/>
        <v>7237302.3221693002</v>
      </c>
      <c r="BA66" s="16">
        <f t="shared" si="37"/>
        <v>7224106.3696431592</v>
      </c>
      <c r="BB66" s="16">
        <f t="shared" si="38"/>
        <v>7334315.1461619865</v>
      </c>
      <c r="BC66" s="16">
        <f t="shared" si="39"/>
        <v>7374442.1231929064</v>
      </c>
    </row>
    <row r="67" spans="12:55" x14ac:dyDescent="0.15">
      <c r="L67" s="23"/>
      <c r="M67" s="23"/>
      <c r="N67" s="23"/>
      <c r="O67" s="23"/>
      <c r="P67" s="16">
        <v>64</v>
      </c>
      <c r="Q67" s="16">
        <f t="shared" si="20"/>
        <v>27228295.924956392</v>
      </c>
      <c r="R67" s="16">
        <f t="shared" si="21"/>
        <v>27754729.458665237</v>
      </c>
      <c r="S67" s="16">
        <f t="shared" si="22"/>
        <v>28254939.547841281</v>
      </c>
      <c r="T67" s="16">
        <f t="shared" si="23"/>
        <v>31822322.074015737</v>
      </c>
      <c r="U67" s="16">
        <f t="shared" si="24"/>
        <v>33077807.137458887</v>
      </c>
      <c r="AN67" s="16">
        <v>64</v>
      </c>
      <c r="AO67" s="16">
        <f t="shared" si="25"/>
        <v>519443.25650848082</v>
      </c>
      <c r="AP67" s="16">
        <f t="shared" si="26"/>
        <v>839844.7762956809</v>
      </c>
      <c r="AQ67" s="16">
        <f t="shared" si="27"/>
        <v>1371140.1538863005</v>
      </c>
      <c r="AR67" s="16">
        <f t="shared" si="28"/>
        <v>4650491.5379917584</v>
      </c>
      <c r="AS67" s="16">
        <f t="shared" si="29"/>
        <v>5803777.5827403143</v>
      </c>
      <c r="AT67" s="16">
        <f t="shared" si="30"/>
        <v>19283762.735972594</v>
      </c>
      <c r="AU67" s="16">
        <f t="shared" si="31"/>
        <v>19412172.398099281</v>
      </c>
      <c r="AV67" s="16">
        <f t="shared" si="32"/>
        <v>19392593.116377797</v>
      </c>
      <c r="AW67" s="16">
        <f t="shared" si="33"/>
        <v>19568979.656132791</v>
      </c>
      <c r="AX67" s="16">
        <f t="shared" si="34"/>
        <v>19630509.180051289</v>
      </c>
      <c r="AY67" s="16">
        <f t="shared" si="35"/>
        <v>7425089.9324753182</v>
      </c>
      <c r="AZ67" s="16">
        <f t="shared" si="36"/>
        <v>7502712.2842702763</v>
      </c>
      <c r="BA67" s="16">
        <f t="shared" si="37"/>
        <v>7491206.2775771832</v>
      </c>
      <c r="BB67" s="16">
        <f t="shared" si="38"/>
        <v>7602850.8798911832</v>
      </c>
      <c r="BC67" s="16">
        <f t="shared" si="39"/>
        <v>7643520.3746672794</v>
      </c>
    </row>
    <row r="68" spans="12:55" x14ac:dyDescent="0.15">
      <c r="L68" s="23"/>
      <c r="M68" s="23"/>
      <c r="N68" s="23"/>
      <c r="O68" s="23"/>
      <c r="P68" s="16">
        <v>65</v>
      </c>
      <c r="Q68" s="16">
        <f t="shared" ref="Q68:Q103" si="40">求节点(B$4:B$42,G$4:G$42,$P68)</f>
        <v>29083116.919854388</v>
      </c>
      <c r="R68" s="16">
        <f t="shared" ref="R68:R103" si="41">求节点(C$4:C$42,H$4:H$42,$P68)</f>
        <v>29800562.505411882</v>
      </c>
      <c r="S68" s="16">
        <f t="shared" ref="S68:S103" si="42">求节点(D$4:D$42,I$4:I$42,$P68)</f>
        <v>30307154.134285383</v>
      </c>
      <c r="T68" s="16">
        <f t="shared" ref="T68:T103" si="43">求节点(E$4:E$42,J$4:J$42,$P68)</f>
        <v>34364219.006567761</v>
      </c>
      <c r="U68" s="16">
        <f t="shared" ref="U68:U103" si="44">求节点(F$4:F$42,K$4:K$42,$P68)</f>
        <v>35709296.669672742</v>
      </c>
      <c r="AN68" s="16">
        <v>65</v>
      </c>
      <c r="AO68" s="16">
        <f t="shared" ref="AO68:AO103" si="45">求节点(B$4:B$42,X$5:X$42,$AN68)</f>
        <v>544290.33045614115</v>
      </c>
      <c r="AP68" s="16">
        <f t="shared" ref="AP68:AP103" si="46">求节点(C$4:C$42,Y$5:Y$42,$AN68)</f>
        <v>905883.89348293084</v>
      </c>
      <c r="AQ68" s="16">
        <f t="shared" ref="AQ68:AQ103" si="47">求节点(D$4:D$42,Z$5:Z$42,$AN68)</f>
        <v>1468081.1185899719</v>
      </c>
      <c r="AR68" s="16">
        <f t="shared" ref="AR68:AR103" si="48">求节点(E$4:E$42,AA$5:AA$42,$AN68)</f>
        <v>4963180.1201904491</v>
      </c>
      <c r="AS68" s="16">
        <f t="shared" ref="AS68:AS103" si="49">求节点(F$4:F$42,AB$5:AB$42,$AN68)</f>
        <v>6117065.1535974462</v>
      </c>
      <c r="AT68" s="16">
        <f t="shared" ref="AT68:AT103" si="50">求节点(B$4:B$42,AC$5:AC$42,$AN68)</f>
        <v>20848822.301155128</v>
      </c>
      <c r="AU68" s="16">
        <f t="shared" ref="AU68:AU103" si="51">求节点(C$4:C$42,AD$5:AD$42,$AN68)</f>
        <v>21103794.679466177</v>
      </c>
      <c r="AV68" s="16">
        <f t="shared" ref="AV68:AV103" si="52">求节点(D$4:D$42,AE$5:AE$42,$AN68)</f>
        <v>21063156.283251856</v>
      </c>
      <c r="AW68" s="16">
        <f t="shared" ref="AW68:AW103" si="53">求节点(E$4:E$42,AF$5:AF$42,$AN68)</f>
        <v>21473586.765272126</v>
      </c>
      <c r="AX68" s="16">
        <f t="shared" ref="AX68:AX103" si="54">求节点(F$4:F$42,AG$5:AG$42,$AN68)</f>
        <v>21612526.656922955</v>
      </c>
      <c r="AY68" s="16">
        <f t="shared" ref="AY68:AY103" si="55">求节点(B$4:B$42,AH$5:AH$42,$AN68)</f>
        <v>7690004.2882431205</v>
      </c>
      <c r="AZ68" s="16">
        <f t="shared" ref="AZ68:AZ103" si="56">求节点(C$4:C$42,AI$5:AI$42,$AN68)</f>
        <v>7790883.9324627733</v>
      </c>
      <c r="BA68" s="16">
        <f t="shared" ref="BA68:BA103" si="57">求节点(D$4:D$42,AJ$5:AJ$42,$AN68)</f>
        <v>7775916.7324435553</v>
      </c>
      <c r="BB68" s="16">
        <f t="shared" ref="BB68:BB103" si="58">求节点(E$4:E$42,AK$5:AK$42,$AN68)</f>
        <v>7927452.1211051848</v>
      </c>
      <c r="BC68" s="16">
        <f t="shared" ref="BC68:BC103" si="59">求节点(F$4:F$42,AL$5:AL$42,$AN68)</f>
        <v>7979704.8591523403</v>
      </c>
    </row>
    <row r="69" spans="12:55" x14ac:dyDescent="0.15">
      <c r="L69" s="23"/>
      <c r="M69" s="23"/>
      <c r="N69" s="23"/>
      <c r="O69" s="23"/>
      <c r="P69" s="16">
        <v>66</v>
      </c>
      <c r="Q69" s="16">
        <f t="shared" si="40"/>
        <v>31606753.516629525</v>
      </c>
      <c r="R69" s="16">
        <f t="shared" si="41"/>
        <v>32418754.014589757</v>
      </c>
      <c r="S69" s="16">
        <f t="shared" si="42"/>
        <v>32971030.19507682</v>
      </c>
      <c r="T69" s="16">
        <f t="shared" si="43"/>
        <v>37211081.781999849</v>
      </c>
      <c r="U69" s="16">
        <f t="shared" si="44"/>
        <v>38520763.836187929</v>
      </c>
      <c r="AN69" s="16">
        <v>66</v>
      </c>
      <c r="AO69" s="16">
        <f t="shared" si="45"/>
        <v>556434.52728291799</v>
      </c>
      <c r="AP69" s="16">
        <f t="shared" si="46"/>
        <v>980788.17799777107</v>
      </c>
      <c r="AQ69" s="16">
        <f t="shared" si="47"/>
        <v>1602755.09113832</v>
      </c>
      <c r="AR69" s="16">
        <f t="shared" si="48"/>
        <v>5308532.4402601048</v>
      </c>
      <c r="AS69" s="16">
        <f t="shared" si="49"/>
        <v>6445433.935815122</v>
      </c>
      <c r="AT69" s="16">
        <f t="shared" si="50"/>
        <v>22995977.515036434</v>
      </c>
      <c r="AU69" s="16">
        <f t="shared" si="51"/>
        <v>23277732.768646717</v>
      </c>
      <c r="AV69" s="16">
        <f t="shared" si="52"/>
        <v>23227884.278153412</v>
      </c>
      <c r="AW69" s="16">
        <f t="shared" si="53"/>
        <v>23613272.509265952</v>
      </c>
      <c r="AX69" s="16">
        <f t="shared" si="54"/>
        <v>23737420.677760895</v>
      </c>
      <c r="AY69" s="16">
        <f t="shared" si="55"/>
        <v>8054341.4743101755</v>
      </c>
      <c r="AZ69" s="16">
        <f t="shared" si="56"/>
        <v>8160233.067945268</v>
      </c>
      <c r="BA69" s="16">
        <f t="shared" si="57"/>
        <v>8140390.8257850902</v>
      </c>
      <c r="BB69" s="16">
        <f t="shared" si="58"/>
        <v>8289276.8324737912</v>
      </c>
      <c r="BC69" s="16">
        <f t="shared" si="59"/>
        <v>8337909.2226119097</v>
      </c>
    </row>
    <row r="70" spans="12:55" x14ac:dyDescent="0.15">
      <c r="L70" s="23"/>
      <c r="M70" s="23"/>
      <c r="N70" s="23"/>
      <c r="O70" s="23"/>
      <c r="P70" s="16">
        <v>67</v>
      </c>
      <c r="Q70" s="16">
        <f t="shared" si="40"/>
        <v>34184993.731057562</v>
      </c>
      <c r="R70" s="16">
        <f t="shared" si="41"/>
        <v>35036945.523767635</v>
      </c>
      <c r="S70" s="16">
        <f t="shared" si="42"/>
        <v>35634906.255868256</v>
      </c>
      <c r="T70" s="16">
        <f t="shared" si="43"/>
        <v>40057944.557431936</v>
      </c>
      <c r="U70" s="16">
        <f t="shared" si="44"/>
        <v>41332231.002703115</v>
      </c>
      <c r="AN70" s="16">
        <v>67</v>
      </c>
      <c r="AO70" s="16">
        <f t="shared" si="45"/>
        <v>567541.63250559091</v>
      </c>
      <c r="AP70" s="16">
        <f t="shared" si="46"/>
        <v>1055692.4625126114</v>
      </c>
      <c r="AQ70" s="16">
        <f t="shared" si="47"/>
        <v>1737429.0636866684</v>
      </c>
      <c r="AR70" s="16">
        <f t="shared" si="48"/>
        <v>5653884.7603297606</v>
      </c>
      <c r="AS70" s="16">
        <f t="shared" si="49"/>
        <v>6773802.7180327987</v>
      </c>
      <c r="AT70" s="16">
        <f t="shared" si="50"/>
        <v>25190656.333555184</v>
      </c>
      <c r="AU70" s="16">
        <f t="shared" si="51"/>
        <v>25451670.857827261</v>
      </c>
      <c r="AV70" s="16">
        <f t="shared" si="52"/>
        <v>25392612.273054965</v>
      </c>
      <c r="AW70" s="16">
        <f t="shared" si="53"/>
        <v>25752958.253259778</v>
      </c>
      <c r="AX70" s="16">
        <f t="shared" si="54"/>
        <v>25862314.698598839</v>
      </c>
      <c r="AY70" s="16">
        <f t="shared" si="55"/>
        <v>8426795.7649967875</v>
      </c>
      <c r="AZ70" s="16">
        <f t="shared" si="56"/>
        <v>8529582.2034277637</v>
      </c>
      <c r="BA70" s="16">
        <f t="shared" si="57"/>
        <v>8504864.9191266261</v>
      </c>
      <c r="BB70" s="16">
        <f t="shared" si="58"/>
        <v>8651101.5438423976</v>
      </c>
      <c r="BC70" s="16">
        <f t="shared" si="59"/>
        <v>8696113.5860714801</v>
      </c>
    </row>
    <row r="71" spans="12:55" x14ac:dyDescent="0.15">
      <c r="L71" s="23"/>
      <c r="M71" s="23"/>
      <c r="N71" s="23"/>
      <c r="O71" s="23"/>
      <c r="P71" s="16">
        <v>68</v>
      </c>
      <c r="Q71" s="16">
        <f t="shared" si="40"/>
        <v>36763233.945485599</v>
      </c>
      <c r="R71" s="16">
        <f t="shared" si="41"/>
        <v>37655137.032945514</v>
      </c>
      <c r="S71" s="16">
        <f t="shared" si="42"/>
        <v>38298782.316659696</v>
      </c>
      <c r="T71" s="16">
        <f t="shared" si="43"/>
        <v>42904807.332864031</v>
      </c>
      <c r="U71" s="16">
        <f t="shared" si="44"/>
        <v>44143698.169218302</v>
      </c>
      <c r="AN71" s="16">
        <v>68</v>
      </c>
      <c r="AO71" s="16">
        <f t="shared" si="45"/>
        <v>578648.73772826383</v>
      </c>
      <c r="AP71" s="16">
        <f t="shared" si="46"/>
        <v>1130596.7470274516</v>
      </c>
      <c r="AQ71" s="16">
        <f t="shared" si="47"/>
        <v>1872103.0362350168</v>
      </c>
      <c r="AR71" s="16">
        <f t="shared" si="48"/>
        <v>5999237.0803994164</v>
      </c>
      <c r="AS71" s="16">
        <f t="shared" si="49"/>
        <v>7102171.5002504755</v>
      </c>
      <c r="AT71" s="16">
        <f t="shared" si="50"/>
        <v>27385335.152073935</v>
      </c>
      <c r="AU71" s="16">
        <f t="shared" si="51"/>
        <v>27625608.947007801</v>
      </c>
      <c r="AV71" s="16">
        <f t="shared" si="52"/>
        <v>27557340.267956518</v>
      </c>
      <c r="AW71" s="16">
        <f t="shared" si="53"/>
        <v>27892643.997253604</v>
      </c>
      <c r="AX71" s="16">
        <f t="shared" si="54"/>
        <v>27987208.71943678</v>
      </c>
      <c r="AY71" s="16">
        <f t="shared" si="55"/>
        <v>8799250.0556834005</v>
      </c>
      <c r="AZ71" s="16">
        <f t="shared" si="56"/>
        <v>8898931.3389102593</v>
      </c>
      <c r="BA71" s="16">
        <f t="shared" si="57"/>
        <v>8869339.0124681592</v>
      </c>
      <c r="BB71" s="16">
        <f t="shared" si="58"/>
        <v>9012926.255211005</v>
      </c>
      <c r="BC71" s="16">
        <f t="shared" si="59"/>
        <v>9054317.9495310485</v>
      </c>
    </row>
    <row r="72" spans="12:55" x14ac:dyDescent="0.15">
      <c r="L72" s="23"/>
      <c r="M72" s="23"/>
      <c r="N72" s="23"/>
      <c r="O72" s="23"/>
      <c r="P72" s="16">
        <v>69</v>
      </c>
      <c r="Q72" s="16">
        <f t="shared" si="40"/>
        <v>39341474.159913637</v>
      </c>
      <c r="R72" s="16">
        <f t="shared" si="41"/>
        <v>40331873.058693111</v>
      </c>
      <c r="S72" s="16">
        <f t="shared" si="42"/>
        <v>40962658.377451137</v>
      </c>
      <c r="T72" s="16">
        <f t="shared" si="43"/>
        <v>46031598.099174075</v>
      </c>
      <c r="U72" s="16">
        <f t="shared" si="44"/>
        <v>47290909.661722779</v>
      </c>
      <c r="AN72" s="16">
        <v>69</v>
      </c>
      <c r="AO72" s="16">
        <f t="shared" si="45"/>
        <v>589755.84295093687</v>
      </c>
      <c r="AP72" s="16">
        <f t="shared" si="46"/>
        <v>1202424.863308639</v>
      </c>
      <c r="AQ72" s="16">
        <f t="shared" si="47"/>
        <v>2006777.0087833651</v>
      </c>
      <c r="AR72" s="16">
        <f t="shared" si="48"/>
        <v>6331070.5169264842</v>
      </c>
      <c r="AS72" s="16">
        <f t="shared" si="49"/>
        <v>7379382.551867336</v>
      </c>
      <c r="AT72" s="16">
        <f t="shared" si="50"/>
        <v>29580013.970592685</v>
      </c>
      <c r="AU72" s="16">
        <f t="shared" si="51"/>
        <v>29852614.602496702</v>
      </c>
      <c r="AV72" s="16">
        <f t="shared" si="52"/>
        <v>29722068.262858074</v>
      </c>
      <c r="AW72" s="16">
        <f t="shared" si="53"/>
        <v>30285442.01932871</v>
      </c>
      <c r="AX72" s="16">
        <f t="shared" si="54"/>
        <v>30444657.621954959</v>
      </c>
      <c r="AY72" s="16">
        <f t="shared" si="55"/>
        <v>9171704.3463700134</v>
      </c>
      <c r="AZ72" s="16">
        <f t="shared" si="56"/>
        <v>9276833.5928877722</v>
      </c>
      <c r="BA72" s="16">
        <f t="shared" si="57"/>
        <v>9233813.1058096942</v>
      </c>
      <c r="BB72" s="16">
        <f t="shared" si="58"/>
        <v>9415085.5629188772</v>
      </c>
      <c r="BC72" s="16">
        <f t="shared" si="59"/>
        <v>9466869.4879004862</v>
      </c>
    </row>
    <row r="73" spans="12:55" x14ac:dyDescent="0.15">
      <c r="L73" s="23"/>
      <c r="M73" s="23"/>
      <c r="N73" s="23"/>
      <c r="O73" s="23"/>
      <c r="P73" s="16">
        <v>70</v>
      </c>
      <c r="Q73" s="16">
        <f t="shared" si="40"/>
        <v>42558679.076007754</v>
      </c>
      <c r="R73" s="16">
        <f t="shared" si="41"/>
        <v>43714668.664745986</v>
      </c>
      <c r="S73" s="16">
        <f t="shared" si="42"/>
        <v>44376101.45360975</v>
      </c>
      <c r="T73" s="16">
        <f t="shared" si="43"/>
        <v>49630105.683354683</v>
      </c>
      <c r="U73" s="16">
        <f t="shared" si="44"/>
        <v>50799475.542551488</v>
      </c>
      <c r="AN73" s="16">
        <v>70</v>
      </c>
      <c r="AO73" s="16">
        <f t="shared" si="45"/>
        <v>594884.32798359916</v>
      </c>
      <c r="AP73" s="16">
        <f t="shared" si="46"/>
        <v>1237153.7228316837</v>
      </c>
      <c r="AQ73" s="16">
        <f t="shared" si="47"/>
        <v>2099413.3303738921</v>
      </c>
      <c r="AR73" s="16">
        <f t="shared" si="48"/>
        <v>6640122.7921060519</v>
      </c>
      <c r="AS73" s="16">
        <f t="shared" si="49"/>
        <v>7601533.6396416379</v>
      </c>
      <c r="AT73" s="16">
        <f t="shared" si="50"/>
        <v>32332425.240101442</v>
      </c>
      <c r="AU73" s="16">
        <f t="shared" si="51"/>
        <v>32719626.629049882</v>
      </c>
      <c r="AV73" s="16">
        <f t="shared" si="52"/>
        <v>32568804.003009517</v>
      </c>
      <c r="AW73" s="16">
        <f t="shared" si="53"/>
        <v>33104768.728320748</v>
      </c>
      <c r="AX73" s="16">
        <f t="shared" si="54"/>
        <v>33260028.182567321</v>
      </c>
      <c r="AY73" s="16">
        <f t="shared" si="55"/>
        <v>9631369.5079227146</v>
      </c>
      <c r="AZ73" s="16">
        <f t="shared" si="56"/>
        <v>9757888.3128644228</v>
      </c>
      <c r="BA73" s="16">
        <f t="shared" si="57"/>
        <v>9707884.1202263441</v>
      </c>
      <c r="BB73" s="16">
        <f t="shared" si="58"/>
        <v>9885214.1629278827</v>
      </c>
      <c r="BC73" s="16">
        <f t="shared" si="59"/>
        <v>9937913.7203425318</v>
      </c>
    </row>
    <row r="74" spans="12:55" x14ac:dyDescent="0.15">
      <c r="L74" s="23"/>
      <c r="M74" s="23"/>
      <c r="N74" s="23"/>
      <c r="O74" s="23"/>
      <c r="P74" s="16">
        <v>71</v>
      </c>
      <c r="Q74" s="16">
        <f t="shared" si="40"/>
        <v>45919356.8599746</v>
      </c>
      <c r="R74" s="16">
        <f t="shared" si="41"/>
        <v>47097464.270798862</v>
      </c>
      <c r="S74" s="16">
        <f t="shared" si="42"/>
        <v>47802488.033816539</v>
      </c>
      <c r="T74" s="16">
        <f t="shared" si="43"/>
        <v>53228613.267535299</v>
      </c>
      <c r="U74" s="16">
        <f t="shared" si="44"/>
        <v>54308041.423380196</v>
      </c>
      <c r="AN74" s="16">
        <v>71</v>
      </c>
      <c r="AO74" s="16">
        <f t="shared" si="45"/>
        <v>598670.37612992642</v>
      </c>
      <c r="AP74" s="16">
        <f t="shared" si="46"/>
        <v>1271882.5823547284</v>
      </c>
      <c r="AQ74" s="16">
        <f t="shared" si="47"/>
        <v>2191323.7468829616</v>
      </c>
      <c r="AR74" s="16">
        <f t="shared" si="48"/>
        <v>6949175.0672856206</v>
      </c>
      <c r="AS74" s="16">
        <f t="shared" si="49"/>
        <v>7823684.7274159398</v>
      </c>
      <c r="AT74" s="16">
        <f t="shared" si="50"/>
        <v>35210069.521763414</v>
      </c>
      <c r="AU74" s="16">
        <f t="shared" si="51"/>
        <v>35586638.655603059</v>
      </c>
      <c r="AV74" s="16">
        <f t="shared" si="52"/>
        <v>35427316.635460839</v>
      </c>
      <c r="AW74" s="16">
        <f t="shared" si="53"/>
        <v>35924095.437312789</v>
      </c>
      <c r="AX74" s="16">
        <f t="shared" si="54"/>
        <v>36075398.743179679</v>
      </c>
      <c r="AY74" s="16">
        <f t="shared" si="55"/>
        <v>10110616.962081267</v>
      </c>
      <c r="AZ74" s="16">
        <f t="shared" si="56"/>
        <v>10238943.032841073</v>
      </c>
      <c r="BA74" s="16">
        <f t="shared" si="57"/>
        <v>10183847.651472736</v>
      </c>
      <c r="BB74" s="16">
        <f t="shared" si="58"/>
        <v>10355342.762936886</v>
      </c>
      <c r="BC74" s="16">
        <f t="shared" si="59"/>
        <v>10408957.952784577</v>
      </c>
    </row>
    <row r="75" spans="12:55" x14ac:dyDescent="0.15">
      <c r="L75" s="23"/>
      <c r="M75" s="23"/>
      <c r="N75" s="23"/>
      <c r="O75" s="23"/>
      <c r="P75" s="16">
        <v>72</v>
      </c>
      <c r="Q75" s="16">
        <f t="shared" si="40"/>
        <v>49280034.643941455</v>
      </c>
      <c r="R75" s="16">
        <f t="shared" si="41"/>
        <v>50480259.876851737</v>
      </c>
      <c r="S75" s="16">
        <f t="shared" si="42"/>
        <v>51228874.61402332</v>
      </c>
      <c r="T75" s="16">
        <f t="shared" si="43"/>
        <v>56861043.588675112</v>
      </c>
      <c r="U75" s="16">
        <f t="shared" si="44"/>
        <v>57876530.64133741</v>
      </c>
      <c r="AN75" s="16">
        <v>72</v>
      </c>
      <c r="AO75" s="16">
        <f t="shared" si="45"/>
        <v>602456.42427625367</v>
      </c>
      <c r="AP75" s="16">
        <f t="shared" si="46"/>
        <v>1306611.441877773</v>
      </c>
      <c r="AQ75" s="16">
        <f t="shared" si="47"/>
        <v>2283234.1633920316</v>
      </c>
      <c r="AR75" s="16">
        <f t="shared" si="48"/>
        <v>7344679.3146524336</v>
      </c>
      <c r="AS75" s="16">
        <f t="shared" si="49"/>
        <v>8209263.7484380566</v>
      </c>
      <c r="AT75" s="16">
        <f t="shared" si="50"/>
        <v>38087713.803425379</v>
      </c>
      <c r="AU75" s="16">
        <f t="shared" si="51"/>
        <v>38453650.682156235</v>
      </c>
      <c r="AV75" s="16">
        <f t="shared" si="52"/>
        <v>38285829.267912164</v>
      </c>
      <c r="AW75" s="16">
        <f t="shared" si="53"/>
        <v>38711798.6847317</v>
      </c>
      <c r="AX75" s="16">
        <f t="shared" si="54"/>
        <v>38828674.952624597</v>
      </c>
      <c r="AY75" s="16">
        <f t="shared" si="55"/>
        <v>10589864.41623982</v>
      </c>
      <c r="AZ75" s="16">
        <f t="shared" si="56"/>
        <v>10719997.752817724</v>
      </c>
      <c r="BA75" s="16">
        <f t="shared" si="57"/>
        <v>10659811.182719126</v>
      </c>
      <c r="BB75" s="16">
        <f t="shared" si="58"/>
        <v>10804565.58929098</v>
      </c>
      <c r="BC75" s="16">
        <f t="shared" si="59"/>
        <v>10838591.940274756</v>
      </c>
    </row>
    <row r="76" spans="12:55" x14ac:dyDescent="0.15">
      <c r="L76" s="23"/>
      <c r="M76" s="23"/>
      <c r="N76" s="23"/>
      <c r="O76" s="23"/>
      <c r="P76" s="16">
        <v>73</v>
      </c>
      <c r="Q76" s="16">
        <f t="shared" si="40"/>
        <v>52349789.131515883</v>
      </c>
      <c r="R76" s="16">
        <f t="shared" si="41"/>
        <v>53495255.839552023</v>
      </c>
      <c r="S76" s="16">
        <f t="shared" si="42"/>
        <v>54376059.399178736</v>
      </c>
      <c r="T76" s="16">
        <f t="shared" si="43"/>
        <v>60747051.749516495</v>
      </c>
      <c r="U76" s="16">
        <f t="shared" si="44"/>
        <v>61641696.355023168</v>
      </c>
      <c r="AN76" s="16">
        <v>73</v>
      </c>
      <c r="AO76" s="16">
        <f t="shared" si="45"/>
        <v>627201.35920972528</v>
      </c>
      <c r="AP76" s="16">
        <f t="shared" si="46"/>
        <v>1427921.9556294063</v>
      </c>
      <c r="AQ76" s="16">
        <f t="shared" si="47"/>
        <v>2462040.6036732849</v>
      </c>
      <c r="AR76" s="16">
        <f t="shared" si="48"/>
        <v>8386425.767403448</v>
      </c>
      <c r="AS76" s="16">
        <f t="shared" si="49"/>
        <v>9131235.3463023286</v>
      </c>
      <c r="AT76" s="16">
        <f t="shared" si="50"/>
        <v>40770527.880793728</v>
      </c>
      <c r="AU76" s="16">
        <f t="shared" si="51"/>
        <v>41037296.363913007</v>
      </c>
      <c r="AV76" s="16">
        <f t="shared" si="52"/>
        <v>40918709.128723174</v>
      </c>
      <c r="AW76" s="16">
        <f t="shared" si="53"/>
        <v>41263111.540678196</v>
      </c>
      <c r="AX76" s="16">
        <f t="shared" si="54"/>
        <v>41378149.104684733</v>
      </c>
      <c r="AY76" s="16">
        <f t="shared" si="55"/>
        <v>10952059.891512433</v>
      </c>
      <c r="AZ76" s="16">
        <f t="shared" si="56"/>
        <v>11030037.520009609</v>
      </c>
      <c r="BA76" s="16">
        <f t="shared" si="57"/>
        <v>10995309.666782271</v>
      </c>
      <c r="BB76" s="16">
        <f t="shared" si="58"/>
        <v>11097514.441434847</v>
      </c>
      <c r="BC76" s="16">
        <f t="shared" si="59"/>
        <v>11132311.904036107</v>
      </c>
    </row>
    <row r="77" spans="12:55" x14ac:dyDescent="0.15">
      <c r="L77" s="23"/>
      <c r="M77" s="23"/>
      <c r="N77" s="23"/>
      <c r="O77" s="23"/>
      <c r="P77" s="16">
        <v>74</v>
      </c>
      <c r="Q77" s="16">
        <f t="shared" si="40"/>
        <v>55244339.479731724</v>
      </c>
      <c r="R77" s="16">
        <f t="shared" si="41"/>
        <v>56467586.906813368</v>
      </c>
      <c r="S77" s="16">
        <f t="shared" si="42"/>
        <v>57439135.26590763</v>
      </c>
      <c r="T77" s="16">
        <f t="shared" si="43"/>
        <v>64633059.910357878</v>
      </c>
      <c r="U77" s="16">
        <f t="shared" si="44"/>
        <v>65406862.068708926</v>
      </c>
      <c r="AN77" s="16">
        <v>74</v>
      </c>
      <c r="AO77" s="16">
        <f t="shared" si="45"/>
        <v>664568.46557804325</v>
      </c>
      <c r="AP77" s="16">
        <f t="shared" si="46"/>
        <v>1559275.9734772411</v>
      </c>
      <c r="AQ77" s="16">
        <f t="shared" si="47"/>
        <v>2667024.2774271891</v>
      </c>
      <c r="AR77" s="16">
        <f t="shared" si="48"/>
        <v>9428172.2201544605</v>
      </c>
      <c r="AS77" s="16">
        <f t="shared" si="49"/>
        <v>10053206.944166603</v>
      </c>
      <c r="AT77" s="16">
        <f t="shared" si="50"/>
        <v>43336008.424933165</v>
      </c>
      <c r="AU77" s="16">
        <f t="shared" si="51"/>
        <v>43588071.444269918</v>
      </c>
      <c r="AV77" s="16">
        <f t="shared" si="52"/>
        <v>43483617.620006457</v>
      </c>
      <c r="AW77" s="16">
        <f t="shared" si="53"/>
        <v>43814424.396624699</v>
      </c>
      <c r="AX77" s="16">
        <f t="shared" si="54"/>
        <v>43927623.256744869</v>
      </c>
      <c r="AY77" s="16">
        <f t="shared" si="55"/>
        <v>11243762.589220515</v>
      </c>
      <c r="AZ77" s="16">
        <f t="shared" si="56"/>
        <v>11320239.489066212</v>
      </c>
      <c r="BA77" s="16">
        <f t="shared" si="57"/>
        <v>11288493.368473984</v>
      </c>
      <c r="BB77" s="16">
        <f t="shared" si="58"/>
        <v>11390463.293578712</v>
      </c>
      <c r="BC77" s="16">
        <f t="shared" si="59"/>
        <v>11426031.867797457</v>
      </c>
    </row>
    <row r="78" spans="12:55" x14ac:dyDescent="0.15">
      <c r="L78" s="23"/>
      <c r="M78" s="23"/>
      <c r="N78" s="23"/>
      <c r="O78" s="23"/>
      <c r="P78" s="16">
        <v>75</v>
      </c>
      <c r="Q78" s="16">
        <f t="shared" si="40"/>
        <v>58163798.350147836</v>
      </c>
      <c r="R78" s="16">
        <f t="shared" si="41"/>
        <v>63160255.475774348</v>
      </c>
      <c r="S78" s="16">
        <f t="shared" si="42"/>
        <v>62879428.629223518</v>
      </c>
      <c r="T78" s="16">
        <f t="shared" si="43"/>
        <v>75319342.485301867</v>
      </c>
      <c r="U78" s="16">
        <f t="shared" si="44"/>
        <v>77492301.220233947</v>
      </c>
      <c r="AN78" s="16">
        <v>75</v>
      </c>
      <c r="AO78" s="16">
        <f t="shared" si="45"/>
        <v>701931.3582276894</v>
      </c>
      <c r="AP78" s="16">
        <f t="shared" si="46"/>
        <v>1711987.7023027595</v>
      </c>
      <c r="AQ78" s="16">
        <f t="shared" si="47"/>
        <v>2898889.2461513309</v>
      </c>
      <c r="AR78" s="16">
        <f t="shared" si="48"/>
        <v>10753014.386059061</v>
      </c>
      <c r="AS78" s="16">
        <f t="shared" si="49"/>
        <v>11615658.302356377</v>
      </c>
      <c r="AT78" s="16">
        <f t="shared" si="50"/>
        <v>45926442.844717532</v>
      </c>
      <c r="AU78" s="16">
        <f t="shared" si="51"/>
        <v>49843965.238738544</v>
      </c>
      <c r="AV78" s="16">
        <f t="shared" si="52"/>
        <v>48402910.929601297</v>
      </c>
      <c r="AW78" s="16">
        <f t="shared" si="53"/>
        <v>52894840.89589718</v>
      </c>
      <c r="AX78" s="16">
        <f t="shared" si="54"/>
        <v>54173587.508106604</v>
      </c>
      <c r="AY78" s="16">
        <f t="shared" si="55"/>
        <v>11535424.147202613</v>
      </c>
      <c r="AZ78" s="16">
        <f t="shared" si="56"/>
        <v>11604302.53473304</v>
      </c>
      <c r="BA78" s="16">
        <f t="shared" si="57"/>
        <v>11577628.453470889</v>
      </c>
      <c r="BB78" s="16">
        <f t="shared" si="58"/>
        <v>11671487.203345625</v>
      </c>
      <c r="BC78" s="16">
        <f t="shared" si="59"/>
        <v>11703055.409770977</v>
      </c>
    </row>
    <row r="79" spans="12:55" x14ac:dyDescent="0.15">
      <c r="L79" s="23"/>
      <c r="M79" s="23"/>
      <c r="N79" s="23"/>
      <c r="O79" s="23"/>
      <c r="P79" s="16">
        <v>76</v>
      </c>
      <c r="Q79" s="16">
        <f t="shared" si="40"/>
        <v>76674267.984228596</v>
      </c>
      <c r="R79" s="16">
        <f t="shared" si="41"/>
        <v>80443673.515808061</v>
      </c>
      <c r="S79" s="16">
        <f t="shared" si="42"/>
        <v>80874063.458449006</v>
      </c>
      <c r="T79" s="16">
        <f t="shared" si="43"/>
        <v>92628326.06486994</v>
      </c>
      <c r="U79" s="16">
        <f t="shared" si="44"/>
        <v>94485105.285471275</v>
      </c>
      <c r="AN79" s="16">
        <v>76</v>
      </c>
      <c r="AO79" s="16">
        <f t="shared" si="45"/>
        <v>736656.75465664349</v>
      </c>
      <c r="AP79" s="16">
        <f t="shared" si="46"/>
        <v>1925498.7984267799</v>
      </c>
      <c r="AQ79" s="16">
        <f t="shared" si="47"/>
        <v>3272717.2269207416</v>
      </c>
      <c r="AR79" s="16">
        <f t="shared" si="48"/>
        <v>12353559.8765264</v>
      </c>
      <c r="AS79" s="16">
        <f t="shared" si="49"/>
        <v>13555869.829998044</v>
      </c>
      <c r="AT79" s="16">
        <f t="shared" si="50"/>
        <v>64136276.145217791</v>
      </c>
      <c r="AU79" s="16">
        <f t="shared" si="51"/>
        <v>66647284.916964665</v>
      </c>
      <c r="AV79" s="16">
        <f t="shared" si="52"/>
        <v>65755963.873589456</v>
      </c>
      <c r="AW79" s="16">
        <f t="shared" si="53"/>
        <v>68333868.625368953</v>
      </c>
      <c r="AX79" s="16">
        <f t="shared" si="54"/>
        <v>68959004.189033598</v>
      </c>
      <c r="AY79" s="16">
        <f t="shared" si="55"/>
        <v>11801335.084354166</v>
      </c>
      <c r="AZ79" s="16">
        <f t="shared" si="56"/>
        <v>11870889.800416604</v>
      </c>
      <c r="BA79" s="16">
        <f t="shared" si="57"/>
        <v>11845382.357938809</v>
      </c>
      <c r="BB79" s="16">
        <f t="shared" si="58"/>
        <v>11940897.562974598</v>
      </c>
      <c r="BC79" s="16">
        <f t="shared" si="59"/>
        <v>11970231.266439646</v>
      </c>
    </row>
    <row r="80" spans="12:55" x14ac:dyDescent="0.15">
      <c r="L80" s="23"/>
      <c r="M80" s="23"/>
      <c r="N80" s="23"/>
      <c r="O80" s="23"/>
      <c r="P80" s="16">
        <v>77</v>
      </c>
      <c r="Q80" s="16">
        <f t="shared" si="40"/>
        <v>95184737.618309364</v>
      </c>
      <c r="R80" s="16">
        <f t="shared" si="41"/>
        <v>97727091.555841774</v>
      </c>
      <c r="S80" s="16">
        <f t="shared" si="42"/>
        <v>98868698.287674502</v>
      </c>
      <c r="T80" s="16">
        <f t="shared" si="43"/>
        <v>109937309.64443803</v>
      </c>
      <c r="U80" s="16">
        <f t="shared" si="44"/>
        <v>111477909.3507086</v>
      </c>
      <c r="AN80" s="16">
        <v>77</v>
      </c>
      <c r="AO80" s="16">
        <f t="shared" si="45"/>
        <v>771382.15108559758</v>
      </c>
      <c r="AP80" s="16">
        <f t="shared" si="46"/>
        <v>2139009.8945508003</v>
      </c>
      <c r="AQ80" s="16">
        <f t="shared" si="47"/>
        <v>3646545.2076901523</v>
      </c>
      <c r="AR80" s="16">
        <f t="shared" si="48"/>
        <v>13954105.36699374</v>
      </c>
      <c r="AS80" s="16">
        <f t="shared" si="49"/>
        <v>15496081.357639711</v>
      </c>
      <c r="AT80" s="16">
        <f t="shared" si="50"/>
        <v>82346109.44571805</v>
      </c>
      <c r="AU80" s="16">
        <f t="shared" si="51"/>
        <v>83450604.595190793</v>
      </c>
      <c r="AV80" s="16">
        <f t="shared" si="52"/>
        <v>83109016.817577615</v>
      </c>
      <c r="AW80" s="16">
        <f t="shared" si="53"/>
        <v>83772896.354840711</v>
      </c>
      <c r="AX80" s="16">
        <f t="shared" si="54"/>
        <v>83744420.869960576</v>
      </c>
      <c r="AY80" s="16">
        <f t="shared" si="55"/>
        <v>12067246.021505719</v>
      </c>
      <c r="AZ80" s="16">
        <f t="shared" si="56"/>
        <v>12137477.066100167</v>
      </c>
      <c r="BA80" s="16">
        <f t="shared" si="57"/>
        <v>12113136.262406729</v>
      </c>
      <c r="BB80" s="16">
        <f t="shared" si="58"/>
        <v>12210307.92260357</v>
      </c>
      <c r="BC80" s="16">
        <f t="shared" si="59"/>
        <v>12237407.123108316</v>
      </c>
    </row>
    <row r="81" spans="12:55" x14ac:dyDescent="0.15">
      <c r="L81" s="23"/>
      <c r="M81" s="23"/>
      <c r="N81" s="23"/>
      <c r="O81" s="23"/>
      <c r="P81" s="16">
        <v>78</v>
      </c>
      <c r="Q81" s="16">
        <f t="shared" si="40"/>
        <v>113555688.04373968</v>
      </c>
      <c r="R81" s="16">
        <f t="shared" si="41"/>
        <v>115172543.15275823</v>
      </c>
      <c r="S81" s="16">
        <f t="shared" si="42"/>
        <v>116850026.00552554</v>
      </c>
      <c r="T81" s="16">
        <f t="shared" si="43"/>
        <v>129479619.81219083</v>
      </c>
      <c r="U81" s="16">
        <f t="shared" si="44"/>
        <v>130841870.41090675</v>
      </c>
      <c r="AN81" s="16">
        <v>78</v>
      </c>
      <c r="AO81" s="16">
        <f t="shared" si="45"/>
        <v>815688.04373971687</v>
      </c>
      <c r="AP81" s="16">
        <f t="shared" si="46"/>
        <v>2432543.1527582542</v>
      </c>
      <c r="AQ81" s="16">
        <f t="shared" si="47"/>
        <v>4110026.0055254651</v>
      </c>
      <c r="AR81" s="16">
        <f t="shared" si="48"/>
        <v>16739619.812190771</v>
      </c>
      <c r="AS81" s="16">
        <f t="shared" si="49"/>
        <v>18101870.410906792</v>
      </c>
      <c r="AT81" s="16">
        <f t="shared" si="50"/>
        <v>100439999.99999997</v>
      </c>
      <c r="AU81" s="16">
        <f t="shared" si="51"/>
        <v>100439999.99999997</v>
      </c>
      <c r="AV81" s="16">
        <f t="shared" si="52"/>
        <v>100440000.00000007</v>
      </c>
      <c r="AW81" s="16">
        <f t="shared" si="53"/>
        <v>100440000.00000006</v>
      </c>
      <c r="AX81" s="16">
        <f t="shared" si="54"/>
        <v>100439999.99999997</v>
      </c>
      <c r="AY81" s="16">
        <f t="shared" si="55"/>
        <v>12300000</v>
      </c>
      <c r="AZ81" s="16">
        <f t="shared" si="56"/>
        <v>12300000</v>
      </c>
      <c r="BA81" s="16">
        <f t="shared" si="57"/>
        <v>12300000</v>
      </c>
      <c r="BB81" s="16">
        <f t="shared" si="58"/>
        <v>12300000</v>
      </c>
      <c r="BC81" s="16">
        <f t="shared" si="59"/>
        <v>12300000</v>
      </c>
    </row>
    <row r="82" spans="12:55" x14ac:dyDescent="0.15">
      <c r="L82" s="23"/>
      <c r="M82" s="23"/>
      <c r="N82" s="23"/>
      <c r="O82" s="23"/>
      <c r="P82" s="16">
        <v>79</v>
      </c>
      <c r="Q82" s="16">
        <f t="shared" si="40"/>
        <v>130947246.74553728</v>
      </c>
      <c r="R82" s="16">
        <f t="shared" si="41"/>
        <v>132871051.37919824</v>
      </c>
      <c r="S82" s="16">
        <f t="shared" si="42"/>
        <v>134800613.07016653</v>
      </c>
      <c r="T82" s="16">
        <f t="shared" si="43"/>
        <v>150136517.20340586</v>
      </c>
      <c r="U82" s="16">
        <f t="shared" si="44"/>
        <v>150931295.23176685</v>
      </c>
      <c r="AN82" s="16">
        <v>79</v>
      </c>
      <c r="AO82" s="16">
        <f t="shared" si="45"/>
        <v>927246.7455373453</v>
      </c>
      <c r="AP82" s="16">
        <f t="shared" si="46"/>
        <v>2851051.3791982047</v>
      </c>
      <c r="AQ82" s="16">
        <f t="shared" si="47"/>
        <v>4780613.0701664928</v>
      </c>
      <c r="AR82" s="16">
        <f t="shared" si="48"/>
        <v>20116517.203405835</v>
      </c>
      <c r="AS82" s="16">
        <f t="shared" si="49"/>
        <v>20911295.231766846</v>
      </c>
      <c r="AT82" s="16">
        <f t="shared" si="50"/>
        <v>117719999.99999994</v>
      </c>
      <c r="AU82" s="16">
        <f t="shared" si="51"/>
        <v>117720000.00000003</v>
      </c>
      <c r="AV82" s="16">
        <f t="shared" si="52"/>
        <v>117720000.00000003</v>
      </c>
      <c r="AW82" s="16">
        <f t="shared" si="53"/>
        <v>117720000.00000001</v>
      </c>
      <c r="AX82" s="16">
        <f t="shared" si="54"/>
        <v>117720000</v>
      </c>
      <c r="AY82" s="16">
        <f t="shared" si="55"/>
        <v>12300000</v>
      </c>
      <c r="AZ82" s="16">
        <f t="shared" si="56"/>
        <v>12300000</v>
      </c>
      <c r="BA82" s="16">
        <f t="shared" si="57"/>
        <v>12300000</v>
      </c>
      <c r="BB82" s="16">
        <f t="shared" si="58"/>
        <v>12300000</v>
      </c>
      <c r="BC82" s="16">
        <f t="shared" si="59"/>
        <v>12300000</v>
      </c>
    </row>
    <row r="83" spans="12:55" x14ac:dyDescent="0.15">
      <c r="L83" s="23"/>
      <c r="M83" s="23"/>
      <c r="N83" s="23"/>
      <c r="O83" s="23"/>
      <c r="P83" s="16">
        <v>80</v>
      </c>
      <c r="Q83" s="16">
        <f t="shared" si="40"/>
        <v>148338805.44733489</v>
      </c>
      <c r="R83" s="16">
        <f t="shared" si="41"/>
        <v>150570397.78274059</v>
      </c>
      <c r="S83" s="16">
        <f t="shared" si="42"/>
        <v>152751200.13480753</v>
      </c>
      <c r="T83" s="16">
        <f t="shared" si="43"/>
        <v>170170848.47892272</v>
      </c>
      <c r="U83" s="16">
        <f t="shared" si="44"/>
        <v>170250000.00000003</v>
      </c>
      <c r="AN83" s="16">
        <v>80</v>
      </c>
      <c r="AO83" s="16">
        <f t="shared" si="45"/>
        <v>1038805.4473349736</v>
      </c>
      <c r="AP83" s="16">
        <f t="shared" si="46"/>
        <v>3270397.7827405175</v>
      </c>
      <c r="AQ83" s="16">
        <f t="shared" si="47"/>
        <v>5451200.1348075215</v>
      </c>
      <c r="AR83" s="16">
        <f t="shared" si="48"/>
        <v>22870848.478922743</v>
      </c>
      <c r="AS83" s="16">
        <f t="shared" si="49"/>
        <v>22950000</v>
      </c>
      <c r="AT83" s="16">
        <f t="shared" si="50"/>
        <v>134999999.99999991</v>
      </c>
      <c r="AU83" s="16">
        <f t="shared" si="51"/>
        <v>135000000.00000009</v>
      </c>
      <c r="AV83" s="16">
        <f t="shared" si="52"/>
        <v>135000000</v>
      </c>
      <c r="AW83" s="16">
        <f t="shared" si="53"/>
        <v>134999999.99999997</v>
      </c>
      <c r="AX83" s="16">
        <f t="shared" si="54"/>
        <v>135000000.00000003</v>
      </c>
      <c r="AY83" s="16">
        <f t="shared" si="55"/>
        <v>12300000</v>
      </c>
      <c r="AZ83" s="16">
        <f t="shared" si="56"/>
        <v>12300000</v>
      </c>
      <c r="BA83" s="16">
        <f t="shared" si="57"/>
        <v>12300000</v>
      </c>
      <c r="BB83" s="16">
        <f t="shared" si="58"/>
        <v>12300000</v>
      </c>
      <c r="BC83" s="16">
        <f t="shared" si="59"/>
        <v>12300000</v>
      </c>
    </row>
    <row r="84" spans="12:55" x14ac:dyDescent="0.15">
      <c r="L84" s="23"/>
      <c r="M84" s="23"/>
      <c r="N84" s="23"/>
      <c r="O84" s="23"/>
      <c r="P84" s="16">
        <v>81</v>
      </c>
      <c r="Q84" s="16">
        <f t="shared" si="40"/>
        <v>165745889.47373173</v>
      </c>
      <c r="R84" s="16">
        <f t="shared" si="41"/>
        <v>168416880.50983444</v>
      </c>
      <c r="S84" s="16">
        <f t="shared" si="42"/>
        <v>171359633.66999683</v>
      </c>
      <c r="T84" s="16">
        <f t="shared" si="43"/>
        <v>187492090.35337859</v>
      </c>
      <c r="U84" s="16">
        <f t="shared" si="44"/>
        <v>187530000.00000003</v>
      </c>
      <c r="AN84" s="16">
        <v>81</v>
      </c>
      <c r="AO84" s="16">
        <f t="shared" si="45"/>
        <v>1165889.4737318214</v>
      </c>
      <c r="AP84" s="16">
        <f t="shared" si="46"/>
        <v>3836880.5098343571</v>
      </c>
      <c r="AQ84" s="16">
        <f t="shared" si="47"/>
        <v>6779633.6699968399</v>
      </c>
      <c r="AR84" s="16">
        <f t="shared" si="48"/>
        <v>22912090.353378654</v>
      </c>
      <c r="AS84" s="16">
        <f t="shared" si="49"/>
        <v>22950000</v>
      </c>
      <c r="AT84" s="16">
        <f t="shared" si="50"/>
        <v>152279999.99999991</v>
      </c>
      <c r="AU84" s="16">
        <f t="shared" si="51"/>
        <v>152280000.00000009</v>
      </c>
      <c r="AV84" s="16">
        <f t="shared" si="52"/>
        <v>152280000</v>
      </c>
      <c r="AW84" s="16">
        <f t="shared" si="53"/>
        <v>152279999.99999994</v>
      </c>
      <c r="AX84" s="16">
        <f t="shared" si="54"/>
        <v>152280000.00000003</v>
      </c>
      <c r="AY84" s="16">
        <f t="shared" si="55"/>
        <v>12300000</v>
      </c>
      <c r="AZ84" s="16">
        <f t="shared" si="56"/>
        <v>12300000</v>
      </c>
      <c r="BA84" s="16">
        <f t="shared" si="57"/>
        <v>12300000</v>
      </c>
      <c r="BB84" s="16">
        <f t="shared" si="58"/>
        <v>12300000</v>
      </c>
      <c r="BC84" s="16">
        <f t="shared" si="59"/>
        <v>12300000</v>
      </c>
    </row>
    <row r="85" spans="12:55" x14ac:dyDescent="0.15">
      <c r="L85" s="23"/>
      <c r="M85" s="23"/>
      <c r="N85" s="23"/>
      <c r="O85" s="23"/>
      <c r="P85" s="16">
        <v>82</v>
      </c>
      <c r="Q85" s="16">
        <f t="shared" si="40"/>
        <v>183158777.79097614</v>
      </c>
      <c r="R85" s="16">
        <f t="shared" si="41"/>
        <v>186263363.23692825</v>
      </c>
      <c r="S85" s="16">
        <f t="shared" si="42"/>
        <v>190070620.75174671</v>
      </c>
      <c r="T85" s="16">
        <f t="shared" si="43"/>
        <v>204809999.99999991</v>
      </c>
      <c r="U85" s="16">
        <f t="shared" si="44"/>
        <v>204810000.00000003</v>
      </c>
      <c r="AN85" s="16">
        <v>82</v>
      </c>
      <c r="AO85" s="16">
        <f t="shared" si="45"/>
        <v>1298777.7909761872</v>
      </c>
      <c r="AP85" s="16">
        <f t="shared" si="46"/>
        <v>4403363.2369281966</v>
      </c>
      <c r="AQ85" s="16">
        <f t="shared" si="47"/>
        <v>8210620.7517467253</v>
      </c>
      <c r="AR85" s="16">
        <f t="shared" si="48"/>
        <v>22950000</v>
      </c>
      <c r="AS85" s="16">
        <f t="shared" si="49"/>
        <v>22950000</v>
      </c>
      <c r="AT85" s="16">
        <f t="shared" si="50"/>
        <v>169559999.99999994</v>
      </c>
      <c r="AU85" s="16">
        <f t="shared" si="51"/>
        <v>169560000.00000006</v>
      </c>
      <c r="AV85" s="16">
        <f t="shared" si="52"/>
        <v>169560000</v>
      </c>
      <c r="AW85" s="16">
        <f t="shared" si="53"/>
        <v>169559999.99999991</v>
      </c>
      <c r="AX85" s="16">
        <f t="shared" si="54"/>
        <v>169560000.00000003</v>
      </c>
      <c r="AY85" s="16">
        <f t="shared" si="55"/>
        <v>12300000</v>
      </c>
      <c r="AZ85" s="16">
        <f t="shared" si="56"/>
        <v>12300000</v>
      </c>
      <c r="BA85" s="16">
        <f t="shared" si="57"/>
        <v>12300000</v>
      </c>
      <c r="BB85" s="16">
        <f t="shared" si="58"/>
        <v>12300000</v>
      </c>
      <c r="BC85" s="16">
        <f t="shared" si="59"/>
        <v>12300000</v>
      </c>
    </row>
    <row r="86" spans="12:55" x14ac:dyDescent="0.15">
      <c r="L86" s="23"/>
      <c r="M86" s="23"/>
      <c r="N86" s="23"/>
      <c r="O86" s="23"/>
      <c r="P86" s="16">
        <v>83</v>
      </c>
      <c r="Q86" s="16">
        <f t="shared" si="40"/>
        <v>200672718.57117298</v>
      </c>
      <c r="R86" s="16">
        <f t="shared" si="41"/>
        <v>204171355.81031358</v>
      </c>
      <c r="S86" s="16">
        <f t="shared" si="42"/>
        <v>208972123.52723703</v>
      </c>
      <c r="T86" s="16">
        <f t="shared" si="43"/>
        <v>222089999.99999994</v>
      </c>
      <c r="U86" s="16">
        <f t="shared" si="44"/>
        <v>222089999.99999997</v>
      </c>
      <c r="AN86" s="16">
        <v>83</v>
      </c>
      <c r="AO86" s="16">
        <f t="shared" si="45"/>
        <v>1532718.5711730151</v>
      </c>
      <c r="AP86" s="16">
        <f t="shared" si="46"/>
        <v>5031355.8103135647</v>
      </c>
      <c r="AQ86" s="16">
        <f t="shared" si="47"/>
        <v>9832123.5272370744</v>
      </c>
      <c r="AR86" s="16">
        <f t="shared" si="48"/>
        <v>22950000</v>
      </c>
      <c r="AS86" s="16">
        <f t="shared" si="49"/>
        <v>22950000</v>
      </c>
      <c r="AT86" s="16">
        <f t="shared" si="50"/>
        <v>186839999.99999997</v>
      </c>
      <c r="AU86" s="16">
        <f t="shared" si="51"/>
        <v>186840000</v>
      </c>
      <c r="AV86" s="16">
        <f t="shared" si="52"/>
        <v>186839999.99999997</v>
      </c>
      <c r="AW86" s="16">
        <f t="shared" si="53"/>
        <v>186839999.99999994</v>
      </c>
      <c r="AX86" s="16">
        <f t="shared" si="54"/>
        <v>186839999.99999997</v>
      </c>
      <c r="AY86" s="16">
        <f t="shared" si="55"/>
        <v>12300000</v>
      </c>
      <c r="AZ86" s="16">
        <f t="shared" si="56"/>
        <v>12300000</v>
      </c>
      <c r="BA86" s="16">
        <f t="shared" si="57"/>
        <v>12300000</v>
      </c>
      <c r="BB86" s="16">
        <f t="shared" si="58"/>
        <v>12300000</v>
      </c>
      <c r="BC86" s="16">
        <f t="shared" si="59"/>
        <v>12300000</v>
      </c>
    </row>
    <row r="87" spans="12:55" x14ac:dyDescent="0.15">
      <c r="L87" s="23"/>
      <c r="M87" s="23"/>
      <c r="N87" s="23"/>
      <c r="O87" s="23"/>
      <c r="P87" s="16">
        <v>84</v>
      </c>
      <c r="Q87" s="16">
        <f t="shared" si="40"/>
        <v>218236092.82082102</v>
      </c>
      <c r="R87" s="16">
        <f t="shared" si="41"/>
        <v>222173936.7729297</v>
      </c>
      <c r="S87" s="16">
        <f t="shared" si="42"/>
        <v>227933352.16993949</v>
      </c>
      <c r="T87" s="16">
        <f t="shared" si="43"/>
        <v>239369999.99999994</v>
      </c>
      <c r="U87" s="16">
        <f t="shared" si="44"/>
        <v>239369999.99999994</v>
      </c>
      <c r="AN87" s="16">
        <v>84</v>
      </c>
      <c r="AO87" s="16">
        <f t="shared" si="45"/>
        <v>1816092.8208210412</v>
      </c>
      <c r="AP87" s="16">
        <f t="shared" si="46"/>
        <v>5753936.7729297206</v>
      </c>
      <c r="AQ87" s="16">
        <f t="shared" si="47"/>
        <v>11513352.169939522</v>
      </c>
      <c r="AR87" s="16">
        <f t="shared" si="48"/>
        <v>22950000</v>
      </c>
      <c r="AS87" s="16">
        <f t="shared" si="49"/>
        <v>22950000</v>
      </c>
      <c r="AT87" s="16">
        <f t="shared" si="50"/>
        <v>204119999.99999997</v>
      </c>
      <c r="AU87" s="16">
        <f t="shared" si="51"/>
        <v>204119999.99999997</v>
      </c>
      <c r="AV87" s="16">
        <f t="shared" si="52"/>
        <v>204119999.99999997</v>
      </c>
      <c r="AW87" s="16">
        <f t="shared" si="53"/>
        <v>204119999.99999994</v>
      </c>
      <c r="AX87" s="16">
        <f t="shared" si="54"/>
        <v>204119999.99999994</v>
      </c>
      <c r="AY87" s="16">
        <f t="shared" si="55"/>
        <v>12300000</v>
      </c>
      <c r="AZ87" s="16">
        <f t="shared" si="56"/>
        <v>12300000</v>
      </c>
      <c r="BA87" s="16">
        <f t="shared" si="57"/>
        <v>12300000</v>
      </c>
      <c r="BB87" s="16">
        <f t="shared" si="58"/>
        <v>12300000</v>
      </c>
      <c r="BC87" s="16">
        <f t="shared" si="59"/>
        <v>12300000</v>
      </c>
    </row>
    <row r="88" spans="12:55" x14ac:dyDescent="0.15">
      <c r="L88" s="23"/>
      <c r="M88" s="23"/>
      <c r="N88" s="23"/>
      <c r="O88" s="23"/>
      <c r="P88" s="16">
        <v>85</v>
      </c>
      <c r="Q88" s="16">
        <f t="shared" si="40"/>
        <v>235820891.25975561</v>
      </c>
      <c r="R88" s="16">
        <f t="shared" si="41"/>
        <v>240854324.14064962</v>
      </c>
      <c r="S88" s="16">
        <f t="shared" si="42"/>
        <v>248009886.43694311</v>
      </c>
      <c r="T88" s="16">
        <f t="shared" si="43"/>
        <v>256649999.99999997</v>
      </c>
      <c r="U88" s="16">
        <f t="shared" si="44"/>
        <v>256649999.99999997</v>
      </c>
      <c r="AN88" s="16">
        <v>85</v>
      </c>
      <c r="AO88" s="16">
        <f t="shared" si="45"/>
        <v>2120891.2597556445</v>
      </c>
      <c r="AP88" s="16">
        <f t="shared" si="46"/>
        <v>7154324.1406496167</v>
      </c>
      <c r="AQ88" s="16">
        <f t="shared" si="47"/>
        <v>14309886.436943088</v>
      </c>
      <c r="AR88" s="16">
        <f t="shared" si="48"/>
        <v>22950000</v>
      </c>
      <c r="AS88" s="16">
        <f t="shared" si="49"/>
        <v>22950000</v>
      </c>
      <c r="AT88" s="16">
        <f t="shared" si="50"/>
        <v>221399999.99999994</v>
      </c>
      <c r="AU88" s="16">
        <f t="shared" si="51"/>
        <v>221400000</v>
      </c>
      <c r="AV88" s="16">
        <f t="shared" si="52"/>
        <v>221400000</v>
      </c>
      <c r="AW88" s="16">
        <f t="shared" si="53"/>
        <v>221399999.99999997</v>
      </c>
      <c r="AX88" s="16">
        <f t="shared" si="54"/>
        <v>221399999.99999997</v>
      </c>
      <c r="AY88" s="16">
        <f t="shared" si="55"/>
        <v>12300000</v>
      </c>
      <c r="AZ88" s="16">
        <f t="shared" si="56"/>
        <v>12300000</v>
      </c>
      <c r="BA88" s="16">
        <f t="shared" si="57"/>
        <v>12300000</v>
      </c>
      <c r="BB88" s="16">
        <f t="shared" si="58"/>
        <v>12300000</v>
      </c>
      <c r="BC88" s="16">
        <f t="shared" si="59"/>
        <v>12300000</v>
      </c>
    </row>
    <row r="89" spans="12:55" x14ac:dyDescent="0.15">
      <c r="L89" s="23"/>
      <c r="M89" s="23"/>
      <c r="N89" s="23"/>
      <c r="O89" s="23"/>
      <c r="P89" s="16">
        <v>86</v>
      </c>
      <c r="Q89" s="16">
        <f t="shared" si="40"/>
        <v>253408954.42053062</v>
      </c>
      <c r="R89" s="16">
        <f t="shared" si="41"/>
        <v>259534711.50836957</v>
      </c>
      <c r="S89" s="16">
        <f t="shared" si="42"/>
        <v>268137469.6172317</v>
      </c>
      <c r="T89" s="16">
        <f t="shared" si="43"/>
        <v>273930000</v>
      </c>
      <c r="U89" s="16">
        <f t="shared" si="44"/>
        <v>273930000</v>
      </c>
      <c r="AN89" s="16">
        <v>86</v>
      </c>
      <c r="AO89" s="16">
        <f t="shared" si="45"/>
        <v>2428954.4205306782</v>
      </c>
      <c r="AP89" s="16">
        <f t="shared" si="46"/>
        <v>8554711.5083695129</v>
      </c>
      <c r="AQ89" s="16">
        <f t="shared" si="47"/>
        <v>17157469.617231615</v>
      </c>
      <c r="AR89" s="16">
        <f t="shared" si="48"/>
        <v>22950000</v>
      </c>
      <c r="AS89" s="16">
        <f t="shared" si="49"/>
        <v>22950000</v>
      </c>
      <c r="AT89" s="16">
        <f t="shared" si="50"/>
        <v>238679999.99999994</v>
      </c>
      <c r="AU89" s="16">
        <f t="shared" si="51"/>
        <v>238680000.00000006</v>
      </c>
      <c r="AV89" s="16">
        <f t="shared" si="52"/>
        <v>238680000.00000006</v>
      </c>
      <c r="AW89" s="16">
        <f t="shared" si="53"/>
        <v>238679999.99999997</v>
      </c>
      <c r="AX89" s="16">
        <f t="shared" si="54"/>
        <v>238680000</v>
      </c>
      <c r="AY89" s="16">
        <f t="shared" si="55"/>
        <v>12300000</v>
      </c>
      <c r="AZ89" s="16">
        <f t="shared" si="56"/>
        <v>12300000</v>
      </c>
      <c r="BA89" s="16">
        <f t="shared" si="57"/>
        <v>12300000</v>
      </c>
      <c r="BB89" s="16">
        <f t="shared" si="58"/>
        <v>12300000</v>
      </c>
      <c r="BC89" s="16">
        <f t="shared" si="59"/>
        <v>12300000</v>
      </c>
    </row>
    <row r="90" spans="12:55" x14ac:dyDescent="0.15">
      <c r="L90" s="23"/>
      <c r="M90" s="23"/>
      <c r="N90" s="23"/>
      <c r="O90" s="23"/>
      <c r="P90" s="16">
        <v>87</v>
      </c>
      <c r="Q90" s="16">
        <f t="shared" si="40"/>
        <v>271070778.17409855</v>
      </c>
      <c r="R90" s="16">
        <f t="shared" si="41"/>
        <v>278675688.8293314</v>
      </c>
      <c r="S90" s="16">
        <f t="shared" si="42"/>
        <v>287232176.09271765</v>
      </c>
      <c r="T90" s="16">
        <f t="shared" si="43"/>
        <v>291210000</v>
      </c>
      <c r="U90" s="16">
        <f t="shared" si="44"/>
        <v>291210000</v>
      </c>
      <c r="AN90" s="16">
        <v>87</v>
      </c>
      <c r="AO90" s="16">
        <f t="shared" si="45"/>
        <v>2810778.1740986407</v>
      </c>
      <c r="AP90" s="16">
        <f t="shared" si="46"/>
        <v>10415688.82933132</v>
      </c>
      <c r="AQ90" s="16">
        <f t="shared" si="47"/>
        <v>18972176.092717577</v>
      </c>
      <c r="AR90" s="16">
        <f t="shared" si="48"/>
        <v>22950000</v>
      </c>
      <c r="AS90" s="16">
        <f t="shared" si="49"/>
        <v>22950000</v>
      </c>
      <c r="AT90" s="16">
        <f t="shared" si="50"/>
        <v>255959999.99999994</v>
      </c>
      <c r="AU90" s="16">
        <f t="shared" si="51"/>
        <v>255960000.00000009</v>
      </c>
      <c r="AV90" s="16">
        <f t="shared" si="52"/>
        <v>255960000.00000006</v>
      </c>
      <c r="AW90" s="16">
        <f t="shared" si="53"/>
        <v>255960000</v>
      </c>
      <c r="AX90" s="16">
        <f t="shared" si="54"/>
        <v>255960000</v>
      </c>
      <c r="AY90" s="16">
        <f t="shared" si="55"/>
        <v>12300000</v>
      </c>
      <c r="AZ90" s="16">
        <f t="shared" si="56"/>
        <v>12300000</v>
      </c>
      <c r="BA90" s="16">
        <f t="shared" si="57"/>
        <v>12300000</v>
      </c>
      <c r="BB90" s="16">
        <f t="shared" si="58"/>
        <v>12300000</v>
      </c>
      <c r="BC90" s="16">
        <f t="shared" si="59"/>
        <v>12300000</v>
      </c>
    </row>
    <row r="91" spans="12:55" x14ac:dyDescent="0.15">
      <c r="L91" s="23"/>
      <c r="M91" s="23"/>
      <c r="N91" s="23"/>
      <c r="O91" s="23"/>
      <c r="P91" s="16">
        <v>88</v>
      </c>
      <c r="Q91" s="16">
        <f t="shared" si="40"/>
        <v>288796956.4007414</v>
      </c>
      <c r="R91" s="16">
        <f t="shared" si="41"/>
        <v>297967776.13620204</v>
      </c>
      <c r="S91" s="16">
        <f t="shared" si="42"/>
        <v>305679997.57827002</v>
      </c>
      <c r="T91" s="16">
        <f t="shared" si="43"/>
        <v>308490000</v>
      </c>
      <c r="U91" s="16">
        <f t="shared" si="44"/>
        <v>308490000</v>
      </c>
      <c r="AN91" s="16">
        <v>88</v>
      </c>
      <c r="AO91" s="16">
        <f t="shared" si="45"/>
        <v>3256956.4007414756</v>
      </c>
      <c r="AP91" s="16">
        <f t="shared" si="46"/>
        <v>12427776.136201948</v>
      </c>
      <c r="AQ91" s="16">
        <f t="shared" si="47"/>
        <v>20139997.578269977</v>
      </c>
      <c r="AR91" s="16">
        <f t="shared" si="48"/>
        <v>22950000</v>
      </c>
      <c r="AS91" s="16">
        <f t="shared" si="49"/>
        <v>22950000</v>
      </c>
      <c r="AT91" s="16">
        <f t="shared" si="50"/>
        <v>273239999.99999994</v>
      </c>
      <c r="AU91" s="16">
        <f t="shared" si="51"/>
        <v>273240000.00000012</v>
      </c>
      <c r="AV91" s="16">
        <f t="shared" si="52"/>
        <v>273240000</v>
      </c>
      <c r="AW91" s="16">
        <f t="shared" si="53"/>
        <v>273240000</v>
      </c>
      <c r="AX91" s="16">
        <f t="shared" si="54"/>
        <v>273240000</v>
      </c>
      <c r="AY91" s="16">
        <f t="shared" si="55"/>
        <v>12300000</v>
      </c>
      <c r="AZ91" s="16">
        <f t="shared" si="56"/>
        <v>12300000</v>
      </c>
      <c r="BA91" s="16">
        <f t="shared" si="57"/>
        <v>12300000</v>
      </c>
      <c r="BB91" s="16">
        <f t="shared" si="58"/>
        <v>12300000</v>
      </c>
      <c r="BC91" s="16">
        <f t="shared" si="59"/>
        <v>12300000</v>
      </c>
    </row>
    <row r="92" spans="12:55" x14ac:dyDescent="0.15">
      <c r="L92" s="23"/>
      <c r="M92" s="23"/>
      <c r="N92" s="23"/>
      <c r="O92" s="23"/>
      <c r="P92" s="16">
        <v>89</v>
      </c>
      <c r="Q92" s="16">
        <f t="shared" si="40"/>
        <v>306523134.62738425</v>
      </c>
      <c r="R92" s="16">
        <f t="shared" si="41"/>
        <v>317259863.44307268</v>
      </c>
      <c r="S92" s="16">
        <f t="shared" si="42"/>
        <v>324127819.06382233</v>
      </c>
      <c r="T92" s="16">
        <f t="shared" si="43"/>
        <v>325770000.00000006</v>
      </c>
      <c r="U92" s="16">
        <f t="shared" si="44"/>
        <v>325769999.99999994</v>
      </c>
      <c r="AN92" s="16">
        <v>89</v>
      </c>
      <c r="AO92" s="16">
        <f t="shared" si="45"/>
        <v>3703134.6273843106</v>
      </c>
      <c r="AP92" s="16">
        <f t="shared" si="46"/>
        <v>14439863.44307258</v>
      </c>
      <c r="AQ92" s="16">
        <f t="shared" si="47"/>
        <v>21307819.063822377</v>
      </c>
      <c r="AR92" s="16">
        <f t="shared" si="48"/>
        <v>22950000</v>
      </c>
      <c r="AS92" s="16">
        <f t="shared" si="49"/>
        <v>22950000</v>
      </c>
      <c r="AT92" s="16">
        <f t="shared" si="50"/>
        <v>290520000</v>
      </c>
      <c r="AU92" s="16">
        <f t="shared" si="51"/>
        <v>290520000.00000012</v>
      </c>
      <c r="AV92" s="16">
        <f t="shared" si="52"/>
        <v>290519999.99999994</v>
      </c>
      <c r="AW92" s="16">
        <f t="shared" si="53"/>
        <v>290520000.00000006</v>
      </c>
      <c r="AX92" s="16">
        <f t="shared" si="54"/>
        <v>290519999.99999994</v>
      </c>
      <c r="AY92" s="16">
        <f t="shared" si="55"/>
        <v>12300000</v>
      </c>
      <c r="AZ92" s="16">
        <f t="shared" si="56"/>
        <v>12300000</v>
      </c>
      <c r="BA92" s="16">
        <f t="shared" si="57"/>
        <v>12300000</v>
      </c>
      <c r="BB92" s="16">
        <f t="shared" si="58"/>
        <v>12300000</v>
      </c>
      <c r="BC92" s="16">
        <f t="shared" si="59"/>
        <v>12300000</v>
      </c>
    </row>
    <row r="93" spans="12:55" x14ac:dyDescent="0.15">
      <c r="L93" s="23"/>
      <c r="M93" s="23"/>
      <c r="N93" s="23"/>
      <c r="O93" s="23"/>
      <c r="P93" s="16">
        <v>90</v>
      </c>
      <c r="Q93" s="16">
        <f t="shared" si="40"/>
        <v>324249312.85402709</v>
      </c>
      <c r="R93" s="16">
        <f t="shared" si="41"/>
        <v>336551950.74994338</v>
      </c>
      <c r="S93" s="16">
        <f t="shared" si="42"/>
        <v>342575640.5493747</v>
      </c>
      <c r="T93" s="16">
        <f t="shared" si="43"/>
        <v>343050000.00000006</v>
      </c>
      <c r="U93" s="16">
        <f t="shared" si="44"/>
        <v>343049999.99999994</v>
      </c>
      <c r="AN93" s="16">
        <v>90</v>
      </c>
      <c r="AO93" s="16">
        <f t="shared" si="45"/>
        <v>4149312.8540271455</v>
      </c>
      <c r="AP93" s="16">
        <f t="shared" si="46"/>
        <v>16451950.749943208</v>
      </c>
      <c r="AQ93" s="16">
        <f t="shared" si="47"/>
        <v>22475640.549374774</v>
      </c>
      <c r="AR93" s="16">
        <f t="shared" si="48"/>
        <v>22950000</v>
      </c>
      <c r="AS93" s="16">
        <f t="shared" si="49"/>
        <v>22950000</v>
      </c>
      <c r="AT93" s="16">
        <f t="shared" si="50"/>
        <v>307800000</v>
      </c>
      <c r="AU93" s="16">
        <f t="shared" si="51"/>
        <v>307800000.00000012</v>
      </c>
      <c r="AV93" s="16">
        <f t="shared" si="52"/>
        <v>307799999.99999994</v>
      </c>
      <c r="AW93" s="16">
        <f t="shared" si="53"/>
        <v>307800000.00000006</v>
      </c>
      <c r="AX93" s="16">
        <f t="shared" si="54"/>
        <v>307799999.99999994</v>
      </c>
      <c r="AY93" s="16">
        <f t="shared" si="55"/>
        <v>12300000</v>
      </c>
      <c r="AZ93" s="16">
        <f t="shared" si="56"/>
        <v>12300000</v>
      </c>
      <c r="BA93" s="16">
        <f t="shared" si="57"/>
        <v>12300000</v>
      </c>
      <c r="BB93" s="16">
        <f t="shared" si="58"/>
        <v>12300000</v>
      </c>
      <c r="BC93" s="16">
        <f t="shared" si="59"/>
        <v>12300000</v>
      </c>
    </row>
    <row r="94" spans="12:55" x14ac:dyDescent="0.15">
      <c r="L94" s="23"/>
      <c r="M94" s="23"/>
      <c r="N94" s="23"/>
      <c r="O94" s="23"/>
      <c r="P94" s="16">
        <v>91</v>
      </c>
      <c r="Q94" s="16">
        <f t="shared" si="40"/>
        <v>342163056.42584318</v>
      </c>
      <c r="R94" s="16">
        <f t="shared" si="41"/>
        <v>355890966.11253929</v>
      </c>
      <c r="S94" s="16">
        <f t="shared" si="42"/>
        <v>360329999.99999994</v>
      </c>
      <c r="T94" s="16">
        <f t="shared" si="43"/>
        <v>360330000.00000006</v>
      </c>
      <c r="U94" s="16">
        <f t="shared" si="44"/>
        <v>360329999.99999994</v>
      </c>
      <c r="AN94" s="16">
        <v>91</v>
      </c>
      <c r="AO94" s="16">
        <f t="shared" si="45"/>
        <v>4783056.4258431653</v>
      </c>
      <c r="AP94" s="16">
        <f t="shared" si="46"/>
        <v>18510966.112539154</v>
      </c>
      <c r="AQ94" s="16">
        <f t="shared" si="47"/>
        <v>22950000</v>
      </c>
      <c r="AR94" s="16">
        <f t="shared" si="48"/>
        <v>22950000</v>
      </c>
      <c r="AS94" s="16">
        <f t="shared" si="49"/>
        <v>22950000</v>
      </c>
      <c r="AT94" s="16">
        <f t="shared" si="50"/>
        <v>325080000</v>
      </c>
      <c r="AU94" s="16">
        <f t="shared" si="51"/>
        <v>325080000.00000012</v>
      </c>
      <c r="AV94" s="16">
        <f t="shared" si="52"/>
        <v>325079999.99999994</v>
      </c>
      <c r="AW94" s="16">
        <f t="shared" si="53"/>
        <v>325080000.00000006</v>
      </c>
      <c r="AX94" s="16">
        <f t="shared" si="54"/>
        <v>325079999.99999994</v>
      </c>
      <c r="AY94" s="16">
        <f t="shared" si="55"/>
        <v>12300000</v>
      </c>
      <c r="AZ94" s="16">
        <f t="shared" si="56"/>
        <v>12300000</v>
      </c>
      <c r="BA94" s="16">
        <f t="shared" si="57"/>
        <v>12300000</v>
      </c>
      <c r="BB94" s="16">
        <f t="shared" si="58"/>
        <v>12300000</v>
      </c>
      <c r="BC94" s="16">
        <f t="shared" si="59"/>
        <v>12300000</v>
      </c>
    </row>
    <row r="95" spans="12:55" x14ac:dyDescent="0.15">
      <c r="L95" s="23"/>
      <c r="M95" s="23"/>
      <c r="N95" s="23"/>
      <c r="O95" s="23"/>
      <c r="P95" s="16">
        <v>92</v>
      </c>
      <c r="Q95" s="16">
        <f t="shared" si="40"/>
        <v>360137636.3579995</v>
      </c>
      <c r="R95" s="16">
        <f t="shared" si="41"/>
        <v>375236549.90800667</v>
      </c>
      <c r="S95" s="16">
        <f t="shared" si="42"/>
        <v>377609999.99999994</v>
      </c>
      <c r="T95" s="16">
        <f t="shared" si="43"/>
        <v>377610000</v>
      </c>
      <c r="U95" s="16">
        <f t="shared" si="44"/>
        <v>377609999.99999994</v>
      </c>
      <c r="AN95" s="16">
        <v>92</v>
      </c>
      <c r="AO95" s="16">
        <f t="shared" si="45"/>
        <v>5477636.3579994906</v>
      </c>
      <c r="AP95" s="16">
        <f t="shared" si="46"/>
        <v>20576549.908006601</v>
      </c>
      <c r="AQ95" s="16">
        <f t="shared" si="47"/>
        <v>22950000</v>
      </c>
      <c r="AR95" s="16">
        <f t="shared" si="48"/>
        <v>22950000</v>
      </c>
      <c r="AS95" s="16">
        <f t="shared" si="49"/>
        <v>22950000</v>
      </c>
      <c r="AT95" s="16">
        <f t="shared" si="50"/>
        <v>342360000</v>
      </c>
      <c r="AU95" s="16">
        <f t="shared" si="51"/>
        <v>342360000.00000006</v>
      </c>
      <c r="AV95" s="16">
        <f t="shared" si="52"/>
        <v>342359999.99999994</v>
      </c>
      <c r="AW95" s="16">
        <f t="shared" si="53"/>
        <v>342360000</v>
      </c>
      <c r="AX95" s="16">
        <f t="shared" si="54"/>
        <v>342359999.99999994</v>
      </c>
      <c r="AY95" s="16">
        <f t="shared" si="55"/>
        <v>12300000</v>
      </c>
      <c r="AZ95" s="16">
        <f t="shared" si="56"/>
        <v>12300000</v>
      </c>
      <c r="BA95" s="16">
        <f t="shared" si="57"/>
        <v>12300000</v>
      </c>
      <c r="BB95" s="16">
        <f t="shared" si="58"/>
        <v>12300000</v>
      </c>
      <c r="BC95" s="16">
        <f t="shared" si="59"/>
        <v>12300000</v>
      </c>
    </row>
    <row r="96" spans="12:55" x14ac:dyDescent="0.15">
      <c r="L96" s="23"/>
      <c r="M96" s="23"/>
      <c r="N96" s="23"/>
      <c r="O96" s="23"/>
      <c r="P96" s="16">
        <v>93</v>
      </c>
      <c r="Q96" s="16">
        <f t="shared" si="40"/>
        <v>378112216.29015583</v>
      </c>
      <c r="R96" s="16">
        <f t="shared" si="41"/>
        <v>394582133.7034741</v>
      </c>
      <c r="S96" s="16">
        <f t="shared" si="42"/>
        <v>394890000</v>
      </c>
      <c r="T96" s="16">
        <f t="shared" si="43"/>
        <v>394890000</v>
      </c>
      <c r="U96" s="16">
        <f t="shared" si="44"/>
        <v>394889999.99999988</v>
      </c>
      <c r="AN96" s="16">
        <v>93</v>
      </c>
      <c r="AO96" s="16">
        <f t="shared" si="45"/>
        <v>6172216.290155815</v>
      </c>
      <c r="AP96" s="16">
        <f t="shared" si="46"/>
        <v>22642133.703474045</v>
      </c>
      <c r="AQ96" s="16">
        <f t="shared" si="47"/>
        <v>22950000</v>
      </c>
      <c r="AR96" s="16">
        <f t="shared" si="48"/>
        <v>22950000</v>
      </c>
      <c r="AS96" s="16">
        <f t="shared" si="49"/>
        <v>22950000</v>
      </c>
      <c r="AT96" s="16">
        <f t="shared" si="50"/>
        <v>359640000</v>
      </c>
      <c r="AU96" s="16">
        <f t="shared" si="51"/>
        <v>359640000.00000006</v>
      </c>
      <c r="AV96" s="16">
        <f t="shared" si="52"/>
        <v>359640000</v>
      </c>
      <c r="AW96" s="16">
        <f t="shared" si="53"/>
        <v>359640000</v>
      </c>
      <c r="AX96" s="16">
        <f t="shared" si="54"/>
        <v>359639999.99999988</v>
      </c>
      <c r="AY96" s="16">
        <f t="shared" si="55"/>
        <v>12300000</v>
      </c>
      <c r="AZ96" s="16">
        <f t="shared" si="56"/>
        <v>12300000</v>
      </c>
      <c r="BA96" s="16">
        <f t="shared" si="57"/>
        <v>12300000</v>
      </c>
      <c r="BB96" s="16">
        <f t="shared" si="58"/>
        <v>12300000</v>
      </c>
      <c r="BC96" s="16">
        <f t="shared" si="59"/>
        <v>12300000</v>
      </c>
    </row>
    <row r="97" spans="12:55" x14ac:dyDescent="0.15">
      <c r="L97" s="23"/>
      <c r="M97" s="23"/>
      <c r="N97" s="23"/>
      <c r="O97" s="23"/>
      <c r="P97" s="16">
        <v>94</v>
      </c>
      <c r="Q97" s="16">
        <f t="shared" si="40"/>
        <v>396566934.40544432</v>
      </c>
      <c r="R97" s="16">
        <f t="shared" si="41"/>
        <v>412170000</v>
      </c>
      <c r="S97" s="16">
        <f t="shared" si="42"/>
        <v>412170000</v>
      </c>
      <c r="T97" s="16">
        <f t="shared" si="43"/>
        <v>412170000</v>
      </c>
      <c r="U97" s="16">
        <f t="shared" si="44"/>
        <v>412169999.99999994</v>
      </c>
      <c r="AN97" s="16">
        <v>94</v>
      </c>
      <c r="AO97" s="16">
        <f t="shared" si="45"/>
        <v>7346934.405444338</v>
      </c>
      <c r="AP97" s="16">
        <f t="shared" si="46"/>
        <v>22950000</v>
      </c>
      <c r="AQ97" s="16">
        <f t="shared" si="47"/>
        <v>22950000</v>
      </c>
      <c r="AR97" s="16">
        <f t="shared" si="48"/>
        <v>22950000</v>
      </c>
      <c r="AS97" s="16">
        <f t="shared" si="49"/>
        <v>22950000</v>
      </c>
      <c r="AT97" s="16">
        <f t="shared" si="50"/>
        <v>376920000</v>
      </c>
      <c r="AU97" s="16">
        <f t="shared" si="51"/>
        <v>376920000</v>
      </c>
      <c r="AV97" s="16">
        <f t="shared" si="52"/>
        <v>376920000</v>
      </c>
      <c r="AW97" s="16">
        <f t="shared" si="53"/>
        <v>376920000</v>
      </c>
      <c r="AX97" s="16">
        <f t="shared" si="54"/>
        <v>376919999.99999994</v>
      </c>
      <c r="AY97" s="16">
        <f t="shared" si="55"/>
        <v>12300000</v>
      </c>
      <c r="AZ97" s="16">
        <f t="shared" si="56"/>
        <v>12300000</v>
      </c>
      <c r="BA97" s="16">
        <f t="shared" si="57"/>
        <v>12300000</v>
      </c>
      <c r="BB97" s="16">
        <f t="shared" si="58"/>
        <v>12300000</v>
      </c>
      <c r="BC97" s="16">
        <f t="shared" si="59"/>
        <v>12300000</v>
      </c>
    </row>
    <row r="98" spans="12:55" x14ac:dyDescent="0.15">
      <c r="L98" s="23"/>
      <c r="M98" s="23"/>
      <c r="N98" s="23"/>
      <c r="O98" s="23"/>
      <c r="P98" s="16">
        <v>95</v>
      </c>
      <c r="Q98" s="16">
        <f t="shared" si="40"/>
        <v>415169548.14193994</v>
      </c>
      <c r="R98" s="16">
        <f t="shared" si="41"/>
        <v>429450000</v>
      </c>
      <c r="S98" s="16">
        <f t="shared" si="42"/>
        <v>429450000</v>
      </c>
      <c r="T98" s="16">
        <f t="shared" si="43"/>
        <v>429450000.00000006</v>
      </c>
      <c r="U98" s="16">
        <f t="shared" si="44"/>
        <v>429450000</v>
      </c>
      <c r="AN98" s="16">
        <v>95</v>
      </c>
      <c r="AO98" s="16">
        <f t="shared" si="45"/>
        <v>8669548.1419399492</v>
      </c>
      <c r="AP98" s="16">
        <f t="shared" si="46"/>
        <v>22950000</v>
      </c>
      <c r="AQ98" s="16">
        <f t="shared" si="47"/>
        <v>22950000</v>
      </c>
      <c r="AR98" s="16">
        <f t="shared" si="48"/>
        <v>22950000</v>
      </c>
      <c r="AS98" s="16">
        <f t="shared" si="49"/>
        <v>22950000</v>
      </c>
      <c r="AT98" s="16">
        <f t="shared" si="50"/>
        <v>394199999.99999994</v>
      </c>
      <c r="AU98" s="16">
        <f t="shared" si="51"/>
        <v>394200000</v>
      </c>
      <c r="AV98" s="16">
        <f t="shared" si="52"/>
        <v>394200000</v>
      </c>
      <c r="AW98" s="16">
        <f t="shared" si="53"/>
        <v>394200000.00000006</v>
      </c>
      <c r="AX98" s="16">
        <f t="shared" si="54"/>
        <v>394200000</v>
      </c>
      <c r="AY98" s="16">
        <f t="shared" si="55"/>
        <v>12300000</v>
      </c>
      <c r="AZ98" s="16">
        <f t="shared" si="56"/>
        <v>12300000</v>
      </c>
      <c r="BA98" s="16">
        <f t="shared" si="57"/>
        <v>12300000</v>
      </c>
      <c r="BB98" s="16">
        <f t="shared" si="58"/>
        <v>12300000</v>
      </c>
      <c r="BC98" s="16">
        <f t="shared" si="59"/>
        <v>12300000</v>
      </c>
    </row>
    <row r="99" spans="12:55" x14ac:dyDescent="0.15">
      <c r="L99" s="23"/>
      <c r="M99" s="23"/>
      <c r="N99" s="23"/>
      <c r="O99" s="23"/>
      <c r="P99" s="16">
        <v>96</v>
      </c>
      <c r="Q99" s="16">
        <f t="shared" si="40"/>
        <v>433772161.87843549</v>
      </c>
      <c r="R99" s="16">
        <f t="shared" si="41"/>
        <v>446730000</v>
      </c>
      <c r="S99" s="16">
        <f t="shared" si="42"/>
        <v>446730000</v>
      </c>
      <c r="T99" s="16">
        <f t="shared" si="43"/>
        <v>446730000.00000012</v>
      </c>
      <c r="U99" s="16">
        <f t="shared" si="44"/>
        <v>446730000.00000006</v>
      </c>
      <c r="AN99" s="16">
        <v>96</v>
      </c>
      <c r="AO99" s="16">
        <f t="shared" si="45"/>
        <v>9992161.8784355596</v>
      </c>
      <c r="AP99" s="16">
        <f t="shared" si="46"/>
        <v>22950000</v>
      </c>
      <c r="AQ99" s="16">
        <f t="shared" si="47"/>
        <v>22950000</v>
      </c>
      <c r="AR99" s="16">
        <f t="shared" si="48"/>
        <v>22950000</v>
      </c>
      <c r="AS99" s="16">
        <f t="shared" si="49"/>
        <v>22950000</v>
      </c>
      <c r="AT99" s="16">
        <f t="shared" si="50"/>
        <v>411479999.99999994</v>
      </c>
      <c r="AU99" s="16">
        <f t="shared" si="51"/>
        <v>411480000</v>
      </c>
      <c r="AV99" s="16">
        <f t="shared" si="52"/>
        <v>411480000</v>
      </c>
      <c r="AW99" s="16">
        <f t="shared" si="53"/>
        <v>411480000.00000012</v>
      </c>
      <c r="AX99" s="16">
        <f t="shared" si="54"/>
        <v>411480000.00000006</v>
      </c>
      <c r="AY99" s="16">
        <f t="shared" si="55"/>
        <v>12300000</v>
      </c>
      <c r="AZ99" s="16">
        <f t="shared" si="56"/>
        <v>12300000</v>
      </c>
      <c r="BA99" s="16">
        <f t="shared" si="57"/>
        <v>12300000</v>
      </c>
      <c r="BB99" s="16">
        <f t="shared" si="58"/>
        <v>12300000</v>
      </c>
      <c r="BC99" s="16">
        <f t="shared" si="59"/>
        <v>12300000</v>
      </c>
    </row>
    <row r="100" spans="12:55" x14ac:dyDescent="0.15">
      <c r="L100" s="23"/>
      <c r="M100" s="23"/>
      <c r="N100" s="23"/>
      <c r="O100" s="23"/>
      <c r="P100" s="16">
        <v>97</v>
      </c>
      <c r="Q100" s="16">
        <f t="shared" si="40"/>
        <v>458471875.39754033</v>
      </c>
      <c r="R100" s="16">
        <f t="shared" si="41"/>
        <v>469714356.56510848</v>
      </c>
      <c r="S100" s="16">
        <f t="shared" si="42"/>
        <v>464010000</v>
      </c>
      <c r="T100" s="16">
        <f t="shared" si="43"/>
        <v>464010000.00000018</v>
      </c>
      <c r="U100" s="16">
        <f t="shared" si="44"/>
        <v>464010000.00000012</v>
      </c>
      <c r="AN100" s="16">
        <v>97</v>
      </c>
      <c r="AO100" s="16">
        <f t="shared" si="45"/>
        <v>11509001.863371054</v>
      </c>
      <c r="AP100" s="16">
        <f t="shared" si="46"/>
        <v>22950000</v>
      </c>
      <c r="AQ100" s="16">
        <f t="shared" si="47"/>
        <v>22950000</v>
      </c>
      <c r="AR100" s="16">
        <f t="shared" si="48"/>
        <v>22950000</v>
      </c>
      <c r="AS100" s="16">
        <f t="shared" si="49"/>
        <v>22950000</v>
      </c>
      <c r="AT100" s="16">
        <f t="shared" si="50"/>
        <v>434662873.53416926</v>
      </c>
      <c r="AU100" s="16">
        <f t="shared" si="51"/>
        <v>434464356.56510848</v>
      </c>
      <c r="AV100" s="16">
        <f t="shared" si="52"/>
        <v>428760000</v>
      </c>
      <c r="AW100" s="16">
        <f t="shared" si="53"/>
        <v>428760000.00000018</v>
      </c>
      <c r="AX100" s="16">
        <f t="shared" si="54"/>
        <v>428760000.00000012</v>
      </c>
      <c r="AY100" s="16">
        <f t="shared" si="55"/>
        <v>12300000</v>
      </c>
      <c r="AZ100" s="16">
        <f t="shared" si="56"/>
        <v>12300000</v>
      </c>
      <c r="BA100" s="16">
        <f t="shared" si="57"/>
        <v>12300000</v>
      </c>
      <c r="BB100" s="16">
        <f t="shared" si="58"/>
        <v>12300000</v>
      </c>
      <c r="BC100" s="16">
        <f t="shared" si="59"/>
        <v>12300000</v>
      </c>
    </row>
    <row r="101" spans="12:55" x14ac:dyDescent="0.15">
      <c r="L101" s="23"/>
      <c r="M101" s="23"/>
      <c r="N101" s="23"/>
      <c r="O101" s="23"/>
      <c r="P101" s="16">
        <v>98</v>
      </c>
      <c r="Q101" s="16">
        <f t="shared" si="40"/>
        <v>508676155.26075083</v>
      </c>
      <c r="R101" s="16">
        <f t="shared" si="41"/>
        <v>511847862.93620646</v>
      </c>
      <c r="S101" s="16">
        <f t="shared" si="42"/>
        <v>520916411.66302431</v>
      </c>
      <c r="T101" s="16">
        <f t="shared" si="43"/>
        <v>520854140.60864151</v>
      </c>
      <c r="U101" s="16">
        <f t="shared" si="44"/>
        <v>528001920.62790573</v>
      </c>
      <c r="AN101" s="16">
        <v>98</v>
      </c>
      <c r="AO101" s="16">
        <f t="shared" si="45"/>
        <v>13838302.922542382</v>
      </c>
      <c r="AP101" s="16">
        <f t="shared" si="46"/>
        <v>22950000</v>
      </c>
      <c r="AQ101" s="16">
        <f t="shared" si="47"/>
        <v>22950000</v>
      </c>
      <c r="AR101" s="16">
        <f t="shared" si="48"/>
        <v>22950000</v>
      </c>
      <c r="AS101" s="16">
        <f t="shared" si="49"/>
        <v>22950000</v>
      </c>
      <c r="AT101" s="16">
        <f t="shared" si="50"/>
        <v>482537852.33820844</v>
      </c>
      <c r="AU101" s="16">
        <f t="shared" si="51"/>
        <v>476597862.93620646</v>
      </c>
      <c r="AV101" s="16">
        <f t="shared" si="52"/>
        <v>485666411.66302431</v>
      </c>
      <c r="AW101" s="16">
        <f t="shared" si="53"/>
        <v>485604140.60864151</v>
      </c>
      <c r="AX101" s="16">
        <f t="shared" si="54"/>
        <v>492751920.62790573</v>
      </c>
      <c r="AY101" s="16">
        <f t="shared" si="55"/>
        <v>12300000</v>
      </c>
      <c r="AZ101" s="16">
        <f t="shared" si="56"/>
        <v>12300000</v>
      </c>
      <c r="BA101" s="16">
        <f t="shared" si="57"/>
        <v>12300000</v>
      </c>
      <c r="BB101" s="16">
        <f t="shared" si="58"/>
        <v>12300000</v>
      </c>
      <c r="BC101" s="16">
        <f t="shared" si="59"/>
        <v>12300000</v>
      </c>
    </row>
    <row r="102" spans="12:55" x14ac:dyDescent="0.15">
      <c r="L102" s="23"/>
      <c r="M102" s="23"/>
      <c r="N102" s="23"/>
      <c r="O102" s="23"/>
      <c r="P102" s="16">
        <v>99</v>
      </c>
      <c r="Q102" s="16">
        <f t="shared" si="40"/>
        <v>558880435.12396133</v>
      </c>
      <c r="R102" s="16">
        <f t="shared" si="41"/>
        <v>553981369.3073045</v>
      </c>
      <c r="S102" s="16">
        <f t="shared" si="42"/>
        <v>582589861.53785801</v>
      </c>
      <c r="T102" s="16">
        <f t="shared" si="43"/>
        <v>577937166.51499081</v>
      </c>
      <c r="U102" s="16">
        <f t="shared" si="44"/>
        <v>598706932.56815124</v>
      </c>
      <c r="AN102" s="16">
        <v>99</v>
      </c>
      <c r="AO102" s="16">
        <f t="shared" si="45"/>
        <v>16167603.981713708</v>
      </c>
      <c r="AP102" s="16">
        <f t="shared" si="46"/>
        <v>22950000</v>
      </c>
      <c r="AQ102" s="16">
        <f t="shared" si="47"/>
        <v>22950000</v>
      </c>
      <c r="AR102" s="16">
        <f t="shared" si="48"/>
        <v>22950000</v>
      </c>
      <c r="AS102" s="16">
        <f t="shared" si="49"/>
        <v>22950000</v>
      </c>
      <c r="AT102" s="16">
        <f t="shared" si="50"/>
        <v>530412831.14224768</v>
      </c>
      <c r="AU102" s="16">
        <f t="shared" si="51"/>
        <v>518731369.3073045</v>
      </c>
      <c r="AV102" s="16">
        <f t="shared" si="52"/>
        <v>547339861.53785801</v>
      </c>
      <c r="AW102" s="16">
        <f t="shared" si="53"/>
        <v>542687166.51499081</v>
      </c>
      <c r="AX102" s="16">
        <f t="shared" si="54"/>
        <v>563456932.56815124</v>
      </c>
      <c r="AY102" s="16">
        <f t="shared" si="55"/>
        <v>12300000</v>
      </c>
      <c r="AZ102" s="16">
        <f t="shared" si="56"/>
        <v>12300000</v>
      </c>
      <c r="BA102" s="16">
        <f t="shared" si="57"/>
        <v>12300000</v>
      </c>
      <c r="BB102" s="16">
        <f t="shared" si="58"/>
        <v>12300000</v>
      </c>
      <c r="BC102" s="16">
        <f t="shared" si="59"/>
        <v>12300000</v>
      </c>
    </row>
    <row r="103" spans="12:55" x14ac:dyDescent="0.15">
      <c r="L103" s="23"/>
      <c r="M103" s="23"/>
      <c r="N103" s="23"/>
      <c r="O103" s="23"/>
      <c r="P103" s="16">
        <v>100</v>
      </c>
      <c r="Q103" s="16">
        <f t="shared" si="40"/>
        <v>609084714.98717189</v>
      </c>
      <c r="R103" s="16">
        <f t="shared" si="41"/>
        <v>596114875.67840254</v>
      </c>
      <c r="S103" s="16">
        <f t="shared" si="42"/>
        <v>644263311.41269159</v>
      </c>
      <c r="T103" s="16">
        <f t="shared" si="43"/>
        <v>635020192.42134011</v>
      </c>
      <c r="U103" s="16">
        <f t="shared" si="44"/>
        <v>669411944.50839663</v>
      </c>
      <c r="AN103" s="16">
        <v>100</v>
      </c>
      <c r="AO103" s="16">
        <f t="shared" si="45"/>
        <v>18496905.040885039</v>
      </c>
      <c r="AP103" s="16">
        <f t="shared" si="46"/>
        <v>22950000</v>
      </c>
      <c r="AQ103" s="16">
        <f t="shared" si="47"/>
        <v>22950000</v>
      </c>
      <c r="AR103" s="16">
        <f t="shared" si="48"/>
        <v>22950000</v>
      </c>
      <c r="AS103" s="16">
        <f t="shared" si="49"/>
        <v>22950000</v>
      </c>
      <c r="AT103" s="16">
        <f t="shared" si="50"/>
        <v>578287809.94628692</v>
      </c>
      <c r="AU103" s="16">
        <f t="shared" si="51"/>
        <v>560864875.67840254</v>
      </c>
      <c r="AV103" s="16">
        <f t="shared" si="52"/>
        <v>609013311.41269159</v>
      </c>
      <c r="AW103" s="16">
        <f t="shared" si="53"/>
        <v>599770192.42134011</v>
      </c>
      <c r="AX103" s="16">
        <f t="shared" si="54"/>
        <v>634161944.50839663</v>
      </c>
      <c r="AY103" s="16">
        <f t="shared" si="55"/>
        <v>12300000</v>
      </c>
      <c r="AZ103" s="16">
        <f t="shared" si="56"/>
        <v>12300000</v>
      </c>
      <c r="BA103" s="16">
        <f t="shared" si="57"/>
        <v>12300000</v>
      </c>
      <c r="BB103" s="16">
        <f t="shared" si="58"/>
        <v>12300000</v>
      </c>
      <c r="BC103" s="16">
        <f t="shared" si="59"/>
        <v>12300000</v>
      </c>
    </row>
    <row r="104" spans="12:55" x14ac:dyDescent="0.15">
      <c r="L104" s="23"/>
      <c r="M104" s="23"/>
      <c r="N104" s="23"/>
      <c r="O104" s="23"/>
      <c r="P104" s="16">
        <v>101</v>
      </c>
      <c r="Q104" s="16">
        <f t="shared" ref="Q104:Q129" si="60">求节点(B$4:B$42,G$4:G$42,$P104)</f>
        <v>754942304.46082044</v>
      </c>
      <c r="R104" s="16">
        <f t="shared" ref="R104:R129" si="61">求节点(C$4:C$42,H$4:H$42,$P104)</f>
        <v>757769999.99999797</v>
      </c>
      <c r="S104" s="16">
        <f t="shared" ref="S104:S129" si="62">求节点(D$4:D$42,I$4:I$42,$P104)</f>
        <v>757769999.99999893</v>
      </c>
      <c r="T104" s="16">
        <f t="shared" ref="T104:T129" si="63">求节点(E$4:E$42,J$4:J$42,$P104)</f>
        <v>757770000.00000131</v>
      </c>
      <c r="U104" s="16">
        <f t="shared" ref="U104:U129" si="64">求节点(F$4:F$42,K$4:K$42,$P104)</f>
        <v>757770000.00000072</v>
      </c>
      <c r="AN104" s="16">
        <v>101</v>
      </c>
      <c r="AO104" s="16">
        <f t="shared" ref="AO104:AO163" si="65">求节点(B$4:B$42,X$5:X$42,$AN104)</f>
        <v>20122304.460819703</v>
      </c>
      <c r="AP104" s="16">
        <f t="shared" ref="AP104:AP163" si="66">求节点(C$4:C$42,Y$5:Y$42,$AN104)</f>
        <v>22950000</v>
      </c>
      <c r="AQ104" s="16">
        <f t="shared" ref="AQ104:AQ163" si="67">求节点(D$4:D$42,Z$5:Z$42,$AN104)</f>
        <v>22950000</v>
      </c>
      <c r="AR104" s="16">
        <f t="shared" ref="AR104:AR163" si="68">求节点(E$4:E$42,AA$5:AA$42,$AN104)</f>
        <v>22950000</v>
      </c>
      <c r="AS104" s="16">
        <f t="shared" ref="AS104:AS163" si="69">求节点(F$4:F$42,AB$5:AB$42,$AN104)</f>
        <v>22950000</v>
      </c>
      <c r="AT104" s="16">
        <f t="shared" ref="AT104:AT163" si="70">求节点(B$4:B$42,AC$5:AC$42,$AN104)</f>
        <v>722520000.00000072</v>
      </c>
      <c r="AU104" s="16">
        <f t="shared" ref="AU104:AU163" si="71">求节点(C$4:C$42,AD$5:AD$42,$AN104)</f>
        <v>722519999.99999797</v>
      </c>
      <c r="AV104" s="16">
        <f t="shared" ref="AV104:AV163" si="72">求节点(D$4:D$42,AE$5:AE$42,$AN104)</f>
        <v>722519999.99999893</v>
      </c>
      <c r="AW104" s="16">
        <f t="shared" ref="AW104:AW163" si="73">求节点(E$4:E$42,AF$5:AF$42,$AN104)</f>
        <v>722520000.00000131</v>
      </c>
      <c r="AX104" s="16">
        <f t="shared" ref="AX104:AX163" si="74">求节点(F$4:F$42,AG$5:AG$42,$AN104)</f>
        <v>722520000.00000072</v>
      </c>
      <c r="AY104" s="16">
        <f t="shared" ref="AY104:AY163" si="75">求节点(B$4:B$42,AH$5:AH$42,$AN104)</f>
        <v>12300000</v>
      </c>
      <c r="AZ104" s="16">
        <f t="shared" ref="AZ104:AZ163" si="76">求节点(C$4:C$42,AI$5:AI$42,$AN104)</f>
        <v>12300000</v>
      </c>
      <c r="BA104" s="16">
        <f t="shared" ref="BA104:BA163" si="77">求节点(D$4:D$42,AJ$5:AJ$42,$AN104)</f>
        <v>12300000</v>
      </c>
      <c r="BB104" s="16">
        <f t="shared" ref="BB104:BB163" si="78">求节点(E$4:E$42,AK$5:AK$42,$AN104)</f>
        <v>12300000</v>
      </c>
      <c r="BC104" s="16">
        <f t="shared" ref="BC104:BC163" si="79">求节点(F$4:F$42,AL$5:AL$42,$AN104)</f>
        <v>12300000</v>
      </c>
    </row>
    <row r="105" spans="12:55" x14ac:dyDescent="0.15">
      <c r="L105" s="23"/>
      <c r="M105" s="23"/>
      <c r="N105" s="23"/>
      <c r="O105" s="23"/>
      <c r="P105" s="16">
        <v>102</v>
      </c>
      <c r="Q105" s="16">
        <f t="shared" si="60"/>
        <v>997774082.04941714</v>
      </c>
      <c r="R105" s="16">
        <f t="shared" si="61"/>
        <v>999689999.99999905</v>
      </c>
      <c r="S105" s="16">
        <f t="shared" si="62"/>
        <v>999690000</v>
      </c>
      <c r="T105" s="16">
        <f t="shared" si="63"/>
        <v>999690000.00000048</v>
      </c>
      <c r="U105" s="16">
        <f t="shared" si="64"/>
        <v>999690000.00000036</v>
      </c>
      <c r="AN105" s="16">
        <v>102</v>
      </c>
      <c r="AO105" s="16">
        <f t="shared" si="65"/>
        <v>21034082.049416207</v>
      </c>
      <c r="AP105" s="16">
        <f t="shared" si="66"/>
        <v>22950000</v>
      </c>
      <c r="AQ105" s="16">
        <f t="shared" si="67"/>
        <v>22950000</v>
      </c>
      <c r="AR105" s="16">
        <f t="shared" si="68"/>
        <v>22950000</v>
      </c>
      <c r="AS105" s="16">
        <f t="shared" si="69"/>
        <v>22950000</v>
      </c>
      <c r="AT105" s="16">
        <f t="shared" si="70"/>
        <v>964440000.00000095</v>
      </c>
      <c r="AU105" s="16">
        <f t="shared" si="71"/>
        <v>964439999.99999905</v>
      </c>
      <c r="AV105" s="16">
        <f t="shared" si="72"/>
        <v>964440000</v>
      </c>
      <c r="AW105" s="16">
        <f t="shared" si="73"/>
        <v>964440000.00000048</v>
      </c>
      <c r="AX105" s="16">
        <f t="shared" si="74"/>
        <v>964440000.00000036</v>
      </c>
      <c r="AY105" s="16">
        <f t="shared" si="75"/>
        <v>12300000</v>
      </c>
      <c r="AZ105" s="16">
        <f t="shared" si="76"/>
        <v>12300000</v>
      </c>
      <c r="BA105" s="16">
        <f t="shared" si="77"/>
        <v>12300000</v>
      </c>
      <c r="BB105" s="16">
        <f t="shared" si="78"/>
        <v>12300000</v>
      </c>
      <c r="BC105" s="16">
        <f t="shared" si="79"/>
        <v>12300000</v>
      </c>
    </row>
    <row r="106" spans="12:55" x14ac:dyDescent="0.15">
      <c r="O106" s="23"/>
      <c r="P106" s="16">
        <v>103</v>
      </c>
      <c r="Q106" s="16">
        <f t="shared" si="60"/>
        <v>1240605859.6380138</v>
      </c>
      <c r="R106" s="16">
        <f t="shared" si="61"/>
        <v>1241610000</v>
      </c>
      <c r="S106" s="16">
        <f t="shared" si="62"/>
        <v>1241610000.000001</v>
      </c>
      <c r="T106" s="16">
        <f t="shared" si="63"/>
        <v>1241609999.9999995</v>
      </c>
      <c r="U106" s="16">
        <f t="shared" si="64"/>
        <v>1241610000</v>
      </c>
      <c r="AN106" s="16">
        <v>103</v>
      </c>
      <c r="AO106" s="16">
        <f t="shared" si="65"/>
        <v>21945859.638012715</v>
      </c>
      <c r="AP106" s="16">
        <f t="shared" si="66"/>
        <v>22950000</v>
      </c>
      <c r="AQ106" s="16">
        <f t="shared" si="67"/>
        <v>22950000</v>
      </c>
      <c r="AR106" s="16">
        <f t="shared" si="68"/>
        <v>22950000</v>
      </c>
      <c r="AS106" s="16">
        <f t="shared" si="69"/>
        <v>22950000</v>
      </c>
      <c r="AT106" s="16">
        <f t="shared" si="70"/>
        <v>1206360000.0000012</v>
      </c>
      <c r="AU106" s="16">
        <f t="shared" si="71"/>
        <v>1206360000</v>
      </c>
      <c r="AV106" s="16">
        <f t="shared" si="72"/>
        <v>1206360000.000001</v>
      </c>
      <c r="AW106" s="16">
        <f t="shared" si="73"/>
        <v>1206359999.9999995</v>
      </c>
      <c r="AX106" s="16">
        <f t="shared" si="74"/>
        <v>1206360000</v>
      </c>
      <c r="AY106" s="16">
        <f t="shared" si="75"/>
        <v>12300000</v>
      </c>
      <c r="AZ106" s="16">
        <f t="shared" si="76"/>
        <v>12300000</v>
      </c>
      <c r="BA106" s="16">
        <f t="shared" si="77"/>
        <v>12300000</v>
      </c>
      <c r="BB106" s="16">
        <f t="shared" si="78"/>
        <v>12300000</v>
      </c>
      <c r="BC106" s="16">
        <f t="shared" si="79"/>
        <v>12300000</v>
      </c>
    </row>
    <row r="107" spans="12:55" x14ac:dyDescent="0.15">
      <c r="O107" s="23"/>
      <c r="P107" s="16">
        <v>104</v>
      </c>
      <c r="Q107" s="16">
        <f t="shared" si="60"/>
        <v>1483437637.2266107</v>
      </c>
      <c r="R107" s="16">
        <f t="shared" si="61"/>
        <v>1483530000.0000012</v>
      </c>
      <c r="S107" s="16">
        <f t="shared" si="62"/>
        <v>1483530000.0000021</v>
      </c>
      <c r="T107" s="16">
        <f t="shared" si="63"/>
        <v>1483529999.9999986</v>
      </c>
      <c r="U107" s="16">
        <f t="shared" si="64"/>
        <v>1483529999.9999995</v>
      </c>
      <c r="AN107" s="16">
        <v>104</v>
      </c>
      <c r="AO107" s="16">
        <f t="shared" si="65"/>
        <v>22857637.226609219</v>
      </c>
      <c r="AP107" s="16">
        <f t="shared" si="66"/>
        <v>22950000</v>
      </c>
      <c r="AQ107" s="16">
        <f t="shared" si="67"/>
        <v>22950000</v>
      </c>
      <c r="AR107" s="16">
        <f t="shared" si="68"/>
        <v>22950000</v>
      </c>
      <c r="AS107" s="16">
        <f t="shared" si="69"/>
        <v>22950000</v>
      </c>
      <c r="AT107" s="16">
        <f t="shared" si="70"/>
        <v>1448280000.0000014</v>
      </c>
      <c r="AU107" s="16">
        <f t="shared" si="71"/>
        <v>1448280000.0000012</v>
      </c>
      <c r="AV107" s="16">
        <f t="shared" si="72"/>
        <v>1448280000.0000021</v>
      </c>
      <c r="AW107" s="16">
        <f t="shared" si="73"/>
        <v>1448279999.9999986</v>
      </c>
      <c r="AX107" s="16">
        <f t="shared" si="74"/>
        <v>1448279999.9999995</v>
      </c>
      <c r="AY107" s="16">
        <f t="shared" si="75"/>
        <v>12300000</v>
      </c>
      <c r="AZ107" s="16">
        <f t="shared" si="76"/>
        <v>12300000</v>
      </c>
      <c r="BA107" s="16">
        <f t="shared" si="77"/>
        <v>12300000</v>
      </c>
      <c r="BB107" s="16">
        <f t="shared" si="78"/>
        <v>12300000</v>
      </c>
      <c r="BC107" s="16">
        <f t="shared" si="79"/>
        <v>12300000</v>
      </c>
    </row>
    <row r="108" spans="12:55" x14ac:dyDescent="0.15">
      <c r="O108" s="23"/>
      <c r="P108" s="16">
        <v>105</v>
      </c>
      <c r="Q108" s="16">
        <f t="shared" si="60"/>
        <v>1725450000.0000014</v>
      </c>
      <c r="R108" s="16">
        <f t="shared" si="61"/>
        <v>1725450000.0000012</v>
      </c>
      <c r="S108" s="16">
        <f t="shared" si="62"/>
        <v>1725450000.0000024</v>
      </c>
      <c r="T108" s="16">
        <f t="shared" si="63"/>
        <v>1725449999.9999988</v>
      </c>
      <c r="U108" s="16">
        <f t="shared" si="64"/>
        <v>1725449999.9999995</v>
      </c>
      <c r="AN108" s="16">
        <v>105</v>
      </c>
      <c r="AO108" s="16">
        <f t="shared" si="65"/>
        <v>22950000</v>
      </c>
      <c r="AP108" s="16">
        <f t="shared" si="66"/>
        <v>22950000</v>
      </c>
      <c r="AQ108" s="16">
        <f t="shared" si="67"/>
        <v>22950000</v>
      </c>
      <c r="AR108" s="16">
        <f t="shared" si="68"/>
        <v>22950000</v>
      </c>
      <c r="AS108" s="16">
        <f t="shared" si="69"/>
        <v>22950000</v>
      </c>
      <c r="AT108" s="16">
        <f t="shared" si="70"/>
        <v>1690200000.0000014</v>
      </c>
      <c r="AU108" s="16">
        <f t="shared" si="71"/>
        <v>1690200000.0000012</v>
      </c>
      <c r="AV108" s="16">
        <f t="shared" si="72"/>
        <v>1690200000.0000024</v>
      </c>
      <c r="AW108" s="16">
        <f t="shared" si="73"/>
        <v>1690199999.9999988</v>
      </c>
      <c r="AX108" s="16">
        <f t="shared" si="74"/>
        <v>1690199999.9999995</v>
      </c>
      <c r="AY108" s="16">
        <f t="shared" si="75"/>
        <v>12300000</v>
      </c>
      <c r="AZ108" s="16">
        <f t="shared" si="76"/>
        <v>12300000</v>
      </c>
      <c r="BA108" s="16">
        <f t="shared" si="77"/>
        <v>12300000</v>
      </c>
      <c r="BB108" s="16">
        <f t="shared" si="78"/>
        <v>12300000</v>
      </c>
      <c r="BC108" s="16">
        <f t="shared" si="79"/>
        <v>12300000</v>
      </c>
    </row>
    <row r="109" spans="12:55" x14ac:dyDescent="0.15">
      <c r="O109" s="23"/>
      <c r="P109" s="16">
        <v>106</v>
      </c>
      <c r="Q109" s="16">
        <f t="shared" si="60"/>
        <v>1967370000.0000014</v>
      </c>
      <c r="R109" s="16">
        <f t="shared" si="61"/>
        <v>1967370000.0000012</v>
      </c>
      <c r="S109" s="16">
        <f t="shared" si="62"/>
        <v>1967370000.0000021</v>
      </c>
      <c r="T109" s="16">
        <f t="shared" si="63"/>
        <v>1967369999.9999998</v>
      </c>
      <c r="U109" s="16">
        <f t="shared" si="64"/>
        <v>1967370000</v>
      </c>
      <c r="AN109" s="16">
        <v>106</v>
      </c>
      <c r="AO109" s="16">
        <f t="shared" si="65"/>
        <v>22950000</v>
      </c>
      <c r="AP109" s="16">
        <f t="shared" si="66"/>
        <v>22950000</v>
      </c>
      <c r="AQ109" s="16">
        <f t="shared" si="67"/>
        <v>22950000</v>
      </c>
      <c r="AR109" s="16">
        <f t="shared" si="68"/>
        <v>22950000</v>
      </c>
      <c r="AS109" s="16">
        <f t="shared" si="69"/>
        <v>22950000</v>
      </c>
      <c r="AT109" s="16">
        <f t="shared" si="70"/>
        <v>1932120000.0000014</v>
      </c>
      <c r="AU109" s="16">
        <f t="shared" si="71"/>
        <v>1932120000.0000012</v>
      </c>
      <c r="AV109" s="16">
        <f t="shared" si="72"/>
        <v>1932120000.0000021</v>
      </c>
      <c r="AW109" s="16">
        <f t="shared" si="73"/>
        <v>1932119999.9999998</v>
      </c>
      <c r="AX109" s="16">
        <f t="shared" si="74"/>
        <v>1932120000</v>
      </c>
      <c r="AY109" s="16">
        <f t="shared" si="75"/>
        <v>12300000</v>
      </c>
      <c r="AZ109" s="16">
        <f t="shared" si="76"/>
        <v>12300000</v>
      </c>
      <c r="BA109" s="16">
        <f t="shared" si="77"/>
        <v>12300000</v>
      </c>
      <c r="BB109" s="16">
        <f t="shared" si="78"/>
        <v>12300000</v>
      </c>
      <c r="BC109" s="16">
        <f t="shared" si="79"/>
        <v>12300000</v>
      </c>
    </row>
    <row r="110" spans="12:55" x14ac:dyDescent="0.15">
      <c r="O110" s="23"/>
      <c r="P110" s="16">
        <v>107</v>
      </c>
      <c r="Q110" s="16">
        <f t="shared" si="60"/>
        <v>2209290000.0000014</v>
      </c>
      <c r="R110" s="16">
        <f t="shared" si="61"/>
        <v>2209290000.000001</v>
      </c>
      <c r="S110" s="16">
        <f t="shared" si="62"/>
        <v>2209290000.0000019</v>
      </c>
      <c r="T110" s="16">
        <f t="shared" si="63"/>
        <v>2209290000.0000005</v>
      </c>
      <c r="U110" s="16">
        <f t="shared" si="64"/>
        <v>2209290000</v>
      </c>
      <c r="AN110" s="16">
        <v>107</v>
      </c>
      <c r="AO110" s="16">
        <f t="shared" si="65"/>
        <v>22950000</v>
      </c>
      <c r="AP110" s="16">
        <f t="shared" si="66"/>
        <v>22950000</v>
      </c>
      <c r="AQ110" s="16">
        <f t="shared" si="67"/>
        <v>22950000</v>
      </c>
      <c r="AR110" s="16">
        <f t="shared" si="68"/>
        <v>22950000</v>
      </c>
      <c r="AS110" s="16">
        <f t="shared" si="69"/>
        <v>22950000</v>
      </c>
      <c r="AT110" s="16">
        <f t="shared" si="70"/>
        <v>2174040000.0000014</v>
      </c>
      <c r="AU110" s="16">
        <f t="shared" si="71"/>
        <v>2174040000.000001</v>
      </c>
      <c r="AV110" s="16">
        <f t="shared" si="72"/>
        <v>2174040000.0000019</v>
      </c>
      <c r="AW110" s="16">
        <f t="shared" si="73"/>
        <v>2174040000.0000005</v>
      </c>
      <c r="AX110" s="16">
        <f t="shared" si="74"/>
        <v>2174040000</v>
      </c>
      <c r="AY110" s="16">
        <f t="shared" si="75"/>
        <v>12300000</v>
      </c>
      <c r="AZ110" s="16">
        <f t="shared" si="76"/>
        <v>12300000</v>
      </c>
      <c r="BA110" s="16">
        <f t="shared" si="77"/>
        <v>12300000</v>
      </c>
      <c r="BB110" s="16">
        <f t="shared" si="78"/>
        <v>12300000</v>
      </c>
      <c r="BC110" s="16">
        <f t="shared" si="79"/>
        <v>12300000</v>
      </c>
    </row>
    <row r="111" spans="12:55" x14ac:dyDescent="0.15">
      <c r="O111" s="23"/>
      <c r="P111" s="16">
        <v>108</v>
      </c>
      <c r="Q111" s="16">
        <f t="shared" si="60"/>
        <v>2451210000.0000014</v>
      </c>
      <c r="R111" s="16">
        <f t="shared" si="61"/>
        <v>2451210000.000001</v>
      </c>
      <c r="S111" s="16">
        <f t="shared" si="62"/>
        <v>2451210000.0000014</v>
      </c>
      <c r="T111" s="16">
        <f t="shared" si="63"/>
        <v>2451210000.0000014</v>
      </c>
      <c r="U111" s="16">
        <f t="shared" si="64"/>
        <v>2451210000.000001</v>
      </c>
      <c r="AN111" s="16">
        <v>108</v>
      </c>
      <c r="AO111" s="16">
        <f t="shared" si="65"/>
        <v>22950000</v>
      </c>
      <c r="AP111" s="16">
        <f t="shared" si="66"/>
        <v>22950000</v>
      </c>
      <c r="AQ111" s="16">
        <f t="shared" si="67"/>
        <v>22950000</v>
      </c>
      <c r="AR111" s="16">
        <f t="shared" si="68"/>
        <v>22950000</v>
      </c>
      <c r="AS111" s="16">
        <f t="shared" si="69"/>
        <v>22950000</v>
      </c>
      <c r="AT111" s="16">
        <f t="shared" si="70"/>
        <v>2415960000.0000014</v>
      </c>
      <c r="AU111" s="16">
        <f t="shared" si="71"/>
        <v>2415960000.000001</v>
      </c>
      <c r="AV111" s="16">
        <f t="shared" si="72"/>
        <v>2415960000.0000014</v>
      </c>
      <c r="AW111" s="16">
        <f t="shared" si="73"/>
        <v>2415960000.0000014</v>
      </c>
      <c r="AX111" s="16">
        <f t="shared" si="74"/>
        <v>2415960000.000001</v>
      </c>
      <c r="AY111" s="16">
        <f t="shared" si="75"/>
        <v>12300000</v>
      </c>
      <c r="AZ111" s="16">
        <f t="shared" si="76"/>
        <v>12300000</v>
      </c>
      <c r="BA111" s="16">
        <f t="shared" si="77"/>
        <v>12300000</v>
      </c>
      <c r="BB111" s="16">
        <f t="shared" si="78"/>
        <v>12300000</v>
      </c>
      <c r="BC111" s="16">
        <f t="shared" si="79"/>
        <v>12300000</v>
      </c>
    </row>
    <row r="112" spans="12:55" x14ac:dyDescent="0.15">
      <c r="O112" s="23"/>
      <c r="P112" s="16">
        <v>109</v>
      </c>
      <c r="Q112" s="16">
        <f t="shared" si="60"/>
        <v>2693130000.000001</v>
      </c>
      <c r="R112" s="16">
        <f t="shared" si="61"/>
        <v>2693130000.000001</v>
      </c>
      <c r="S112" s="16">
        <f t="shared" si="62"/>
        <v>2693130000.000001</v>
      </c>
      <c r="T112" s="16">
        <f t="shared" si="63"/>
        <v>2693130000.0000014</v>
      </c>
      <c r="U112" s="16">
        <f t="shared" si="64"/>
        <v>2693130000</v>
      </c>
      <c r="AN112" s="16">
        <v>109</v>
      </c>
      <c r="AO112" s="16">
        <f t="shared" si="65"/>
        <v>22950000</v>
      </c>
      <c r="AP112" s="16">
        <f t="shared" si="66"/>
        <v>22950000</v>
      </c>
      <c r="AQ112" s="16">
        <f t="shared" si="67"/>
        <v>22950000</v>
      </c>
      <c r="AR112" s="16">
        <f t="shared" si="68"/>
        <v>22950000</v>
      </c>
      <c r="AS112" s="16">
        <f t="shared" si="69"/>
        <v>22950000</v>
      </c>
      <c r="AT112" s="16">
        <f t="shared" si="70"/>
        <v>2657880000.000001</v>
      </c>
      <c r="AU112" s="16">
        <f t="shared" si="71"/>
        <v>2657880000.000001</v>
      </c>
      <c r="AV112" s="16">
        <f t="shared" si="72"/>
        <v>2657880000.000001</v>
      </c>
      <c r="AW112" s="16">
        <f t="shared" si="73"/>
        <v>2657880000.0000014</v>
      </c>
      <c r="AX112" s="16">
        <f t="shared" si="74"/>
        <v>2657880000</v>
      </c>
      <c r="AY112" s="16">
        <f t="shared" si="75"/>
        <v>12300000</v>
      </c>
      <c r="AZ112" s="16">
        <f t="shared" si="76"/>
        <v>12300000</v>
      </c>
      <c r="BA112" s="16">
        <f t="shared" si="77"/>
        <v>12300000</v>
      </c>
      <c r="BB112" s="16">
        <f t="shared" si="78"/>
        <v>12300000</v>
      </c>
      <c r="BC112" s="16">
        <f t="shared" si="79"/>
        <v>12300000</v>
      </c>
    </row>
    <row r="113" spans="15:55" x14ac:dyDescent="0.15">
      <c r="O113" s="23"/>
      <c r="P113" s="16">
        <v>110</v>
      </c>
      <c r="Q113" s="16">
        <f t="shared" si="60"/>
        <v>2935050000.0000005</v>
      </c>
      <c r="R113" s="16">
        <f t="shared" si="61"/>
        <v>2935050000.000001</v>
      </c>
      <c r="S113" s="16">
        <f t="shared" si="62"/>
        <v>2935050000.000001</v>
      </c>
      <c r="T113" s="16">
        <f t="shared" si="63"/>
        <v>2935050000.0000019</v>
      </c>
      <c r="U113" s="16">
        <f t="shared" si="64"/>
        <v>2935049999.999999</v>
      </c>
      <c r="AN113" s="16">
        <v>110</v>
      </c>
      <c r="AO113" s="16">
        <f t="shared" si="65"/>
        <v>22950000</v>
      </c>
      <c r="AP113" s="16">
        <f t="shared" si="66"/>
        <v>22950000</v>
      </c>
      <c r="AQ113" s="16">
        <f t="shared" si="67"/>
        <v>22950000</v>
      </c>
      <c r="AR113" s="16">
        <f t="shared" si="68"/>
        <v>22950000</v>
      </c>
      <c r="AS113" s="16">
        <f t="shared" si="69"/>
        <v>22950000</v>
      </c>
      <c r="AT113" s="16">
        <f t="shared" si="70"/>
        <v>2899800000.0000005</v>
      </c>
      <c r="AU113" s="16">
        <f t="shared" si="71"/>
        <v>2899800000.000001</v>
      </c>
      <c r="AV113" s="16">
        <f t="shared" si="72"/>
        <v>2899800000.000001</v>
      </c>
      <c r="AW113" s="16">
        <f t="shared" si="73"/>
        <v>2899800000.0000019</v>
      </c>
      <c r="AX113" s="16">
        <f t="shared" si="74"/>
        <v>2899799999.999999</v>
      </c>
      <c r="AY113" s="16">
        <f t="shared" si="75"/>
        <v>12300000</v>
      </c>
      <c r="AZ113" s="16">
        <f t="shared" si="76"/>
        <v>12300000</v>
      </c>
      <c r="BA113" s="16">
        <f t="shared" si="77"/>
        <v>12300000</v>
      </c>
      <c r="BB113" s="16">
        <f t="shared" si="78"/>
        <v>12300000</v>
      </c>
      <c r="BC113" s="16">
        <f t="shared" si="79"/>
        <v>12300000</v>
      </c>
    </row>
    <row r="114" spans="15:55" x14ac:dyDescent="0.15">
      <c r="O114" s="23"/>
      <c r="P114" s="16">
        <v>111</v>
      </c>
      <c r="Q114" s="16">
        <f t="shared" si="60"/>
        <v>3176970000</v>
      </c>
      <c r="R114" s="16">
        <f t="shared" si="61"/>
        <v>3176970000.0000014</v>
      </c>
      <c r="S114" s="16">
        <f t="shared" si="62"/>
        <v>3176970000.0000005</v>
      </c>
      <c r="T114" s="16">
        <f t="shared" si="63"/>
        <v>3176970000.0000019</v>
      </c>
      <c r="U114" s="16">
        <f t="shared" si="64"/>
        <v>3176969999.9999986</v>
      </c>
      <c r="AN114" s="16">
        <v>111</v>
      </c>
      <c r="AO114" s="16">
        <f t="shared" si="65"/>
        <v>22950000</v>
      </c>
      <c r="AP114" s="16">
        <f t="shared" si="66"/>
        <v>22950000</v>
      </c>
      <c r="AQ114" s="16">
        <f t="shared" si="67"/>
        <v>22950000</v>
      </c>
      <c r="AR114" s="16">
        <f t="shared" si="68"/>
        <v>22950000</v>
      </c>
      <c r="AS114" s="16">
        <f t="shared" si="69"/>
        <v>22950000</v>
      </c>
      <c r="AT114" s="16">
        <f t="shared" si="70"/>
        <v>3141720000</v>
      </c>
      <c r="AU114" s="16">
        <f t="shared" si="71"/>
        <v>3141720000.0000014</v>
      </c>
      <c r="AV114" s="16">
        <f t="shared" si="72"/>
        <v>3141720000.0000005</v>
      </c>
      <c r="AW114" s="16">
        <f t="shared" si="73"/>
        <v>3141720000.0000019</v>
      </c>
      <c r="AX114" s="16">
        <f t="shared" si="74"/>
        <v>3141719999.9999986</v>
      </c>
      <c r="AY114" s="16">
        <f t="shared" si="75"/>
        <v>12300000</v>
      </c>
      <c r="AZ114" s="16">
        <f t="shared" si="76"/>
        <v>12300000</v>
      </c>
      <c r="BA114" s="16">
        <f t="shared" si="77"/>
        <v>12300000</v>
      </c>
      <c r="BB114" s="16">
        <f t="shared" si="78"/>
        <v>12300000</v>
      </c>
      <c r="BC114" s="16">
        <f t="shared" si="79"/>
        <v>12300000</v>
      </c>
    </row>
    <row r="115" spans="15:55" x14ac:dyDescent="0.15">
      <c r="O115" s="23"/>
      <c r="P115" s="16">
        <v>112</v>
      </c>
      <c r="Q115" s="16">
        <f t="shared" si="60"/>
        <v>3418890000.0000005</v>
      </c>
      <c r="R115" s="16">
        <f t="shared" si="61"/>
        <v>3418890000.0000005</v>
      </c>
      <c r="S115" s="16">
        <f t="shared" si="62"/>
        <v>3418890000.0000005</v>
      </c>
      <c r="T115" s="16">
        <f t="shared" si="63"/>
        <v>3418890000.0000019</v>
      </c>
      <c r="U115" s="16">
        <f t="shared" si="64"/>
        <v>3418889999.9999981</v>
      </c>
      <c r="AN115" s="16">
        <v>112</v>
      </c>
      <c r="AO115" s="16">
        <f t="shared" si="65"/>
        <v>22950000</v>
      </c>
      <c r="AP115" s="16">
        <f t="shared" si="66"/>
        <v>22950000</v>
      </c>
      <c r="AQ115" s="16">
        <f t="shared" si="67"/>
        <v>22950000</v>
      </c>
      <c r="AR115" s="16">
        <f t="shared" si="68"/>
        <v>22950000</v>
      </c>
      <c r="AS115" s="16">
        <f t="shared" si="69"/>
        <v>22950000</v>
      </c>
      <c r="AT115" s="16">
        <f t="shared" si="70"/>
        <v>3383640000.0000005</v>
      </c>
      <c r="AU115" s="16">
        <f t="shared" si="71"/>
        <v>3383640000.0000005</v>
      </c>
      <c r="AV115" s="16">
        <f t="shared" si="72"/>
        <v>3383640000.0000005</v>
      </c>
      <c r="AW115" s="16">
        <f t="shared" si="73"/>
        <v>3383640000.0000019</v>
      </c>
      <c r="AX115" s="16">
        <f t="shared" si="74"/>
        <v>3383639999.9999981</v>
      </c>
      <c r="AY115" s="16">
        <f t="shared" si="75"/>
        <v>12300000</v>
      </c>
      <c r="AZ115" s="16">
        <f t="shared" si="76"/>
        <v>12300000</v>
      </c>
      <c r="BA115" s="16">
        <f t="shared" si="77"/>
        <v>12300000</v>
      </c>
      <c r="BB115" s="16">
        <f t="shared" si="78"/>
        <v>12300000</v>
      </c>
      <c r="BC115" s="16">
        <f t="shared" si="79"/>
        <v>12300000</v>
      </c>
    </row>
    <row r="116" spans="15:55" x14ac:dyDescent="0.15">
      <c r="O116" s="23"/>
      <c r="P116" s="16">
        <v>113</v>
      </c>
      <c r="Q116" s="16">
        <f t="shared" si="60"/>
        <v>3660810000.000001</v>
      </c>
      <c r="R116" s="16">
        <f t="shared" si="61"/>
        <v>3660810000</v>
      </c>
      <c r="S116" s="16">
        <f t="shared" si="62"/>
        <v>3660810000.0000005</v>
      </c>
      <c r="T116" s="16">
        <f t="shared" si="63"/>
        <v>3660810000.0000019</v>
      </c>
      <c r="U116" s="16">
        <f t="shared" si="64"/>
        <v>3660809999.9999981</v>
      </c>
      <c r="AN116" s="16">
        <v>113</v>
      </c>
      <c r="AO116" s="16">
        <f t="shared" si="65"/>
        <v>22950000</v>
      </c>
      <c r="AP116" s="16">
        <f t="shared" si="66"/>
        <v>22950000</v>
      </c>
      <c r="AQ116" s="16">
        <f t="shared" si="67"/>
        <v>22950000</v>
      </c>
      <c r="AR116" s="16">
        <f t="shared" si="68"/>
        <v>22950000</v>
      </c>
      <c r="AS116" s="16">
        <f t="shared" si="69"/>
        <v>22950000</v>
      </c>
      <c r="AT116" s="16">
        <f t="shared" si="70"/>
        <v>3625560000.000001</v>
      </c>
      <c r="AU116" s="16">
        <f t="shared" si="71"/>
        <v>3625560000</v>
      </c>
      <c r="AV116" s="16">
        <f t="shared" si="72"/>
        <v>3625560000.0000005</v>
      </c>
      <c r="AW116" s="16">
        <f t="shared" si="73"/>
        <v>3625560000.0000019</v>
      </c>
      <c r="AX116" s="16">
        <f t="shared" si="74"/>
        <v>3625559999.9999981</v>
      </c>
      <c r="AY116" s="16">
        <f t="shared" si="75"/>
        <v>12300000</v>
      </c>
      <c r="AZ116" s="16">
        <f t="shared" si="76"/>
        <v>12300000</v>
      </c>
      <c r="BA116" s="16">
        <f t="shared" si="77"/>
        <v>12300000</v>
      </c>
      <c r="BB116" s="16">
        <f t="shared" si="78"/>
        <v>12300000</v>
      </c>
      <c r="BC116" s="16">
        <f t="shared" si="79"/>
        <v>12300000</v>
      </c>
    </row>
    <row r="117" spans="15:55" x14ac:dyDescent="0.15">
      <c r="O117" s="23"/>
      <c r="P117" s="16">
        <v>114</v>
      </c>
      <c r="Q117" s="16">
        <f t="shared" si="60"/>
        <v>3902730000.0000019</v>
      </c>
      <c r="R117" s="16">
        <f t="shared" si="61"/>
        <v>3902729999.9999995</v>
      </c>
      <c r="S117" s="16">
        <f t="shared" si="62"/>
        <v>3902730000.000001</v>
      </c>
      <c r="T117" s="16">
        <f t="shared" si="63"/>
        <v>3902730000.0000014</v>
      </c>
      <c r="U117" s="16">
        <f t="shared" si="64"/>
        <v>3902729999.9999981</v>
      </c>
      <c r="AN117" s="16">
        <v>114</v>
      </c>
      <c r="AO117" s="16">
        <f t="shared" si="65"/>
        <v>22950000</v>
      </c>
      <c r="AP117" s="16">
        <f t="shared" si="66"/>
        <v>22950000</v>
      </c>
      <c r="AQ117" s="16">
        <f t="shared" si="67"/>
        <v>22950000</v>
      </c>
      <c r="AR117" s="16">
        <f t="shared" si="68"/>
        <v>22950000</v>
      </c>
      <c r="AS117" s="16">
        <f t="shared" si="69"/>
        <v>22950000</v>
      </c>
      <c r="AT117" s="16">
        <f t="shared" si="70"/>
        <v>3867480000.0000019</v>
      </c>
      <c r="AU117" s="16">
        <f t="shared" si="71"/>
        <v>3867479999.9999995</v>
      </c>
      <c r="AV117" s="16">
        <f t="shared" si="72"/>
        <v>3867480000.000001</v>
      </c>
      <c r="AW117" s="16">
        <f t="shared" si="73"/>
        <v>3867480000.0000014</v>
      </c>
      <c r="AX117" s="16">
        <f t="shared" si="74"/>
        <v>3867479999.9999981</v>
      </c>
      <c r="AY117" s="16">
        <f t="shared" si="75"/>
        <v>12300000</v>
      </c>
      <c r="AZ117" s="16">
        <f t="shared" si="76"/>
        <v>12300000</v>
      </c>
      <c r="BA117" s="16">
        <f t="shared" si="77"/>
        <v>12300000</v>
      </c>
      <c r="BB117" s="16">
        <f t="shared" si="78"/>
        <v>12300000</v>
      </c>
      <c r="BC117" s="16">
        <f t="shared" si="79"/>
        <v>12300000</v>
      </c>
    </row>
    <row r="118" spans="15:55" x14ac:dyDescent="0.15">
      <c r="O118" s="23"/>
      <c r="P118" s="16">
        <v>115</v>
      </c>
      <c r="Q118" s="16">
        <f t="shared" si="60"/>
        <v>4144650000.0000019</v>
      </c>
      <c r="R118" s="16">
        <f t="shared" si="61"/>
        <v>4144649999.999999</v>
      </c>
      <c r="S118" s="16">
        <f t="shared" si="62"/>
        <v>4144650000.000001</v>
      </c>
      <c r="T118" s="16">
        <f t="shared" si="63"/>
        <v>4144650000.000001</v>
      </c>
      <c r="U118" s="16">
        <f t="shared" si="64"/>
        <v>4144649999.9999981</v>
      </c>
      <c r="AN118" s="16">
        <v>115</v>
      </c>
      <c r="AO118" s="16">
        <f t="shared" si="65"/>
        <v>22950000</v>
      </c>
      <c r="AP118" s="16">
        <f t="shared" si="66"/>
        <v>22950000</v>
      </c>
      <c r="AQ118" s="16">
        <f t="shared" si="67"/>
        <v>22950000</v>
      </c>
      <c r="AR118" s="16">
        <f t="shared" si="68"/>
        <v>22950000</v>
      </c>
      <c r="AS118" s="16">
        <f t="shared" si="69"/>
        <v>22950000</v>
      </c>
      <c r="AT118" s="16">
        <f t="shared" si="70"/>
        <v>4109400000.0000019</v>
      </c>
      <c r="AU118" s="16">
        <f t="shared" si="71"/>
        <v>4109399999.999999</v>
      </c>
      <c r="AV118" s="16">
        <f t="shared" si="72"/>
        <v>4109400000.000001</v>
      </c>
      <c r="AW118" s="16">
        <f t="shared" si="73"/>
        <v>4109400000.000001</v>
      </c>
      <c r="AX118" s="16">
        <f t="shared" si="74"/>
        <v>4109399999.9999981</v>
      </c>
      <c r="AY118" s="16">
        <f t="shared" si="75"/>
        <v>12300000</v>
      </c>
      <c r="AZ118" s="16">
        <f t="shared" si="76"/>
        <v>12300000</v>
      </c>
      <c r="BA118" s="16">
        <f t="shared" si="77"/>
        <v>12300000</v>
      </c>
      <c r="BB118" s="16">
        <f t="shared" si="78"/>
        <v>12300000</v>
      </c>
      <c r="BC118" s="16">
        <f t="shared" si="79"/>
        <v>12300000</v>
      </c>
    </row>
    <row r="119" spans="15:55" x14ac:dyDescent="0.15">
      <c r="O119" s="23"/>
      <c r="P119" s="16">
        <v>116</v>
      </c>
      <c r="Q119" s="16">
        <f t="shared" si="60"/>
        <v>4386570000.000001</v>
      </c>
      <c r="R119" s="16">
        <f t="shared" si="61"/>
        <v>4386570000</v>
      </c>
      <c r="S119" s="16">
        <f t="shared" si="62"/>
        <v>4386570000</v>
      </c>
      <c r="T119" s="16">
        <f t="shared" si="63"/>
        <v>4386570000.000001</v>
      </c>
      <c r="U119" s="16">
        <f t="shared" si="64"/>
        <v>4386569999.999999</v>
      </c>
      <c r="AN119" s="16">
        <v>116</v>
      </c>
      <c r="AO119" s="16">
        <f t="shared" si="65"/>
        <v>22950000</v>
      </c>
      <c r="AP119" s="16">
        <f t="shared" si="66"/>
        <v>22950000</v>
      </c>
      <c r="AQ119" s="16">
        <f t="shared" si="67"/>
        <v>22950000</v>
      </c>
      <c r="AR119" s="16">
        <f t="shared" si="68"/>
        <v>22950000</v>
      </c>
      <c r="AS119" s="16">
        <f t="shared" si="69"/>
        <v>22950000</v>
      </c>
      <c r="AT119" s="16">
        <f t="shared" si="70"/>
        <v>4351320000.000001</v>
      </c>
      <c r="AU119" s="16">
        <f t="shared" si="71"/>
        <v>4351320000</v>
      </c>
      <c r="AV119" s="16">
        <f t="shared" si="72"/>
        <v>4351320000</v>
      </c>
      <c r="AW119" s="16">
        <f t="shared" si="73"/>
        <v>4351320000.000001</v>
      </c>
      <c r="AX119" s="16">
        <f t="shared" si="74"/>
        <v>4351319999.999999</v>
      </c>
      <c r="AY119" s="16">
        <f t="shared" si="75"/>
        <v>12300000</v>
      </c>
      <c r="AZ119" s="16">
        <f t="shared" si="76"/>
        <v>12300000</v>
      </c>
      <c r="BA119" s="16">
        <f t="shared" si="77"/>
        <v>12300000</v>
      </c>
      <c r="BB119" s="16">
        <f t="shared" si="78"/>
        <v>12300000</v>
      </c>
      <c r="BC119" s="16">
        <f t="shared" si="79"/>
        <v>12300000</v>
      </c>
    </row>
    <row r="120" spans="15:55" x14ac:dyDescent="0.15">
      <c r="O120" s="23"/>
      <c r="P120" s="16">
        <v>117</v>
      </c>
      <c r="Q120" s="16">
        <f t="shared" si="60"/>
        <v>4628490000</v>
      </c>
      <c r="R120" s="16">
        <f t="shared" si="61"/>
        <v>4628490000</v>
      </c>
      <c r="S120" s="16">
        <f t="shared" si="62"/>
        <v>4628490000</v>
      </c>
      <c r="T120" s="16">
        <f t="shared" si="63"/>
        <v>4628490000.000001</v>
      </c>
      <c r="U120" s="16">
        <f t="shared" si="64"/>
        <v>4628490000</v>
      </c>
      <c r="AN120" s="16">
        <v>117</v>
      </c>
      <c r="AO120" s="16">
        <f t="shared" si="65"/>
        <v>22950000</v>
      </c>
      <c r="AP120" s="16">
        <f t="shared" si="66"/>
        <v>22950000</v>
      </c>
      <c r="AQ120" s="16">
        <f t="shared" si="67"/>
        <v>22950000</v>
      </c>
      <c r="AR120" s="16">
        <f t="shared" si="68"/>
        <v>22950000</v>
      </c>
      <c r="AS120" s="16">
        <f t="shared" si="69"/>
        <v>22950000</v>
      </c>
      <c r="AT120" s="16">
        <f t="shared" si="70"/>
        <v>4593240000</v>
      </c>
      <c r="AU120" s="16">
        <f t="shared" si="71"/>
        <v>4593240000</v>
      </c>
      <c r="AV120" s="16">
        <f t="shared" si="72"/>
        <v>4593240000</v>
      </c>
      <c r="AW120" s="16">
        <f t="shared" si="73"/>
        <v>4593240000.000001</v>
      </c>
      <c r="AX120" s="16">
        <f t="shared" si="74"/>
        <v>4593240000</v>
      </c>
      <c r="AY120" s="16">
        <f t="shared" si="75"/>
        <v>12300000</v>
      </c>
      <c r="AZ120" s="16">
        <f t="shared" si="76"/>
        <v>12300000</v>
      </c>
      <c r="BA120" s="16">
        <f t="shared" si="77"/>
        <v>12300000</v>
      </c>
      <c r="BB120" s="16">
        <f t="shared" si="78"/>
        <v>12300000</v>
      </c>
      <c r="BC120" s="16">
        <f t="shared" si="79"/>
        <v>12300000</v>
      </c>
    </row>
    <row r="121" spans="15:55" x14ac:dyDescent="0.15">
      <c r="O121" s="23"/>
      <c r="P121" s="16">
        <v>118</v>
      </c>
      <c r="Q121" s="16">
        <f t="shared" si="60"/>
        <v>4870410000</v>
      </c>
      <c r="R121" s="16">
        <f t="shared" si="61"/>
        <v>4870410000</v>
      </c>
      <c r="S121" s="16">
        <f t="shared" si="62"/>
        <v>4870409999.999999</v>
      </c>
      <c r="T121" s="16">
        <f t="shared" si="63"/>
        <v>4870410000.000001</v>
      </c>
      <c r="U121" s="16">
        <f t="shared" si="64"/>
        <v>4870410000.000001</v>
      </c>
      <c r="AN121" s="16">
        <v>118</v>
      </c>
      <c r="AO121" s="16">
        <f t="shared" si="65"/>
        <v>22950000</v>
      </c>
      <c r="AP121" s="16">
        <f t="shared" si="66"/>
        <v>22950000</v>
      </c>
      <c r="AQ121" s="16">
        <f t="shared" si="67"/>
        <v>22950000</v>
      </c>
      <c r="AR121" s="16">
        <f t="shared" si="68"/>
        <v>22950000</v>
      </c>
      <c r="AS121" s="16">
        <f t="shared" si="69"/>
        <v>22950000</v>
      </c>
      <c r="AT121" s="16">
        <f t="shared" si="70"/>
        <v>4835160000</v>
      </c>
      <c r="AU121" s="16">
        <f t="shared" si="71"/>
        <v>4835160000</v>
      </c>
      <c r="AV121" s="16">
        <f t="shared" si="72"/>
        <v>4835159999.999999</v>
      </c>
      <c r="AW121" s="16">
        <f t="shared" si="73"/>
        <v>4835160000.000001</v>
      </c>
      <c r="AX121" s="16">
        <f t="shared" si="74"/>
        <v>4835160000.000001</v>
      </c>
      <c r="AY121" s="16">
        <f t="shared" si="75"/>
        <v>12300000</v>
      </c>
      <c r="AZ121" s="16">
        <f t="shared" si="76"/>
        <v>12300000</v>
      </c>
      <c r="BA121" s="16">
        <f t="shared" si="77"/>
        <v>12300000</v>
      </c>
      <c r="BB121" s="16">
        <f t="shared" si="78"/>
        <v>12300000</v>
      </c>
      <c r="BC121" s="16">
        <f t="shared" si="79"/>
        <v>12300000</v>
      </c>
    </row>
    <row r="122" spans="15:55" x14ac:dyDescent="0.15">
      <c r="O122" s="23"/>
      <c r="P122" s="16">
        <v>119</v>
      </c>
      <c r="Q122" s="16">
        <f t="shared" si="60"/>
        <v>5112329999.999999</v>
      </c>
      <c r="R122" s="16">
        <f t="shared" si="61"/>
        <v>5112330000</v>
      </c>
      <c r="S122" s="16">
        <f t="shared" si="62"/>
        <v>5112329999.999999</v>
      </c>
      <c r="T122" s="16">
        <f t="shared" si="63"/>
        <v>5112330000.000001</v>
      </c>
      <c r="U122" s="16">
        <f t="shared" si="64"/>
        <v>5112330000.0000019</v>
      </c>
      <c r="AN122" s="16">
        <v>119</v>
      </c>
      <c r="AO122" s="16">
        <f t="shared" si="65"/>
        <v>22950000</v>
      </c>
      <c r="AP122" s="16">
        <f t="shared" si="66"/>
        <v>22950000</v>
      </c>
      <c r="AQ122" s="16">
        <f t="shared" si="67"/>
        <v>22950000</v>
      </c>
      <c r="AR122" s="16">
        <f t="shared" si="68"/>
        <v>22950000</v>
      </c>
      <c r="AS122" s="16">
        <f t="shared" si="69"/>
        <v>22950000</v>
      </c>
      <c r="AT122" s="16">
        <f t="shared" si="70"/>
        <v>5077079999.999999</v>
      </c>
      <c r="AU122" s="16">
        <f t="shared" si="71"/>
        <v>5077080000</v>
      </c>
      <c r="AV122" s="16">
        <f t="shared" si="72"/>
        <v>5077079999.999999</v>
      </c>
      <c r="AW122" s="16">
        <f t="shared" si="73"/>
        <v>5077080000.000001</v>
      </c>
      <c r="AX122" s="16">
        <f t="shared" si="74"/>
        <v>5077080000.0000019</v>
      </c>
      <c r="AY122" s="16">
        <f t="shared" si="75"/>
        <v>12300000</v>
      </c>
      <c r="AZ122" s="16">
        <f t="shared" si="76"/>
        <v>12300000</v>
      </c>
      <c r="BA122" s="16">
        <f t="shared" si="77"/>
        <v>12300000</v>
      </c>
      <c r="BB122" s="16">
        <f t="shared" si="78"/>
        <v>12300000</v>
      </c>
      <c r="BC122" s="16">
        <f t="shared" si="79"/>
        <v>12300000</v>
      </c>
    </row>
    <row r="123" spans="15:55" x14ac:dyDescent="0.15">
      <c r="O123" s="23"/>
      <c r="P123" s="16">
        <v>120</v>
      </c>
      <c r="Q123" s="16">
        <f t="shared" si="60"/>
        <v>5354249999.999999</v>
      </c>
      <c r="R123" s="16">
        <f t="shared" si="61"/>
        <v>5354250000</v>
      </c>
      <c r="S123" s="16">
        <f t="shared" si="62"/>
        <v>5354250000</v>
      </c>
      <c r="T123" s="16">
        <f t="shared" si="63"/>
        <v>5354250000.000001</v>
      </c>
      <c r="U123" s="16">
        <f t="shared" si="64"/>
        <v>5354250000.000001</v>
      </c>
      <c r="AN123" s="16">
        <v>120</v>
      </c>
      <c r="AO123" s="16">
        <f t="shared" si="65"/>
        <v>22950000</v>
      </c>
      <c r="AP123" s="16">
        <f t="shared" si="66"/>
        <v>22950000</v>
      </c>
      <c r="AQ123" s="16">
        <f t="shared" si="67"/>
        <v>22950000</v>
      </c>
      <c r="AR123" s="16">
        <f t="shared" si="68"/>
        <v>22950000</v>
      </c>
      <c r="AS123" s="16">
        <f t="shared" si="69"/>
        <v>22950000</v>
      </c>
      <c r="AT123" s="16">
        <f t="shared" si="70"/>
        <v>5318999999.999999</v>
      </c>
      <c r="AU123" s="16">
        <f t="shared" si="71"/>
        <v>5319000000</v>
      </c>
      <c r="AV123" s="16">
        <f t="shared" si="72"/>
        <v>5319000000</v>
      </c>
      <c r="AW123" s="16">
        <f t="shared" si="73"/>
        <v>5319000000.000001</v>
      </c>
      <c r="AX123" s="16">
        <f t="shared" si="74"/>
        <v>5319000000.000001</v>
      </c>
      <c r="AY123" s="16">
        <f t="shared" si="75"/>
        <v>12300000</v>
      </c>
      <c r="AZ123" s="16">
        <f t="shared" si="76"/>
        <v>12300000</v>
      </c>
      <c r="BA123" s="16">
        <f t="shared" si="77"/>
        <v>12300000</v>
      </c>
      <c r="BB123" s="16">
        <f t="shared" si="78"/>
        <v>12300000</v>
      </c>
      <c r="BC123" s="16">
        <f t="shared" si="79"/>
        <v>12300000</v>
      </c>
    </row>
    <row r="124" spans="15:55" x14ac:dyDescent="0.15">
      <c r="O124" s="23"/>
      <c r="P124" s="16">
        <v>121</v>
      </c>
      <c r="Q124" s="16">
        <f t="shared" si="60"/>
        <v>5596169999.9999981</v>
      </c>
      <c r="R124" s="16">
        <f t="shared" si="61"/>
        <v>5596170000</v>
      </c>
      <c r="S124" s="16">
        <f t="shared" si="62"/>
        <v>5596170000</v>
      </c>
      <c r="T124" s="16">
        <f t="shared" si="63"/>
        <v>5596170000</v>
      </c>
      <c r="U124" s="16">
        <f t="shared" si="64"/>
        <v>5596170000</v>
      </c>
      <c r="AN124" s="16">
        <v>121</v>
      </c>
      <c r="AO124" s="16">
        <f t="shared" si="65"/>
        <v>22950000</v>
      </c>
      <c r="AP124" s="16">
        <f t="shared" si="66"/>
        <v>22950000</v>
      </c>
      <c r="AQ124" s="16">
        <f t="shared" si="67"/>
        <v>22950000</v>
      </c>
      <c r="AR124" s="16">
        <f t="shared" si="68"/>
        <v>22950000</v>
      </c>
      <c r="AS124" s="16">
        <f t="shared" si="69"/>
        <v>22950000</v>
      </c>
      <c r="AT124" s="16">
        <f t="shared" si="70"/>
        <v>5560919999.9999981</v>
      </c>
      <c r="AU124" s="16">
        <f t="shared" si="71"/>
        <v>5560920000</v>
      </c>
      <c r="AV124" s="16">
        <f t="shared" si="72"/>
        <v>5560920000</v>
      </c>
      <c r="AW124" s="16">
        <f t="shared" si="73"/>
        <v>5560920000</v>
      </c>
      <c r="AX124" s="16">
        <f t="shared" si="74"/>
        <v>5560920000</v>
      </c>
      <c r="AY124" s="16">
        <f t="shared" si="75"/>
        <v>12300000</v>
      </c>
      <c r="AZ124" s="16">
        <f t="shared" si="76"/>
        <v>12300000</v>
      </c>
      <c r="BA124" s="16">
        <f t="shared" si="77"/>
        <v>12300000</v>
      </c>
      <c r="BB124" s="16">
        <f t="shared" si="78"/>
        <v>12300000</v>
      </c>
      <c r="BC124" s="16">
        <f t="shared" si="79"/>
        <v>12300000</v>
      </c>
    </row>
    <row r="125" spans="15:55" x14ac:dyDescent="0.15">
      <c r="O125" s="23"/>
      <c r="P125" s="16">
        <v>122</v>
      </c>
      <c r="Q125" s="16">
        <f t="shared" si="60"/>
        <v>5837372817.472558</v>
      </c>
      <c r="R125" s="16">
        <f t="shared" si="61"/>
        <v>5837017234.5920982</v>
      </c>
      <c r="S125" s="16">
        <f t="shared" si="62"/>
        <v>5837269112.0811691</v>
      </c>
      <c r="T125" s="16">
        <f t="shared" si="63"/>
        <v>5837857682.9565601</v>
      </c>
      <c r="U125" s="16">
        <f t="shared" si="64"/>
        <v>5838089999.999999</v>
      </c>
      <c r="AN125" s="16">
        <v>122</v>
      </c>
      <c r="AO125" s="16">
        <f t="shared" si="65"/>
        <v>22950000</v>
      </c>
      <c r="AP125" s="16">
        <f t="shared" si="66"/>
        <v>22950000</v>
      </c>
      <c r="AQ125" s="16">
        <f t="shared" si="67"/>
        <v>22950000</v>
      </c>
      <c r="AR125" s="16">
        <f t="shared" si="68"/>
        <v>22950000</v>
      </c>
      <c r="AS125" s="16">
        <f t="shared" si="69"/>
        <v>22950000</v>
      </c>
      <c r="AT125" s="16">
        <f t="shared" si="70"/>
        <v>5802122817.472558</v>
      </c>
      <c r="AU125" s="16">
        <f t="shared" si="71"/>
        <v>5801767234.5920982</v>
      </c>
      <c r="AV125" s="16">
        <f t="shared" si="72"/>
        <v>5802019112.0811691</v>
      </c>
      <c r="AW125" s="16">
        <f t="shared" si="73"/>
        <v>5802607682.9565601</v>
      </c>
      <c r="AX125" s="16">
        <f t="shared" si="74"/>
        <v>5802839999.999999</v>
      </c>
      <c r="AY125" s="16">
        <f t="shared" si="75"/>
        <v>12300000</v>
      </c>
      <c r="AZ125" s="16">
        <f t="shared" si="76"/>
        <v>12300000</v>
      </c>
      <c r="BA125" s="16">
        <f t="shared" si="77"/>
        <v>12300000</v>
      </c>
      <c r="BB125" s="16">
        <f t="shared" si="78"/>
        <v>12300000</v>
      </c>
      <c r="BC125" s="16">
        <f t="shared" si="79"/>
        <v>12300000</v>
      </c>
    </row>
    <row r="126" spans="15:55" x14ac:dyDescent="0.15">
      <c r="P126" s="16">
        <v>123</v>
      </c>
      <c r="Q126" s="16">
        <f t="shared" si="60"/>
        <v>6077915508.3025398</v>
      </c>
      <c r="R126" s="16">
        <f t="shared" si="61"/>
        <v>6076816646.7712774</v>
      </c>
      <c r="S126" s="16">
        <f t="shared" si="62"/>
        <v>6049748816.3636751</v>
      </c>
      <c r="T126" s="16">
        <f t="shared" si="63"/>
        <v>6048977727.3041477</v>
      </c>
      <c r="U126" s="16">
        <f t="shared" si="64"/>
        <v>6037912678.0471649</v>
      </c>
      <c r="AN126" s="16">
        <v>123</v>
      </c>
      <c r="AO126" s="16">
        <f t="shared" si="65"/>
        <v>22950000</v>
      </c>
      <c r="AP126" s="16">
        <f t="shared" si="66"/>
        <v>22950000</v>
      </c>
      <c r="AQ126" s="16">
        <f t="shared" si="67"/>
        <v>22950000</v>
      </c>
      <c r="AR126" s="16">
        <f t="shared" si="68"/>
        <v>22950000</v>
      </c>
      <c r="AS126" s="16">
        <f t="shared" si="69"/>
        <v>22950000</v>
      </c>
      <c r="AT126" s="16">
        <f t="shared" si="70"/>
        <v>6042665508.3025398</v>
      </c>
      <c r="AU126" s="16">
        <f t="shared" si="71"/>
        <v>6041566646.7712774</v>
      </c>
      <c r="AV126" s="16">
        <f t="shared" si="72"/>
        <v>6014498816.3636751</v>
      </c>
      <c r="AW126" s="16">
        <f t="shared" si="73"/>
        <v>6013727727.3041477</v>
      </c>
      <c r="AX126" s="16">
        <f t="shared" si="74"/>
        <v>6002662678.0471649</v>
      </c>
      <c r="AY126" s="16">
        <f t="shared" si="75"/>
        <v>12300000</v>
      </c>
      <c r="AZ126" s="16">
        <f t="shared" si="76"/>
        <v>12300000</v>
      </c>
      <c r="BA126" s="16">
        <f t="shared" si="77"/>
        <v>12300000</v>
      </c>
      <c r="BB126" s="16">
        <f t="shared" si="78"/>
        <v>12300000</v>
      </c>
      <c r="BC126" s="16">
        <f t="shared" si="79"/>
        <v>12300000</v>
      </c>
    </row>
    <row r="127" spans="15:55" x14ac:dyDescent="0.15">
      <c r="P127" s="16">
        <v>124</v>
      </c>
      <c r="Q127" s="16">
        <f t="shared" si="60"/>
        <v>6318458199.1325226</v>
      </c>
      <c r="R127" s="16">
        <f t="shared" si="61"/>
        <v>6316616058.9504566</v>
      </c>
      <c r="S127" s="16">
        <f t="shared" si="62"/>
        <v>6262228520.6461811</v>
      </c>
      <c r="T127" s="16">
        <f t="shared" si="63"/>
        <v>6260097771.6517353</v>
      </c>
      <c r="U127" s="16">
        <f t="shared" si="64"/>
        <v>6222545971.4117393</v>
      </c>
      <c r="AN127" s="16">
        <v>124</v>
      </c>
      <c r="AO127" s="16">
        <f t="shared" si="65"/>
        <v>22950000</v>
      </c>
      <c r="AP127" s="16">
        <f t="shared" si="66"/>
        <v>22950000</v>
      </c>
      <c r="AQ127" s="16">
        <f t="shared" si="67"/>
        <v>22950000</v>
      </c>
      <c r="AR127" s="16">
        <f t="shared" si="68"/>
        <v>22950000</v>
      </c>
      <c r="AS127" s="16">
        <f t="shared" si="69"/>
        <v>22950000</v>
      </c>
      <c r="AT127" s="16">
        <f t="shared" si="70"/>
        <v>6283208199.1325226</v>
      </c>
      <c r="AU127" s="16">
        <f t="shared" si="71"/>
        <v>6281366058.9504566</v>
      </c>
      <c r="AV127" s="16">
        <f t="shared" si="72"/>
        <v>6226978520.6461811</v>
      </c>
      <c r="AW127" s="16">
        <f t="shared" si="73"/>
        <v>6224847771.6517353</v>
      </c>
      <c r="AX127" s="16">
        <f t="shared" si="74"/>
        <v>6187295971.4117393</v>
      </c>
      <c r="AY127" s="16">
        <f t="shared" si="75"/>
        <v>12300000</v>
      </c>
      <c r="AZ127" s="16">
        <f t="shared" si="76"/>
        <v>12300000</v>
      </c>
      <c r="BA127" s="16">
        <f t="shared" si="77"/>
        <v>12300000</v>
      </c>
      <c r="BB127" s="16">
        <f t="shared" si="78"/>
        <v>12300000</v>
      </c>
      <c r="BC127" s="16">
        <f t="shared" si="79"/>
        <v>12300000</v>
      </c>
    </row>
    <row r="128" spans="15:55" x14ac:dyDescent="0.15">
      <c r="P128" s="16">
        <v>125</v>
      </c>
      <c r="Q128" s="16">
        <f t="shared" si="60"/>
        <v>6559000889.9625044</v>
      </c>
      <c r="R128" s="16">
        <f t="shared" si="61"/>
        <v>6556415471.1296368</v>
      </c>
      <c r="S128" s="16">
        <f t="shared" si="62"/>
        <v>6474708224.9286871</v>
      </c>
      <c r="T128" s="16">
        <f t="shared" si="63"/>
        <v>6471217815.9993229</v>
      </c>
      <c r="U128" s="16">
        <f t="shared" si="64"/>
        <v>6407179264.7763138</v>
      </c>
      <c r="AN128" s="16">
        <v>125</v>
      </c>
      <c r="AO128" s="16">
        <f t="shared" si="65"/>
        <v>22950000</v>
      </c>
      <c r="AP128" s="16">
        <f t="shared" si="66"/>
        <v>22950000</v>
      </c>
      <c r="AQ128" s="16">
        <f t="shared" si="67"/>
        <v>22950000</v>
      </c>
      <c r="AR128" s="16">
        <f t="shared" si="68"/>
        <v>22950000</v>
      </c>
      <c r="AS128" s="16">
        <f t="shared" si="69"/>
        <v>22950000</v>
      </c>
      <c r="AT128" s="16">
        <f t="shared" si="70"/>
        <v>6523750889.9625044</v>
      </c>
      <c r="AU128" s="16">
        <f t="shared" si="71"/>
        <v>6521165471.1296368</v>
      </c>
      <c r="AV128" s="16">
        <f t="shared" si="72"/>
        <v>6439458224.9286871</v>
      </c>
      <c r="AW128" s="16">
        <f t="shared" si="73"/>
        <v>6435967815.9993229</v>
      </c>
      <c r="AX128" s="16">
        <f t="shared" si="74"/>
        <v>6371929264.7763138</v>
      </c>
      <c r="AY128" s="16">
        <f t="shared" si="75"/>
        <v>12300000</v>
      </c>
      <c r="AZ128" s="16">
        <f t="shared" si="76"/>
        <v>12300000</v>
      </c>
      <c r="BA128" s="16">
        <f t="shared" si="77"/>
        <v>12300000</v>
      </c>
      <c r="BB128" s="16">
        <f t="shared" si="78"/>
        <v>12300000</v>
      </c>
      <c r="BC128" s="16">
        <f t="shared" si="79"/>
        <v>12300000</v>
      </c>
    </row>
    <row r="129" spans="16:55" x14ac:dyDescent="0.15">
      <c r="P129" s="16">
        <v>126</v>
      </c>
      <c r="Q129" s="16">
        <f t="shared" si="60"/>
        <v>6563850000</v>
      </c>
      <c r="R129" s="16">
        <f t="shared" si="61"/>
        <v>6563850000</v>
      </c>
      <c r="S129" s="16">
        <f t="shared" si="62"/>
        <v>6563850000</v>
      </c>
      <c r="T129" s="16">
        <f t="shared" si="63"/>
        <v>6563850000</v>
      </c>
      <c r="U129" s="16">
        <f t="shared" si="64"/>
        <v>6563850000</v>
      </c>
      <c r="AN129" s="16">
        <v>126</v>
      </c>
      <c r="AO129" s="16">
        <f t="shared" si="65"/>
        <v>22950000</v>
      </c>
      <c r="AP129" s="16">
        <f t="shared" si="66"/>
        <v>22950000</v>
      </c>
      <c r="AQ129" s="16">
        <f t="shared" si="67"/>
        <v>22950000</v>
      </c>
      <c r="AR129" s="16">
        <f t="shared" si="68"/>
        <v>22950000</v>
      </c>
      <c r="AS129" s="16">
        <f t="shared" si="69"/>
        <v>22950000</v>
      </c>
      <c r="AT129" s="16">
        <f t="shared" si="70"/>
        <v>6528600000</v>
      </c>
      <c r="AU129" s="16">
        <f t="shared" si="71"/>
        <v>6528600000</v>
      </c>
      <c r="AV129" s="16">
        <f t="shared" si="72"/>
        <v>6528600000</v>
      </c>
      <c r="AW129" s="16">
        <f t="shared" si="73"/>
        <v>6528600000</v>
      </c>
      <c r="AX129" s="16">
        <f t="shared" si="74"/>
        <v>6528600000</v>
      </c>
      <c r="AY129" s="16">
        <f t="shared" si="75"/>
        <v>12300000</v>
      </c>
      <c r="AZ129" s="16">
        <f t="shared" si="76"/>
        <v>12300000</v>
      </c>
      <c r="BA129" s="16">
        <f t="shared" si="77"/>
        <v>12300000</v>
      </c>
      <c r="BB129" s="16">
        <f t="shared" si="78"/>
        <v>12300000</v>
      </c>
      <c r="BC129" s="16">
        <f t="shared" si="79"/>
        <v>12300000</v>
      </c>
    </row>
    <row r="130" spans="16:55" x14ac:dyDescent="0.15">
      <c r="P130" s="16">
        <v>127</v>
      </c>
      <c r="Q130" s="16">
        <f t="shared" ref="Q130:Q161" si="80">求节点(B$4:B$42,G$4:G$42,$P130)</f>
        <v>6563850000</v>
      </c>
      <c r="R130" s="16">
        <f t="shared" ref="R130:R161" si="81">求节点(C$4:C$42,H$4:H$42,$P130)</f>
        <v>6563850000</v>
      </c>
      <c r="S130" s="16">
        <f t="shared" ref="S130:S161" si="82">求节点(D$4:D$42,I$4:I$42,$P130)</f>
        <v>6563850000</v>
      </c>
      <c r="T130" s="16">
        <f t="shared" ref="T130:T161" si="83">求节点(E$4:E$42,J$4:J$42,$P130)</f>
        <v>6563850000</v>
      </c>
      <c r="U130" s="16">
        <f t="shared" ref="U130:U161" si="84">求节点(F$4:F$42,K$4:K$42,$P130)</f>
        <v>6563850000</v>
      </c>
      <c r="AN130" s="16">
        <v>127</v>
      </c>
      <c r="AO130" s="16">
        <f t="shared" si="65"/>
        <v>22950000</v>
      </c>
      <c r="AP130" s="16">
        <f t="shared" si="66"/>
        <v>22950000</v>
      </c>
      <c r="AQ130" s="16">
        <f t="shared" si="67"/>
        <v>22950000</v>
      </c>
      <c r="AR130" s="16">
        <f t="shared" si="68"/>
        <v>22950000</v>
      </c>
      <c r="AS130" s="16">
        <f t="shared" si="69"/>
        <v>22950000</v>
      </c>
      <c r="AT130" s="16">
        <f t="shared" si="70"/>
        <v>6528600000</v>
      </c>
      <c r="AU130" s="16">
        <f t="shared" si="71"/>
        <v>6528600000</v>
      </c>
      <c r="AV130" s="16">
        <f t="shared" si="72"/>
        <v>6528600000</v>
      </c>
      <c r="AW130" s="16">
        <f t="shared" si="73"/>
        <v>6528600000</v>
      </c>
      <c r="AX130" s="16">
        <f t="shared" si="74"/>
        <v>6528600000</v>
      </c>
      <c r="AY130" s="16">
        <f t="shared" si="75"/>
        <v>12300000</v>
      </c>
      <c r="AZ130" s="16">
        <f t="shared" si="76"/>
        <v>12300000</v>
      </c>
      <c r="BA130" s="16">
        <f t="shared" si="77"/>
        <v>12300000</v>
      </c>
      <c r="BB130" s="16">
        <f t="shared" si="78"/>
        <v>12300000</v>
      </c>
      <c r="BC130" s="16">
        <f t="shared" si="79"/>
        <v>12300000</v>
      </c>
    </row>
    <row r="131" spans="16:55" x14ac:dyDescent="0.15">
      <c r="P131" s="16">
        <v>128</v>
      </c>
      <c r="Q131" s="16">
        <f t="shared" si="80"/>
        <v>6563850000</v>
      </c>
      <c r="R131" s="16">
        <f t="shared" si="81"/>
        <v>6563850000</v>
      </c>
      <c r="S131" s="16">
        <f t="shared" si="82"/>
        <v>6563850000</v>
      </c>
      <c r="T131" s="16">
        <f t="shared" si="83"/>
        <v>6563850000</v>
      </c>
      <c r="U131" s="16">
        <f t="shared" si="84"/>
        <v>6563850000</v>
      </c>
      <c r="AN131" s="16">
        <v>128</v>
      </c>
      <c r="AO131" s="16">
        <f t="shared" si="65"/>
        <v>22950000</v>
      </c>
      <c r="AP131" s="16">
        <f t="shared" si="66"/>
        <v>22950000</v>
      </c>
      <c r="AQ131" s="16">
        <f t="shared" si="67"/>
        <v>22950000</v>
      </c>
      <c r="AR131" s="16">
        <f t="shared" si="68"/>
        <v>22950000</v>
      </c>
      <c r="AS131" s="16">
        <f t="shared" si="69"/>
        <v>22950000</v>
      </c>
      <c r="AT131" s="16">
        <f t="shared" si="70"/>
        <v>6528600000</v>
      </c>
      <c r="AU131" s="16">
        <f t="shared" si="71"/>
        <v>6528600000</v>
      </c>
      <c r="AV131" s="16">
        <f t="shared" si="72"/>
        <v>6528600000</v>
      </c>
      <c r="AW131" s="16">
        <f t="shared" si="73"/>
        <v>6528600000</v>
      </c>
      <c r="AX131" s="16">
        <f t="shared" si="74"/>
        <v>6528600000</v>
      </c>
      <c r="AY131" s="16">
        <f t="shared" si="75"/>
        <v>12300000</v>
      </c>
      <c r="AZ131" s="16">
        <f t="shared" si="76"/>
        <v>12300000</v>
      </c>
      <c r="BA131" s="16">
        <f t="shared" si="77"/>
        <v>12300000</v>
      </c>
      <c r="BB131" s="16">
        <f t="shared" si="78"/>
        <v>12300000</v>
      </c>
      <c r="BC131" s="16">
        <f t="shared" si="79"/>
        <v>12300000</v>
      </c>
    </row>
    <row r="132" spans="16:55" x14ac:dyDescent="0.15">
      <c r="P132" s="16">
        <v>129</v>
      </c>
      <c r="Q132" s="16">
        <f t="shared" si="80"/>
        <v>6563850000</v>
      </c>
      <c r="R132" s="16">
        <f t="shared" si="81"/>
        <v>6563850000</v>
      </c>
      <c r="S132" s="16">
        <f t="shared" si="82"/>
        <v>6563850000</v>
      </c>
      <c r="T132" s="16">
        <f t="shared" si="83"/>
        <v>6563850000</v>
      </c>
      <c r="U132" s="16">
        <f t="shared" si="84"/>
        <v>6563850000</v>
      </c>
      <c r="AN132" s="16">
        <v>129</v>
      </c>
      <c r="AO132" s="16">
        <f t="shared" si="65"/>
        <v>22950000</v>
      </c>
      <c r="AP132" s="16">
        <f t="shared" si="66"/>
        <v>22950000</v>
      </c>
      <c r="AQ132" s="16">
        <f t="shared" si="67"/>
        <v>22950000</v>
      </c>
      <c r="AR132" s="16">
        <f t="shared" si="68"/>
        <v>22950000</v>
      </c>
      <c r="AS132" s="16">
        <f t="shared" si="69"/>
        <v>22950000</v>
      </c>
      <c r="AT132" s="16">
        <f t="shared" si="70"/>
        <v>6528600000</v>
      </c>
      <c r="AU132" s="16">
        <f t="shared" si="71"/>
        <v>6528600000</v>
      </c>
      <c r="AV132" s="16">
        <f t="shared" si="72"/>
        <v>6528600000</v>
      </c>
      <c r="AW132" s="16">
        <f t="shared" si="73"/>
        <v>6528600000</v>
      </c>
      <c r="AX132" s="16">
        <f t="shared" si="74"/>
        <v>6528600000</v>
      </c>
      <c r="AY132" s="16">
        <f t="shared" si="75"/>
        <v>12300000</v>
      </c>
      <c r="AZ132" s="16">
        <f t="shared" si="76"/>
        <v>12300000</v>
      </c>
      <c r="BA132" s="16">
        <f t="shared" si="77"/>
        <v>12300000</v>
      </c>
      <c r="BB132" s="16">
        <f t="shared" si="78"/>
        <v>12300000</v>
      </c>
      <c r="BC132" s="16">
        <f t="shared" si="79"/>
        <v>12300000</v>
      </c>
    </row>
    <row r="133" spans="16:55" x14ac:dyDescent="0.15">
      <c r="P133" s="16">
        <v>130</v>
      </c>
      <c r="Q133" s="16">
        <f t="shared" si="80"/>
        <v>6563850000</v>
      </c>
      <c r="R133" s="16">
        <f t="shared" si="81"/>
        <v>6563850000</v>
      </c>
      <c r="S133" s="16">
        <f t="shared" si="82"/>
        <v>6563850000</v>
      </c>
      <c r="T133" s="16">
        <f t="shared" si="83"/>
        <v>6563850000</v>
      </c>
      <c r="U133" s="16">
        <f t="shared" si="84"/>
        <v>6563850000</v>
      </c>
      <c r="AN133" s="16">
        <v>130</v>
      </c>
      <c r="AO133" s="16">
        <f t="shared" si="65"/>
        <v>22950000</v>
      </c>
      <c r="AP133" s="16">
        <f t="shared" si="66"/>
        <v>22950000</v>
      </c>
      <c r="AQ133" s="16">
        <f t="shared" si="67"/>
        <v>22950000</v>
      </c>
      <c r="AR133" s="16">
        <f t="shared" si="68"/>
        <v>22950000</v>
      </c>
      <c r="AS133" s="16">
        <f t="shared" si="69"/>
        <v>22950000</v>
      </c>
      <c r="AT133" s="16">
        <f t="shared" si="70"/>
        <v>6528600000</v>
      </c>
      <c r="AU133" s="16">
        <f t="shared" si="71"/>
        <v>6528600000</v>
      </c>
      <c r="AV133" s="16">
        <f t="shared" si="72"/>
        <v>6528600000</v>
      </c>
      <c r="AW133" s="16">
        <f t="shared" si="73"/>
        <v>6528600000</v>
      </c>
      <c r="AX133" s="16">
        <f t="shared" si="74"/>
        <v>6528600000</v>
      </c>
      <c r="AY133" s="16">
        <f t="shared" si="75"/>
        <v>12300000</v>
      </c>
      <c r="AZ133" s="16">
        <f t="shared" si="76"/>
        <v>12300000</v>
      </c>
      <c r="BA133" s="16">
        <f t="shared" si="77"/>
        <v>12300000</v>
      </c>
      <c r="BB133" s="16">
        <f t="shared" si="78"/>
        <v>12300000</v>
      </c>
      <c r="BC133" s="16">
        <f t="shared" si="79"/>
        <v>12300000</v>
      </c>
    </row>
    <row r="134" spans="16:55" x14ac:dyDescent="0.15">
      <c r="P134" s="16">
        <v>131</v>
      </c>
      <c r="Q134" s="16">
        <f t="shared" si="80"/>
        <v>6563850000</v>
      </c>
      <c r="R134" s="16">
        <f t="shared" si="81"/>
        <v>6563850000</v>
      </c>
      <c r="S134" s="16">
        <f t="shared" si="82"/>
        <v>6563850000</v>
      </c>
      <c r="T134" s="16">
        <f t="shared" si="83"/>
        <v>6563850000</v>
      </c>
      <c r="U134" s="16">
        <f t="shared" si="84"/>
        <v>6563850000</v>
      </c>
      <c r="AN134" s="16">
        <v>131</v>
      </c>
      <c r="AO134" s="16">
        <f t="shared" si="65"/>
        <v>22950000</v>
      </c>
      <c r="AP134" s="16">
        <f t="shared" si="66"/>
        <v>22950000</v>
      </c>
      <c r="AQ134" s="16">
        <f t="shared" si="67"/>
        <v>22950000</v>
      </c>
      <c r="AR134" s="16">
        <f t="shared" si="68"/>
        <v>22950000</v>
      </c>
      <c r="AS134" s="16">
        <f t="shared" si="69"/>
        <v>22950000</v>
      </c>
      <c r="AT134" s="16">
        <f t="shared" si="70"/>
        <v>6528600000</v>
      </c>
      <c r="AU134" s="16">
        <f t="shared" si="71"/>
        <v>6528600000</v>
      </c>
      <c r="AV134" s="16">
        <f t="shared" si="72"/>
        <v>6528600000</v>
      </c>
      <c r="AW134" s="16">
        <f t="shared" si="73"/>
        <v>6528600000</v>
      </c>
      <c r="AX134" s="16">
        <f t="shared" si="74"/>
        <v>6528600000</v>
      </c>
      <c r="AY134" s="16">
        <f t="shared" si="75"/>
        <v>12300000</v>
      </c>
      <c r="AZ134" s="16">
        <f t="shared" si="76"/>
        <v>12300000</v>
      </c>
      <c r="BA134" s="16">
        <f t="shared" si="77"/>
        <v>12300000</v>
      </c>
      <c r="BB134" s="16">
        <f t="shared" si="78"/>
        <v>12300000</v>
      </c>
      <c r="BC134" s="16">
        <f t="shared" si="79"/>
        <v>12300000</v>
      </c>
    </row>
    <row r="135" spans="16:55" x14ac:dyDescent="0.15">
      <c r="P135" s="16">
        <v>132</v>
      </c>
      <c r="Q135" s="16">
        <f t="shared" si="80"/>
        <v>6563850000</v>
      </c>
      <c r="R135" s="16">
        <f t="shared" si="81"/>
        <v>6563850000</v>
      </c>
      <c r="S135" s="16">
        <f t="shared" si="82"/>
        <v>6563850000</v>
      </c>
      <c r="T135" s="16">
        <f t="shared" si="83"/>
        <v>6563850000</v>
      </c>
      <c r="U135" s="16">
        <f t="shared" si="84"/>
        <v>6563850000</v>
      </c>
      <c r="AN135" s="16">
        <v>132</v>
      </c>
      <c r="AO135" s="16">
        <f t="shared" si="65"/>
        <v>22950000</v>
      </c>
      <c r="AP135" s="16">
        <f t="shared" si="66"/>
        <v>22950000</v>
      </c>
      <c r="AQ135" s="16">
        <f t="shared" si="67"/>
        <v>22950000</v>
      </c>
      <c r="AR135" s="16">
        <f t="shared" si="68"/>
        <v>22950000</v>
      </c>
      <c r="AS135" s="16">
        <f t="shared" si="69"/>
        <v>22950000</v>
      </c>
      <c r="AT135" s="16">
        <f t="shared" si="70"/>
        <v>6528600000</v>
      </c>
      <c r="AU135" s="16">
        <f t="shared" si="71"/>
        <v>6528600000</v>
      </c>
      <c r="AV135" s="16">
        <f t="shared" si="72"/>
        <v>6528600000</v>
      </c>
      <c r="AW135" s="16">
        <f t="shared" si="73"/>
        <v>6528600000</v>
      </c>
      <c r="AX135" s="16">
        <f t="shared" si="74"/>
        <v>6528600000</v>
      </c>
      <c r="AY135" s="16">
        <f t="shared" si="75"/>
        <v>12300000</v>
      </c>
      <c r="AZ135" s="16">
        <f t="shared" si="76"/>
        <v>12300000</v>
      </c>
      <c r="BA135" s="16">
        <f t="shared" si="77"/>
        <v>12300000</v>
      </c>
      <c r="BB135" s="16">
        <f t="shared" si="78"/>
        <v>12300000</v>
      </c>
      <c r="BC135" s="16">
        <f t="shared" si="79"/>
        <v>12300000</v>
      </c>
    </row>
    <row r="136" spans="16:55" x14ac:dyDescent="0.15">
      <c r="P136" s="16">
        <v>133</v>
      </c>
      <c r="Q136" s="16">
        <f t="shared" si="80"/>
        <v>6563850000</v>
      </c>
      <c r="R136" s="16">
        <f t="shared" si="81"/>
        <v>6563850000</v>
      </c>
      <c r="S136" s="16">
        <f t="shared" si="82"/>
        <v>6563850000</v>
      </c>
      <c r="T136" s="16">
        <f t="shared" si="83"/>
        <v>6563850000</v>
      </c>
      <c r="U136" s="16">
        <f t="shared" si="84"/>
        <v>6563850000</v>
      </c>
      <c r="AN136" s="16">
        <v>133</v>
      </c>
      <c r="AO136" s="16">
        <f t="shared" si="65"/>
        <v>22950000</v>
      </c>
      <c r="AP136" s="16">
        <f t="shared" si="66"/>
        <v>22950000</v>
      </c>
      <c r="AQ136" s="16">
        <f t="shared" si="67"/>
        <v>22950000</v>
      </c>
      <c r="AR136" s="16">
        <f t="shared" si="68"/>
        <v>22950000</v>
      </c>
      <c r="AS136" s="16">
        <f t="shared" si="69"/>
        <v>22950000</v>
      </c>
      <c r="AT136" s="16">
        <f t="shared" si="70"/>
        <v>6528600000</v>
      </c>
      <c r="AU136" s="16">
        <f t="shared" si="71"/>
        <v>6528600000</v>
      </c>
      <c r="AV136" s="16">
        <f t="shared" si="72"/>
        <v>6528600000</v>
      </c>
      <c r="AW136" s="16">
        <f t="shared" si="73"/>
        <v>6528600000</v>
      </c>
      <c r="AX136" s="16">
        <f t="shared" si="74"/>
        <v>6528600000</v>
      </c>
      <c r="AY136" s="16">
        <f t="shared" si="75"/>
        <v>12300000</v>
      </c>
      <c r="AZ136" s="16">
        <f t="shared" si="76"/>
        <v>12300000</v>
      </c>
      <c r="BA136" s="16">
        <f t="shared" si="77"/>
        <v>12300000</v>
      </c>
      <c r="BB136" s="16">
        <f t="shared" si="78"/>
        <v>12300000</v>
      </c>
      <c r="BC136" s="16">
        <f t="shared" si="79"/>
        <v>12300000</v>
      </c>
    </row>
    <row r="137" spans="16:55" x14ac:dyDescent="0.15">
      <c r="P137" s="16">
        <v>134</v>
      </c>
      <c r="Q137" s="16">
        <f t="shared" si="80"/>
        <v>6563850000</v>
      </c>
      <c r="R137" s="16">
        <f t="shared" si="81"/>
        <v>6563850000</v>
      </c>
      <c r="S137" s="16">
        <f t="shared" si="82"/>
        <v>6563850000</v>
      </c>
      <c r="T137" s="16">
        <f t="shared" si="83"/>
        <v>6563850000</v>
      </c>
      <c r="U137" s="16">
        <f t="shared" si="84"/>
        <v>6563850000</v>
      </c>
      <c r="AN137" s="16">
        <v>134</v>
      </c>
      <c r="AO137" s="16">
        <f t="shared" si="65"/>
        <v>22950000</v>
      </c>
      <c r="AP137" s="16">
        <f t="shared" si="66"/>
        <v>22950000</v>
      </c>
      <c r="AQ137" s="16">
        <f t="shared" si="67"/>
        <v>22950000</v>
      </c>
      <c r="AR137" s="16">
        <f t="shared" si="68"/>
        <v>22950000</v>
      </c>
      <c r="AS137" s="16">
        <f t="shared" si="69"/>
        <v>22950000</v>
      </c>
      <c r="AT137" s="16">
        <f t="shared" si="70"/>
        <v>6528600000</v>
      </c>
      <c r="AU137" s="16">
        <f t="shared" si="71"/>
        <v>6528600000</v>
      </c>
      <c r="AV137" s="16">
        <f t="shared" si="72"/>
        <v>6528600000</v>
      </c>
      <c r="AW137" s="16">
        <f t="shared" si="73"/>
        <v>6528600000</v>
      </c>
      <c r="AX137" s="16">
        <f t="shared" si="74"/>
        <v>6528600000</v>
      </c>
      <c r="AY137" s="16">
        <f t="shared" si="75"/>
        <v>12300000</v>
      </c>
      <c r="AZ137" s="16">
        <f t="shared" si="76"/>
        <v>12300000</v>
      </c>
      <c r="BA137" s="16">
        <f t="shared" si="77"/>
        <v>12300000</v>
      </c>
      <c r="BB137" s="16">
        <f t="shared" si="78"/>
        <v>12300000</v>
      </c>
      <c r="BC137" s="16">
        <f t="shared" si="79"/>
        <v>12300000</v>
      </c>
    </row>
    <row r="138" spans="16:55" x14ac:dyDescent="0.15">
      <c r="P138" s="16">
        <v>135</v>
      </c>
      <c r="Q138" s="16">
        <f t="shared" si="80"/>
        <v>6563850000</v>
      </c>
      <c r="R138" s="16">
        <f t="shared" si="81"/>
        <v>6563850000</v>
      </c>
      <c r="S138" s="16">
        <f t="shared" si="82"/>
        <v>6563850000</v>
      </c>
      <c r="T138" s="16">
        <f t="shared" si="83"/>
        <v>6563850000</v>
      </c>
      <c r="U138" s="16">
        <f t="shared" si="84"/>
        <v>6563850000</v>
      </c>
      <c r="AN138" s="16">
        <v>135</v>
      </c>
      <c r="AO138" s="16">
        <f t="shared" si="65"/>
        <v>22950000</v>
      </c>
      <c r="AP138" s="16">
        <f t="shared" si="66"/>
        <v>22950000</v>
      </c>
      <c r="AQ138" s="16">
        <f t="shared" si="67"/>
        <v>22950000</v>
      </c>
      <c r="AR138" s="16">
        <f t="shared" si="68"/>
        <v>22950000</v>
      </c>
      <c r="AS138" s="16">
        <f t="shared" si="69"/>
        <v>22950000</v>
      </c>
      <c r="AT138" s="16">
        <f t="shared" si="70"/>
        <v>6528600000</v>
      </c>
      <c r="AU138" s="16">
        <f t="shared" si="71"/>
        <v>6528600000</v>
      </c>
      <c r="AV138" s="16">
        <f t="shared" si="72"/>
        <v>6528600000</v>
      </c>
      <c r="AW138" s="16">
        <f t="shared" si="73"/>
        <v>6528600000</v>
      </c>
      <c r="AX138" s="16">
        <f t="shared" si="74"/>
        <v>6528600000</v>
      </c>
      <c r="AY138" s="16">
        <f t="shared" si="75"/>
        <v>12300000</v>
      </c>
      <c r="AZ138" s="16">
        <f t="shared" si="76"/>
        <v>12300000</v>
      </c>
      <c r="BA138" s="16">
        <f t="shared" si="77"/>
        <v>12300000</v>
      </c>
      <c r="BB138" s="16">
        <f t="shared" si="78"/>
        <v>12300000</v>
      </c>
      <c r="BC138" s="16">
        <f t="shared" si="79"/>
        <v>12300000</v>
      </c>
    </row>
    <row r="139" spans="16:55" x14ac:dyDescent="0.15">
      <c r="P139" s="16">
        <v>136</v>
      </c>
      <c r="Q139" s="16">
        <f t="shared" si="80"/>
        <v>6563850000</v>
      </c>
      <c r="R139" s="16">
        <f t="shared" si="81"/>
        <v>6563850000</v>
      </c>
      <c r="S139" s="16">
        <f t="shared" si="82"/>
        <v>6563850000</v>
      </c>
      <c r="T139" s="16">
        <f t="shared" si="83"/>
        <v>6563850000</v>
      </c>
      <c r="U139" s="16">
        <f t="shared" si="84"/>
        <v>6563850000</v>
      </c>
      <c r="AN139" s="16">
        <v>136</v>
      </c>
      <c r="AO139" s="16">
        <f t="shared" si="65"/>
        <v>22950000</v>
      </c>
      <c r="AP139" s="16">
        <f t="shared" si="66"/>
        <v>22950000</v>
      </c>
      <c r="AQ139" s="16">
        <f t="shared" si="67"/>
        <v>22950000</v>
      </c>
      <c r="AR139" s="16">
        <f t="shared" si="68"/>
        <v>22950000</v>
      </c>
      <c r="AS139" s="16">
        <f t="shared" si="69"/>
        <v>22950000</v>
      </c>
      <c r="AT139" s="16">
        <f t="shared" si="70"/>
        <v>6528600000</v>
      </c>
      <c r="AU139" s="16">
        <f t="shared" si="71"/>
        <v>6528600000</v>
      </c>
      <c r="AV139" s="16">
        <f t="shared" si="72"/>
        <v>6528600000</v>
      </c>
      <c r="AW139" s="16">
        <f t="shared" si="73"/>
        <v>6528600000</v>
      </c>
      <c r="AX139" s="16">
        <f t="shared" si="74"/>
        <v>6528600000</v>
      </c>
      <c r="AY139" s="16">
        <f t="shared" si="75"/>
        <v>12300000</v>
      </c>
      <c r="AZ139" s="16">
        <f t="shared" si="76"/>
        <v>12300000</v>
      </c>
      <c r="BA139" s="16">
        <f t="shared" si="77"/>
        <v>12300000</v>
      </c>
      <c r="BB139" s="16">
        <f t="shared" si="78"/>
        <v>12300000</v>
      </c>
      <c r="BC139" s="16">
        <f t="shared" si="79"/>
        <v>12300000</v>
      </c>
    </row>
    <row r="140" spans="16:55" x14ac:dyDescent="0.15">
      <c r="P140" s="16">
        <v>137</v>
      </c>
      <c r="Q140" s="16">
        <f t="shared" si="80"/>
        <v>6563850000</v>
      </c>
      <c r="R140" s="16">
        <f t="shared" si="81"/>
        <v>6563850000</v>
      </c>
      <c r="S140" s="16">
        <f t="shared" si="82"/>
        <v>6563850000</v>
      </c>
      <c r="T140" s="16">
        <f t="shared" si="83"/>
        <v>6563850000</v>
      </c>
      <c r="U140" s="16">
        <f t="shared" si="84"/>
        <v>6563850000</v>
      </c>
      <c r="AN140" s="16">
        <v>137</v>
      </c>
      <c r="AO140" s="16">
        <f t="shared" si="65"/>
        <v>22950000</v>
      </c>
      <c r="AP140" s="16">
        <f t="shared" si="66"/>
        <v>22950000</v>
      </c>
      <c r="AQ140" s="16">
        <f t="shared" si="67"/>
        <v>22950000</v>
      </c>
      <c r="AR140" s="16">
        <f t="shared" si="68"/>
        <v>22950000</v>
      </c>
      <c r="AS140" s="16">
        <f t="shared" si="69"/>
        <v>22950000</v>
      </c>
      <c r="AT140" s="16">
        <f t="shared" si="70"/>
        <v>6528600000</v>
      </c>
      <c r="AU140" s="16">
        <f t="shared" si="71"/>
        <v>6528600000</v>
      </c>
      <c r="AV140" s="16">
        <f t="shared" si="72"/>
        <v>6528600000</v>
      </c>
      <c r="AW140" s="16">
        <f t="shared" si="73"/>
        <v>6528600000</v>
      </c>
      <c r="AX140" s="16">
        <f t="shared" si="74"/>
        <v>6528600000</v>
      </c>
      <c r="AY140" s="16">
        <f t="shared" si="75"/>
        <v>12300000</v>
      </c>
      <c r="AZ140" s="16">
        <f t="shared" si="76"/>
        <v>12300000</v>
      </c>
      <c r="BA140" s="16">
        <f t="shared" si="77"/>
        <v>12300000</v>
      </c>
      <c r="BB140" s="16">
        <f t="shared" si="78"/>
        <v>12300000</v>
      </c>
      <c r="BC140" s="16">
        <f t="shared" si="79"/>
        <v>12300000</v>
      </c>
    </row>
    <row r="141" spans="16:55" x14ac:dyDescent="0.15">
      <c r="P141" s="16">
        <v>138</v>
      </c>
      <c r="Q141" s="16">
        <f t="shared" si="80"/>
        <v>6563850000</v>
      </c>
      <c r="R141" s="16">
        <f t="shared" si="81"/>
        <v>6563850000</v>
      </c>
      <c r="S141" s="16">
        <f t="shared" si="82"/>
        <v>6563850000</v>
      </c>
      <c r="T141" s="16">
        <f t="shared" si="83"/>
        <v>6563850000</v>
      </c>
      <c r="U141" s="16">
        <f t="shared" si="84"/>
        <v>6563850000</v>
      </c>
      <c r="AN141" s="16">
        <v>138</v>
      </c>
      <c r="AO141" s="16">
        <f t="shared" si="65"/>
        <v>22950000</v>
      </c>
      <c r="AP141" s="16">
        <f t="shared" si="66"/>
        <v>22950000</v>
      </c>
      <c r="AQ141" s="16">
        <f t="shared" si="67"/>
        <v>22950000</v>
      </c>
      <c r="AR141" s="16">
        <f t="shared" si="68"/>
        <v>22950000</v>
      </c>
      <c r="AS141" s="16">
        <f t="shared" si="69"/>
        <v>22950000</v>
      </c>
      <c r="AT141" s="16">
        <f t="shared" si="70"/>
        <v>6528600000</v>
      </c>
      <c r="AU141" s="16">
        <f t="shared" si="71"/>
        <v>6528600000</v>
      </c>
      <c r="AV141" s="16">
        <f t="shared" si="72"/>
        <v>6528600000</v>
      </c>
      <c r="AW141" s="16">
        <f t="shared" si="73"/>
        <v>6528600000</v>
      </c>
      <c r="AX141" s="16">
        <f t="shared" si="74"/>
        <v>6528600000</v>
      </c>
      <c r="AY141" s="16">
        <f t="shared" si="75"/>
        <v>12300000</v>
      </c>
      <c r="AZ141" s="16">
        <f t="shared" si="76"/>
        <v>12300000</v>
      </c>
      <c r="BA141" s="16">
        <f t="shared" si="77"/>
        <v>12300000</v>
      </c>
      <c r="BB141" s="16">
        <f t="shared" si="78"/>
        <v>12300000</v>
      </c>
      <c r="BC141" s="16">
        <f t="shared" si="79"/>
        <v>12300000</v>
      </c>
    </row>
    <row r="142" spans="16:55" x14ac:dyDescent="0.15">
      <c r="P142" s="16">
        <v>139</v>
      </c>
      <c r="Q142" s="16">
        <f t="shared" si="80"/>
        <v>6563850000</v>
      </c>
      <c r="R142" s="16">
        <f t="shared" si="81"/>
        <v>6563850000</v>
      </c>
      <c r="S142" s="16">
        <f t="shared" si="82"/>
        <v>6563850000</v>
      </c>
      <c r="T142" s="16">
        <f t="shared" si="83"/>
        <v>6563850000</v>
      </c>
      <c r="U142" s="16">
        <f t="shared" si="84"/>
        <v>6563850000</v>
      </c>
      <c r="AN142" s="16">
        <v>139</v>
      </c>
      <c r="AO142" s="16">
        <f t="shared" si="65"/>
        <v>22950000</v>
      </c>
      <c r="AP142" s="16">
        <f t="shared" si="66"/>
        <v>22950000</v>
      </c>
      <c r="AQ142" s="16">
        <f t="shared" si="67"/>
        <v>22950000</v>
      </c>
      <c r="AR142" s="16">
        <f t="shared" si="68"/>
        <v>22950000</v>
      </c>
      <c r="AS142" s="16">
        <f t="shared" si="69"/>
        <v>22950000</v>
      </c>
      <c r="AT142" s="16">
        <f t="shared" si="70"/>
        <v>6528600000</v>
      </c>
      <c r="AU142" s="16">
        <f t="shared" si="71"/>
        <v>6528600000</v>
      </c>
      <c r="AV142" s="16">
        <f t="shared" si="72"/>
        <v>6528600000</v>
      </c>
      <c r="AW142" s="16">
        <f t="shared" si="73"/>
        <v>6528600000</v>
      </c>
      <c r="AX142" s="16">
        <f t="shared" si="74"/>
        <v>6528600000</v>
      </c>
      <c r="AY142" s="16">
        <f t="shared" si="75"/>
        <v>12300000</v>
      </c>
      <c r="AZ142" s="16">
        <f t="shared" si="76"/>
        <v>12300000</v>
      </c>
      <c r="BA142" s="16">
        <f t="shared" si="77"/>
        <v>12300000</v>
      </c>
      <c r="BB142" s="16">
        <f t="shared" si="78"/>
        <v>12300000</v>
      </c>
      <c r="BC142" s="16">
        <f t="shared" si="79"/>
        <v>12300000</v>
      </c>
    </row>
    <row r="143" spans="16:55" x14ac:dyDescent="0.15">
      <c r="P143" s="16">
        <v>140</v>
      </c>
      <c r="Q143" s="16">
        <f t="shared" si="80"/>
        <v>6563850000</v>
      </c>
      <c r="R143" s="16">
        <f t="shared" si="81"/>
        <v>6563850000</v>
      </c>
      <c r="S143" s="16">
        <f t="shared" si="82"/>
        <v>6563850000</v>
      </c>
      <c r="T143" s="16">
        <f t="shared" si="83"/>
        <v>6563850000</v>
      </c>
      <c r="U143" s="16">
        <f t="shared" si="84"/>
        <v>6563850000</v>
      </c>
      <c r="AN143" s="16">
        <v>140</v>
      </c>
      <c r="AO143" s="16">
        <f t="shared" si="65"/>
        <v>22950000</v>
      </c>
      <c r="AP143" s="16">
        <f t="shared" si="66"/>
        <v>22950000</v>
      </c>
      <c r="AQ143" s="16">
        <f t="shared" si="67"/>
        <v>22950000</v>
      </c>
      <c r="AR143" s="16">
        <f t="shared" si="68"/>
        <v>22950000</v>
      </c>
      <c r="AS143" s="16">
        <f t="shared" si="69"/>
        <v>22950000</v>
      </c>
      <c r="AT143" s="16">
        <f t="shared" si="70"/>
        <v>6528600000</v>
      </c>
      <c r="AU143" s="16">
        <f t="shared" si="71"/>
        <v>6528600000</v>
      </c>
      <c r="AV143" s="16">
        <f t="shared" si="72"/>
        <v>6528600000</v>
      </c>
      <c r="AW143" s="16">
        <f t="shared" si="73"/>
        <v>6528600000</v>
      </c>
      <c r="AX143" s="16">
        <f t="shared" si="74"/>
        <v>6528600000</v>
      </c>
      <c r="AY143" s="16">
        <f t="shared" si="75"/>
        <v>12300000</v>
      </c>
      <c r="AZ143" s="16">
        <f t="shared" si="76"/>
        <v>12300000</v>
      </c>
      <c r="BA143" s="16">
        <f t="shared" si="77"/>
        <v>12300000</v>
      </c>
      <c r="BB143" s="16">
        <f t="shared" si="78"/>
        <v>12300000</v>
      </c>
      <c r="BC143" s="16">
        <f t="shared" si="79"/>
        <v>12300000</v>
      </c>
    </row>
    <row r="144" spans="16:55" x14ac:dyDescent="0.15">
      <c r="P144" s="16">
        <v>141</v>
      </c>
      <c r="Q144" s="16">
        <f t="shared" si="80"/>
        <v>6563850000</v>
      </c>
      <c r="R144" s="16">
        <f t="shared" si="81"/>
        <v>6563850000</v>
      </c>
      <c r="S144" s="16">
        <f t="shared" si="82"/>
        <v>6563850000</v>
      </c>
      <c r="T144" s="16">
        <f t="shared" si="83"/>
        <v>6563850000</v>
      </c>
      <c r="U144" s="16">
        <f t="shared" si="84"/>
        <v>6563850000</v>
      </c>
      <c r="AN144" s="16">
        <v>141</v>
      </c>
      <c r="AO144" s="16">
        <f t="shared" si="65"/>
        <v>22950000</v>
      </c>
      <c r="AP144" s="16">
        <f t="shared" si="66"/>
        <v>22950000</v>
      </c>
      <c r="AQ144" s="16">
        <f t="shared" si="67"/>
        <v>22950000</v>
      </c>
      <c r="AR144" s="16">
        <f t="shared" si="68"/>
        <v>22950000</v>
      </c>
      <c r="AS144" s="16">
        <f t="shared" si="69"/>
        <v>22950000</v>
      </c>
      <c r="AT144" s="16">
        <f t="shared" si="70"/>
        <v>6528600000</v>
      </c>
      <c r="AU144" s="16">
        <f t="shared" si="71"/>
        <v>6528600000</v>
      </c>
      <c r="AV144" s="16">
        <f t="shared" si="72"/>
        <v>6528600000</v>
      </c>
      <c r="AW144" s="16">
        <f t="shared" si="73"/>
        <v>6528600000</v>
      </c>
      <c r="AX144" s="16">
        <f t="shared" si="74"/>
        <v>6528600000</v>
      </c>
      <c r="AY144" s="16">
        <f t="shared" si="75"/>
        <v>12300000</v>
      </c>
      <c r="AZ144" s="16">
        <f t="shared" si="76"/>
        <v>12300000</v>
      </c>
      <c r="BA144" s="16">
        <f t="shared" si="77"/>
        <v>12300000</v>
      </c>
      <c r="BB144" s="16">
        <f t="shared" si="78"/>
        <v>12300000</v>
      </c>
      <c r="BC144" s="16">
        <f t="shared" si="79"/>
        <v>12300000</v>
      </c>
    </row>
    <row r="145" spans="16:55" x14ac:dyDescent="0.15">
      <c r="P145" s="16">
        <v>142</v>
      </c>
      <c r="Q145" s="16">
        <f t="shared" si="80"/>
        <v>6563850000</v>
      </c>
      <c r="R145" s="16">
        <f t="shared" si="81"/>
        <v>6563850000</v>
      </c>
      <c r="S145" s="16">
        <f t="shared" si="82"/>
        <v>6563850000</v>
      </c>
      <c r="T145" s="16">
        <f t="shared" si="83"/>
        <v>6563850000</v>
      </c>
      <c r="U145" s="16">
        <f t="shared" si="84"/>
        <v>6563850000</v>
      </c>
      <c r="AN145" s="16">
        <v>142</v>
      </c>
      <c r="AO145" s="16">
        <f t="shared" si="65"/>
        <v>22950000</v>
      </c>
      <c r="AP145" s="16">
        <f t="shared" si="66"/>
        <v>22950000</v>
      </c>
      <c r="AQ145" s="16">
        <f t="shared" si="67"/>
        <v>22950000</v>
      </c>
      <c r="AR145" s="16">
        <f t="shared" si="68"/>
        <v>22950000</v>
      </c>
      <c r="AS145" s="16">
        <f t="shared" si="69"/>
        <v>22950000</v>
      </c>
      <c r="AT145" s="16">
        <f t="shared" si="70"/>
        <v>6528600000</v>
      </c>
      <c r="AU145" s="16">
        <f t="shared" si="71"/>
        <v>6528600000</v>
      </c>
      <c r="AV145" s="16">
        <f t="shared" si="72"/>
        <v>6528600000</v>
      </c>
      <c r="AW145" s="16">
        <f t="shared" si="73"/>
        <v>6528600000</v>
      </c>
      <c r="AX145" s="16">
        <f t="shared" si="74"/>
        <v>6528600000</v>
      </c>
      <c r="AY145" s="16">
        <f t="shared" si="75"/>
        <v>12300000</v>
      </c>
      <c r="AZ145" s="16">
        <f t="shared" si="76"/>
        <v>12300000</v>
      </c>
      <c r="BA145" s="16">
        <f t="shared" si="77"/>
        <v>12300000</v>
      </c>
      <c r="BB145" s="16">
        <f t="shared" si="78"/>
        <v>12300000</v>
      </c>
      <c r="BC145" s="16">
        <f t="shared" si="79"/>
        <v>12300000</v>
      </c>
    </row>
    <row r="146" spans="16:55" x14ac:dyDescent="0.15">
      <c r="P146" s="16">
        <v>143</v>
      </c>
      <c r="Q146" s="16">
        <f t="shared" si="80"/>
        <v>6563850000</v>
      </c>
      <c r="R146" s="16">
        <f t="shared" si="81"/>
        <v>6563850000</v>
      </c>
      <c r="S146" s="16">
        <f t="shared" si="82"/>
        <v>6563850000</v>
      </c>
      <c r="T146" s="16">
        <f t="shared" si="83"/>
        <v>6563850000</v>
      </c>
      <c r="U146" s="16">
        <f t="shared" si="84"/>
        <v>6563850000</v>
      </c>
      <c r="AN146" s="16">
        <v>143</v>
      </c>
      <c r="AO146" s="16">
        <f t="shared" si="65"/>
        <v>22950000</v>
      </c>
      <c r="AP146" s="16">
        <f t="shared" si="66"/>
        <v>22950000</v>
      </c>
      <c r="AQ146" s="16">
        <f t="shared" si="67"/>
        <v>22950000</v>
      </c>
      <c r="AR146" s="16">
        <f t="shared" si="68"/>
        <v>22950000</v>
      </c>
      <c r="AS146" s="16">
        <f t="shared" si="69"/>
        <v>22950000</v>
      </c>
      <c r="AT146" s="16">
        <f t="shared" si="70"/>
        <v>6528600000</v>
      </c>
      <c r="AU146" s="16">
        <f t="shared" si="71"/>
        <v>6528600000</v>
      </c>
      <c r="AV146" s="16">
        <f t="shared" si="72"/>
        <v>6528600000</v>
      </c>
      <c r="AW146" s="16">
        <f t="shared" si="73"/>
        <v>6528600000</v>
      </c>
      <c r="AX146" s="16">
        <f t="shared" si="74"/>
        <v>6528600000</v>
      </c>
      <c r="AY146" s="16">
        <f t="shared" si="75"/>
        <v>12300000</v>
      </c>
      <c r="AZ146" s="16">
        <f t="shared" si="76"/>
        <v>12300000</v>
      </c>
      <c r="BA146" s="16">
        <f t="shared" si="77"/>
        <v>12300000</v>
      </c>
      <c r="BB146" s="16">
        <f t="shared" si="78"/>
        <v>12300000</v>
      </c>
      <c r="BC146" s="16">
        <f t="shared" si="79"/>
        <v>12300000</v>
      </c>
    </row>
    <row r="147" spans="16:55" x14ac:dyDescent="0.15">
      <c r="P147" s="16">
        <v>144</v>
      </c>
      <c r="Q147" s="16">
        <f t="shared" si="80"/>
        <v>6563850000</v>
      </c>
      <c r="R147" s="16">
        <f t="shared" si="81"/>
        <v>6563850000</v>
      </c>
      <c r="S147" s="16">
        <f t="shared" si="82"/>
        <v>6563850000</v>
      </c>
      <c r="T147" s="16">
        <f t="shared" si="83"/>
        <v>6563850000</v>
      </c>
      <c r="U147" s="16">
        <f t="shared" si="84"/>
        <v>6563850000</v>
      </c>
      <c r="AN147" s="16">
        <v>144</v>
      </c>
      <c r="AO147" s="16">
        <f t="shared" si="65"/>
        <v>22950000</v>
      </c>
      <c r="AP147" s="16">
        <f t="shared" si="66"/>
        <v>22950000</v>
      </c>
      <c r="AQ147" s="16">
        <f t="shared" si="67"/>
        <v>22950000</v>
      </c>
      <c r="AR147" s="16">
        <f t="shared" si="68"/>
        <v>22950000</v>
      </c>
      <c r="AS147" s="16">
        <f t="shared" si="69"/>
        <v>22950000</v>
      </c>
      <c r="AT147" s="16">
        <f t="shared" si="70"/>
        <v>6528600000</v>
      </c>
      <c r="AU147" s="16">
        <f t="shared" si="71"/>
        <v>6528600000</v>
      </c>
      <c r="AV147" s="16">
        <f t="shared" si="72"/>
        <v>6528600000</v>
      </c>
      <c r="AW147" s="16">
        <f t="shared" si="73"/>
        <v>6528600000</v>
      </c>
      <c r="AX147" s="16">
        <f t="shared" si="74"/>
        <v>6528600000</v>
      </c>
      <c r="AY147" s="16">
        <f t="shared" si="75"/>
        <v>12300000</v>
      </c>
      <c r="AZ147" s="16">
        <f t="shared" si="76"/>
        <v>12300000</v>
      </c>
      <c r="BA147" s="16">
        <f t="shared" si="77"/>
        <v>12300000</v>
      </c>
      <c r="BB147" s="16">
        <f t="shared" si="78"/>
        <v>12300000</v>
      </c>
      <c r="BC147" s="16">
        <f t="shared" si="79"/>
        <v>12300000</v>
      </c>
    </row>
    <row r="148" spans="16:55" x14ac:dyDescent="0.15">
      <c r="P148" s="16">
        <v>145</v>
      </c>
      <c r="Q148" s="16">
        <f t="shared" si="80"/>
        <v>6563850000</v>
      </c>
      <c r="R148" s="16">
        <f t="shared" si="81"/>
        <v>6563850000</v>
      </c>
      <c r="S148" s="16">
        <f t="shared" si="82"/>
        <v>6563850000</v>
      </c>
      <c r="T148" s="16">
        <f t="shared" si="83"/>
        <v>6563850000</v>
      </c>
      <c r="U148" s="16">
        <f t="shared" si="84"/>
        <v>6563850000</v>
      </c>
      <c r="AN148" s="16">
        <v>145</v>
      </c>
      <c r="AO148" s="16">
        <f t="shared" si="65"/>
        <v>22950000</v>
      </c>
      <c r="AP148" s="16">
        <f t="shared" si="66"/>
        <v>22950000</v>
      </c>
      <c r="AQ148" s="16">
        <f t="shared" si="67"/>
        <v>22950000</v>
      </c>
      <c r="AR148" s="16">
        <f t="shared" si="68"/>
        <v>22950000</v>
      </c>
      <c r="AS148" s="16">
        <f t="shared" si="69"/>
        <v>22950000</v>
      </c>
      <c r="AT148" s="16">
        <f t="shared" si="70"/>
        <v>6528600000</v>
      </c>
      <c r="AU148" s="16">
        <f t="shared" si="71"/>
        <v>6528600000</v>
      </c>
      <c r="AV148" s="16">
        <f t="shared" si="72"/>
        <v>6528600000</v>
      </c>
      <c r="AW148" s="16">
        <f t="shared" si="73"/>
        <v>6528600000</v>
      </c>
      <c r="AX148" s="16">
        <f t="shared" si="74"/>
        <v>6528600000</v>
      </c>
      <c r="AY148" s="16">
        <f t="shared" si="75"/>
        <v>12300000</v>
      </c>
      <c r="AZ148" s="16">
        <f t="shared" si="76"/>
        <v>12300000</v>
      </c>
      <c r="BA148" s="16">
        <f t="shared" si="77"/>
        <v>12300000</v>
      </c>
      <c r="BB148" s="16">
        <f t="shared" si="78"/>
        <v>12300000</v>
      </c>
      <c r="BC148" s="16">
        <f t="shared" si="79"/>
        <v>12300000</v>
      </c>
    </row>
    <row r="149" spans="16:55" x14ac:dyDescent="0.15">
      <c r="P149" s="16">
        <v>146</v>
      </c>
      <c r="Q149" s="16">
        <f t="shared" si="80"/>
        <v>6563850000</v>
      </c>
      <c r="R149" s="16">
        <f t="shared" si="81"/>
        <v>6563850000</v>
      </c>
      <c r="S149" s="16">
        <f t="shared" si="82"/>
        <v>6563850000</v>
      </c>
      <c r="T149" s="16">
        <f t="shared" si="83"/>
        <v>6563850000</v>
      </c>
      <c r="U149" s="16">
        <f t="shared" si="84"/>
        <v>6563850000</v>
      </c>
      <c r="AN149" s="16">
        <v>146</v>
      </c>
      <c r="AO149" s="16">
        <f t="shared" si="65"/>
        <v>22950000</v>
      </c>
      <c r="AP149" s="16">
        <f t="shared" si="66"/>
        <v>22950000</v>
      </c>
      <c r="AQ149" s="16">
        <f t="shared" si="67"/>
        <v>22950000</v>
      </c>
      <c r="AR149" s="16">
        <f t="shared" si="68"/>
        <v>22950000</v>
      </c>
      <c r="AS149" s="16">
        <f t="shared" si="69"/>
        <v>22950000</v>
      </c>
      <c r="AT149" s="16">
        <f t="shared" si="70"/>
        <v>6528600000</v>
      </c>
      <c r="AU149" s="16">
        <f t="shared" si="71"/>
        <v>6528600000</v>
      </c>
      <c r="AV149" s="16">
        <f t="shared" si="72"/>
        <v>6528600000</v>
      </c>
      <c r="AW149" s="16">
        <f t="shared" si="73"/>
        <v>6528600000</v>
      </c>
      <c r="AX149" s="16">
        <f t="shared" si="74"/>
        <v>6528600000</v>
      </c>
      <c r="AY149" s="16">
        <f t="shared" si="75"/>
        <v>12300000</v>
      </c>
      <c r="AZ149" s="16">
        <f t="shared" si="76"/>
        <v>12300000</v>
      </c>
      <c r="BA149" s="16">
        <f t="shared" si="77"/>
        <v>12300000</v>
      </c>
      <c r="BB149" s="16">
        <f t="shared" si="78"/>
        <v>12300000</v>
      </c>
      <c r="BC149" s="16">
        <f t="shared" si="79"/>
        <v>12300000</v>
      </c>
    </row>
    <row r="150" spans="16:55" x14ac:dyDescent="0.15">
      <c r="P150" s="16">
        <v>147</v>
      </c>
      <c r="Q150" s="16">
        <f t="shared" si="80"/>
        <v>6563850000</v>
      </c>
      <c r="R150" s="16">
        <f t="shared" si="81"/>
        <v>6563850000</v>
      </c>
      <c r="S150" s="16">
        <f t="shared" si="82"/>
        <v>6563850000</v>
      </c>
      <c r="T150" s="16">
        <f t="shared" si="83"/>
        <v>6563850000</v>
      </c>
      <c r="U150" s="16">
        <f t="shared" si="84"/>
        <v>6563850000</v>
      </c>
      <c r="AN150" s="16">
        <v>147</v>
      </c>
      <c r="AO150" s="16">
        <f t="shared" si="65"/>
        <v>22950000</v>
      </c>
      <c r="AP150" s="16">
        <f t="shared" si="66"/>
        <v>22950000</v>
      </c>
      <c r="AQ150" s="16">
        <f t="shared" si="67"/>
        <v>22950000</v>
      </c>
      <c r="AR150" s="16">
        <f t="shared" si="68"/>
        <v>22950000</v>
      </c>
      <c r="AS150" s="16">
        <f t="shared" si="69"/>
        <v>22950000</v>
      </c>
      <c r="AT150" s="16">
        <f t="shared" si="70"/>
        <v>6528600000</v>
      </c>
      <c r="AU150" s="16">
        <f t="shared" si="71"/>
        <v>6528600000</v>
      </c>
      <c r="AV150" s="16">
        <f t="shared" si="72"/>
        <v>6528600000</v>
      </c>
      <c r="AW150" s="16">
        <f t="shared" si="73"/>
        <v>6528600000</v>
      </c>
      <c r="AX150" s="16">
        <f t="shared" si="74"/>
        <v>6528600000</v>
      </c>
      <c r="AY150" s="16">
        <f t="shared" si="75"/>
        <v>12300000</v>
      </c>
      <c r="AZ150" s="16">
        <f t="shared" si="76"/>
        <v>12300000</v>
      </c>
      <c r="BA150" s="16">
        <f t="shared" si="77"/>
        <v>12300000</v>
      </c>
      <c r="BB150" s="16">
        <f t="shared" si="78"/>
        <v>12300000</v>
      </c>
      <c r="BC150" s="16">
        <f t="shared" si="79"/>
        <v>12300000</v>
      </c>
    </row>
    <row r="151" spans="16:55" x14ac:dyDescent="0.15">
      <c r="P151" s="16">
        <v>148</v>
      </c>
      <c r="Q151" s="16">
        <f t="shared" si="80"/>
        <v>6563850000</v>
      </c>
      <c r="R151" s="16">
        <f t="shared" si="81"/>
        <v>6563850000</v>
      </c>
      <c r="S151" s="16">
        <f t="shared" si="82"/>
        <v>6563850000</v>
      </c>
      <c r="T151" s="16">
        <f t="shared" si="83"/>
        <v>6563850000</v>
      </c>
      <c r="U151" s="16">
        <f t="shared" si="84"/>
        <v>6563850000</v>
      </c>
      <c r="AN151" s="16">
        <v>148</v>
      </c>
      <c r="AO151" s="16">
        <f t="shared" si="65"/>
        <v>22950000</v>
      </c>
      <c r="AP151" s="16">
        <f t="shared" si="66"/>
        <v>22950000</v>
      </c>
      <c r="AQ151" s="16">
        <f t="shared" si="67"/>
        <v>22950000</v>
      </c>
      <c r="AR151" s="16">
        <f t="shared" si="68"/>
        <v>22950000</v>
      </c>
      <c r="AS151" s="16">
        <f t="shared" si="69"/>
        <v>22950000</v>
      </c>
      <c r="AT151" s="16">
        <f t="shared" si="70"/>
        <v>6528600000</v>
      </c>
      <c r="AU151" s="16">
        <f t="shared" si="71"/>
        <v>6528600000</v>
      </c>
      <c r="AV151" s="16">
        <f t="shared" si="72"/>
        <v>6528600000</v>
      </c>
      <c r="AW151" s="16">
        <f t="shared" si="73"/>
        <v>6528600000</v>
      </c>
      <c r="AX151" s="16">
        <f t="shared" si="74"/>
        <v>6528600000</v>
      </c>
      <c r="AY151" s="16">
        <f t="shared" si="75"/>
        <v>12300000</v>
      </c>
      <c r="AZ151" s="16">
        <f t="shared" si="76"/>
        <v>12300000</v>
      </c>
      <c r="BA151" s="16">
        <f t="shared" si="77"/>
        <v>12300000</v>
      </c>
      <c r="BB151" s="16">
        <f t="shared" si="78"/>
        <v>12300000</v>
      </c>
      <c r="BC151" s="16">
        <f t="shared" si="79"/>
        <v>12300000</v>
      </c>
    </row>
    <row r="152" spans="16:55" x14ac:dyDescent="0.15">
      <c r="P152" s="16">
        <v>149</v>
      </c>
      <c r="Q152" s="16">
        <f t="shared" si="80"/>
        <v>6563850000</v>
      </c>
      <c r="R152" s="16">
        <f t="shared" si="81"/>
        <v>6563850000</v>
      </c>
      <c r="S152" s="16">
        <f t="shared" si="82"/>
        <v>6563850000</v>
      </c>
      <c r="T152" s="16">
        <f t="shared" si="83"/>
        <v>6563850000</v>
      </c>
      <c r="U152" s="16">
        <f t="shared" si="84"/>
        <v>6563850000</v>
      </c>
      <c r="AN152" s="16">
        <v>149</v>
      </c>
      <c r="AO152" s="16">
        <f t="shared" si="65"/>
        <v>22950000</v>
      </c>
      <c r="AP152" s="16">
        <f t="shared" si="66"/>
        <v>22950000</v>
      </c>
      <c r="AQ152" s="16">
        <f t="shared" si="67"/>
        <v>22950000</v>
      </c>
      <c r="AR152" s="16">
        <f t="shared" si="68"/>
        <v>22950000</v>
      </c>
      <c r="AS152" s="16">
        <f t="shared" si="69"/>
        <v>22950000</v>
      </c>
      <c r="AT152" s="16">
        <f t="shared" si="70"/>
        <v>6528600000</v>
      </c>
      <c r="AU152" s="16">
        <f t="shared" si="71"/>
        <v>6528600000</v>
      </c>
      <c r="AV152" s="16">
        <f t="shared" si="72"/>
        <v>6528600000</v>
      </c>
      <c r="AW152" s="16">
        <f t="shared" si="73"/>
        <v>6528600000</v>
      </c>
      <c r="AX152" s="16">
        <f t="shared" si="74"/>
        <v>6528600000</v>
      </c>
      <c r="AY152" s="16">
        <f t="shared" si="75"/>
        <v>12300000</v>
      </c>
      <c r="AZ152" s="16">
        <f t="shared" si="76"/>
        <v>12300000</v>
      </c>
      <c r="BA152" s="16">
        <f t="shared" si="77"/>
        <v>12300000</v>
      </c>
      <c r="BB152" s="16">
        <f t="shared" si="78"/>
        <v>12300000</v>
      </c>
      <c r="BC152" s="16">
        <f t="shared" si="79"/>
        <v>12300000</v>
      </c>
    </row>
    <row r="153" spans="16:55" x14ac:dyDescent="0.15">
      <c r="P153" s="16">
        <v>150</v>
      </c>
      <c r="Q153" s="16">
        <f t="shared" si="80"/>
        <v>6563850000</v>
      </c>
      <c r="R153" s="16">
        <f t="shared" si="81"/>
        <v>6563850000</v>
      </c>
      <c r="S153" s="16">
        <f t="shared" si="82"/>
        <v>6563850000</v>
      </c>
      <c r="T153" s="16">
        <f t="shared" si="83"/>
        <v>6563850000</v>
      </c>
      <c r="U153" s="16">
        <f t="shared" si="84"/>
        <v>6563850000</v>
      </c>
      <c r="AN153" s="16">
        <v>150</v>
      </c>
      <c r="AO153" s="16">
        <f t="shared" si="65"/>
        <v>22950000</v>
      </c>
      <c r="AP153" s="16">
        <f t="shared" si="66"/>
        <v>22950000</v>
      </c>
      <c r="AQ153" s="16">
        <f t="shared" si="67"/>
        <v>22950000</v>
      </c>
      <c r="AR153" s="16">
        <f t="shared" si="68"/>
        <v>22950000</v>
      </c>
      <c r="AS153" s="16">
        <f t="shared" si="69"/>
        <v>22950000</v>
      </c>
      <c r="AT153" s="16">
        <f t="shared" si="70"/>
        <v>6528600000</v>
      </c>
      <c r="AU153" s="16">
        <f t="shared" si="71"/>
        <v>6528600000</v>
      </c>
      <c r="AV153" s="16">
        <f t="shared" si="72"/>
        <v>6528600000</v>
      </c>
      <c r="AW153" s="16">
        <f t="shared" si="73"/>
        <v>6528600000</v>
      </c>
      <c r="AX153" s="16">
        <f t="shared" si="74"/>
        <v>6528600000</v>
      </c>
      <c r="AY153" s="16">
        <f t="shared" si="75"/>
        <v>12300000</v>
      </c>
      <c r="AZ153" s="16">
        <f t="shared" si="76"/>
        <v>12300000</v>
      </c>
      <c r="BA153" s="16">
        <f t="shared" si="77"/>
        <v>12300000</v>
      </c>
      <c r="BB153" s="16">
        <f t="shared" si="78"/>
        <v>12300000</v>
      </c>
      <c r="BC153" s="16">
        <f t="shared" si="79"/>
        <v>12300000</v>
      </c>
    </row>
    <row r="154" spans="16:55" x14ac:dyDescent="0.15">
      <c r="P154" s="16">
        <v>151</v>
      </c>
      <c r="Q154" s="16">
        <f t="shared" si="80"/>
        <v>6563850000</v>
      </c>
      <c r="R154" s="16">
        <f t="shared" si="81"/>
        <v>6563850000</v>
      </c>
      <c r="S154" s="16">
        <f t="shared" si="82"/>
        <v>6563850000</v>
      </c>
      <c r="T154" s="16">
        <f t="shared" si="83"/>
        <v>6563850000</v>
      </c>
      <c r="U154" s="16">
        <f t="shared" si="84"/>
        <v>6563850000</v>
      </c>
      <c r="AN154" s="16">
        <v>151</v>
      </c>
      <c r="AO154" s="16">
        <f t="shared" si="65"/>
        <v>22950000</v>
      </c>
      <c r="AP154" s="16">
        <f t="shared" si="66"/>
        <v>22950000</v>
      </c>
      <c r="AQ154" s="16">
        <f t="shared" si="67"/>
        <v>22950000</v>
      </c>
      <c r="AR154" s="16">
        <f t="shared" si="68"/>
        <v>22950000</v>
      </c>
      <c r="AS154" s="16">
        <f t="shared" si="69"/>
        <v>22950000</v>
      </c>
      <c r="AT154" s="16">
        <f t="shared" si="70"/>
        <v>6528600000</v>
      </c>
      <c r="AU154" s="16">
        <f t="shared" si="71"/>
        <v>6528600000</v>
      </c>
      <c r="AV154" s="16">
        <f t="shared" si="72"/>
        <v>6528600000</v>
      </c>
      <c r="AW154" s="16">
        <f t="shared" si="73"/>
        <v>6528600000</v>
      </c>
      <c r="AX154" s="16">
        <f t="shared" si="74"/>
        <v>6528600000</v>
      </c>
      <c r="AY154" s="16">
        <f t="shared" si="75"/>
        <v>12300000</v>
      </c>
      <c r="AZ154" s="16">
        <f t="shared" si="76"/>
        <v>12300000</v>
      </c>
      <c r="BA154" s="16">
        <f t="shared" si="77"/>
        <v>12300000</v>
      </c>
      <c r="BB154" s="16">
        <f t="shared" si="78"/>
        <v>12300000</v>
      </c>
      <c r="BC154" s="16">
        <f t="shared" si="79"/>
        <v>12300000</v>
      </c>
    </row>
    <row r="155" spans="16:55" x14ac:dyDescent="0.15">
      <c r="P155" s="16">
        <v>152</v>
      </c>
      <c r="Q155" s="16">
        <f t="shared" si="80"/>
        <v>6563850000</v>
      </c>
      <c r="R155" s="16">
        <f t="shared" si="81"/>
        <v>6563850000</v>
      </c>
      <c r="S155" s="16">
        <f t="shared" si="82"/>
        <v>6563850000</v>
      </c>
      <c r="T155" s="16">
        <f t="shared" si="83"/>
        <v>6563850000</v>
      </c>
      <c r="U155" s="16">
        <f t="shared" si="84"/>
        <v>6563850000</v>
      </c>
      <c r="AN155" s="16">
        <v>152</v>
      </c>
      <c r="AO155" s="16">
        <f t="shared" si="65"/>
        <v>22950000</v>
      </c>
      <c r="AP155" s="16">
        <f t="shared" si="66"/>
        <v>22950000</v>
      </c>
      <c r="AQ155" s="16">
        <f t="shared" si="67"/>
        <v>22950000</v>
      </c>
      <c r="AR155" s="16">
        <f t="shared" si="68"/>
        <v>22950000</v>
      </c>
      <c r="AS155" s="16">
        <f t="shared" si="69"/>
        <v>22950000</v>
      </c>
      <c r="AT155" s="16">
        <f t="shared" si="70"/>
        <v>6528600000</v>
      </c>
      <c r="AU155" s="16">
        <f t="shared" si="71"/>
        <v>6528600000</v>
      </c>
      <c r="AV155" s="16">
        <f t="shared" si="72"/>
        <v>6528600000</v>
      </c>
      <c r="AW155" s="16">
        <f t="shared" si="73"/>
        <v>6528600000</v>
      </c>
      <c r="AX155" s="16">
        <f t="shared" si="74"/>
        <v>6528600000</v>
      </c>
      <c r="AY155" s="16">
        <f t="shared" si="75"/>
        <v>12300000</v>
      </c>
      <c r="AZ155" s="16">
        <f t="shared" si="76"/>
        <v>12300000</v>
      </c>
      <c r="BA155" s="16">
        <f t="shared" si="77"/>
        <v>12300000</v>
      </c>
      <c r="BB155" s="16">
        <f t="shared" si="78"/>
        <v>12300000</v>
      </c>
      <c r="BC155" s="16">
        <f t="shared" si="79"/>
        <v>12300000</v>
      </c>
    </row>
    <row r="156" spans="16:55" x14ac:dyDescent="0.15">
      <c r="P156" s="16">
        <v>153</v>
      </c>
      <c r="Q156" s="16">
        <f t="shared" si="80"/>
        <v>6563850000</v>
      </c>
      <c r="R156" s="16">
        <f t="shared" si="81"/>
        <v>6563850000</v>
      </c>
      <c r="S156" s="16">
        <f t="shared" si="82"/>
        <v>6563850000</v>
      </c>
      <c r="T156" s="16">
        <f t="shared" si="83"/>
        <v>6563850000</v>
      </c>
      <c r="U156" s="16">
        <f t="shared" si="84"/>
        <v>6563850000</v>
      </c>
      <c r="AN156" s="16">
        <v>153</v>
      </c>
      <c r="AO156" s="16">
        <f t="shared" si="65"/>
        <v>22950000</v>
      </c>
      <c r="AP156" s="16">
        <f t="shared" si="66"/>
        <v>22950000</v>
      </c>
      <c r="AQ156" s="16">
        <f t="shared" si="67"/>
        <v>22950000</v>
      </c>
      <c r="AR156" s="16">
        <f t="shared" si="68"/>
        <v>22950000</v>
      </c>
      <c r="AS156" s="16">
        <f t="shared" si="69"/>
        <v>0</v>
      </c>
      <c r="AT156" s="16">
        <f t="shared" si="70"/>
        <v>6528600000</v>
      </c>
      <c r="AU156" s="16">
        <f t="shared" si="71"/>
        <v>6528600000</v>
      </c>
      <c r="AV156" s="16">
        <f t="shared" si="72"/>
        <v>6528600000</v>
      </c>
      <c r="AW156" s="16">
        <f t="shared" si="73"/>
        <v>6528600000</v>
      </c>
      <c r="AX156" s="16">
        <f t="shared" si="74"/>
        <v>0</v>
      </c>
      <c r="AY156" s="16">
        <f t="shared" si="75"/>
        <v>12300000</v>
      </c>
      <c r="AZ156" s="16">
        <f t="shared" si="76"/>
        <v>12300000</v>
      </c>
      <c r="BA156" s="16">
        <f t="shared" si="77"/>
        <v>12300000</v>
      </c>
      <c r="BB156" s="16">
        <f t="shared" si="78"/>
        <v>12300000</v>
      </c>
      <c r="BC156" s="16">
        <f t="shared" si="79"/>
        <v>0</v>
      </c>
    </row>
    <row r="157" spans="16:55" x14ac:dyDescent="0.15">
      <c r="P157" s="16">
        <v>154</v>
      </c>
      <c r="Q157" s="16">
        <f t="shared" si="80"/>
        <v>6563850000</v>
      </c>
      <c r="R157" s="16">
        <f t="shared" si="81"/>
        <v>6563850000</v>
      </c>
      <c r="S157" s="16">
        <f t="shared" si="82"/>
        <v>6563850000</v>
      </c>
      <c r="T157" s="16">
        <f t="shared" si="83"/>
        <v>6563850000</v>
      </c>
      <c r="U157" s="16">
        <f t="shared" si="84"/>
        <v>6563850000</v>
      </c>
      <c r="AN157" s="16">
        <v>154</v>
      </c>
      <c r="AO157" s="16">
        <f t="shared" si="65"/>
        <v>22950000</v>
      </c>
      <c r="AP157" s="16">
        <f t="shared" si="66"/>
        <v>22950000</v>
      </c>
      <c r="AQ157" s="16">
        <f t="shared" si="67"/>
        <v>22950000</v>
      </c>
      <c r="AR157" s="16">
        <f t="shared" si="68"/>
        <v>0</v>
      </c>
      <c r="AS157" s="16">
        <f t="shared" si="69"/>
        <v>0</v>
      </c>
      <c r="AT157" s="16">
        <f t="shared" si="70"/>
        <v>6528600000</v>
      </c>
      <c r="AU157" s="16">
        <f t="shared" si="71"/>
        <v>6528600000</v>
      </c>
      <c r="AV157" s="16">
        <f t="shared" si="72"/>
        <v>6528600000</v>
      </c>
      <c r="AW157" s="16">
        <f t="shared" si="73"/>
        <v>0</v>
      </c>
      <c r="AX157" s="16">
        <f t="shared" si="74"/>
        <v>0</v>
      </c>
      <c r="AY157" s="16">
        <f t="shared" si="75"/>
        <v>12300000</v>
      </c>
      <c r="AZ157" s="16">
        <f t="shared" si="76"/>
        <v>12300000</v>
      </c>
      <c r="BA157" s="16">
        <f t="shared" si="77"/>
        <v>12300000</v>
      </c>
      <c r="BB157" s="16">
        <f t="shared" si="78"/>
        <v>0</v>
      </c>
      <c r="BC157" s="16">
        <f t="shared" si="79"/>
        <v>0</v>
      </c>
    </row>
    <row r="158" spans="16:55" x14ac:dyDescent="0.15">
      <c r="P158" s="16">
        <v>155</v>
      </c>
      <c r="Q158" s="16">
        <f t="shared" si="80"/>
        <v>6563850000</v>
      </c>
      <c r="R158" s="16">
        <f t="shared" si="81"/>
        <v>6563850000</v>
      </c>
      <c r="S158" s="16">
        <f t="shared" si="82"/>
        <v>6563850000</v>
      </c>
      <c r="T158" s="16">
        <f t="shared" si="83"/>
        <v>6563850000</v>
      </c>
      <c r="U158" s="16">
        <f t="shared" si="84"/>
        <v>6563850000</v>
      </c>
      <c r="AN158" s="16">
        <v>155</v>
      </c>
      <c r="AO158" s="16">
        <f t="shared" si="65"/>
        <v>22950000</v>
      </c>
      <c r="AP158" s="16">
        <f t="shared" si="66"/>
        <v>22604925.997325525</v>
      </c>
      <c r="AQ158" s="16">
        <f t="shared" si="67"/>
        <v>5500281.6194772422</v>
      </c>
      <c r="AR158" s="16">
        <f t="shared" si="68"/>
        <v>0</v>
      </c>
      <c r="AS158" s="16">
        <f t="shared" si="69"/>
        <v>0</v>
      </c>
      <c r="AT158" s="16">
        <f t="shared" si="70"/>
        <v>6528600000</v>
      </c>
      <c r="AU158" s="16">
        <f t="shared" si="71"/>
        <v>6430436595.4744844</v>
      </c>
      <c r="AV158" s="16">
        <f t="shared" si="72"/>
        <v>1564668347.7524672</v>
      </c>
      <c r="AW158" s="16">
        <f t="shared" si="73"/>
        <v>0</v>
      </c>
      <c r="AX158" s="16">
        <f t="shared" si="74"/>
        <v>0</v>
      </c>
      <c r="AY158" s="16">
        <f t="shared" si="75"/>
        <v>12300000</v>
      </c>
      <c r="AZ158" s="16">
        <f t="shared" si="76"/>
        <v>12115058.377651587</v>
      </c>
      <c r="BA158" s="16">
        <f t="shared" si="77"/>
        <v>2947863.3516152538</v>
      </c>
      <c r="BB158" s="16">
        <f t="shared" si="78"/>
        <v>0</v>
      </c>
      <c r="BC158" s="16">
        <f t="shared" si="79"/>
        <v>0</v>
      </c>
    </row>
    <row r="159" spans="16:55" x14ac:dyDescent="0.15">
      <c r="P159" s="16">
        <v>156</v>
      </c>
      <c r="Q159" s="16">
        <f t="shared" si="80"/>
        <v>6563850000</v>
      </c>
      <c r="R159" s="16">
        <f t="shared" si="81"/>
        <v>6563850000</v>
      </c>
      <c r="S159" s="16">
        <f t="shared" si="82"/>
        <v>6563850000</v>
      </c>
      <c r="T159" s="16">
        <f t="shared" si="83"/>
        <v>6563850000</v>
      </c>
      <c r="U159" s="16">
        <f t="shared" si="84"/>
        <v>6563850000</v>
      </c>
      <c r="AN159" s="16">
        <v>156</v>
      </c>
      <c r="AO159" s="16">
        <f t="shared" si="65"/>
        <v>22950000</v>
      </c>
      <c r="AP159" s="16">
        <f t="shared" si="66"/>
        <v>14041625.927948568</v>
      </c>
      <c r="AQ159" s="16">
        <f t="shared" si="67"/>
        <v>0</v>
      </c>
      <c r="AR159" s="16">
        <f t="shared" si="68"/>
        <v>0</v>
      </c>
      <c r="AS159" s="16">
        <f t="shared" si="69"/>
        <v>0</v>
      </c>
      <c r="AT159" s="16">
        <f t="shared" si="70"/>
        <v>6528600000</v>
      </c>
      <c r="AU159" s="16">
        <f t="shared" si="71"/>
        <v>3994429587.5034876</v>
      </c>
      <c r="AV159" s="16">
        <f t="shared" si="72"/>
        <v>0</v>
      </c>
      <c r="AW159" s="16">
        <f t="shared" si="73"/>
        <v>0</v>
      </c>
      <c r="AX159" s="16">
        <f t="shared" si="74"/>
        <v>0</v>
      </c>
      <c r="AY159" s="16">
        <f t="shared" si="75"/>
        <v>12300000</v>
      </c>
      <c r="AZ159" s="16">
        <f t="shared" si="76"/>
        <v>7525577.2947175344</v>
      </c>
      <c r="BA159" s="16">
        <f t="shared" si="77"/>
        <v>0</v>
      </c>
      <c r="BB159" s="16">
        <f t="shared" si="78"/>
        <v>0</v>
      </c>
      <c r="BC159" s="16">
        <f t="shared" si="79"/>
        <v>0</v>
      </c>
    </row>
    <row r="160" spans="16:55" x14ac:dyDescent="0.15">
      <c r="P160" s="16">
        <v>157</v>
      </c>
      <c r="Q160" s="16">
        <f t="shared" si="80"/>
        <v>6563850000</v>
      </c>
      <c r="R160" s="16">
        <f t="shared" si="81"/>
        <v>6563850000</v>
      </c>
      <c r="S160" s="16">
        <f t="shared" si="82"/>
        <v>6563850000</v>
      </c>
      <c r="T160" s="16">
        <f t="shared" si="83"/>
        <v>6563850000</v>
      </c>
      <c r="U160" s="16">
        <f t="shared" si="84"/>
        <v>6563850000</v>
      </c>
      <c r="AN160" s="16">
        <v>157</v>
      </c>
      <c r="AO160" s="16">
        <f t="shared" si="65"/>
        <v>19777719.668261223</v>
      </c>
      <c r="AP160" s="16">
        <f t="shared" si="66"/>
        <v>5478325.8585716151</v>
      </c>
      <c r="AQ160" s="16">
        <f t="shared" si="67"/>
        <v>0</v>
      </c>
      <c r="AR160" s="16">
        <f t="shared" si="68"/>
        <v>0</v>
      </c>
      <c r="AS160" s="16">
        <f t="shared" si="69"/>
        <v>0</v>
      </c>
      <c r="AT160" s="16">
        <f t="shared" si="70"/>
        <v>5626179547.983016</v>
      </c>
      <c r="AU160" s="16">
        <f t="shared" si="71"/>
        <v>1558422579.5324907</v>
      </c>
      <c r="AV160" s="16">
        <f t="shared" si="72"/>
        <v>0</v>
      </c>
      <c r="AW160" s="16">
        <f t="shared" si="73"/>
        <v>0</v>
      </c>
      <c r="AX160" s="16">
        <f t="shared" si="74"/>
        <v>0</v>
      </c>
      <c r="AY160" s="16">
        <f t="shared" si="75"/>
        <v>10599823.613055034</v>
      </c>
      <c r="AZ160" s="16">
        <f t="shared" si="76"/>
        <v>2936096.2117834799</v>
      </c>
      <c r="BA160" s="16">
        <f t="shared" si="77"/>
        <v>0</v>
      </c>
      <c r="BB160" s="16">
        <f t="shared" si="78"/>
        <v>0</v>
      </c>
      <c r="BC160" s="16">
        <f t="shared" si="79"/>
        <v>0</v>
      </c>
    </row>
    <row r="161" spans="16:55" x14ac:dyDescent="0.15">
      <c r="P161" s="16">
        <v>158</v>
      </c>
      <c r="Q161" s="16">
        <f t="shared" si="80"/>
        <v>6563850000</v>
      </c>
      <c r="R161" s="16">
        <f t="shared" si="81"/>
        <v>6563850000</v>
      </c>
      <c r="S161" s="16">
        <f t="shared" si="82"/>
        <v>6563850000</v>
      </c>
      <c r="T161" s="16">
        <f t="shared" si="83"/>
        <v>6563850000</v>
      </c>
      <c r="U161" s="16">
        <f t="shared" si="84"/>
        <v>6563850000</v>
      </c>
      <c r="AN161" s="16">
        <v>158</v>
      </c>
      <c r="AO161" s="16">
        <f t="shared" si="65"/>
        <v>13167574.617248483</v>
      </c>
      <c r="AP161" s="16">
        <f t="shared" si="66"/>
        <v>0</v>
      </c>
      <c r="AQ161" s="16">
        <f t="shared" si="67"/>
        <v>0</v>
      </c>
      <c r="AR161" s="16">
        <f t="shared" si="68"/>
        <v>0</v>
      </c>
      <c r="AS161" s="16">
        <f t="shared" si="69"/>
        <v>0</v>
      </c>
      <c r="AT161" s="16">
        <f t="shared" si="70"/>
        <v>3745787697.0008044</v>
      </c>
      <c r="AU161" s="16">
        <f t="shared" si="71"/>
        <v>0</v>
      </c>
      <c r="AV161" s="16">
        <f t="shared" si="72"/>
        <v>0</v>
      </c>
      <c r="AW161" s="16">
        <f t="shared" si="73"/>
        <v>0</v>
      </c>
      <c r="AX161" s="16">
        <f t="shared" si="74"/>
        <v>0</v>
      </c>
      <c r="AY161" s="16">
        <f t="shared" si="75"/>
        <v>7057131.4942116058</v>
      </c>
      <c r="AZ161" s="16">
        <f t="shared" si="76"/>
        <v>0</v>
      </c>
      <c r="BA161" s="16">
        <f t="shared" si="77"/>
        <v>0</v>
      </c>
      <c r="BB161" s="16">
        <f t="shared" si="78"/>
        <v>0</v>
      </c>
      <c r="BC161" s="16">
        <f t="shared" si="79"/>
        <v>0</v>
      </c>
    </row>
    <row r="162" spans="16:55" x14ac:dyDescent="0.15">
      <c r="P162" s="16">
        <v>159</v>
      </c>
      <c r="Q162" s="16">
        <f>求节点(B$4:B$42,G$4:G$42,$P162)</f>
        <v>6563850000</v>
      </c>
      <c r="R162" s="16">
        <f>求节点(C$4:C$42,H$4:H$42,$P162)</f>
        <v>6563850000</v>
      </c>
      <c r="S162" s="16">
        <f>求节点(D$4:D$42,I$4:I$42,$P162)</f>
        <v>6563850000</v>
      </c>
      <c r="T162" s="16">
        <f>求节点(E$4:E$42,J$4:J$42,$P162)</f>
        <v>6563850000</v>
      </c>
      <c r="U162" s="16">
        <f>求节点(F$4:F$42,K$4:K$42,$P162)</f>
        <v>6563850000</v>
      </c>
      <c r="AN162" s="16">
        <v>159</v>
      </c>
      <c r="AO162" s="16">
        <f t="shared" si="65"/>
        <v>6557429.5662357453</v>
      </c>
      <c r="AP162" s="16">
        <f t="shared" si="66"/>
        <v>0</v>
      </c>
      <c r="AQ162" s="16">
        <f t="shared" si="67"/>
        <v>0</v>
      </c>
      <c r="AR162" s="16">
        <f t="shared" si="68"/>
        <v>0</v>
      </c>
      <c r="AS162" s="16">
        <f t="shared" si="69"/>
        <v>0</v>
      </c>
      <c r="AT162" s="16">
        <f t="shared" si="70"/>
        <v>1865395846.0185928</v>
      </c>
      <c r="AU162" s="16">
        <f t="shared" si="71"/>
        <v>0</v>
      </c>
      <c r="AV162" s="16">
        <f t="shared" si="72"/>
        <v>0</v>
      </c>
      <c r="AW162" s="16">
        <f t="shared" si="73"/>
        <v>0</v>
      </c>
      <c r="AX162" s="16">
        <f t="shared" si="74"/>
        <v>0</v>
      </c>
      <c r="AY162" s="16">
        <f t="shared" si="75"/>
        <v>3514439.3753681779</v>
      </c>
      <c r="AZ162" s="16">
        <f t="shared" si="76"/>
        <v>0</v>
      </c>
      <c r="BA162" s="16">
        <f t="shared" si="77"/>
        <v>0</v>
      </c>
      <c r="BB162" s="16">
        <f t="shared" si="78"/>
        <v>0</v>
      </c>
      <c r="BC162" s="16">
        <f t="shared" si="79"/>
        <v>0</v>
      </c>
    </row>
    <row r="163" spans="16:55" x14ac:dyDescent="0.15">
      <c r="P163" s="16">
        <v>160</v>
      </c>
      <c r="Q163" s="16">
        <f t="shared" ref="Q163" si="85">求节点(B$4:B$42,G$4:G$42,$P163)</f>
        <v>6563850000</v>
      </c>
      <c r="R163" s="16">
        <f t="shared" ref="R163" si="86">求节点(C$4:C$42,H$4:H$42,$P163)</f>
        <v>6563850000</v>
      </c>
      <c r="S163" s="16">
        <f t="shared" ref="S163" si="87">求节点(D$4:D$42,I$4:I$42,$P163)</f>
        <v>6563850000</v>
      </c>
      <c r="T163" s="16">
        <f t="shared" ref="T163" si="88">求节点(E$4:E$42,J$4:J$42,$P163)</f>
        <v>6563850000</v>
      </c>
      <c r="U163" s="16">
        <f t="shared" ref="U163" si="89">求节点(F$4:F$42,K$4:K$42,$P163)</f>
        <v>6563850000</v>
      </c>
      <c r="AN163" s="16">
        <v>160</v>
      </c>
      <c r="AO163" s="16">
        <f t="shared" si="65"/>
        <v>0</v>
      </c>
      <c r="AP163" s="16">
        <f t="shared" si="66"/>
        <v>0</v>
      </c>
      <c r="AQ163" s="16">
        <f t="shared" si="67"/>
        <v>0</v>
      </c>
      <c r="AR163" s="16">
        <f t="shared" si="68"/>
        <v>0</v>
      </c>
      <c r="AS163" s="16">
        <f t="shared" si="69"/>
        <v>0</v>
      </c>
      <c r="AT163" s="16">
        <f t="shared" si="70"/>
        <v>0</v>
      </c>
      <c r="AU163" s="16">
        <f t="shared" si="71"/>
        <v>0</v>
      </c>
      <c r="AV163" s="16">
        <f t="shared" si="72"/>
        <v>0</v>
      </c>
      <c r="AW163" s="16">
        <f t="shared" si="73"/>
        <v>0</v>
      </c>
      <c r="AX163" s="16">
        <f t="shared" si="74"/>
        <v>0</v>
      </c>
      <c r="AY163" s="16">
        <f t="shared" si="75"/>
        <v>0</v>
      </c>
      <c r="AZ163" s="16">
        <f t="shared" si="76"/>
        <v>0</v>
      </c>
      <c r="BA163" s="16">
        <f t="shared" si="77"/>
        <v>0</v>
      </c>
      <c r="BB163" s="16">
        <f t="shared" si="78"/>
        <v>0</v>
      </c>
      <c r="BC163" s="16">
        <f t="shared" si="79"/>
        <v>0</v>
      </c>
    </row>
  </sheetData>
  <mergeCells count="11">
    <mergeCell ref="AY2:BC2"/>
    <mergeCell ref="AC3:AG3"/>
    <mergeCell ref="AH3:AL3"/>
    <mergeCell ref="AO2:AS2"/>
    <mergeCell ref="AT2:AX2"/>
    <mergeCell ref="B2:F2"/>
    <mergeCell ref="G2:K2"/>
    <mergeCell ref="Q2:U2"/>
    <mergeCell ref="L2:N2"/>
    <mergeCell ref="X3:AB3"/>
    <mergeCell ref="X2:AB2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ES163"/>
  <sheetViews>
    <sheetView topLeftCell="DA1" workbookViewId="0">
      <selection activeCell="DM4" sqref="DM4"/>
    </sheetView>
  </sheetViews>
  <sheetFormatPr defaultColWidth="7.5" defaultRowHeight="11.25" x14ac:dyDescent="0.15"/>
  <cols>
    <col min="1" max="12" width="7.5" style="16"/>
    <col min="13" max="13" width="7.5" style="7"/>
    <col min="14" max="22" width="7.5" style="16"/>
    <col min="23" max="23" width="6.25" style="26" customWidth="1"/>
    <col min="24" max="35" width="7.5" style="16"/>
    <col min="36" max="36" width="6.625" style="17" customWidth="1"/>
    <col min="37" max="37" width="7.5" style="7" bestFit="1" customWidth="1"/>
    <col min="38" max="38" width="8.125" style="16" customWidth="1"/>
    <col min="39" max="45" width="7.5" style="16"/>
    <col min="46" max="55" width="7.5" style="17"/>
    <col min="56" max="56" width="7.5" style="17" customWidth="1"/>
    <col min="57" max="57" width="7.5" style="17"/>
    <col min="58" max="58" width="7.5" style="7"/>
    <col min="59" max="66" width="7.5" style="17"/>
    <col min="67" max="67" width="6.25" style="26" customWidth="1"/>
    <col min="68" max="86" width="7.5" style="17"/>
    <col min="87" max="87" width="7.5" style="16"/>
    <col min="88" max="88" width="6.25" style="26" customWidth="1"/>
    <col min="89" max="89" width="7.5" style="17"/>
    <col min="90" max="90" width="7.5" style="17" customWidth="1"/>
    <col min="91" max="107" width="7.5" style="17"/>
    <col min="108" max="108" width="7.5" style="16"/>
    <col min="109" max="109" width="6.25" style="26" customWidth="1"/>
    <col min="110" max="110" width="6.625" style="16" customWidth="1"/>
    <col min="111" max="111" width="7.5" style="17" customWidth="1"/>
    <col min="112" max="128" width="7.5" style="17"/>
    <col min="129" max="129" width="7.5" style="16"/>
    <col min="130" max="130" width="6.25" style="26" customWidth="1"/>
    <col min="131" max="149" width="7.5" style="17"/>
    <col min="150" max="16384" width="7.5" style="16"/>
  </cols>
  <sheetData>
    <row r="1" spans="1:149" x14ac:dyDescent="0.15">
      <c r="A1" s="16" t="s">
        <v>223</v>
      </c>
      <c r="Y1" s="30" t="s">
        <v>256</v>
      </c>
      <c r="AT1" s="30" t="s">
        <v>251</v>
      </c>
      <c r="BQ1" s="17" t="s">
        <v>235</v>
      </c>
      <c r="CL1" s="17" t="s">
        <v>237</v>
      </c>
      <c r="DG1" s="27" t="s">
        <v>299</v>
      </c>
      <c r="EB1" s="17" t="s">
        <v>732</v>
      </c>
    </row>
    <row r="2" spans="1:149" x14ac:dyDescent="0.15">
      <c r="B2" s="187" t="s">
        <v>478</v>
      </c>
      <c r="C2" s="187"/>
      <c r="D2" s="187"/>
      <c r="E2" s="187"/>
      <c r="F2" s="187"/>
      <c r="G2" s="187" t="s">
        <v>224</v>
      </c>
      <c r="H2" s="187"/>
      <c r="I2" s="187"/>
      <c r="J2" s="187"/>
      <c r="K2" s="187"/>
      <c r="L2" s="187" t="s">
        <v>229</v>
      </c>
      <c r="M2" s="187"/>
      <c r="Q2" s="187" t="s">
        <v>225</v>
      </c>
      <c r="R2" s="187"/>
      <c r="S2" s="187"/>
      <c r="T2" s="187"/>
      <c r="U2" s="187"/>
      <c r="Z2" s="187" t="s">
        <v>478</v>
      </c>
      <c r="AA2" s="187"/>
      <c r="AB2" s="187"/>
      <c r="AC2" s="187"/>
      <c r="AD2" s="187"/>
      <c r="AE2" s="187" t="s">
        <v>257</v>
      </c>
      <c r="AF2" s="187"/>
      <c r="AG2" s="187"/>
      <c r="AH2" s="187"/>
      <c r="AI2" s="187"/>
      <c r="AJ2" s="187" t="s">
        <v>229</v>
      </c>
      <c r="AK2" s="187"/>
      <c r="AN2" s="187" t="s">
        <v>258</v>
      </c>
      <c r="AO2" s="187"/>
      <c r="AP2" s="187"/>
      <c r="AQ2" s="187"/>
      <c r="AR2" s="187"/>
      <c r="AU2" s="187" t="s">
        <v>478</v>
      </c>
      <c r="AV2" s="187"/>
      <c r="AW2" s="187"/>
      <c r="AX2" s="187"/>
      <c r="AY2" s="187"/>
      <c r="AZ2" s="187" t="s">
        <v>251</v>
      </c>
      <c r="BA2" s="187"/>
      <c r="BB2" s="187"/>
      <c r="BC2" s="187"/>
      <c r="BD2" s="187"/>
      <c r="BE2" s="187" t="s">
        <v>229</v>
      </c>
      <c r="BF2" s="187"/>
      <c r="BI2" s="187" t="s">
        <v>259</v>
      </c>
      <c r="BJ2" s="187"/>
      <c r="BK2" s="187"/>
      <c r="BL2" s="187"/>
      <c r="BM2" s="187"/>
      <c r="BR2" s="187" t="s">
        <v>478</v>
      </c>
      <c r="BS2" s="187"/>
      <c r="BT2" s="187"/>
      <c r="BU2" s="187"/>
      <c r="BV2" s="187"/>
      <c r="BW2" s="187" t="s">
        <v>235</v>
      </c>
      <c r="BX2" s="187"/>
      <c r="BY2" s="187"/>
      <c r="BZ2" s="187"/>
      <c r="CA2" s="187"/>
      <c r="CD2" s="187" t="s">
        <v>236</v>
      </c>
      <c r="CE2" s="187"/>
      <c r="CF2" s="187"/>
      <c r="CG2" s="187"/>
      <c r="CH2" s="187"/>
      <c r="CM2" s="187" t="s">
        <v>478</v>
      </c>
      <c r="CN2" s="187"/>
      <c r="CO2" s="187"/>
      <c r="CP2" s="187"/>
      <c r="CQ2" s="187"/>
      <c r="CR2" s="187" t="s">
        <v>239</v>
      </c>
      <c r="CS2" s="187"/>
      <c r="CT2" s="187"/>
      <c r="CU2" s="187"/>
      <c r="CV2" s="187"/>
      <c r="CY2" s="187" t="s">
        <v>240</v>
      </c>
      <c r="CZ2" s="187"/>
      <c r="DA2" s="187"/>
      <c r="DB2" s="187"/>
      <c r="DC2" s="187"/>
      <c r="DH2" s="187" t="s">
        <v>478</v>
      </c>
      <c r="DI2" s="187"/>
      <c r="DJ2" s="187"/>
      <c r="DK2" s="187"/>
      <c r="DL2" s="187"/>
      <c r="DM2" s="187" t="s">
        <v>300</v>
      </c>
      <c r="DN2" s="187"/>
      <c r="DO2" s="187"/>
      <c r="DP2" s="187"/>
      <c r="DQ2" s="187"/>
      <c r="DT2" s="187" t="s">
        <v>301</v>
      </c>
      <c r="DU2" s="187"/>
      <c r="DV2" s="187"/>
      <c r="DW2" s="187"/>
      <c r="DX2" s="187"/>
      <c r="EC2" s="187" t="s">
        <v>478</v>
      </c>
      <c r="ED2" s="187"/>
      <c r="EE2" s="187"/>
      <c r="EF2" s="187"/>
      <c r="EG2" s="187"/>
      <c r="EH2" s="187" t="s">
        <v>237</v>
      </c>
      <c r="EI2" s="187"/>
      <c r="EJ2" s="187"/>
      <c r="EK2" s="187"/>
      <c r="EL2" s="187"/>
      <c r="EO2" s="187" t="s">
        <v>240</v>
      </c>
      <c r="EP2" s="187"/>
      <c r="EQ2" s="187"/>
      <c r="ER2" s="187"/>
      <c r="ES2" s="187"/>
    </row>
    <row r="3" spans="1:149" x14ac:dyDescent="0.15">
      <c r="B3" s="16" t="s">
        <v>215</v>
      </c>
      <c r="C3" s="16" t="s">
        <v>217</v>
      </c>
      <c r="D3" s="16" t="s">
        <v>216</v>
      </c>
      <c r="E3" s="16" t="s">
        <v>78</v>
      </c>
      <c r="F3" s="16" t="s">
        <v>218</v>
      </c>
      <c r="G3" s="16" t="s">
        <v>215</v>
      </c>
      <c r="H3" s="16" t="s">
        <v>217</v>
      </c>
      <c r="I3" s="16" t="s">
        <v>216</v>
      </c>
      <c r="J3" s="16" t="s">
        <v>78</v>
      </c>
      <c r="K3" s="16" t="s">
        <v>218</v>
      </c>
      <c r="L3" s="16" t="s">
        <v>226</v>
      </c>
      <c r="M3" s="16"/>
      <c r="P3" s="16" t="s">
        <v>478</v>
      </c>
      <c r="Q3" s="16" t="s">
        <v>215</v>
      </c>
      <c r="R3" s="16" t="s">
        <v>217</v>
      </c>
      <c r="S3" s="16" t="s">
        <v>216</v>
      </c>
      <c r="T3" s="16" t="s">
        <v>78</v>
      </c>
      <c r="U3" s="16" t="s">
        <v>218</v>
      </c>
      <c r="Z3" s="16" t="s">
        <v>215</v>
      </c>
      <c r="AA3" s="16" t="s">
        <v>217</v>
      </c>
      <c r="AB3" s="16" t="s">
        <v>216</v>
      </c>
      <c r="AC3" s="16" t="s">
        <v>78</v>
      </c>
      <c r="AD3" s="16" t="s">
        <v>218</v>
      </c>
      <c r="AE3" s="16" t="s">
        <v>215</v>
      </c>
      <c r="AF3" s="16" t="s">
        <v>217</v>
      </c>
      <c r="AG3" s="16" t="s">
        <v>216</v>
      </c>
      <c r="AH3" s="16" t="s">
        <v>78</v>
      </c>
      <c r="AI3" s="16" t="s">
        <v>218</v>
      </c>
      <c r="AJ3" s="17" t="s">
        <v>276</v>
      </c>
      <c r="AK3" s="17" t="s">
        <v>227</v>
      </c>
      <c r="AM3" s="16" t="s">
        <v>478</v>
      </c>
      <c r="AN3" s="16" t="s">
        <v>215</v>
      </c>
      <c r="AO3" s="16" t="s">
        <v>217</v>
      </c>
      <c r="AP3" s="16" t="s">
        <v>216</v>
      </c>
      <c r="AQ3" s="16" t="s">
        <v>78</v>
      </c>
      <c r="AR3" s="16" t="s">
        <v>218</v>
      </c>
      <c r="AU3" s="17" t="s">
        <v>103</v>
      </c>
      <c r="AV3" s="17" t="s">
        <v>76</v>
      </c>
      <c r="AW3" s="17" t="s">
        <v>77</v>
      </c>
      <c r="AX3" s="17" t="s">
        <v>78</v>
      </c>
      <c r="AY3" s="17" t="s">
        <v>79</v>
      </c>
      <c r="AZ3" s="17" t="s">
        <v>103</v>
      </c>
      <c r="BA3" s="17" t="s">
        <v>76</v>
      </c>
      <c r="BB3" s="17" t="s">
        <v>77</v>
      </c>
      <c r="BC3" s="17" t="s">
        <v>78</v>
      </c>
      <c r="BD3" s="17" t="s">
        <v>79</v>
      </c>
      <c r="BE3" s="17" t="s">
        <v>276</v>
      </c>
      <c r="BF3" s="17" t="s">
        <v>227</v>
      </c>
      <c r="BH3" s="17" t="s">
        <v>478</v>
      </c>
      <c r="BI3" s="17" t="s">
        <v>103</v>
      </c>
      <c r="BJ3" s="17" t="s">
        <v>76</v>
      </c>
      <c r="BK3" s="17" t="s">
        <v>77</v>
      </c>
      <c r="BL3" s="17" t="s">
        <v>78</v>
      </c>
      <c r="BM3" s="17" t="s">
        <v>79</v>
      </c>
      <c r="BR3" s="17" t="s">
        <v>75</v>
      </c>
      <c r="BS3" s="17" t="s">
        <v>76</v>
      </c>
      <c r="BT3" s="17" t="s">
        <v>77</v>
      </c>
      <c r="BU3" s="17" t="s">
        <v>78</v>
      </c>
      <c r="BV3" s="17" t="s">
        <v>79</v>
      </c>
      <c r="BW3" s="17" t="s">
        <v>75</v>
      </c>
      <c r="BX3" s="17" t="s">
        <v>76</v>
      </c>
      <c r="BY3" s="17" t="s">
        <v>77</v>
      </c>
      <c r="BZ3" s="17" t="s">
        <v>78</v>
      </c>
      <c r="CA3" s="17" t="s">
        <v>79</v>
      </c>
      <c r="CC3" s="17" t="s">
        <v>478</v>
      </c>
      <c r="CD3" s="17" t="s">
        <v>75</v>
      </c>
      <c r="CE3" s="17" t="s">
        <v>76</v>
      </c>
      <c r="CF3" s="17" t="s">
        <v>77</v>
      </c>
      <c r="CG3" s="17" t="s">
        <v>78</v>
      </c>
      <c r="CH3" s="17" t="s">
        <v>79</v>
      </c>
      <c r="CM3" s="17" t="s">
        <v>75</v>
      </c>
      <c r="CN3" s="17" t="s">
        <v>76</v>
      </c>
      <c r="CO3" s="17" t="s">
        <v>77</v>
      </c>
      <c r="CP3" s="17" t="s">
        <v>78</v>
      </c>
      <c r="CQ3" s="17" t="s">
        <v>79</v>
      </c>
      <c r="CR3" s="17" t="s">
        <v>75</v>
      </c>
      <c r="CS3" s="17" t="s">
        <v>76</v>
      </c>
      <c r="CT3" s="17" t="s">
        <v>77</v>
      </c>
      <c r="CU3" s="17" t="s">
        <v>78</v>
      </c>
      <c r="CV3" s="17" t="s">
        <v>79</v>
      </c>
      <c r="CX3" s="17" t="s">
        <v>478</v>
      </c>
      <c r="CY3" s="17" t="s">
        <v>75</v>
      </c>
      <c r="CZ3" s="17" t="s">
        <v>76</v>
      </c>
      <c r="DA3" s="17" t="s">
        <v>77</v>
      </c>
      <c r="DB3" s="17" t="s">
        <v>78</v>
      </c>
      <c r="DC3" s="17" t="s">
        <v>79</v>
      </c>
      <c r="DH3" s="17" t="s">
        <v>75</v>
      </c>
      <c r="DI3" s="17" t="s">
        <v>76</v>
      </c>
      <c r="DJ3" s="17" t="s">
        <v>77</v>
      </c>
      <c r="DK3" s="17" t="s">
        <v>78</v>
      </c>
      <c r="DL3" s="17" t="s">
        <v>79</v>
      </c>
      <c r="DM3" s="17" t="s">
        <v>75</v>
      </c>
      <c r="DN3" s="17" t="s">
        <v>76</v>
      </c>
      <c r="DO3" s="17" t="s">
        <v>77</v>
      </c>
      <c r="DP3" s="17" t="s">
        <v>78</v>
      </c>
      <c r="DQ3" s="17" t="s">
        <v>79</v>
      </c>
      <c r="DS3" s="17" t="s">
        <v>478</v>
      </c>
      <c r="DT3" s="17" t="s">
        <v>75</v>
      </c>
      <c r="DU3" s="17" t="s">
        <v>76</v>
      </c>
      <c r="DV3" s="17" t="s">
        <v>77</v>
      </c>
      <c r="DW3" s="17" t="s">
        <v>78</v>
      </c>
      <c r="DX3" s="17" t="s">
        <v>79</v>
      </c>
      <c r="EC3" s="17" t="s">
        <v>75</v>
      </c>
      <c r="ED3" s="17" t="s">
        <v>76</v>
      </c>
      <c r="EE3" s="17" t="s">
        <v>77</v>
      </c>
      <c r="EF3" s="17" t="s">
        <v>78</v>
      </c>
      <c r="EG3" s="17" t="s">
        <v>79</v>
      </c>
      <c r="EH3" s="17" t="s">
        <v>75</v>
      </c>
      <c r="EI3" s="17" t="s">
        <v>76</v>
      </c>
      <c r="EJ3" s="17" t="s">
        <v>77</v>
      </c>
      <c r="EK3" s="17" t="s">
        <v>78</v>
      </c>
      <c r="EL3" s="17" t="s">
        <v>79</v>
      </c>
      <c r="EN3" s="17" t="s">
        <v>478</v>
      </c>
      <c r="EO3" s="17" t="s">
        <v>75</v>
      </c>
      <c r="EP3" s="17" t="s">
        <v>76</v>
      </c>
      <c r="EQ3" s="17" t="s">
        <v>77</v>
      </c>
      <c r="ER3" s="17" t="s">
        <v>78</v>
      </c>
      <c r="ES3" s="17" t="s">
        <v>79</v>
      </c>
    </row>
    <row r="4" spans="1:149" x14ac:dyDescent="0.15">
      <c r="B4" s="16">
        <f>基础状态预期!D17</f>
        <v>10</v>
      </c>
      <c r="C4" s="16">
        <f>基础状态预期!D62</f>
        <v>9.9592453074578113</v>
      </c>
      <c r="D4" s="16">
        <f>基础状态预期!D107</f>
        <v>10.099965341977441</v>
      </c>
      <c r="E4" s="16">
        <f>基础状态预期!D152</f>
        <v>10.00263241450434</v>
      </c>
      <c r="F4" s="16">
        <f>基础状态预期!D197</f>
        <v>10.040470049930473</v>
      </c>
      <c r="G4" s="16">
        <f>武将升星!AK4</f>
        <v>80.72705891589861</v>
      </c>
      <c r="H4" s="16">
        <f>武将升星!AK49</f>
        <v>80.900200777211083</v>
      </c>
      <c r="I4" s="16">
        <f>武将升星!AK94</f>
        <v>81.587163253081414</v>
      </c>
      <c r="J4" s="16">
        <f>武将升星!AK139</f>
        <v>85</v>
      </c>
      <c r="K4" s="16">
        <f>武将升星!AK184</f>
        <v>85</v>
      </c>
      <c r="L4" s="34">
        <f>武将升星!AK4/G4</f>
        <v>1</v>
      </c>
      <c r="M4" s="34"/>
      <c r="P4" s="16">
        <v>1</v>
      </c>
      <c r="Q4" s="16">
        <f t="shared" ref="Q4:Q35" si="0">求节点(B$4:B$42,G$4:G$42,$P4)</f>
        <v>8.0727058915898624</v>
      </c>
      <c r="R4" s="16">
        <f t="shared" ref="R4:R35" si="1">求节点(C$4:C$42,H$4:H$42,$P4)</f>
        <v>8.1231256264599097</v>
      </c>
      <c r="S4" s="16">
        <f t="shared" ref="S4:S35" si="2">求节点(D$4:D$42,I$4:I$42,$P4)</f>
        <v>8.0779646751844894</v>
      </c>
      <c r="T4" s="16">
        <f t="shared" ref="T4:T35" si="3">求节点(E$4:E$42,J$4:J$42,$P4)</f>
        <v>8.4977630365328167</v>
      </c>
      <c r="U4" s="16">
        <f t="shared" ref="U4:U35" si="4">求节点(F$4:F$42,K$4:K$42,$P4)</f>
        <v>8.4657391115457301</v>
      </c>
      <c r="Z4" s="16">
        <f>B4</f>
        <v>10</v>
      </c>
      <c r="AA4" s="16">
        <f t="shared" ref="AA4:AA19" si="5">C4</f>
        <v>9.9592453074578113</v>
      </c>
      <c r="AB4" s="16">
        <f t="shared" ref="AB4:AB19" si="6">D4</f>
        <v>10.099965341977441</v>
      </c>
      <c r="AC4" s="16">
        <f t="shared" ref="AC4:AC19" si="7">E4</f>
        <v>10.00263241450434</v>
      </c>
      <c r="AD4" s="16">
        <f t="shared" ref="AD4:AD19" si="8">F4</f>
        <v>10.040470049930473</v>
      </c>
      <c r="AE4" s="16">
        <f>武将升级!AD4+武将羁绊!AW7</f>
        <v>1416.3189591373214</v>
      </c>
      <c r="AF4" s="16">
        <f>武将升级!AD49+武将羁绊!AW52</f>
        <v>1418.7252939154064</v>
      </c>
      <c r="AG4" s="16">
        <f>武将升级!AD94+武将羁绊!AW97</f>
        <v>1438.1327980829155</v>
      </c>
      <c r="AH4" s="16">
        <f>武将升级!AD139+武将羁绊!AW142</f>
        <v>1462.4958182626128</v>
      </c>
      <c r="AI4" s="16">
        <f>武将升级!AD184+武将羁绊!AW187</f>
        <v>1464.6312337331367</v>
      </c>
      <c r="AJ4" s="34">
        <f>武将升级!AD4/AE4</f>
        <v>0.96729623730693104</v>
      </c>
      <c r="AK4" s="34">
        <f>武将羁绊!AW7/AE4</f>
        <v>3.2703762693068898E-2</v>
      </c>
      <c r="AL4" s="88"/>
      <c r="AM4" s="16">
        <v>1</v>
      </c>
      <c r="AN4" s="16">
        <f t="shared" ref="AN4:AN35" si="9">求节点(Z$4:Z$42,AE$4:AE$42,$P4)</f>
        <v>141.63189591373225</v>
      </c>
      <c r="AO4" s="16">
        <f t="shared" ref="AO4:AO35" si="10">求节点(AA$4:AA$42,AF$4:AF$42,$P4)</f>
        <v>142.45309259056171</v>
      </c>
      <c r="AP4" s="16">
        <f t="shared" ref="AP4:AP35" si="11">求节点(AB$4:AB$42,AG$4:AG$42,$P4)</f>
        <v>142.3898745578615</v>
      </c>
      <c r="AQ4" s="16">
        <f t="shared" ref="AQ4:AQ35" si="12">求节点(AC$4:AC$42,AH$4:AH$42,$P4)</f>
        <v>146.21109300606895</v>
      </c>
      <c r="AR4" s="16">
        <f t="shared" ref="AR4:AR35" si="13">求节点(AD$4:AD$42,AI$4:AI$42,$P4)</f>
        <v>145.87277552242472</v>
      </c>
      <c r="AU4" s="17">
        <f t="shared" ref="AU4:AU19" si="14">B4</f>
        <v>10</v>
      </c>
      <c r="AV4" s="17">
        <f t="shared" ref="AV4:AV19" si="15">C4</f>
        <v>9.9592453074578113</v>
      </c>
      <c r="AW4" s="17">
        <f t="shared" ref="AW4:AW19" si="16">D4</f>
        <v>10.099965341977441</v>
      </c>
      <c r="AX4" s="17">
        <f t="shared" ref="AX4:AX19" si="17">E4</f>
        <v>10.00263241450434</v>
      </c>
      <c r="AY4" s="17">
        <f t="shared" ref="AY4:AY19" si="18">F4</f>
        <v>10.040470049930473</v>
      </c>
      <c r="AZ4" s="17">
        <f>(武将升级!AJ4+武将羁绊!AW7)</f>
        <v>1416.3189591373214</v>
      </c>
      <c r="BA4" s="17">
        <f>(武将升级!AJ49+武将羁绊!AW52)</f>
        <v>1418.7252939154064</v>
      </c>
      <c r="BB4" s="17">
        <f>(武将升级!AJ94+武将羁绊!AW97)</f>
        <v>1438.1327980829155</v>
      </c>
      <c r="BC4" s="17">
        <f>(武将升级!AJ139+武将羁绊!AW142)</f>
        <v>1462.4958182626128</v>
      </c>
      <c r="BD4" s="17">
        <f>(武将升级!AJ184+武将羁绊!AW187)</f>
        <v>1464.6312337331367</v>
      </c>
      <c r="BE4" s="34">
        <f>武将升级!AJ4/AZ4</f>
        <v>0.96729623730693104</v>
      </c>
      <c r="BF4" s="34">
        <f>武将羁绊!AW7/AZ4</f>
        <v>3.2703762693068898E-2</v>
      </c>
      <c r="BH4" s="17">
        <v>1</v>
      </c>
      <c r="BI4" s="17">
        <f t="shared" ref="BI4" si="19">求节点(AU$4:AU$42,AZ$4:AZ$42,$P4)</f>
        <v>141.63189591373225</v>
      </c>
      <c r="BJ4" s="17">
        <f t="shared" ref="BJ4" si="20">求节点(AV$4:AV$42,BA$4:BA$42,$P4)</f>
        <v>142.45309259056171</v>
      </c>
      <c r="BK4" s="17">
        <f t="shared" ref="BK4" si="21">求节点(AW$4:AW$42,BB$4:BB$42,$P4)</f>
        <v>142.3898745578615</v>
      </c>
      <c r="BL4" s="17">
        <f t="shared" ref="BL4" si="22">求节点(AX$4:AX$42,BC$4:BC$42,$P4)</f>
        <v>146.21109300606895</v>
      </c>
      <c r="BM4" s="17">
        <f t="shared" ref="BM4" si="23">求节点(AY$4:AY$42,BD$4:BD$42,$P4)</f>
        <v>145.87277552242472</v>
      </c>
      <c r="BR4" s="17">
        <f t="shared" ref="BR4" si="24">B4</f>
        <v>10</v>
      </c>
      <c r="BS4" s="17">
        <f t="shared" ref="BS4" si="25">C4</f>
        <v>9.9592453074578113</v>
      </c>
      <c r="BT4" s="17">
        <f t="shared" ref="BT4" si="26">D4</f>
        <v>10.099965341977441</v>
      </c>
      <c r="BU4" s="17">
        <f t="shared" ref="BU4" si="27">E4</f>
        <v>10.00263241450434</v>
      </c>
      <c r="BV4" s="17">
        <f t="shared" ref="BV4" si="28">F4</f>
        <v>10.040470049930473</v>
      </c>
      <c r="BW4" s="17">
        <f>武将升级!AP4</f>
        <v>1190</v>
      </c>
      <c r="BX4" s="17">
        <f>武将升级!AP49</f>
        <v>1189.1849061491562</v>
      </c>
      <c r="BY4" s="17">
        <f>武将升级!AP94</f>
        <v>1191.9993068395488</v>
      </c>
      <c r="BZ4" s="17">
        <f>武将升级!AP139</f>
        <v>1190.0526482900868</v>
      </c>
      <c r="CA4" s="17">
        <f>武将升级!AP184</f>
        <v>1190.8094009986094</v>
      </c>
      <c r="CC4" s="17">
        <v>1</v>
      </c>
      <c r="CD4" s="84">
        <f>武将升级!$J$27</f>
        <v>1000</v>
      </c>
      <c r="CE4" s="84">
        <f>武将升级!$J$27</f>
        <v>1000</v>
      </c>
      <c r="CF4" s="84">
        <f>武将升级!$J$27</f>
        <v>1000</v>
      </c>
      <c r="CG4" s="84">
        <f>武将升级!$J$27</f>
        <v>1000</v>
      </c>
      <c r="CH4" s="84">
        <f>武将升级!$J$27</f>
        <v>1000</v>
      </c>
      <c r="CM4" s="17">
        <f t="shared" ref="CM4" si="29">B4</f>
        <v>10</v>
      </c>
      <c r="CN4" s="17">
        <f t="shared" ref="CN4" si="30">C4</f>
        <v>9.9592453074578113</v>
      </c>
      <c r="CO4" s="17">
        <f t="shared" ref="CO4" si="31">D4</f>
        <v>10.099965341977441</v>
      </c>
      <c r="CP4" s="17">
        <f t="shared" ref="CP4" si="32">E4</f>
        <v>10.00263241450434</v>
      </c>
      <c r="CQ4" s="17">
        <f t="shared" ref="CQ4" si="33">F4</f>
        <v>10.040470049930473</v>
      </c>
      <c r="CR4" s="17">
        <f>武将升级!AV4</f>
        <v>35</v>
      </c>
      <c r="CS4" s="17">
        <f>武将升级!AV49</f>
        <v>34.918490614915626</v>
      </c>
      <c r="CT4" s="17">
        <f>武将升级!AV94</f>
        <v>35.199930683954882</v>
      </c>
      <c r="CU4" s="17">
        <f>武将升级!AV139</f>
        <v>36.005264829008681</v>
      </c>
      <c r="CV4" s="17">
        <f>武将升级!AV184</f>
        <v>36.080940099860946</v>
      </c>
      <c r="CX4" s="17">
        <v>1</v>
      </c>
      <c r="CY4" s="17">
        <f t="shared" ref="CY4:CY35" si="34">求节点(CM$4:CM$42,CR$4:CR$42,$P4)</f>
        <v>3.5</v>
      </c>
      <c r="CZ4" s="17">
        <f t="shared" ref="CZ4:CZ35" si="35">求节点(CN$4:CN$42,CS$4:CS$42,$P4)</f>
        <v>3.5061382200082463</v>
      </c>
      <c r="DA4" s="17">
        <f t="shared" ref="DA4:DA35" si="36">求节点(CO$4:CO$42,CT$4:CT$42,$P4)</f>
        <v>3.4851536111373633</v>
      </c>
      <c r="DB4" s="17">
        <f t="shared" ref="DB4:DB35" si="37">求节点(CP$4:CP$42,CU$4:CU$42,$P4)</f>
        <v>3.5995789245238257</v>
      </c>
      <c r="DC4" s="17">
        <f t="shared" ref="DC4:DC35" si="38">求节点(CQ$4:CQ$42,CV$4:CV$42,$P4)</f>
        <v>3.5935508915850818</v>
      </c>
      <c r="DH4" s="17">
        <f t="shared" ref="DH4" si="39">B4</f>
        <v>10</v>
      </c>
      <c r="DI4" s="17">
        <f t="shared" ref="DI4" si="40">C4</f>
        <v>9.9592453074578113</v>
      </c>
      <c r="DJ4" s="17">
        <f t="shared" ref="DJ4" si="41">D4</f>
        <v>10.099965341977441</v>
      </c>
      <c r="DK4" s="17">
        <f t="shared" ref="DK4" si="42">E4</f>
        <v>10.00263241450434</v>
      </c>
      <c r="DL4" s="17">
        <f t="shared" ref="DL4" si="43">F4</f>
        <v>10.040470049930473</v>
      </c>
      <c r="DM4" s="17">
        <f>武将升星!$AQ4</f>
        <v>0.15383660207693281</v>
      </c>
      <c r="DN4" s="17">
        <f>武将升星!$AQ49</f>
        <v>0.15502631626998697</v>
      </c>
      <c r="DO4" s="17">
        <f>武将升星!$AQ94</f>
        <v>0.16116508655749251</v>
      </c>
      <c r="DP4" s="17">
        <f>武将升星!$AQ139</f>
        <v>0.18000473834610778</v>
      </c>
      <c r="DQ4" s="17">
        <f>武将升星!$AQ184</f>
        <v>0.18007284608987484</v>
      </c>
      <c r="DS4" s="17">
        <v>1</v>
      </c>
      <c r="DT4" s="17">
        <f t="shared" ref="DT4" si="44">求节点(DH$4:DH$42,DM$4:DM$42,$DS4)</f>
        <v>1.5383660207693273E-2</v>
      </c>
      <c r="DU4" s="17">
        <f t="shared" ref="DU4" si="45">求节点(DI$4:DI$42,DN$4:DN$42,$DS4)</f>
        <v>1.5566070669420923E-2</v>
      </c>
      <c r="DV4" s="17">
        <f t="shared" ref="DV4" si="46">求节点(DJ$4:DJ$42,DO$4:DO$42,$DS4)</f>
        <v>1.5956994019341697E-2</v>
      </c>
      <c r="DW4" s="17">
        <f t="shared" ref="DW4" si="47">求节点(DK$4:DK$42,DP$4:DP$42,$DS4)</f>
        <v>1.7995736610803725E-2</v>
      </c>
      <c r="DX4" s="17">
        <f t="shared" ref="DX4" si="48">求节点(DL$4:DL$42,DQ$4:DQ$42,$DS4)</f>
        <v>1.7934702777298916E-2</v>
      </c>
      <c r="EC4" s="17">
        <f>B4</f>
        <v>10</v>
      </c>
      <c r="ED4" s="17">
        <f t="shared" ref="ED4:EG4" si="49">C4</f>
        <v>9.9592453074578113</v>
      </c>
      <c r="EE4" s="17">
        <f t="shared" si="49"/>
        <v>10.099965341977441</v>
      </c>
      <c r="EF4" s="17">
        <f t="shared" si="49"/>
        <v>10.00263241450434</v>
      </c>
      <c r="EG4" s="17">
        <f t="shared" si="49"/>
        <v>10.040470049930473</v>
      </c>
      <c r="EH4" s="17">
        <f>武将升星!$AW4</f>
        <v>5.8164713271888178E-3</v>
      </c>
      <c r="EI4" s="17">
        <f>武将升星!$AW49</f>
        <v>7.2016062176887101E-3</v>
      </c>
      <c r="EJ4" s="17">
        <f>武将升星!$AW94</f>
        <v>1.2697306024651342E-2</v>
      </c>
      <c r="EK4" s="17">
        <f>武将升星!$AW139</f>
        <v>0</v>
      </c>
      <c r="EL4" s="17">
        <f>武将升星!$AW184</f>
        <v>0</v>
      </c>
      <c r="EN4" s="17">
        <v>1</v>
      </c>
      <c r="EO4" s="17">
        <f t="shared" ref="EO4:EO67" si="50">求节点(EC$4:EC$42,EH$4:EH$42,$P4)</f>
        <v>5.8164713271888126E-4</v>
      </c>
      <c r="EP4" s="17">
        <f t="shared" ref="EP4:EP67" si="51">求节点(ED$4:ED$42,EI$4:EI$42,$P4)</f>
        <v>7.2310762466066669E-4</v>
      </c>
      <c r="EQ4" s="17">
        <f t="shared" ref="EQ4:EQ67" si="52">求节点(EE$4:EE$42,EJ$4:EJ$42,$P4)</f>
        <v>1.2571633262818075E-3</v>
      </c>
      <c r="ER4" s="17">
        <f t="shared" ref="ER4:ER67" si="53">求节点(EF$4:EF$42,EK$4:EK$42,$P4)</f>
        <v>0</v>
      </c>
      <c r="ES4" s="17">
        <f t="shared" ref="ES4:ES67" si="54">求节点(EG$4:EG$42,EL$4:EL$42,$P4)</f>
        <v>0</v>
      </c>
    </row>
    <row r="5" spans="1:149" x14ac:dyDescent="0.15">
      <c r="B5" s="16">
        <f>基础状态预期!D18</f>
        <v>20</v>
      </c>
      <c r="C5" s="16">
        <f>基础状态预期!D63</f>
        <v>19.766822802328868</v>
      </c>
      <c r="D5" s="16">
        <f>基础状态预期!D108</f>
        <v>19.800198258084681</v>
      </c>
      <c r="E5" s="16">
        <f>基础状态预期!D153</f>
        <v>19.43005414991557</v>
      </c>
      <c r="F5" s="16">
        <f>基础状态预期!D198</f>
        <v>19.288856680060892</v>
      </c>
      <c r="G5" s="16">
        <f>武将升星!AK5</f>
        <v>85</v>
      </c>
      <c r="H5" s="16">
        <f>武将升星!AK50</f>
        <v>85</v>
      </c>
      <c r="I5" s="16">
        <f>武将升星!AK95</f>
        <v>85</v>
      </c>
      <c r="J5" s="16">
        <f>武将升星!AK140</f>
        <v>86.253918326234427</v>
      </c>
      <c r="K5" s="16">
        <f>武将升星!AK185</f>
        <v>87.530317306125951</v>
      </c>
      <c r="L5" s="34">
        <f>武将升星!AK5/G5</f>
        <v>1</v>
      </c>
      <c r="M5" s="34"/>
      <c r="P5" s="16">
        <v>2</v>
      </c>
      <c r="Q5" s="16">
        <f t="shared" si="0"/>
        <v>16.145411783179725</v>
      </c>
      <c r="R5" s="16">
        <f t="shared" si="1"/>
        <v>16.246251252919805</v>
      </c>
      <c r="S5" s="16">
        <f t="shared" si="2"/>
        <v>16.155929350368979</v>
      </c>
      <c r="T5" s="16">
        <f t="shared" si="3"/>
        <v>16.995526073065633</v>
      </c>
      <c r="U5" s="16">
        <f t="shared" si="4"/>
        <v>16.931478223091474</v>
      </c>
      <c r="Z5" s="16">
        <f t="shared" ref="Z5:Z19" si="55">B5</f>
        <v>20</v>
      </c>
      <c r="AA5" s="16">
        <f t="shared" si="5"/>
        <v>19.766822802328868</v>
      </c>
      <c r="AB5" s="16">
        <f t="shared" si="6"/>
        <v>19.800198258084681</v>
      </c>
      <c r="AC5" s="16">
        <f t="shared" si="7"/>
        <v>19.43005414991557</v>
      </c>
      <c r="AD5" s="16">
        <f t="shared" si="8"/>
        <v>19.288856680060892</v>
      </c>
      <c r="AE5" s="16">
        <f>武将升级!AD5+武将羁绊!AW8</f>
        <v>2077.6206532975011</v>
      </c>
      <c r="AF5" s="16">
        <f>武将升级!AD50+武将羁绊!AW53</f>
        <v>2076.8202906080978</v>
      </c>
      <c r="AG5" s="16">
        <f>武将升级!AD95+武将羁绊!AW98</f>
        <v>2109.8438185731743</v>
      </c>
      <c r="AH5" s="16">
        <f>武将升级!AD140+武将羁绊!AW143</f>
        <v>2179.8641546589679</v>
      </c>
      <c r="AI5" s="16">
        <f>武将升级!AD185+武将羁绊!AW188</f>
        <v>2259.33808836863</v>
      </c>
      <c r="AJ5" s="34">
        <f>武将升级!AD5/AE5</f>
        <v>0.94820004646820832</v>
      </c>
      <c r="AK5" s="34">
        <f>武将羁绊!AW8/AE5</f>
        <v>5.1799953531791607E-2</v>
      </c>
      <c r="AL5" s="88"/>
      <c r="AM5" s="16">
        <v>2</v>
      </c>
      <c r="AN5" s="16">
        <f t="shared" si="9"/>
        <v>283.26379182746427</v>
      </c>
      <c r="AO5" s="16">
        <f t="shared" si="10"/>
        <v>284.90618518112365</v>
      </c>
      <c r="AP5" s="16">
        <f t="shared" si="11"/>
        <v>284.77974911572278</v>
      </c>
      <c r="AQ5" s="16">
        <f t="shared" si="12"/>
        <v>292.42218601213767</v>
      </c>
      <c r="AR5" s="16">
        <f t="shared" si="13"/>
        <v>291.74555104484944</v>
      </c>
      <c r="AU5" s="17">
        <f t="shared" si="14"/>
        <v>20</v>
      </c>
      <c r="AV5" s="17">
        <f t="shared" si="15"/>
        <v>19.766822802328868</v>
      </c>
      <c r="AW5" s="17">
        <f t="shared" si="16"/>
        <v>19.800198258084681</v>
      </c>
      <c r="AX5" s="17">
        <f t="shared" si="17"/>
        <v>19.43005414991557</v>
      </c>
      <c r="AY5" s="17">
        <f t="shared" si="18"/>
        <v>19.288856680060892</v>
      </c>
      <c r="AZ5" s="17">
        <f>(武将升级!AJ5+武将羁绊!AW8)</f>
        <v>2077.6206532975011</v>
      </c>
      <c r="BA5" s="17">
        <f>(武将升级!AJ50+武将羁绊!AW53)</f>
        <v>2076.8202906080978</v>
      </c>
      <c r="BB5" s="17">
        <f>(武将升级!AJ95+武将羁绊!AW98)</f>
        <v>2109.8438185731743</v>
      </c>
      <c r="BC5" s="17">
        <f>(武将升级!AJ140+武将羁绊!AW143)</f>
        <v>2179.8641546589679</v>
      </c>
      <c r="BD5" s="17">
        <f>(武将升级!AJ185+武将羁绊!AW188)</f>
        <v>2259.33808836863</v>
      </c>
      <c r="BE5" s="34">
        <f>武将升级!AJ5/AZ5</f>
        <v>0.94820004646820832</v>
      </c>
      <c r="BF5" s="34">
        <f>武将羁绊!AW8/AZ5</f>
        <v>5.1799953531791607E-2</v>
      </c>
      <c r="BH5" s="17">
        <v>2</v>
      </c>
      <c r="BI5" s="17">
        <f t="shared" ref="BI5:BI68" si="56">求节点(AU$4:AU$42,AZ$4:AZ$42,$P5)</f>
        <v>283.26379182746427</v>
      </c>
      <c r="BJ5" s="17">
        <f t="shared" ref="BJ5:BJ68" si="57">求节点(AV$4:AV$42,BA$4:BA$42,$P5)</f>
        <v>284.90618518112365</v>
      </c>
      <c r="BK5" s="17">
        <f t="shared" ref="BK5:BK68" si="58">求节点(AW$4:AW$42,BB$4:BB$42,$P5)</f>
        <v>284.77974911572278</v>
      </c>
      <c r="BL5" s="17">
        <f t="shared" ref="BL5:BL68" si="59">求节点(AX$4:AX$42,BC$4:BC$42,$P5)</f>
        <v>292.42218601213767</v>
      </c>
      <c r="BM5" s="17">
        <f t="shared" ref="BM5:BM68" si="60">求节点(AY$4:AY$42,BD$4:BD$42,$P5)</f>
        <v>291.74555104484944</v>
      </c>
      <c r="BR5" s="17">
        <f t="shared" ref="BR5:BR42" si="61">B5</f>
        <v>20</v>
      </c>
      <c r="BS5" s="17">
        <f t="shared" ref="BS5:BS42" si="62">C5</f>
        <v>19.766822802328868</v>
      </c>
      <c r="BT5" s="17">
        <f t="shared" ref="BT5:BT42" si="63">D5</f>
        <v>19.800198258084681</v>
      </c>
      <c r="BU5" s="17">
        <f t="shared" ref="BU5:BU42" si="64">E5</f>
        <v>19.43005414991557</v>
      </c>
      <c r="BV5" s="17">
        <f t="shared" ref="BV5:BV42" si="65">F5</f>
        <v>19.288856680060892</v>
      </c>
      <c r="BW5" s="17">
        <f>武将升级!AP5</f>
        <v>1390</v>
      </c>
      <c r="BX5" s="17">
        <f>武将升级!AP50</f>
        <v>1385.3364560465773</v>
      </c>
      <c r="BY5" s="17">
        <f>武将升级!AP95</f>
        <v>1386.0039651616935</v>
      </c>
      <c r="BZ5" s="17">
        <f>武将升级!AP140</f>
        <v>1378.6010829983115</v>
      </c>
      <c r="CA5" s="17">
        <f>武将升级!AP185</f>
        <v>1375.7771336012181</v>
      </c>
      <c r="CC5" s="17">
        <v>2</v>
      </c>
      <c r="CD5" s="83">
        <f>(CD$13-CD$4)/($CC$13-$CC$4)+CD4</f>
        <v>1021.1111111111111</v>
      </c>
      <c r="CE5" s="83">
        <f t="shared" ref="CE5:CH12" si="66">(CE$13-CE$4)/($CC$13-$CC$4)+CE4</f>
        <v>1021.1111111111111</v>
      </c>
      <c r="CF5" s="83">
        <f t="shared" si="66"/>
        <v>1020.022375927851</v>
      </c>
      <c r="CG5" s="83">
        <f t="shared" si="66"/>
        <v>1021.0821621721241</v>
      </c>
      <c r="CH5" s="83">
        <f t="shared" si="66"/>
        <v>1020.6677349075853</v>
      </c>
      <c r="CM5" s="17">
        <f t="shared" ref="CM5:CM42" si="67">B5</f>
        <v>20</v>
      </c>
      <c r="CN5" s="17">
        <f t="shared" ref="CN5:CN42" si="68">C5</f>
        <v>19.766822802328868</v>
      </c>
      <c r="CO5" s="17">
        <f t="shared" ref="CO5:CO42" si="69">D5</f>
        <v>19.800198258084681</v>
      </c>
      <c r="CP5" s="17">
        <f t="shared" ref="CP5:CP42" si="70">E5</f>
        <v>19.43005414991557</v>
      </c>
      <c r="CQ5" s="17">
        <f t="shared" ref="CQ5:CQ42" si="71">F5</f>
        <v>19.288856680060892</v>
      </c>
      <c r="CR5" s="17">
        <f>武将升级!AV5</f>
        <v>56</v>
      </c>
      <c r="CS5" s="17">
        <f>武将升级!AV50</f>
        <v>55.533645604657728</v>
      </c>
      <c r="CT5" s="17">
        <f>武将升级!AV95</f>
        <v>55.600396516169361</v>
      </c>
      <c r="CU5" s="17">
        <f>武将升级!AV140</f>
        <v>54.860108299831133</v>
      </c>
      <c r="CV5" s="17">
        <f>武将升级!AV185</f>
        <v>54.577713360121784</v>
      </c>
      <c r="CX5" s="17">
        <v>2</v>
      </c>
      <c r="CY5" s="17">
        <f t="shared" si="34"/>
        <v>7</v>
      </c>
      <c r="CZ5" s="17">
        <f t="shared" si="35"/>
        <v>7.0122764400164961</v>
      </c>
      <c r="DA5" s="17">
        <f t="shared" si="36"/>
        <v>6.9703072222747267</v>
      </c>
      <c r="DB5" s="17">
        <f t="shared" si="37"/>
        <v>7.1991578490476478</v>
      </c>
      <c r="DC5" s="17">
        <f t="shared" si="38"/>
        <v>7.1871017831701636</v>
      </c>
      <c r="DH5" s="17">
        <f t="shared" ref="DH5:DH42" si="72">B5</f>
        <v>20</v>
      </c>
      <c r="DI5" s="17">
        <f t="shared" ref="DI5:DI42" si="73">C5</f>
        <v>19.766822802328868</v>
      </c>
      <c r="DJ5" s="17">
        <f t="shared" ref="DJ5:DJ42" si="74">D5</f>
        <v>19.800198258084681</v>
      </c>
      <c r="DK5" s="17">
        <f t="shared" ref="DK5:DK42" si="75">E5</f>
        <v>19.43005414991557</v>
      </c>
      <c r="DL5" s="17">
        <f t="shared" ref="DL5:DL42" si="76">F5</f>
        <v>19.288856680060892</v>
      </c>
      <c r="DM5" s="17">
        <f>武将升星!$AQ5</f>
        <v>0.19800000000000004</v>
      </c>
      <c r="DN5" s="17">
        <f>武将升星!$AQ50</f>
        <v>0.19758028104419192</v>
      </c>
      <c r="DO5" s="17">
        <f>武将升星!$AQ95</f>
        <v>0.19764035686455247</v>
      </c>
      <c r="DP5" s="17">
        <f>武将升星!$AQ140</f>
        <v>0.21344005951057665</v>
      </c>
      <c r="DQ5" s="17">
        <f>武将升星!$AQ185</f>
        <v>0.22990420027502281</v>
      </c>
      <c r="DS5" s="17">
        <v>2</v>
      </c>
      <c r="DT5" s="17">
        <f t="shared" ref="DT5:DT68" si="77">求节点(DH$4:DH$42,DM$4:DM$42,$DS5)</f>
        <v>3.0767320415386559E-2</v>
      </c>
      <c r="DU5" s="17">
        <f t="shared" ref="DU5:DU68" si="78">求节点(DI$4:DI$42,DN$4:DN$42,$DS5)</f>
        <v>3.1132141338841832E-2</v>
      </c>
      <c r="DV5" s="17">
        <f t="shared" ref="DV5:DV68" si="79">求节点(DJ$4:DJ$42,DO$4:DO$42,$DS5)</f>
        <v>3.1913988038683394E-2</v>
      </c>
      <c r="DW5" s="17">
        <f t="shared" ref="DW5:DW68" si="80">求节点(DK$4:DK$42,DP$4:DP$42,$DS5)</f>
        <v>3.5991473221607423E-2</v>
      </c>
      <c r="DX5" s="17">
        <f t="shared" ref="DX5:DX68" si="81">求节点(DL$4:DL$42,DQ$4:DQ$42,$DS5)</f>
        <v>3.5869405554597861E-2</v>
      </c>
      <c r="EC5" s="17">
        <f t="shared" ref="EC5:EC42" si="82">B5</f>
        <v>20</v>
      </c>
      <c r="ED5" s="17">
        <f t="shared" ref="ED5:ED42" si="83">C5</f>
        <v>19.766822802328868</v>
      </c>
      <c r="EE5" s="17">
        <f t="shared" ref="EE5:EE42" si="84">D5</f>
        <v>19.800198258084681</v>
      </c>
      <c r="EF5" s="17">
        <f t="shared" ref="EF5:EF42" si="85">E5</f>
        <v>19.43005414991557</v>
      </c>
      <c r="EG5" s="17">
        <f t="shared" ref="EG5:EG42" si="86">F5</f>
        <v>19.288856680060892</v>
      </c>
      <c r="EH5" s="17">
        <f>武将升星!$AW5</f>
        <v>5.8164713271888178E-3</v>
      </c>
      <c r="EI5" s="17">
        <f>武将升星!$AW50</f>
        <v>7.2016062176887101E-3</v>
      </c>
      <c r="EJ5" s="17">
        <f>武将升星!$AW95</f>
        <v>1.2697306024651342E-2</v>
      </c>
      <c r="EK5" s="17">
        <f>武将升星!$AW140</f>
        <v>1.7554856567282038E-2</v>
      </c>
      <c r="EL5" s="17">
        <f>武将升星!$AW185</f>
        <v>3.5424442285763254E-2</v>
      </c>
      <c r="EN5" s="17">
        <v>2</v>
      </c>
      <c r="EO5" s="17">
        <f t="shared" si="50"/>
        <v>1.1632942654377634E-3</v>
      </c>
      <c r="EP5" s="17">
        <f t="shared" si="51"/>
        <v>1.4462152493213334E-3</v>
      </c>
      <c r="EQ5" s="17">
        <f t="shared" si="52"/>
        <v>2.5143266525636167E-3</v>
      </c>
      <c r="ER5" s="17">
        <f t="shared" si="53"/>
        <v>0</v>
      </c>
      <c r="ES5" s="17">
        <f t="shared" si="54"/>
        <v>0</v>
      </c>
    </row>
    <row r="6" spans="1:149" x14ac:dyDescent="0.15">
      <c r="B6" s="16">
        <f>基础状态预期!D19</f>
        <v>28.071211008105138</v>
      </c>
      <c r="C6" s="16">
        <f>基础状态预期!D64</f>
        <v>27.773265580596355</v>
      </c>
      <c r="D6" s="16">
        <f>基础状态预期!D109</f>
        <v>27.769105021676069</v>
      </c>
      <c r="E6" s="16">
        <f>基础状态预期!D154</f>
        <v>27.324610510337703</v>
      </c>
      <c r="F6" s="16">
        <f>基础状态预期!D199</f>
        <v>27.144641112884834</v>
      </c>
      <c r="G6" s="16">
        <f>武将升星!AK6</f>
        <v>85.235255260162134</v>
      </c>
      <c r="H6" s="16">
        <f>武将升星!AK51</f>
        <v>85.846663142322768</v>
      </c>
      <c r="I6" s="16">
        <f>武将升星!AK96</f>
        <v>87.370063742468417</v>
      </c>
      <c r="J6" s="16">
        <f>武将升星!AK141</f>
        <v>90.495318302301257</v>
      </c>
      <c r="K6" s="16">
        <f>武将升星!AK186</f>
        <v>91.995039681797039</v>
      </c>
      <c r="L6" s="34">
        <f>武将升星!AK6/G6</f>
        <v>1</v>
      </c>
      <c r="M6" s="34"/>
      <c r="P6" s="16">
        <v>3</v>
      </c>
      <c r="Q6" s="16">
        <f t="shared" si="0"/>
        <v>24.218117674769587</v>
      </c>
      <c r="R6" s="16">
        <f t="shared" si="1"/>
        <v>24.369376879379715</v>
      </c>
      <c r="S6" s="16">
        <f t="shared" si="2"/>
        <v>24.233894025553468</v>
      </c>
      <c r="T6" s="16">
        <f t="shared" si="3"/>
        <v>25.493289109598457</v>
      </c>
      <c r="U6" s="16">
        <f t="shared" si="4"/>
        <v>25.397217334637212</v>
      </c>
      <c r="Z6" s="16">
        <f t="shared" si="55"/>
        <v>28.071211008105138</v>
      </c>
      <c r="AA6" s="16">
        <f t="shared" si="5"/>
        <v>27.773265580596355</v>
      </c>
      <c r="AB6" s="16">
        <f t="shared" si="6"/>
        <v>27.769105021676069</v>
      </c>
      <c r="AC6" s="16">
        <f t="shared" si="7"/>
        <v>27.324610510337703</v>
      </c>
      <c r="AD6" s="16">
        <f t="shared" si="8"/>
        <v>27.144641112884834</v>
      </c>
      <c r="AE6" s="16">
        <f>武将升级!AD6+武将羁绊!AW9</f>
        <v>2646.7862876469335</v>
      </c>
      <c r="AF6" s="16">
        <f>武将升级!AD51+武将羁绊!AW54</f>
        <v>2650.5258164621268</v>
      </c>
      <c r="AG6" s="16">
        <f>武将升级!AD96+武将羁绊!AW99</f>
        <v>2700.0618949573231</v>
      </c>
      <c r="AH6" s="16">
        <f>武将升级!AD141+武将羁绊!AW144</f>
        <v>2821.4600929837911</v>
      </c>
      <c r="AI6" s="16">
        <f>武将升级!AD186+武将羁绊!AW189</f>
        <v>2963.1186848158</v>
      </c>
      <c r="AJ6" s="34">
        <f>武将升级!AD6/AE6</f>
        <v>0.92726514110371372</v>
      </c>
      <c r="AK6" s="34">
        <f>武将羁绊!AW9/AE6</f>
        <v>7.2734858896286267E-2</v>
      </c>
      <c r="AL6" s="88"/>
      <c r="AM6" s="16">
        <v>3</v>
      </c>
      <c r="AN6" s="16">
        <f t="shared" si="9"/>
        <v>424.89568774119641</v>
      </c>
      <c r="AO6" s="16">
        <f t="shared" si="10"/>
        <v>427.35927777168547</v>
      </c>
      <c r="AP6" s="16">
        <f t="shared" si="11"/>
        <v>427.16962367358428</v>
      </c>
      <c r="AQ6" s="16">
        <f t="shared" si="12"/>
        <v>438.63327901820651</v>
      </c>
      <c r="AR6" s="16">
        <f t="shared" si="13"/>
        <v>437.61832656727415</v>
      </c>
      <c r="AU6" s="17">
        <f t="shared" si="14"/>
        <v>28.071211008105138</v>
      </c>
      <c r="AV6" s="17">
        <f t="shared" si="15"/>
        <v>27.773265580596355</v>
      </c>
      <c r="AW6" s="17">
        <f t="shared" si="16"/>
        <v>27.769105021676069</v>
      </c>
      <c r="AX6" s="17">
        <f t="shared" si="17"/>
        <v>27.324610510337703</v>
      </c>
      <c r="AY6" s="17">
        <f t="shared" si="18"/>
        <v>27.144641112884834</v>
      </c>
      <c r="AZ6" s="17">
        <f>(武将升级!AJ6+武将羁绊!AW9)</f>
        <v>2646.7862876469335</v>
      </c>
      <c r="BA6" s="17">
        <f>(武将升级!AJ51+武将羁绊!AW54)</f>
        <v>2650.5258164621268</v>
      </c>
      <c r="BB6" s="17">
        <f>(武将升级!AJ96+武将羁绊!AW99)</f>
        <v>2700.0618949573231</v>
      </c>
      <c r="BC6" s="17">
        <f>(武将升级!AJ141+武将羁绊!AW144)</f>
        <v>2821.4600929837911</v>
      </c>
      <c r="BD6" s="17">
        <f>(武将升级!AJ186+武将羁绊!AW189)</f>
        <v>2963.1186848158</v>
      </c>
      <c r="BE6" s="34">
        <f>武将升级!AJ6/AZ6</f>
        <v>0.92726514110371372</v>
      </c>
      <c r="BF6" s="34">
        <f>武将羁绊!AW9/AZ6</f>
        <v>7.2734858896286267E-2</v>
      </c>
      <c r="BH6" s="17">
        <v>3</v>
      </c>
      <c r="BI6" s="17">
        <f t="shared" si="56"/>
        <v>424.89568774119641</v>
      </c>
      <c r="BJ6" s="17">
        <f t="shared" si="57"/>
        <v>427.35927777168547</v>
      </c>
      <c r="BK6" s="17">
        <f t="shared" si="58"/>
        <v>427.16962367358428</v>
      </c>
      <c r="BL6" s="17">
        <f t="shared" si="59"/>
        <v>438.63327901820651</v>
      </c>
      <c r="BM6" s="17">
        <f t="shared" si="60"/>
        <v>437.61832656727415</v>
      </c>
      <c r="BR6" s="17">
        <f t="shared" si="61"/>
        <v>28.071211008105138</v>
      </c>
      <c r="BS6" s="17">
        <f t="shared" si="62"/>
        <v>27.773265580596355</v>
      </c>
      <c r="BT6" s="17">
        <f t="shared" si="63"/>
        <v>27.769105021676069</v>
      </c>
      <c r="BU6" s="17">
        <f t="shared" si="64"/>
        <v>27.324610510337703</v>
      </c>
      <c r="BV6" s="17">
        <f t="shared" si="65"/>
        <v>27.144641112884834</v>
      </c>
      <c r="BW6" s="17">
        <f>武将升级!AP6</f>
        <v>1551.4242201621028</v>
      </c>
      <c r="BX6" s="17">
        <f>武将升级!AP51</f>
        <v>1545.4653116119271</v>
      </c>
      <c r="BY6" s="17">
        <f>武将升级!AP96</f>
        <v>1545.3821004335214</v>
      </c>
      <c r="BZ6" s="17">
        <f>武将升级!AP141</f>
        <v>1536.492210206754</v>
      </c>
      <c r="CA6" s="17">
        <f>武将升级!AP186</f>
        <v>1532.8928222576967</v>
      </c>
      <c r="CC6" s="17">
        <v>3</v>
      </c>
      <c r="CD6" s="83">
        <f t="shared" ref="CD6:CD12" si="87">(CD$13-CD$4)/($CC$13-$CC$4)+CD5</f>
        <v>1042.2222222222222</v>
      </c>
      <c r="CE6" s="83">
        <f t="shared" si="66"/>
        <v>1042.2222222222222</v>
      </c>
      <c r="CF6" s="83">
        <f t="shared" si="66"/>
        <v>1040.0447518557021</v>
      </c>
      <c r="CG6" s="83">
        <f t="shared" si="66"/>
        <v>1042.1643243442481</v>
      </c>
      <c r="CH6" s="83">
        <f t="shared" si="66"/>
        <v>1041.3354698151707</v>
      </c>
      <c r="CM6" s="17">
        <f t="shared" si="67"/>
        <v>28.071211008105138</v>
      </c>
      <c r="CN6" s="17">
        <f t="shared" si="68"/>
        <v>27.773265580596355</v>
      </c>
      <c r="CO6" s="17">
        <f t="shared" si="69"/>
        <v>27.769105021676069</v>
      </c>
      <c r="CP6" s="17">
        <f t="shared" si="70"/>
        <v>27.324610510337703</v>
      </c>
      <c r="CQ6" s="17">
        <f t="shared" si="71"/>
        <v>27.144641112884834</v>
      </c>
      <c r="CR6" s="17">
        <f>武将升级!AV6</f>
        <v>72.142422016210276</v>
      </c>
      <c r="CS6" s="17">
        <f>武将升级!AV51</f>
        <v>71.546531161192718</v>
      </c>
      <c r="CT6" s="17">
        <f>武将升级!AV96</f>
        <v>71.538210043352137</v>
      </c>
      <c r="CU6" s="17">
        <f>武将升级!AV141</f>
        <v>70.649221020675412</v>
      </c>
      <c r="CV6" s="17">
        <f>武将升级!AV186</f>
        <v>70.289282225769668</v>
      </c>
      <c r="CX6" s="17">
        <v>3</v>
      </c>
      <c r="CY6" s="17">
        <f t="shared" si="34"/>
        <v>10.5</v>
      </c>
      <c r="CZ6" s="17">
        <f t="shared" si="35"/>
        <v>10.518414660024742</v>
      </c>
      <c r="DA6" s="17">
        <f t="shared" si="36"/>
        <v>10.455460833412086</v>
      </c>
      <c r="DB6" s="17">
        <f t="shared" si="37"/>
        <v>10.798736773571473</v>
      </c>
      <c r="DC6" s="17">
        <f t="shared" si="38"/>
        <v>10.780652674755242</v>
      </c>
      <c r="DH6" s="17">
        <f t="shared" si="72"/>
        <v>28.071211008105138</v>
      </c>
      <c r="DI6" s="17">
        <f t="shared" si="73"/>
        <v>27.773265580596355</v>
      </c>
      <c r="DJ6" s="17">
        <f t="shared" si="74"/>
        <v>27.769105021676069</v>
      </c>
      <c r="DK6" s="17">
        <f t="shared" si="75"/>
        <v>27.324610510337703</v>
      </c>
      <c r="DL6" s="17">
        <f t="shared" si="76"/>
        <v>27.144641112884834</v>
      </c>
      <c r="DM6" s="17">
        <f>武将升星!$AQ6</f>
        <v>0.21586140463019357</v>
      </c>
      <c r="DN6" s="17">
        <f>武将升星!$AQ51</f>
        <v>0.22395759201924334</v>
      </c>
      <c r="DO6" s="17">
        <f>武将升星!$AQ96</f>
        <v>0.24547882333439655</v>
      </c>
      <c r="DP6" s="17">
        <f>武将升星!$AQ141</f>
        <v>0.2885526284523468</v>
      </c>
      <c r="DQ6" s="17">
        <f>武将升星!$AQ186</f>
        <v>0.30919212357453302</v>
      </c>
      <c r="DS6" s="17">
        <v>3</v>
      </c>
      <c r="DT6" s="17">
        <f t="shared" si="77"/>
        <v>4.6150980623079846E-2</v>
      </c>
      <c r="DU6" s="17">
        <f t="shared" si="78"/>
        <v>4.6698212008262754E-2</v>
      </c>
      <c r="DV6" s="17">
        <f t="shared" si="79"/>
        <v>4.7870982058025105E-2</v>
      </c>
      <c r="DW6" s="17">
        <f t="shared" si="80"/>
        <v>5.3987209832411148E-2</v>
      </c>
      <c r="DX6" s="17">
        <f t="shared" si="81"/>
        <v>5.3804108331896805E-2</v>
      </c>
      <c r="EC6" s="17">
        <f t="shared" si="82"/>
        <v>28.071211008105138</v>
      </c>
      <c r="ED6" s="17">
        <f t="shared" si="83"/>
        <v>27.773265580596355</v>
      </c>
      <c r="EE6" s="17">
        <f t="shared" si="84"/>
        <v>27.769105021676069</v>
      </c>
      <c r="EF6" s="17">
        <f t="shared" si="85"/>
        <v>27.324610510337703</v>
      </c>
      <c r="EG6" s="17">
        <f t="shared" si="86"/>
        <v>27.144641112884834</v>
      </c>
      <c r="EH6" s="17">
        <f>武将升星!$AW6</f>
        <v>5.8164713271888178E-3</v>
      </c>
      <c r="EI6" s="17">
        <f>武将升星!$AW51</f>
        <v>1.1853283992518842E-2</v>
      </c>
      <c r="EJ6" s="17">
        <f>武将升星!$AW96</f>
        <v>3.3180892394557918E-2</v>
      </c>
      <c r="EK6" s="17">
        <f>武将升星!$AW141</f>
        <v>7.6934456232217521E-2</v>
      </c>
      <c r="EL6" s="17">
        <f>武将升星!$AW186</f>
        <v>9.7930555545158574E-2</v>
      </c>
      <c r="EN6" s="17">
        <v>3</v>
      </c>
      <c r="EO6" s="17">
        <f t="shared" si="50"/>
        <v>1.7449413981566455E-3</v>
      </c>
      <c r="EP6" s="17">
        <f t="shared" si="51"/>
        <v>2.1693228739820001E-3</v>
      </c>
      <c r="EQ6" s="17">
        <f t="shared" si="52"/>
        <v>3.7714899788454243E-3</v>
      </c>
      <c r="ER6" s="17">
        <f t="shared" si="53"/>
        <v>0</v>
      </c>
      <c r="ES6" s="17">
        <f t="shared" si="54"/>
        <v>0</v>
      </c>
    </row>
    <row r="7" spans="1:149" x14ac:dyDescent="0.15">
      <c r="B7" s="16">
        <f>基础状态预期!D20</f>
        <v>34.585942742481357</v>
      </c>
      <c r="C7" s="16">
        <f>基础状态预期!D65</f>
        <v>34.250806171891597</v>
      </c>
      <c r="D7" s="16">
        <f>基础状态预期!D110</f>
        <v>34.192155176139416</v>
      </c>
      <c r="E7" s="16">
        <f>基础状态预期!D155</f>
        <v>33.672145166817529</v>
      </c>
      <c r="F7" s="16">
        <f>基础状态预期!D200</f>
        <v>33.399598377161809</v>
      </c>
      <c r="G7" s="16">
        <f>武将升星!AK7</f>
        <v>87.198924819028107</v>
      </c>
      <c r="H7" s="16">
        <f>武将升星!AK52</f>
        <v>88.346008314063113</v>
      </c>
      <c r="I7" s="16">
        <f>武将升星!AK97</f>
        <v>90.956480056213721</v>
      </c>
      <c r="J7" s="16">
        <f>武将升星!AK142</f>
        <v>95.943754550962183</v>
      </c>
      <c r="K7" s="16">
        <f>武将升星!AK187</f>
        <v>96.908007919601701</v>
      </c>
      <c r="L7" s="34">
        <f>武将升星!AK7/G7</f>
        <v>1</v>
      </c>
      <c r="M7" s="34"/>
      <c r="P7" s="16">
        <v>4</v>
      </c>
      <c r="Q7" s="16">
        <f t="shared" si="0"/>
        <v>32.29082356635945</v>
      </c>
      <c r="R7" s="16">
        <f t="shared" si="1"/>
        <v>32.492502505839617</v>
      </c>
      <c r="S7" s="16">
        <f t="shared" si="2"/>
        <v>32.311858700737957</v>
      </c>
      <c r="T7" s="16">
        <f t="shared" si="3"/>
        <v>33.991052146131274</v>
      </c>
      <c r="U7" s="16">
        <f t="shared" si="4"/>
        <v>33.862956446182949</v>
      </c>
      <c r="Z7" s="16">
        <f t="shared" si="55"/>
        <v>34.585942742481357</v>
      </c>
      <c r="AA7" s="16">
        <f t="shared" si="5"/>
        <v>34.250806171891597</v>
      </c>
      <c r="AB7" s="16">
        <f t="shared" si="6"/>
        <v>34.192155176139416</v>
      </c>
      <c r="AC7" s="16">
        <f t="shared" si="7"/>
        <v>33.672145166817529</v>
      </c>
      <c r="AD7" s="16">
        <f t="shared" si="8"/>
        <v>33.399598377161809</v>
      </c>
      <c r="AE7" s="16">
        <f>武将升级!AD7+武将羁绊!AW10</f>
        <v>3122.3122757232863</v>
      </c>
      <c r="AF7" s="16">
        <f>武将升级!AD52+武将羁绊!AW55</f>
        <v>3142.3195679165315</v>
      </c>
      <c r="AG7" s="16">
        <f>武将升级!AD97+武将羁绊!AW100</f>
        <v>3222.2952589572906</v>
      </c>
      <c r="AH7" s="16">
        <f>武将升级!AD142+武将羁绊!AW145</f>
        <v>3406.7089903621059</v>
      </c>
      <c r="AI7" s="16">
        <f>武将升级!AD187+武将羁绊!AW190</f>
        <v>3589.4110740039919</v>
      </c>
      <c r="AJ7" s="34">
        <f>武将升级!AD7/AE7</f>
        <v>0.91123382714491596</v>
      </c>
      <c r="AK7" s="34">
        <f>武将羁绊!AW10/AE7</f>
        <v>8.876617285508405E-2</v>
      </c>
      <c r="AL7" s="88"/>
      <c r="AM7" s="16">
        <v>4</v>
      </c>
      <c r="AN7" s="16">
        <f t="shared" si="9"/>
        <v>566.52758365492855</v>
      </c>
      <c r="AO7" s="16">
        <f t="shared" si="10"/>
        <v>569.81237036224741</v>
      </c>
      <c r="AP7" s="16">
        <f t="shared" si="11"/>
        <v>569.55949823144567</v>
      </c>
      <c r="AQ7" s="16">
        <f t="shared" si="12"/>
        <v>584.84437202427534</v>
      </c>
      <c r="AR7" s="16">
        <f t="shared" si="13"/>
        <v>583.49110208969898</v>
      </c>
      <c r="AU7" s="17">
        <f t="shared" si="14"/>
        <v>34.585942742481357</v>
      </c>
      <c r="AV7" s="17">
        <f t="shared" si="15"/>
        <v>34.250806171891597</v>
      </c>
      <c r="AW7" s="17">
        <f t="shared" si="16"/>
        <v>34.192155176139416</v>
      </c>
      <c r="AX7" s="17">
        <f t="shared" si="17"/>
        <v>33.672145166817529</v>
      </c>
      <c r="AY7" s="17">
        <f t="shared" si="18"/>
        <v>33.399598377161809</v>
      </c>
      <c r="AZ7" s="17">
        <f>(武将升级!AJ7+武将羁绊!AW10)</f>
        <v>3122.3122757232863</v>
      </c>
      <c r="BA7" s="17">
        <f>(武将升级!AJ52+武将羁绊!AW55)</f>
        <v>3142.3195679165315</v>
      </c>
      <c r="BB7" s="17">
        <f>(武将升级!AJ97+武将羁绊!AW100)</f>
        <v>3222.2952589572906</v>
      </c>
      <c r="BC7" s="17">
        <f>(武将升级!AJ142+武将羁绊!AW145)</f>
        <v>3406.7089903621059</v>
      </c>
      <c r="BD7" s="17">
        <f>(武将升级!AJ187+武将羁绊!AW190)</f>
        <v>3589.4110740039919</v>
      </c>
      <c r="BE7" s="34">
        <f>武将升级!AJ7/AZ7</f>
        <v>0.91123382714491596</v>
      </c>
      <c r="BF7" s="34">
        <f>武将羁绊!AW10/AZ7</f>
        <v>8.876617285508405E-2</v>
      </c>
      <c r="BH7" s="17">
        <v>4</v>
      </c>
      <c r="BI7" s="17">
        <f t="shared" si="56"/>
        <v>566.52758365492855</v>
      </c>
      <c r="BJ7" s="17">
        <f t="shared" si="57"/>
        <v>569.81237036224741</v>
      </c>
      <c r="BK7" s="17">
        <f t="shared" si="58"/>
        <v>569.55949823144567</v>
      </c>
      <c r="BL7" s="17">
        <f t="shared" si="59"/>
        <v>584.84437202427534</v>
      </c>
      <c r="BM7" s="17">
        <f t="shared" si="60"/>
        <v>583.49110208969898</v>
      </c>
      <c r="BR7" s="17">
        <f t="shared" si="61"/>
        <v>34.585942742481357</v>
      </c>
      <c r="BS7" s="17">
        <f t="shared" si="62"/>
        <v>34.250806171891597</v>
      </c>
      <c r="BT7" s="17">
        <f t="shared" si="63"/>
        <v>34.192155176139416</v>
      </c>
      <c r="BU7" s="17">
        <f t="shared" si="64"/>
        <v>33.672145166817529</v>
      </c>
      <c r="BV7" s="17">
        <f t="shared" si="65"/>
        <v>33.399598377161809</v>
      </c>
      <c r="BW7" s="17">
        <f>武将升级!AP7</f>
        <v>1681.7188548496272</v>
      </c>
      <c r="BX7" s="17">
        <f>武将升级!AP52</f>
        <v>1675.016123437832</v>
      </c>
      <c r="BY7" s="17">
        <f>武将升级!AP97</f>
        <v>1673.8431035227884</v>
      </c>
      <c r="BZ7" s="17">
        <f>武将升级!AP142</f>
        <v>1663.4429033363506</v>
      </c>
      <c r="CA7" s="17">
        <f>武将升级!AP187</f>
        <v>1657.9919675432363</v>
      </c>
      <c r="CC7" s="17">
        <v>4</v>
      </c>
      <c r="CD7" s="83">
        <f t="shared" si="87"/>
        <v>1063.3333333333333</v>
      </c>
      <c r="CE7" s="83">
        <f t="shared" si="66"/>
        <v>1063.3333333333333</v>
      </c>
      <c r="CF7" s="83">
        <f t="shared" si="66"/>
        <v>1060.0671277835531</v>
      </c>
      <c r="CG7" s="83">
        <f t="shared" si="66"/>
        <v>1063.2464865163722</v>
      </c>
      <c r="CH7" s="83">
        <f t="shared" si="66"/>
        <v>1062.003204722756</v>
      </c>
      <c r="CM7" s="17">
        <f t="shared" si="67"/>
        <v>34.585942742481357</v>
      </c>
      <c r="CN7" s="17">
        <f t="shared" si="68"/>
        <v>34.250806171891597</v>
      </c>
      <c r="CO7" s="17">
        <f t="shared" si="69"/>
        <v>34.192155176139416</v>
      </c>
      <c r="CP7" s="17">
        <f t="shared" si="70"/>
        <v>33.672145166817529</v>
      </c>
      <c r="CQ7" s="17">
        <f t="shared" si="71"/>
        <v>33.399598377161809</v>
      </c>
      <c r="CR7" s="17">
        <f>武将升级!AV7</f>
        <v>85.171885484962715</v>
      </c>
      <c r="CS7" s="17">
        <f>武将升级!AV52</f>
        <v>84.501612343783194</v>
      </c>
      <c r="CT7" s="17">
        <f>武将升级!AV97</f>
        <v>84.384310352278831</v>
      </c>
      <c r="CU7" s="17">
        <f>武将升级!AV142</f>
        <v>83.344290333635058</v>
      </c>
      <c r="CV7" s="17">
        <f>武将升级!AV187</f>
        <v>82.799196754323617</v>
      </c>
      <c r="CX7" s="17">
        <v>4</v>
      </c>
      <c r="CY7" s="17">
        <f t="shared" si="34"/>
        <v>14</v>
      </c>
      <c r="CZ7" s="17">
        <f t="shared" si="35"/>
        <v>14.024552880032992</v>
      </c>
      <c r="DA7" s="17">
        <f t="shared" si="36"/>
        <v>13.94061444454945</v>
      </c>
      <c r="DB7" s="17">
        <f t="shared" si="37"/>
        <v>14.398315698095299</v>
      </c>
      <c r="DC7" s="17">
        <f t="shared" si="38"/>
        <v>14.374203566340324</v>
      </c>
      <c r="DH7" s="17">
        <f t="shared" si="72"/>
        <v>34.585942742481357</v>
      </c>
      <c r="DI7" s="17">
        <f t="shared" si="73"/>
        <v>34.250806171891597</v>
      </c>
      <c r="DJ7" s="17">
        <f t="shared" si="74"/>
        <v>34.192155176139416</v>
      </c>
      <c r="DK7" s="17">
        <f t="shared" si="75"/>
        <v>33.672145166817529</v>
      </c>
      <c r="DL7" s="17">
        <f t="shared" si="76"/>
        <v>33.399598377161809</v>
      </c>
      <c r="DM7" s="17">
        <f>武将升星!$AQ7</f>
        <v>0.24766451739400477</v>
      </c>
      <c r="DN7" s="17">
        <f>武将升星!$AQ52</f>
        <v>0.26418251972250895</v>
      </c>
      <c r="DO7" s="17">
        <f>武将升星!$AQ97</f>
        <v>0.30177331280947767</v>
      </c>
      <c r="DP7" s="17">
        <f>武将升星!$AQ142</f>
        <v>0.37359006553385554</v>
      </c>
      <c r="DQ7" s="17">
        <f>武将升星!$AQ187</f>
        <v>0.3874753140422646</v>
      </c>
      <c r="DS7" s="17">
        <v>4</v>
      </c>
      <c r="DT7" s="17">
        <f t="shared" si="77"/>
        <v>6.1534640830773119E-2</v>
      </c>
      <c r="DU7" s="17">
        <f t="shared" si="78"/>
        <v>6.2264282677683677E-2</v>
      </c>
      <c r="DV7" s="17">
        <f t="shared" si="79"/>
        <v>6.3827976077366816E-2</v>
      </c>
      <c r="DW7" s="17">
        <f t="shared" si="80"/>
        <v>7.1982946443214874E-2</v>
      </c>
      <c r="DX7" s="17">
        <f t="shared" si="81"/>
        <v>7.1738811109195735E-2</v>
      </c>
      <c r="EC7" s="17">
        <f t="shared" si="82"/>
        <v>34.585942742481357</v>
      </c>
      <c r="ED7" s="17">
        <f t="shared" si="83"/>
        <v>34.250806171891597</v>
      </c>
      <c r="EE7" s="17">
        <f t="shared" si="84"/>
        <v>34.192155176139416</v>
      </c>
      <c r="EF7" s="17">
        <f t="shared" si="85"/>
        <v>33.672145166817529</v>
      </c>
      <c r="EG7" s="17">
        <f t="shared" si="86"/>
        <v>33.399598377161809</v>
      </c>
      <c r="EH7" s="17">
        <f>武将升星!$AW7</f>
        <v>3.0784947466393538E-2</v>
      </c>
      <c r="EI7" s="17">
        <f>武将升星!$AW52</f>
        <v>4.6844116396883663E-2</v>
      </c>
      <c r="EJ7" s="17">
        <f>武将升星!$AW97</f>
        <v>8.3390720786992154E-2</v>
      </c>
      <c r="EK7" s="17">
        <f>武将升星!$AW142</f>
        <v>0.15321256371347064</v>
      </c>
      <c r="EL7" s="17">
        <f>武将升星!$AW187</f>
        <v>0.16671211087442381</v>
      </c>
      <c r="EN7" s="17">
        <v>4</v>
      </c>
      <c r="EO7" s="17">
        <f t="shared" si="50"/>
        <v>2.3265885308755268E-3</v>
      </c>
      <c r="EP7" s="17">
        <f t="shared" si="51"/>
        <v>2.8924304986426667E-3</v>
      </c>
      <c r="EQ7" s="17">
        <f t="shared" si="52"/>
        <v>5.0286533051272335E-3</v>
      </c>
      <c r="ER7" s="17">
        <f t="shared" si="53"/>
        <v>0</v>
      </c>
      <c r="ES7" s="17">
        <f t="shared" si="54"/>
        <v>0</v>
      </c>
    </row>
    <row r="8" spans="1:149" x14ac:dyDescent="0.15">
      <c r="B8" s="16">
        <f>基础状态预期!D21</f>
        <v>40</v>
      </c>
      <c r="C8" s="16">
        <f>基础状态预期!D66</f>
        <v>39.661158518499626</v>
      </c>
      <c r="D8" s="16">
        <f>基础状态预期!D111</f>
        <v>39.631851677253941</v>
      </c>
      <c r="E8" s="16">
        <f>基础状态预期!D156</f>
        <v>39.138098927718012</v>
      </c>
      <c r="F8" s="16">
        <f>基础状态预期!D201</f>
        <v>38.848984787984186</v>
      </c>
      <c r="G8" s="16">
        <f>武将升星!AK8</f>
        <v>89.275668884459563</v>
      </c>
      <c r="H8" s="16">
        <f>武将升星!AK53</f>
        <v>90.730338246226168</v>
      </c>
      <c r="I8" s="16">
        <f>武将升星!AK98</f>
        <v>94.218913053968507</v>
      </c>
      <c r="J8" s="16">
        <f>武将升星!AK143</f>
        <v>101.23276034054844</v>
      </c>
      <c r="K8" s="16">
        <f>武将升星!AK188</f>
        <v>101.42966976873463</v>
      </c>
      <c r="L8" s="34">
        <f>武将升星!AK8/G8</f>
        <v>1</v>
      </c>
      <c r="M8" s="34"/>
      <c r="P8" s="16">
        <v>5</v>
      </c>
      <c r="Q8" s="16">
        <f t="shared" si="0"/>
        <v>40.363529457949305</v>
      </c>
      <c r="R8" s="16">
        <f t="shared" si="1"/>
        <v>40.61562813229952</v>
      </c>
      <c r="S8" s="16">
        <f t="shared" si="2"/>
        <v>40.389823375922454</v>
      </c>
      <c r="T8" s="16">
        <f t="shared" si="3"/>
        <v>42.488815182664091</v>
      </c>
      <c r="U8" s="16">
        <f t="shared" si="4"/>
        <v>42.328695557728693</v>
      </c>
      <c r="Z8" s="16">
        <f t="shared" si="55"/>
        <v>40</v>
      </c>
      <c r="AA8" s="16">
        <f t="shared" si="5"/>
        <v>39.661158518499626</v>
      </c>
      <c r="AB8" s="16">
        <f t="shared" si="6"/>
        <v>39.631851677253941</v>
      </c>
      <c r="AC8" s="16">
        <f t="shared" si="7"/>
        <v>39.138098927718012</v>
      </c>
      <c r="AD8" s="16">
        <f t="shared" si="8"/>
        <v>38.848984787984186</v>
      </c>
      <c r="AE8" s="16">
        <f>武将升级!AD8+武将羁绊!AW11</f>
        <v>3536.2240032300801</v>
      </c>
      <c r="AF8" s="16">
        <f>武将升级!AD53+武将羁绊!AW56</f>
        <v>3569.2398059620273</v>
      </c>
      <c r="AG8" s="16">
        <f>武将升级!AD98+武将羁绊!AW101</f>
        <v>3681.6967719796312</v>
      </c>
      <c r="AH8" s="16">
        <f>武将升级!AD143+武将羁绊!AW146</f>
        <v>3968.8866935954129</v>
      </c>
      <c r="AI8" s="16">
        <f>武将升级!AD188+武将羁绊!AW191</f>
        <v>4210.3905075089087</v>
      </c>
      <c r="AJ8" s="34">
        <f>武将升级!AD8/AE8</f>
        <v>0.89643642402303658</v>
      </c>
      <c r="AK8" s="34">
        <f>武将羁绊!AW11/AE8</f>
        <v>0.10356357597696343</v>
      </c>
      <c r="AL8" s="88"/>
      <c r="AM8" s="16">
        <v>5</v>
      </c>
      <c r="AN8" s="16">
        <f t="shared" si="9"/>
        <v>708.15947956866069</v>
      </c>
      <c r="AO8" s="16">
        <f t="shared" si="10"/>
        <v>712.26546295280923</v>
      </c>
      <c r="AP8" s="16">
        <f t="shared" si="11"/>
        <v>711.94937278930706</v>
      </c>
      <c r="AQ8" s="16">
        <f t="shared" si="12"/>
        <v>731.05546503034418</v>
      </c>
      <c r="AR8" s="16">
        <f t="shared" si="13"/>
        <v>729.3638776121237</v>
      </c>
      <c r="AU8" s="17">
        <f t="shared" si="14"/>
        <v>40</v>
      </c>
      <c r="AV8" s="17">
        <f t="shared" si="15"/>
        <v>39.661158518499626</v>
      </c>
      <c r="AW8" s="17">
        <f t="shared" si="16"/>
        <v>39.631851677253941</v>
      </c>
      <c r="AX8" s="17">
        <f t="shared" si="17"/>
        <v>39.138098927718012</v>
      </c>
      <c r="AY8" s="17">
        <f t="shared" si="18"/>
        <v>38.848984787984186</v>
      </c>
      <c r="AZ8" s="17">
        <f>(武将升级!AJ8+武将羁绊!AW11)</f>
        <v>3536.2240032300801</v>
      </c>
      <c r="BA8" s="17">
        <f>(武将升级!AJ53+武将羁绊!AW56)</f>
        <v>3569.2398059620273</v>
      </c>
      <c r="BB8" s="17">
        <f>(武将升级!AJ98+武将羁绊!AW101)</f>
        <v>3681.6967719796312</v>
      </c>
      <c r="BC8" s="17">
        <f>(武将升级!AJ143+武将羁绊!AW146)</f>
        <v>3968.8866935954129</v>
      </c>
      <c r="BD8" s="17">
        <f>(武将升级!AJ188+武将羁绊!AW191)</f>
        <v>4210.3905075089087</v>
      </c>
      <c r="BE8" s="34">
        <f>武将升级!AJ8/AZ8</f>
        <v>0.89643642402303658</v>
      </c>
      <c r="BF8" s="34">
        <f>武将羁绊!AW11/AZ8</f>
        <v>0.10356357597696343</v>
      </c>
      <c r="BH8" s="17">
        <v>5</v>
      </c>
      <c r="BI8" s="17">
        <f t="shared" si="56"/>
        <v>708.15947956866069</v>
      </c>
      <c r="BJ8" s="17">
        <f t="shared" si="57"/>
        <v>712.26546295280923</v>
      </c>
      <c r="BK8" s="17">
        <f t="shared" si="58"/>
        <v>711.94937278930706</v>
      </c>
      <c r="BL8" s="17">
        <f t="shared" si="59"/>
        <v>731.05546503034418</v>
      </c>
      <c r="BM8" s="17">
        <f t="shared" si="60"/>
        <v>729.3638776121237</v>
      </c>
      <c r="BR8" s="17">
        <f t="shared" si="61"/>
        <v>40</v>
      </c>
      <c r="BS8" s="17">
        <f t="shared" si="62"/>
        <v>39.661158518499626</v>
      </c>
      <c r="BT8" s="17">
        <f t="shared" si="63"/>
        <v>39.631851677253941</v>
      </c>
      <c r="BU8" s="17">
        <f t="shared" si="64"/>
        <v>39.138098927718012</v>
      </c>
      <c r="BV8" s="17">
        <f t="shared" si="65"/>
        <v>38.848984787984186</v>
      </c>
      <c r="BW8" s="17">
        <f>武将升级!AP8</f>
        <v>1790</v>
      </c>
      <c r="BX8" s="17">
        <f>武将升级!AP53</f>
        <v>1783.2231703699927</v>
      </c>
      <c r="BY8" s="17">
        <f>武将升级!AP98</f>
        <v>1782.6370335450786</v>
      </c>
      <c r="BZ8" s="17">
        <f>武将升级!AP143</f>
        <v>1772.7619785543602</v>
      </c>
      <c r="CA8" s="17">
        <f>武将升级!AP188</f>
        <v>1766.9796957596836</v>
      </c>
      <c r="CC8" s="17">
        <v>5</v>
      </c>
      <c r="CD8" s="83">
        <f t="shared" si="87"/>
        <v>1084.4444444444443</v>
      </c>
      <c r="CE8" s="83">
        <f t="shared" si="66"/>
        <v>1084.4444444444443</v>
      </c>
      <c r="CF8" s="83">
        <f t="shared" si="66"/>
        <v>1080.0895037114042</v>
      </c>
      <c r="CG8" s="83">
        <f t="shared" si="66"/>
        <v>1084.3286486884963</v>
      </c>
      <c r="CH8" s="83">
        <f t="shared" si="66"/>
        <v>1082.6709396303413</v>
      </c>
      <c r="CM8" s="17">
        <f t="shared" si="67"/>
        <v>40</v>
      </c>
      <c r="CN8" s="17">
        <f t="shared" si="68"/>
        <v>39.661158518499626</v>
      </c>
      <c r="CO8" s="17">
        <f t="shared" si="69"/>
        <v>39.631851677253941</v>
      </c>
      <c r="CP8" s="17">
        <f t="shared" si="70"/>
        <v>39.138098927718012</v>
      </c>
      <c r="CQ8" s="17">
        <f t="shared" si="71"/>
        <v>38.848984787984186</v>
      </c>
      <c r="CR8" s="17">
        <f>武将升级!AV8</f>
        <v>96</v>
      </c>
      <c r="CS8" s="17">
        <f>武将升级!AV53</f>
        <v>95.322317036999252</v>
      </c>
      <c r="CT8" s="17">
        <f>武将升级!AV98</f>
        <v>95.263703354507882</v>
      </c>
      <c r="CU8" s="17">
        <f>武将升级!AV143</f>
        <v>94.276197855436024</v>
      </c>
      <c r="CV8" s="17">
        <f>武将升级!AV188</f>
        <v>93.697969575968372</v>
      </c>
      <c r="CX8" s="17">
        <v>5</v>
      </c>
      <c r="CY8" s="17">
        <f t="shared" si="34"/>
        <v>17.5</v>
      </c>
      <c r="CZ8" s="17">
        <f t="shared" si="35"/>
        <v>17.530691100041238</v>
      </c>
      <c r="DA8" s="17">
        <f t="shared" si="36"/>
        <v>17.425768055686813</v>
      </c>
      <c r="DB8" s="17">
        <f t="shared" si="37"/>
        <v>17.997894622619121</v>
      </c>
      <c r="DC8" s="17">
        <f t="shared" si="38"/>
        <v>17.967754457925402</v>
      </c>
      <c r="DH8" s="17">
        <f t="shared" si="72"/>
        <v>40</v>
      </c>
      <c r="DI8" s="17">
        <f t="shared" si="73"/>
        <v>39.661158518499626</v>
      </c>
      <c r="DJ8" s="17">
        <f t="shared" si="74"/>
        <v>39.631851677253941</v>
      </c>
      <c r="DK8" s="17">
        <f t="shared" si="75"/>
        <v>39.138098927718012</v>
      </c>
      <c r="DL8" s="17">
        <f t="shared" si="76"/>
        <v>38.848984787984186</v>
      </c>
      <c r="DM8" s="17">
        <f>武将升星!$AQ8</f>
        <v>0.27756963193621775</v>
      </c>
      <c r="DN8" s="17">
        <f>武将升星!$AQ53</f>
        <v>0.2985168707456568</v>
      </c>
      <c r="DO8" s="17">
        <f>武将升星!$AQ98</f>
        <v>0.34875234797714666</v>
      </c>
      <c r="DP8" s="17">
        <f>武将升星!$AQ143</f>
        <v>0.44975174890389752</v>
      </c>
      <c r="DQ8" s="17">
        <f>武将升星!$AQ188</f>
        <v>0.45258724466977868</v>
      </c>
      <c r="DS8" s="17">
        <v>5</v>
      </c>
      <c r="DT8" s="17">
        <f t="shared" si="77"/>
        <v>7.6918301038466405E-2</v>
      </c>
      <c r="DU8" s="17">
        <f t="shared" si="78"/>
        <v>7.78303533471046E-2</v>
      </c>
      <c r="DV8" s="17">
        <f t="shared" si="79"/>
        <v>7.9784970096708513E-2</v>
      </c>
      <c r="DW8" s="17">
        <f t="shared" si="80"/>
        <v>8.9978683054018599E-2</v>
      </c>
      <c r="DX8" s="17">
        <f t="shared" si="81"/>
        <v>8.9673513886494666E-2</v>
      </c>
      <c r="EC8" s="17">
        <f t="shared" si="82"/>
        <v>40</v>
      </c>
      <c r="ED8" s="17">
        <f t="shared" si="83"/>
        <v>39.661158518499626</v>
      </c>
      <c r="EE8" s="17">
        <f t="shared" si="84"/>
        <v>39.631851677253941</v>
      </c>
      <c r="EF8" s="17">
        <f t="shared" si="85"/>
        <v>39.138098927718012</v>
      </c>
      <c r="EG8" s="17">
        <f t="shared" si="86"/>
        <v>38.848984787984186</v>
      </c>
      <c r="EH8" s="17">
        <f>武将升星!$AW8</f>
        <v>5.9859364382433895E-2</v>
      </c>
      <c r="EI8" s="17">
        <f>武将升星!$AW53</f>
        <v>8.0224735447166323E-2</v>
      </c>
      <c r="EJ8" s="17">
        <f>武将升星!$AW98</f>
        <v>0.1290647827555593</v>
      </c>
      <c r="EK8" s="17">
        <f>武将升星!$AW143</f>
        <v>0.2272586447676781</v>
      </c>
      <c r="EL8" s="17">
        <f>武将升星!$AW188</f>
        <v>0.23001537676228481</v>
      </c>
      <c r="EN8" s="17">
        <v>5</v>
      </c>
      <c r="EO8" s="17">
        <f t="shared" si="50"/>
        <v>2.9082356635944089E-3</v>
      </c>
      <c r="EP8" s="17">
        <f t="shared" si="51"/>
        <v>3.6155381233033339E-3</v>
      </c>
      <c r="EQ8" s="17">
        <f t="shared" si="52"/>
        <v>6.2858166314090419E-3</v>
      </c>
      <c r="ER8" s="17">
        <f t="shared" si="53"/>
        <v>0</v>
      </c>
      <c r="ES8" s="17">
        <f t="shared" si="54"/>
        <v>0</v>
      </c>
    </row>
    <row r="9" spans="1:149" x14ac:dyDescent="0.15">
      <c r="B9" s="16">
        <f>基础状态预期!D22</f>
        <v>43.920692243099523</v>
      </c>
      <c r="C9" s="16">
        <f>基础状态预期!D67</f>
        <v>43.535389560453282</v>
      </c>
      <c r="D9" s="16">
        <f>基础状态预期!D112</f>
        <v>43.484929789964411</v>
      </c>
      <c r="E9" s="16">
        <f>基础状态预期!D157</f>
        <v>42.970748198558951</v>
      </c>
      <c r="F9" s="16">
        <f>基础状态预期!D202</f>
        <v>42.643360270022924</v>
      </c>
      <c r="G9" s="16">
        <f>武将升星!AK9</f>
        <v>91.310053020260042</v>
      </c>
      <c r="H9" s="16">
        <f>武将升星!AK54</f>
        <v>93.014715652025515</v>
      </c>
      <c r="I9" s="16">
        <f>武将升星!AK99</f>
        <v>97.365143868232266</v>
      </c>
      <c r="J9" s="16">
        <f>武将升星!AK144</f>
        <v>104.17187646950498</v>
      </c>
      <c r="K9" s="16">
        <f>武将升星!AK189</f>
        <v>104.34694587018511</v>
      </c>
      <c r="L9" s="34">
        <f>武将升星!AK9/G9</f>
        <v>1</v>
      </c>
      <c r="M9" s="34"/>
      <c r="P9" s="16">
        <v>6</v>
      </c>
      <c r="Q9" s="16">
        <f t="shared" si="0"/>
        <v>48.436235349539167</v>
      </c>
      <c r="R9" s="16">
        <f t="shared" si="1"/>
        <v>48.738753758759422</v>
      </c>
      <c r="S9" s="16">
        <f t="shared" si="2"/>
        <v>48.467788051106943</v>
      </c>
      <c r="T9" s="16">
        <f t="shared" si="3"/>
        <v>50.986578219196907</v>
      </c>
      <c r="U9" s="16">
        <f t="shared" si="4"/>
        <v>50.79443466927443</v>
      </c>
      <c r="Z9" s="16">
        <f t="shared" si="55"/>
        <v>43.920692243099523</v>
      </c>
      <c r="AA9" s="16">
        <f t="shared" si="5"/>
        <v>43.535389560453282</v>
      </c>
      <c r="AB9" s="16">
        <f t="shared" si="6"/>
        <v>43.484929789964411</v>
      </c>
      <c r="AC9" s="16">
        <f t="shared" si="7"/>
        <v>42.970748198558951</v>
      </c>
      <c r="AD9" s="16">
        <f t="shared" si="8"/>
        <v>42.643360270022924</v>
      </c>
      <c r="AE9" s="16">
        <f>武将升级!AD9+武将羁绊!AW12</f>
        <v>3854.2278415698211</v>
      </c>
      <c r="AF9" s="16">
        <f>武将升级!AD54+武将羁绊!AW57</f>
        <v>3896.0491995738057</v>
      </c>
      <c r="AG9" s="16">
        <f>武将升级!AD99+武将羁绊!AW102</f>
        <v>4034.4659502186823</v>
      </c>
      <c r="AH9" s="16">
        <f>武将升级!AD144+武将羁绊!AW147</f>
        <v>4396.2718383162373</v>
      </c>
      <c r="AI9" s="16">
        <f>武将升级!AD189+武将羁绊!AW192</f>
        <v>4711.1212549963939</v>
      </c>
      <c r="AJ9" s="34">
        <f>武将升级!AD9/AE9</f>
        <v>0.88350810449208461</v>
      </c>
      <c r="AK9" s="34">
        <f>武将羁绊!AW12/AE9</f>
        <v>0.11649189550791537</v>
      </c>
      <c r="AL9" s="88"/>
      <c r="AM9" s="16">
        <v>6</v>
      </c>
      <c r="AN9" s="16">
        <f t="shared" si="9"/>
        <v>849.79137548239282</v>
      </c>
      <c r="AO9" s="16">
        <f t="shared" si="10"/>
        <v>854.71855554337117</v>
      </c>
      <c r="AP9" s="16">
        <f t="shared" si="11"/>
        <v>854.33924734716845</v>
      </c>
      <c r="AQ9" s="16">
        <f t="shared" si="12"/>
        <v>877.26655803641302</v>
      </c>
      <c r="AR9" s="16">
        <f t="shared" si="13"/>
        <v>875.23665313454853</v>
      </c>
      <c r="AU9" s="17">
        <f t="shared" si="14"/>
        <v>43.920692243099523</v>
      </c>
      <c r="AV9" s="17">
        <f t="shared" si="15"/>
        <v>43.535389560453282</v>
      </c>
      <c r="AW9" s="17">
        <f t="shared" si="16"/>
        <v>43.484929789964411</v>
      </c>
      <c r="AX9" s="17">
        <f t="shared" si="17"/>
        <v>42.970748198558951</v>
      </c>
      <c r="AY9" s="17">
        <f t="shared" si="18"/>
        <v>42.643360270022924</v>
      </c>
      <c r="AZ9" s="17">
        <f>(武将升级!AJ9+武将羁绊!AW12)</f>
        <v>3854.2278415698211</v>
      </c>
      <c r="BA9" s="17">
        <f>(武将升级!AJ54+武将羁绊!AW57)</f>
        <v>3896.0491995738057</v>
      </c>
      <c r="BB9" s="17">
        <f>(武将升级!AJ99+武将羁绊!AW102)</f>
        <v>4034.4659502186823</v>
      </c>
      <c r="BC9" s="17">
        <f>(武将升级!AJ144+武将羁绊!AW147)</f>
        <v>4396.2718383162373</v>
      </c>
      <c r="BD9" s="17">
        <f>(武将升级!AJ189+武将羁绊!AW192)</f>
        <v>4711.1212549963939</v>
      </c>
      <c r="BE9" s="34">
        <f>武将升级!AJ9/AZ9</f>
        <v>0.88350810449208461</v>
      </c>
      <c r="BF9" s="34">
        <f>武将羁绊!AW12/AZ9</f>
        <v>0.11649189550791537</v>
      </c>
      <c r="BH9" s="17">
        <v>6</v>
      </c>
      <c r="BI9" s="17">
        <f t="shared" si="56"/>
        <v>849.79137548239282</v>
      </c>
      <c r="BJ9" s="17">
        <f t="shared" si="57"/>
        <v>854.71855554337117</v>
      </c>
      <c r="BK9" s="17">
        <f t="shared" si="58"/>
        <v>854.33924734716845</v>
      </c>
      <c r="BL9" s="17">
        <f t="shared" si="59"/>
        <v>877.26655803641302</v>
      </c>
      <c r="BM9" s="17">
        <f t="shared" si="60"/>
        <v>875.23665313454853</v>
      </c>
      <c r="BR9" s="17">
        <f t="shared" si="61"/>
        <v>43.920692243099523</v>
      </c>
      <c r="BS9" s="17">
        <f t="shared" si="62"/>
        <v>43.535389560453282</v>
      </c>
      <c r="BT9" s="17">
        <f t="shared" si="63"/>
        <v>43.484929789964411</v>
      </c>
      <c r="BU9" s="17">
        <f t="shared" si="64"/>
        <v>42.970748198558951</v>
      </c>
      <c r="BV9" s="17">
        <f t="shared" si="65"/>
        <v>42.643360270022924</v>
      </c>
      <c r="BW9" s="17">
        <f>武将升级!AP9</f>
        <v>1868.4138448619906</v>
      </c>
      <c r="BX9" s="17">
        <f>武将升级!AP54</f>
        <v>1860.7077912090656</v>
      </c>
      <c r="BY9" s="17">
        <f>武将升级!AP99</f>
        <v>1859.6985957992883</v>
      </c>
      <c r="BZ9" s="17">
        <f>武将升级!AP144</f>
        <v>1849.4149639711788</v>
      </c>
      <c r="CA9" s="17">
        <f>武将升级!AP189</f>
        <v>1842.8672054004585</v>
      </c>
      <c r="CC9" s="17">
        <v>6</v>
      </c>
      <c r="CD9" s="83">
        <f t="shared" si="87"/>
        <v>1105.5555555555554</v>
      </c>
      <c r="CE9" s="83">
        <f t="shared" si="66"/>
        <v>1105.5555555555554</v>
      </c>
      <c r="CF9" s="83">
        <f t="shared" si="66"/>
        <v>1100.1118796392552</v>
      </c>
      <c r="CG9" s="83">
        <f t="shared" si="66"/>
        <v>1105.4108108606204</v>
      </c>
      <c r="CH9" s="83">
        <f t="shared" si="66"/>
        <v>1103.3386745379266</v>
      </c>
      <c r="CM9" s="17">
        <f t="shared" si="67"/>
        <v>43.920692243099523</v>
      </c>
      <c r="CN9" s="17">
        <f t="shared" si="68"/>
        <v>43.535389560453282</v>
      </c>
      <c r="CO9" s="17">
        <f t="shared" si="69"/>
        <v>43.484929789964411</v>
      </c>
      <c r="CP9" s="17">
        <f t="shared" si="70"/>
        <v>42.970748198558951</v>
      </c>
      <c r="CQ9" s="17">
        <f t="shared" si="71"/>
        <v>42.643360270022924</v>
      </c>
      <c r="CR9" s="17">
        <f>武将升级!AV9</f>
        <v>103.84138448619905</v>
      </c>
      <c r="CS9" s="17">
        <f>武将升级!AV54</f>
        <v>103.07077912090658</v>
      </c>
      <c r="CT9" s="17">
        <f>武将升级!AV99</f>
        <v>102.96985957992882</v>
      </c>
      <c r="CU9" s="17">
        <f>武将升级!AV144</f>
        <v>101.94149639711789</v>
      </c>
      <c r="CV9" s="17">
        <f>武将升级!AV189</f>
        <v>101.28672054004585</v>
      </c>
      <c r="CX9" s="17">
        <v>6</v>
      </c>
      <c r="CY9" s="17">
        <f t="shared" si="34"/>
        <v>21</v>
      </c>
      <c r="CZ9" s="17">
        <f t="shared" si="35"/>
        <v>21.036829320049485</v>
      </c>
      <c r="DA9" s="17">
        <f t="shared" si="36"/>
        <v>20.910921666824173</v>
      </c>
      <c r="DB9" s="17">
        <f t="shared" si="37"/>
        <v>21.597473547142947</v>
      </c>
      <c r="DC9" s="17">
        <f t="shared" si="38"/>
        <v>21.561305349510484</v>
      </c>
      <c r="DH9" s="17">
        <f t="shared" si="72"/>
        <v>43.920692243099523</v>
      </c>
      <c r="DI9" s="17">
        <f t="shared" si="73"/>
        <v>43.535389560453282</v>
      </c>
      <c r="DJ9" s="17">
        <f t="shared" si="74"/>
        <v>43.484929789964411</v>
      </c>
      <c r="DK9" s="17">
        <f t="shared" si="75"/>
        <v>42.970748198558951</v>
      </c>
      <c r="DL9" s="17">
        <f t="shared" si="76"/>
        <v>42.643360270022924</v>
      </c>
      <c r="DM9" s="17">
        <f>武将升星!$AQ9</f>
        <v>0.30686476349174463</v>
      </c>
      <c r="DN9" s="17">
        <f>武将升星!$AQ54</f>
        <v>0.33141190538916737</v>
      </c>
      <c r="DO9" s="17">
        <f>武将升星!$AQ99</f>
        <v>0.39405807170254464</v>
      </c>
      <c r="DP9" s="17">
        <f>武将升星!$AQ144</f>
        <v>0.49207502116087176</v>
      </c>
      <c r="DQ9" s="17">
        <f>武将升星!$AQ189</f>
        <v>0.49459602053066559</v>
      </c>
      <c r="DS9" s="17">
        <v>6</v>
      </c>
      <c r="DT9" s="17">
        <f t="shared" si="77"/>
        <v>9.2301961246159692E-2</v>
      </c>
      <c r="DU9" s="17">
        <f t="shared" si="78"/>
        <v>9.3396424016525523E-2</v>
      </c>
      <c r="DV9" s="17">
        <f t="shared" si="79"/>
        <v>9.5741964116050224E-2</v>
      </c>
      <c r="DW9" s="17">
        <f t="shared" si="80"/>
        <v>0.10797441966482232</v>
      </c>
      <c r="DX9" s="17">
        <f t="shared" si="81"/>
        <v>0.10760821666379361</v>
      </c>
      <c r="EC9" s="17">
        <f t="shared" si="82"/>
        <v>43.920692243099523</v>
      </c>
      <c r="ED9" s="17">
        <f t="shared" si="83"/>
        <v>43.535389560453282</v>
      </c>
      <c r="EE9" s="17">
        <f t="shared" si="84"/>
        <v>43.484929789964411</v>
      </c>
      <c r="EF9" s="17">
        <f t="shared" si="85"/>
        <v>42.970748198558951</v>
      </c>
      <c r="EG9" s="17">
        <f t="shared" si="86"/>
        <v>42.643360270022924</v>
      </c>
      <c r="EH9" s="17">
        <f>武将升星!$AW9</f>
        <v>8.8340742283640597E-2</v>
      </c>
      <c r="EI9" s="17">
        <f>武将升星!$AW54</f>
        <v>0.11220601912835715</v>
      </c>
      <c r="EJ9" s="17">
        <f>武将升星!$AW99</f>
        <v>0.17311201415525168</v>
      </c>
      <c r="EK9" s="17">
        <f>武将升星!$AW144</f>
        <v>0.26840627057306976</v>
      </c>
      <c r="EL9" s="17">
        <f>武将升星!$AW189</f>
        <v>0.27085724218259155</v>
      </c>
      <c r="EN9" s="17">
        <v>6</v>
      </c>
      <c r="EO9" s="17">
        <f t="shared" si="50"/>
        <v>3.4898827963132906E-3</v>
      </c>
      <c r="EP9" s="17">
        <f t="shared" si="51"/>
        <v>4.3386457479640001E-3</v>
      </c>
      <c r="EQ9" s="17">
        <f t="shared" si="52"/>
        <v>7.5429799576908502E-3</v>
      </c>
      <c r="ER9" s="17">
        <f t="shared" si="53"/>
        <v>0</v>
      </c>
      <c r="ES9" s="17">
        <f t="shared" si="54"/>
        <v>0</v>
      </c>
    </row>
    <row r="10" spans="1:149" x14ac:dyDescent="0.15">
      <c r="B10" s="16">
        <f>基础状态预期!D23</f>
        <v>49.533352307096472</v>
      </c>
      <c r="C10" s="16">
        <f>基础状态预期!D68</f>
        <v>49.178590903134719</v>
      </c>
      <c r="D10" s="16">
        <f>基础状态预期!D113</f>
        <v>49.18886033229559</v>
      </c>
      <c r="E10" s="16">
        <f>基础状态预期!D158</f>
        <v>48.731413734867289</v>
      </c>
      <c r="F10" s="16">
        <f>基础状态预期!D203</f>
        <v>48.493134765265182</v>
      </c>
      <c r="G10" s="16">
        <f>武将升星!AK10</f>
        <v>94.944505296900516</v>
      </c>
      <c r="H10" s="16">
        <f>武将升星!AK55</f>
        <v>97.037245838862759</v>
      </c>
      <c r="I10" s="16">
        <f>武将升星!AK100</f>
        <v>101.29345486026529</v>
      </c>
      <c r="J10" s="16">
        <f>武将升星!AK145</f>
        <v>109.22901101064241</v>
      </c>
      <c r="K10" s="16">
        <f>武将升星!AK190</f>
        <v>109.60316634662838</v>
      </c>
      <c r="L10" s="34">
        <f>武将升星!AK10/G10</f>
        <v>1</v>
      </c>
      <c r="M10" s="34"/>
      <c r="P10" s="16">
        <v>7</v>
      </c>
      <c r="Q10" s="16">
        <f t="shared" si="0"/>
        <v>56.50894124112903</v>
      </c>
      <c r="R10" s="16">
        <f t="shared" si="1"/>
        <v>56.861879385219325</v>
      </c>
      <c r="S10" s="16">
        <f t="shared" si="2"/>
        <v>56.545752726291433</v>
      </c>
      <c r="T10" s="16">
        <f t="shared" si="3"/>
        <v>59.484341255729731</v>
      </c>
      <c r="U10" s="16">
        <f t="shared" si="4"/>
        <v>59.260173780820168</v>
      </c>
      <c r="Z10" s="16">
        <f t="shared" si="55"/>
        <v>49.533352307096472</v>
      </c>
      <c r="AA10" s="16">
        <f t="shared" si="5"/>
        <v>49.178590903134719</v>
      </c>
      <c r="AB10" s="16">
        <f t="shared" si="6"/>
        <v>49.18886033229559</v>
      </c>
      <c r="AC10" s="16">
        <f t="shared" si="7"/>
        <v>48.731413734867289</v>
      </c>
      <c r="AD10" s="16">
        <f t="shared" si="8"/>
        <v>48.493134765265182</v>
      </c>
      <c r="AE10" s="16">
        <f>武将升级!AD10+武将羁绊!AW13</f>
        <v>4345.2875153059786</v>
      </c>
      <c r="AF10" s="16">
        <f>武将升级!AD55+武将羁绊!AW58</f>
        <v>4408.2771057688069</v>
      </c>
      <c r="AG10" s="16">
        <f>武将升级!AD100+武将羁绊!AW103</f>
        <v>4596.0982841314217</v>
      </c>
      <c r="AH10" s="16">
        <f>武将升级!AD145+武将羁绊!AW148</f>
        <v>5109.5881122059236</v>
      </c>
      <c r="AI10" s="16">
        <f>武将升级!AD190+武将羁绊!AW193</f>
        <v>5562.2527031692543</v>
      </c>
      <c r="AJ10" s="34">
        <f>武将升级!AD10/AE10</f>
        <v>0.86116307039404061</v>
      </c>
      <c r="AK10" s="34">
        <f>武将羁绊!AW13/AE10</f>
        <v>0.13883692960595942</v>
      </c>
      <c r="AL10" s="88"/>
      <c r="AM10" s="16">
        <v>7</v>
      </c>
      <c r="AN10" s="16">
        <f t="shared" si="9"/>
        <v>991.42327139612496</v>
      </c>
      <c r="AO10" s="16">
        <f t="shared" si="10"/>
        <v>997.1716481339331</v>
      </c>
      <c r="AP10" s="16">
        <f t="shared" si="11"/>
        <v>996.72912190502984</v>
      </c>
      <c r="AQ10" s="16">
        <f t="shared" si="12"/>
        <v>1023.4776510424817</v>
      </c>
      <c r="AR10" s="16">
        <f t="shared" si="13"/>
        <v>1021.1094286569733</v>
      </c>
      <c r="AU10" s="17">
        <f t="shared" si="14"/>
        <v>49.533352307096472</v>
      </c>
      <c r="AV10" s="17">
        <f t="shared" si="15"/>
        <v>49.178590903134719</v>
      </c>
      <c r="AW10" s="17">
        <f t="shared" si="16"/>
        <v>49.18886033229559</v>
      </c>
      <c r="AX10" s="17">
        <f t="shared" si="17"/>
        <v>48.731413734867289</v>
      </c>
      <c r="AY10" s="17">
        <f t="shared" si="18"/>
        <v>48.493134765265182</v>
      </c>
      <c r="AZ10" s="17">
        <f>(武将升级!AJ10+武将羁绊!AW13)</f>
        <v>4345.2875153059786</v>
      </c>
      <c r="BA10" s="17">
        <f>(武将升级!AJ55+武将羁绊!AW58)</f>
        <v>4408.2771057688069</v>
      </c>
      <c r="BB10" s="17">
        <f>(武将升级!AJ100+武将羁绊!AW103)</f>
        <v>4596.0982841314217</v>
      </c>
      <c r="BC10" s="17">
        <f>(武将升级!AJ145+武将羁绊!AW148)</f>
        <v>5109.5881122059236</v>
      </c>
      <c r="BD10" s="17">
        <f>(武将升级!AJ190+武将羁绊!AW193)</f>
        <v>5562.2527031692543</v>
      </c>
      <c r="BE10" s="34">
        <f>武将升级!AJ10/AZ10</f>
        <v>0.86116307039404061</v>
      </c>
      <c r="BF10" s="34">
        <f>武将羁绊!AW13/AZ10</f>
        <v>0.13883692960595942</v>
      </c>
      <c r="BH10" s="17">
        <v>7</v>
      </c>
      <c r="BI10" s="17">
        <f t="shared" si="56"/>
        <v>991.42327139612496</v>
      </c>
      <c r="BJ10" s="17">
        <f t="shared" si="57"/>
        <v>997.1716481339331</v>
      </c>
      <c r="BK10" s="17">
        <f t="shared" si="58"/>
        <v>996.72912190502984</v>
      </c>
      <c r="BL10" s="17">
        <f t="shared" si="59"/>
        <v>1023.4776510424817</v>
      </c>
      <c r="BM10" s="17">
        <f t="shared" si="60"/>
        <v>1021.1094286569733</v>
      </c>
      <c r="BR10" s="17">
        <f t="shared" si="61"/>
        <v>49.533352307096472</v>
      </c>
      <c r="BS10" s="17">
        <f t="shared" si="62"/>
        <v>49.178590903134719</v>
      </c>
      <c r="BT10" s="17">
        <f t="shared" si="63"/>
        <v>49.18886033229559</v>
      </c>
      <c r="BU10" s="17">
        <f t="shared" si="64"/>
        <v>48.731413734867289</v>
      </c>
      <c r="BV10" s="17">
        <f t="shared" si="65"/>
        <v>48.493134765265182</v>
      </c>
      <c r="BW10" s="17">
        <f>武将升级!AP10</f>
        <v>1980.6670461419296</v>
      </c>
      <c r="BX10" s="17">
        <f>武将升级!AP55</f>
        <v>1973.5718180626943</v>
      </c>
      <c r="BY10" s="17">
        <f>武将升级!AP100</f>
        <v>1973.7772066459117</v>
      </c>
      <c r="BZ10" s="17">
        <f>武将升级!AP145</f>
        <v>1964.6282746973457</v>
      </c>
      <c r="CA10" s="17">
        <f>武将升级!AP190</f>
        <v>1959.8626953053035</v>
      </c>
      <c r="CC10" s="17">
        <v>7</v>
      </c>
      <c r="CD10" s="83">
        <f t="shared" si="87"/>
        <v>1126.6666666666665</v>
      </c>
      <c r="CE10" s="83">
        <f t="shared" si="66"/>
        <v>1126.6666666666665</v>
      </c>
      <c r="CF10" s="83">
        <f t="shared" si="66"/>
        <v>1120.1342555671063</v>
      </c>
      <c r="CG10" s="83">
        <f t="shared" si="66"/>
        <v>1126.4929730327444</v>
      </c>
      <c r="CH10" s="83">
        <f t="shared" si="66"/>
        <v>1124.006409445512</v>
      </c>
      <c r="CM10" s="17">
        <f t="shared" si="67"/>
        <v>49.533352307096472</v>
      </c>
      <c r="CN10" s="17">
        <f t="shared" si="68"/>
        <v>49.178590903134719</v>
      </c>
      <c r="CO10" s="17">
        <f t="shared" si="69"/>
        <v>49.18886033229559</v>
      </c>
      <c r="CP10" s="17">
        <f t="shared" si="70"/>
        <v>48.731413734867289</v>
      </c>
      <c r="CQ10" s="17">
        <f t="shared" si="71"/>
        <v>48.493134765265182</v>
      </c>
      <c r="CR10" s="17">
        <f>武将升级!AV10</f>
        <v>115.06670461419294</v>
      </c>
      <c r="CS10" s="17">
        <f>武将升级!AV55</f>
        <v>114.35718180626945</v>
      </c>
      <c r="CT10" s="17">
        <f>武将升级!AV100</f>
        <v>114.37772066459119</v>
      </c>
      <c r="CU10" s="17">
        <f>武将升级!AV145</f>
        <v>113.46282746973458</v>
      </c>
      <c r="CV10" s="17">
        <f>武将升级!AV190</f>
        <v>112.98626953053036</v>
      </c>
      <c r="CX10" s="17">
        <v>7</v>
      </c>
      <c r="CY10" s="17">
        <f t="shared" si="34"/>
        <v>24.5</v>
      </c>
      <c r="CZ10" s="17">
        <f t="shared" si="35"/>
        <v>24.542967540057735</v>
      </c>
      <c r="DA10" s="17">
        <f t="shared" si="36"/>
        <v>24.396075277961536</v>
      </c>
      <c r="DB10" s="17">
        <f t="shared" si="37"/>
        <v>25.197052471666773</v>
      </c>
      <c r="DC10" s="17">
        <f t="shared" si="38"/>
        <v>25.154856241095562</v>
      </c>
      <c r="DH10" s="17">
        <f t="shared" si="72"/>
        <v>49.533352307096472</v>
      </c>
      <c r="DI10" s="17">
        <f t="shared" si="73"/>
        <v>49.178590903134719</v>
      </c>
      <c r="DJ10" s="17">
        <f t="shared" si="74"/>
        <v>49.18886033229559</v>
      </c>
      <c r="DK10" s="17">
        <f t="shared" si="75"/>
        <v>48.731413734867289</v>
      </c>
      <c r="DL10" s="17">
        <f t="shared" si="76"/>
        <v>48.493134765265182</v>
      </c>
      <c r="DM10" s="17">
        <f>武将升星!$AQ10</f>
        <v>0.35920087627536751</v>
      </c>
      <c r="DN10" s="17">
        <f>武将升星!$AQ55</f>
        <v>0.3893363400796237</v>
      </c>
      <c r="DO10" s="17">
        <f>武将升星!$AQ100</f>
        <v>0.45062574998782007</v>
      </c>
      <c r="DP10" s="17">
        <f>武将升星!$AQ145</f>
        <v>0.56489775855325086</v>
      </c>
      <c r="DQ10" s="17">
        <f>武将升星!$AQ190</f>
        <v>0.57028559539144896</v>
      </c>
      <c r="DS10" s="17">
        <v>7</v>
      </c>
      <c r="DT10" s="17">
        <f t="shared" si="77"/>
        <v>0.10768562145385296</v>
      </c>
      <c r="DU10" s="17">
        <f t="shared" si="78"/>
        <v>0.10896249468594643</v>
      </c>
      <c r="DV10" s="17">
        <f t="shared" si="79"/>
        <v>0.11169895813539192</v>
      </c>
      <c r="DW10" s="17">
        <f t="shared" si="80"/>
        <v>0.12597015627562605</v>
      </c>
      <c r="DX10" s="17">
        <f t="shared" si="81"/>
        <v>0.12554291944109255</v>
      </c>
      <c r="EC10" s="17">
        <f t="shared" si="82"/>
        <v>49.533352307096472</v>
      </c>
      <c r="ED10" s="17">
        <f t="shared" si="83"/>
        <v>49.178590903134719</v>
      </c>
      <c r="EE10" s="17">
        <f t="shared" si="84"/>
        <v>49.18886033229559</v>
      </c>
      <c r="EF10" s="17">
        <f t="shared" si="85"/>
        <v>48.731413734867289</v>
      </c>
      <c r="EG10" s="17">
        <f t="shared" si="86"/>
        <v>48.493134765265182</v>
      </c>
      <c r="EH10" s="17">
        <f>武将升星!$AW10</f>
        <v>0.13922307415660723</v>
      </c>
      <c r="EI10" s="17">
        <f>武将升星!$AW55</f>
        <v>0.16852144174407857</v>
      </c>
      <c r="EJ10" s="17">
        <f>武将升星!$AW100</f>
        <v>0.22810836804371384</v>
      </c>
      <c r="EK10" s="17">
        <f>武将升星!$AW145</f>
        <v>0.33920615414899374</v>
      </c>
      <c r="EL10" s="17">
        <f>武将升星!$AW190</f>
        <v>0.34444432885279747</v>
      </c>
      <c r="EN10" s="17">
        <v>7</v>
      </c>
      <c r="EO10" s="17">
        <f t="shared" si="50"/>
        <v>4.0715299290321723E-3</v>
      </c>
      <c r="EP10" s="17">
        <f t="shared" si="51"/>
        <v>5.0617533726246677E-3</v>
      </c>
      <c r="EQ10" s="17">
        <f t="shared" si="52"/>
        <v>8.8001432839726577E-3</v>
      </c>
      <c r="ER10" s="17">
        <f t="shared" si="53"/>
        <v>0</v>
      </c>
      <c r="ES10" s="17">
        <f t="shared" si="54"/>
        <v>0</v>
      </c>
    </row>
    <row r="11" spans="1:149" x14ac:dyDescent="0.15">
      <c r="B11" s="16">
        <f>基础状态预期!D24</f>
        <v>53.567039423670657</v>
      </c>
      <c r="C11" s="16">
        <f>基础状态预期!D69</f>
        <v>53.226994578658328</v>
      </c>
      <c r="D11" s="16">
        <f>基础状态预期!D114</f>
        <v>53.212684955585161</v>
      </c>
      <c r="E11" s="16">
        <f>基础状态预期!D159</f>
        <v>52.769987980532711</v>
      </c>
      <c r="F11" s="16">
        <f>基础状态预期!D204</f>
        <v>52.559419343629337</v>
      </c>
      <c r="G11" s="16">
        <f>武将升星!AK11</f>
        <v>98.618873689109634</v>
      </c>
      <c r="H11" s="16">
        <f>武将升星!AK56</f>
        <v>100.36099729190578</v>
      </c>
      <c r="I11" s="16">
        <f>武将升星!AK101</f>
        <v>103.21462038587761</v>
      </c>
      <c r="J11" s="16">
        <f>武将升星!AK146</f>
        <v>111.04760689296029</v>
      </c>
      <c r="K11" s="16">
        <f>武将升星!AK191</f>
        <v>111.93421739465937</v>
      </c>
      <c r="L11" s="34">
        <f>武将升星!AK11/G11</f>
        <v>1</v>
      </c>
      <c r="M11" s="34"/>
      <c r="P11" s="16">
        <v>8</v>
      </c>
      <c r="Q11" s="16">
        <f t="shared" si="0"/>
        <v>64.581647132718885</v>
      </c>
      <c r="R11" s="16">
        <f t="shared" si="1"/>
        <v>64.98500501167922</v>
      </c>
      <c r="S11" s="16">
        <f t="shared" si="2"/>
        <v>64.623717401475929</v>
      </c>
      <c r="T11" s="16">
        <f t="shared" si="3"/>
        <v>67.982104292262548</v>
      </c>
      <c r="U11" s="16">
        <f t="shared" si="4"/>
        <v>67.725912892365912</v>
      </c>
      <c r="Z11" s="16">
        <f t="shared" si="55"/>
        <v>53.567039423670657</v>
      </c>
      <c r="AA11" s="16">
        <f t="shared" si="5"/>
        <v>53.226994578658328</v>
      </c>
      <c r="AB11" s="16">
        <f t="shared" si="6"/>
        <v>53.212684955585161</v>
      </c>
      <c r="AC11" s="16">
        <f t="shared" si="7"/>
        <v>52.769987980532711</v>
      </c>
      <c r="AD11" s="16">
        <f t="shared" si="8"/>
        <v>52.559419343629337</v>
      </c>
      <c r="AE11" s="16">
        <f>武将升级!AD11+武将羁绊!AW14</f>
        <v>4733.8245019997512</v>
      </c>
      <c r="AF11" s="16">
        <f>武将升级!AD56+武将羁绊!AW59</f>
        <v>4815.6016012589971</v>
      </c>
      <c r="AG11" s="16">
        <f>武将升级!AD101+武将羁绊!AW104</f>
        <v>6459.3005886562296</v>
      </c>
      <c r="AH11" s="16">
        <f>武将升级!AD146+武将羁绊!AW149</f>
        <v>5667.3396462371475</v>
      </c>
      <c r="AI11" s="16">
        <f>武将升级!AD191+武将羁绊!AW194</f>
        <v>6246.5599719769352</v>
      </c>
      <c r="AJ11" s="34">
        <f>武将升级!AD11/AE11</f>
        <v>0.84160753397960442</v>
      </c>
      <c r="AK11" s="34">
        <f>武将羁绊!AW14/AE11</f>
        <v>0.15839246602039556</v>
      </c>
      <c r="AL11" s="88"/>
      <c r="AM11" s="16">
        <v>8</v>
      </c>
      <c r="AN11" s="16">
        <f t="shared" si="9"/>
        <v>1133.0551673098571</v>
      </c>
      <c r="AO11" s="16">
        <f t="shared" si="10"/>
        <v>1139.624740724495</v>
      </c>
      <c r="AP11" s="16">
        <f t="shared" si="11"/>
        <v>1139.1189964628911</v>
      </c>
      <c r="AQ11" s="16">
        <f t="shared" si="12"/>
        <v>1169.6887440485507</v>
      </c>
      <c r="AR11" s="16">
        <f t="shared" si="13"/>
        <v>1166.982204179398</v>
      </c>
      <c r="AU11" s="17">
        <f t="shared" si="14"/>
        <v>53.567039423670657</v>
      </c>
      <c r="AV11" s="17">
        <f t="shared" si="15"/>
        <v>53.226994578658328</v>
      </c>
      <c r="AW11" s="17">
        <f t="shared" si="16"/>
        <v>53.212684955585161</v>
      </c>
      <c r="AX11" s="17">
        <f t="shared" si="17"/>
        <v>52.769987980532711</v>
      </c>
      <c r="AY11" s="17">
        <f t="shared" si="18"/>
        <v>52.559419343629337</v>
      </c>
      <c r="AZ11" s="17">
        <f>(武将升级!AJ11+武将羁绊!AW14)</f>
        <v>4733.8245019997512</v>
      </c>
      <c r="BA11" s="17">
        <f>(武将升级!AJ56+武将羁绊!AW59)</f>
        <v>4815.6016012589971</v>
      </c>
      <c r="BB11" s="17">
        <f>(武将升级!AJ101+武将羁绊!AW104)</f>
        <v>6459.3005886562296</v>
      </c>
      <c r="BC11" s="17">
        <f>(武将升级!AJ146+武将羁绊!AW149)</f>
        <v>5667.3396462371475</v>
      </c>
      <c r="BD11" s="17">
        <f>(武将升级!AJ191+武将羁绊!AW194)</f>
        <v>6246.5599719769352</v>
      </c>
      <c r="BE11" s="34">
        <f>武将升级!AJ11/AZ11</f>
        <v>0.84160753397960442</v>
      </c>
      <c r="BF11" s="34">
        <f>武将羁绊!AW14/AZ11</f>
        <v>0.15839246602039556</v>
      </c>
      <c r="BH11" s="17">
        <v>8</v>
      </c>
      <c r="BI11" s="17">
        <f t="shared" si="56"/>
        <v>1133.0551673098571</v>
      </c>
      <c r="BJ11" s="17">
        <f t="shared" si="57"/>
        <v>1139.624740724495</v>
      </c>
      <c r="BK11" s="17">
        <f t="shared" si="58"/>
        <v>1139.1189964628911</v>
      </c>
      <c r="BL11" s="17">
        <f t="shared" si="59"/>
        <v>1169.6887440485507</v>
      </c>
      <c r="BM11" s="17">
        <f t="shared" si="60"/>
        <v>1166.982204179398</v>
      </c>
      <c r="BR11" s="17">
        <f t="shared" si="61"/>
        <v>53.567039423670657</v>
      </c>
      <c r="BS11" s="17">
        <f t="shared" si="62"/>
        <v>53.226994578658328</v>
      </c>
      <c r="BT11" s="17">
        <f t="shared" si="63"/>
        <v>53.212684955585161</v>
      </c>
      <c r="BU11" s="17">
        <f t="shared" si="64"/>
        <v>52.769987980532711</v>
      </c>
      <c r="BV11" s="17">
        <f t="shared" si="65"/>
        <v>52.559419343629337</v>
      </c>
      <c r="BW11" s="17">
        <f>武将升级!AP11</f>
        <v>2061.3407884734133</v>
      </c>
      <c r="BX11" s="17">
        <f>武将升级!AP56</f>
        <v>2054.5398915731671</v>
      </c>
      <c r="BY11" s="17">
        <f>武将升级!AP101</f>
        <v>2054.2536991117031</v>
      </c>
      <c r="BZ11" s="17">
        <f>武将升级!AP146</f>
        <v>2045.3997596106544</v>
      </c>
      <c r="CA11" s="17">
        <f>武将升级!AP191</f>
        <v>2041.188386872587</v>
      </c>
      <c r="CC11" s="17">
        <v>8</v>
      </c>
      <c r="CD11" s="83">
        <f t="shared" si="87"/>
        <v>1147.7777777777776</v>
      </c>
      <c r="CE11" s="83">
        <f t="shared" si="66"/>
        <v>1147.7777777777776</v>
      </c>
      <c r="CF11" s="83">
        <f t="shared" si="66"/>
        <v>1140.1566314949573</v>
      </c>
      <c r="CG11" s="83">
        <f t="shared" si="66"/>
        <v>1147.5751352048685</v>
      </c>
      <c r="CH11" s="83">
        <f t="shared" si="66"/>
        <v>1144.6741443530973</v>
      </c>
      <c r="CM11" s="17">
        <f t="shared" si="67"/>
        <v>53.567039423670657</v>
      </c>
      <c r="CN11" s="17">
        <f t="shared" si="68"/>
        <v>53.226994578658328</v>
      </c>
      <c r="CO11" s="17">
        <f t="shared" si="69"/>
        <v>53.212684955585161</v>
      </c>
      <c r="CP11" s="17">
        <f t="shared" si="70"/>
        <v>52.769987980532711</v>
      </c>
      <c r="CQ11" s="17">
        <f t="shared" si="71"/>
        <v>52.559419343629337</v>
      </c>
      <c r="CR11" s="17">
        <f>武将升级!AV11</f>
        <v>123.63407884734131</v>
      </c>
      <c r="CS11" s="17">
        <f>武将升级!AV56</f>
        <v>122.95398915731666</v>
      </c>
      <c r="CT11" s="17">
        <f>武将升级!AV101</f>
        <v>122.92536991117031</v>
      </c>
      <c r="CU11" s="17">
        <f>武将升级!AV146</f>
        <v>122.03997596106542</v>
      </c>
      <c r="CV11" s="17">
        <f>武将升级!AV191</f>
        <v>121.61883868725867</v>
      </c>
      <c r="CX11" s="17">
        <v>8</v>
      </c>
      <c r="CY11" s="17">
        <f t="shared" si="34"/>
        <v>28</v>
      </c>
      <c r="CZ11" s="17">
        <f t="shared" si="35"/>
        <v>28.049105760065984</v>
      </c>
      <c r="DA11" s="17">
        <f t="shared" si="36"/>
        <v>27.8812288890989</v>
      </c>
      <c r="DB11" s="17">
        <f t="shared" si="37"/>
        <v>28.796631396190598</v>
      </c>
      <c r="DC11" s="17">
        <f t="shared" si="38"/>
        <v>28.74840713268064</v>
      </c>
      <c r="DH11" s="17">
        <f t="shared" si="72"/>
        <v>53.567039423670657</v>
      </c>
      <c r="DI11" s="17">
        <f t="shared" si="73"/>
        <v>53.226994578658328</v>
      </c>
      <c r="DJ11" s="17">
        <f t="shared" si="74"/>
        <v>53.212684955585161</v>
      </c>
      <c r="DK11" s="17">
        <f t="shared" si="75"/>
        <v>52.769987980532711</v>
      </c>
      <c r="DL11" s="17">
        <f t="shared" si="76"/>
        <v>52.559419343629337</v>
      </c>
      <c r="DM11" s="17">
        <f>武将升星!$AQ11</f>
        <v>0.42344511445651212</v>
      </c>
      <c r="DN11" s="17">
        <f>武将升星!$AQ56</f>
        <v>0.44847336420075562</v>
      </c>
      <c r="DO11" s="17">
        <f>武将升星!$AQ101</f>
        <v>0.48941915195848712</v>
      </c>
      <c r="DP11" s="17">
        <f>武将升星!$AQ146</f>
        <v>0.60149070347372702</v>
      </c>
      <c r="DQ11" s="17">
        <f>武将升星!$AQ191</f>
        <v>0.6139354519620156</v>
      </c>
      <c r="DS11" s="17">
        <v>8</v>
      </c>
      <c r="DT11" s="17">
        <f t="shared" si="77"/>
        <v>0.12306928166154625</v>
      </c>
      <c r="DU11" s="17">
        <f t="shared" si="78"/>
        <v>0.12452856535536735</v>
      </c>
      <c r="DV11" s="17">
        <f t="shared" si="79"/>
        <v>0.12765595215473363</v>
      </c>
      <c r="DW11" s="17">
        <f t="shared" si="80"/>
        <v>0.14396589288642977</v>
      </c>
      <c r="DX11" s="17">
        <f t="shared" si="81"/>
        <v>0.1434776222183915</v>
      </c>
      <c r="EC11" s="17">
        <f t="shared" si="82"/>
        <v>53.567039423670657</v>
      </c>
      <c r="ED11" s="17">
        <f t="shared" si="83"/>
        <v>53.226994578658328</v>
      </c>
      <c r="EE11" s="17">
        <f t="shared" si="84"/>
        <v>53.212684955585161</v>
      </c>
      <c r="EF11" s="17">
        <f t="shared" si="85"/>
        <v>52.769987980532711</v>
      </c>
      <c r="EG11" s="17">
        <f t="shared" si="86"/>
        <v>52.559419343629337</v>
      </c>
      <c r="EH11" s="17">
        <f>武将升星!$AW11</f>
        <v>0.15566423164753487</v>
      </c>
      <c r="EI11" s="17">
        <f>武将升星!$AW56</f>
        <v>0.18019978742673373</v>
      </c>
      <c r="EJ11" s="17">
        <f>武将升星!$AW101</f>
        <v>0.22810836804371384</v>
      </c>
      <c r="EK11" s="17">
        <f>武将升星!$AW146</f>
        <v>0.33920615414899374</v>
      </c>
      <c r="EL11" s="17">
        <f>武将升星!$AW191</f>
        <v>0.34520557316126327</v>
      </c>
      <c r="EN11" s="17">
        <v>8</v>
      </c>
      <c r="EO11" s="17">
        <f t="shared" si="50"/>
        <v>4.6531770617510545E-3</v>
      </c>
      <c r="EP11" s="17">
        <f t="shared" si="51"/>
        <v>5.7848609972853344E-3</v>
      </c>
      <c r="EQ11" s="17">
        <f t="shared" si="52"/>
        <v>1.0057306610254467E-2</v>
      </c>
      <c r="ER11" s="17">
        <f t="shared" si="53"/>
        <v>0</v>
      </c>
      <c r="ES11" s="17">
        <f t="shared" si="54"/>
        <v>0</v>
      </c>
    </row>
    <row r="12" spans="1:149" x14ac:dyDescent="0.15">
      <c r="B12" s="16">
        <f>基础状态预期!D25</f>
        <v>59.300028460644697</v>
      </c>
      <c r="C12" s="16">
        <f>基础状态预期!D70</f>
        <v>59.016342740868758</v>
      </c>
      <c r="D12" s="16">
        <f>基础状态预期!D115</f>
        <v>59.09095196730258</v>
      </c>
      <c r="E12" s="16">
        <f>基础状态预期!D160</f>
        <v>58.701446767877648</v>
      </c>
      <c r="F12" s="16">
        <f>基础状态预期!D205</f>
        <v>58.560986008166232</v>
      </c>
      <c r="G12" s="16">
        <f>武将升星!AK12</f>
        <v>102.16639965170354</v>
      </c>
      <c r="H12" s="16">
        <f>武将升星!AK57</f>
        <v>104.53823909522207</v>
      </c>
      <c r="I12" s="16">
        <f>武将升星!AK102</f>
        <v>107.86311589685086</v>
      </c>
      <c r="J12" s="16">
        <f>武将升星!AK147</f>
        <v>116.25526334599938</v>
      </c>
      <c r="K12" s="16">
        <f>武将升星!AK192</f>
        <v>118.2786159798565</v>
      </c>
      <c r="L12" s="34">
        <f>武将升星!AK12/G12</f>
        <v>1</v>
      </c>
      <c r="M12" s="34"/>
      <c r="P12" s="16">
        <v>9</v>
      </c>
      <c r="Q12" s="16">
        <f t="shared" si="0"/>
        <v>72.654353024308747</v>
      </c>
      <c r="R12" s="16">
        <f t="shared" si="1"/>
        <v>73.10813063813913</v>
      </c>
      <c r="S12" s="16">
        <f t="shared" si="2"/>
        <v>72.701682076660418</v>
      </c>
      <c r="T12" s="16">
        <f t="shared" si="3"/>
        <v>76.479867328795365</v>
      </c>
      <c r="U12" s="16">
        <f t="shared" si="4"/>
        <v>76.191652003911642</v>
      </c>
      <c r="Z12" s="16">
        <f t="shared" si="55"/>
        <v>59.300028460644697</v>
      </c>
      <c r="AA12" s="16">
        <f t="shared" si="5"/>
        <v>59.016342740868758</v>
      </c>
      <c r="AB12" s="16">
        <f t="shared" si="6"/>
        <v>59.09095196730258</v>
      </c>
      <c r="AC12" s="16">
        <f t="shared" si="7"/>
        <v>58.701446767877648</v>
      </c>
      <c r="AD12" s="16">
        <f t="shared" si="8"/>
        <v>58.560986008166232</v>
      </c>
      <c r="AE12" s="16">
        <f>武将升级!AD12+武将羁绊!AW15</f>
        <v>5348.8899190020365</v>
      </c>
      <c r="AF12" s="16">
        <f>武将升级!AD57+武将羁绊!AW60</f>
        <v>5470.6663388188645</v>
      </c>
      <c r="AG12" s="16">
        <f>武将升级!AD102+武将羁绊!AW105</f>
        <v>5779.6442411871694</v>
      </c>
      <c r="AH12" s="16">
        <f>武将升级!AD147+武将羁绊!AW150</f>
        <v>6614.663722331079</v>
      </c>
      <c r="AI12" s="16">
        <f>武将升级!AD192+武将羁绊!AW195</f>
        <v>6982.3644315986576</v>
      </c>
      <c r="AJ12" s="34">
        <f>武将升级!AD12/AE12</f>
        <v>0.80914017173233832</v>
      </c>
      <c r="AK12" s="34">
        <f>武将羁绊!AW15/AE12</f>
        <v>0.19085982826766174</v>
      </c>
      <c r="AL12" s="88"/>
      <c r="AM12" s="16">
        <v>9</v>
      </c>
      <c r="AN12" s="16">
        <f t="shared" si="9"/>
        <v>1274.6870632235891</v>
      </c>
      <c r="AO12" s="16">
        <f t="shared" si="10"/>
        <v>1282.0778333150568</v>
      </c>
      <c r="AP12" s="16">
        <f t="shared" si="11"/>
        <v>1281.5088710207526</v>
      </c>
      <c r="AQ12" s="16">
        <f t="shared" si="12"/>
        <v>1315.8998370546194</v>
      </c>
      <c r="AR12" s="16">
        <f t="shared" si="13"/>
        <v>1312.8549797018227</v>
      </c>
      <c r="AU12" s="17">
        <f t="shared" si="14"/>
        <v>59.300028460644697</v>
      </c>
      <c r="AV12" s="17">
        <f t="shared" si="15"/>
        <v>59.016342740868758</v>
      </c>
      <c r="AW12" s="17">
        <f t="shared" si="16"/>
        <v>59.09095196730258</v>
      </c>
      <c r="AX12" s="17">
        <f t="shared" si="17"/>
        <v>58.701446767877648</v>
      </c>
      <c r="AY12" s="17">
        <f t="shared" si="18"/>
        <v>58.560986008166232</v>
      </c>
      <c r="AZ12" s="17">
        <f>(武将升级!AJ12+武将羁绊!AW15)</f>
        <v>5348.8899190020365</v>
      </c>
      <c r="BA12" s="17">
        <f>(武将升级!AJ57+武将羁绊!AW60)</f>
        <v>5470.6663388188645</v>
      </c>
      <c r="BB12" s="17">
        <f>(武将升级!AJ102+武将羁绊!AW105)</f>
        <v>5779.6442411871694</v>
      </c>
      <c r="BC12" s="17">
        <f>(武将升级!AJ147+武将羁绊!AW150)</f>
        <v>6614.663722331079</v>
      </c>
      <c r="BD12" s="17">
        <f>(武将升级!AJ192+武将羁绊!AW195)</f>
        <v>6982.3644315986576</v>
      </c>
      <c r="BE12" s="34">
        <f>武将升级!AJ12/AZ12</f>
        <v>0.80914017173233832</v>
      </c>
      <c r="BF12" s="34">
        <f>武将羁绊!AW15/AZ12</f>
        <v>0.19085982826766174</v>
      </c>
      <c r="BH12" s="17">
        <v>9</v>
      </c>
      <c r="BI12" s="17">
        <f t="shared" si="56"/>
        <v>1274.6870632235891</v>
      </c>
      <c r="BJ12" s="17">
        <f t="shared" si="57"/>
        <v>1282.0778333150568</v>
      </c>
      <c r="BK12" s="17">
        <f t="shared" si="58"/>
        <v>1281.5088710207526</v>
      </c>
      <c r="BL12" s="17">
        <f t="shared" si="59"/>
        <v>1315.8998370546194</v>
      </c>
      <c r="BM12" s="17">
        <f t="shared" si="60"/>
        <v>1312.8549797018227</v>
      </c>
      <c r="BR12" s="17">
        <f t="shared" si="61"/>
        <v>59.300028460644697</v>
      </c>
      <c r="BS12" s="17">
        <f t="shared" si="62"/>
        <v>59.016342740868758</v>
      </c>
      <c r="BT12" s="17">
        <f t="shared" si="63"/>
        <v>59.09095196730258</v>
      </c>
      <c r="BU12" s="17">
        <f t="shared" si="64"/>
        <v>58.701446767877648</v>
      </c>
      <c r="BV12" s="17">
        <f t="shared" si="65"/>
        <v>58.560986008166232</v>
      </c>
      <c r="BW12" s="17">
        <f>武将升级!AP12</f>
        <v>2176.0005692128939</v>
      </c>
      <c r="BX12" s="17">
        <f>武将升级!AP57</f>
        <v>2170.3268548173751</v>
      </c>
      <c r="BY12" s="17">
        <f>武将升级!AP102</f>
        <v>2171.8190393460518</v>
      </c>
      <c r="BZ12" s="17">
        <f>武将升级!AP147</f>
        <v>2164.0289353575527</v>
      </c>
      <c r="CA12" s="17">
        <f>武将升级!AP192</f>
        <v>2161.2197201633244</v>
      </c>
      <c r="CC12" s="17">
        <v>9</v>
      </c>
      <c r="CD12" s="83">
        <f t="shared" si="87"/>
        <v>1168.8888888888887</v>
      </c>
      <c r="CE12" s="83">
        <f t="shared" si="66"/>
        <v>1168.8888888888887</v>
      </c>
      <c r="CF12" s="83">
        <f t="shared" si="66"/>
        <v>1160.1790074228084</v>
      </c>
      <c r="CG12" s="83">
        <f t="shared" si="66"/>
        <v>1168.6572973769926</v>
      </c>
      <c r="CH12" s="83">
        <f t="shared" si="66"/>
        <v>1165.3418792606826</v>
      </c>
      <c r="CM12" s="17">
        <f t="shared" si="67"/>
        <v>59.300028460644697</v>
      </c>
      <c r="CN12" s="17">
        <f t="shared" si="68"/>
        <v>59.016342740868758</v>
      </c>
      <c r="CO12" s="17">
        <f t="shared" si="69"/>
        <v>59.09095196730258</v>
      </c>
      <c r="CP12" s="17">
        <f t="shared" si="70"/>
        <v>58.701446767877648</v>
      </c>
      <c r="CQ12" s="17">
        <f t="shared" si="71"/>
        <v>58.560986008166232</v>
      </c>
      <c r="CR12" s="17">
        <f>武将升级!AV12</f>
        <v>135.60005692128939</v>
      </c>
      <c r="CS12" s="17">
        <f>武将升级!AV57</f>
        <v>135.03268548173753</v>
      </c>
      <c r="CT12" s="17">
        <f>武将升级!AV102</f>
        <v>135.18190393460515</v>
      </c>
      <c r="CU12" s="17">
        <f>武将升级!AV147</f>
        <v>134.40289353575531</v>
      </c>
      <c r="CV12" s="17">
        <f>武将升级!AV192</f>
        <v>134.12197201633245</v>
      </c>
      <c r="CX12" s="17">
        <v>9</v>
      </c>
      <c r="CY12" s="17">
        <f t="shared" si="34"/>
        <v>31.5</v>
      </c>
      <c r="CZ12" s="17">
        <f t="shared" si="35"/>
        <v>31.555243980074231</v>
      </c>
      <c r="DA12" s="17">
        <f t="shared" si="36"/>
        <v>31.366382500236259</v>
      </c>
      <c r="DB12" s="17">
        <f t="shared" si="37"/>
        <v>32.396210320714424</v>
      </c>
      <c r="DC12" s="17">
        <f t="shared" si="38"/>
        <v>32.341958024265722</v>
      </c>
      <c r="DH12" s="17">
        <f t="shared" si="72"/>
        <v>59.300028460644697</v>
      </c>
      <c r="DI12" s="17">
        <f t="shared" si="73"/>
        <v>59.016342740868758</v>
      </c>
      <c r="DJ12" s="17">
        <f t="shared" si="74"/>
        <v>59.09095196730258</v>
      </c>
      <c r="DK12" s="17">
        <f t="shared" si="75"/>
        <v>58.701446767877648</v>
      </c>
      <c r="DL12" s="17">
        <f t="shared" si="76"/>
        <v>58.560986008166232</v>
      </c>
      <c r="DM12" s="17">
        <f>武将升星!$AQ12</f>
        <v>0.48473937604862566</v>
      </c>
      <c r="DN12" s="17">
        <f>武将升星!$AQ57</f>
        <v>0.51739016742127975</v>
      </c>
      <c r="DO12" s="17">
        <f>武将升星!$AQ102</f>
        <v>0.56457985223845186</v>
      </c>
      <c r="DP12" s="17">
        <f>武将升星!$AQ147</f>
        <v>0.68283711619251308</v>
      </c>
      <c r="DQ12" s="17">
        <f>武将升星!$AQ192</f>
        <v>0.71126442318732819</v>
      </c>
      <c r="DS12" s="17">
        <v>9</v>
      </c>
      <c r="DT12" s="17">
        <f t="shared" si="77"/>
        <v>0.13845294186923954</v>
      </c>
      <c r="DU12" s="17">
        <f t="shared" si="78"/>
        <v>0.14009463602478828</v>
      </c>
      <c r="DV12" s="17">
        <f t="shared" si="79"/>
        <v>0.14361294617407533</v>
      </c>
      <c r="DW12" s="17">
        <f t="shared" si="80"/>
        <v>0.1619616294972335</v>
      </c>
      <c r="DX12" s="17">
        <f t="shared" si="81"/>
        <v>0.16141232499569041</v>
      </c>
      <c r="EC12" s="17">
        <f t="shared" si="82"/>
        <v>59.300028460644697</v>
      </c>
      <c r="ED12" s="17">
        <f t="shared" si="83"/>
        <v>59.016342740868758</v>
      </c>
      <c r="EE12" s="17">
        <f t="shared" si="84"/>
        <v>59.09095196730258</v>
      </c>
      <c r="EF12" s="17">
        <f t="shared" si="85"/>
        <v>58.701446767877648</v>
      </c>
      <c r="EG12" s="17">
        <f t="shared" si="86"/>
        <v>58.560986008166232</v>
      </c>
      <c r="EH12" s="17">
        <f>武将升星!$AW12</f>
        <v>0.17313820913027997</v>
      </c>
      <c r="EI12" s="17">
        <f>武将升星!$AW57</f>
        <v>0.21010320287457027</v>
      </c>
      <c r="EJ12" s="17">
        <f>武将升星!$AW102</f>
        <v>0.25837283091308061</v>
      </c>
      <c r="EK12" s="17">
        <f>武将升星!$AW147</f>
        <v>0.38233704348535363</v>
      </c>
      <c r="EL12" s="17">
        <f>武将升星!$AW192</f>
        <v>0.41243640769117124</v>
      </c>
      <c r="EN12" s="17">
        <v>9</v>
      </c>
      <c r="EO12" s="17">
        <f t="shared" si="50"/>
        <v>5.2348241944699357E-3</v>
      </c>
      <c r="EP12" s="17">
        <f t="shared" si="51"/>
        <v>6.507968621946001E-3</v>
      </c>
      <c r="EQ12" s="17">
        <f t="shared" si="52"/>
        <v>1.1314469936536274E-2</v>
      </c>
      <c r="ER12" s="17">
        <f t="shared" si="53"/>
        <v>0</v>
      </c>
      <c r="ES12" s="17">
        <f t="shared" si="54"/>
        <v>0</v>
      </c>
    </row>
    <row r="13" spans="1:149" x14ac:dyDescent="0.15">
      <c r="B13" s="16">
        <f>基础状态预期!D26</f>
        <v>65.075479910097457</v>
      </c>
      <c r="C13" s="16">
        <f>基础状态预期!D71</f>
        <v>64.781009552500748</v>
      </c>
      <c r="D13" s="16">
        <f>基础状态预期!D116</f>
        <v>64.819145630244321</v>
      </c>
      <c r="E13" s="16">
        <f>基础状态预期!D161</f>
        <v>64.399012521055653</v>
      </c>
      <c r="F13" s="16">
        <f>基础状态预期!D206</f>
        <v>64.247064283227857</v>
      </c>
      <c r="G13" s="16">
        <f>武将升星!AK13</f>
        <v>108.30776352987608</v>
      </c>
      <c r="H13" s="16">
        <f>武将升星!AK58</f>
        <v>112.53698308472934</v>
      </c>
      <c r="I13" s="16">
        <f>武将升星!AK103</f>
        <v>115.83305567190108</v>
      </c>
      <c r="J13" s="16">
        <f>武将升星!AK148</f>
        <v>124.49580873269777</v>
      </c>
      <c r="K13" s="16">
        <f>武将升星!AK193</f>
        <v>125.60193811273439</v>
      </c>
      <c r="L13" s="34">
        <f>武将升星!AK13/G13</f>
        <v>1</v>
      </c>
      <c r="M13" s="34"/>
      <c r="P13" s="16">
        <v>10</v>
      </c>
      <c r="Q13" s="16">
        <f t="shared" si="0"/>
        <v>80.72705891589861</v>
      </c>
      <c r="R13" s="16">
        <f t="shared" si="1"/>
        <v>80.917237202046564</v>
      </c>
      <c r="S13" s="16">
        <f t="shared" si="2"/>
        <v>80.779646751844908</v>
      </c>
      <c r="T13" s="16">
        <f t="shared" si="3"/>
        <v>84.977630365328181</v>
      </c>
      <c r="U13" s="16">
        <f t="shared" si="4"/>
        <v>84.657391115457386</v>
      </c>
      <c r="Z13" s="16">
        <f t="shared" si="55"/>
        <v>65.075479910097457</v>
      </c>
      <c r="AA13" s="16">
        <f t="shared" si="5"/>
        <v>64.781009552500748</v>
      </c>
      <c r="AB13" s="16">
        <f t="shared" si="6"/>
        <v>64.819145630244321</v>
      </c>
      <c r="AC13" s="16">
        <f t="shared" si="7"/>
        <v>64.399012521055653</v>
      </c>
      <c r="AD13" s="16">
        <f t="shared" si="8"/>
        <v>64.247064283227857</v>
      </c>
      <c r="AE13" s="16">
        <f>武将升级!AD13+武将羁绊!AW16</f>
        <v>6061.3486164422156</v>
      </c>
      <c r="AF13" s="16">
        <f>武将升级!AD58+武将羁绊!AW61</f>
        <v>6231.9649777378499</v>
      </c>
      <c r="AG13" s="16">
        <f>武将升级!AD103+武将羁绊!AW106</f>
        <v>6648.938664477474</v>
      </c>
      <c r="AH13" s="16">
        <f>武将升级!AD148+武将羁绊!AW151</f>
        <v>7553.323424559243</v>
      </c>
      <c r="AI13" s="16">
        <f>武将升级!AD193+武将羁绊!AW196</f>
        <v>7538.4628868996842</v>
      </c>
      <c r="AJ13" s="34">
        <f>武将升级!AD13/AE13</f>
        <v>0.7712027620265175</v>
      </c>
      <c r="AK13" s="34">
        <f>武将羁绊!AW16/AE13</f>
        <v>0.22879723797348253</v>
      </c>
      <c r="AL13" s="88"/>
      <c r="AM13" s="16">
        <v>10</v>
      </c>
      <c r="AN13" s="16">
        <f t="shared" si="9"/>
        <v>1416.3189591373214</v>
      </c>
      <c r="AO13" s="16">
        <f t="shared" si="10"/>
        <v>1421.4599609896954</v>
      </c>
      <c r="AP13" s="16">
        <f t="shared" si="11"/>
        <v>1423.8987455786139</v>
      </c>
      <c r="AQ13" s="16">
        <f t="shared" si="12"/>
        <v>1462.1109300606881</v>
      </c>
      <c r="AR13" s="16">
        <f t="shared" si="13"/>
        <v>1458.7277552242474</v>
      </c>
      <c r="AU13" s="17">
        <f t="shared" si="14"/>
        <v>65.075479910097457</v>
      </c>
      <c r="AV13" s="17">
        <f t="shared" si="15"/>
        <v>64.781009552500748</v>
      </c>
      <c r="AW13" s="17">
        <f t="shared" si="16"/>
        <v>64.819145630244321</v>
      </c>
      <c r="AX13" s="17">
        <f t="shared" si="17"/>
        <v>64.399012521055653</v>
      </c>
      <c r="AY13" s="17">
        <f t="shared" si="18"/>
        <v>64.247064283227857</v>
      </c>
      <c r="AZ13" s="17">
        <f>(武将升级!AJ13+武将羁绊!AW16)</f>
        <v>6061.3486164422156</v>
      </c>
      <c r="BA13" s="17">
        <f>(武将升级!AJ58+武将羁绊!AW61)</f>
        <v>6231.9649777378499</v>
      </c>
      <c r="BB13" s="17">
        <f>(武将升级!AJ103+武将羁绊!AW106)</f>
        <v>6648.938664477474</v>
      </c>
      <c r="BC13" s="17">
        <f>(武将升级!AJ148+武将羁绊!AW151)</f>
        <v>7553.323424559243</v>
      </c>
      <c r="BD13" s="17">
        <f>(武将升级!AJ193+武将羁绊!AW196)</f>
        <v>7538.4628868996842</v>
      </c>
      <c r="BE13" s="34">
        <f>武将升级!AJ13/AZ13</f>
        <v>0.7712027620265175</v>
      </c>
      <c r="BF13" s="34">
        <f>武将羁绊!AW16/AZ13</f>
        <v>0.22879723797348253</v>
      </c>
      <c r="BH13" s="17">
        <v>10</v>
      </c>
      <c r="BI13" s="17">
        <f t="shared" si="56"/>
        <v>1416.3189591373214</v>
      </c>
      <c r="BJ13" s="17">
        <f t="shared" si="57"/>
        <v>1421.4599609896954</v>
      </c>
      <c r="BK13" s="17">
        <f t="shared" si="58"/>
        <v>1423.8987455786139</v>
      </c>
      <c r="BL13" s="17">
        <f t="shared" si="59"/>
        <v>1462.1109300606881</v>
      </c>
      <c r="BM13" s="17">
        <f t="shared" si="60"/>
        <v>1458.7277552242474</v>
      </c>
      <c r="BR13" s="17">
        <f t="shared" si="61"/>
        <v>65.075479910097457</v>
      </c>
      <c r="BS13" s="17">
        <f t="shared" si="62"/>
        <v>64.781009552500748</v>
      </c>
      <c r="BT13" s="17">
        <f t="shared" si="63"/>
        <v>64.819145630244321</v>
      </c>
      <c r="BU13" s="17">
        <f t="shared" si="64"/>
        <v>64.399012521055653</v>
      </c>
      <c r="BV13" s="17">
        <f t="shared" si="65"/>
        <v>64.247064283227857</v>
      </c>
      <c r="BW13" s="17">
        <f>武将升级!AP13</f>
        <v>2291.5095982019493</v>
      </c>
      <c r="BX13" s="17">
        <f>武将升级!AP58</f>
        <v>2285.6201910500149</v>
      </c>
      <c r="BY13" s="17">
        <f>武将升级!AP103</f>
        <v>2286.3829126048863</v>
      </c>
      <c r="BZ13" s="17">
        <f>武将升级!AP148</f>
        <v>2277.9802504211129</v>
      </c>
      <c r="CA13" s="17">
        <f>武将升级!AP193</f>
        <v>2274.9412856645572</v>
      </c>
      <c r="CC13" s="17">
        <v>10</v>
      </c>
      <c r="CD13" s="83">
        <f t="shared" ref="CD13:CD44" si="88">求节点(BR$4:BR$42,BW$4:BW$42,$P13)</f>
        <v>1190</v>
      </c>
      <c r="CE13" s="83">
        <f t="shared" ref="CE13:CE44" si="89">求节点(BS$4:BS$42,BX$4:BX$42,$P13)</f>
        <v>1190</v>
      </c>
      <c r="CF13" s="83">
        <f t="shared" ref="CF13:CF44" si="90">求节点(BT$4:BT$42,BY$4:BY$42,$P13)</f>
        <v>1180.2013833506589</v>
      </c>
      <c r="CG13" s="83">
        <f t="shared" ref="CG13:CG44" si="91">求节点(BU$4:BU$42,BZ$4:BZ$42,$P13)</f>
        <v>1189.7394595491164</v>
      </c>
      <c r="CH13" s="83">
        <f t="shared" ref="CH13:CH44" si="92">求节点(BV$4:BV$42,CA$4:CA$42,$P13)</f>
        <v>1186.0096141682682</v>
      </c>
      <c r="CM13" s="17">
        <f t="shared" si="67"/>
        <v>65.075479910097457</v>
      </c>
      <c r="CN13" s="17">
        <f t="shared" si="68"/>
        <v>64.781009552500748</v>
      </c>
      <c r="CO13" s="17">
        <f t="shared" si="69"/>
        <v>64.819145630244321</v>
      </c>
      <c r="CP13" s="17">
        <f t="shared" si="70"/>
        <v>64.399012521055653</v>
      </c>
      <c r="CQ13" s="17">
        <f t="shared" si="71"/>
        <v>64.247064283227857</v>
      </c>
      <c r="CR13" s="17">
        <f>武将升级!AV13</f>
        <v>147.65095982019491</v>
      </c>
      <c r="CS13" s="17">
        <f>武将升级!AV58</f>
        <v>147.0620191050015</v>
      </c>
      <c r="CT13" s="17">
        <f>武将升级!AV103</f>
        <v>147.13829126048864</v>
      </c>
      <c r="CU13" s="17">
        <f>武将升级!AV148</f>
        <v>146.29802504211131</v>
      </c>
      <c r="CV13" s="17">
        <f>武将升级!AV193</f>
        <v>145.99412856645571</v>
      </c>
      <c r="CX13" s="17">
        <v>10</v>
      </c>
      <c r="CY13" s="17">
        <f t="shared" si="34"/>
        <v>35</v>
      </c>
      <c r="CZ13" s="17">
        <f t="shared" si="35"/>
        <v>35.004155429061207</v>
      </c>
      <c r="DA13" s="17">
        <f t="shared" si="36"/>
        <v>34.851536111373619</v>
      </c>
      <c r="DB13" s="17">
        <f t="shared" si="37"/>
        <v>35.99578924523825</v>
      </c>
      <c r="DC13" s="17">
        <f t="shared" si="38"/>
        <v>35.935508915850804</v>
      </c>
      <c r="DH13" s="17">
        <f t="shared" si="72"/>
        <v>65.075479910097457</v>
      </c>
      <c r="DI13" s="17">
        <f t="shared" si="73"/>
        <v>64.781009552500748</v>
      </c>
      <c r="DJ13" s="17">
        <f t="shared" si="74"/>
        <v>64.819145630244321</v>
      </c>
      <c r="DK13" s="17">
        <f t="shared" si="75"/>
        <v>64.399012521055653</v>
      </c>
      <c r="DL13" s="17">
        <f t="shared" si="76"/>
        <v>64.247064283227857</v>
      </c>
      <c r="DM13" s="17">
        <f>武将升星!$AQ13</f>
        <v>0.57862795739305395</v>
      </c>
      <c r="DN13" s="17">
        <f>武将升星!$AQ58</f>
        <v>0.63582454777284036</v>
      </c>
      <c r="DO13" s="17">
        <f>武将升星!$AQ103</f>
        <v>0.68212604690733458</v>
      </c>
      <c r="DP13" s="17">
        <f>武将升星!$AQ148</f>
        <v>0.80250944794822698</v>
      </c>
      <c r="DQ13" s="17">
        <f>武将升星!$AQ193</f>
        <v>0.8184055326900751</v>
      </c>
      <c r="DS13" s="17">
        <v>10</v>
      </c>
      <c r="DT13" s="17">
        <f t="shared" si="77"/>
        <v>0.15383660207693281</v>
      </c>
      <c r="DU13" s="17">
        <f t="shared" si="78"/>
        <v>0.15520314625187911</v>
      </c>
      <c r="DV13" s="17">
        <f t="shared" si="79"/>
        <v>0.15956994019341703</v>
      </c>
      <c r="DW13" s="17">
        <f t="shared" si="80"/>
        <v>0.1799573661080372</v>
      </c>
      <c r="DX13" s="17">
        <f t="shared" si="81"/>
        <v>0.17934702777298936</v>
      </c>
      <c r="EC13" s="17">
        <f t="shared" si="82"/>
        <v>65.075479910097457</v>
      </c>
      <c r="ED13" s="17">
        <f t="shared" si="83"/>
        <v>64.781009552500748</v>
      </c>
      <c r="EE13" s="17">
        <f t="shared" si="84"/>
        <v>64.819145630244321</v>
      </c>
      <c r="EF13" s="17">
        <f t="shared" si="85"/>
        <v>64.399012521055653</v>
      </c>
      <c r="EG13" s="17">
        <f t="shared" si="86"/>
        <v>64.247064283227857</v>
      </c>
      <c r="EH13" s="17">
        <f>武将升星!$AW13</f>
        <v>0.23881828301116959</v>
      </c>
      <c r="EI13" s="17">
        <f>武将升星!$AW58</f>
        <v>0.30728778480436608</v>
      </c>
      <c r="EJ13" s="17">
        <f>武将升星!$AW103</f>
        <v>0.35633766632671726</v>
      </c>
      <c r="EK13" s="17">
        <f>武将升星!$AW148</f>
        <v>0.48851681676432174</v>
      </c>
      <c r="EL13" s="17">
        <f>武将升星!$AW193</f>
        <v>0.50408307391153218</v>
      </c>
      <c r="EN13" s="17">
        <v>10</v>
      </c>
      <c r="EO13" s="17">
        <f t="shared" si="50"/>
        <v>5.8164713271888178E-3</v>
      </c>
      <c r="EP13" s="17">
        <f t="shared" si="51"/>
        <v>7.2016062176887101E-3</v>
      </c>
      <c r="EQ13" s="17">
        <f t="shared" si="52"/>
        <v>1.2571633262818084E-2</v>
      </c>
      <c r="ER13" s="17">
        <f t="shared" si="53"/>
        <v>0</v>
      </c>
      <c r="ES13" s="17">
        <f t="shared" si="54"/>
        <v>0</v>
      </c>
    </row>
    <row r="14" spans="1:149" x14ac:dyDescent="0.15">
      <c r="B14" s="16">
        <f>基础状态预期!D27</f>
        <v>69.18336653741882</v>
      </c>
      <c r="C14" s="16">
        <f>基础状态预期!D72</f>
        <v>68.923431594456531</v>
      </c>
      <c r="D14" s="16">
        <f>基础状态预期!D117</f>
        <v>69.01697485309198</v>
      </c>
      <c r="E14" s="16">
        <f>基础状态预期!D162</f>
        <v>68.627579426319684</v>
      </c>
      <c r="F14" s="16">
        <f>基础状态预期!D207</f>
        <v>68.518369035696878</v>
      </c>
      <c r="G14" s="16">
        <f>武将升星!AK14</f>
        <v>111.55097155650451</v>
      </c>
      <c r="H14" s="16">
        <f>武将升星!AK59</f>
        <v>117.33090295369631</v>
      </c>
      <c r="I14" s="16">
        <f>武将升星!AK104</f>
        <v>121.15654575349754</v>
      </c>
      <c r="J14" s="16">
        <f>武将升星!AK149</f>
        <v>129.92758977956137</v>
      </c>
      <c r="K14" s="16">
        <f>武将升星!AK194</f>
        <v>130.58373368453252</v>
      </c>
      <c r="L14" s="34">
        <f>武将升星!AK14/G14</f>
        <v>1</v>
      </c>
      <c r="M14" s="34"/>
      <c r="P14" s="16">
        <v>11</v>
      </c>
      <c r="Q14" s="16">
        <f t="shared" si="0"/>
        <v>81.154353024308747</v>
      </c>
      <c r="R14" s="16">
        <f t="shared" si="1"/>
        <v>81.335260839885052</v>
      </c>
      <c r="S14" s="16">
        <f t="shared" si="2"/>
        <v>81.903822799400061</v>
      </c>
      <c r="T14" s="16">
        <f t="shared" si="3"/>
        <v>85.132657425173591</v>
      </c>
      <c r="U14" s="16">
        <f t="shared" si="4"/>
        <v>85.262523111922803</v>
      </c>
      <c r="Z14" s="16">
        <f t="shared" si="55"/>
        <v>69.18336653741882</v>
      </c>
      <c r="AA14" s="16">
        <f t="shared" si="5"/>
        <v>68.923431594456531</v>
      </c>
      <c r="AB14" s="16">
        <f t="shared" si="6"/>
        <v>69.01697485309198</v>
      </c>
      <c r="AC14" s="16">
        <f t="shared" si="7"/>
        <v>68.627579426319684</v>
      </c>
      <c r="AD14" s="16">
        <f t="shared" si="8"/>
        <v>68.518369035696878</v>
      </c>
      <c r="AE14" s="16">
        <f>武将升级!AD14+武将羁绊!AW17</f>
        <v>6563.4864537156955</v>
      </c>
      <c r="AF14" s="16">
        <f>武将升级!AD59+武将羁绊!AW62</f>
        <v>6829.6722491074761</v>
      </c>
      <c r="AG14" s="16">
        <f>武将升级!AD104+武将羁绊!AW107</f>
        <v>7484.0283528749151</v>
      </c>
      <c r="AH14" s="16">
        <f>武将升级!AD149+武将羁绊!AW152</f>
        <v>7966.877267894065</v>
      </c>
      <c r="AI14" s="16">
        <f>武将升级!AD194+武将羁绊!AW197</f>
        <v>7956.1964916911547</v>
      </c>
      <c r="AJ14" s="34">
        <f>武将升级!AD14/AE14</f>
        <v>0.74975426961676306</v>
      </c>
      <c r="AK14" s="34">
        <f>武将羁绊!AW17/AE14</f>
        <v>0.25024573038323694</v>
      </c>
      <c r="AL14" s="88"/>
      <c r="AM14" s="16">
        <v>11</v>
      </c>
      <c r="AN14" s="16">
        <f t="shared" si="9"/>
        <v>1482.4491285533393</v>
      </c>
      <c r="AO14" s="16">
        <f t="shared" si="10"/>
        <v>1488.5606285130311</v>
      </c>
      <c r="AP14" s="16">
        <f t="shared" si="11"/>
        <v>1500.4574044965468</v>
      </c>
      <c r="AQ14" s="16">
        <f t="shared" si="12"/>
        <v>1538.3893070300867</v>
      </c>
      <c r="AR14" s="16">
        <f t="shared" si="13"/>
        <v>1547.0829152041515</v>
      </c>
      <c r="AU14" s="17">
        <f t="shared" si="14"/>
        <v>69.18336653741882</v>
      </c>
      <c r="AV14" s="17">
        <f t="shared" si="15"/>
        <v>68.923431594456531</v>
      </c>
      <c r="AW14" s="17">
        <f t="shared" si="16"/>
        <v>69.01697485309198</v>
      </c>
      <c r="AX14" s="17">
        <f t="shared" si="17"/>
        <v>68.627579426319684</v>
      </c>
      <c r="AY14" s="17">
        <f t="shared" si="18"/>
        <v>68.518369035696878</v>
      </c>
      <c r="AZ14" s="17">
        <f>(武将升级!AJ14+武将羁绊!AW17)</f>
        <v>6563.4864537156955</v>
      </c>
      <c r="BA14" s="17">
        <f>(武将升级!AJ59+武将羁绊!AW62)</f>
        <v>6829.6722491074761</v>
      </c>
      <c r="BB14" s="17">
        <f>(武将升级!AJ104+武将羁绊!AW107)</f>
        <v>7484.0283528749151</v>
      </c>
      <c r="BC14" s="17">
        <f>(武将升级!AJ149+武将羁绊!AW152)</f>
        <v>7966.877267894065</v>
      </c>
      <c r="BD14" s="17">
        <f>(武将升级!AJ194+武将羁绊!AW197)</f>
        <v>7956.1964916911547</v>
      </c>
      <c r="BE14" s="34">
        <f>武将升级!AJ14/AZ14</f>
        <v>0.74975426961676306</v>
      </c>
      <c r="BF14" s="34">
        <f>武将羁绊!AW17/AZ14</f>
        <v>0.25024573038323694</v>
      </c>
      <c r="BH14" s="17">
        <v>11</v>
      </c>
      <c r="BI14" s="17">
        <f t="shared" si="56"/>
        <v>1482.4491285533393</v>
      </c>
      <c r="BJ14" s="17">
        <f t="shared" si="57"/>
        <v>1488.5606285130311</v>
      </c>
      <c r="BK14" s="17">
        <f t="shared" si="58"/>
        <v>1500.4574044965468</v>
      </c>
      <c r="BL14" s="17">
        <f t="shared" si="59"/>
        <v>1538.3893070300867</v>
      </c>
      <c r="BM14" s="17">
        <f t="shared" si="60"/>
        <v>1547.0829152041515</v>
      </c>
      <c r="BR14" s="17">
        <f t="shared" si="61"/>
        <v>69.18336653741882</v>
      </c>
      <c r="BS14" s="17">
        <f t="shared" si="62"/>
        <v>68.923431594456531</v>
      </c>
      <c r="BT14" s="17">
        <f t="shared" si="63"/>
        <v>69.01697485309198</v>
      </c>
      <c r="BU14" s="17">
        <f t="shared" si="64"/>
        <v>68.627579426319684</v>
      </c>
      <c r="BV14" s="17">
        <f t="shared" si="65"/>
        <v>68.518369035696878</v>
      </c>
      <c r="BW14" s="17">
        <f>武将升级!AP14</f>
        <v>2373.6673307483761</v>
      </c>
      <c r="BX14" s="17">
        <f>武将升级!AP59</f>
        <v>2368.4686318891308</v>
      </c>
      <c r="BY14" s="17">
        <f>武将升级!AP104</f>
        <v>2370.3394970618397</v>
      </c>
      <c r="BZ14" s="17">
        <f>武将升级!AP149</f>
        <v>2362.551588526394</v>
      </c>
      <c r="CA14" s="17">
        <f>武将升级!AP194</f>
        <v>2360.3673807139376</v>
      </c>
      <c r="CC14" s="17">
        <v>11</v>
      </c>
      <c r="CD14" s="17">
        <f t="shared" si="88"/>
        <v>1210</v>
      </c>
      <c r="CE14" s="17">
        <f t="shared" si="89"/>
        <v>1210</v>
      </c>
      <c r="CF14" s="17">
        <f t="shared" si="90"/>
        <v>1210</v>
      </c>
      <c r="CG14" s="17">
        <f t="shared" si="91"/>
        <v>1210</v>
      </c>
      <c r="CH14" s="17">
        <f t="shared" si="92"/>
        <v>1210</v>
      </c>
      <c r="CM14" s="17">
        <f t="shared" si="67"/>
        <v>69.18336653741882</v>
      </c>
      <c r="CN14" s="17">
        <f t="shared" si="68"/>
        <v>68.923431594456531</v>
      </c>
      <c r="CO14" s="17">
        <f t="shared" si="69"/>
        <v>69.01697485309198</v>
      </c>
      <c r="CP14" s="17">
        <f t="shared" si="70"/>
        <v>68.627579426319684</v>
      </c>
      <c r="CQ14" s="17">
        <f t="shared" si="71"/>
        <v>68.518369035696878</v>
      </c>
      <c r="CR14" s="17">
        <f>武将升级!AV14</f>
        <v>156.36673307483764</v>
      </c>
      <c r="CS14" s="17">
        <f>武将升级!AV59</f>
        <v>155.84686318891306</v>
      </c>
      <c r="CT14" s="17">
        <f>武将升级!AV104</f>
        <v>156.03394970618396</v>
      </c>
      <c r="CU14" s="17">
        <f>武将升级!AV149</f>
        <v>155.25515885263937</v>
      </c>
      <c r="CV14" s="17">
        <f>武将升级!AV194</f>
        <v>155.03673807139376</v>
      </c>
      <c r="CX14" s="17">
        <v>11</v>
      </c>
      <c r="CY14" s="17">
        <f t="shared" si="34"/>
        <v>37.1</v>
      </c>
      <c r="CZ14" s="17">
        <f t="shared" si="35"/>
        <v>37.106117406983174</v>
      </c>
      <c r="DA14" s="17">
        <f t="shared" si="36"/>
        <v>37.092784850199635</v>
      </c>
      <c r="DB14" s="17">
        <f t="shared" si="37"/>
        <v>38</v>
      </c>
      <c r="DC14" s="17">
        <f t="shared" si="38"/>
        <v>38</v>
      </c>
      <c r="DH14" s="17">
        <f t="shared" si="72"/>
        <v>69.18336653741882</v>
      </c>
      <c r="DI14" s="17">
        <f t="shared" si="73"/>
        <v>68.923431594456531</v>
      </c>
      <c r="DJ14" s="17">
        <f t="shared" si="74"/>
        <v>69.01697485309198</v>
      </c>
      <c r="DK14" s="17">
        <f t="shared" si="75"/>
        <v>68.627579426319684</v>
      </c>
      <c r="DL14" s="17">
        <f t="shared" si="76"/>
        <v>68.518369035696878</v>
      </c>
      <c r="DM14" s="17">
        <f>武将升星!$AQ14</f>
        <v>0.63308656063446256</v>
      </c>
      <c r="DN14" s="17">
        <f>武将升星!$AQ59</f>
        <v>0.71078325975987744</v>
      </c>
      <c r="DO14" s="17">
        <f>武将升星!$AQ104</f>
        <v>0.76335758855658398</v>
      </c>
      <c r="DP14" s="17">
        <f>武将升星!$AQ149</f>
        <v>0.88373223746194707</v>
      </c>
      <c r="DQ14" s="17">
        <f>武将升星!$AQ194</f>
        <v>0.89322977795605596</v>
      </c>
      <c r="DS14" s="17">
        <v>11</v>
      </c>
      <c r="DT14" s="17">
        <f t="shared" si="77"/>
        <v>0.15825294186923952</v>
      </c>
      <c r="DU14" s="17">
        <f t="shared" si="78"/>
        <v>0.15954203266867867</v>
      </c>
      <c r="DV14" s="17">
        <f t="shared" si="79"/>
        <v>0.16454943904892419</v>
      </c>
      <c r="DW14" s="17">
        <f t="shared" si="80"/>
        <v>0.18354200510641608</v>
      </c>
      <c r="DX14" s="17">
        <f t="shared" si="81"/>
        <v>0.18524290209049618</v>
      </c>
      <c r="EC14" s="17">
        <f t="shared" si="82"/>
        <v>69.18336653741882</v>
      </c>
      <c r="ED14" s="17">
        <f t="shared" si="83"/>
        <v>68.923431594456531</v>
      </c>
      <c r="EE14" s="17">
        <f t="shared" si="84"/>
        <v>69.01697485309198</v>
      </c>
      <c r="EF14" s="17">
        <f t="shared" si="85"/>
        <v>68.627579426319684</v>
      </c>
      <c r="EG14" s="17">
        <f t="shared" si="86"/>
        <v>68.518369035696878</v>
      </c>
      <c r="EH14" s="17">
        <f>武将升星!$AW14</f>
        <v>0.25816550957240114</v>
      </c>
      <c r="EI14" s="17">
        <f>武将升星!$AW59</f>
        <v>0.35292033161845482</v>
      </c>
      <c r="EJ14" s="17">
        <f>武将升星!$AW104</f>
        <v>0.41276664961675008</v>
      </c>
      <c r="EK14" s="17">
        <f>武将升星!$AW149</f>
        <v>0.55038222865653452</v>
      </c>
      <c r="EL14" s="17">
        <f>武将升星!$AW194</f>
        <v>0.5594455726698202</v>
      </c>
      <c r="EN14" s="17">
        <v>11</v>
      </c>
      <c r="EO14" s="17">
        <f t="shared" si="50"/>
        <v>5.8164713271888178E-3</v>
      </c>
      <c r="EP14" s="17">
        <f t="shared" si="51"/>
        <v>7.2016062176887101E-3</v>
      </c>
      <c r="EQ14" s="17">
        <f t="shared" si="52"/>
        <v>1.2697306024651342E-2</v>
      </c>
      <c r="ER14" s="17">
        <f t="shared" si="53"/>
        <v>1.8572039524302638E-3</v>
      </c>
      <c r="ES14" s="17">
        <f t="shared" si="54"/>
        <v>3.6753235669192519E-3</v>
      </c>
    </row>
    <row r="15" spans="1:149" x14ac:dyDescent="0.15">
      <c r="B15" s="16">
        <f>基础状态预期!D28</f>
        <v>72.375871759353331</v>
      </c>
      <c r="C15" s="16">
        <f>基础状态预期!D73</f>
        <v>72.103942950990486</v>
      </c>
      <c r="D15" s="16">
        <f>基础状态预期!D118</f>
        <v>72.23150684883845</v>
      </c>
      <c r="E15" s="16">
        <f>基础状态预期!D163</f>
        <v>71.882008108111634</v>
      </c>
      <c r="F15" s="16">
        <f>基础状态预期!D208</f>
        <v>71.7664716439551</v>
      </c>
      <c r="G15" s="16">
        <f>武将升星!AK15</f>
        <v>114.17883792485101</v>
      </c>
      <c r="H15" s="16">
        <f>武将升星!AK60</f>
        <v>120.81324224162347</v>
      </c>
      <c r="I15" s="16">
        <f>武将升星!AK105</f>
        <v>125.05373028489124</v>
      </c>
      <c r="J15" s="16">
        <f>武将升星!AK150</f>
        <v>134.36689366351439</v>
      </c>
      <c r="K15" s="16">
        <f>武将升星!AK195</f>
        <v>134.92098754263347</v>
      </c>
      <c r="L15" s="34">
        <f>武将升星!AK15/G15</f>
        <v>1</v>
      </c>
      <c r="M15" s="34"/>
      <c r="P15" s="16">
        <v>12</v>
      </c>
      <c r="Q15" s="16">
        <f t="shared" si="0"/>
        <v>81.581647132718885</v>
      </c>
      <c r="R15" s="16">
        <f t="shared" si="1"/>
        <v>81.75328447772354</v>
      </c>
      <c r="S15" s="16">
        <f t="shared" si="2"/>
        <v>82.255653191147829</v>
      </c>
      <c r="T15" s="16">
        <f t="shared" si="3"/>
        <v>85.265664981367294</v>
      </c>
      <c r="U15" s="16">
        <f t="shared" si="4"/>
        <v>85.53611864888731</v>
      </c>
      <c r="Z15" s="16">
        <f t="shared" si="55"/>
        <v>72.375871759353331</v>
      </c>
      <c r="AA15" s="16">
        <f t="shared" si="5"/>
        <v>72.103942950990486</v>
      </c>
      <c r="AB15" s="16">
        <f t="shared" si="6"/>
        <v>72.23150684883845</v>
      </c>
      <c r="AC15" s="16">
        <f t="shared" si="7"/>
        <v>71.882008108111634</v>
      </c>
      <c r="AD15" s="16">
        <f t="shared" si="8"/>
        <v>71.7664716439551</v>
      </c>
      <c r="AE15" s="16">
        <f>武将升级!AD15+武将羁绊!AW18</f>
        <v>6993.5443385333556</v>
      </c>
      <c r="AF15" s="16">
        <f>武将升级!AD60+武将羁绊!AW63</f>
        <v>7309.6943333767558</v>
      </c>
      <c r="AG15" s="16">
        <f>武将升级!AD105+武将羁绊!AW108</f>
        <v>7984.4889410043124</v>
      </c>
      <c r="AH15" s="16">
        <f>武将升级!AD150+武将羁绊!AW153</f>
        <v>8285.1603929733174</v>
      </c>
      <c r="AI15" s="16">
        <f>武将升级!AD195+武将羁绊!AW198</f>
        <v>8273.8609267788088</v>
      </c>
      <c r="AJ15" s="34">
        <f>武将升级!AD15/AE15</f>
        <v>0.73103880637344676</v>
      </c>
      <c r="AK15" s="34">
        <f>武将羁绊!AW18/AE15</f>
        <v>0.2689611936265533</v>
      </c>
      <c r="AL15" s="88"/>
      <c r="AM15" s="16">
        <v>12</v>
      </c>
      <c r="AN15" s="16">
        <f t="shared" si="9"/>
        <v>1548.5792979693574</v>
      </c>
      <c r="AO15" s="16">
        <f t="shared" si="10"/>
        <v>1555.6612960363668</v>
      </c>
      <c r="AP15" s="16">
        <f t="shared" si="11"/>
        <v>1569.7043005555972</v>
      </c>
      <c r="AQ15" s="16">
        <f t="shared" si="12"/>
        <v>1614.4831062182338</v>
      </c>
      <c r="AR15" s="16">
        <f t="shared" si="13"/>
        <v>1633.0121573972071</v>
      </c>
      <c r="AU15" s="17">
        <f t="shared" si="14"/>
        <v>72.375871759353331</v>
      </c>
      <c r="AV15" s="17">
        <f t="shared" si="15"/>
        <v>72.103942950990486</v>
      </c>
      <c r="AW15" s="17">
        <f t="shared" si="16"/>
        <v>72.23150684883845</v>
      </c>
      <c r="AX15" s="17">
        <f t="shared" si="17"/>
        <v>71.882008108111634</v>
      </c>
      <c r="AY15" s="17">
        <f t="shared" si="18"/>
        <v>71.7664716439551</v>
      </c>
      <c r="AZ15" s="17">
        <f>(武将升级!AJ15+武将羁绊!AW18)</f>
        <v>6993.5443385333556</v>
      </c>
      <c r="BA15" s="17">
        <f>(武将升级!AJ60+武将羁绊!AW63)</f>
        <v>7309.6943333767558</v>
      </c>
      <c r="BB15" s="17">
        <f>(武将升级!AJ105+武将羁绊!AW108)</f>
        <v>7984.4889410043124</v>
      </c>
      <c r="BC15" s="17">
        <f>(武将升级!AJ150+武将羁绊!AW153)</f>
        <v>8285.1603929733174</v>
      </c>
      <c r="BD15" s="17">
        <f>(武将升级!AJ195+武将羁绊!AW198)</f>
        <v>8273.8609267788088</v>
      </c>
      <c r="BE15" s="34">
        <f>武将升级!AJ15/AZ15</f>
        <v>0.73103880637344676</v>
      </c>
      <c r="BF15" s="34">
        <f>武将羁绊!AW18/AZ15</f>
        <v>0.2689611936265533</v>
      </c>
      <c r="BH15" s="17">
        <v>12</v>
      </c>
      <c r="BI15" s="17">
        <f t="shared" si="56"/>
        <v>1548.5792979693574</v>
      </c>
      <c r="BJ15" s="17">
        <f t="shared" si="57"/>
        <v>1555.6612960363668</v>
      </c>
      <c r="BK15" s="17">
        <f t="shared" si="58"/>
        <v>1569.7043005555972</v>
      </c>
      <c r="BL15" s="17">
        <f t="shared" si="59"/>
        <v>1614.4831062182338</v>
      </c>
      <c r="BM15" s="17">
        <f t="shared" si="60"/>
        <v>1633.0121573972071</v>
      </c>
      <c r="BR15" s="17">
        <f t="shared" si="61"/>
        <v>72.375871759353331</v>
      </c>
      <c r="BS15" s="17">
        <f t="shared" si="62"/>
        <v>72.103942950990486</v>
      </c>
      <c r="BT15" s="17">
        <f t="shared" si="63"/>
        <v>72.23150684883845</v>
      </c>
      <c r="BU15" s="17">
        <f t="shared" si="64"/>
        <v>71.882008108111634</v>
      </c>
      <c r="BV15" s="17">
        <f t="shared" si="65"/>
        <v>71.7664716439551</v>
      </c>
      <c r="BW15" s="17">
        <f>武将升级!AP15</f>
        <v>2437.5174351870664</v>
      </c>
      <c r="BX15" s="17">
        <f>武将升级!AP60</f>
        <v>2432.0788590198099</v>
      </c>
      <c r="BY15" s="17">
        <f>武将升级!AP105</f>
        <v>2434.6301369767684</v>
      </c>
      <c r="BZ15" s="17">
        <f>武将升级!AP150</f>
        <v>2427.6401621622322</v>
      </c>
      <c r="CA15" s="17">
        <f>武将升级!AP195</f>
        <v>2425.3294328791021</v>
      </c>
      <c r="CC15" s="17">
        <v>12</v>
      </c>
      <c r="CD15" s="17">
        <f t="shared" si="88"/>
        <v>1230</v>
      </c>
      <c r="CE15" s="17">
        <f t="shared" si="89"/>
        <v>1230</v>
      </c>
      <c r="CF15" s="17">
        <f t="shared" si="90"/>
        <v>1230</v>
      </c>
      <c r="CG15" s="17">
        <f t="shared" si="91"/>
        <v>1230</v>
      </c>
      <c r="CH15" s="17">
        <f t="shared" si="92"/>
        <v>1230</v>
      </c>
      <c r="CM15" s="17">
        <f t="shared" si="67"/>
        <v>72.375871759353331</v>
      </c>
      <c r="CN15" s="17">
        <f t="shared" si="68"/>
        <v>72.103942950990486</v>
      </c>
      <c r="CO15" s="17">
        <f t="shared" si="69"/>
        <v>72.23150684883845</v>
      </c>
      <c r="CP15" s="17">
        <f t="shared" si="70"/>
        <v>71.882008108111634</v>
      </c>
      <c r="CQ15" s="17">
        <f t="shared" si="71"/>
        <v>71.7664716439551</v>
      </c>
      <c r="CR15" s="17">
        <f>武将升级!AV15</f>
        <v>163.25174351870666</v>
      </c>
      <c r="CS15" s="17">
        <f>武将升级!AV60</f>
        <v>162.70788590198097</v>
      </c>
      <c r="CT15" s="17">
        <f>武将升级!AV105</f>
        <v>162.96301369767687</v>
      </c>
      <c r="CU15" s="17">
        <f>武将升级!AV150</f>
        <v>162.26401621622327</v>
      </c>
      <c r="CV15" s="17">
        <f>武将升级!AV195</f>
        <v>162.03294328791023</v>
      </c>
      <c r="CX15" s="17">
        <v>12</v>
      </c>
      <c r="CY15" s="17">
        <f t="shared" si="34"/>
        <v>39.200000000000003</v>
      </c>
      <c r="CZ15" s="17">
        <f t="shared" si="35"/>
        <v>39.208079384905133</v>
      </c>
      <c r="DA15" s="17">
        <f t="shared" si="36"/>
        <v>39.195875158303423</v>
      </c>
      <c r="DB15" s="17">
        <f t="shared" si="37"/>
        <v>40</v>
      </c>
      <c r="DC15" s="17">
        <f t="shared" si="38"/>
        <v>40</v>
      </c>
      <c r="DH15" s="17">
        <f t="shared" si="72"/>
        <v>72.375871759353331</v>
      </c>
      <c r="DI15" s="17">
        <f t="shared" si="73"/>
        <v>72.103942950990486</v>
      </c>
      <c r="DJ15" s="17">
        <f t="shared" si="74"/>
        <v>72.23150684883845</v>
      </c>
      <c r="DK15" s="17">
        <f t="shared" si="75"/>
        <v>71.882008108111634</v>
      </c>
      <c r="DL15" s="17">
        <f t="shared" si="76"/>
        <v>71.7664716439551</v>
      </c>
      <c r="DM15" s="17">
        <f>武将升星!$AQ15</f>
        <v>0.67883419631003727</v>
      </c>
      <c r="DN15" s="17">
        <f>武将升星!$AQ60</f>
        <v>0.76762296608129532</v>
      </c>
      <c r="DO15" s="17">
        <f>武将升星!$AQ105</f>
        <v>0.82491356517573189</v>
      </c>
      <c r="DP15" s="17">
        <f>武将升星!$AQ150</f>
        <v>0.95088181137065553</v>
      </c>
      <c r="DQ15" s="17">
        <f>武将升星!$AQ195</f>
        <v>0.95871466574611386</v>
      </c>
      <c r="DS15" s="17">
        <v>12</v>
      </c>
      <c r="DT15" s="17">
        <f t="shared" si="77"/>
        <v>0.16266928166154626</v>
      </c>
      <c r="DU15" s="17">
        <f t="shared" si="78"/>
        <v>0.16388091908547822</v>
      </c>
      <c r="DV15" s="17">
        <f t="shared" si="79"/>
        <v>0.16830968590304796</v>
      </c>
      <c r="DW15" s="17">
        <f t="shared" si="80"/>
        <v>0.18708860799561106</v>
      </c>
      <c r="DX15" s="17">
        <f t="shared" si="81"/>
        <v>0.19063101530181045</v>
      </c>
      <c r="EC15" s="17">
        <f t="shared" si="82"/>
        <v>72.375871759353331</v>
      </c>
      <c r="ED15" s="17">
        <f t="shared" si="83"/>
        <v>72.103942950990486</v>
      </c>
      <c r="EE15" s="17">
        <f t="shared" si="84"/>
        <v>72.23150684883845</v>
      </c>
      <c r="EF15" s="17">
        <f t="shared" si="85"/>
        <v>71.882008108111634</v>
      </c>
      <c r="EG15" s="17">
        <f t="shared" si="86"/>
        <v>71.7664716439551</v>
      </c>
      <c r="EH15" s="17">
        <f>武将升星!$AW15</f>
        <v>0.26852307213412391</v>
      </c>
      <c r="EI15" s="17">
        <f>武将升星!$AW60</f>
        <v>0.37827136354460184</v>
      </c>
      <c r="EJ15" s="17">
        <f>武将升星!$AW105</f>
        <v>0.44706926797189867</v>
      </c>
      <c r="EK15" s="17">
        <f>武将升星!$AW150</f>
        <v>0.59780682141574626</v>
      </c>
      <c r="EL15" s="17">
        <f>武将升星!$AW195</f>
        <v>0.60592937943305503</v>
      </c>
      <c r="EN15" s="17">
        <v>12</v>
      </c>
      <c r="EO15" s="17">
        <f t="shared" si="50"/>
        <v>5.8164713271888178E-3</v>
      </c>
      <c r="EP15" s="17">
        <f t="shared" si="51"/>
        <v>7.2016062176887101E-3</v>
      </c>
      <c r="EQ15" s="17">
        <f t="shared" si="52"/>
        <v>1.2697306024651342E-2</v>
      </c>
      <c r="ER15" s="17">
        <f t="shared" si="53"/>
        <v>3.7193097391420835E-3</v>
      </c>
      <c r="ES15" s="17">
        <f t="shared" si="54"/>
        <v>7.5056610844224216E-3</v>
      </c>
    </row>
    <row r="16" spans="1:149" x14ac:dyDescent="0.15">
      <c r="B16" s="16">
        <f>基础状态预期!D29</f>
        <v>74.998404927577795</v>
      </c>
      <c r="C16" s="16">
        <f>基础状态预期!D74</f>
        <v>74.74003809013405</v>
      </c>
      <c r="D16" s="16">
        <f>基础状态预期!D119</f>
        <v>74.840792411391348</v>
      </c>
      <c r="E16" s="16">
        <f>基础状态预期!D164</f>
        <v>74.493385467679886</v>
      </c>
      <c r="F16" s="16">
        <f>基础状态预期!D209</f>
        <v>74.370993278111257</v>
      </c>
      <c r="G16" s="16">
        <f>武将升星!AK16</f>
        <v>117.19697286937732</v>
      </c>
      <c r="H16" s="16">
        <f>武将升星!AK61</f>
        <v>123.92580315931235</v>
      </c>
      <c r="I16" s="16">
        <f>武将升星!AK106</f>
        <v>128.65663118105982</v>
      </c>
      <c r="J16" s="16">
        <f>武将升星!AK151</f>
        <v>138.74373391799949</v>
      </c>
      <c r="K16" s="16">
        <f>武将升星!AK196</f>
        <v>139.16953355164972</v>
      </c>
      <c r="L16" s="34">
        <f>武将升星!AK16/G16</f>
        <v>1</v>
      </c>
      <c r="M16" s="34"/>
      <c r="P16" s="16">
        <v>13</v>
      </c>
      <c r="Q16" s="16">
        <f t="shared" si="0"/>
        <v>82.008941241129023</v>
      </c>
      <c r="R16" s="16">
        <f t="shared" si="1"/>
        <v>82.171308115562027</v>
      </c>
      <c r="S16" s="16">
        <f t="shared" si="2"/>
        <v>82.607483582895583</v>
      </c>
      <c r="T16" s="16">
        <f t="shared" si="3"/>
        <v>85.398672537560998</v>
      </c>
      <c r="U16" s="16">
        <f t="shared" si="4"/>
        <v>85.809714185851831</v>
      </c>
      <c r="Z16" s="16">
        <f t="shared" si="55"/>
        <v>74.998404927577795</v>
      </c>
      <c r="AA16" s="16">
        <f t="shared" si="5"/>
        <v>74.74003809013405</v>
      </c>
      <c r="AB16" s="16">
        <f t="shared" si="6"/>
        <v>74.840792411391348</v>
      </c>
      <c r="AC16" s="16">
        <f t="shared" si="7"/>
        <v>74.493385467679886</v>
      </c>
      <c r="AD16" s="16">
        <f t="shared" si="8"/>
        <v>74.370993278111257</v>
      </c>
      <c r="AE16" s="16">
        <f>武将升级!AD16+武将羁绊!AW19</f>
        <v>7380.8135545983941</v>
      </c>
      <c r="AF16" s="16">
        <f>武将升级!AD61+武将羁绊!AW64</f>
        <v>7739.2610898431994</v>
      </c>
      <c r="AG16" s="16">
        <f>武将升级!AD106+武将羁绊!AW109</f>
        <v>8514.5953542793977</v>
      </c>
      <c r="AH16" s="16">
        <f>武将升级!AD151+武将羁绊!AW154</f>
        <v>8540.5530987390921</v>
      </c>
      <c r="AI16" s="16">
        <f>武将升级!AD196+武将羁绊!AW199</f>
        <v>8528.5831425992819</v>
      </c>
      <c r="AJ16" s="34">
        <f>武将升级!AD16/AE16</f>
        <v>0.71400046304806219</v>
      </c>
      <c r="AK16" s="34">
        <f>武将羁绊!AW19/AE16</f>
        <v>0.28599953695193781</v>
      </c>
      <c r="AL16" s="88"/>
      <c r="AM16" s="16">
        <v>13</v>
      </c>
      <c r="AN16" s="16">
        <f t="shared" si="9"/>
        <v>1614.7094673853753</v>
      </c>
      <c r="AO16" s="16">
        <f t="shared" si="10"/>
        <v>1622.7619635597023</v>
      </c>
      <c r="AP16" s="16">
        <f t="shared" si="11"/>
        <v>1638.9511966146479</v>
      </c>
      <c r="AQ16" s="16">
        <f t="shared" si="12"/>
        <v>1690.5769054063808</v>
      </c>
      <c r="AR16" s="16">
        <f t="shared" si="13"/>
        <v>1718.9413995902626</v>
      </c>
      <c r="AU16" s="17">
        <f t="shared" si="14"/>
        <v>74.998404927577795</v>
      </c>
      <c r="AV16" s="17">
        <f t="shared" si="15"/>
        <v>74.74003809013405</v>
      </c>
      <c r="AW16" s="17">
        <f t="shared" si="16"/>
        <v>74.840792411391348</v>
      </c>
      <c r="AX16" s="17">
        <f t="shared" si="17"/>
        <v>74.493385467679886</v>
      </c>
      <c r="AY16" s="17">
        <f t="shared" si="18"/>
        <v>74.370993278111257</v>
      </c>
      <c r="AZ16" s="17">
        <f>(武将升级!AJ16+武将羁绊!AW19)</f>
        <v>7380.8135545983941</v>
      </c>
      <c r="BA16" s="17">
        <f>(武将升级!AJ61+武将羁绊!AW64)</f>
        <v>7739.2610898431994</v>
      </c>
      <c r="BB16" s="17">
        <f>(武将升级!AJ106+武将羁绊!AW109)</f>
        <v>8514.5953542793977</v>
      </c>
      <c r="BC16" s="17">
        <f>(武将升级!AJ151+武将羁绊!AW154)</f>
        <v>8540.5530987390921</v>
      </c>
      <c r="BD16" s="17">
        <f>(武将升级!AJ196+武将羁绊!AW199)</f>
        <v>8528.5831425992819</v>
      </c>
      <c r="BE16" s="34">
        <f>武将升级!AJ16/AZ16</f>
        <v>0.71400046304806219</v>
      </c>
      <c r="BF16" s="34">
        <f>武将羁绊!AW19/AZ16</f>
        <v>0.28599953695193781</v>
      </c>
      <c r="BH16" s="17">
        <v>13</v>
      </c>
      <c r="BI16" s="17">
        <f t="shared" si="56"/>
        <v>1614.7094673853753</v>
      </c>
      <c r="BJ16" s="17">
        <f t="shared" si="57"/>
        <v>1622.7619635597023</v>
      </c>
      <c r="BK16" s="17">
        <f t="shared" si="58"/>
        <v>1638.9511966146479</v>
      </c>
      <c r="BL16" s="17">
        <f t="shared" si="59"/>
        <v>1690.5769054063808</v>
      </c>
      <c r="BM16" s="17">
        <f t="shared" si="60"/>
        <v>1718.9413995902626</v>
      </c>
      <c r="BR16" s="17">
        <f t="shared" si="61"/>
        <v>74.998404927577795</v>
      </c>
      <c r="BS16" s="17">
        <f t="shared" si="62"/>
        <v>74.74003809013405</v>
      </c>
      <c r="BT16" s="17">
        <f t="shared" si="63"/>
        <v>74.840792411391348</v>
      </c>
      <c r="BU16" s="17">
        <f t="shared" si="64"/>
        <v>74.493385467679886</v>
      </c>
      <c r="BV16" s="17">
        <f t="shared" si="65"/>
        <v>74.370993278111257</v>
      </c>
      <c r="BW16" s="17">
        <f>武将升级!AP16</f>
        <v>2489.9680985515561</v>
      </c>
      <c r="BX16" s="17">
        <f>武将升级!AP61</f>
        <v>2484.8007618026809</v>
      </c>
      <c r="BY16" s="17">
        <f>武将升级!AP106</f>
        <v>2486.8158482278268</v>
      </c>
      <c r="BZ16" s="17">
        <f>武将升级!AP151</f>
        <v>2479.867709353598</v>
      </c>
      <c r="CA16" s="17">
        <f>武将升级!AP196</f>
        <v>2477.4198655622249</v>
      </c>
      <c r="CC16" s="17">
        <v>13</v>
      </c>
      <c r="CD16" s="17">
        <f t="shared" si="88"/>
        <v>1250</v>
      </c>
      <c r="CE16" s="17">
        <f t="shared" si="89"/>
        <v>1250</v>
      </c>
      <c r="CF16" s="17">
        <f t="shared" si="90"/>
        <v>1250</v>
      </c>
      <c r="CG16" s="17">
        <f t="shared" si="91"/>
        <v>1250</v>
      </c>
      <c r="CH16" s="17">
        <f t="shared" si="92"/>
        <v>1250</v>
      </c>
      <c r="CM16" s="17">
        <f t="shared" si="67"/>
        <v>74.998404927577795</v>
      </c>
      <c r="CN16" s="17">
        <f t="shared" si="68"/>
        <v>74.74003809013405</v>
      </c>
      <c r="CO16" s="17">
        <f t="shared" si="69"/>
        <v>74.840792411391348</v>
      </c>
      <c r="CP16" s="17">
        <f t="shared" si="70"/>
        <v>74.493385467679886</v>
      </c>
      <c r="CQ16" s="17">
        <f t="shared" si="71"/>
        <v>74.370993278111257</v>
      </c>
      <c r="CR16" s="17">
        <f>武将升级!AV16</f>
        <v>168.74680985515559</v>
      </c>
      <c r="CS16" s="17">
        <f>武将升级!AV61</f>
        <v>168.2300761802681</v>
      </c>
      <c r="CT16" s="17">
        <f>武将升级!AV106</f>
        <v>168.4315848227827</v>
      </c>
      <c r="CU16" s="17">
        <f>武将升级!AV151</f>
        <v>167.73677093535977</v>
      </c>
      <c r="CV16" s="17">
        <f>武将升级!AV196</f>
        <v>167.49198655622251</v>
      </c>
      <c r="CX16" s="17">
        <v>13</v>
      </c>
      <c r="CY16" s="17">
        <f t="shared" si="34"/>
        <v>41.3</v>
      </c>
      <c r="CZ16" s="17">
        <f t="shared" si="35"/>
        <v>41.3100413628271</v>
      </c>
      <c r="DA16" s="17">
        <f t="shared" si="36"/>
        <v>41.298965466407211</v>
      </c>
      <c r="DB16" s="17">
        <f t="shared" si="37"/>
        <v>42</v>
      </c>
      <c r="DC16" s="17">
        <f t="shared" si="38"/>
        <v>42</v>
      </c>
      <c r="DH16" s="17">
        <f t="shared" si="72"/>
        <v>74.998404927577795</v>
      </c>
      <c r="DI16" s="17">
        <f t="shared" si="73"/>
        <v>74.74003809013405</v>
      </c>
      <c r="DJ16" s="17">
        <f t="shared" si="74"/>
        <v>74.840792411391348</v>
      </c>
      <c r="DK16" s="17">
        <f t="shared" si="75"/>
        <v>74.493385467679886</v>
      </c>
      <c r="DL16" s="17">
        <f t="shared" si="76"/>
        <v>74.370993278111257</v>
      </c>
      <c r="DM16" s="17">
        <f>武将升星!$AQ16</f>
        <v>0.72430392306399682</v>
      </c>
      <c r="DN16" s="17">
        <f>武将升星!$AQ61</f>
        <v>0.81419314897434625</v>
      </c>
      <c r="DO16" s="17">
        <f>武将升星!$AQ106</f>
        <v>0.87762519321557664</v>
      </c>
      <c r="DP16" s="17">
        <f>武将升星!$AQ151</f>
        <v>1.0130565822764177</v>
      </c>
      <c r="DQ16" s="17">
        <f>武将升星!$AQ196</f>
        <v>1.0188160029108853</v>
      </c>
      <c r="DS16" s="17">
        <v>13</v>
      </c>
      <c r="DT16" s="17">
        <f t="shared" si="77"/>
        <v>0.16708562145385297</v>
      </c>
      <c r="DU16" s="17">
        <f t="shared" si="78"/>
        <v>0.16821980550227775</v>
      </c>
      <c r="DV16" s="17">
        <f t="shared" si="79"/>
        <v>0.1720699327571717</v>
      </c>
      <c r="DW16" s="17">
        <f t="shared" si="80"/>
        <v>0.19063521088480601</v>
      </c>
      <c r="DX16" s="17">
        <f t="shared" si="81"/>
        <v>0.19601912851312472</v>
      </c>
      <c r="EC16" s="17">
        <f t="shared" si="82"/>
        <v>74.998404927577795</v>
      </c>
      <c r="ED16" s="17">
        <f t="shared" si="83"/>
        <v>74.74003809013405</v>
      </c>
      <c r="EE16" s="17">
        <f t="shared" si="84"/>
        <v>74.840792411391348</v>
      </c>
      <c r="EF16" s="17">
        <f t="shared" si="85"/>
        <v>74.493385467679886</v>
      </c>
      <c r="EG16" s="17">
        <f t="shared" si="86"/>
        <v>74.370993278111257</v>
      </c>
      <c r="EH16" s="17">
        <f>武将升星!$AW16</f>
        <v>0.30242216914220643</v>
      </c>
      <c r="EI16" s="17">
        <f>武将升星!$AW61</f>
        <v>0.4141406188630849</v>
      </c>
      <c r="EJ16" s="17">
        <f>武将升星!$AW106</f>
        <v>0.49210190934738246</v>
      </c>
      <c r="EK16" s="17">
        <f>武将升星!$AW151</f>
        <v>0.65787857354226242</v>
      </c>
      <c r="EL16" s="17">
        <f>武将升星!$AW196</f>
        <v>0.66477000363860661</v>
      </c>
      <c r="EN16" s="17">
        <v>13</v>
      </c>
      <c r="EO16" s="17">
        <f t="shared" si="50"/>
        <v>5.8164713271888178E-3</v>
      </c>
      <c r="EP16" s="17">
        <f t="shared" si="51"/>
        <v>7.2016062176887101E-3</v>
      </c>
      <c r="EQ16" s="17">
        <f t="shared" si="52"/>
        <v>1.2697306024651342E-2</v>
      </c>
      <c r="ER16" s="17">
        <f t="shared" si="53"/>
        <v>5.581415525853904E-3</v>
      </c>
      <c r="ES16" s="17">
        <f t="shared" si="54"/>
        <v>1.1335998601925591E-2</v>
      </c>
    </row>
    <row r="17" spans="2:149" x14ac:dyDescent="0.15">
      <c r="B17" s="16">
        <f>基础状态预期!D30</f>
        <v>77.875308029777003</v>
      </c>
      <c r="C17" s="16">
        <f>基础状态预期!D75</f>
        <v>77.609642525433856</v>
      </c>
      <c r="D17" s="16">
        <f>基础状态预期!D120</f>
        <v>77.697893604818219</v>
      </c>
      <c r="E17" s="16">
        <f>基础状态预期!D165</f>
        <v>77.332919927503724</v>
      </c>
      <c r="F17" s="16">
        <f>基础状态预期!D210</f>
        <v>77.234275947206214</v>
      </c>
      <c r="G17" s="16">
        <f>武将升星!AK17</f>
        <v>119.4314797451421</v>
      </c>
      <c r="H17" s="16">
        <f>武将升星!AK62</f>
        <v>127.82989724333333</v>
      </c>
      <c r="I17" s="16">
        <f>武将升星!AK107</f>
        <v>132.32799450994008</v>
      </c>
      <c r="J17" s="16">
        <f>武将升星!AK152</f>
        <v>143.59216607064923</v>
      </c>
      <c r="K17" s="16">
        <f>武将升星!AK197</f>
        <v>144.3544928390929</v>
      </c>
      <c r="L17" s="34">
        <f>武将升星!AK17/G17</f>
        <v>1</v>
      </c>
      <c r="M17" s="34"/>
      <c r="P17" s="16">
        <v>14</v>
      </c>
      <c r="Q17" s="16">
        <f t="shared" si="0"/>
        <v>82.43623534953916</v>
      </c>
      <c r="R17" s="16">
        <f t="shared" si="1"/>
        <v>82.589331753400529</v>
      </c>
      <c r="S17" s="16">
        <f t="shared" si="2"/>
        <v>82.959313974643351</v>
      </c>
      <c r="T17" s="16">
        <f t="shared" si="3"/>
        <v>85.531680093754687</v>
      </c>
      <c r="U17" s="16">
        <f t="shared" si="4"/>
        <v>86.083309722816338</v>
      </c>
      <c r="Z17" s="16">
        <f t="shared" si="55"/>
        <v>77.875308029777003</v>
      </c>
      <c r="AA17" s="16">
        <f t="shared" si="5"/>
        <v>77.609642525433856</v>
      </c>
      <c r="AB17" s="16">
        <f t="shared" si="6"/>
        <v>77.697893604818219</v>
      </c>
      <c r="AC17" s="16">
        <f t="shared" si="7"/>
        <v>77.332919927503724</v>
      </c>
      <c r="AD17" s="16">
        <f t="shared" si="8"/>
        <v>77.234275947206214</v>
      </c>
      <c r="AE17" s="16">
        <f>武将升级!AD17+武将羁绊!AW20</f>
        <v>7811.6816043300696</v>
      </c>
      <c r="AF17" s="16">
        <f>武将升级!AD62+武将羁绊!AW65</f>
        <v>8257.6497482149189</v>
      </c>
      <c r="AG17" s="16">
        <f>武将升级!AD107+武将羁绊!AW110</f>
        <v>8853.9539945512206</v>
      </c>
      <c r="AH17" s="16">
        <f>武将升级!AD152+武将羁绊!AW155</f>
        <v>8818.2595689098634</v>
      </c>
      <c r="AI17" s="16">
        <f>武将升级!AD197+武将羁绊!AW200</f>
        <v>8808.612187636767</v>
      </c>
      <c r="AJ17" s="34">
        <f>武将升级!AD17/AE17</f>
        <v>0.69671534983834904</v>
      </c>
      <c r="AK17" s="34">
        <f>武将羁绊!AW20/AE17</f>
        <v>0.3032846501616509</v>
      </c>
      <c r="AL17" s="88"/>
      <c r="AM17" s="16">
        <v>14</v>
      </c>
      <c r="AN17" s="16">
        <f t="shared" si="9"/>
        <v>1680.8396368013932</v>
      </c>
      <c r="AO17" s="16">
        <f t="shared" si="10"/>
        <v>1689.862631083038</v>
      </c>
      <c r="AP17" s="16">
        <f t="shared" si="11"/>
        <v>1708.1980926736983</v>
      </c>
      <c r="AQ17" s="16">
        <f t="shared" si="12"/>
        <v>1766.6707045945279</v>
      </c>
      <c r="AR17" s="16">
        <f t="shared" si="13"/>
        <v>1804.8706417833182</v>
      </c>
      <c r="AU17" s="17">
        <f t="shared" si="14"/>
        <v>77.875308029777003</v>
      </c>
      <c r="AV17" s="17">
        <f t="shared" si="15"/>
        <v>77.609642525433856</v>
      </c>
      <c r="AW17" s="17">
        <f t="shared" si="16"/>
        <v>77.697893604818219</v>
      </c>
      <c r="AX17" s="17">
        <f t="shared" si="17"/>
        <v>77.332919927503724</v>
      </c>
      <c r="AY17" s="17">
        <f t="shared" si="18"/>
        <v>77.234275947206214</v>
      </c>
      <c r="AZ17" s="17">
        <f>(武将升级!AJ17+武将羁绊!AW20)</f>
        <v>7811.6816043300696</v>
      </c>
      <c r="BA17" s="17">
        <f>(武将升级!AJ62+武将羁绊!AW65)</f>
        <v>8257.6497482149189</v>
      </c>
      <c r="BB17" s="17">
        <f>(武将升级!AJ107+武将羁绊!AW110)</f>
        <v>8853.9539945512206</v>
      </c>
      <c r="BC17" s="17">
        <f>(武将升级!AJ152+武将羁绊!AW155)</f>
        <v>8818.2595689098634</v>
      </c>
      <c r="BD17" s="17">
        <f>(武将升级!AJ197+武将羁绊!AW200)</f>
        <v>8808.612187636767</v>
      </c>
      <c r="BE17" s="34">
        <f>武将升级!AJ17/AZ17</f>
        <v>0.69671534983834904</v>
      </c>
      <c r="BF17" s="34">
        <f>武将羁绊!AW20/AZ17</f>
        <v>0.3032846501616509</v>
      </c>
      <c r="BH17" s="17">
        <v>14</v>
      </c>
      <c r="BI17" s="17">
        <f t="shared" si="56"/>
        <v>1680.8396368013932</v>
      </c>
      <c r="BJ17" s="17">
        <f t="shared" si="57"/>
        <v>1689.862631083038</v>
      </c>
      <c r="BK17" s="17">
        <f t="shared" si="58"/>
        <v>1708.1980926736983</v>
      </c>
      <c r="BL17" s="17">
        <f t="shared" si="59"/>
        <v>1766.6707045945279</v>
      </c>
      <c r="BM17" s="17">
        <f t="shared" si="60"/>
        <v>1804.8706417833182</v>
      </c>
      <c r="BR17" s="17">
        <f t="shared" si="61"/>
        <v>77.875308029777003</v>
      </c>
      <c r="BS17" s="17">
        <f t="shared" si="62"/>
        <v>77.609642525433856</v>
      </c>
      <c r="BT17" s="17">
        <f t="shared" si="63"/>
        <v>77.697893604818219</v>
      </c>
      <c r="BU17" s="17">
        <f t="shared" si="64"/>
        <v>77.332919927503724</v>
      </c>
      <c r="BV17" s="17">
        <f t="shared" si="65"/>
        <v>77.234275947206214</v>
      </c>
      <c r="BW17" s="17">
        <f>武将升级!AP17</f>
        <v>2547.5061605955398</v>
      </c>
      <c r="BX17" s="17">
        <f>武将升级!AP62</f>
        <v>2542.1928505086771</v>
      </c>
      <c r="BY17" s="17">
        <f>武将升级!AP107</f>
        <v>2543.9578720963646</v>
      </c>
      <c r="BZ17" s="17">
        <f>武将升级!AP152</f>
        <v>2536.6583985500747</v>
      </c>
      <c r="CA17" s="17">
        <f>武将升级!AP197</f>
        <v>2534.6855189441244</v>
      </c>
      <c r="CC17" s="17">
        <v>14</v>
      </c>
      <c r="CD17" s="17">
        <f t="shared" si="88"/>
        <v>1270</v>
      </c>
      <c r="CE17" s="17">
        <f t="shared" si="89"/>
        <v>1270</v>
      </c>
      <c r="CF17" s="17">
        <f t="shared" si="90"/>
        <v>1270</v>
      </c>
      <c r="CG17" s="17">
        <f t="shared" si="91"/>
        <v>1270</v>
      </c>
      <c r="CH17" s="17">
        <f t="shared" si="92"/>
        <v>1270</v>
      </c>
      <c r="CM17" s="17">
        <f t="shared" si="67"/>
        <v>77.875308029777003</v>
      </c>
      <c r="CN17" s="17">
        <f t="shared" si="68"/>
        <v>77.609642525433856</v>
      </c>
      <c r="CO17" s="17">
        <f t="shared" si="69"/>
        <v>77.697893604818219</v>
      </c>
      <c r="CP17" s="17">
        <f t="shared" si="70"/>
        <v>77.332919927503724</v>
      </c>
      <c r="CQ17" s="17">
        <f t="shared" si="71"/>
        <v>77.234275947206214</v>
      </c>
      <c r="CR17" s="17">
        <f>武将升级!AV17</f>
        <v>174.75061605955401</v>
      </c>
      <c r="CS17" s="17">
        <f>武将升级!AV62</f>
        <v>174.21928505086771</v>
      </c>
      <c r="CT17" s="17">
        <f>武将升级!AV107</f>
        <v>174.39578720963644</v>
      </c>
      <c r="CU17" s="17">
        <f>武将升级!AV152</f>
        <v>173.66583985500745</v>
      </c>
      <c r="CV17" s="17">
        <f>武将升级!AV197</f>
        <v>173.4685518944124</v>
      </c>
      <c r="CX17" s="17">
        <v>14</v>
      </c>
      <c r="CY17" s="17">
        <f t="shared" si="34"/>
        <v>43.4</v>
      </c>
      <c r="CZ17" s="17">
        <f t="shared" si="35"/>
        <v>43.41200334074906</v>
      </c>
      <c r="DA17" s="17">
        <f t="shared" si="36"/>
        <v>43.402055774510998</v>
      </c>
      <c r="DB17" s="17">
        <f t="shared" si="37"/>
        <v>44</v>
      </c>
      <c r="DC17" s="17">
        <f t="shared" si="38"/>
        <v>44</v>
      </c>
      <c r="DH17" s="17">
        <f t="shared" si="72"/>
        <v>77.875308029777003</v>
      </c>
      <c r="DI17" s="17">
        <f t="shared" si="73"/>
        <v>77.609642525433856</v>
      </c>
      <c r="DJ17" s="17">
        <f t="shared" si="74"/>
        <v>77.697893604818219</v>
      </c>
      <c r="DK17" s="17">
        <f t="shared" si="75"/>
        <v>77.332919927503724</v>
      </c>
      <c r="DL17" s="17">
        <f t="shared" si="76"/>
        <v>77.234275947206214</v>
      </c>
      <c r="DM17" s="17">
        <f>武将升星!$AQ17</f>
        <v>0.75908639660189436</v>
      </c>
      <c r="DN17" s="17">
        <f>武将升星!$AQ62</f>
        <v>0.87106529657777754</v>
      </c>
      <c r="DO17" s="17">
        <f>武将升星!$AQ107</f>
        <v>0.93103992679920067</v>
      </c>
      <c r="DP17" s="17">
        <f>武将升星!$AQ152</f>
        <v>1.0812288809419897</v>
      </c>
      <c r="DQ17" s="17">
        <f>武将升星!$AQ197</f>
        <v>1.0913932378545719</v>
      </c>
      <c r="DS17" s="17">
        <v>14</v>
      </c>
      <c r="DT17" s="17">
        <f t="shared" si="77"/>
        <v>0.17150196124615971</v>
      </c>
      <c r="DU17" s="17">
        <f t="shared" si="78"/>
        <v>0.1725586919190773</v>
      </c>
      <c r="DV17" s="17">
        <f t="shared" si="79"/>
        <v>0.17583017961129546</v>
      </c>
      <c r="DW17" s="17">
        <f t="shared" si="80"/>
        <v>0.19418181377400098</v>
      </c>
      <c r="DX17" s="17">
        <f t="shared" si="81"/>
        <v>0.201407241724439</v>
      </c>
      <c r="EC17" s="17">
        <f t="shared" si="82"/>
        <v>77.875308029777003</v>
      </c>
      <c r="ED17" s="17">
        <f t="shared" si="83"/>
        <v>77.609642525433856</v>
      </c>
      <c r="EE17" s="17">
        <f t="shared" si="84"/>
        <v>77.697893604818219</v>
      </c>
      <c r="EF17" s="17">
        <f t="shared" si="85"/>
        <v>77.332919927503724</v>
      </c>
      <c r="EG17" s="17">
        <f t="shared" si="86"/>
        <v>77.234275947206214</v>
      </c>
      <c r="EH17" s="17">
        <f>武将升星!$AW17</f>
        <v>0.32385799575236818</v>
      </c>
      <c r="EI17" s="17">
        <f>武将升星!$AW62</f>
        <v>0.46383162072222212</v>
      </c>
      <c r="EJ17" s="17">
        <f>武将升星!$AW107</f>
        <v>0.53879990849900117</v>
      </c>
      <c r="EK17" s="17">
        <f>武将升星!$AW152</f>
        <v>0.72653610117748724</v>
      </c>
      <c r="EL17" s="17">
        <f>武将升星!$AW197</f>
        <v>0.73924154731821512</v>
      </c>
      <c r="EN17" s="17">
        <v>14</v>
      </c>
      <c r="EO17" s="17">
        <f t="shared" si="50"/>
        <v>5.8164713271888178E-3</v>
      </c>
      <c r="EP17" s="17">
        <f t="shared" si="51"/>
        <v>7.2016062176887101E-3</v>
      </c>
      <c r="EQ17" s="17">
        <f t="shared" si="52"/>
        <v>1.2697306024651342E-2</v>
      </c>
      <c r="ER17" s="17">
        <f t="shared" si="53"/>
        <v>7.443521312565724E-3</v>
      </c>
      <c r="ES17" s="17">
        <f t="shared" si="54"/>
        <v>1.5166336119428761E-2</v>
      </c>
    </row>
    <row r="18" spans="2:149" x14ac:dyDescent="0.15">
      <c r="B18" s="16">
        <f>基础状态预期!D31</f>
        <v>80.272123558064706</v>
      </c>
      <c r="C18" s="16">
        <f>基础状态预期!D76</f>
        <v>79.994335665275713</v>
      </c>
      <c r="D18" s="16">
        <f>基础状态预期!D121</f>
        <v>80.134867890916794</v>
      </c>
      <c r="E18" s="16">
        <f>基础状态预期!D166</f>
        <v>79.813360188853366</v>
      </c>
      <c r="F18" s="16">
        <f>基础状态预期!D211</f>
        <v>79.725666247801229</v>
      </c>
      <c r="G18" s="16">
        <f>武将升星!AK18</f>
        <v>121.65969331834351</v>
      </c>
      <c r="H18" s="16">
        <f>武将升星!AK63</f>
        <v>130.99414382283069</v>
      </c>
      <c r="I18" s="16">
        <f>武将升星!AK108</f>
        <v>135.73258499560779</v>
      </c>
      <c r="J18" s="16">
        <f>武将升星!AK153</f>
        <v>147.95476619961613</v>
      </c>
      <c r="K18" s="16">
        <f>武将升星!AK198</f>
        <v>148</v>
      </c>
      <c r="L18" s="34">
        <f>武将升星!AK18/G18</f>
        <v>1</v>
      </c>
      <c r="M18" s="34"/>
      <c r="P18" s="16">
        <v>15</v>
      </c>
      <c r="Q18" s="16">
        <f t="shared" si="0"/>
        <v>82.863529457949312</v>
      </c>
      <c r="R18" s="16">
        <f t="shared" si="1"/>
        <v>83.007355391239017</v>
      </c>
      <c r="S18" s="16">
        <f t="shared" si="2"/>
        <v>83.311144366391119</v>
      </c>
      <c r="T18" s="16">
        <f t="shared" si="3"/>
        <v>85.664687649948391</v>
      </c>
      <c r="U18" s="16">
        <f t="shared" si="4"/>
        <v>86.356905259780859</v>
      </c>
      <c r="Z18" s="16">
        <f t="shared" si="55"/>
        <v>80.272123558064706</v>
      </c>
      <c r="AA18" s="16">
        <f t="shared" si="5"/>
        <v>79.994335665275713</v>
      </c>
      <c r="AB18" s="16">
        <f t="shared" si="6"/>
        <v>80.134867890916794</v>
      </c>
      <c r="AC18" s="16">
        <f t="shared" si="7"/>
        <v>79.813360188853366</v>
      </c>
      <c r="AD18" s="16">
        <f t="shared" si="8"/>
        <v>79.725666247801229</v>
      </c>
      <c r="AE18" s="16">
        <f>武将升级!AD18+武将羁绊!AW21</f>
        <v>8208.7659150430991</v>
      </c>
      <c r="AF18" s="16">
        <f>武将升级!AD63+武将羁绊!AW66</f>
        <v>8703.2222740309371</v>
      </c>
      <c r="AG18" s="16">
        <f>武将升级!AD108+武将羁绊!AW111</f>
        <v>9092.2900797316615</v>
      </c>
      <c r="AH18" s="16">
        <f>武将升级!AD153+武将羁绊!AW156</f>
        <v>9060.8466264698582</v>
      </c>
      <c r="AI18" s="16">
        <f>武将升级!AD198+武将羁绊!AW201</f>
        <v>9052.2701590349607</v>
      </c>
      <c r="AJ18" s="34">
        <f>武将升级!AD18/AE18</f>
        <v>0.68053194247463833</v>
      </c>
      <c r="AK18" s="34">
        <f>武将羁绊!AW21/AE18</f>
        <v>0.31946805752536162</v>
      </c>
      <c r="AL18" s="88"/>
      <c r="AM18" s="16">
        <v>15</v>
      </c>
      <c r="AN18" s="16">
        <f t="shared" si="9"/>
        <v>1746.9698062174111</v>
      </c>
      <c r="AO18" s="16">
        <f t="shared" si="10"/>
        <v>1756.9632986063734</v>
      </c>
      <c r="AP18" s="16">
        <f t="shared" si="11"/>
        <v>1777.4449887327489</v>
      </c>
      <c r="AQ18" s="16">
        <f t="shared" si="12"/>
        <v>1842.7645037826751</v>
      </c>
      <c r="AR18" s="16">
        <f t="shared" si="13"/>
        <v>1890.7998839763736</v>
      </c>
      <c r="AU18" s="17">
        <f t="shared" si="14"/>
        <v>80.272123558064706</v>
      </c>
      <c r="AV18" s="17">
        <f t="shared" si="15"/>
        <v>79.994335665275713</v>
      </c>
      <c r="AW18" s="17">
        <f t="shared" si="16"/>
        <v>80.134867890916794</v>
      </c>
      <c r="AX18" s="17">
        <f t="shared" si="17"/>
        <v>79.813360188853366</v>
      </c>
      <c r="AY18" s="17">
        <f t="shared" si="18"/>
        <v>79.725666247801229</v>
      </c>
      <c r="AZ18" s="17">
        <f>(武将升级!AJ18+武将羁绊!AW21)</f>
        <v>8208.7659150430991</v>
      </c>
      <c r="BA18" s="17">
        <f>(武将升级!AJ63+武将羁绊!AW66)</f>
        <v>8703.2222740309371</v>
      </c>
      <c r="BB18" s="17">
        <f>(武将升级!AJ108+武将羁绊!AW111)</f>
        <v>9092.2900797316615</v>
      </c>
      <c r="BC18" s="17">
        <f>(武将升级!AJ153+武将羁绊!AW156)</f>
        <v>9060.8466264698582</v>
      </c>
      <c r="BD18" s="17">
        <f>(武将升级!AJ198+武将羁绊!AW201)</f>
        <v>9052.2701590349607</v>
      </c>
      <c r="BE18" s="34">
        <f>武将升级!AJ18/AZ18</f>
        <v>0.68053194247463833</v>
      </c>
      <c r="BF18" s="34">
        <f>武将羁绊!AW21/AZ18</f>
        <v>0.31946805752536162</v>
      </c>
      <c r="BH18" s="17">
        <v>15</v>
      </c>
      <c r="BI18" s="17">
        <f t="shared" si="56"/>
        <v>1746.9698062174111</v>
      </c>
      <c r="BJ18" s="17">
        <f t="shared" si="57"/>
        <v>1756.9632986063734</v>
      </c>
      <c r="BK18" s="17">
        <f t="shared" si="58"/>
        <v>1777.4449887327489</v>
      </c>
      <c r="BL18" s="17">
        <f t="shared" si="59"/>
        <v>1842.7645037826751</v>
      </c>
      <c r="BM18" s="17">
        <f t="shared" si="60"/>
        <v>1890.7998839763736</v>
      </c>
      <c r="BR18" s="17">
        <f t="shared" si="61"/>
        <v>80.272123558064706</v>
      </c>
      <c r="BS18" s="17">
        <f t="shared" si="62"/>
        <v>79.994335665275713</v>
      </c>
      <c r="BT18" s="17">
        <f t="shared" si="63"/>
        <v>80.134867890916794</v>
      </c>
      <c r="BU18" s="17">
        <f t="shared" si="64"/>
        <v>79.813360188853366</v>
      </c>
      <c r="BV18" s="17">
        <f t="shared" si="65"/>
        <v>79.725666247801229</v>
      </c>
      <c r="BW18" s="17">
        <f>武将升级!AP18</f>
        <v>2595.4424711612942</v>
      </c>
      <c r="BX18" s="17">
        <f>武将升级!AP63</f>
        <v>2589.8867133055141</v>
      </c>
      <c r="BY18" s="17">
        <f>武将升级!AP108</f>
        <v>2592.6973578183361</v>
      </c>
      <c r="BZ18" s="17">
        <f>武将升级!AP153</f>
        <v>2586.2672037770672</v>
      </c>
      <c r="CA18" s="17">
        <f>武将升级!AP198</f>
        <v>2584.5133249560245</v>
      </c>
      <c r="CC18" s="17">
        <v>15</v>
      </c>
      <c r="CD18" s="17">
        <f t="shared" si="88"/>
        <v>1290</v>
      </c>
      <c r="CE18" s="17">
        <f t="shared" si="89"/>
        <v>1290</v>
      </c>
      <c r="CF18" s="17">
        <f t="shared" si="90"/>
        <v>1290</v>
      </c>
      <c r="CG18" s="17">
        <f t="shared" si="91"/>
        <v>1290</v>
      </c>
      <c r="CH18" s="17">
        <f t="shared" si="92"/>
        <v>1290</v>
      </c>
      <c r="CM18" s="17">
        <f t="shared" si="67"/>
        <v>80.272123558064706</v>
      </c>
      <c r="CN18" s="17">
        <f t="shared" si="68"/>
        <v>79.994335665275713</v>
      </c>
      <c r="CO18" s="17">
        <f t="shared" si="69"/>
        <v>80.134867890916794</v>
      </c>
      <c r="CP18" s="17">
        <f t="shared" si="70"/>
        <v>79.813360188853366</v>
      </c>
      <c r="CQ18" s="17">
        <f t="shared" si="71"/>
        <v>79.725666247801229</v>
      </c>
      <c r="CR18" s="17">
        <f>武将升级!AV18</f>
        <v>179.54424711612941</v>
      </c>
      <c r="CS18" s="17">
        <f>武将升级!AV63</f>
        <v>178.98867133055145</v>
      </c>
      <c r="CT18" s="17">
        <f>武将升级!AV108</f>
        <v>179.26973578183359</v>
      </c>
      <c r="CU18" s="17">
        <f>武将升级!AV153</f>
        <v>178.62672037770673</v>
      </c>
      <c r="CV18" s="17">
        <f>武将升级!AV198</f>
        <v>178.45133249560249</v>
      </c>
      <c r="CX18" s="17">
        <v>15</v>
      </c>
      <c r="CY18" s="17">
        <f t="shared" si="34"/>
        <v>45.5</v>
      </c>
      <c r="CZ18" s="17">
        <f t="shared" si="35"/>
        <v>45.513965318671026</v>
      </c>
      <c r="DA18" s="17">
        <f t="shared" si="36"/>
        <v>45.505146082614786</v>
      </c>
      <c r="DB18" s="17">
        <f t="shared" si="37"/>
        <v>46</v>
      </c>
      <c r="DC18" s="17">
        <f t="shared" si="38"/>
        <v>46</v>
      </c>
      <c r="DH18" s="17">
        <f t="shared" si="72"/>
        <v>80.272123558064706</v>
      </c>
      <c r="DI18" s="17">
        <f t="shared" si="73"/>
        <v>79.994335665275713</v>
      </c>
      <c r="DJ18" s="17">
        <f t="shared" si="74"/>
        <v>80.134867890916794</v>
      </c>
      <c r="DK18" s="17">
        <f t="shared" si="75"/>
        <v>79.813360188853366</v>
      </c>
      <c r="DL18" s="17">
        <f t="shared" si="76"/>
        <v>79.725666247801229</v>
      </c>
      <c r="DM18" s="17">
        <f>武将升星!$AQ18</f>
        <v>0.7887959109112469</v>
      </c>
      <c r="DN18" s="17">
        <f>武将升星!$AQ63</f>
        <v>0.91325525097107574</v>
      </c>
      <c r="DO18" s="17">
        <f>武将升星!$AQ108</f>
        <v>0.97643446660810362</v>
      </c>
      <c r="DP18" s="17">
        <f>武将升星!$AQ153</f>
        <v>1.1393968826615481</v>
      </c>
      <c r="DQ18" s="17">
        <f>武将升星!$AQ198</f>
        <v>1.1399999999999999</v>
      </c>
      <c r="DS18" s="17">
        <v>15</v>
      </c>
      <c r="DT18" s="17">
        <f t="shared" si="77"/>
        <v>0.17591830103846642</v>
      </c>
      <c r="DU18" s="17">
        <f t="shared" si="78"/>
        <v>0.17689757833587685</v>
      </c>
      <c r="DV18" s="17">
        <f t="shared" si="79"/>
        <v>0.17959042646541923</v>
      </c>
      <c r="DW18" s="17">
        <f t="shared" si="80"/>
        <v>0.19772841666319596</v>
      </c>
      <c r="DX18" s="17">
        <f t="shared" si="81"/>
        <v>0.20679535493575327</v>
      </c>
      <c r="EC18" s="17">
        <f t="shared" si="82"/>
        <v>80.272123558064706</v>
      </c>
      <c r="ED18" s="17">
        <f t="shared" si="83"/>
        <v>79.994335665275713</v>
      </c>
      <c r="EE18" s="17">
        <f t="shared" si="84"/>
        <v>80.134867890916794</v>
      </c>
      <c r="EF18" s="17">
        <f t="shared" si="85"/>
        <v>79.813360188853366</v>
      </c>
      <c r="EG18" s="17">
        <f t="shared" si="86"/>
        <v>79.725666247801229</v>
      </c>
      <c r="EH18" s="17">
        <f>武将升星!$AW18</f>
        <v>0.36099488863905888</v>
      </c>
      <c r="EI18" s="17">
        <f>武将升星!$AW63</f>
        <v>0.51656906371384481</v>
      </c>
      <c r="EJ18" s="17">
        <f>武将升星!$AW108</f>
        <v>0.59554308326012984</v>
      </c>
      <c r="EK18" s="17">
        <f>武将升星!$AW153</f>
        <v>0.79924610332693546</v>
      </c>
      <c r="EL18" s="17">
        <f>武将升星!$AW198</f>
        <v>0.80000000000000016</v>
      </c>
      <c r="EN18" s="17">
        <v>15</v>
      </c>
      <c r="EO18" s="17">
        <f t="shared" si="50"/>
        <v>5.8164713271888178E-3</v>
      </c>
      <c r="EP18" s="17">
        <f t="shared" si="51"/>
        <v>7.2016062176887101E-3</v>
      </c>
      <c r="EQ18" s="17">
        <f t="shared" si="52"/>
        <v>1.2697306024651342E-2</v>
      </c>
      <c r="ER18" s="17">
        <f t="shared" si="53"/>
        <v>9.3056270992775431E-3</v>
      </c>
      <c r="ES18" s="17">
        <f t="shared" si="54"/>
        <v>1.8996673636931929E-2</v>
      </c>
    </row>
    <row r="19" spans="2:149" x14ac:dyDescent="0.15">
      <c r="B19" s="16">
        <f>基础状态预期!D32</f>
        <v>82.328492296001457</v>
      </c>
      <c r="C19" s="16">
        <f>基础状态预期!D77</f>
        <v>82.100546804797787</v>
      </c>
      <c r="D19" s="16">
        <f>基础状态预期!D122</f>
        <v>82.238672852681816</v>
      </c>
      <c r="E19" s="16">
        <f>基础状态预期!D167</f>
        <v>81.919202803497143</v>
      </c>
      <c r="F19" s="16">
        <f>基础状态预期!D212</f>
        <v>81.863982387630472</v>
      </c>
      <c r="G19" s="16">
        <f>武将升星!AK19</f>
        <v>123.93692149516299</v>
      </c>
      <c r="H19" s="16">
        <f>武将升星!AK64</f>
        <v>133.47983596898047</v>
      </c>
      <c r="I19" s="16">
        <f>武将升星!AK109</f>
        <v>139.00224845906126</v>
      </c>
      <c r="J19" s="16">
        <f>武将升星!AK154</f>
        <v>148</v>
      </c>
      <c r="K19" s="16">
        <f>武将升星!AK199</f>
        <v>148</v>
      </c>
      <c r="L19" s="34">
        <f>武将升星!AK19/G19</f>
        <v>1</v>
      </c>
      <c r="M19" s="34"/>
      <c r="P19" s="16">
        <v>16</v>
      </c>
      <c r="Q19" s="16">
        <f t="shared" si="0"/>
        <v>83.29082356635945</v>
      </c>
      <c r="R19" s="16">
        <f t="shared" si="1"/>
        <v>83.425379029077504</v>
      </c>
      <c r="S19" s="16">
        <f t="shared" si="2"/>
        <v>83.662974758138887</v>
      </c>
      <c r="T19" s="16">
        <f t="shared" si="3"/>
        <v>85.797695206142095</v>
      </c>
      <c r="U19" s="16">
        <f t="shared" si="4"/>
        <v>86.630500796745366</v>
      </c>
      <c r="Z19" s="16">
        <f t="shared" si="55"/>
        <v>82.328492296001457</v>
      </c>
      <c r="AA19" s="16">
        <f t="shared" si="5"/>
        <v>82.100546804797787</v>
      </c>
      <c r="AB19" s="16">
        <f t="shared" si="6"/>
        <v>82.238672852681816</v>
      </c>
      <c r="AC19" s="16">
        <f t="shared" si="7"/>
        <v>81.919202803497143</v>
      </c>
      <c r="AD19" s="16">
        <f t="shared" si="8"/>
        <v>81.863982387630472</v>
      </c>
      <c r="AE19" s="16">
        <f>武将升级!AD19+武将羁绊!AW22</f>
        <v>8568.3752010712014</v>
      </c>
      <c r="AF19" s="16">
        <f>武将升级!AD64+武将羁绊!AW67</f>
        <v>9131.7323439465472</v>
      </c>
      <c r="AG19" s="16">
        <f>武将升级!AD109+武将羁绊!AW112</f>
        <v>9298.0422049922818</v>
      </c>
      <c r="AH19" s="16">
        <f>武将升级!AD154+武将羁绊!AW157</f>
        <v>9266.7980341820203</v>
      </c>
      <c r="AI19" s="16">
        <f>武将升级!AD199+武将羁绊!AW202</f>
        <v>9261.3974775102597</v>
      </c>
      <c r="AJ19" s="34">
        <f>武将升级!AD19/AE19</f>
        <v>0.66637015814226619</v>
      </c>
      <c r="AK19" s="34">
        <f>武将羁绊!AW22/AE19</f>
        <v>0.33362984185773381</v>
      </c>
      <c r="AL19" s="34"/>
      <c r="AM19" s="16">
        <v>16</v>
      </c>
      <c r="AN19" s="16">
        <f t="shared" si="9"/>
        <v>1813.0999756334293</v>
      </c>
      <c r="AO19" s="16">
        <f t="shared" si="10"/>
        <v>1824.0639661297091</v>
      </c>
      <c r="AP19" s="16">
        <f t="shared" si="11"/>
        <v>1846.6918847917996</v>
      </c>
      <c r="AQ19" s="16">
        <f t="shared" si="12"/>
        <v>1918.858302970822</v>
      </c>
      <c r="AR19" s="16">
        <f t="shared" si="13"/>
        <v>1976.729126169429</v>
      </c>
      <c r="AU19" s="17">
        <f t="shared" si="14"/>
        <v>82.328492296001457</v>
      </c>
      <c r="AV19" s="17">
        <f t="shared" si="15"/>
        <v>82.100546804797787</v>
      </c>
      <c r="AW19" s="17">
        <f t="shared" si="16"/>
        <v>82.238672852681816</v>
      </c>
      <c r="AX19" s="17">
        <f t="shared" si="17"/>
        <v>81.919202803497143</v>
      </c>
      <c r="AY19" s="17">
        <f t="shared" si="18"/>
        <v>81.863982387630472</v>
      </c>
      <c r="AZ19" s="17">
        <f>(武将升级!AJ19+武将羁绊!AW22)</f>
        <v>8568.3752010712014</v>
      </c>
      <c r="BA19" s="17">
        <f>(武将升级!AJ64+武将羁绊!AW67)</f>
        <v>9131.7323439465472</v>
      </c>
      <c r="BB19" s="17">
        <f>(武将升级!AJ109+武将羁绊!AW112)</f>
        <v>9298.0422049922818</v>
      </c>
      <c r="BC19" s="17">
        <f>(武将升级!AJ154+武将羁绊!AW157)</f>
        <v>9266.7980341820203</v>
      </c>
      <c r="BD19" s="17">
        <f>(武将升级!AJ199+武将羁绊!AW202)</f>
        <v>9261.3974775102597</v>
      </c>
      <c r="BE19" s="34">
        <f>武将升级!AJ19/AZ19</f>
        <v>0.66637015814226619</v>
      </c>
      <c r="BF19" s="34">
        <f>武将羁绊!AW22/AZ19</f>
        <v>0.33362984185773381</v>
      </c>
      <c r="BH19" s="17">
        <v>16</v>
      </c>
      <c r="BI19" s="17">
        <f t="shared" si="56"/>
        <v>1813.0999756334293</v>
      </c>
      <c r="BJ19" s="17">
        <f t="shared" si="57"/>
        <v>1824.0639661297091</v>
      </c>
      <c r="BK19" s="17">
        <f t="shared" si="58"/>
        <v>1846.6918847917996</v>
      </c>
      <c r="BL19" s="17">
        <f t="shared" si="59"/>
        <v>1918.858302970822</v>
      </c>
      <c r="BM19" s="17">
        <f t="shared" si="60"/>
        <v>1976.729126169429</v>
      </c>
      <c r="BR19" s="17">
        <f t="shared" si="61"/>
        <v>82.328492296001457</v>
      </c>
      <c r="BS19" s="17">
        <f t="shared" si="62"/>
        <v>82.100546804797787</v>
      </c>
      <c r="BT19" s="17">
        <f t="shared" si="63"/>
        <v>82.238672852681816</v>
      </c>
      <c r="BU19" s="17">
        <f t="shared" si="64"/>
        <v>81.919202803497143</v>
      </c>
      <c r="BV19" s="17">
        <f t="shared" si="65"/>
        <v>81.863982387630472</v>
      </c>
      <c r="BW19" s="17">
        <f>武将升级!AP19</f>
        <v>2636.5698459200294</v>
      </c>
      <c r="BX19" s="17">
        <f>武将升级!AP64</f>
        <v>2632.0109360959559</v>
      </c>
      <c r="BY19" s="17">
        <f>武将升级!AP109</f>
        <v>2634.7734570536363</v>
      </c>
      <c r="BZ19" s="17">
        <f>武将升级!AP154</f>
        <v>2628.3840560699427</v>
      </c>
      <c r="CA19" s="17">
        <f>武将升级!AP199</f>
        <v>2627.2796477526094</v>
      </c>
      <c r="CC19" s="17">
        <v>16</v>
      </c>
      <c r="CD19" s="17">
        <f t="shared" si="88"/>
        <v>1310</v>
      </c>
      <c r="CE19" s="17">
        <f t="shared" si="89"/>
        <v>1310</v>
      </c>
      <c r="CF19" s="17">
        <f t="shared" si="90"/>
        <v>1310</v>
      </c>
      <c r="CG19" s="17">
        <f t="shared" si="91"/>
        <v>1310</v>
      </c>
      <c r="CH19" s="17">
        <f t="shared" si="92"/>
        <v>1310.0000000000002</v>
      </c>
      <c r="CM19" s="17">
        <f t="shared" si="67"/>
        <v>82.328492296001457</v>
      </c>
      <c r="CN19" s="17">
        <f t="shared" si="68"/>
        <v>82.100546804797787</v>
      </c>
      <c r="CO19" s="17">
        <f t="shared" si="69"/>
        <v>82.238672852681816</v>
      </c>
      <c r="CP19" s="17">
        <f t="shared" si="70"/>
        <v>81.919202803497143</v>
      </c>
      <c r="CQ19" s="17">
        <f t="shared" si="71"/>
        <v>81.863982387630472</v>
      </c>
      <c r="CR19" s="17">
        <f>武将升级!AV19</f>
        <v>183.65698459200291</v>
      </c>
      <c r="CS19" s="17">
        <f>武将升级!AV64</f>
        <v>183.20109360959557</v>
      </c>
      <c r="CT19" s="17">
        <f>武将升级!AV109</f>
        <v>183.47734570536363</v>
      </c>
      <c r="CU19" s="17">
        <f>武将升级!AV154</f>
        <v>182.83840560699431</v>
      </c>
      <c r="CV19" s="17">
        <f>武将升级!AV199</f>
        <v>182.72796477526094</v>
      </c>
      <c r="CX19" s="17">
        <v>16</v>
      </c>
      <c r="CY19" s="17">
        <f t="shared" si="34"/>
        <v>47.6</v>
      </c>
      <c r="CZ19" s="17">
        <f t="shared" si="35"/>
        <v>47.615927296592986</v>
      </c>
      <c r="DA19" s="17">
        <f t="shared" si="36"/>
        <v>47.608236390718574</v>
      </c>
      <c r="DB19" s="17">
        <f t="shared" si="37"/>
        <v>48</v>
      </c>
      <c r="DC19" s="17">
        <f t="shared" si="38"/>
        <v>48</v>
      </c>
      <c r="DH19" s="17">
        <f t="shared" si="72"/>
        <v>82.328492296001457</v>
      </c>
      <c r="DI19" s="17">
        <f t="shared" si="73"/>
        <v>82.100546804797787</v>
      </c>
      <c r="DJ19" s="17">
        <f t="shared" si="74"/>
        <v>82.238672852681816</v>
      </c>
      <c r="DK19" s="17">
        <f t="shared" si="75"/>
        <v>81.919202803497143</v>
      </c>
      <c r="DL19" s="17">
        <f t="shared" si="76"/>
        <v>81.863982387630472</v>
      </c>
      <c r="DM19" s="17">
        <f>武将升星!$AQ19</f>
        <v>0.8191589532688397</v>
      </c>
      <c r="DN19" s="17">
        <f>武将升星!$AQ64</f>
        <v>0.94639781291973912</v>
      </c>
      <c r="DO19" s="17">
        <f>武将升星!$AQ109</f>
        <v>1.0200299794541499</v>
      </c>
      <c r="DP19" s="17">
        <f>武将升星!$AQ154</f>
        <v>1.1399999999999999</v>
      </c>
      <c r="DQ19" s="17">
        <f>武将升星!$AQ199</f>
        <v>1.1399999999999999</v>
      </c>
      <c r="DS19" s="17">
        <v>16</v>
      </c>
      <c r="DT19" s="17">
        <f t="shared" si="77"/>
        <v>0.18033464083077316</v>
      </c>
      <c r="DU19" s="17">
        <f t="shared" si="78"/>
        <v>0.18123646475267641</v>
      </c>
      <c r="DV19" s="17">
        <f t="shared" si="79"/>
        <v>0.18335067331954297</v>
      </c>
      <c r="DW19" s="17">
        <f t="shared" si="80"/>
        <v>0.20127501955239091</v>
      </c>
      <c r="DX19" s="17">
        <f t="shared" si="81"/>
        <v>0.21218346814706754</v>
      </c>
      <c r="EC19" s="17">
        <f t="shared" si="82"/>
        <v>82.328492296001457</v>
      </c>
      <c r="ED19" s="17">
        <f t="shared" si="83"/>
        <v>82.100546804797787</v>
      </c>
      <c r="EE19" s="17">
        <f t="shared" si="84"/>
        <v>82.238672852681816</v>
      </c>
      <c r="EF19" s="17">
        <f t="shared" si="85"/>
        <v>81.919202803497143</v>
      </c>
      <c r="EG19" s="17">
        <f t="shared" si="86"/>
        <v>81.863982387630472</v>
      </c>
      <c r="EH19" s="17">
        <f>武将升星!$AW19</f>
        <v>0.39894869158604984</v>
      </c>
      <c r="EI19" s="17">
        <f>武将升星!$AW64</f>
        <v>0.55799726614967426</v>
      </c>
      <c r="EJ19" s="17">
        <f>武将升星!$AW109</f>
        <v>0.65003747431768744</v>
      </c>
      <c r="EK19" s="17">
        <f>武将升星!$AW154</f>
        <v>0.80000000000000016</v>
      </c>
      <c r="EL19" s="17">
        <f>武将升星!$AW199</f>
        <v>0.80000000000000016</v>
      </c>
      <c r="EN19" s="17">
        <v>16</v>
      </c>
      <c r="EO19" s="17">
        <f t="shared" si="50"/>
        <v>5.8164713271888178E-3</v>
      </c>
      <c r="EP19" s="17">
        <f t="shared" si="51"/>
        <v>7.2016062176887101E-3</v>
      </c>
      <c r="EQ19" s="17">
        <f t="shared" si="52"/>
        <v>1.2697306024651342E-2</v>
      </c>
      <c r="ER19" s="17">
        <f t="shared" si="53"/>
        <v>1.1167732885989363E-2</v>
      </c>
      <c r="ES19" s="17">
        <f t="shared" si="54"/>
        <v>2.2827011154435101E-2</v>
      </c>
    </row>
    <row r="20" spans="2:149" x14ac:dyDescent="0.15">
      <c r="B20" s="16">
        <f>基础状态预期!D33</f>
        <v>84.132234338875293</v>
      </c>
      <c r="C20" s="16">
        <f>基础状态预期!D78</f>
        <v>83.885420957389968</v>
      </c>
      <c r="D20" s="16">
        <f>基础状态预期!D123</f>
        <v>84.043767921022209</v>
      </c>
      <c r="E20" s="16">
        <f>基础状态预期!D168</f>
        <v>83.738783536778797</v>
      </c>
      <c r="F20" s="16">
        <f>基础状态预期!D213</f>
        <v>83.667042947574714</v>
      </c>
      <c r="G20" s="16">
        <f>武将升星!AK20</f>
        <v>126.09818594740638</v>
      </c>
      <c r="H20" s="16">
        <f>武将升星!AK65</f>
        <v>135.84058693552748</v>
      </c>
      <c r="I20" s="16">
        <f>武将升星!AK110</f>
        <v>142.08173752728834</v>
      </c>
      <c r="J20" s="16">
        <f>武将升星!AK155</f>
        <v>148</v>
      </c>
      <c r="K20" s="16">
        <f>武将升星!AK200</f>
        <v>148</v>
      </c>
      <c r="L20" s="34">
        <f>武将升星!AK20/G20</f>
        <v>1</v>
      </c>
      <c r="M20" s="34"/>
      <c r="P20" s="16">
        <v>17</v>
      </c>
      <c r="Q20" s="16">
        <f t="shared" si="0"/>
        <v>83.718117674769587</v>
      </c>
      <c r="R20" s="16">
        <f t="shared" si="1"/>
        <v>83.843402666915992</v>
      </c>
      <c r="S20" s="16">
        <f t="shared" si="2"/>
        <v>84.014805149886655</v>
      </c>
      <c r="T20" s="16">
        <f t="shared" si="3"/>
        <v>85.930702762335798</v>
      </c>
      <c r="U20" s="16">
        <f t="shared" si="4"/>
        <v>86.904096333709873</v>
      </c>
      <c r="Z20" s="16">
        <f t="shared" ref="Z20:Z42" si="93">B20</f>
        <v>84.132234338875293</v>
      </c>
      <c r="AA20" s="16">
        <f t="shared" ref="AA20:AA42" si="94">C20</f>
        <v>83.885420957389968</v>
      </c>
      <c r="AB20" s="16">
        <f t="shared" ref="AB20:AB42" si="95">D20</f>
        <v>84.043767921022209</v>
      </c>
      <c r="AC20" s="16">
        <f t="shared" ref="AC20:AC42" si="96">E20</f>
        <v>83.738783536778797</v>
      </c>
      <c r="AD20" s="16">
        <f t="shared" ref="AD20:AD42" si="97">F20</f>
        <v>83.667042947574714</v>
      </c>
      <c r="AE20" s="16">
        <f>武将升级!AD20+武将羁绊!AW23</f>
        <v>8908.5446868383551</v>
      </c>
      <c r="AF20" s="16">
        <f>武将升级!AD65+武将羁绊!AW68</f>
        <v>9451.4619008322297</v>
      </c>
      <c r="AG20" s="16">
        <f>武将升级!AD110+武将羁绊!AW113</f>
        <v>9474.5805026759735</v>
      </c>
      <c r="AH20" s="16">
        <f>武将升级!AD155+武将羁绊!AW158</f>
        <v>9444.7530298969668</v>
      </c>
      <c r="AI20" s="16">
        <f>武将升级!AD200+武将羁绊!AW203</f>
        <v>9437.7368002728053</v>
      </c>
      <c r="AJ20" s="34">
        <f>武将升级!AD20/AE20</f>
        <v>0.6530734553005092</v>
      </c>
      <c r="AK20" s="34">
        <f>武将羁绊!AW23/AE20</f>
        <v>0.34692654469949069</v>
      </c>
      <c r="AL20" s="34"/>
      <c r="AM20" s="16">
        <v>17</v>
      </c>
      <c r="AN20" s="16">
        <f t="shared" si="9"/>
        <v>1879.2301450494472</v>
      </c>
      <c r="AO20" s="16">
        <f t="shared" si="10"/>
        <v>1891.1646336530448</v>
      </c>
      <c r="AP20" s="16">
        <f t="shared" si="11"/>
        <v>1915.93878085085</v>
      </c>
      <c r="AQ20" s="16">
        <f t="shared" si="12"/>
        <v>1994.952102158969</v>
      </c>
      <c r="AR20" s="16">
        <f t="shared" si="13"/>
        <v>2062.6583683624849</v>
      </c>
      <c r="AU20" s="17">
        <f t="shared" ref="AU20:AU42" si="98">B20</f>
        <v>84.132234338875293</v>
      </c>
      <c r="AV20" s="17">
        <f t="shared" ref="AV20:AV42" si="99">C20</f>
        <v>83.885420957389968</v>
      </c>
      <c r="AW20" s="17">
        <f t="shared" ref="AW20:AW42" si="100">D20</f>
        <v>84.043767921022209</v>
      </c>
      <c r="AX20" s="17">
        <f t="shared" ref="AX20:AX42" si="101">E20</f>
        <v>83.738783536778797</v>
      </c>
      <c r="AY20" s="17">
        <f t="shared" ref="AY20:AY42" si="102">F20</f>
        <v>83.667042947574714</v>
      </c>
      <c r="AZ20" s="17">
        <f>(武将升级!AJ20+武将羁绊!AW23)</f>
        <v>8908.5446868383551</v>
      </c>
      <c r="BA20" s="17">
        <f>(武将升级!AJ65+武将羁绊!AW68)</f>
        <v>9451.4619008322297</v>
      </c>
      <c r="BB20" s="17">
        <f>(武将升级!AJ110+武将羁绊!AW113)</f>
        <v>9474.5805026759735</v>
      </c>
      <c r="BC20" s="17">
        <f>(武将升级!AJ155+武将羁绊!AW158)</f>
        <v>9444.7530298969668</v>
      </c>
      <c r="BD20" s="17">
        <f>(武将升级!AJ200+武将羁绊!AW203)</f>
        <v>9437.7368002728053</v>
      </c>
      <c r="BE20" s="34">
        <f>武将升级!AJ20/AZ20</f>
        <v>0.6530734553005092</v>
      </c>
      <c r="BF20" s="34">
        <f>武将羁绊!AW23/AZ20</f>
        <v>0.34692654469949069</v>
      </c>
      <c r="BH20" s="17">
        <v>17</v>
      </c>
      <c r="BI20" s="17">
        <f t="shared" si="56"/>
        <v>1879.2301450494472</v>
      </c>
      <c r="BJ20" s="17">
        <f t="shared" si="57"/>
        <v>1891.1646336530448</v>
      </c>
      <c r="BK20" s="17">
        <f t="shared" si="58"/>
        <v>1915.93878085085</v>
      </c>
      <c r="BL20" s="17">
        <f t="shared" si="59"/>
        <v>1994.952102158969</v>
      </c>
      <c r="BM20" s="17">
        <f t="shared" si="60"/>
        <v>2062.6583683624849</v>
      </c>
      <c r="BR20" s="17">
        <f t="shared" si="61"/>
        <v>84.132234338875293</v>
      </c>
      <c r="BS20" s="17">
        <f t="shared" si="62"/>
        <v>83.885420957389968</v>
      </c>
      <c r="BT20" s="17">
        <f t="shared" si="63"/>
        <v>84.043767921022209</v>
      </c>
      <c r="BU20" s="17">
        <f t="shared" si="64"/>
        <v>83.738783536778797</v>
      </c>
      <c r="BV20" s="17">
        <f t="shared" si="65"/>
        <v>83.667042947574714</v>
      </c>
      <c r="BW20" s="17">
        <f>武将升级!AP20</f>
        <v>2672.6446867775057</v>
      </c>
      <c r="BX20" s="17">
        <f>武将升级!AP65</f>
        <v>2667.7084191477993</v>
      </c>
      <c r="BY20" s="17">
        <f>武将升级!AP110</f>
        <v>2670.8753584204442</v>
      </c>
      <c r="BZ20" s="17">
        <f>武将升级!AP155</f>
        <v>2664.7756707355757</v>
      </c>
      <c r="CA20" s="17">
        <f>武将升级!AP200</f>
        <v>2663.3408589514943</v>
      </c>
      <c r="CC20" s="17">
        <v>17</v>
      </c>
      <c r="CD20" s="17">
        <f t="shared" si="88"/>
        <v>1330</v>
      </c>
      <c r="CE20" s="17">
        <f t="shared" si="89"/>
        <v>1330</v>
      </c>
      <c r="CF20" s="17">
        <f t="shared" si="90"/>
        <v>1330</v>
      </c>
      <c r="CG20" s="17">
        <f t="shared" si="91"/>
        <v>1330</v>
      </c>
      <c r="CH20" s="17">
        <f t="shared" si="92"/>
        <v>1330.0000000000002</v>
      </c>
      <c r="CM20" s="17">
        <f t="shared" si="67"/>
        <v>84.132234338875293</v>
      </c>
      <c r="CN20" s="17">
        <f t="shared" si="68"/>
        <v>83.885420957389968</v>
      </c>
      <c r="CO20" s="17">
        <f t="shared" si="69"/>
        <v>84.043767921022209</v>
      </c>
      <c r="CP20" s="17">
        <f t="shared" si="70"/>
        <v>83.738783536778797</v>
      </c>
      <c r="CQ20" s="17">
        <f t="shared" si="71"/>
        <v>83.667042947574714</v>
      </c>
      <c r="CR20" s="17">
        <f>武将升级!AV20</f>
        <v>187.26446867775061</v>
      </c>
      <c r="CS20" s="17">
        <f>武将升级!AV65</f>
        <v>186.77084191477994</v>
      </c>
      <c r="CT20" s="17">
        <f>武将升级!AV110</f>
        <v>187.08753584204442</v>
      </c>
      <c r="CU20" s="17">
        <f>武将升级!AV155</f>
        <v>186.47756707355759</v>
      </c>
      <c r="CV20" s="17">
        <f>武将升级!AV200</f>
        <v>186.33408589514943</v>
      </c>
      <c r="CX20" s="17">
        <v>17</v>
      </c>
      <c r="CY20" s="17">
        <f t="shared" si="34"/>
        <v>49.7</v>
      </c>
      <c r="CZ20" s="17">
        <f t="shared" si="35"/>
        <v>49.717889274514953</v>
      </c>
      <c r="DA20" s="17">
        <f t="shared" si="36"/>
        <v>49.711326698822361</v>
      </c>
      <c r="DB20" s="17">
        <f t="shared" si="37"/>
        <v>49.999999999999993</v>
      </c>
      <c r="DC20" s="17">
        <f t="shared" si="38"/>
        <v>50</v>
      </c>
      <c r="DH20" s="17">
        <f t="shared" si="72"/>
        <v>84.132234338875293</v>
      </c>
      <c r="DI20" s="17">
        <f t="shared" si="73"/>
        <v>83.885420957389968</v>
      </c>
      <c r="DJ20" s="17">
        <f t="shared" si="74"/>
        <v>84.043767921022209</v>
      </c>
      <c r="DK20" s="17">
        <f t="shared" si="75"/>
        <v>83.738783536778797</v>
      </c>
      <c r="DL20" s="17">
        <f t="shared" si="76"/>
        <v>83.667042947574714</v>
      </c>
      <c r="DM20" s="17">
        <f>武将升星!$AQ20</f>
        <v>0.84797581263208477</v>
      </c>
      <c r="DN20" s="17">
        <f>武将升星!$AQ65</f>
        <v>0.97787449247369951</v>
      </c>
      <c r="DO20" s="17">
        <f>武将升星!$AQ110</f>
        <v>1.0610898336971777</v>
      </c>
      <c r="DP20" s="17">
        <f>武将升星!$AQ155</f>
        <v>1.1399999999999999</v>
      </c>
      <c r="DQ20" s="17">
        <f>武将升星!$AQ200</f>
        <v>1.1399999999999999</v>
      </c>
      <c r="DS20" s="17">
        <v>17</v>
      </c>
      <c r="DT20" s="17">
        <f t="shared" si="77"/>
        <v>0.18475098062307987</v>
      </c>
      <c r="DU20" s="17">
        <f t="shared" si="78"/>
        <v>0.18557535116947593</v>
      </c>
      <c r="DV20" s="17">
        <f t="shared" si="79"/>
        <v>0.18711092017366673</v>
      </c>
      <c r="DW20" s="17">
        <f t="shared" si="80"/>
        <v>0.20482162244158589</v>
      </c>
      <c r="DX20" s="17">
        <f t="shared" si="81"/>
        <v>0.21757158135838181</v>
      </c>
      <c r="EC20" s="17">
        <f t="shared" si="82"/>
        <v>84.132234338875293</v>
      </c>
      <c r="ED20" s="17">
        <f t="shared" si="83"/>
        <v>83.885420957389968</v>
      </c>
      <c r="EE20" s="17">
        <f t="shared" si="84"/>
        <v>84.043767921022209</v>
      </c>
      <c r="EF20" s="17">
        <f t="shared" si="85"/>
        <v>83.738783536778797</v>
      </c>
      <c r="EG20" s="17">
        <f t="shared" si="86"/>
        <v>83.667042947574714</v>
      </c>
      <c r="EH20" s="17">
        <f>武将升星!$AW20</f>
        <v>0.43496976579010632</v>
      </c>
      <c r="EI20" s="17">
        <f>武将升星!$AW65</f>
        <v>0.59734311559212472</v>
      </c>
      <c r="EJ20" s="17">
        <f>武将升星!$AW110</f>
        <v>0.70136229212147205</v>
      </c>
      <c r="EK20" s="17">
        <f>武将升星!$AW155</f>
        <v>0.80000000000000016</v>
      </c>
      <c r="EL20" s="17">
        <f>武将升星!$AW200</f>
        <v>0.80000000000000016</v>
      </c>
      <c r="EN20" s="17">
        <v>17</v>
      </c>
      <c r="EO20" s="17">
        <f t="shared" si="50"/>
        <v>5.8164713271888178E-3</v>
      </c>
      <c r="EP20" s="17">
        <f t="shared" si="51"/>
        <v>7.2016062176887101E-3</v>
      </c>
      <c r="EQ20" s="17">
        <f t="shared" si="52"/>
        <v>1.2697306024651342E-2</v>
      </c>
      <c r="ER20" s="17">
        <f t="shared" si="53"/>
        <v>1.3029838672701183E-2</v>
      </c>
      <c r="ES20" s="17">
        <f t="shared" si="54"/>
        <v>2.665734867193827E-2</v>
      </c>
    </row>
    <row r="21" spans="2:149" x14ac:dyDescent="0.15">
      <c r="B21" s="16">
        <f>基础状态预期!D34</f>
        <v>86.465948248806328</v>
      </c>
      <c r="C21" s="16">
        <f>基础状态预期!D79</f>
        <v>86.247032860782397</v>
      </c>
      <c r="D21" s="16">
        <f>基础状态预期!D124</f>
        <v>86.385105215793828</v>
      </c>
      <c r="E21" s="16">
        <f>基础状态预期!D169</f>
        <v>86.045919706798657</v>
      </c>
      <c r="F21" s="16">
        <f>基础状态预期!D214</f>
        <v>86.154780808490059</v>
      </c>
      <c r="G21" s="16">
        <f>武将升星!AK21</f>
        <v>129.09373296173146</v>
      </c>
      <c r="H21" s="16">
        <f>武将升星!AK66</f>
        <v>139.36526375627176</v>
      </c>
      <c r="I21" s="16">
        <f>武将升星!AK111</f>
        <v>145.55421289185807</v>
      </c>
      <c r="J21" s="16">
        <f>武将升星!AK156</f>
        <v>148</v>
      </c>
      <c r="K21" s="16">
        <f>武将升星!AK201</f>
        <v>148</v>
      </c>
      <c r="L21" s="34">
        <f>武将升星!AK21/G21</f>
        <v>1</v>
      </c>
      <c r="P21" s="16">
        <v>18</v>
      </c>
      <c r="Q21" s="16">
        <f t="shared" si="0"/>
        <v>84.145411783179725</v>
      </c>
      <c r="R21" s="16">
        <f t="shared" si="1"/>
        <v>84.261426304754494</v>
      </c>
      <c r="S21" s="16">
        <f t="shared" si="2"/>
        <v>84.366635541634423</v>
      </c>
      <c r="T21" s="16">
        <f t="shared" si="3"/>
        <v>86.063710318529502</v>
      </c>
      <c r="U21" s="16">
        <f t="shared" si="4"/>
        <v>87.177691870674394</v>
      </c>
      <c r="Z21" s="16">
        <f t="shared" si="93"/>
        <v>86.465948248806328</v>
      </c>
      <c r="AA21" s="16">
        <f t="shared" si="94"/>
        <v>86.247032860782397</v>
      </c>
      <c r="AB21" s="16">
        <f t="shared" si="95"/>
        <v>86.385105215793828</v>
      </c>
      <c r="AC21" s="16">
        <f t="shared" si="96"/>
        <v>86.045919706798657</v>
      </c>
      <c r="AD21" s="16">
        <f t="shared" si="97"/>
        <v>86.154780808490059</v>
      </c>
      <c r="AE21" s="16">
        <f>武将升级!AD21+武将羁绊!AW24</f>
        <v>9361.7871915633987</v>
      </c>
      <c r="AF21" s="16">
        <f>武将升级!AD66+武将羁绊!AW69</f>
        <v>9690.0598137845191</v>
      </c>
      <c r="AG21" s="16">
        <f>武将升级!AD111+武将羁绊!AW114</f>
        <v>9703.5632901046356</v>
      </c>
      <c r="AH21" s="16">
        <f>武将升级!AD156+武将羁绊!AW159</f>
        <v>9670.3909473249078</v>
      </c>
      <c r="AI21" s="16">
        <f>武将升级!AD201+武将羁绊!AW204</f>
        <v>9681.0375630703275</v>
      </c>
      <c r="AJ21" s="34">
        <f>武将升级!AD21/AE21</f>
        <v>0.6364123401883709</v>
      </c>
      <c r="AK21" s="34">
        <f>武将羁绊!AW24/AE21</f>
        <v>0.36358765981162899</v>
      </c>
      <c r="AL21" s="17"/>
      <c r="AM21" s="16">
        <v>18</v>
      </c>
      <c r="AN21" s="16">
        <f t="shared" si="9"/>
        <v>1945.3603144654653</v>
      </c>
      <c r="AO21" s="16">
        <f t="shared" si="10"/>
        <v>1958.2653011763805</v>
      </c>
      <c r="AP21" s="16">
        <f t="shared" si="11"/>
        <v>1985.1856769099006</v>
      </c>
      <c r="AQ21" s="16">
        <f t="shared" si="12"/>
        <v>2071.0459013471163</v>
      </c>
      <c r="AR21" s="16">
        <f t="shared" si="13"/>
        <v>2148.5876105555399</v>
      </c>
      <c r="AU21" s="17">
        <f t="shared" si="98"/>
        <v>86.465948248806328</v>
      </c>
      <c r="AV21" s="17">
        <f t="shared" si="99"/>
        <v>86.247032860782397</v>
      </c>
      <c r="AW21" s="17">
        <f t="shared" si="100"/>
        <v>86.385105215793828</v>
      </c>
      <c r="AX21" s="17">
        <f t="shared" si="101"/>
        <v>86.045919706798657</v>
      </c>
      <c r="AY21" s="17">
        <f t="shared" si="102"/>
        <v>86.154780808490059</v>
      </c>
      <c r="AZ21" s="17">
        <f>(武将升级!AJ21+武将羁绊!AW24)</f>
        <v>9361.7871915633987</v>
      </c>
      <c r="BA21" s="17">
        <f>(武将升级!AJ66+武将羁绊!AW69)</f>
        <v>9690.0598137845191</v>
      </c>
      <c r="BB21" s="17">
        <f>(武将升级!AJ111+武将羁绊!AW114)</f>
        <v>9703.5632901046356</v>
      </c>
      <c r="BC21" s="17">
        <f>(武将升级!AJ156+武将羁绊!AW159)</f>
        <v>9670.3909473249078</v>
      </c>
      <c r="BD21" s="17">
        <f>(武将升级!AJ201+武将羁绊!AW204)</f>
        <v>9681.0375630703275</v>
      </c>
      <c r="BE21" s="34">
        <f>武将升级!AJ21/AZ21</f>
        <v>0.6364123401883709</v>
      </c>
      <c r="BF21" s="34">
        <f>武将羁绊!AW24/AZ21</f>
        <v>0.36358765981162899</v>
      </c>
      <c r="BH21" s="17">
        <v>18</v>
      </c>
      <c r="BI21" s="17">
        <f t="shared" si="56"/>
        <v>1945.3603144654653</v>
      </c>
      <c r="BJ21" s="17">
        <f t="shared" si="57"/>
        <v>1958.2653011763805</v>
      </c>
      <c r="BK21" s="17">
        <f t="shared" si="58"/>
        <v>1985.1856769099006</v>
      </c>
      <c r="BL21" s="17">
        <f t="shared" si="59"/>
        <v>2071.0459013471163</v>
      </c>
      <c r="BM21" s="17">
        <f t="shared" si="60"/>
        <v>2148.5876105555399</v>
      </c>
      <c r="BR21" s="17">
        <f t="shared" si="61"/>
        <v>86.465948248806328</v>
      </c>
      <c r="BS21" s="17">
        <f t="shared" si="62"/>
        <v>86.247032860782397</v>
      </c>
      <c r="BT21" s="17">
        <f t="shared" si="63"/>
        <v>86.385105215793828</v>
      </c>
      <c r="BU21" s="17">
        <f t="shared" si="64"/>
        <v>86.045919706798657</v>
      </c>
      <c r="BV21" s="17">
        <f t="shared" si="65"/>
        <v>86.154780808490059</v>
      </c>
      <c r="BW21" s="17">
        <f>武将升级!AP21</f>
        <v>2719.3189649761266</v>
      </c>
      <c r="BX21" s="17">
        <f>武将升级!AP66</f>
        <v>2714.9406572156477</v>
      </c>
      <c r="BY21" s="17">
        <f>武将升级!AP111</f>
        <v>2717.7021043158766</v>
      </c>
      <c r="BZ21" s="17">
        <f>武将升级!AP156</f>
        <v>2710.9183941359734</v>
      </c>
      <c r="CA21" s="17">
        <f>武将升级!AP201</f>
        <v>2713.0956161698014</v>
      </c>
      <c r="CC21" s="17">
        <v>18</v>
      </c>
      <c r="CD21" s="17">
        <f t="shared" si="88"/>
        <v>1350</v>
      </c>
      <c r="CE21" s="17">
        <f t="shared" si="89"/>
        <v>1350</v>
      </c>
      <c r="CF21" s="17">
        <f t="shared" si="90"/>
        <v>1350</v>
      </c>
      <c r="CG21" s="17">
        <f t="shared" si="91"/>
        <v>1350</v>
      </c>
      <c r="CH21" s="17">
        <f t="shared" si="92"/>
        <v>1350.0000000000002</v>
      </c>
      <c r="CM21" s="17">
        <f t="shared" si="67"/>
        <v>86.465948248806328</v>
      </c>
      <c r="CN21" s="17">
        <f t="shared" si="68"/>
        <v>86.247032860782397</v>
      </c>
      <c r="CO21" s="17">
        <f t="shared" si="69"/>
        <v>86.385105215793828</v>
      </c>
      <c r="CP21" s="17">
        <f t="shared" si="70"/>
        <v>86.045919706798657</v>
      </c>
      <c r="CQ21" s="17">
        <f t="shared" si="71"/>
        <v>86.154780808490059</v>
      </c>
      <c r="CR21" s="17">
        <f>武将升级!AV21</f>
        <v>191.93189649761266</v>
      </c>
      <c r="CS21" s="17">
        <f>武将升级!AV66</f>
        <v>191.49406572156479</v>
      </c>
      <c r="CT21" s="17">
        <f>武将升级!AV111</f>
        <v>191.77021043158766</v>
      </c>
      <c r="CU21" s="17">
        <f>武将升级!AV156</f>
        <v>191.09183941359731</v>
      </c>
      <c r="CV21" s="17">
        <f>武将升级!AV201</f>
        <v>191.30956161698012</v>
      </c>
      <c r="CX21" s="17">
        <v>18</v>
      </c>
      <c r="CY21" s="17">
        <f t="shared" si="34"/>
        <v>51.8</v>
      </c>
      <c r="CZ21" s="17">
        <f t="shared" si="35"/>
        <v>51.819851252436919</v>
      </c>
      <c r="DA21" s="17">
        <f t="shared" si="36"/>
        <v>51.814417006926149</v>
      </c>
      <c r="DB21" s="17">
        <f t="shared" si="37"/>
        <v>51.999999999999993</v>
      </c>
      <c r="DC21" s="17">
        <f t="shared" si="38"/>
        <v>52</v>
      </c>
      <c r="DH21" s="17">
        <f t="shared" si="72"/>
        <v>86.465948248806328</v>
      </c>
      <c r="DI21" s="17">
        <f t="shared" si="73"/>
        <v>86.247032860782397</v>
      </c>
      <c r="DJ21" s="17">
        <f t="shared" si="74"/>
        <v>86.385105215793828</v>
      </c>
      <c r="DK21" s="17">
        <f t="shared" si="75"/>
        <v>86.045919706798657</v>
      </c>
      <c r="DL21" s="17">
        <f t="shared" si="76"/>
        <v>86.154780808490059</v>
      </c>
      <c r="DM21" s="17">
        <f>武将升星!$AQ21</f>
        <v>0.88791643948975241</v>
      </c>
      <c r="DN21" s="17">
        <f>武将升星!$AQ66</f>
        <v>1.0248701834169567</v>
      </c>
      <c r="DO21" s="17">
        <f>武将升星!$AQ111</f>
        <v>1.1073895052247742</v>
      </c>
      <c r="DP21" s="17">
        <f>武将升星!$AQ156</f>
        <v>1.1399999999999999</v>
      </c>
      <c r="DQ21" s="17">
        <f>武将升星!$AQ201</f>
        <v>1.1399999999999999</v>
      </c>
      <c r="DS21" s="17">
        <v>18</v>
      </c>
      <c r="DT21" s="17">
        <f t="shared" si="77"/>
        <v>0.18916732041538659</v>
      </c>
      <c r="DU21" s="17">
        <f t="shared" si="78"/>
        <v>0.18991423758627549</v>
      </c>
      <c r="DV21" s="17">
        <f t="shared" si="79"/>
        <v>0.1908711670277905</v>
      </c>
      <c r="DW21" s="17">
        <f t="shared" si="80"/>
        <v>0.20836822533078084</v>
      </c>
      <c r="DX21" s="17">
        <f t="shared" si="81"/>
        <v>0.22295969456969608</v>
      </c>
      <c r="EC21" s="17">
        <f t="shared" si="82"/>
        <v>86.465948248806328</v>
      </c>
      <c r="ED21" s="17">
        <f t="shared" si="83"/>
        <v>86.247032860782397</v>
      </c>
      <c r="EE21" s="17">
        <f t="shared" si="84"/>
        <v>86.385105215793828</v>
      </c>
      <c r="EF21" s="17">
        <f t="shared" si="85"/>
        <v>86.045919706798657</v>
      </c>
      <c r="EG21" s="17">
        <f t="shared" si="86"/>
        <v>86.154780808490059</v>
      </c>
      <c r="EH21" s="17">
        <f>武将升星!$AW21</f>
        <v>0.48489554936219087</v>
      </c>
      <c r="EI21" s="17">
        <f>武将升星!$AW66</f>
        <v>0.65608772927119596</v>
      </c>
      <c r="EJ21" s="17">
        <f>武将升星!$AW111</f>
        <v>0.75923688153096791</v>
      </c>
      <c r="EK21" s="17">
        <f>武将升星!$AW156</f>
        <v>0.80000000000000016</v>
      </c>
      <c r="EL21" s="17">
        <f>武将升星!$AW201</f>
        <v>0.80000000000000016</v>
      </c>
      <c r="EN21" s="17">
        <v>18</v>
      </c>
      <c r="EO21" s="17">
        <f t="shared" si="50"/>
        <v>5.8164713271888178E-3</v>
      </c>
      <c r="EP21" s="17">
        <f t="shared" si="51"/>
        <v>7.2016062176887101E-3</v>
      </c>
      <c r="EQ21" s="17">
        <f t="shared" si="52"/>
        <v>1.2697306024651342E-2</v>
      </c>
      <c r="ER21" s="17">
        <f t="shared" si="53"/>
        <v>1.4891944459413003E-2</v>
      </c>
      <c r="ES21" s="17">
        <f t="shared" si="54"/>
        <v>3.0487686189441442E-2</v>
      </c>
    </row>
    <row r="22" spans="2:149" x14ac:dyDescent="0.15">
      <c r="B22" s="16">
        <f>基础状态预期!D35</f>
        <v>90.244911202258237</v>
      </c>
      <c r="C22" s="16">
        <f>基础状态预期!D80</f>
        <v>90.122782504866933</v>
      </c>
      <c r="D22" s="16">
        <f>基础状态预期!D125</f>
        <v>90.406191748048585</v>
      </c>
      <c r="E22" s="16">
        <f>基础状态预期!D170</f>
        <v>90.288435080379244</v>
      </c>
      <c r="F22" s="16">
        <f>基础状态预期!D215</f>
        <v>90.480184629206022</v>
      </c>
      <c r="G22" s="16">
        <f>武将升星!AK22</f>
        <v>133.05955604153269</v>
      </c>
      <c r="H22" s="16">
        <f>武将升星!AK67</f>
        <v>144.74427076536028</v>
      </c>
      <c r="I22" s="16">
        <f>武将升星!AK112</f>
        <v>148</v>
      </c>
      <c r="J22" s="16">
        <f>武将升星!AK157</f>
        <v>148</v>
      </c>
      <c r="K22" s="16">
        <f>武将升星!AK202</f>
        <v>148</v>
      </c>
      <c r="L22" s="34">
        <f>武将升星!AK22/G22</f>
        <v>1</v>
      </c>
      <c r="P22" s="16">
        <v>19</v>
      </c>
      <c r="Q22" s="16">
        <f t="shared" si="0"/>
        <v>84.572705891589862</v>
      </c>
      <c r="R22" s="16">
        <f t="shared" si="1"/>
        <v>84.679449942592981</v>
      </c>
      <c r="S22" s="16">
        <f t="shared" si="2"/>
        <v>84.718465933382191</v>
      </c>
      <c r="T22" s="16">
        <f t="shared" si="3"/>
        <v>86.196717874723191</v>
      </c>
      <c r="U22" s="16">
        <f t="shared" si="4"/>
        <v>87.451287407638901</v>
      </c>
      <c r="Z22" s="16">
        <f t="shared" si="93"/>
        <v>90.244911202258237</v>
      </c>
      <c r="AA22" s="16">
        <f t="shared" si="94"/>
        <v>90.122782504866933</v>
      </c>
      <c r="AB22" s="16">
        <f t="shared" si="95"/>
        <v>90.406191748048585</v>
      </c>
      <c r="AC22" s="16">
        <f t="shared" si="96"/>
        <v>90.288435080379244</v>
      </c>
      <c r="AD22" s="16">
        <f t="shared" si="97"/>
        <v>90.480184629206022</v>
      </c>
      <c r="AE22" s="16">
        <f>武将升级!AD22+武将羁绊!AW25</f>
        <v>10078.534070072317</v>
      </c>
      <c r="AF22" s="16">
        <f>武将升级!AD67+武将羁绊!AW70</f>
        <v>10069.108128975986</v>
      </c>
      <c r="AG22" s="16">
        <f>武将升级!AD112+武将羁绊!AW115</f>
        <v>10096.825552959152</v>
      </c>
      <c r="AH22" s="16">
        <f>武将升级!AD157+武将羁绊!AW160</f>
        <v>10085.30895086109</v>
      </c>
      <c r="AI22" s="16">
        <f>武将升级!AD202+武将羁绊!AW205</f>
        <v>10104.062056736349</v>
      </c>
      <c r="AJ22" s="34">
        <f>武将升级!AD22/AE22</f>
        <v>0.61365022225807853</v>
      </c>
      <c r="AK22" s="34">
        <f>武将羁绊!AW25/AE22</f>
        <v>0.38634977774192147</v>
      </c>
      <c r="AL22" s="17"/>
      <c r="AM22" s="16">
        <v>19</v>
      </c>
      <c r="AN22" s="16">
        <f t="shared" si="9"/>
        <v>2011.4904838814832</v>
      </c>
      <c r="AO22" s="16">
        <f t="shared" si="10"/>
        <v>2025.3659686997159</v>
      </c>
      <c r="AP22" s="16">
        <f t="shared" si="11"/>
        <v>2054.4325729689513</v>
      </c>
      <c r="AQ22" s="16">
        <f t="shared" si="12"/>
        <v>2147.1397005352633</v>
      </c>
      <c r="AR22" s="16">
        <f t="shared" si="13"/>
        <v>2234.5168527485957</v>
      </c>
      <c r="AU22" s="17">
        <f t="shared" si="98"/>
        <v>90.244911202258237</v>
      </c>
      <c r="AV22" s="17">
        <f t="shared" si="99"/>
        <v>90.122782504866933</v>
      </c>
      <c r="AW22" s="17">
        <f t="shared" si="100"/>
        <v>90.406191748048585</v>
      </c>
      <c r="AX22" s="17">
        <f t="shared" si="101"/>
        <v>90.288435080379244</v>
      </c>
      <c r="AY22" s="17">
        <f t="shared" si="102"/>
        <v>90.480184629206022</v>
      </c>
      <c r="AZ22" s="17">
        <f>(武将升级!AJ22+武将羁绊!AW25)</f>
        <v>10078.534070072317</v>
      </c>
      <c r="BA22" s="17">
        <f>(武将升级!AJ67+武将羁绊!AW70)</f>
        <v>10069.108128975986</v>
      </c>
      <c r="BB22" s="17">
        <f>(武将升级!AJ112+武将羁绊!AW115)</f>
        <v>10096.825552959152</v>
      </c>
      <c r="BC22" s="17">
        <f>(武将升级!AJ157+武将羁绊!AW160)</f>
        <v>10085.30895086109</v>
      </c>
      <c r="BD22" s="17">
        <f>(武将升级!AJ202+武将羁绊!AW205)</f>
        <v>10104.062056736349</v>
      </c>
      <c r="BE22" s="34">
        <f>武将升级!AJ22/AZ22</f>
        <v>0.61365022225807853</v>
      </c>
      <c r="BF22" s="34">
        <f>武将羁绊!AW25/AZ22</f>
        <v>0.38634977774192147</v>
      </c>
      <c r="BH22" s="17">
        <v>19</v>
      </c>
      <c r="BI22" s="17">
        <f t="shared" si="56"/>
        <v>2011.4904838814832</v>
      </c>
      <c r="BJ22" s="17">
        <f t="shared" si="57"/>
        <v>2025.3659686997159</v>
      </c>
      <c r="BK22" s="17">
        <f t="shared" si="58"/>
        <v>2054.4325729689513</v>
      </c>
      <c r="BL22" s="17">
        <f t="shared" si="59"/>
        <v>2147.1397005352633</v>
      </c>
      <c r="BM22" s="17">
        <f t="shared" si="60"/>
        <v>2234.5168527485957</v>
      </c>
      <c r="BR22" s="17">
        <f t="shared" si="61"/>
        <v>90.244911202258237</v>
      </c>
      <c r="BS22" s="17">
        <f t="shared" si="62"/>
        <v>90.122782504866933</v>
      </c>
      <c r="BT22" s="17">
        <f t="shared" si="63"/>
        <v>90.406191748048585</v>
      </c>
      <c r="BU22" s="17">
        <f t="shared" si="64"/>
        <v>90.288435080379244</v>
      </c>
      <c r="BV22" s="17">
        <f t="shared" si="65"/>
        <v>90.480184629206022</v>
      </c>
      <c r="BW22" s="17">
        <f>武将升级!AP22</f>
        <v>2794.8982240451646</v>
      </c>
      <c r="BX22" s="17">
        <f>武将升级!AP67</f>
        <v>2792.455650097339</v>
      </c>
      <c r="BY22" s="17">
        <f>武将升级!AP112</f>
        <v>2798.1238349609716</v>
      </c>
      <c r="BZ22" s="17">
        <f>武将升级!AP157</f>
        <v>2795.7687016075852</v>
      </c>
      <c r="CA22" s="17">
        <f>武将升级!AP202</f>
        <v>2799.6036925841204</v>
      </c>
      <c r="CC22" s="17">
        <v>19</v>
      </c>
      <c r="CD22" s="17">
        <f t="shared" si="88"/>
        <v>1370</v>
      </c>
      <c r="CE22" s="17">
        <f t="shared" si="89"/>
        <v>1370</v>
      </c>
      <c r="CF22" s="17">
        <f t="shared" si="90"/>
        <v>1370</v>
      </c>
      <c r="CG22" s="17">
        <f t="shared" si="91"/>
        <v>1370</v>
      </c>
      <c r="CH22" s="17">
        <f t="shared" si="92"/>
        <v>1370.0000000000002</v>
      </c>
      <c r="CM22" s="17">
        <f t="shared" si="67"/>
        <v>90.244911202258237</v>
      </c>
      <c r="CN22" s="17">
        <f t="shared" si="68"/>
        <v>90.122782504866933</v>
      </c>
      <c r="CO22" s="17">
        <f t="shared" si="69"/>
        <v>90.406191748048585</v>
      </c>
      <c r="CP22" s="17">
        <f t="shared" si="70"/>
        <v>90.288435080379244</v>
      </c>
      <c r="CQ22" s="17">
        <f t="shared" si="71"/>
        <v>90.480184629206022</v>
      </c>
      <c r="CR22" s="17">
        <f>武将升级!AV22</f>
        <v>199.4898224045165</v>
      </c>
      <c r="CS22" s="17">
        <f>武将升级!AV67</f>
        <v>199.24556500973389</v>
      </c>
      <c r="CT22" s="17">
        <f>武将升级!AV112</f>
        <v>199.81238349609717</v>
      </c>
      <c r="CU22" s="17">
        <f>武将升级!AV157</f>
        <v>199.57687016075849</v>
      </c>
      <c r="CV22" s="17">
        <f>武将升级!AV202</f>
        <v>199.96036925841204</v>
      </c>
      <c r="CX22" s="17">
        <v>19</v>
      </c>
      <c r="CY22" s="17">
        <f t="shared" si="34"/>
        <v>53.900000000000006</v>
      </c>
      <c r="CZ22" s="17">
        <f t="shared" si="35"/>
        <v>53.921813230358879</v>
      </c>
      <c r="DA22" s="17">
        <f t="shared" si="36"/>
        <v>53.917507315029937</v>
      </c>
      <c r="DB22" s="17">
        <f t="shared" si="37"/>
        <v>53.999999999999993</v>
      </c>
      <c r="DC22" s="17">
        <f t="shared" si="38"/>
        <v>54</v>
      </c>
      <c r="DH22" s="17">
        <f t="shared" si="72"/>
        <v>90.244911202258237</v>
      </c>
      <c r="DI22" s="17">
        <f t="shared" si="73"/>
        <v>90.122782504866933</v>
      </c>
      <c r="DJ22" s="17">
        <f t="shared" si="74"/>
        <v>90.406191748048585</v>
      </c>
      <c r="DK22" s="17">
        <f t="shared" si="75"/>
        <v>90.288435080379244</v>
      </c>
      <c r="DL22" s="17">
        <f t="shared" si="76"/>
        <v>90.480184629206022</v>
      </c>
      <c r="DM22" s="17">
        <f>武将升星!$AQ22</f>
        <v>0.9407940805537689</v>
      </c>
      <c r="DN22" s="17">
        <f>武将升星!$AQ67</f>
        <v>1.0965902768714704</v>
      </c>
      <c r="DO22" s="17">
        <f>武将升星!$AQ112</f>
        <v>1.1399999999999999</v>
      </c>
      <c r="DP22" s="17">
        <f>武将升星!$AQ157</f>
        <v>1.1399999999999999</v>
      </c>
      <c r="DQ22" s="17">
        <f>武将升星!$AQ202</f>
        <v>1.1399999999999999</v>
      </c>
      <c r="DS22" s="17">
        <v>19</v>
      </c>
      <c r="DT22" s="17">
        <f t="shared" si="77"/>
        <v>0.19358366020769333</v>
      </c>
      <c r="DU22" s="17">
        <f t="shared" si="78"/>
        <v>0.19425312400307504</v>
      </c>
      <c r="DV22" s="17">
        <f t="shared" si="79"/>
        <v>0.19463141388191424</v>
      </c>
      <c r="DW22" s="17">
        <f t="shared" si="80"/>
        <v>0.21191482821997581</v>
      </c>
      <c r="DX22" s="17">
        <f t="shared" si="81"/>
        <v>0.22834780778101035</v>
      </c>
      <c r="EC22" s="17">
        <f t="shared" si="82"/>
        <v>90.244911202258237</v>
      </c>
      <c r="ED22" s="17">
        <f t="shared" si="83"/>
        <v>90.122782504866933</v>
      </c>
      <c r="EE22" s="17">
        <f t="shared" si="84"/>
        <v>90.406191748048585</v>
      </c>
      <c r="EF22" s="17">
        <f t="shared" si="85"/>
        <v>90.288435080379244</v>
      </c>
      <c r="EG22" s="17">
        <f t="shared" si="86"/>
        <v>90.480184629206022</v>
      </c>
      <c r="EH22" s="17">
        <f>武将升星!$AW22</f>
        <v>0.55099260069221145</v>
      </c>
      <c r="EI22" s="17">
        <f>武将升星!$AW67</f>
        <v>0.74573784608933791</v>
      </c>
      <c r="EJ22" s="17">
        <f>武将升星!$AW112</f>
        <v>0.80000000000000016</v>
      </c>
      <c r="EK22" s="17">
        <f>武将升星!$AW157</f>
        <v>0.80000000000000016</v>
      </c>
      <c r="EL22" s="17">
        <f>武将升星!$AW202</f>
        <v>0.80000000000000016</v>
      </c>
      <c r="EN22" s="17">
        <v>19</v>
      </c>
      <c r="EO22" s="17">
        <f t="shared" si="50"/>
        <v>5.8164713271888178E-3</v>
      </c>
      <c r="EP22" s="17">
        <f t="shared" si="51"/>
        <v>7.2016062176887101E-3</v>
      </c>
      <c r="EQ22" s="17">
        <f t="shared" si="52"/>
        <v>1.2697306024651342E-2</v>
      </c>
      <c r="ER22" s="17">
        <f t="shared" si="53"/>
        <v>1.6754050246124825E-2</v>
      </c>
      <c r="ES22" s="17">
        <f t="shared" si="54"/>
        <v>3.431802370694461E-2</v>
      </c>
    </row>
    <row r="23" spans="2:149" x14ac:dyDescent="0.15">
      <c r="B23" s="16">
        <f>基础状态预期!D36</f>
        <v>93.235489905456092</v>
      </c>
      <c r="C23" s="16">
        <f>基础状态预期!D81</f>
        <v>93.149045658279036</v>
      </c>
      <c r="D23" s="16">
        <f>基础状态预期!D126</f>
        <v>93.471491811086082</v>
      </c>
      <c r="E23" s="16">
        <f>基础状态预期!D171</f>
        <v>93.400072017025948</v>
      </c>
      <c r="F23" s="16">
        <f>基础状态预期!D216</f>
        <v>93.6774218048877</v>
      </c>
      <c r="G23" s="16">
        <f>武将升星!AK23</f>
        <v>136.6935238049073</v>
      </c>
      <c r="H23" s="16">
        <f>武将升星!AK68</f>
        <v>148</v>
      </c>
      <c r="I23" s="16">
        <f>武将升星!AK113</f>
        <v>148</v>
      </c>
      <c r="J23" s="16">
        <f>武将升星!AK158</f>
        <v>148</v>
      </c>
      <c r="K23" s="16">
        <f>武将升星!AK203</f>
        <v>148</v>
      </c>
      <c r="L23" s="34">
        <f>武将升星!AK23/G23</f>
        <v>1</v>
      </c>
      <c r="P23" s="16">
        <v>20</v>
      </c>
      <c r="Q23" s="16">
        <f t="shared" si="0"/>
        <v>85</v>
      </c>
      <c r="R23" s="16">
        <f t="shared" si="1"/>
        <v>85.024657959141877</v>
      </c>
      <c r="S23" s="16">
        <f t="shared" si="2"/>
        <v>85.059423817876635</v>
      </c>
      <c r="T23" s="16">
        <f t="shared" si="3"/>
        <v>86.560125312991346</v>
      </c>
      <c r="U23" s="16">
        <f t="shared" si="4"/>
        <v>87.93448540925958</v>
      </c>
      <c r="Z23" s="16">
        <f t="shared" si="93"/>
        <v>93.235489905456092</v>
      </c>
      <c r="AA23" s="16">
        <f t="shared" si="94"/>
        <v>93.149045658279036</v>
      </c>
      <c r="AB23" s="16">
        <f t="shared" si="95"/>
        <v>93.471491811086082</v>
      </c>
      <c r="AC23" s="16">
        <f t="shared" si="96"/>
        <v>93.400072017025948</v>
      </c>
      <c r="AD23" s="16">
        <f t="shared" si="97"/>
        <v>93.6774218048877</v>
      </c>
      <c r="AE23" s="16">
        <f>武将升级!AD23+武将羁绊!AW26</f>
        <v>10373.530912753606</v>
      </c>
      <c r="AF23" s="16">
        <f>武将升级!AD68+武将羁绊!AW71</f>
        <v>10365.076665379691</v>
      </c>
      <c r="AG23" s="16">
        <f>武将升级!AD113+武将羁绊!AW116</f>
        <v>10396.611899124218</v>
      </c>
      <c r="AH23" s="16">
        <f>武将升级!AD158+武将羁绊!AW161</f>
        <v>10389.627043265136</v>
      </c>
      <c r="AI23" s="16">
        <f>武将升级!AD203+武将羁绊!AW206</f>
        <v>10416.751852518017</v>
      </c>
      <c r="AJ23" s="34">
        <f>武将升级!AD23/AE23</f>
        <v>0.61349693251533743</v>
      </c>
      <c r="AK23" s="34">
        <f>武将羁绊!AW26/AE23</f>
        <v>0.38650306748466262</v>
      </c>
      <c r="AL23" s="17"/>
      <c r="AM23" s="16">
        <v>20</v>
      </c>
      <c r="AN23" s="16">
        <f t="shared" si="9"/>
        <v>2077.6206532975011</v>
      </c>
      <c r="AO23" s="16">
        <f t="shared" si="10"/>
        <v>2093.5287153744875</v>
      </c>
      <c r="AP23" s="16">
        <f t="shared" si="11"/>
        <v>2124.6421595840452</v>
      </c>
      <c r="AQ23" s="16">
        <f t="shared" si="12"/>
        <v>2226.1840396258422</v>
      </c>
      <c r="AR23" s="16">
        <f t="shared" si="13"/>
        <v>2323.0476865820133</v>
      </c>
      <c r="AU23" s="17">
        <f t="shared" si="98"/>
        <v>93.235489905456092</v>
      </c>
      <c r="AV23" s="17">
        <f t="shared" si="99"/>
        <v>93.149045658279036</v>
      </c>
      <c r="AW23" s="17">
        <f t="shared" si="100"/>
        <v>93.471491811086082</v>
      </c>
      <c r="AX23" s="17">
        <f t="shared" si="101"/>
        <v>93.400072017025948</v>
      </c>
      <c r="AY23" s="17">
        <f t="shared" si="102"/>
        <v>93.6774218048877</v>
      </c>
      <c r="AZ23" s="17">
        <f>(武将升级!AJ23+武将羁绊!AW26)</f>
        <v>10373.530912753606</v>
      </c>
      <c r="BA23" s="17">
        <f>(武将升级!AJ68+武将羁绊!AW71)</f>
        <v>10365.076665379691</v>
      </c>
      <c r="BB23" s="17">
        <f>(武将升级!AJ113+武将羁绊!AW116)</f>
        <v>10396.611899124218</v>
      </c>
      <c r="BC23" s="17">
        <f>(武将升级!AJ158+武将羁绊!AW161)</f>
        <v>10389.627043265136</v>
      </c>
      <c r="BD23" s="17">
        <f>(武将升级!AJ203+武将羁绊!AW206)</f>
        <v>10416.751852518017</v>
      </c>
      <c r="BE23" s="34">
        <f>武将升级!AJ23/AZ23</f>
        <v>0.61349693251533743</v>
      </c>
      <c r="BF23" s="34">
        <f>武将羁绊!AW26/AZ23</f>
        <v>0.38650306748466262</v>
      </c>
      <c r="BH23" s="17">
        <v>20</v>
      </c>
      <c r="BI23" s="17">
        <f t="shared" si="56"/>
        <v>2077.6206532975011</v>
      </c>
      <c r="BJ23" s="17">
        <f t="shared" si="57"/>
        <v>2093.5287153744875</v>
      </c>
      <c r="BK23" s="17">
        <f t="shared" si="58"/>
        <v>2124.6421595840452</v>
      </c>
      <c r="BL23" s="17">
        <f t="shared" si="59"/>
        <v>2226.1840396258422</v>
      </c>
      <c r="BM23" s="17">
        <f t="shared" si="60"/>
        <v>2323.0476865820133</v>
      </c>
      <c r="BR23" s="17">
        <f t="shared" si="61"/>
        <v>93.235489905456092</v>
      </c>
      <c r="BS23" s="17">
        <f t="shared" si="62"/>
        <v>93.149045658279036</v>
      </c>
      <c r="BT23" s="17">
        <f t="shared" si="63"/>
        <v>93.471491811086082</v>
      </c>
      <c r="BU23" s="17">
        <f t="shared" si="64"/>
        <v>93.400072017025948</v>
      </c>
      <c r="BV23" s="17">
        <f t="shared" si="65"/>
        <v>93.6774218048877</v>
      </c>
      <c r="BW23" s="17">
        <f>武将升级!AP23</f>
        <v>2854.7097981091224</v>
      </c>
      <c r="BX23" s="17">
        <f>武将升级!AP68</f>
        <v>2852.9809131655807</v>
      </c>
      <c r="BY23" s="17">
        <f>武将升级!AP113</f>
        <v>2859.4298362217214</v>
      </c>
      <c r="BZ23" s="17">
        <f>武将升级!AP158</f>
        <v>2858.0014403405189</v>
      </c>
      <c r="CA23" s="17">
        <f>武将升级!AP203</f>
        <v>2863.5484360977539</v>
      </c>
      <c r="CC23" s="17">
        <v>20</v>
      </c>
      <c r="CD23" s="17">
        <f t="shared" si="88"/>
        <v>1390</v>
      </c>
      <c r="CE23" s="17">
        <f t="shared" si="89"/>
        <v>1390</v>
      </c>
      <c r="CF23" s="17">
        <f t="shared" si="90"/>
        <v>1389.9999999999998</v>
      </c>
      <c r="CG23" s="17">
        <f t="shared" si="91"/>
        <v>1390.0000000000002</v>
      </c>
      <c r="CH23" s="17">
        <f t="shared" si="92"/>
        <v>1390.0000000000002</v>
      </c>
      <c r="CM23" s="17">
        <f t="shared" si="67"/>
        <v>93.235489905456092</v>
      </c>
      <c r="CN23" s="17">
        <f t="shared" si="68"/>
        <v>93.149045658279036</v>
      </c>
      <c r="CO23" s="17">
        <f t="shared" si="69"/>
        <v>93.471491811086082</v>
      </c>
      <c r="CP23" s="17">
        <f t="shared" si="70"/>
        <v>93.400072017025948</v>
      </c>
      <c r="CQ23" s="17">
        <f t="shared" si="71"/>
        <v>93.6774218048877</v>
      </c>
      <c r="CR23" s="17">
        <f>武将升级!AV23</f>
        <v>205.47097981091216</v>
      </c>
      <c r="CS23" s="17">
        <f>武将升级!AV68</f>
        <v>205.29809131655807</v>
      </c>
      <c r="CT23" s="17">
        <f>武将升级!AV113</f>
        <v>205.94298362217216</v>
      </c>
      <c r="CU23" s="17">
        <f>武将升级!AV158</f>
        <v>205.8001440340519</v>
      </c>
      <c r="CV23" s="17">
        <f>武将升级!AV203</f>
        <v>206.35484360977543</v>
      </c>
      <c r="CX23" s="17">
        <v>20</v>
      </c>
      <c r="CY23" s="17">
        <f t="shared" si="34"/>
        <v>56</v>
      </c>
      <c r="CZ23" s="17">
        <f t="shared" si="35"/>
        <v>55.999999999999993</v>
      </c>
      <c r="DA23" s="17">
        <f t="shared" si="36"/>
        <v>56</v>
      </c>
      <c r="DB23" s="17">
        <f t="shared" si="37"/>
        <v>55.999999999999993</v>
      </c>
      <c r="DC23" s="17">
        <f t="shared" si="38"/>
        <v>56</v>
      </c>
      <c r="DH23" s="17">
        <f t="shared" si="72"/>
        <v>93.235489905456092</v>
      </c>
      <c r="DI23" s="17">
        <f t="shared" si="73"/>
        <v>93.149045658279036</v>
      </c>
      <c r="DJ23" s="17">
        <f t="shared" si="74"/>
        <v>93.471491811086082</v>
      </c>
      <c r="DK23" s="17">
        <f t="shared" si="75"/>
        <v>93.400072017025948</v>
      </c>
      <c r="DL23" s="17">
        <f t="shared" si="76"/>
        <v>93.6774218048877</v>
      </c>
      <c r="DM23" s="17">
        <f>武将升星!$AQ23</f>
        <v>0.98924698406543043</v>
      </c>
      <c r="DN23" s="17">
        <f>武将升星!$AQ68</f>
        <v>1.1399999999999999</v>
      </c>
      <c r="DO23" s="17">
        <f>武将升星!$AQ113</f>
        <v>1.1399999999999999</v>
      </c>
      <c r="DP23" s="17">
        <f>武将升星!$AQ158</f>
        <v>1.1399999999999999</v>
      </c>
      <c r="DQ23" s="17">
        <f>武将升星!$AQ203</f>
        <v>1.1399999999999999</v>
      </c>
      <c r="DS23" s="17">
        <v>20</v>
      </c>
      <c r="DT23" s="17">
        <f t="shared" si="77"/>
        <v>0.19800000000000004</v>
      </c>
      <c r="DU23" s="17">
        <f t="shared" si="78"/>
        <v>0.19834848580448292</v>
      </c>
      <c r="DV23" s="17">
        <f t="shared" si="79"/>
        <v>0.19883979478179631</v>
      </c>
      <c r="DW23" s="17">
        <f t="shared" si="80"/>
        <v>0.21886279576111037</v>
      </c>
      <c r="DX23" s="17">
        <f t="shared" si="81"/>
        <v>0.23708172372776631</v>
      </c>
      <c r="EC23" s="17">
        <f t="shared" si="82"/>
        <v>93.235489905456092</v>
      </c>
      <c r="ED23" s="17">
        <f t="shared" si="83"/>
        <v>93.149045658279036</v>
      </c>
      <c r="EE23" s="17">
        <f t="shared" si="84"/>
        <v>93.471491811086082</v>
      </c>
      <c r="EF23" s="17">
        <f t="shared" si="85"/>
        <v>93.400072017025948</v>
      </c>
      <c r="EG23" s="17">
        <f t="shared" si="86"/>
        <v>93.6774218048877</v>
      </c>
      <c r="EH23" s="17">
        <f>武将升星!$AW23</f>
        <v>0.61155873008178829</v>
      </c>
      <c r="EI23" s="17">
        <f>武将升星!$AW68</f>
        <v>0.80000000000000016</v>
      </c>
      <c r="EJ23" s="17">
        <f>武将升星!$AW113</f>
        <v>0.80000000000000016</v>
      </c>
      <c r="EK23" s="17">
        <f>武将升星!$AW158</f>
        <v>0.80000000000000016</v>
      </c>
      <c r="EL23" s="17">
        <f>武将升星!$AW203</f>
        <v>0.80000000000000016</v>
      </c>
      <c r="EN23" s="17">
        <v>20</v>
      </c>
      <c r="EO23" s="17">
        <f t="shared" si="50"/>
        <v>5.8164713271888178E-3</v>
      </c>
      <c r="EP23" s="17">
        <f t="shared" si="51"/>
        <v>7.3370802625352142E-3</v>
      </c>
      <c r="EQ23" s="17">
        <f t="shared" si="52"/>
        <v>1.321088415510192E-2</v>
      </c>
      <c r="ER23" s="17">
        <f t="shared" si="53"/>
        <v>2.1841754381878825E-2</v>
      </c>
      <c r="ES23" s="17">
        <f t="shared" si="54"/>
        <v>4.1082795729634095E-2</v>
      </c>
    </row>
    <row r="24" spans="2:149" x14ac:dyDescent="0.15">
      <c r="B24" s="16">
        <f>基础状态预期!D37</f>
        <v>96.807063977001675</v>
      </c>
      <c r="C24" s="16">
        <f>基础状态预期!D82</f>
        <v>96.770480813454071</v>
      </c>
      <c r="D24" s="16">
        <f>基础状态预期!D127</f>
        <v>97.107381566993553</v>
      </c>
      <c r="E24" s="16">
        <f>基础状态预期!D172</f>
        <v>97.006001686863456</v>
      </c>
      <c r="F24" s="16">
        <f>基础状态预期!D217</f>
        <v>97.125654465362558</v>
      </c>
      <c r="G24" s="16">
        <f>武将升星!AK24</f>
        <v>141.61416227150912</v>
      </c>
      <c r="H24" s="16">
        <f>武将升星!AK69</f>
        <v>148</v>
      </c>
      <c r="I24" s="16">
        <f>武将升星!AK114</f>
        <v>148</v>
      </c>
      <c r="J24" s="16">
        <f>武将升星!AK159</f>
        <v>148</v>
      </c>
      <c r="K24" s="16">
        <f>武将升星!AK204</f>
        <v>148</v>
      </c>
      <c r="L24" s="34">
        <f>武将升星!AK24/G24</f>
        <v>1</v>
      </c>
      <c r="P24" s="16">
        <v>21</v>
      </c>
      <c r="Q24" s="16">
        <f t="shared" si="0"/>
        <v>85.029147455062926</v>
      </c>
      <c r="R24" s="16">
        <f t="shared" si="1"/>
        <v>85.130405688285819</v>
      </c>
      <c r="S24" s="16">
        <f t="shared" si="2"/>
        <v>85.3568377308235</v>
      </c>
      <c r="T24" s="16">
        <f t="shared" si="3"/>
        <v>87.0973815921827</v>
      </c>
      <c r="U24" s="16">
        <f t="shared" si="4"/>
        <v>88.502821062286927</v>
      </c>
      <c r="Z24" s="16">
        <f t="shared" si="93"/>
        <v>96.807063977001675</v>
      </c>
      <c r="AA24" s="16">
        <f t="shared" si="94"/>
        <v>96.770480813454071</v>
      </c>
      <c r="AB24" s="16">
        <f t="shared" si="95"/>
        <v>97.107381566993553</v>
      </c>
      <c r="AC24" s="16">
        <f t="shared" si="96"/>
        <v>97.006001686863456</v>
      </c>
      <c r="AD24" s="16">
        <f t="shared" si="97"/>
        <v>97.125654465362558</v>
      </c>
      <c r="AE24" s="16">
        <f>武将升级!AD24+武将羁绊!AW27</f>
        <v>10722.830856950764</v>
      </c>
      <c r="AF24" s="16">
        <f>武将升级!AD69+武将羁绊!AW72</f>
        <v>10719.253023555808</v>
      </c>
      <c r="AG24" s="16">
        <f>武将升级!AD114+武将羁绊!AW117</f>
        <v>10752.201917251969</v>
      </c>
      <c r="AH24" s="16">
        <f>武将升级!AD159+武将羁绊!AW162</f>
        <v>10742.286964975245</v>
      </c>
      <c r="AI24" s="16">
        <f>武将升级!AD204+武将羁绊!AW207</f>
        <v>10753.989006712458</v>
      </c>
      <c r="AJ24" s="34">
        <f>武将升级!AD24/AE24</f>
        <v>0.61349693251533743</v>
      </c>
      <c r="AK24" s="34">
        <f>武将羁绊!AW27/AE24</f>
        <v>0.38650306748466251</v>
      </c>
      <c r="AL24" s="17"/>
      <c r="AM24" s="16">
        <v>21</v>
      </c>
      <c r="AN24" s="16">
        <f t="shared" si="9"/>
        <v>2148.1386503834246</v>
      </c>
      <c r="AO24" s="16">
        <f t="shared" si="10"/>
        <v>2165.1841985575165</v>
      </c>
      <c r="AP24" s="16">
        <f t="shared" si="11"/>
        <v>2198.707284687624</v>
      </c>
      <c r="AQ24" s="16">
        <f t="shared" si="12"/>
        <v>2307.4547164103342</v>
      </c>
      <c r="AR24" s="16">
        <f t="shared" si="13"/>
        <v>2412.6352513204952</v>
      </c>
      <c r="AU24" s="17">
        <f t="shared" si="98"/>
        <v>96.807063977001675</v>
      </c>
      <c r="AV24" s="17">
        <f t="shared" si="99"/>
        <v>96.770480813454071</v>
      </c>
      <c r="AW24" s="17">
        <f t="shared" si="100"/>
        <v>97.107381566993553</v>
      </c>
      <c r="AX24" s="17">
        <f t="shared" si="101"/>
        <v>97.006001686863456</v>
      </c>
      <c r="AY24" s="17">
        <f t="shared" si="102"/>
        <v>97.125654465362558</v>
      </c>
      <c r="AZ24" s="17">
        <f>(武将升级!AJ24+武将羁绊!AW27)</f>
        <v>10722.830856950764</v>
      </c>
      <c r="BA24" s="17">
        <f>(武将升级!AJ69+武将羁绊!AW72)</f>
        <v>10719.253023555808</v>
      </c>
      <c r="BB24" s="17">
        <f>(武将升级!AJ114+武将羁绊!AW117)</f>
        <v>10752.201917251969</v>
      </c>
      <c r="BC24" s="17">
        <f>(武将升级!AJ159+武将羁绊!AW162)</f>
        <v>10742.286964975245</v>
      </c>
      <c r="BD24" s="17">
        <f>(武将升级!AJ204+武将羁绊!AW207)</f>
        <v>10753.989006712458</v>
      </c>
      <c r="BE24" s="34">
        <f>武将升级!AJ24/AZ24</f>
        <v>0.61349693251533743</v>
      </c>
      <c r="BF24" s="34">
        <f>武将羁绊!AW27/AZ24</f>
        <v>0.38650306748466251</v>
      </c>
      <c r="BH24" s="17">
        <v>21</v>
      </c>
      <c r="BI24" s="17">
        <f t="shared" si="56"/>
        <v>2148.1386503834246</v>
      </c>
      <c r="BJ24" s="17">
        <f t="shared" si="57"/>
        <v>2165.1841985575165</v>
      </c>
      <c r="BK24" s="17">
        <f t="shared" si="58"/>
        <v>2198.707284687624</v>
      </c>
      <c r="BL24" s="17">
        <f t="shared" si="59"/>
        <v>2307.4547164103342</v>
      </c>
      <c r="BM24" s="17">
        <f t="shared" si="60"/>
        <v>2412.6352513204952</v>
      </c>
      <c r="BR24" s="17">
        <f t="shared" si="61"/>
        <v>96.807063977001675</v>
      </c>
      <c r="BS24" s="17">
        <f t="shared" si="62"/>
        <v>96.770480813454071</v>
      </c>
      <c r="BT24" s="17">
        <f t="shared" si="63"/>
        <v>97.107381566993553</v>
      </c>
      <c r="BU24" s="17">
        <f t="shared" si="64"/>
        <v>97.006001686863456</v>
      </c>
      <c r="BV24" s="17">
        <f t="shared" si="65"/>
        <v>97.125654465362558</v>
      </c>
      <c r="BW24" s="17">
        <f>武将升级!AP24</f>
        <v>2926.1412795400338</v>
      </c>
      <c r="BX24" s="17">
        <f>武将升级!AP69</f>
        <v>2925.4096162690817</v>
      </c>
      <c r="BY24" s="17">
        <f>武将升级!AP114</f>
        <v>2932.1476313398712</v>
      </c>
      <c r="BZ24" s="17">
        <f>武将升级!AP159</f>
        <v>2930.1200337372698</v>
      </c>
      <c r="CA24" s="17">
        <f>武将升级!AP204</f>
        <v>2932.513089307251</v>
      </c>
      <c r="CC24" s="17">
        <v>21</v>
      </c>
      <c r="CD24" s="17">
        <f t="shared" si="88"/>
        <v>1410</v>
      </c>
      <c r="CE24" s="17">
        <f t="shared" si="89"/>
        <v>1410</v>
      </c>
      <c r="CF24" s="17">
        <f t="shared" si="90"/>
        <v>1410</v>
      </c>
      <c r="CG24" s="17">
        <f t="shared" si="91"/>
        <v>1410</v>
      </c>
      <c r="CH24" s="17">
        <f t="shared" si="92"/>
        <v>1410.0000000000002</v>
      </c>
      <c r="CM24" s="17">
        <f t="shared" si="67"/>
        <v>96.807063977001675</v>
      </c>
      <c r="CN24" s="17">
        <f t="shared" si="68"/>
        <v>96.770480813454071</v>
      </c>
      <c r="CO24" s="17">
        <f t="shared" si="69"/>
        <v>97.107381566993553</v>
      </c>
      <c r="CP24" s="17">
        <f t="shared" si="70"/>
        <v>97.006001686863456</v>
      </c>
      <c r="CQ24" s="17">
        <f t="shared" si="71"/>
        <v>97.125654465362558</v>
      </c>
      <c r="CR24" s="17">
        <f>武将升级!AV24</f>
        <v>212.61412795400335</v>
      </c>
      <c r="CS24" s="17">
        <f>武将升级!AV69</f>
        <v>212.54096162690814</v>
      </c>
      <c r="CT24" s="17">
        <f>武将升级!AV114</f>
        <v>213.21476313398708</v>
      </c>
      <c r="CU24" s="17">
        <f>武将升级!AV159</f>
        <v>213.01200337372691</v>
      </c>
      <c r="CV24" s="17">
        <f>武将升级!AV204</f>
        <v>213.25130893072512</v>
      </c>
      <c r="CX24" s="17">
        <v>21</v>
      </c>
      <c r="CY24" s="17">
        <f t="shared" si="34"/>
        <v>58</v>
      </c>
      <c r="CZ24" s="17">
        <f t="shared" si="35"/>
        <v>57.999999999999993</v>
      </c>
      <c r="DA24" s="17">
        <f t="shared" si="36"/>
        <v>58</v>
      </c>
      <c r="DB24" s="17">
        <f t="shared" si="37"/>
        <v>57.999999999999993</v>
      </c>
      <c r="DC24" s="17">
        <f t="shared" si="38"/>
        <v>58</v>
      </c>
      <c r="DH24" s="17">
        <f t="shared" si="72"/>
        <v>96.807063977001675</v>
      </c>
      <c r="DI24" s="17">
        <f t="shared" si="73"/>
        <v>96.770480813454071</v>
      </c>
      <c r="DJ24" s="17">
        <f t="shared" si="74"/>
        <v>97.107381566993553</v>
      </c>
      <c r="DK24" s="17">
        <f t="shared" si="75"/>
        <v>97.006001686863456</v>
      </c>
      <c r="DL24" s="17">
        <f t="shared" si="76"/>
        <v>97.125654465362558</v>
      </c>
      <c r="DM24" s="17">
        <f>武将升星!$AQ24</f>
        <v>1.0548554969534547</v>
      </c>
      <c r="DN24" s="17">
        <f>武将升星!$AQ69</f>
        <v>1.1399999999999999</v>
      </c>
      <c r="DO24" s="17">
        <f>武将升星!$AQ114</f>
        <v>1.1399999999999999</v>
      </c>
      <c r="DP24" s="17">
        <f>武将升星!$AQ159</f>
        <v>1.1399999999999999</v>
      </c>
      <c r="DQ24" s="17">
        <f>武将升星!$AQ204</f>
        <v>1.1399999999999999</v>
      </c>
      <c r="DS24" s="17">
        <v>21</v>
      </c>
      <c r="DT24" s="17">
        <f t="shared" si="77"/>
        <v>0.20021297703805011</v>
      </c>
      <c r="DU24" s="17">
        <f t="shared" si="78"/>
        <v>0.20164299645116479</v>
      </c>
      <c r="DV24" s="17">
        <f t="shared" si="79"/>
        <v>0.20484293522364588</v>
      </c>
      <c r="DW24" s="17">
        <f t="shared" si="80"/>
        <v>0.22837727200430152</v>
      </c>
      <c r="DX24" s="17">
        <f t="shared" si="81"/>
        <v>0.24717465893716695</v>
      </c>
      <c r="EC24" s="17">
        <f t="shared" si="82"/>
        <v>96.807063977001675</v>
      </c>
      <c r="ED24" s="17">
        <f t="shared" si="83"/>
        <v>96.770480813454071</v>
      </c>
      <c r="EE24" s="17">
        <f t="shared" si="84"/>
        <v>97.107381566993553</v>
      </c>
      <c r="EF24" s="17">
        <f t="shared" si="85"/>
        <v>97.006001686863456</v>
      </c>
      <c r="EG24" s="17">
        <f t="shared" si="86"/>
        <v>97.125654465362558</v>
      </c>
      <c r="EH24" s="17">
        <f>武将升星!$AW24</f>
        <v>0.69356937119181861</v>
      </c>
      <c r="EI24" s="17">
        <f>武将升星!$AW69</f>
        <v>0.80000000000000016</v>
      </c>
      <c r="EJ24" s="17">
        <f>武将升星!$AW114</f>
        <v>0.80000000000000016</v>
      </c>
      <c r="EK24" s="17">
        <f>武将升星!$AW159</f>
        <v>0.80000000000000016</v>
      </c>
      <c r="EL24" s="17">
        <f>武将升星!$AW204</f>
        <v>0.80000000000000016</v>
      </c>
      <c r="EN24" s="17">
        <v>21</v>
      </c>
      <c r="EO24" s="17">
        <f t="shared" si="50"/>
        <v>5.8164713271888178E-3</v>
      </c>
      <c r="EP24" s="17">
        <f t="shared" si="51"/>
        <v>7.9180720842037013E-3</v>
      </c>
      <c r="EQ24" s="17">
        <f t="shared" si="52"/>
        <v>1.5781322858625553E-2</v>
      </c>
      <c r="ER24" s="17">
        <f t="shared" si="53"/>
        <v>2.9363342290557759E-2</v>
      </c>
      <c r="ES24" s="17">
        <f t="shared" si="54"/>
        <v>4.903949487201701E-2</v>
      </c>
    </row>
    <row r="25" spans="2:149" x14ac:dyDescent="0.15">
      <c r="B25" s="16">
        <f>基础状态预期!D38</f>
        <v>100.50342858241972</v>
      </c>
      <c r="C25" s="16">
        <f>基础状态预期!D83</f>
        <v>100.40175326279811</v>
      </c>
      <c r="D25" s="16">
        <f>基础状态预期!D128</f>
        <v>100.71243145193914</v>
      </c>
      <c r="E25" s="16">
        <f>基础状态预期!D173</f>
        <v>100.64473135315967</v>
      </c>
      <c r="F25" s="16">
        <f>基础状态预期!D218</f>
        <v>100.89689545435591</v>
      </c>
      <c r="G25" s="16">
        <f>武将升星!AK25</f>
        <v>146.29142800579814</v>
      </c>
      <c r="H25" s="16">
        <f>武将升星!AK70</f>
        <v>148</v>
      </c>
      <c r="I25" s="16">
        <f>武将升星!AK115</f>
        <v>148</v>
      </c>
      <c r="J25" s="16">
        <f>武将升星!AK160</f>
        <v>148</v>
      </c>
      <c r="K25" s="16">
        <f>武将升星!AK205</f>
        <v>148</v>
      </c>
      <c r="L25" s="34">
        <f>武将升星!AK25/G25</f>
        <v>1</v>
      </c>
      <c r="P25" s="16">
        <v>22</v>
      </c>
      <c r="Q25" s="16">
        <f t="shared" si="0"/>
        <v>85.058294910125852</v>
      </c>
      <c r="R25" s="16">
        <f t="shared" si="1"/>
        <v>85.236153417429776</v>
      </c>
      <c r="S25" s="16">
        <f t="shared" si="2"/>
        <v>85.654251643770351</v>
      </c>
      <c r="T25" s="16">
        <f t="shared" si="3"/>
        <v>87.634637871374053</v>
      </c>
      <c r="U25" s="16">
        <f t="shared" si="4"/>
        <v>89.071156715314288</v>
      </c>
      <c r="Z25" s="16">
        <f t="shared" si="93"/>
        <v>100.50342858241972</v>
      </c>
      <c r="AA25" s="16">
        <f t="shared" si="94"/>
        <v>100.40175326279811</v>
      </c>
      <c r="AB25" s="16">
        <f t="shared" si="95"/>
        <v>100.71243145193914</v>
      </c>
      <c r="AC25" s="16">
        <f t="shared" si="96"/>
        <v>100.64473135315967</v>
      </c>
      <c r="AD25" s="16">
        <f t="shared" si="97"/>
        <v>100.89689545435591</v>
      </c>
      <c r="AE25" s="16">
        <f>武将升级!AD25+武将羁绊!AW28</f>
        <v>11084.335315360648</v>
      </c>
      <c r="AF25" s="16">
        <f>武将升级!AD70+武将羁绊!AW73</f>
        <v>11074.391469101654</v>
      </c>
      <c r="AG25" s="16">
        <f>武将升级!AD115+武将羁绊!AW118</f>
        <v>11104.775795999647</v>
      </c>
      <c r="AH25" s="16">
        <f>武将升级!AD160+武将羁绊!AW163</f>
        <v>11098.154726339017</v>
      </c>
      <c r="AI25" s="16">
        <f>武将升级!AD205+武将羁绊!AW208</f>
        <v>11122.81637543601</v>
      </c>
      <c r="AJ25" s="34">
        <f>武将升级!AD25/AE25</f>
        <v>0.61349693251533743</v>
      </c>
      <c r="AK25" s="34">
        <f>武将羁绊!AW28/AE25</f>
        <v>0.38650306748466262</v>
      </c>
      <c r="AL25" s="17"/>
      <c r="AM25" s="16">
        <v>22</v>
      </c>
      <c r="AN25" s="16">
        <f t="shared" si="9"/>
        <v>2218.6566474693482</v>
      </c>
      <c r="AO25" s="16">
        <f t="shared" si="10"/>
        <v>2236.8396817405451</v>
      </c>
      <c r="AP25" s="16">
        <f t="shared" si="11"/>
        <v>2272.7724097912023</v>
      </c>
      <c r="AQ25" s="16">
        <f t="shared" si="12"/>
        <v>2388.7253931948262</v>
      </c>
      <c r="AR25" s="16">
        <f t="shared" si="13"/>
        <v>2502.2228160589766</v>
      </c>
      <c r="AU25" s="17">
        <f t="shared" si="98"/>
        <v>100.50342858241972</v>
      </c>
      <c r="AV25" s="17">
        <f t="shared" si="99"/>
        <v>100.40175326279811</v>
      </c>
      <c r="AW25" s="17">
        <f t="shared" si="100"/>
        <v>100.71243145193914</v>
      </c>
      <c r="AX25" s="17">
        <f t="shared" si="101"/>
        <v>100.64473135315967</v>
      </c>
      <c r="AY25" s="17">
        <f t="shared" si="102"/>
        <v>100.89689545435591</v>
      </c>
      <c r="AZ25" s="17">
        <f>(武将升级!AJ25+武将羁绊!AW28)</f>
        <v>11084.335315360648</v>
      </c>
      <c r="BA25" s="17">
        <f>(武将升级!AJ70+武将羁绊!AW73)</f>
        <v>11074.391469101654</v>
      </c>
      <c r="BB25" s="17">
        <f>(武将升级!AJ115+武将羁绊!AW118)</f>
        <v>11104.775795999647</v>
      </c>
      <c r="BC25" s="17">
        <f>(武将升级!AJ160+武将羁绊!AW163)</f>
        <v>11098.154726339017</v>
      </c>
      <c r="BD25" s="17">
        <f>(武将升级!AJ205+武将羁绊!AW208)</f>
        <v>11122.81637543601</v>
      </c>
      <c r="BE25" s="34">
        <f>武将升级!AJ25/AZ25</f>
        <v>0.61349693251533743</v>
      </c>
      <c r="BF25" s="34">
        <f>武将羁绊!AW28/AZ25</f>
        <v>0.38650306748466262</v>
      </c>
      <c r="BH25" s="17">
        <v>22</v>
      </c>
      <c r="BI25" s="17">
        <f t="shared" si="56"/>
        <v>2218.6566474693482</v>
      </c>
      <c r="BJ25" s="17">
        <f t="shared" si="57"/>
        <v>2236.8396817405451</v>
      </c>
      <c r="BK25" s="17">
        <f t="shared" si="58"/>
        <v>2272.7724097912023</v>
      </c>
      <c r="BL25" s="17">
        <f t="shared" si="59"/>
        <v>2388.7253931948262</v>
      </c>
      <c r="BM25" s="17">
        <f t="shared" si="60"/>
        <v>2502.2228160589766</v>
      </c>
      <c r="BR25" s="17">
        <f t="shared" si="61"/>
        <v>100.50342858241972</v>
      </c>
      <c r="BS25" s="17">
        <f t="shared" si="62"/>
        <v>100.40175326279811</v>
      </c>
      <c r="BT25" s="17">
        <f t="shared" si="63"/>
        <v>100.71243145193914</v>
      </c>
      <c r="BU25" s="17">
        <f t="shared" si="64"/>
        <v>100.64473135315967</v>
      </c>
      <c r="BV25" s="17">
        <f t="shared" si="65"/>
        <v>100.89689545435591</v>
      </c>
      <c r="BW25" s="17">
        <f>武将升级!AP25</f>
        <v>3000.0685716483945</v>
      </c>
      <c r="BX25" s="17">
        <f>武将升级!AP70</f>
        <v>2998.0350652559623</v>
      </c>
      <c r="BY25" s="17">
        <f>武将升级!AP115</f>
        <v>3004.2486290387828</v>
      </c>
      <c r="BZ25" s="17">
        <f>武将升级!AP160</f>
        <v>3002.8946270631932</v>
      </c>
      <c r="CA25" s="17">
        <f>武将升级!AP205</f>
        <v>3007.9379090871175</v>
      </c>
      <c r="CC25" s="17">
        <v>22</v>
      </c>
      <c r="CD25" s="17">
        <f t="shared" si="88"/>
        <v>1430</v>
      </c>
      <c r="CE25" s="17">
        <f t="shared" si="89"/>
        <v>1430</v>
      </c>
      <c r="CF25" s="17">
        <f t="shared" si="90"/>
        <v>1430</v>
      </c>
      <c r="CG25" s="17">
        <f t="shared" si="91"/>
        <v>1430</v>
      </c>
      <c r="CH25" s="17">
        <f t="shared" si="92"/>
        <v>1430.0000000000002</v>
      </c>
      <c r="CM25" s="17">
        <f t="shared" si="67"/>
        <v>100.50342858241972</v>
      </c>
      <c r="CN25" s="17">
        <f t="shared" si="68"/>
        <v>100.40175326279811</v>
      </c>
      <c r="CO25" s="17">
        <f t="shared" si="69"/>
        <v>100.71243145193914</v>
      </c>
      <c r="CP25" s="17">
        <f t="shared" si="70"/>
        <v>100.64473135315967</v>
      </c>
      <c r="CQ25" s="17">
        <f t="shared" si="71"/>
        <v>100.89689545435591</v>
      </c>
      <c r="CR25" s="17">
        <f>武将升级!AV25</f>
        <v>220.00685716483943</v>
      </c>
      <c r="CS25" s="17">
        <f>武将升级!AV70</f>
        <v>219.80350652559619</v>
      </c>
      <c r="CT25" s="17">
        <f>武将升级!AV115</f>
        <v>220.42486290387828</v>
      </c>
      <c r="CU25" s="17">
        <f>武将升级!AV160</f>
        <v>220.28946270631934</v>
      </c>
      <c r="CV25" s="17">
        <f>武将升级!AV205</f>
        <v>220.79379090871183</v>
      </c>
      <c r="CX25" s="17">
        <v>22</v>
      </c>
      <c r="CY25" s="17">
        <f t="shared" si="34"/>
        <v>60</v>
      </c>
      <c r="CZ25" s="17">
        <f t="shared" si="35"/>
        <v>60</v>
      </c>
      <c r="DA25" s="17">
        <f t="shared" si="36"/>
        <v>60</v>
      </c>
      <c r="DB25" s="17">
        <f t="shared" si="37"/>
        <v>60</v>
      </c>
      <c r="DC25" s="17">
        <f t="shared" si="38"/>
        <v>60</v>
      </c>
      <c r="DH25" s="17">
        <f t="shared" si="72"/>
        <v>100.50342858241972</v>
      </c>
      <c r="DI25" s="17">
        <f t="shared" si="73"/>
        <v>100.40175326279811</v>
      </c>
      <c r="DJ25" s="17">
        <f t="shared" si="74"/>
        <v>100.71243145193914</v>
      </c>
      <c r="DK25" s="17">
        <f t="shared" si="75"/>
        <v>100.64473135315967</v>
      </c>
      <c r="DL25" s="17">
        <f t="shared" si="76"/>
        <v>100.89689545435591</v>
      </c>
      <c r="DM25" s="17">
        <f>武将升星!$AQ25</f>
        <v>1.1172190400773083</v>
      </c>
      <c r="DN25" s="17">
        <f>武将升星!$AQ70</f>
        <v>1.1399999999999999</v>
      </c>
      <c r="DO25" s="17">
        <f>武将升星!$AQ115</f>
        <v>1.1399999999999999</v>
      </c>
      <c r="DP25" s="17">
        <f>武将升星!$AQ160</f>
        <v>1.1399999999999999</v>
      </c>
      <c r="DQ25" s="17">
        <f>武将升星!$AQ205</f>
        <v>1.1399999999999999</v>
      </c>
      <c r="DS25" s="17">
        <v>22</v>
      </c>
      <c r="DT25" s="17">
        <f t="shared" si="77"/>
        <v>0.20242595407610015</v>
      </c>
      <c r="DU25" s="17">
        <f t="shared" si="78"/>
        <v>0.20493750709784667</v>
      </c>
      <c r="DV25" s="17">
        <f t="shared" si="79"/>
        <v>0.21084607566549546</v>
      </c>
      <c r="DW25" s="17">
        <f t="shared" si="80"/>
        <v>0.23789174824749271</v>
      </c>
      <c r="DX25" s="17">
        <f t="shared" si="81"/>
        <v>0.25726759414656758</v>
      </c>
      <c r="EC25" s="17">
        <f t="shared" si="82"/>
        <v>100.50342858241972</v>
      </c>
      <c r="ED25" s="17">
        <f t="shared" si="83"/>
        <v>100.40175326279811</v>
      </c>
      <c r="EE25" s="17">
        <f t="shared" si="84"/>
        <v>100.71243145193914</v>
      </c>
      <c r="EF25" s="17">
        <f t="shared" si="85"/>
        <v>100.64473135315967</v>
      </c>
      <c r="EG25" s="17">
        <f t="shared" si="86"/>
        <v>100.89689545435591</v>
      </c>
      <c r="EH25" s="17">
        <f>武将升星!$AW25</f>
        <v>0.77152380009663546</v>
      </c>
      <c r="EI25" s="17">
        <f>武将升星!$AW70</f>
        <v>0.80000000000000016</v>
      </c>
      <c r="EJ25" s="17">
        <f>武将升星!$AW115</f>
        <v>0.80000000000000016</v>
      </c>
      <c r="EK25" s="17">
        <f>武将升星!$AW160</f>
        <v>0.80000000000000016</v>
      </c>
      <c r="EL25" s="17">
        <f>武将升星!$AW205</f>
        <v>0.80000000000000016</v>
      </c>
      <c r="EN25" s="17">
        <v>22</v>
      </c>
      <c r="EO25" s="17">
        <f t="shared" si="50"/>
        <v>5.8164713271888178E-3</v>
      </c>
      <c r="EP25" s="17">
        <f t="shared" si="51"/>
        <v>8.4990639058721892E-3</v>
      </c>
      <c r="EQ25" s="17">
        <f t="shared" si="52"/>
        <v>1.8351761562149189E-2</v>
      </c>
      <c r="ER25" s="17">
        <f t="shared" si="53"/>
        <v>3.6884930199236693E-2</v>
      </c>
      <c r="ES25" s="17">
        <f t="shared" si="54"/>
        <v>5.6996194014399926E-2</v>
      </c>
    </row>
    <row r="26" spans="2:149" x14ac:dyDescent="0.15">
      <c r="B26" s="16">
        <f>基础状态预期!D39</f>
        <v>104.10129967499306</v>
      </c>
      <c r="C26" s="16">
        <f>基础状态预期!D84</f>
        <v>104.06236366727887</v>
      </c>
      <c r="D26" s="16">
        <f>基础状态预期!D129</f>
        <v>104.39233713204413</v>
      </c>
      <c r="E26" s="16">
        <f>基础状态预期!D174</f>
        <v>104.30731379164318</v>
      </c>
      <c r="F26" s="16">
        <f>基础状态预期!D219</f>
        <v>104.52148587104635</v>
      </c>
      <c r="G26" s="16">
        <f>武将升星!AK26</f>
        <v>148</v>
      </c>
      <c r="H26" s="16">
        <f>武将升星!AK71</f>
        <v>148</v>
      </c>
      <c r="I26" s="16">
        <f>武将升星!AK116</f>
        <v>148</v>
      </c>
      <c r="J26" s="16">
        <f>武将升星!AK161</f>
        <v>148</v>
      </c>
      <c r="K26" s="16">
        <f>武将升星!AK206</f>
        <v>148</v>
      </c>
      <c r="L26" s="34">
        <f>武将升星!AK26/G26</f>
        <v>1</v>
      </c>
      <c r="P26" s="16">
        <v>23</v>
      </c>
      <c r="Q26" s="16">
        <f t="shared" si="0"/>
        <v>85.087442365188778</v>
      </c>
      <c r="R26" s="16">
        <f t="shared" si="1"/>
        <v>85.341901146573719</v>
      </c>
      <c r="S26" s="16">
        <f t="shared" si="2"/>
        <v>85.951665556717217</v>
      </c>
      <c r="T26" s="16">
        <f t="shared" si="3"/>
        <v>88.171894150565407</v>
      </c>
      <c r="U26" s="16">
        <f t="shared" si="4"/>
        <v>89.639492368341635</v>
      </c>
      <c r="Z26" s="16">
        <f t="shared" si="93"/>
        <v>104.10129967499306</v>
      </c>
      <c r="AA26" s="16">
        <f t="shared" si="94"/>
        <v>104.06236366727887</v>
      </c>
      <c r="AB26" s="16">
        <f t="shared" si="95"/>
        <v>104.39233713204413</v>
      </c>
      <c r="AC26" s="16">
        <f t="shared" si="96"/>
        <v>104.30731379164318</v>
      </c>
      <c r="AD26" s="16">
        <f t="shared" si="97"/>
        <v>104.52148587104635</v>
      </c>
      <c r="AE26" s="16">
        <f>武将升级!AD26+武将羁绊!AW29</f>
        <v>11436.207108214321</v>
      </c>
      <c r="AF26" s="16">
        <f>武将升级!AD71+武将羁绊!AW74</f>
        <v>11432.399166659874</v>
      </c>
      <c r="AG26" s="16">
        <f>武将升级!AD116+武将羁绊!AW119</f>
        <v>11464.670571513918</v>
      </c>
      <c r="AH26" s="16">
        <f>武将升级!AD161+武将羁绊!AW164</f>
        <v>11456.355288822704</v>
      </c>
      <c r="AI26" s="16">
        <f>武将升级!AD206+武将羁绊!AW209</f>
        <v>11477.301318188333</v>
      </c>
      <c r="AJ26" s="34">
        <f>武将升级!AD26/AE26</f>
        <v>0.61349693251533743</v>
      </c>
      <c r="AK26" s="34">
        <f>武将羁绊!AW29/AE26</f>
        <v>0.38650306748466257</v>
      </c>
      <c r="AL26" s="17"/>
      <c r="AM26" s="16">
        <v>23</v>
      </c>
      <c r="AN26" s="16">
        <f t="shared" si="9"/>
        <v>2289.1746445552717</v>
      </c>
      <c r="AO26" s="16">
        <f t="shared" si="10"/>
        <v>2308.4951649235741</v>
      </c>
      <c r="AP26" s="16">
        <f t="shared" si="11"/>
        <v>2346.8375348947807</v>
      </c>
      <c r="AQ26" s="16">
        <f t="shared" si="12"/>
        <v>2469.9960699793182</v>
      </c>
      <c r="AR26" s="16">
        <f t="shared" si="13"/>
        <v>2591.810380797458</v>
      </c>
      <c r="AU26" s="17">
        <f t="shared" si="98"/>
        <v>104.10129967499306</v>
      </c>
      <c r="AV26" s="17">
        <f t="shared" si="99"/>
        <v>104.06236366727887</v>
      </c>
      <c r="AW26" s="17">
        <f t="shared" si="100"/>
        <v>104.39233713204413</v>
      </c>
      <c r="AX26" s="17">
        <f t="shared" si="101"/>
        <v>104.30731379164318</v>
      </c>
      <c r="AY26" s="17">
        <f t="shared" si="102"/>
        <v>104.52148587104635</v>
      </c>
      <c r="AZ26" s="17">
        <f>(武将升级!AJ26+武将羁绊!AW29)</f>
        <v>11436.207108214321</v>
      </c>
      <c r="BA26" s="17">
        <f>(武将升级!AJ71+武将羁绊!AW74)</f>
        <v>11432.399166659874</v>
      </c>
      <c r="BB26" s="17">
        <f>(武将升级!AJ116+武将羁绊!AW119)</f>
        <v>11464.670571513918</v>
      </c>
      <c r="BC26" s="17">
        <f>(武将升级!AJ161+武将羁绊!AW164)</f>
        <v>11456.355288822704</v>
      </c>
      <c r="BD26" s="17">
        <f>(武将升级!AJ206+武将羁绊!AW209)</f>
        <v>11477.301318188333</v>
      </c>
      <c r="BE26" s="34">
        <f>武将升级!AJ26/AZ26</f>
        <v>0.61349693251533743</v>
      </c>
      <c r="BF26" s="34">
        <f>武将羁绊!AW29/AZ26</f>
        <v>0.38650306748466257</v>
      </c>
      <c r="BH26" s="17">
        <v>23</v>
      </c>
      <c r="BI26" s="17">
        <f t="shared" si="56"/>
        <v>2289.1746445552717</v>
      </c>
      <c r="BJ26" s="17">
        <f t="shared" si="57"/>
        <v>2308.4951649235741</v>
      </c>
      <c r="BK26" s="17">
        <f t="shared" si="58"/>
        <v>2346.8375348947807</v>
      </c>
      <c r="BL26" s="17">
        <f t="shared" si="59"/>
        <v>2469.9960699793182</v>
      </c>
      <c r="BM26" s="17">
        <f t="shared" si="60"/>
        <v>2591.810380797458</v>
      </c>
      <c r="BR26" s="17">
        <f t="shared" si="61"/>
        <v>104.10129967499306</v>
      </c>
      <c r="BS26" s="17">
        <f t="shared" si="62"/>
        <v>104.06236366727887</v>
      </c>
      <c r="BT26" s="17">
        <f t="shared" si="63"/>
        <v>104.39233713204413</v>
      </c>
      <c r="BU26" s="17">
        <f t="shared" si="64"/>
        <v>104.30731379164318</v>
      </c>
      <c r="BV26" s="17">
        <f t="shared" si="65"/>
        <v>104.52148587104635</v>
      </c>
      <c r="BW26" s="17">
        <f>武将升级!AP26</f>
        <v>3072.0259934998612</v>
      </c>
      <c r="BX26" s="17">
        <f>武将升级!AP71</f>
        <v>3071.2472733455775</v>
      </c>
      <c r="BY26" s="17">
        <f>武将升级!AP116</f>
        <v>3077.8467426408824</v>
      </c>
      <c r="BZ26" s="17">
        <f>武将升级!AP161</f>
        <v>3076.1462758328635</v>
      </c>
      <c r="CA26" s="17">
        <f>武将升级!AP206</f>
        <v>3080.4297174209264</v>
      </c>
      <c r="CC26" s="17">
        <v>23</v>
      </c>
      <c r="CD26" s="17">
        <f t="shared" si="88"/>
        <v>1450</v>
      </c>
      <c r="CE26" s="17">
        <f t="shared" si="89"/>
        <v>1450</v>
      </c>
      <c r="CF26" s="17">
        <f t="shared" si="90"/>
        <v>1450</v>
      </c>
      <c r="CG26" s="17">
        <f t="shared" si="91"/>
        <v>1450</v>
      </c>
      <c r="CH26" s="17">
        <f t="shared" si="92"/>
        <v>1450.0000000000002</v>
      </c>
      <c r="CM26" s="17">
        <f t="shared" si="67"/>
        <v>104.10129967499306</v>
      </c>
      <c r="CN26" s="17">
        <f t="shared" si="68"/>
        <v>104.06236366727887</v>
      </c>
      <c r="CO26" s="17">
        <f t="shared" si="69"/>
        <v>104.39233713204413</v>
      </c>
      <c r="CP26" s="17">
        <f t="shared" si="70"/>
        <v>104.30731379164318</v>
      </c>
      <c r="CQ26" s="17">
        <f t="shared" si="71"/>
        <v>104.52148587104635</v>
      </c>
      <c r="CR26" s="17">
        <f>武将升级!AV26</f>
        <v>227.20259934998612</v>
      </c>
      <c r="CS26" s="17">
        <f>武将升级!AV71</f>
        <v>227.12472733455775</v>
      </c>
      <c r="CT26" s="17">
        <f>武将升级!AV116</f>
        <v>227.78467426408827</v>
      </c>
      <c r="CU26" s="17">
        <f>武将升级!AV161</f>
        <v>227.61462758328636</v>
      </c>
      <c r="CV26" s="17">
        <f>武将升级!AV206</f>
        <v>228.0429717420927</v>
      </c>
      <c r="CX26" s="17">
        <v>23</v>
      </c>
      <c r="CY26" s="17">
        <f t="shared" si="34"/>
        <v>62</v>
      </c>
      <c r="CZ26" s="17">
        <f t="shared" si="35"/>
        <v>62</v>
      </c>
      <c r="DA26" s="17">
        <f t="shared" si="36"/>
        <v>62</v>
      </c>
      <c r="DB26" s="17">
        <f t="shared" si="37"/>
        <v>62</v>
      </c>
      <c r="DC26" s="17">
        <f t="shared" si="38"/>
        <v>62</v>
      </c>
      <c r="DH26" s="17">
        <f t="shared" si="72"/>
        <v>104.10129967499306</v>
      </c>
      <c r="DI26" s="17">
        <f t="shared" si="73"/>
        <v>104.06236366727887</v>
      </c>
      <c r="DJ26" s="17">
        <f t="shared" si="74"/>
        <v>104.39233713204413</v>
      </c>
      <c r="DK26" s="17">
        <f t="shared" si="75"/>
        <v>104.30731379164318</v>
      </c>
      <c r="DL26" s="17">
        <f t="shared" si="76"/>
        <v>104.52148587104635</v>
      </c>
      <c r="DM26" s="17">
        <f>武将升星!$AQ26</f>
        <v>1.1399999999999999</v>
      </c>
      <c r="DN26" s="17">
        <f>武将升星!$AQ71</f>
        <v>1.1399999999999999</v>
      </c>
      <c r="DO26" s="17">
        <f>武将升星!$AQ116</f>
        <v>1.1399999999999999</v>
      </c>
      <c r="DP26" s="17">
        <f>武将升星!$AQ161</f>
        <v>1.1399999999999999</v>
      </c>
      <c r="DQ26" s="17">
        <f>武将升星!$AQ206</f>
        <v>1.1399999999999999</v>
      </c>
      <c r="DS26" s="17">
        <v>23</v>
      </c>
      <c r="DT26" s="17">
        <f t="shared" si="77"/>
        <v>0.20463893111415021</v>
      </c>
      <c r="DU26" s="17">
        <f t="shared" si="78"/>
        <v>0.20823201774452851</v>
      </c>
      <c r="DV26" s="17">
        <f t="shared" si="79"/>
        <v>0.21684921610734503</v>
      </c>
      <c r="DW26" s="17">
        <f t="shared" si="80"/>
        <v>0.24740622449068389</v>
      </c>
      <c r="DX26" s="17">
        <f t="shared" si="81"/>
        <v>0.26736052935596821</v>
      </c>
      <c r="EC26" s="17">
        <f t="shared" si="82"/>
        <v>104.10129967499306</v>
      </c>
      <c r="ED26" s="17">
        <f t="shared" si="83"/>
        <v>104.06236366727887</v>
      </c>
      <c r="EE26" s="17">
        <f t="shared" si="84"/>
        <v>104.39233713204413</v>
      </c>
      <c r="EF26" s="17">
        <f t="shared" si="85"/>
        <v>104.30731379164318</v>
      </c>
      <c r="EG26" s="17">
        <f t="shared" si="86"/>
        <v>104.52148587104635</v>
      </c>
      <c r="EH26" s="17">
        <f>武将升星!$AW26</f>
        <v>0.80000000000000016</v>
      </c>
      <c r="EI26" s="17">
        <f>武将升星!$AW71</f>
        <v>0.80000000000000016</v>
      </c>
      <c r="EJ26" s="17">
        <f>武将升星!$AW116</f>
        <v>0.80000000000000016</v>
      </c>
      <c r="EK26" s="17">
        <f>武将升星!$AW161</f>
        <v>0.80000000000000016</v>
      </c>
      <c r="EL26" s="17">
        <f>武将升星!$AW206</f>
        <v>0.80000000000000016</v>
      </c>
      <c r="EN26" s="17">
        <v>23</v>
      </c>
      <c r="EO26" s="17">
        <f t="shared" si="50"/>
        <v>5.8164713271888178E-3</v>
      </c>
      <c r="EP26" s="17">
        <f t="shared" si="51"/>
        <v>9.0800557275406753E-3</v>
      </c>
      <c r="EQ26" s="17">
        <f t="shared" si="52"/>
        <v>2.0922200265672826E-2</v>
      </c>
      <c r="ER26" s="17">
        <f t="shared" si="53"/>
        <v>4.4406518107915627E-2</v>
      </c>
      <c r="ES26" s="17">
        <f t="shared" si="54"/>
        <v>6.4952893156782848E-2</v>
      </c>
    </row>
    <row r="27" spans="2:149" x14ac:dyDescent="0.15">
      <c r="B27" s="16">
        <f>基础状态预期!D40</f>
        <v>107.48165553683219</v>
      </c>
      <c r="C27" s="16">
        <f>基础状态预期!D85</f>
        <v>107.42257994053838</v>
      </c>
      <c r="D27" s="16">
        <f>基础状态预期!D130</f>
        <v>107.81562240612369</v>
      </c>
      <c r="E27" s="16">
        <f>基础状态预期!D175</f>
        <v>107.78950972208385</v>
      </c>
      <c r="F27" s="16">
        <f>基础状态预期!D220</f>
        <v>108.05586950728798</v>
      </c>
      <c r="G27" s="16">
        <f>武将升星!AK27</f>
        <v>148</v>
      </c>
      <c r="H27" s="16">
        <f>武将升星!AK72</f>
        <v>148</v>
      </c>
      <c r="I27" s="16">
        <f>武将升星!AK117</f>
        <v>148</v>
      </c>
      <c r="J27" s="16">
        <f>武将升星!AK162</f>
        <v>148</v>
      </c>
      <c r="K27" s="16">
        <f>武将升星!AK207</f>
        <v>148</v>
      </c>
      <c r="L27" s="34">
        <f>武将升星!AK27/G27</f>
        <v>1</v>
      </c>
      <c r="P27" s="16">
        <v>24</v>
      </c>
      <c r="Q27" s="16">
        <f t="shared" si="0"/>
        <v>85.116589820251704</v>
      </c>
      <c r="R27" s="16">
        <f t="shared" si="1"/>
        <v>85.447648875717675</v>
      </c>
      <c r="S27" s="16">
        <f t="shared" si="2"/>
        <v>86.249079469664082</v>
      </c>
      <c r="T27" s="16">
        <f t="shared" si="3"/>
        <v>88.709150429756761</v>
      </c>
      <c r="U27" s="16">
        <f t="shared" si="4"/>
        <v>90.207828021368982</v>
      </c>
      <c r="Z27" s="16">
        <f t="shared" si="93"/>
        <v>107.48165553683219</v>
      </c>
      <c r="AA27" s="16">
        <f t="shared" si="94"/>
        <v>107.42257994053838</v>
      </c>
      <c r="AB27" s="16">
        <f t="shared" si="95"/>
        <v>107.81562240612369</v>
      </c>
      <c r="AC27" s="16">
        <f t="shared" si="96"/>
        <v>107.78950972208385</v>
      </c>
      <c r="AD27" s="16">
        <f t="shared" si="97"/>
        <v>108.05586950728798</v>
      </c>
      <c r="AE27" s="16">
        <f>武将升级!AD27+武将羁绊!AW30</f>
        <v>11766.805911502188</v>
      </c>
      <c r="AF27" s="16">
        <f>武将升级!AD72+武将羁绊!AW75</f>
        <v>11761.028318184653</v>
      </c>
      <c r="AG27" s="16">
        <f>武将升级!AD117+武将羁绊!AW120</f>
        <v>11799.467871318899</v>
      </c>
      <c r="AH27" s="16">
        <f>武将升级!AD162+武将羁绊!AW165</f>
        <v>11796.9140508198</v>
      </c>
      <c r="AI27" s="16">
        <f>武将升级!AD207+武将羁绊!AW210</f>
        <v>11822.964037812764</v>
      </c>
      <c r="AJ27" s="34">
        <f>武将升级!AD27/AE27</f>
        <v>0.61349693251533743</v>
      </c>
      <c r="AK27" s="34">
        <f>武将羁绊!AW30/AE27</f>
        <v>0.38650306748466257</v>
      </c>
      <c r="AL27" s="17"/>
      <c r="AM27" s="16">
        <v>24</v>
      </c>
      <c r="AN27" s="16">
        <f t="shared" si="9"/>
        <v>2359.6926416411952</v>
      </c>
      <c r="AO27" s="16">
        <f t="shared" si="10"/>
        <v>2380.1506481066031</v>
      </c>
      <c r="AP27" s="16">
        <f t="shared" si="11"/>
        <v>2420.902659998359</v>
      </c>
      <c r="AQ27" s="16">
        <f t="shared" si="12"/>
        <v>2551.2667467638103</v>
      </c>
      <c r="AR27" s="16">
        <f t="shared" si="13"/>
        <v>2681.3979455359395</v>
      </c>
      <c r="AU27" s="17">
        <f t="shared" si="98"/>
        <v>107.48165553683219</v>
      </c>
      <c r="AV27" s="17">
        <f t="shared" si="99"/>
        <v>107.42257994053838</v>
      </c>
      <c r="AW27" s="17">
        <f t="shared" si="100"/>
        <v>107.81562240612369</v>
      </c>
      <c r="AX27" s="17">
        <f t="shared" si="101"/>
        <v>107.78950972208385</v>
      </c>
      <c r="AY27" s="17">
        <f t="shared" si="102"/>
        <v>108.05586950728798</v>
      </c>
      <c r="AZ27" s="17">
        <f>(武将升级!AJ27+武将羁绊!AW30)</f>
        <v>11766.805911502188</v>
      </c>
      <c r="BA27" s="17">
        <f>(武将升级!AJ72+武将羁绊!AW75)</f>
        <v>11761.028318184653</v>
      </c>
      <c r="BB27" s="17">
        <f>(武将升级!AJ117+武将羁绊!AW120)</f>
        <v>11799.467871318899</v>
      </c>
      <c r="BC27" s="17">
        <f>(武将升级!AJ162+武将羁绊!AW165)</f>
        <v>11796.9140508198</v>
      </c>
      <c r="BD27" s="17">
        <f>(武将升级!AJ207+武将羁绊!AW210)</f>
        <v>11822.964037812764</v>
      </c>
      <c r="BE27" s="34">
        <f>武将升级!AJ27/AZ27</f>
        <v>0.61349693251533743</v>
      </c>
      <c r="BF27" s="34">
        <f>武将羁绊!AW30/AZ27</f>
        <v>0.38650306748466257</v>
      </c>
      <c r="BH27" s="17">
        <v>24</v>
      </c>
      <c r="BI27" s="17">
        <f t="shared" si="56"/>
        <v>2359.6926416411952</v>
      </c>
      <c r="BJ27" s="17">
        <f t="shared" si="57"/>
        <v>2380.1506481066031</v>
      </c>
      <c r="BK27" s="17">
        <f t="shared" si="58"/>
        <v>2420.902659998359</v>
      </c>
      <c r="BL27" s="17">
        <f t="shared" si="59"/>
        <v>2551.2667467638103</v>
      </c>
      <c r="BM27" s="17">
        <f t="shared" si="60"/>
        <v>2681.3979455359395</v>
      </c>
      <c r="BR27" s="17">
        <f t="shared" si="61"/>
        <v>107.48165553683219</v>
      </c>
      <c r="BS27" s="17">
        <f t="shared" si="62"/>
        <v>107.42257994053838</v>
      </c>
      <c r="BT27" s="17">
        <f t="shared" si="63"/>
        <v>107.81562240612369</v>
      </c>
      <c r="BU27" s="17">
        <f t="shared" si="64"/>
        <v>107.78950972208385</v>
      </c>
      <c r="BV27" s="17">
        <f t="shared" si="65"/>
        <v>108.05586950728798</v>
      </c>
      <c r="BW27" s="17">
        <f>武将升级!AP27</f>
        <v>3139.6331107366441</v>
      </c>
      <c r="BX27" s="17">
        <f>武将升级!AP72</f>
        <v>3138.4515988107682</v>
      </c>
      <c r="BY27" s="17">
        <f>武将升级!AP117</f>
        <v>3146.3124481224745</v>
      </c>
      <c r="BZ27" s="17">
        <f>武将升级!AP162</f>
        <v>3145.7901944416772</v>
      </c>
      <c r="CA27" s="17">
        <f>武将升级!AP207</f>
        <v>3151.1173901457601</v>
      </c>
      <c r="CC27" s="17">
        <v>24</v>
      </c>
      <c r="CD27" s="17">
        <f t="shared" si="88"/>
        <v>1470</v>
      </c>
      <c r="CE27" s="17">
        <f t="shared" si="89"/>
        <v>1470</v>
      </c>
      <c r="CF27" s="17">
        <f t="shared" si="90"/>
        <v>1470</v>
      </c>
      <c r="CG27" s="17">
        <f t="shared" si="91"/>
        <v>1470</v>
      </c>
      <c r="CH27" s="17">
        <f t="shared" si="92"/>
        <v>1470</v>
      </c>
      <c r="CM27" s="17">
        <f t="shared" si="67"/>
        <v>107.48165553683219</v>
      </c>
      <c r="CN27" s="17">
        <f t="shared" si="68"/>
        <v>107.42257994053838</v>
      </c>
      <c r="CO27" s="17">
        <f t="shared" si="69"/>
        <v>107.81562240612369</v>
      </c>
      <c r="CP27" s="17">
        <f t="shared" si="70"/>
        <v>107.78950972208385</v>
      </c>
      <c r="CQ27" s="17">
        <f t="shared" si="71"/>
        <v>108.05586950728798</v>
      </c>
      <c r="CR27" s="17">
        <f>武将升级!AV27</f>
        <v>233.96331107366439</v>
      </c>
      <c r="CS27" s="17">
        <f>武将升级!AV72</f>
        <v>233.84515988107674</v>
      </c>
      <c r="CT27" s="17">
        <f>武将升级!AV117</f>
        <v>234.63124481224739</v>
      </c>
      <c r="CU27" s="17">
        <f>武将升级!AV162</f>
        <v>234.5790194441677</v>
      </c>
      <c r="CV27" s="17">
        <f>武将升级!AV207</f>
        <v>235.11173901457596</v>
      </c>
      <c r="CX27" s="17">
        <v>24</v>
      </c>
      <c r="CY27" s="17">
        <f t="shared" si="34"/>
        <v>64</v>
      </c>
      <c r="CZ27" s="17">
        <f t="shared" si="35"/>
        <v>64</v>
      </c>
      <c r="DA27" s="17">
        <f t="shared" si="36"/>
        <v>64</v>
      </c>
      <c r="DB27" s="17">
        <f t="shared" si="37"/>
        <v>64</v>
      </c>
      <c r="DC27" s="17">
        <f t="shared" si="38"/>
        <v>64</v>
      </c>
      <c r="DH27" s="17">
        <f t="shared" si="72"/>
        <v>107.48165553683219</v>
      </c>
      <c r="DI27" s="17">
        <f t="shared" si="73"/>
        <v>107.42257994053838</v>
      </c>
      <c r="DJ27" s="17">
        <f t="shared" si="74"/>
        <v>107.81562240612369</v>
      </c>
      <c r="DK27" s="17">
        <f t="shared" si="75"/>
        <v>107.78950972208385</v>
      </c>
      <c r="DL27" s="17">
        <f t="shared" si="76"/>
        <v>108.05586950728798</v>
      </c>
      <c r="DM27" s="17">
        <f>武将升星!$AQ27</f>
        <v>1.1399999999999999</v>
      </c>
      <c r="DN27" s="17">
        <f>武将升星!$AQ72</f>
        <v>1.1399999999999999</v>
      </c>
      <c r="DO27" s="17">
        <f>武将升星!$AQ117</f>
        <v>1.1399999999999999</v>
      </c>
      <c r="DP27" s="17">
        <f>武将升星!$AQ162</f>
        <v>1.1399999999999999</v>
      </c>
      <c r="DQ27" s="17">
        <f>武将升星!$AQ207</f>
        <v>1.1399999999999999</v>
      </c>
      <c r="DS27" s="17">
        <v>24</v>
      </c>
      <c r="DT27" s="17">
        <f t="shared" si="77"/>
        <v>0.20685190815220028</v>
      </c>
      <c r="DU27" s="17">
        <f t="shared" si="78"/>
        <v>0.21152652839121039</v>
      </c>
      <c r="DV27" s="17">
        <f t="shared" si="79"/>
        <v>0.22285235654919461</v>
      </c>
      <c r="DW27" s="17">
        <f t="shared" si="80"/>
        <v>0.25692070073387507</v>
      </c>
      <c r="DX27" s="17">
        <f t="shared" si="81"/>
        <v>0.27745346456536885</v>
      </c>
      <c r="EC27" s="17">
        <f t="shared" si="82"/>
        <v>107.48165553683219</v>
      </c>
      <c r="ED27" s="17">
        <f t="shared" si="83"/>
        <v>107.42257994053838</v>
      </c>
      <c r="EE27" s="17">
        <f t="shared" si="84"/>
        <v>107.81562240612369</v>
      </c>
      <c r="EF27" s="17">
        <f t="shared" si="85"/>
        <v>107.78950972208385</v>
      </c>
      <c r="EG27" s="17">
        <f t="shared" si="86"/>
        <v>108.05586950728798</v>
      </c>
      <c r="EH27" s="17">
        <f>武将升星!$AW27</f>
        <v>0.80000000000000016</v>
      </c>
      <c r="EI27" s="17">
        <f>武将升星!$AW72</f>
        <v>0.80000000000000016</v>
      </c>
      <c r="EJ27" s="17">
        <f>武将升星!$AW117</f>
        <v>0.80000000000000016</v>
      </c>
      <c r="EK27" s="17">
        <f>武将升星!$AW162</f>
        <v>0.80000000000000016</v>
      </c>
      <c r="EL27" s="17">
        <f>武将升星!$AW207</f>
        <v>0.80000000000000016</v>
      </c>
      <c r="EN27" s="17">
        <v>24</v>
      </c>
      <c r="EO27" s="17">
        <f t="shared" si="50"/>
        <v>5.8164713271888178E-3</v>
      </c>
      <c r="EP27" s="17">
        <f t="shared" si="51"/>
        <v>9.6610475492091633E-3</v>
      </c>
      <c r="EQ27" s="17">
        <f t="shared" si="52"/>
        <v>2.3492638969196462E-2</v>
      </c>
      <c r="ER27" s="17">
        <f t="shared" si="53"/>
        <v>5.1928106016594561E-2</v>
      </c>
      <c r="ES27" s="17">
        <f t="shared" si="54"/>
        <v>7.2909592299165757E-2</v>
      </c>
    </row>
    <row r="28" spans="2:149" x14ac:dyDescent="0.15">
      <c r="B28" s="16">
        <f>基础状态预期!D41</f>
        <v>111.03813549320469</v>
      </c>
      <c r="C28" s="16">
        <f>基础状态预期!D86</f>
        <v>111.00691759243479</v>
      </c>
      <c r="D28" s="16">
        <f>基础状态预期!D131</f>
        <v>111.36292001894914</v>
      </c>
      <c r="E28" s="16">
        <f>基础状态预期!D176</f>
        <v>111.29737083030383</v>
      </c>
      <c r="F28" s="16">
        <f>基础状态预期!D221</f>
        <v>111.54601176466306</v>
      </c>
      <c r="G28" s="16">
        <f>武将升星!AK28</f>
        <v>148</v>
      </c>
      <c r="H28" s="16">
        <f>武将升星!AK73</f>
        <v>148</v>
      </c>
      <c r="I28" s="16">
        <f>武将升星!AK118</f>
        <v>148</v>
      </c>
      <c r="J28" s="16">
        <f>武将升星!AK163</f>
        <v>148</v>
      </c>
      <c r="K28" s="16">
        <f>武将升星!AK208</f>
        <v>148</v>
      </c>
      <c r="L28" s="34">
        <f>武将升星!AK28/G28</f>
        <v>1</v>
      </c>
      <c r="P28" s="16">
        <v>25</v>
      </c>
      <c r="Q28" s="16">
        <f t="shared" si="0"/>
        <v>85.14573727531463</v>
      </c>
      <c r="R28" s="16">
        <f t="shared" si="1"/>
        <v>85.553396604861618</v>
      </c>
      <c r="S28" s="16">
        <f t="shared" si="2"/>
        <v>86.546493382610933</v>
      </c>
      <c r="T28" s="16">
        <f t="shared" si="3"/>
        <v>89.246406708948115</v>
      </c>
      <c r="U28" s="16">
        <f t="shared" si="4"/>
        <v>90.776163674396329</v>
      </c>
      <c r="Z28" s="16">
        <f t="shared" si="93"/>
        <v>111.03813549320469</v>
      </c>
      <c r="AA28" s="16">
        <f t="shared" si="94"/>
        <v>111.00691759243479</v>
      </c>
      <c r="AB28" s="16">
        <f t="shared" si="95"/>
        <v>111.36292001894914</v>
      </c>
      <c r="AC28" s="16">
        <f t="shared" si="96"/>
        <v>111.29737083030383</v>
      </c>
      <c r="AD28" s="16">
        <f t="shared" si="97"/>
        <v>111.54601176466306</v>
      </c>
      <c r="AE28" s="16">
        <f>武将升级!AD28+武将羁绊!AW31</f>
        <v>12114.62965123542</v>
      </c>
      <c r="AF28" s="16">
        <f>武将升级!AD73+武将羁绊!AW76</f>
        <v>12111.576540540122</v>
      </c>
      <c r="AG28" s="16">
        <f>武将升级!AD118+武将羁绊!AW121</f>
        <v>12146.393577853225</v>
      </c>
      <c r="AH28" s="16">
        <f>武将升级!AD163+武将羁绊!AW166</f>
        <v>12139.982867203715</v>
      </c>
      <c r="AI28" s="16">
        <f>武将升级!AD208+武将羁绊!AW211</f>
        <v>12164.299950584049</v>
      </c>
      <c r="AJ28" s="34">
        <f>武将升级!AD28/AE28</f>
        <v>0.61349693251533732</v>
      </c>
      <c r="AK28" s="34">
        <f>武将羁绊!AW31/AE28</f>
        <v>0.38650306748466257</v>
      </c>
      <c r="AM28" s="16">
        <v>25</v>
      </c>
      <c r="AN28" s="16">
        <f t="shared" si="9"/>
        <v>2430.2106387271187</v>
      </c>
      <c r="AO28" s="16">
        <f t="shared" si="10"/>
        <v>2451.8061312896316</v>
      </c>
      <c r="AP28" s="16">
        <f t="shared" si="11"/>
        <v>2494.9677851019378</v>
      </c>
      <c r="AQ28" s="16">
        <f t="shared" si="12"/>
        <v>2632.5374235483023</v>
      </c>
      <c r="AR28" s="16">
        <f t="shared" si="13"/>
        <v>2770.9855102744209</v>
      </c>
      <c r="AU28" s="17">
        <f t="shared" si="98"/>
        <v>111.03813549320469</v>
      </c>
      <c r="AV28" s="17">
        <f t="shared" si="99"/>
        <v>111.00691759243479</v>
      </c>
      <c r="AW28" s="17">
        <f t="shared" si="100"/>
        <v>111.36292001894914</v>
      </c>
      <c r="AX28" s="17">
        <f t="shared" si="101"/>
        <v>111.29737083030383</v>
      </c>
      <c r="AY28" s="17">
        <f t="shared" si="102"/>
        <v>111.54601176466306</v>
      </c>
      <c r="AZ28" s="17">
        <f>(武将升级!AJ28+武将羁绊!AW31)</f>
        <v>12114.62965123542</v>
      </c>
      <c r="BA28" s="17">
        <f>(武将升级!AJ73+武将羁绊!AW76)</f>
        <v>12111.576540540122</v>
      </c>
      <c r="BB28" s="17">
        <f>(武将升级!AJ118+武将羁绊!AW121)</f>
        <v>12146.393577853225</v>
      </c>
      <c r="BC28" s="17">
        <f>(武将升级!AJ163+武将羁绊!AW166)</f>
        <v>12139.982867203715</v>
      </c>
      <c r="BD28" s="17">
        <f>(武将升级!AJ208+武将羁绊!AW211)</f>
        <v>12164.299950584049</v>
      </c>
      <c r="BE28" s="34">
        <f>武将升级!AJ28/AZ28</f>
        <v>0.61349693251533732</v>
      </c>
      <c r="BF28" s="34">
        <f>武将羁绊!AW31/AZ28</f>
        <v>0.38650306748466257</v>
      </c>
      <c r="BH28" s="17">
        <v>25</v>
      </c>
      <c r="BI28" s="17">
        <f t="shared" si="56"/>
        <v>2430.2106387271187</v>
      </c>
      <c r="BJ28" s="17">
        <f t="shared" si="57"/>
        <v>2451.8061312896316</v>
      </c>
      <c r="BK28" s="17">
        <f t="shared" si="58"/>
        <v>2494.9677851019378</v>
      </c>
      <c r="BL28" s="17">
        <f t="shared" si="59"/>
        <v>2632.5374235483023</v>
      </c>
      <c r="BM28" s="17">
        <f t="shared" si="60"/>
        <v>2770.9855102744209</v>
      </c>
      <c r="BR28" s="17">
        <f t="shared" si="61"/>
        <v>111.03813549320469</v>
      </c>
      <c r="BS28" s="17">
        <f t="shared" si="62"/>
        <v>111.00691759243479</v>
      </c>
      <c r="BT28" s="17">
        <f t="shared" si="63"/>
        <v>111.36292001894914</v>
      </c>
      <c r="BU28" s="17">
        <f t="shared" si="64"/>
        <v>111.29737083030383</v>
      </c>
      <c r="BV28" s="17">
        <f t="shared" si="65"/>
        <v>111.54601176466306</v>
      </c>
      <c r="BW28" s="17">
        <f>武将升级!AP28</f>
        <v>3210.7627098640937</v>
      </c>
      <c r="BX28" s="17">
        <f>武将升级!AP73</f>
        <v>3210.1383518486959</v>
      </c>
      <c r="BY28" s="17">
        <f>武将升级!AP118</f>
        <v>3217.258400378983</v>
      </c>
      <c r="BZ28" s="17">
        <f>武将升级!AP163</f>
        <v>3215.9474166060768</v>
      </c>
      <c r="CA28" s="17">
        <f>武将升级!AP208</f>
        <v>3220.9202352932612</v>
      </c>
      <c r="CC28" s="17">
        <v>25</v>
      </c>
      <c r="CD28" s="17">
        <f t="shared" si="88"/>
        <v>1490</v>
      </c>
      <c r="CE28" s="17">
        <f t="shared" si="89"/>
        <v>1490</v>
      </c>
      <c r="CF28" s="17">
        <f t="shared" si="90"/>
        <v>1490</v>
      </c>
      <c r="CG28" s="17">
        <f t="shared" si="91"/>
        <v>1490</v>
      </c>
      <c r="CH28" s="17">
        <f t="shared" si="92"/>
        <v>1490</v>
      </c>
      <c r="CM28" s="17">
        <f t="shared" si="67"/>
        <v>111.03813549320469</v>
      </c>
      <c r="CN28" s="17">
        <f t="shared" si="68"/>
        <v>111.00691759243479</v>
      </c>
      <c r="CO28" s="17">
        <f t="shared" si="69"/>
        <v>111.36292001894914</v>
      </c>
      <c r="CP28" s="17">
        <f t="shared" si="70"/>
        <v>111.29737083030383</v>
      </c>
      <c r="CQ28" s="17">
        <f t="shared" si="71"/>
        <v>111.54601176466306</v>
      </c>
      <c r="CR28" s="17">
        <f>武将升级!AV28</f>
        <v>241.07627098640941</v>
      </c>
      <c r="CS28" s="17">
        <f>武将升级!AV73</f>
        <v>241.01383518486958</v>
      </c>
      <c r="CT28" s="17">
        <f>武将升级!AV118</f>
        <v>241.72584003789828</v>
      </c>
      <c r="CU28" s="17">
        <f>武将升级!AV163</f>
        <v>241.59474166060764</v>
      </c>
      <c r="CV28" s="17">
        <f>武将升级!AV208</f>
        <v>242.09202352932616</v>
      </c>
      <c r="CX28" s="17">
        <v>25</v>
      </c>
      <c r="CY28" s="17">
        <f t="shared" si="34"/>
        <v>66</v>
      </c>
      <c r="CZ28" s="17">
        <f t="shared" si="35"/>
        <v>66</v>
      </c>
      <c r="DA28" s="17">
        <f t="shared" si="36"/>
        <v>66</v>
      </c>
      <c r="DB28" s="17">
        <f t="shared" si="37"/>
        <v>66</v>
      </c>
      <c r="DC28" s="17">
        <f t="shared" si="38"/>
        <v>66</v>
      </c>
      <c r="DH28" s="17">
        <f t="shared" si="72"/>
        <v>111.03813549320469</v>
      </c>
      <c r="DI28" s="17">
        <f t="shared" si="73"/>
        <v>111.00691759243479</v>
      </c>
      <c r="DJ28" s="17">
        <f t="shared" si="74"/>
        <v>111.36292001894914</v>
      </c>
      <c r="DK28" s="17">
        <f t="shared" si="75"/>
        <v>111.29737083030383</v>
      </c>
      <c r="DL28" s="17">
        <f t="shared" si="76"/>
        <v>111.54601176466306</v>
      </c>
      <c r="DM28" s="17">
        <f>武将升星!$AQ28</f>
        <v>1.1399999999999999</v>
      </c>
      <c r="DN28" s="17">
        <f>武将升星!$AQ73</f>
        <v>1.1399999999999999</v>
      </c>
      <c r="DO28" s="17">
        <f>武将升星!$AQ118</f>
        <v>1.1399999999999999</v>
      </c>
      <c r="DP28" s="17">
        <f>武将升星!$AQ163</f>
        <v>1.1399999999999999</v>
      </c>
      <c r="DQ28" s="17">
        <f>武将升星!$AQ208</f>
        <v>1.1399999999999999</v>
      </c>
      <c r="DS28" s="17">
        <v>25</v>
      </c>
      <c r="DT28" s="17">
        <f t="shared" si="77"/>
        <v>0.20906488519025032</v>
      </c>
      <c r="DU28" s="17">
        <f t="shared" si="78"/>
        <v>0.21482103903789226</v>
      </c>
      <c r="DV28" s="17">
        <f t="shared" si="79"/>
        <v>0.22885549699104418</v>
      </c>
      <c r="DW28" s="17">
        <f t="shared" si="80"/>
        <v>0.2664351769770662</v>
      </c>
      <c r="DX28" s="17">
        <f t="shared" si="81"/>
        <v>0.28754639977476948</v>
      </c>
      <c r="EC28" s="17">
        <f t="shared" si="82"/>
        <v>111.03813549320469</v>
      </c>
      <c r="ED28" s="17">
        <f t="shared" si="83"/>
        <v>111.00691759243479</v>
      </c>
      <c r="EE28" s="17">
        <f t="shared" si="84"/>
        <v>111.36292001894914</v>
      </c>
      <c r="EF28" s="17">
        <f t="shared" si="85"/>
        <v>111.29737083030383</v>
      </c>
      <c r="EG28" s="17">
        <f t="shared" si="86"/>
        <v>111.54601176466306</v>
      </c>
      <c r="EH28" s="17">
        <f>武将升星!$AW28</f>
        <v>0.80000000000000016</v>
      </c>
      <c r="EI28" s="17">
        <f>武将升星!$AW73</f>
        <v>0.80000000000000016</v>
      </c>
      <c r="EJ28" s="17">
        <f>武将升星!$AW118</f>
        <v>0.80000000000000016</v>
      </c>
      <c r="EK28" s="17">
        <f>武将升星!$AW163</f>
        <v>0.80000000000000016</v>
      </c>
      <c r="EL28" s="17">
        <f>武将升星!$AW208</f>
        <v>0.80000000000000016</v>
      </c>
      <c r="EN28" s="17">
        <v>25</v>
      </c>
      <c r="EO28" s="17">
        <f t="shared" si="50"/>
        <v>5.8164713271888178E-3</v>
      </c>
      <c r="EP28" s="17">
        <f t="shared" si="51"/>
        <v>1.0242039370877649E-2</v>
      </c>
      <c r="EQ28" s="17">
        <f t="shared" si="52"/>
        <v>2.6063077672720095E-2</v>
      </c>
      <c r="ER28" s="17">
        <f t="shared" si="53"/>
        <v>5.9449693925273495E-2</v>
      </c>
      <c r="ES28" s="17">
        <f t="shared" si="54"/>
        <v>8.0866291441548666E-2</v>
      </c>
    </row>
    <row r="29" spans="2:149" x14ac:dyDescent="0.15">
      <c r="B29" s="16">
        <f>基础状态预期!D42</f>
        <v>114.50860608277577</v>
      </c>
      <c r="C29" s="16">
        <f>基础状态预期!D87</f>
        <v>114.47614359759058</v>
      </c>
      <c r="D29" s="16">
        <f>基础状态预期!D132</f>
        <v>114.91934497223426</v>
      </c>
      <c r="E29" s="16">
        <f>基础状态预期!D177</f>
        <v>114.91888401282834</v>
      </c>
      <c r="F29" s="16">
        <f>基础状态预期!D222</f>
        <v>115.20444967370992</v>
      </c>
      <c r="G29" s="16">
        <f>武将升星!AK29</f>
        <v>148</v>
      </c>
      <c r="H29" s="16">
        <f>武将升星!AK74</f>
        <v>148</v>
      </c>
      <c r="I29" s="16">
        <f>武将升星!AK119</f>
        <v>148</v>
      </c>
      <c r="J29" s="16">
        <f>武将升星!AK164</f>
        <v>148</v>
      </c>
      <c r="K29" s="16">
        <f>武将升星!AK209</f>
        <v>148</v>
      </c>
      <c r="L29" s="34">
        <f>武将升星!AK29/G29</f>
        <v>1</v>
      </c>
      <c r="P29" s="16">
        <v>26</v>
      </c>
      <c r="Q29" s="16">
        <f t="shared" si="0"/>
        <v>85.174884730377556</v>
      </c>
      <c r="R29" s="16">
        <f t="shared" si="1"/>
        <v>85.659144334005575</v>
      </c>
      <c r="S29" s="16">
        <f t="shared" si="2"/>
        <v>86.843907295557798</v>
      </c>
      <c r="T29" s="16">
        <f t="shared" si="3"/>
        <v>89.783662988139469</v>
      </c>
      <c r="U29" s="16">
        <f t="shared" si="4"/>
        <v>91.344499327423677</v>
      </c>
      <c r="Z29" s="16">
        <f t="shared" si="93"/>
        <v>114.50860608277577</v>
      </c>
      <c r="AA29" s="16">
        <f t="shared" si="94"/>
        <v>114.47614359759058</v>
      </c>
      <c r="AB29" s="16">
        <f t="shared" si="95"/>
        <v>114.91934497223426</v>
      </c>
      <c r="AC29" s="16">
        <f t="shared" si="96"/>
        <v>114.91888401282834</v>
      </c>
      <c r="AD29" s="16">
        <f t="shared" si="97"/>
        <v>115.20444967370992</v>
      </c>
      <c r="AE29" s="16">
        <f>武将升级!AD29+武将羁绊!AW32</f>
        <v>12454.04167489547</v>
      </c>
      <c r="AF29" s="16">
        <f>武将升级!AD74+武将羁绊!AW77</f>
        <v>12450.866843844358</v>
      </c>
      <c r="AG29" s="16">
        <f>武将升级!AD119+武将羁绊!AW122</f>
        <v>12494.211938284512</v>
      </c>
      <c r="AH29" s="16">
        <f>武将升级!AD164+武将羁绊!AW167</f>
        <v>12494.166856454611</v>
      </c>
      <c r="AI29" s="16">
        <f>武将升级!AD209+武将羁绊!AW212</f>
        <v>12522.09517808883</v>
      </c>
      <c r="AJ29" s="34">
        <f>武将升级!AD29/AE29</f>
        <v>0.61349693251533732</v>
      </c>
      <c r="AK29" s="34">
        <f>武将羁绊!AW32/AE29</f>
        <v>0.38650306748466257</v>
      </c>
      <c r="AM29" s="16">
        <v>26</v>
      </c>
      <c r="AN29" s="16">
        <f t="shared" si="9"/>
        <v>2500.7286358130423</v>
      </c>
      <c r="AO29" s="16">
        <f t="shared" si="10"/>
        <v>2523.4616144726606</v>
      </c>
      <c r="AP29" s="16">
        <f t="shared" si="11"/>
        <v>2569.0329102055161</v>
      </c>
      <c r="AQ29" s="16">
        <f t="shared" si="12"/>
        <v>2713.8081003327943</v>
      </c>
      <c r="AR29" s="16">
        <f t="shared" si="13"/>
        <v>2860.5730750129023</v>
      </c>
      <c r="AU29" s="17">
        <f t="shared" si="98"/>
        <v>114.50860608277577</v>
      </c>
      <c r="AV29" s="17">
        <f t="shared" si="99"/>
        <v>114.47614359759058</v>
      </c>
      <c r="AW29" s="17">
        <f t="shared" si="100"/>
        <v>114.91934497223426</v>
      </c>
      <c r="AX29" s="17">
        <f t="shared" si="101"/>
        <v>114.91888401282834</v>
      </c>
      <c r="AY29" s="17">
        <f t="shared" si="102"/>
        <v>115.20444967370992</v>
      </c>
      <c r="AZ29" s="17">
        <f>(武将升级!AJ29+武将羁绊!AW32)</f>
        <v>12454.04167489547</v>
      </c>
      <c r="BA29" s="17">
        <f>(武将升级!AJ74+武将羁绊!AW77)</f>
        <v>12450.866843844358</v>
      </c>
      <c r="BB29" s="17">
        <f>(武将升级!AJ119+武将羁绊!AW122)</f>
        <v>12494.211938284512</v>
      </c>
      <c r="BC29" s="17">
        <f>(武将升级!AJ164+武将羁绊!AW167)</f>
        <v>12494.166856454611</v>
      </c>
      <c r="BD29" s="17">
        <f>(武将升级!AJ209+武将羁绊!AW212)</f>
        <v>12522.09517808883</v>
      </c>
      <c r="BE29" s="34">
        <f>武将升级!AJ29/AZ29</f>
        <v>0.61349693251533732</v>
      </c>
      <c r="BF29" s="34">
        <f>武将羁绊!AW32/AZ29</f>
        <v>0.38650306748466257</v>
      </c>
      <c r="BH29" s="17">
        <v>26</v>
      </c>
      <c r="BI29" s="17">
        <f t="shared" si="56"/>
        <v>2500.7286358130423</v>
      </c>
      <c r="BJ29" s="17">
        <f t="shared" si="57"/>
        <v>2523.4616144726606</v>
      </c>
      <c r="BK29" s="17">
        <f t="shared" si="58"/>
        <v>2569.0329102055161</v>
      </c>
      <c r="BL29" s="17">
        <f t="shared" si="59"/>
        <v>2713.8081003327943</v>
      </c>
      <c r="BM29" s="17">
        <f t="shared" si="60"/>
        <v>2860.5730750129023</v>
      </c>
      <c r="BR29" s="17">
        <f t="shared" si="61"/>
        <v>114.50860608277577</v>
      </c>
      <c r="BS29" s="17">
        <f t="shared" si="62"/>
        <v>114.47614359759058</v>
      </c>
      <c r="BT29" s="17">
        <f t="shared" si="63"/>
        <v>114.91934497223426</v>
      </c>
      <c r="BU29" s="17">
        <f t="shared" si="64"/>
        <v>114.91888401282834</v>
      </c>
      <c r="BV29" s="17">
        <f t="shared" si="65"/>
        <v>115.20444967370992</v>
      </c>
      <c r="BW29" s="17">
        <f>武将升级!AP29</f>
        <v>3280.1721216555147</v>
      </c>
      <c r="BX29" s="17">
        <f>武将升级!AP74</f>
        <v>3279.5228719518113</v>
      </c>
      <c r="BY29" s="17">
        <f>武将升级!AP119</f>
        <v>3288.3868994446852</v>
      </c>
      <c r="BZ29" s="17">
        <f>武将升级!AP164</f>
        <v>3288.3776802565667</v>
      </c>
      <c r="CA29" s="17">
        <f>武将升级!AP209</f>
        <v>3294.0889934741986</v>
      </c>
      <c r="CC29" s="17">
        <v>26</v>
      </c>
      <c r="CD29" s="17">
        <f t="shared" si="88"/>
        <v>1510</v>
      </c>
      <c r="CE29" s="17">
        <f t="shared" si="89"/>
        <v>1510</v>
      </c>
      <c r="CF29" s="17">
        <f t="shared" si="90"/>
        <v>1510</v>
      </c>
      <c r="CG29" s="17">
        <f t="shared" si="91"/>
        <v>1510</v>
      </c>
      <c r="CH29" s="17">
        <f t="shared" si="92"/>
        <v>1510</v>
      </c>
      <c r="CM29" s="17">
        <f t="shared" si="67"/>
        <v>114.50860608277577</v>
      </c>
      <c r="CN29" s="17">
        <f t="shared" si="68"/>
        <v>114.47614359759058</v>
      </c>
      <c r="CO29" s="17">
        <f t="shared" si="69"/>
        <v>114.91934497223426</v>
      </c>
      <c r="CP29" s="17">
        <f t="shared" si="70"/>
        <v>114.91888401282834</v>
      </c>
      <c r="CQ29" s="17">
        <f t="shared" si="71"/>
        <v>115.20444967370992</v>
      </c>
      <c r="CR29" s="17">
        <f>武将升级!AV29</f>
        <v>248.01721216555154</v>
      </c>
      <c r="CS29" s="17">
        <f>武将升级!AV74</f>
        <v>247.95228719518116</v>
      </c>
      <c r="CT29" s="17">
        <f>武将升级!AV119</f>
        <v>248.83868994446848</v>
      </c>
      <c r="CU29" s="17">
        <f>武将升级!AV164</f>
        <v>248.83776802565669</v>
      </c>
      <c r="CV29" s="17">
        <f>武将升级!AV209</f>
        <v>249.40889934741983</v>
      </c>
      <c r="CX29" s="17">
        <v>26</v>
      </c>
      <c r="CY29" s="17">
        <f t="shared" si="34"/>
        <v>68</v>
      </c>
      <c r="CZ29" s="17">
        <f t="shared" si="35"/>
        <v>68</v>
      </c>
      <c r="DA29" s="17">
        <f t="shared" si="36"/>
        <v>68</v>
      </c>
      <c r="DB29" s="17">
        <f t="shared" si="37"/>
        <v>68</v>
      </c>
      <c r="DC29" s="17">
        <f t="shared" si="38"/>
        <v>68</v>
      </c>
      <c r="DH29" s="17">
        <f t="shared" si="72"/>
        <v>114.50860608277577</v>
      </c>
      <c r="DI29" s="17">
        <f t="shared" si="73"/>
        <v>114.47614359759058</v>
      </c>
      <c r="DJ29" s="17">
        <f t="shared" si="74"/>
        <v>114.91934497223426</v>
      </c>
      <c r="DK29" s="17">
        <f t="shared" si="75"/>
        <v>114.91888401282834</v>
      </c>
      <c r="DL29" s="17">
        <f t="shared" si="76"/>
        <v>115.20444967370992</v>
      </c>
      <c r="DM29" s="17">
        <f>武将升星!$AQ29</f>
        <v>1.1399999999999999</v>
      </c>
      <c r="DN29" s="17">
        <f>武将升星!$AQ74</f>
        <v>1.1399999999999999</v>
      </c>
      <c r="DO29" s="17">
        <f>武将升星!$AQ119</f>
        <v>1.1399999999999999</v>
      </c>
      <c r="DP29" s="17">
        <f>武将升星!$AQ164</f>
        <v>1.1399999999999999</v>
      </c>
      <c r="DQ29" s="17">
        <f>武将升星!$AQ209</f>
        <v>1.1399999999999999</v>
      </c>
      <c r="DS29" s="17">
        <v>26</v>
      </c>
      <c r="DT29" s="17">
        <f t="shared" si="77"/>
        <v>0.21127786222830039</v>
      </c>
      <c r="DU29" s="17">
        <f t="shared" si="78"/>
        <v>0.21811554968457414</v>
      </c>
      <c r="DV29" s="17">
        <f t="shared" si="79"/>
        <v>0.23485863743289376</v>
      </c>
      <c r="DW29" s="17">
        <f t="shared" si="80"/>
        <v>0.27594965322025738</v>
      </c>
      <c r="DX29" s="17">
        <f t="shared" si="81"/>
        <v>0.29763933498417017</v>
      </c>
      <c r="EC29" s="17">
        <f t="shared" si="82"/>
        <v>114.50860608277577</v>
      </c>
      <c r="ED29" s="17">
        <f t="shared" si="83"/>
        <v>114.47614359759058</v>
      </c>
      <c r="EE29" s="17">
        <f t="shared" si="84"/>
        <v>114.91934497223426</v>
      </c>
      <c r="EF29" s="17">
        <f t="shared" si="85"/>
        <v>114.91888401282834</v>
      </c>
      <c r="EG29" s="17">
        <f t="shared" si="86"/>
        <v>115.20444967370992</v>
      </c>
      <c r="EH29" s="17">
        <f>武将升星!$AW29</f>
        <v>0.80000000000000016</v>
      </c>
      <c r="EI29" s="17">
        <f>武将升星!$AW74</f>
        <v>0.80000000000000016</v>
      </c>
      <c r="EJ29" s="17">
        <f>武将升星!$AW119</f>
        <v>0.80000000000000016</v>
      </c>
      <c r="EK29" s="17">
        <f>武将升星!$AW164</f>
        <v>0.80000000000000016</v>
      </c>
      <c r="EL29" s="17">
        <f>武将升星!$AW209</f>
        <v>0.80000000000000016</v>
      </c>
      <c r="EN29" s="17">
        <v>26</v>
      </c>
      <c r="EO29" s="17">
        <f t="shared" si="50"/>
        <v>5.8164713271888178E-3</v>
      </c>
      <c r="EP29" s="17">
        <f t="shared" si="51"/>
        <v>1.0823031192546137E-2</v>
      </c>
      <c r="EQ29" s="17">
        <f t="shared" si="52"/>
        <v>2.8633516376243732E-2</v>
      </c>
      <c r="ER29" s="17">
        <f t="shared" si="53"/>
        <v>6.6971281833952429E-2</v>
      </c>
      <c r="ES29" s="17">
        <f t="shared" si="54"/>
        <v>8.8822990583931588E-2</v>
      </c>
    </row>
    <row r="30" spans="2:149" x14ac:dyDescent="0.15">
      <c r="B30" s="16">
        <f>基础状态预期!D43</f>
        <v>118.05948896247369</v>
      </c>
      <c r="C30" s="16">
        <f>基础状态预期!D88</f>
        <v>118.05724034557241</v>
      </c>
      <c r="D30" s="16">
        <f>基础状态预期!D133</f>
        <v>118.44741987029688</v>
      </c>
      <c r="E30" s="16">
        <f>基础状态预期!D178</f>
        <v>118.4172728380062</v>
      </c>
      <c r="F30" s="16">
        <f>基础状态预期!D223</f>
        <v>118.75432507225094</v>
      </c>
      <c r="G30" s="16">
        <f>武将升星!AK30</f>
        <v>148</v>
      </c>
      <c r="H30" s="16">
        <f>武将升星!AK75</f>
        <v>148</v>
      </c>
      <c r="I30" s="16">
        <f>武将升星!AK120</f>
        <v>148</v>
      </c>
      <c r="J30" s="16">
        <f>武将升星!AK165</f>
        <v>148</v>
      </c>
      <c r="K30" s="16">
        <f>武将升星!AK210</f>
        <v>148</v>
      </c>
      <c r="L30" s="34">
        <f>武将升星!AK30/G30</f>
        <v>1</v>
      </c>
      <c r="P30" s="16">
        <v>27</v>
      </c>
      <c r="Q30" s="16">
        <f t="shared" si="0"/>
        <v>85.204032185440482</v>
      </c>
      <c r="R30" s="16">
        <f t="shared" si="1"/>
        <v>85.764892063149532</v>
      </c>
      <c r="S30" s="16">
        <f t="shared" si="2"/>
        <v>87.141321208504664</v>
      </c>
      <c r="T30" s="16">
        <f t="shared" si="3"/>
        <v>90.320919267330822</v>
      </c>
      <c r="U30" s="16">
        <f t="shared" si="4"/>
        <v>91.912834980451038</v>
      </c>
      <c r="Z30" s="16">
        <f t="shared" si="93"/>
        <v>118.05948896247369</v>
      </c>
      <c r="AA30" s="16">
        <f t="shared" si="94"/>
        <v>118.05724034557241</v>
      </c>
      <c r="AB30" s="16">
        <f t="shared" si="95"/>
        <v>118.44741987029688</v>
      </c>
      <c r="AC30" s="16">
        <f t="shared" si="96"/>
        <v>118.4172728380062</v>
      </c>
      <c r="AD30" s="16">
        <f t="shared" si="97"/>
        <v>118.75432507225094</v>
      </c>
      <c r="AE30" s="16">
        <f>武将升级!AD30+武将羁绊!AW33</f>
        <v>12801.318020529927</v>
      </c>
      <c r="AF30" s="16">
        <f>武将升级!AD75+武将羁绊!AW78</f>
        <v>12801.098105796982</v>
      </c>
      <c r="AG30" s="16">
        <f>武将升级!AD120+武将羁绊!AW123</f>
        <v>12839.257663315035</v>
      </c>
      <c r="AH30" s="16">
        <f>武将升级!AD165+武将羁绊!AW168</f>
        <v>12836.309283557006</v>
      </c>
      <c r="AI30" s="16">
        <f>武将升级!AD210+武将羁绊!AW213</f>
        <v>12869.27299206614</v>
      </c>
      <c r="AJ30" s="34">
        <f>武将升级!AD30/AE30</f>
        <v>0.61349693251533743</v>
      </c>
      <c r="AK30" s="34">
        <f>武将羁绊!AW33/AE30</f>
        <v>0.38650306748466257</v>
      </c>
      <c r="AM30" s="16">
        <v>27</v>
      </c>
      <c r="AN30" s="16">
        <f t="shared" si="9"/>
        <v>2571.2466328989663</v>
      </c>
      <c r="AO30" s="16">
        <f t="shared" si="10"/>
        <v>2595.1170976556896</v>
      </c>
      <c r="AP30" s="16">
        <f t="shared" si="11"/>
        <v>2643.0980353090945</v>
      </c>
      <c r="AQ30" s="16">
        <f t="shared" si="12"/>
        <v>2795.0787771172868</v>
      </c>
      <c r="AR30" s="16">
        <f t="shared" si="13"/>
        <v>2950.1606397513838</v>
      </c>
      <c r="AU30" s="17">
        <f t="shared" si="98"/>
        <v>118.05948896247369</v>
      </c>
      <c r="AV30" s="17">
        <f t="shared" si="99"/>
        <v>118.05724034557241</v>
      </c>
      <c r="AW30" s="17">
        <f t="shared" si="100"/>
        <v>118.44741987029688</v>
      </c>
      <c r="AX30" s="17">
        <f t="shared" si="101"/>
        <v>118.4172728380062</v>
      </c>
      <c r="AY30" s="17">
        <f t="shared" si="102"/>
        <v>118.75432507225094</v>
      </c>
      <c r="AZ30" s="17">
        <f>(武将升级!AJ30+武将羁绊!AW33)</f>
        <v>12801.318020529927</v>
      </c>
      <c r="BA30" s="17">
        <f>(武将升级!AJ75+武将羁绊!AW78)</f>
        <v>12801.098105796982</v>
      </c>
      <c r="BB30" s="17">
        <f>(武将升级!AJ120+武将羁绊!AW123)</f>
        <v>12839.257663315035</v>
      </c>
      <c r="BC30" s="17">
        <f>(武将升级!AJ165+武将羁绊!AW168)</f>
        <v>12836.309283557006</v>
      </c>
      <c r="BD30" s="17">
        <f>(武将升级!AJ210+武将羁绊!AW213)</f>
        <v>12869.27299206614</v>
      </c>
      <c r="BE30" s="34">
        <f>武将升级!AJ30/AZ30</f>
        <v>0.61349693251533743</v>
      </c>
      <c r="BF30" s="34">
        <f>武将羁绊!AW33/AZ30</f>
        <v>0.38650306748466257</v>
      </c>
      <c r="BH30" s="17">
        <v>27</v>
      </c>
      <c r="BI30" s="17">
        <f t="shared" si="56"/>
        <v>2571.2466328989663</v>
      </c>
      <c r="BJ30" s="17">
        <f t="shared" si="57"/>
        <v>2595.1170976556896</v>
      </c>
      <c r="BK30" s="17">
        <f t="shared" si="58"/>
        <v>2643.0980353090945</v>
      </c>
      <c r="BL30" s="17">
        <f t="shared" si="59"/>
        <v>2795.0787771172868</v>
      </c>
      <c r="BM30" s="17">
        <f t="shared" si="60"/>
        <v>2950.1606397513838</v>
      </c>
      <c r="BR30" s="17">
        <f t="shared" si="61"/>
        <v>118.05948896247369</v>
      </c>
      <c r="BS30" s="17">
        <f t="shared" si="62"/>
        <v>118.05724034557241</v>
      </c>
      <c r="BT30" s="17">
        <f t="shared" si="63"/>
        <v>118.44741987029688</v>
      </c>
      <c r="BU30" s="17">
        <f t="shared" si="64"/>
        <v>118.4172728380062</v>
      </c>
      <c r="BV30" s="17">
        <f t="shared" si="65"/>
        <v>118.75432507225094</v>
      </c>
      <c r="BW30" s="17">
        <f>武将升级!AP30</f>
        <v>3351.1897792494733</v>
      </c>
      <c r="BX30" s="17">
        <f>武将升级!AP75</f>
        <v>3351.1448069114481</v>
      </c>
      <c r="BY30" s="17">
        <f>武将升级!AP120</f>
        <v>3358.9483974059381</v>
      </c>
      <c r="BZ30" s="17">
        <f>武将升级!AP165</f>
        <v>3358.3454567601239</v>
      </c>
      <c r="CA30" s="17">
        <f>武将升级!AP210</f>
        <v>3365.0865014450187</v>
      </c>
      <c r="CC30" s="17">
        <v>27</v>
      </c>
      <c r="CD30" s="17">
        <f t="shared" si="88"/>
        <v>1530</v>
      </c>
      <c r="CE30" s="17">
        <f t="shared" si="89"/>
        <v>1530</v>
      </c>
      <c r="CF30" s="17">
        <f t="shared" si="90"/>
        <v>1530</v>
      </c>
      <c r="CG30" s="17">
        <f t="shared" si="91"/>
        <v>1530</v>
      </c>
      <c r="CH30" s="17">
        <f t="shared" si="92"/>
        <v>1530</v>
      </c>
      <c r="CM30" s="17">
        <f t="shared" si="67"/>
        <v>118.05948896247369</v>
      </c>
      <c r="CN30" s="17">
        <f t="shared" si="68"/>
        <v>118.05724034557241</v>
      </c>
      <c r="CO30" s="17">
        <f t="shared" si="69"/>
        <v>118.44741987029688</v>
      </c>
      <c r="CP30" s="17">
        <f t="shared" si="70"/>
        <v>118.4172728380062</v>
      </c>
      <c r="CQ30" s="17">
        <f t="shared" si="71"/>
        <v>118.75432507225094</v>
      </c>
      <c r="CR30" s="17">
        <f>武将升级!AV30</f>
        <v>255.11897792494742</v>
      </c>
      <c r="CS30" s="17">
        <f>武将升级!AV75</f>
        <v>255.11448069114485</v>
      </c>
      <c r="CT30" s="17">
        <f>武将升级!AV120</f>
        <v>255.89483974059377</v>
      </c>
      <c r="CU30" s="17">
        <f>武将升级!AV165</f>
        <v>255.83454567601243</v>
      </c>
      <c r="CV30" s="17">
        <f>武将升级!AV210</f>
        <v>256.50865014450187</v>
      </c>
      <c r="CX30" s="17">
        <v>27</v>
      </c>
      <c r="CY30" s="17">
        <f t="shared" si="34"/>
        <v>70</v>
      </c>
      <c r="CZ30" s="17">
        <f t="shared" si="35"/>
        <v>70</v>
      </c>
      <c r="DA30" s="17">
        <f t="shared" si="36"/>
        <v>70</v>
      </c>
      <c r="DB30" s="17">
        <f t="shared" si="37"/>
        <v>70</v>
      </c>
      <c r="DC30" s="17">
        <f t="shared" si="38"/>
        <v>70</v>
      </c>
      <c r="DH30" s="17">
        <f t="shared" si="72"/>
        <v>118.05948896247369</v>
      </c>
      <c r="DI30" s="17">
        <f t="shared" si="73"/>
        <v>118.05724034557241</v>
      </c>
      <c r="DJ30" s="17">
        <f t="shared" si="74"/>
        <v>118.44741987029688</v>
      </c>
      <c r="DK30" s="17">
        <f t="shared" si="75"/>
        <v>118.4172728380062</v>
      </c>
      <c r="DL30" s="17">
        <f t="shared" si="76"/>
        <v>118.75432507225094</v>
      </c>
      <c r="DM30" s="17">
        <f>武将升星!$AQ30</f>
        <v>1.1399999999999999</v>
      </c>
      <c r="DN30" s="17">
        <f>武将升星!$AQ75</f>
        <v>1.1399999999999999</v>
      </c>
      <c r="DO30" s="17">
        <f>武将升星!$AQ120</f>
        <v>1.1399999999999999</v>
      </c>
      <c r="DP30" s="17">
        <f>武将升星!$AQ165</f>
        <v>1.1399999999999999</v>
      </c>
      <c r="DQ30" s="17">
        <f>武将升星!$AQ210</f>
        <v>1.1399999999999999</v>
      </c>
      <c r="DS30" s="17">
        <v>27</v>
      </c>
      <c r="DT30" s="17">
        <f t="shared" si="77"/>
        <v>0.21349083926635046</v>
      </c>
      <c r="DU30" s="17">
        <f t="shared" si="78"/>
        <v>0.22141006033125601</v>
      </c>
      <c r="DV30" s="17">
        <f t="shared" si="79"/>
        <v>0.24086177787474333</v>
      </c>
      <c r="DW30" s="17">
        <f t="shared" si="80"/>
        <v>0.28546412946344857</v>
      </c>
      <c r="DX30" s="17">
        <f t="shared" si="81"/>
        <v>0.3077322701935708</v>
      </c>
      <c r="EC30" s="17">
        <f t="shared" si="82"/>
        <v>118.05948896247369</v>
      </c>
      <c r="ED30" s="17">
        <f t="shared" si="83"/>
        <v>118.05724034557241</v>
      </c>
      <c r="EE30" s="17">
        <f t="shared" si="84"/>
        <v>118.44741987029688</v>
      </c>
      <c r="EF30" s="17">
        <f t="shared" si="85"/>
        <v>118.4172728380062</v>
      </c>
      <c r="EG30" s="17">
        <f t="shared" si="86"/>
        <v>118.75432507225094</v>
      </c>
      <c r="EH30" s="17">
        <f>武将升星!$AW30</f>
        <v>0.80000000000000016</v>
      </c>
      <c r="EI30" s="17">
        <f>武将升星!$AW75</f>
        <v>0.80000000000000016</v>
      </c>
      <c r="EJ30" s="17">
        <f>武将升星!$AW120</f>
        <v>0.80000000000000016</v>
      </c>
      <c r="EK30" s="17">
        <f>武将升星!$AW165</f>
        <v>0.80000000000000016</v>
      </c>
      <c r="EL30" s="17">
        <f>武将升星!$AW210</f>
        <v>0.80000000000000016</v>
      </c>
      <c r="EN30" s="17">
        <v>27</v>
      </c>
      <c r="EO30" s="17">
        <f t="shared" si="50"/>
        <v>5.8164713271888178E-3</v>
      </c>
      <c r="EP30" s="17">
        <f t="shared" si="51"/>
        <v>1.1404023014214625E-2</v>
      </c>
      <c r="EQ30" s="17">
        <f t="shared" si="52"/>
        <v>3.1203955079767365E-2</v>
      </c>
      <c r="ER30" s="17">
        <f t="shared" si="53"/>
        <v>7.4492869742631362E-2</v>
      </c>
      <c r="ES30" s="17">
        <f t="shared" si="54"/>
        <v>9.6779689726314511E-2</v>
      </c>
    </row>
    <row r="31" spans="2:149" x14ac:dyDescent="0.15">
      <c r="B31" s="16">
        <f>基础状态预期!D44</f>
        <v>121.47928719052189</v>
      </c>
      <c r="C31" s="16">
        <f>基础状态预期!D89</f>
        <v>121.49411884885473</v>
      </c>
      <c r="D31" s="16">
        <f>基础状态预期!D134</f>
        <v>121.97211685892326</v>
      </c>
      <c r="E31" s="16">
        <f>基础状态预期!D179</f>
        <v>121.99245722798884</v>
      </c>
      <c r="F31" s="16">
        <f>基础状态预期!D224</f>
        <v>122.26514676047371</v>
      </c>
      <c r="G31" s="16">
        <f>武将升星!AK31</f>
        <v>148</v>
      </c>
      <c r="H31" s="16">
        <f>武将升星!AK76</f>
        <v>148</v>
      </c>
      <c r="I31" s="16">
        <f>武将升星!AK121</f>
        <v>148</v>
      </c>
      <c r="J31" s="16">
        <f>武将升星!AK166</f>
        <v>148</v>
      </c>
      <c r="K31" s="16">
        <f>武将升星!AK211</f>
        <v>148</v>
      </c>
      <c r="L31" s="34">
        <f>武将升星!AK31/G31</f>
        <v>1</v>
      </c>
      <c r="P31" s="16">
        <v>28</v>
      </c>
      <c r="Q31" s="16">
        <f t="shared" si="0"/>
        <v>85.233179640503408</v>
      </c>
      <c r="R31" s="16">
        <f t="shared" si="1"/>
        <v>85.934148132716402</v>
      </c>
      <c r="S31" s="16">
        <f t="shared" si="2"/>
        <v>87.498987773436383</v>
      </c>
      <c r="T31" s="16">
        <f t="shared" si="3"/>
        <v>91.075042049643727</v>
      </c>
      <c r="U31" s="16">
        <f t="shared" si="4"/>
        <v>92.666882968132668</v>
      </c>
      <c r="Z31" s="16">
        <f t="shared" si="93"/>
        <v>121.47928719052189</v>
      </c>
      <c r="AA31" s="16">
        <f t="shared" si="94"/>
        <v>121.49411884885473</v>
      </c>
      <c r="AB31" s="16">
        <f t="shared" si="95"/>
        <v>121.97211685892326</v>
      </c>
      <c r="AC31" s="16">
        <f t="shared" si="96"/>
        <v>121.99245722798884</v>
      </c>
      <c r="AD31" s="16">
        <f t="shared" si="97"/>
        <v>122.26514676047371</v>
      </c>
      <c r="AE31" s="16">
        <f>武将升级!AD31+武将羁绊!AW34</f>
        <v>13135.774287233038</v>
      </c>
      <c r="AF31" s="16">
        <f>武将升级!AD76+武将羁绊!AW79</f>
        <v>13137.224823417993</v>
      </c>
      <c r="AG31" s="16">
        <f>武将升级!AD121+武将羁绊!AW124</f>
        <v>13183.973028802695</v>
      </c>
      <c r="AH31" s="16">
        <f>武将升级!AD166+武将羁绊!AW169</f>
        <v>13185.962316897308</v>
      </c>
      <c r="AI31" s="16">
        <f>武将升级!AD211+武将羁绊!AW214</f>
        <v>13212.631353174329</v>
      </c>
      <c r="AJ31" s="34">
        <f>武将升级!AD31/AE31</f>
        <v>0.61349693251533743</v>
      </c>
      <c r="AK31" s="34">
        <f>武将羁绊!AW34/AE31</f>
        <v>0.38650306748466262</v>
      </c>
      <c r="AM31" s="16">
        <v>28</v>
      </c>
      <c r="AN31" s="16">
        <f t="shared" si="9"/>
        <v>2641.7646299848898</v>
      </c>
      <c r="AO31" s="16">
        <f t="shared" si="10"/>
        <v>2667.7401540846809</v>
      </c>
      <c r="AP31" s="16">
        <f t="shared" si="11"/>
        <v>2718.835072553798</v>
      </c>
      <c r="AQ31" s="16">
        <f t="shared" si="12"/>
        <v>2883.7316638403995</v>
      </c>
      <c r="AR31" s="16">
        <f t="shared" si="13"/>
        <v>3048.7635163295504</v>
      </c>
      <c r="AU31" s="17">
        <f t="shared" si="98"/>
        <v>121.47928719052189</v>
      </c>
      <c r="AV31" s="17">
        <f t="shared" si="99"/>
        <v>121.49411884885473</v>
      </c>
      <c r="AW31" s="17">
        <f t="shared" si="100"/>
        <v>121.97211685892326</v>
      </c>
      <c r="AX31" s="17">
        <f t="shared" si="101"/>
        <v>121.99245722798884</v>
      </c>
      <c r="AY31" s="17">
        <f t="shared" si="102"/>
        <v>122.26514676047371</v>
      </c>
      <c r="AZ31" s="17">
        <f>(武将升级!AJ31+武将羁绊!AW34)</f>
        <v>13135.774287233038</v>
      </c>
      <c r="BA31" s="17">
        <f>(武将升级!AJ76+武将羁绊!AW79)</f>
        <v>13137.224823417993</v>
      </c>
      <c r="BB31" s="17">
        <f>(武将升级!AJ121+武将羁绊!AW124)</f>
        <v>13183.973028802695</v>
      </c>
      <c r="BC31" s="17">
        <f>(武将升级!AJ166+武将羁绊!AW169)</f>
        <v>13185.962316897308</v>
      </c>
      <c r="BD31" s="17">
        <f>(武将升级!AJ211+武将羁绊!AW214)</f>
        <v>13212.631353174329</v>
      </c>
      <c r="BE31" s="34">
        <f>武将升级!AJ31/AZ31</f>
        <v>0.61349693251533743</v>
      </c>
      <c r="BF31" s="34">
        <f>武将羁绊!AW34/AZ31</f>
        <v>0.38650306748466262</v>
      </c>
      <c r="BH31" s="17">
        <v>28</v>
      </c>
      <c r="BI31" s="17">
        <f t="shared" si="56"/>
        <v>2641.7646299848898</v>
      </c>
      <c r="BJ31" s="17">
        <f t="shared" si="57"/>
        <v>2667.7401540846809</v>
      </c>
      <c r="BK31" s="17">
        <f t="shared" si="58"/>
        <v>2718.835072553798</v>
      </c>
      <c r="BL31" s="17">
        <f t="shared" si="59"/>
        <v>2883.7316638403995</v>
      </c>
      <c r="BM31" s="17">
        <f t="shared" si="60"/>
        <v>3048.7635163295504</v>
      </c>
      <c r="BR31" s="17">
        <f t="shared" si="61"/>
        <v>121.47928719052189</v>
      </c>
      <c r="BS31" s="17">
        <f t="shared" si="62"/>
        <v>121.49411884885473</v>
      </c>
      <c r="BT31" s="17">
        <f t="shared" si="63"/>
        <v>121.97211685892326</v>
      </c>
      <c r="BU31" s="17">
        <f t="shared" si="64"/>
        <v>121.99245722798884</v>
      </c>
      <c r="BV31" s="17">
        <f t="shared" si="65"/>
        <v>122.26514676047371</v>
      </c>
      <c r="BW31" s="17">
        <f>武将升级!AP31</f>
        <v>3419.5857438104376</v>
      </c>
      <c r="BX31" s="17">
        <f>武将升级!AP76</f>
        <v>3419.8823769770947</v>
      </c>
      <c r="BY31" s="17">
        <f>武将升级!AP121</f>
        <v>3429.4423371784651</v>
      </c>
      <c r="BZ31" s="17">
        <f>武将升级!AP166</f>
        <v>3429.849144559777</v>
      </c>
      <c r="CA31" s="17">
        <f>武将升级!AP211</f>
        <v>3435.3029352094741</v>
      </c>
      <c r="CC31" s="17">
        <v>28</v>
      </c>
      <c r="CD31" s="17">
        <f t="shared" si="88"/>
        <v>1550</v>
      </c>
      <c r="CE31" s="17">
        <f t="shared" si="89"/>
        <v>1550</v>
      </c>
      <c r="CF31" s="17">
        <f t="shared" si="90"/>
        <v>1550</v>
      </c>
      <c r="CG31" s="17">
        <f t="shared" si="91"/>
        <v>1550</v>
      </c>
      <c r="CH31" s="17">
        <f t="shared" si="92"/>
        <v>1550</v>
      </c>
      <c r="CM31" s="17">
        <f t="shared" si="67"/>
        <v>121.47928719052189</v>
      </c>
      <c r="CN31" s="17">
        <f t="shared" si="68"/>
        <v>121.49411884885473</v>
      </c>
      <c r="CO31" s="17">
        <f t="shared" si="69"/>
        <v>121.97211685892326</v>
      </c>
      <c r="CP31" s="17">
        <f t="shared" si="70"/>
        <v>121.99245722798884</v>
      </c>
      <c r="CQ31" s="17">
        <f t="shared" si="71"/>
        <v>122.26514676047371</v>
      </c>
      <c r="CR31" s="17">
        <f>武将升级!AV31</f>
        <v>261.95857438104377</v>
      </c>
      <c r="CS31" s="17">
        <f>武将升级!AV76</f>
        <v>261.98823769770945</v>
      </c>
      <c r="CT31" s="17">
        <f>武将升级!AV121</f>
        <v>262.94423371784649</v>
      </c>
      <c r="CU31" s="17">
        <f>武将升级!AV166</f>
        <v>262.98491445597767</v>
      </c>
      <c r="CV31" s="17">
        <f>武将升级!AV211</f>
        <v>263.53029352094745</v>
      </c>
      <c r="CX31" s="17">
        <v>28</v>
      </c>
      <c r="CY31" s="17">
        <f t="shared" si="34"/>
        <v>72</v>
      </c>
      <c r="CZ31" s="17">
        <f t="shared" si="35"/>
        <v>72</v>
      </c>
      <c r="DA31" s="17">
        <f t="shared" si="36"/>
        <v>72</v>
      </c>
      <c r="DB31" s="17">
        <f t="shared" si="37"/>
        <v>72</v>
      </c>
      <c r="DC31" s="17">
        <f t="shared" si="38"/>
        <v>72</v>
      </c>
      <c r="DH31" s="17">
        <f t="shared" si="72"/>
        <v>121.47928719052189</v>
      </c>
      <c r="DI31" s="17">
        <f t="shared" si="73"/>
        <v>121.49411884885473</v>
      </c>
      <c r="DJ31" s="17">
        <f t="shared" si="74"/>
        <v>121.97211685892326</v>
      </c>
      <c r="DK31" s="17">
        <f t="shared" si="75"/>
        <v>121.99245722798884</v>
      </c>
      <c r="DL31" s="17">
        <f t="shared" si="76"/>
        <v>122.26514676047371</v>
      </c>
      <c r="DM31" s="17">
        <f>武将升星!$AQ31</f>
        <v>1.1399999999999999</v>
      </c>
      <c r="DN31" s="17">
        <f>武将升星!$AQ76</f>
        <v>1.1399999999999999</v>
      </c>
      <c r="DO31" s="17">
        <f>武将升星!$AQ121</f>
        <v>1.1399999999999999</v>
      </c>
      <c r="DP31" s="17">
        <f>武将升星!$AQ166</f>
        <v>1.1399999999999999</v>
      </c>
      <c r="DQ31" s="17">
        <f>武将升星!$AQ211</f>
        <v>1.1399999999999999</v>
      </c>
      <c r="DS31" s="17">
        <v>28</v>
      </c>
      <c r="DT31" s="17">
        <f t="shared" si="77"/>
        <v>0.2157038163044005</v>
      </c>
      <c r="DU31" s="17">
        <f t="shared" si="78"/>
        <v>0.2253655917839395</v>
      </c>
      <c r="DV31" s="17">
        <f t="shared" si="79"/>
        <v>0.24750249037957342</v>
      </c>
      <c r="DW31" s="17">
        <f t="shared" si="80"/>
        <v>0.29760076987116357</v>
      </c>
      <c r="DX31" s="17">
        <f t="shared" si="81"/>
        <v>0.31989726828602827</v>
      </c>
      <c r="EC31" s="17">
        <f t="shared" si="82"/>
        <v>121.47928719052189</v>
      </c>
      <c r="ED31" s="17">
        <f t="shared" si="83"/>
        <v>121.49411884885473</v>
      </c>
      <c r="EE31" s="17">
        <f t="shared" si="84"/>
        <v>121.97211685892326</v>
      </c>
      <c r="EF31" s="17">
        <f t="shared" si="85"/>
        <v>121.99245722798884</v>
      </c>
      <c r="EG31" s="17">
        <f t="shared" si="86"/>
        <v>122.26514676047371</v>
      </c>
      <c r="EH31" s="17">
        <f>武将升星!$AW31</f>
        <v>0.80000000000000016</v>
      </c>
      <c r="EI31" s="17">
        <f>武将升星!$AW76</f>
        <v>0.80000000000000016</v>
      </c>
      <c r="EJ31" s="17">
        <f>武将升星!$AW121</f>
        <v>0.80000000000000016</v>
      </c>
      <c r="EK31" s="17">
        <f>武将升星!$AW166</f>
        <v>0.80000000000000016</v>
      </c>
      <c r="EL31" s="17">
        <f>武将升星!$AW211</f>
        <v>0.80000000000000016</v>
      </c>
      <c r="EN31" s="17">
        <v>28</v>
      </c>
      <c r="EO31" s="17">
        <f t="shared" si="50"/>
        <v>5.8164713271888178E-3</v>
      </c>
      <c r="EP31" s="17">
        <f t="shared" si="51"/>
        <v>1.3078073858029742E-2</v>
      </c>
      <c r="EQ31" s="17">
        <f t="shared" si="52"/>
        <v>3.4985828828109404E-2</v>
      </c>
      <c r="ER31" s="17">
        <f t="shared" si="53"/>
        <v>8.5050588695012072E-2</v>
      </c>
      <c r="ES31" s="17">
        <f t="shared" si="54"/>
        <v>0.10733636155385737</v>
      </c>
    </row>
    <row r="32" spans="2:149" x14ac:dyDescent="0.15">
      <c r="B32" s="16">
        <f>基础状态预期!D45</f>
        <v>125.02015904129435</v>
      </c>
      <c r="C32" s="16">
        <f>基础状态预期!D90</f>
        <v>125.03100311549058</v>
      </c>
      <c r="D32" s="16">
        <f>基础状态预期!D135</f>
        <v>125.41953077529134</v>
      </c>
      <c r="E32" s="16">
        <f>基础状态预期!D180</f>
        <v>125.43876546297123</v>
      </c>
      <c r="F32" s="16">
        <f>基础状态预期!D225</f>
        <v>125.84855083483956</v>
      </c>
      <c r="G32" s="16">
        <f>武将升星!AK32</f>
        <v>148</v>
      </c>
      <c r="H32" s="16">
        <f>武将升星!AK77</f>
        <v>148</v>
      </c>
      <c r="I32" s="16">
        <f>武将升星!AK122</f>
        <v>148</v>
      </c>
      <c r="J32" s="16">
        <f>武将升星!AK167</f>
        <v>148</v>
      </c>
      <c r="K32" s="16">
        <f>武将升星!AK212</f>
        <v>148</v>
      </c>
      <c r="L32" s="34">
        <f>武将升星!AK32/G32</f>
        <v>1</v>
      </c>
      <c r="P32" s="16">
        <v>29</v>
      </c>
      <c r="Q32" s="16">
        <f t="shared" si="0"/>
        <v>85.515210712567026</v>
      </c>
      <c r="R32" s="16">
        <f t="shared" si="1"/>
        <v>86.319995992180083</v>
      </c>
      <c r="S32" s="16">
        <f t="shared" si="2"/>
        <v>88.05735431697849</v>
      </c>
      <c r="T32" s="16">
        <f t="shared" si="3"/>
        <v>91.933396756395723</v>
      </c>
      <c r="U32" s="16">
        <f t="shared" si="4"/>
        <v>93.452334895336605</v>
      </c>
      <c r="Z32" s="16">
        <f t="shared" si="93"/>
        <v>125.02015904129435</v>
      </c>
      <c r="AA32" s="16">
        <f t="shared" si="94"/>
        <v>125.03100311549058</v>
      </c>
      <c r="AB32" s="16">
        <f t="shared" si="95"/>
        <v>125.41953077529134</v>
      </c>
      <c r="AC32" s="16">
        <f t="shared" si="96"/>
        <v>125.43876546297123</v>
      </c>
      <c r="AD32" s="16">
        <f t="shared" si="97"/>
        <v>125.84855083483956</v>
      </c>
      <c r="AE32" s="16">
        <f>武将升级!AD32+武将羁绊!AW35</f>
        <v>13482.071554238586</v>
      </c>
      <c r="AF32" s="16">
        <f>武将升级!AD77+武将羁绊!AW80</f>
        <v>13483.132104694978</v>
      </c>
      <c r="AG32" s="16">
        <f>武将升级!AD122+武将羁绊!AW125</f>
        <v>13521.130109823493</v>
      </c>
      <c r="AH32" s="16">
        <f>武将升级!AD167+武将羁绊!AW170</f>
        <v>13523.011262278587</v>
      </c>
      <c r="AI32" s="16">
        <f>武将升级!AD212+武将羁绊!AW215</f>
        <v>13563.08827164731</v>
      </c>
      <c r="AJ32" s="34">
        <f>武将升级!AD32/AE32</f>
        <v>0.61349693251533743</v>
      </c>
      <c r="AK32" s="34">
        <f>武将羁绊!AW35/AE32</f>
        <v>0.38650306748466262</v>
      </c>
      <c r="AM32" s="16">
        <v>29</v>
      </c>
      <c r="AN32" s="16">
        <f t="shared" si="9"/>
        <v>2714.5808371530511</v>
      </c>
      <c r="AO32" s="16">
        <f t="shared" si="10"/>
        <v>2743.663067190821</v>
      </c>
      <c r="AP32" s="16">
        <f t="shared" si="11"/>
        <v>2800.1412046002793</v>
      </c>
      <c r="AQ32" s="16">
        <f t="shared" si="12"/>
        <v>2975.9326409206697</v>
      </c>
      <c r="AR32" s="16">
        <f t="shared" si="13"/>
        <v>3148.8908813500989</v>
      </c>
      <c r="AU32" s="17">
        <f t="shared" si="98"/>
        <v>125.02015904129435</v>
      </c>
      <c r="AV32" s="17">
        <f t="shared" si="99"/>
        <v>125.03100311549058</v>
      </c>
      <c r="AW32" s="17">
        <f t="shared" si="100"/>
        <v>125.41953077529134</v>
      </c>
      <c r="AX32" s="17">
        <f t="shared" si="101"/>
        <v>125.43876546297123</v>
      </c>
      <c r="AY32" s="17">
        <f t="shared" si="102"/>
        <v>125.84855083483956</v>
      </c>
      <c r="AZ32" s="17">
        <f>(武将升级!AJ32+武将羁绊!AW35)</f>
        <v>13482.071554238586</v>
      </c>
      <c r="BA32" s="17">
        <f>(武将升级!AJ77+武将羁绊!AW80)</f>
        <v>13483.132104694978</v>
      </c>
      <c r="BB32" s="17">
        <f>(武将升级!AJ122+武将羁绊!AW125)</f>
        <v>13521.130109823493</v>
      </c>
      <c r="BC32" s="17">
        <f>(武将升级!AJ167+武将羁绊!AW170)</f>
        <v>13523.011262278587</v>
      </c>
      <c r="BD32" s="17">
        <f>(武将升级!AJ212+武将羁绊!AW215)</f>
        <v>13563.08827164731</v>
      </c>
      <c r="BE32" s="34">
        <f>武将升级!AJ32/AZ32</f>
        <v>0.61349693251533743</v>
      </c>
      <c r="BF32" s="34">
        <f>武将羁绊!AW35/AZ32</f>
        <v>0.38650306748466262</v>
      </c>
      <c r="BH32" s="17">
        <v>29</v>
      </c>
      <c r="BI32" s="17">
        <f t="shared" si="56"/>
        <v>2714.5808371530511</v>
      </c>
      <c r="BJ32" s="17">
        <f t="shared" si="57"/>
        <v>2743.663067190821</v>
      </c>
      <c r="BK32" s="17">
        <f t="shared" si="58"/>
        <v>2800.1412046002793</v>
      </c>
      <c r="BL32" s="17">
        <f t="shared" si="59"/>
        <v>2975.9326409206697</v>
      </c>
      <c r="BM32" s="17">
        <f t="shared" si="60"/>
        <v>3148.8908813500989</v>
      </c>
      <c r="BR32" s="17">
        <f t="shared" si="61"/>
        <v>125.02015904129435</v>
      </c>
      <c r="BS32" s="17">
        <f t="shared" si="62"/>
        <v>125.03100311549058</v>
      </c>
      <c r="BT32" s="17">
        <f t="shared" si="63"/>
        <v>125.41953077529134</v>
      </c>
      <c r="BU32" s="17">
        <f t="shared" si="64"/>
        <v>125.43876546297123</v>
      </c>
      <c r="BV32" s="17">
        <f t="shared" si="65"/>
        <v>125.84855083483956</v>
      </c>
      <c r="BW32" s="17">
        <f>武将升级!AP32</f>
        <v>3490.4031808258865</v>
      </c>
      <c r="BX32" s="17">
        <f>武将升级!AP77</f>
        <v>3490.6200623098116</v>
      </c>
      <c r="BY32" s="17">
        <f>武将升级!AP122</f>
        <v>3498.3906155058266</v>
      </c>
      <c r="BZ32" s="17">
        <f>武将升级!AP167</f>
        <v>3498.7753092594248</v>
      </c>
      <c r="CA32" s="17">
        <f>武将升级!AP212</f>
        <v>3506.9710166967911</v>
      </c>
      <c r="CC32" s="17">
        <v>29</v>
      </c>
      <c r="CD32" s="17">
        <f t="shared" si="88"/>
        <v>1570</v>
      </c>
      <c r="CE32" s="17">
        <f t="shared" si="89"/>
        <v>1570</v>
      </c>
      <c r="CF32" s="17">
        <f t="shared" si="90"/>
        <v>1570</v>
      </c>
      <c r="CG32" s="17">
        <f t="shared" si="91"/>
        <v>1570</v>
      </c>
      <c r="CH32" s="17">
        <f t="shared" si="92"/>
        <v>1570</v>
      </c>
      <c r="CM32" s="17">
        <f t="shared" si="67"/>
        <v>125.02015904129435</v>
      </c>
      <c r="CN32" s="17">
        <f t="shared" si="68"/>
        <v>125.03100311549058</v>
      </c>
      <c r="CO32" s="17">
        <f t="shared" si="69"/>
        <v>125.41953077529134</v>
      </c>
      <c r="CP32" s="17">
        <f t="shared" si="70"/>
        <v>125.43876546297123</v>
      </c>
      <c r="CQ32" s="17">
        <f t="shared" si="71"/>
        <v>125.84855083483956</v>
      </c>
      <c r="CR32" s="17">
        <f>武将升级!AV32</f>
        <v>269.04031808258867</v>
      </c>
      <c r="CS32" s="17">
        <f>武将升级!AV77</f>
        <v>269.06200623098118</v>
      </c>
      <c r="CT32" s="17">
        <f>武将升级!AV122</f>
        <v>269.83906155058264</v>
      </c>
      <c r="CU32" s="17">
        <f>武将升级!AV167</f>
        <v>269.87753092594244</v>
      </c>
      <c r="CV32" s="17">
        <f>武将升级!AV212</f>
        <v>270.69710166967911</v>
      </c>
      <c r="CX32" s="17">
        <v>29</v>
      </c>
      <c r="CY32" s="17">
        <f t="shared" si="34"/>
        <v>74</v>
      </c>
      <c r="CZ32" s="17">
        <f t="shared" si="35"/>
        <v>74</v>
      </c>
      <c r="DA32" s="17">
        <f t="shared" si="36"/>
        <v>74</v>
      </c>
      <c r="DB32" s="17">
        <f t="shared" si="37"/>
        <v>74</v>
      </c>
      <c r="DC32" s="17">
        <f t="shared" si="38"/>
        <v>74</v>
      </c>
      <c r="DH32" s="17">
        <f t="shared" si="72"/>
        <v>125.02015904129435</v>
      </c>
      <c r="DI32" s="17">
        <f t="shared" si="73"/>
        <v>125.03100311549058</v>
      </c>
      <c r="DJ32" s="17">
        <f t="shared" si="74"/>
        <v>125.41953077529134</v>
      </c>
      <c r="DK32" s="17">
        <f t="shared" si="75"/>
        <v>125.43876546297123</v>
      </c>
      <c r="DL32" s="17">
        <f t="shared" si="76"/>
        <v>125.84855083483956</v>
      </c>
      <c r="DM32" s="17">
        <f>武将升星!$AQ32</f>
        <v>1.1399999999999999</v>
      </c>
      <c r="DN32" s="17">
        <f>武将升星!$AQ77</f>
        <v>1.1399999999999999</v>
      </c>
      <c r="DO32" s="17">
        <f>武将升星!$AQ122</f>
        <v>1.1399999999999999</v>
      </c>
      <c r="DP32" s="17">
        <f>武将升星!$AQ167</f>
        <v>1.1399999999999999</v>
      </c>
      <c r="DQ32" s="17">
        <f>武将升星!$AQ212</f>
        <v>1.1399999999999999</v>
      </c>
      <c r="DS32" s="17">
        <v>29</v>
      </c>
      <c r="DT32" s="17">
        <f t="shared" si="77"/>
        <v>0.22039549478883416</v>
      </c>
      <c r="DU32" s="17">
        <f t="shared" si="78"/>
        <v>0.23157549925365437</v>
      </c>
      <c r="DV32" s="17">
        <f t="shared" si="79"/>
        <v>0.25626693844105436</v>
      </c>
      <c r="DW32" s="17">
        <f t="shared" si="80"/>
        <v>0.31099769350902018</v>
      </c>
      <c r="DX32" s="17">
        <f t="shared" si="81"/>
        <v>0.33241265203050546</v>
      </c>
      <c r="EC32" s="17">
        <f t="shared" si="82"/>
        <v>125.02015904129435</v>
      </c>
      <c r="ED32" s="17">
        <f t="shared" si="83"/>
        <v>125.03100311549058</v>
      </c>
      <c r="EE32" s="17">
        <f t="shared" si="84"/>
        <v>125.41953077529134</v>
      </c>
      <c r="EF32" s="17">
        <f t="shared" si="85"/>
        <v>125.43876546297123</v>
      </c>
      <c r="EG32" s="17">
        <f t="shared" si="86"/>
        <v>125.84855083483956</v>
      </c>
      <c r="EH32" s="17">
        <f>武将升星!$AW32</f>
        <v>0.80000000000000016</v>
      </c>
      <c r="EI32" s="17">
        <f>武将升星!$AW77</f>
        <v>0.80000000000000016</v>
      </c>
      <c r="EJ32" s="17">
        <f>武将升星!$AW122</f>
        <v>0.80000000000000016</v>
      </c>
      <c r="EK32" s="17">
        <f>武将升星!$AW167</f>
        <v>0.80000000000000016</v>
      </c>
      <c r="EL32" s="17">
        <f>武将升星!$AW212</f>
        <v>0.80000000000000016</v>
      </c>
      <c r="EN32" s="17">
        <v>29</v>
      </c>
      <c r="EO32" s="17">
        <f t="shared" si="50"/>
        <v>9.3761644547068826E-3</v>
      </c>
      <c r="EP32" s="17">
        <f t="shared" si="51"/>
        <v>1.8479943890521211E-2</v>
      </c>
      <c r="EQ32" s="17">
        <f t="shared" si="52"/>
        <v>4.280296043769892E-2</v>
      </c>
      <c r="ER32" s="17">
        <f t="shared" si="53"/>
        <v>9.7067554589540167E-2</v>
      </c>
      <c r="ES32" s="17">
        <f t="shared" si="54"/>
        <v>0.11833268853471259</v>
      </c>
    </row>
    <row r="33" spans="2:149" x14ac:dyDescent="0.15">
      <c r="B33" s="16">
        <f>基础状态预期!D46</f>
        <v>128.56549059889721</v>
      </c>
      <c r="C33" s="16">
        <f>基础状态预期!D91</f>
        <v>128.62542789463421</v>
      </c>
      <c r="D33" s="16">
        <f>基础状态预期!D136</f>
        <v>129.09045404756728</v>
      </c>
      <c r="E33" s="16">
        <f>基础状态预期!D181</f>
        <v>129.12105302323599</v>
      </c>
      <c r="F33" s="16">
        <f>基础状态预期!D226</f>
        <v>129.43528964176323</v>
      </c>
      <c r="G33" s="16">
        <f>武将升星!AK33</f>
        <v>148</v>
      </c>
      <c r="H33" s="16">
        <f>武将升星!AK78</f>
        <v>148</v>
      </c>
      <c r="I33" s="16">
        <f>武将升星!AK123</f>
        <v>148</v>
      </c>
      <c r="J33" s="16">
        <f>武将升星!AK168</f>
        <v>148</v>
      </c>
      <c r="K33" s="16">
        <f>武将升星!AK213</f>
        <v>148</v>
      </c>
      <c r="L33" s="34">
        <f>武将升星!AK33/G33</f>
        <v>1</v>
      </c>
      <c r="P33" s="16">
        <v>30</v>
      </c>
      <c r="Q33" s="16">
        <f t="shared" si="0"/>
        <v>85.816630577410308</v>
      </c>
      <c r="R33" s="16">
        <f t="shared" si="1"/>
        <v>86.705843851643763</v>
      </c>
      <c r="S33" s="16">
        <f t="shared" si="2"/>
        <v>88.615720860520597</v>
      </c>
      <c r="T33" s="16">
        <f t="shared" si="3"/>
        <v>92.791751463147733</v>
      </c>
      <c r="U33" s="16">
        <f t="shared" si="4"/>
        <v>94.237786822540556</v>
      </c>
      <c r="Z33" s="16">
        <f t="shared" si="93"/>
        <v>128.56549059889721</v>
      </c>
      <c r="AA33" s="16">
        <f t="shared" si="94"/>
        <v>128.62542789463421</v>
      </c>
      <c r="AB33" s="16">
        <f t="shared" si="95"/>
        <v>129.09045404756728</v>
      </c>
      <c r="AC33" s="16">
        <f t="shared" si="96"/>
        <v>129.12105302323599</v>
      </c>
      <c r="AD33" s="16">
        <f t="shared" si="97"/>
        <v>129.43528964176323</v>
      </c>
      <c r="AE33" s="16">
        <f>武将升级!AD33+武将羁绊!AW36</f>
        <v>13828.804980572148</v>
      </c>
      <c r="AF33" s="16">
        <f>武将升级!AD78+武将羁绊!AW81</f>
        <v>13834.666848095228</v>
      </c>
      <c r="AG33" s="16">
        <f>武将升级!AD123+武将羁绊!AW126</f>
        <v>13880.14640585208</v>
      </c>
      <c r="AH33" s="16">
        <f>武将升级!AD168+武将羁绊!AW171</f>
        <v>13883.138985672478</v>
      </c>
      <c r="AI33" s="16">
        <f>武将升级!AD213+武将羁绊!AW216</f>
        <v>13913.871326964445</v>
      </c>
      <c r="AJ33" s="34">
        <f>武将升级!AD33/AE33</f>
        <v>0.61349693251533743</v>
      </c>
      <c r="AK33" s="34">
        <f>武将羁绊!AW36/AE33</f>
        <v>0.38650306748466257</v>
      </c>
      <c r="AM33" s="16">
        <v>30</v>
      </c>
      <c r="AN33" s="16">
        <f t="shared" si="9"/>
        <v>2787.5732499591149</v>
      </c>
      <c r="AO33" s="16">
        <f t="shared" si="10"/>
        <v>2819.5859802969612</v>
      </c>
      <c r="AP33" s="16">
        <f t="shared" si="11"/>
        <v>2881.44733664676</v>
      </c>
      <c r="AQ33" s="16">
        <f t="shared" si="12"/>
        <v>3068.1336180009394</v>
      </c>
      <c r="AR33" s="16">
        <f t="shared" si="13"/>
        <v>3249.0182463706474</v>
      </c>
      <c r="AU33" s="17">
        <f t="shared" si="98"/>
        <v>128.56549059889721</v>
      </c>
      <c r="AV33" s="17">
        <f t="shared" si="99"/>
        <v>128.62542789463421</v>
      </c>
      <c r="AW33" s="17">
        <f t="shared" si="100"/>
        <v>129.09045404756728</v>
      </c>
      <c r="AX33" s="17">
        <f t="shared" si="101"/>
        <v>129.12105302323599</v>
      </c>
      <c r="AY33" s="17">
        <f t="shared" si="102"/>
        <v>129.43528964176323</v>
      </c>
      <c r="AZ33" s="17">
        <f>(武将升级!AJ33+武将羁绊!AW36)</f>
        <v>13828.804980572148</v>
      </c>
      <c r="BA33" s="17">
        <f>(武将升级!AJ78+武将羁绊!AW81)</f>
        <v>13834.666848095228</v>
      </c>
      <c r="BB33" s="17">
        <f>(武将升级!AJ123+武将羁绊!AW126)</f>
        <v>13880.14640585208</v>
      </c>
      <c r="BC33" s="17">
        <f>(武将升级!AJ168+武将羁绊!AW171)</f>
        <v>13883.138985672478</v>
      </c>
      <c r="BD33" s="17">
        <f>(武将升级!AJ213+武将羁绊!AW216)</f>
        <v>13913.871326964445</v>
      </c>
      <c r="BE33" s="34">
        <f>武将升级!AJ33/AZ33</f>
        <v>0.61349693251533743</v>
      </c>
      <c r="BF33" s="34">
        <f>武将羁绊!AW36/AZ33</f>
        <v>0.38650306748466257</v>
      </c>
      <c r="BH33" s="17">
        <v>30</v>
      </c>
      <c r="BI33" s="17">
        <f t="shared" si="56"/>
        <v>2787.5732499591149</v>
      </c>
      <c r="BJ33" s="17">
        <f t="shared" si="57"/>
        <v>2819.5859802969612</v>
      </c>
      <c r="BK33" s="17">
        <f t="shared" si="58"/>
        <v>2881.44733664676</v>
      </c>
      <c r="BL33" s="17">
        <f t="shared" si="59"/>
        <v>3068.1336180009394</v>
      </c>
      <c r="BM33" s="17">
        <f t="shared" si="60"/>
        <v>3249.0182463706474</v>
      </c>
      <c r="BR33" s="17">
        <f t="shared" si="61"/>
        <v>128.56549059889721</v>
      </c>
      <c r="BS33" s="17">
        <f t="shared" si="62"/>
        <v>128.62542789463421</v>
      </c>
      <c r="BT33" s="17">
        <f t="shared" si="63"/>
        <v>129.09045404756728</v>
      </c>
      <c r="BU33" s="17">
        <f t="shared" si="64"/>
        <v>129.12105302323599</v>
      </c>
      <c r="BV33" s="17">
        <f t="shared" si="65"/>
        <v>129.43528964176323</v>
      </c>
      <c r="BW33" s="17">
        <f>武将升级!AP33</f>
        <v>3561.3098119779443</v>
      </c>
      <c r="BX33" s="17">
        <f>武将升级!AP78</f>
        <v>3562.5085578926842</v>
      </c>
      <c r="BY33" s="17">
        <f>武将升级!AP123</f>
        <v>3571.8090809513455</v>
      </c>
      <c r="BZ33" s="17">
        <f>武将升级!AP168</f>
        <v>3572.4210604647196</v>
      </c>
      <c r="CA33" s="17">
        <f>武将升级!AP213</f>
        <v>3578.7057928352647</v>
      </c>
      <c r="CC33" s="17">
        <v>30</v>
      </c>
      <c r="CD33" s="17">
        <f t="shared" si="88"/>
        <v>1590</v>
      </c>
      <c r="CE33" s="17">
        <f t="shared" si="89"/>
        <v>1590</v>
      </c>
      <c r="CF33" s="17">
        <f t="shared" si="90"/>
        <v>1590</v>
      </c>
      <c r="CG33" s="17">
        <f t="shared" si="91"/>
        <v>1590</v>
      </c>
      <c r="CH33" s="17">
        <f t="shared" si="92"/>
        <v>1590</v>
      </c>
      <c r="CM33" s="17">
        <f t="shared" si="67"/>
        <v>128.56549059889721</v>
      </c>
      <c r="CN33" s="17">
        <f t="shared" si="68"/>
        <v>128.62542789463421</v>
      </c>
      <c r="CO33" s="17">
        <f t="shared" si="69"/>
        <v>129.09045404756728</v>
      </c>
      <c r="CP33" s="17">
        <f t="shared" si="70"/>
        <v>129.12105302323599</v>
      </c>
      <c r="CQ33" s="17">
        <f t="shared" si="71"/>
        <v>129.43528964176323</v>
      </c>
      <c r="CR33" s="17">
        <f>武将升级!AV33</f>
        <v>276.13098119779443</v>
      </c>
      <c r="CS33" s="17">
        <f>武将升级!AV78</f>
        <v>276.25085578926843</v>
      </c>
      <c r="CT33" s="17">
        <f>武将升级!AV123</f>
        <v>277.18090809513455</v>
      </c>
      <c r="CU33" s="17">
        <f>武将升级!AV168</f>
        <v>277.24210604647197</v>
      </c>
      <c r="CV33" s="17">
        <f>武将升级!AV213</f>
        <v>277.87057928352647</v>
      </c>
      <c r="CX33" s="17">
        <v>30</v>
      </c>
      <c r="CY33" s="17">
        <f t="shared" si="34"/>
        <v>76</v>
      </c>
      <c r="CZ33" s="17">
        <f t="shared" si="35"/>
        <v>76</v>
      </c>
      <c r="DA33" s="17">
        <f t="shared" si="36"/>
        <v>76</v>
      </c>
      <c r="DB33" s="17">
        <f t="shared" si="37"/>
        <v>76</v>
      </c>
      <c r="DC33" s="17">
        <f t="shared" si="38"/>
        <v>76</v>
      </c>
      <c r="DH33" s="17">
        <f t="shared" si="72"/>
        <v>128.56549059889721</v>
      </c>
      <c r="DI33" s="17">
        <f t="shared" si="73"/>
        <v>128.62542789463421</v>
      </c>
      <c r="DJ33" s="17">
        <f t="shared" si="74"/>
        <v>129.09045404756728</v>
      </c>
      <c r="DK33" s="17">
        <f t="shared" si="75"/>
        <v>129.12105302323599</v>
      </c>
      <c r="DL33" s="17">
        <f t="shared" si="76"/>
        <v>129.43528964176323</v>
      </c>
      <c r="DM33" s="17">
        <f>武将升星!$AQ33</f>
        <v>1.1399999999999999</v>
      </c>
      <c r="DN33" s="17">
        <f>武将升星!$AQ78</f>
        <v>1.1399999999999999</v>
      </c>
      <c r="DO33" s="17">
        <f>武将升星!$AQ123</f>
        <v>1.1399999999999999</v>
      </c>
      <c r="DP33" s="17">
        <f>武将升星!$AQ168</f>
        <v>1.1399999999999999</v>
      </c>
      <c r="DQ33" s="17">
        <f>武将升星!$AQ213</f>
        <v>1.1399999999999999</v>
      </c>
      <c r="DS33" s="17">
        <v>30</v>
      </c>
      <c r="DT33" s="17">
        <f t="shared" si="77"/>
        <v>0.22527721733099138</v>
      </c>
      <c r="DU33" s="17">
        <f t="shared" si="78"/>
        <v>0.23778540672336923</v>
      </c>
      <c r="DV33" s="17">
        <f t="shared" si="79"/>
        <v>0.26503138650253527</v>
      </c>
      <c r="DW33" s="17">
        <f t="shared" si="80"/>
        <v>0.32439461714687684</v>
      </c>
      <c r="DX33" s="17">
        <f t="shared" si="81"/>
        <v>0.34492803577498266</v>
      </c>
      <c r="EC33" s="17">
        <f t="shared" si="82"/>
        <v>128.56549059889721</v>
      </c>
      <c r="ED33" s="17">
        <f t="shared" si="83"/>
        <v>128.62542789463421</v>
      </c>
      <c r="EE33" s="17">
        <f t="shared" si="84"/>
        <v>129.09045404756728</v>
      </c>
      <c r="EF33" s="17">
        <f t="shared" si="85"/>
        <v>129.12105302323599</v>
      </c>
      <c r="EG33" s="17">
        <f t="shared" si="86"/>
        <v>129.43528964176323</v>
      </c>
      <c r="EH33" s="17">
        <f>武将升星!$AW33</f>
        <v>0.80000000000000016</v>
      </c>
      <c r="EI33" s="17">
        <f>武将升星!$AW78</f>
        <v>0.80000000000000016</v>
      </c>
      <c r="EJ33" s="17">
        <f>武将升星!$AW123</f>
        <v>0.80000000000000016</v>
      </c>
      <c r="EK33" s="17">
        <f>武将升星!$AW168</f>
        <v>0.80000000000000016</v>
      </c>
      <c r="EL33" s="17">
        <f>武将升星!$AW213</f>
        <v>0.80000000000000016</v>
      </c>
      <c r="EN33" s="17">
        <v>30</v>
      </c>
      <c r="EO33" s="17">
        <f t="shared" si="50"/>
        <v>1.3208782152140809E-2</v>
      </c>
      <c r="EP33" s="17">
        <f t="shared" si="51"/>
        <v>2.3881813923012675E-2</v>
      </c>
      <c r="EQ33" s="17">
        <f t="shared" si="52"/>
        <v>5.0620092047288436E-2</v>
      </c>
      <c r="ER33" s="17">
        <f t="shared" si="53"/>
        <v>0.10908452048406825</v>
      </c>
      <c r="ES33" s="17">
        <f t="shared" si="54"/>
        <v>0.1293290155155678</v>
      </c>
    </row>
    <row r="34" spans="2:149" x14ac:dyDescent="0.15">
      <c r="B34" s="16">
        <f>基础状态预期!D47</f>
        <v>132.07530828871487</v>
      </c>
      <c r="C34" s="16">
        <f>基础状态预期!D92</f>
        <v>132.09902390525281</v>
      </c>
      <c r="D34" s="16">
        <f>基础状态预期!D137</f>
        <v>132.53488795708068</v>
      </c>
      <c r="E34" s="16">
        <f>基础状态预期!D182</f>
        <v>132.61179169042359</v>
      </c>
      <c r="F34" s="16">
        <f>基础状态预期!D227</f>
        <v>133.03192104200832</v>
      </c>
      <c r="G34" s="16">
        <f>武将升星!AK34</f>
        <v>148</v>
      </c>
      <c r="H34" s="16">
        <f>武将升星!AK79</f>
        <v>148</v>
      </c>
      <c r="I34" s="16">
        <f>武将升星!AK124</f>
        <v>148</v>
      </c>
      <c r="J34" s="16">
        <f>武将升星!AK169</f>
        <v>148</v>
      </c>
      <c r="K34" s="16">
        <f>武将升星!AK214</f>
        <v>148</v>
      </c>
      <c r="L34" s="34">
        <f>武将升星!AK34/G34</f>
        <v>1</v>
      </c>
      <c r="P34" s="16">
        <v>31</v>
      </c>
      <c r="Q34" s="16">
        <f t="shared" si="0"/>
        <v>86.118050442253605</v>
      </c>
      <c r="R34" s="16">
        <f t="shared" si="1"/>
        <v>87.09169171110743</v>
      </c>
      <c r="S34" s="16">
        <f t="shared" si="2"/>
        <v>89.174087404062703</v>
      </c>
      <c r="T34" s="16">
        <f t="shared" si="3"/>
        <v>93.650106169899743</v>
      </c>
      <c r="U34" s="16">
        <f t="shared" si="4"/>
        <v>95.023238749744507</v>
      </c>
      <c r="Z34" s="16">
        <f t="shared" si="93"/>
        <v>132.07530828871487</v>
      </c>
      <c r="AA34" s="16">
        <f t="shared" si="94"/>
        <v>132.09902390525281</v>
      </c>
      <c r="AB34" s="16">
        <f t="shared" si="95"/>
        <v>132.53488795708068</v>
      </c>
      <c r="AC34" s="16">
        <f t="shared" si="96"/>
        <v>132.61179169042359</v>
      </c>
      <c r="AD34" s="16">
        <f t="shared" si="97"/>
        <v>133.03192104200832</v>
      </c>
      <c r="AE34" s="16">
        <f>武将升级!AD34+武将羁绊!AW37</f>
        <v>14172.065150636314</v>
      </c>
      <c r="AF34" s="16">
        <f>武将升级!AD79+武将羁绊!AW82</f>
        <v>14174.384537933725</v>
      </c>
      <c r="AG34" s="16">
        <f>武将升级!AD124+武将羁绊!AW127</f>
        <v>14217.012042202492</v>
      </c>
      <c r="AH34" s="16">
        <f>武将升级!AD169+武将羁绊!AW172</f>
        <v>14224.533227323427</v>
      </c>
      <c r="AI34" s="16">
        <f>武将升级!AD214+武将羁绊!AW217</f>
        <v>14265.621877908412</v>
      </c>
      <c r="AJ34" s="34">
        <f>武将升级!AD34/AE34</f>
        <v>0.61349693251533743</v>
      </c>
      <c r="AK34" s="34">
        <f>武将羁绊!AW37/AE34</f>
        <v>0.38650306748466251</v>
      </c>
      <c r="AM34" s="16">
        <v>31</v>
      </c>
      <c r="AN34" s="16">
        <f t="shared" si="9"/>
        <v>2860.5656627651788</v>
      </c>
      <c r="AO34" s="16">
        <f t="shared" si="10"/>
        <v>2895.5088934031014</v>
      </c>
      <c r="AP34" s="16">
        <f t="shared" si="11"/>
        <v>2962.7534686932413</v>
      </c>
      <c r="AQ34" s="16">
        <f t="shared" si="12"/>
        <v>3160.334595081209</v>
      </c>
      <c r="AR34" s="16">
        <f t="shared" si="13"/>
        <v>3349.1456113911959</v>
      </c>
      <c r="AU34" s="17">
        <f t="shared" si="98"/>
        <v>132.07530828871487</v>
      </c>
      <c r="AV34" s="17">
        <f t="shared" si="99"/>
        <v>132.09902390525281</v>
      </c>
      <c r="AW34" s="17">
        <f t="shared" si="100"/>
        <v>132.53488795708068</v>
      </c>
      <c r="AX34" s="17">
        <f t="shared" si="101"/>
        <v>132.61179169042359</v>
      </c>
      <c r="AY34" s="17">
        <f t="shared" si="102"/>
        <v>133.03192104200832</v>
      </c>
      <c r="AZ34" s="17">
        <f>(武将升级!AJ34+武将羁绊!AW37)</f>
        <v>14172.065150636314</v>
      </c>
      <c r="BA34" s="17">
        <f>(武将升级!AJ79+武将羁绊!AW82)</f>
        <v>14174.384537933725</v>
      </c>
      <c r="BB34" s="17">
        <f>(武将升级!AJ124+武将羁绊!AW127)</f>
        <v>14217.012042202492</v>
      </c>
      <c r="BC34" s="17">
        <f>(武将升级!AJ169+武将羁绊!AW172)</f>
        <v>14224.533227323427</v>
      </c>
      <c r="BD34" s="17">
        <f>(武将升级!AJ214+武将羁绊!AW217)</f>
        <v>14265.621877908412</v>
      </c>
      <c r="BE34" s="34">
        <f>武将升级!AJ34/AZ34</f>
        <v>0.61349693251533743</v>
      </c>
      <c r="BF34" s="34">
        <f>武将羁绊!AW37/AZ34</f>
        <v>0.38650306748466251</v>
      </c>
      <c r="BH34" s="17">
        <v>31</v>
      </c>
      <c r="BI34" s="17">
        <f t="shared" si="56"/>
        <v>2860.5656627651788</v>
      </c>
      <c r="BJ34" s="17">
        <f t="shared" si="57"/>
        <v>2895.5088934031014</v>
      </c>
      <c r="BK34" s="17">
        <f t="shared" si="58"/>
        <v>2962.7534686932413</v>
      </c>
      <c r="BL34" s="17">
        <f t="shared" si="59"/>
        <v>3160.334595081209</v>
      </c>
      <c r="BM34" s="17">
        <f t="shared" si="60"/>
        <v>3349.1456113911959</v>
      </c>
      <c r="BR34" s="17">
        <f t="shared" si="61"/>
        <v>132.07530828871487</v>
      </c>
      <c r="BS34" s="17">
        <f t="shared" si="62"/>
        <v>132.09902390525281</v>
      </c>
      <c r="BT34" s="17">
        <f t="shared" si="63"/>
        <v>132.53488795708068</v>
      </c>
      <c r="BU34" s="17">
        <f t="shared" si="64"/>
        <v>132.61179169042359</v>
      </c>
      <c r="BV34" s="17">
        <f t="shared" si="65"/>
        <v>133.03192104200832</v>
      </c>
      <c r="BW34" s="17">
        <f>武将升级!AP34</f>
        <v>3631.5061657742972</v>
      </c>
      <c r="BX34" s="17">
        <f>武将升级!AP79</f>
        <v>3631.9804781050566</v>
      </c>
      <c r="BY34" s="17">
        <f>武将升级!AP124</f>
        <v>3640.697759141613</v>
      </c>
      <c r="BZ34" s="17">
        <f>武将升级!AP169</f>
        <v>3642.2358338084719</v>
      </c>
      <c r="CA34" s="17">
        <f>武将升级!AP214</f>
        <v>3650.6384208401664</v>
      </c>
      <c r="CC34" s="17">
        <v>31</v>
      </c>
      <c r="CD34" s="17">
        <f t="shared" si="88"/>
        <v>1610</v>
      </c>
      <c r="CE34" s="17">
        <f t="shared" si="89"/>
        <v>1610</v>
      </c>
      <c r="CF34" s="17">
        <f t="shared" si="90"/>
        <v>1610</v>
      </c>
      <c r="CG34" s="17">
        <f t="shared" si="91"/>
        <v>1610</v>
      </c>
      <c r="CH34" s="17">
        <f t="shared" si="92"/>
        <v>1610</v>
      </c>
      <c r="CM34" s="17">
        <f t="shared" si="67"/>
        <v>132.07530828871487</v>
      </c>
      <c r="CN34" s="17">
        <f t="shared" si="68"/>
        <v>132.09902390525281</v>
      </c>
      <c r="CO34" s="17">
        <f t="shared" si="69"/>
        <v>132.53488795708068</v>
      </c>
      <c r="CP34" s="17">
        <f t="shared" si="70"/>
        <v>132.61179169042359</v>
      </c>
      <c r="CQ34" s="17">
        <f t="shared" si="71"/>
        <v>133.03192104200832</v>
      </c>
      <c r="CR34" s="17">
        <f>武将升级!AV34</f>
        <v>283.15061657742973</v>
      </c>
      <c r="CS34" s="17">
        <f>武将升级!AV79</f>
        <v>283.19804781050561</v>
      </c>
      <c r="CT34" s="17">
        <f>武将升级!AV124</f>
        <v>284.06977591416137</v>
      </c>
      <c r="CU34" s="17">
        <f>武将升级!AV169</f>
        <v>284.22358338084717</v>
      </c>
      <c r="CV34" s="17">
        <f>武将升级!AV214</f>
        <v>285.06384208401664</v>
      </c>
      <c r="CX34" s="17">
        <v>31</v>
      </c>
      <c r="CY34" s="17">
        <f t="shared" si="34"/>
        <v>78</v>
      </c>
      <c r="CZ34" s="17">
        <f t="shared" si="35"/>
        <v>78</v>
      </c>
      <c r="DA34" s="17">
        <f t="shared" si="36"/>
        <v>78</v>
      </c>
      <c r="DB34" s="17">
        <f t="shared" si="37"/>
        <v>78</v>
      </c>
      <c r="DC34" s="17">
        <f t="shared" si="38"/>
        <v>78</v>
      </c>
      <c r="DH34" s="17">
        <f t="shared" si="72"/>
        <v>132.07530828871487</v>
      </c>
      <c r="DI34" s="17">
        <f t="shared" si="73"/>
        <v>132.09902390525281</v>
      </c>
      <c r="DJ34" s="17">
        <f t="shared" si="74"/>
        <v>132.53488795708068</v>
      </c>
      <c r="DK34" s="17">
        <f t="shared" si="75"/>
        <v>132.61179169042359</v>
      </c>
      <c r="DL34" s="17">
        <f t="shared" si="76"/>
        <v>133.03192104200832</v>
      </c>
      <c r="DM34" s="17">
        <f>武将升星!$AQ34</f>
        <v>1.1399999999999999</v>
      </c>
      <c r="DN34" s="17">
        <f>武将升星!$AQ79</f>
        <v>1.1399999999999999</v>
      </c>
      <c r="DO34" s="17">
        <f>武将升星!$AQ124</f>
        <v>1.1399999999999999</v>
      </c>
      <c r="DP34" s="17">
        <f>武将升星!$AQ169</f>
        <v>1.1399999999999999</v>
      </c>
      <c r="DQ34" s="17">
        <f>武将升星!$AQ214</f>
        <v>1.1399999999999999</v>
      </c>
      <c r="DS34" s="17">
        <v>31</v>
      </c>
      <c r="DT34" s="17">
        <f t="shared" si="77"/>
        <v>0.23015893987314856</v>
      </c>
      <c r="DU34" s="17">
        <f t="shared" si="78"/>
        <v>0.24399531419308412</v>
      </c>
      <c r="DV34" s="17">
        <f t="shared" si="79"/>
        <v>0.27379583456401624</v>
      </c>
      <c r="DW34" s="17">
        <f t="shared" si="80"/>
        <v>0.33779154078473345</v>
      </c>
      <c r="DX34" s="17">
        <f t="shared" si="81"/>
        <v>0.35744341951945985</v>
      </c>
      <c r="EC34" s="17">
        <f t="shared" si="82"/>
        <v>132.07530828871487</v>
      </c>
      <c r="ED34" s="17">
        <f t="shared" si="83"/>
        <v>132.09902390525281</v>
      </c>
      <c r="EE34" s="17">
        <f t="shared" si="84"/>
        <v>132.53488795708068</v>
      </c>
      <c r="EF34" s="17">
        <f t="shared" si="85"/>
        <v>132.61179169042359</v>
      </c>
      <c r="EG34" s="17">
        <f t="shared" si="86"/>
        <v>133.03192104200832</v>
      </c>
      <c r="EH34" s="17">
        <f>武将升星!$AW34</f>
        <v>0.80000000000000016</v>
      </c>
      <c r="EI34" s="17">
        <f>武将升星!$AW79</f>
        <v>0.80000000000000016</v>
      </c>
      <c r="EJ34" s="17">
        <f>武将升星!$AW124</f>
        <v>0.80000000000000016</v>
      </c>
      <c r="EK34" s="17">
        <f>武将升星!$AW169</f>
        <v>0.80000000000000016</v>
      </c>
      <c r="EL34" s="17">
        <f>武将升星!$AW214</f>
        <v>0.80000000000000016</v>
      </c>
      <c r="EN34" s="17">
        <v>31</v>
      </c>
      <c r="EO34" s="17">
        <f t="shared" si="50"/>
        <v>1.7041399849574736E-2</v>
      </c>
      <c r="EP34" s="17">
        <f t="shared" si="51"/>
        <v>2.9283683955504139E-2</v>
      </c>
      <c r="EQ34" s="17">
        <f t="shared" si="52"/>
        <v>5.8437223656877951E-2</v>
      </c>
      <c r="ER34" s="17">
        <f t="shared" si="53"/>
        <v>0.12110148637859633</v>
      </c>
      <c r="ES34" s="17">
        <f t="shared" si="54"/>
        <v>0.14032534249642303</v>
      </c>
    </row>
    <row r="35" spans="2:149" x14ac:dyDescent="0.15">
      <c r="B35" s="16">
        <f>基础状态预期!D48</f>
        <v>135.54811255008914</v>
      </c>
      <c r="C35" s="16">
        <f>基础状态预期!D93</f>
        <v>135.61521761503846</v>
      </c>
      <c r="D35" s="16">
        <f>基础状态预期!D138</f>
        <v>136.07141427598387</v>
      </c>
      <c r="E35" s="16">
        <f>基础状态预期!D183</f>
        <v>136.12035534953262</v>
      </c>
      <c r="F35" s="16">
        <f>基础状态预期!D228</f>
        <v>136.45508882162355</v>
      </c>
      <c r="G35" s="16">
        <f>武将升星!AK35</f>
        <v>148</v>
      </c>
      <c r="H35" s="16">
        <f>武将升星!AK80</f>
        <v>148</v>
      </c>
      <c r="I35" s="16">
        <f>武将升星!AK125</f>
        <v>148</v>
      </c>
      <c r="J35" s="16">
        <f>武将升星!AK170</f>
        <v>148</v>
      </c>
      <c r="K35" s="16">
        <f>武将升星!AK215</f>
        <v>148</v>
      </c>
      <c r="L35" s="34">
        <f>武将升星!AK35/G35</f>
        <v>1</v>
      </c>
      <c r="P35" s="16">
        <v>32</v>
      </c>
      <c r="Q35" s="16">
        <f t="shared" si="0"/>
        <v>86.419470307096887</v>
      </c>
      <c r="R35" s="16">
        <f t="shared" si="1"/>
        <v>87.477539570571111</v>
      </c>
      <c r="S35" s="16">
        <f t="shared" si="2"/>
        <v>89.73245394760481</v>
      </c>
      <c r="T35" s="16">
        <f t="shared" si="3"/>
        <v>94.508460876651739</v>
      </c>
      <c r="U35" s="16">
        <f t="shared" si="4"/>
        <v>95.808690676948444</v>
      </c>
      <c r="Z35" s="16">
        <f t="shared" si="93"/>
        <v>135.54811255008914</v>
      </c>
      <c r="AA35" s="16">
        <f t="shared" si="94"/>
        <v>135.61521761503846</v>
      </c>
      <c r="AB35" s="16">
        <f t="shared" si="95"/>
        <v>136.07141427598387</v>
      </c>
      <c r="AC35" s="16">
        <f t="shared" si="96"/>
        <v>136.12035534953262</v>
      </c>
      <c r="AD35" s="16">
        <f t="shared" si="97"/>
        <v>136.45508882162355</v>
      </c>
      <c r="AE35" s="16">
        <f>武将升级!AD35+武将羁绊!AW38</f>
        <v>14511.705407398718</v>
      </c>
      <c r="AF35" s="16">
        <f>武将升级!AD80+武将羁绊!AW83</f>
        <v>14518.26828275076</v>
      </c>
      <c r="AG35" s="16">
        <f>武将升级!AD125+武将羁绊!AW128</f>
        <v>14562.884316191223</v>
      </c>
      <c r="AH35" s="16">
        <f>武将升级!AD170+武将羁绊!AW173</f>
        <v>14567.670753184288</v>
      </c>
      <c r="AI35" s="16">
        <f>武将升级!AD215+武将羁绊!AW218</f>
        <v>14600.407686754783</v>
      </c>
      <c r="AJ35" s="34">
        <f>武将升级!AD35/AE35</f>
        <v>0.61349693251533743</v>
      </c>
      <c r="AK35" s="34">
        <f>武将羁绊!AW38/AE35</f>
        <v>0.38650306748466257</v>
      </c>
      <c r="AM35" s="16">
        <v>32</v>
      </c>
      <c r="AN35" s="16">
        <f t="shared" si="9"/>
        <v>2933.5580755712426</v>
      </c>
      <c r="AO35" s="16">
        <f t="shared" si="10"/>
        <v>2971.4318065092416</v>
      </c>
      <c r="AP35" s="16">
        <f t="shared" si="11"/>
        <v>3044.0596007397226</v>
      </c>
      <c r="AQ35" s="16">
        <f t="shared" si="12"/>
        <v>3252.5355721614787</v>
      </c>
      <c r="AR35" s="16">
        <f t="shared" si="13"/>
        <v>3449.2729764117439</v>
      </c>
      <c r="AU35" s="17">
        <f t="shared" si="98"/>
        <v>135.54811255008914</v>
      </c>
      <c r="AV35" s="17">
        <f t="shared" si="99"/>
        <v>135.61521761503846</v>
      </c>
      <c r="AW35" s="17">
        <f t="shared" si="100"/>
        <v>136.07141427598387</v>
      </c>
      <c r="AX35" s="17">
        <f t="shared" si="101"/>
        <v>136.12035534953262</v>
      </c>
      <c r="AY35" s="17">
        <f t="shared" si="102"/>
        <v>136.45508882162355</v>
      </c>
      <c r="AZ35" s="17">
        <f>(武将升级!AJ35+武将羁绊!AW38)</f>
        <v>14511.705407398718</v>
      </c>
      <c r="BA35" s="17">
        <f>(武将升级!AJ80+武将羁绊!AW83)</f>
        <v>14518.26828275076</v>
      </c>
      <c r="BB35" s="17">
        <f>(武将升级!AJ125+武将羁绊!AW128)</f>
        <v>14562.884316191223</v>
      </c>
      <c r="BC35" s="17">
        <f>(武将升级!AJ170+武将羁绊!AW173)</f>
        <v>14567.670753184288</v>
      </c>
      <c r="BD35" s="17">
        <f>(武将升级!AJ215+武将羁绊!AW218)</f>
        <v>14600.407686754783</v>
      </c>
      <c r="BE35" s="34">
        <f>武将升级!AJ35/AZ35</f>
        <v>0.61349693251533743</v>
      </c>
      <c r="BF35" s="34">
        <f>武将羁绊!AW38/AZ35</f>
        <v>0.38650306748466257</v>
      </c>
      <c r="BH35" s="17">
        <v>32</v>
      </c>
      <c r="BI35" s="17">
        <f t="shared" si="56"/>
        <v>2933.5580755712426</v>
      </c>
      <c r="BJ35" s="17">
        <f t="shared" si="57"/>
        <v>2971.4318065092416</v>
      </c>
      <c r="BK35" s="17">
        <f t="shared" si="58"/>
        <v>3044.0596007397226</v>
      </c>
      <c r="BL35" s="17">
        <f t="shared" si="59"/>
        <v>3252.5355721614787</v>
      </c>
      <c r="BM35" s="17">
        <f t="shared" si="60"/>
        <v>3449.2729764117439</v>
      </c>
      <c r="BR35" s="17">
        <f t="shared" si="61"/>
        <v>135.54811255008914</v>
      </c>
      <c r="BS35" s="17">
        <f t="shared" si="62"/>
        <v>135.61521761503846</v>
      </c>
      <c r="BT35" s="17">
        <f t="shared" si="63"/>
        <v>136.07141427598387</v>
      </c>
      <c r="BU35" s="17">
        <f t="shared" si="64"/>
        <v>136.12035534953262</v>
      </c>
      <c r="BV35" s="17">
        <f t="shared" si="65"/>
        <v>136.45508882162355</v>
      </c>
      <c r="BW35" s="17">
        <f>武将升级!AP35</f>
        <v>3700.962251001783</v>
      </c>
      <c r="BX35" s="17">
        <f>武将升级!AP80</f>
        <v>3702.3043523007691</v>
      </c>
      <c r="BY35" s="17">
        <f>武将升级!AP125</f>
        <v>3711.4282855196775</v>
      </c>
      <c r="BZ35" s="17">
        <f>武将升级!AP170</f>
        <v>3712.4071069906518</v>
      </c>
      <c r="CA35" s="17">
        <f>武将升级!AP215</f>
        <v>3719.1017764324711</v>
      </c>
      <c r="CC35" s="17">
        <v>32</v>
      </c>
      <c r="CD35" s="17">
        <f t="shared" si="88"/>
        <v>1630</v>
      </c>
      <c r="CE35" s="17">
        <f t="shared" si="89"/>
        <v>1630</v>
      </c>
      <c r="CF35" s="17">
        <f t="shared" si="90"/>
        <v>1630</v>
      </c>
      <c r="CG35" s="17">
        <f t="shared" si="91"/>
        <v>1630</v>
      </c>
      <c r="CH35" s="17">
        <f t="shared" si="92"/>
        <v>1630.0000000000002</v>
      </c>
      <c r="CM35" s="17">
        <f t="shared" si="67"/>
        <v>135.54811255008914</v>
      </c>
      <c r="CN35" s="17">
        <f t="shared" si="68"/>
        <v>135.61521761503846</v>
      </c>
      <c r="CO35" s="17">
        <f t="shared" si="69"/>
        <v>136.07141427598387</v>
      </c>
      <c r="CP35" s="17">
        <f t="shared" si="70"/>
        <v>136.12035534953262</v>
      </c>
      <c r="CQ35" s="17">
        <f t="shared" si="71"/>
        <v>136.45508882162355</v>
      </c>
      <c r="CR35" s="17">
        <f>武将升级!AV35</f>
        <v>290.09622510017829</v>
      </c>
      <c r="CS35" s="17">
        <f>武将升级!AV80</f>
        <v>290.23043523007692</v>
      </c>
      <c r="CT35" s="17">
        <f>武将升级!AV125</f>
        <v>291.14282855196774</v>
      </c>
      <c r="CU35" s="17">
        <f>武将升级!AV170</f>
        <v>291.24071069906523</v>
      </c>
      <c r="CV35" s="17">
        <f>武将升级!AV215</f>
        <v>291.9101776432471</v>
      </c>
      <c r="CX35" s="17">
        <v>32</v>
      </c>
      <c r="CY35" s="17">
        <f t="shared" si="34"/>
        <v>80</v>
      </c>
      <c r="CZ35" s="17">
        <f t="shared" si="35"/>
        <v>80</v>
      </c>
      <c r="DA35" s="17">
        <f t="shared" si="36"/>
        <v>80</v>
      </c>
      <c r="DB35" s="17">
        <f t="shared" si="37"/>
        <v>80</v>
      </c>
      <c r="DC35" s="17">
        <f t="shared" si="38"/>
        <v>80</v>
      </c>
      <c r="DH35" s="17">
        <f t="shared" si="72"/>
        <v>135.54811255008914</v>
      </c>
      <c r="DI35" s="17">
        <f t="shared" si="73"/>
        <v>135.61521761503846</v>
      </c>
      <c r="DJ35" s="17">
        <f t="shared" si="74"/>
        <v>136.07141427598387</v>
      </c>
      <c r="DK35" s="17">
        <f t="shared" si="75"/>
        <v>136.12035534953262</v>
      </c>
      <c r="DL35" s="17">
        <f t="shared" si="76"/>
        <v>136.45508882162355</v>
      </c>
      <c r="DM35" s="17">
        <f>武将升星!$AQ35</f>
        <v>1.1399999999999999</v>
      </c>
      <c r="DN35" s="17">
        <f>武将升星!$AQ80</f>
        <v>1.1399999999999999</v>
      </c>
      <c r="DO35" s="17">
        <f>武将升星!$AQ125</f>
        <v>1.1399999999999999</v>
      </c>
      <c r="DP35" s="17">
        <f>武将升星!$AQ170</f>
        <v>1.1399999999999999</v>
      </c>
      <c r="DQ35" s="17">
        <f>武将升星!$AQ215</f>
        <v>1.1399999999999999</v>
      </c>
      <c r="DS35" s="17">
        <v>32</v>
      </c>
      <c r="DT35" s="17">
        <f t="shared" si="77"/>
        <v>0.23504066241530575</v>
      </c>
      <c r="DU35" s="17">
        <f t="shared" si="78"/>
        <v>0.25020522166279896</v>
      </c>
      <c r="DV35" s="17">
        <f t="shared" si="79"/>
        <v>0.28256028262549715</v>
      </c>
      <c r="DW35" s="17">
        <f t="shared" si="80"/>
        <v>0.35118846442259011</v>
      </c>
      <c r="DX35" s="17">
        <f t="shared" si="81"/>
        <v>0.36995880326393704</v>
      </c>
      <c r="EC35" s="17">
        <f t="shared" si="82"/>
        <v>135.54811255008914</v>
      </c>
      <c r="ED35" s="17">
        <f t="shared" si="83"/>
        <v>135.61521761503846</v>
      </c>
      <c r="EE35" s="17">
        <f t="shared" si="84"/>
        <v>136.07141427598387</v>
      </c>
      <c r="EF35" s="17">
        <f t="shared" si="85"/>
        <v>136.12035534953262</v>
      </c>
      <c r="EG35" s="17">
        <f t="shared" si="86"/>
        <v>136.45508882162355</v>
      </c>
      <c r="EH35" s="17">
        <f>武将升星!$AW35</f>
        <v>0.80000000000000016</v>
      </c>
      <c r="EI35" s="17">
        <f>武将升星!$AW80</f>
        <v>0.80000000000000016</v>
      </c>
      <c r="EJ35" s="17">
        <f>武将升星!$AW125</f>
        <v>0.80000000000000016</v>
      </c>
      <c r="EK35" s="17">
        <f>武将升星!$AW170</f>
        <v>0.80000000000000016</v>
      </c>
      <c r="EL35" s="17">
        <f>武将升星!$AW215</f>
        <v>0.80000000000000016</v>
      </c>
      <c r="EN35" s="17">
        <v>32</v>
      </c>
      <c r="EO35" s="17">
        <f t="shared" si="50"/>
        <v>2.0874017547008662E-2</v>
      </c>
      <c r="EP35" s="17">
        <f t="shared" si="51"/>
        <v>3.468555398799561E-2</v>
      </c>
      <c r="EQ35" s="17">
        <f t="shared" si="52"/>
        <v>6.625435526646746E-2</v>
      </c>
      <c r="ER35" s="17">
        <f t="shared" si="53"/>
        <v>0.13311845227312441</v>
      </c>
      <c r="ES35" s="17">
        <f t="shared" si="54"/>
        <v>0.15132166947727824</v>
      </c>
    </row>
    <row r="36" spans="2:149" x14ac:dyDescent="0.15">
      <c r="B36" s="16">
        <f>基础状态预期!D49</f>
        <v>139.0493876099641</v>
      </c>
      <c r="C36" s="16">
        <f>基础状态预期!D94</f>
        <v>139.08794136138388</v>
      </c>
      <c r="D36" s="16">
        <f>基础状态预期!D139</f>
        <v>139.56936219880694</v>
      </c>
      <c r="E36" s="16">
        <f>基础状态预期!D184</f>
        <v>139.6793621861803</v>
      </c>
      <c r="F36" s="16">
        <f>基础状态预期!D229</f>
        <v>140.08772492574531</v>
      </c>
      <c r="G36" s="16">
        <f>武将升星!AK36</f>
        <v>148</v>
      </c>
      <c r="H36" s="16">
        <f>武将升星!AK81</f>
        <v>148</v>
      </c>
      <c r="I36" s="16">
        <f>武将升星!AK126</f>
        <v>148</v>
      </c>
      <c r="J36" s="16">
        <f>武将升星!AK171</f>
        <v>148</v>
      </c>
      <c r="K36" s="16">
        <f>武将升星!AK216</f>
        <v>148</v>
      </c>
      <c r="L36" s="34">
        <f>武将升星!AK36/G36</f>
        <v>1</v>
      </c>
      <c r="P36" s="16">
        <v>33</v>
      </c>
      <c r="Q36" s="16">
        <f t="shared" ref="Q36:Q67" si="103">求节点(B$4:B$42,G$4:G$42,$P36)</f>
        <v>86.720890171940184</v>
      </c>
      <c r="R36" s="16">
        <f t="shared" ref="R36:R67" si="104">求节点(C$4:C$42,H$4:H$42,$P36)</f>
        <v>87.863387430034791</v>
      </c>
      <c r="S36" s="16">
        <f t="shared" ref="S36:S67" si="105">求节点(D$4:D$42,I$4:I$42,$P36)</f>
        <v>90.290820491146917</v>
      </c>
      <c r="T36" s="16">
        <f t="shared" ref="T36:T67" si="106">求节点(E$4:E$42,J$4:J$42,$P36)</f>
        <v>95.366815583403749</v>
      </c>
      <c r="U36" s="16">
        <f t="shared" ref="U36:U67" si="107">求节点(F$4:F$42,K$4:K$42,$P36)</f>
        <v>96.594142604152395</v>
      </c>
      <c r="Z36" s="16">
        <f t="shared" si="93"/>
        <v>139.0493876099641</v>
      </c>
      <c r="AA36" s="16">
        <f t="shared" si="94"/>
        <v>139.08794136138388</v>
      </c>
      <c r="AB36" s="16">
        <f t="shared" si="95"/>
        <v>139.56936219880694</v>
      </c>
      <c r="AC36" s="16">
        <f t="shared" si="96"/>
        <v>139.6793621861803</v>
      </c>
      <c r="AD36" s="16">
        <f t="shared" si="97"/>
        <v>140.08772492574531</v>
      </c>
      <c r="AE36" s="16">
        <f>武将升级!AD36+武将羁绊!AW39</f>
        <v>14854.130108254489</v>
      </c>
      <c r="AF36" s="16">
        <f>武将升级!AD81+武将羁绊!AW84</f>
        <v>14857.900665143345</v>
      </c>
      <c r="AG36" s="16">
        <f>武将升级!AD126+武将羁绊!AW129</f>
        <v>14904.983623043317</v>
      </c>
      <c r="AH36" s="16">
        <f>武将升级!AD171+武将羁绊!AW174</f>
        <v>14915.741621808433</v>
      </c>
      <c r="AI36" s="16">
        <f>武将升级!AD216+武将羁绊!AW219</f>
        <v>14955.679497737889</v>
      </c>
      <c r="AJ36" s="34">
        <f>武将升级!AD36/AE36</f>
        <v>0.61349693251533743</v>
      </c>
      <c r="AK36" s="34">
        <f>武将羁绊!AW39/AE36</f>
        <v>0.38650306748466262</v>
      </c>
      <c r="AM36" s="16">
        <v>33</v>
      </c>
      <c r="AN36" s="16">
        <f t="shared" ref="AN36:AN67" si="108">求节点(Z$4:Z$42,AE$4:AE$42,$P36)</f>
        <v>3006.5504883773065</v>
      </c>
      <c r="AO36" s="16">
        <f t="shared" ref="AO36:AO67" si="109">求节点(AA$4:AA$42,AF$4:AF$42,$P36)</f>
        <v>3047.3547196153818</v>
      </c>
      <c r="AP36" s="16">
        <f t="shared" ref="AP36:AP67" si="110">求节点(AB$4:AB$42,AG$4:AG$42,$P36)</f>
        <v>3125.3657327862034</v>
      </c>
      <c r="AQ36" s="16">
        <f t="shared" ref="AQ36:AQ67" si="111">求节点(AC$4:AC$42,AH$4:AH$42,$P36)</f>
        <v>3344.7365492417484</v>
      </c>
      <c r="AR36" s="16">
        <f t="shared" ref="AR36:AR67" si="112">求节点(AD$4:AD$42,AI$4:AI$42,$P36)</f>
        <v>3549.4003414322924</v>
      </c>
      <c r="AU36" s="17">
        <f t="shared" si="98"/>
        <v>139.0493876099641</v>
      </c>
      <c r="AV36" s="17">
        <f t="shared" si="99"/>
        <v>139.08794136138388</v>
      </c>
      <c r="AW36" s="17">
        <f t="shared" si="100"/>
        <v>139.56936219880694</v>
      </c>
      <c r="AX36" s="17">
        <f t="shared" si="101"/>
        <v>139.6793621861803</v>
      </c>
      <c r="AY36" s="17">
        <f t="shared" si="102"/>
        <v>140.08772492574531</v>
      </c>
      <c r="AZ36" s="17">
        <f>(武将升级!AJ36+武将羁绊!AW39)</f>
        <v>14854.130108254489</v>
      </c>
      <c r="BA36" s="17">
        <f>(武将升级!AJ81+武将羁绊!AW84)</f>
        <v>14857.900665143345</v>
      </c>
      <c r="BB36" s="17">
        <f>(武将升级!AJ126+武将羁绊!AW129)</f>
        <v>14904.983623043317</v>
      </c>
      <c r="BC36" s="17">
        <f>(武将升级!AJ171+武将羁绊!AW174)</f>
        <v>14915.741621808433</v>
      </c>
      <c r="BD36" s="17">
        <f>(武将升级!AJ216+武将羁绊!AW219)</f>
        <v>14955.679497737889</v>
      </c>
      <c r="BE36" s="34">
        <f>武将升级!AJ36/AZ36</f>
        <v>0.61349693251533743</v>
      </c>
      <c r="BF36" s="34">
        <f>武将羁绊!AW39/AZ36</f>
        <v>0.38650306748466262</v>
      </c>
      <c r="BH36" s="17">
        <v>33</v>
      </c>
      <c r="BI36" s="17">
        <f t="shared" si="56"/>
        <v>3006.5504883773065</v>
      </c>
      <c r="BJ36" s="17">
        <f t="shared" si="57"/>
        <v>3047.3547196153818</v>
      </c>
      <c r="BK36" s="17">
        <f t="shared" si="58"/>
        <v>3125.3657327862034</v>
      </c>
      <c r="BL36" s="17">
        <f t="shared" si="59"/>
        <v>3344.7365492417484</v>
      </c>
      <c r="BM36" s="17">
        <f t="shared" si="60"/>
        <v>3549.4003414322924</v>
      </c>
      <c r="BR36" s="17">
        <f t="shared" si="61"/>
        <v>139.0493876099641</v>
      </c>
      <c r="BS36" s="17">
        <f t="shared" si="62"/>
        <v>139.08794136138388</v>
      </c>
      <c r="BT36" s="17">
        <f t="shared" si="63"/>
        <v>139.56936219880694</v>
      </c>
      <c r="BU36" s="17">
        <f t="shared" si="64"/>
        <v>139.6793621861803</v>
      </c>
      <c r="BV36" s="17">
        <f t="shared" si="65"/>
        <v>140.08772492574531</v>
      </c>
      <c r="BW36" s="17">
        <f>武将升级!AP36</f>
        <v>3770.9877521992821</v>
      </c>
      <c r="BX36" s="17">
        <f>武将升级!AP81</f>
        <v>3771.7588272276776</v>
      </c>
      <c r="BY36" s="17">
        <f>武将升级!AP126</f>
        <v>3781.3872439761385</v>
      </c>
      <c r="BZ36" s="17">
        <f>武将升级!AP171</f>
        <v>3783.5872437236053</v>
      </c>
      <c r="CA36" s="17">
        <f>武将升级!AP216</f>
        <v>3791.7544985149057</v>
      </c>
      <c r="CC36" s="17">
        <v>33</v>
      </c>
      <c r="CD36" s="17">
        <f t="shared" si="88"/>
        <v>1650</v>
      </c>
      <c r="CE36" s="17">
        <f t="shared" si="89"/>
        <v>1650</v>
      </c>
      <c r="CF36" s="17">
        <f t="shared" si="90"/>
        <v>1650</v>
      </c>
      <c r="CG36" s="17">
        <f t="shared" si="91"/>
        <v>1650</v>
      </c>
      <c r="CH36" s="17">
        <f t="shared" si="92"/>
        <v>1650.0000000000002</v>
      </c>
      <c r="CM36" s="17">
        <f t="shared" si="67"/>
        <v>139.0493876099641</v>
      </c>
      <c r="CN36" s="17">
        <f t="shared" si="68"/>
        <v>139.08794136138388</v>
      </c>
      <c r="CO36" s="17">
        <f t="shared" si="69"/>
        <v>139.56936219880694</v>
      </c>
      <c r="CP36" s="17">
        <f t="shared" si="70"/>
        <v>139.6793621861803</v>
      </c>
      <c r="CQ36" s="17">
        <f t="shared" si="71"/>
        <v>140.08772492574531</v>
      </c>
      <c r="CR36" s="17">
        <f>武将升级!AV36</f>
        <v>297.0987752199282</v>
      </c>
      <c r="CS36" s="17">
        <f>武将升级!AV81</f>
        <v>297.17588272276777</v>
      </c>
      <c r="CT36" s="17">
        <f>武将升级!AV126</f>
        <v>298.13872439761388</v>
      </c>
      <c r="CU36" s="17">
        <f>武将升级!AV171</f>
        <v>298.3587243723606</v>
      </c>
      <c r="CV36" s="17">
        <f>武将升级!AV216</f>
        <v>299.17544985149061</v>
      </c>
      <c r="CX36" s="17">
        <v>33</v>
      </c>
      <c r="CY36" s="17">
        <f t="shared" ref="CY36:CY67" si="113">求节点(CM$4:CM$42,CR$4:CR$42,$P36)</f>
        <v>82</v>
      </c>
      <c r="CZ36" s="17">
        <f t="shared" ref="CZ36:CZ67" si="114">求节点(CN$4:CN$42,CS$4:CS$42,$P36)</f>
        <v>82</v>
      </c>
      <c r="DA36" s="17">
        <f t="shared" ref="DA36:DA67" si="115">求节点(CO$4:CO$42,CT$4:CT$42,$P36)</f>
        <v>82</v>
      </c>
      <c r="DB36" s="17">
        <f t="shared" ref="DB36:DB67" si="116">求节点(CP$4:CP$42,CU$4:CU$42,$P36)</f>
        <v>82</v>
      </c>
      <c r="DC36" s="17">
        <f t="shared" ref="DC36:DC67" si="117">求节点(CQ$4:CQ$42,CV$4:CV$42,$P36)</f>
        <v>82</v>
      </c>
      <c r="DH36" s="17">
        <f t="shared" si="72"/>
        <v>139.0493876099641</v>
      </c>
      <c r="DI36" s="17">
        <f t="shared" si="73"/>
        <v>139.08794136138388</v>
      </c>
      <c r="DJ36" s="17">
        <f t="shared" si="74"/>
        <v>139.56936219880694</v>
      </c>
      <c r="DK36" s="17">
        <f t="shared" si="75"/>
        <v>139.6793621861803</v>
      </c>
      <c r="DL36" s="17">
        <f t="shared" si="76"/>
        <v>140.08772492574531</v>
      </c>
      <c r="DM36" s="17">
        <f>武将升星!$AQ36</f>
        <v>1.1399999999999999</v>
      </c>
      <c r="DN36" s="17">
        <f>武将升星!$AQ81</f>
        <v>1.1399999999999999</v>
      </c>
      <c r="DO36" s="17">
        <f>武将升星!$AQ126</f>
        <v>1.1399999999999999</v>
      </c>
      <c r="DP36" s="17">
        <f>武将升星!$AQ171</f>
        <v>1.1399999999999999</v>
      </c>
      <c r="DQ36" s="17">
        <f>武将升星!$AQ216</f>
        <v>1.1399999999999999</v>
      </c>
      <c r="DS36" s="17">
        <v>33</v>
      </c>
      <c r="DT36" s="17">
        <f t="shared" si="77"/>
        <v>0.23992238495746293</v>
      </c>
      <c r="DU36" s="17">
        <f t="shared" si="78"/>
        <v>0.25641512913251385</v>
      </c>
      <c r="DV36" s="17">
        <f t="shared" si="79"/>
        <v>0.29132473068697812</v>
      </c>
      <c r="DW36" s="17">
        <f t="shared" si="80"/>
        <v>0.36458538806044671</v>
      </c>
      <c r="DX36" s="17">
        <f t="shared" si="81"/>
        <v>0.38247418700841423</v>
      </c>
      <c r="EC36" s="17">
        <f t="shared" si="82"/>
        <v>139.0493876099641</v>
      </c>
      <c r="ED36" s="17">
        <f t="shared" si="83"/>
        <v>139.08794136138388</v>
      </c>
      <c r="EE36" s="17">
        <f t="shared" si="84"/>
        <v>139.56936219880694</v>
      </c>
      <c r="EF36" s="17">
        <f t="shared" si="85"/>
        <v>139.6793621861803</v>
      </c>
      <c r="EG36" s="17">
        <f t="shared" si="86"/>
        <v>140.08772492574531</v>
      </c>
      <c r="EH36" s="17">
        <f>武将升星!$AW36</f>
        <v>0.80000000000000016</v>
      </c>
      <c r="EI36" s="17">
        <f>武将升星!$AW81</f>
        <v>0.80000000000000016</v>
      </c>
      <c r="EJ36" s="17">
        <f>武将升星!$AW126</f>
        <v>0.80000000000000016</v>
      </c>
      <c r="EK36" s="17">
        <f>武将升星!$AW171</f>
        <v>0.80000000000000016</v>
      </c>
      <c r="EL36" s="17">
        <f>武将升星!$AW216</f>
        <v>0.80000000000000016</v>
      </c>
      <c r="EN36" s="17">
        <v>33</v>
      </c>
      <c r="EO36" s="17">
        <f t="shared" si="50"/>
        <v>2.4706635244442592E-2</v>
      </c>
      <c r="EP36" s="17">
        <f t="shared" si="51"/>
        <v>4.0087424020487074E-2</v>
      </c>
      <c r="EQ36" s="17">
        <f t="shared" si="52"/>
        <v>7.4071486876056969E-2</v>
      </c>
      <c r="ER36" s="17">
        <f t="shared" si="53"/>
        <v>0.14513541816765252</v>
      </c>
      <c r="ES36" s="17">
        <f t="shared" si="54"/>
        <v>0.16231799645813344</v>
      </c>
    </row>
    <row r="37" spans="2:149" x14ac:dyDescent="0.15">
      <c r="B37" s="16">
        <f>基础状态预期!D50</f>
        <v>142.53355653582128</v>
      </c>
      <c r="C37" s="16">
        <f>基础状态预期!D95</f>
        <v>142.60670974426387</v>
      </c>
      <c r="D37" s="16">
        <f>基础状态预期!D140</f>
        <v>143.08413721822018</v>
      </c>
      <c r="E37" s="16">
        <f>基础状态预期!D185</f>
        <v>143.14123736077869</v>
      </c>
      <c r="F37" s="16">
        <f>基础状态预期!D230</f>
        <v>143.51956656528549</v>
      </c>
      <c r="G37" s="16">
        <f>武将升星!AK37</f>
        <v>148</v>
      </c>
      <c r="H37" s="16">
        <f>武将升星!AK82</f>
        <v>148</v>
      </c>
      <c r="I37" s="16">
        <f>武将升星!AK127</f>
        <v>148</v>
      </c>
      <c r="J37" s="16">
        <f>武将升星!AK172</f>
        <v>148</v>
      </c>
      <c r="K37" s="16">
        <f>武将升星!AK217</f>
        <v>148</v>
      </c>
      <c r="L37" s="34">
        <f>武将升星!AK37/G37</f>
        <v>1</v>
      </c>
      <c r="P37" s="16">
        <v>34</v>
      </c>
      <c r="Q37" s="16">
        <f t="shared" si="103"/>
        <v>87.022310036783466</v>
      </c>
      <c r="R37" s="16">
        <f t="shared" si="104"/>
        <v>88.249235289498458</v>
      </c>
      <c r="S37" s="16">
        <f t="shared" si="105"/>
        <v>90.849187034689024</v>
      </c>
      <c r="T37" s="16">
        <f t="shared" si="106"/>
        <v>96.260995820592001</v>
      </c>
      <c r="U37" s="16">
        <f t="shared" si="107"/>
        <v>97.406194854327666</v>
      </c>
      <c r="Z37" s="16">
        <f t="shared" si="93"/>
        <v>142.53355653582128</v>
      </c>
      <c r="AA37" s="16">
        <f t="shared" si="94"/>
        <v>142.60670974426387</v>
      </c>
      <c r="AB37" s="16">
        <f t="shared" si="95"/>
        <v>143.08413721822018</v>
      </c>
      <c r="AC37" s="16">
        <f t="shared" si="96"/>
        <v>143.14123736077869</v>
      </c>
      <c r="AD37" s="16">
        <f t="shared" si="97"/>
        <v>143.51956656528549</v>
      </c>
      <c r="AE37" s="16">
        <f>武将升级!AD37+武将羁绊!AW40</f>
        <v>15194.881829203321</v>
      </c>
      <c r="AF37" s="16">
        <f>武将升级!AD82+武将羁绊!AW85</f>
        <v>15202.036212989005</v>
      </c>
      <c r="AG37" s="16">
        <f>武将升级!AD127+武将羁绊!AW130</f>
        <v>15248.728619941932</v>
      </c>
      <c r="AH37" s="16">
        <f>武将升级!AD172+武将羁绊!AW175</f>
        <v>15254.313013884155</v>
      </c>
      <c r="AI37" s="16">
        <f>武将升级!AD217+武将羁绊!AW220</f>
        <v>15291.313610084921</v>
      </c>
      <c r="AJ37" s="34">
        <f>武将升级!AD37/AE37</f>
        <v>0.61349693251533743</v>
      </c>
      <c r="AK37" s="34">
        <f>武将羁绊!AW40/AE37</f>
        <v>0.38650306748466257</v>
      </c>
      <c r="AM37" s="16">
        <v>34</v>
      </c>
      <c r="AN37" s="16">
        <f t="shared" si="108"/>
        <v>3079.5429011833698</v>
      </c>
      <c r="AO37" s="16">
        <f t="shared" si="109"/>
        <v>3123.277632721522</v>
      </c>
      <c r="AP37" s="16">
        <f t="shared" si="110"/>
        <v>3206.6718648326846</v>
      </c>
      <c r="AQ37" s="16">
        <f t="shared" si="111"/>
        <v>3440.4291214087498</v>
      </c>
      <c r="AR37" s="16">
        <f t="shared" si="112"/>
        <v>3657.8292465316449</v>
      </c>
      <c r="AU37" s="17">
        <f t="shared" si="98"/>
        <v>142.53355653582128</v>
      </c>
      <c r="AV37" s="17">
        <f t="shared" si="99"/>
        <v>142.60670974426387</v>
      </c>
      <c r="AW37" s="17">
        <f t="shared" si="100"/>
        <v>143.08413721822018</v>
      </c>
      <c r="AX37" s="17">
        <f t="shared" si="101"/>
        <v>143.14123736077869</v>
      </c>
      <c r="AY37" s="17">
        <f t="shared" si="102"/>
        <v>143.51956656528549</v>
      </c>
      <c r="AZ37" s="17">
        <f>(武将升级!AJ37+武将羁绊!AW40)</f>
        <v>15194.881829203321</v>
      </c>
      <c r="BA37" s="17">
        <f>(武将升级!AJ82+武将羁绊!AW85)</f>
        <v>15202.036212989005</v>
      </c>
      <c r="BB37" s="17">
        <f>(武将升级!AJ127+武将羁绊!AW130)</f>
        <v>15248.728619941932</v>
      </c>
      <c r="BC37" s="17">
        <f>(武将升级!AJ172+武将羁绊!AW175)</f>
        <v>15254.313013884155</v>
      </c>
      <c r="BD37" s="17">
        <f>(武将升级!AJ217+武将羁绊!AW220)</f>
        <v>15291.313610084921</v>
      </c>
      <c r="BE37" s="34">
        <f>武将升级!AJ37/AZ37</f>
        <v>0.61349693251533743</v>
      </c>
      <c r="BF37" s="34">
        <f>武将羁绊!AW40/AZ37</f>
        <v>0.38650306748466257</v>
      </c>
      <c r="BH37" s="17">
        <v>34</v>
      </c>
      <c r="BI37" s="17">
        <f t="shared" si="56"/>
        <v>3079.5429011833698</v>
      </c>
      <c r="BJ37" s="17">
        <f t="shared" si="57"/>
        <v>3123.277632721522</v>
      </c>
      <c r="BK37" s="17">
        <f t="shared" si="58"/>
        <v>3206.6718648326846</v>
      </c>
      <c r="BL37" s="17">
        <f t="shared" si="59"/>
        <v>3440.4291214087498</v>
      </c>
      <c r="BM37" s="17">
        <f t="shared" si="60"/>
        <v>3657.8292465316449</v>
      </c>
      <c r="BR37" s="17">
        <f t="shared" si="61"/>
        <v>142.53355653582128</v>
      </c>
      <c r="BS37" s="17">
        <f t="shared" si="62"/>
        <v>142.60670974426387</v>
      </c>
      <c r="BT37" s="17">
        <f t="shared" si="63"/>
        <v>143.08413721822018</v>
      </c>
      <c r="BU37" s="17">
        <f t="shared" si="64"/>
        <v>143.14123736077869</v>
      </c>
      <c r="BV37" s="17">
        <f t="shared" si="65"/>
        <v>143.51956656528549</v>
      </c>
      <c r="BW37" s="17">
        <f>武将升级!AP37</f>
        <v>3840.6711307164255</v>
      </c>
      <c r="BX37" s="17">
        <f>武将升级!AP82</f>
        <v>3842.1341948852773</v>
      </c>
      <c r="BY37" s="17">
        <f>武将升级!AP127</f>
        <v>3851.6827443644033</v>
      </c>
      <c r="BZ37" s="17">
        <f>武将升级!AP172</f>
        <v>3852.8247472155731</v>
      </c>
      <c r="CA37" s="17">
        <f>武将升级!AP217</f>
        <v>3860.3913313057096</v>
      </c>
      <c r="CC37" s="17">
        <v>34</v>
      </c>
      <c r="CD37" s="17">
        <f t="shared" si="88"/>
        <v>1670</v>
      </c>
      <c r="CE37" s="17">
        <f t="shared" si="89"/>
        <v>1670</v>
      </c>
      <c r="CF37" s="17">
        <f t="shared" si="90"/>
        <v>1670</v>
      </c>
      <c r="CG37" s="17">
        <f t="shared" si="91"/>
        <v>1670</v>
      </c>
      <c r="CH37" s="17">
        <f t="shared" si="92"/>
        <v>1670.0000000000002</v>
      </c>
      <c r="CM37" s="17">
        <f t="shared" si="67"/>
        <v>142.53355653582128</v>
      </c>
      <c r="CN37" s="17">
        <f t="shared" si="68"/>
        <v>142.60670974426387</v>
      </c>
      <c r="CO37" s="17">
        <f t="shared" si="69"/>
        <v>143.08413721822018</v>
      </c>
      <c r="CP37" s="17">
        <f t="shared" si="70"/>
        <v>143.14123736077869</v>
      </c>
      <c r="CQ37" s="17">
        <f t="shared" si="71"/>
        <v>143.51956656528549</v>
      </c>
      <c r="CR37" s="17">
        <f>武将升级!AV37</f>
        <v>304.06711307164255</v>
      </c>
      <c r="CS37" s="17">
        <f>武将升级!AV82</f>
        <v>304.21341948852773</v>
      </c>
      <c r="CT37" s="17">
        <f>武将升级!AV127</f>
        <v>305.16827443644036</v>
      </c>
      <c r="CU37" s="17">
        <f>武将升级!AV172</f>
        <v>305.28247472155738</v>
      </c>
      <c r="CV37" s="17">
        <f>武将升级!AV217</f>
        <v>306.03913313057097</v>
      </c>
      <c r="CX37" s="17">
        <v>34</v>
      </c>
      <c r="CY37" s="17">
        <f t="shared" si="113"/>
        <v>84</v>
      </c>
      <c r="CZ37" s="17">
        <f t="shared" si="114"/>
        <v>84</v>
      </c>
      <c r="DA37" s="17">
        <f t="shared" si="115"/>
        <v>84</v>
      </c>
      <c r="DB37" s="17">
        <f t="shared" si="116"/>
        <v>84</v>
      </c>
      <c r="DC37" s="17">
        <f t="shared" si="117"/>
        <v>84</v>
      </c>
      <c r="DH37" s="17">
        <f t="shared" si="72"/>
        <v>142.53355653582128</v>
      </c>
      <c r="DI37" s="17">
        <f t="shared" si="73"/>
        <v>142.60670974426387</v>
      </c>
      <c r="DJ37" s="17">
        <f t="shared" si="74"/>
        <v>143.08413721822018</v>
      </c>
      <c r="DK37" s="17">
        <f t="shared" si="75"/>
        <v>143.14123736077869</v>
      </c>
      <c r="DL37" s="17">
        <f t="shared" si="76"/>
        <v>143.51956656528549</v>
      </c>
      <c r="DM37" s="17">
        <f>武将升星!$AQ37</f>
        <v>1.1399999999999999</v>
      </c>
      <c r="DN37" s="17">
        <f>武将升星!$AQ82</f>
        <v>1.1399999999999999</v>
      </c>
      <c r="DO37" s="17">
        <f>武将升星!$AQ127</f>
        <v>1.1399999999999999</v>
      </c>
      <c r="DP37" s="17">
        <f>武将升星!$AQ172</f>
        <v>1.1399999999999999</v>
      </c>
      <c r="DQ37" s="17">
        <f>武将升星!$AQ217</f>
        <v>1.1399999999999999</v>
      </c>
      <c r="DS37" s="17">
        <v>34</v>
      </c>
      <c r="DT37" s="17">
        <f t="shared" si="77"/>
        <v>0.24480410749962012</v>
      </c>
      <c r="DU37" s="17">
        <f t="shared" si="78"/>
        <v>0.26262503660222875</v>
      </c>
      <c r="DV37" s="17">
        <f t="shared" si="79"/>
        <v>0.30008917874845903</v>
      </c>
      <c r="DW37" s="17">
        <f t="shared" si="80"/>
        <v>0.37815833981652486</v>
      </c>
      <c r="DX37" s="17">
        <f t="shared" si="81"/>
        <v>0.39464920590231856</v>
      </c>
      <c r="EC37" s="17">
        <f t="shared" si="82"/>
        <v>142.53355653582128</v>
      </c>
      <c r="ED37" s="17">
        <f t="shared" si="83"/>
        <v>142.60670974426387</v>
      </c>
      <c r="EE37" s="17">
        <f t="shared" si="84"/>
        <v>143.08413721822018</v>
      </c>
      <c r="EF37" s="17">
        <f t="shared" si="85"/>
        <v>143.14123736077869</v>
      </c>
      <c r="EG37" s="17">
        <f t="shared" si="86"/>
        <v>143.51956656528549</v>
      </c>
      <c r="EH37" s="17">
        <f>武将升星!$AW37</f>
        <v>0.80000000000000016</v>
      </c>
      <c r="EI37" s="17">
        <f>武将升星!$AW82</f>
        <v>0.80000000000000016</v>
      </c>
      <c r="EJ37" s="17">
        <f>武将升星!$AW127</f>
        <v>0.80000000000000016</v>
      </c>
      <c r="EK37" s="17">
        <f>武将升星!$AW172</f>
        <v>0.80000000000000016</v>
      </c>
      <c r="EL37" s="17">
        <f>武将升星!$AW217</f>
        <v>0.80000000000000016</v>
      </c>
      <c r="EN37" s="17">
        <v>34</v>
      </c>
      <c r="EO37" s="17">
        <f t="shared" si="50"/>
        <v>2.8539252941876519E-2</v>
      </c>
      <c r="EP37" s="17">
        <f t="shared" si="51"/>
        <v>4.5489294052978545E-2</v>
      </c>
      <c r="EQ37" s="17">
        <f t="shared" si="52"/>
        <v>8.1888618485646492E-2</v>
      </c>
      <c r="ER37" s="17">
        <f t="shared" si="53"/>
        <v>0.15765394148828801</v>
      </c>
      <c r="ES37" s="17">
        <f t="shared" si="54"/>
        <v>0.17368672796058737</v>
      </c>
    </row>
    <row r="38" spans="2:149" x14ac:dyDescent="0.15">
      <c r="B38" s="16">
        <f>基础状态预期!D51</f>
        <v>146.02664953963369</v>
      </c>
      <c r="C38" s="16">
        <f>基础状态预期!D96</f>
        <v>146.07830147206653</v>
      </c>
      <c r="D38" s="16">
        <f>基础状态预期!D141</f>
        <v>146.62302564097175</v>
      </c>
      <c r="E38" s="16">
        <f>基础状态预期!D186</f>
        <v>146.75578521325724</v>
      </c>
      <c r="F38" s="16">
        <f>基础状态预期!D231</f>
        <v>147.17868266109423</v>
      </c>
      <c r="G38" s="16">
        <f>武将升星!AK38</f>
        <v>148</v>
      </c>
      <c r="H38" s="16">
        <f>武将升星!AK83</f>
        <v>148</v>
      </c>
      <c r="I38" s="16">
        <f>武将升星!AK128</f>
        <v>148</v>
      </c>
      <c r="J38" s="16">
        <f>武将升星!AK173</f>
        <v>148</v>
      </c>
      <c r="K38" s="16">
        <f>武将升星!AK218</f>
        <v>148</v>
      </c>
      <c r="L38" s="34">
        <f>武将升星!AK38/G38</f>
        <v>1</v>
      </c>
      <c r="P38" s="16">
        <v>35</v>
      </c>
      <c r="Q38" s="16">
        <f t="shared" si="103"/>
        <v>87.357750430099458</v>
      </c>
      <c r="R38" s="16">
        <f t="shared" si="104"/>
        <v>88.676176324372207</v>
      </c>
      <c r="S38" s="16">
        <f t="shared" si="105"/>
        <v>91.440981279744889</v>
      </c>
      <c r="T38" s="16">
        <f t="shared" si="106"/>
        <v>97.228623067536532</v>
      </c>
      <c r="U38" s="16">
        <f t="shared" si="107"/>
        <v>98.235950997175792</v>
      </c>
      <c r="Z38" s="16">
        <f t="shared" si="93"/>
        <v>146.02664953963369</v>
      </c>
      <c r="AA38" s="16">
        <f t="shared" si="94"/>
        <v>146.07830147206653</v>
      </c>
      <c r="AB38" s="16">
        <f t="shared" si="95"/>
        <v>146.62302564097175</v>
      </c>
      <c r="AC38" s="16">
        <f t="shared" si="96"/>
        <v>146.75578521325724</v>
      </c>
      <c r="AD38" s="16">
        <f t="shared" si="97"/>
        <v>147.17868266109423</v>
      </c>
      <c r="AE38" s="16">
        <f>武将升级!AD38+武将羁绊!AW41</f>
        <v>15536.506324976177</v>
      </c>
      <c r="AF38" s="16">
        <f>武将升级!AD83+武将羁绊!AW86</f>
        <v>15541.557883968107</v>
      </c>
      <c r="AG38" s="16">
        <f>武将升级!AD128+武将羁绊!AW131</f>
        <v>15594.831907687038</v>
      </c>
      <c r="AH38" s="16">
        <f>武将升级!AD173+武将羁绊!AW176</f>
        <v>15607.815793856558</v>
      </c>
      <c r="AI38" s="16">
        <f>武将升级!AD218+武将羁绊!AW221</f>
        <v>15649.175164255015</v>
      </c>
      <c r="AJ38" s="34">
        <f>武将升级!AD38/AE38</f>
        <v>0.61349693251533743</v>
      </c>
      <c r="AK38" s="34">
        <f>武将羁绊!AW41/AE38</f>
        <v>0.38650306748466257</v>
      </c>
      <c r="AM38" s="16">
        <v>35</v>
      </c>
      <c r="AN38" s="16">
        <f t="shared" si="108"/>
        <v>3153.9674922447339</v>
      </c>
      <c r="AO38" s="16">
        <f t="shared" si="109"/>
        <v>3201.4369759793872</v>
      </c>
      <c r="AP38" s="16">
        <f t="shared" si="110"/>
        <v>3290.520597318131</v>
      </c>
      <c r="AQ38" s="16">
        <f t="shared" si="111"/>
        <v>3543.2799188770205</v>
      </c>
      <c r="AR38" s="16">
        <f t="shared" si="112"/>
        <v>3771.7832565228732</v>
      </c>
      <c r="AU38" s="17">
        <f t="shared" si="98"/>
        <v>146.02664953963369</v>
      </c>
      <c r="AV38" s="17">
        <f t="shared" si="99"/>
        <v>146.07830147206653</v>
      </c>
      <c r="AW38" s="17">
        <f t="shared" si="100"/>
        <v>146.62302564097175</v>
      </c>
      <c r="AX38" s="17">
        <f t="shared" si="101"/>
        <v>146.75578521325724</v>
      </c>
      <c r="AY38" s="17">
        <f t="shared" si="102"/>
        <v>147.17868266109423</v>
      </c>
      <c r="AZ38" s="17">
        <f>(武将升级!AJ38+武将羁绊!AW41)</f>
        <v>15536.506324976177</v>
      </c>
      <c r="BA38" s="17">
        <f>(武将升级!AJ83+武将羁绊!AW86)</f>
        <v>15541.557883968107</v>
      </c>
      <c r="BB38" s="17">
        <f>(武将升级!AJ128+武将羁绊!AW131)</f>
        <v>15594.831907687038</v>
      </c>
      <c r="BC38" s="17">
        <f>(武将升级!AJ173+武将羁绊!AW176)</f>
        <v>15607.815793856558</v>
      </c>
      <c r="BD38" s="17">
        <f>(武将升级!AJ218+武将羁绊!AW221)</f>
        <v>15649.175164255015</v>
      </c>
      <c r="BE38" s="34">
        <f>武将升级!AJ38/AZ38</f>
        <v>0.61349693251533743</v>
      </c>
      <c r="BF38" s="34">
        <f>武将羁绊!AW41/AZ38</f>
        <v>0.38650306748466257</v>
      </c>
      <c r="BH38" s="17">
        <v>35</v>
      </c>
      <c r="BI38" s="17">
        <f t="shared" si="56"/>
        <v>3153.9674922447339</v>
      </c>
      <c r="BJ38" s="17">
        <f t="shared" si="57"/>
        <v>3201.4369759793872</v>
      </c>
      <c r="BK38" s="17">
        <f t="shared" si="58"/>
        <v>3290.520597318131</v>
      </c>
      <c r="BL38" s="17">
        <f t="shared" si="59"/>
        <v>3543.2799188770205</v>
      </c>
      <c r="BM38" s="17">
        <f t="shared" si="60"/>
        <v>3771.7832565228732</v>
      </c>
      <c r="BR38" s="17">
        <f t="shared" si="61"/>
        <v>146.02664953963369</v>
      </c>
      <c r="BS38" s="17">
        <f t="shared" si="62"/>
        <v>146.07830147206653</v>
      </c>
      <c r="BT38" s="17">
        <f t="shared" si="63"/>
        <v>146.62302564097175</v>
      </c>
      <c r="BU38" s="17">
        <f t="shared" si="64"/>
        <v>146.75578521325724</v>
      </c>
      <c r="BV38" s="17">
        <f t="shared" si="65"/>
        <v>147.17868266109423</v>
      </c>
      <c r="BW38" s="17">
        <f>武将升级!AP38</f>
        <v>3910.5329907926739</v>
      </c>
      <c r="BX38" s="17">
        <f>武将升级!AP83</f>
        <v>3911.5660294413306</v>
      </c>
      <c r="BY38" s="17">
        <f>武将升级!AP128</f>
        <v>3922.4605128194348</v>
      </c>
      <c r="BZ38" s="17">
        <f>武将升级!AP173</f>
        <v>3925.1157042651448</v>
      </c>
      <c r="CA38" s="17">
        <f>武将升级!AP218</f>
        <v>3933.5736532218848</v>
      </c>
      <c r="CC38" s="17">
        <v>35</v>
      </c>
      <c r="CD38" s="17">
        <f t="shared" si="88"/>
        <v>1690</v>
      </c>
      <c r="CE38" s="17">
        <f t="shared" si="89"/>
        <v>1690</v>
      </c>
      <c r="CF38" s="17">
        <f t="shared" si="90"/>
        <v>1690</v>
      </c>
      <c r="CG38" s="17">
        <f t="shared" si="91"/>
        <v>1690</v>
      </c>
      <c r="CH38" s="17">
        <f t="shared" si="92"/>
        <v>1690</v>
      </c>
      <c r="CM38" s="17">
        <f t="shared" si="67"/>
        <v>146.02664953963369</v>
      </c>
      <c r="CN38" s="17">
        <f t="shared" si="68"/>
        <v>146.07830147206653</v>
      </c>
      <c r="CO38" s="17">
        <f t="shared" si="69"/>
        <v>146.62302564097175</v>
      </c>
      <c r="CP38" s="17">
        <f t="shared" si="70"/>
        <v>146.75578521325724</v>
      </c>
      <c r="CQ38" s="17">
        <f t="shared" si="71"/>
        <v>147.17868266109423</v>
      </c>
      <c r="CR38" s="17">
        <f>武将升级!AV38</f>
        <v>311.05329907926739</v>
      </c>
      <c r="CS38" s="17">
        <f>武将升级!AV83</f>
        <v>311.15660294413306</v>
      </c>
      <c r="CT38" s="17">
        <f>武将升级!AV128</f>
        <v>312.24605128194349</v>
      </c>
      <c r="CU38" s="17">
        <f>武将升级!AV173</f>
        <v>312.51157042651448</v>
      </c>
      <c r="CV38" s="17">
        <f>武将升级!AV218</f>
        <v>313.35736532218846</v>
      </c>
      <c r="CX38" s="17">
        <v>35</v>
      </c>
      <c r="CY38" s="17">
        <f t="shared" si="113"/>
        <v>86</v>
      </c>
      <c r="CZ38" s="17">
        <f t="shared" si="114"/>
        <v>86</v>
      </c>
      <c r="DA38" s="17">
        <f t="shared" si="115"/>
        <v>86</v>
      </c>
      <c r="DB38" s="17">
        <f t="shared" si="116"/>
        <v>86</v>
      </c>
      <c r="DC38" s="17">
        <f t="shared" si="117"/>
        <v>86</v>
      </c>
      <c r="DH38" s="17">
        <f t="shared" si="72"/>
        <v>146.02664953963369</v>
      </c>
      <c r="DI38" s="17">
        <f t="shared" si="73"/>
        <v>146.07830147206653</v>
      </c>
      <c r="DJ38" s="17">
        <f t="shared" si="74"/>
        <v>146.62302564097175</v>
      </c>
      <c r="DK38" s="17">
        <f t="shared" si="75"/>
        <v>146.75578521325724</v>
      </c>
      <c r="DL38" s="17">
        <f t="shared" si="76"/>
        <v>147.17868266109423</v>
      </c>
      <c r="DM38" s="17">
        <f>武将升星!$AQ38</f>
        <v>1.1399999999999999</v>
      </c>
      <c r="DN38" s="17">
        <f>武将升星!$AQ83</f>
        <v>1.1399999999999999</v>
      </c>
      <c r="DO38" s="17">
        <f>武将升星!$AQ128</f>
        <v>1.1399999999999999</v>
      </c>
      <c r="DP38" s="17">
        <f>武将升星!$AQ173</f>
        <v>1.1399999999999999</v>
      </c>
      <c r="DQ38" s="17">
        <f>武将升星!$AQ218</f>
        <v>1.1399999999999999</v>
      </c>
      <c r="DS38" s="17">
        <v>35</v>
      </c>
      <c r="DT38" s="17">
        <f t="shared" si="77"/>
        <v>0.24995160619343218</v>
      </c>
      <c r="DU38" s="17">
        <f t="shared" si="78"/>
        <v>0.26893693907095984</v>
      </c>
      <c r="DV38" s="17">
        <f t="shared" si="79"/>
        <v>0.30875013042832644</v>
      </c>
      <c r="DW38" s="17">
        <f t="shared" si="80"/>
        <v>0.39209217217252612</v>
      </c>
      <c r="DX38" s="17">
        <f t="shared" si="81"/>
        <v>0.40659769435933141</v>
      </c>
      <c r="EC38" s="17">
        <f t="shared" si="82"/>
        <v>146.02664953963369</v>
      </c>
      <c r="ED38" s="17">
        <f t="shared" si="83"/>
        <v>146.07830147206653</v>
      </c>
      <c r="EE38" s="17">
        <f t="shared" si="84"/>
        <v>146.62302564097175</v>
      </c>
      <c r="EF38" s="17">
        <f t="shared" si="85"/>
        <v>146.75578521325724</v>
      </c>
      <c r="EG38" s="17">
        <f t="shared" si="86"/>
        <v>147.17868266109423</v>
      </c>
      <c r="EH38" s="17">
        <f>武将升星!$AW38</f>
        <v>0.80000000000000016</v>
      </c>
      <c r="EI38" s="17">
        <f>武将升星!$AW83</f>
        <v>0.80000000000000016</v>
      </c>
      <c r="EJ38" s="17">
        <f>武将升星!$AW128</f>
        <v>0.80000000000000016</v>
      </c>
      <c r="EK38" s="17">
        <f>武将升星!$AW173</f>
        <v>0.80000000000000016</v>
      </c>
      <c r="EL38" s="17">
        <f>武将升星!$AW218</f>
        <v>0.80000000000000016</v>
      </c>
      <c r="EN38" s="17">
        <v>35</v>
      </c>
      <c r="EO38" s="17">
        <f t="shared" si="50"/>
        <v>3.3008506021392409E-2</v>
      </c>
      <c r="EP38" s="17">
        <f t="shared" si="51"/>
        <v>5.1466468541210904E-2</v>
      </c>
      <c r="EQ38" s="17">
        <f t="shared" si="52"/>
        <v>9.0173737916428451E-2</v>
      </c>
      <c r="ER38" s="17">
        <f t="shared" si="53"/>
        <v>0.17120072294551147</v>
      </c>
      <c r="ES38" s="17">
        <f t="shared" si="54"/>
        <v>0.18530331396046101</v>
      </c>
    </row>
    <row r="39" spans="2:149" x14ac:dyDescent="0.15">
      <c r="B39" s="16">
        <f>基础状态预期!D52</f>
        <v>149.52287096243165</v>
      </c>
      <c r="C39" s="16">
        <f>基础状态预期!D97</f>
        <v>149.61701338734093</v>
      </c>
      <c r="D39" s="16">
        <f>基础状态预期!D142</f>
        <v>150.12999034316616</v>
      </c>
      <c r="E39" s="16">
        <f>基础状态预期!D187</f>
        <v>150.21349802228445</v>
      </c>
      <c r="F39" s="16">
        <f>基础状态预期!D232</f>
        <v>150.49637054967232</v>
      </c>
      <c r="G39" s="16">
        <f>武将升星!AK39</f>
        <v>148</v>
      </c>
      <c r="H39" s="16">
        <f>武将升星!AK84</f>
        <v>148</v>
      </c>
      <c r="I39" s="16">
        <f>武将升星!AK129</f>
        <v>148</v>
      </c>
      <c r="J39" s="16">
        <f>武将升星!AK174</f>
        <v>148</v>
      </c>
      <c r="K39" s="16">
        <f>武将升星!AK219</f>
        <v>148</v>
      </c>
      <c r="L39" s="34">
        <f>武将升星!AK39/G39</f>
        <v>1</v>
      </c>
      <c r="P39" s="16">
        <v>36</v>
      </c>
      <c r="Q39" s="16">
        <f t="shared" si="103"/>
        <v>87.741334120971473</v>
      </c>
      <c r="R39" s="16">
        <f t="shared" si="104"/>
        <v>89.116874042268137</v>
      </c>
      <c r="S39" s="16">
        <f t="shared" si="105"/>
        <v>92.040726687799605</v>
      </c>
      <c r="T39" s="16">
        <f t="shared" si="106"/>
        <v>98.196250314481063</v>
      </c>
      <c r="U39" s="16">
        <f t="shared" si="107"/>
        <v>99.065707140023903</v>
      </c>
      <c r="Z39" s="16">
        <f t="shared" si="93"/>
        <v>149.52287096243165</v>
      </c>
      <c r="AA39" s="16">
        <f t="shared" si="94"/>
        <v>149.61701338734093</v>
      </c>
      <c r="AB39" s="16">
        <f t="shared" si="95"/>
        <v>150.12999034316616</v>
      </c>
      <c r="AC39" s="16">
        <f t="shared" si="96"/>
        <v>150.21349802228445</v>
      </c>
      <c r="AD39" s="16">
        <f t="shared" si="97"/>
        <v>150.49637054967232</v>
      </c>
      <c r="AE39" s="16">
        <f>武将升级!AD39+武将羁绊!AW42</f>
        <v>15878.436780125816</v>
      </c>
      <c r="AF39" s="16">
        <f>武将升级!AD84+武将羁绊!AW87</f>
        <v>15887.643909281942</v>
      </c>
      <c r="AG39" s="16">
        <f>武将升级!AD129+武将羁绊!AW132</f>
        <v>15925.100000000002</v>
      </c>
      <c r="AH39" s="16">
        <f>武将升级!AD174+武将羁绊!AW177</f>
        <v>15925.100000000002</v>
      </c>
      <c r="AI39" s="16">
        <f>武将升级!AD219+武将羁绊!AW222</f>
        <v>15925.100000000002</v>
      </c>
      <c r="AJ39" s="34">
        <f>武将升级!AD39/AE39</f>
        <v>0.61349693251533743</v>
      </c>
      <c r="AK39" s="34">
        <f>武将羁绊!AW42/AE39</f>
        <v>0.38650306748466262</v>
      </c>
      <c r="AM39" s="16">
        <v>36</v>
      </c>
      <c r="AN39" s="16">
        <f t="shared" si="108"/>
        <v>3230.4187944418031</v>
      </c>
      <c r="AO39" s="16">
        <f t="shared" si="109"/>
        <v>3280.3450046428343</v>
      </c>
      <c r="AP39" s="16">
        <f t="shared" si="110"/>
        <v>3374.9741165407963</v>
      </c>
      <c r="AQ39" s="16">
        <f t="shared" si="111"/>
        <v>3646.1307163452907</v>
      </c>
      <c r="AR39" s="16">
        <f t="shared" si="112"/>
        <v>3885.7372665141015</v>
      </c>
      <c r="AU39" s="17">
        <f t="shared" si="98"/>
        <v>149.52287096243165</v>
      </c>
      <c r="AV39" s="17">
        <f t="shared" si="99"/>
        <v>149.61701338734093</v>
      </c>
      <c r="AW39" s="17">
        <f t="shared" si="100"/>
        <v>150.12999034316616</v>
      </c>
      <c r="AX39" s="17">
        <f t="shared" si="101"/>
        <v>150.21349802228445</v>
      </c>
      <c r="AY39" s="17">
        <f t="shared" si="102"/>
        <v>150.49637054967232</v>
      </c>
      <c r="AZ39" s="17">
        <f>(武将升级!AJ39+武将羁绊!AW42)</f>
        <v>15878.436780125816</v>
      </c>
      <c r="BA39" s="17">
        <f>(武将升级!AJ84+武将羁绊!AW87)</f>
        <v>15887.643909281942</v>
      </c>
      <c r="BB39" s="17">
        <f>(武将升级!AJ129+武将羁绊!AW132)</f>
        <v>15925.100000000002</v>
      </c>
      <c r="BC39" s="17">
        <f>(武将升级!AJ174+武将羁绊!AW177)</f>
        <v>15925.100000000002</v>
      </c>
      <c r="BD39" s="17">
        <f>(武将升级!AJ219+武将羁绊!AW222)</f>
        <v>15925.100000000002</v>
      </c>
      <c r="BE39" s="34">
        <f>武将升级!AJ39/AZ39</f>
        <v>0.61349693251533743</v>
      </c>
      <c r="BF39" s="34">
        <f>武将羁绊!AW42/AZ39</f>
        <v>0.38650306748466262</v>
      </c>
      <c r="BH39" s="17">
        <v>36</v>
      </c>
      <c r="BI39" s="17">
        <f t="shared" si="56"/>
        <v>3230.4187944418031</v>
      </c>
      <c r="BJ39" s="17">
        <f t="shared" si="57"/>
        <v>3280.3450046428343</v>
      </c>
      <c r="BK39" s="17">
        <f t="shared" si="58"/>
        <v>3374.9741165407963</v>
      </c>
      <c r="BL39" s="17">
        <f t="shared" si="59"/>
        <v>3646.1307163452907</v>
      </c>
      <c r="BM39" s="17">
        <f t="shared" si="60"/>
        <v>3885.7372665141015</v>
      </c>
      <c r="BR39" s="17">
        <f t="shared" si="61"/>
        <v>149.52287096243165</v>
      </c>
      <c r="BS39" s="17">
        <f t="shared" si="62"/>
        <v>149.61701338734093</v>
      </c>
      <c r="BT39" s="17">
        <f t="shared" si="63"/>
        <v>150.12999034316616</v>
      </c>
      <c r="BU39" s="17">
        <f t="shared" si="64"/>
        <v>150.21349802228445</v>
      </c>
      <c r="BV39" s="17">
        <f t="shared" si="65"/>
        <v>150.49637054967232</v>
      </c>
      <c r="BW39" s="17">
        <f>武将升级!AP39</f>
        <v>3980.457419248633</v>
      </c>
      <c r="BX39" s="17">
        <f>武将升级!AP84</f>
        <v>3982.3402677468184</v>
      </c>
      <c r="BY39" s="17">
        <f>武将升级!AP129</f>
        <v>3990</v>
      </c>
      <c r="BZ39" s="17">
        <f>武将升级!AP174</f>
        <v>3990</v>
      </c>
      <c r="CA39" s="17">
        <f>武将升级!AP219</f>
        <v>3990</v>
      </c>
      <c r="CC39" s="17">
        <v>36</v>
      </c>
      <c r="CD39" s="17">
        <f t="shared" si="88"/>
        <v>1710</v>
      </c>
      <c r="CE39" s="17">
        <f t="shared" si="89"/>
        <v>1710</v>
      </c>
      <c r="CF39" s="17">
        <f t="shared" si="90"/>
        <v>1710</v>
      </c>
      <c r="CG39" s="17">
        <f t="shared" si="91"/>
        <v>1710</v>
      </c>
      <c r="CH39" s="17">
        <f t="shared" si="92"/>
        <v>1710</v>
      </c>
      <c r="CM39" s="17">
        <f t="shared" si="67"/>
        <v>149.52287096243165</v>
      </c>
      <c r="CN39" s="17">
        <f t="shared" si="68"/>
        <v>149.61701338734093</v>
      </c>
      <c r="CO39" s="17">
        <f t="shared" si="69"/>
        <v>150.12999034316616</v>
      </c>
      <c r="CP39" s="17">
        <f t="shared" si="70"/>
        <v>150.21349802228445</v>
      </c>
      <c r="CQ39" s="17">
        <f t="shared" si="71"/>
        <v>150.49637054967232</v>
      </c>
      <c r="CR39" s="17">
        <f>武将升级!AV39</f>
        <v>318.04574192486331</v>
      </c>
      <c r="CS39" s="17">
        <f>武将升级!AV84</f>
        <v>318.23402677468187</v>
      </c>
      <c r="CT39" s="17">
        <f>武将升级!AV129</f>
        <v>319</v>
      </c>
      <c r="CU39" s="17">
        <f>武将升级!AV174</f>
        <v>319</v>
      </c>
      <c r="CV39" s="17">
        <f>武将升级!AV219</f>
        <v>319</v>
      </c>
      <c r="CX39" s="17">
        <v>36</v>
      </c>
      <c r="CY39" s="17">
        <f t="shared" si="113"/>
        <v>88</v>
      </c>
      <c r="CZ39" s="17">
        <f t="shared" si="114"/>
        <v>88</v>
      </c>
      <c r="DA39" s="17">
        <f t="shared" si="115"/>
        <v>88</v>
      </c>
      <c r="DB39" s="17">
        <f t="shared" si="116"/>
        <v>88</v>
      </c>
      <c r="DC39" s="17">
        <f t="shared" si="117"/>
        <v>88</v>
      </c>
      <c r="DH39" s="17">
        <f t="shared" si="72"/>
        <v>149.52287096243165</v>
      </c>
      <c r="DI39" s="17">
        <f t="shared" si="73"/>
        <v>149.61701338734093</v>
      </c>
      <c r="DJ39" s="17">
        <f t="shared" si="74"/>
        <v>150.12999034316616</v>
      </c>
      <c r="DK39" s="17">
        <f t="shared" si="75"/>
        <v>150.21349802228445</v>
      </c>
      <c r="DL39" s="17">
        <f t="shared" si="76"/>
        <v>150.49637054967232</v>
      </c>
      <c r="DM39" s="17">
        <f>武将升星!$AQ39</f>
        <v>1.1399999999999999</v>
      </c>
      <c r="DN39" s="17">
        <f>武将升星!$AQ84</f>
        <v>1.1399999999999999</v>
      </c>
      <c r="DO39" s="17">
        <f>武将升星!$AQ129</f>
        <v>1.1399999999999999</v>
      </c>
      <c r="DP39" s="17">
        <f>武将升星!$AQ174</f>
        <v>1.1399999999999999</v>
      </c>
      <c r="DQ39" s="17">
        <f>武将升星!$AQ219</f>
        <v>1.1399999999999999</v>
      </c>
      <c r="DS39" s="17">
        <v>36</v>
      </c>
      <c r="DT39" s="17">
        <f t="shared" si="77"/>
        <v>0.25547521134198931</v>
      </c>
      <c r="DU39" s="17">
        <f t="shared" si="78"/>
        <v>0.27528298620866121</v>
      </c>
      <c r="DV39" s="17">
        <f t="shared" si="79"/>
        <v>0.31738646430431444</v>
      </c>
      <c r="DW39" s="17">
        <f t="shared" si="80"/>
        <v>0.40602600452852738</v>
      </c>
      <c r="DX39" s="17">
        <f t="shared" si="81"/>
        <v>0.41854618281634431</v>
      </c>
      <c r="EC39" s="17">
        <f t="shared" si="82"/>
        <v>149.52287096243165</v>
      </c>
      <c r="ED39" s="17">
        <f t="shared" si="83"/>
        <v>149.61701338734093</v>
      </c>
      <c r="EE39" s="17">
        <f t="shared" si="84"/>
        <v>150.12999034316616</v>
      </c>
      <c r="EF39" s="17">
        <f t="shared" si="85"/>
        <v>150.21349802228445</v>
      </c>
      <c r="EG39" s="17">
        <f t="shared" si="86"/>
        <v>150.49637054967232</v>
      </c>
      <c r="EH39" s="17">
        <f>武将升星!$AW39</f>
        <v>0.80000000000000016</v>
      </c>
      <c r="EI39" s="17">
        <f>武将升星!$AW84</f>
        <v>0.80000000000000016</v>
      </c>
      <c r="EJ39" s="17">
        <f>武将升星!$AW129</f>
        <v>0.80000000000000016</v>
      </c>
      <c r="EK39" s="17">
        <f>武将升星!$AW174</f>
        <v>0.80000000000000016</v>
      </c>
      <c r="EL39" s="17">
        <f>武将升星!$AW219</f>
        <v>0.80000000000000016</v>
      </c>
      <c r="EN39" s="17">
        <v>36</v>
      </c>
      <c r="EO39" s="17">
        <f t="shared" si="50"/>
        <v>3.8378677693600705E-2</v>
      </c>
      <c r="EP39" s="17">
        <f t="shared" si="51"/>
        <v>5.7636236591753924E-2</v>
      </c>
      <c r="EQ39" s="17">
        <f t="shared" si="52"/>
        <v>9.8570173629194624E-2</v>
      </c>
      <c r="ER39" s="17">
        <f t="shared" si="53"/>
        <v>0.18474750440273494</v>
      </c>
      <c r="ES39" s="17">
        <f t="shared" si="54"/>
        <v>0.19691989996033468</v>
      </c>
    </row>
    <row r="40" spans="2:149" x14ac:dyDescent="0.15">
      <c r="B40" s="16">
        <f>基础状态预期!D53</f>
        <v>153.02723536432757</v>
      </c>
      <c r="C40" s="16">
        <f>基础状态预期!D98</f>
        <v>153.01012120353457</v>
      </c>
      <c r="D40" s="16">
        <f>基础状态预期!D143</f>
        <v>153.11600330857166</v>
      </c>
      <c r="E40" s="16">
        <f>基础状态预期!D188</f>
        <v>152.32856849044819</v>
      </c>
      <c r="F40" s="16">
        <f>基础状态预期!D233</f>
        <v>151.40240982411487</v>
      </c>
      <c r="G40" s="16">
        <f>武将升星!AK40</f>
        <v>148</v>
      </c>
      <c r="H40" s="16">
        <f>武将升星!AK85</f>
        <v>148</v>
      </c>
      <c r="I40" s="16">
        <f>武将升星!AK130</f>
        <v>148</v>
      </c>
      <c r="J40" s="16">
        <f>武将升星!AK175</f>
        <v>148</v>
      </c>
      <c r="K40" s="16">
        <f>武将升星!AK220</f>
        <v>148</v>
      </c>
      <c r="L40" s="34">
        <f>武将升星!AK40/G40</f>
        <v>1</v>
      </c>
      <c r="P40" s="16">
        <v>37</v>
      </c>
      <c r="Q40" s="16">
        <f t="shared" si="103"/>
        <v>88.124917811843503</v>
      </c>
      <c r="R40" s="16">
        <f t="shared" si="104"/>
        <v>89.557571760164066</v>
      </c>
      <c r="S40" s="16">
        <f t="shared" si="105"/>
        <v>92.640472095854335</v>
      </c>
      <c r="T40" s="16">
        <f t="shared" si="106"/>
        <v>99.163877561425593</v>
      </c>
      <c r="U40" s="16">
        <f t="shared" si="107"/>
        <v>99.895463282872029</v>
      </c>
      <c r="Z40" s="16">
        <f t="shared" si="93"/>
        <v>153.02723536432757</v>
      </c>
      <c r="AA40" s="16">
        <f t="shared" si="94"/>
        <v>153.01012120353457</v>
      </c>
      <c r="AB40" s="16">
        <f t="shared" si="95"/>
        <v>153.11600330857166</v>
      </c>
      <c r="AC40" s="16">
        <f t="shared" si="96"/>
        <v>152.32856849044819</v>
      </c>
      <c r="AD40" s="16">
        <f t="shared" si="97"/>
        <v>151.40240982411487</v>
      </c>
      <c r="AE40" s="16">
        <f>武将升级!AD40+武将羁绊!AW43</f>
        <v>15925.100000000002</v>
      </c>
      <c r="AF40" s="16">
        <f>武将升级!AD85+武将羁绊!AW88</f>
        <v>15925.100000000002</v>
      </c>
      <c r="AG40" s="16">
        <f>武将升级!AD130+武将羁绊!AW133</f>
        <v>15925.100000000002</v>
      </c>
      <c r="AH40" s="16">
        <f>武将升级!AD175+武将羁绊!AW178</f>
        <v>15925.100000000002</v>
      </c>
      <c r="AI40" s="16">
        <f>武将升级!AD220+武将羁绊!AW223</f>
        <v>15925.100000000002</v>
      </c>
      <c r="AJ40" s="34">
        <f>武将升级!AD40/AE40</f>
        <v>0.61349693251533732</v>
      </c>
      <c r="AK40" s="34">
        <f>武将羁绊!AW43/AE40</f>
        <v>0.38650306748466262</v>
      </c>
      <c r="AM40" s="16">
        <v>37</v>
      </c>
      <c r="AN40" s="16">
        <f t="shared" si="108"/>
        <v>3306.8700966388724</v>
      </c>
      <c r="AO40" s="16">
        <f t="shared" si="109"/>
        <v>3359.2530333062818</v>
      </c>
      <c r="AP40" s="16">
        <f t="shared" si="110"/>
        <v>3459.4276357634617</v>
      </c>
      <c r="AQ40" s="16">
        <f t="shared" si="111"/>
        <v>3748.9815138135614</v>
      </c>
      <c r="AR40" s="16">
        <f t="shared" si="112"/>
        <v>3999.6912765053298</v>
      </c>
      <c r="AU40" s="17">
        <f t="shared" si="98"/>
        <v>153.02723536432757</v>
      </c>
      <c r="AV40" s="17">
        <f t="shared" si="99"/>
        <v>153.01012120353457</v>
      </c>
      <c r="AW40" s="17">
        <f t="shared" si="100"/>
        <v>153.11600330857166</v>
      </c>
      <c r="AX40" s="17">
        <f t="shared" si="101"/>
        <v>152.32856849044819</v>
      </c>
      <c r="AY40" s="17">
        <f t="shared" si="102"/>
        <v>151.40240982411487</v>
      </c>
      <c r="AZ40" s="17">
        <f>(武将升级!AJ40+武将羁绊!AW43)</f>
        <v>15925.100000000002</v>
      </c>
      <c r="BA40" s="17">
        <f>(武将升级!AJ85+武将羁绊!AW88)</f>
        <v>15925.100000000002</v>
      </c>
      <c r="BB40" s="17">
        <f>(武将升级!AJ130+武将羁绊!AW133)</f>
        <v>15925.100000000002</v>
      </c>
      <c r="BC40" s="17">
        <f>(武将升级!AJ175+武将羁绊!AW178)</f>
        <v>15925.100000000002</v>
      </c>
      <c r="BD40" s="17">
        <f>(武将升级!AJ220+武将羁绊!AW223)</f>
        <v>15925.100000000002</v>
      </c>
      <c r="BE40" s="34">
        <f>武将升级!AJ40/AZ40</f>
        <v>0.61349693251533732</v>
      </c>
      <c r="BF40" s="34">
        <f>武将羁绊!AW43/AZ40</f>
        <v>0.38650306748466262</v>
      </c>
      <c r="BH40" s="17">
        <v>37</v>
      </c>
      <c r="BI40" s="17">
        <f t="shared" si="56"/>
        <v>3306.8700966388724</v>
      </c>
      <c r="BJ40" s="17">
        <f t="shared" si="57"/>
        <v>3359.2530333062818</v>
      </c>
      <c r="BK40" s="17">
        <f t="shared" si="58"/>
        <v>3459.4276357634617</v>
      </c>
      <c r="BL40" s="17">
        <f t="shared" si="59"/>
        <v>3748.9815138135614</v>
      </c>
      <c r="BM40" s="17">
        <f t="shared" si="60"/>
        <v>3999.6912765053298</v>
      </c>
      <c r="BR40" s="17">
        <f t="shared" si="61"/>
        <v>153.02723536432757</v>
      </c>
      <c r="BS40" s="17">
        <f t="shared" si="62"/>
        <v>153.01012120353457</v>
      </c>
      <c r="BT40" s="17">
        <f t="shared" si="63"/>
        <v>153.11600330857166</v>
      </c>
      <c r="BU40" s="17">
        <f t="shared" si="64"/>
        <v>152.32856849044819</v>
      </c>
      <c r="BV40" s="17">
        <f t="shared" si="65"/>
        <v>151.40240982411487</v>
      </c>
      <c r="BW40" s="17">
        <f>武将升级!AP40</f>
        <v>3990</v>
      </c>
      <c r="BX40" s="17">
        <f>武将升级!AP85</f>
        <v>3990</v>
      </c>
      <c r="BY40" s="17">
        <f>武将升级!AP130</f>
        <v>3990</v>
      </c>
      <c r="BZ40" s="17">
        <f>武将升级!AP175</f>
        <v>3990</v>
      </c>
      <c r="CA40" s="17">
        <f>武将升级!AP220</f>
        <v>3990</v>
      </c>
      <c r="CC40" s="17">
        <v>37</v>
      </c>
      <c r="CD40" s="17">
        <f t="shared" si="88"/>
        <v>1730</v>
      </c>
      <c r="CE40" s="17">
        <f t="shared" si="89"/>
        <v>1730</v>
      </c>
      <c r="CF40" s="17">
        <f t="shared" si="90"/>
        <v>1730</v>
      </c>
      <c r="CG40" s="17">
        <f t="shared" si="91"/>
        <v>1730</v>
      </c>
      <c r="CH40" s="17">
        <f t="shared" si="92"/>
        <v>1730</v>
      </c>
      <c r="CM40" s="17">
        <f t="shared" si="67"/>
        <v>153.02723536432757</v>
      </c>
      <c r="CN40" s="17">
        <f t="shared" si="68"/>
        <v>153.01012120353457</v>
      </c>
      <c r="CO40" s="17">
        <f t="shared" si="69"/>
        <v>153.11600330857166</v>
      </c>
      <c r="CP40" s="17">
        <f t="shared" si="70"/>
        <v>152.32856849044819</v>
      </c>
      <c r="CQ40" s="17">
        <f t="shared" si="71"/>
        <v>151.40240982411487</v>
      </c>
      <c r="CR40" s="17">
        <f>武将升级!AV40</f>
        <v>319</v>
      </c>
      <c r="CS40" s="17">
        <f>武将升级!AV85</f>
        <v>319</v>
      </c>
      <c r="CT40" s="17">
        <f>武将升级!AV130</f>
        <v>319</v>
      </c>
      <c r="CU40" s="17">
        <f>武将升级!AV175</f>
        <v>319</v>
      </c>
      <c r="CV40" s="17">
        <f>武将升级!AV220</f>
        <v>319</v>
      </c>
      <c r="CX40" s="17">
        <v>37</v>
      </c>
      <c r="CY40" s="17">
        <f t="shared" si="113"/>
        <v>90</v>
      </c>
      <c r="CZ40" s="17">
        <f t="shared" si="114"/>
        <v>90</v>
      </c>
      <c r="DA40" s="17">
        <f t="shared" si="115"/>
        <v>90</v>
      </c>
      <c r="DB40" s="17">
        <f t="shared" si="116"/>
        <v>90</v>
      </c>
      <c r="DC40" s="17">
        <f t="shared" si="117"/>
        <v>90</v>
      </c>
      <c r="DH40" s="17">
        <f t="shared" si="72"/>
        <v>153.02723536432757</v>
      </c>
      <c r="DI40" s="17">
        <f t="shared" si="73"/>
        <v>153.01012120353457</v>
      </c>
      <c r="DJ40" s="17">
        <f t="shared" si="74"/>
        <v>153.11600330857166</v>
      </c>
      <c r="DK40" s="17">
        <f t="shared" si="75"/>
        <v>152.32856849044819</v>
      </c>
      <c r="DL40" s="17">
        <f t="shared" si="76"/>
        <v>151.40240982411487</v>
      </c>
      <c r="DM40" s="17">
        <f>武将升星!$AQ40</f>
        <v>1.1399999999999999</v>
      </c>
      <c r="DN40" s="17">
        <f>武将升星!$AQ85</f>
        <v>1.1399999999999999</v>
      </c>
      <c r="DO40" s="17">
        <f>武将升星!$AQ130</f>
        <v>1.1399999999999999</v>
      </c>
      <c r="DP40" s="17">
        <f>武将升星!$AQ175</f>
        <v>1.1399999999999999</v>
      </c>
      <c r="DQ40" s="17">
        <f>武将升星!$AQ220</f>
        <v>1.1399999999999999</v>
      </c>
      <c r="DS40" s="17">
        <v>37</v>
      </c>
      <c r="DT40" s="17">
        <f t="shared" si="77"/>
        <v>0.2609988164905464</v>
      </c>
      <c r="DU40" s="17">
        <f t="shared" si="78"/>
        <v>0.28162903334636258</v>
      </c>
      <c r="DV40" s="17">
        <f t="shared" si="79"/>
        <v>0.3260227981803025</v>
      </c>
      <c r="DW40" s="17">
        <f t="shared" si="80"/>
        <v>0.41995983688452865</v>
      </c>
      <c r="DX40" s="17">
        <f t="shared" si="81"/>
        <v>0.43049467127335722</v>
      </c>
      <c r="EC40" s="17">
        <f t="shared" si="82"/>
        <v>153.02723536432757</v>
      </c>
      <c r="ED40" s="17">
        <f t="shared" si="83"/>
        <v>153.01012120353457</v>
      </c>
      <c r="EE40" s="17">
        <f t="shared" si="84"/>
        <v>153.11600330857166</v>
      </c>
      <c r="EF40" s="17">
        <f t="shared" si="85"/>
        <v>152.32856849044819</v>
      </c>
      <c r="EG40" s="17">
        <f t="shared" si="86"/>
        <v>151.40240982411487</v>
      </c>
      <c r="EH40" s="17">
        <f>武将升星!$AW40</f>
        <v>0.80000000000000016</v>
      </c>
      <c r="EI40" s="17">
        <f>武将升星!$AW85</f>
        <v>0.80000000000000016</v>
      </c>
      <c r="EJ40" s="17">
        <f>武将升星!$AW130</f>
        <v>0.80000000000000016</v>
      </c>
      <c r="EK40" s="17">
        <f>武将升星!$AW175</f>
        <v>0.80000000000000016</v>
      </c>
      <c r="EL40" s="17">
        <f>武将升星!$AW220</f>
        <v>0.80000000000000016</v>
      </c>
      <c r="EN40" s="17">
        <v>37</v>
      </c>
      <c r="EO40" s="17">
        <f t="shared" si="50"/>
        <v>4.3748849365809001E-2</v>
      </c>
      <c r="EP40" s="17">
        <f t="shared" si="51"/>
        <v>6.3806004642296937E-2</v>
      </c>
      <c r="EQ40" s="17">
        <f t="shared" si="52"/>
        <v>0.10696660934196078</v>
      </c>
      <c r="ER40" s="17">
        <f t="shared" si="53"/>
        <v>0.1982942858599584</v>
      </c>
      <c r="ES40" s="17">
        <f t="shared" si="54"/>
        <v>0.20853648596020835</v>
      </c>
    </row>
    <row r="41" spans="2:149" x14ac:dyDescent="0.15">
      <c r="B41" s="16">
        <f>基础状态预期!D54</f>
        <v>156.52008914974525</v>
      </c>
      <c r="C41" s="16">
        <f>基础状态预期!D99</f>
        <v>154.95970315183646</v>
      </c>
      <c r="D41" s="16">
        <f>基础状态预期!D144</f>
        <v>154.20294442048996</v>
      </c>
      <c r="E41" s="16">
        <f>基础状态预期!D189</f>
        <v>153.15627769682186</v>
      </c>
      <c r="F41" s="16">
        <f>基础状态预期!D234</f>
        <v>152.00526961196863</v>
      </c>
      <c r="G41" s="16">
        <f>武将升星!AK41</f>
        <v>148</v>
      </c>
      <c r="H41" s="16">
        <f>武将升星!AK86</f>
        <v>148</v>
      </c>
      <c r="I41" s="16">
        <f>武将升星!AK131</f>
        <v>148</v>
      </c>
      <c r="J41" s="16">
        <f>武将升星!AK176</f>
        <v>148</v>
      </c>
      <c r="K41" s="16">
        <f>武将升星!AK221</f>
        <v>148</v>
      </c>
      <c r="L41" s="34">
        <f>武将升星!AK41/G41</f>
        <v>1</v>
      </c>
      <c r="P41" s="16">
        <v>38</v>
      </c>
      <c r="Q41" s="16">
        <f t="shared" si="103"/>
        <v>88.508501502715518</v>
      </c>
      <c r="R41" s="16">
        <f t="shared" si="104"/>
        <v>89.998269478059996</v>
      </c>
      <c r="S41" s="16">
        <f t="shared" si="105"/>
        <v>93.240217503909051</v>
      </c>
      <c r="T41" s="16">
        <f t="shared" si="106"/>
        <v>100.13150480837014</v>
      </c>
      <c r="U41" s="16">
        <f t="shared" si="107"/>
        <v>100.72521942572014</v>
      </c>
      <c r="Z41" s="16">
        <f t="shared" si="93"/>
        <v>156.52008914974525</v>
      </c>
      <c r="AA41" s="16">
        <f t="shared" si="94"/>
        <v>154.95970315183646</v>
      </c>
      <c r="AB41" s="16">
        <f t="shared" si="95"/>
        <v>154.20294442048996</v>
      </c>
      <c r="AC41" s="16">
        <f t="shared" si="96"/>
        <v>153.15627769682186</v>
      </c>
      <c r="AD41" s="16">
        <f t="shared" si="97"/>
        <v>152.00526961196863</v>
      </c>
      <c r="AE41" s="16">
        <f>武将升级!AD41+武将羁绊!AW44</f>
        <v>15925.100000000002</v>
      </c>
      <c r="AF41" s="16">
        <f>武将升级!AD86+武将羁绊!AW89</f>
        <v>15925.100000000002</v>
      </c>
      <c r="AG41" s="16">
        <f>武将升级!AD131+武将羁绊!AW134</f>
        <v>15925.100000000002</v>
      </c>
      <c r="AH41" s="16">
        <f>武将升级!AD176+武将羁绊!AW179</f>
        <v>15925.100000000002</v>
      </c>
      <c r="AI41" s="16">
        <f>武将升级!AD221+武将羁绊!AW224</f>
        <v>15925.100000000002</v>
      </c>
      <c r="AJ41" s="34">
        <f>武将升级!AD41/AE41</f>
        <v>0.61349693251533732</v>
      </c>
      <c r="AK41" s="34">
        <f>武将羁绊!AW44/AE41</f>
        <v>0.38650306748466262</v>
      </c>
      <c r="AM41" s="16">
        <v>38</v>
      </c>
      <c r="AN41" s="16">
        <f t="shared" si="108"/>
        <v>3383.3213988359416</v>
      </c>
      <c r="AO41" s="16">
        <f t="shared" si="109"/>
        <v>3438.161061969729</v>
      </c>
      <c r="AP41" s="16">
        <f t="shared" si="110"/>
        <v>3543.8811549861271</v>
      </c>
      <c r="AQ41" s="16">
        <f t="shared" si="111"/>
        <v>3851.8323112818316</v>
      </c>
      <c r="AR41" s="16">
        <f t="shared" si="112"/>
        <v>4113.6452864965577</v>
      </c>
      <c r="AU41" s="17">
        <f t="shared" si="98"/>
        <v>156.52008914974525</v>
      </c>
      <c r="AV41" s="17">
        <f t="shared" si="99"/>
        <v>154.95970315183646</v>
      </c>
      <c r="AW41" s="17">
        <f t="shared" si="100"/>
        <v>154.20294442048996</v>
      </c>
      <c r="AX41" s="17">
        <f t="shared" si="101"/>
        <v>153.15627769682186</v>
      </c>
      <c r="AY41" s="17">
        <f t="shared" si="102"/>
        <v>152.00526961196863</v>
      </c>
      <c r="AZ41" s="17">
        <f>(武将升级!AJ41+武将羁绊!AW44)</f>
        <v>15925.100000000002</v>
      </c>
      <c r="BA41" s="17">
        <f>(武将升级!AJ86+武将羁绊!AW89)</f>
        <v>15925.100000000002</v>
      </c>
      <c r="BB41" s="17">
        <f>(武将升级!AJ131+武将羁绊!AW134)</f>
        <v>15925.100000000002</v>
      </c>
      <c r="BC41" s="17">
        <f>(武将升级!AJ176+武将羁绊!AW179)</f>
        <v>15925.100000000002</v>
      </c>
      <c r="BD41" s="17">
        <f>(武将升级!AJ221+武将羁绊!AW224)</f>
        <v>15925.100000000002</v>
      </c>
      <c r="BE41" s="34">
        <f>武将升级!AJ41/AZ41</f>
        <v>0.61349693251533732</v>
      </c>
      <c r="BF41" s="34">
        <f>武将羁绊!AW44/AZ41</f>
        <v>0.38650306748466262</v>
      </c>
      <c r="BH41" s="17">
        <v>38</v>
      </c>
      <c r="BI41" s="17">
        <f t="shared" si="56"/>
        <v>3383.3213988359416</v>
      </c>
      <c r="BJ41" s="17">
        <f t="shared" si="57"/>
        <v>3438.161061969729</v>
      </c>
      <c r="BK41" s="17">
        <f t="shared" si="58"/>
        <v>3543.8811549861271</v>
      </c>
      <c r="BL41" s="17">
        <f t="shared" si="59"/>
        <v>3851.8323112818316</v>
      </c>
      <c r="BM41" s="17">
        <f t="shared" si="60"/>
        <v>4113.6452864965577</v>
      </c>
      <c r="BR41" s="17">
        <f t="shared" si="61"/>
        <v>156.52008914974525</v>
      </c>
      <c r="BS41" s="17">
        <f t="shared" si="62"/>
        <v>154.95970315183646</v>
      </c>
      <c r="BT41" s="17">
        <f t="shared" si="63"/>
        <v>154.20294442048996</v>
      </c>
      <c r="BU41" s="17">
        <f t="shared" si="64"/>
        <v>153.15627769682186</v>
      </c>
      <c r="BV41" s="17">
        <f t="shared" si="65"/>
        <v>152.00526961196863</v>
      </c>
      <c r="BW41" s="17">
        <f>武将升级!AP41</f>
        <v>3990</v>
      </c>
      <c r="BX41" s="17">
        <f>武将升级!AP86</f>
        <v>3990</v>
      </c>
      <c r="BY41" s="17">
        <f>武将升级!AP131</f>
        <v>3990</v>
      </c>
      <c r="BZ41" s="17">
        <f>武将升级!AP176</f>
        <v>3990</v>
      </c>
      <c r="CA41" s="17">
        <f>武将升级!AP221</f>
        <v>3990</v>
      </c>
      <c r="CC41" s="17">
        <v>38</v>
      </c>
      <c r="CD41" s="17">
        <f t="shared" si="88"/>
        <v>1750</v>
      </c>
      <c r="CE41" s="17">
        <f t="shared" si="89"/>
        <v>1750</v>
      </c>
      <c r="CF41" s="17">
        <f t="shared" si="90"/>
        <v>1749.9999999999998</v>
      </c>
      <c r="CG41" s="17">
        <f t="shared" si="91"/>
        <v>1750</v>
      </c>
      <c r="CH41" s="17">
        <f t="shared" si="92"/>
        <v>1750</v>
      </c>
      <c r="CM41" s="17">
        <f t="shared" si="67"/>
        <v>156.52008914974525</v>
      </c>
      <c r="CN41" s="17">
        <f t="shared" si="68"/>
        <v>154.95970315183646</v>
      </c>
      <c r="CO41" s="17">
        <f t="shared" si="69"/>
        <v>154.20294442048996</v>
      </c>
      <c r="CP41" s="17">
        <f t="shared" si="70"/>
        <v>153.15627769682186</v>
      </c>
      <c r="CQ41" s="17">
        <f t="shared" si="71"/>
        <v>152.00526961196863</v>
      </c>
      <c r="CR41" s="17">
        <f>武将升级!AV41</f>
        <v>319</v>
      </c>
      <c r="CS41" s="17">
        <f>武将升级!AV86</f>
        <v>319</v>
      </c>
      <c r="CT41" s="17">
        <f>武将升级!AV131</f>
        <v>319</v>
      </c>
      <c r="CU41" s="17">
        <f>武将升级!AV176</f>
        <v>319</v>
      </c>
      <c r="CV41" s="17">
        <f>武将升级!AV221</f>
        <v>319</v>
      </c>
      <c r="CX41" s="17">
        <v>38</v>
      </c>
      <c r="CY41" s="17">
        <f t="shared" si="113"/>
        <v>92</v>
      </c>
      <c r="CZ41" s="17">
        <f t="shared" si="114"/>
        <v>92</v>
      </c>
      <c r="DA41" s="17">
        <f t="shared" si="115"/>
        <v>92</v>
      </c>
      <c r="DB41" s="17">
        <f t="shared" si="116"/>
        <v>92</v>
      </c>
      <c r="DC41" s="17">
        <f t="shared" si="117"/>
        <v>92</v>
      </c>
      <c r="DH41" s="17">
        <f t="shared" si="72"/>
        <v>156.52008914974525</v>
      </c>
      <c r="DI41" s="17">
        <f t="shared" si="73"/>
        <v>154.95970315183646</v>
      </c>
      <c r="DJ41" s="17">
        <f t="shared" si="74"/>
        <v>154.20294442048996</v>
      </c>
      <c r="DK41" s="17">
        <f t="shared" si="75"/>
        <v>153.15627769682186</v>
      </c>
      <c r="DL41" s="17">
        <f t="shared" si="76"/>
        <v>152.00526961196863</v>
      </c>
      <c r="DM41" s="17">
        <f>武将升星!$AQ41</f>
        <v>1.1399999999999999</v>
      </c>
      <c r="DN41" s="17">
        <f>武将升星!$AQ86</f>
        <v>1.1399999999999999</v>
      </c>
      <c r="DO41" s="17">
        <f>武将升星!$AQ131</f>
        <v>1.1399999999999999</v>
      </c>
      <c r="DP41" s="17">
        <f>武将升星!$AQ176</f>
        <v>1.1399999999999999</v>
      </c>
      <c r="DQ41" s="17">
        <f>武将升星!$AQ221</f>
        <v>1.1399999999999999</v>
      </c>
      <c r="DS41" s="17">
        <v>38</v>
      </c>
      <c r="DT41" s="17">
        <f t="shared" si="77"/>
        <v>0.2665224216391035</v>
      </c>
      <c r="DU41" s="17">
        <f t="shared" si="78"/>
        <v>0.28797508048406395</v>
      </c>
      <c r="DV41" s="17">
        <f t="shared" si="79"/>
        <v>0.33465913205629055</v>
      </c>
      <c r="DW41" s="17">
        <f t="shared" si="80"/>
        <v>0.43389366924052991</v>
      </c>
      <c r="DX41" s="17">
        <f t="shared" si="81"/>
        <v>0.44244315973037007</v>
      </c>
      <c r="EC41" s="17">
        <f t="shared" si="82"/>
        <v>156.52008914974525</v>
      </c>
      <c r="ED41" s="17">
        <f t="shared" si="83"/>
        <v>154.95970315183646</v>
      </c>
      <c r="EE41" s="17">
        <f t="shared" si="84"/>
        <v>154.20294442048996</v>
      </c>
      <c r="EF41" s="17">
        <f t="shared" si="85"/>
        <v>153.15627769682186</v>
      </c>
      <c r="EG41" s="17">
        <f t="shared" si="86"/>
        <v>152.00526961196863</v>
      </c>
      <c r="EH41" s="17">
        <f>武将升星!$AW41</f>
        <v>0.80000000000000016</v>
      </c>
      <c r="EI41" s="17">
        <f>武将升星!$AW86</f>
        <v>0.80000000000000016</v>
      </c>
      <c r="EJ41" s="17">
        <f>武将升星!$AW131</f>
        <v>0.80000000000000016</v>
      </c>
      <c r="EK41" s="17">
        <f>武将升星!$AW176</f>
        <v>0.80000000000000016</v>
      </c>
      <c r="EL41" s="17">
        <f>武将升星!$AW221</f>
        <v>0.80000000000000016</v>
      </c>
      <c r="EN41" s="17">
        <v>38</v>
      </c>
      <c r="EO41" s="17">
        <f t="shared" si="50"/>
        <v>4.9119021038017303E-2</v>
      </c>
      <c r="EP41" s="17">
        <f t="shared" si="51"/>
        <v>6.9975772692839958E-2</v>
      </c>
      <c r="EQ41" s="17">
        <f t="shared" si="52"/>
        <v>0.11536304505472694</v>
      </c>
      <c r="ER41" s="17">
        <f t="shared" si="53"/>
        <v>0.21184106731718183</v>
      </c>
      <c r="ES41" s="17">
        <f t="shared" si="54"/>
        <v>0.22015307196008199</v>
      </c>
    </row>
    <row r="42" spans="2:149" x14ac:dyDescent="0.15">
      <c r="B42" s="16">
        <f>基础状态预期!D55</f>
        <v>159.99202506384199</v>
      </c>
      <c r="C42" s="16">
        <f>基础状态预期!D100</f>
        <v>157.63974470288184</v>
      </c>
      <c r="D42" s="16">
        <f>基础状态预期!D145</f>
        <v>155.2512378743358</v>
      </c>
      <c r="E42" s="16">
        <f>基础状态预期!D190</f>
        <v>153.85863088955028</v>
      </c>
      <c r="F42" s="16">
        <f>基础状态预期!D235</f>
        <v>152.38629594951036</v>
      </c>
      <c r="G42" s="16">
        <f>武将升星!AK42</f>
        <v>148</v>
      </c>
      <c r="H42" s="16">
        <f>武将升星!AK87</f>
        <v>148</v>
      </c>
      <c r="I42" s="16">
        <f>武将升星!AK132</f>
        <v>148</v>
      </c>
      <c r="J42" s="16">
        <f>武将升星!AK177</f>
        <v>148</v>
      </c>
      <c r="K42" s="16">
        <f>武将升星!AK222</f>
        <v>148</v>
      </c>
      <c r="L42" s="34">
        <f>武将升星!AK42/G42</f>
        <v>1</v>
      </c>
      <c r="P42" s="16">
        <v>39</v>
      </c>
      <c r="Q42" s="16">
        <f t="shared" si="103"/>
        <v>88.892085193587548</v>
      </c>
      <c r="R42" s="16">
        <f t="shared" si="104"/>
        <v>90.438967195955925</v>
      </c>
      <c r="S42" s="16">
        <f t="shared" si="105"/>
        <v>93.839962911963781</v>
      </c>
      <c r="T42" s="16">
        <f t="shared" si="106"/>
        <v>101.09913205531467</v>
      </c>
      <c r="U42" s="16">
        <f t="shared" si="107"/>
        <v>101.54577664088121</v>
      </c>
      <c r="Z42" s="16">
        <f t="shared" si="93"/>
        <v>159.99202506384199</v>
      </c>
      <c r="AA42" s="16">
        <f t="shared" si="94"/>
        <v>157.63974470288184</v>
      </c>
      <c r="AB42" s="16">
        <f t="shared" si="95"/>
        <v>155.2512378743358</v>
      </c>
      <c r="AC42" s="16">
        <f t="shared" si="96"/>
        <v>153.85863088955028</v>
      </c>
      <c r="AD42" s="16">
        <f t="shared" si="97"/>
        <v>152.38629594951036</v>
      </c>
      <c r="AE42" s="16">
        <f>武将升级!AD42+武将羁绊!AW45</f>
        <v>15925.100000000002</v>
      </c>
      <c r="AF42" s="16">
        <f>武将升级!AD87+武将羁绊!AW90</f>
        <v>15925.100000000002</v>
      </c>
      <c r="AG42" s="16">
        <f>武将升级!AD132+武将羁绊!AW135</f>
        <v>15925.100000000002</v>
      </c>
      <c r="AH42" s="16">
        <f>武将升级!AD177+武将羁绊!AW180</f>
        <v>15925.100000000002</v>
      </c>
      <c r="AI42" s="16">
        <f>武将升级!AD222+武将羁绊!AW225</f>
        <v>15925.100000000002</v>
      </c>
      <c r="AJ42" s="34">
        <f>武将升级!AD42/AE42</f>
        <v>0.61349693251533732</v>
      </c>
      <c r="AK42" s="34">
        <f>武将羁绊!AW45/AE42</f>
        <v>0.38650306748466262</v>
      </c>
      <c r="AM42" s="16">
        <v>39</v>
      </c>
      <c r="AN42" s="16">
        <f t="shared" si="108"/>
        <v>3459.7727010330109</v>
      </c>
      <c r="AO42" s="16">
        <f t="shared" si="109"/>
        <v>3517.0690906331765</v>
      </c>
      <c r="AP42" s="16">
        <f t="shared" si="110"/>
        <v>3628.3346742087924</v>
      </c>
      <c r="AQ42" s="16">
        <f t="shared" si="111"/>
        <v>3954.6831087501023</v>
      </c>
      <c r="AR42" s="16">
        <f t="shared" si="112"/>
        <v>4230.3194682437143</v>
      </c>
      <c r="AU42" s="17">
        <f t="shared" si="98"/>
        <v>159.99202506384199</v>
      </c>
      <c r="AV42" s="17">
        <f t="shared" si="99"/>
        <v>157.63974470288184</v>
      </c>
      <c r="AW42" s="17">
        <f t="shared" si="100"/>
        <v>155.2512378743358</v>
      </c>
      <c r="AX42" s="17">
        <f t="shared" si="101"/>
        <v>153.85863088955028</v>
      </c>
      <c r="AY42" s="17">
        <f t="shared" si="102"/>
        <v>152.38629594951036</v>
      </c>
      <c r="AZ42" s="17">
        <f>(武将升级!AJ42+武将羁绊!AW45)</f>
        <v>15925.100000000002</v>
      </c>
      <c r="BA42" s="17">
        <f>(武将升级!AJ87+武将羁绊!AW90)</f>
        <v>15925.100000000002</v>
      </c>
      <c r="BB42" s="17">
        <f>(武将升级!AJ132+武将羁绊!AW135)</f>
        <v>15925.100000000002</v>
      </c>
      <c r="BC42" s="17">
        <f>(武将升级!AJ177+武将羁绊!AW180)</f>
        <v>15925.100000000002</v>
      </c>
      <c r="BD42" s="17">
        <f>(武将升级!AJ222+武将羁绊!AW225)</f>
        <v>15925.100000000002</v>
      </c>
      <c r="BE42" s="34">
        <f>武将升级!AJ42/AZ42</f>
        <v>0.61349693251533732</v>
      </c>
      <c r="BF42" s="34">
        <f>武将羁绊!AW45/AZ42</f>
        <v>0.38650306748466262</v>
      </c>
      <c r="BH42" s="17">
        <v>39</v>
      </c>
      <c r="BI42" s="17">
        <f t="shared" si="56"/>
        <v>3459.7727010330109</v>
      </c>
      <c r="BJ42" s="17">
        <f t="shared" si="57"/>
        <v>3517.0690906331765</v>
      </c>
      <c r="BK42" s="17">
        <f t="shared" si="58"/>
        <v>3628.3346742087924</v>
      </c>
      <c r="BL42" s="17">
        <f t="shared" si="59"/>
        <v>3954.6831087501023</v>
      </c>
      <c r="BM42" s="17">
        <f t="shared" si="60"/>
        <v>4230.3194682437143</v>
      </c>
      <c r="BR42" s="17">
        <f t="shared" si="61"/>
        <v>159.99202506384199</v>
      </c>
      <c r="BS42" s="17">
        <f t="shared" si="62"/>
        <v>157.63974470288184</v>
      </c>
      <c r="BT42" s="17">
        <f t="shared" si="63"/>
        <v>155.2512378743358</v>
      </c>
      <c r="BU42" s="17">
        <f t="shared" si="64"/>
        <v>153.85863088955028</v>
      </c>
      <c r="BV42" s="17">
        <f t="shared" si="65"/>
        <v>152.38629594951036</v>
      </c>
      <c r="BW42" s="17">
        <f>武将升级!AP42</f>
        <v>3990</v>
      </c>
      <c r="BX42" s="17">
        <f>武将升级!AP87</f>
        <v>3990</v>
      </c>
      <c r="BY42" s="17">
        <f>武将升级!AP132</f>
        <v>3990</v>
      </c>
      <c r="BZ42" s="17">
        <f>武将升级!AP177</f>
        <v>3990</v>
      </c>
      <c r="CA42" s="17">
        <f>武将升级!AP222</f>
        <v>3990</v>
      </c>
      <c r="CC42" s="17">
        <v>39</v>
      </c>
      <c r="CD42" s="17">
        <f t="shared" si="88"/>
        <v>1770</v>
      </c>
      <c r="CE42" s="17">
        <f t="shared" si="89"/>
        <v>1770.0000000000002</v>
      </c>
      <c r="CF42" s="17">
        <f t="shared" si="90"/>
        <v>1769.9999999999998</v>
      </c>
      <c r="CG42" s="17">
        <f t="shared" si="91"/>
        <v>1770</v>
      </c>
      <c r="CH42" s="17">
        <f t="shared" si="92"/>
        <v>1770</v>
      </c>
      <c r="CM42" s="17">
        <f t="shared" si="67"/>
        <v>159.99202506384199</v>
      </c>
      <c r="CN42" s="17">
        <f t="shared" si="68"/>
        <v>157.63974470288184</v>
      </c>
      <c r="CO42" s="17">
        <f t="shared" si="69"/>
        <v>155.2512378743358</v>
      </c>
      <c r="CP42" s="17">
        <f t="shared" si="70"/>
        <v>153.85863088955028</v>
      </c>
      <c r="CQ42" s="17">
        <f t="shared" si="71"/>
        <v>152.38629594951036</v>
      </c>
      <c r="CR42" s="17">
        <f>武将升级!AV42</f>
        <v>319</v>
      </c>
      <c r="CS42" s="17">
        <f>武将升级!AV87</f>
        <v>319</v>
      </c>
      <c r="CT42" s="17">
        <f>武将升级!AV132</f>
        <v>319</v>
      </c>
      <c r="CU42" s="17">
        <f>武将升级!AV177</f>
        <v>319</v>
      </c>
      <c r="CV42" s="17">
        <f>武将升级!AV222</f>
        <v>319</v>
      </c>
      <c r="CX42" s="17">
        <v>39</v>
      </c>
      <c r="CY42" s="17">
        <f t="shared" si="113"/>
        <v>94</v>
      </c>
      <c r="CZ42" s="17">
        <f t="shared" si="114"/>
        <v>94</v>
      </c>
      <c r="DA42" s="17">
        <f t="shared" si="115"/>
        <v>94</v>
      </c>
      <c r="DB42" s="17">
        <f t="shared" si="116"/>
        <v>94</v>
      </c>
      <c r="DC42" s="17">
        <f t="shared" si="117"/>
        <v>94</v>
      </c>
      <c r="DH42" s="17">
        <f t="shared" si="72"/>
        <v>159.99202506384199</v>
      </c>
      <c r="DI42" s="17">
        <f t="shared" si="73"/>
        <v>157.63974470288184</v>
      </c>
      <c r="DJ42" s="17">
        <f t="shared" si="74"/>
        <v>155.2512378743358</v>
      </c>
      <c r="DK42" s="17">
        <f t="shared" si="75"/>
        <v>153.85863088955028</v>
      </c>
      <c r="DL42" s="17">
        <f t="shared" si="76"/>
        <v>152.38629594951036</v>
      </c>
      <c r="DM42" s="17">
        <f>武将升星!$AQ42</f>
        <v>1.1399999999999999</v>
      </c>
      <c r="DN42" s="17">
        <f>武将升星!$AQ87</f>
        <v>1.1399999999999999</v>
      </c>
      <c r="DO42" s="17">
        <f>武将升星!$AQ132</f>
        <v>1.1399999999999999</v>
      </c>
      <c r="DP42" s="17">
        <f>武将升星!$AQ177</f>
        <v>1.1399999999999999</v>
      </c>
      <c r="DQ42" s="17">
        <f>武将升星!$AQ222</f>
        <v>1.1399999999999999</v>
      </c>
      <c r="DS42" s="17">
        <v>39</v>
      </c>
      <c r="DT42" s="17">
        <f t="shared" si="77"/>
        <v>0.27204602678766066</v>
      </c>
      <c r="DU42" s="17">
        <f t="shared" si="78"/>
        <v>0.29432112762176538</v>
      </c>
      <c r="DV42" s="17">
        <f t="shared" si="79"/>
        <v>0.34329546593227861</v>
      </c>
      <c r="DW42" s="17">
        <f t="shared" si="80"/>
        <v>0.44782750159653117</v>
      </c>
      <c r="DX42" s="17">
        <f t="shared" si="81"/>
        <v>0.4542591836286895</v>
      </c>
      <c r="EC42" s="17">
        <f t="shared" si="82"/>
        <v>159.99202506384199</v>
      </c>
      <c r="ED42" s="17">
        <f t="shared" si="83"/>
        <v>157.63974470288184</v>
      </c>
      <c r="EE42" s="17">
        <f t="shared" si="84"/>
        <v>155.2512378743358</v>
      </c>
      <c r="EF42" s="17">
        <f t="shared" si="85"/>
        <v>153.85863088955028</v>
      </c>
      <c r="EG42" s="17">
        <f t="shared" si="86"/>
        <v>152.38629594951036</v>
      </c>
      <c r="EH42" s="17">
        <f>武将升星!$AW42</f>
        <v>0.80000000000000016</v>
      </c>
      <c r="EI42" s="17">
        <f>武将升星!$AW87</f>
        <v>0.80000000000000016</v>
      </c>
      <c r="EJ42" s="17">
        <f>武将升星!$AW132</f>
        <v>0.80000000000000016</v>
      </c>
      <c r="EK42" s="17">
        <f>武将升星!$AW177</f>
        <v>0.80000000000000016</v>
      </c>
      <c r="EL42" s="17">
        <f>武将升星!$AW222</f>
        <v>0.80000000000000016</v>
      </c>
      <c r="EN42" s="17">
        <v>39</v>
      </c>
      <c r="EO42" s="17">
        <f t="shared" si="50"/>
        <v>5.4489192710225599E-2</v>
      </c>
      <c r="EP42" s="17">
        <f t="shared" si="51"/>
        <v>7.6145540743382978E-2</v>
      </c>
      <c r="EQ42" s="17">
        <f t="shared" si="52"/>
        <v>0.1237594807674931</v>
      </c>
      <c r="ER42" s="17">
        <f t="shared" si="53"/>
        <v>0.22538784877440529</v>
      </c>
      <c r="ES42" s="17">
        <f t="shared" si="54"/>
        <v>0.23164087297233701</v>
      </c>
    </row>
    <row r="43" spans="2:149" x14ac:dyDescent="0.15">
      <c r="P43" s="16">
        <v>40</v>
      </c>
      <c r="Q43" s="16">
        <f t="shared" si="103"/>
        <v>89.275668884459563</v>
      </c>
      <c r="R43" s="16">
        <f t="shared" si="104"/>
        <v>90.930130622082174</v>
      </c>
      <c r="S43" s="16">
        <f t="shared" si="105"/>
        <v>94.519524555568296</v>
      </c>
      <c r="T43" s="16">
        <f t="shared" si="106"/>
        <v>101.89372020514703</v>
      </c>
      <c r="U43" s="16">
        <f t="shared" si="107"/>
        <v>102.31461886940073</v>
      </c>
      <c r="AJ43" s="16"/>
      <c r="AM43" s="16">
        <v>40</v>
      </c>
      <c r="AN43" s="16">
        <f t="shared" si="108"/>
        <v>3536.2240032300801</v>
      </c>
      <c r="AO43" s="16">
        <f t="shared" si="109"/>
        <v>3597.8226596691238</v>
      </c>
      <c r="AP43" s="16">
        <f t="shared" si="110"/>
        <v>3715.4026501077683</v>
      </c>
      <c r="AQ43" s="16">
        <f t="shared" si="111"/>
        <v>4064.9987269387216</v>
      </c>
      <c r="AR43" s="16">
        <f t="shared" si="112"/>
        <v>4362.2860461055452</v>
      </c>
      <c r="BH43" s="17">
        <v>40</v>
      </c>
      <c r="BI43" s="17">
        <f t="shared" si="56"/>
        <v>3536.2240032300801</v>
      </c>
      <c r="BJ43" s="17">
        <f t="shared" si="57"/>
        <v>3597.8226596691238</v>
      </c>
      <c r="BK43" s="17">
        <f t="shared" si="58"/>
        <v>3715.4026501077683</v>
      </c>
      <c r="BL43" s="17">
        <f t="shared" si="59"/>
        <v>4064.9987269387216</v>
      </c>
      <c r="BM43" s="17">
        <f t="shared" si="60"/>
        <v>4362.2860461055452</v>
      </c>
      <c r="CC43" s="17">
        <v>40</v>
      </c>
      <c r="CD43" s="17">
        <f t="shared" si="88"/>
        <v>1790</v>
      </c>
      <c r="CE43" s="17">
        <f t="shared" si="89"/>
        <v>1790.0000000000002</v>
      </c>
      <c r="CF43" s="17">
        <f t="shared" si="90"/>
        <v>1789.9999999999998</v>
      </c>
      <c r="CG43" s="17">
        <f t="shared" si="91"/>
        <v>1790</v>
      </c>
      <c r="CH43" s="17">
        <f t="shared" si="92"/>
        <v>1790</v>
      </c>
      <c r="CX43" s="17">
        <v>40</v>
      </c>
      <c r="CY43" s="17">
        <f t="shared" si="113"/>
        <v>96</v>
      </c>
      <c r="CZ43" s="17">
        <f t="shared" si="114"/>
        <v>96</v>
      </c>
      <c r="DA43" s="17">
        <f t="shared" si="115"/>
        <v>96</v>
      </c>
      <c r="DB43" s="17">
        <f t="shared" si="116"/>
        <v>96</v>
      </c>
      <c r="DC43" s="17">
        <f t="shared" si="117"/>
        <v>96</v>
      </c>
      <c r="DS43" s="17">
        <v>40</v>
      </c>
      <c r="DT43" s="17">
        <f t="shared" si="77"/>
        <v>0.27756963193621775</v>
      </c>
      <c r="DU43" s="17">
        <f t="shared" si="78"/>
        <v>0.30139388095798336</v>
      </c>
      <c r="DV43" s="17">
        <f t="shared" si="79"/>
        <v>0.35308115360018361</v>
      </c>
      <c r="DW43" s="17">
        <f t="shared" si="80"/>
        <v>0.4592695709541173</v>
      </c>
      <c r="DX43" s="17">
        <f t="shared" si="81"/>
        <v>0.46533051171937057</v>
      </c>
      <c r="EN43" s="17">
        <v>40</v>
      </c>
      <c r="EO43" s="17">
        <f t="shared" si="50"/>
        <v>5.9859364382433895E-2</v>
      </c>
      <c r="EP43" s="17">
        <f t="shared" si="51"/>
        <v>8.302182870915048E-2</v>
      </c>
      <c r="EQ43" s="17">
        <f t="shared" si="52"/>
        <v>0.1332733437779563</v>
      </c>
      <c r="ER43" s="17">
        <f t="shared" si="53"/>
        <v>0.23651208287205844</v>
      </c>
      <c r="ES43" s="17">
        <f t="shared" si="54"/>
        <v>0.24240466417161025</v>
      </c>
    </row>
    <row r="44" spans="2:149" x14ac:dyDescent="0.15">
      <c r="P44" s="16">
        <v>41</v>
      </c>
      <c r="Q44" s="16">
        <f t="shared" si="103"/>
        <v>89.794552798232957</v>
      </c>
      <c r="R44" s="16">
        <f t="shared" si="104"/>
        <v>91.51976437935221</v>
      </c>
      <c r="S44" s="16">
        <f t="shared" si="105"/>
        <v>95.336074524769543</v>
      </c>
      <c r="T44" s="16">
        <f t="shared" si="106"/>
        <v>102.66058299932899</v>
      </c>
      <c r="U44" s="16">
        <f t="shared" si="107"/>
        <v>103.08346109792025</v>
      </c>
      <c r="AJ44" s="16"/>
      <c r="AK44" s="17"/>
      <c r="AM44" s="16">
        <v>41</v>
      </c>
      <c r="AN44" s="16">
        <f t="shared" si="108"/>
        <v>3617.3331081080346</v>
      </c>
      <c r="AO44" s="16">
        <f t="shared" si="109"/>
        <v>3682.1773071005218</v>
      </c>
      <c r="AP44" s="16">
        <f t="shared" si="110"/>
        <v>3806.9578088457506</v>
      </c>
      <c r="AQ44" s="16">
        <f t="shared" si="111"/>
        <v>4176.5104032020308</v>
      </c>
      <c r="AR44" s="16">
        <f t="shared" si="112"/>
        <v>4494.2526239673753</v>
      </c>
      <c r="BH44" s="17">
        <v>41</v>
      </c>
      <c r="BI44" s="17">
        <f t="shared" si="56"/>
        <v>3617.3331081080346</v>
      </c>
      <c r="BJ44" s="17">
        <f t="shared" si="57"/>
        <v>3682.1773071005218</v>
      </c>
      <c r="BK44" s="17">
        <f t="shared" si="58"/>
        <v>3806.9578088457506</v>
      </c>
      <c r="BL44" s="17">
        <f t="shared" si="59"/>
        <v>4176.5104032020308</v>
      </c>
      <c r="BM44" s="17">
        <f t="shared" si="60"/>
        <v>4494.2526239673753</v>
      </c>
      <c r="CC44" s="17">
        <v>41</v>
      </c>
      <c r="CD44" s="17">
        <f t="shared" si="88"/>
        <v>1810</v>
      </c>
      <c r="CE44" s="17">
        <f t="shared" si="89"/>
        <v>1810</v>
      </c>
      <c r="CF44" s="17">
        <f t="shared" si="90"/>
        <v>1809.9999999999998</v>
      </c>
      <c r="CG44" s="17">
        <f t="shared" si="91"/>
        <v>1810</v>
      </c>
      <c r="CH44" s="17">
        <f t="shared" si="92"/>
        <v>1810</v>
      </c>
      <c r="CX44" s="17">
        <v>41</v>
      </c>
      <c r="CY44" s="17">
        <f t="shared" si="113"/>
        <v>98</v>
      </c>
      <c r="CZ44" s="17">
        <f t="shared" si="114"/>
        <v>98</v>
      </c>
      <c r="DA44" s="17">
        <f t="shared" si="115"/>
        <v>98</v>
      </c>
      <c r="DB44" s="17">
        <f t="shared" si="116"/>
        <v>98</v>
      </c>
      <c r="DC44" s="17">
        <f t="shared" si="117"/>
        <v>98</v>
      </c>
      <c r="DS44" s="17">
        <v>41</v>
      </c>
      <c r="DT44" s="17">
        <f t="shared" si="77"/>
        <v>0.28504156029455469</v>
      </c>
      <c r="DU44" s="17">
        <f t="shared" si="78"/>
        <v>0.3098846070626719</v>
      </c>
      <c r="DV44" s="17">
        <f t="shared" si="79"/>
        <v>0.36483947315668158</v>
      </c>
      <c r="DW44" s="17">
        <f t="shared" si="80"/>
        <v>0.47031239519033757</v>
      </c>
      <c r="DX44" s="17">
        <f t="shared" si="81"/>
        <v>0.47640183981005157</v>
      </c>
      <c r="EN44" s="17">
        <v>41</v>
      </c>
      <c r="EO44" s="17">
        <f t="shared" si="50"/>
        <v>6.7123739175261446E-2</v>
      </c>
      <c r="EP44" s="17">
        <f t="shared" si="51"/>
        <v>9.1276701310931005E-2</v>
      </c>
      <c r="EQ44" s="17">
        <f t="shared" si="52"/>
        <v>0.14470504334677378</v>
      </c>
      <c r="ER44" s="17">
        <f t="shared" si="53"/>
        <v>0.24724816199060592</v>
      </c>
      <c r="ES44" s="17">
        <f t="shared" si="54"/>
        <v>0.25316845537088351</v>
      </c>
    </row>
    <row r="45" spans="2:149" x14ac:dyDescent="0.15">
      <c r="P45" s="16">
        <v>42</v>
      </c>
      <c r="Q45" s="16">
        <f t="shared" si="103"/>
        <v>90.31343671200635</v>
      </c>
      <c r="R45" s="16">
        <f t="shared" si="104"/>
        <v>92.109398136622261</v>
      </c>
      <c r="S45" s="16">
        <f t="shared" si="105"/>
        <v>96.152624493970805</v>
      </c>
      <c r="T45" s="16">
        <f t="shared" si="106"/>
        <v>103.42744579351096</v>
      </c>
      <c r="U45" s="16">
        <f t="shared" si="107"/>
        <v>103.85230332643977</v>
      </c>
      <c r="AM45" s="16">
        <v>42</v>
      </c>
      <c r="AN45" s="16">
        <f t="shared" si="108"/>
        <v>3698.4422129859886</v>
      </c>
      <c r="AO45" s="16">
        <f t="shared" si="109"/>
        <v>3766.5319545319198</v>
      </c>
      <c r="AP45" s="16">
        <f t="shared" si="110"/>
        <v>3898.5129675837325</v>
      </c>
      <c r="AQ45" s="16">
        <f t="shared" si="111"/>
        <v>4288.0220794653405</v>
      </c>
      <c r="AR45" s="16">
        <f t="shared" si="112"/>
        <v>4626.2192018292053</v>
      </c>
      <c r="BH45" s="17">
        <v>42</v>
      </c>
      <c r="BI45" s="17">
        <f t="shared" si="56"/>
        <v>3698.4422129859886</v>
      </c>
      <c r="BJ45" s="17">
        <f t="shared" si="57"/>
        <v>3766.5319545319198</v>
      </c>
      <c r="BK45" s="17">
        <f t="shared" si="58"/>
        <v>3898.5129675837325</v>
      </c>
      <c r="BL45" s="17">
        <f t="shared" si="59"/>
        <v>4288.0220794653405</v>
      </c>
      <c r="BM45" s="17">
        <f t="shared" si="60"/>
        <v>4626.2192018292053</v>
      </c>
      <c r="CC45" s="17">
        <v>42</v>
      </c>
      <c r="CD45" s="17">
        <f t="shared" ref="CD45:CD76" si="118">求节点(BR$4:BR$42,BW$4:BW$42,$P45)</f>
        <v>1830</v>
      </c>
      <c r="CE45" s="17">
        <f t="shared" ref="CE45:CE76" si="119">求节点(BS$4:BS$42,BX$4:BX$42,$P45)</f>
        <v>1830</v>
      </c>
      <c r="CF45" s="17">
        <f t="shared" ref="CF45:CF76" si="120">求节点(BT$4:BT$42,BY$4:BY$42,$P45)</f>
        <v>1830</v>
      </c>
      <c r="CG45" s="17">
        <f t="shared" ref="CG45:CG76" si="121">求节点(BU$4:BU$42,BZ$4:BZ$42,$P45)</f>
        <v>1829.9999999999998</v>
      </c>
      <c r="CH45" s="17">
        <f t="shared" ref="CH45:CH76" si="122">求节点(BV$4:BV$42,CA$4:CA$42,$P45)</f>
        <v>1830</v>
      </c>
      <c r="CX45" s="17">
        <v>42</v>
      </c>
      <c r="CY45" s="17">
        <f t="shared" si="113"/>
        <v>100</v>
      </c>
      <c r="CZ45" s="17">
        <f t="shared" si="114"/>
        <v>100.00000000000001</v>
      </c>
      <c r="DA45" s="17">
        <f t="shared" si="115"/>
        <v>100</v>
      </c>
      <c r="DB45" s="17">
        <f t="shared" si="116"/>
        <v>99.999999999999986</v>
      </c>
      <c r="DC45" s="17">
        <f t="shared" si="117"/>
        <v>100</v>
      </c>
      <c r="DS45" s="17">
        <v>42</v>
      </c>
      <c r="DT45" s="17">
        <f t="shared" si="77"/>
        <v>0.29251348865289156</v>
      </c>
      <c r="DU45" s="17">
        <f t="shared" si="78"/>
        <v>0.31837533316736044</v>
      </c>
      <c r="DV45" s="17">
        <f t="shared" si="79"/>
        <v>0.37659779271317961</v>
      </c>
      <c r="DW45" s="17">
        <f t="shared" si="80"/>
        <v>0.48135521942655779</v>
      </c>
      <c r="DX45" s="17">
        <f t="shared" si="81"/>
        <v>0.48747316790073264</v>
      </c>
      <c r="EN45" s="17">
        <v>42</v>
      </c>
      <c r="EO45" s="17">
        <f t="shared" si="50"/>
        <v>7.4388113968089004E-2</v>
      </c>
      <c r="EP45" s="17">
        <f t="shared" si="51"/>
        <v>9.9531573912711516E-2</v>
      </c>
      <c r="EQ45" s="17">
        <f t="shared" si="52"/>
        <v>0.15613674291559126</v>
      </c>
      <c r="ER45" s="17">
        <f t="shared" si="53"/>
        <v>0.25798424110915341</v>
      </c>
      <c r="ES45" s="17">
        <f t="shared" si="54"/>
        <v>0.26393224657015674</v>
      </c>
    </row>
    <row r="46" spans="2:149" x14ac:dyDescent="0.15">
      <c r="P46" s="16">
        <v>43</v>
      </c>
      <c r="Q46" s="16">
        <f t="shared" si="103"/>
        <v>90.832320625779758</v>
      </c>
      <c r="R46" s="16">
        <f t="shared" si="104"/>
        <v>92.699031893892297</v>
      </c>
      <c r="S46" s="16">
        <f t="shared" si="105"/>
        <v>96.969174463172052</v>
      </c>
      <c r="T46" s="16">
        <f t="shared" si="106"/>
        <v>104.19755584535585</v>
      </c>
      <c r="U46" s="16">
        <f t="shared" si="107"/>
        <v>104.66739874455546</v>
      </c>
      <c r="AM46" s="16">
        <v>43</v>
      </c>
      <c r="AN46" s="16">
        <f t="shared" si="108"/>
        <v>3779.551317863943</v>
      </c>
      <c r="AO46" s="16">
        <f t="shared" si="109"/>
        <v>3850.8866019633178</v>
      </c>
      <c r="AP46" s="16">
        <f t="shared" si="110"/>
        <v>3990.0681263217143</v>
      </c>
      <c r="AQ46" s="16">
        <f t="shared" si="111"/>
        <v>4399.8939520940603</v>
      </c>
      <c r="AR46" s="16">
        <f t="shared" si="112"/>
        <v>4763.0116808749035</v>
      </c>
      <c r="BH46" s="17">
        <v>43</v>
      </c>
      <c r="BI46" s="17">
        <f t="shared" si="56"/>
        <v>3779.551317863943</v>
      </c>
      <c r="BJ46" s="17">
        <f t="shared" si="57"/>
        <v>3850.8866019633178</v>
      </c>
      <c r="BK46" s="17">
        <f t="shared" si="58"/>
        <v>3990.0681263217143</v>
      </c>
      <c r="BL46" s="17">
        <f t="shared" si="59"/>
        <v>4399.8939520940603</v>
      </c>
      <c r="BM46" s="17">
        <f t="shared" si="60"/>
        <v>4763.0116808749035</v>
      </c>
      <c r="CC46" s="17">
        <v>43</v>
      </c>
      <c r="CD46" s="17">
        <f t="shared" si="118"/>
        <v>1850</v>
      </c>
      <c r="CE46" s="17">
        <f t="shared" si="119"/>
        <v>1850</v>
      </c>
      <c r="CF46" s="17">
        <f t="shared" si="120"/>
        <v>1850</v>
      </c>
      <c r="CG46" s="17">
        <f t="shared" si="121"/>
        <v>1849.9999999999998</v>
      </c>
      <c r="CH46" s="17">
        <f t="shared" si="122"/>
        <v>1850</v>
      </c>
      <c r="CX46" s="17">
        <v>43</v>
      </c>
      <c r="CY46" s="17">
        <f t="shared" si="113"/>
        <v>102</v>
      </c>
      <c r="CZ46" s="17">
        <f t="shared" si="114"/>
        <v>102.00000000000001</v>
      </c>
      <c r="DA46" s="17">
        <f t="shared" si="115"/>
        <v>102</v>
      </c>
      <c r="DB46" s="17">
        <f t="shared" si="116"/>
        <v>101.99999999999999</v>
      </c>
      <c r="DC46" s="17">
        <f t="shared" si="117"/>
        <v>102</v>
      </c>
      <c r="DS46" s="17">
        <v>43</v>
      </c>
      <c r="DT46" s="17">
        <f t="shared" si="77"/>
        <v>0.29998541701122849</v>
      </c>
      <c r="DU46" s="17">
        <f t="shared" si="78"/>
        <v>0.32686605927204898</v>
      </c>
      <c r="DV46" s="17">
        <f t="shared" si="79"/>
        <v>0.38835611226967764</v>
      </c>
      <c r="DW46" s="17">
        <f t="shared" si="80"/>
        <v>0.49244480417312431</v>
      </c>
      <c r="DX46" s="17">
        <f t="shared" si="81"/>
        <v>0.49921054192159853</v>
      </c>
      <c r="EN46" s="17">
        <v>43</v>
      </c>
      <c r="EO46" s="17">
        <f t="shared" si="50"/>
        <v>8.1652488760916561E-2</v>
      </c>
      <c r="EP46" s="17">
        <f t="shared" si="51"/>
        <v>0.10778644651449204</v>
      </c>
      <c r="EQ46" s="17">
        <f t="shared" si="52"/>
        <v>0.16756844248440877</v>
      </c>
      <c r="ER46" s="17">
        <f t="shared" si="53"/>
        <v>0.26876578183498195</v>
      </c>
      <c r="ES46" s="17">
        <f t="shared" si="54"/>
        <v>0.27534358242377638</v>
      </c>
    </row>
    <row r="47" spans="2:149" x14ac:dyDescent="0.15">
      <c r="P47" s="16">
        <v>44</v>
      </c>
      <c r="Q47" s="16">
        <f t="shared" si="103"/>
        <v>91.361408394420536</v>
      </c>
      <c r="R47" s="16">
        <f t="shared" si="104"/>
        <v>93.345894606081472</v>
      </c>
      <c r="S47" s="16">
        <f t="shared" si="105"/>
        <v>97.719873988582677</v>
      </c>
      <c r="T47" s="16">
        <f t="shared" si="106"/>
        <v>105.07542915864983</v>
      </c>
      <c r="U47" s="16">
        <f t="shared" si="107"/>
        <v>105.56593260782117</v>
      </c>
      <c r="AM47" s="16">
        <v>44</v>
      </c>
      <c r="AN47" s="16">
        <f t="shared" si="108"/>
        <v>3861.1665908944256</v>
      </c>
      <c r="AO47" s="16">
        <f t="shared" si="109"/>
        <v>3938.2214380238825</v>
      </c>
      <c r="AP47" s="16">
        <f t="shared" si="110"/>
        <v>4085.1818700645408</v>
      </c>
      <c r="AQ47" s="16">
        <f t="shared" si="111"/>
        <v>4523.7192756428403</v>
      </c>
      <c r="AR47" s="16">
        <f t="shared" si="112"/>
        <v>4908.5098447554265</v>
      </c>
      <c r="BH47" s="17">
        <v>44</v>
      </c>
      <c r="BI47" s="17">
        <f t="shared" si="56"/>
        <v>3861.1665908944256</v>
      </c>
      <c r="BJ47" s="17">
        <f t="shared" si="57"/>
        <v>3938.2214380238825</v>
      </c>
      <c r="BK47" s="17">
        <f t="shared" si="58"/>
        <v>4085.1818700645408</v>
      </c>
      <c r="BL47" s="17">
        <f t="shared" si="59"/>
        <v>4523.7192756428403</v>
      </c>
      <c r="BM47" s="17">
        <f t="shared" si="60"/>
        <v>4908.5098447554265</v>
      </c>
      <c r="CC47" s="17">
        <v>44</v>
      </c>
      <c r="CD47" s="17">
        <f t="shared" si="118"/>
        <v>1870.0000000000002</v>
      </c>
      <c r="CE47" s="17">
        <f t="shared" si="119"/>
        <v>1870</v>
      </c>
      <c r="CF47" s="17">
        <f t="shared" si="120"/>
        <v>1870</v>
      </c>
      <c r="CG47" s="17">
        <f t="shared" si="121"/>
        <v>1869.9999999999998</v>
      </c>
      <c r="CH47" s="17">
        <f t="shared" si="122"/>
        <v>1870</v>
      </c>
      <c r="CX47" s="17">
        <v>44</v>
      </c>
      <c r="CY47" s="17">
        <f t="shared" si="113"/>
        <v>104</v>
      </c>
      <c r="CZ47" s="17">
        <f t="shared" si="114"/>
        <v>104.00000000000001</v>
      </c>
      <c r="DA47" s="17">
        <f t="shared" si="115"/>
        <v>104</v>
      </c>
      <c r="DB47" s="17">
        <f t="shared" si="116"/>
        <v>103.99999999999999</v>
      </c>
      <c r="DC47" s="17">
        <f t="shared" si="117"/>
        <v>104</v>
      </c>
      <c r="DS47" s="17">
        <v>44</v>
      </c>
      <c r="DT47" s="17">
        <f t="shared" si="77"/>
        <v>0.30760428087965563</v>
      </c>
      <c r="DU47" s="17">
        <f t="shared" si="78"/>
        <v>0.33618088232757309</v>
      </c>
      <c r="DV47" s="17">
        <f t="shared" si="79"/>
        <v>0.39916618543559063</v>
      </c>
      <c r="DW47" s="17">
        <f t="shared" si="80"/>
        <v>0.50508617988455762</v>
      </c>
      <c r="DX47" s="17">
        <f t="shared" si="81"/>
        <v>0.51214942955262488</v>
      </c>
      <c r="EN47" s="17">
        <v>44</v>
      </c>
      <c r="EO47" s="17">
        <f t="shared" si="50"/>
        <v>8.9059717521887419E-2</v>
      </c>
      <c r="EP47" s="17">
        <f t="shared" si="51"/>
        <v>0.1168425244851405</v>
      </c>
      <c r="EQ47" s="17">
        <f t="shared" si="52"/>
        <v>0.1780782358401575</v>
      </c>
      <c r="ER47" s="17">
        <f t="shared" si="53"/>
        <v>0.28105600822109766</v>
      </c>
      <c r="ES47" s="17">
        <f t="shared" si="54"/>
        <v>0.2879230565094964</v>
      </c>
    </row>
    <row r="48" spans="2:149" x14ac:dyDescent="0.15">
      <c r="P48" s="16">
        <v>45</v>
      </c>
      <c r="Q48" s="16">
        <f t="shared" si="103"/>
        <v>92.008953806969942</v>
      </c>
      <c r="R48" s="16">
        <f t="shared" si="104"/>
        <v>94.058704577331923</v>
      </c>
      <c r="S48" s="16">
        <f t="shared" si="105"/>
        <v>98.408576447856944</v>
      </c>
      <c r="T48" s="16">
        <f t="shared" si="106"/>
        <v>105.9533024719438</v>
      </c>
      <c r="U48" s="16">
        <f t="shared" si="107"/>
        <v>106.46446647108688</v>
      </c>
      <c r="AM48" s="16">
        <v>45</v>
      </c>
      <c r="AN48" s="16">
        <f t="shared" si="108"/>
        <v>3948.6580242142727</v>
      </c>
      <c r="AO48" s="16">
        <f t="shared" si="109"/>
        <v>4028.9904670005467</v>
      </c>
      <c r="AP48" s="16">
        <f t="shared" si="110"/>
        <v>4183.6459607025035</v>
      </c>
      <c r="AQ48" s="16">
        <f t="shared" si="111"/>
        <v>4647.5445991916204</v>
      </c>
      <c r="AR48" s="16">
        <f t="shared" si="112"/>
        <v>5054.0080086359494</v>
      </c>
      <c r="BH48" s="17">
        <v>45</v>
      </c>
      <c r="BI48" s="17">
        <f t="shared" si="56"/>
        <v>3948.6580242142727</v>
      </c>
      <c r="BJ48" s="17">
        <f t="shared" si="57"/>
        <v>4028.9904670005467</v>
      </c>
      <c r="BK48" s="17">
        <f t="shared" si="58"/>
        <v>4183.6459607025035</v>
      </c>
      <c r="BL48" s="17">
        <f t="shared" si="59"/>
        <v>4647.5445991916204</v>
      </c>
      <c r="BM48" s="17">
        <f t="shared" si="60"/>
        <v>5054.0080086359494</v>
      </c>
      <c r="CC48" s="17">
        <v>45</v>
      </c>
      <c r="CD48" s="17">
        <f t="shared" si="118"/>
        <v>1890.0000000000002</v>
      </c>
      <c r="CE48" s="17">
        <f t="shared" si="119"/>
        <v>1890</v>
      </c>
      <c r="CF48" s="17">
        <f t="shared" si="120"/>
        <v>1890</v>
      </c>
      <c r="CG48" s="17">
        <f t="shared" si="121"/>
        <v>1889.9999999999998</v>
      </c>
      <c r="CH48" s="17">
        <f t="shared" si="122"/>
        <v>1890</v>
      </c>
      <c r="CX48" s="17">
        <v>45</v>
      </c>
      <c r="CY48" s="17">
        <f t="shared" si="113"/>
        <v>106</v>
      </c>
      <c r="CZ48" s="17">
        <f t="shared" si="114"/>
        <v>106.00000000000001</v>
      </c>
      <c r="DA48" s="17">
        <f t="shared" si="115"/>
        <v>106</v>
      </c>
      <c r="DB48" s="17">
        <f t="shared" si="116"/>
        <v>105.99999999999999</v>
      </c>
      <c r="DC48" s="17">
        <f t="shared" si="117"/>
        <v>106</v>
      </c>
      <c r="DS48" s="17">
        <v>45</v>
      </c>
      <c r="DT48" s="17">
        <f t="shared" si="77"/>
        <v>0.3169289348203671</v>
      </c>
      <c r="DU48" s="17">
        <f t="shared" si="78"/>
        <v>0.34644534591357956</v>
      </c>
      <c r="DV48" s="17">
        <f t="shared" si="79"/>
        <v>0.40908350084913991</v>
      </c>
      <c r="DW48" s="17">
        <f t="shared" si="80"/>
        <v>0.51772755559599093</v>
      </c>
      <c r="DX48" s="17">
        <f t="shared" si="81"/>
        <v>0.52508831718365123</v>
      </c>
      <c r="EN48" s="17">
        <v>45</v>
      </c>
      <c r="EO48" s="17">
        <f t="shared" si="50"/>
        <v>9.8125353297579085E-2</v>
      </c>
      <c r="EP48" s="17">
        <f t="shared" si="51"/>
        <v>0.12682186408264678</v>
      </c>
      <c r="EQ48" s="17">
        <f t="shared" si="52"/>
        <v>0.18772007026999707</v>
      </c>
      <c r="ER48" s="17">
        <f t="shared" si="53"/>
        <v>0.29334623460721332</v>
      </c>
      <c r="ES48" s="17">
        <f t="shared" si="54"/>
        <v>0.30050253059521642</v>
      </c>
    </row>
    <row r="49" spans="16:149" x14ac:dyDescent="0.15">
      <c r="P49" s="16">
        <v>46</v>
      </c>
      <c r="Q49" s="16">
        <f t="shared" si="103"/>
        <v>92.656499219519333</v>
      </c>
      <c r="R49" s="16">
        <f t="shared" si="104"/>
        <v>94.77151454858236</v>
      </c>
      <c r="S49" s="16">
        <f t="shared" si="105"/>
        <v>99.097278907131198</v>
      </c>
      <c r="T49" s="16">
        <f t="shared" si="106"/>
        <v>106.83117578523779</v>
      </c>
      <c r="U49" s="16">
        <f t="shared" si="107"/>
        <v>107.36300033435259</v>
      </c>
      <c r="AM49" s="16">
        <v>46</v>
      </c>
      <c r="AN49" s="16">
        <f t="shared" si="108"/>
        <v>4036.1494575341198</v>
      </c>
      <c r="AO49" s="16">
        <f t="shared" si="109"/>
        <v>4119.7594959772105</v>
      </c>
      <c r="AP49" s="16">
        <f t="shared" si="110"/>
        <v>4282.1100513404654</v>
      </c>
      <c r="AQ49" s="16">
        <f t="shared" si="111"/>
        <v>4771.3699227403995</v>
      </c>
      <c r="AR49" s="16">
        <f t="shared" si="112"/>
        <v>5199.5061725164724</v>
      </c>
      <c r="BH49" s="17">
        <v>46</v>
      </c>
      <c r="BI49" s="17">
        <f t="shared" si="56"/>
        <v>4036.1494575341198</v>
      </c>
      <c r="BJ49" s="17">
        <f t="shared" si="57"/>
        <v>4119.7594959772105</v>
      </c>
      <c r="BK49" s="17">
        <f t="shared" si="58"/>
        <v>4282.1100513404654</v>
      </c>
      <c r="BL49" s="17">
        <f t="shared" si="59"/>
        <v>4771.3699227403995</v>
      </c>
      <c r="BM49" s="17">
        <f t="shared" si="60"/>
        <v>5199.5061725164724</v>
      </c>
      <c r="CC49" s="17">
        <v>46</v>
      </c>
      <c r="CD49" s="17">
        <f t="shared" si="118"/>
        <v>1910.0000000000002</v>
      </c>
      <c r="CE49" s="17">
        <f t="shared" si="119"/>
        <v>1910</v>
      </c>
      <c r="CF49" s="17">
        <f t="shared" si="120"/>
        <v>1910</v>
      </c>
      <c r="CG49" s="17">
        <f t="shared" si="121"/>
        <v>1909.9999999999998</v>
      </c>
      <c r="CH49" s="17">
        <f t="shared" si="122"/>
        <v>1910</v>
      </c>
      <c r="CX49" s="17">
        <v>46</v>
      </c>
      <c r="CY49" s="17">
        <f t="shared" si="113"/>
        <v>108</v>
      </c>
      <c r="CZ49" s="17">
        <f t="shared" si="114"/>
        <v>108.00000000000001</v>
      </c>
      <c r="DA49" s="17">
        <f t="shared" si="115"/>
        <v>108</v>
      </c>
      <c r="DB49" s="17">
        <f t="shared" si="116"/>
        <v>108</v>
      </c>
      <c r="DC49" s="17">
        <f t="shared" si="117"/>
        <v>108</v>
      </c>
      <c r="DS49" s="17">
        <v>46</v>
      </c>
      <c r="DT49" s="17">
        <f t="shared" si="77"/>
        <v>0.32625358876107852</v>
      </c>
      <c r="DU49" s="17">
        <f t="shared" si="78"/>
        <v>0.35670980949958603</v>
      </c>
      <c r="DV49" s="17">
        <f t="shared" si="79"/>
        <v>0.41900081626268915</v>
      </c>
      <c r="DW49" s="17">
        <f t="shared" si="80"/>
        <v>0.53036893130742424</v>
      </c>
      <c r="DX49" s="17">
        <f t="shared" si="81"/>
        <v>0.53802720481467758</v>
      </c>
      <c r="EN49" s="17">
        <v>46</v>
      </c>
      <c r="EO49" s="17">
        <f t="shared" si="50"/>
        <v>0.10719098907327075</v>
      </c>
      <c r="EP49" s="17">
        <f t="shared" si="51"/>
        <v>0.13680120368015306</v>
      </c>
      <c r="EQ49" s="17">
        <f t="shared" si="52"/>
        <v>0.19736190469983661</v>
      </c>
      <c r="ER49" s="17">
        <f t="shared" si="53"/>
        <v>0.30563646099332903</v>
      </c>
      <c r="ES49" s="17">
        <f t="shared" si="54"/>
        <v>0.31308200468093644</v>
      </c>
    </row>
    <row r="50" spans="16:149" x14ac:dyDescent="0.15">
      <c r="P50" s="16">
        <v>47</v>
      </c>
      <c r="Q50" s="16">
        <f t="shared" si="103"/>
        <v>93.304044632068738</v>
      </c>
      <c r="R50" s="16">
        <f t="shared" si="104"/>
        <v>95.484324519832811</v>
      </c>
      <c r="S50" s="16">
        <f t="shared" si="105"/>
        <v>99.785981366405451</v>
      </c>
      <c r="T50" s="16">
        <f t="shared" si="106"/>
        <v>107.70904909853176</v>
      </c>
      <c r="U50" s="16">
        <f t="shared" si="107"/>
        <v>108.26153419761832</v>
      </c>
      <c r="AM50" s="16">
        <v>47</v>
      </c>
      <c r="AN50" s="16">
        <f t="shared" si="108"/>
        <v>4123.640890853967</v>
      </c>
      <c r="AO50" s="16">
        <f t="shared" si="109"/>
        <v>4210.5285249538747</v>
      </c>
      <c r="AP50" s="16">
        <f t="shared" si="110"/>
        <v>4380.5741419784281</v>
      </c>
      <c r="AQ50" s="16">
        <f t="shared" si="111"/>
        <v>4895.1952462891804</v>
      </c>
      <c r="AR50" s="16">
        <f t="shared" si="112"/>
        <v>5345.0043363969953</v>
      </c>
      <c r="BH50" s="17">
        <v>47</v>
      </c>
      <c r="BI50" s="17">
        <f t="shared" si="56"/>
        <v>4123.640890853967</v>
      </c>
      <c r="BJ50" s="17">
        <f t="shared" si="57"/>
        <v>4210.5285249538747</v>
      </c>
      <c r="BK50" s="17">
        <f t="shared" si="58"/>
        <v>4380.5741419784281</v>
      </c>
      <c r="BL50" s="17">
        <f t="shared" si="59"/>
        <v>4895.1952462891804</v>
      </c>
      <c r="BM50" s="17">
        <f t="shared" si="60"/>
        <v>5345.0043363969953</v>
      </c>
      <c r="CC50" s="17">
        <v>47</v>
      </c>
      <c r="CD50" s="17">
        <f t="shared" si="118"/>
        <v>1930.0000000000002</v>
      </c>
      <c r="CE50" s="17">
        <f t="shared" si="119"/>
        <v>1930</v>
      </c>
      <c r="CF50" s="17">
        <f t="shared" si="120"/>
        <v>1930</v>
      </c>
      <c r="CG50" s="17">
        <f t="shared" si="121"/>
        <v>1929.9999999999998</v>
      </c>
      <c r="CH50" s="17">
        <f t="shared" si="122"/>
        <v>1930</v>
      </c>
      <c r="CX50" s="17">
        <v>47</v>
      </c>
      <c r="CY50" s="17">
        <f t="shared" si="113"/>
        <v>110</v>
      </c>
      <c r="CZ50" s="17">
        <f t="shared" si="114"/>
        <v>110.00000000000001</v>
      </c>
      <c r="DA50" s="17">
        <f t="shared" si="115"/>
        <v>110.00000000000001</v>
      </c>
      <c r="DB50" s="17">
        <f t="shared" si="116"/>
        <v>110</v>
      </c>
      <c r="DC50" s="17">
        <f t="shared" si="117"/>
        <v>110</v>
      </c>
      <c r="DS50" s="17">
        <v>47</v>
      </c>
      <c r="DT50" s="17">
        <f t="shared" si="77"/>
        <v>0.33557824270178999</v>
      </c>
      <c r="DU50" s="17">
        <f t="shared" si="78"/>
        <v>0.3669742730855925</v>
      </c>
      <c r="DV50" s="17">
        <f t="shared" si="79"/>
        <v>0.42891813167623843</v>
      </c>
      <c r="DW50" s="17">
        <f t="shared" si="80"/>
        <v>0.54301030701885755</v>
      </c>
      <c r="DX50" s="17">
        <f t="shared" si="81"/>
        <v>0.55096609244570394</v>
      </c>
      <c r="EN50" s="17">
        <v>47</v>
      </c>
      <c r="EO50" s="17">
        <f t="shared" si="50"/>
        <v>0.11625662484896243</v>
      </c>
      <c r="EP50" s="17">
        <f t="shared" si="51"/>
        <v>0.14678054327765933</v>
      </c>
      <c r="EQ50" s="17">
        <f t="shared" si="52"/>
        <v>0.20700373912967618</v>
      </c>
      <c r="ER50" s="17">
        <f t="shared" si="53"/>
        <v>0.31792668737944468</v>
      </c>
      <c r="ES50" s="17">
        <f t="shared" si="54"/>
        <v>0.32566147876665646</v>
      </c>
    </row>
    <row r="51" spans="16:149" x14ac:dyDescent="0.15">
      <c r="P51" s="16">
        <v>48</v>
      </c>
      <c r="Q51" s="16">
        <f t="shared" si="103"/>
        <v>93.951590044618143</v>
      </c>
      <c r="R51" s="16">
        <f t="shared" si="104"/>
        <v>96.197134491083261</v>
      </c>
      <c r="S51" s="16">
        <f t="shared" si="105"/>
        <v>100.4746838256797</v>
      </c>
      <c r="T51" s="16">
        <f t="shared" si="106"/>
        <v>108.58692241182574</v>
      </c>
      <c r="U51" s="16">
        <f t="shared" si="107"/>
        <v>109.16006806088403</v>
      </c>
      <c r="AM51" s="16">
        <v>48</v>
      </c>
      <c r="AN51" s="16">
        <f t="shared" si="108"/>
        <v>4211.1323241738137</v>
      </c>
      <c r="AO51" s="16">
        <f t="shared" si="109"/>
        <v>4301.2975539305389</v>
      </c>
      <c r="AP51" s="16">
        <f t="shared" si="110"/>
        <v>4479.0382326163908</v>
      </c>
      <c r="AQ51" s="16">
        <f t="shared" si="111"/>
        <v>5019.0205698379596</v>
      </c>
      <c r="AR51" s="16">
        <f t="shared" si="112"/>
        <v>5490.5025002775174</v>
      </c>
      <c r="BH51" s="17">
        <v>48</v>
      </c>
      <c r="BI51" s="17">
        <f t="shared" si="56"/>
        <v>4211.1323241738137</v>
      </c>
      <c r="BJ51" s="17">
        <f t="shared" si="57"/>
        <v>4301.2975539305389</v>
      </c>
      <c r="BK51" s="17">
        <f t="shared" si="58"/>
        <v>4479.0382326163908</v>
      </c>
      <c r="BL51" s="17">
        <f t="shared" si="59"/>
        <v>5019.0205698379596</v>
      </c>
      <c r="BM51" s="17">
        <f t="shared" si="60"/>
        <v>5490.5025002775174</v>
      </c>
      <c r="CC51" s="17">
        <v>48</v>
      </c>
      <c r="CD51" s="17">
        <f t="shared" si="118"/>
        <v>1950.0000000000002</v>
      </c>
      <c r="CE51" s="17">
        <f t="shared" si="119"/>
        <v>1950</v>
      </c>
      <c r="CF51" s="17">
        <f t="shared" si="120"/>
        <v>1950</v>
      </c>
      <c r="CG51" s="17">
        <f t="shared" si="121"/>
        <v>1950</v>
      </c>
      <c r="CH51" s="17">
        <f t="shared" si="122"/>
        <v>1950</v>
      </c>
      <c r="CX51" s="17">
        <v>48</v>
      </c>
      <c r="CY51" s="17">
        <f t="shared" si="113"/>
        <v>112</v>
      </c>
      <c r="CZ51" s="17">
        <f t="shared" si="114"/>
        <v>112.00000000000001</v>
      </c>
      <c r="DA51" s="17">
        <f t="shared" si="115"/>
        <v>112.00000000000001</v>
      </c>
      <c r="DB51" s="17">
        <f t="shared" si="116"/>
        <v>112</v>
      </c>
      <c r="DC51" s="17">
        <f t="shared" si="117"/>
        <v>112</v>
      </c>
      <c r="DS51" s="17">
        <v>48</v>
      </c>
      <c r="DT51" s="17">
        <f t="shared" si="77"/>
        <v>0.3449028966425014</v>
      </c>
      <c r="DU51" s="17">
        <f t="shared" si="78"/>
        <v>0.37723873667159891</v>
      </c>
      <c r="DV51" s="17">
        <f t="shared" si="79"/>
        <v>0.43883544708978772</v>
      </c>
      <c r="DW51" s="17">
        <f t="shared" si="80"/>
        <v>0.55565168273029086</v>
      </c>
      <c r="DX51" s="17">
        <f t="shared" si="81"/>
        <v>0.56390498007673018</v>
      </c>
      <c r="EN51" s="17">
        <v>48</v>
      </c>
      <c r="EO51" s="17">
        <f t="shared" si="50"/>
        <v>0.1253222606246541</v>
      </c>
      <c r="EP51" s="17">
        <f t="shared" si="51"/>
        <v>0.1567598828751656</v>
      </c>
      <c r="EQ51" s="17">
        <f t="shared" si="52"/>
        <v>0.21664557355951572</v>
      </c>
      <c r="ER51" s="17">
        <f t="shared" si="53"/>
        <v>0.33021691376556039</v>
      </c>
      <c r="ES51" s="17">
        <f t="shared" si="54"/>
        <v>0.33824095285237649</v>
      </c>
    </row>
    <row r="52" spans="16:149" x14ac:dyDescent="0.15">
      <c r="P52" s="16">
        <v>49</v>
      </c>
      <c r="Q52" s="16">
        <f t="shared" si="103"/>
        <v>94.599135457167549</v>
      </c>
      <c r="R52" s="16">
        <f t="shared" si="104"/>
        <v>96.909944462333712</v>
      </c>
      <c r="S52" s="16">
        <f t="shared" si="105"/>
        <v>101.16338628495396</v>
      </c>
      <c r="T52" s="16">
        <f t="shared" si="106"/>
        <v>109.34995712828324</v>
      </c>
      <c r="U52" s="16">
        <f t="shared" si="107"/>
        <v>109.89373350046846</v>
      </c>
      <c r="AM52" s="16">
        <v>49</v>
      </c>
      <c r="AN52" s="16">
        <f t="shared" si="108"/>
        <v>4298.6237574936613</v>
      </c>
      <c r="AO52" s="16">
        <f t="shared" si="109"/>
        <v>4392.0665829072032</v>
      </c>
      <c r="AP52" s="16">
        <f t="shared" si="110"/>
        <v>4577.5023232543526</v>
      </c>
      <c r="AQ52" s="16">
        <f t="shared" si="111"/>
        <v>5146.6815001901286</v>
      </c>
      <c r="AR52" s="16">
        <f t="shared" si="112"/>
        <v>5647.55208587367</v>
      </c>
      <c r="BH52" s="17">
        <v>49</v>
      </c>
      <c r="BI52" s="17">
        <f t="shared" si="56"/>
        <v>4298.6237574936613</v>
      </c>
      <c r="BJ52" s="17">
        <f t="shared" si="57"/>
        <v>4392.0665829072032</v>
      </c>
      <c r="BK52" s="17">
        <f t="shared" si="58"/>
        <v>4577.5023232543526</v>
      </c>
      <c r="BL52" s="17">
        <f t="shared" si="59"/>
        <v>5146.6815001901286</v>
      </c>
      <c r="BM52" s="17">
        <f t="shared" si="60"/>
        <v>5647.55208587367</v>
      </c>
      <c r="CC52" s="17">
        <v>49</v>
      </c>
      <c r="CD52" s="17">
        <f t="shared" si="118"/>
        <v>1970.0000000000002</v>
      </c>
      <c r="CE52" s="17">
        <f t="shared" si="119"/>
        <v>1970</v>
      </c>
      <c r="CF52" s="17">
        <f t="shared" si="120"/>
        <v>1970</v>
      </c>
      <c r="CG52" s="17">
        <f t="shared" si="121"/>
        <v>1970</v>
      </c>
      <c r="CH52" s="17">
        <f t="shared" si="122"/>
        <v>1970</v>
      </c>
      <c r="CX52" s="17">
        <v>49</v>
      </c>
      <c r="CY52" s="17">
        <f t="shared" si="113"/>
        <v>114</v>
      </c>
      <c r="CZ52" s="17">
        <f t="shared" si="114"/>
        <v>114.00000000000001</v>
      </c>
      <c r="DA52" s="17">
        <f t="shared" si="115"/>
        <v>114.00000000000001</v>
      </c>
      <c r="DB52" s="17">
        <f t="shared" si="116"/>
        <v>114.03325260955906</v>
      </c>
      <c r="DC52" s="17">
        <f t="shared" si="117"/>
        <v>114.06232535192345</v>
      </c>
      <c r="DS52" s="17">
        <v>49</v>
      </c>
      <c r="DT52" s="17">
        <f t="shared" si="77"/>
        <v>0.35422755058321287</v>
      </c>
      <c r="DU52" s="17">
        <f t="shared" si="78"/>
        <v>0.38750320025760537</v>
      </c>
      <c r="DV52" s="17">
        <f t="shared" si="79"/>
        <v>0.44875276250333695</v>
      </c>
      <c r="DW52" s="17">
        <f t="shared" si="80"/>
        <v>0.56733138037336384</v>
      </c>
      <c r="DX52" s="17">
        <f t="shared" si="81"/>
        <v>0.57572658073578553</v>
      </c>
      <c r="EN52" s="17">
        <v>49</v>
      </c>
      <c r="EO52" s="17">
        <f t="shared" si="50"/>
        <v>0.13438789640034576</v>
      </c>
      <c r="EP52" s="17">
        <f t="shared" si="51"/>
        <v>0.16673922247267187</v>
      </c>
      <c r="EQ52" s="17">
        <f t="shared" si="52"/>
        <v>0.22628740798935529</v>
      </c>
      <c r="ER52" s="17">
        <f t="shared" si="53"/>
        <v>0.33920615414899374</v>
      </c>
      <c r="ES52" s="17">
        <f t="shared" si="54"/>
        <v>0.34453921849164715</v>
      </c>
    </row>
    <row r="53" spans="16:149" x14ac:dyDescent="0.15">
      <c r="P53" s="16">
        <v>50</v>
      </c>
      <c r="Q53" s="16">
        <f t="shared" si="103"/>
        <v>95.369584259038334</v>
      </c>
      <c r="R53" s="16">
        <f t="shared" si="104"/>
        <v>97.711625149343845</v>
      </c>
      <c r="S53" s="16">
        <f t="shared" si="105"/>
        <v>101.68073157134033</v>
      </c>
      <c r="T53" s="16">
        <f t="shared" si="106"/>
        <v>109.80026354131249</v>
      </c>
      <c r="U53" s="16">
        <f t="shared" si="107"/>
        <v>110.46699663616586</v>
      </c>
      <c r="AM53" s="16">
        <v>50</v>
      </c>
      <c r="AN53" s="16">
        <f t="shared" si="108"/>
        <v>4390.2364375224161</v>
      </c>
      <c r="AO53" s="16">
        <f t="shared" si="109"/>
        <v>4490.9220376451794</v>
      </c>
      <c r="AP53" s="16">
        <f t="shared" si="110"/>
        <v>4971.6905227719826</v>
      </c>
      <c r="AQ53" s="16">
        <f t="shared" si="111"/>
        <v>5284.7875495291637</v>
      </c>
      <c r="AR53" s="16">
        <f t="shared" si="112"/>
        <v>5815.8401767880969</v>
      </c>
      <c r="BH53" s="17">
        <v>50</v>
      </c>
      <c r="BI53" s="17">
        <f t="shared" si="56"/>
        <v>4390.2364375224161</v>
      </c>
      <c r="BJ53" s="17">
        <f t="shared" si="57"/>
        <v>4490.9220376451794</v>
      </c>
      <c r="BK53" s="17">
        <f t="shared" si="58"/>
        <v>4971.6905227719826</v>
      </c>
      <c r="BL53" s="17">
        <f t="shared" si="59"/>
        <v>5284.7875495291637</v>
      </c>
      <c r="BM53" s="17">
        <f t="shared" si="60"/>
        <v>5815.8401767880969</v>
      </c>
      <c r="CC53" s="17">
        <v>50</v>
      </c>
      <c r="CD53" s="17">
        <f t="shared" si="118"/>
        <v>1990.0000000000002</v>
      </c>
      <c r="CE53" s="17">
        <f t="shared" si="119"/>
        <v>1990</v>
      </c>
      <c r="CF53" s="17">
        <f t="shared" si="120"/>
        <v>1990</v>
      </c>
      <c r="CG53" s="17">
        <f t="shared" si="121"/>
        <v>1990</v>
      </c>
      <c r="CH53" s="17">
        <f t="shared" si="122"/>
        <v>1990</v>
      </c>
      <c r="CX53" s="17">
        <v>50</v>
      </c>
      <c r="CY53" s="17">
        <f t="shared" si="113"/>
        <v>116.05784381378839</v>
      </c>
      <c r="CZ53" s="17">
        <f t="shared" si="114"/>
        <v>116.10144851683536</v>
      </c>
      <c r="DA53" s="17">
        <f t="shared" si="115"/>
        <v>116.10079212486171</v>
      </c>
      <c r="DB53" s="17">
        <f t="shared" si="116"/>
        <v>116.15705867813304</v>
      </c>
      <c r="DC53" s="17">
        <f t="shared" si="117"/>
        <v>116.18528772466547</v>
      </c>
      <c r="DS53" s="17">
        <v>50</v>
      </c>
      <c r="DT53" s="17">
        <f t="shared" si="77"/>
        <v>0.36663313977602235</v>
      </c>
      <c r="DU53" s="17">
        <f t="shared" si="78"/>
        <v>0.40133506685391374</v>
      </c>
      <c r="DV53" s="17">
        <f t="shared" si="79"/>
        <v>0.45844588881829562</v>
      </c>
      <c r="DW53" s="17">
        <f t="shared" si="80"/>
        <v>0.57639223766966119</v>
      </c>
      <c r="DX53" s="17">
        <f t="shared" si="81"/>
        <v>0.58646116060331832</v>
      </c>
      <c r="EN53" s="17">
        <v>50</v>
      </c>
      <c r="EO53" s="17">
        <f t="shared" si="50"/>
        <v>0.141125112661349</v>
      </c>
      <c r="EP53" s="17">
        <f t="shared" si="51"/>
        <v>0.17089094344127029</v>
      </c>
      <c r="EQ53" s="17">
        <f t="shared" si="52"/>
        <v>0.22810836804371384</v>
      </c>
      <c r="ER53" s="17">
        <f t="shared" si="53"/>
        <v>0.33920615414899374</v>
      </c>
      <c r="ES53" s="17">
        <f t="shared" si="54"/>
        <v>0.34472642730445779</v>
      </c>
    </row>
    <row r="54" spans="16:149" x14ac:dyDescent="0.15">
      <c r="P54" s="16">
        <v>51</v>
      </c>
      <c r="Q54" s="16">
        <f t="shared" si="103"/>
        <v>96.280504785598595</v>
      </c>
      <c r="R54" s="16">
        <f t="shared" si="104"/>
        <v>98.532628122228743</v>
      </c>
      <c r="S54" s="16">
        <f t="shared" si="105"/>
        <v>102.15817920026848</v>
      </c>
      <c r="T54" s="16">
        <f t="shared" si="106"/>
        <v>110.25056995434173</v>
      </c>
      <c r="U54" s="16">
        <f t="shared" si="107"/>
        <v>111.04025977186325</v>
      </c>
      <c r="AM54" s="16">
        <v>51</v>
      </c>
      <c r="AN54" s="16">
        <f t="shared" si="108"/>
        <v>4486.5594728657616</v>
      </c>
      <c r="AO54" s="16">
        <f t="shared" si="109"/>
        <v>4591.5356444237841</v>
      </c>
      <c r="AP54" s="16">
        <f t="shared" si="110"/>
        <v>5434.7331448934201</v>
      </c>
      <c r="AQ54" s="16">
        <f t="shared" si="111"/>
        <v>5422.8935988681988</v>
      </c>
      <c r="AR54" s="16">
        <f t="shared" si="112"/>
        <v>5984.1282677025247</v>
      </c>
      <c r="BH54" s="17">
        <v>51</v>
      </c>
      <c r="BI54" s="17">
        <f t="shared" si="56"/>
        <v>4486.5594728657616</v>
      </c>
      <c r="BJ54" s="17">
        <f t="shared" si="57"/>
        <v>4591.5356444237841</v>
      </c>
      <c r="BK54" s="17">
        <f t="shared" si="58"/>
        <v>5434.7331448934201</v>
      </c>
      <c r="BL54" s="17">
        <f t="shared" si="59"/>
        <v>5422.8935988681988</v>
      </c>
      <c r="BM54" s="17">
        <f t="shared" si="60"/>
        <v>5984.1282677025247</v>
      </c>
      <c r="CC54" s="17">
        <v>51</v>
      </c>
      <c r="CD54" s="17">
        <f t="shared" si="118"/>
        <v>2010.0000000000002</v>
      </c>
      <c r="CE54" s="17">
        <f t="shared" si="119"/>
        <v>2010.0000000000002</v>
      </c>
      <c r="CF54" s="17">
        <f t="shared" si="120"/>
        <v>2010</v>
      </c>
      <c r="CG54" s="17">
        <f t="shared" si="121"/>
        <v>2010</v>
      </c>
      <c r="CH54" s="17">
        <f t="shared" si="122"/>
        <v>2010.0000000000002</v>
      </c>
      <c r="CX54" s="17">
        <v>51</v>
      </c>
      <c r="CY54" s="17">
        <f t="shared" si="113"/>
        <v>118.18179988314874</v>
      </c>
      <c r="CZ54" s="17">
        <f t="shared" si="114"/>
        <v>118.22495398715763</v>
      </c>
      <c r="DA54" s="17">
        <f t="shared" si="115"/>
        <v>118.2250520136019</v>
      </c>
      <c r="DB54" s="17">
        <f t="shared" si="116"/>
        <v>118.28086474670702</v>
      </c>
      <c r="DC54" s="17">
        <f t="shared" si="117"/>
        <v>118.30825009740751</v>
      </c>
      <c r="DS54" s="17">
        <v>51</v>
      </c>
      <c r="DT54" s="17">
        <f t="shared" si="77"/>
        <v>0.38256006626399131</v>
      </c>
      <c r="DU54" s="17">
        <f t="shared" si="78"/>
        <v>0.41594255880899483</v>
      </c>
      <c r="DV54" s="17">
        <f t="shared" si="79"/>
        <v>0.46808681644375277</v>
      </c>
      <c r="DW54" s="17">
        <f t="shared" si="80"/>
        <v>0.58545309496595854</v>
      </c>
      <c r="DX54" s="17">
        <f t="shared" si="81"/>
        <v>0.597195740470851</v>
      </c>
      <c r="EN54" s="17">
        <v>51</v>
      </c>
      <c r="EO54" s="17">
        <f t="shared" si="50"/>
        <v>0.14520107517796857</v>
      </c>
      <c r="EP54" s="17">
        <f t="shared" si="51"/>
        <v>0.17377562259351531</v>
      </c>
      <c r="EQ54" s="17">
        <f t="shared" si="52"/>
        <v>0.22810836804371384</v>
      </c>
      <c r="ER54" s="17">
        <f t="shared" si="53"/>
        <v>0.33920615414899374</v>
      </c>
      <c r="ES54" s="17">
        <f t="shared" si="54"/>
        <v>0.34491363611726844</v>
      </c>
    </row>
    <row r="55" spans="16:149" x14ac:dyDescent="0.15">
      <c r="P55" s="16">
        <v>52</v>
      </c>
      <c r="Q55" s="16">
        <f t="shared" si="103"/>
        <v>97.19142531215887</v>
      </c>
      <c r="R55" s="16">
        <f t="shared" si="104"/>
        <v>99.353631095113641</v>
      </c>
      <c r="S55" s="16">
        <f t="shared" si="105"/>
        <v>102.63562682919664</v>
      </c>
      <c r="T55" s="16">
        <f t="shared" si="106"/>
        <v>110.70087636737097</v>
      </c>
      <c r="U55" s="16">
        <f t="shared" si="107"/>
        <v>111.61352290756064</v>
      </c>
      <c r="AM55" s="16">
        <v>52</v>
      </c>
      <c r="AN55" s="16">
        <f t="shared" si="108"/>
        <v>4582.8825082091071</v>
      </c>
      <c r="AO55" s="16">
        <f t="shared" si="109"/>
        <v>4692.1492512023888</v>
      </c>
      <c r="AP55" s="16">
        <f t="shared" si="110"/>
        <v>5897.7757670148576</v>
      </c>
      <c r="AQ55" s="16">
        <f t="shared" si="111"/>
        <v>5560.9996482072329</v>
      </c>
      <c r="AR55" s="16">
        <f t="shared" si="112"/>
        <v>6152.4163586169525</v>
      </c>
      <c r="BH55" s="17">
        <v>52</v>
      </c>
      <c r="BI55" s="17">
        <f t="shared" si="56"/>
        <v>4582.8825082091071</v>
      </c>
      <c r="BJ55" s="17">
        <f t="shared" si="57"/>
        <v>4692.1492512023888</v>
      </c>
      <c r="BK55" s="17">
        <f t="shared" si="58"/>
        <v>5897.7757670148576</v>
      </c>
      <c r="BL55" s="17">
        <f t="shared" si="59"/>
        <v>5560.9996482072329</v>
      </c>
      <c r="BM55" s="17">
        <f t="shared" si="60"/>
        <v>6152.4163586169525</v>
      </c>
      <c r="CC55" s="17">
        <v>52</v>
      </c>
      <c r="CD55" s="17">
        <f t="shared" si="118"/>
        <v>2030.0000000000002</v>
      </c>
      <c r="CE55" s="17">
        <f t="shared" si="119"/>
        <v>2030.0000000000005</v>
      </c>
      <c r="CF55" s="17">
        <f t="shared" si="120"/>
        <v>2030</v>
      </c>
      <c r="CG55" s="17">
        <f t="shared" si="121"/>
        <v>2030.0000000000002</v>
      </c>
      <c r="CH55" s="17">
        <f t="shared" si="122"/>
        <v>2030.0000000000002</v>
      </c>
      <c r="CX55" s="17">
        <v>52</v>
      </c>
      <c r="CY55" s="17">
        <f t="shared" si="113"/>
        <v>120.30575595250909</v>
      </c>
      <c r="CZ55" s="17">
        <f t="shared" si="114"/>
        <v>120.34845945747992</v>
      </c>
      <c r="DA55" s="17">
        <f t="shared" si="115"/>
        <v>120.34931190234208</v>
      </c>
      <c r="DB55" s="17">
        <f t="shared" si="116"/>
        <v>120.40467081528102</v>
      </c>
      <c r="DC55" s="17">
        <f t="shared" si="117"/>
        <v>120.43121247014955</v>
      </c>
      <c r="DS55" s="17">
        <v>52</v>
      </c>
      <c r="DT55" s="17">
        <f t="shared" si="77"/>
        <v>0.39848699275196031</v>
      </c>
      <c r="DU55" s="17">
        <f t="shared" si="78"/>
        <v>0.43055005076407593</v>
      </c>
      <c r="DV55" s="17">
        <f t="shared" si="79"/>
        <v>0.47772774406920987</v>
      </c>
      <c r="DW55" s="17">
        <f t="shared" si="80"/>
        <v>0.5945139522622559</v>
      </c>
      <c r="DX55" s="17">
        <f t="shared" si="81"/>
        <v>0.60793032033838379</v>
      </c>
      <c r="EN55" s="17">
        <v>52</v>
      </c>
      <c r="EO55" s="17">
        <f t="shared" si="50"/>
        <v>0.14927703769458814</v>
      </c>
      <c r="EP55" s="17">
        <f t="shared" si="51"/>
        <v>0.17666030174576036</v>
      </c>
      <c r="EQ55" s="17">
        <f t="shared" si="52"/>
        <v>0.22810836804371384</v>
      </c>
      <c r="ER55" s="17">
        <f t="shared" si="53"/>
        <v>0.33920615414899374</v>
      </c>
      <c r="ES55" s="17">
        <f t="shared" si="54"/>
        <v>0.34510084493007909</v>
      </c>
    </row>
    <row r="56" spans="16:149" x14ac:dyDescent="0.15">
      <c r="P56" s="16">
        <v>53</v>
      </c>
      <c r="Q56" s="16">
        <f t="shared" si="103"/>
        <v>98.102345838719131</v>
      </c>
      <c r="R56" s="16">
        <f t="shared" si="104"/>
        <v>100.17463406799854</v>
      </c>
      <c r="S56" s="16">
        <f t="shared" si="105"/>
        <v>103.11307445812479</v>
      </c>
      <c r="T56" s="16">
        <f t="shared" si="106"/>
        <v>111.2495510723603</v>
      </c>
      <c r="U56" s="16">
        <f t="shared" si="107"/>
        <v>112.39996566493355</v>
      </c>
      <c r="AM56" s="16">
        <v>53</v>
      </c>
      <c r="AN56" s="16">
        <f t="shared" si="108"/>
        <v>4679.2055435524526</v>
      </c>
      <c r="AO56" s="16">
        <f t="shared" si="109"/>
        <v>4792.7628579809934</v>
      </c>
      <c r="AP56" s="16">
        <f t="shared" si="110"/>
        <v>6360.8183891362951</v>
      </c>
      <c r="AQ56" s="16">
        <f t="shared" si="111"/>
        <v>5704.0752844071776</v>
      </c>
      <c r="AR56" s="16">
        <f t="shared" si="112"/>
        <v>6300.5760697562328</v>
      </c>
      <c r="BH56" s="17">
        <v>53</v>
      </c>
      <c r="BI56" s="17">
        <f t="shared" si="56"/>
        <v>4679.2055435524526</v>
      </c>
      <c r="BJ56" s="17">
        <f t="shared" si="57"/>
        <v>4792.7628579809934</v>
      </c>
      <c r="BK56" s="17">
        <f t="shared" si="58"/>
        <v>6360.8183891362951</v>
      </c>
      <c r="BL56" s="17">
        <f t="shared" si="59"/>
        <v>5704.0752844071776</v>
      </c>
      <c r="BM56" s="17">
        <f t="shared" si="60"/>
        <v>6300.5760697562328</v>
      </c>
      <c r="CC56" s="17">
        <v>53</v>
      </c>
      <c r="CD56" s="17">
        <f t="shared" si="118"/>
        <v>2050</v>
      </c>
      <c r="CE56" s="17">
        <f t="shared" si="119"/>
        <v>2050.0000000000005</v>
      </c>
      <c r="CF56" s="17">
        <f t="shared" si="120"/>
        <v>2050</v>
      </c>
      <c r="CG56" s="17">
        <f t="shared" si="121"/>
        <v>2050</v>
      </c>
      <c r="CH56" s="17">
        <f t="shared" si="122"/>
        <v>2050</v>
      </c>
      <c r="CX56" s="17">
        <v>53</v>
      </c>
      <c r="CY56" s="17">
        <f t="shared" si="113"/>
        <v>122.42971202186943</v>
      </c>
      <c r="CZ56" s="17">
        <f t="shared" si="114"/>
        <v>122.47196492780219</v>
      </c>
      <c r="DA56" s="17">
        <f t="shared" si="115"/>
        <v>122.47357179108226</v>
      </c>
      <c r="DB56" s="17">
        <f t="shared" si="116"/>
        <v>122.51938916105748</v>
      </c>
      <c r="DC56" s="17">
        <f t="shared" si="117"/>
        <v>122.5367054705044</v>
      </c>
      <c r="DS56" s="17">
        <v>53</v>
      </c>
      <c r="DT56" s="17">
        <f t="shared" si="77"/>
        <v>0.41441391923992926</v>
      </c>
      <c r="DU56" s="17">
        <f t="shared" si="78"/>
        <v>0.44515754271915708</v>
      </c>
      <c r="DV56" s="17">
        <f t="shared" si="79"/>
        <v>0.48736867169466702</v>
      </c>
      <c r="DW56" s="17">
        <f t="shared" si="80"/>
        <v>0.60464518086903285</v>
      </c>
      <c r="DX56" s="17">
        <f t="shared" si="81"/>
        <v>0.62108046332708366</v>
      </c>
      <c r="EN56" s="17">
        <v>53</v>
      </c>
      <c r="EO56" s="17">
        <f t="shared" si="50"/>
        <v>0.15335300021120771</v>
      </c>
      <c r="EP56" s="17">
        <f t="shared" si="51"/>
        <v>0.17954498089800541</v>
      </c>
      <c r="EQ56" s="17">
        <f t="shared" si="52"/>
        <v>0.22810836804371384</v>
      </c>
      <c r="ER56" s="17">
        <f t="shared" si="53"/>
        <v>0.34087869766878393</v>
      </c>
      <c r="ES56" s="17">
        <f t="shared" si="54"/>
        <v>0.35014105198891032</v>
      </c>
    </row>
    <row r="57" spans="16:149" x14ac:dyDescent="0.15">
      <c r="P57" s="16">
        <v>54</v>
      </c>
      <c r="Q57" s="16">
        <f t="shared" si="103"/>
        <v>98.886786094907407</v>
      </c>
      <c r="R57" s="16">
        <f t="shared" si="104"/>
        <v>100.91875102682465</v>
      </c>
      <c r="S57" s="16">
        <f t="shared" si="105"/>
        <v>103.83722402779942</v>
      </c>
      <c r="T57" s="16">
        <f t="shared" si="106"/>
        <v>112.12752336210291</v>
      </c>
      <c r="U57" s="16">
        <f t="shared" si="107"/>
        <v>113.45708940275455</v>
      </c>
      <c r="AM57" s="16">
        <v>54</v>
      </c>
      <c r="AN57" s="16">
        <f t="shared" si="108"/>
        <v>4780.2748049234269</v>
      </c>
      <c r="AO57" s="16">
        <f t="shared" si="109"/>
        <v>4903.0671637499217</v>
      </c>
      <c r="AP57" s="16">
        <f t="shared" si="110"/>
        <v>6368.269734438858</v>
      </c>
      <c r="AQ57" s="16">
        <f t="shared" si="111"/>
        <v>5863.787104055169</v>
      </c>
      <c r="AR57" s="16">
        <f t="shared" si="112"/>
        <v>6423.1781336422464</v>
      </c>
      <c r="BH57" s="17">
        <v>54</v>
      </c>
      <c r="BI57" s="17">
        <f t="shared" si="56"/>
        <v>4780.2748049234269</v>
      </c>
      <c r="BJ57" s="17">
        <f t="shared" si="57"/>
        <v>4903.0671637499217</v>
      </c>
      <c r="BK57" s="17">
        <f t="shared" si="58"/>
        <v>6368.269734438858</v>
      </c>
      <c r="BL57" s="17">
        <f t="shared" si="59"/>
        <v>5863.787104055169</v>
      </c>
      <c r="BM57" s="17">
        <f t="shared" si="60"/>
        <v>6423.1781336422464</v>
      </c>
      <c r="CC57" s="17">
        <v>54</v>
      </c>
      <c r="CD57" s="17">
        <f t="shared" si="118"/>
        <v>2070</v>
      </c>
      <c r="CE57" s="17">
        <f t="shared" si="119"/>
        <v>2070.0000000000005</v>
      </c>
      <c r="CF57" s="17">
        <f t="shared" si="120"/>
        <v>2070</v>
      </c>
      <c r="CG57" s="17">
        <f t="shared" si="121"/>
        <v>2070</v>
      </c>
      <c r="CH57" s="17">
        <f t="shared" si="122"/>
        <v>2070</v>
      </c>
      <c r="CX57" s="17">
        <v>54</v>
      </c>
      <c r="CY57" s="17">
        <f t="shared" si="113"/>
        <v>124.53776045737547</v>
      </c>
      <c r="CZ57" s="17">
        <f t="shared" si="114"/>
        <v>124.56676100656611</v>
      </c>
      <c r="DA57" s="17">
        <f t="shared" si="115"/>
        <v>124.56696829548957</v>
      </c>
      <c r="DB57" s="17">
        <f t="shared" si="116"/>
        <v>124.60368545610497</v>
      </c>
      <c r="DC57" s="17">
        <f t="shared" si="117"/>
        <v>124.62001705028814</v>
      </c>
      <c r="DS57" s="17">
        <v>54</v>
      </c>
      <c r="DT57" s="17">
        <f t="shared" si="77"/>
        <v>0.42807411316093141</v>
      </c>
      <c r="DU57" s="17">
        <f t="shared" si="78"/>
        <v>0.45767527450539724</v>
      </c>
      <c r="DV57" s="17">
        <f t="shared" si="79"/>
        <v>0.49948591992959396</v>
      </c>
      <c r="DW57" s="17">
        <f t="shared" si="80"/>
        <v>0.61835958328422669</v>
      </c>
      <c r="DX57" s="17">
        <f t="shared" si="81"/>
        <v>0.63729772403009755</v>
      </c>
      <c r="EN57" s="17">
        <v>54</v>
      </c>
      <c r="EO57" s="17">
        <f t="shared" si="50"/>
        <v>0.15698388241136896</v>
      </c>
      <c r="EP57" s="17">
        <f t="shared" si="51"/>
        <v>0.18419255165685808</v>
      </c>
      <c r="EQ57" s="17">
        <f t="shared" si="52"/>
        <v>0.23216188702825299</v>
      </c>
      <c r="ER57" s="17">
        <f t="shared" si="53"/>
        <v>0.34815024601509997</v>
      </c>
      <c r="ES57" s="17">
        <f t="shared" si="54"/>
        <v>0.36134326605864203</v>
      </c>
    </row>
    <row r="58" spans="16:149" x14ac:dyDescent="0.15">
      <c r="P58" s="16">
        <v>55</v>
      </c>
      <c r="Q58" s="16">
        <f t="shared" si="103"/>
        <v>99.505577782753775</v>
      </c>
      <c r="R58" s="16">
        <f t="shared" si="104"/>
        <v>101.64029025477831</v>
      </c>
      <c r="S58" s="16">
        <f t="shared" si="105"/>
        <v>104.62801755618239</v>
      </c>
      <c r="T58" s="16">
        <f t="shared" si="106"/>
        <v>113.00549565184551</v>
      </c>
      <c r="U58" s="16">
        <f t="shared" si="107"/>
        <v>114.51421314057555</v>
      </c>
      <c r="AM58" s="16">
        <v>55</v>
      </c>
      <c r="AN58" s="16">
        <f t="shared" si="108"/>
        <v>4887.5600993894577</v>
      </c>
      <c r="AO58" s="16">
        <f t="shared" si="109"/>
        <v>5016.2171625417996</v>
      </c>
      <c r="AP58" s="16">
        <f t="shared" si="110"/>
        <v>6252.6478434777518</v>
      </c>
      <c r="AQ58" s="16">
        <f t="shared" si="111"/>
        <v>6023.4989237031614</v>
      </c>
      <c r="AR58" s="16">
        <f t="shared" si="112"/>
        <v>6545.78019752826</v>
      </c>
      <c r="BH58" s="17">
        <v>55</v>
      </c>
      <c r="BI58" s="17">
        <f t="shared" si="56"/>
        <v>4887.5600993894577</v>
      </c>
      <c r="BJ58" s="17">
        <f t="shared" si="57"/>
        <v>5016.2171625417996</v>
      </c>
      <c r="BK58" s="17">
        <f t="shared" si="58"/>
        <v>6252.6478434777518</v>
      </c>
      <c r="BL58" s="17">
        <f t="shared" si="59"/>
        <v>6023.4989237031614</v>
      </c>
      <c r="BM58" s="17">
        <f t="shared" si="60"/>
        <v>6545.78019752826</v>
      </c>
      <c r="CC58" s="17">
        <v>55</v>
      </c>
      <c r="CD58" s="17">
        <f t="shared" si="118"/>
        <v>2090</v>
      </c>
      <c r="CE58" s="17">
        <f t="shared" si="119"/>
        <v>2090.0000000000005</v>
      </c>
      <c r="CF58" s="17">
        <f t="shared" si="120"/>
        <v>2090</v>
      </c>
      <c r="CG58" s="17">
        <f t="shared" si="121"/>
        <v>2090</v>
      </c>
      <c r="CH58" s="17">
        <f t="shared" si="122"/>
        <v>2090</v>
      </c>
      <c r="CX58" s="17">
        <v>55</v>
      </c>
      <c r="CY58" s="17">
        <f t="shared" si="113"/>
        <v>126.62497499708159</v>
      </c>
      <c r="CZ58" s="17">
        <f t="shared" si="114"/>
        <v>126.65312651542664</v>
      </c>
      <c r="DA58" s="17">
        <f t="shared" si="115"/>
        <v>126.6520273782096</v>
      </c>
      <c r="DB58" s="17">
        <f t="shared" si="116"/>
        <v>126.68798175115245</v>
      </c>
      <c r="DC58" s="17">
        <f t="shared" si="117"/>
        <v>126.70332863007187</v>
      </c>
      <c r="DS58" s="17">
        <v>55</v>
      </c>
      <c r="DT58" s="17">
        <f t="shared" si="77"/>
        <v>0.43876561478369847</v>
      </c>
      <c r="DU58" s="17">
        <f t="shared" si="78"/>
        <v>0.46957934406375856</v>
      </c>
      <c r="DV58" s="17">
        <f t="shared" si="79"/>
        <v>0.51227212037440928</v>
      </c>
      <c r="DW58" s="17">
        <f t="shared" si="80"/>
        <v>0.63207398569942042</v>
      </c>
      <c r="DX58" s="17">
        <f t="shared" si="81"/>
        <v>0.65351498473311154</v>
      </c>
      <c r="EN58" s="17">
        <v>55</v>
      </c>
      <c r="EO58" s="17">
        <f t="shared" si="50"/>
        <v>0.16003185221735489</v>
      </c>
      <c r="EP58" s="17">
        <f t="shared" si="51"/>
        <v>0.18935779904049774</v>
      </c>
      <c r="EQ58" s="17">
        <f t="shared" si="52"/>
        <v>0.23731042192961749</v>
      </c>
      <c r="ER58" s="17">
        <f t="shared" si="53"/>
        <v>0.35542179436141602</v>
      </c>
      <c r="ES58" s="17">
        <f t="shared" si="54"/>
        <v>0.37254548012837374</v>
      </c>
    </row>
    <row r="59" spans="16:149" x14ac:dyDescent="0.15">
      <c r="P59" s="16">
        <v>56</v>
      </c>
      <c r="Q59" s="16">
        <f t="shared" si="103"/>
        <v>100.12436947060014</v>
      </c>
      <c r="R59" s="16">
        <f t="shared" si="104"/>
        <v>102.36182948273198</v>
      </c>
      <c r="S59" s="16">
        <f t="shared" si="105"/>
        <v>105.41881108456536</v>
      </c>
      <c r="T59" s="16">
        <f t="shared" si="106"/>
        <v>113.88346794158809</v>
      </c>
      <c r="U59" s="16">
        <f t="shared" si="107"/>
        <v>115.57133687839654</v>
      </c>
      <c r="AM59" s="16">
        <v>56</v>
      </c>
      <c r="AN59" s="16">
        <f t="shared" si="108"/>
        <v>4994.8453938554885</v>
      </c>
      <c r="AO59" s="16">
        <f t="shared" si="109"/>
        <v>5129.3671613336764</v>
      </c>
      <c r="AP59" s="16">
        <f t="shared" si="110"/>
        <v>6137.0259525166457</v>
      </c>
      <c r="AQ59" s="16">
        <f t="shared" si="111"/>
        <v>6183.2107433511537</v>
      </c>
      <c r="AR59" s="16">
        <f t="shared" si="112"/>
        <v>6668.3822614142737</v>
      </c>
      <c r="BH59" s="17">
        <v>56</v>
      </c>
      <c r="BI59" s="17">
        <f t="shared" si="56"/>
        <v>4994.8453938554885</v>
      </c>
      <c r="BJ59" s="17">
        <f t="shared" si="57"/>
        <v>5129.3671613336764</v>
      </c>
      <c r="BK59" s="17">
        <f t="shared" si="58"/>
        <v>6137.0259525166457</v>
      </c>
      <c r="BL59" s="17">
        <f t="shared" si="59"/>
        <v>6183.2107433511537</v>
      </c>
      <c r="BM59" s="17">
        <f t="shared" si="60"/>
        <v>6668.3822614142737</v>
      </c>
      <c r="CC59" s="17">
        <v>56</v>
      </c>
      <c r="CD59" s="17">
        <f t="shared" si="118"/>
        <v>2110</v>
      </c>
      <c r="CE59" s="17">
        <f t="shared" si="119"/>
        <v>2110.0000000000005</v>
      </c>
      <c r="CF59" s="17">
        <f t="shared" si="120"/>
        <v>2110</v>
      </c>
      <c r="CG59" s="17">
        <f t="shared" si="121"/>
        <v>2110</v>
      </c>
      <c r="CH59" s="17">
        <f t="shared" si="122"/>
        <v>2110</v>
      </c>
      <c r="CX59" s="17">
        <v>56</v>
      </c>
      <c r="CY59" s="17">
        <f t="shared" si="113"/>
        <v>128.71218953678772</v>
      </c>
      <c r="CZ59" s="17">
        <f t="shared" si="114"/>
        <v>128.73949202428716</v>
      </c>
      <c r="DA59" s="17">
        <f t="shared" si="115"/>
        <v>128.73708646092962</v>
      </c>
      <c r="DB59" s="17">
        <f t="shared" si="116"/>
        <v>128.77227804619994</v>
      </c>
      <c r="DC59" s="17">
        <f t="shared" si="117"/>
        <v>128.78664020985562</v>
      </c>
      <c r="DS59" s="17">
        <v>56</v>
      </c>
      <c r="DT59" s="17">
        <f t="shared" si="77"/>
        <v>0.44945711640646552</v>
      </c>
      <c r="DU59" s="17">
        <f t="shared" si="78"/>
        <v>0.48148341362211988</v>
      </c>
      <c r="DV59" s="17">
        <f t="shared" si="79"/>
        <v>0.52505832081922466</v>
      </c>
      <c r="DW59" s="17">
        <f t="shared" si="80"/>
        <v>0.64578838811461425</v>
      </c>
      <c r="DX59" s="17">
        <f t="shared" si="81"/>
        <v>0.66973224543612542</v>
      </c>
      <c r="EN59" s="17">
        <v>56</v>
      </c>
      <c r="EO59" s="17">
        <f t="shared" si="50"/>
        <v>0.16307982202334079</v>
      </c>
      <c r="EP59" s="17">
        <f t="shared" si="51"/>
        <v>0.19452304642413742</v>
      </c>
      <c r="EQ59" s="17">
        <f t="shared" si="52"/>
        <v>0.24245895683098201</v>
      </c>
      <c r="ER59" s="17">
        <f t="shared" si="53"/>
        <v>0.36269334270773207</v>
      </c>
      <c r="ES59" s="17">
        <f t="shared" si="54"/>
        <v>0.38374769419810545</v>
      </c>
    </row>
    <row r="60" spans="16:149" x14ac:dyDescent="0.15">
      <c r="P60" s="16">
        <v>57</v>
      </c>
      <c r="Q60" s="16">
        <f t="shared" si="103"/>
        <v>100.74316115844653</v>
      </c>
      <c r="R60" s="16">
        <f t="shared" si="104"/>
        <v>103.08336871068565</v>
      </c>
      <c r="S60" s="16">
        <f t="shared" si="105"/>
        <v>106.20960461294834</v>
      </c>
      <c r="T60" s="16">
        <f t="shared" si="106"/>
        <v>114.7614402313307</v>
      </c>
      <c r="U60" s="16">
        <f t="shared" si="107"/>
        <v>116.62846061621754</v>
      </c>
      <c r="AM60" s="16">
        <v>57</v>
      </c>
      <c r="AN60" s="16">
        <f t="shared" si="108"/>
        <v>5102.1306883215193</v>
      </c>
      <c r="AO60" s="16">
        <f t="shared" si="109"/>
        <v>5242.5171601255543</v>
      </c>
      <c r="AP60" s="16">
        <f t="shared" si="110"/>
        <v>6021.4040615555396</v>
      </c>
      <c r="AQ60" s="16">
        <f t="shared" si="111"/>
        <v>6342.9225629991452</v>
      </c>
      <c r="AR60" s="16">
        <f t="shared" si="112"/>
        <v>6790.9843253002873</v>
      </c>
      <c r="BH60" s="17">
        <v>57</v>
      </c>
      <c r="BI60" s="17">
        <f t="shared" si="56"/>
        <v>5102.1306883215193</v>
      </c>
      <c r="BJ60" s="17">
        <f t="shared" si="57"/>
        <v>5242.5171601255543</v>
      </c>
      <c r="BK60" s="17">
        <f t="shared" si="58"/>
        <v>6021.4040615555396</v>
      </c>
      <c r="BL60" s="17">
        <f t="shared" si="59"/>
        <v>6342.9225629991452</v>
      </c>
      <c r="BM60" s="17">
        <f t="shared" si="60"/>
        <v>6790.9843253002873</v>
      </c>
      <c r="CC60" s="17">
        <v>57</v>
      </c>
      <c r="CD60" s="17">
        <f t="shared" si="118"/>
        <v>2130</v>
      </c>
      <c r="CE60" s="17">
        <f t="shared" si="119"/>
        <v>2130</v>
      </c>
      <c r="CF60" s="17">
        <f t="shared" si="120"/>
        <v>2130</v>
      </c>
      <c r="CG60" s="17">
        <f t="shared" si="121"/>
        <v>2130</v>
      </c>
      <c r="CH60" s="17">
        <f t="shared" si="122"/>
        <v>2130</v>
      </c>
      <c r="CX60" s="17">
        <v>57</v>
      </c>
      <c r="CY60" s="17">
        <f t="shared" si="113"/>
        <v>130.79940407649386</v>
      </c>
      <c r="CZ60" s="17">
        <f t="shared" si="114"/>
        <v>130.82585753314768</v>
      </c>
      <c r="DA60" s="17">
        <f t="shared" si="115"/>
        <v>130.82214554364961</v>
      </c>
      <c r="DB60" s="17">
        <f t="shared" si="116"/>
        <v>130.85657434124741</v>
      </c>
      <c r="DC60" s="17">
        <f t="shared" si="117"/>
        <v>130.86995178963934</v>
      </c>
      <c r="DS60" s="17">
        <v>57</v>
      </c>
      <c r="DT60" s="17">
        <f t="shared" si="77"/>
        <v>0.46014861802923251</v>
      </c>
      <c r="DU60" s="17">
        <f t="shared" si="78"/>
        <v>0.4933874831804812</v>
      </c>
      <c r="DV60" s="17">
        <f t="shared" si="79"/>
        <v>0.53784452126404003</v>
      </c>
      <c r="DW60" s="17">
        <f t="shared" si="80"/>
        <v>0.65950279052980809</v>
      </c>
      <c r="DX60" s="17">
        <f t="shared" si="81"/>
        <v>0.68594950613913941</v>
      </c>
      <c r="EN60" s="17">
        <v>57</v>
      </c>
      <c r="EO60" s="17">
        <f t="shared" si="50"/>
        <v>0.16612779182932669</v>
      </c>
      <c r="EP60" s="17">
        <f t="shared" si="51"/>
        <v>0.19968829380777708</v>
      </c>
      <c r="EQ60" s="17">
        <f t="shared" si="52"/>
        <v>0.2476074917323465</v>
      </c>
      <c r="ER60" s="17">
        <f t="shared" si="53"/>
        <v>0.36996489105404812</v>
      </c>
      <c r="ES60" s="17">
        <f t="shared" si="54"/>
        <v>0.39494990826783716</v>
      </c>
    </row>
    <row r="61" spans="16:149" x14ac:dyDescent="0.15">
      <c r="P61" s="16">
        <v>58</v>
      </c>
      <c r="Q61" s="16">
        <f t="shared" si="103"/>
        <v>101.36195284629289</v>
      </c>
      <c r="R61" s="16">
        <f t="shared" si="104"/>
        <v>103.8049079386393</v>
      </c>
      <c r="S61" s="16">
        <f t="shared" si="105"/>
        <v>107.0003981413313</v>
      </c>
      <c r="T61" s="16">
        <f t="shared" si="106"/>
        <v>115.6394125210733</v>
      </c>
      <c r="U61" s="16">
        <f t="shared" si="107"/>
        <v>117.68558435403853</v>
      </c>
      <c r="AM61" s="16">
        <v>58</v>
      </c>
      <c r="AN61" s="16">
        <f t="shared" si="108"/>
        <v>5209.4159827875501</v>
      </c>
      <c r="AO61" s="16">
        <f t="shared" si="109"/>
        <v>5355.6671589174312</v>
      </c>
      <c r="AP61" s="16">
        <f t="shared" si="110"/>
        <v>5905.7821705944325</v>
      </c>
      <c r="AQ61" s="16">
        <f t="shared" si="111"/>
        <v>6502.6343826471375</v>
      </c>
      <c r="AR61" s="16">
        <f t="shared" si="112"/>
        <v>6913.5863891863019</v>
      </c>
      <c r="BH61" s="17">
        <v>58</v>
      </c>
      <c r="BI61" s="17">
        <f t="shared" si="56"/>
        <v>5209.4159827875501</v>
      </c>
      <c r="BJ61" s="17">
        <f t="shared" si="57"/>
        <v>5355.6671589174312</v>
      </c>
      <c r="BK61" s="17">
        <f t="shared" si="58"/>
        <v>5905.7821705944325</v>
      </c>
      <c r="BL61" s="17">
        <f t="shared" si="59"/>
        <v>6502.6343826471375</v>
      </c>
      <c r="BM61" s="17">
        <f t="shared" si="60"/>
        <v>6913.5863891863019</v>
      </c>
      <c r="CC61" s="17">
        <v>58</v>
      </c>
      <c r="CD61" s="17">
        <f t="shared" si="118"/>
        <v>2150</v>
      </c>
      <c r="CE61" s="17">
        <f t="shared" si="119"/>
        <v>2150</v>
      </c>
      <c r="CF61" s="17">
        <f t="shared" si="120"/>
        <v>2150</v>
      </c>
      <c r="CG61" s="17">
        <f t="shared" si="121"/>
        <v>2149.9999999999995</v>
      </c>
      <c r="CH61" s="17">
        <f t="shared" si="122"/>
        <v>2150</v>
      </c>
      <c r="CX61" s="17">
        <v>58</v>
      </c>
      <c r="CY61" s="17">
        <f t="shared" si="113"/>
        <v>132.8866186162</v>
      </c>
      <c r="CZ61" s="17">
        <f t="shared" si="114"/>
        <v>132.91222304200818</v>
      </c>
      <c r="DA61" s="17">
        <f t="shared" si="115"/>
        <v>132.90720462636963</v>
      </c>
      <c r="DB61" s="17">
        <f t="shared" si="116"/>
        <v>132.9408706362949</v>
      </c>
      <c r="DC61" s="17">
        <f t="shared" si="117"/>
        <v>132.9532633694231</v>
      </c>
      <c r="DS61" s="17">
        <v>58</v>
      </c>
      <c r="DT61" s="17">
        <f t="shared" si="77"/>
        <v>0.47084011965199957</v>
      </c>
      <c r="DU61" s="17">
        <f t="shared" si="78"/>
        <v>0.50529155273884252</v>
      </c>
      <c r="DV61" s="17">
        <f t="shared" si="79"/>
        <v>0.55063072170885541</v>
      </c>
      <c r="DW61" s="17">
        <f t="shared" si="80"/>
        <v>0.67321719294500193</v>
      </c>
      <c r="DX61" s="17">
        <f t="shared" si="81"/>
        <v>0.70216676684215329</v>
      </c>
      <c r="EN61" s="17">
        <v>58</v>
      </c>
      <c r="EO61" s="17">
        <f t="shared" si="50"/>
        <v>0.16917576163531259</v>
      </c>
      <c r="EP61" s="17">
        <f t="shared" si="51"/>
        <v>0.20485354119141674</v>
      </c>
      <c r="EQ61" s="17">
        <f t="shared" si="52"/>
        <v>0.252756026633711</v>
      </c>
      <c r="ER61" s="17">
        <f t="shared" si="53"/>
        <v>0.37723643940036417</v>
      </c>
      <c r="ES61" s="17">
        <f t="shared" si="54"/>
        <v>0.40615212233756887</v>
      </c>
    </row>
    <row r="62" spans="16:149" x14ac:dyDescent="0.15">
      <c r="P62" s="16">
        <v>59</v>
      </c>
      <c r="Q62" s="16">
        <f t="shared" si="103"/>
        <v>101.98074453413926</v>
      </c>
      <c r="R62" s="16">
        <f t="shared" si="104"/>
        <v>104.52644716659297</v>
      </c>
      <c r="S62" s="16">
        <f t="shared" si="105"/>
        <v>107.79119166971428</v>
      </c>
      <c r="T62" s="16">
        <f t="shared" si="106"/>
        <v>116.68706906202424</v>
      </c>
      <c r="U62" s="16">
        <f t="shared" si="107"/>
        <v>118.84403923425313</v>
      </c>
      <c r="AM62" s="16">
        <v>59</v>
      </c>
      <c r="AN62" s="16">
        <f t="shared" si="108"/>
        <v>5316.70127725358</v>
      </c>
      <c r="AO62" s="16">
        <f t="shared" si="109"/>
        <v>5468.817157709309</v>
      </c>
      <c r="AP62" s="16">
        <f t="shared" si="110"/>
        <v>5790.1602796333264</v>
      </c>
      <c r="AQ62" s="16">
        <f t="shared" si="111"/>
        <v>6663.8496203274135</v>
      </c>
      <c r="AR62" s="16">
        <f t="shared" si="112"/>
        <v>7025.3</v>
      </c>
      <c r="BH62" s="17">
        <v>59</v>
      </c>
      <c r="BI62" s="17">
        <f t="shared" si="56"/>
        <v>5316.70127725358</v>
      </c>
      <c r="BJ62" s="17">
        <f t="shared" si="57"/>
        <v>5468.817157709309</v>
      </c>
      <c r="BK62" s="17">
        <f t="shared" si="58"/>
        <v>5790.1602796333264</v>
      </c>
      <c r="BL62" s="17">
        <f t="shared" si="59"/>
        <v>6663.8496203274135</v>
      </c>
      <c r="BM62" s="17">
        <f t="shared" si="60"/>
        <v>7025.3</v>
      </c>
      <c r="CC62" s="17">
        <v>59</v>
      </c>
      <c r="CD62" s="17">
        <f t="shared" si="118"/>
        <v>2170</v>
      </c>
      <c r="CE62" s="17">
        <f t="shared" si="119"/>
        <v>2170</v>
      </c>
      <c r="CF62" s="17">
        <f t="shared" si="120"/>
        <v>2170</v>
      </c>
      <c r="CG62" s="17">
        <f t="shared" si="121"/>
        <v>2169.9999999999995</v>
      </c>
      <c r="CH62" s="17">
        <f t="shared" si="122"/>
        <v>2169.9999999999995</v>
      </c>
      <c r="CX62" s="17">
        <v>59</v>
      </c>
      <c r="CY62" s="17">
        <f t="shared" si="113"/>
        <v>134.97383315590614</v>
      </c>
      <c r="CZ62" s="17">
        <f t="shared" si="114"/>
        <v>134.9985885508687</v>
      </c>
      <c r="DA62" s="17">
        <f t="shared" si="115"/>
        <v>134.99226370908966</v>
      </c>
      <c r="DB62" s="17">
        <f t="shared" si="116"/>
        <v>135.02620006903439</v>
      </c>
      <c r="DC62" s="17">
        <f t="shared" si="117"/>
        <v>135.03860428669785</v>
      </c>
      <c r="DS62" s="17">
        <v>59</v>
      </c>
      <c r="DT62" s="17">
        <f t="shared" si="77"/>
        <v>0.48153162127476656</v>
      </c>
      <c r="DU62" s="17">
        <f t="shared" si="78"/>
        <v>0.51719562229720384</v>
      </c>
      <c r="DV62" s="17">
        <f t="shared" si="79"/>
        <v>0.56341692215367079</v>
      </c>
      <c r="DW62" s="17">
        <f t="shared" si="80"/>
        <v>0.68910796289952259</v>
      </c>
      <c r="DX62" s="17">
        <f t="shared" si="81"/>
        <v>0.71953663540406732</v>
      </c>
      <c r="EN62" s="17">
        <v>59</v>
      </c>
      <c r="EO62" s="17">
        <f t="shared" si="50"/>
        <v>0.17222373144129849</v>
      </c>
      <c r="EP62" s="17">
        <f t="shared" si="51"/>
        <v>0.2100187885750564</v>
      </c>
      <c r="EQ62" s="17">
        <f t="shared" si="52"/>
        <v>0.25790456153507552</v>
      </c>
      <c r="ER62" s="17">
        <f t="shared" si="53"/>
        <v>0.38790087826528091</v>
      </c>
      <c r="ES62" s="17">
        <f t="shared" si="54"/>
        <v>0.41951231604651684</v>
      </c>
    </row>
    <row r="63" spans="16:149" x14ac:dyDescent="0.15">
      <c r="P63" s="16">
        <v>60</v>
      </c>
      <c r="Q63" s="16">
        <f t="shared" si="103"/>
        <v>102.91071894261418</v>
      </c>
      <c r="R63" s="16">
        <f t="shared" si="104"/>
        <v>105.90310940712544</v>
      </c>
      <c r="S63" s="16">
        <f t="shared" si="105"/>
        <v>109.1279226578544</v>
      </c>
      <c r="T63" s="16">
        <f t="shared" si="106"/>
        <v>118.1333964487862</v>
      </c>
      <c r="U63" s="16">
        <f t="shared" si="107"/>
        <v>120.13197826333702</v>
      </c>
      <c r="AM63" s="16">
        <v>60</v>
      </c>
      <c r="AN63" s="16">
        <f t="shared" si="108"/>
        <v>5435.2382877034179</v>
      </c>
      <c r="AO63" s="16">
        <f t="shared" si="109"/>
        <v>5600.5709728609127</v>
      </c>
      <c r="AP63" s="16">
        <f t="shared" si="110"/>
        <v>5917.5987922770264</v>
      </c>
      <c r="AQ63" s="16">
        <f t="shared" si="111"/>
        <v>6828.5971182750409</v>
      </c>
      <c r="AR63" s="16">
        <f t="shared" si="112"/>
        <v>7123.1</v>
      </c>
      <c r="BH63" s="17">
        <v>60</v>
      </c>
      <c r="BI63" s="17">
        <f t="shared" si="56"/>
        <v>5435.2382877034179</v>
      </c>
      <c r="BJ63" s="17">
        <f t="shared" si="57"/>
        <v>5600.5709728609127</v>
      </c>
      <c r="BK63" s="17">
        <f t="shared" si="58"/>
        <v>5917.5987922770264</v>
      </c>
      <c r="BL63" s="17">
        <f t="shared" si="59"/>
        <v>6828.5971182750409</v>
      </c>
      <c r="BM63" s="17">
        <f t="shared" si="60"/>
        <v>7123.1</v>
      </c>
      <c r="CC63" s="17">
        <v>60</v>
      </c>
      <c r="CD63" s="17">
        <f t="shared" si="118"/>
        <v>2190</v>
      </c>
      <c r="CE63" s="17">
        <f t="shared" si="119"/>
        <v>2190</v>
      </c>
      <c r="CF63" s="17">
        <f t="shared" si="120"/>
        <v>2190</v>
      </c>
      <c r="CG63" s="17">
        <f t="shared" si="121"/>
        <v>2189.9999999999995</v>
      </c>
      <c r="CH63" s="17">
        <f t="shared" si="122"/>
        <v>2190</v>
      </c>
      <c r="CX63" s="17">
        <v>60</v>
      </c>
      <c r="CY63" s="17">
        <f t="shared" si="113"/>
        <v>137.06059885928238</v>
      </c>
      <c r="CZ63" s="17">
        <f t="shared" si="114"/>
        <v>137.08531778949882</v>
      </c>
      <c r="DA63" s="17">
        <f t="shared" si="115"/>
        <v>137.07934857707224</v>
      </c>
      <c r="DB63" s="17">
        <f t="shared" si="116"/>
        <v>137.1139568447629</v>
      </c>
      <c r="DC63" s="17">
        <f t="shared" si="117"/>
        <v>137.1265383558071</v>
      </c>
      <c r="DS63" s="17">
        <v>60</v>
      </c>
      <c r="DT63" s="17">
        <f t="shared" si="77"/>
        <v>0.49611845790685377</v>
      </c>
      <c r="DU63" s="17">
        <f t="shared" si="78"/>
        <v>0.53759928648579369</v>
      </c>
      <c r="DV63" s="17">
        <f t="shared" si="79"/>
        <v>0.5832340988129191</v>
      </c>
      <c r="DW63" s="17">
        <f t="shared" si="80"/>
        <v>0.71011207885710725</v>
      </c>
      <c r="DX63" s="17">
        <f t="shared" si="81"/>
        <v>0.73837934285898466</v>
      </c>
      <c r="EN63" s="17">
        <v>60</v>
      </c>
      <c r="EO63" s="17">
        <f t="shared" si="50"/>
        <v>0.18109848423980973</v>
      </c>
      <c r="EP63" s="17">
        <f t="shared" si="51"/>
        <v>0.22668635028180351</v>
      </c>
      <c r="EQ63" s="17">
        <f t="shared" si="52"/>
        <v>0.27391957149945917</v>
      </c>
      <c r="ER63" s="17">
        <f t="shared" si="53"/>
        <v>0.40653686736637079</v>
      </c>
      <c r="ES63" s="17">
        <f t="shared" si="54"/>
        <v>0.43563004460862809</v>
      </c>
    </row>
    <row r="64" spans="16:149" x14ac:dyDescent="0.15">
      <c r="P64" s="16">
        <v>61</v>
      </c>
      <c r="Q64" s="16">
        <f t="shared" si="103"/>
        <v>103.97407544936041</v>
      </c>
      <c r="R64" s="16">
        <f t="shared" si="104"/>
        <v>107.29065603399508</v>
      </c>
      <c r="S64" s="16">
        <f t="shared" si="105"/>
        <v>110.51927571677965</v>
      </c>
      <c r="T64" s="16">
        <f t="shared" si="106"/>
        <v>119.57972383554817</v>
      </c>
      <c r="U64" s="16">
        <f t="shared" si="107"/>
        <v>121.41991729242091</v>
      </c>
      <c r="AM64" s="16">
        <v>61</v>
      </c>
      <c r="AN64" s="16">
        <f t="shared" si="108"/>
        <v>5558.5981157057277</v>
      </c>
      <c r="AO64" s="16">
        <f t="shared" si="109"/>
        <v>5732.6338767190909</v>
      </c>
      <c r="AP64" s="16">
        <f t="shared" si="110"/>
        <v>6069.3559559557198</v>
      </c>
      <c r="AQ64" s="16">
        <f t="shared" si="111"/>
        <v>6993.3446162226683</v>
      </c>
      <c r="AR64" s="16">
        <f t="shared" si="112"/>
        <v>7220.9</v>
      </c>
      <c r="BH64" s="17">
        <v>61</v>
      </c>
      <c r="BI64" s="17">
        <f t="shared" si="56"/>
        <v>5558.5981157057277</v>
      </c>
      <c r="BJ64" s="17">
        <f t="shared" si="57"/>
        <v>5732.6338767190909</v>
      </c>
      <c r="BK64" s="17">
        <f t="shared" si="58"/>
        <v>6069.3559559557198</v>
      </c>
      <c r="BL64" s="17">
        <f t="shared" si="59"/>
        <v>6993.3446162226683</v>
      </c>
      <c r="BM64" s="17">
        <f t="shared" si="60"/>
        <v>7220.9</v>
      </c>
      <c r="CC64" s="17">
        <v>61</v>
      </c>
      <c r="CD64" s="17">
        <f t="shared" si="118"/>
        <v>2210</v>
      </c>
      <c r="CE64" s="17">
        <f t="shared" si="119"/>
        <v>2210</v>
      </c>
      <c r="CF64" s="17">
        <f t="shared" si="120"/>
        <v>2210</v>
      </c>
      <c r="CG64" s="17">
        <f t="shared" si="121"/>
        <v>2209.9999999999995</v>
      </c>
      <c r="CH64" s="17">
        <f t="shared" si="122"/>
        <v>2210</v>
      </c>
      <c r="CX64" s="17">
        <v>61</v>
      </c>
      <c r="CY64" s="17">
        <f t="shared" si="113"/>
        <v>139.14717217816076</v>
      </c>
      <c r="CZ64" s="17">
        <f t="shared" si="114"/>
        <v>139.17205307123118</v>
      </c>
      <c r="DA64" s="17">
        <f t="shared" si="115"/>
        <v>139.16663612868467</v>
      </c>
      <c r="DB64" s="17">
        <f t="shared" si="116"/>
        <v>139.20171362049138</v>
      </c>
      <c r="DC64" s="17">
        <f t="shared" si="117"/>
        <v>139.21447242491638</v>
      </c>
      <c r="DS64" s="17">
        <v>61</v>
      </c>
      <c r="DT64" s="17">
        <f t="shared" si="77"/>
        <v>0.51237495009039113</v>
      </c>
      <c r="DU64" s="17">
        <f t="shared" si="78"/>
        <v>0.55814416517897036</v>
      </c>
      <c r="DV64" s="17">
        <f t="shared" si="79"/>
        <v>0.60375473788092793</v>
      </c>
      <c r="DW64" s="17">
        <f t="shared" si="80"/>
        <v>0.73111619481469192</v>
      </c>
      <c r="DX64" s="17">
        <f t="shared" si="81"/>
        <v>0.75722205031390188</v>
      </c>
      <c r="EN64" s="17">
        <v>61</v>
      </c>
      <c r="EO64" s="17">
        <f t="shared" si="50"/>
        <v>0.19247076819989964</v>
      </c>
      <c r="EP64" s="17">
        <f t="shared" si="51"/>
        <v>0.24354501446924554</v>
      </c>
      <c r="EQ64" s="17">
        <f t="shared" si="52"/>
        <v>0.29102179275420048</v>
      </c>
      <c r="ER64" s="17">
        <f t="shared" si="53"/>
        <v>0.42517285646746061</v>
      </c>
      <c r="ES64" s="17">
        <f t="shared" si="54"/>
        <v>0.45174777317073928</v>
      </c>
    </row>
    <row r="65" spans="16:149" x14ac:dyDescent="0.15">
      <c r="P65" s="16">
        <v>62</v>
      </c>
      <c r="Q65" s="16">
        <f t="shared" si="103"/>
        <v>105.03743195610664</v>
      </c>
      <c r="R65" s="16">
        <f t="shared" si="104"/>
        <v>108.67820266086471</v>
      </c>
      <c r="S65" s="16">
        <f t="shared" si="105"/>
        <v>111.91062877570489</v>
      </c>
      <c r="T65" s="16">
        <f t="shared" si="106"/>
        <v>121.02605122231012</v>
      </c>
      <c r="U65" s="16">
        <f t="shared" si="107"/>
        <v>122.70785632150481</v>
      </c>
      <c r="AM65" s="16">
        <v>62</v>
      </c>
      <c r="AN65" s="16">
        <f t="shared" si="108"/>
        <v>5681.9579437080365</v>
      </c>
      <c r="AO65" s="16">
        <f t="shared" si="109"/>
        <v>5864.6967805772692</v>
      </c>
      <c r="AP65" s="16">
        <f t="shared" si="110"/>
        <v>6221.1131196344131</v>
      </c>
      <c r="AQ65" s="16">
        <f t="shared" si="111"/>
        <v>7158.0921141702947</v>
      </c>
      <c r="AR65" s="16">
        <f t="shared" si="112"/>
        <v>7318.7</v>
      </c>
      <c r="BH65" s="17">
        <v>62</v>
      </c>
      <c r="BI65" s="17">
        <f t="shared" si="56"/>
        <v>5681.9579437080365</v>
      </c>
      <c r="BJ65" s="17">
        <f t="shared" si="57"/>
        <v>5864.6967805772692</v>
      </c>
      <c r="BK65" s="17">
        <f t="shared" si="58"/>
        <v>6221.1131196344131</v>
      </c>
      <c r="BL65" s="17">
        <f t="shared" si="59"/>
        <v>7158.0921141702947</v>
      </c>
      <c r="BM65" s="17">
        <f t="shared" si="60"/>
        <v>7318.7</v>
      </c>
      <c r="CC65" s="17">
        <v>62</v>
      </c>
      <c r="CD65" s="17">
        <f t="shared" si="118"/>
        <v>2230</v>
      </c>
      <c r="CE65" s="17">
        <f t="shared" si="119"/>
        <v>2230</v>
      </c>
      <c r="CF65" s="17">
        <f t="shared" si="120"/>
        <v>2230</v>
      </c>
      <c r="CG65" s="17">
        <f t="shared" si="121"/>
        <v>2230</v>
      </c>
      <c r="CH65" s="17">
        <f t="shared" si="122"/>
        <v>2230</v>
      </c>
      <c r="CX65" s="17">
        <v>62</v>
      </c>
      <c r="CY65" s="17">
        <f t="shared" si="113"/>
        <v>141.23374549703911</v>
      </c>
      <c r="CZ65" s="17">
        <f t="shared" si="114"/>
        <v>141.25878835296351</v>
      </c>
      <c r="DA65" s="17">
        <f t="shared" si="115"/>
        <v>141.25392368029711</v>
      </c>
      <c r="DB65" s="17">
        <f t="shared" si="116"/>
        <v>141.28947039621988</v>
      </c>
      <c r="DC65" s="17">
        <f t="shared" si="117"/>
        <v>141.30240649402566</v>
      </c>
      <c r="DS65" s="17">
        <v>62</v>
      </c>
      <c r="DT65" s="17">
        <f t="shared" si="77"/>
        <v>0.52863144227392844</v>
      </c>
      <c r="DU65" s="17">
        <f t="shared" si="78"/>
        <v>0.57868904387214704</v>
      </c>
      <c r="DV65" s="17">
        <f t="shared" si="79"/>
        <v>0.62427537694893664</v>
      </c>
      <c r="DW65" s="17">
        <f t="shared" si="80"/>
        <v>0.75212031077227659</v>
      </c>
      <c r="DX65" s="17">
        <f t="shared" si="81"/>
        <v>0.77606475776881922</v>
      </c>
      <c r="EN65" s="17">
        <v>62</v>
      </c>
      <c r="EO65" s="17">
        <f t="shared" si="50"/>
        <v>0.20384305215998955</v>
      </c>
      <c r="EP65" s="17">
        <f t="shared" si="51"/>
        <v>0.26040367865668756</v>
      </c>
      <c r="EQ65" s="17">
        <f t="shared" si="52"/>
        <v>0.30812401400894179</v>
      </c>
      <c r="ER65" s="17">
        <f t="shared" si="53"/>
        <v>0.44380884556855049</v>
      </c>
      <c r="ES65" s="17">
        <f t="shared" si="54"/>
        <v>0.46786550173285052</v>
      </c>
    </row>
    <row r="66" spans="16:149" x14ac:dyDescent="0.15">
      <c r="P66" s="16">
        <v>63</v>
      </c>
      <c r="Q66" s="16">
        <f t="shared" si="103"/>
        <v>106.10078846285288</v>
      </c>
      <c r="R66" s="16">
        <f t="shared" si="104"/>
        <v>110.06574928773433</v>
      </c>
      <c r="S66" s="16">
        <f t="shared" si="105"/>
        <v>113.30198183463014</v>
      </c>
      <c r="T66" s="16">
        <f t="shared" si="106"/>
        <v>122.47237860907208</v>
      </c>
      <c r="U66" s="16">
        <f t="shared" si="107"/>
        <v>123.99579535058869</v>
      </c>
      <c r="AM66" s="16">
        <v>63</v>
      </c>
      <c r="AN66" s="16">
        <f t="shared" si="108"/>
        <v>5805.3177717103454</v>
      </c>
      <c r="AO66" s="16">
        <f t="shared" si="109"/>
        <v>5996.7596844354466</v>
      </c>
      <c r="AP66" s="16">
        <f t="shared" si="110"/>
        <v>6372.8702833131065</v>
      </c>
      <c r="AQ66" s="16">
        <f t="shared" si="111"/>
        <v>7322.8396121179221</v>
      </c>
      <c r="AR66" s="16">
        <f t="shared" si="112"/>
        <v>7416.5</v>
      </c>
      <c r="BH66" s="17">
        <v>63</v>
      </c>
      <c r="BI66" s="17">
        <f t="shared" si="56"/>
        <v>5805.3177717103454</v>
      </c>
      <c r="BJ66" s="17">
        <f t="shared" si="57"/>
        <v>5996.7596844354466</v>
      </c>
      <c r="BK66" s="17">
        <f t="shared" si="58"/>
        <v>6372.8702833131065</v>
      </c>
      <c r="BL66" s="17">
        <f t="shared" si="59"/>
        <v>7322.8396121179221</v>
      </c>
      <c r="BM66" s="17">
        <f t="shared" si="60"/>
        <v>7416.5</v>
      </c>
      <c r="CC66" s="17">
        <v>63</v>
      </c>
      <c r="CD66" s="17">
        <f t="shared" si="118"/>
        <v>2250</v>
      </c>
      <c r="CE66" s="17">
        <f t="shared" si="119"/>
        <v>2250</v>
      </c>
      <c r="CF66" s="17">
        <f t="shared" si="120"/>
        <v>2250</v>
      </c>
      <c r="CG66" s="17">
        <f t="shared" si="121"/>
        <v>2250</v>
      </c>
      <c r="CH66" s="17">
        <f t="shared" si="122"/>
        <v>2250</v>
      </c>
      <c r="CX66" s="17">
        <v>63</v>
      </c>
      <c r="CY66" s="17">
        <f t="shared" si="113"/>
        <v>143.32031881591749</v>
      </c>
      <c r="CZ66" s="17">
        <f t="shared" si="114"/>
        <v>143.34552363469587</v>
      </c>
      <c r="DA66" s="17">
        <f t="shared" si="115"/>
        <v>143.34121123190951</v>
      </c>
      <c r="DB66" s="17">
        <f t="shared" si="116"/>
        <v>143.37722717194836</v>
      </c>
      <c r="DC66" s="17">
        <f t="shared" si="117"/>
        <v>143.39034056313494</v>
      </c>
      <c r="DS66" s="17">
        <v>63</v>
      </c>
      <c r="DT66" s="17">
        <f t="shared" si="77"/>
        <v>0.54488793445746586</v>
      </c>
      <c r="DU66" s="17">
        <f t="shared" si="78"/>
        <v>0.59923392256532371</v>
      </c>
      <c r="DV66" s="17">
        <f t="shared" si="79"/>
        <v>0.64479601601694547</v>
      </c>
      <c r="DW66" s="17">
        <f t="shared" si="80"/>
        <v>0.77312442672986126</v>
      </c>
      <c r="DX66" s="17">
        <f t="shared" si="81"/>
        <v>0.79490746522373645</v>
      </c>
      <c r="EN66" s="17">
        <v>63</v>
      </c>
      <c r="EO66" s="17">
        <f t="shared" si="50"/>
        <v>0.21521533612007943</v>
      </c>
      <c r="EP66" s="17">
        <f t="shared" si="51"/>
        <v>0.27726234284412959</v>
      </c>
      <c r="EQ66" s="17">
        <f t="shared" si="52"/>
        <v>0.32522623526368311</v>
      </c>
      <c r="ER66" s="17">
        <f t="shared" si="53"/>
        <v>0.46244483466964037</v>
      </c>
      <c r="ES66" s="17">
        <f t="shared" si="54"/>
        <v>0.48398323029496176</v>
      </c>
    </row>
    <row r="67" spans="16:149" x14ac:dyDescent="0.15">
      <c r="P67" s="16">
        <v>64</v>
      </c>
      <c r="Q67" s="16">
        <f t="shared" si="103"/>
        <v>107.16414496959911</v>
      </c>
      <c r="R67" s="16">
        <f t="shared" si="104"/>
        <v>111.45329591460397</v>
      </c>
      <c r="S67" s="16">
        <f t="shared" si="105"/>
        <v>114.69333489355539</v>
      </c>
      <c r="T67" s="16">
        <f t="shared" si="106"/>
        <v>123.91870599583405</v>
      </c>
      <c r="U67" s="16">
        <f t="shared" si="107"/>
        <v>125.28373437967259</v>
      </c>
      <c r="AM67" s="16">
        <v>64</v>
      </c>
      <c r="AN67" s="16">
        <f t="shared" si="108"/>
        <v>5928.6775997126542</v>
      </c>
      <c r="AO67" s="16">
        <f t="shared" si="109"/>
        <v>6128.8225882936249</v>
      </c>
      <c r="AP67" s="16">
        <f t="shared" si="110"/>
        <v>6524.6274469917998</v>
      </c>
      <c r="AQ67" s="16">
        <f t="shared" si="111"/>
        <v>7487.5871100655495</v>
      </c>
      <c r="AR67" s="16">
        <f t="shared" si="112"/>
        <v>7514.3</v>
      </c>
      <c r="BH67" s="17">
        <v>64</v>
      </c>
      <c r="BI67" s="17">
        <f t="shared" si="56"/>
        <v>5928.6775997126542</v>
      </c>
      <c r="BJ67" s="17">
        <f t="shared" si="57"/>
        <v>6128.8225882936249</v>
      </c>
      <c r="BK67" s="17">
        <f t="shared" si="58"/>
        <v>6524.6274469917998</v>
      </c>
      <c r="BL67" s="17">
        <f t="shared" si="59"/>
        <v>7487.5871100655495</v>
      </c>
      <c r="BM67" s="17">
        <f t="shared" si="60"/>
        <v>7514.3</v>
      </c>
      <c r="CC67" s="17">
        <v>64</v>
      </c>
      <c r="CD67" s="17">
        <f t="shared" si="118"/>
        <v>2270</v>
      </c>
      <c r="CE67" s="17">
        <f t="shared" si="119"/>
        <v>2270</v>
      </c>
      <c r="CF67" s="17">
        <f t="shared" si="120"/>
        <v>2270</v>
      </c>
      <c r="CG67" s="17">
        <f t="shared" si="121"/>
        <v>2270</v>
      </c>
      <c r="CH67" s="17">
        <f t="shared" si="122"/>
        <v>2270</v>
      </c>
      <c r="CX67" s="17">
        <v>64</v>
      </c>
      <c r="CY67" s="17">
        <f t="shared" si="113"/>
        <v>145.40689213479587</v>
      </c>
      <c r="CZ67" s="17">
        <f t="shared" si="114"/>
        <v>145.4322589164282</v>
      </c>
      <c r="DA67" s="17">
        <f t="shared" si="115"/>
        <v>145.42849878352195</v>
      </c>
      <c r="DB67" s="17">
        <f t="shared" si="116"/>
        <v>145.46498394767687</v>
      </c>
      <c r="DC67" s="17">
        <f t="shared" si="117"/>
        <v>145.47827463224422</v>
      </c>
      <c r="DS67" s="17">
        <v>64</v>
      </c>
      <c r="DT67" s="17">
        <f t="shared" si="77"/>
        <v>0.56114442664100317</v>
      </c>
      <c r="DU67" s="17">
        <f t="shared" si="78"/>
        <v>0.61977880125850027</v>
      </c>
      <c r="DV67" s="17">
        <f t="shared" si="79"/>
        <v>0.6653166550849543</v>
      </c>
      <c r="DW67" s="17">
        <f t="shared" si="80"/>
        <v>0.79412854268744582</v>
      </c>
      <c r="DX67" s="17">
        <f t="shared" si="81"/>
        <v>0.81375017267865379</v>
      </c>
      <c r="EN67" s="17">
        <v>64</v>
      </c>
      <c r="EO67" s="17">
        <f t="shared" si="50"/>
        <v>0.22658762008016936</v>
      </c>
      <c r="EP67" s="17">
        <f t="shared" si="51"/>
        <v>0.29412100703157162</v>
      </c>
      <c r="EQ67" s="17">
        <f t="shared" si="52"/>
        <v>0.34232845651842436</v>
      </c>
      <c r="ER67" s="17">
        <f t="shared" si="53"/>
        <v>0.48108082377073019</v>
      </c>
      <c r="ES67" s="17">
        <f t="shared" si="54"/>
        <v>0.50010095885707295</v>
      </c>
    </row>
    <row r="68" spans="16:149" x14ac:dyDescent="0.15">
      <c r="P68" s="16">
        <v>65</v>
      </c>
      <c r="Q68" s="16">
        <f t="shared" ref="Q68:Q103" si="123">求节点(B$4:B$42,G$4:G$42,$P68)</f>
        <v>108.22750147634534</v>
      </c>
      <c r="R68" s="16">
        <f t="shared" ref="R68:R103" si="124">求节点(C$4:C$42,H$4:H$42,$P68)</f>
        <v>112.7904151702937</v>
      </c>
      <c r="S68" s="16">
        <f t="shared" ref="S68:S103" si="125">求节点(D$4:D$42,I$4:I$42,$P68)</f>
        <v>116.06240669894325</v>
      </c>
      <c r="T68" s="16">
        <f t="shared" ref="T68:T103" si="126">求节点(E$4:E$42,J$4:J$42,$P68)</f>
        <v>125.26780370656668</v>
      </c>
      <c r="U68" s="16">
        <f t="shared" ref="U68:U103" si="127">求节点(F$4:F$42,K$4:K$42,$P68)</f>
        <v>126.48011750686352</v>
      </c>
      <c r="AM68" s="16">
        <v>65</v>
      </c>
      <c r="AN68" s="16">
        <f t="shared" ref="AN68:AN103" si="128">求节点(Z$4:Z$42,AE$4:AE$42,$P68)</f>
        <v>6052.037427714964</v>
      </c>
      <c r="AO68" s="16">
        <f t="shared" ref="AO68:AO103" si="129">求节点(AA$4:AA$42,AF$4:AF$42,$P68)</f>
        <v>6263.5629611169152</v>
      </c>
      <c r="AP68" s="16">
        <f t="shared" ref="AP68:AP103" si="130">求节点(AB$4:AB$42,AG$4:AG$42,$P68)</f>
        <v>6684.9166929457524</v>
      </c>
      <c r="AQ68" s="16">
        <f t="shared" ref="AQ68:AQ103" si="131">求节点(AC$4:AC$42,AH$4:AH$42,$P68)</f>
        <v>7612.1</v>
      </c>
      <c r="AR68" s="16">
        <f t="shared" ref="AR68:AR103" si="132">求节点(AD$4:AD$42,AI$4:AI$42,$P68)</f>
        <v>7612.0999999999995</v>
      </c>
      <c r="BH68" s="17">
        <v>65</v>
      </c>
      <c r="BI68" s="17">
        <f t="shared" si="56"/>
        <v>6052.037427714964</v>
      </c>
      <c r="BJ68" s="17">
        <f t="shared" si="57"/>
        <v>6263.5629611169152</v>
      </c>
      <c r="BK68" s="17">
        <f t="shared" si="58"/>
        <v>6684.9166929457524</v>
      </c>
      <c r="BL68" s="17">
        <f t="shared" si="59"/>
        <v>7612.1</v>
      </c>
      <c r="BM68" s="17">
        <f t="shared" si="60"/>
        <v>7612.0999999999995</v>
      </c>
      <c r="CC68" s="17">
        <v>65</v>
      </c>
      <c r="CD68" s="17">
        <f t="shared" si="118"/>
        <v>2290</v>
      </c>
      <c r="CE68" s="17">
        <f t="shared" si="119"/>
        <v>2290</v>
      </c>
      <c r="CF68" s="17">
        <f t="shared" si="120"/>
        <v>2290</v>
      </c>
      <c r="CG68" s="17">
        <f t="shared" si="121"/>
        <v>2290</v>
      </c>
      <c r="CH68" s="17">
        <f t="shared" si="122"/>
        <v>2290</v>
      </c>
      <c r="CX68" s="17">
        <v>65</v>
      </c>
      <c r="CY68" s="17">
        <f t="shared" ref="CY68:CY103" si="133">求节点(CM$4:CM$42,CR$4:CR$42,$P68)</f>
        <v>147.49346545367422</v>
      </c>
      <c r="CZ68" s="17">
        <f t="shared" ref="CZ68:CZ103" si="134">求节点(CN$4:CN$42,CS$4:CS$42,$P68)</f>
        <v>147.52643265766758</v>
      </c>
      <c r="DA68" s="17">
        <f t="shared" ref="DA68:DA103" si="135">求节点(CO$4:CO$42,CT$4:CT$42,$P68)</f>
        <v>147.52154141583122</v>
      </c>
      <c r="DB68" s="17">
        <f t="shared" ref="DB68:DB103" si="136">求节点(CP$4:CP$42,CU$4:CU$42,$P68)</f>
        <v>147.57106278467489</v>
      </c>
      <c r="DC68" s="17">
        <f t="shared" ref="DC68:DC103" si="137">求节点(CQ$4:CQ$42,CV$4:CV$42,$P68)</f>
        <v>147.58813884286025</v>
      </c>
      <c r="DS68" s="17">
        <v>65</v>
      </c>
      <c r="DT68" s="17">
        <f t="shared" si="77"/>
        <v>0.57740091882454059</v>
      </c>
      <c r="DU68" s="17">
        <f t="shared" si="78"/>
        <v>0.63978726371915151</v>
      </c>
      <c r="DV68" s="17">
        <f t="shared" si="79"/>
        <v>0.6856257317418909</v>
      </c>
      <c r="DW68" s="17">
        <f t="shared" si="80"/>
        <v>0.81405328315204295</v>
      </c>
      <c r="DX68" s="17">
        <f t="shared" si="81"/>
        <v>0.83159537748134404</v>
      </c>
      <c r="EN68" s="17">
        <v>65</v>
      </c>
      <c r="EO68" s="17">
        <f t="shared" ref="EO68:EO131" si="138">求节点(EC$4:EC$42,EH$4:EH$42,$P68)</f>
        <v>0.23795990404025924</v>
      </c>
      <c r="EP68" s="17">
        <f t="shared" ref="EP68:EP131" si="139">求节点(ED$4:ED$42,EI$4:EI$42,$P68)</f>
        <v>0.30970016378123871</v>
      </c>
      <c r="EQ68" s="17">
        <f t="shared" ref="EQ68:EQ131" si="140">求节点(EE$4:EE$42,EJ$4:EJ$42,$P68)</f>
        <v>0.35876878671468521</v>
      </c>
      <c r="ER68" s="17">
        <f t="shared" ref="ER68:ER131" si="141">求节点(EF$4:EF$42,EK$4:EK$42,$P68)</f>
        <v>0.49730947365256201</v>
      </c>
      <c r="ES68" s="17">
        <f t="shared" ref="ES68:ES131" si="142">求节点(EG$4:EG$42,EL$4:EL$42,$P68)</f>
        <v>0.51384224706834636</v>
      </c>
    </row>
    <row r="69" spans="16:149" x14ac:dyDescent="0.15">
      <c r="P69" s="16">
        <v>66</v>
      </c>
      <c r="Q69" s="16">
        <f t="shared" si="123"/>
        <v>109.03767923797008</v>
      </c>
      <c r="R69" s="16">
        <f t="shared" si="124"/>
        <v>113.94768978413377</v>
      </c>
      <c r="S69" s="16">
        <f t="shared" si="125"/>
        <v>117.33055978450045</v>
      </c>
      <c r="T69" s="16">
        <f t="shared" si="126"/>
        <v>126.55234789578164</v>
      </c>
      <c r="U69" s="16">
        <f t="shared" si="127"/>
        <v>127.64645797201493</v>
      </c>
      <c r="AM69" s="16">
        <v>66</v>
      </c>
      <c r="AN69" s="16">
        <f t="shared" si="128"/>
        <v>6174.3596512093218</v>
      </c>
      <c r="AO69" s="16">
        <f t="shared" si="129"/>
        <v>6407.8522839613415</v>
      </c>
      <c r="AP69" s="16">
        <f t="shared" si="130"/>
        <v>6883.8503903558976</v>
      </c>
      <c r="AQ69" s="16">
        <f t="shared" si="131"/>
        <v>7709.9</v>
      </c>
      <c r="AR69" s="16">
        <f t="shared" si="132"/>
        <v>7709.9</v>
      </c>
      <c r="BH69" s="17">
        <v>66</v>
      </c>
      <c r="BI69" s="17">
        <f t="shared" ref="BI69:BI132" si="143">求节点(AU$4:AU$42,AZ$4:AZ$42,$P69)</f>
        <v>6174.3596512093218</v>
      </c>
      <c r="BJ69" s="17">
        <f t="shared" ref="BJ69:BJ132" si="144">求节点(AV$4:AV$42,BA$4:BA$42,$P69)</f>
        <v>6407.8522839613415</v>
      </c>
      <c r="BK69" s="17">
        <f t="shared" ref="BK69:BK132" si="145">求节点(AW$4:AW$42,BB$4:BB$42,$P69)</f>
        <v>6883.8503903558976</v>
      </c>
      <c r="BL69" s="17">
        <f t="shared" ref="BL69:BL132" si="146">求节点(AX$4:AX$42,BC$4:BC$42,$P69)</f>
        <v>7709.9</v>
      </c>
      <c r="BM69" s="17">
        <f t="shared" ref="BM69:BM132" si="147">求节点(AY$4:AY$42,BD$4:BD$42,$P69)</f>
        <v>7709.9</v>
      </c>
      <c r="CC69" s="17">
        <v>66</v>
      </c>
      <c r="CD69" s="17">
        <f t="shared" si="118"/>
        <v>2310</v>
      </c>
      <c r="CE69" s="17">
        <f t="shared" si="119"/>
        <v>2310</v>
      </c>
      <c r="CF69" s="17">
        <f t="shared" si="120"/>
        <v>2310</v>
      </c>
      <c r="CG69" s="17">
        <f t="shared" si="121"/>
        <v>2310</v>
      </c>
      <c r="CH69" s="17">
        <f t="shared" si="122"/>
        <v>2310</v>
      </c>
      <c r="CX69" s="17">
        <v>66</v>
      </c>
      <c r="CY69" s="17">
        <f t="shared" si="133"/>
        <v>149.61252989356541</v>
      </c>
      <c r="CZ69" s="17">
        <f t="shared" si="134"/>
        <v>149.6471349895246</v>
      </c>
      <c r="DA69" s="17">
        <f t="shared" si="135"/>
        <v>149.6406505966618</v>
      </c>
      <c r="DB69" s="17">
        <f t="shared" si="136"/>
        <v>149.6893061544032</v>
      </c>
      <c r="DC69" s="17">
        <f t="shared" si="137"/>
        <v>149.70519909235682</v>
      </c>
      <c r="DS69" s="17">
        <v>66</v>
      </c>
      <c r="DT69" s="17">
        <f t="shared" ref="DT69:DT132" si="148">求节点(DH$4:DH$42,DM$4:DM$42,$DS69)</f>
        <v>0.59088439904600787</v>
      </c>
      <c r="DU69" s="17">
        <f t="shared" ref="DU69:DU132" si="149">求节点(DI$4:DI$42,DN$4:DN$42,$DS69)</f>
        <v>0.65788264637882043</v>
      </c>
      <c r="DV69" s="17">
        <f t="shared" ref="DV69:DV132" si="150">求节点(DJ$4:DJ$42,DO$4:DO$42,$DS69)</f>
        <v>0.7049765765087832</v>
      </c>
      <c r="DW69" s="17">
        <f t="shared" ref="DW69:DW132" si="151">求节点(DK$4:DK$42,DP$4:DP$42,$DS69)</f>
        <v>0.83326139581371272</v>
      </c>
      <c r="DX69" s="17">
        <f t="shared" ref="DX69:DX132" si="152">求节点(DL$4:DL$42,DQ$4:DQ$42,$DS69)</f>
        <v>0.84911326711980384</v>
      </c>
      <c r="EN69" s="17">
        <v>66</v>
      </c>
      <c r="EO69" s="17">
        <f t="shared" si="138"/>
        <v>0.24317256570261236</v>
      </c>
      <c r="EP69" s="17">
        <f t="shared" si="139"/>
        <v>0.32071607339930941</v>
      </c>
      <c r="EQ69" s="17">
        <f t="shared" si="140"/>
        <v>0.37221120666424035</v>
      </c>
      <c r="ER69" s="17">
        <f t="shared" si="141"/>
        <v>0.51193982319609133</v>
      </c>
      <c r="ES69" s="17">
        <f t="shared" si="142"/>
        <v>0.52680374290314624</v>
      </c>
    </row>
    <row r="70" spans="16:149" x14ac:dyDescent="0.15">
      <c r="P70" s="16">
        <v>67</v>
      </c>
      <c r="Q70" s="16">
        <f t="shared" si="123"/>
        <v>109.82718691451062</v>
      </c>
      <c r="R70" s="16">
        <f t="shared" si="124"/>
        <v>115.10496439797384</v>
      </c>
      <c r="S70" s="16">
        <f t="shared" si="125"/>
        <v>118.59871287005765</v>
      </c>
      <c r="T70" s="16">
        <f t="shared" si="126"/>
        <v>127.83689208499661</v>
      </c>
      <c r="U70" s="16">
        <f t="shared" si="127"/>
        <v>128.81279843716632</v>
      </c>
      <c r="AM70" s="16">
        <v>67</v>
      </c>
      <c r="AN70" s="16">
        <f t="shared" si="128"/>
        <v>6296.5971623260566</v>
      </c>
      <c r="AO70" s="16">
        <f t="shared" si="129"/>
        <v>6552.1416068057679</v>
      </c>
      <c r="AP70" s="16">
        <f t="shared" si="130"/>
        <v>7082.7840877660428</v>
      </c>
      <c r="AQ70" s="16">
        <f t="shared" si="131"/>
        <v>7807.7</v>
      </c>
      <c r="AR70" s="16">
        <f t="shared" si="132"/>
        <v>7807.7</v>
      </c>
      <c r="BH70" s="17">
        <v>67</v>
      </c>
      <c r="BI70" s="17">
        <f t="shared" si="143"/>
        <v>6296.5971623260566</v>
      </c>
      <c r="BJ70" s="17">
        <f t="shared" si="144"/>
        <v>6552.1416068057679</v>
      </c>
      <c r="BK70" s="17">
        <f t="shared" si="145"/>
        <v>7082.7840877660428</v>
      </c>
      <c r="BL70" s="17">
        <f t="shared" si="146"/>
        <v>7807.7</v>
      </c>
      <c r="BM70" s="17">
        <f t="shared" si="147"/>
        <v>7807.7</v>
      </c>
      <c r="CC70" s="17">
        <v>67</v>
      </c>
      <c r="CD70" s="17">
        <f t="shared" si="118"/>
        <v>2330</v>
      </c>
      <c r="CE70" s="17">
        <f t="shared" si="119"/>
        <v>2330</v>
      </c>
      <c r="CF70" s="17">
        <f t="shared" si="120"/>
        <v>2330</v>
      </c>
      <c r="CG70" s="17">
        <f t="shared" si="121"/>
        <v>2330</v>
      </c>
      <c r="CH70" s="17">
        <f t="shared" si="122"/>
        <v>2330</v>
      </c>
      <c r="CX70" s="17">
        <v>67</v>
      </c>
      <c r="CY70" s="17">
        <f t="shared" si="133"/>
        <v>151.7342469820251</v>
      </c>
      <c r="CZ70" s="17">
        <f t="shared" si="134"/>
        <v>151.76783732138162</v>
      </c>
      <c r="DA70" s="17">
        <f t="shared" si="135"/>
        <v>151.75975977749235</v>
      </c>
      <c r="DB70" s="17">
        <f t="shared" si="136"/>
        <v>151.8075495241315</v>
      </c>
      <c r="DC70" s="17">
        <f t="shared" si="137"/>
        <v>151.82225934185342</v>
      </c>
      <c r="DS70" s="17">
        <v>67</v>
      </c>
      <c r="DT70" s="17">
        <f t="shared" si="148"/>
        <v>0.60414148430225789</v>
      </c>
      <c r="DU70" s="17">
        <f t="shared" si="149"/>
        <v>0.67597802903848936</v>
      </c>
      <c r="DV70" s="17">
        <f t="shared" si="150"/>
        <v>0.72432742127567562</v>
      </c>
      <c r="DW70" s="17">
        <f t="shared" si="151"/>
        <v>0.85246950847538261</v>
      </c>
      <c r="DX70" s="17">
        <f t="shared" si="152"/>
        <v>0.86663115675826352</v>
      </c>
      <c r="EN70" s="17">
        <v>67</v>
      </c>
      <c r="EO70" s="17">
        <f t="shared" si="138"/>
        <v>0.24788234187621805</v>
      </c>
      <c r="EP70" s="17">
        <f t="shared" si="139"/>
        <v>0.33173198301738005</v>
      </c>
      <c r="EQ70" s="17">
        <f t="shared" si="140"/>
        <v>0.38565362661379543</v>
      </c>
      <c r="ER70" s="17">
        <f t="shared" si="141"/>
        <v>0.52657017273962059</v>
      </c>
      <c r="ES70" s="17">
        <f t="shared" si="142"/>
        <v>0.53976523873794602</v>
      </c>
    </row>
    <row r="71" spans="16:149" x14ac:dyDescent="0.15">
      <c r="P71" s="16">
        <v>68</v>
      </c>
      <c r="Q71" s="16">
        <f t="shared" si="123"/>
        <v>110.61669459105116</v>
      </c>
      <c r="R71" s="16">
        <f t="shared" si="124"/>
        <v>116.2622390118139</v>
      </c>
      <c r="S71" s="16">
        <f t="shared" si="125"/>
        <v>119.86686595561486</v>
      </c>
      <c r="T71" s="16">
        <f t="shared" si="126"/>
        <v>129.12143627421156</v>
      </c>
      <c r="U71" s="16">
        <f t="shared" si="127"/>
        <v>129.97913890231774</v>
      </c>
      <c r="AM71" s="16">
        <v>68</v>
      </c>
      <c r="AN71" s="16">
        <f t="shared" si="128"/>
        <v>6418.8346734427905</v>
      </c>
      <c r="AO71" s="16">
        <f t="shared" si="129"/>
        <v>6696.4309296501942</v>
      </c>
      <c r="AP71" s="16">
        <f t="shared" si="130"/>
        <v>7281.717785176188</v>
      </c>
      <c r="AQ71" s="16">
        <f t="shared" si="131"/>
        <v>7905.5</v>
      </c>
      <c r="AR71" s="16">
        <f t="shared" si="132"/>
        <v>7905.5</v>
      </c>
      <c r="BH71" s="17">
        <v>68</v>
      </c>
      <c r="BI71" s="17">
        <f t="shared" si="143"/>
        <v>6418.8346734427905</v>
      </c>
      <c r="BJ71" s="17">
        <f t="shared" si="144"/>
        <v>6696.4309296501942</v>
      </c>
      <c r="BK71" s="17">
        <f t="shared" si="145"/>
        <v>7281.717785176188</v>
      </c>
      <c r="BL71" s="17">
        <f t="shared" si="146"/>
        <v>7905.5</v>
      </c>
      <c r="BM71" s="17">
        <f t="shared" si="147"/>
        <v>7905.5</v>
      </c>
      <c r="CC71" s="17">
        <v>68</v>
      </c>
      <c r="CD71" s="17">
        <f t="shared" si="118"/>
        <v>2350</v>
      </c>
      <c r="CE71" s="17">
        <f t="shared" si="119"/>
        <v>2350</v>
      </c>
      <c r="CF71" s="17">
        <f t="shared" si="120"/>
        <v>2350</v>
      </c>
      <c r="CG71" s="17">
        <f t="shared" si="121"/>
        <v>2350</v>
      </c>
      <c r="CH71" s="17">
        <f t="shared" si="122"/>
        <v>2350</v>
      </c>
      <c r="CX71" s="17">
        <v>68</v>
      </c>
      <c r="CY71" s="17">
        <f t="shared" si="133"/>
        <v>153.85596407048476</v>
      </c>
      <c r="CZ71" s="17">
        <f t="shared" si="134"/>
        <v>153.88853965323864</v>
      </c>
      <c r="DA71" s="17">
        <f t="shared" si="135"/>
        <v>153.87886895832293</v>
      </c>
      <c r="DB71" s="17">
        <f t="shared" si="136"/>
        <v>153.92579289385981</v>
      </c>
      <c r="DC71" s="17">
        <f t="shared" si="137"/>
        <v>153.93931959135003</v>
      </c>
      <c r="DS71" s="17">
        <v>68</v>
      </c>
      <c r="DT71" s="17">
        <f t="shared" si="148"/>
        <v>0.61739856955850791</v>
      </c>
      <c r="DU71" s="17">
        <f t="shared" si="149"/>
        <v>0.69407341169815828</v>
      </c>
      <c r="DV71" s="17">
        <f t="shared" si="150"/>
        <v>0.74367826604256793</v>
      </c>
      <c r="DW71" s="17">
        <f t="shared" si="151"/>
        <v>0.87167762113705249</v>
      </c>
      <c r="DX71" s="17">
        <f t="shared" si="152"/>
        <v>0.8841490463967232</v>
      </c>
      <c r="EN71" s="17">
        <v>68</v>
      </c>
      <c r="EO71" s="17">
        <f t="shared" si="138"/>
        <v>0.25259211804982373</v>
      </c>
      <c r="EP71" s="17">
        <f t="shared" si="139"/>
        <v>0.34274789263545075</v>
      </c>
      <c r="EQ71" s="17">
        <f t="shared" si="140"/>
        <v>0.39909604656335057</v>
      </c>
      <c r="ER71" s="17">
        <f t="shared" si="141"/>
        <v>0.54120052228314997</v>
      </c>
      <c r="ES71" s="17">
        <f t="shared" si="142"/>
        <v>0.5527267345727459</v>
      </c>
    </row>
    <row r="72" spans="16:149" x14ac:dyDescent="0.15">
      <c r="P72" s="16">
        <v>69</v>
      </c>
      <c r="Q72" s="16">
        <f t="shared" si="123"/>
        <v>111.40620226759169</v>
      </c>
      <c r="R72" s="16">
        <f t="shared" si="124"/>
        <v>117.41473763842089</v>
      </c>
      <c r="S72" s="16">
        <f t="shared" si="125"/>
        <v>121.13501904117206</v>
      </c>
      <c r="T72" s="16">
        <f t="shared" si="126"/>
        <v>130.43560155700573</v>
      </c>
      <c r="U72" s="16">
        <f t="shared" si="127"/>
        <v>131.22686477059904</v>
      </c>
      <c r="AM72" s="16">
        <v>69</v>
      </c>
      <c r="AN72" s="16">
        <f t="shared" si="128"/>
        <v>6541.0721845595253</v>
      </c>
      <c r="AO72" s="16">
        <f t="shared" si="129"/>
        <v>6841.2284177539559</v>
      </c>
      <c r="AP72" s="16">
        <f t="shared" si="130"/>
        <v>7480.6514825863333</v>
      </c>
      <c r="AQ72" s="16">
        <f t="shared" si="131"/>
        <v>8003.3</v>
      </c>
      <c r="AR72" s="16">
        <f t="shared" si="132"/>
        <v>8003.3</v>
      </c>
      <c r="BH72" s="17">
        <v>69</v>
      </c>
      <c r="BI72" s="17">
        <f t="shared" si="143"/>
        <v>6541.0721845595253</v>
      </c>
      <c r="BJ72" s="17">
        <f t="shared" si="144"/>
        <v>6841.2284177539559</v>
      </c>
      <c r="BK72" s="17">
        <f t="shared" si="145"/>
        <v>7480.6514825863333</v>
      </c>
      <c r="BL72" s="17">
        <f t="shared" si="146"/>
        <v>8003.3</v>
      </c>
      <c r="BM72" s="17">
        <f t="shared" si="147"/>
        <v>8003.3</v>
      </c>
      <c r="CC72" s="17">
        <v>69</v>
      </c>
      <c r="CD72" s="17">
        <f t="shared" si="118"/>
        <v>2369.9999999999995</v>
      </c>
      <c r="CE72" s="17">
        <f t="shared" si="119"/>
        <v>2370</v>
      </c>
      <c r="CF72" s="17">
        <f t="shared" si="120"/>
        <v>2370</v>
      </c>
      <c r="CG72" s="17">
        <f t="shared" si="121"/>
        <v>2370</v>
      </c>
      <c r="CH72" s="17">
        <f t="shared" si="122"/>
        <v>2370</v>
      </c>
      <c r="CX72" s="17">
        <v>69</v>
      </c>
      <c r="CY72" s="17">
        <f t="shared" si="133"/>
        <v>155.97768115894445</v>
      </c>
      <c r="CZ72" s="17">
        <f t="shared" si="134"/>
        <v>156.01203712185875</v>
      </c>
      <c r="DA72" s="17">
        <f t="shared" si="135"/>
        <v>155.9979781391535</v>
      </c>
      <c r="DB72" s="17">
        <f t="shared" si="136"/>
        <v>156.05721750422185</v>
      </c>
      <c r="DC72" s="17">
        <f t="shared" si="137"/>
        <v>156.07414035552304</v>
      </c>
      <c r="DS72" s="17">
        <v>69</v>
      </c>
      <c r="DT72" s="17">
        <f t="shared" si="148"/>
        <v>0.63065565481475794</v>
      </c>
      <c r="DU72" s="17">
        <f t="shared" si="149"/>
        <v>0.71215163270269022</v>
      </c>
      <c r="DV72" s="17">
        <f t="shared" si="150"/>
        <v>0.76302911080946023</v>
      </c>
      <c r="DW72" s="17">
        <f t="shared" si="151"/>
        <v>0.89141649951918167</v>
      </c>
      <c r="DX72" s="17">
        <f t="shared" si="152"/>
        <v>0.90293992368033782</v>
      </c>
      <c r="EN72" s="17">
        <v>69</v>
      </c>
      <c r="EO72" s="17">
        <f t="shared" si="138"/>
        <v>0.25730189422342942</v>
      </c>
      <c r="EP72" s="17">
        <f t="shared" si="139"/>
        <v>0.35353063853953498</v>
      </c>
      <c r="EQ72" s="17">
        <f t="shared" si="140"/>
        <v>0.41253846651290565</v>
      </c>
      <c r="ER72" s="17">
        <f t="shared" si="141"/>
        <v>0.55580926232937444</v>
      </c>
      <c r="ES72" s="17">
        <f t="shared" si="142"/>
        <v>0.56633822458880079</v>
      </c>
    </row>
    <row r="73" spans="16:149" x14ac:dyDescent="0.15">
      <c r="P73" s="16">
        <v>70</v>
      </c>
      <c r="Q73" s="16">
        <f t="shared" si="123"/>
        <v>112.22317205811655</v>
      </c>
      <c r="R73" s="16">
        <f t="shared" si="124"/>
        <v>118.50963682209245</v>
      </c>
      <c r="S73" s="16">
        <f t="shared" si="125"/>
        <v>122.34833056123013</v>
      </c>
      <c r="T73" s="16">
        <f t="shared" si="126"/>
        <v>131.79968241973603</v>
      </c>
      <c r="U73" s="16">
        <f t="shared" si="127"/>
        <v>132.56218399575945</v>
      </c>
      <c r="AM73" s="16">
        <v>70</v>
      </c>
      <c r="AN73" s="16">
        <f t="shared" si="128"/>
        <v>6673.4939980028657</v>
      </c>
      <c r="AO73" s="16">
        <f t="shared" si="129"/>
        <v>6992.1544892119737</v>
      </c>
      <c r="AP73" s="16">
        <f t="shared" si="130"/>
        <v>7637.0725110349686</v>
      </c>
      <c r="AQ73" s="16">
        <f t="shared" si="131"/>
        <v>8101.0999999999995</v>
      </c>
      <c r="AR73" s="16">
        <f t="shared" si="132"/>
        <v>8101.1</v>
      </c>
      <c r="BH73" s="17">
        <v>70</v>
      </c>
      <c r="BI73" s="17">
        <f t="shared" si="143"/>
        <v>6673.4939980028657</v>
      </c>
      <c r="BJ73" s="17">
        <f t="shared" si="144"/>
        <v>6992.1544892119737</v>
      </c>
      <c r="BK73" s="17">
        <f t="shared" si="145"/>
        <v>7637.0725110349686</v>
      </c>
      <c r="BL73" s="17">
        <f t="shared" si="146"/>
        <v>8101.0999999999995</v>
      </c>
      <c r="BM73" s="17">
        <f t="shared" si="147"/>
        <v>8101.1</v>
      </c>
      <c r="CC73" s="17">
        <v>70</v>
      </c>
      <c r="CD73" s="17">
        <f t="shared" si="118"/>
        <v>2389.9999999999995</v>
      </c>
      <c r="CE73" s="17">
        <f t="shared" si="119"/>
        <v>2390</v>
      </c>
      <c r="CF73" s="17">
        <f t="shared" si="120"/>
        <v>2390</v>
      </c>
      <c r="CG73" s="17">
        <f t="shared" si="121"/>
        <v>2390</v>
      </c>
      <c r="CH73" s="17">
        <f t="shared" si="122"/>
        <v>2390</v>
      </c>
      <c r="CX73" s="17">
        <v>70</v>
      </c>
      <c r="CY73" s="17">
        <f t="shared" si="133"/>
        <v>158.1278985320009</v>
      </c>
      <c r="CZ73" s="17">
        <f t="shared" si="134"/>
        <v>158.16924454668771</v>
      </c>
      <c r="DA73" s="17">
        <f t="shared" si="135"/>
        <v>158.1529033072635</v>
      </c>
      <c r="DB73" s="17">
        <f t="shared" si="136"/>
        <v>158.21085430161042</v>
      </c>
      <c r="DC73" s="17">
        <f t="shared" si="137"/>
        <v>158.22807637919692</v>
      </c>
      <c r="DS73" s="17">
        <v>70</v>
      </c>
      <c r="DT73" s="17">
        <f t="shared" si="148"/>
        <v>0.6447886715252974</v>
      </c>
      <c r="DU73" s="17">
        <f t="shared" si="149"/>
        <v>0.73002288042034047</v>
      </c>
      <c r="DV73" s="17">
        <f t="shared" si="150"/>
        <v>0.78218181337039017</v>
      </c>
      <c r="DW73" s="17">
        <f t="shared" si="151"/>
        <v>0.91204979048186297</v>
      </c>
      <c r="DX73" s="17">
        <f t="shared" si="152"/>
        <v>0.92310089015460006</v>
      </c>
      <c r="EN73" s="17">
        <v>70</v>
      </c>
      <c r="EO73" s="17">
        <f t="shared" si="138"/>
        <v>0.26081494366590452</v>
      </c>
      <c r="EP73" s="17">
        <f t="shared" si="139"/>
        <v>0.36150137943126814</v>
      </c>
      <c r="EQ73" s="17">
        <f t="shared" si="140"/>
        <v>0.42325661720535057</v>
      </c>
      <c r="ER73" s="17">
        <f t="shared" si="141"/>
        <v>0.5703815874273388</v>
      </c>
      <c r="ES73" s="17">
        <f t="shared" si="142"/>
        <v>0.58064928934551463</v>
      </c>
    </row>
    <row r="74" spans="16:149" x14ac:dyDescent="0.15">
      <c r="P74" s="16">
        <v>71</v>
      </c>
      <c r="Q74" s="16">
        <f t="shared" si="123"/>
        <v>113.04630818027272</v>
      </c>
      <c r="R74" s="16">
        <f t="shared" si="124"/>
        <v>119.60453600576402</v>
      </c>
      <c r="S74" s="16">
        <f t="shared" si="125"/>
        <v>123.56069507853795</v>
      </c>
      <c r="T74" s="16">
        <f t="shared" si="126"/>
        <v>133.16376328246633</v>
      </c>
      <c r="U74" s="16">
        <f t="shared" si="127"/>
        <v>133.8975032209199</v>
      </c>
      <c r="AM74" s="16">
        <v>71</v>
      </c>
      <c r="AN74" s="16">
        <f t="shared" si="128"/>
        <v>6808.2025904470984</v>
      </c>
      <c r="AO74" s="16">
        <f t="shared" si="129"/>
        <v>7143.0805606699914</v>
      </c>
      <c r="AP74" s="16">
        <f t="shared" si="130"/>
        <v>7792.7594318034089</v>
      </c>
      <c r="AQ74" s="16">
        <f t="shared" si="131"/>
        <v>8198.9</v>
      </c>
      <c r="AR74" s="16">
        <f t="shared" si="132"/>
        <v>8198.9</v>
      </c>
      <c r="BH74" s="17">
        <v>71</v>
      </c>
      <c r="BI74" s="17">
        <f t="shared" si="143"/>
        <v>6808.2025904470984</v>
      </c>
      <c r="BJ74" s="17">
        <f t="shared" si="144"/>
        <v>7143.0805606699914</v>
      </c>
      <c r="BK74" s="17">
        <f t="shared" si="145"/>
        <v>7792.7594318034089</v>
      </c>
      <c r="BL74" s="17">
        <f t="shared" si="146"/>
        <v>8198.9</v>
      </c>
      <c r="BM74" s="17">
        <f t="shared" si="147"/>
        <v>8198.9</v>
      </c>
      <c r="CC74" s="17">
        <v>71</v>
      </c>
      <c r="CD74" s="17">
        <f t="shared" si="118"/>
        <v>2410</v>
      </c>
      <c r="CE74" s="17">
        <f t="shared" si="119"/>
        <v>2410</v>
      </c>
      <c r="CF74" s="17">
        <f t="shared" si="120"/>
        <v>2409.9999999999995</v>
      </c>
      <c r="CG74" s="17">
        <f t="shared" si="121"/>
        <v>2409.9999999999995</v>
      </c>
      <c r="CH74" s="17">
        <f t="shared" si="122"/>
        <v>2410</v>
      </c>
      <c r="CX74" s="17">
        <v>71</v>
      </c>
      <c r="CY74" s="17">
        <f t="shared" si="133"/>
        <v>160.28451534708537</v>
      </c>
      <c r="CZ74" s="17">
        <f t="shared" si="134"/>
        <v>160.32645197151669</v>
      </c>
      <c r="DA74" s="17">
        <f t="shared" si="135"/>
        <v>160.30844694492572</v>
      </c>
      <c r="DB74" s="17">
        <f t="shared" si="136"/>
        <v>160.364491098999</v>
      </c>
      <c r="DC74" s="17">
        <f t="shared" si="137"/>
        <v>160.3820124028708</v>
      </c>
      <c r="DS74" s="17">
        <v>71</v>
      </c>
      <c r="DT74" s="17">
        <f t="shared" si="148"/>
        <v>0.65911836951960601</v>
      </c>
      <c r="DU74" s="17">
        <f t="shared" si="149"/>
        <v>0.74789412813799061</v>
      </c>
      <c r="DV74" s="17">
        <f t="shared" si="150"/>
        <v>0.80133109441677575</v>
      </c>
      <c r="DW74" s="17">
        <f t="shared" si="151"/>
        <v>0.93268308144454415</v>
      </c>
      <c r="DX74" s="17">
        <f t="shared" si="152"/>
        <v>0.94326185662886242</v>
      </c>
      <c r="EN74" s="17">
        <v>71</v>
      </c>
      <c r="EO74" s="17">
        <f t="shared" si="138"/>
        <v>0.26405928058681533</v>
      </c>
      <c r="EP74" s="17">
        <f t="shared" si="139"/>
        <v>0.36947212032300136</v>
      </c>
      <c r="EQ74" s="17">
        <f t="shared" si="140"/>
        <v>0.43392772528594781</v>
      </c>
      <c r="ER74" s="17">
        <f t="shared" si="141"/>
        <v>0.58495391252530304</v>
      </c>
      <c r="ES74" s="17">
        <f t="shared" si="142"/>
        <v>0.59496035410222858</v>
      </c>
    </row>
    <row r="75" spans="16:149" x14ac:dyDescent="0.15">
      <c r="P75" s="16">
        <v>72</v>
      </c>
      <c r="Q75" s="16">
        <f t="shared" si="123"/>
        <v>113.86944430242889</v>
      </c>
      <c r="R75" s="16">
        <f t="shared" si="124"/>
        <v>120.69943518943558</v>
      </c>
      <c r="S75" s="16">
        <f t="shared" si="125"/>
        <v>124.77305959584577</v>
      </c>
      <c r="T75" s="16">
        <f t="shared" si="126"/>
        <v>134.56465583688532</v>
      </c>
      <c r="U75" s="16">
        <f t="shared" si="127"/>
        <v>135.3019235087838</v>
      </c>
      <c r="AM75" s="16">
        <v>72</v>
      </c>
      <c r="AN75" s="16">
        <f t="shared" si="128"/>
        <v>6942.911182891331</v>
      </c>
      <c r="AO75" s="16">
        <f t="shared" si="129"/>
        <v>7294.0066321280083</v>
      </c>
      <c r="AP75" s="16">
        <f t="shared" si="130"/>
        <v>7948.4463525718493</v>
      </c>
      <c r="AQ75" s="16">
        <f t="shared" si="131"/>
        <v>8296.6999999999989</v>
      </c>
      <c r="AR75" s="16">
        <f t="shared" si="132"/>
        <v>8296.7000000000007</v>
      </c>
      <c r="BH75" s="17">
        <v>72</v>
      </c>
      <c r="BI75" s="17">
        <f t="shared" si="143"/>
        <v>6942.911182891331</v>
      </c>
      <c r="BJ75" s="17">
        <f t="shared" si="144"/>
        <v>7294.0066321280083</v>
      </c>
      <c r="BK75" s="17">
        <f t="shared" si="145"/>
        <v>7948.4463525718493</v>
      </c>
      <c r="BL75" s="17">
        <f t="shared" si="146"/>
        <v>8296.6999999999989</v>
      </c>
      <c r="BM75" s="17">
        <f t="shared" si="147"/>
        <v>8296.7000000000007</v>
      </c>
      <c r="CC75" s="17">
        <v>72</v>
      </c>
      <c r="CD75" s="17">
        <f t="shared" si="118"/>
        <v>2430</v>
      </c>
      <c r="CE75" s="17">
        <f t="shared" si="119"/>
        <v>2430</v>
      </c>
      <c r="CF75" s="17">
        <f t="shared" si="120"/>
        <v>2429.9999999999995</v>
      </c>
      <c r="CG75" s="17">
        <f t="shared" si="121"/>
        <v>2429.9999999999995</v>
      </c>
      <c r="CH75" s="17">
        <f t="shared" si="122"/>
        <v>2430</v>
      </c>
      <c r="CX75" s="17">
        <v>72</v>
      </c>
      <c r="CY75" s="17">
        <f t="shared" si="133"/>
        <v>162.44113216216988</v>
      </c>
      <c r="CZ75" s="17">
        <f t="shared" si="134"/>
        <v>162.48365939634567</v>
      </c>
      <c r="DA75" s="17">
        <f t="shared" si="135"/>
        <v>162.46399058258791</v>
      </c>
      <c r="DB75" s="17">
        <f t="shared" si="136"/>
        <v>162.51129594421275</v>
      </c>
      <c r="DC75" s="17">
        <f t="shared" si="137"/>
        <v>162.52241566675647</v>
      </c>
      <c r="DS75" s="17">
        <v>72</v>
      </c>
      <c r="DT75" s="17">
        <f t="shared" si="148"/>
        <v>0.67344806751391462</v>
      </c>
      <c r="DU75" s="17">
        <f t="shared" si="149"/>
        <v>0.76576537585564075</v>
      </c>
      <c r="DV75" s="17">
        <f t="shared" si="150"/>
        <v>0.82048037546316133</v>
      </c>
      <c r="DW75" s="17">
        <f t="shared" si="151"/>
        <v>0.95369110234502064</v>
      </c>
      <c r="DX75" s="17">
        <f t="shared" si="152"/>
        <v>0.9641035119281256</v>
      </c>
      <c r="EN75" s="17">
        <v>72</v>
      </c>
      <c r="EO75" s="17">
        <f t="shared" si="138"/>
        <v>0.26730361750772619</v>
      </c>
      <c r="EP75" s="17">
        <f t="shared" si="139"/>
        <v>0.37744286121473453</v>
      </c>
      <c r="EQ75" s="17">
        <f t="shared" si="140"/>
        <v>0.4445988333665451</v>
      </c>
      <c r="ER75" s="17">
        <f t="shared" si="141"/>
        <v>0.60052109005887655</v>
      </c>
      <c r="ES75" s="17">
        <f t="shared" si="142"/>
        <v>0.6112051867287891</v>
      </c>
    </row>
    <row r="76" spans="16:149" x14ac:dyDescent="0.15">
      <c r="P76" s="16">
        <v>73</v>
      </c>
      <c r="Q76" s="16">
        <f t="shared" si="123"/>
        <v>114.89711416089067</v>
      </c>
      <c r="R76" s="16">
        <f t="shared" si="124"/>
        <v>121.87125874085831</v>
      </c>
      <c r="S76" s="16">
        <f t="shared" si="125"/>
        <v>126.11486544876745</v>
      </c>
      <c r="T76" s="16">
        <f t="shared" si="126"/>
        <v>136.24072162586373</v>
      </c>
      <c r="U76" s="16">
        <f t="shared" si="127"/>
        <v>136.93314282879254</v>
      </c>
      <c r="AM76" s="16">
        <v>73</v>
      </c>
      <c r="AN76" s="16">
        <f t="shared" si="128"/>
        <v>7085.7092946940165</v>
      </c>
      <c r="AO76" s="16">
        <f t="shared" si="129"/>
        <v>7455.7119464880052</v>
      </c>
      <c r="AP76" s="16">
        <f t="shared" si="130"/>
        <v>8140.617175428044</v>
      </c>
      <c r="AQ76" s="16">
        <f t="shared" si="131"/>
        <v>8394.5</v>
      </c>
      <c r="AR76" s="16">
        <f t="shared" si="132"/>
        <v>8394.5</v>
      </c>
      <c r="BH76" s="17">
        <v>73</v>
      </c>
      <c r="BI76" s="17">
        <f t="shared" si="143"/>
        <v>7085.7092946940165</v>
      </c>
      <c r="BJ76" s="17">
        <f t="shared" si="144"/>
        <v>7455.7119464880052</v>
      </c>
      <c r="BK76" s="17">
        <f t="shared" si="145"/>
        <v>8140.617175428044</v>
      </c>
      <c r="BL76" s="17">
        <f t="shared" si="146"/>
        <v>8394.5</v>
      </c>
      <c r="BM76" s="17">
        <f t="shared" si="147"/>
        <v>8394.5</v>
      </c>
      <c r="CC76" s="17">
        <v>73</v>
      </c>
      <c r="CD76" s="17">
        <f t="shared" si="118"/>
        <v>2450</v>
      </c>
      <c r="CE76" s="17">
        <f t="shared" si="119"/>
        <v>2450</v>
      </c>
      <c r="CF76" s="17">
        <f t="shared" si="120"/>
        <v>2449.9999999999995</v>
      </c>
      <c r="CG76" s="17">
        <f t="shared" si="121"/>
        <v>2450</v>
      </c>
      <c r="CH76" s="17">
        <f t="shared" si="122"/>
        <v>2450</v>
      </c>
      <c r="CX76" s="17">
        <v>73</v>
      </c>
      <c r="CY76" s="17">
        <f t="shared" si="133"/>
        <v>164.55949669657269</v>
      </c>
      <c r="CZ76" s="17">
        <f t="shared" si="134"/>
        <v>164.5849795817025</v>
      </c>
      <c r="DA76" s="17">
        <f t="shared" si="135"/>
        <v>164.57363061005955</v>
      </c>
      <c r="DB76" s="17">
        <f t="shared" si="136"/>
        <v>164.60703086321399</v>
      </c>
      <c r="DC76" s="17">
        <f t="shared" si="137"/>
        <v>164.61840258301834</v>
      </c>
      <c r="DS76" s="17">
        <v>73</v>
      </c>
      <c r="DT76" s="17">
        <f t="shared" si="148"/>
        <v>0.68965539045373114</v>
      </c>
      <c r="DU76" s="17">
        <f t="shared" si="149"/>
        <v>0.78345302472953438</v>
      </c>
      <c r="DV76" s="17">
        <f t="shared" si="150"/>
        <v>0.84043832249495865</v>
      </c>
      <c r="DW76" s="17">
        <f t="shared" si="151"/>
        <v>0.97750028897136176</v>
      </c>
      <c r="DX76" s="17">
        <f t="shared" si="152"/>
        <v>0.98717927999877308</v>
      </c>
      <c r="EN76" s="17">
        <v>73</v>
      </c>
      <c r="EO76" s="17">
        <f t="shared" si="138"/>
        <v>0.27659060928923623</v>
      </c>
      <c r="EP76" s="17">
        <f t="shared" si="139"/>
        <v>0.3904639807963794</v>
      </c>
      <c r="EQ76" s="17">
        <f t="shared" si="140"/>
        <v>0.46033239140018073</v>
      </c>
      <c r="ER76" s="17">
        <f t="shared" si="141"/>
        <v>0.62352494735526065</v>
      </c>
      <c r="ES76" s="17">
        <f t="shared" si="142"/>
        <v>0.63379690700244906</v>
      </c>
    </row>
    <row r="77" spans="16:149" x14ac:dyDescent="0.15">
      <c r="P77" s="16">
        <v>74</v>
      </c>
      <c r="Q77" s="16">
        <f t="shared" si="123"/>
        <v>116.0479613574467</v>
      </c>
      <c r="R77" s="16">
        <f t="shared" si="124"/>
        <v>123.05200554755365</v>
      </c>
      <c r="S77" s="16">
        <f t="shared" si="125"/>
        <v>127.49566521552181</v>
      </c>
      <c r="T77" s="16">
        <f t="shared" si="126"/>
        <v>137.91678741484213</v>
      </c>
      <c r="U77" s="16">
        <f t="shared" si="127"/>
        <v>138.56436214880125</v>
      </c>
      <c r="AM77" s="16">
        <v>74</v>
      </c>
      <c r="AN77" s="16">
        <f t="shared" si="128"/>
        <v>7233.3791967403777</v>
      </c>
      <c r="AO77" s="16">
        <f t="shared" si="129"/>
        <v>7618.6676570341751</v>
      </c>
      <c r="AP77" s="16">
        <f t="shared" si="130"/>
        <v>8343.7786924666143</v>
      </c>
      <c r="AQ77" s="16">
        <f t="shared" si="131"/>
        <v>8492.2999999999993</v>
      </c>
      <c r="AR77" s="16">
        <f t="shared" si="132"/>
        <v>8492.3000000000011</v>
      </c>
      <c r="BH77" s="17">
        <v>74</v>
      </c>
      <c r="BI77" s="17">
        <f t="shared" si="143"/>
        <v>7233.3791967403777</v>
      </c>
      <c r="BJ77" s="17">
        <f t="shared" si="144"/>
        <v>7618.6676570341751</v>
      </c>
      <c r="BK77" s="17">
        <f t="shared" si="145"/>
        <v>8343.7786924666143</v>
      </c>
      <c r="BL77" s="17">
        <f t="shared" si="146"/>
        <v>8492.2999999999993</v>
      </c>
      <c r="BM77" s="17">
        <f t="shared" si="147"/>
        <v>8492.3000000000011</v>
      </c>
      <c r="CC77" s="17">
        <v>74</v>
      </c>
      <c r="CD77" s="17">
        <f t="shared" ref="CD77:CD103" si="153">求节点(BR$4:BR$42,BW$4:BW$42,$P77)</f>
        <v>2470</v>
      </c>
      <c r="CE77" s="17">
        <f t="shared" ref="CE77:CE103" si="154">求节点(BS$4:BS$42,BX$4:BX$42,$P77)</f>
        <v>2470</v>
      </c>
      <c r="CF77" s="17">
        <f t="shared" ref="CF77:CF103" si="155">求节点(BT$4:BT$42,BY$4:BY$42,$P77)</f>
        <v>2469.9999999999995</v>
      </c>
      <c r="CG77" s="17">
        <f t="shared" ref="CG77:CG103" si="156">求节点(BU$4:BU$42,BZ$4:BZ$42,$P77)</f>
        <v>2470</v>
      </c>
      <c r="CH77" s="17">
        <f t="shared" ref="CH77:CH103" si="157">求节点(BV$4:BV$42,CA$4:CA$42,$P77)</f>
        <v>2470</v>
      </c>
      <c r="CX77" s="17">
        <v>74</v>
      </c>
      <c r="CY77" s="17">
        <f t="shared" si="133"/>
        <v>166.65482437556227</v>
      </c>
      <c r="CZ77" s="17">
        <f t="shared" si="134"/>
        <v>166.67981682649221</v>
      </c>
      <c r="DA77" s="17">
        <f t="shared" si="135"/>
        <v>166.66944227727907</v>
      </c>
      <c r="DB77" s="17">
        <f t="shared" si="136"/>
        <v>166.70276578221527</v>
      </c>
      <c r="DC77" s="17">
        <f t="shared" si="137"/>
        <v>166.71438949928023</v>
      </c>
      <c r="DS77" s="17">
        <v>74</v>
      </c>
      <c r="DT77" s="17">
        <f t="shared" si="148"/>
        <v>0.70699348451671074</v>
      </c>
      <c r="DU77" s="17">
        <f t="shared" si="149"/>
        <v>0.8011193760692592</v>
      </c>
      <c r="DV77" s="17">
        <f t="shared" si="150"/>
        <v>0.86063987835236821</v>
      </c>
      <c r="DW77" s="17">
        <f t="shared" si="151"/>
        <v>1.0013094755977028</v>
      </c>
      <c r="DX77" s="17">
        <f t="shared" si="152"/>
        <v>1.0102550480694206</v>
      </c>
      <c r="EN77" s="17">
        <v>74</v>
      </c>
      <c r="EO77" s="17">
        <f t="shared" si="138"/>
        <v>0.28951669823972731</v>
      </c>
      <c r="EP77" s="17">
        <f t="shared" si="139"/>
        <v>0.4040709461846379</v>
      </c>
      <c r="EQ77" s="17">
        <f t="shared" si="140"/>
        <v>0.47759100119811498</v>
      </c>
      <c r="ER77" s="17">
        <f t="shared" si="141"/>
        <v>0.64652880465164464</v>
      </c>
      <c r="ES77" s="17">
        <f t="shared" si="142"/>
        <v>0.65638862727610892</v>
      </c>
    </row>
    <row r="78" spans="16:149" x14ac:dyDescent="0.15">
      <c r="P78" s="16">
        <v>75</v>
      </c>
      <c r="Q78" s="16">
        <f t="shared" si="123"/>
        <v>117.19821177112971</v>
      </c>
      <c r="R78" s="16">
        <f t="shared" si="124"/>
        <v>124.2794810885397</v>
      </c>
      <c r="S78" s="16">
        <f t="shared" si="125"/>
        <v>128.86121228019695</v>
      </c>
      <c r="T78" s="16">
        <f t="shared" si="126"/>
        <v>139.60876521881801</v>
      </c>
      <c r="U78" s="16">
        <f t="shared" si="127"/>
        <v>140.30856682968513</v>
      </c>
      <c r="AM78" s="16">
        <v>75</v>
      </c>
      <c r="AN78" s="16">
        <f t="shared" si="128"/>
        <v>7381.0524454192946</v>
      </c>
      <c r="AO78" s="16">
        <f t="shared" si="129"/>
        <v>7786.2227212183898</v>
      </c>
      <c r="AP78" s="16">
        <f t="shared" si="130"/>
        <v>8533.5055948111258</v>
      </c>
      <c r="AQ78" s="16">
        <f t="shared" si="131"/>
        <v>8590.0999999999985</v>
      </c>
      <c r="AR78" s="16">
        <f t="shared" si="132"/>
        <v>8590.1</v>
      </c>
      <c r="BH78" s="17">
        <v>75</v>
      </c>
      <c r="BI78" s="17">
        <f t="shared" si="143"/>
        <v>7381.0524454192946</v>
      </c>
      <c r="BJ78" s="17">
        <f t="shared" si="144"/>
        <v>7786.2227212183898</v>
      </c>
      <c r="BK78" s="17">
        <f t="shared" si="145"/>
        <v>8533.5055948111258</v>
      </c>
      <c r="BL78" s="17">
        <f t="shared" si="146"/>
        <v>8590.0999999999985</v>
      </c>
      <c r="BM78" s="17">
        <f t="shared" si="147"/>
        <v>8590.1</v>
      </c>
      <c r="CC78" s="17">
        <v>75</v>
      </c>
      <c r="CD78" s="17">
        <f t="shared" si="153"/>
        <v>2490</v>
      </c>
      <c r="CE78" s="17">
        <f t="shared" si="154"/>
        <v>2490</v>
      </c>
      <c r="CF78" s="17">
        <f t="shared" si="155"/>
        <v>2490</v>
      </c>
      <c r="CG78" s="17">
        <f t="shared" si="156"/>
        <v>2490.0000000000005</v>
      </c>
      <c r="CH78" s="17">
        <f t="shared" si="157"/>
        <v>2490</v>
      </c>
      <c r="CX78" s="17">
        <v>75</v>
      </c>
      <c r="CY78" s="17">
        <f t="shared" si="133"/>
        <v>168.75013861019693</v>
      </c>
      <c r="CZ78" s="17">
        <f t="shared" si="134"/>
        <v>168.77264788716766</v>
      </c>
      <c r="DA78" s="17">
        <f t="shared" si="135"/>
        <v>168.76393086714734</v>
      </c>
      <c r="DB78" s="17">
        <f t="shared" si="136"/>
        <v>168.79460366122407</v>
      </c>
      <c r="DC78" s="17">
        <f t="shared" si="137"/>
        <v>168.8049200685526</v>
      </c>
      <c r="DS78" s="17">
        <v>75</v>
      </c>
      <c r="DT78" s="17">
        <f t="shared" si="148"/>
        <v>0.72432320788602433</v>
      </c>
      <c r="DU78" s="17">
        <f t="shared" si="149"/>
        <v>0.81934528490196634</v>
      </c>
      <c r="DV78" s="17">
        <f t="shared" si="150"/>
        <v>0.88060164744463476</v>
      </c>
      <c r="DW78" s="17">
        <f t="shared" si="151"/>
        <v>1.0252195187345963</v>
      </c>
      <c r="DX78" s="17">
        <f t="shared" si="152"/>
        <v>1.0347597897847489</v>
      </c>
      <c r="EN78" s="17">
        <v>75</v>
      </c>
      <c r="EO78" s="17">
        <f t="shared" si="138"/>
        <v>0.30243405403879781</v>
      </c>
      <c r="EP78" s="17">
        <f t="shared" si="139"/>
        <v>0.41864220367649985</v>
      </c>
      <c r="EQ78" s="17">
        <f t="shared" si="140"/>
        <v>0.49470408383629538</v>
      </c>
      <c r="ER78" s="17">
        <f t="shared" si="141"/>
        <v>0.67012808195475504</v>
      </c>
      <c r="ES78" s="17">
        <f t="shared" si="142"/>
        <v>0.68112993277501677</v>
      </c>
    </row>
    <row r="79" spans="16:149" x14ac:dyDescent="0.15">
      <c r="P79" s="16">
        <v>76</v>
      </c>
      <c r="Q79" s="16">
        <f t="shared" si="123"/>
        <v>117.97491741479794</v>
      </c>
      <c r="R79" s="16">
        <f t="shared" si="124"/>
        <v>125.63998013014823</v>
      </c>
      <c r="S79" s="16">
        <f t="shared" si="125"/>
        <v>130.14620818350156</v>
      </c>
      <c r="T79" s="16">
        <f t="shared" si="126"/>
        <v>141.31623953238932</v>
      </c>
      <c r="U79" s="16">
        <f t="shared" si="127"/>
        <v>142.11941119493326</v>
      </c>
      <c r="AM79" s="16">
        <v>76</v>
      </c>
      <c r="AN79" s="16">
        <f t="shared" si="128"/>
        <v>7530.8204544295058</v>
      </c>
      <c r="AO79" s="16">
        <f t="shared" si="129"/>
        <v>7966.8708453970658</v>
      </c>
      <c r="AP79" s="16">
        <f t="shared" si="130"/>
        <v>8652.2828509519168</v>
      </c>
      <c r="AQ79" s="16">
        <f t="shared" si="131"/>
        <v>8687.9</v>
      </c>
      <c r="AR79" s="16">
        <f t="shared" si="132"/>
        <v>8687.9</v>
      </c>
      <c r="BH79" s="17">
        <v>76</v>
      </c>
      <c r="BI79" s="17">
        <f t="shared" si="143"/>
        <v>7530.8204544295058</v>
      </c>
      <c r="BJ79" s="17">
        <f t="shared" si="144"/>
        <v>7966.8708453970658</v>
      </c>
      <c r="BK79" s="17">
        <f t="shared" si="145"/>
        <v>8652.2828509519168</v>
      </c>
      <c r="BL79" s="17">
        <f t="shared" si="146"/>
        <v>8687.9</v>
      </c>
      <c r="BM79" s="17">
        <f t="shared" si="147"/>
        <v>8687.9</v>
      </c>
      <c r="CC79" s="17">
        <v>76</v>
      </c>
      <c r="CD79" s="17">
        <f t="shared" si="153"/>
        <v>2510</v>
      </c>
      <c r="CE79" s="17">
        <f t="shared" si="154"/>
        <v>2510</v>
      </c>
      <c r="CF79" s="17">
        <f t="shared" si="155"/>
        <v>2510</v>
      </c>
      <c r="CG79" s="17">
        <f t="shared" si="156"/>
        <v>2510.0000000000005</v>
      </c>
      <c r="CH79" s="17">
        <f t="shared" si="157"/>
        <v>2510</v>
      </c>
      <c r="CX79" s="17">
        <v>76</v>
      </c>
      <c r="CY79" s="17">
        <f t="shared" si="133"/>
        <v>170.83703760926608</v>
      </c>
      <c r="CZ79" s="17">
        <f t="shared" si="134"/>
        <v>170.85976790863288</v>
      </c>
      <c r="DA79" s="17">
        <f t="shared" si="135"/>
        <v>170.85143214311725</v>
      </c>
      <c r="DB79" s="17">
        <f t="shared" si="136"/>
        <v>170.88264626240999</v>
      </c>
      <c r="DC79" s="17">
        <f t="shared" si="137"/>
        <v>170.89223244001295</v>
      </c>
      <c r="DS79" s="17">
        <v>76</v>
      </c>
      <c r="DT79" s="17">
        <f t="shared" si="148"/>
        <v>0.73641345642839218</v>
      </c>
      <c r="DU79" s="17">
        <f t="shared" si="149"/>
        <v>0.83916409578190199</v>
      </c>
      <c r="DV79" s="17">
        <f t="shared" si="150"/>
        <v>0.89929707682127402</v>
      </c>
      <c r="DW79" s="17">
        <f t="shared" si="151"/>
        <v>1.049227784747963</v>
      </c>
      <c r="DX79" s="17">
        <f t="shared" si="152"/>
        <v>1.0601073517726218</v>
      </c>
      <c r="EN79" s="17">
        <v>76</v>
      </c>
      <c r="EO79" s="17">
        <f t="shared" si="138"/>
        <v>0.3098850615453681</v>
      </c>
      <c r="EP79" s="17">
        <f t="shared" si="139"/>
        <v>0.43595852827088449</v>
      </c>
      <c r="EQ79" s="17">
        <f t="shared" si="140"/>
        <v>0.51104862188032874</v>
      </c>
      <c r="ER79" s="17">
        <f t="shared" si="141"/>
        <v>0.69430723125075766</v>
      </c>
      <c r="ES79" s="17">
        <f t="shared" si="142"/>
        <v>0.70713908111493529</v>
      </c>
    </row>
    <row r="80" spans="16:149" x14ac:dyDescent="0.15">
      <c r="P80" s="16">
        <v>77</v>
      </c>
      <c r="Q80" s="16">
        <f t="shared" si="123"/>
        <v>118.75162305846618</v>
      </c>
      <c r="R80" s="16">
        <f t="shared" si="124"/>
        <v>127.00047917175677</v>
      </c>
      <c r="S80" s="16">
        <f t="shared" si="125"/>
        <v>131.43120408680619</v>
      </c>
      <c r="T80" s="16">
        <f t="shared" si="126"/>
        <v>143.0237138459606</v>
      </c>
      <c r="U80" s="16">
        <f t="shared" si="127"/>
        <v>143.93025556018137</v>
      </c>
      <c r="AM80" s="16">
        <v>77</v>
      </c>
      <c r="AN80" s="16">
        <f t="shared" si="128"/>
        <v>7680.5884634397171</v>
      </c>
      <c r="AO80" s="16">
        <f t="shared" si="129"/>
        <v>8147.5189695757417</v>
      </c>
      <c r="AP80" s="16">
        <f t="shared" si="130"/>
        <v>8771.0601070927078</v>
      </c>
      <c r="AQ80" s="16">
        <f t="shared" si="131"/>
        <v>8785.6999999999989</v>
      </c>
      <c r="AR80" s="16">
        <f t="shared" si="132"/>
        <v>8785.6999999999989</v>
      </c>
      <c r="BH80" s="17">
        <v>77</v>
      </c>
      <c r="BI80" s="17">
        <f t="shared" si="143"/>
        <v>7680.5884634397171</v>
      </c>
      <c r="BJ80" s="17">
        <f t="shared" si="144"/>
        <v>8147.5189695757417</v>
      </c>
      <c r="BK80" s="17">
        <f t="shared" si="145"/>
        <v>8771.0601070927078</v>
      </c>
      <c r="BL80" s="17">
        <f t="shared" si="146"/>
        <v>8785.6999999999989</v>
      </c>
      <c r="BM80" s="17">
        <f t="shared" si="147"/>
        <v>8785.6999999999989</v>
      </c>
      <c r="CC80" s="17">
        <v>77</v>
      </c>
      <c r="CD80" s="17">
        <f t="shared" si="153"/>
        <v>2530</v>
      </c>
      <c r="CE80" s="17">
        <f t="shared" si="154"/>
        <v>2530</v>
      </c>
      <c r="CF80" s="17">
        <f t="shared" si="155"/>
        <v>2530</v>
      </c>
      <c r="CG80" s="17">
        <f t="shared" si="156"/>
        <v>2530</v>
      </c>
      <c r="CH80" s="17">
        <f t="shared" si="157"/>
        <v>2530</v>
      </c>
      <c r="CX80" s="17">
        <v>77</v>
      </c>
      <c r="CY80" s="17">
        <f t="shared" si="133"/>
        <v>172.9239366083352</v>
      </c>
      <c r="CZ80" s="17">
        <f t="shared" si="134"/>
        <v>172.94688793009809</v>
      </c>
      <c r="DA80" s="17">
        <f t="shared" si="135"/>
        <v>172.93893341908716</v>
      </c>
      <c r="DB80" s="17">
        <f t="shared" si="136"/>
        <v>172.97068886359594</v>
      </c>
      <c r="DC80" s="17">
        <f t="shared" si="137"/>
        <v>172.97954481147329</v>
      </c>
      <c r="DS80" s="17">
        <v>77</v>
      </c>
      <c r="DT80" s="17">
        <f t="shared" si="148"/>
        <v>0.74850370497076013</v>
      </c>
      <c r="DU80" s="17">
        <f t="shared" si="149"/>
        <v>0.85898290666183763</v>
      </c>
      <c r="DV80" s="17">
        <f t="shared" si="150"/>
        <v>0.91799250619791339</v>
      </c>
      <c r="DW80" s="17">
        <f t="shared" si="151"/>
        <v>1.0732360507613294</v>
      </c>
      <c r="DX80" s="17">
        <f t="shared" si="152"/>
        <v>1.0854549137604947</v>
      </c>
      <c r="EN80" s="17">
        <v>77</v>
      </c>
      <c r="EO80" s="17">
        <f t="shared" si="138"/>
        <v>0.31733606905193845</v>
      </c>
      <c r="EP80" s="17">
        <f t="shared" si="139"/>
        <v>0.45327485286526908</v>
      </c>
      <c r="EQ80" s="17">
        <f t="shared" si="140"/>
        <v>0.5273931599243622</v>
      </c>
      <c r="ER80" s="17">
        <f t="shared" si="141"/>
        <v>0.71848638054676028</v>
      </c>
      <c r="ES80" s="17">
        <f t="shared" si="142"/>
        <v>0.73314822945485381</v>
      </c>
    </row>
    <row r="81" spans="16:149" x14ac:dyDescent="0.15">
      <c r="P81" s="16">
        <v>78</v>
      </c>
      <c r="Q81" s="16">
        <f t="shared" si="123"/>
        <v>119.54740036449765</v>
      </c>
      <c r="R81" s="16">
        <f t="shared" si="124"/>
        <v>128.34786212654637</v>
      </c>
      <c r="S81" s="16">
        <f t="shared" si="125"/>
        <v>132.75005417817806</v>
      </c>
      <c r="T81" s="16">
        <f t="shared" si="126"/>
        <v>144.76542698551603</v>
      </c>
      <c r="U81" s="16">
        <f t="shared" si="127"/>
        <v>145.47493250568061</v>
      </c>
      <c r="AM81" s="16">
        <v>78</v>
      </c>
      <c r="AN81" s="16">
        <f t="shared" si="128"/>
        <v>7832.3395250015119</v>
      </c>
      <c r="AO81" s="16">
        <f t="shared" si="129"/>
        <v>8330.5868330782287</v>
      </c>
      <c r="AP81" s="16">
        <f t="shared" si="130"/>
        <v>8883.4999999999982</v>
      </c>
      <c r="AQ81" s="16">
        <f t="shared" si="131"/>
        <v>8883.5</v>
      </c>
      <c r="AR81" s="16">
        <f t="shared" si="132"/>
        <v>8883.5</v>
      </c>
      <c r="BH81" s="17">
        <v>78</v>
      </c>
      <c r="BI81" s="17">
        <f t="shared" si="143"/>
        <v>7832.3395250015119</v>
      </c>
      <c r="BJ81" s="17">
        <f t="shared" si="144"/>
        <v>8330.5868330782287</v>
      </c>
      <c r="BK81" s="17">
        <f t="shared" si="145"/>
        <v>8883.4999999999982</v>
      </c>
      <c r="BL81" s="17">
        <f t="shared" si="146"/>
        <v>8883.5</v>
      </c>
      <c r="BM81" s="17">
        <f t="shared" si="147"/>
        <v>8883.5</v>
      </c>
      <c r="CC81" s="17">
        <v>78</v>
      </c>
      <c r="CD81" s="17">
        <f t="shared" si="153"/>
        <v>2549.9999999999995</v>
      </c>
      <c r="CE81" s="17">
        <f t="shared" si="154"/>
        <v>2550</v>
      </c>
      <c r="CF81" s="17">
        <f t="shared" si="155"/>
        <v>2550</v>
      </c>
      <c r="CG81" s="17">
        <f t="shared" si="156"/>
        <v>2550</v>
      </c>
      <c r="CH81" s="17">
        <f t="shared" si="157"/>
        <v>2550</v>
      </c>
      <c r="CX81" s="17">
        <v>78</v>
      </c>
      <c r="CY81" s="17">
        <f t="shared" si="133"/>
        <v>175</v>
      </c>
      <c r="CZ81" s="17">
        <f t="shared" si="134"/>
        <v>175</v>
      </c>
      <c r="DA81" s="17">
        <f t="shared" si="135"/>
        <v>175</v>
      </c>
      <c r="DB81" s="17">
        <f t="shared" si="136"/>
        <v>175</v>
      </c>
      <c r="DC81" s="17">
        <f t="shared" si="137"/>
        <v>175</v>
      </c>
      <c r="DS81" s="17">
        <v>78</v>
      </c>
      <c r="DT81" s="17">
        <f t="shared" si="148"/>
        <v>0.7606320048599684</v>
      </c>
      <c r="DU81" s="17">
        <f t="shared" si="149"/>
        <v>0.87797149502061822</v>
      </c>
      <c r="DV81" s="17">
        <f t="shared" si="150"/>
        <v>0.93666738904237379</v>
      </c>
      <c r="DW81" s="17">
        <f t="shared" si="151"/>
        <v>1.0968723598068801</v>
      </c>
      <c r="DX81" s="17">
        <f t="shared" si="152"/>
        <v>1.1063324334090747</v>
      </c>
      <c r="EN81" s="17">
        <v>78</v>
      </c>
      <c r="EO81" s="17">
        <f t="shared" si="138"/>
        <v>0.32579000607496067</v>
      </c>
      <c r="EP81" s="17">
        <f t="shared" si="139"/>
        <v>0.47246436877577297</v>
      </c>
      <c r="EQ81" s="17">
        <f t="shared" si="140"/>
        <v>0.54583423630296757</v>
      </c>
      <c r="ER81" s="17">
        <f t="shared" si="141"/>
        <v>0.74609044975860039</v>
      </c>
      <c r="ES81" s="17">
        <f t="shared" si="142"/>
        <v>0.75791554176134379</v>
      </c>
    </row>
    <row r="82" spans="16:149" x14ac:dyDescent="0.15">
      <c r="P82" s="16">
        <v>79</v>
      </c>
      <c r="Q82" s="16">
        <f t="shared" si="123"/>
        <v>120.47705621281121</v>
      </c>
      <c r="R82" s="16">
        <f t="shared" si="124"/>
        <v>129.67476097429801</v>
      </c>
      <c r="S82" s="16">
        <f t="shared" si="125"/>
        <v>134.14711056284688</v>
      </c>
      <c r="T82" s="16">
        <f t="shared" si="126"/>
        <v>146.5242277101072</v>
      </c>
      <c r="U82" s="16">
        <f t="shared" si="127"/>
        <v>146.93817459987855</v>
      </c>
      <c r="AM82" s="16">
        <v>79</v>
      </c>
      <c r="AN82" s="16">
        <f t="shared" si="128"/>
        <v>7998.0111447096451</v>
      </c>
      <c r="AO82" s="16">
        <f t="shared" si="129"/>
        <v>8517.4337352526381</v>
      </c>
      <c r="AP82" s="16">
        <f t="shared" si="130"/>
        <v>8981.2999999999993</v>
      </c>
      <c r="AQ82" s="16">
        <f t="shared" si="131"/>
        <v>8981.2999999999993</v>
      </c>
      <c r="AR82" s="16">
        <f t="shared" si="132"/>
        <v>8981.2999999999993</v>
      </c>
      <c r="BH82" s="17">
        <v>79</v>
      </c>
      <c r="BI82" s="17">
        <f t="shared" si="143"/>
        <v>7998.0111447096451</v>
      </c>
      <c r="BJ82" s="17">
        <f t="shared" si="144"/>
        <v>8517.4337352526381</v>
      </c>
      <c r="BK82" s="17">
        <f t="shared" si="145"/>
        <v>8981.2999999999993</v>
      </c>
      <c r="BL82" s="17">
        <f t="shared" si="146"/>
        <v>8981.2999999999993</v>
      </c>
      <c r="BM82" s="17">
        <f t="shared" si="147"/>
        <v>8981.2999999999993</v>
      </c>
      <c r="CC82" s="17">
        <v>79</v>
      </c>
      <c r="CD82" s="17">
        <f t="shared" si="153"/>
        <v>2570</v>
      </c>
      <c r="CE82" s="17">
        <f t="shared" si="154"/>
        <v>2570</v>
      </c>
      <c r="CF82" s="17">
        <f t="shared" si="155"/>
        <v>2570</v>
      </c>
      <c r="CG82" s="17">
        <f t="shared" si="156"/>
        <v>2570</v>
      </c>
      <c r="CH82" s="17">
        <f t="shared" si="157"/>
        <v>2570</v>
      </c>
      <c r="CX82" s="17">
        <v>79</v>
      </c>
      <c r="CY82" s="17">
        <f t="shared" si="133"/>
        <v>177</v>
      </c>
      <c r="CZ82" s="17">
        <f t="shared" si="134"/>
        <v>177.00000000000003</v>
      </c>
      <c r="DA82" s="17">
        <f t="shared" si="135"/>
        <v>177</v>
      </c>
      <c r="DB82" s="17">
        <f t="shared" si="136"/>
        <v>177</v>
      </c>
      <c r="DC82" s="17">
        <f t="shared" si="137"/>
        <v>177</v>
      </c>
      <c r="DS82" s="17">
        <v>79</v>
      </c>
      <c r="DT82" s="17">
        <f t="shared" si="148"/>
        <v>0.77302741617081594</v>
      </c>
      <c r="DU82" s="17">
        <f t="shared" si="149"/>
        <v>0.89566347965730653</v>
      </c>
      <c r="DV82" s="17">
        <f t="shared" si="150"/>
        <v>0.95529480750462459</v>
      </c>
      <c r="DW82" s="17">
        <f t="shared" si="151"/>
        <v>1.1203230361347625</v>
      </c>
      <c r="DX82" s="17">
        <f t="shared" si="152"/>
        <v>1.1258423279983807</v>
      </c>
      <c r="EN82" s="17">
        <v>79</v>
      </c>
      <c r="EO82" s="17">
        <f t="shared" si="138"/>
        <v>0.3412842702135202</v>
      </c>
      <c r="EP82" s="17">
        <f t="shared" si="139"/>
        <v>0.49457934957163335</v>
      </c>
      <c r="EQ82" s="17">
        <f t="shared" si="140"/>
        <v>0.56911850938078101</v>
      </c>
      <c r="ER82" s="17">
        <f t="shared" si="141"/>
        <v>0.77540379516845348</v>
      </c>
      <c r="ES82" s="17">
        <f t="shared" si="142"/>
        <v>0.78230290999797625</v>
      </c>
    </row>
    <row r="83" spans="16:149" x14ac:dyDescent="0.15">
      <c r="P83" s="16">
        <v>80</v>
      </c>
      <c r="Q83" s="16">
        <f t="shared" si="123"/>
        <v>121.40671206112476</v>
      </c>
      <c r="R83" s="16">
        <f t="shared" si="124"/>
        <v>131.00082871404274</v>
      </c>
      <c r="S83" s="16">
        <f t="shared" si="125"/>
        <v>135.54416694751566</v>
      </c>
      <c r="T83" s="16">
        <f t="shared" si="126"/>
        <v>147.95877524943893</v>
      </c>
      <c r="U83" s="16">
        <f t="shared" si="127"/>
        <v>148</v>
      </c>
      <c r="AM83" s="16">
        <v>80</v>
      </c>
      <c r="AN83" s="16">
        <f t="shared" si="128"/>
        <v>8163.6827644177793</v>
      </c>
      <c r="AO83" s="16">
        <f t="shared" si="129"/>
        <v>8704.3746867322006</v>
      </c>
      <c r="AP83" s="16">
        <f t="shared" si="130"/>
        <v>9079.0999999999985</v>
      </c>
      <c r="AQ83" s="16">
        <f t="shared" si="131"/>
        <v>9079.0999999999985</v>
      </c>
      <c r="AR83" s="16">
        <f t="shared" si="132"/>
        <v>9079.1</v>
      </c>
      <c r="BH83" s="17">
        <v>80</v>
      </c>
      <c r="BI83" s="17">
        <f t="shared" si="143"/>
        <v>8163.6827644177793</v>
      </c>
      <c r="BJ83" s="17">
        <f t="shared" si="144"/>
        <v>8704.3746867322006</v>
      </c>
      <c r="BK83" s="17">
        <f t="shared" si="145"/>
        <v>9079.0999999999985</v>
      </c>
      <c r="BL83" s="17">
        <f t="shared" si="146"/>
        <v>9079.0999999999985</v>
      </c>
      <c r="BM83" s="17">
        <f t="shared" si="147"/>
        <v>9079.1</v>
      </c>
      <c r="CC83" s="17">
        <v>80</v>
      </c>
      <c r="CD83" s="17">
        <f t="shared" si="153"/>
        <v>2590</v>
      </c>
      <c r="CE83" s="17">
        <f t="shared" si="154"/>
        <v>2590</v>
      </c>
      <c r="CF83" s="17">
        <f t="shared" si="155"/>
        <v>2590</v>
      </c>
      <c r="CG83" s="17">
        <f t="shared" si="156"/>
        <v>2590</v>
      </c>
      <c r="CH83" s="17">
        <f t="shared" si="157"/>
        <v>2590</v>
      </c>
      <c r="CX83" s="17">
        <v>80</v>
      </c>
      <c r="CY83" s="17">
        <f t="shared" si="133"/>
        <v>179</v>
      </c>
      <c r="CZ83" s="17">
        <f t="shared" si="134"/>
        <v>179.00000000000003</v>
      </c>
      <c r="DA83" s="17">
        <f t="shared" si="135"/>
        <v>179</v>
      </c>
      <c r="DB83" s="17">
        <f t="shared" si="136"/>
        <v>179</v>
      </c>
      <c r="DC83" s="17">
        <f t="shared" si="137"/>
        <v>179.00000000000003</v>
      </c>
      <c r="DS83" s="17">
        <v>80</v>
      </c>
      <c r="DT83" s="17">
        <f t="shared" si="148"/>
        <v>0.78542282748166359</v>
      </c>
      <c r="DU83" s="17">
        <f t="shared" si="149"/>
        <v>0.91334438285390318</v>
      </c>
      <c r="DV83" s="17">
        <f t="shared" si="150"/>
        <v>0.97392222596687528</v>
      </c>
      <c r="DW83" s="17">
        <f t="shared" si="151"/>
        <v>1.1394503366591855</v>
      </c>
      <c r="DX83" s="17">
        <f t="shared" si="152"/>
        <v>1.1399999999999999</v>
      </c>
      <c r="EN83" s="17">
        <v>80</v>
      </c>
      <c r="EO83" s="17">
        <f t="shared" si="138"/>
        <v>0.35677853435207968</v>
      </c>
      <c r="EP83" s="17">
        <f t="shared" si="139"/>
        <v>0.51668047856737909</v>
      </c>
      <c r="EQ83" s="17">
        <f t="shared" si="140"/>
        <v>0.59240278245859446</v>
      </c>
      <c r="ER83" s="17">
        <f t="shared" si="141"/>
        <v>0.7993129208239822</v>
      </c>
      <c r="ES83" s="17">
        <f t="shared" si="142"/>
        <v>0.80000000000000016</v>
      </c>
    </row>
    <row r="84" spans="16:149" x14ac:dyDescent="0.15">
      <c r="P84" s="16">
        <v>81</v>
      </c>
      <c r="Q84" s="16">
        <f t="shared" si="123"/>
        <v>122.46574561443184</v>
      </c>
      <c r="R84" s="16">
        <f t="shared" si="124"/>
        <v>132.18100106215491</v>
      </c>
      <c r="S84" s="16">
        <f t="shared" si="125"/>
        <v>137.07714444837978</v>
      </c>
      <c r="T84" s="16">
        <f t="shared" si="126"/>
        <v>147.98025539238472</v>
      </c>
      <c r="U84" s="16">
        <f t="shared" si="127"/>
        <v>148</v>
      </c>
      <c r="AM84" s="16">
        <v>81</v>
      </c>
      <c r="AN84" s="16">
        <f t="shared" si="128"/>
        <v>8336.0539460134842</v>
      </c>
      <c r="AO84" s="16">
        <f t="shared" si="129"/>
        <v>8907.825357880416</v>
      </c>
      <c r="AP84" s="16">
        <f t="shared" si="130"/>
        <v>9176.9</v>
      </c>
      <c r="AQ84" s="16">
        <f t="shared" si="131"/>
        <v>9176.9</v>
      </c>
      <c r="AR84" s="16">
        <f t="shared" si="132"/>
        <v>9176.9</v>
      </c>
      <c r="BH84" s="17">
        <v>81</v>
      </c>
      <c r="BI84" s="17">
        <f t="shared" si="143"/>
        <v>8336.0539460134842</v>
      </c>
      <c r="BJ84" s="17">
        <f t="shared" si="144"/>
        <v>8907.825357880416</v>
      </c>
      <c r="BK84" s="17">
        <f t="shared" si="145"/>
        <v>9176.9</v>
      </c>
      <c r="BL84" s="17">
        <f t="shared" si="146"/>
        <v>9176.9</v>
      </c>
      <c r="BM84" s="17">
        <f t="shared" si="147"/>
        <v>9176.9</v>
      </c>
      <c r="CC84" s="17">
        <v>81</v>
      </c>
      <c r="CD84" s="17">
        <f t="shared" si="153"/>
        <v>2610</v>
      </c>
      <c r="CE84" s="17">
        <f t="shared" si="154"/>
        <v>2610</v>
      </c>
      <c r="CF84" s="17">
        <f t="shared" si="155"/>
        <v>2610</v>
      </c>
      <c r="CG84" s="17">
        <f t="shared" si="156"/>
        <v>2610</v>
      </c>
      <c r="CH84" s="17">
        <f t="shared" si="157"/>
        <v>2610</v>
      </c>
      <c r="CX84" s="17">
        <v>81</v>
      </c>
      <c r="CY84" s="17">
        <f t="shared" si="133"/>
        <v>181</v>
      </c>
      <c r="CZ84" s="17">
        <f t="shared" si="134"/>
        <v>181.00000000000003</v>
      </c>
      <c r="DA84" s="17">
        <f t="shared" si="135"/>
        <v>181</v>
      </c>
      <c r="DB84" s="17">
        <f t="shared" si="136"/>
        <v>181.00000000000003</v>
      </c>
      <c r="DC84" s="17">
        <f t="shared" si="137"/>
        <v>181</v>
      </c>
      <c r="DS84" s="17">
        <v>81</v>
      </c>
      <c r="DT84" s="17">
        <f t="shared" si="148"/>
        <v>0.79954327485909105</v>
      </c>
      <c r="DU84" s="17">
        <f t="shared" si="149"/>
        <v>0.92908001416206532</v>
      </c>
      <c r="DV84" s="17">
        <f t="shared" si="150"/>
        <v>0.99436192597839701</v>
      </c>
      <c r="DW84" s="17">
        <f t="shared" si="151"/>
        <v>1.1397367385651294</v>
      </c>
      <c r="DX84" s="17">
        <f t="shared" si="152"/>
        <v>1.1399999999999999</v>
      </c>
      <c r="EN84" s="17">
        <v>81</v>
      </c>
      <c r="EO84" s="17">
        <f t="shared" si="138"/>
        <v>0.37442909357386406</v>
      </c>
      <c r="EP84" s="17">
        <f t="shared" si="139"/>
        <v>0.53635001770258184</v>
      </c>
      <c r="EQ84" s="17">
        <f t="shared" si="140"/>
        <v>0.6179524074729964</v>
      </c>
      <c r="ER84" s="17">
        <f t="shared" si="141"/>
        <v>0.79967092320641198</v>
      </c>
      <c r="ES84" s="17">
        <f t="shared" si="142"/>
        <v>0.80000000000000016</v>
      </c>
    </row>
    <row r="85" spans="16:149" x14ac:dyDescent="0.15">
      <c r="P85" s="16">
        <v>82</v>
      </c>
      <c r="Q85" s="16">
        <f t="shared" si="123"/>
        <v>123.57314825813489</v>
      </c>
      <c r="R85" s="16">
        <f t="shared" si="124"/>
        <v>133.3611734102671</v>
      </c>
      <c r="S85" s="16">
        <f t="shared" si="125"/>
        <v>138.63131107640712</v>
      </c>
      <c r="T85" s="16">
        <f t="shared" si="126"/>
        <v>148</v>
      </c>
      <c r="U85" s="16">
        <f t="shared" si="127"/>
        <v>148</v>
      </c>
      <c r="AM85" s="16">
        <v>82</v>
      </c>
      <c r="AN85" s="16">
        <f t="shared" si="128"/>
        <v>8510.9298227927211</v>
      </c>
      <c r="AO85" s="16">
        <f t="shared" si="129"/>
        <v>9111.2760290286296</v>
      </c>
      <c r="AP85" s="16">
        <f t="shared" si="130"/>
        <v>9274.7000000000007</v>
      </c>
      <c r="AQ85" s="16">
        <f t="shared" si="131"/>
        <v>9274.6999999999989</v>
      </c>
      <c r="AR85" s="16">
        <f t="shared" si="132"/>
        <v>9274.6999999999989</v>
      </c>
      <c r="BH85" s="17">
        <v>82</v>
      </c>
      <c r="BI85" s="17">
        <f t="shared" si="143"/>
        <v>8510.9298227927211</v>
      </c>
      <c r="BJ85" s="17">
        <f t="shared" si="144"/>
        <v>9111.2760290286296</v>
      </c>
      <c r="BK85" s="17">
        <f t="shared" si="145"/>
        <v>9274.7000000000007</v>
      </c>
      <c r="BL85" s="17">
        <f t="shared" si="146"/>
        <v>9274.6999999999989</v>
      </c>
      <c r="BM85" s="17">
        <f t="shared" si="147"/>
        <v>9274.6999999999989</v>
      </c>
      <c r="CC85" s="17">
        <v>82</v>
      </c>
      <c r="CD85" s="17">
        <f t="shared" si="153"/>
        <v>2630</v>
      </c>
      <c r="CE85" s="17">
        <f t="shared" si="154"/>
        <v>2630</v>
      </c>
      <c r="CF85" s="17">
        <f t="shared" si="155"/>
        <v>2630</v>
      </c>
      <c r="CG85" s="17">
        <f t="shared" si="156"/>
        <v>2630</v>
      </c>
      <c r="CH85" s="17">
        <f t="shared" si="157"/>
        <v>2630</v>
      </c>
      <c r="CX85" s="17">
        <v>82</v>
      </c>
      <c r="CY85" s="17">
        <f t="shared" si="133"/>
        <v>183</v>
      </c>
      <c r="CZ85" s="17">
        <f t="shared" si="134"/>
        <v>183</v>
      </c>
      <c r="DA85" s="17">
        <f t="shared" si="135"/>
        <v>183</v>
      </c>
      <c r="DB85" s="17">
        <f t="shared" si="136"/>
        <v>183.00000000000003</v>
      </c>
      <c r="DC85" s="17">
        <f t="shared" si="137"/>
        <v>183</v>
      </c>
      <c r="DS85" s="17">
        <v>82</v>
      </c>
      <c r="DT85" s="17">
        <f t="shared" si="148"/>
        <v>0.81430864344179843</v>
      </c>
      <c r="DU85" s="17">
        <f t="shared" si="149"/>
        <v>0.94481564547022745</v>
      </c>
      <c r="DV85" s="17">
        <f t="shared" si="150"/>
        <v>1.0150841476854278</v>
      </c>
      <c r="DW85" s="17">
        <f t="shared" si="151"/>
        <v>1.1399999999999999</v>
      </c>
      <c r="DX85" s="17">
        <f t="shared" si="152"/>
        <v>1.1399999999999999</v>
      </c>
      <c r="EN85" s="17">
        <v>82</v>
      </c>
      <c r="EO85" s="17">
        <f t="shared" si="138"/>
        <v>0.39288580430224823</v>
      </c>
      <c r="EP85" s="17">
        <f t="shared" si="139"/>
        <v>0.55601955683778459</v>
      </c>
      <c r="EQ85" s="17">
        <f t="shared" si="140"/>
        <v>0.64385518460678481</v>
      </c>
      <c r="ER85" s="17">
        <f t="shared" si="141"/>
        <v>0.80000000000000016</v>
      </c>
      <c r="ES85" s="17">
        <f t="shared" si="142"/>
        <v>0.80000000000000016</v>
      </c>
    </row>
    <row r="86" spans="16:149" x14ac:dyDescent="0.15">
      <c r="P86" s="16">
        <v>83</v>
      </c>
      <c r="Q86" s="16">
        <f t="shared" si="123"/>
        <v>124.74152974598988</v>
      </c>
      <c r="R86" s="16">
        <f t="shared" si="124"/>
        <v>134.66949127148661</v>
      </c>
      <c r="S86" s="16">
        <f t="shared" si="125"/>
        <v>140.30107125716816</v>
      </c>
      <c r="T86" s="16">
        <f t="shared" si="126"/>
        <v>148</v>
      </c>
      <c r="U86" s="16">
        <f t="shared" si="127"/>
        <v>148</v>
      </c>
      <c r="AM86" s="16">
        <v>83</v>
      </c>
      <c r="AN86" s="16">
        <f t="shared" si="128"/>
        <v>8695.0154993668057</v>
      </c>
      <c r="AO86" s="16">
        <f t="shared" si="129"/>
        <v>9292.8539396196975</v>
      </c>
      <c r="AP86" s="16">
        <f t="shared" si="130"/>
        <v>9372.5</v>
      </c>
      <c r="AQ86" s="16">
        <f t="shared" si="131"/>
        <v>9372.5</v>
      </c>
      <c r="AR86" s="16">
        <f t="shared" si="132"/>
        <v>9372.4999999999982</v>
      </c>
      <c r="BH86" s="17">
        <v>83</v>
      </c>
      <c r="BI86" s="17">
        <f t="shared" si="143"/>
        <v>8695.0154993668057</v>
      </c>
      <c r="BJ86" s="17">
        <f t="shared" si="144"/>
        <v>9292.8539396196975</v>
      </c>
      <c r="BK86" s="17">
        <f t="shared" si="145"/>
        <v>9372.5</v>
      </c>
      <c r="BL86" s="17">
        <f t="shared" si="146"/>
        <v>9372.5</v>
      </c>
      <c r="BM86" s="17">
        <f t="shared" si="147"/>
        <v>9372.4999999999982</v>
      </c>
      <c r="CC86" s="17">
        <v>83</v>
      </c>
      <c r="CD86" s="17">
        <f t="shared" si="153"/>
        <v>2650</v>
      </c>
      <c r="CE86" s="17">
        <f t="shared" si="154"/>
        <v>2650</v>
      </c>
      <c r="CF86" s="17">
        <f t="shared" si="155"/>
        <v>2650</v>
      </c>
      <c r="CG86" s="17">
        <f t="shared" si="156"/>
        <v>2650</v>
      </c>
      <c r="CH86" s="17">
        <f t="shared" si="157"/>
        <v>2650</v>
      </c>
      <c r="CX86" s="17">
        <v>83</v>
      </c>
      <c r="CY86" s="17">
        <f t="shared" si="133"/>
        <v>185</v>
      </c>
      <c r="CZ86" s="17">
        <f t="shared" si="134"/>
        <v>185</v>
      </c>
      <c r="DA86" s="17">
        <f t="shared" si="135"/>
        <v>185</v>
      </c>
      <c r="DB86" s="17">
        <f t="shared" si="136"/>
        <v>185</v>
      </c>
      <c r="DC86" s="17">
        <f t="shared" si="137"/>
        <v>185</v>
      </c>
      <c r="DS86" s="17">
        <v>83</v>
      </c>
      <c r="DT86" s="17">
        <f t="shared" si="148"/>
        <v>0.82988706327986472</v>
      </c>
      <c r="DU86" s="17">
        <f t="shared" si="149"/>
        <v>0.96225988361982095</v>
      </c>
      <c r="DV86" s="17">
        <f t="shared" si="150"/>
        <v>1.037347616762242</v>
      </c>
      <c r="DW86" s="17">
        <f t="shared" si="151"/>
        <v>1.1399999999999999</v>
      </c>
      <c r="DX86" s="17">
        <f t="shared" si="152"/>
        <v>1.1399999999999999</v>
      </c>
      <c r="EN86" s="17">
        <v>83</v>
      </c>
      <c r="EO86" s="17">
        <f t="shared" si="138"/>
        <v>0.41235882909983124</v>
      </c>
      <c r="EP86" s="17">
        <f t="shared" si="139"/>
        <v>0.5778248545247765</v>
      </c>
      <c r="EQ86" s="17">
        <f t="shared" si="140"/>
        <v>0.67168452095280262</v>
      </c>
      <c r="ER86" s="17">
        <f t="shared" si="141"/>
        <v>0.80000000000000016</v>
      </c>
      <c r="ES86" s="17">
        <f t="shared" si="142"/>
        <v>0.80000000000000016</v>
      </c>
    </row>
    <row r="87" spans="16:149" x14ac:dyDescent="0.15">
      <c r="P87" s="16">
        <v>84</v>
      </c>
      <c r="Q87" s="16">
        <f t="shared" si="123"/>
        <v>125.93974124235214</v>
      </c>
      <c r="R87" s="16">
        <f t="shared" si="124"/>
        <v>136.01159475228624</v>
      </c>
      <c r="S87" s="16">
        <f t="shared" si="125"/>
        <v>142.00706952963498</v>
      </c>
      <c r="T87" s="16">
        <f t="shared" si="126"/>
        <v>148</v>
      </c>
      <c r="U87" s="16">
        <f t="shared" si="127"/>
        <v>148</v>
      </c>
      <c r="AM87" s="16">
        <v>84</v>
      </c>
      <c r="AN87" s="16">
        <f t="shared" si="128"/>
        <v>8883.6064828231629</v>
      </c>
      <c r="AO87" s="16">
        <f t="shared" si="129"/>
        <v>9463.0380283049763</v>
      </c>
      <c r="AP87" s="16">
        <f t="shared" si="130"/>
        <v>9470.3000000000011</v>
      </c>
      <c r="AQ87" s="16">
        <f t="shared" si="131"/>
        <v>9470.3000000000011</v>
      </c>
      <c r="AR87" s="16">
        <f t="shared" si="132"/>
        <v>9470.2999999999993</v>
      </c>
      <c r="BH87" s="17">
        <v>84</v>
      </c>
      <c r="BI87" s="17">
        <f t="shared" si="143"/>
        <v>8883.6064828231629</v>
      </c>
      <c r="BJ87" s="17">
        <f t="shared" si="144"/>
        <v>9463.0380283049763</v>
      </c>
      <c r="BK87" s="17">
        <f t="shared" si="145"/>
        <v>9470.3000000000011</v>
      </c>
      <c r="BL87" s="17">
        <f t="shared" si="146"/>
        <v>9470.3000000000011</v>
      </c>
      <c r="BM87" s="17">
        <f t="shared" si="147"/>
        <v>9470.2999999999993</v>
      </c>
      <c r="CC87" s="17">
        <v>84</v>
      </c>
      <c r="CD87" s="17">
        <f t="shared" si="153"/>
        <v>2670</v>
      </c>
      <c r="CE87" s="17">
        <f t="shared" si="154"/>
        <v>2670</v>
      </c>
      <c r="CF87" s="17">
        <f t="shared" si="155"/>
        <v>2670</v>
      </c>
      <c r="CG87" s="17">
        <f t="shared" si="156"/>
        <v>2670</v>
      </c>
      <c r="CH87" s="17">
        <f t="shared" si="157"/>
        <v>2670</v>
      </c>
      <c r="CX87" s="17">
        <v>84</v>
      </c>
      <c r="CY87" s="17">
        <f t="shared" si="133"/>
        <v>187.00000000000003</v>
      </c>
      <c r="CZ87" s="17">
        <f t="shared" si="134"/>
        <v>187</v>
      </c>
      <c r="DA87" s="17">
        <f t="shared" si="135"/>
        <v>187</v>
      </c>
      <c r="DB87" s="17">
        <f t="shared" si="136"/>
        <v>187</v>
      </c>
      <c r="DC87" s="17">
        <f t="shared" si="137"/>
        <v>187</v>
      </c>
      <c r="DS87" s="17">
        <v>84</v>
      </c>
      <c r="DT87" s="17">
        <f t="shared" si="148"/>
        <v>0.84586321656469488</v>
      </c>
      <c r="DU87" s="17">
        <f t="shared" si="149"/>
        <v>0.98015459669714966</v>
      </c>
      <c r="DV87" s="17">
        <f t="shared" si="150"/>
        <v>1.0600942603951329</v>
      </c>
      <c r="DW87" s="17">
        <f t="shared" si="151"/>
        <v>1.1399999999999999</v>
      </c>
      <c r="DX87" s="17">
        <f t="shared" si="152"/>
        <v>1.1399999999999999</v>
      </c>
      <c r="EN87" s="17">
        <v>84</v>
      </c>
      <c r="EO87" s="17">
        <f t="shared" si="138"/>
        <v>0.43232902070586898</v>
      </c>
      <c r="EP87" s="17">
        <f t="shared" si="139"/>
        <v>0.60019324587143741</v>
      </c>
      <c r="EQ87" s="17">
        <f t="shared" si="140"/>
        <v>0.70011782549391621</v>
      </c>
      <c r="ER87" s="17">
        <f t="shared" si="141"/>
        <v>0.80000000000000016</v>
      </c>
      <c r="ES87" s="17">
        <f t="shared" si="142"/>
        <v>0.80000000000000016</v>
      </c>
    </row>
    <row r="88" spans="16:149" x14ac:dyDescent="0.15">
      <c r="P88" s="16">
        <v>85</v>
      </c>
      <c r="Q88" s="16">
        <f t="shared" si="123"/>
        <v>127.21204691564853</v>
      </c>
      <c r="R88" s="16">
        <f t="shared" si="124"/>
        <v>137.50408249579783</v>
      </c>
      <c r="S88" s="16">
        <f t="shared" si="125"/>
        <v>143.49994085257453</v>
      </c>
      <c r="T88" s="16">
        <f t="shared" si="126"/>
        <v>148</v>
      </c>
      <c r="U88" s="16">
        <f t="shared" si="127"/>
        <v>148</v>
      </c>
      <c r="AM88" s="16">
        <v>85</v>
      </c>
      <c r="AN88" s="16">
        <f t="shared" si="128"/>
        <v>9077.0778905394764</v>
      </c>
      <c r="AO88" s="16">
        <f t="shared" si="129"/>
        <v>9564.0698331538351</v>
      </c>
      <c r="AP88" s="16">
        <f t="shared" si="130"/>
        <v>9568.1</v>
      </c>
      <c r="AQ88" s="16">
        <f t="shared" si="131"/>
        <v>9568.1</v>
      </c>
      <c r="AR88" s="16">
        <f t="shared" si="132"/>
        <v>9568.0999999999985</v>
      </c>
      <c r="BH88" s="17">
        <v>85</v>
      </c>
      <c r="BI88" s="17">
        <f t="shared" si="143"/>
        <v>9077.0778905394764</v>
      </c>
      <c r="BJ88" s="17">
        <f t="shared" si="144"/>
        <v>9564.0698331538351</v>
      </c>
      <c r="BK88" s="17">
        <f t="shared" si="145"/>
        <v>9568.1</v>
      </c>
      <c r="BL88" s="17">
        <f t="shared" si="146"/>
        <v>9568.1</v>
      </c>
      <c r="BM88" s="17">
        <f t="shared" si="147"/>
        <v>9568.0999999999985</v>
      </c>
      <c r="CC88" s="17">
        <v>85</v>
      </c>
      <c r="CD88" s="17">
        <f t="shared" si="153"/>
        <v>2690</v>
      </c>
      <c r="CE88" s="17">
        <f t="shared" si="154"/>
        <v>2690</v>
      </c>
      <c r="CF88" s="17">
        <f t="shared" si="155"/>
        <v>2690</v>
      </c>
      <c r="CG88" s="17">
        <f t="shared" si="156"/>
        <v>2690</v>
      </c>
      <c r="CH88" s="17">
        <f t="shared" si="157"/>
        <v>2690</v>
      </c>
      <c r="CX88" s="17">
        <v>85</v>
      </c>
      <c r="CY88" s="17">
        <f t="shared" si="133"/>
        <v>189.00000000000003</v>
      </c>
      <c r="CZ88" s="17">
        <f t="shared" si="134"/>
        <v>189</v>
      </c>
      <c r="DA88" s="17">
        <f t="shared" si="135"/>
        <v>189</v>
      </c>
      <c r="DB88" s="17">
        <f t="shared" si="136"/>
        <v>189</v>
      </c>
      <c r="DC88" s="17">
        <f t="shared" si="137"/>
        <v>189</v>
      </c>
      <c r="DS88" s="17">
        <v>85</v>
      </c>
      <c r="DT88" s="17">
        <f t="shared" si="148"/>
        <v>0.86282729220864662</v>
      </c>
      <c r="DU88" s="17">
        <f t="shared" si="149"/>
        <v>1.0000544332773043</v>
      </c>
      <c r="DV88" s="17">
        <f t="shared" si="150"/>
        <v>1.0799992113676602</v>
      </c>
      <c r="DW88" s="17">
        <f t="shared" si="151"/>
        <v>1.1399999999999999</v>
      </c>
      <c r="DX88" s="17">
        <f t="shared" si="152"/>
        <v>1.1399999999999999</v>
      </c>
      <c r="EN88" s="17">
        <v>85</v>
      </c>
      <c r="EO88" s="17">
        <f t="shared" si="138"/>
        <v>0.45353411526080872</v>
      </c>
      <c r="EP88" s="17">
        <f t="shared" si="139"/>
        <v>0.62506804159663065</v>
      </c>
      <c r="EQ88" s="17">
        <f t="shared" si="140"/>
        <v>0.72499901420957535</v>
      </c>
      <c r="ER88" s="17">
        <f t="shared" si="141"/>
        <v>0.80000000000000016</v>
      </c>
      <c r="ES88" s="17">
        <f t="shared" si="142"/>
        <v>0.80000000000000016</v>
      </c>
    </row>
    <row r="89" spans="16:149" x14ac:dyDescent="0.15">
      <c r="P89" s="16">
        <v>86</v>
      </c>
      <c r="Q89" s="16">
        <f t="shared" si="123"/>
        <v>128.49564341887785</v>
      </c>
      <c r="R89" s="16">
        <f t="shared" si="124"/>
        <v>138.99657023930942</v>
      </c>
      <c r="S89" s="16">
        <f t="shared" si="125"/>
        <v>144.98305709230814</v>
      </c>
      <c r="T89" s="16">
        <f t="shared" si="126"/>
        <v>148</v>
      </c>
      <c r="U89" s="16">
        <f t="shared" si="127"/>
        <v>148</v>
      </c>
      <c r="AM89" s="16">
        <v>86</v>
      </c>
      <c r="AN89" s="16">
        <f t="shared" si="128"/>
        <v>9271.2930009676584</v>
      </c>
      <c r="AO89" s="16">
        <f t="shared" si="129"/>
        <v>9665.1016380026958</v>
      </c>
      <c r="AP89" s="16">
        <f t="shared" si="130"/>
        <v>9665.9</v>
      </c>
      <c r="AQ89" s="16">
        <f t="shared" si="131"/>
        <v>9665.9</v>
      </c>
      <c r="AR89" s="16">
        <f t="shared" si="132"/>
        <v>9665.9</v>
      </c>
      <c r="BH89" s="17">
        <v>86</v>
      </c>
      <c r="BI89" s="17">
        <f t="shared" si="143"/>
        <v>9271.2930009676584</v>
      </c>
      <c r="BJ89" s="17">
        <f t="shared" si="144"/>
        <v>9665.1016380026958</v>
      </c>
      <c r="BK89" s="17">
        <f t="shared" si="145"/>
        <v>9665.9</v>
      </c>
      <c r="BL89" s="17">
        <f t="shared" si="146"/>
        <v>9665.9</v>
      </c>
      <c r="BM89" s="17">
        <f t="shared" si="147"/>
        <v>9665.9</v>
      </c>
      <c r="CC89" s="17">
        <v>86</v>
      </c>
      <c r="CD89" s="17">
        <f t="shared" si="153"/>
        <v>2710</v>
      </c>
      <c r="CE89" s="17">
        <f t="shared" si="154"/>
        <v>2709.9999999999995</v>
      </c>
      <c r="CF89" s="17">
        <f t="shared" si="155"/>
        <v>2710</v>
      </c>
      <c r="CG89" s="17">
        <f t="shared" si="156"/>
        <v>2710</v>
      </c>
      <c r="CH89" s="17">
        <f t="shared" si="157"/>
        <v>2710</v>
      </c>
      <c r="CX89" s="17">
        <v>86</v>
      </c>
      <c r="CY89" s="17">
        <f t="shared" si="133"/>
        <v>191</v>
      </c>
      <c r="CZ89" s="17">
        <f t="shared" si="134"/>
        <v>191</v>
      </c>
      <c r="DA89" s="17">
        <f t="shared" si="135"/>
        <v>191</v>
      </c>
      <c r="DB89" s="17">
        <f t="shared" si="136"/>
        <v>191</v>
      </c>
      <c r="DC89" s="17">
        <f t="shared" si="137"/>
        <v>191</v>
      </c>
      <c r="DS89" s="17">
        <v>86</v>
      </c>
      <c r="DT89" s="17">
        <f t="shared" si="148"/>
        <v>0.87994191225170415</v>
      </c>
      <c r="DU89" s="17">
        <f t="shared" si="149"/>
        <v>1.0199542698574589</v>
      </c>
      <c r="DV89" s="17">
        <f t="shared" si="150"/>
        <v>1.0997740945641084</v>
      </c>
      <c r="DW89" s="17">
        <f t="shared" si="151"/>
        <v>1.1399999999999999</v>
      </c>
      <c r="DX89" s="17">
        <f t="shared" si="152"/>
        <v>1.1399999999999999</v>
      </c>
      <c r="EN89" s="17">
        <v>86</v>
      </c>
      <c r="EO89" s="17">
        <f t="shared" si="138"/>
        <v>0.47492739031463049</v>
      </c>
      <c r="EP89" s="17">
        <f t="shared" si="139"/>
        <v>0.64994283732182379</v>
      </c>
      <c r="EQ89" s="17">
        <f t="shared" si="140"/>
        <v>0.74971761820513549</v>
      </c>
      <c r="ER89" s="17">
        <f t="shared" si="141"/>
        <v>0.80000000000000016</v>
      </c>
      <c r="ES89" s="17">
        <f t="shared" si="142"/>
        <v>0.80000000000000016</v>
      </c>
    </row>
    <row r="90" spans="16:149" x14ac:dyDescent="0.15">
      <c r="P90" s="16">
        <v>87</v>
      </c>
      <c r="Q90" s="16">
        <f t="shared" si="123"/>
        <v>129.65419221650069</v>
      </c>
      <c r="R90" s="16">
        <f t="shared" si="124"/>
        <v>140.41027849958641</v>
      </c>
      <c r="S90" s="16">
        <f t="shared" si="125"/>
        <v>145.92821671495707</v>
      </c>
      <c r="T90" s="16">
        <f t="shared" si="126"/>
        <v>148</v>
      </c>
      <c r="U90" s="16">
        <f t="shared" si="127"/>
        <v>148</v>
      </c>
      <c r="AM90" s="16">
        <v>87</v>
      </c>
      <c r="AN90" s="16">
        <f t="shared" si="128"/>
        <v>9463.0795117965554</v>
      </c>
      <c r="AO90" s="16">
        <f t="shared" si="129"/>
        <v>9763.7000000000007</v>
      </c>
      <c r="AP90" s="16">
        <f t="shared" si="130"/>
        <v>9763.6999999999989</v>
      </c>
      <c r="AQ90" s="16">
        <f t="shared" si="131"/>
        <v>9763.6999999999989</v>
      </c>
      <c r="AR90" s="16">
        <f t="shared" si="132"/>
        <v>9763.6999999999989</v>
      </c>
      <c r="BH90" s="17">
        <v>87</v>
      </c>
      <c r="BI90" s="17">
        <f t="shared" si="143"/>
        <v>9463.0795117965554</v>
      </c>
      <c r="BJ90" s="17">
        <f t="shared" si="144"/>
        <v>9763.7000000000007</v>
      </c>
      <c r="BK90" s="17">
        <f t="shared" si="145"/>
        <v>9763.6999999999989</v>
      </c>
      <c r="BL90" s="17">
        <f t="shared" si="146"/>
        <v>9763.6999999999989</v>
      </c>
      <c r="BM90" s="17">
        <f t="shared" si="147"/>
        <v>9763.6999999999989</v>
      </c>
      <c r="CC90" s="17">
        <v>87</v>
      </c>
      <c r="CD90" s="17">
        <f t="shared" si="153"/>
        <v>2730</v>
      </c>
      <c r="CE90" s="17">
        <f t="shared" si="154"/>
        <v>2730</v>
      </c>
      <c r="CF90" s="17">
        <f t="shared" si="155"/>
        <v>2730</v>
      </c>
      <c r="CG90" s="17">
        <f t="shared" si="156"/>
        <v>2730.0000000000005</v>
      </c>
      <c r="CH90" s="17">
        <f t="shared" si="157"/>
        <v>2730</v>
      </c>
      <c r="CX90" s="17">
        <v>87</v>
      </c>
      <c r="CY90" s="17">
        <f t="shared" si="133"/>
        <v>193</v>
      </c>
      <c r="CZ90" s="17">
        <f t="shared" si="134"/>
        <v>193</v>
      </c>
      <c r="DA90" s="17">
        <f t="shared" si="135"/>
        <v>193</v>
      </c>
      <c r="DB90" s="17">
        <f t="shared" si="136"/>
        <v>193</v>
      </c>
      <c r="DC90" s="17">
        <f t="shared" si="137"/>
        <v>193</v>
      </c>
      <c r="DS90" s="17">
        <v>87</v>
      </c>
      <c r="DT90" s="17">
        <f t="shared" si="148"/>
        <v>0.89538922955334199</v>
      </c>
      <c r="DU90" s="17">
        <f t="shared" si="149"/>
        <v>1.0388037133278185</v>
      </c>
      <c r="DV90" s="17">
        <f t="shared" si="150"/>
        <v>1.1123762228660941</v>
      </c>
      <c r="DW90" s="17">
        <f t="shared" si="151"/>
        <v>1.1399999999999999</v>
      </c>
      <c r="DX90" s="17">
        <f t="shared" si="152"/>
        <v>1.1399999999999999</v>
      </c>
      <c r="EN90" s="17">
        <v>87</v>
      </c>
      <c r="EO90" s="17">
        <f t="shared" si="138"/>
        <v>0.4942365369416778</v>
      </c>
      <c r="EP90" s="17">
        <f t="shared" si="139"/>
        <v>0.67350464165977331</v>
      </c>
      <c r="EQ90" s="17">
        <f t="shared" si="140"/>
        <v>0.76547027858261785</v>
      </c>
      <c r="ER90" s="17">
        <f t="shared" si="141"/>
        <v>0.80000000000000016</v>
      </c>
      <c r="ES90" s="17">
        <f t="shared" si="142"/>
        <v>0.80000000000000016</v>
      </c>
    </row>
    <row r="91" spans="16:149" x14ac:dyDescent="0.15">
      <c r="P91" s="16">
        <v>88</v>
      </c>
      <c r="Q91" s="16">
        <f t="shared" si="123"/>
        <v>130.70363967831784</v>
      </c>
      <c r="R91" s="16">
        <f t="shared" si="124"/>
        <v>141.79814084959614</v>
      </c>
      <c r="S91" s="16">
        <f t="shared" si="125"/>
        <v>146.53645707201562</v>
      </c>
      <c r="T91" s="16">
        <f t="shared" si="126"/>
        <v>148</v>
      </c>
      <c r="U91" s="16">
        <f t="shared" si="127"/>
        <v>148</v>
      </c>
      <c r="AM91" s="16">
        <v>88</v>
      </c>
      <c r="AN91" s="16">
        <f t="shared" si="128"/>
        <v>9652.7471236089987</v>
      </c>
      <c r="AO91" s="16">
        <f t="shared" si="129"/>
        <v>9861.5</v>
      </c>
      <c r="AP91" s="16">
        <f t="shared" si="130"/>
        <v>9861.5</v>
      </c>
      <c r="AQ91" s="16">
        <f t="shared" si="131"/>
        <v>9861.5</v>
      </c>
      <c r="AR91" s="16">
        <f t="shared" si="132"/>
        <v>9861.5</v>
      </c>
      <c r="BH91" s="17">
        <v>88</v>
      </c>
      <c r="BI91" s="17">
        <f t="shared" si="143"/>
        <v>9652.7471236089987</v>
      </c>
      <c r="BJ91" s="17">
        <f t="shared" si="144"/>
        <v>9861.5</v>
      </c>
      <c r="BK91" s="17">
        <f t="shared" si="145"/>
        <v>9861.5</v>
      </c>
      <c r="BL91" s="17">
        <f t="shared" si="146"/>
        <v>9861.5</v>
      </c>
      <c r="BM91" s="17">
        <f t="shared" si="147"/>
        <v>9861.5</v>
      </c>
      <c r="CC91" s="17">
        <v>88</v>
      </c>
      <c r="CD91" s="17">
        <f t="shared" si="153"/>
        <v>2750</v>
      </c>
      <c r="CE91" s="17">
        <f t="shared" si="154"/>
        <v>2750</v>
      </c>
      <c r="CF91" s="17">
        <f t="shared" si="155"/>
        <v>2750</v>
      </c>
      <c r="CG91" s="17">
        <f t="shared" si="156"/>
        <v>2750.0000000000005</v>
      </c>
      <c r="CH91" s="17">
        <f t="shared" si="157"/>
        <v>2750</v>
      </c>
      <c r="CX91" s="17">
        <v>88</v>
      </c>
      <c r="CY91" s="17">
        <f t="shared" si="133"/>
        <v>195</v>
      </c>
      <c r="CZ91" s="17">
        <f t="shared" si="134"/>
        <v>195</v>
      </c>
      <c r="DA91" s="17">
        <f t="shared" si="135"/>
        <v>195</v>
      </c>
      <c r="DB91" s="17">
        <f t="shared" si="136"/>
        <v>195</v>
      </c>
      <c r="DC91" s="17">
        <f t="shared" si="137"/>
        <v>195</v>
      </c>
      <c r="DS91" s="17">
        <v>88</v>
      </c>
      <c r="DT91" s="17">
        <f t="shared" si="148"/>
        <v>0.9093818623775709</v>
      </c>
      <c r="DU91" s="17">
        <f t="shared" si="149"/>
        <v>1.0573085446612815</v>
      </c>
      <c r="DV91" s="17">
        <f t="shared" si="150"/>
        <v>1.1204860942935413</v>
      </c>
      <c r="DW91" s="17">
        <f t="shared" si="151"/>
        <v>1.1399999999999999</v>
      </c>
      <c r="DX91" s="17">
        <f t="shared" si="152"/>
        <v>1.1399999999999999</v>
      </c>
      <c r="EN91" s="17">
        <v>88</v>
      </c>
      <c r="EO91" s="17">
        <f t="shared" si="138"/>
        <v>0.51172732797196407</v>
      </c>
      <c r="EP91" s="17">
        <f t="shared" si="139"/>
        <v>0.6966356808266021</v>
      </c>
      <c r="EQ91" s="17">
        <f t="shared" si="140"/>
        <v>0.77560761786692689</v>
      </c>
      <c r="ER91" s="17">
        <f t="shared" si="141"/>
        <v>0.80000000000000016</v>
      </c>
      <c r="ES91" s="17">
        <f t="shared" si="142"/>
        <v>0.80000000000000016</v>
      </c>
    </row>
    <row r="92" spans="16:149" x14ac:dyDescent="0.15">
      <c r="P92" s="16">
        <v>89</v>
      </c>
      <c r="Q92" s="16">
        <f t="shared" si="123"/>
        <v>131.75308714013502</v>
      </c>
      <c r="R92" s="16">
        <f t="shared" si="124"/>
        <v>143.18600319960586</v>
      </c>
      <c r="S92" s="16">
        <f t="shared" si="125"/>
        <v>147.14469742907414</v>
      </c>
      <c r="T92" s="16">
        <f t="shared" si="126"/>
        <v>148</v>
      </c>
      <c r="U92" s="16">
        <f t="shared" si="127"/>
        <v>148</v>
      </c>
      <c r="AM92" s="16">
        <v>89</v>
      </c>
      <c r="AN92" s="16">
        <f t="shared" si="128"/>
        <v>9842.4147354214401</v>
      </c>
      <c r="AO92" s="16">
        <f t="shared" si="129"/>
        <v>9959.2999999999993</v>
      </c>
      <c r="AP92" s="16">
        <f t="shared" si="130"/>
        <v>9959.2999999999993</v>
      </c>
      <c r="AQ92" s="16">
        <f t="shared" si="131"/>
        <v>9959.2999999999993</v>
      </c>
      <c r="AR92" s="16">
        <f t="shared" si="132"/>
        <v>9959.2999999999993</v>
      </c>
      <c r="BH92" s="17">
        <v>89</v>
      </c>
      <c r="BI92" s="17">
        <f t="shared" si="143"/>
        <v>9842.4147354214401</v>
      </c>
      <c r="BJ92" s="17">
        <f t="shared" si="144"/>
        <v>9959.2999999999993</v>
      </c>
      <c r="BK92" s="17">
        <f t="shared" si="145"/>
        <v>9959.2999999999993</v>
      </c>
      <c r="BL92" s="17">
        <f t="shared" si="146"/>
        <v>9959.2999999999993</v>
      </c>
      <c r="BM92" s="17">
        <f t="shared" si="147"/>
        <v>9959.2999999999993</v>
      </c>
      <c r="CC92" s="17">
        <v>89</v>
      </c>
      <c r="CD92" s="17">
        <f t="shared" si="153"/>
        <v>2770</v>
      </c>
      <c r="CE92" s="17">
        <f t="shared" si="154"/>
        <v>2770</v>
      </c>
      <c r="CF92" s="17">
        <f t="shared" si="155"/>
        <v>2770</v>
      </c>
      <c r="CG92" s="17">
        <f t="shared" si="156"/>
        <v>2770.0000000000005</v>
      </c>
      <c r="CH92" s="17">
        <f t="shared" si="157"/>
        <v>2770</v>
      </c>
      <c r="CX92" s="17">
        <v>89</v>
      </c>
      <c r="CY92" s="17">
        <f t="shared" si="133"/>
        <v>197.00000000000003</v>
      </c>
      <c r="CZ92" s="17">
        <f t="shared" si="134"/>
        <v>197.00000000000003</v>
      </c>
      <c r="DA92" s="17">
        <f t="shared" si="135"/>
        <v>197</v>
      </c>
      <c r="DB92" s="17">
        <f t="shared" si="136"/>
        <v>197</v>
      </c>
      <c r="DC92" s="17">
        <f t="shared" si="137"/>
        <v>197</v>
      </c>
      <c r="DS92" s="17">
        <v>89</v>
      </c>
      <c r="DT92" s="17">
        <f t="shared" si="148"/>
        <v>0.92337449520179993</v>
      </c>
      <c r="DU92" s="17">
        <f t="shared" si="149"/>
        <v>1.0758133759947446</v>
      </c>
      <c r="DV92" s="17">
        <f t="shared" si="150"/>
        <v>1.1285959657209885</v>
      </c>
      <c r="DW92" s="17">
        <f t="shared" si="151"/>
        <v>1.1399999999999999</v>
      </c>
      <c r="DX92" s="17">
        <f t="shared" si="152"/>
        <v>1.1399999999999999</v>
      </c>
      <c r="EN92" s="17">
        <v>89</v>
      </c>
      <c r="EO92" s="17">
        <f t="shared" si="138"/>
        <v>0.52921811900225024</v>
      </c>
      <c r="EP92" s="17">
        <f t="shared" si="139"/>
        <v>0.71976671999343078</v>
      </c>
      <c r="EQ92" s="17">
        <f t="shared" si="140"/>
        <v>0.78574495715123605</v>
      </c>
      <c r="ER92" s="17">
        <f t="shared" si="141"/>
        <v>0.80000000000000016</v>
      </c>
      <c r="ES92" s="17">
        <f t="shared" si="142"/>
        <v>0.80000000000000016</v>
      </c>
    </row>
    <row r="93" spans="16:149" x14ac:dyDescent="0.15">
      <c r="P93" s="16">
        <v>90</v>
      </c>
      <c r="Q93" s="16">
        <f t="shared" si="123"/>
        <v>132.80253460195217</v>
      </c>
      <c r="R93" s="16">
        <f t="shared" si="124"/>
        <v>144.57386554961559</v>
      </c>
      <c r="S93" s="16">
        <f t="shared" si="125"/>
        <v>147.75293778613269</v>
      </c>
      <c r="T93" s="16">
        <f t="shared" si="126"/>
        <v>148</v>
      </c>
      <c r="U93" s="16">
        <f t="shared" si="127"/>
        <v>148</v>
      </c>
      <c r="AM93" s="16">
        <v>90</v>
      </c>
      <c r="AN93" s="16">
        <f t="shared" si="128"/>
        <v>10032.082347233883</v>
      </c>
      <c r="AO93" s="16">
        <f t="shared" si="129"/>
        <v>10057.1</v>
      </c>
      <c r="AP93" s="16">
        <f t="shared" si="130"/>
        <v>10057.1</v>
      </c>
      <c r="AQ93" s="16">
        <f t="shared" si="131"/>
        <v>10057.1</v>
      </c>
      <c r="AR93" s="16">
        <f t="shared" si="132"/>
        <v>10057.1</v>
      </c>
      <c r="BH93" s="17">
        <v>90</v>
      </c>
      <c r="BI93" s="17">
        <f t="shared" si="143"/>
        <v>10032.082347233883</v>
      </c>
      <c r="BJ93" s="17">
        <f t="shared" si="144"/>
        <v>10057.1</v>
      </c>
      <c r="BK93" s="17">
        <f t="shared" si="145"/>
        <v>10057.1</v>
      </c>
      <c r="BL93" s="17">
        <f t="shared" si="146"/>
        <v>10057.1</v>
      </c>
      <c r="BM93" s="17">
        <f t="shared" si="147"/>
        <v>10057.1</v>
      </c>
      <c r="CC93" s="17">
        <v>90</v>
      </c>
      <c r="CD93" s="17">
        <f t="shared" si="153"/>
        <v>2790</v>
      </c>
      <c r="CE93" s="17">
        <f t="shared" si="154"/>
        <v>2790.0000000000005</v>
      </c>
      <c r="CF93" s="17">
        <f t="shared" si="155"/>
        <v>2790</v>
      </c>
      <c r="CG93" s="17">
        <f t="shared" si="156"/>
        <v>2790.0000000000005</v>
      </c>
      <c r="CH93" s="17">
        <f t="shared" si="157"/>
        <v>2790</v>
      </c>
      <c r="CX93" s="17">
        <v>90</v>
      </c>
      <c r="CY93" s="17">
        <f t="shared" si="133"/>
        <v>199.00000000000003</v>
      </c>
      <c r="CZ93" s="17">
        <f t="shared" si="134"/>
        <v>199.00000000000003</v>
      </c>
      <c r="DA93" s="17">
        <f t="shared" si="135"/>
        <v>199</v>
      </c>
      <c r="DB93" s="17">
        <f t="shared" si="136"/>
        <v>199</v>
      </c>
      <c r="DC93" s="17">
        <f t="shared" si="137"/>
        <v>199</v>
      </c>
      <c r="DS93" s="17">
        <v>90</v>
      </c>
      <c r="DT93" s="17">
        <f t="shared" si="148"/>
        <v>0.93736712802602895</v>
      </c>
      <c r="DU93" s="17">
        <f t="shared" si="149"/>
        <v>1.0943182073282076</v>
      </c>
      <c r="DV93" s="17">
        <f t="shared" si="150"/>
        <v>1.1367058371484358</v>
      </c>
      <c r="DW93" s="17">
        <f t="shared" si="151"/>
        <v>1.1399999999999999</v>
      </c>
      <c r="DX93" s="17">
        <f t="shared" si="152"/>
        <v>1.1399999999999999</v>
      </c>
      <c r="EN93" s="17">
        <v>90</v>
      </c>
      <c r="EO93" s="17">
        <f t="shared" si="138"/>
        <v>0.54670891003253641</v>
      </c>
      <c r="EP93" s="17">
        <f t="shared" si="139"/>
        <v>0.74289775916025957</v>
      </c>
      <c r="EQ93" s="17">
        <f t="shared" si="140"/>
        <v>0.79588229643554509</v>
      </c>
      <c r="ER93" s="17">
        <f t="shared" si="141"/>
        <v>0.80000000000000016</v>
      </c>
      <c r="ES93" s="17">
        <f t="shared" si="142"/>
        <v>0.80000000000000016</v>
      </c>
    </row>
    <row r="94" spans="16:149" x14ac:dyDescent="0.15">
      <c r="P94" s="16">
        <v>91</v>
      </c>
      <c r="Q94" s="16">
        <f t="shared" si="123"/>
        <v>133.97709362265192</v>
      </c>
      <c r="R94" s="16">
        <f t="shared" si="124"/>
        <v>145.68800318361414</v>
      </c>
      <c r="S94" s="16">
        <f t="shared" si="125"/>
        <v>148</v>
      </c>
      <c r="T94" s="16">
        <f t="shared" si="126"/>
        <v>148</v>
      </c>
      <c r="U94" s="16">
        <f t="shared" si="127"/>
        <v>148</v>
      </c>
      <c r="AM94" s="16">
        <v>91</v>
      </c>
      <c r="AN94" s="16">
        <f t="shared" si="128"/>
        <v>10153.017584262947</v>
      </c>
      <c r="AO94" s="16">
        <f t="shared" si="129"/>
        <v>10154.9</v>
      </c>
      <c r="AP94" s="16">
        <f t="shared" si="130"/>
        <v>10154.9</v>
      </c>
      <c r="AQ94" s="16">
        <f t="shared" si="131"/>
        <v>10154.9</v>
      </c>
      <c r="AR94" s="16">
        <f t="shared" si="132"/>
        <v>10154.9</v>
      </c>
      <c r="BH94" s="17">
        <v>91</v>
      </c>
      <c r="BI94" s="17">
        <f t="shared" si="143"/>
        <v>10153.017584262947</v>
      </c>
      <c r="BJ94" s="17">
        <f t="shared" si="144"/>
        <v>10154.9</v>
      </c>
      <c r="BK94" s="17">
        <f t="shared" si="145"/>
        <v>10154.9</v>
      </c>
      <c r="BL94" s="17">
        <f t="shared" si="146"/>
        <v>10154.9</v>
      </c>
      <c r="BM94" s="17">
        <f t="shared" si="147"/>
        <v>10154.9</v>
      </c>
      <c r="CC94" s="17">
        <v>91</v>
      </c>
      <c r="CD94" s="17">
        <f t="shared" si="153"/>
        <v>2810</v>
      </c>
      <c r="CE94" s="17">
        <f t="shared" si="154"/>
        <v>2810</v>
      </c>
      <c r="CF94" s="17">
        <f t="shared" si="155"/>
        <v>2810</v>
      </c>
      <c r="CG94" s="17">
        <f t="shared" si="156"/>
        <v>2810</v>
      </c>
      <c r="CH94" s="17">
        <f t="shared" si="157"/>
        <v>2810</v>
      </c>
      <c r="CX94" s="17">
        <v>91</v>
      </c>
      <c r="CY94" s="17">
        <f t="shared" si="133"/>
        <v>201</v>
      </c>
      <c r="CZ94" s="17">
        <f t="shared" si="134"/>
        <v>201.00000000000003</v>
      </c>
      <c r="DA94" s="17">
        <f t="shared" si="135"/>
        <v>201</v>
      </c>
      <c r="DB94" s="17">
        <f t="shared" si="136"/>
        <v>201</v>
      </c>
      <c r="DC94" s="17">
        <f t="shared" si="137"/>
        <v>201</v>
      </c>
      <c r="DS94" s="17">
        <v>91</v>
      </c>
      <c r="DT94" s="17">
        <f t="shared" si="148"/>
        <v>0.95302791496869199</v>
      </c>
      <c r="DU94" s="17">
        <f t="shared" si="149"/>
        <v>1.1091733757815219</v>
      </c>
      <c r="DV94" s="17">
        <f t="shared" si="150"/>
        <v>1.1399999999999999</v>
      </c>
      <c r="DW94" s="17">
        <f t="shared" si="151"/>
        <v>1.1399999999999999</v>
      </c>
      <c r="DX94" s="17">
        <f t="shared" si="152"/>
        <v>1.1399999999999999</v>
      </c>
      <c r="EN94" s="17">
        <v>91</v>
      </c>
      <c r="EO94" s="17">
        <f t="shared" si="138"/>
        <v>0.56628489371086532</v>
      </c>
      <c r="EP94" s="17">
        <f t="shared" si="139"/>
        <v>0.76146671972690227</v>
      </c>
      <c r="EQ94" s="17">
        <f t="shared" si="140"/>
        <v>0.80000000000000016</v>
      </c>
      <c r="ER94" s="17">
        <f t="shared" si="141"/>
        <v>0.80000000000000016</v>
      </c>
      <c r="ES94" s="17">
        <f t="shared" si="142"/>
        <v>0.80000000000000016</v>
      </c>
    </row>
    <row r="95" spans="16:149" x14ac:dyDescent="0.15">
      <c r="P95" s="16">
        <v>92</v>
      </c>
      <c r="Q95" s="16">
        <f t="shared" si="123"/>
        <v>135.19223227106428</v>
      </c>
      <c r="R95" s="16">
        <f t="shared" si="124"/>
        <v>146.76382807708677</v>
      </c>
      <c r="S95" s="16">
        <f t="shared" si="125"/>
        <v>148</v>
      </c>
      <c r="T95" s="16">
        <f t="shared" si="126"/>
        <v>148</v>
      </c>
      <c r="U95" s="16">
        <f t="shared" si="127"/>
        <v>148</v>
      </c>
      <c r="AM95" s="16">
        <v>92</v>
      </c>
      <c r="AN95" s="16">
        <f t="shared" si="128"/>
        <v>10251.659643863601</v>
      </c>
      <c r="AO95" s="16">
        <f t="shared" si="129"/>
        <v>10252.700000000001</v>
      </c>
      <c r="AP95" s="16">
        <f t="shared" si="130"/>
        <v>10252.699999999999</v>
      </c>
      <c r="AQ95" s="16">
        <f t="shared" si="131"/>
        <v>10252.699999999999</v>
      </c>
      <c r="AR95" s="16">
        <f t="shared" si="132"/>
        <v>10252.700000000001</v>
      </c>
      <c r="BH95" s="17">
        <v>92</v>
      </c>
      <c r="BI95" s="17">
        <f t="shared" si="143"/>
        <v>10251.659643863601</v>
      </c>
      <c r="BJ95" s="17">
        <f t="shared" si="144"/>
        <v>10252.700000000001</v>
      </c>
      <c r="BK95" s="17">
        <f t="shared" si="145"/>
        <v>10252.699999999999</v>
      </c>
      <c r="BL95" s="17">
        <f t="shared" si="146"/>
        <v>10252.699999999999</v>
      </c>
      <c r="BM95" s="17">
        <f t="shared" si="147"/>
        <v>10252.700000000001</v>
      </c>
      <c r="CC95" s="17">
        <v>92</v>
      </c>
      <c r="CD95" s="17">
        <f t="shared" si="153"/>
        <v>2830.0000000000005</v>
      </c>
      <c r="CE95" s="17">
        <f t="shared" si="154"/>
        <v>2830</v>
      </c>
      <c r="CF95" s="17">
        <f t="shared" si="155"/>
        <v>2830</v>
      </c>
      <c r="CG95" s="17">
        <f t="shared" si="156"/>
        <v>2830</v>
      </c>
      <c r="CH95" s="17">
        <f t="shared" si="157"/>
        <v>2830</v>
      </c>
      <c r="CX95" s="17">
        <v>92</v>
      </c>
      <c r="CY95" s="17">
        <f t="shared" si="133"/>
        <v>203</v>
      </c>
      <c r="CZ95" s="17">
        <f t="shared" si="134"/>
        <v>203</v>
      </c>
      <c r="DA95" s="17">
        <f t="shared" si="135"/>
        <v>203</v>
      </c>
      <c r="DB95" s="17">
        <f t="shared" si="136"/>
        <v>203</v>
      </c>
      <c r="DC95" s="17">
        <f t="shared" si="137"/>
        <v>203</v>
      </c>
      <c r="DS95" s="17">
        <v>92</v>
      </c>
      <c r="DT95" s="17">
        <f t="shared" si="148"/>
        <v>0.96922976361419011</v>
      </c>
      <c r="DU95" s="17">
        <f t="shared" si="149"/>
        <v>1.1235177076944902</v>
      </c>
      <c r="DV95" s="17">
        <f t="shared" si="150"/>
        <v>1.1399999999999999</v>
      </c>
      <c r="DW95" s="17">
        <f t="shared" si="151"/>
        <v>1.1399999999999999</v>
      </c>
      <c r="DX95" s="17">
        <f t="shared" si="152"/>
        <v>1.1399999999999999</v>
      </c>
      <c r="EN95" s="17">
        <v>92</v>
      </c>
      <c r="EO95" s="17">
        <f t="shared" si="138"/>
        <v>0.58653720451773794</v>
      </c>
      <c r="EP95" s="17">
        <f t="shared" si="139"/>
        <v>0.77939713461811289</v>
      </c>
      <c r="EQ95" s="17">
        <f t="shared" si="140"/>
        <v>0.80000000000000016</v>
      </c>
      <c r="ER95" s="17">
        <f t="shared" si="141"/>
        <v>0.80000000000000016</v>
      </c>
      <c r="ES95" s="17">
        <f t="shared" si="142"/>
        <v>0.80000000000000016</v>
      </c>
    </row>
    <row r="96" spans="16:149" x14ac:dyDescent="0.15">
      <c r="P96" s="16">
        <v>93</v>
      </c>
      <c r="Q96" s="16">
        <f t="shared" si="123"/>
        <v>136.40737091947662</v>
      </c>
      <c r="R96" s="16">
        <f t="shared" si="124"/>
        <v>147.8396529705594</v>
      </c>
      <c r="S96" s="16">
        <f t="shared" si="125"/>
        <v>148</v>
      </c>
      <c r="T96" s="16">
        <f t="shared" si="126"/>
        <v>148</v>
      </c>
      <c r="U96" s="16">
        <f t="shared" si="127"/>
        <v>148</v>
      </c>
      <c r="AM96" s="16">
        <v>93</v>
      </c>
      <c r="AN96" s="16">
        <f t="shared" si="128"/>
        <v>10350.301703464254</v>
      </c>
      <c r="AO96" s="16">
        <f t="shared" si="129"/>
        <v>10350.500000000002</v>
      </c>
      <c r="AP96" s="16">
        <f t="shared" si="130"/>
        <v>10350.5</v>
      </c>
      <c r="AQ96" s="16">
        <f t="shared" si="131"/>
        <v>10350.499999999998</v>
      </c>
      <c r="AR96" s="16">
        <f t="shared" si="132"/>
        <v>10350.5</v>
      </c>
      <c r="BH96" s="17">
        <v>93</v>
      </c>
      <c r="BI96" s="17">
        <f t="shared" si="143"/>
        <v>10350.301703464254</v>
      </c>
      <c r="BJ96" s="17">
        <f t="shared" si="144"/>
        <v>10350.500000000002</v>
      </c>
      <c r="BK96" s="17">
        <f t="shared" si="145"/>
        <v>10350.5</v>
      </c>
      <c r="BL96" s="17">
        <f t="shared" si="146"/>
        <v>10350.499999999998</v>
      </c>
      <c r="BM96" s="17">
        <f t="shared" si="147"/>
        <v>10350.5</v>
      </c>
      <c r="CC96" s="17">
        <v>93</v>
      </c>
      <c r="CD96" s="17">
        <f t="shared" si="153"/>
        <v>2850.0000000000005</v>
      </c>
      <c r="CE96" s="17">
        <f t="shared" si="154"/>
        <v>2850</v>
      </c>
      <c r="CF96" s="17">
        <f t="shared" si="155"/>
        <v>2850</v>
      </c>
      <c r="CG96" s="17">
        <f t="shared" si="156"/>
        <v>2850</v>
      </c>
      <c r="CH96" s="17">
        <f t="shared" si="157"/>
        <v>2850</v>
      </c>
      <c r="CX96" s="17">
        <v>93</v>
      </c>
      <c r="CY96" s="17">
        <f t="shared" si="133"/>
        <v>204.99999999999997</v>
      </c>
      <c r="CZ96" s="17">
        <f t="shared" si="134"/>
        <v>205</v>
      </c>
      <c r="DA96" s="17">
        <f t="shared" si="135"/>
        <v>205</v>
      </c>
      <c r="DB96" s="17">
        <f t="shared" si="136"/>
        <v>205</v>
      </c>
      <c r="DC96" s="17">
        <f t="shared" si="137"/>
        <v>205.00000000000003</v>
      </c>
      <c r="DS96" s="17">
        <v>93</v>
      </c>
      <c r="DT96" s="17">
        <f t="shared" si="148"/>
        <v>0.98543161225968823</v>
      </c>
      <c r="DU96" s="17">
        <f t="shared" si="149"/>
        <v>1.1378620396074586</v>
      </c>
      <c r="DV96" s="17">
        <f t="shared" si="150"/>
        <v>1.1399999999999999</v>
      </c>
      <c r="DW96" s="17">
        <f t="shared" si="151"/>
        <v>1.1399999999999999</v>
      </c>
      <c r="DX96" s="17">
        <f t="shared" si="152"/>
        <v>1.1399999999999999</v>
      </c>
      <c r="EN96" s="17">
        <v>93</v>
      </c>
      <c r="EO96" s="17">
        <f t="shared" si="138"/>
        <v>0.60678951532461045</v>
      </c>
      <c r="EP96" s="17">
        <f t="shared" si="139"/>
        <v>0.7973275495093235</v>
      </c>
      <c r="EQ96" s="17">
        <f t="shared" si="140"/>
        <v>0.80000000000000016</v>
      </c>
      <c r="ER96" s="17">
        <f t="shared" si="141"/>
        <v>0.80000000000000016</v>
      </c>
      <c r="ES96" s="17">
        <f t="shared" si="142"/>
        <v>0.80000000000000016</v>
      </c>
    </row>
    <row r="97" spans="16:149" x14ac:dyDescent="0.15">
      <c r="P97" s="16">
        <v>94</v>
      </c>
      <c r="Q97" s="16">
        <f t="shared" si="123"/>
        <v>137.74680667233784</v>
      </c>
      <c r="R97" s="16">
        <f t="shared" si="124"/>
        <v>148</v>
      </c>
      <c r="S97" s="16">
        <f t="shared" si="125"/>
        <v>148</v>
      </c>
      <c r="T97" s="16">
        <f t="shared" si="126"/>
        <v>148</v>
      </c>
      <c r="U97" s="16">
        <f t="shared" si="127"/>
        <v>148</v>
      </c>
      <c r="AM97" s="16">
        <v>94</v>
      </c>
      <c r="AN97" s="16">
        <f t="shared" si="128"/>
        <v>10448.299999999999</v>
      </c>
      <c r="AO97" s="16">
        <f t="shared" si="129"/>
        <v>10448.300000000001</v>
      </c>
      <c r="AP97" s="16">
        <f t="shared" si="130"/>
        <v>10448.299999999999</v>
      </c>
      <c r="AQ97" s="16">
        <f t="shared" si="131"/>
        <v>10448.299999999999</v>
      </c>
      <c r="AR97" s="16">
        <f t="shared" si="132"/>
        <v>10448.299999999999</v>
      </c>
      <c r="BH97" s="17">
        <v>94</v>
      </c>
      <c r="BI97" s="17">
        <f t="shared" si="143"/>
        <v>10448.299999999999</v>
      </c>
      <c r="BJ97" s="17">
        <f t="shared" si="144"/>
        <v>10448.300000000001</v>
      </c>
      <c r="BK97" s="17">
        <f t="shared" si="145"/>
        <v>10448.299999999999</v>
      </c>
      <c r="BL97" s="17">
        <f t="shared" si="146"/>
        <v>10448.299999999999</v>
      </c>
      <c r="BM97" s="17">
        <f t="shared" si="147"/>
        <v>10448.299999999999</v>
      </c>
      <c r="CC97" s="17">
        <v>94</v>
      </c>
      <c r="CD97" s="17">
        <f t="shared" si="153"/>
        <v>2870.0000000000005</v>
      </c>
      <c r="CE97" s="17">
        <f t="shared" si="154"/>
        <v>2870</v>
      </c>
      <c r="CF97" s="17">
        <f t="shared" si="155"/>
        <v>2870</v>
      </c>
      <c r="CG97" s="17">
        <f t="shared" si="156"/>
        <v>2870</v>
      </c>
      <c r="CH97" s="17">
        <f t="shared" si="157"/>
        <v>2870</v>
      </c>
      <c r="CX97" s="17">
        <v>94</v>
      </c>
      <c r="CY97" s="17">
        <f t="shared" si="133"/>
        <v>206.99999999999997</v>
      </c>
      <c r="CZ97" s="17">
        <f t="shared" si="134"/>
        <v>207</v>
      </c>
      <c r="DA97" s="17">
        <f t="shared" si="135"/>
        <v>207</v>
      </c>
      <c r="DB97" s="17">
        <f t="shared" si="136"/>
        <v>207</v>
      </c>
      <c r="DC97" s="17">
        <f t="shared" si="137"/>
        <v>207.00000000000003</v>
      </c>
      <c r="DS97" s="17">
        <v>94</v>
      </c>
      <c r="DT97" s="17">
        <f t="shared" si="148"/>
        <v>1.0032907556311712</v>
      </c>
      <c r="DU97" s="17">
        <f t="shared" si="149"/>
        <v>1.1399999999999999</v>
      </c>
      <c r="DV97" s="17">
        <f t="shared" si="150"/>
        <v>1.1399999999999999</v>
      </c>
      <c r="DW97" s="17">
        <f t="shared" si="151"/>
        <v>1.1399999999999999</v>
      </c>
      <c r="DX97" s="17">
        <f t="shared" si="152"/>
        <v>1.1399999999999999</v>
      </c>
      <c r="EN97" s="17">
        <v>94</v>
      </c>
      <c r="EO97" s="17">
        <f t="shared" si="138"/>
        <v>0.62911344453896423</v>
      </c>
      <c r="EP97" s="17">
        <f t="shared" si="139"/>
        <v>0.80000000000000016</v>
      </c>
      <c r="EQ97" s="17">
        <f t="shared" si="140"/>
        <v>0.80000000000000016</v>
      </c>
      <c r="ER97" s="17">
        <f t="shared" si="141"/>
        <v>0.80000000000000016</v>
      </c>
      <c r="ES97" s="17">
        <f t="shared" si="142"/>
        <v>0.80000000000000016</v>
      </c>
    </row>
    <row r="98" spans="16:149" x14ac:dyDescent="0.15">
      <c r="P98" s="16">
        <v>95</v>
      </c>
      <c r="Q98" s="16">
        <f t="shared" si="123"/>
        <v>139.12452931452077</v>
      </c>
      <c r="R98" s="16">
        <f t="shared" si="124"/>
        <v>148</v>
      </c>
      <c r="S98" s="16">
        <f t="shared" si="125"/>
        <v>148</v>
      </c>
      <c r="T98" s="16">
        <f t="shared" si="126"/>
        <v>148</v>
      </c>
      <c r="U98" s="16">
        <f t="shared" si="127"/>
        <v>148</v>
      </c>
      <c r="AM98" s="16">
        <v>95</v>
      </c>
      <c r="AN98" s="16">
        <f t="shared" si="128"/>
        <v>10546.1</v>
      </c>
      <c r="AO98" s="16">
        <f t="shared" si="129"/>
        <v>10546.1</v>
      </c>
      <c r="AP98" s="16">
        <f t="shared" si="130"/>
        <v>10546.099999999999</v>
      </c>
      <c r="AQ98" s="16">
        <f t="shared" si="131"/>
        <v>10546.099999999999</v>
      </c>
      <c r="AR98" s="16">
        <f t="shared" si="132"/>
        <v>10546.1</v>
      </c>
      <c r="BH98" s="17">
        <v>95</v>
      </c>
      <c r="BI98" s="17">
        <f t="shared" si="143"/>
        <v>10546.1</v>
      </c>
      <c r="BJ98" s="17">
        <f t="shared" si="144"/>
        <v>10546.1</v>
      </c>
      <c r="BK98" s="17">
        <f t="shared" si="145"/>
        <v>10546.099999999999</v>
      </c>
      <c r="BL98" s="17">
        <f t="shared" si="146"/>
        <v>10546.099999999999</v>
      </c>
      <c r="BM98" s="17">
        <f t="shared" si="147"/>
        <v>10546.1</v>
      </c>
      <c r="CC98" s="17">
        <v>95</v>
      </c>
      <c r="CD98" s="17">
        <f t="shared" si="153"/>
        <v>2890.0000000000005</v>
      </c>
      <c r="CE98" s="17">
        <f t="shared" si="154"/>
        <v>2890</v>
      </c>
      <c r="CF98" s="17">
        <f t="shared" si="155"/>
        <v>2890</v>
      </c>
      <c r="CG98" s="17">
        <f t="shared" si="156"/>
        <v>2890.0000000000005</v>
      </c>
      <c r="CH98" s="17">
        <f t="shared" si="157"/>
        <v>2890</v>
      </c>
      <c r="CX98" s="17">
        <v>95</v>
      </c>
      <c r="CY98" s="17">
        <f t="shared" si="133"/>
        <v>209</v>
      </c>
      <c r="CZ98" s="17">
        <f t="shared" si="134"/>
        <v>209</v>
      </c>
      <c r="DA98" s="17">
        <f t="shared" si="135"/>
        <v>209</v>
      </c>
      <c r="DB98" s="17">
        <f t="shared" si="136"/>
        <v>209</v>
      </c>
      <c r="DC98" s="17">
        <f t="shared" si="137"/>
        <v>209.00000000000003</v>
      </c>
      <c r="DS98" s="17">
        <v>95</v>
      </c>
      <c r="DT98" s="17">
        <f t="shared" si="148"/>
        <v>1.0216603908602768</v>
      </c>
      <c r="DU98" s="17">
        <f t="shared" si="149"/>
        <v>1.1399999999999999</v>
      </c>
      <c r="DV98" s="17">
        <f t="shared" si="150"/>
        <v>1.1399999999999999</v>
      </c>
      <c r="DW98" s="17">
        <f t="shared" si="151"/>
        <v>1.1399999999999999</v>
      </c>
      <c r="DX98" s="17">
        <f t="shared" si="152"/>
        <v>1.1399999999999999</v>
      </c>
      <c r="EN98" s="17">
        <v>95</v>
      </c>
      <c r="EO98" s="17">
        <f t="shared" si="138"/>
        <v>0.65207548857534636</v>
      </c>
      <c r="EP98" s="17">
        <f t="shared" si="139"/>
        <v>0.80000000000000016</v>
      </c>
      <c r="EQ98" s="17">
        <f t="shared" si="140"/>
        <v>0.80000000000000016</v>
      </c>
      <c r="ER98" s="17">
        <f t="shared" si="141"/>
        <v>0.80000000000000016</v>
      </c>
      <c r="ES98" s="17">
        <f t="shared" si="142"/>
        <v>0.80000000000000016</v>
      </c>
    </row>
    <row r="99" spans="16:149" x14ac:dyDescent="0.15">
      <c r="P99" s="16">
        <v>96</v>
      </c>
      <c r="Q99" s="16">
        <f t="shared" si="123"/>
        <v>140.5022519567037</v>
      </c>
      <c r="R99" s="16">
        <f t="shared" si="124"/>
        <v>148</v>
      </c>
      <c r="S99" s="16">
        <f t="shared" si="125"/>
        <v>148</v>
      </c>
      <c r="T99" s="16">
        <f t="shared" si="126"/>
        <v>148</v>
      </c>
      <c r="U99" s="16">
        <f t="shared" si="127"/>
        <v>148</v>
      </c>
      <c r="AM99" s="16">
        <v>96</v>
      </c>
      <c r="AN99" s="16">
        <f t="shared" si="128"/>
        <v>10643.9</v>
      </c>
      <c r="AO99" s="16">
        <f t="shared" si="129"/>
        <v>10643.9</v>
      </c>
      <c r="AP99" s="16">
        <f t="shared" si="130"/>
        <v>10643.9</v>
      </c>
      <c r="AQ99" s="16">
        <f t="shared" si="131"/>
        <v>10643.899999999998</v>
      </c>
      <c r="AR99" s="16">
        <f t="shared" si="132"/>
        <v>10643.9</v>
      </c>
      <c r="BH99" s="17">
        <v>96</v>
      </c>
      <c r="BI99" s="17">
        <f t="shared" si="143"/>
        <v>10643.9</v>
      </c>
      <c r="BJ99" s="17">
        <f t="shared" si="144"/>
        <v>10643.9</v>
      </c>
      <c r="BK99" s="17">
        <f t="shared" si="145"/>
        <v>10643.9</v>
      </c>
      <c r="BL99" s="17">
        <f t="shared" si="146"/>
        <v>10643.899999999998</v>
      </c>
      <c r="BM99" s="17">
        <f t="shared" si="147"/>
        <v>10643.9</v>
      </c>
      <c r="CC99" s="17">
        <v>96</v>
      </c>
      <c r="CD99" s="17">
        <f t="shared" si="153"/>
        <v>2910.0000000000005</v>
      </c>
      <c r="CE99" s="17">
        <f t="shared" si="154"/>
        <v>2910</v>
      </c>
      <c r="CF99" s="17">
        <f t="shared" si="155"/>
        <v>2910</v>
      </c>
      <c r="CG99" s="17">
        <f t="shared" si="156"/>
        <v>2910.0000000000005</v>
      </c>
      <c r="CH99" s="17">
        <f t="shared" si="157"/>
        <v>2910</v>
      </c>
      <c r="CX99" s="17">
        <v>96</v>
      </c>
      <c r="CY99" s="17">
        <f t="shared" si="133"/>
        <v>211</v>
      </c>
      <c r="CZ99" s="17">
        <f t="shared" si="134"/>
        <v>211</v>
      </c>
      <c r="DA99" s="17">
        <f t="shared" si="135"/>
        <v>210.99999999999997</v>
      </c>
      <c r="DB99" s="17">
        <f t="shared" si="136"/>
        <v>211</v>
      </c>
      <c r="DC99" s="17">
        <f t="shared" si="137"/>
        <v>211</v>
      </c>
      <c r="DS99" s="17">
        <v>96</v>
      </c>
      <c r="DT99" s="17">
        <f t="shared" si="148"/>
        <v>1.0400300260893827</v>
      </c>
      <c r="DU99" s="17">
        <f t="shared" si="149"/>
        <v>1.1399999999999999</v>
      </c>
      <c r="DV99" s="17">
        <f t="shared" si="150"/>
        <v>1.1399999999999999</v>
      </c>
      <c r="DW99" s="17">
        <f t="shared" si="151"/>
        <v>1.1399999999999999</v>
      </c>
      <c r="DX99" s="17">
        <f t="shared" si="152"/>
        <v>1.1399999999999999</v>
      </c>
      <c r="EN99" s="17">
        <v>96</v>
      </c>
      <c r="EO99" s="17">
        <f t="shared" si="138"/>
        <v>0.67503753261172839</v>
      </c>
      <c r="EP99" s="17">
        <f t="shared" si="139"/>
        <v>0.80000000000000016</v>
      </c>
      <c r="EQ99" s="17">
        <f t="shared" si="140"/>
        <v>0.80000000000000016</v>
      </c>
      <c r="ER99" s="17">
        <f t="shared" si="141"/>
        <v>0.80000000000000016</v>
      </c>
      <c r="ES99" s="17">
        <f t="shared" si="142"/>
        <v>0.80000000000000016</v>
      </c>
    </row>
    <row r="100" spans="16:149" x14ac:dyDescent="0.15">
      <c r="P100" s="16">
        <v>97</v>
      </c>
      <c r="Q100" s="16">
        <f t="shared" si="123"/>
        <v>141.85829756269692</v>
      </c>
      <c r="R100" s="16">
        <f t="shared" si="124"/>
        <v>148</v>
      </c>
      <c r="S100" s="16">
        <f t="shared" si="125"/>
        <v>148</v>
      </c>
      <c r="T100" s="16">
        <f t="shared" si="126"/>
        <v>148</v>
      </c>
      <c r="U100" s="16">
        <f t="shared" si="127"/>
        <v>148</v>
      </c>
      <c r="AM100" s="16">
        <v>97</v>
      </c>
      <c r="AN100" s="16">
        <f t="shared" si="128"/>
        <v>10741.7</v>
      </c>
      <c r="AO100" s="16">
        <f t="shared" si="129"/>
        <v>10741.699999999999</v>
      </c>
      <c r="AP100" s="16">
        <f t="shared" si="130"/>
        <v>10741.699999999999</v>
      </c>
      <c r="AQ100" s="16">
        <f t="shared" si="131"/>
        <v>10741.699999999999</v>
      </c>
      <c r="AR100" s="16">
        <f t="shared" si="132"/>
        <v>10741.699999999999</v>
      </c>
      <c r="BH100" s="17">
        <v>97</v>
      </c>
      <c r="BI100" s="17">
        <f t="shared" si="143"/>
        <v>10741.7</v>
      </c>
      <c r="BJ100" s="17">
        <f t="shared" si="144"/>
        <v>10741.699999999999</v>
      </c>
      <c r="BK100" s="17">
        <f t="shared" si="145"/>
        <v>10741.699999999999</v>
      </c>
      <c r="BL100" s="17">
        <f t="shared" si="146"/>
        <v>10741.699999999999</v>
      </c>
      <c r="BM100" s="17">
        <f t="shared" si="147"/>
        <v>10741.699999999999</v>
      </c>
      <c r="CC100" s="17">
        <v>97</v>
      </c>
      <c r="CD100" s="17">
        <f t="shared" si="153"/>
        <v>2930.0000000000005</v>
      </c>
      <c r="CE100" s="17">
        <f t="shared" si="154"/>
        <v>2930</v>
      </c>
      <c r="CF100" s="17">
        <f t="shared" si="155"/>
        <v>2930</v>
      </c>
      <c r="CG100" s="17">
        <f t="shared" si="156"/>
        <v>2930.0000000000005</v>
      </c>
      <c r="CH100" s="17">
        <f t="shared" si="157"/>
        <v>2930</v>
      </c>
      <c r="CX100" s="17">
        <v>97</v>
      </c>
      <c r="CY100" s="17">
        <f t="shared" si="133"/>
        <v>213</v>
      </c>
      <c r="CZ100" s="17">
        <f t="shared" si="134"/>
        <v>213</v>
      </c>
      <c r="DA100" s="17">
        <f t="shared" si="135"/>
        <v>212.99999999999997</v>
      </c>
      <c r="DB100" s="17">
        <f t="shared" si="136"/>
        <v>213</v>
      </c>
      <c r="DC100" s="17">
        <f t="shared" si="137"/>
        <v>213</v>
      </c>
      <c r="DS100" s="17">
        <v>97</v>
      </c>
      <c r="DT100" s="17">
        <f t="shared" si="148"/>
        <v>1.0581106341692923</v>
      </c>
      <c r="DU100" s="17">
        <f t="shared" si="149"/>
        <v>1.1399999999999999</v>
      </c>
      <c r="DV100" s="17">
        <f t="shared" si="150"/>
        <v>1.1399999999999999</v>
      </c>
      <c r="DW100" s="17">
        <f t="shared" si="151"/>
        <v>1.1399999999999999</v>
      </c>
      <c r="DX100" s="17">
        <f t="shared" si="152"/>
        <v>1.1399999999999999</v>
      </c>
      <c r="EN100" s="17">
        <v>97</v>
      </c>
      <c r="EO100" s="17">
        <f t="shared" si="138"/>
        <v>0.69763829271161548</v>
      </c>
      <c r="EP100" s="17">
        <f t="shared" si="139"/>
        <v>0.80000000000000016</v>
      </c>
      <c r="EQ100" s="17">
        <f t="shared" si="140"/>
        <v>0.80000000000000016</v>
      </c>
      <c r="ER100" s="17">
        <f t="shared" si="141"/>
        <v>0.80000000000000016</v>
      </c>
      <c r="ES100" s="17">
        <f t="shared" si="142"/>
        <v>0.80000000000000016</v>
      </c>
    </row>
    <row r="101" spans="16:149" x14ac:dyDescent="0.15">
      <c r="P101" s="16">
        <v>98</v>
      </c>
      <c r="Q101" s="16">
        <f t="shared" si="123"/>
        <v>143.12366671146358</v>
      </c>
      <c r="R101" s="16">
        <f t="shared" si="124"/>
        <v>148</v>
      </c>
      <c r="S101" s="16">
        <f t="shared" si="125"/>
        <v>148</v>
      </c>
      <c r="T101" s="16">
        <f t="shared" si="126"/>
        <v>148</v>
      </c>
      <c r="U101" s="16">
        <f t="shared" si="127"/>
        <v>148</v>
      </c>
      <c r="AM101" s="16">
        <v>98</v>
      </c>
      <c r="AN101" s="16">
        <f t="shared" si="128"/>
        <v>10839.5</v>
      </c>
      <c r="AO101" s="16">
        <f t="shared" si="129"/>
        <v>10839.5</v>
      </c>
      <c r="AP101" s="16">
        <f t="shared" si="130"/>
        <v>10839.5</v>
      </c>
      <c r="AQ101" s="16">
        <f t="shared" si="131"/>
        <v>10839.5</v>
      </c>
      <c r="AR101" s="16">
        <f t="shared" si="132"/>
        <v>10839.5</v>
      </c>
      <c r="BH101" s="17">
        <v>98</v>
      </c>
      <c r="BI101" s="17">
        <f t="shared" si="143"/>
        <v>10839.5</v>
      </c>
      <c r="BJ101" s="17">
        <f t="shared" si="144"/>
        <v>10839.5</v>
      </c>
      <c r="BK101" s="17">
        <f t="shared" si="145"/>
        <v>10839.5</v>
      </c>
      <c r="BL101" s="17">
        <f t="shared" si="146"/>
        <v>10839.5</v>
      </c>
      <c r="BM101" s="17">
        <f t="shared" si="147"/>
        <v>10839.5</v>
      </c>
      <c r="CC101" s="17">
        <v>98</v>
      </c>
      <c r="CD101" s="17">
        <f t="shared" si="153"/>
        <v>2950.0000000000005</v>
      </c>
      <c r="CE101" s="17">
        <f t="shared" si="154"/>
        <v>2950</v>
      </c>
      <c r="CF101" s="17">
        <f t="shared" si="155"/>
        <v>2950</v>
      </c>
      <c r="CG101" s="17">
        <f t="shared" si="156"/>
        <v>2950.0000000000005</v>
      </c>
      <c r="CH101" s="17">
        <f t="shared" si="157"/>
        <v>2949.9999999999995</v>
      </c>
      <c r="CX101" s="17">
        <v>98</v>
      </c>
      <c r="CY101" s="17">
        <f t="shared" si="133"/>
        <v>215</v>
      </c>
      <c r="CZ101" s="17">
        <f t="shared" si="134"/>
        <v>215</v>
      </c>
      <c r="DA101" s="17">
        <f t="shared" si="135"/>
        <v>214.99999999999997</v>
      </c>
      <c r="DB101" s="17">
        <f t="shared" si="136"/>
        <v>215</v>
      </c>
      <c r="DC101" s="17">
        <f t="shared" si="137"/>
        <v>215</v>
      </c>
      <c r="DS101" s="17">
        <v>98</v>
      </c>
      <c r="DT101" s="17">
        <f t="shared" si="148"/>
        <v>1.0749822228195143</v>
      </c>
      <c r="DU101" s="17">
        <f t="shared" si="149"/>
        <v>1.1399999999999999</v>
      </c>
      <c r="DV101" s="17">
        <f t="shared" si="150"/>
        <v>1.1399999999999999</v>
      </c>
      <c r="DW101" s="17">
        <f t="shared" si="151"/>
        <v>1.1399999999999999</v>
      </c>
      <c r="DX101" s="17">
        <f t="shared" si="152"/>
        <v>1.1399999999999999</v>
      </c>
      <c r="EN101" s="17">
        <v>98</v>
      </c>
      <c r="EO101" s="17">
        <f t="shared" si="138"/>
        <v>0.71872777852439307</v>
      </c>
      <c r="EP101" s="17">
        <f t="shared" si="139"/>
        <v>0.80000000000000016</v>
      </c>
      <c r="EQ101" s="17">
        <f t="shared" si="140"/>
        <v>0.80000000000000016</v>
      </c>
      <c r="ER101" s="17">
        <f t="shared" si="141"/>
        <v>0.80000000000000016</v>
      </c>
      <c r="ES101" s="17">
        <f t="shared" si="142"/>
        <v>0.80000000000000016</v>
      </c>
    </row>
    <row r="102" spans="16:149" x14ac:dyDescent="0.15">
      <c r="P102" s="16">
        <v>99</v>
      </c>
      <c r="Q102" s="16">
        <f t="shared" si="123"/>
        <v>144.38903586023025</v>
      </c>
      <c r="R102" s="16">
        <f t="shared" si="124"/>
        <v>148</v>
      </c>
      <c r="S102" s="16">
        <f t="shared" si="125"/>
        <v>148</v>
      </c>
      <c r="T102" s="16">
        <f t="shared" si="126"/>
        <v>148</v>
      </c>
      <c r="U102" s="16">
        <f t="shared" si="127"/>
        <v>148</v>
      </c>
      <c r="AM102" s="16">
        <v>99</v>
      </c>
      <c r="AN102" s="16">
        <f t="shared" si="128"/>
        <v>10937.3</v>
      </c>
      <c r="AO102" s="16">
        <f t="shared" si="129"/>
        <v>10937.3</v>
      </c>
      <c r="AP102" s="16">
        <f t="shared" si="130"/>
        <v>10937.3</v>
      </c>
      <c r="AQ102" s="16">
        <f t="shared" si="131"/>
        <v>10937.3</v>
      </c>
      <c r="AR102" s="16">
        <f t="shared" si="132"/>
        <v>10937.300000000001</v>
      </c>
      <c r="BH102" s="17">
        <v>99</v>
      </c>
      <c r="BI102" s="17">
        <f t="shared" si="143"/>
        <v>10937.3</v>
      </c>
      <c r="BJ102" s="17">
        <f t="shared" si="144"/>
        <v>10937.3</v>
      </c>
      <c r="BK102" s="17">
        <f t="shared" si="145"/>
        <v>10937.3</v>
      </c>
      <c r="BL102" s="17">
        <f t="shared" si="146"/>
        <v>10937.3</v>
      </c>
      <c r="BM102" s="17">
        <f t="shared" si="147"/>
        <v>10937.300000000001</v>
      </c>
      <c r="CC102" s="17">
        <v>99</v>
      </c>
      <c r="CD102" s="17">
        <f t="shared" si="153"/>
        <v>2970</v>
      </c>
      <c r="CE102" s="17">
        <f t="shared" si="154"/>
        <v>2970</v>
      </c>
      <c r="CF102" s="17">
        <f t="shared" si="155"/>
        <v>2970</v>
      </c>
      <c r="CG102" s="17">
        <f t="shared" si="156"/>
        <v>2970</v>
      </c>
      <c r="CH102" s="17">
        <f t="shared" si="157"/>
        <v>2969.9999999999995</v>
      </c>
      <c r="CX102" s="17">
        <v>99</v>
      </c>
      <c r="CY102" s="17">
        <f t="shared" si="133"/>
        <v>217</v>
      </c>
      <c r="CZ102" s="17">
        <f t="shared" si="134"/>
        <v>216.99999999999997</v>
      </c>
      <c r="DA102" s="17">
        <f t="shared" si="135"/>
        <v>217</v>
      </c>
      <c r="DB102" s="17">
        <f t="shared" si="136"/>
        <v>217</v>
      </c>
      <c r="DC102" s="17">
        <f t="shared" si="137"/>
        <v>217</v>
      </c>
      <c r="DS102" s="17">
        <v>99</v>
      </c>
      <c r="DT102" s="17">
        <f t="shared" si="148"/>
        <v>1.0918538114697365</v>
      </c>
      <c r="DU102" s="17">
        <f t="shared" si="149"/>
        <v>1.1399999999999999</v>
      </c>
      <c r="DV102" s="17">
        <f t="shared" si="150"/>
        <v>1.1399999999999999</v>
      </c>
      <c r="DW102" s="17">
        <f t="shared" si="151"/>
        <v>1.1399999999999999</v>
      </c>
      <c r="DX102" s="17">
        <f t="shared" si="152"/>
        <v>1.1399999999999999</v>
      </c>
      <c r="EN102" s="17">
        <v>99</v>
      </c>
      <c r="EO102" s="17">
        <f t="shared" si="138"/>
        <v>0.73981726433717054</v>
      </c>
      <c r="EP102" s="17">
        <f t="shared" si="139"/>
        <v>0.80000000000000016</v>
      </c>
      <c r="EQ102" s="17">
        <f t="shared" si="140"/>
        <v>0.80000000000000016</v>
      </c>
      <c r="ER102" s="17">
        <f t="shared" si="141"/>
        <v>0.80000000000000016</v>
      </c>
      <c r="ES102" s="17">
        <f t="shared" si="142"/>
        <v>0.80000000000000016</v>
      </c>
    </row>
    <row r="103" spans="16:149" x14ac:dyDescent="0.15">
      <c r="P103" s="16">
        <v>100</v>
      </c>
      <c r="Q103" s="16">
        <f t="shared" si="123"/>
        <v>145.65440500899689</v>
      </c>
      <c r="R103" s="16">
        <f t="shared" si="124"/>
        <v>148</v>
      </c>
      <c r="S103" s="16">
        <f t="shared" si="125"/>
        <v>148</v>
      </c>
      <c r="T103" s="16">
        <f t="shared" si="126"/>
        <v>148</v>
      </c>
      <c r="U103" s="16">
        <f t="shared" si="127"/>
        <v>148</v>
      </c>
      <c r="AM103" s="16">
        <v>100</v>
      </c>
      <c r="AN103" s="16">
        <f t="shared" si="128"/>
        <v>11035.1</v>
      </c>
      <c r="AO103" s="16">
        <f t="shared" si="129"/>
        <v>11035.099999999999</v>
      </c>
      <c r="AP103" s="16">
        <f t="shared" si="130"/>
        <v>11035.099999999999</v>
      </c>
      <c r="AQ103" s="16">
        <f t="shared" si="131"/>
        <v>11035.1</v>
      </c>
      <c r="AR103" s="16">
        <f t="shared" si="132"/>
        <v>11035.100000000002</v>
      </c>
      <c r="BH103" s="17">
        <v>100</v>
      </c>
      <c r="BI103" s="17">
        <f t="shared" si="143"/>
        <v>11035.1</v>
      </c>
      <c r="BJ103" s="17">
        <f t="shared" si="144"/>
        <v>11035.099999999999</v>
      </c>
      <c r="BK103" s="17">
        <f t="shared" si="145"/>
        <v>11035.099999999999</v>
      </c>
      <c r="BL103" s="17">
        <f t="shared" si="146"/>
        <v>11035.1</v>
      </c>
      <c r="BM103" s="17">
        <f t="shared" si="147"/>
        <v>11035.100000000002</v>
      </c>
      <c r="CC103" s="17">
        <v>100</v>
      </c>
      <c r="CD103" s="17">
        <f t="shared" si="153"/>
        <v>2990</v>
      </c>
      <c r="CE103" s="17">
        <f t="shared" si="154"/>
        <v>2990</v>
      </c>
      <c r="CF103" s="17">
        <f t="shared" si="155"/>
        <v>2990</v>
      </c>
      <c r="CG103" s="17">
        <f t="shared" si="156"/>
        <v>2990</v>
      </c>
      <c r="CH103" s="17">
        <f t="shared" si="157"/>
        <v>2989.9999999999995</v>
      </c>
      <c r="CX103" s="17">
        <v>100</v>
      </c>
      <c r="CY103" s="17">
        <f t="shared" si="133"/>
        <v>219</v>
      </c>
      <c r="CZ103" s="17">
        <f t="shared" si="134"/>
        <v>218.99999999999997</v>
      </c>
      <c r="DA103" s="17">
        <f t="shared" si="135"/>
        <v>219</v>
      </c>
      <c r="DB103" s="17">
        <f t="shared" si="136"/>
        <v>219</v>
      </c>
      <c r="DC103" s="17">
        <f t="shared" si="137"/>
        <v>219</v>
      </c>
      <c r="DS103" s="17">
        <v>100</v>
      </c>
      <c r="DT103" s="17">
        <f t="shared" si="148"/>
        <v>1.1087254001199585</v>
      </c>
      <c r="DU103" s="17">
        <f t="shared" si="149"/>
        <v>1.1399999999999999</v>
      </c>
      <c r="DV103" s="17">
        <f t="shared" si="150"/>
        <v>1.1399999999999999</v>
      </c>
      <c r="DW103" s="17">
        <f t="shared" si="151"/>
        <v>1.1399999999999999</v>
      </c>
      <c r="DX103" s="17">
        <f t="shared" si="152"/>
        <v>1.1399999999999999</v>
      </c>
      <c r="EN103" s="17">
        <v>100</v>
      </c>
      <c r="EO103" s="17">
        <f t="shared" si="138"/>
        <v>0.76090675014994813</v>
      </c>
      <c r="EP103" s="17">
        <f t="shared" si="139"/>
        <v>0.80000000000000016</v>
      </c>
      <c r="EQ103" s="17">
        <f t="shared" si="140"/>
        <v>0.80000000000000016</v>
      </c>
      <c r="ER103" s="17">
        <f t="shared" si="141"/>
        <v>0.80000000000000016</v>
      </c>
      <c r="ES103" s="17">
        <f t="shared" si="142"/>
        <v>0.80000000000000016</v>
      </c>
    </row>
    <row r="104" spans="16:149" x14ac:dyDescent="0.15">
      <c r="P104" s="16">
        <v>101</v>
      </c>
      <c r="Q104" s="16">
        <f t="shared" ref="Q104:Q162" si="158">求节点(B$4:B$42,G$4:G$42,$P104)</f>
        <v>146.52724190667695</v>
      </c>
      <c r="R104" s="16">
        <f t="shared" ref="R104:R162" si="159">求节点(C$4:C$42,H$4:H$42,$P104)</f>
        <v>148</v>
      </c>
      <c r="S104" s="16">
        <f t="shared" ref="S104:S162" si="160">求节点(D$4:D$42,I$4:I$42,$P104)</f>
        <v>148</v>
      </c>
      <c r="T104" s="16">
        <f t="shared" ref="T104:T162" si="161">求节点(E$4:E$42,J$4:J$42,$P104)</f>
        <v>148</v>
      </c>
      <c r="U104" s="16">
        <f t="shared" ref="U104:U162" si="162">求节点(F$4:F$42,K$4:K$42,$P104)</f>
        <v>148</v>
      </c>
      <c r="AM104" s="16">
        <v>101</v>
      </c>
      <c r="AN104" s="16">
        <f t="shared" ref="AN104:AN137" si="163">求节点(Z$4:Z$42,AE$4:AE$42,$P104)</f>
        <v>11132.9</v>
      </c>
      <c r="AO104" s="16">
        <f t="shared" ref="AO104:AO137" si="164">求节点(AA$4:AA$42,AF$4:AF$42,$P104)</f>
        <v>11132.9</v>
      </c>
      <c r="AP104" s="16">
        <f t="shared" ref="AP104:AP137" si="165">求节点(AB$4:AB$42,AG$4:AG$42,$P104)</f>
        <v>11132.9</v>
      </c>
      <c r="AQ104" s="16">
        <f t="shared" ref="AQ104:AQ137" si="166">求节点(AC$4:AC$42,AH$4:AH$42,$P104)</f>
        <v>11132.900000000001</v>
      </c>
      <c r="AR104" s="16">
        <f t="shared" ref="AR104:AR137" si="167">求节点(AD$4:AD$42,AI$4:AI$42,$P104)</f>
        <v>11132.900000000001</v>
      </c>
      <c r="BH104" s="17">
        <v>101</v>
      </c>
      <c r="BI104" s="17">
        <f t="shared" si="143"/>
        <v>11132.9</v>
      </c>
      <c r="BJ104" s="17">
        <f t="shared" si="144"/>
        <v>11132.9</v>
      </c>
      <c r="BK104" s="17">
        <f t="shared" si="145"/>
        <v>11132.9</v>
      </c>
      <c r="BL104" s="17">
        <f t="shared" si="146"/>
        <v>11132.900000000001</v>
      </c>
      <c r="BM104" s="17">
        <f t="shared" si="147"/>
        <v>11132.900000000001</v>
      </c>
      <c r="CC104" s="17">
        <v>101</v>
      </c>
      <c r="CD104" s="17">
        <f t="shared" ref="CD104:CD134" si="168">求节点(BR$4:BR$42,BW$4:BW$42,$P104)</f>
        <v>3010</v>
      </c>
      <c r="CE104" s="17">
        <f t="shared" ref="CE104:CE134" si="169">求节点(BS$4:BS$42,BX$4:BX$42,$P104)</f>
        <v>3010</v>
      </c>
      <c r="CF104" s="17">
        <f t="shared" ref="CF104:CF134" si="170">求节点(BT$4:BT$42,BY$4:BY$42,$P104)</f>
        <v>3010</v>
      </c>
      <c r="CG104" s="17">
        <f t="shared" ref="CG104:CG134" si="171">求节点(BU$4:BU$42,BZ$4:BZ$42,$P104)</f>
        <v>3010</v>
      </c>
      <c r="CH104" s="17">
        <f t="shared" ref="CH104:CH134" si="172">求节点(BV$4:BV$42,CA$4:CA$42,$P104)</f>
        <v>3009.9999999999991</v>
      </c>
      <c r="CX104" s="17">
        <v>101</v>
      </c>
      <c r="CY104" s="17">
        <f t="shared" ref="CY104:CY142" si="173">求节点(CM$4:CM$42,CR$4:CR$42,$P104)</f>
        <v>221</v>
      </c>
      <c r="CZ104" s="17">
        <f t="shared" ref="CZ104:CZ142" si="174">求节点(CN$4:CN$42,CS$4:CS$42,$P104)</f>
        <v>220.99999999999997</v>
      </c>
      <c r="DA104" s="17">
        <f t="shared" ref="DA104:DA142" si="175">求节点(CO$4:CO$42,CT$4:CT$42,$P104)</f>
        <v>221</v>
      </c>
      <c r="DB104" s="17">
        <f t="shared" ref="DB104:DB142" si="176">求节点(CP$4:CP$42,CU$4:CU$42,$P104)</f>
        <v>221</v>
      </c>
      <c r="DC104" s="17">
        <f t="shared" ref="DC104:DC142" si="177">求节点(CQ$4:CQ$42,CV$4:CV$42,$P104)</f>
        <v>221</v>
      </c>
      <c r="DS104" s="17">
        <v>101</v>
      </c>
      <c r="DT104" s="17">
        <f t="shared" si="148"/>
        <v>1.120363225422359</v>
      </c>
      <c r="DU104" s="17">
        <f t="shared" si="149"/>
        <v>1.1399999999999999</v>
      </c>
      <c r="DV104" s="17">
        <f t="shared" si="150"/>
        <v>1.1399999999999999</v>
      </c>
      <c r="DW104" s="17">
        <f t="shared" si="151"/>
        <v>1.1399999999999999</v>
      </c>
      <c r="DX104" s="17">
        <f t="shared" si="152"/>
        <v>1.1399999999999999</v>
      </c>
      <c r="EN104" s="17">
        <v>101</v>
      </c>
      <c r="EO104" s="17">
        <f t="shared" si="138"/>
        <v>0.7754540317779488</v>
      </c>
      <c r="EP104" s="17">
        <f t="shared" si="139"/>
        <v>0.80000000000000016</v>
      </c>
      <c r="EQ104" s="17">
        <f t="shared" si="140"/>
        <v>0.80000000000000016</v>
      </c>
      <c r="ER104" s="17">
        <f t="shared" si="141"/>
        <v>0.80000000000000016</v>
      </c>
      <c r="ES104" s="17">
        <f t="shared" si="142"/>
        <v>0.80000000000000016</v>
      </c>
    </row>
    <row r="105" spans="16:149" x14ac:dyDescent="0.15">
      <c r="P105" s="16">
        <v>102</v>
      </c>
      <c r="Q105" s="16">
        <f t="shared" si="158"/>
        <v>147.00212606740428</v>
      </c>
      <c r="R105" s="16">
        <f t="shared" si="159"/>
        <v>148</v>
      </c>
      <c r="S105" s="16">
        <f t="shared" si="160"/>
        <v>148</v>
      </c>
      <c r="T105" s="16">
        <f t="shared" si="161"/>
        <v>148</v>
      </c>
      <c r="U105" s="16">
        <f t="shared" si="162"/>
        <v>148</v>
      </c>
      <c r="AM105" s="16">
        <v>102</v>
      </c>
      <c r="AN105" s="16">
        <f t="shared" si="163"/>
        <v>11230.699999999999</v>
      </c>
      <c r="AO105" s="16">
        <f t="shared" si="164"/>
        <v>11230.699999999999</v>
      </c>
      <c r="AP105" s="16">
        <f t="shared" si="165"/>
        <v>11230.7</v>
      </c>
      <c r="AQ105" s="16">
        <f t="shared" si="166"/>
        <v>11230.7</v>
      </c>
      <c r="AR105" s="16">
        <f t="shared" si="167"/>
        <v>11230.7</v>
      </c>
      <c r="BH105" s="17">
        <v>102</v>
      </c>
      <c r="BI105" s="17">
        <f t="shared" si="143"/>
        <v>11230.699999999999</v>
      </c>
      <c r="BJ105" s="17">
        <f t="shared" si="144"/>
        <v>11230.699999999999</v>
      </c>
      <c r="BK105" s="17">
        <f t="shared" si="145"/>
        <v>11230.7</v>
      </c>
      <c r="BL105" s="17">
        <f t="shared" si="146"/>
        <v>11230.7</v>
      </c>
      <c r="BM105" s="17">
        <f t="shared" si="147"/>
        <v>11230.7</v>
      </c>
      <c r="CC105" s="17">
        <v>102</v>
      </c>
      <c r="CD105" s="17">
        <f t="shared" si="168"/>
        <v>3030</v>
      </c>
      <c r="CE105" s="17">
        <f t="shared" si="169"/>
        <v>3030</v>
      </c>
      <c r="CF105" s="17">
        <f t="shared" si="170"/>
        <v>3030</v>
      </c>
      <c r="CG105" s="17">
        <f t="shared" si="171"/>
        <v>3030</v>
      </c>
      <c r="CH105" s="17">
        <f t="shared" si="172"/>
        <v>3029.9999999999991</v>
      </c>
      <c r="CX105" s="17">
        <v>102</v>
      </c>
      <c r="CY105" s="17">
        <f t="shared" si="173"/>
        <v>223</v>
      </c>
      <c r="CZ105" s="17">
        <f t="shared" si="174"/>
        <v>222.99999999999997</v>
      </c>
      <c r="DA105" s="17">
        <f t="shared" si="175"/>
        <v>223</v>
      </c>
      <c r="DB105" s="17">
        <f t="shared" si="176"/>
        <v>223</v>
      </c>
      <c r="DC105" s="17">
        <f t="shared" si="177"/>
        <v>223</v>
      </c>
      <c r="DS105" s="17">
        <v>102</v>
      </c>
      <c r="DT105" s="17">
        <f t="shared" si="148"/>
        <v>1.1266950142320569</v>
      </c>
      <c r="DU105" s="17">
        <f t="shared" si="149"/>
        <v>1.1399999999999999</v>
      </c>
      <c r="DV105" s="17">
        <f t="shared" si="150"/>
        <v>1.1399999999999999</v>
      </c>
      <c r="DW105" s="17">
        <f t="shared" si="151"/>
        <v>1.1399999999999999</v>
      </c>
      <c r="DX105" s="17">
        <f t="shared" si="152"/>
        <v>1.1399999999999999</v>
      </c>
      <c r="EN105" s="17">
        <v>102</v>
      </c>
      <c r="EO105" s="17">
        <f t="shared" si="138"/>
        <v>0.78336876779007136</v>
      </c>
      <c r="EP105" s="17">
        <f t="shared" si="139"/>
        <v>0.80000000000000016</v>
      </c>
      <c r="EQ105" s="17">
        <f t="shared" si="140"/>
        <v>0.80000000000000016</v>
      </c>
      <c r="ER105" s="17">
        <f t="shared" si="141"/>
        <v>0.80000000000000016</v>
      </c>
      <c r="ES105" s="17">
        <f t="shared" si="142"/>
        <v>0.80000000000000016</v>
      </c>
    </row>
    <row r="106" spans="16:149" x14ac:dyDescent="0.15">
      <c r="P106" s="16">
        <v>103</v>
      </c>
      <c r="Q106" s="16">
        <f t="shared" si="158"/>
        <v>147.47701022813163</v>
      </c>
      <c r="R106" s="16">
        <f t="shared" si="159"/>
        <v>148</v>
      </c>
      <c r="S106" s="16">
        <f t="shared" si="160"/>
        <v>148</v>
      </c>
      <c r="T106" s="16">
        <f t="shared" si="161"/>
        <v>148</v>
      </c>
      <c r="U106" s="16">
        <f t="shared" si="162"/>
        <v>148</v>
      </c>
      <c r="AM106" s="16">
        <v>103</v>
      </c>
      <c r="AN106" s="16">
        <f t="shared" si="163"/>
        <v>11328.5</v>
      </c>
      <c r="AO106" s="16">
        <f t="shared" si="164"/>
        <v>11328.5</v>
      </c>
      <c r="AP106" s="16">
        <f t="shared" si="165"/>
        <v>11328.5</v>
      </c>
      <c r="AQ106" s="16">
        <f t="shared" si="166"/>
        <v>11328.5</v>
      </c>
      <c r="AR106" s="16">
        <f t="shared" si="167"/>
        <v>11328.5</v>
      </c>
      <c r="BH106" s="17">
        <v>103</v>
      </c>
      <c r="BI106" s="17">
        <f t="shared" si="143"/>
        <v>11328.5</v>
      </c>
      <c r="BJ106" s="17">
        <f t="shared" si="144"/>
        <v>11328.5</v>
      </c>
      <c r="BK106" s="17">
        <f t="shared" si="145"/>
        <v>11328.5</v>
      </c>
      <c r="BL106" s="17">
        <f t="shared" si="146"/>
        <v>11328.5</v>
      </c>
      <c r="BM106" s="17">
        <f t="shared" si="147"/>
        <v>11328.5</v>
      </c>
      <c r="CC106" s="17">
        <v>103</v>
      </c>
      <c r="CD106" s="17">
        <f t="shared" si="168"/>
        <v>3050</v>
      </c>
      <c r="CE106" s="17">
        <f t="shared" si="169"/>
        <v>3050</v>
      </c>
      <c r="CF106" s="17">
        <f t="shared" si="170"/>
        <v>3050</v>
      </c>
      <c r="CG106" s="17">
        <f t="shared" si="171"/>
        <v>3050</v>
      </c>
      <c r="CH106" s="17">
        <f t="shared" si="172"/>
        <v>3049.9999999999995</v>
      </c>
      <c r="CX106" s="17">
        <v>103</v>
      </c>
      <c r="CY106" s="17">
        <f t="shared" si="173"/>
        <v>225</v>
      </c>
      <c r="CZ106" s="17">
        <f t="shared" si="174"/>
        <v>225</v>
      </c>
      <c r="DA106" s="17">
        <f t="shared" si="175"/>
        <v>225</v>
      </c>
      <c r="DB106" s="17">
        <f t="shared" si="176"/>
        <v>225</v>
      </c>
      <c r="DC106" s="17">
        <f t="shared" si="177"/>
        <v>225</v>
      </c>
      <c r="DS106" s="17">
        <v>103</v>
      </c>
      <c r="DT106" s="17">
        <f t="shared" si="148"/>
        <v>1.133026803041755</v>
      </c>
      <c r="DU106" s="17">
        <f t="shared" si="149"/>
        <v>1.1399999999999999</v>
      </c>
      <c r="DV106" s="17">
        <f t="shared" si="150"/>
        <v>1.1399999999999999</v>
      </c>
      <c r="DW106" s="17">
        <f t="shared" si="151"/>
        <v>1.1399999999999999</v>
      </c>
      <c r="DX106" s="17">
        <f t="shared" si="152"/>
        <v>1.1399999999999999</v>
      </c>
      <c r="EN106" s="17">
        <v>103</v>
      </c>
      <c r="EO106" s="17">
        <f t="shared" si="138"/>
        <v>0.79128350380219381</v>
      </c>
      <c r="EP106" s="17">
        <f t="shared" si="139"/>
        <v>0.80000000000000016</v>
      </c>
      <c r="EQ106" s="17">
        <f t="shared" si="140"/>
        <v>0.80000000000000016</v>
      </c>
      <c r="ER106" s="17">
        <f t="shared" si="141"/>
        <v>0.80000000000000016</v>
      </c>
      <c r="ES106" s="17">
        <f t="shared" si="142"/>
        <v>0.80000000000000016</v>
      </c>
    </row>
    <row r="107" spans="16:149" x14ac:dyDescent="0.15">
      <c r="P107" s="16">
        <v>104</v>
      </c>
      <c r="Q107" s="16">
        <f t="shared" si="158"/>
        <v>147.95189438885896</v>
      </c>
      <c r="R107" s="16">
        <f t="shared" si="159"/>
        <v>148</v>
      </c>
      <c r="S107" s="16">
        <f t="shared" si="160"/>
        <v>148</v>
      </c>
      <c r="T107" s="16">
        <f t="shared" si="161"/>
        <v>148</v>
      </c>
      <c r="U107" s="16">
        <f t="shared" si="162"/>
        <v>148</v>
      </c>
      <c r="AM107" s="16">
        <v>104</v>
      </c>
      <c r="AN107" s="16">
        <f t="shared" si="163"/>
        <v>11426.3</v>
      </c>
      <c r="AO107" s="16">
        <f t="shared" si="164"/>
        <v>11426.3</v>
      </c>
      <c r="AP107" s="16">
        <f t="shared" si="165"/>
        <v>11426.300000000001</v>
      </c>
      <c r="AQ107" s="16">
        <f t="shared" si="166"/>
        <v>11426.300000000001</v>
      </c>
      <c r="AR107" s="16">
        <f t="shared" si="167"/>
        <v>11426.3</v>
      </c>
      <c r="BH107" s="17">
        <v>104</v>
      </c>
      <c r="BI107" s="17">
        <f t="shared" si="143"/>
        <v>11426.3</v>
      </c>
      <c r="BJ107" s="17">
        <f t="shared" si="144"/>
        <v>11426.3</v>
      </c>
      <c r="BK107" s="17">
        <f t="shared" si="145"/>
        <v>11426.300000000001</v>
      </c>
      <c r="BL107" s="17">
        <f t="shared" si="146"/>
        <v>11426.300000000001</v>
      </c>
      <c r="BM107" s="17">
        <f t="shared" si="147"/>
        <v>11426.3</v>
      </c>
      <c r="CC107" s="17">
        <v>104</v>
      </c>
      <c r="CD107" s="17">
        <f t="shared" si="168"/>
        <v>3070</v>
      </c>
      <c r="CE107" s="17">
        <f t="shared" si="169"/>
        <v>3070</v>
      </c>
      <c r="CF107" s="17">
        <f t="shared" si="170"/>
        <v>3070</v>
      </c>
      <c r="CG107" s="17">
        <f t="shared" si="171"/>
        <v>3070</v>
      </c>
      <c r="CH107" s="17">
        <f t="shared" si="172"/>
        <v>3069.9999999999995</v>
      </c>
      <c r="CX107" s="17">
        <v>104</v>
      </c>
      <c r="CY107" s="17">
        <f t="shared" si="173"/>
        <v>227</v>
      </c>
      <c r="CZ107" s="17">
        <f t="shared" si="174"/>
        <v>227</v>
      </c>
      <c r="DA107" s="17">
        <f t="shared" si="175"/>
        <v>227</v>
      </c>
      <c r="DB107" s="17">
        <f t="shared" si="176"/>
        <v>227</v>
      </c>
      <c r="DC107" s="17">
        <f t="shared" si="177"/>
        <v>227</v>
      </c>
      <c r="DS107" s="17">
        <v>104</v>
      </c>
      <c r="DT107" s="17">
        <f t="shared" si="148"/>
        <v>1.1393585918514528</v>
      </c>
      <c r="DU107" s="17">
        <f t="shared" si="149"/>
        <v>1.1399999999999999</v>
      </c>
      <c r="DV107" s="17">
        <f t="shared" si="150"/>
        <v>1.1399999999999999</v>
      </c>
      <c r="DW107" s="17">
        <f t="shared" si="151"/>
        <v>1.1399999999999999</v>
      </c>
      <c r="DX107" s="17">
        <f t="shared" si="152"/>
        <v>1.1399999999999999</v>
      </c>
      <c r="EN107" s="17">
        <v>104</v>
      </c>
      <c r="EO107" s="17">
        <f t="shared" si="138"/>
        <v>0.79919823981431626</v>
      </c>
      <c r="EP107" s="17">
        <f t="shared" si="139"/>
        <v>0.80000000000000016</v>
      </c>
      <c r="EQ107" s="17">
        <f t="shared" si="140"/>
        <v>0.80000000000000016</v>
      </c>
      <c r="ER107" s="17">
        <f t="shared" si="141"/>
        <v>0.80000000000000016</v>
      </c>
      <c r="ES107" s="17">
        <f t="shared" si="142"/>
        <v>0.80000000000000016</v>
      </c>
    </row>
    <row r="108" spans="16:149" x14ac:dyDescent="0.15">
      <c r="P108" s="16">
        <v>105</v>
      </c>
      <c r="Q108" s="16">
        <f t="shared" si="158"/>
        <v>148</v>
      </c>
      <c r="R108" s="16">
        <f t="shared" si="159"/>
        <v>148</v>
      </c>
      <c r="S108" s="16">
        <f t="shared" si="160"/>
        <v>148</v>
      </c>
      <c r="T108" s="16">
        <f t="shared" si="161"/>
        <v>148</v>
      </c>
      <c r="U108" s="16">
        <f t="shared" si="162"/>
        <v>148</v>
      </c>
      <c r="AM108" s="16">
        <v>105</v>
      </c>
      <c r="AN108" s="16">
        <f t="shared" si="163"/>
        <v>11524.1</v>
      </c>
      <c r="AO108" s="16">
        <f t="shared" si="164"/>
        <v>11524.1</v>
      </c>
      <c r="AP108" s="16">
        <f t="shared" si="165"/>
        <v>11524.100000000002</v>
      </c>
      <c r="AQ108" s="16">
        <f t="shared" si="166"/>
        <v>11524.1</v>
      </c>
      <c r="AR108" s="16">
        <f t="shared" si="167"/>
        <v>11524.099999999999</v>
      </c>
      <c r="BH108" s="17">
        <v>105</v>
      </c>
      <c r="BI108" s="17">
        <f t="shared" si="143"/>
        <v>11524.1</v>
      </c>
      <c r="BJ108" s="17">
        <f t="shared" si="144"/>
        <v>11524.1</v>
      </c>
      <c r="BK108" s="17">
        <f t="shared" si="145"/>
        <v>11524.100000000002</v>
      </c>
      <c r="BL108" s="17">
        <f t="shared" si="146"/>
        <v>11524.1</v>
      </c>
      <c r="BM108" s="17">
        <f t="shared" si="147"/>
        <v>11524.099999999999</v>
      </c>
      <c r="CC108" s="17">
        <v>105</v>
      </c>
      <c r="CD108" s="17">
        <f t="shared" si="168"/>
        <v>3090</v>
      </c>
      <c r="CE108" s="17">
        <f t="shared" si="169"/>
        <v>3090</v>
      </c>
      <c r="CF108" s="17">
        <f t="shared" si="170"/>
        <v>3090</v>
      </c>
      <c r="CG108" s="17">
        <f t="shared" si="171"/>
        <v>3090</v>
      </c>
      <c r="CH108" s="17">
        <f t="shared" si="172"/>
        <v>3089.9999999999995</v>
      </c>
      <c r="CX108" s="17">
        <v>105</v>
      </c>
      <c r="CY108" s="17">
        <f t="shared" si="173"/>
        <v>229</v>
      </c>
      <c r="CZ108" s="17">
        <f t="shared" si="174"/>
        <v>229</v>
      </c>
      <c r="DA108" s="17">
        <f t="shared" si="175"/>
        <v>229</v>
      </c>
      <c r="DB108" s="17">
        <f t="shared" si="176"/>
        <v>229</v>
      </c>
      <c r="DC108" s="17">
        <f t="shared" si="177"/>
        <v>229</v>
      </c>
      <c r="DS108" s="17">
        <v>105</v>
      </c>
      <c r="DT108" s="17">
        <f t="shared" si="148"/>
        <v>1.1399999999999999</v>
      </c>
      <c r="DU108" s="17">
        <f t="shared" si="149"/>
        <v>1.1399999999999999</v>
      </c>
      <c r="DV108" s="17">
        <f t="shared" si="150"/>
        <v>1.1399999999999999</v>
      </c>
      <c r="DW108" s="17">
        <f t="shared" si="151"/>
        <v>1.1399999999999999</v>
      </c>
      <c r="DX108" s="17">
        <f t="shared" si="152"/>
        <v>1.1399999999999999</v>
      </c>
      <c r="EN108" s="17">
        <v>105</v>
      </c>
      <c r="EO108" s="17">
        <f t="shared" si="138"/>
        <v>0.80000000000000016</v>
      </c>
      <c r="EP108" s="17">
        <f t="shared" si="139"/>
        <v>0.80000000000000016</v>
      </c>
      <c r="EQ108" s="17">
        <f t="shared" si="140"/>
        <v>0.80000000000000016</v>
      </c>
      <c r="ER108" s="17">
        <f t="shared" si="141"/>
        <v>0.80000000000000016</v>
      </c>
      <c r="ES108" s="17">
        <f t="shared" si="142"/>
        <v>0.80000000000000016</v>
      </c>
    </row>
    <row r="109" spans="16:149" x14ac:dyDescent="0.15">
      <c r="P109" s="16">
        <v>106</v>
      </c>
      <c r="Q109" s="16">
        <f t="shared" si="158"/>
        <v>148</v>
      </c>
      <c r="R109" s="16">
        <f t="shared" si="159"/>
        <v>148</v>
      </c>
      <c r="S109" s="16">
        <f t="shared" si="160"/>
        <v>148</v>
      </c>
      <c r="T109" s="16">
        <f t="shared" si="161"/>
        <v>148</v>
      </c>
      <c r="U109" s="16">
        <f t="shared" si="162"/>
        <v>148</v>
      </c>
      <c r="AM109" s="16">
        <v>106</v>
      </c>
      <c r="AN109" s="16">
        <f t="shared" si="163"/>
        <v>11621.9</v>
      </c>
      <c r="AO109" s="16">
        <f t="shared" si="164"/>
        <v>11621.9</v>
      </c>
      <c r="AP109" s="16">
        <f t="shared" si="165"/>
        <v>11621.900000000001</v>
      </c>
      <c r="AQ109" s="16">
        <f t="shared" si="166"/>
        <v>11621.9</v>
      </c>
      <c r="AR109" s="16">
        <f t="shared" si="167"/>
        <v>11621.9</v>
      </c>
      <c r="BH109" s="17">
        <v>106</v>
      </c>
      <c r="BI109" s="17">
        <f t="shared" si="143"/>
        <v>11621.9</v>
      </c>
      <c r="BJ109" s="17">
        <f t="shared" si="144"/>
        <v>11621.9</v>
      </c>
      <c r="BK109" s="17">
        <f t="shared" si="145"/>
        <v>11621.900000000001</v>
      </c>
      <c r="BL109" s="17">
        <f t="shared" si="146"/>
        <v>11621.9</v>
      </c>
      <c r="BM109" s="17">
        <f t="shared" si="147"/>
        <v>11621.9</v>
      </c>
      <c r="CC109" s="17">
        <v>106</v>
      </c>
      <c r="CD109" s="17">
        <f t="shared" si="168"/>
        <v>3110</v>
      </c>
      <c r="CE109" s="17">
        <f t="shared" si="169"/>
        <v>3110.0000000000005</v>
      </c>
      <c r="CF109" s="17">
        <f t="shared" si="170"/>
        <v>3110</v>
      </c>
      <c r="CG109" s="17">
        <f t="shared" si="171"/>
        <v>3110</v>
      </c>
      <c r="CH109" s="17">
        <f t="shared" si="172"/>
        <v>3110</v>
      </c>
      <c r="CX109" s="17">
        <v>106</v>
      </c>
      <c r="CY109" s="17">
        <f t="shared" si="173"/>
        <v>231</v>
      </c>
      <c r="CZ109" s="17">
        <f t="shared" si="174"/>
        <v>230.99999999999997</v>
      </c>
      <c r="DA109" s="17">
        <f t="shared" si="175"/>
        <v>231</v>
      </c>
      <c r="DB109" s="17">
        <f t="shared" si="176"/>
        <v>231</v>
      </c>
      <c r="DC109" s="17">
        <f t="shared" si="177"/>
        <v>231</v>
      </c>
      <c r="DS109" s="17">
        <v>106</v>
      </c>
      <c r="DT109" s="17">
        <f t="shared" si="148"/>
        <v>1.1399999999999999</v>
      </c>
      <c r="DU109" s="17">
        <f t="shared" si="149"/>
        <v>1.1399999999999999</v>
      </c>
      <c r="DV109" s="17">
        <f t="shared" si="150"/>
        <v>1.1399999999999999</v>
      </c>
      <c r="DW109" s="17">
        <f t="shared" si="151"/>
        <v>1.1399999999999999</v>
      </c>
      <c r="DX109" s="17">
        <f t="shared" si="152"/>
        <v>1.1399999999999999</v>
      </c>
      <c r="EN109" s="17">
        <v>106</v>
      </c>
      <c r="EO109" s="17">
        <f t="shared" si="138"/>
        <v>0.80000000000000016</v>
      </c>
      <c r="EP109" s="17">
        <f t="shared" si="139"/>
        <v>0.80000000000000016</v>
      </c>
      <c r="EQ109" s="17">
        <f t="shared" si="140"/>
        <v>0.80000000000000016</v>
      </c>
      <c r="ER109" s="17">
        <f t="shared" si="141"/>
        <v>0.80000000000000016</v>
      </c>
      <c r="ES109" s="17">
        <f t="shared" si="142"/>
        <v>0.80000000000000016</v>
      </c>
    </row>
    <row r="110" spans="16:149" x14ac:dyDescent="0.15">
      <c r="P110" s="16">
        <v>107</v>
      </c>
      <c r="Q110" s="16">
        <f t="shared" si="158"/>
        <v>148</v>
      </c>
      <c r="R110" s="16">
        <f t="shared" si="159"/>
        <v>148</v>
      </c>
      <c r="S110" s="16">
        <f t="shared" si="160"/>
        <v>148</v>
      </c>
      <c r="T110" s="16">
        <f t="shared" si="161"/>
        <v>148</v>
      </c>
      <c r="U110" s="16">
        <f t="shared" si="162"/>
        <v>148</v>
      </c>
      <c r="AM110" s="16">
        <v>107</v>
      </c>
      <c r="AN110" s="16">
        <f t="shared" si="163"/>
        <v>11719.699999999999</v>
      </c>
      <c r="AO110" s="16">
        <f t="shared" si="164"/>
        <v>11719.699999999999</v>
      </c>
      <c r="AP110" s="16">
        <f t="shared" si="165"/>
        <v>11719.7</v>
      </c>
      <c r="AQ110" s="16">
        <f t="shared" si="166"/>
        <v>11719.699999999999</v>
      </c>
      <c r="AR110" s="16">
        <f t="shared" si="167"/>
        <v>11719.699999999999</v>
      </c>
      <c r="BH110" s="17">
        <v>107</v>
      </c>
      <c r="BI110" s="17">
        <f t="shared" si="143"/>
        <v>11719.699999999999</v>
      </c>
      <c r="BJ110" s="17">
        <f t="shared" si="144"/>
        <v>11719.699999999999</v>
      </c>
      <c r="BK110" s="17">
        <f t="shared" si="145"/>
        <v>11719.7</v>
      </c>
      <c r="BL110" s="17">
        <f t="shared" si="146"/>
        <v>11719.699999999999</v>
      </c>
      <c r="BM110" s="17">
        <f t="shared" si="147"/>
        <v>11719.699999999999</v>
      </c>
      <c r="CC110" s="17">
        <v>107</v>
      </c>
      <c r="CD110" s="17">
        <f t="shared" si="168"/>
        <v>3130</v>
      </c>
      <c r="CE110" s="17">
        <f t="shared" si="169"/>
        <v>3130.0000000000005</v>
      </c>
      <c r="CF110" s="17">
        <f t="shared" si="170"/>
        <v>3130.0000000000005</v>
      </c>
      <c r="CG110" s="17">
        <f t="shared" si="171"/>
        <v>3130</v>
      </c>
      <c r="CH110" s="17">
        <f t="shared" si="172"/>
        <v>3130</v>
      </c>
      <c r="CX110" s="17">
        <v>107</v>
      </c>
      <c r="CY110" s="17">
        <f t="shared" si="173"/>
        <v>233</v>
      </c>
      <c r="CZ110" s="17">
        <f t="shared" si="174"/>
        <v>232.99999999999997</v>
      </c>
      <c r="DA110" s="17">
        <f t="shared" si="175"/>
        <v>233</v>
      </c>
      <c r="DB110" s="17">
        <f t="shared" si="176"/>
        <v>233</v>
      </c>
      <c r="DC110" s="17">
        <f t="shared" si="177"/>
        <v>233</v>
      </c>
      <c r="DS110" s="17">
        <v>107</v>
      </c>
      <c r="DT110" s="17">
        <f t="shared" si="148"/>
        <v>1.1399999999999999</v>
      </c>
      <c r="DU110" s="17">
        <f t="shared" si="149"/>
        <v>1.1399999999999999</v>
      </c>
      <c r="DV110" s="17">
        <f t="shared" si="150"/>
        <v>1.1399999999999999</v>
      </c>
      <c r="DW110" s="17">
        <f t="shared" si="151"/>
        <v>1.1399999999999999</v>
      </c>
      <c r="DX110" s="17">
        <f t="shared" si="152"/>
        <v>1.1399999999999999</v>
      </c>
      <c r="EN110" s="17">
        <v>107</v>
      </c>
      <c r="EO110" s="17">
        <f t="shared" si="138"/>
        <v>0.80000000000000016</v>
      </c>
      <c r="EP110" s="17">
        <f t="shared" si="139"/>
        <v>0.80000000000000016</v>
      </c>
      <c r="EQ110" s="17">
        <f t="shared" si="140"/>
        <v>0.80000000000000016</v>
      </c>
      <c r="ER110" s="17">
        <f t="shared" si="141"/>
        <v>0.80000000000000016</v>
      </c>
      <c r="ES110" s="17">
        <f t="shared" si="142"/>
        <v>0.80000000000000016</v>
      </c>
    </row>
    <row r="111" spans="16:149" x14ac:dyDescent="0.15">
      <c r="P111" s="16">
        <v>108</v>
      </c>
      <c r="Q111" s="16">
        <f t="shared" si="158"/>
        <v>148</v>
      </c>
      <c r="R111" s="16">
        <f t="shared" si="159"/>
        <v>148</v>
      </c>
      <c r="S111" s="16">
        <f t="shared" si="160"/>
        <v>148</v>
      </c>
      <c r="T111" s="16">
        <f t="shared" si="161"/>
        <v>148</v>
      </c>
      <c r="U111" s="16">
        <f t="shared" si="162"/>
        <v>148</v>
      </c>
      <c r="AM111" s="16">
        <v>108</v>
      </c>
      <c r="AN111" s="16">
        <f t="shared" si="163"/>
        <v>11817.5</v>
      </c>
      <c r="AO111" s="16">
        <f t="shared" si="164"/>
        <v>11817.5</v>
      </c>
      <c r="AP111" s="16">
        <f t="shared" si="165"/>
        <v>11817.500000000002</v>
      </c>
      <c r="AQ111" s="16">
        <f t="shared" si="166"/>
        <v>11817.5</v>
      </c>
      <c r="AR111" s="16">
        <f t="shared" si="167"/>
        <v>11817.5</v>
      </c>
      <c r="BH111" s="17">
        <v>108</v>
      </c>
      <c r="BI111" s="17">
        <f t="shared" si="143"/>
        <v>11817.5</v>
      </c>
      <c r="BJ111" s="17">
        <f t="shared" si="144"/>
        <v>11817.5</v>
      </c>
      <c r="BK111" s="17">
        <f t="shared" si="145"/>
        <v>11817.500000000002</v>
      </c>
      <c r="BL111" s="17">
        <f t="shared" si="146"/>
        <v>11817.5</v>
      </c>
      <c r="BM111" s="17">
        <f t="shared" si="147"/>
        <v>11817.5</v>
      </c>
      <c r="CC111" s="17">
        <v>108</v>
      </c>
      <c r="CD111" s="17">
        <f t="shared" si="168"/>
        <v>3150</v>
      </c>
      <c r="CE111" s="17">
        <f t="shared" si="169"/>
        <v>3150.0000000000005</v>
      </c>
      <c r="CF111" s="17">
        <f t="shared" si="170"/>
        <v>3150.0000000000005</v>
      </c>
      <c r="CG111" s="17">
        <f t="shared" si="171"/>
        <v>3150</v>
      </c>
      <c r="CH111" s="17">
        <f t="shared" si="172"/>
        <v>3150.0000000000005</v>
      </c>
      <c r="CX111" s="17">
        <v>108</v>
      </c>
      <c r="CY111" s="17">
        <f t="shared" si="173"/>
        <v>235</v>
      </c>
      <c r="CZ111" s="17">
        <f t="shared" si="174"/>
        <v>234.99999999999997</v>
      </c>
      <c r="DA111" s="17">
        <f t="shared" si="175"/>
        <v>235</v>
      </c>
      <c r="DB111" s="17">
        <f t="shared" si="176"/>
        <v>235</v>
      </c>
      <c r="DC111" s="17">
        <f t="shared" si="177"/>
        <v>235</v>
      </c>
      <c r="DS111" s="17">
        <v>108</v>
      </c>
      <c r="DT111" s="17">
        <f t="shared" si="148"/>
        <v>1.1399999999999999</v>
      </c>
      <c r="DU111" s="17">
        <f t="shared" si="149"/>
        <v>1.1399999999999999</v>
      </c>
      <c r="DV111" s="17">
        <f t="shared" si="150"/>
        <v>1.1399999999999999</v>
      </c>
      <c r="DW111" s="17">
        <f t="shared" si="151"/>
        <v>1.1399999999999999</v>
      </c>
      <c r="DX111" s="17">
        <f t="shared" si="152"/>
        <v>1.1399999999999999</v>
      </c>
      <c r="EN111" s="17">
        <v>108</v>
      </c>
      <c r="EO111" s="17">
        <f t="shared" si="138"/>
        <v>0.80000000000000016</v>
      </c>
      <c r="EP111" s="17">
        <f t="shared" si="139"/>
        <v>0.80000000000000016</v>
      </c>
      <c r="EQ111" s="17">
        <f t="shared" si="140"/>
        <v>0.80000000000000016</v>
      </c>
      <c r="ER111" s="17">
        <f t="shared" si="141"/>
        <v>0.80000000000000016</v>
      </c>
      <c r="ES111" s="17">
        <f t="shared" si="142"/>
        <v>0.80000000000000016</v>
      </c>
    </row>
    <row r="112" spans="16:149" x14ac:dyDescent="0.15">
      <c r="P112" s="16">
        <v>109</v>
      </c>
      <c r="Q112" s="16">
        <f t="shared" si="158"/>
        <v>148</v>
      </c>
      <c r="R112" s="16">
        <f t="shared" si="159"/>
        <v>148</v>
      </c>
      <c r="S112" s="16">
        <f t="shared" si="160"/>
        <v>148</v>
      </c>
      <c r="T112" s="16">
        <f t="shared" si="161"/>
        <v>148</v>
      </c>
      <c r="U112" s="16">
        <f t="shared" si="162"/>
        <v>148</v>
      </c>
      <c r="AM112" s="16">
        <v>109</v>
      </c>
      <c r="AN112" s="16">
        <f t="shared" si="163"/>
        <v>11915.300000000001</v>
      </c>
      <c r="AO112" s="16">
        <f t="shared" si="164"/>
        <v>11915.3</v>
      </c>
      <c r="AP112" s="16">
        <f t="shared" si="165"/>
        <v>11915.300000000001</v>
      </c>
      <c r="AQ112" s="16">
        <f t="shared" si="166"/>
        <v>11915.3</v>
      </c>
      <c r="AR112" s="16">
        <f t="shared" si="167"/>
        <v>11915.3</v>
      </c>
      <c r="BH112" s="17">
        <v>109</v>
      </c>
      <c r="BI112" s="17">
        <f t="shared" si="143"/>
        <v>11915.300000000001</v>
      </c>
      <c r="BJ112" s="17">
        <f t="shared" si="144"/>
        <v>11915.3</v>
      </c>
      <c r="BK112" s="17">
        <f t="shared" si="145"/>
        <v>11915.300000000001</v>
      </c>
      <c r="BL112" s="17">
        <f t="shared" si="146"/>
        <v>11915.3</v>
      </c>
      <c r="BM112" s="17">
        <f t="shared" si="147"/>
        <v>11915.3</v>
      </c>
      <c r="CC112" s="17">
        <v>109</v>
      </c>
      <c r="CD112" s="17">
        <f t="shared" si="168"/>
        <v>3170</v>
      </c>
      <c r="CE112" s="17">
        <f t="shared" si="169"/>
        <v>3170.0000000000005</v>
      </c>
      <c r="CF112" s="17">
        <f t="shared" si="170"/>
        <v>3170.0000000000005</v>
      </c>
      <c r="CG112" s="17">
        <f t="shared" si="171"/>
        <v>3170</v>
      </c>
      <c r="CH112" s="17">
        <f t="shared" si="172"/>
        <v>3170.0000000000005</v>
      </c>
      <c r="CX112" s="17">
        <v>109</v>
      </c>
      <c r="CY112" s="17">
        <f t="shared" si="173"/>
        <v>237</v>
      </c>
      <c r="CZ112" s="17">
        <f t="shared" si="174"/>
        <v>236.99999999999997</v>
      </c>
      <c r="DA112" s="17">
        <f t="shared" si="175"/>
        <v>237</v>
      </c>
      <c r="DB112" s="17">
        <f t="shared" si="176"/>
        <v>237</v>
      </c>
      <c r="DC112" s="17">
        <f t="shared" si="177"/>
        <v>237</v>
      </c>
      <c r="DS112" s="17">
        <v>109</v>
      </c>
      <c r="DT112" s="17">
        <f t="shared" si="148"/>
        <v>1.1399999999999999</v>
      </c>
      <c r="DU112" s="17">
        <f t="shared" si="149"/>
        <v>1.1399999999999999</v>
      </c>
      <c r="DV112" s="17">
        <f t="shared" si="150"/>
        <v>1.1399999999999999</v>
      </c>
      <c r="DW112" s="17">
        <f t="shared" si="151"/>
        <v>1.1399999999999999</v>
      </c>
      <c r="DX112" s="17">
        <f t="shared" si="152"/>
        <v>1.1399999999999999</v>
      </c>
      <c r="EN112" s="17">
        <v>109</v>
      </c>
      <c r="EO112" s="17">
        <f t="shared" si="138"/>
        <v>0.80000000000000016</v>
      </c>
      <c r="EP112" s="17">
        <f t="shared" si="139"/>
        <v>0.80000000000000016</v>
      </c>
      <c r="EQ112" s="17">
        <f t="shared" si="140"/>
        <v>0.80000000000000016</v>
      </c>
      <c r="ER112" s="17">
        <f t="shared" si="141"/>
        <v>0.80000000000000016</v>
      </c>
      <c r="ES112" s="17">
        <f t="shared" si="142"/>
        <v>0.80000000000000016</v>
      </c>
    </row>
    <row r="113" spans="16:149" x14ac:dyDescent="0.15">
      <c r="P113" s="16">
        <v>110</v>
      </c>
      <c r="Q113" s="16">
        <f t="shared" si="158"/>
        <v>148</v>
      </c>
      <c r="R113" s="16">
        <f t="shared" si="159"/>
        <v>148</v>
      </c>
      <c r="S113" s="16">
        <f t="shared" si="160"/>
        <v>148</v>
      </c>
      <c r="T113" s="16">
        <f t="shared" si="161"/>
        <v>148</v>
      </c>
      <c r="U113" s="16">
        <f t="shared" si="162"/>
        <v>148</v>
      </c>
      <c r="AM113" s="16">
        <v>110</v>
      </c>
      <c r="AN113" s="16">
        <f t="shared" si="163"/>
        <v>12013.1</v>
      </c>
      <c r="AO113" s="16">
        <f t="shared" si="164"/>
        <v>12013.099999999999</v>
      </c>
      <c r="AP113" s="16">
        <f t="shared" si="165"/>
        <v>12013.1</v>
      </c>
      <c r="AQ113" s="16">
        <f t="shared" si="166"/>
        <v>12013.1</v>
      </c>
      <c r="AR113" s="16">
        <f t="shared" si="167"/>
        <v>12013.1</v>
      </c>
      <c r="BH113" s="17">
        <v>110</v>
      </c>
      <c r="BI113" s="17">
        <f t="shared" si="143"/>
        <v>12013.1</v>
      </c>
      <c r="BJ113" s="17">
        <f t="shared" si="144"/>
        <v>12013.099999999999</v>
      </c>
      <c r="BK113" s="17">
        <f t="shared" si="145"/>
        <v>12013.1</v>
      </c>
      <c r="BL113" s="17">
        <f t="shared" si="146"/>
        <v>12013.1</v>
      </c>
      <c r="BM113" s="17">
        <f t="shared" si="147"/>
        <v>12013.1</v>
      </c>
      <c r="CC113" s="17">
        <v>110</v>
      </c>
      <c r="CD113" s="17">
        <f t="shared" si="168"/>
        <v>3190</v>
      </c>
      <c r="CE113" s="17">
        <f t="shared" si="169"/>
        <v>3190.0000000000005</v>
      </c>
      <c r="CF113" s="17">
        <f t="shared" si="170"/>
        <v>3190.0000000000005</v>
      </c>
      <c r="CG113" s="17">
        <f t="shared" si="171"/>
        <v>3190</v>
      </c>
      <c r="CH113" s="17">
        <f t="shared" si="172"/>
        <v>3190</v>
      </c>
      <c r="CX113" s="17">
        <v>110</v>
      </c>
      <c r="CY113" s="17">
        <f t="shared" si="173"/>
        <v>239.00000000000003</v>
      </c>
      <c r="CZ113" s="17">
        <f t="shared" si="174"/>
        <v>239</v>
      </c>
      <c r="DA113" s="17">
        <f t="shared" si="175"/>
        <v>239</v>
      </c>
      <c r="DB113" s="17">
        <f t="shared" si="176"/>
        <v>238.99999999999997</v>
      </c>
      <c r="DC113" s="17">
        <f t="shared" si="177"/>
        <v>239.00000000000003</v>
      </c>
      <c r="DS113" s="17">
        <v>110</v>
      </c>
      <c r="DT113" s="17">
        <f t="shared" si="148"/>
        <v>1.1399999999999999</v>
      </c>
      <c r="DU113" s="17">
        <f t="shared" si="149"/>
        <v>1.1399999999999999</v>
      </c>
      <c r="DV113" s="17">
        <f t="shared" si="150"/>
        <v>1.1399999999999999</v>
      </c>
      <c r="DW113" s="17">
        <f t="shared" si="151"/>
        <v>1.1399999999999999</v>
      </c>
      <c r="DX113" s="17">
        <f t="shared" si="152"/>
        <v>1.1399999999999999</v>
      </c>
      <c r="EN113" s="17">
        <v>110</v>
      </c>
      <c r="EO113" s="17">
        <f t="shared" si="138"/>
        <v>0.80000000000000016</v>
      </c>
      <c r="EP113" s="17">
        <f t="shared" si="139"/>
        <v>0.80000000000000016</v>
      </c>
      <c r="EQ113" s="17">
        <f t="shared" si="140"/>
        <v>0.80000000000000016</v>
      </c>
      <c r="ER113" s="17">
        <f t="shared" si="141"/>
        <v>0.80000000000000016</v>
      </c>
      <c r="ES113" s="17">
        <f t="shared" si="142"/>
        <v>0.80000000000000016</v>
      </c>
    </row>
    <row r="114" spans="16:149" x14ac:dyDescent="0.15">
      <c r="P114" s="16">
        <v>111</v>
      </c>
      <c r="Q114" s="16">
        <f t="shared" si="158"/>
        <v>148</v>
      </c>
      <c r="R114" s="16">
        <f t="shared" si="159"/>
        <v>148</v>
      </c>
      <c r="S114" s="16">
        <f t="shared" si="160"/>
        <v>148</v>
      </c>
      <c r="T114" s="16">
        <f t="shared" si="161"/>
        <v>148</v>
      </c>
      <c r="U114" s="16">
        <f t="shared" si="162"/>
        <v>148</v>
      </c>
      <c r="AM114" s="16">
        <v>111</v>
      </c>
      <c r="AN114" s="16">
        <f t="shared" si="163"/>
        <v>12110.900000000001</v>
      </c>
      <c r="AO114" s="16">
        <f t="shared" si="164"/>
        <v>12110.9</v>
      </c>
      <c r="AP114" s="16">
        <f t="shared" si="165"/>
        <v>12110.9</v>
      </c>
      <c r="AQ114" s="16">
        <f t="shared" si="166"/>
        <v>12110.9</v>
      </c>
      <c r="AR114" s="16">
        <f t="shared" si="167"/>
        <v>12110.900000000001</v>
      </c>
      <c r="BH114" s="17">
        <v>111</v>
      </c>
      <c r="BI114" s="17">
        <f t="shared" si="143"/>
        <v>12110.900000000001</v>
      </c>
      <c r="BJ114" s="17">
        <f t="shared" si="144"/>
        <v>12110.9</v>
      </c>
      <c r="BK114" s="17">
        <f t="shared" si="145"/>
        <v>12110.9</v>
      </c>
      <c r="BL114" s="17">
        <f t="shared" si="146"/>
        <v>12110.9</v>
      </c>
      <c r="BM114" s="17">
        <f t="shared" si="147"/>
        <v>12110.900000000001</v>
      </c>
      <c r="CC114" s="17">
        <v>111</v>
      </c>
      <c r="CD114" s="17">
        <f t="shared" si="168"/>
        <v>3210</v>
      </c>
      <c r="CE114" s="17">
        <f t="shared" si="169"/>
        <v>3210</v>
      </c>
      <c r="CF114" s="17">
        <f t="shared" si="170"/>
        <v>3210</v>
      </c>
      <c r="CG114" s="17">
        <f t="shared" si="171"/>
        <v>3210</v>
      </c>
      <c r="CH114" s="17">
        <f t="shared" si="172"/>
        <v>3210</v>
      </c>
      <c r="CX114" s="17">
        <v>111</v>
      </c>
      <c r="CY114" s="17">
        <f t="shared" si="173"/>
        <v>241.00000000000003</v>
      </c>
      <c r="CZ114" s="17">
        <f t="shared" si="174"/>
        <v>241</v>
      </c>
      <c r="DA114" s="17">
        <f t="shared" si="175"/>
        <v>241</v>
      </c>
      <c r="DB114" s="17">
        <f t="shared" si="176"/>
        <v>240.99999999999997</v>
      </c>
      <c r="DC114" s="17">
        <f t="shared" si="177"/>
        <v>241.00000000000003</v>
      </c>
      <c r="DS114" s="17">
        <v>111</v>
      </c>
      <c r="DT114" s="17">
        <f t="shared" si="148"/>
        <v>1.1399999999999999</v>
      </c>
      <c r="DU114" s="17">
        <f t="shared" si="149"/>
        <v>1.1399999999999999</v>
      </c>
      <c r="DV114" s="17">
        <f t="shared" si="150"/>
        <v>1.1399999999999999</v>
      </c>
      <c r="DW114" s="17">
        <f t="shared" si="151"/>
        <v>1.1399999999999999</v>
      </c>
      <c r="DX114" s="17">
        <f t="shared" si="152"/>
        <v>1.1399999999999999</v>
      </c>
      <c r="EN114" s="17">
        <v>111</v>
      </c>
      <c r="EO114" s="17">
        <f t="shared" si="138"/>
        <v>0.80000000000000016</v>
      </c>
      <c r="EP114" s="17">
        <f t="shared" si="139"/>
        <v>0.80000000000000016</v>
      </c>
      <c r="EQ114" s="17">
        <f t="shared" si="140"/>
        <v>0.80000000000000016</v>
      </c>
      <c r="ER114" s="17">
        <f t="shared" si="141"/>
        <v>0.80000000000000016</v>
      </c>
      <c r="ES114" s="17">
        <f t="shared" si="142"/>
        <v>0.80000000000000016</v>
      </c>
    </row>
    <row r="115" spans="16:149" x14ac:dyDescent="0.15">
      <c r="P115" s="16">
        <v>112</v>
      </c>
      <c r="Q115" s="16">
        <f t="shared" si="158"/>
        <v>148</v>
      </c>
      <c r="R115" s="16">
        <f t="shared" si="159"/>
        <v>148</v>
      </c>
      <c r="S115" s="16">
        <f t="shared" si="160"/>
        <v>148</v>
      </c>
      <c r="T115" s="16">
        <f t="shared" si="161"/>
        <v>148</v>
      </c>
      <c r="U115" s="16">
        <f t="shared" si="162"/>
        <v>148</v>
      </c>
      <c r="AM115" s="16">
        <v>112</v>
      </c>
      <c r="AN115" s="16">
        <f t="shared" si="163"/>
        <v>12208.7</v>
      </c>
      <c r="AO115" s="16">
        <f t="shared" si="164"/>
        <v>12208.699999999999</v>
      </c>
      <c r="AP115" s="16">
        <f t="shared" si="165"/>
        <v>12208.699999999999</v>
      </c>
      <c r="AQ115" s="16">
        <f t="shared" si="166"/>
        <v>12208.699999999999</v>
      </c>
      <c r="AR115" s="16">
        <f t="shared" si="167"/>
        <v>12208.7</v>
      </c>
      <c r="BH115" s="17">
        <v>112</v>
      </c>
      <c r="BI115" s="17">
        <f t="shared" si="143"/>
        <v>12208.7</v>
      </c>
      <c r="BJ115" s="17">
        <f t="shared" si="144"/>
        <v>12208.699999999999</v>
      </c>
      <c r="BK115" s="17">
        <f t="shared" si="145"/>
        <v>12208.699999999999</v>
      </c>
      <c r="BL115" s="17">
        <f t="shared" si="146"/>
        <v>12208.699999999999</v>
      </c>
      <c r="BM115" s="17">
        <f t="shared" si="147"/>
        <v>12208.7</v>
      </c>
      <c r="CC115" s="17">
        <v>112</v>
      </c>
      <c r="CD115" s="17">
        <f t="shared" si="168"/>
        <v>3229.9999999999995</v>
      </c>
      <c r="CE115" s="17">
        <f t="shared" si="169"/>
        <v>3230</v>
      </c>
      <c r="CF115" s="17">
        <f t="shared" si="170"/>
        <v>3230</v>
      </c>
      <c r="CG115" s="17">
        <f t="shared" si="171"/>
        <v>3230</v>
      </c>
      <c r="CH115" s="17">
        <f t="shared" si="172"/>
        <v>3230</v>
      </c>
      <c r="CX115" s="17">
        <v>112</v>
      </c>
      <c r="CY115" s="17">
        <f t="shared" si="173"/>
        <v>243.00000000000003</v>
      </c>
      <c r="CZ115" s="17">
        <f t="shared" si="174"/>
        <v>243</v>
      </c>
      <c r="DA115" s="17">
        <f t="shared" si="175"/>
        <v>243</v>
      </c>
      <c r="DB115" s="17">
        <f t="shared" si="176"/>
        <v>242.99999999999997</v>
      </c>
      <c r="DC115" s="17">
        <f t="shared" si="177"/>
        <v>243.00000000000003</v>
      </c>
      <c r="DS115" s="17">
        <v>112</v>
      </c>
      <c r="DT115" s="17">
        <f t="shared" si="148"/>
        <v>1.1399999999999999</v>
      </c>
      <c r="DU115" s="17">
        <f t="shared" si="149"/>
        <v>1.1399999999999999</v>
      </c>
      <c r="DV115" s="17">
        <f t="shared" si="150"/>
        <v>1.1399999999999999</v>
      </c>
      <c r="DW115" s="17">
        <f t="shared" si="151"/>
        <v>1.1399999999999999</v>
      </c>
      <c r="DX115" s="17">
        <f t="shared" si="152"/>
        <v>1.1399999999999999</v>
      </c>
      <c r="EN115" s="17">
        <v>112</v>
      </c>
      <c r="EO115" s="17">
        <f t="shared" si="138"/>
        <v>0.80000000000000016</v>
      </c>
      <c r="EP115" s="17">
        <f t="shared" si="139"/>
        <v>0.80000000000000016</v>
      </c>
      <c r="EQ115" s="17">
        <f t="shared" si="140"/>
        <v>0.80000000000000016</v>
      </c>
      <c r="ER115" s="17">
        <f t="shared" si="141"/>
        <v>0.80000000000000016</v>
      </c>
      <c r="ES115" s="17">
        <f t="shared" si="142"/>
        <v>0.80000000000000016</v>
      </c>
    </row>
    <row r="116" spans="16:149" x14ac:dyDescent="0.15">
      <c r="P116" s="16">
        <v>113</v>
      </c>
      <c r="Q116" s="16">
        <f t="shared" si="158"/>
        <v>148</v>
      </c>
      <c r="R116" s="16">
        <f t="shared" si="159"/>
        <v>148</v>
      </c>
      <c r="S116" s="16">
        <f t="shared" si="160"/>
        <v>148</v>
      </c>
      <c r="T116" s="16">
        <f t="shared" si="161"/>
        <v>148</v>
      </c>
      <c r="U116" s="16">
        <f t="shared" si="162"/>
        <v>148</v>
      </c>
      <c r="AM116" s="16">
        <v>113</v>
      </c>
      <c r="AN116" s="16">
        <f t="shared" si="163"/>
        <v>12306.5</v>
      </c>
      <c r="AO116" s="16">
        <f t="shared" si="164"/>
        <v>12306.5</v>
      </c>
      <c r="AP116" s="16">
        <f t="shared" si="165"/>
        <v>12306.5</v>
      </c>
      <c r="AQ116" s="16">
        <f t="shared" si="166"/>
        <v>12306.5</v>
      </c>
      <c r="AR116" s="16">
        <f t="shared" si="167"/>
        <v>12306.5</v>
      </c>
      <c r="BH116" s="17">
        <v>113</v>
      </c>
      <c r="BI116" s="17">
        <f t="shared" si="143"/>
        <v>12306.5</v>
      </c>
      <c r="BJ116" s="17">
        <f t="shared" si="144"/>
        <v>12306.5</v>
      </c>
      <c r="BK116" s="17">
        <f t="shared" si="145"/>
        <v>12306.5</v>
      </c>
      <c r="BL116" s="17">
        <f t="shared" si="146"/>
        <v>12306.5</v>
      </c>
      <c r="BM116" s="17">
        <f t="shared" si="147"/>
        <v>12306.5</v>
      </c>
      <c r="CC116" s="17">
        <v>113</v>
      </c>
      <c r="CD116" s="17">
        <f t="shared" si="168"/>
        <v>3249.9999999999995</v>
      </c>
      <c r="CE116" s="17">
        <f t="shared" si="169"/>
        <v>3250</v>
      </c>
      <c r="CF116" s="17">
        <f t="shared" si="170"/>
        <v>3250</v>
      </c>
      <c r="CG116" s="17">
        <f t="shared" si="171"/>
        <v>3250</v>
      </c>
      <c r="CH116" s="17">
        <f t="shared" si="172"/>
        <v>3250</v>
      </c>
      <c r="CX116" s="17">
        <v>113</v>
      </c>
      <c r="CY116" s="17">
        <f t="shared" si="173"/>
        <v>245</v>
      </c>
      <c r="CZ116" s="17">
        <f t="shared" si="174"/>
        <v>245</v>
      </c>
      <c r="DA116" s="17">
        <f t="shared" si="175"/>
        <v>245</v>
      </c>
      <c r="DB116" s="17">
        <f t="shared" si="176"/>
        <v>244.99999999999997</v>
      </c>
      <c r="DC116" s="17">
        <f t="shared" si="177"/>
        <v>245.00000000000003</v>
      </c>
      <c r="DS116" s="17">
        <v>113</v>
      </c>
      <c r="DT116" s="17">
        <f t="shared" si="148"/>
        <v>1.1399999999999999</v>
      </c>
      <c r="DU116" s="17">
        <f t="shared" si="149"/>
        <v>1.1399999999999999</v>
      </c>
      <c r="DV116" s="17">
        <f t="shared" si="150"/>
        <v>1.1399999999999999</v>
      </c>
      <c r="DW116" s="17">
        <f t="shared" si="151"/>
        <v>1.1399999999999999</v>
      </c>
      <c r="DX116" s="17">
        <f t="shared" si="152"/>
        <v>1.1399999999999999</v>
      </c>
      <c r="EN116" s="17">
        <v>113</v>
      </c>
      <c r="EO116" s="17">
        <f t="shared" si="138"/>
        <v>0.80000000000000016</v>
      </c>
      <c r="EP116" s="17">
        <f t="shared" si="139"/>
        <v>0.80000000000000016</v>
      </c>
      <c r="EQ116" s="17">
        <f t="shared" si="140"/>
        <v>0.80000000000000016</v>
      </c>
      <c r="ER116" s="17">
        <f t="shared" si="141"/>
        <v>0.80000000000000016</v>
      </c>
      <c r="ES116" s="17">
        <f t="shared" si="142"/>
        <v>0.80000000000000016</v>
      </c>
    </row>
    <row r="117" spans="16:149" x14ac:dyDescent="0.15">
      <c r="P117" s="16">
        <v>114</v>
      </c>
      <c r="Q117" s="16">
        <f t="shared" si="158"/>
        <v>148</v>
      </c>
      <c r="R117" s="16">
        <f t="shared" si="159"/>
        <v>148</v>
      </c>
      <c r="S117" s="16">
        <f t="shared" si="160"/>
        <v>148</v>
      </c>
      <c r="T117" s="16">
        <f t="shared" si="161"/>
        <v>148</v>
      </c>
      <c r="U117" s="16">
        <f t="shared" si="162"/>
        <v>148</v>
      </c>
      <c r="AM117" s="16">
        <v>114</v>
      </c>
      <c r="AN117" s="16">
        <f t="shared" si="163"/>
        <v>12404.3</v>
      </c>
      <c r="AO117" s="16">
        <f t="shared" si="164"/>
        <v>12404.3</v>
      </c>
      <c r="AP117" s="16">
        <f t="shared" si="165"/>
        <v>12404.300000000001</v>
      </c>
      <c r="AQ117" s="16">
        <f t="shared" si="166"/>
        <v>12404.3</v>
      </c>
      <c r="AR117" s="16">
        <f t="shared" si="167"/>
        <v>12404.300000000001</v>
      </c>
      <c r="BH117" s="17">
        <v>114</v>
      </c>
      <c r="BI117" s="17">
        <f t="shared" si="143"/>
        <v>12404.3</v>
      </c>
      <c r="BJ117" s="17">
        <f t="shared" si="144"/>
        <v>12404.3</v>
      </c>
      <c r="BK117" s="17">
        <f t="shared" si="145"/>
        <v>12404.300000000001</v>
      </c>
      <c r="BL117" s="17">
        <f t="shared" si="146"/>
        <v>12404.3</v>
      </c>
      <c r="BM117" s="17">
        <f t="shared" si="147"/>
        <v>12404.300000000001</v>
      </c>
      <c r="CC117" s="17">
        <v>114</v>
      </c>
      <c r="CD117" s="17">
        <f t="shared" si="168"/>
        <v>3269.9999999999995</v>
      </c>
      <c r="CE117" s="17">
        <f t="shared" si="169"/>
        <v>3270</v>
      </c>
      <c r="CF117" s="17">
        <f t="shared" si="170"/>
        <v>3270</v>
      </c>
      <c r="CG117" s="17">
        <f t="shared" si="171"/>
        <v>3270</v>
      </c>
      <c r="CH117" s="17">
        <f t="shared" si="172"/>
        <v>3270</v>
      </c>
      <c r="CX117" s="17">
        <v>114</v>
      </c>
      <c r="CY117" s="17">
        <f t="shared" si="173"/>
        <v>247</v>
      </c>
      <c r="CZ117" s="17">
        <f t="shared" si="174"/>
        <v>247</v>
      </c>
      <c r="DA117" s="17">
        <f t="shared" si="175"/>
        <v>246.99999999999997</v>
      </c>
      <c r="DB117" s="17">
        <f t="shared" si="176"/>
        <v>247</v>
      </c>
      <c r="DC117" s="17">
        <f t="shared" si="177"/>
        <v>247</v>
      </c>
      <c r="DS117" s="17">
        <v>114</v>
      </c>
      <c r="DT117" s="17">
        <f t="shared" si="148"/>
        <v>1.1399999999999999</v>
      </c>
      <c r="DU117" s="17">
        <f t="shared" si="149"/>
        <v>1.1399999999999999</v>
      </c>
      <c r="DV117" s="17">
        <f t="shared" si="150"/>
        <v>1.1399999999999999</v>
      </c>
      <c r="DW117" s="17">
        <f t="shared" si="151"/>
        <v>1.1399999999999999</v>
      </c>
      <c r="DX117" s="17">
        <f t="shared" si="152"/>
        <v>1.1399999999999999</v>
      </c>
      <c r="EN117" s="17">
        <v>114</v>
      </c>
      <c r="EO117" s="17">
        <f t="shared" si="138"/>
        <v>0.80000000000000016</v>
      </c>
      <c r="EP117" s="17">
        <f t="shared" si="139"/>
        <v>0.80000000000000016</v>
      </c>
      <c r="EQ117" s="17">
        <f t="shared" si="140"/>
        <v>0.80000000000000016</v>
      </c>
      <c r="ER117" s="17">
        <f t="shared" si="141"/>
        <v>0.80000000000000016</v>
      </c>
      <c r="ES117" s="17">
        <f t="shared" si="142"/>
        <v>0.80000000000000016</v>
      </c>
    </row>
    <row r="118" spans="16:149" x14ac:dyDescent="0.15">
      <c r="P118" s="16">
        <v>115</v>
      </c>
      <c r="Q118" s="16">
        <f t="shared" si="158"/>
        <v>148</v>
      </c>
      <c r="R118" s="16">
        <f t="shared" si="159"/>
        <v>148</v>
      </c>
      <c r="S118" s="16">
        <f t="shared" si="160"/>
        <v>148</v>
      </c>
      <c r="T118" s="16">
        <f t="shared" si="161"/>
        <v>148</v>
      </c>
      <c r="U118" s="16">
        <f t="shared" si="162"/>
        <v>148</v>
      </c>
      <c r="AM118" s="16">
        <v>115</v>
      </c>
      <c r="AN118" s="16">
        <f t="shared" si="163"/>
        <v>12502.1</v>
      </c>
      <c r="AO118" s="16">
        <f t="shared" si="164"/>
        <v>12502.1</v>
      </c>
      <c r="AP118" s="16">
        <f t="shared" si="165"/>
        <v>12502.100000000002</v>
      </c>
      <c r="AQ118" s="16">
        <f t="shared" si="166"/>
        <v>12502.099999999999</v>
      </c>
      <c r="AR118" s="16">
        <f t="shared" si="167"/>
        <v>12502.1</v>
      </c>
      <c r="BH118" s="17">
        <v>115</v>
      </c>
      <c r="BI118" s="17">
        <f t="shared" si="143"/>
        <v>12502.1</v>
      </c>
      <c r="BJ118" s="17">
        <f t="shared" si="144"/>
        <v>12502.1</v>
      </c>
      <c r="BK118" s="17">
        <f t="shared" si="145"/>
        <v>12502.100000000002</v>
      </c>
      <c r="BL118" s="17">
        <f t="shared" si="146"/>
        <v>12502.099999999999</v>
      </c>
      <c r="BM118" s="17">
        <f t="shared" si="147"/>
        <v>12502.1</v>
      </c>
      <c r="CC118" s="17">
        <v>115</v>
      </c>
      <c r="CD118" s="17">
        <f t="shared" si="168"/>
        <v>3289.9999999999995</v>
      </c>
      <c r="CE118" s="17">
        <f t="shared" si="169"/>
        <v>3290</v>
      </c>
      <c r="CF118" s="17">
        <f t="shared" si="170"/>
        <v>3290</v>
      </c>
      <c r="CG118" s="17">
        <f t="shared" si="171"/>
        <v>3290</v>
      </c>
      <c r="CH118" s="17">
        <f t="shared" si="172"/>
        <v>3290</v>
      </c>
      <c r="CX118" s="17">
        <v>115</v>
      </c>
      <c r="CY118" s="17">
        <f t="shared" si="173"/>
        <v>249</v>
      </c>
      <c r="CZ118" s="17">
        <f t="shared" si="174"/>
        <v>249</v>
      </c>
      <c r="DA118" s="17">
        <f t="shared" si="175"/>
        <v>248.99999999999997</v>
      </c>
      <c r="DB118" s="17">
        <f t="shared" si="176"/>
        <v>249</v>
      </c>
      <c r="DC118" s="17">
        <f t="shared" si="177"/>
        <v>249</v>
      </c>
      <c r="DS118" s="17">
        <v>115</v>
      </c>
      <c r="DT118" s="17">
        <f t="shared" si="148"/>
        <v>1.1399999999999999</v>
      </c>
      <c r="DU118" s="17">
        <f t="shared" si="149"/>
        <v>1.1399999999999999</v>
      </c>
      <c r="DV118" s="17">
        <f t="shared" si="150"/>
        <v>1.1399999999999999</v>
      </c>
      <c r="DW118" s="17">
        <f t="shared" si="151"/>
        <v>1.1399999999999999</v>
      </c>
      <c r="DX118" s="17">
        <f t="shared" si="152"/>
        <v>1.1399999999999999</v>
      </c>
      <c r="EN118" s="17">
        <v>115</v>
      </c>
      <c r="EO118" s="17">
        <f t="shared" si="138"/>
        <v>0.80000000000000016</v>
      </c>
      <c r="EP118" s="17">
        <f t="shared" si="139"/>
        <v>0.80000000000000016</v>
      </c>
      <c r="EQ118" s="17">
        <f t="shared" si="140"/>
        <v>0.80000000000000016</v>
      </c>
      <c r="ER118" s="17">
        <f t="shared" si="141"/>
        <v>0.80000000000000016</v>
      </c>
      <c r="ES118" s="17">
        <f t="shared" si="142"/>
        <v>0.80000000000000016</v>
      </c>
    </row>
    <row r="119" spans="16:149" x14ac:dyDescent="0.15">
      <c r="P119" s="16">
        <v>116</v>
      </c>
      <c r="Q119" s="16">
        <f t="shared" si="158"/>
        <v>148</v>
      </c>
      <c r="R119" s="16">
        <f t="shared" si="159"/>
        <v>148</v>
      </c>
      <c r="S119" s="16">
        <f t="shared" si="160"/>
        <v>148</v>
      </c>
      <c r="T119" s="16">
        <f t="shared" si="161"/>
        <v>148</v>
      </c>
      <c r="U119" s="16">
        <f t="shared" si="162"/>
        <v>148</v>
      </c>
      <c r="AM119" s="16">
        <v>116</v>
      </c>
      <c r="AN119" s="16">
        <f t="shared" si="163"/>
        <v>12599.9</v>
      </c>
      <c r="AO119" s="16">
        <f t="shared" si="164"/>
        <v>12599.9</v>
      </c>
      <c r="AP119" s="16">
        <f t="shared" si="165"/>
        <v>12599.900000000001</v>
      </c>
      <c r="AQ119" s="16">
        <f t="shared" si="166"/>
        <v>12599.9</v>
      </c>
      <c r="AR119" s="16">
        <f t="shared" si="167"/>
        <v>12599.9</v>
      </c>
      <c r="BH119" s="17">
        <v>116</v>
      </c>
      <c r="BI119" s="17">
        <f t="shared" si="143"/>
        <v>12599.9</v>
      </c>
      <c r="BJ119" s="17">
        <f t="shared" si="144"/>
        <v>12599.9</v>
      </c>
      <c r="BK119" s="17">
        <f t="shared" si="145"/>
        <v>12599.900000000001</v>
      </c>
      <c r="BL119" s="17">
        <f t="shared" si="146"/>
        <v>12599.9</v>
      </c>
      <c r="BM119" s="17">
        <f t="shared" si="147"/>
        <v>12599.9</v>
      </c>
      <c r="CC119" s="17">
        <v>116</v>
      </c>
      <c r="CD119" s="17">
        <f t="shared" si="168"/>
        <v>3309.9999999999995</v>
      </c>
      <c r="CE119" s="17">
        <f t="shared" si="169"/>
        <v>3310</v>
      </c>
      <c r="CF119" s="17">
        <f t="shared" si="170"/>
        <v>3310</v>
      </c>
      <c r="CG119" s="17">
        <f t="shared" si="171"/>
        <v>3310</v>
      </c>
      <c r="CH119" s="17">
        <f t="shared" si="172"/>
        <v>3310</v>
      </c>
      <c r="CX119" s="17">
        <v>116</v>
      </c>
      <c r="CY119" s="17">
        <f t="shared" si="173"/>
        <v>251</v>
      </c>
      <c r="CZ119" s="17">
        <f t="shared" si="174"/>
        <v>251</v>
      </c>
      <c r="DA119" s="17">
        <f t="shared" si="175"/>
        <v>250.99999999999997</v>
      </c>
      <c r="DB119" s="17">
        <f t="shared" si="176"/>
        <v>251</v>
      </c>
      <c r="DC119" s="17">
        <f t="shared" si="177"/>
        <v>251</v>
      </c>
      <c r="DS119" s="17">
        <v>116</v>
      </c>
      <c r="DT119" s="17">
        <f t="shared" si="148"/>
        <v>1.1399999999999999</v>
      </c>
      <c r="DU119" s="17">
        <f t="shared" si="149"/>
        <v>1.1399999999999999</v>
      </c>
      <c r="DV119" s="17">
        <f t="shared" si="150"/>
        <v>1.1399999999999999</v>
      </c>
      <c r="DW119" s="17">
        <f t="shared" si="151"/>
        <v>1.1399999999999999</v>
      </c>
      <c r="DX119" s="17">
        <f t="shared" si="152"/>
        <v>1.1399999999999999</v>
      </c>
      <c r="EN119" s="17">
        <v>116</v>
      </c>
      <c r="EO119" s="17">
        <f t="shared" si="138"/>
        <v>0.80000000000000016</v>
      </c>
      <c r="EP119" s="17">
        <f t="shared" si="139"/>
        <v>0.80000000000000016</v>
      </c>
      <c r="EQ119" s="17">
        <f t="shared" si="140"/>
        <v>0.80000000000000016</v>
      </c>
      <c r="ER119" s="17">
        <f t="shared" si="141"/>
        <v>0.80000000000000016</v>
      </c>
      <c r="ES119" s="17">
        <f t="shared" si="142"/>
        <v>0.80000000000000016</v>
      </c>
    </row>
    <row r="120" spans="16:149" x14ac:dyDescent="0.15">
      <c r="P120" s="16">
        <v>117</v>
      </c>
      <c r="Q120" s="16">
        <f t="shared" si="158"/>
        <v>148</v>
      </c>
      <c r="R120" s="16">
        <f t="shared" si="159"/>
        <v>148</v>
      </c>
      <c r="S120" s="16">
        <f t="shared" si="160"/>
        <v>148</v>
      </c>
      <c r="T120" s="16">
        <f t="shared" si="161"/>
        <v>148</v>
      </c>
      <c r="U120" s="16">
        <f t="shared" si="162"/>
        <v>148</v>
      </c>
      <c r="AM120" s="16">
        <v>117</v>
      </c>
      <c r="AN120" s="16">
        <f t="shared" si="163"/>
        <v>12697.699999999999</v>
      </c>
      <c r="AO120" s="16">
        <f t="shared" si="164"/>
        <v>12697.7</v>
      </c>
      <c r="AP120" s="16">
        <f t="shared" si="165"/>
        <v>12697.7</v>
      </c>
      <c r="AQ120" s="16">
        <f t="shared" si="166"/>
        <v>12697.699999999999</v>
      </c>
      <c r="AR120" s="16">
        <f t="shared" si="167"/>
        <v>12697.699999999999</v>
      </c>
      <c r="BH120" s="17">
        <v>117</v>
      </c>
      <c r="BI120" s="17">
        <f t="shared" si="143"/>
        <v>12697.699999999999</v>
      </c>
      <c r="BJ120" s="17">
        <f t="shared" si="144"/>
        <v>12697.7</v>
      </c>
      <c r="BK120" s="17">
        <f t="shared" si="145"/>
        <v>12697.7</v>
      </c>
      <c r="BL120" s="17">
        <f t="shared" si="146"/>
        <v>12697.699999999999</v>
      </c>
      <c r="BM120" s="17">
        <f t="shared" si="147"/>
        <v>12697.699999999999</v>
      </c>
      <c r="CC120" s="17">
        <v>117</v>
      </c>
      <c r="CD120" s="17">
        <f t="shared" si="168"/>
        <v>3329.9999999999995</v>
      </c>
      <c r="CE120" s="17">
        <f t="shared" si="169"/>
        <v>3330</v>
      </c>
      <c r="CF120" s="17">
        <f t="shared" si="170"/>
        <v>3330.0000000000005</v>
      </c>
      <c r="CG120" s="17">
        <f t="shared" si="171"/>
        <v>3330</v>
      </c>
      <c r="CH120" s="17">
        <f t="shared" si="172"/>
        <v>3330</v>
      </c>
      <c r="CX120" s="17">
        <v>117</v>
      </c>
      <c r="CY120" s="17">
        <f t="shared" si="173"/>
        <v>253.00000000000003</v>
      </c>
      <c r="CZ120" s="17">
        <f t="shared" si="174"/>
        <v>253.00000000000003</v>
      </c>
      <c r="DA120" s="17">
        <f t="shared" si="175"/>
        <v>253</v>
      </c>
      <c r="DB120" s="17">
        <f t="shared" si="176"/>
        <v>253.00000000000003</v>
      </c>
      <c r="DC120" s="17">
        <f t="shared" si="177"/>
        <v>253</v>
      </c>
      <c r="DS120" s="17">
        <v>117</v>
      </c>
      <c r="DT120" s="17">
        <f t="shared" si="148"/>
        <v>1.1399999999999999</v>
      </c>
      <c r="DU120" s="17">
        <f t="shared" si="149"/>
        <v>1.1399999999999999</v>
      </c>
      <c r="DV120" s="17">
        <f t="shared" si="150"/>
        <v>1.1399999999999999</v>
      </c>
      <c r="DW120" s="17">
        <f t="shared" si="151"/>
        <v>1.1399999999999999</v>
      </c>
      <c r="DX120" s="17">
        <f t="shared" si="152"/>
        <v>1.1399999999999999</v>
      </c>
      <c r="EN120" s="17">
        <v>117</v>
      </c>
      <c r="EO120" s="17">
        <f t="shared" si="138"/>
        <v>0.80000000000000016</v>
      </c>
      <c r="EP120" s="17">
        <f t="shared" si="139"/>
        <v>0.80000000000000016</v>
      </c>
      <c r="EQ120" s="17">
        <f t="shared" si="140"/>
        <v>0.80000000000000016</v>
      </c>
      <c r="ER120" s="17">
        <f t="shared" si="141"/>
        <v>0.80000000000000016</v>
      </c>
      <c r="ES120" s="17">
        <f t="shared" si="142"/>
        <v>0.80000000000000016</v>
      </c>
    </row>
    <row r="121" spans="16:149" x14ac:dyDescent="0.15">
      <c r="P121" s="16">
        <v>118</v>
      </c>
      <c r="Q121" s="16">
        <f t="shared" si="158"/>
        <v>148</v>
      </c>
      <c r="R121" s="16">
        <f t="shared" si="159"/>
        <v>148</v>
      </c>
      <c r="S121" s="16">
        <f t="shared" si="160"/>
        <v>148</v>
      </c>
      <c r="T121" s="16">
        <f t="shared" si="161"/>
        <v>148</v>
      </c>
      <c r="U121" s="16">
        <f t="shared" si="162"/>
        <v>148</v>
      </c>
      <c r="AM121" s="16">
        <v>118</v>
      </c>
      <c r="AN121" s="16">
        <f t="shared" si="163"/>
        <v>12795.5</v>
      </c>
      <c r="AO121" s="16">
        <f t="shared" si="164"/>
        <v>12795.5</v>
      </c>
      <c r="AP121" s="16">
        <f t="shared" si="165"/>
        <v>12795.5</v>
      </c>
      <c r="AQ121" s="16">
        <f t="shared" si="166"/>
        <v>12795.5</v>
      </c>
      <c r="AR121" s="16">
        <f t="shared" si="167"/>
        <v>12795.5</v>
      </c>
      <c r="BH121" s="17">
        <v>118</v>
      </c>
      <c r="BI121" s="17">
        <f t="shared" si="143"/>
        <v>12795.5</v>
      </c>
      <c r="BJ121" s="17">
        <f t="shared" si="144"/>
        <v>12795.5</v>
      </c>
      <c r="BK121" s="17">
        <f t="shared" si="145"/>
        <v>12795.5</v>
      </c>
      <c r="BL121" s="17">
        <f t="shared" si="146"/>
        <v>12795.5</v>
      </c>
      <c r="BM121" s="17">
        <f t="shared" si="147"/>
        <v>12795.5</v>
      </c>
      <c r="CC121" s="17">
        <v>118</v>
      </c>
      <c r="CD121" s="17">
        <f t="shared" si="168"/>
        <v>3349.9999999999995</v>
      </c>
      <c r="CE121" s="17">
        <f t="shared" si="169"/>
        <v>3350</v>
      </c>
      <c r="CF121" s="17">
        <f t="shared" si="170"/>
        <v>3350.0000000000005</v>
      </c>
      <c r="CG121" s="17">
        <f t="shared" si="171"/>
        <v>3350</v>
      </c>
      <c r="CH121" s="17">
        <f t="shared" si="172"/>
        <v>3350</v>
      </c>
      <c r="CX121" s="17">
        <v>118</v>
      </c>
      <c r="CY121" s="17">
        <f t="shared" si="173"/>
        <v>255.00000000000003</v>
      </c>
      <c r="CZ121" s="17">
        <f t="shared" si="174"/>
        <v>255.00000000000003</v>
      </c>
      <c r="DA121" s="17">
        <f t="shared" si="175"/>
        <v>255</v>
      </c>
      <c r="DB121" s="17">
        <f t="shared" si="176"/>
        <v>255.00000000000003</v>
      </c>
      <c r="DC121" s="17">
        <f t="shared" si="177"/>
        <v>255</v>
      </c>
      <c r="DS121" s="17">
        <v>118</v>
      </c>
      <c r="DT121" s="17">
        <f t="shared" si="148"/>
        <v>1.1399999999999999</v>
      </c>
      <c r="DU121" s="17">
        <f t="shared" si="149"/>
        <v>1.1399999999999999</v>
      </c>
      <c r="DV121" s="17">
        <f t="shared" si="150"/>
        <v>1.1399999999999999</v>
      </c>
      <c r="DW121" s="17">
        <f t="shared" si="151"/>
        <v>1.1399999999999999</v>
      </c>
      <c r="DX121" s="17">
        <f t="shared" si="152"/>
        <v>1.1399999999999999</v>
      </c>
      <c r="EN121" s="17">
        <v>118</v>
      </c>
      <c r="EO121" s="17">
        <f t="shared" si="138"/>
        <v>0.80000000000000016</v>
      </c>
      <c r="EP121" s="17">
        <f t="shared" si="139"/>
        <v>0.80000000000000016</v>
      </c>
      <c r="EQ121" s="17">
        <f t="shared" si="140"/>
        <v>0.80000000000000016</v>
      </c>
      <c r="ER121" s="17">
        <f t="shared" si="141"/>
        <v>0.80000000000000016</v>
      </c>
      <c r="ES121" s="17">
        <f t="shared" si="142"/>
        <v>0.80000000000000016</v>
      </c>
    </row>
    <row r="122" spans="16:149" x14ac:dyDescent="0.15">
      <c r="P122" s="16">
        <v>119</v>
      </c>
      <c r="Q122" s="16">
        <f t="shared" si="158"/>
        <v>148</v>
      </c>
      <c r="R122" s="16">
        <f t="shared" si="159"/>
        <v>148</v>
      </c>
      <c r="S122" s="16">
        <f t="shared" si="160"/>
        <v>148</v>
      </c>
      <c r="T122" s="16">
        <f t="shared" si="161"/>
        <v>148</v>
      </c>
      <c r="U122" s="16">
        <f t="shared" si="162"/>
        <v>148</v>
      </c>
      <c r="AM122" s="16">
        <v>119</v>
      </c>
      <c r="AN122" s="16">
        <f t="shared" si="163"/>
        <v>12893.3</v>
      </c>
      <c r="AO122" s="16">
        <f t="shared" si="164"/>
        <v>12893.300000000001</v>
      </c>
      <c r="AP122" s="16">
        <f t="shared" si="165"/>
        <v>12893.3</v>
      </c>
      <c r="AQ122" s="16">
        <f t="shared" si="166"/>
        <v>12893.3</v>
      </c>
      <c r="AR122" s="16">
        <f t="shared" si="167"/>
        <v>12893.3</v>
      </c>
      <c r="BH122" s="17">
        <v>119</v>
      </c>
      <c r="BI122" s="17">
        <f t="shared" si="143"/>
        <v>12893.3</v>
      </c>
      <c r="BJ122" s="17">
        <f t="shared" si="144"/>
        <v>12893.300000000001</v>
      </c>
      <c r="BK122" s="17">
        <f t="shared" si="145"/>
        <v>12893.3</v>
      </c>
      <c r="BL122" s="17">
        <f t="shared" si="146"/>
        <v>12893.3</v>
      </c>
      <c r="BM122" s="17">
        <f t="shared" si="147"/>
        <v>12893.3</v>
      </c>
      <c r="CC122" s="17">
        <v>119</v>
      </c>
      <c r="CD122" s="17">
        <f t="shared" si="168"/>
        <v>3369.9999999999995</v>
      </c>
      <c r="CE122" s="17">
        <f t="shared" si="169"/>
        <v>3370</v>
      </c>
      <c r="CF122" s="17">
        <f t="shared" si="170"/>
        <v>3370.0000000000005</v>
      </c>
      <c r="CG122" s="17">
        <f t="shared" si="171"/>
        <v>3370</v>
      </c>
      <c r="CH122" s="17">
        <f t="shared" si="172"/>
        <v>3370</v>
      </c>
      <c r="CX122" s="17">
        <v>119</v>
      </c>
      <c r="CY122" s="17">
        <f t="shared" si="173"/>
        <v>257</v>
      </c>
      <c r="CZ122" s="17">
        <f t="shared" si="174"/>
        <v>257</v>
      </c>
      <c r="DA122" s="17">
        <f t="shared" si="175"/>
        <v>257</v>
      </c>
      <c r="DB122" s="17">
        <f t="shared" si="176"/>
        <v>257</v>
      </c>
      <c r="DC122" s="17">
        <f t="shared" si="177"/>
        <v>257</v>
      </c>
      <c r="DS122" s="17">
        <v>119</v>
      </c>
      <c r="DT122" s="17">
        <f t="shared" si="148"/>
        <v>1.1399999999999999</v>
      </c>
      <c r="DU122" s="17">
        <f t="shared" si="149"/>
        <v>1.1399999999999999</v>
      </c>
      <c r="DV122" s="17">
        <f t="shared" si="150"/>
        <v>1.1399999999999999</v>
      </c>
      <c r="DW122" s="17">
        <f t="shared" si="151"/>
        <v>1.1399999999999999</v>
      </c>
      <c r="DX122" s="17">
        <f t="shared" si="152"/>
        <v>1.1399999999999999</v>
      </c>
      <c r="EN122" s="17">
        <v>119</v>
      </c>
      <c r="EO122" s="17">
        <f t="shared" si="138"/>
        <v>0.80000000000000016</v>
      </c>
      <c r="EP122" s="17">
        <f t="shared" si="139"/>
        <v>0.80000000000000016</v>
      </c>
      <c r="EQ122" s="17">
        <f t="shared" si="140"/>
        <v>0.80000000000000016</v>
      </c>
      <c r="ER122" s="17">
        <f t="shared" si="141"/>
        <v>0.80000000000000016</v>
      </c>
      <c r="ES122" s="17">
        <f t="shared" si="142"/>
        <v>0.80000000000000016</v>
      </c>
    </row>
    <row r="123" spans="16:149" x14ac:dyDescent="0.15">
      <c r="P123" s="16">
        <v>120</v>
      </c>
      <c r="Q123" s="16">
        <f t="shared" si="158"/>
        <v>148</v>
      </c>
      <c r="R123" s="16">
        <f t="shared" si="159"/>
        <v>148</v>
      </c>
      <c r="S123" s="16">
        <f t="shared" si="160"/>
        <v>148</v>
      </c>
      <c r="T123" s="16">
        <f t="shared" si="161"/>
        <v>148</v>
      </c>
      <c r="U123" s="16">
        <f t="shared" si="162"/>
        <v>148</v>
      </c>
      <c r="AM123" s="16">
        <v>120</v>
      </c>
      <c r="AN123" s="16">
        <f t="shared" si="163"/>
        <v>12991.099999999999</v>
      </c>
      <c r="AO123" s="16">
        <f t="shared" si="164"/>
        <v>12991.1</v>
      </c>
      <c r="AP123" s="16">
        <f t="shared" si="165"/>
        <v>12991.1</v>
      </c>
      <c r="AQ123" s="16">
        <f t="shared" si="166"/>
        <v>12991.1</v>
      </c>
      <c r="AR123" s="16">
        <f t="shared" si="167"/>
        <v>12991.099999999999</v>
      </c>
      <c r="BH123" s="17">
        <v>120</v>
      </c>
      <c r="BI123" s="17">
        <f t="shared" si="143"/>
        <v>12991.099999999999</v>
      </c>
      <c r="BJ123" s="17">
        <f t="shared" si="144"/>
        <v>12991.1</v>
      </c>
      <c r="BK123" s="17">
        <f t="shared" si="145"/>
        <v>12991.1</v>
      </c>
      <c r="BL123" s="17">
        <f t="shared" si="146"/>
        <v>12991.1</v>
      </c>
      <c r="BM123" s="17">
        <f t="shared" si="147"/>
        <v>12991.099999999999</v>
      </c>
      <c r="CC123" s="17">
        <v>120</v>
      </c>
      <c r="CD123" s="17">
        <f t="shared" si="168"/>
        <v>3389.9999999999995</v>
      </c>
      <c r="CE123" s="17">
        <f t="shared" si="169"/>
        <v>3390</v>
      </c>
      <c r="CF123" s="17">
        <f t="shared" si="170"/>
        <v>3390</v>
      </c>
      <c r="CG123" s="17">
        <f t="shared" si="171"/>
        <v>3390</v>
      </c>
      <c r="CH123" s="17">
        <f t="shared" si="172"/>
        <v>3390</v>
      </c>
      <c r="CX123" s="17">
        <v>120</v>
      </c>
      <c r="CY123" s="17">
        <f t="shared" si="173"/>
        <v>259</v>
      </c>
      <c r="CZ123" s="17">
        <f t="shared" si="174"/>
        <v>259</v>
      </c>
      <c r="DA123" s="17">
        <f t="shared" si="175"/>
        <v>259</v>
      </c>
      <c r="DB123" s="17">
        <f t="shared" si="176"/>
        <v>259</v>
      </c>
      <c r="DC123" s="17">
        <f t="shared" si="177"/>
        <v>259</v>
      </c>
      <c r="DS123" s="17">
        <v>120</v>
      </c>
      <c r="DT123" s="17">
        <f t="shared" si="148"/>
        <v>1.1399999999999999</v>
      </c>
      <c r="DU123" s="17">
        <f t="shared" si="149"/>
        <v>1.1399999999999999</v>
      </c>
      <c r="DV123" s="17">
        <f t="shared" si="150"/>
        <v>1.1399999999999999</v>
      </c>
      <c r="DW123" s="17">
        <f t="shared" si="151"/>
        <v>1.1399999999999999</v>
      </c>
      <c r="DX123" s="17">
        <f t="shared" si="152"/>
        <v>1.1399999999999999</v>
      </c>
      <c r="EN123" s="17">
        <v>120</v>
      </c>
      <c r="EO123" s="17">
        <f t="shared" si="138"/>
        <v>0.80000000000000016</v>
      </c>
      <c r="EP123" s="17">
        <f t="shared" si="139"/>
        <v>0.80000000000000016</v>
      </c>
      <c r="EQ123" s="17">
        <f t="shared" si="140"/>
        <v>0.80000000000000016</v>
      </c>
      <c r="ER123" s="17">
        <f t="shared" si="141"/>
        <v>0.80000000000000016</v>
      </c>
      <c r="ES123" s="17">
        <f t="shared" si="142"/>
        <v>0.80000000000000016</v>
      </c>
    </row>
    <row r="124" spans="16:149" x14ac:dyDescent="0.15">
      <c r="P124" s="16">
        <v>121</v>
      </c>
      <c r="Q124" s="16">
        <f t="shared" si="158"/>
        <v>148</v>
      </c>
      <c r="R124" s="16">
        <f t="shared" si="159"/>
        <v>148</v>
      </c>
      <c r="S124" s="16">
        <f t="shared" si="160"/>
        <v>148</v>
      </c>
      <c r="T124" s="16">
        <f t="shared" si="161"/>
        <v>148</v>
      </c>
      <c r="U124" s="16">
        <f t="shared" si="162"/>
        <v>148</v>
      </c>
      <c r="AM124" s="16">
        <v>121</v>
      </c>
      <c r="AN124" s="16">
        <f t="shared" si="163"/>
        <v>13088.899999999998</v>
      </c>
      <c r="AO124" s="16">
        <f t="shared" si="164"/>
        <v>13088.900000000001</v>
      </c>
      <c r="AP124" s="16">
        <f t="shared" si="165"/>
        <v>13088.9</v>
      </c>
      <c r="AQ124" s="16">
        <f t="shared" si="166"/>
        <v>13088.9</v>
      </c>
      <c r="AR124" s="16">
        <f t="shared" si="167"/>
        <v>13088.9</v>
      </c>
      <c r="BH124" s="17">
        <v>121</v>
      </c>
      <c r="BI124" s="17">
        <f t="shared" si="143"/>
        <v>13088.899999999998</v>
      </c>
      <c r="BJ124" s="17">
        <f t="shared" si="144"/>
        <v>13088.900000000001</v>
      </c>
      <c r="BK124" s="17">
        <f t="shared" si="145"/>
        <v>13088.9</v>
      </c>
      <c r="BL124" s="17">
        <f t="shared" si="146"/>
        <v>13088.9</v>
      </c>
      <c r="BM124" s="17">
        <f t="shared" si="147"/>
        <v>13088.9</v>
      </c>
      <c r="CC124" s="17">
        <v>121</v>
      </c>
      <c r="CD124" s="17">
        <f t="shared" si="168"/>
        <v>3410</v>
      </c>
      <c r="CE124" s="17">
        <f t="shared" si="169"/>
        <v>3410</v>
      </c>
      <c r="CF124" s="17">
        <f t="shared" si="170"/>
        <v>3410</v>
      </c>
      <c r="CG124" s="17">
        <f t="shared" si="171"/>
        <v>3410</v>
      </c>
      <c r="CH124" s="17">
        <f t="shared" si="172"/>
        <v>3410</v>
      </c>
      <c r="CX124" s="17">
        <v>121</v>
      </c>
      <c r="CY124" s="17">
        <f t="shared" si="173"/>
        <v>261</v>
      </c>
      <c r="CZ124" s="17">
        <f t="shared" si="174"/>
        <v>261</v>
      </c>
      <c r="DA124" s="17">
        <f t="shared" si="175"/>
        <v>261</v>
      </c>
      <c r="DB124" s="17">
        <f t="shared" si="176"/>
        <v>261</v>
      </c>
      <c r="DC124" s="17">
        <f t="shared" si="177"/>
        <v>261</v>
      </c>
      <c r="DS124" s="17">
        <v>121</v>
      </c>
      <c r="DT124" s="17">
        <f t="shared" si="148"/>
        <v>1.1399999999999999</v>
      </c>
      <c r="DU124" s="17">
        <f t="shared" si="149"/>
        <v>1.1399999999999999</v>
      </c>
      <c r="DV124" s="17">
        <f t="shared" si="150"/>
        <v>1.1399999999999999</v>
      </c>
      <c r="DW124" s="17">
        <f t="shared" si="151"/>
        <v>1.1399999999999999</v>
      </c>
      <c r="DX124" s="17">
        <f t="shared" si="152"/>
        <v>1.1399999999999999</v>
      </c>
      <c r="EN124" s="17">
        <v>121</v>
      </c>
      <c r="EO124" s="17">
        <f t="shared" si="138"/>
        <v>0.80000000000000016</v>
      </c>
      <c r="EP124" s="17">
        <f t="shared" si="139"/>
        <v>0.80000000000000016</v>
      </c>
      <c r="EQ124" s="17">
        <f t="shared" si="140"/>
        <v>0.80000000000000016</v>
      </c>
      <c r="ER124" s="17">
        <f t="shared" si="141"/>
        <v>0.80000000000000016</v>
      </c>
      <c r="ES124" s="17">
        <f t="shared" si="142"/>
        <v>0.80000000000000016</v>
      </c>
    </row>
    <row r="125" spans="16:149" x14ac:dyDescent="0.15">
      <c r="P125" s="16">
        <v>122</v>
      </c>
      <c r="Q125" s="16">
        <f t="shared" si="158"/>
        <v>148</v>
      </c>
      <c r="R125" s="16">
        <f t="shared" si="159"/>
        <v>148</v>
      </c>
      <c r="S125" s="16">
        <f t="shared" si="160"/>
        <v>148</v>
      </c>
      <c r="T125" s="16">
        <f t="shared" si="161"/>
        <v>148</v>
      </c>
      <c r="U125" s="16">
        <f t="shared" si="162"/>
        <v>148</v>
      </c>
      <c r="AM125" s="16">
        <v>122</v>
      </c>
      <c r="AN125" s="16">
        <f t="shared" si="163"/>
        <v>13186.699999999997</v>
      </c>
      <c r="AO125" s="16">
        <f t="shared" si="164"/>
        <v>13186.7</v>
      </c>
      <c r="AP125" s="16">
        <f t="shared" si="165"/>
        <v>13186.7</v>
      </c>
      <c r="AQ125" s="16">
        <f t="shared" si="166"/>
        <v>13186.7</v>
      </c>
      <c r="AR125" s="16">
        <f t="shared" si="167"/>
        <v>13186.7</v>
      </c>
      <c r="BH125" s="17">
        <v>122</v>
      </c>
      <c r="BI125" s="17">
        <f t="shared" si="143"/>
        <v>13186.699999999997</v>
      </c>
      <c r="BJ125" s="17">
        <f t="shared" si="144"/>
        <v>13186.7</v>
      </c>
      <c r="BK125" s="17">
        <f t="shared" si="145"/>
        <v>13186.7</v>
      </c>
      <c r="BL125" s="17">
        <f t="shared" si="146"/>
        <v>13186.7</v>
      </c>
      <c r="BM125" s="17">
        <f t="shared" si="147"/>
        <v>13186.7</v>
      </c>
      <c r="CC125" s="17">
        <v>122</v>
      </c>
      <c r="CD125" s="17">
        <f t="shared" si="168"/>
        <v>3430</v>
      </c>
      <c r="CE125" s="17">
        <f t="shared" si="169"/>
        <v>3430</v>
      </c>
      <c r="CF125" s="17">
        <f t="shared" si="170"/>
        <v>3430</v>
      </c>
      <c r="CG125" s="17">
        <f t="shared" si="171"/>
        <v>3430</v>
      </c>
      <c r="CH125" s="17">
        <f t="shared" si="172"/>
        <v>3430</v>
      </c>
      <c r="CX125" s="17">
        <v>122</v>
      </c>
      <c r="CY125" s="17">
        <f t="shared" si="173"/>
        <v>263</v>
      </c>
      <c r="CZ125" s="17">
        <f t="shared" si="174"/>
        <v>263</v>
      </c>
      <c r="DA125" s="17">
        <f t="shared" si="175"/>
        <v>263</v>
      </c>
      <c r="DB125" s="17">
        <f t="shared" si="176"/>
        <v>263</v>
      </c>
      <c r="DC125" s="17">
        <f t="shared" si="177"/>
        <v>263</v>
      </c>
      <c r="DS125" s="17">
        <v>122</v>
      </c>
      <c r="DT125" s="17">
        <f t="shared" si="148"/>
        <v>1.1399999999999999</v>
      </c>
      <c r="DU125" s="17">
        <f t="shared" si="149"/>
        <v>1.1399999999999999</v>
      </c>
      <c r="DV125" s="17">
        <f t="shared" si="150"/>
        <v>1.1399999999999999</v>
      </c>
      <c r="DW125" s="17">
        <f t="shared" si="151"/>
        <v>1.1399999999999999</v>
      </c>
      <c r="DX125" s="17">
        <f t="shared" si="152"/>
        <v>1.1399999999999999</v>
      </c>
      <c r="EN125" s="17">
        <v>122</v>
      </c>
      <c r="EO125" s="17">
        <f t="shared" si="138"/>
        <v>0.80000000000000016</v>
      </c>
      <c r="EP125" s="17">
        <f t="shared" si="139"/>
        <v>0.80000000000000016</v>
      </c>
      <c r="EQ125" s="17">
        <f t="shared" si="140"/>
        <v>0.80000000000000016</v>
      </c>
      <c r="ER125" s="17">
        <f t="shared" si="141"/>
        <v>0.80000000000000016</v>
      </c>
      <c r="ES125" s="17">
        <f t="shared" si="142"/>
        <v>0.80000000000000016</v>
      </c>
    </row>
    <row r="126" spans="16:149" x14ac:dyDescent="0.15">
      <c r="P126" s="16">
        <v>123</v>
      </c>
      <c r="Q126" s="16">
        <f t="shared" si="158"/>
        <v>148</v>
      </c>
      <c r="R126" s="16">
        <f t="shared" si="159"/>
        <v>148</v>
      </c>
      <c r="S126" s="16">
        <f t="shared" si="160"/>
        <v>148</v>
      </c>
      <c r="T126" s="16">
        <f t="shared" si="161"/>
        <v>148</v>
      </c>
      <c r="U126" s="16">
        <f t="shared" si="162"/>
        <v>148</v>
      </c>
      <c r="AM126" s="16">
        <v>123</v>
      </c>
      <c r="AN126" s="16">
        <f t="shared" si="163"/>
        <v>13284.499999999998</v>
      </c>
      <c r="AO126" s="16">
        <f t="shared" si="164"/>
        <v>13284.5</v>
      </c>
      <c r="AP126" s="16">
        <f t="shared" si="165"/>
        <v>13284.5</v>
      </c>
      <c r="AQ126" s="16">
        <f t="shared" si="166"/>
        <v>13284.5</v>
      </c>
      <c r="AR126" s="16">
        <f t="shared" si="167"/>
        <v>13284.5</v>
      </c>
      <c r="BH126" s="17">
        <v>123</v>
      </c>
      <c r="BI126" s="17">
        <f t="shared" si="143"/>
        <v>13284.499999999998</v>
      </c>
      <c r="BJ126" s="17">
        <f t="shared" si="144"/>
        <v>13284.5</v>
      </c>
      <c r="BK126" s="17">
        <f t="shared" si="145"/>
        <v>13284.5</v>
      </c>
      <c r="BL126" s="17">
        <f t="shared" si="146"/>
        <v>13284.5</v>
      </c>
      <c r="BM126" s="17">
        <f t="shared" si="147"/>
        <v>13284.5</v>
      </c>
      <c r="CC126" s="17">
        <v>123</v>
      </c>
      <c r="CD126" s="17">
        <f t="shared" si="168"/>
        <v>3449.9999999999995</v>
      </c>
      <c r="CE126" s="17">
        <f t="shared" si="169"/>
        <v>3450</v>
      </c>
      <c r="CF126" s="17">
        <f t="shared" si="170"/>
        <v>3450</v>
      </c>
      <c r="CG126" s="17">
        <f t="shared" si="171"/>
        <v>3450</v>
      </c>
      <c r="CH126" s="17">
        <f t="shared" si="172"/>
        <v>3450</v>
      </c>
      <c r="CX126" s="17">
        <v>123</v>
      </c>
      <c r="CY126" s="17">
        <f t="shared" si="173"/>
        <v>265</v>
      </c>
      <c r="CZ126" s="17">
        <f t="shared" si="174"/>
        <v>265</v>
      </c>
      <c r="DA126" s="17">
        <f t="shared" si="175"/>
        <v>265</v>
      </c>
      <c r="DB126" s="17">
        <f t="shared" si="176"/>
        <v>265</v>
      </c>
      <c r="DC126" s="17">
        <f t="shared" si="177"/>
        <v>265</v>
      </c>
      <c r="DS126" s="17">
        <v>123</v>
      </c>
      <c r="DT126" s="17">
        <f t="shared" si="148"/>
        <v>1.1399999999999999</v>
      </c>
      <c r="DU126" s="17">
        <f t="shared" si="149"/>
        <v>1.1399999999999999</v>
      </c>
      <c r="DV126" s="17">
        <f t="shared" si="150"/>
        <v>1.1399999999999999</v>
      </c>
      <c r="DW126" s="17">
        <f t="shared" si="151"/>
        <v>1.1399999999999999</v>
      </c>
      <c r="DX126" s="17">
        <f t="shared" si="152"/>
        <v>1.1399999999999999</v>
      </c>
      <c r="EN126" s="17">
        <v>123</v>
      </c>
      <c r="EO126" s="17">
        <f t="shared" si="138"/>
        <v>0.80000000000000016</v>
      </c>
      <c r="EP126" s="17">
        <f t="shared" si="139"/>
        <v>0.80000000000000016</v>
      </c>
      <c r="EQ126" s="17">
        <f t="shared" si="140"/>
        <v>0.80000000000000016</v>
      </c>
      <c r="ER126" s="17">
        <f t="shared" si="141"/>
        <v>0.80000000000000016</v>
      </c>
      <c r="ES126" s="17">
        <f t="shared" si="142"/>
        <v>0.80000000000000016</v>
      </c>
    </row>
    <row r="127" spans="16:149" x14ac:dyDescent="0.15">
      <c r="P127" s="16">
        <v>124</v>
      </c>
      <c r="Q127" s="16">
        <f t="shared" si="158"/>
        <v>148</v>
      </c>
      <c r="R127" s="16">
        <f t="shared" si="159"/>
        <v>148</v>
      </c>
      <c r="S127" s="16">
        <f t="shared" si="160"/>
        <v>148</v>
      </c>
      <c r="T127" s="16">
        <f t="shared" si="161"/>
        <v>148</v>
      </c>
      <c r="U127" s="16">
        <f t="shared" si="162"/>
        <v>148</v>
      </c>
      <c r="AM127" s="16">
        <v>124</v>
      </c>
      <c r="AN127" s="16">
        <f t="shared" si="163"/>
        <v>13382.3</v>
      </c>
      <c r="AO127" s="16">
        <f t="shared" si="164"/>
        <v>13382.3</v>
      </c>
      <c r="AP127" s="16">
        <f t="shared" si="165"/>
        <v>13382.3</v>
      </c>
      <c r="AQ127" s="16">
        <f t="shared" si="166"/>
        <v>13382.300000000001</v>
      </c>
      <c r="AR127" s="16">
        <f t="shared" si="167"/>
        <v>13382.300000000001</v>
      </c>
      <c r="BH127" s="17">
        <v>124</v>
      </c>
      <c r="BI127" s="17">
        <f t="shared" si="143"/>
        <v>13382.3</v>
      </c>
      <c r="BJ127" s="17">
        <f t="shared" si="144"/>
        <v>13382.3</v>
      </c>
      <c r="BK127" s="17">
        <f t="shared" si="145"/>
        <v>13382.3</v>
      </c>
      <c r="BL127" s="17">
        <f t="shared" si="146"/>
        <v>13382.300000000001</v>
      </c>
      <c r="BM127" s="17">
        <f t="shared" si="147"/>
        <v>13382.300000000001</v>
      </c>
      <c r="CC127" s="17">
        <v>124</v>
      </c>
      <c r="CD127" s="17">
        <f t="shared" si="168"/>
        <v>3469.9999999999995</v>
      </c>
      <c r="CE127" s="17">
        <f t="shared" si="169"/>
        <v>3470</v>
      </c>
      <c r="CF127" s="17">
        <f t="shared" si="170"/>
        <v>3470</v>
      </c>
      <c r="CG127" s="17">
        <f t="shared" si="171"/>
        <v>3470</v>
      </c>
      <c r="CH127" s="17">
        <f t="shared" si="172"/>
        <v>3470</v>
      </c>
      <c r="CX127" s="17">
        <v>124</v>
      </c>
      <c r="CY127" s="17">
        <f t="shared" si="173"/>
        <v>267</v>
      </c>
      <c r="CZ127" s="17">
        <f t="shared" si="174"/>
        <v>267</v>
      </c>
      <c r="DA127" s="17">
        <f t="shared" si="175"/>
        <v>267</v>
      </c>
      <c r="DB127" s="17">
        <f t="shared" si="176"/>
        <v>267</v>
      </c>
      <c r="DC127" s="17">
        <f t="shared" si="177"/>
        <v>267</v>
      </c>
      <c r="DS127" s="17">
        <v>124</v>
      </c>
      <c r="DT127" s="17">
        <f t="shared" si="148"/>
        <v>1.1399999999999999</v>
      </c>
      <c r="DU127" s="17">
        <f t="shared" si="149"/>
        <v>1.1399999999999999</v>
      </c>
      <c r="DV127" s="17">
        <f t="shared" si="150"/>
        <v>1.1399999999999999</v>
      </c>
      <c r="DW127" s="17">
        <f t="shared" si="151"/>
        <v>1.1399999999999999</v>
      </c>
      <c r="DX127" s="17">
        <f t="shared" si="152"/>
        <v>1.1399999999999999</v>
      </c>
      <c r="EN127" s="17">
        <v>124</v>
      </c>
      <c r="EO127" s="17">
        <f t="shared" si="138"/>
        <v>0.80000000000000016</v>
      </c>
      <c r="EP127" s="17">
        <f t="shared" si="139"/>
        <v>0.80000000000000016</v>
      </c>
      <c r="EQ127" s="17">
        <f t="shared" si="140"/>
        <v>0.80000000000000016</v>
      </c>
      <c r="ER127" s="17">
        <f t="shared" si="141"/>
        <v>0.80000000000000016</v>
      </c>
      <c r="ES127" s="17">
        <f t="shared" si="142"/>
        <v>0.80000000000000016</v>
      </c>
    </row>
    <row r="128" spans="16:149" x14ac:dyDescent="0.15">
      <c r="P128" s="16">
        <v>125</v>
      </c>
      <c r="Q128" s="16">
        <f t="shared" si="158"/>
        <v>148</v>
      </c>
      <c r="R128" s="16">
        <f t="shared" si="159"/>
        <v>148</v>
      </c>
      <c r="S128" s="16">
        <f t="shared" si="160"/>
        <v>148</v>
      </c>
      <c r="T128" s="16">
        <f t="shared" si="161"/>
        <v>148</v>
      </c>
      <c r="U128" s="16">
        <f t="shared" si="162"/>
        <v>148</v>
      </c>
      <c r="AM128" s="16">
        <v>125</v>
      </c>
      <c r="AN128" s="16">
        <f t="shared" si="163"/>
        <v>13480.099999999999</v>
      </c>
      <c r="AO128" s="16">
        <f t="shared" si="164"/>
        <v>13480.099999999999</v>
      </c>
      <c r="AP128" s="16">
        <f t="shared" si="165"/>
        <v>13480.1</v>
      </c>
      <c r="AQ128" s="16">
        <f t="shared" si="166"/>
        <v>13480.1</v>
      </c>
      <c r="AR128" s="16">
        <f t="shared" si="167"/>
        <v>13480.1</v>
      </c>
      <c r="BH128" s="17">
        <v>125</v>
      </c>
      <c r="BI128" s="17">
        <f t="shared" si="143"/>
        <v>13480.099999999999</v>
      </c>
      <c r="BJ128" s="17">
        <f t="shared" si="144"/>
        <v>13480.099999999999</v>
      </c>
      <c r="BK128" s="17">
        <f t="shared" si="145"/>
        <v>13480.1</v>
      </c>
      <c r="BL128" s="17">
        <f t="shared" si="146"/>
        <v>13480.1</v>
      </c>
      <c r="BM128" s="17">
        <f t="shared" si="147"/>
        <v>13480.1</v>
      </c>
      <c r="CC128" s="17">
        <v>125</v>
      </c>
      <c r="CD128" s="17">
        <f t="shared" si="168"/>
        <v>3489.9999999999995</v>
      </c>
      <c r="CE128" s="17">
        <f t="shared" si="169"/>
        <v>3490</v>
      </c>
      <c r="CF128" s="17">
        <f t="shared" si="170"/>
        <v>3490</v>
      </c>
      <c r="CG128" s="17">
        <f t="shared" si="171"/>
        <v>3490</v>
      </c>
      <c r="CH128" s="17">
        <f t="shared" si="172"/>
        <v>3490</v>
      </c>
      <c r="CX128" s="17">
        <v>125</v>
      </c>
      <c r="CY128" s="17">
        <f t="shared" si="173"/>
        <v>269</v>
      </c>
      <c r="CZ128" s="17">
        <f t="shared" si="174"/>
        <v>269</v>
      </c>
      <c r="DA128" s="17">
        <f t="shared" si="175"/>
        <v>269</v>
      </c>
      <c r="DB128" s="17">
        <f t="shared" si="176"/>
        <v>269</v>
      </c>
      <c r="DC128" s="17">
        <f t="shared" si="177"/>
        <v>269</v>
      </c>
      <c r="DS128" s="17">
        <v>125</v>
      </c>
      <c r="DT128" s="17">
        <f t="shared" si="148"/>
        <v>1.1399999999999999</v>
      </c>
      <c r="DU128" s="17">
        <f t="shared" si="149"/>
        <v>1.1399999999999999</v>
      </c>
      <c r="DV128" s="17">
        <f t="shared" si="150"/>
        <v>1.1399999999999999</v>
      </c>
      <c r="DW128" s="17">
        <f t="shared" si="151"/>
        <v>1.1399999999999999</v>
      </c>
      <c r="DX128" s="17">
        <f t="shared" si="152"/>
        <v>1.1399999999999999</v>
      </c>
      <c r="EN128" s="17">
        <v>125</v>
      </c>
      <c r="EO128" s="17">
        <f t="shared" si="138"/>
        <v>0.80000000000000016</v>
      </c>
      <c r="EP128" s="17">
        <f t="shared" si="139"/>
        <v>0.80000000000000016</v>
      </c>
      <c r="EQ128" s="17">
        <f t="shared" si="140"/>
        <v>0.80000000000000016</v>
      </c>
      <c r="ER128" s="17">
        <f t="shared" si="141"/>
        <v>0.80000000000000016</v>
      </c>
      <c r="ES128" s="17">
        <f t="shared" si="142"/>
        <v>0.80000000000000016</v>
      </c>
    </row>
    <row r="129" spans="16:149" x14ac:dyDescent="0.15">
      <c r="P129" s="16">
        <v>126</v>
      </c>
      <c r="Q129" s="16">
        <f t="shared" si="158"/>
        <v>148</v>
      </c>
      <c r="R129" s="16">
        <f t="shared" si="159"/>
        <v>148</v>
      </c>
      <c r="S129" s="16">
        <f t="shared" si="160"/>
        <v>148</v>
      </c>
      <c r="T129" s="16">
        <f t="shared" si="161"/>
        <v>148</v>
      </c>
      <c r="U129" s="16">
        <f t="shared" si="162"/>
        <v>148</v>
      </c>
      <c r="AM129" s="16">
        <v>126</v>
      </c>
      <c r="AN129" s="16">
        <f t="shared" si="163"/>
        <v>13577.9</v>
      </c>
      <c r="AO129" s="16">
        <f t="shared" si="164"/>
        <v>13577.9</v>
      </c>
      <c r="AP129" s="16">
        <f t="shared" si="165"/>
        <v>13577.9</v>
      </c>
      <c r="AQ129" s="16">
        <f t="shared" si="166"/>
        <v>13577.9</v>
      </c>
      <c r="AR129" s="16">
        <f t="shared" si="167"/>
        <v>13577.900000000001</v>
      </c>
      <c r="BH129" s="17">
        <v>126</v>
      </c>
      <c r="BI129" s="17">
        <f t="shared" si="143"/>
        <v>13577.9</v>
      </c>
      <c r="BJ129" s="17">
        <f t="shared" si="144"/>
        <v>13577.9</v>
      </c>
      <c r="BK129" s="17">
        <f t="shared" si="145"/>
        <v>13577.9</v>
      </c>
      <c r="BL129" s="17">
        <f t="shared" si="146"/>
        <v>13577.9</v>
      </c>
      <c r="BM129" s="17">
        <f t="shared" si="147"/>
        <v>13577.900000000001</v>
      </c>
      <c r="CC129" s="17">
        <v>126</v>
      </c>
      <c r="CD129" s="17">
        <f t="shared" si="168"/>
        <v>3509.9999999999995</v>
      </c>
      <c r="CE129" s="17">
        <f t="shared" si="169"/>
        <v>3510</v>
      </c>
      <c r="CF129" s="17">
        <f t="shared" si="170"/>
        <v>3510</v>
      </c>
      <c r="CG129" s="17">
        <f t="shared" si="171"/>
        <v>3510</v>
      </c>
      <c r="CH129" s="17">
        <f t="shared" si="172"/>
        <v>3510</v>
      </c>
      <c r="CX129" s="17">
        <v>126</v>
      </c>
      <c r="CY129" s="17">
        <f t="shared" si="173"/>
        <v>271</v>
      </c>
      <c r="CZ129" s="17">
        <f t="shared" si="174"/>
        <v>271</v>
      </c>
      <c r="DA129" s="17">
        <f t="shared" si="175"/>
        <v>271</v>
      </c>
      <c r="DB129" s="17">
        <f t="shared" si="176"/>
        <v>271</v>
      </c>
      <c r="DC129" s="17">
        <f t="shared" si="177"/>
        <v>271</v>
      </c>
      <c r="DS129" s="17">
        <v>126</v>
      </c>
      <c r="DT129" s="17">
        <f t="shared" si="148"/>
        <v>1.1399999999999999</v>
      </c>
      <c r="DU129" s="17">
        <f t="shared" si="149"/>
        <v>1.1399999999999999</v>
      </c>
      <c r="DV129" s="17">
        <f t="shared" si="150"/>
        <v>1.1399999999999999</v>
      </c>
      <c r="DW129" s="17">
        <f t="shared" si="151"/>
        <v>1.1399999999999999</v>
      </c>
      <c r="DX129" s="17">
        <f t="shared" si="152"/>
        <v>1.1399999999999999</v>
      </c>
      <c r="EN129" s="17">
        <v>126</v>
      </c>
      <c r="EO129" s="17">
        <f t="shared" si="138"/>
        <v>0.80000000000000016</v>
      </c>
      <c r="EP129" s="17">
        <f t="shared" si="139"/>
        <v>0.80000000000000016</v>
      </c>
      <c r="EQ129" s="17">
        <f t="shared" si="140"/>
        <v>0.80000000000000016</v>
      </c>
      <c r="ER129" s="17">
        <f t="shared" si="141"/>
        <v>0.80000000000000016</v>
      </c>
      <c r="ES129" s="17">
        <f t="shared" si="142"/>
        <v>0.80000000000000016</v>
      </c>
    </row>
    <row r="130" spans="16:149" x14ac:dyDescent="0.15">
      <c r="P130" s="16">
        <v>127</v>
      </c>
      <c r="Q130" s="16">
        <f t="shared" si="158"/>
        <v>148</v>
      </c>
      <c r="R130" s="16">
        <f t="shared" si="159"/>
        <v>148</v>
      </c>
      <c r="S130" s="16">
        <f t="shared" si="160"/>
        <v>148</v>
      </c>
      <c r="T130" s="16">
        <f t="shared" si="161"/>
        <v>148</v>
      </c>
      <c r="U130" s="16">
        <f t="shared" si="162"/>
        <v>148</v>
      </c>
      <c r="AM130" s="16">
        <v>127</v>
      </c>
      <c r="AN130" s="16">
        <f t="shared" si="163"/>
        <v>13675.699999999999</v>
      </c>
      <c r="AO130" s="16">
        <f t="shared" si="164"/>
        <v>13675.7</v>
      </c>
      <c r="AP130" s="16">
        <f t="shared" si="165"/>
        <v>13675.7</v>
      </c>
      <c r="AQ130" s="16">
        <f t="shared" si="166"/>
        <v>13675.7</v>
      </c>
      <c r="AR130" s="16">
        <f t="shared" si="167"/>
        <v>13675.7</v>
      </c>
      <c r="BH130" s="17">
        <v>127</v>
      </c>
      <c r="BI130" s="17">
        <f t="shared" si="143"/>
        <v>13675.699999999999</v>
      </c>
      <c r="BJ130" s="17">
        <f t="shared" si="144"/>
        <v>13675.7</v>
      </c>
      <c r="BK130" s="17">
        <f t="shared" si="145"/>
        <v>13675.7</v>
      </c>
      <c r="BL130" s="17">
        <f t="shared" si="146"/>
        <v>13675.7</v>
      </c>
      <c r="BM130" s="17">
        <f t="shared" si="147"/>
        <v>13675.7</v>
      </c>
      <c r="CC130" s="17">
        <v>127</v>
      </c>
      <c r="CD130" s="17">
        <f t="shared" si="168"/>
        <v>3530</v>
      </c>
      <c r="CE130" s="17">
        <f t="shared" si="169"/>
        <v>3530</v>
      </c>
      <c r="CF130" s="17">
        <f t="shared" si="170"/>
        <v>3530</v>
      </c>
      <c r="CG130" s="17">
        <f t="shared" si="171"/>
        <v>3530</v>
      </c>
      <c r="CH130" s="17">
        <f t="shared" si="172"/>
        <v>3530</v>
      </c>
      <c r="CX130" s="17">
        <v>127</v>
      </c>
      <c r="CY130" s="17">
        <f t="shared" si="173"/>
        <v>273</v>
      </c>
      <c r="CZ130" s="17">
        <f t="shared" si="174"/>
        <v>273</v>
      </c>
      <c r="DA130" s="17">
        <f t="shared" si="175"/>
        <v>273</v>
      </c>
      <c r="DB130" s="17">
        <f t="shared" si="176"/>
        <v>273</v>
      </c>
      <c r="DC130" s="17">
        <f t="shared" si="177"/>
        <v>273</v>
      </c>
      <c r="DS130" s="17">
        <v>127</v>
      </c>
      <c r="DT130" s="17">
        <f t="shared" si="148"/>
        <v>1.1399999999999999</v>
      </c>
      <c r="DU130" s="17">
        <f t="shared" si="149"/>
        <v>1.1399999999999999</v>
      </c>
      <c r="DV130" s="17">
        <f t="shared" si="150"/>
        <v>1.1399999999999999</v>
      </c>
      <c r="DW130" s="17">
        <f t="shared" si="151"/>
        <v>1.1399999999999999</v>
      </c>
      <c r="DX130" s="17">
        <f t="shared" si="152"/>
        <v>1.1399999999999999</v>
      </c>
      <c r="EN130" s="17">
        <v>127</v>
      </c>
      <c r="EO130" s="17">
        <f t="shared" si="138"/>
        <v>0.80000000000000016</v>
      </c>
      <c r="EP130" s="17">
        <f t="shared" si="139"/>
        <v>0.80000000000000016</v>
      </c>
      <c r="EQ130" s="17">
        <f t="shared" si="140"/>
        <v>0.80000000000000016</v>
      </c>
      <c r="ER130" s="17">
        <f t="shared" si="141"/>
        <v>0.80000000000000016</v>
      </c>
      <c r="ES130" s="17">
        <f t="shared" si="142"/>
        <v>0.80000000000000016</v>
      </c>
    </row>
    <row r="131" spans="16:149" x14ac:dyDescent="0.15">
      <c r="P131" s="16">
        <v>128</v>
      </c>
      <c r="Q131" s="16">
        <f t="shared" si="158"/>
        <v>148</v>
      </c>
      <c r="R131" s="16">
        <f t="shared" si="159"/>
        <v>148</v>
      </c>
      <c r="S131" s="16">
        <f t="shared" si="160"/>
        <v>148</v>
      </c>
      <c r="T131" s="16">
        <f t="shared" si="161"/>
        <v>148</v>
      </c>
      <c r="U131" s="16">
        <f t="shared" si="162"/>
        <v>148</v>
      </c>
      <c r="AM131" s="16">
        <v>128</v>
      </c>
      <c r="AN131" s="16">
        <f t="shared" si="163"/>
        <v>13773.5</v>
      </c>
      <c r="AO131" s="16">
        <f t="shared" si="164"/>
        <v>13773.500000000002</v>
      </c>
      <c r="AP131" s="16">
        <f t="shared" si="165"/>
        <v>13773.5</v>
      </c>
      <c r="AQ131" s="16">
        <f t="shared" si="166"/>
        <v>13773.5</v>
      </c>
      <c r="AR131" s="16">
        <f t="shared" si="167"/>
        <v>13773.5</v>
      </c>
      <c r="BH131" s="17">
        <v>128</v>
      </c>
      <c r="BI131" s="17">
        <f t="shared" si="143"/>
        <v>13773.5</v>
      </c>
      <c r="BJ131" s="17">
        <f t="shared" si="144"/>
        <v>13773.500000000002</v>
      </c>
      <c r="BK131" s="17">
        <f t="shared" si="145"/>
        <v>13773.5</v>
      </c>
      <c r="BL131" s="17">
        <f t="shared" si="146"/>
        <v>13773.5</v>
      </c>
      <c r="BM131" s="17">
        <f t="shared" si="147"/>
        <v>13773.5</v>
      </c>
      <c r="CC131" s="17">
        <v>128</v>
      </c>
      <c r="CD131" s="17">
        <f t="shared" si="168"/>
        <v>3550</v>
      </c>
      <c r="CE131" s="17">
        <f t="shared" si="169"/>
        <v>3550</v>
      </c>
      <c r="CF131" s="17">
        <f t="shared" si="170"/>
        <v>3550</v>
      </c>
      <c r="CG131" s="17">
        <f t="shared" si="171"/>
        <v>3550</v>
      </c>
      <c r="CH131" s="17">
        <f t="shared" si="172"/>
        <v>3550</v>
      </c>
      <c r="CX131" s="17">
        <v>128</v>
      </c>
      <c r="CY131" s="17">
        <f t="shared" si="173"/>
        <v>275</v>
      </c>
      <c r="CZ131" s="17">
        <f t="shared" si="174"/>
        <v>275</v>
      </c>
      <c r="DA131" s="17">
        <f t="shared" si="175"/>
        <v>275</v>
      </c>
      <c r="DB131" s="17">
        <f t="shared" si="176"/>
        <v>275</v>
      </c>
      <c r="DC131" s="17">
        <f t="shared" si="177"/>
        <v>275</v>
      </c>
      <c r="DS131" s="17">
        <v>128</v>
      </c>
      <c r="DT131" s="17">
        <f t="shared" si="148"/>
        <v>1.1399999999999999</v>
      </c>
      <c r="DU131" s="17">
        <f t="shared" si="149"/>
        <v>1.1399999999999999</v>
      </c>
      <c r="DV131" s="17">
        <f t="shared" si="150"/>
        <v>1.1399999999999999</v>
      </c>
      <c r="DW131" s="17">
        <f t="shared" si="151"/>
        <v>1.1399999999999999</v>
      </c>
      <c r="DX131" s="17">
        <f t="shared" si="152"/>
        <v>1.1399999999999999</v>
      </c>
      <c r="EN131" s="17">
        <v>128</v>
      </c>
      <c r="EO131" s="17">
        <f t="shared" si="138"/>
        <v>0.80000000000000016</v>
      </c>
      <c r="EP131" s="17">
        <f t="shared" si="139"/>
        <v>0.80000000000000016</v>
      </c>
      <c r="EQ131" s="17">
        <f t="shared" si="140"/>
        <v>0.80000000000000016</v>
      </c>
      <c r="ER131" s="17">
        <f t="shared" si="141"/>
        <v>0.80000000000000016</v>
      </c>
      <c r="ES131" s="17">
        <f t="shared" si="142"/>
        <v>0.80000000000000016</v>
      </c>
    </row>
    <row r="132" spans="16:149" x14ac:dyDescent="0.15">
      <c r="P132" s="16">
        <v>129</v>
      </c>
      <c r="Q132" s="16">
        <f t="shared" si="158"/>
        <v>148</v>
      </c>
      <c r="R132" s="16">
        <f t="shared" si="159"/>
        <v>148</v>
      </c>
      <c r="S132" s="16">
        <f t="shared" si="160"/>
        <v>148</v>
      </c>
      <c r="T132" s="16">
        <f t="shared" si="161"/>
        <v>148</v>
      </c>
      <c r="U132" s="16">
        <f t="shared" si="162"/>
        <v>148</v>
      </c>
      <c r="AM132" s="16">
        <v>129</v>
      </c>
      <c r="AN132" s="16">
        <f t="shared" si="163"/>
        <v>13871.3</v>
      </c>
      <c r="AO132" s="16">
        <f t="shared" si="164"/>
        <v>13871.300000000003</v>
      </c>
      <c r="AP132" s="16">
        <f t="shared" si="165"/>
        <v>13871.3</v>
      </c>
      <c r="AQ132" s="16">
        <f t="shared" si="166"/>
        <v>13871.3</v>
      </c>
      <c r="AR132" s="16">
        <f t="shared" si="167"/>
        <v>13871.300000000001</v>
      </c>
      <c r="BH132" s="17">
        <v>129</v>
      </c>
      <c r="BI132" s="17">
        <f t="shared" si="143"/>
        <v>13871.3</v>
      </c>
      <c r="BJ132" s="17">
        <f t="shared" si="144"/>
        <v>13871.300000000003</v>
      </c>
      <c r="BK132" s="17">
        <f t="shared" si="145"/>
        <v>13871.3</v>
      </c>
      <c r="BL132" s="17">
        <f t="shared" si="146"/>
        <v>13871.3</v>
      </c>
      <c r="BM132" s="17">
        <f t="shared" si="147"/>
        <v>13871.300000000001</v>
      </c>
      <c r="CC132" s="17">
        <v>129</v>
      </c>
      <c r="CD132" s="17">
        <f t="shared" si="168"/>
        <v>3570</v>
      </c>
      <c r="CE132" s="17">
        <f t="shared" si="169"/>
        <v>3570</v>
      </c>
      <c r="CF132" s="17">
        <f t="shared" si="170"/>
        <v>3570</v>
      </c>
      <c r="CG132" s="17">
        <f t="shared" si="171"/>
        <v>3570</v>
      </c>
      <c r="CH132" s="17">
        <f t="shared" si="172"/>
        <v>3570</v>
      </c>
      <c r="CX132" s="17">
        <v>129</v>
      </c>
      <c r="CY132" s="17">
        <f t="shared" si="173"/>
        <v>277</v>
      </c>
      <c r="CZ132" s="17">
        <f t="shared" si="174"/>
        <v>277</v>
      </c>
      <c r="DA132" s="17">
        <f t="shared" si="175"/>
        <v>277</v>
      </c>
      <c r="DB132" s="17">
        <f t="shared" si="176"/>
        <v>277</v>
      </c>
      <c r="DC132" s="17">
        <f t="shared" si="177"/>
        <v>277</v>
      </c>
      <c r="DS132" s="17">
        <v>129</v>
      </c>
      <c r="DT132" s="17">
        <f t="shared" si="148"/>
        <v>1.1399999999999999</v>
      </c>
      <c r="DU132" s="17">
        <f t="shared" si="149"/>
        <v>1.1399999999999999</v>
      </c>
      <c r="DV132" s="17">
        <f t="shared" si="150"/>
        <v>1.1399999999999999</v>
      </c>
      <c r="DW132" s="17">
        <f t="shared" si="151"/>
        <v>1.1399999999999999</v>
      </c>
      <c r="DX132" s="17">
        <f t="shared" si="152"/>
        <v>1.1399999999999999</v>
      </c>
      <c r="EN132" s="17">
        <v>129</v>
      </c>
      <c r="EO132" s="17">
        <f t="shared" ref="EO132:EO142" si="178">求节点(EC$4:EC$42,EH$4:EH$42,$P132)</f>
        <v>0.80000000000000016</v>
      </c>
      <c r="EP132" s="17">
        <f t="shared" ref="EP132:EP142" si="179">求节点(ED$4:ED$42,EI$4:EI$42,$P132)</f>
        <v>0.80000000000000016</v>
      </c>
      <c r="EQ132" s="17">
        <f t="shared" ref="EQ132:EQ142" si="180">求节点(EE$4:EE$42,EJ$4:EJ$42,$P132)</f>
        <v>0.80000000000000016</v>
      </c>
      <c r="ER132" s="17">
        <f t="shared" ref="ER132:ER142" si="181">求节点(EF$4:EF$42,EK$4:EK$42,$P132)</f>
        <v>0.80000000000000016</v>
      </c>
      <c r="ES132" s="17">
        <f t="shared" ref="ES132:ES142" si="182">求节点(EG$4:EG$42,EL$4:EL$42,$P132)</f>
        <v>0.80000000000000016</v>
      </c>
    </row>
    <row r="133" spans="16:149" x14ac:dyDescent="0.15">
      <c r="P133" s="16">
        <v>130</v>
      </c>
      <c r="Q133" s="16">
        <f t="shared" si="158"/>
        <v>148</v>
      </c>
      <c r="R133" s="16">
        <f t="shared" si="159"/>
        <v>148</v>
      </c>
      <c r="S133" s="16">
        <f t="shared" si="160"/>
        <v>148</v>
      </c>
      <c r="T133" s="16">
        <f t="shared" si="161"/>
        <v>148</v>
      </c>
      <c r="U133" s="16">
        <f t="shared" si="162"/>
        <v>148</v>
      </c>
      <c r="AM133" s="16">
        <v>130</v>
      </c>
      <c r="AN133" s="16">
        <f t="shared" si="163"/>
        <v>13969.1</v>
      </c>
      <c r="AO133" s="16">
        <f t="shared" si="164"/>
        <v>13969.100000000002</v>
      </c>
      <c r="AP133" s="16">
        <f t="shared" si="165"/>
        <v>13969.1</v>
      </c>
      <c r="AQ133" s="16">
        <f t="shared" si="166"/>
        <v>13969.099999999999</v>
      </c>
      <c r="AR133" s="16">
        <f t="shared" si="167"/>
        <v>13969.1</v>
      </c>
      <c r="BH133" s="17">
        <v>130</v>
      </c>
      <c r="BI133" s="17">
        <f t="shared" ref="BI133:BI163" si="183">求节点(AU$4:AU$42,AZ$4:AZ$42,$P133)</f>
        <v>13969.1</v>
      </c>
      <c r="BJ133" s="17">
        <f t="shared" ref="BJ133:BJ163" si="184">求节点(AV$4:AV$42,BA$4:BA$42,$P133)</f>
        <v>13969.100000000002</v>
      </c>
      <c r="BK133" s="17">
        <f t="shared" ref="BK133:BK163" si="185">求节点(AW$4:AW$42,BB$4:BB$42,$P133)</f>
        <v>13969.1</v>
      </c>
      <c r="BL133" s="17">
        <f t="shared" ref="BL133:BL163" si="186">求节点(AX$4:AX$42,BC$4:BC$42,$P133)</f>
        <v>13969.099999999999</v>
      </c>
      <c r="BM133" s="17">
        <f t="shared" ref="BM133:BM163" si="187">求节点(AY$4:AY$42,BD$4:BD$42,$P133)</f>
        <v>13969.1</v>
      </c>
      <c r="CC133" s="17">
        <v>130</v>
      </c>
      <c r="CD133" s="17">
        <f t="shared" si="168"/>
        <v>3590</v>
      </c>
      <c r="CE133" s="17">
        <f t="shared" si="169"/>
        <v>3590</v>
      </c>
      <c r="CF133" s="17">
        <f t="shared" si="170"/>
        <v>3590</v>
      </c>
      <c r="CG133" s="17">
        <f t="shared" si="171"/>
        <v>3590</v>
      </c>
      <c r="CH133" s="17">
        <f t="shared" si="172"/>
        <v>3590</v>
      </c>
      <c r="CX133" s="17">
        <v>130</v>
      </c>
      <c r="CY133" s="17">
        <f t="shared" si="173"/>
        <v>279</v>
      </c>
      <c r="CZ133" s="17">
        <f t="shared" si="174"/>
        <v>279</v>
      </c>
      <c r="DA133" s="17">
        <f t="shared" si="175"/>
        <v>279</v>
      </c>
      <c r="DB133" s="17">
        <f t="shared" si="176"/>
        <v>279</v>
      </c>
      <c r="DC133" s="17">
        <f t="shared" si="177"/>
        <v>279</v>
      </c>
      <c r="DS133" s="17">
        <v>130</v>
      </c>
      <c r="DT133" s="17">
        <f t="shared" ref="DT133:DT163" si="188">求节点(DH$4:DH$42,DM$4:DM$42,$DS133)</f>
        <v>1.1399999999999999</v>
      </c>
      <c r="DU133" s="17">
        <f t="shared" ref="DU133:DU163" si="189">求节点(DI$4:DI$42,DN$4:DN$42,$DS133)</f>
        <v>1.1399999999999999</v>
      </c>
      <c r="DV133" s="17">
        <f t="shared" ref="DV133:DV163" si="190">求节点(DJ$4:DJ$42,DO$4:DO$42,$DS133)</f>
        <v>1.1399999999999999</v>
      </c>
      <c r="DW133" s="17">
        <f t="shared" ref="DW133:DW163" si="191">求节点(DK$4:DK$42,DP$4:DP$42,$DS133)</f>
        <v>1.1399999999999999</v>
      </c>
      <c r="DX133" s="17">
        <f t="shared" ref="DX133:DX163" si="192">求节点(DL$4:DL$42,DQ$4:DQ$42,$DS133)</f>
        <v>1.1399999999999999</v>
      </c>
      <c r="EN133" s="17">
        <v>130</v>
      </c>
      <c r="EO133" s="17">
        <f t="shared" si="178"/>
        <v>0.80000000000000016</v>
      </c>
      <c r="EP133" s="17">
        <f t="shared" si="179"/>
        <v>0.80000000000000016</v>
      </c>
      <c r="EQ133" s="17">
        <f t="shared" si="180"/>
        <v>0.80000000000000016</v>
      </c>
      <c r="ER133" s="17">
        <f t="shared" si="181"/>
        <v>0.80000000000000016</v>
      </c>
      <c r="ES133" s="17">
        <f t="shared" si="182"/>
        <v>0.80000000000000016</v>
      </c>
    </row>
    <row r="134" spans="16:149" x14ac:dyDescent="0.15">
      <c r="P134" s="16">
        <v>131</v>
      </c>
      <c r="Q134" s="16">
        <f t="shared" si="158"/>
        <v>148</v>
      </c>
      <c r="R134" s="16">
        <f t="shared" si="159"/>
        <v>148</v>
      </c>
      <c r="S134" s="16">
        <f t="shared" si="160"/>
        <v>148</v>
      </c>
      <c r="T134" s="16">
        <f t="shared" si="161"/>
        <v>148</v>
      </c>
      <c r="U134" s="16">
        <f t="shared" si="162"/>
        <v>148</v>
      </c>
      <c r="AM134" s="16">
        <v>131</v>
      </c>
      <c r="AN134" s="16">
        <f t="shared" si="163"/>
        <v>14066.9</v>
      </c>
      <c r="AO134" s="16">
        <f t="shared" si="164"/>
        <v>14066.900000000001</v>
      </c>
      <c r="AP134" s="16">
        <f t="shared" si="165"/>
        <v>14066.900000000001</v>
      </c>
      <c r="AQ134" s="16">
        <f t="shared" si="166"/>
        <v>14066.9</v>
      </c>
      <c r="AR134" s="16">
        <f t="shared" si="167"/>
        <v>14066.9</v>
      </c>
      <c r="BH134" s="17">
        <v>131</v>
      </c>
      <c r="BI134" s="17">
        <f t="shared" si="183"/>
        <v>14066.9</v>
      </c>
      <c r="BJ134" s="17">
        <f t="shared" si="184"/>
        <v>14066.900000000001</v>
      </c>
      <c r="BK134" s="17">
        <f t="shared" si="185"/>
        <v>14066.900000000001</v>
      </c>
      <c r="BL134" s="17">
        <f t="shared" si="186"/>
        <v>14066.9</v>
      </c>
      <c r="BM134" s="17">
        <f t="shared" si="187"/>
        <v>14066.9</v>
      </c>
      <c r="CC134" s="17">
        <v>131</v>
      </c>
      <c r="CD134" s="17">
        <f t="shared" si="168"/>
        <v>3610</v>
      </c>
      <c r="CE134" s="17">
        <f t="shared" si="169"/>
        <v>3610.0000000000005</v>
      </c>
      <c r="CF134" s="17">
        <f t="shared" si="170"/>
        <v>3609.9999999999995</v>
      </c>
      <c r="CG134" s="17">
        <f t="shared" si="171"/>
        <v>3610</v>
      </c>
      <c r="CH134" s="17">
        <f t="shared" si="172"/>
        <v>3610</v>
      </c>
      <c r="CX134" s="17">
        <v>131</v>
      </c>
      <c r="CY134" s="17">
        <f t="shared" si="173"/>
        <v>281</v>
      </c>
      <c r="CZ134" s="17">
        <f t="shared" si="174"/>
        <v>281</v>
      </c>
      <c r="DA134" s="17">
        <f t="shared" si="175"/>
        <v>281</v>
      </c>
      <c r="DB134" s="17">
        <f t="shared" si="176"/>
        <v>281</v>
      </c>
      <c r="DC134" s="17">
        <f t="shared" si="177"/>
        <v>281</v>
      </c>
      <c r="DS134" s="17">
        <v>131</v>
      </c>
      <c r="DT134" s="17">
        <f t="shared" si="188"/>
        <v>1.1399999999999999</v>
      </c>
      <c r="DU134" s="17">
        <f t="shared" si="189"/>
        <v>1.1399999999999999</v>
      </c>
      <c r="DV134" s="17">
        <f t="shared" si="190"/>
        <v>1.1399999999999999</v>
      </c>
      <c r="DW134" s="17">
        <f t="shared" si="191"/>
        <v>1.1399999999999999</v>
      </c>
      <c r="DX134" s="17">
        <f t="shared" si="192"/>
        <v>1.1399999999999999</v>
      </c>
      <c r="EN134" s="17">
        <v>131</v>
      </c>
      <c r="EO134" s="17">
        <f t="shared" si="178"/>
        <v>0.80000000000000016</v>
      </c>
      <c r="EP134" s="17">
        <f t="shared" si="179"/>
        <v>0.80000000000000016</v>
      </c>
      <c r="EQ134" s="17">
        <f t="shared" si="180"/>
        <v>0.80000000000000016</v>
      </c>
      <c r="ER134" s="17">
        <f t="shared" si="181"/>
        <v>0.80000000000000016</v>
      </c>
      <c r="ES134" s="17">
        <f t="shared" si="182"/>
        <v>0.80000000000000016</v>
      </c>
    </row>
    <row r="135" spans="16:149" x14ac:dyDescent="0.15">
      <c r="P135" s="16">
        <v>132</v>
      </c>
      <c r="Q135" s="16">
        <f t="shared" si="158"/>
        <v>148</v>
      </c>
      <c r="R135" s="16">
        <f t="shared" si="159"/>
        <v>148</v>
      </c>
      <c r="S135" s="16">
        <f t="shared" si="160"/>
        <v>148</v>
      </c>
      <c r="T135" s="16">
        <f t="shared" si="161"/>
        <v>148</v>
      </c>
      <c r="U135" s="16">
        <f t="shared" si="162"/>
        <v>148</v>
      </c>
      <c r="AM135" s="16">
        <v>132</v>
      </c>
      <c r="AN135" s="16">
        <f t="shared" si="163"/>
        <v>14164.7</v>
      </c>
      <c r="AO135" s="16">
        <f t="shared" si="164"/>
        <v>14164.7</v>
      </c>
      <c r="AP135" s="16">
        <f t="shared" si="165"/>
        <v>14164.7</v>
      </c>
      <c r="AQ135" s="16">
        <f t="shared" si="166"/>
        <v>14164.7</v>
      </c>
      <c r="AR135" s="16">
        <f t="shared" si="167"/>
        <v>14164.699999999999</v>
      </c>
      <c r="BH135" s="17">
        <v>132</v>
      </c>
      <c r="BI135" s="17">
        <f t="shared" si="183"/>
        <v>14164.7</v>
      </c>
      <c r="BJ135" s="17">
        <f t="shared" si="184"/>
        <v>14164.7</v>
      </c>
      <c r="BK135" s="17">
        <f t="shared" si="185"/>
        <v>14164.7</v>
      </c>
      <c r="BL135" s="17">
        <f t="shared" si="186"/>
        <v>14164.7</v>
      </c>
      <c r="BM135" s="17">
        <f t="shared" si="187"/>
        <v>14164.699999999999</v>
      </c>
      <c r="CC135" s="17">
        <v>132</v>
      </c>
      <c r="CD135" s="17">
        <f t="shared" ref="CD135:CD162" si="193">求节点(BR$4:BR$42,BW$4:BW$42,$P135)</f>
        <v>3630</v>
      </c>
      <c r="CE135" s="17">
        <f t="shared" ref="CE135:CE162" si="194">求节点(BS$4:BS$42,BX$4:BX$42,$P135)</f>
        <v>3630.0000000000005</v>
      </c>
      <c r="CF135" s="17">
        <f t="shared" ref="CF135:CF162" si="195">求节点(BT$4:BT$42,BY$4:BY$42,$P135)</f>
        <v>3629.9999999999995</v>
      </c>
      <c r="CG135" s="17">
        <f t="shared" ref="CG135:CG162" si="196">求节点(BU$4:BU$42,BZ$4:BZ$42,$P135)</f>
        <v>3630</v>
      </c>
      <c r="CH135" s="17">
        <f t="shared" ref="CH135:CH162" si="197">求节点(BV$4:BV$42,CA$4:CA$42,$P135)</f>
        <v>3630</v>
      </c>
      <c r="CX135" s="17">
        <v>132</v>
      </c>
      <c r="CY135" s="17">
        <f t="shared" si="173"/>
        <v>283</v>
      </c>
      <c r="CZ135" s="17">
        <f t="shared" si="174"/>
        <v>283</v>
      </c>
      <c r="DA135" s="17">
        <f t="shared" si="175"/>
        <v>283</v>
      </c>
      <c r="DB135" s="17">
        <f t="shared" si="176"/>
        <v>283</v>
      </c>
      <c r="DC135" s="17">
        <f t="shared" si="177"/>
        <v>283</v>
      </c>
      <c r="DS135" s="17">
        <v>132</v>
      </c>
      <c r="DT135" s="17">
        <f t="shared" si="188"/>
        <v>1.1399999999999999</v>
      </c>
      <c r="DU135" s="17">
        <f t="shared" si="189"/>
        <v>1.1399999999999999</v>
      </c>
      <c r="DV135" s="17">
        <f t="shared" si="190"/>
        <v>1.1399999999999999</v>
      </c>
      <c r="DW135" s="17">
        <f t="shared" si="191"/>
        <v>1.1399999999999999</v>
      </c>
      <c r="DX135" s="17">
        <f t="shared" si="192"/>
        <v>1.1399999999999999</v>
      </c>
      <c r="EN135" s="17">
        <v>132</v>
      </c>
      <c r="EO135" s="17">
        <f t="shared" si="178"/>
        <v>0.80000000000000016</v>
      </c>
      <c r="EP135" s="17">
        <f t="shared" si="179"/>
        <v>0.80000000000000016</v>
      </c>
      <c r="EQ135" s="17">
        <f t="shared" si="180"/>
        <v>0.80000000000000016</v>
      </c>
      <c r="ER135" s="17">
        <f t="shared" si="181"/>
        <v>0.80000000000000016</v>
      </c>
      <c r="ES135" s="17">
        <f t="shared" si="182"/>
        <v>0.80000000000000016</v>
      </c>
    </row>
    <row r="136" spans="16:149" x14ac:dyDescent="0.15">
      <c r="P136" s="16">
        <v>133</v>
      </c>
      <c r="Q136" s="16">
        <f t="shared" si="158"/>
        <v>148</v>
      </c>
      <c r="R136" s="16">
        <f t="shared" si="159"/>
        <v>148</v>
      </c>
      <c r="S136" s="16">
        <f t="shared" si="160"/>
        <v>148</v>
      </c>
      <c r="T136" s="16">
        <f t="shared" si="161"/>
        <v>148</v>
      </c>
      <c r="U136" s="16">
        <f t="shared" si="162"/>
        <v>148</v>
      </c>
      <c r="AM136" s="16">
        <v>133</v>
      </c>
      <c r="AN136" s="16">
        <f t="shared" si="163"/>
        <v>14262.5</v>
      </c>
      <c r="AO136" s="16">
        <f t="shared" si="164"/>
        <v>14262.5</v>
      </c>
      <c r="AP136" s="16">
        <f t="shared" si="165"/>
        <v>14262.500000000002</v>
      </c>
      <c r="AQ136" s="16">
        <f t="shared" si="166"/>
        <v>14262.5</v>
      </c>
      <c r="AR136" s="16">
        <f t="shared" si="167"/>
        <v>14262.499999999998</v>
      </c>
      <c r="BH136" s="17">
        <v>133</v>
      </c>
      <c r="BI136" s="17">
        <f t="shared" si="183"/>
        <v>14262.5</v>
      </c>
      <c r="BJ136" s="17">
        <f t="shared" si="184"/>
        <v>14262.5</v>
      </c>
      <c r="BK136" s="17">
        <f t="shared" si="185"/>
        <v>14262.500000000002</v>
      </c>
      <c r="BL136" s="17">
        <f t="shared" si="186"/>
        <v>14262.5</v>
      </c>
      <c r="BM136" s="17">
        <f t="shared" si="187"/>
        <v>14262.499999999998</v>
      </c>
      <c r="CC136" s="17">
        <v>133</v>
      </c>
      <c r="CD136" s="17">
        <f t="shared" si="193"/>
        <v>3650</v>
      </c>
      <c r="CE136" s="17">
        <f t="shared" si="194"/>
        <v>3650.0000000000005</v>
      </c>
      <c r="CF136" s="17">
        <f t="shared" si="195"/>
        <v>3649.9999999999995</v>
      </c>
      <c r="CG136" s="17">
        <f t="shared" si="196"/>
        <v>3650</v>
      </c>
      <c r="CH136" s="17">
        <f t="shared" si="197"/>
        <v>3650</v>
      </c>
      <c r="CX136" s="17">
        <v>133</v>
      </c>
      <c r="CY136" s="17">
        <f t="shared" si="173"/>
        <v>285</v>
      </c>
      <c r="CZ136" s="17">
        <f t="shared" si="174"/>
        <v>285</v>
      </c>
      <c r="DA136" s="17">
        <f t="shared" si="175"/>
        <v>285</v>
      </c>
      <c r="DB136" s="17">
        <f t="shared" si="176"/>
        <v>285</v>
      </c>
      <c r="DC136" s="17">
        <f t="shared" si="177"/>
        <v>285</v>
      </c>
      <c r="DS136" s="17">
        <v>133</v>
      </c>
      <c r="DT136" s="17">
        <f t="shared" si="188"/>
        <v>1.1399999999999999</v>
      </c>
      <c r="DU136" s="17">
        <f t="shared" si="189"/>
        <v>1.1399999999999999</v>
      </c>
      <c r="DV136" s="17">
        <f t="shared" si="190"/>
        <v>1.1399999999999999</v>
      </c>
      <c r="DW136" s="17">
        <f t="shared" si="191"/>
        <v>1.1399999999999999</v>
      </c>
      <c r="DX136" s="17">
        <f t="shared" si="192"/>
        <v>1.1399999999999999</v>
      </c>
      <c r="EN136" s="17">
        <v>133</v>
      </c>
      <c r="EO136" s="17">
        <f t="shared" si="178"/>
        <v>0.80000000000000016</v>
      </c>
      <c r="EP136" s="17">
        <f t="shared" si="179"/>
        <v>0.80000000000000016</v>
      </c>
      <c r="EQ136" s="17">
        <f t="shared" si="180"/>
        <v>0.80000000000000016</v>
      </c>
      <c r="ER136" s="17">
        <f t="shared" si="181"/>
        <v>0.80000000000000016</v>
      </c>
      <c r="ES136" s="17">
        <f t="shared" si="182"/>
        <v>0.80000000000000016</v>
      </c>
    </row>
    <row r="137" spans="16:149" x14ac:dyDescent="0.15">
      <c r="P137" s="16">
        <v>134</v>
      </c>
      <c r="Q137" s="16">
        <f t="shared" si="158"/>
        <v>148</v>
      </c>
      <c r="R137" s="16">
        <f t="shared" si="159"/>
        <v>148</v>
      </c>
      <c r="S137" s="16">
        <f t="shared" si="160"/>
        <v>148</v>
      </c>
      <c r="T137" s="16">
        <f t="shared" si="161"/>
        <v>148</v>
      </c>
      <c r="U137" s="16">
        <f t="shared" si="162"/>
        <v>148</v>
      </c>
      <c r="AM137" s="16">
        <v>134</v>
      </c>
      <c r="AN137" s="16">
        <f t="shared" si="163"/>
        <v>14360.3</v>
      </c>
      <c r="AO137" s="16">
        <f t="shared" si="164"/>
        <v>14360.3</v>
      </c>
      <c r="AP137" s="16">
        <f t="shared" si="165"/>
        <v>14360.300000000001</v>
      </c>
      <c r="AQ137" s="16">
        <f t="shared" si="166"/>
        <v>14360.3</v>
      </c>
      <c r="AR137" s="16">
        <f t="shared" si="167"/>
        <v>14360.3</v>
      </c>
      <c r="BH137" s="17">
        <v>134</v>
      </c>
      <c r="BI137" s="17">
        <f t="shared" si="183"/>
        <v>14360.3</v>
      </c>
      <c r="BJ137" s="17">
        <f t="shared" si="184"/>
        <v>14360.3</v>
      </c>
      <c r="BK137" s="17">
        <f t="shared" si="185"/>
        <v>14360.300000000001</v>
      </c>
      <c r="BL137" s="17">
        <f t="shared" si="186"/>
        <v>14360.3</v>
      </c>
      <c r="BM137" s="17">
        <f t="shared" si="187"/>
        <v>14360.3</v>
      </c>
      <c r="CC137" s="17">
        <v>134</v>
      </c>
      <c r="CD137" s="17">
        <f t="shared" si="193"/>
        <v>3670</v>
      </c>
      <c r="CE137" s="17">
        <f t="shared" si="194"/>
        <v>3670</v>
      </c>
      <c r="CF137" s="17">
        <f t="shared" si="195"/>
        <v>3669.9999999999995</v>
      </c>
      <c r="CG137" s="17">
        <f t="shared" si="196"/>
        <v>3670</v>
      </c>
      <c r="CH137" s="17">
        <f t="shared" si="197"/>
        <v>3670</v>
      </c>
      <c r="CX137" s="17">
        <v>134</v>
      </c>
      <c r="CY137" s="17">
        <f t="shared" si="173"/>
        <v>287</v>
      </c>
      <c r="CZ137" s="17">
        <f t="shared" si="174"/>
        <v>287</v>
      </c>
      <c r="DA137" s="17">
        <f t="shared" si="175"/>
        <v>287</v>
      </c>
      <c r="DB137" s="17">
        <f t="shared" si="176"/>
        <v>287</v>
      </c>
      <c r="DC137" s="17">
        <f t="shared" si="177"/>
        <v>287</v>
      </c>
      <c r="DS137" s="17">
        <v>134</v>
      </c>
      <c r="DT137" s="17">
        <f t="shared" si="188"/>
        <v>1.1399999999999999</v>
      </c>
      <c r="DU137" s="17">
        <f t="shared" si="189"/>
        <v>1.1399999999999999</v>
      </c>
      <c r="DV137" s="17">
        <f t="shared" si="190"/>
        <v>1.1399999999999999</v>
      </c>
      <c r="DW137" s="17">
        <f t="shared" si="191"/>
        <v>1.1399999999999999</v>
      </c>
      <c r="DX137" s="17">
        <f t="shared" si="192"/>
        <v>1.1399999999999999</v>
      </c>
      <c r="EN137" s="17">
        <v>134</v>
      </c>
      <c r="EO137" s="17">
        <f t="shared" si="178"/>
        <v>0.80000000000000016</v>
      </c>
      <c r="EP137" s="17">
        <f t="shared" si="179"/>
        <v>0.80000000000000016</v>
      </c>
      <c r="EQ137" s="17">
        <f t="shared" si="180"/>
        <v>0.80000000000000016</v>
      </c>
      <c r="ER137" s="17">
        <f t="shared" si="181"/>
        <v>0.80000000000000016</v>
      </c>
      <c r="ES137" s="17">
        <f t="shared" si="182"/>
        <v>0.80000000000000016</v>
      </c>
    </row>
    <row r="138" spans="16:149" x14ac:dyDescent="0.15">
      <c r="P138" s="16">
        <v>135</v>
      </c>
      <c r="Q138" s="16">
        <f t="shared" si="158"/>
        <v>148</v>
      </c>
      <c r="R138" s="16">
        <f t="shared" si="159"/>
        <v>148</v>
      </c>
      <c r="S138" s="16">
        <f t="shared" si="160"/>
        <v>148</v>
      </c>
      <c r="T138" s="16">
        <f t="shared" si="161"/>
        <v>148</v>
      </c>
      <c r="U138" s="16">
        <f t="shared" si="162"/>
        <v>148</v>
      </c>
      <c r="AM138" s="16">
        <v>135</v>
      </c>
      <c r="AN138" s="16">
        <f>求节点(Z$4:Z$42,AE$4:AE$42,$P138)</f>
        <v>14458.1</v>
      </c>
      <c r="AO138" s="16">
        <f>求节点(AA$4:AA$42,AF$4:AF$42,$P138)</f>
        <v>14458.099999999999</v>
      </c>
      <c r="AP138" s="16">
        <f>求节点(AB$4:AB$42,AG$4:AG$42,$P138)</f>
        <v>14458.1</v>
      </c>
      <c r="AQ138" s="16">
        <f>求节点(AC$4:AC$42,AH$4:AH$42,$P138)</f>
        <v>14458.099999999999</v>
      </c>
      <c r="AR138" s="16">
        <f>求节点(AD$4:AD$42,AI$4:AI$42,$P138)</f>
        <v>14458.099999999999</v>
      </c>
      <c r="BH138" s="17">
        <v>135</v>
      </c>
      <c r="BI138" s="17">
        <f t="shared" si="183"/>
        <v>14458.1</v>
      </c>
      <c r="BJ138" s="17">
        <f t="shared" si="184"/>
        <v>14458.099999999999</v>
      </c>
      <c r="BK138" s="17">
        <f t="shared" si="185"/>
        <v>14458.1</v>
      </c>
      <c r="BL138" s="17">
        <f t="shared" si="186"/>
        <v>14458.099999999999</v>
      </c>
      <c r="BM138" s="17">
        <f t="shared" si="187"/>
        <v>14458.099999999999</v>
      </c>
      <c r="CC138" s="17">
        <v>135</v>
      </c>
      <c r="CD138" s="17">
        <f t="shared" si="193"/>
        <v>3690</v>
      </c>
      <c r="CE138" s="17">
        <f t="shared" si="194"/>
        <v>3690</v>
      </c>
      <c r="CF138" s="17">
        <f t="shared" si="195"/>
        <v>3690</v>
      </c>
      <c r="CG138" s="17">
        <f t="shared" si="196"/>
        <v>3689.9999999999995</v>
      </c>
      <c r="CH138" s="17">
        <f t="shared" si="197"/>
        <v>3690</v>
      </c>
      <c r="CX138" s="17">
        <v>135</v>
      </c>
      <c r="CY138" s="17">
        <f t="shared" si="173"/>
        <v>289</v>
      </c>
      <c r="CZ138" s="17">
        <f t="shared" si="174"/>
        <v>289</v>
      </c>
      <c r="DA138" s="17">
        <f t="shared" si="175"/>
        <v>289</v>
      </c>
      <c r="DB138" s="17">
        <f t="shared" si="176"/>
        <v>289</v>
      </c>
      <c r="DC138" s="17">
        <f t="shared" si="177"/>
        <v>289</v>
      </c>
      <c r="DS138" s="17">
        <v>135</v>
      </c>
      <c r="DT138" s="17">
        <f t="shared" si="188"/>
        <v>1.1399999999999999</v>
      </c>
      <c r="DU138" s="17">
        <f t="shared" si="189"/>
        <v>1.1399999999999999</v>
      </c>
      <c r="DV138" s="17">
        <f t="shared" si="190"/>
        <v>1.1399999999999999</v>
      </c>
      <c r="DW138" s="17">
        <f t="shared" si="191"/>
        <v>1.1399999999999999</v>
      </c>
      <c r="DX138" s="17">
        <f t="shared" si="192"/>
        <v>1.1399999999999999</v>
      </c>
      <c r="EN138" s="17">
        <v>135</v>
      </c>
      <c r="EO138" s="17">
        <f t="shared" si="178"/>
        <v>0.80000000000000016</v>
      </c>
      <c r="EP138" s="17">
        <f t="shared" si="179"/>
        <v>0.80000000000000016</v>
      </c>
      <c r="EQ138" s="17">
        <f t="shared" si="180"/>
        <v>0.80000000000000016</v>
      </c>
      <c r="ER138" s="17">
        <f t="shared" si="181"/>
        <v>0.80000000000000016</v>
      </c>
      <c r="ES138" s="17">
        <f t="shared" si="182"/>
        <v>0.80000000000000016</v>
      </c>
    </row>
    <row r="139" spans="16:149" x14ac:dyDescent="0.15">
      <c r="P139" s="16">
        <v>136</v>
      </c>
      <c r="Q139" s="16">
        <f t="shared" si="158"/>
        <v>148</v>
      </c>
      <c r="R139" s="16">
        <f t="shared" si="159"/>
        <v>148</v>
      </c>
      <c r="S139" s="16">
        <f t="shared" si="160"/>
        <v>148</v>
      </c>
      <c r="T139" s="16">
        <f t="shared" si="161"/>
        <v>148</v>
      </c>
      <c r="U139" s="16">
        <f t="shared" si="162"/>
        <v>148</v>
      </c>
      <c r="AM139" s="16">
        <v>136</v>
      </c>
      <c r="AN139" s="16">
        <f t="shared" ref="AN139:AN157" si="198">求节点(Z$4:Z$42,AE$4:AE$42,$P139)</f>
        <v>14555.9</v>
      </c>
      <c r="AO139" s="16">
        <f t="shared" ref="AO139:AO157" si="199">求节点(AA$4:AA$42,AF$4:AF$42,$P139)</f>
        <v>14555.899999999998</v>
      </c>
      <c r="AP139" s="16">
        <f t="shared" ref="AP139:AP157" si="200">求节点(AB$4:AB$42,AG$4:AG$42,$P139)</f>
        <v>14555.9</v>
      </c>
      <c r="AQ139" s="16">
        <f t="shared" ref="AQ139:AQ157" si="201">求节点(AC$4:AC$42,AH$4:AH$42,$P139)</f>
        <v>14555.899999999998</v>
      </c>
      <c r="AR139" s="16">
        <f t="shared" ref="AR139:AR157" si="202">求节点(AD$4:AD$42,AI$4:AI$42,$P139)</f>
        <v>14555.9</v>
      </c>
      <c r="BH139" s="17">
        <v>136</v>
      </c>
      <c r="BI139" s="17">
        <f t="shared" si="183"/>
        <v>14555.9</v>
      </c>
      <c r="BJ139" s="17">
        <f t="shared" si="184"/>
        <v>14555.899999999998</v>
      </c>
      <c r="BK139" s="17">
        <f t="shared" si="185"/>
        <v>14555.9</v>
      </c>
      <c r="BL139" s="17">
        <f t="shared" si="186"/>
        <v>14555.899999999998</v>
      </c>
      <c r="BM139" s="17">
        <f t="shared" si="187"/>
        <v>14555.9</v>
      </c>
      <c r="CC139" s="17">
        <v>136</v>
      </c>
      <c r="CD139" s="17">
        <f t="shared" si="193"/>
        <v>3710</v>
      </c>
      <c r="CE139" s="17">
        <f t="shared" si="194"/>
        <v>3710</v>
      </c>
      <c r="CF139" s="17">
        <f t="shared" si="195"/>
        <v>3710</v>
      </c>
      <c r="CG139" s="17">
        <f t="shared" si="196"/>
        <v>3709.9999999999995</v>
      </c>
      <c r="CH139" s="17">
        <f t="shared" si="197"/>
        <v>3710</v>
      </c>
      <c r="CX139" s="17">
        <v>136</v>
      </c>
      <c r="CY139" s="17">
        <f t="shared" si="173"/>
        <v>291</v>
      </c>
      <c r="CZ139" s="17">
        <f t="shared" si="174"/>
        <v>291</v>
      </c>
      <c r="DA139" s="17">
        <f t="shared" si="175"/>
        <v>291</v>
      </c>
      <c r="DB139" s="17">
        <f t="shared" si="176"/>
        <v>291</v>
      </c>
      <c r="DC139" s="17">
        <f t="shared" si="177"/>
        <v>291</v>
      </c>
      <c r="DS139" s="17">
        <v>136</v>
      </c>
      <c r="DT139" s="17">
        <f t="shared" si="188"/>
        <v>1.1399999999999999</v>
      </c>
      <c r="DU139" s="17">
        <f t="shared" si="189"/>
        <v>1.1399999999999999</v>
      </c>
      <c r="DV139" s="17">
        <f t="shared" si="190"/>
        <v>1.1399999999999999</v>
      </c>
      <c r="DW139" s="17">
        <f t="shared" si="191"/>
        <v>1.1399999999999999</v>
      </c>
      <c r="DX139" s="17">
        <f t="shared" si="192"/>
        <v>1.1399999999999999</v>
      </c>
      <c r="EN139" s="17">
        <v>136</v>
      </c>
      <c r="EO139" s="17">
        <f t="shared" si="178"/>
        <v>0.80000000000000016</v>
      </c>
      <c r="EP139" s="17">
        <f t="shared" si="179"/>
        <v>0.80000000000000016</v>
      </c>
      <c r="EQ139" s="17">
        <f t="shared" si="180"/>
        <v>0.80000000000000016</v>
      </c>
      <c r="ER139" s="17">
        <f t="shared" si="181"/>
        <v>0.80000000000000016</v>
      </c>
      <c r="ES139" s="17">
        <f t="shared" si="182"/>
        <v>0.80000000000000016</v>
      </c>
    </row>
    <row r="140" spans="16:149" x14ac:dyDescent="0.15">
      <c r="P140" s="16">
        <v>137</v>
      </c>
      <c r="Q140" s="16">
        <f t="shared" si="158"/>
        <v>148</v>
      </c>
      <c r="R140" s="16">
        <f t="shared" si="159"/>
        <v>148</v>
      </c>
      <c r="S140" s="16">
        <f t="shared" si="160"/>
        <v>148</v>
      </c>
      <c r="T140" s="16">
        <f t="shared" si="161"/>
        <v>148</v>
      </c>
      <c r="U140" s="16">
        <f t="shared" si="162"/>
        <v>148</v>
      </c>
      <c r="AM140" s="16">
        <v>137</v>
      </c>
      <c r="AN140" s="16">
        <f t="shared" si="198"/>
        <v>14653.7</v>
      </c>
      <c r="AO140" s="16">
        <f t="shared" si="199"/>
        <v>14653.699999999999</v>
      </c>
      <c r="AP140" s="16">
        <f t="shared" si="200"/>
        <v>14653.7</v>
      </c>
      <c r="AQ140" s="16">
        <f t="shared" si="201"/>
        <v>14653.699999999999</v>
      </c>
      <c r="AR140" s="16">
        <f t="shared" si="202"/>
        <v>14653.699999999999</v>
      </c>
      <c r="BH140" s="17">
        <v>137</v>
      </c>
      <c r="BI140" s="17">
        <f t="shared" si="183"/>
        <v>14653.7</v>
      </c>
      <c r="BJ140" s="17">
        <f t="shared" si="184"/>
        <v>14653.699999999999</v>
      </c>
      <c r="BK140" s="17">
        <f t="shared" si="185"/>
        <v>14653.7</v>
      </c>
      <c r="BL140" s="17">
        <f t="shared" si="186"/>
        <v>14653.699999999999</v>
      </c>
      <c r="BM140" s="17">
        <f t="shared" si="187"/>
        <v>14653.699999999999</v>
      </c>
      <c r="CC140" s="17">
        <v>137</v>
      </c>
      <c r="CD140" s="17">
        <f t="shared" si="193"/>
        <v>3730</v>
      </c>
      <c r="CE140" s="17">
        <f t="shared" si="194"/>
        <v>3730</v>
      </c>
      <c r="CF140" s="17">
        <f t="shared" si="195"/>
        <v>3730</v>
      </c>
      <c r="CG140" s="17">
        <f t="shared" si="196"/>
        <v>3729.9999999999995</v>
      </c>
      <c r="CH140" s="17">
        <f t="shared" si="197"/>
        <v>3730</v>
      </c>
      <c r="CX140" s="17">
        <v>137</v>
      </c>
      <c r="CY140" s="17">
        <f t="shared" si="173"/>
        <v>293</v>
      </c>
      <c r="CZ140" s="17">
        <f t="shared" si="174"/>
        <v>293</v>
      </c>
      <c r="DA140" s="17">
        <f t="shared" si="175"/>
        <v>293</v>
      </c>
      <c r="DB140" s="17">
        <f t="shared" si="176"/>
        <v>293</v>
      </c>
      <c r="DC140" s="17">
        <f t="shared" si="177"/>
        <v>293</v>
      </c>
      <c r="DS140" s="17">
        <v>137</v>
      </c>
      <c r="DT140" s="17">
        <f t="shared" si="188"/>
        <v>1.1399999999999999</v>
      </c>
      <c r="DU140" s="17">
        <f t="shared" si="189"/>
        <v>1.1399999999999999</v>
      </c>
      <c r="DV140" s="17">
        <f t="shared" si="190"/>
        <v>1.1399999999999999</v>
      </c>
      <c r="DW140" s="17">
        <f t="shared" si="191"/>
        <v>1.1399999999999999</v>
      </c>
      <c r="DX140" s="17">
        <f t="shared" si="192"/>
        <v>1.1399999999999999</v>
      </c>
      <c r="EN140" s="17">
        <v>137</v>
      </c>
      <c r="EO140" s="17">
        <f t="shared" si="178"/>
        <v>0.80000000000000016</v>
      </c>
      <c r="EP140" s="17">
        <f t="shared" si="179"/>
        <v>0.80000000000000016</v>
      </c>
      <c r="EQ140" s="17">
        <f t="shared" si="180"/>
        <v>0.80000000000000016</v>
      </c>
      <c r="ER140" s="17">
        <f t="shared" si="181"/>
        <v>0.80000000000000016</v>
      </c>
      <c r="ES140" s="17">
        <f t="shared" si="182"/>
        <v>0.80000000000000016</v>
      </c>
    </row>
    <row r="141" spans="16:149" x14ac:dyDescent="0.15">
      <c r="P141" s="16">
        <v>138</v>
      </c>
      <c r="Q141" s="16">
        <f t="shared" si="158"/>
        <v>148</v>
      </c>
      <c r="R141" s="16">
        <f t="shared" si="159"/>
        <v>148</v>
      </c>
      <c r="S141" s="16">
        <f t="shared" si="160"/>
        <v>148</v>
      </c>
      <c r="T141" s="16">
        <f t="shared" si="161"/>
        <v>148</v>
      </c>
      <c r="U141" s="16">
        <f t="shared" si="162"/>
        <v>148</v>
      </c>
      <c r="AM141" s="16">
        <v>138</v>
      </c>
      <c r="AN141" s="16">
        <f t="shared" si="198"/>
        <v>14751.5</v>
      </c>
      <c r="AO141" s="16">
        <f t="shared" si="199"/>
        <v>14751.5</v>
      </c>
      <c r="AP141" s="16">
        <f t="shared" si="200"/>
        <v>14751.5</v>
      </c>
      <c r="AQ141" s="16">
        <f t="shared" si="201"/>
        <v>14751.499999999998</v>
      </c>
      <c r="AR141" s="16">
        <f t="shared" si="202"/>
        <v>14751.499999999998</v>
      </c>
      <c r="BH141" s="17">
        <v>138</v>
      </c>
      <c r="BI141" s="17">
        <f t="shared" si="183"/>
        <v>14751.5</v>
      </c>
      <c r="BJ141" s="17">
        <f t="shared" si="184"/>
        <v>14751.5</v>
      </c>
      <c r="BK141" s="17">
        <f t="shared" si="185"/>
        <v>14751.5</v>
      </c>
      <c r="BL141" s="17">
        <f t="shared" si="186"/>
        <v>14751.499999999998</v>
      </c>
      <c r="BM141" s="17">
        <f t="shared" si="187"/>
        <v>14751.499999999998</v>
      </c>
      <c r="CC141" s="17">
        <v>138</v>
      </c>
      <c r="CD141" s="17">
        <f t="shared" si="193"/>
        <v>3750</v>
      </c>
      <c r="CE141" s="17">
        <f t="shared" si="194"/>
        <v>3750</v>
      </c>
      <c r="CF141" s="17">
        <f t="shared" si="195"/>
        <v>3750</v>
      </c>
      <c r="CG141" s="17">
        <f t="shared" si="196"/>
        <v>3749.9999999999995</v>
      </c>
      <c r="CH141" s="17">
        <f t="shared" si="197"/>
        <v>3750</v>
      </c>
      <c r="CX141" s="17">
        <v>138</v>
      </c>
      <c r="CY141" s="17">
        <f t="shared" si="173"/>
        <v>295</v>
      </c>
      <c r="CZ141" s="17">
        <f t="shared" si="174"/>
        <v>295</v>
      </c>
      <c r="DA141" s="17">
        <f t="shared" si="175"/>
        <v>295</v>
      </c>
      <c r="DB141" s="17">
        <f t="shared" si="176"/>
        <v>295</v>
      </c>
      <c r="DC141" s="17">
        <f t="shared" si="177"/>
        <v>295</v>
      </c>
      <c r="DS141" s="17">
        <v>138</v>
      </c>
      <c r="DT141" s="17">
        <f t="shared" si="188"/>
        <v>1.1399999999999999</v>
      </c>
      <c r="DU141" s="17">
        <f t="shared" si="189"/>
        <v>1.1399999999999999</v>
      </c>
      <c r="DV141" s="17">
        <f t="shared" si="190"/>
        <v>1.1399999999999999</v>
      </c>
      <c r="DW141" s="17">
        <f t="shared" si="191"/>
        <v>1.1399999999999999</v>
      </c>
      <c r="DX141" s="17">
        <f t="shared" si="192"/>
        <v>1.1399999999999999</v>
      </c>
      <c r="EN141" s="17">
        <v>138</v>
      </c>
      <c r="EO141" s="17">
        <f t="shared" si="178"/>
        <v>0.80000000000000016</v>
      </c>
      <c r="EP141" s="17">
        <f t="shared" si="179"/>
        <v>0.80000000000000016</v>
      </c>
      <c r="EQ141" s="17">
        <f t="shared" si="180"/>
        <v>0.80000000000000016</v>
      </c>
      <c r="ER141" s="17">
        <f t="shared" si="181"/>
        <v>0.80000000000000016</v>
      </c>
      <c r="ES141" s="17">
        <f t="shared" si="182"/>
        <v>0.80000000000000016</v>
      </c>
    </row>
    <row r="142" spans="16:149" x14ac:dyDescent="0.15">
      <c r="P142" s="16">
        <v>139</v>
      </c>
      <c r="Q142" s="16">
        <f t="shared" si="158"/>
        <v>148</v>
      </c>
      <c r="R142" s="16">
        <f t="shared" si="159"/>
        <v>148</v>
      </c>
      <c r="S142" s="16">
        <f t="shared" si="160"/>
        <v>148</v>
      </c>
      <c r="T142" s="16">
        <f t="shared" si="161"/>
        <v>148</v>
      </c>
      <c r="U142" s="16">
        <f t="shared" si="162"/>
        <v>148</v>
      </c>
      <c r="AM142" s="16">
        <v>139</v>
      </c>
      <c r="AN142" s="16">
        <f t="shared" si="198"/>
        <v>14849.3</v>
      </c>
      <c r="AO142" s="16">
        <f t="shared" si="199"/>
        <v>14849.300000000001</v>
      </c>
      <c r="AP142" s="16">
        <f t="shared" si="200"/>
        <v>14849.3</v>
      </c>
      <c r="AQ142" s="16">
        <f t="shared" si="201"/>
        <v>14849.3</v>
      </c>
      <c r="AR142" s="16">
        <f t="shared" si="202"/>
        <v>14849.299999999997</v>
      </c>
      <c r="BH142" s="17">
        <v>139</v>
      </c>
      <c r="BI142" s="17">
        <f t="shared" si="183"/>
        <v>14849.3</v>
      </c>
      <c r="BJ142" s="17">
        <f t="shared" si="184"/>
        <v>14849.300000000001</v>
      </c>
      <c r="BK142" s="17">
        <f t="shared" si="185"/>
        <v>14849.3</v>
      </c>
      <c r="BL142" s="17">
        <f t="shared" si="186"/>
        <v>14849.3</v>
      </c>
      <c r="BM142" s="17">
        <f t="shared" si="187"/>
        <v>14849.299999999997</v>
      </c>
      <c r="CC142" s="17">
        <v>139</v>
      </c>
      <c r="CD142" s="17">
        <f t="shared" si="193"/>
        <v>3770</v>
      </c>
      <c r="CE142" s="17">
        <f t="shared" si="194"/>
        <v>3770</v>
      </c>
      <c r="CF142" s="17">
        <f t="shared" si="195"/>
        <v>3769.9999999999995</v>
      </c>
      <c r="CG142" s="17">
        <f t="shared" si="196"/>
        <v>3769.9999999999995</v>
      </c>
      <c r="CH142" s="17">
        <f t="shared" si="197"/>
        <v>3769.9999999999995</v>
      </c>
      <c r="CX142" s="17">
        <v>139</v>
      </c>
      <c r="CY142" s="17">
        <f t="shared" si="173"/>
        <v>297</v>
      </c>
      <c r="CZ142" s="17">
        <f t="shared" si="174"/>
        <v>297</v>
      </c>
      <c r="DA142" s="17">
        <f t="shared" si="175"/>
        <v>297</v>
      </c>
      <c r="DB142" s="17">
        <f t="shared" si="176"/>
        <v>297</v>
      </c>
      <c r="DC142" s="17">
        <f t="shared" si="177"/>
        <v>297</v>
      </c>
      <c r="DS142" s="17">
        <v>139</v>
      </c>
      <c r="DT142" s="17">
        <f t="shared" si="188"/>
        <v>1.1399999999999999</v>
      </c>
      <c r="DU142" s="17">
        <f t="shared" si="189"/>
        <v>1.1399999999999999</v>
      </c>
      <c r="DV142" s="17">
        <f t="shared" si="190"/>
        <v>1.1399999999999999</v>
      </c>
      <c r="DW142" s="17">
        <f t="shared" si="191"/>
        <v>1.1399999999999999</v>
      </c>
      <c r="DX142" s="17">
        <f t="shared" si="192"/>
        <v>1.1399999999999999</v>
      </c>
      <c r="EN142" s="17">
        <v>139</v>
      </c>
      <c r="EO142" s="17">
        <f t="shared" si="178"/>
        <v>0.80000000000000016</v>
      </c>
      <c r="EP142" s="17">
        <f t="shared" si="179"/>
        <v>0.80000000000000016</v>
      </c>
      <c r="EQ142" s="17">
        <f t="shared" si="180"/>
        <v>0.80000000000000016</v>
      </c>
      <c r="ER142" s="17">
        <f t="shared" si="181"/>
        <v>0.80000000000000016</v>
      </c>
      <c r="ES142" s="17">
        <f t="shared" si="182"/>
        <v>0.80000000000000016</v>
      </c>
    </row>
    <row r="143" spans="16:149" x14ac:dyDescent="0.15">
      <c r="P143" s="16">
        <v>140</v>
      </c>
      <c r="Q143" s="16">
        <f t="shared" si="158"/>
        <v>148</v>
      </c>
      <c r="R143" s="16">
        <f t="shared" si="159"/>
        <v>148</v>
      </c>
      <c r="S143" s="16">
        <f t="shared" si="160"/>
        <v>148</v>
      </c>
      <c r="T143" s="16">
        <f t="shared" si="161"/>
        <v>148</v>
      </c>
      <c r="U143" s="16">
        <f t="shared" si="162"/>
        <v>148</v>
      </c>
      <c r="AM143" s="16">
        <v>140</v>
      </c>
      <c r="AN143" s="16">
        <f t="shared" si="198"/>
        <v>14947.1</v>
      </c>
      <c r="AO143" s="16">
        <f t="shared" si="199"/>
        <v>14947.1</v>
      </c>
      <c r="AP143" s="16">
        <f t="shared" si="200"/>
        <v>14947.099999999999</v>
      </c>
      <c r="AQ143" s="16">
        <f t="shared" si="201"/>
        <v>14947.099999999999</v>
      </c>
      <c r="AR143" s="16">
        <f t="shared" si="202"/>
        <v>14947.099999999999</v>
      </c>
      <c r="BH143" s="17">
        <v>140</v>
      </c>
      <c r="BI143" s="17">
        <f t="shared" si="183"/>
        <v>14947.1</v>
      </c>
      <c r="BJ143" s="17">
        <f t="shared" si="184"/>
        <v>14947.1</v>
      </c>
      <c r="BK143" s="17">
        <f t="shared" si="185"/>
        <v>14947.099999999999</v>
      </c>
      <c r="BL143" s="17">
        <f t="shared" si="186"/>
        <v>14947.099999999999</v>
      </c>
      <c r="BM143" s="17">
        <f t="shared" si="187"/>
        <v>14947.099999999999</v>
      </c>
      <c r="CC143" s="17">
        <v>140</v>
      </c>
      <c r="CD143" s="17">
        <f t="shared" si="193"/>
        <v>3790</v>
      </c>
      <c r="CE143" s="17">
        <f t="shared" si="194"/>
        <v>3790</v>
      </c>
      <c r="CF143" s="17">
        <f t="shared" si="195"/>
        <v>3789.9999999999995</v>
      </c>
      <c r="CG143" s="17">
        <f t="shared" si="196"/>
        <v>3789.9999999999991</v>
      </c>
      <c r="CH143" s="17">
        <f t="shared" si="197"/>
        <v>3789.9999999999995</v>
      </c>
      <c r="CX143" s="17">
        <v>140</v>
      </c>
      <c r="CY143" s="17">
        <f>求节点(CM$4:CM$42,CR$4:CR$42,$P143)</f>
        <v>299</v>
      </c>
      <c r="CZ143" s="17">
        <f>求节点(CN$4:CN$42,CS$4:CS$42,$P143)</f>
        <v>299</v>
      </c>
      <c r="DA143" s="17">
        <f>求节点(CO$4:CO$42,CT$4:CT$42,$P143)</f>
        <v>299</v>
      </c>
      <c r="DB143" s="17">
        <f>求节点(CP$4:CP$42,CU$4:CU$42,$P143)</f>
        <v>299</v>
      </c>
      <c r="DC143" s="17">
        <f>求节点(CQ$4:CQ$42,CV$4:CV$42,$P143)</f>
        <v>299</v>
      </c>
      <c r="DS143" s="17">
        <v>140</v>
      </c>
      <c r="DT143" s="17">
        <f t="shared" si="188"/>
        <v>1.1399999999999999</v>
      </c>
      <c r="DU143" s="17">
        <f t="shared" si="189"/>
        <v>1.1399999999999999</v>
      </c>
      <c r="DV143" s="17">
        <f t="shared" si="190"/>
        <v>1.1399999999999999</v>
      </c>
      <c r="DW143" s="17">
        <f t="shared" si="191"/>
        <v>1.1399999999999999</v>
      </c>
      <c r="DX143" s="17">
        <f t="shared" si="192"/>
        <v>1.1399999999999999</v>
      </c>
      <c r="EN143" s="17">
        <v>140</v>
      </c>
      <c r="EO143" s="17">
        <f>求节点(EC$4:EC$42,EH$4:EH$42,$P143)</f>
        <v>0.80000000000000016</v>
      </c>
      <c r="EP143" s="17">
        <f>求节点(ED$4:ED$42,EI$4:EI$42,$P143)</f>
        <v>0.80000000000000016</v>
      </c>
      <c r="EQ143" s="17">
        <f>求节点(EE$4:EE$42,EJ$4:EJ$42,$P143)</f>
        <v>0.80000000000000016</v>
      </c>
      <c r="ER143" s="17">
        <f>求节点(EF$4:EF$42,EK$4:EK$42,$P143)</f>
        <v>0.80000000000000016</v>
      </c>
      <c r="ES143" s="17">
        <f>求节点(EG$4:EG$42,EL$4:EL$42,$P143)</f>
        <v>0.80000000000000016</v>
      </c>
    </row>
    <row r="144" spans="16:149" x14ac:dyDescent="0.15">
      <c r="P144" s="16">
        <v>141</v>
      </c>
      <c r="Q144" s="16">
        <f t="shared" si="158"/>
        <v>148</v>
      </c>
      <c r="R144" s="16">
        <f t="shared" si="159"/>
        <v>148</v>
      </c>
      <c r="S144" s="16">
        <f t="shared" si="160"/>
        <v>148</v>
      </c>
      <c r="T144" s="16">
        <f t="shared" si="161"/>
        <v>148</v>
      </c>
      <c r="U144" s="16">
        <f t="shared" si="162"/>
        <v>148</v>
      </c>
      <c r="AM144" s="16">
        <v>141</v>
      </c>
      <c r="AN144" s="16">
        <f t="shared" si="198"/>
        <v>15044.9</v>
      </c>
      <c r="AO144" s="16">
        <f t="shared" si="199"/>
        <v>15044.9</v>
      </c>
      <c r="AP144" s="16">
        <f t="shared" si="200"/>
        <v>15044.899999999998</v>
      </c>
      <c r="AQ144" s="16">
        <f t="shared" si="201"/>
        <v>15044.9</v>
      </c>
      <c r="AR144" s="16">
        <f t="shared" si="202"/>
        <v>15044.899999999998</v>
      </c>
      <c r="BH144" s="17">
        <v>141</v>
      </c>
      <c r="BI144" s="17">
        <f t="shared" si="183"/>
        <v>15044.9</v>
      </c>
      <c r="BJ144" s="17">
        <f t="shared" si="184"/>
        <v>15044.9</v>
      </c>
      <c r="BK144" s="17">
        <f t="shared" si="185"/>
        <v>15044.899999999998</v>
      </c>
      <c r="BL144" s="17">
        <f t="shared" si="186"/>
        <v>15044.9</v>
      </c>
      <c r="BM144" s="17">
        <f t="shared" si="187"/>
        <v>15044.899999999998</v>
      </c>
      <c r="CC144" s="17">
        <v>141</v>
      </c>
      <c r="CD144" s="17">
        <f t="shared" si="193"/>
        <v>3810</v>
      </c>
      <c r="CE144" s="17">
        <f t="shared" si="194"/>
        <v>3810</v>
      </c>
      <c r="CF144" s="17">
        <f t="shared" si="195"/>
        <v>3809.9999999999995</v>
      </c>
      <c r="CG144" s="17">
        <f t="shared" si="196"/>
        <v>3809.9999999999991</v>
      </c>
      <c r="CH144" s="17">
        <f t="shared" si="197"/>
        <v>3809.9999999999995</v>
      </c>
      <c r="CX144" s="17">
        <v>141</v>
      </c>
      <c r="CY144" s="17">
        <f t="shared" ref="CY144:CY163" si="203">求节点(CM$4:CM$42,CR$4:CR$42,$P144)</f>
        <v>301</v>
      </c>
      <c r="CZ144" s="17">
        <f t="shared" ref="CZ144:CZ163" si="204">求节点(CN$4:CN$42,CS$4:CS$42,$P144)</f>
        <v>301</v>
      </c>
      <c r="DA144" s="17">
        <f t="shared" ref="DA144:DA163" si="205">求节点(CO$4:CO$42,CT$4:CT$42,$P144)</f>
        <v>301</v>
      </c>
      <c r="DB144" s="17">
        <f t="shared" ref="DB144:DB163" si="206">求节点(CP$4:CP$42,CU$4:CU$42,$P144)</f>
        <v>301</v>
      </c>
      <c r="DC144" s="17">
        <f t="shared" ref="DC144:DC163" si="207">求节点(CQ$4:CQ$42,CV$4:CV$42,$P144)</f>
        <v>301</v>
      </c>
      <c r="DS144" s="17">
        <v>141</v>
      </c>
      <c r="DT144" s="17">
        <f t="shared" si="188"/>
        <v>1.1399999999999999</v>
      </c>
      <c r="DU144" s="17">
        <f t="shared" si="189"/>
        <v>1.1399999999999999</v>
      </c>
      <c r="DV144" s="17">
        <f t="shared" si="190"/>
        <v>1.1399999999999999</v>
      </c>
      <c r="DW144" s="17">
        <f t="shared" si="191"/>
        <v>1.1399999999999999</v>
      </c>
      <c r="DX144" s="17">
        <f t="shared" si="192"/>
        <v>1.1399999999999999</v>
      </c>
      <c r="EN144" s="17">
        <v>141</v>
      </c>
      <c r="EO144" s="17">
        <f t="shared" ref="EO144:EO163" si="208">求节点(EC$4:EC$42,EH$4:EH$42,$P144)</f>
        <v>0.80000000000000016</v>
      </c>
      <c r="EP144" s="17">
        <f t="shared" ref="EP144:EP163" si="209">求节点(ED$4:ED$42,EI$4:EI$42,$P144)</f>
        <v>0.80000000000000016</v>
      </c>
      <c r="EQ144" s="17">
        <f t="shared" ref="EQ144:EQ163" si="210">求节点(EE$4:EE$42,EJ$4:EJ$42,$P144)</f>
        <v>0.80000000000000016</v>
      </c>
      <c r="ER144" s="17">
        <f t="shared" ref="ER144:ER163" si="211">求节点(EF$4:EF$42,EK$4:EK$42,$P144)</f>
        <v>0.80000000000000016</v>
      </c>
      <c r="ES144" s="17">
        <f t="shared" ref="ES144:ES163" si="212">求节点(EG$4:EG$42,EL$4:EL$42,$P144)</f>
        <v>0.80000000000000016</v>
      </c>
    </row>
    <row r="145" spans="16:149" x14ac:dyDescent="0.15">
      <c r="P145" s="16">
        <v>142</v>
      </c>
      <c r="Q145" s="16">
        <f t="shared" si="158"/>
        <v>148</v>
      </c>
      <c r="R145" s="16">
        <f t="shared" si="159"/>
        <v>148</v>
      </c>
      <c r="S145" s="16">
        <f t="shared" si="160"/>
        <v>148</v>
      </c>
      <c r="T145" s="16">
        <f t="shared" si="161"/>
        <v>148</v>
      </c>
      <c r="U145" s="16">
        <f t="shared" si="162"/>
        <v>148</v>
      </c>
      <c r="AM145" s="16">
        <v>142</v>
      </c>
      <c r="AN145" s="16">
        <f t="shared" si="198"/>
        <v>15142.7</v>
      </c>
      <c r="AO145" s="16">
        <f t="shared" si="199"/>
        <v>15142.699999999999</v>
      </c>
      <c r="AP145" s="16">
        <f t="shared" si="200"/>
        <v>15142.699999999999</v>
      </c>
      <c r="AQ145" s="16">
        <f t="shared" si="201"/>
        <v>15142.699999999999</v>
      </c>
      <c r="AR145" s="16">
        <f t="shared" si="202"/>
        <v>15142.699999999999</v>
      </c>
      <c r="BH145" s="17">
        <v>142</v>
      </c>
      <c r="BI145" s="17">
        <f t="shared" si="183"/>
        <v>15142.7</v>
      </c>
      <c r="BJ145" s="17">
        <f t="shared" si="184"/>
        <v>15142.699999999999</v>
      </c>
      <c r="BK145" s="17">
        <f t="shared" si="185"/>
        <v>15142.699999999999</v>
      </c>
      <c r="BL145" s="17">
        <f t="shared" si="186"/>
        <v>15142.699999999999</v>
      </c>
      <c r="BM145" s="17">
        <f t="shared" si="187"/>
        <v>15142.699999999999</v>
      </c>
      <c r="CC145" s="17">
        <v>142</v>
      </c>
      <c r="CD145" s="17">
        <f t="shared" si="193"/>
        <v>3830</v>
      </c>
      <c r="CE145" s="17">
        <f t="shared" si="194"/>
        <v>3830</v>
      </c>
      <c r="CF145" s="17">
        <f t="shared" si="195"/>
        <v>3829.9999999999995</v>
      </c>
      <c r="CG145" s="17">
        <f t="shared" si="196"/>
        <v>3829.9999999999991</v>
      </c>
      <c r="CH145" s="17">
        <f t="shared" si="197"/>
        <v>3829.9999999999995</v>
      </c>
      <c r="CX145" s="17">
        <v>142</v>
      </c>
      <c r="CY145" s="17">
        <f t="shared" si="203"/>
        <v>303</v>
      </c>
      <c r="CZ145" s="17">
        <f t="shared" si="204"/>
        <v>303</v>
      </c>
      <c r="DA145" s="17">
        <f t="shared" si="205"/>
        <v>303</v>
      </c>
      <c r="DB145" s="17">
        <f t="shared" si="206"/>
        <v>303</v>
      </c>
      <c r="DC145" s="17">
        <f t="shared" si="207"/>
        <v>303</v>
      </c>
      <c r="DS145" s="17">
        <v>142</v>
      </c>
      <c r="DT145" s="17">
        <f t="shared" si="188"/>
        <v>1.1399999999999999</v>
      </c>
      <c r="DU145" s="17">
        <f t="shared" si="189"/>
        <v>1.1399999999999999</v>
      </c>
      <c r="DV145" s="17">
        <f t="shared" si="190"/>
        <v>1.1399999999999999</v>
      </c>
      <c r="DW145" s="17">
        <f t="shared" si="191"/>
        <v>1.1399999999999999</v>
      </c>
      <c r="DX145" s="17">
        <f t="shared" si="192"/>
        <v>1.1399999999999999</v>
      </c>
      <c r="EN145" s="17">
        <v>142</v>
      </c>
      <c r="EO145" s="17">
        <f t="shared" si="208"/>
        <v>0.80000000000000016</v>
      </c>
      <c r="EP145" s="17">
        <f t="shared" si="209"/>
        <v>0.80000000000000016</v>
      </c>
      <c r="EQ145" s="17">
        <f t="shared" si="210"/>
        <v>0.80000000000000016</v>
      </c>
      <c r="ER145" s="17">
        <f t="shared" si="211"/>
        <v>0.80000000000000016</v>
      </c>
      <c r="ES145" s="17">
        <f t="shared" si="212"/>
        <v>0.80000000000000016</v>
      </c>
    </row>
    <row r="146" spans="16:149" x14ac:dyDescent="0.15">
      <c r="P146" s="16">
        <v>143</v>
      </c>
      <c r="Q146" s="16">
        <f t="shared" si="158"/>
        <v>148</v>
      </c>
      <c r="R146" s="16">
        <f t="shared" si="159"/>
        <v>148</v>
      </c>
      <c r="S146" s="16">
        <f t="shared" si="160"/>
        <v>148</v>
      </c>
      <c r="T146" s="16">
        <f t="shared" si="161"/>
        <v>148</v>
      </c>
      <c r="U146" s="16">
        <f t="shared" si="162"/>
        <v>148</v>
      </c>
      <c r="AM146" s="16">
        <v>143</v>
      </c>
      <c r="AN146" s="16">
        <f t="shared" si="198"/>
        <v>15240.5</v>
      </c>
      <c r="AO146" s="16">
        <f t="shared" si="199"/>
        <v>15240.5</v>
      </c>
      <c r="AP146" s="16">
        <f t="shared" si="200"/>
        <v>15240.499999999998</v>
      </c>
      <c r="AQ146" s="16">
        <f t="shared" si="201"/>
        <v>15240.5</v>
      </c>
      <c r="AR146" s="16">
        <f t="shared" si="202"/>
        <v>15240.5</v>
      </c>
      <c r="BH146" s="17">
        <v>143</v>
      </c>
      <c r="BI146" s="17">
        <f t="shared" si="183"/>
        <v>15240.5</v>
      </c>
      <c r="BJ146" s="17">
        <f t="shared" si="184"/>
        <v>15240.5</v>
      </c>
      <c r="BK146" s="17">
        <f t="shared" si="185"/>
        <v>15240.499999999998</v>
      </c>
      <c r="BL146" s="17">
        <f t="shared" si="186"/>
        <v>15240.5</v>
      </c>
      <c r="BM146" s="17">
        <f t="shared" si="187"/>
        <v>15240.5</v>
      </c>
      <c r="CC146" s="17">
        <v>143</v>
      </c>
      <c r="CD146" s="17">
        <f t="shared" si="193"/>
        <v>3850</v>
      </c>
      <c r="CE146" s="17">
        <f t="shared" si="194"/>
        <v>3850</v>
      </c>
      <c r="CF146" s="17">
        <f t="shared" si="195"/>
        <v>3850</v>
      </c>
      <c r="CG146" s="17">
        <f t="shared" si="196"/>
        <v>3849.9999999999991</v>
      </c>
      <c r="CH146" s="17">
        <f t="shared" si="197"/>
        <v>3850</v>
      </c>
      <c r="CX146" s="17">
        <v>143</v>
      </c>
      <c r="CY146" s="17">
        <f t="shared" si="203"/>
        <v>305</v>
      </c>
      <c r="CZ146" s="17">
        <f t="shared" si="204"/>
        <v>305</v>
      </c>
      <c r="DA146" s="17">
        <f t="shared" si="205"/>
        <v>305</v>
      </c>
      <c r="DB146" s="17">
        <f t="shared" si="206"/>
        <v>305</v>
      </c>
      <c r="DC146" s="17">
        <f t="shared" si="207"/>
        <v>305</v>
      </c>
      <c r="DS146" s="17">
        <v>143</v>
      </c>
      <c r="DT146" s="17">
        <f t="shared" si="188"/>
        <v>1.1399999999999999</v>
      </c>
      <c r="DU146" s="17">
        <f t="shared" si="189"/>
        <v>1.1399999999999999</v>
      </c>
      <c r="DV146" s="17">
        <f t="shared" si="190"/>
        <v>1.1399999999999999</v>
      </c>
      <c r="DW146" s="17">
        <f t="shared" si="191"/>
        <v>1.1399999999999999</v>
      </c>
      <c r="DX146" s="17">
        <f t="shared" si="192"/>
        <v>1.1399999999999999</v>
      </c>
      <c r="EN146" s="17">
        <v>143</v>
      </c>
      <c r="EO146" s="17">
        <f t="shared" si="208"/>
        <v>0.80000000000000016</v>
      </c>
      <c r="EP146" s="17">
        <f t="shared" si="209"/>
        <v>0.80000000000000016</v>
      </c>
      <c r="EQ146" s="17">
        <f t="shared" si="210"/>
        <v>0.80000000000000016</v>
      </c>
      <c r="ER146" s="17">
        <f t="shared" si="211"/>
        <v>0.80000000000000016</v>
      </c>
      <c r="ES146" s="17">
        <f t="shared" si="212"/>
        <v>0.80000000000000016</v>
      </c>
    </row>
    <row r="147" spans="16:149" x14ac:dyDescent="0.15">
      <c r="P147" s="16">
        <v>144</v>
      </c>
      <c r="Q147" s="16">
        <f t="shared" si="158"/>
        <v>148</v>
      </c>
      <c r="R147" s="16">
        <f t="shared" si="159"/>
        <v>148</v>
      </c>
      <c r="S147" s="16">
        <f t="shared" si="160"/>
        <v>148</v>
      </c>
      <c r="T147" s="16">
        <f t="shared" si="161"/>
        <v>148</v>
      </c>
      <c r="U147" s="16">
        <f t="shared" si="162"/>
        <v>148</v>
      </c>
      <c r="AM147" s="16">
        <v>144</v>
      </c>
      <c r="AN147" s="16">
        <f t="shared" si="198"/>
        <v>15338.300000000001</v>
      </c>
      <c r="AO147" s="16">
        <f t="shared" si="199"/>
        <v>15338.3</v>
      </c>
      <c r="AP147" s="16">
        <f t="shared" si="200"/>
        <v>15338.3</v>
      </c>
      <c r="AQ147" s="16">
        <f t="shared" si="201"/>
        <v>15338.3</v>
      </c>
      <c r="AR147" s="16">
        <f t="shared" si="202"/>
        <v>15338.3</v>
      </c>
      <c r="BH147" s="17">
        <v>144</v>
      </c>
      <c r="BI147" s="17">
        <f t="shared" si="183"/>
        <v>15338.300000000001</v>
      </c>
      <c r="BJ147" s="17">
        <f t="shared" si="184"/>
        <v>15338.3</v>
      </c>
      <c r="BK147" s="17">
        <f t="shared" si="185"/>
        <v>15338.3</v>
      </c>
      <c r="BL147" s="17">
        <f t="shared" si="186"/>
        <v>15338.3</v>
      </c>
      <c r="BM147" s="17">
        <f t="shared" si="187"/>
        <v>15338.3</v>
      </c>
      <c r="CC147" s="17">
        <v>144</v>
      </c>
      <c r="CD147" s="17">
        <f t="shared" si="193"/>
        <v>3870</v>
      </c>
      <c r="CE147" s="17">
        <f t="shared" si="194"/>
        <v>3870</v>
      </c>
      <c r="CF147" s="17">
        <f t="shared" si="195"/>
        <v>3870</v>
      </c>
      <c r="CG147" s="17">
        <f t="shared" si="196"/>
        <v>3869.9999999999995</v>
      </c>
      <c r="CH147" s="17">
        <f t="shared" si="197"/>
        <v>3870</v>
      </c>
      <c r="CX147" s="17">
        <v>144</v>
      </c>
      <c r="CY147" s="17">
        <f t="shared" si="203"/>
        <v>307</v>
      </c>
      <c r="CZ147" s="17">
        <f t="shared" si="204"/>
        <v>307</v>
      </c>
      <c r="DA147" s="17">
        <f t="shared" si="205"/>
        <v>307</v>
      </c>
      <c r="DB147" s="17">
        <f t="shared" si="206"/>
        <v>307</v>
      </c>
      <c r="DC147" s="17">
        <f t="shared" si="207"/>
        <v>307</v>
      </c>
      <c r="DS147" s="17">
        <v>144</v>
      </c>
      <c r="DT147" s="17">
        <f t="shared" si="188"/>
        <v>1.1399999999999999</v>
      </c>
      <c r="DU147" s="17">
        <f t="shared" si="189"/>
        <v>1.1399999999999999</v>
      </c>
      <c r="DV147" s="17">
        <f t="shared" si="190"/>
        <v>1.1399999999999999</v>
      </c>
      <c r="DW147" s="17">
        <f t="shared" si="191"/>
        <v>1.1399999999999999</v>
      </c>
      <c r="DX147" s="17">
        <f t="shared" si="192"/>
        <v>1.1399999999999999</v>
      </c>
      <c r="EN147" s="17">
        <v>144</v>
      </c>
      <c r="EO147" s="17">
        <f t="shared" si="208"/>
        <v>0.80000000000000016</v>
      </c>
      <c r="EP147" s="17">
        <f t="shared" si="209"/>
        <v>0.80000000000000016</v>
      </c>
      <c r="EQ147" s="17">
        <f t="shared" si="210"/>
        <v>0.80000000000000016</v>
      </c>
      <c r="ER147" s="17">
        <f t="shared" si="211"/>
        <v>0.80000000000000016</v>
      </c>
      <c r="ES147" s="17">
        <f t="shared" si="212"/>
        <v>0.80000000000000016</v>
      </c>
    </row>
    <row r="148" spans="16:149" x14ac:dyDescent="0.15">
      <c r="P148" s="16">
        <v>145</v>
      </c>
      <c r="Q148" s="16">
        <f t="shared" si="158"/>
        <v>148</v>
      </c>
      <c r="R148" s="16">
        <f t="shared" si="159"/>
        <v>148</v>
      </c>
      <c r="S148" s="16">
        <f t="shared" si="160"/>
        <v>148</v>
      </c>
      <c r="T148" s="16">
        <f t="shared" si="161"/>
        <v>148</v>
      </c>
      <c r="U148" s="16">
        <f t="shared" si="162"/>
        <v>148</v>
      </c>
      <c r="AM148" s="16">
        <v>145</v>
      </c>
      <c r="AN148" s="16">
        <f t="shared" si="198"/>
        <v>15436.1</v>
      </c>
      <c r="AO148" s="16">
        <f t="shared" si="199"/>
        <v>15436.1</v>
      </c>
      <c r="AP148" s="16">
        <f t="shared" si="200"/>
        <v>15436.1</v>
      </c>
      <c r="AQ148" s="16">
        <f t="shared" si="201"/>
        <v>15436.1</v>
      </c>
      <c r="AR148" s="16">
        <f t="shared" si="202"/>
        <v>15436.1</v>
      </c>
      <c r="BH148" s="17">
        <v>145</v>
      </c>
      <c r="BI148" s="17">
        <f t="shared" si="183"/>
        <v>15436.1</v>
      </c>
      <c r="BJ148" s="17">
        <f t="shared" si="184"/>
        <v>15436.1</v>
      </c>
      <c r="BK148" s="17">
        <f t="shared" si="185"/>
        <v>15436.1</v>
      </c>
      <c r="BL148" s="17">
        <f t="shared" si="186"/>
        <v>15436.1</v>
      </c>
      <c r="BM148" s="17">
        <f t="shared" si="187"/>
        <v>15436.1</v>
      </c>
      <c r="CC148" s="17">
        <v>145</v>
      </c>
      <c r="CD148" s="17">
        <f t="shared" si="193"/>
        <v>3890</v>
      </c>
      <c r="CE148" s="17">
        <f t="shared" si="194"/>
        <v>3890</v>
      </c>
      <c r="CF148" s="17">
        <f t="shared" si="195"/>
        <v>3890</v>
      </c>
      <c r="CG148" s="17">
        <f t="shared" si="196"/>
        <v>3889.9999999999995</v>
      </c>
      <c r="CH148" s="17">
        <f t="shared" si="197"/>
        <v>3890</v>
      </c>
      <c r="CX148" s="17">
        <v>145</v>
      </c>
      <c r="CY148" s="17">
        <f t="shared" si="203"/>
        <v>309</v>
      </c>
      <c r="CZ148" s="17">
        <f t="shared" si="204"/>
        <v>309</v>
      </c>
      <c r="DA148" s="17">
        <f t="shared" si="205"/>
        <v>309</v>
      </c>
      <c r="DB148" s="17">
        <f t="shared" si="206"/>
        <v>309</v>
      </c>
      <c r="DC148" s="17">
        <f t="shared" si="207"/>
        <v>309</v>
      </c>
      <c r="DS148" s="17">
        <v>145</v>
      </c>
      <c r="DT148" s="17">
        <f t="shared" si="188"/>
        <v>1.1399999999999999</v>
      </c>
      <c r="DU148" s="17">
        <f t="shared" si="189"/>
        <v>1.1399999999999999</v>
      </c>
      <c r="DV148" s="17">
        <f t="shared" si="190"/>
        <v>1.1399999999999999</v>
      </c>
      <c r="DW148" s="17">
        <f t="shared" si="191"/>
        <v>1.1399999999999999</v>
      </c>
      <c r="DX148" s="17">
        <f t="shared" si="192"/>
        <v>1.1399999999999999</v>
      </c>
      <c r="EN148" s="17">
        <v>145</v>
      </c>
      <c r="EO148" s="17">
        <f t="shared" si="208"/>
        <v>0.80000000000000016</v>
      </c>
      <c r="EP148" s="17">
        <f t="shared" si="209"/>
        <v>0.80000000000000016</v>
      </c>
      <c r="EQ148" s="17">
        <f t="shared" si="210"/>
        <v>0.80000000000000016</v>
      </c>
      <c r="ER148" s="17">
        <f t="shared" si="211"/>
        <v>0.80000000000000016</v>
      </c>
      <c r="ES148" s="17">
        <f t="shared" si="212"/>
        <v>0.80000000000000016</v>
      </c>
    </row>
    <row r="149" spans="16:149" x14ac:dyDescent="0.15">
      <c r="P149" s="16">
        <v>146</v>
      </c>
      <c r="Q149" s="16">
        <f t="shared" si="158"/>
        <v>148</v>
      </c>
      <c r="R149" s="16">
        <f t="shared" si="159"/>
        <v>148</v>
      </c>
      <c r="S149" s="16">
        <f t="shared" si="160"/>
        <v>148</v>
      </c>
      <c r="T149" s="16">
        <f t="shared" si="161"/>
        <v>148</v>
      </c>
      <c r="U149" s="16">
        <f t="shared" si="162"/>
        <v>148</v>
      </c>
      <c r="AM149" s="16">
        <v>146</v>
      </c>
      <c r="AN149" s="16">
        <f t="shared" si="198"/>
        <v>15533.900000000001</v>
      </c>
      <c r="AO149" s="16">
        <f t="shared" si="199"/>
        <v>15533.900000000001</v>
      </c>
      <c r="AP149" s="16">
        <f t="shared" si="200"/>
        <v>15533.9</v>
      </c>
      <c r="AQ149" s="16">
        <f t="shared" si="201"/>
        <v>15533.9</v>
      </c>
      <c r="AR149" s="16">
        <f t="shared" si="202"/>
        <v>15533.9</v>
      </c>
      <c r="BH149" s="17">
        <v>146</v>
      </c>
      <c r="BI149" s="17">
        <f t="shared" si="183"/>
        <v>15533.900000000001</v>
      </c>
      <c r="BJ149" s="17">
        <f t="shared" si="184"/>
        <v>15533.900000000001</v>
      </c>
      <c r="BK149" s="17">
        <f t="shared" si="185"/>
        <v>15533.9</v>
      </c>
      <c r="BL149" s="17">
        <f t="shared" si="186"/>
        <v>15533.9</v>
      </c>
      <c r="BM149" s="17">
        <f t="shared" si="187"/>
        <v>15533.9</v>
      </c>
      <c r="CC149" s="17">
        <v>146</v>
      </c>
      <c r="CD149" s="17">
        <f t="shared" si="193"/>
        <v>3910</v>
      </c>
      <c r="CE149" s="17">
        <f t="shared" si="194"/>
        <v>3910</v>
      </c>
      <c r="CF149" s="17">
        <f t="shared" si="195"/>
        <v>3910</v>
      </c>
      <c r="CG149" s="17">
        <f t="shared" si="196"/>
        <v>3910</v>
      </c>
      <c r="CH149" s="17">
        <f t="shared" si="197"/>
        <v>3910</v>
      </c>
      <c r="CX149" s="17">
        <v>146</v>
      </c>
      <c r="CY149" s="17">
        <f t="shared" si="203"/>
        <v>311</v>
      </c>
      <c r="CZ149" s="17">
        <f t="shared" si="204"/>
        <v>311</v>
      </c>
      <c r="DA149" s="17">
        <f t="shared" si="205"/>
        <v>311</v>
      </c>
      <c r="DB149" s="17">
        <f t="shared" si="206"/>
        <v>311</v>
      </c>
      <c r="DC149" s="17">
        <f t="shared" si="207"/>
        <v>311</v>
      </c>
      <c r="DS149" s="17">
        <v>146</v>
      </c>
      <c r="DT149" s="17">
        <f t="shared" si="188"/>
        <v>1.1399999999999999</v>
      </c>
      <c r="DU149" s="17">
        <f t="shared" si="189"/>
        <v>1.1399999999999999</v>
      </c>
      <c r="DV149" s="17">
        <f t="shared" si="190"/>
        <v>1.1399999999999999</v>
      </c>
      <c r="DW149" s="17">
        <f t="shared" si="191"/>
        <v>1.1399999999999999</v>
      </c>
      <c r="DX149" s="17">
        <f t="shared" si="192"/>
        <v>1.1399999999999999</v>
      </c>
      <c r="EN149" s="17">
        <v>146</v>
      </c>
      <c r="EO149" s="17">
        <f t="shared" si="208"/>
        <v>0.80000000000000016</v>
      </c>
      <c r="EP149" s="17">
        <f t="shared" si="209"/>
        <v>0.80000000000000016</v>
      </c>
      <c r="EQ149" s="17">
        <f t="shared" si="210"/>
        <v>0.80000000000000016</v>
      </c>
      <c r="ER149" s="17">
        <f t="shared" si="211"/>
        <v>0.80000000000000016</v>
      </c>
      <c r="ES149" s="17">
        <f t="shared" si="212"/>
        <v>0.80000000000000016</v>
      </c>
    </row>
    <row r="150" spans="16:149" x14ac:dyDescent="0.15">
      <c r="P150" s="16">
        <v>147</v>
      </c>
      <c r="Q150" s="16">
        <f t="shared" si="158"/>
        <v>148</v>
      </c>
      <c r="R150" s="16">
        <f t="shared" si="159"/>
        <v>148</v>
      </c>
      <c r="S150" s="16">
        <f t="shared" si="160"/>
        <v>148</v>
      </c>
      <c r="T150" s="16">
        <f t="shared" si="161"/>
        <v>148</v>
      </c>
      <c r="U150" s="16">
        <f t="shared" si="162"/>
        <v>148</v>
      </c>
      <c r="AM150" s="16">
        <v>147</v>
      </c>
      <c r="AN150" s="16">
        <f t="shared" si="198"/>
        <v>15631.7</v>
      </c>
      <c r="AO150" s="16">
        <f t="shared" si="199"/>
        <v>15631.7</v>
      </c>
      <c r="AP150" s="16">
        <f t="shared" si="200"/>
        <v>15630.333434785174</v>
      </c>
      <c r="AQ150" s="16">
        <f t="shared" si="201"/>
        <v>15630.225259020313</v>
      </c>
      <c r="AR150" s="16">
        <f t="shared" si="202"/>
        <v>15631.699999999999</v>
      </c>
      <c r="BH150" s="17">
        <v>147</v>
      </c>
      <c r="BI150" s="17">
        <f t="shared" si="183"/>
        <v>15631.7</v>
      </c>
      <c r="BJ150" s="17">
        <f t="shared" si="184"/>
        <v>15631.7</v>
      </c>
      <c r="BK150" s="17">
        <f t="shared" si="185"/>
        <v>15630.333434785174</v>
      </c>
      <c r="BL150" s="17">
        <f t="shared" si="186"/>
        <v>15630.225259020313</v>
      </c>
      <c r="BM150" s="17">
        <f t="shared" si="187"/>
        <v>15631.699999999999</v>
      </c>
      <c r="CC150" s="17">
        <v>147</v>
      </c>
      <c r="CD150" s="17">
        <f t="shared" si="193"/>
        <v>3930</v>
      </c>
      <c r="CE150" s="17">
        <f t="shared" si="194"/>
        <v>3930</v>
      </c>
      <c r="CF150" s="17">
        <f t="shared" si="195"/>
        <v>3929.7205388108737</v>
      </c>
      <c r="CG150" s="17">
        <f t="shared" si="196"/>
        <v>3929.6984169775692</v>
      </c>
      <c r="CH150" s="17">
        <f t="shared" si="197"/>
        <v>3930</v>
      </c>
      <c r="CX150" s="17">
        <v>147</v>
      </c>
      <c r="CY150" s="17">
        <f t="shared" si="203"/>
        <v>313</v>
      </c>
      <c r="CZ150" s="17">
        <f t="shared" si="204"/>
        <v>313</v>
      </c>
      <c r="DA150" s="17">
        <f t="shared" si="205"/>
        <v>312.97205388108739</v>
      </c>
      <c r="DB150" s="17">
        <f t="shared" si="206"/>
        <v>312.96984169775692</v>
      </c>
      <c r="DC150" s="17">
        <f t="shared" si="207"/>
        <v>313</v>
      </c>
      <c r="DS150" s="17">
        <v>147</v>
      </c>
      <c r="DT150" s="17">
        <f t="shared" si="188"/>
        <v>1.1399999999999999</v>
      </c>
      <c r="DU150" s="17">
        <f t="shared" si="189"/>
        <v>1.1399999999999999</v>
      </c>
      <c r="DV150" s="17">
        <f t="shared" si="190"/>
        <v>1.1399999999999999</v>
      </c>
      <c r="DW150" s="17">
        <f t="shared" si="191"/>
        <v>1.1399999999999999</v>
      </c>
      <c r="DX150" s="17">
        <f t="shared" si="192"/>
        <v>1.1399999999999999</v>
      </c>
      <c r="EN150" s="17">
        <v>147</v>
      </c>
      <c r="EO150" s="17">
        <f t="shared" si="208"/>
        <v>0.80000000000000016</v>
      </c>
      <c r="EP150" s="17">
        <f t="shared" si="209"/>
        <v>0.80000000000000016</v>
      </c>
      <c r="EQ150" s="17">
        <f t="shared" si="210"/>
        <v>0.80000000000000016</v>
      </c>
      <c r="ER150" s="17">
        <f t="shared" si="211"/>
        <v>0.80000000000000016</v>
      </c>
      <c r="ES150" s="17">
        <f t="shared" si="212"/>
        <v>0.80000000000000016</v>
      </c>
    </row>
    <row r="151" spans="16:149" x14ac:dyDescent="0.15">
      <c r="P151" s="16">
        <v>148</v>
      </c>
      <c r="Q151" s="16">
        <f t="shared" si="158"/>
        <v>148</v>
      </c>
      <c r="R151" s="16">
        <f t="shared" si="159"/>
        <v>148</v>
      </c>
      <c r="S151" s="16">
        <f t="shared" si="160"/>
        <v>148</v>
      </c>
      <c r="T151" s="16">
        <f t="shared" si="161"/>
        <v>148</v>
      </c>
      <c r="U151" s="16">
        <f t="shared" si="162"/>
        <v>148</v>
      </c>
      <c r="AM151" s="16">
        <v>148</v>
      </c>
      <c r="AN151" s="16">
        <f t="shared" si="198"/>
        <v>15729.5</v>
      </c>
      <c r="AO151" s="16">
        <f t="shared" si="199"/>
        <v>15729.5</v>
      </c>
      <c r="AP151" s="16">
        <f t="shared" si="200"/>
        <v>15724.508346812749</v>
      </c>
      <c r="AQ151" s="16">
        <f t="shared" si="201"/>
        <v>15721.986554323699</v>
      </c>
      <c r="AR151" s="16">
        <f t="shared" si="202"/>
        <v>15717.482328594459</v>
      </c>
      <c r="BH151" s="17">
        <v>148</v>
      </c>
      <c r="BI151" s="17">
        <f t="shared" si="183"/>
        <v>15729.5</v>
      </c>
      <c r="BJ151" s="17">
        <f t="shared" si="184"/>
        <v>15729.5</v>
      </c>
      <c r="BK151" s="17">
        <f t="shared" si="185"/>
        <v>15724.508346812749</v>
      </c>
      <c r="BL151" s="17">
        <f t="shared" si="186"/>
        <v>15721.986554323699</v>
      </c>
      <c r="BM151" s="17">
        <f t="shared" si="187"/>
        <v>15717.482328594459</v>
      </c>
      <c r="CC151" s="17">
        <v>148</v>
      </c>
      <c r="CD151" s="17">
        <f t="shared" si="193"/>
        <v>3950</v>
      </c>
      <c r="CE151" s="17">
        <f t="shared" si="194"/>
        <v>3950</v>
      </c>
      <c r="CF151" s="17">
        <f t="shared" si="195"/>
        <v>3948.9792120271463</v>
      </c>
      <c r="CG151" s="17">
        <f t="shared" si="196"/>
        <v>3948.463508041656</v>
      </c>
      <c r="CH151" s="17">
        <f t="shared" si="197"/>
        <v>3947.5423984855743</v>
      </c>
      <c r="CX151" s="17">
        <v>148</v>
      </c>
      <c r="CY151" s="17">
        <f t="shared" si="203"/>
        <v>315</v>
      </c>
      <c r="CZ151" s="17">
        <f t="shared" si="204"/>
        <v>315</v>
      </c>
      <c r="DA151" s="17">
        <f t="shared" si="205"/>
        <v>314.89792120271466</v>
      </c>
      <c r="DB151" s="17">
        <f t="shared" si="206"/>
        <v>314.84635080416558</v>
      </c>
      <c r="DC151" s="17">
        <f t="shared" si="207"/>
        <v>314.7542398485574</v>
      </c>
      <c r="DS151" s="17">
        <v>148</v>
      </c>
      <c r="DT151" s="17">
        <f t="shared" si="188"/>
        <v>1.1399999999999999</v>
      </c>
      <c r="DU151" s="17">
        <f t="shared" si="189"/>
        <v>1.1399999999999999</v>
      </c>
      <c r="DV151" s="17">
        <f t="shared" si="190"/>
        <v>1.1399999999999999</v>
      </c>
      <c r="DW151" s="17">
        <f t="shared" si="191"/>
        <v>1.1399999999999999</v>
      </c>
      <c r="DX151" s="17">
        <f t="shared" si="192"/>
        <v>1.1399999999999999</v>
      </c>
      <c r="EN151" s="17">
        <v>148</v>
      </c>
      <c r="EO151" s="17">
        <f t="shared" si="208"/>
        <v>0.80000000000000016</v>
      </c>
      <c r="EP151" s="17">
        <f t="shared" si="209"/>
        <v>0.80000000000000016</v>
      </c>
      <c r="EQ151" s="17">
        <f t="shared" si="210"/>
        <v>0.80000000000000016</v>
      </c>
      <c r="ER151" s="17">
        <f t="shared" si="211"/>
        <v>0.80000000000000016</v>
      </c>
      <c r="ES151" s="17">
        <f t="shared" si="212"/>
        <v>0.80000000000000016</v>
      </c>
    </row>
    <row r="152" spans="16:149" x14ac:dyDescent="0.15">
      <c r="P152" s="16">
        <v>149</v>
      </c>
      <c r="Q152" s="16">
        <f t="shared" si="158"/>
        <v>148</v>
      </c>
      <c r="R152" s="16">
        <f t="shared" si="159"/>
        <v>148</v>
      </c>
      <c r="S152" s="16">
        <f t="shared" si="160"/>
        <v>148</v>
      </c>
      <c r="T152" s="16">
        <f t="shared" si="161"/>
        <v>148</v>
      </c>
      <c r="U152" s="16">
        <f t="shared" si="162"/>
        <v>148</v>
      </c>
      <c r="AM152" s="16">
        <v>149</v>
      </c>
      <c r="AN152" s="16">
        <f t="shared" si="198"/>
        <v>15827.300000000001</v>
      </c>
      <c r="AO152" s="16">
        <f t="shared" si="199"/>
        <v>15827.3</v>
      </c>
      <c r="AP152" s="16">
        <f t="shared" si="200"/>
        <v>15818.683258840321</v>
      </c>
      <c r="AQ152" s="16">
        <f t="shared" si="201"/>
        <v>15813.747849627085</v>
      </c>
      <c r="AR152" s="16">
        <f t="shared" si="202"/>
        <v>15800.650138530686</v>
      </c>
      <c r="BH152" s="17">
        <v>149</v>
      </c>
      <c r="BI152" s="17">
        <f t="shared" si="183"/>
        <v>15827.300000000001</v>
      </c>
      <c r="BJ152" s="17">
        <f t="shared" si="184"/>
        <v>15827.3</v>
      </c>
      <c r="BK152" s="17">
        <f t="shared" si="185"/>
        <v>15818.683258840321</v>
      </c>
      <c r="BL152" s="17">
        <f t="shared" si="186"/>
        <v>15813.747849627085</v>
      </c>
      <c r="BM152" s="17">
        <f t="shared" si="187"/>
        <v>15800.650138530686</v>
      </c>
      <c r="CC152" s="17">
        <v>149</v>
      </c>
      <c r="CD152" s="17">
        <f t="shared" si="193"/>
        <v>3970</v>
      </c>
      <c r="CE152" s="17">
        <f t="shared" si="194"/>
        <v>3970</v>
      </c>
      <c r="CF152" s="17">
        <f t="shared" si="195"/>
        <v>3968.237885243419</v>
      </c>
      <c r="CG152" s="17">
        <f t="shared" si="196"/>
        <v>3967.2285991057429</v>
      </c>
      <c r="CH152" s="17">
        <f t="shared" si="197"/>
        <v>3964.5501305788725</v>
      </c>
      <c r="CX152" s="17">
        <v>149</v>
      </c>
      <c r="CY152" s="17">
        <f t="shared" si="203"/>
        <v>317</v>
      </c>
      <c r="CZ152" s="17">
        <f t="shared" si="204"/>
        <v>317</v>
      </c>
      <c r="DA152" s="17">
        <f t="shared" si="205"/>
        <v>316.82378852434192</v>
      </c>
      <c r="DB152" s="17">
        <f t="shared" si="206"/>
        <v>316.7228599105743</v>
      </c>
      <c r="DC152" s="17">
        <f t="shared" si="207"/>
        <v>316.45501305788724</v>
      </c>
      <c r="DS152" s="17">
        <v>149</v>
      </c>
      <c r="DT152" s="17">
        <f t="shared" si="188"/>
        <v>1.1399999999999999</v>
      </c>
      <c r="DU152" s="17">
        <f t="shared" si="189"/>
        <v>1.1399999999999999</v>
      </c>
      <c r="DV152" s="17">
        <f t="shared" si="190"/>
        <v>1.1399999999999999</v>
      </c>
      <c r="DW152" s="17">
        <f t="shared" si="191"/>
        <v>1.1399999999999999</v>
      </c>
      <c r="DX152" s="17">
        <f t="shared" si="192"/>
        <v>1.1399999999999999</v>
      </c>
      <c r="EN152" s="17">
        <v>149</v>
      </c>
      <c r="EO152" s="17">
        <f t="shared" si="208"/>
        <v>0.80000000000000016</v>
      </c>
      <c r="EP152" s="17">
        <f t="shared" si="209"/>
        <v>0.80000000000000016</v>
      </c>
      <c r="EQ152" s="17">
        <f t="shared" si="210"/>
        <v>0.80000000000000016</v>
      </c>
      <c r="ER152" s="17">
        <f t="shared" si="211"/>
        <v>0.80000000000000016</v>
      </c>
      <c r="ES152" s="17">
        <f t="shared" si="212"/>
        <v>0.80000000000000016</v>
      </c>
    </row>
    <row r="153" spans="16:149" x14ac:dyDescent="0.15">
      <c r="P153" s="16">
        <v>150</v>
      </c>
      <c r="Q153" s="16">
        <f t="shared" si="158"/>
        <v>148</v>
      </c>
      <c r="R153" s="16">
        <f t="shared" si="159"/>
        <v>148</v>
      </c>
      <c r="S153" s="16">
        <f t="shared" si="160"/>
        <v>148</v>
      </c>
      <c r="T153" s="16">
        <f t="shared" si="161"/>
        <v>148</v>
      </c>
      <c r="U153" s="16">
        <f t="shared" si="162"/>
        <v>148</v>
      </c>
      <c r="AM153" s="16">
        <v>150</v>
      </c>
      <c r="AN153" s="16">
        <f t="shared" si="198"/>
        <v>15884.790108328889</v>
      </c>
      <c r="AO153" s="16">
        <f t="shared" si="199"/>
        <v>15891.871650363171</v>
      </c>
      <c r="AP153" s="16">
        <f t="shared" si="200"/>
        <v>15912.858170867896</v>
      </c>
      <c r="AQ153" s="16">
        <f t="shared" si="201"/>
        <v>15905.509144930469</v>
      </c>
      <c r="AR153" s="16">
        <f t="shared" si="202"/>
        <v>15883.817948466914</v>
      </c>
      <c r="BH153" s="17">
        <v>150</v>
      </c>
      <c r="BI153" s="17">
        <f t="shared" si="183"/>
        <v>15884.790108328889</v>
      </c>
      <c r="BJ153" s="17">
        <f t="shared" si="184"/>
        <v>15891.871650363171</v>
      </c>
      <c r="BK153" s="17">
        <f t="shared" si="185"/>
        <v>15912.858170867896</v>
      </c>
      <c r="BL153" s="17">
        <f t="shared" si="186"/>
        <v>15905.509144930469</v>
      </c>
      <c r="BM153" s="17">
        <f t="shared" si="187"/>
        <v>15883.817948466914</v>
      </c>
      <c r="CC153" s="17">
        <v>150</v>
      </c>
      <c r="CD153" s="17">
        <f t="shared" si="193"/>
        <v>3981.7566683699156</v>
      </c>
      <c r="CE153" s="17">
        <f t="shared" si="194"/>
        <v>3983.2048364750858</v>
      </c>
      <c r="CF153" s="17">
        <f t="shared" si="195"/>
        <v>3987.4965584596916</v>
      </c>
      <c r="CG153" s="17">
        <f t="shared" si="196"/>
        <v>3985.9936901698297</v>
      </c>
      <c r="CH153" s="17">
        <f t="shared" si="197"/>
        <v>3981.5578626721704</v>
      </c>
      <c r="CX153" s="17">
        <v>150</v>
      </c>
      <c r="CY153" s="17">
        <f t="shared" si="203"/>
        <v>318.17566683699158</v>
      </c>
      <c r="CZ153" s="17">
        <f t="shared" si="204"/>
        <v>318.32048364750864</v>
      </c>
      <c r="DA153" s="17">
        <f t="shared" si="205"/>
        <v>318.74965584596919</v>
      </c>
      <c r="DB153" s="17">
        <f t="shared" si="206"/>
        <v>318.59936901698296</v>
      </c>
      <c r="DC153" s="17">
        <f t="shared" si="207"/>
        <v>318.15578626721702</v>
      </c>
      <c r="DS153" s="17">
        <v>150</v>
      </c>
      <c r="DT153" s="17">
        <f t="shared" si="188"/>
        <v>1.1399999999999999</v>
      </c>
      <c r="DU153" s="17">
        <f t="shared" si="189"/>
        <v>1.1399999999999999</v>
      </c>
      <c r="DV153" s="17">
        <f t="shared" si="190"/>
        <v>1.1399999999999999</v>
      </c>
      <c r="DW153" s="17">
        <f t="shared" si="191"/>
        <v>1.1399999999999999</v>
      </c>
      <c r="DX153" s="17">
        <f t="shared" si="192"/>
        <v>1.1399999999999999</v>
      </c>
      <c r="EN153" s="17">
        <v>150</v>
      </c>
      <c r="EO153" s="17">
        <f t="shared" si="208"/>
        <v>0.80000000000000016</v>
      </c>
      <c r="EP153" s="17">
        <f t="shared" si="209"/>
        <v>0.80000000000000016</v>
      </c>
      <c r="EQ153" s="17">
        <f t="shared" si="210"/>
        <v>0.80000000000000016</v>
      </c>
      <c r="ER153" s="17">
        <f t="shared" si="211"/>
        <v>0.80000000000000016</v>
      </c>
      <c r="ES153" s="17">
        <f t="shared" si="212"/>
        <v>0.80000000000000016</v>
      </c>
    </row>
    <row r="154" spans="16:149" x14ac:dyDescent="0.15">
      <c r="P154" s="16">
        <v>151</v>
      </c>
      <c r="Q154" s="16">
        <f t="shared" si="158"/>
        <v>148</v>
      </c>
      <c r="R154" s="16">
        <f t="shared" si="159"/>
        <v>148</v>
      </c>
      <c r="S154" s="16">
        <f t="shared" si="160"/>
        <v>148</v>
      </c>
      <c r="T154" s="16">
        <f t="shared" si="161"/>
        <v>148</v>
      </c>
      <c r="U154" s="16">
        <f t="shared" si="162"/>
        <v>148</v>
      </c>
      <c r="AM154" s="16">
        <v>151</v>
      </c>
      <c r="AN154" s="16">
        <f t="shared" si="198"/>
        <v>15898.105852504621</v>
      </c>
      <c r="AO154" s="16">
        <f t="shared" si="199"/>
        <v>15902.910524677538</v>
      </c>
      <c r="AP154" s="16">
        <f t="shared" si="200"/>
        <v>15925.100000000002</v>
      </c>
      <c r="AQ154" s="16">
        <f t="shared" si="201"/>
        <v>15925.100000000002</v>
      </c>
      <c r="AR154" s="16">
        <f t="shared" si="202"/>
        <v>15925.100000000002</v>
      </c>
      <c r="BH154" s="17">
        <v>151</v>
      </c>
      <c r="BI154" s="17">
        <f t="shared" si="183"/>
        <v>15898.105852504621</v>
      </c>
      <c r="BJ154" s="17">
        <f t="shared" si="184"/>
        <v>15902.910524677538</v>
      </c>
      <c r="BK154" s="17">
        <f t="shared" si="185"/>
        <v>15925.100000000002</v>
      </c>
      <c r="BL154" s="17">
        <f t="shared" si="186"/>
        <v>15925.100000000002</v>
      </c>
      <c r="BM154" s="17">
        <f t="shared" si="187"/>
        <v>15925.100000000002</v>
      </c>
      <c r="CC154" s="17">
        <v>151</v>
      </c>
      <c r="CD154" s="17">
        <f t="shared" si="193"/>
        <v>3984.4797244385722</v>
      </c>
      <c r="CE154" s="17">
        <f t="shared" si="194"/>
        <v>3985.4622749851815</v>
      </c>
      <c r="CF154" s="17">
        <f t="shared" si="195"/>
        <v>3990</v>
      </c>
      <c r="CG154" s="17">
        <f t="shared" si="196"/>
        <v>3990</v>
      </c>
      <c r="CH154" s="17">
        <f t="shared" si="197"/>
        <v>3990</v>
      </c>
      <c r="CX154" s="17">
        <v>151</v>
      </c>
      <c r="CY154" s="17">
        <f t="shared" si="203"/>
        <v>318.44797244385722</v>
      </c>
      <c r="CZ154" s="17">
        <f t="shared" si="204"/>
        <v>318.54622749851819</v>
      </c>
      <c r="DA154" s="17">
        <f t="shared" si="205"/>
        <v>319</v>
      </c>
      <c r="DB154" s="17">
        <f t="shared" si="206"/>
        <v>319</v>
      </c>
      <c r="DC154" s="17">
        <f t="shared" si="207"/>
        <v>319</v>
      </c>
      <c r="DS154" s="17">
        <v>151</v>
      </c>
      <c r="DT154" s="17">
        <f t="shared" si="188"/>
        <v>1.1399999999999999</v>
      </c>
      <c r="DU154" s="17">
        <f t="shared" si="189"/>
        <v>1.1399999999999999</v>
      </c>
      <c r="DV154" s="17">
        <f t="shared" si="190"/>
        <v>1.1399999999999999</v>
      </c>
      <c r="DW154" s="17">
        <f t="shared" si="191"/>
        <v>1.1399999999999999</v>
      </c>
      <c r="DX154" s="17">
        <f t="shared" si="192"/>
        <v>1.1399999999999999</v>
      </c>
      <c r="EN154" s="17">
        <v>151</v>
      </c>
      <c r="EO154" s="17">
        <f t="shared" si="208"/>
        <v>0.80000000000000016</v>
      </c>
      <c r="EP154" s="17">
        <f t="shared" si="209"/>
        <v>0.80000000000000016</v>
      </c>
      <c r="EQ154" s="17">
        <f t="shared" si="210"/>
        <v>0.80000000000000016</v>
      </c>
      <c r="ER154" s="17">
        <f t="shared" si="211"/>
        <v>0.80000000000000016</v>
      </c>
      <c r="ES154" s="17">
        <f t="shared" si="212"/>
        <v>0.80000000000000016</v>
      </c>
    </row>
    <row r="155" spans="16:149" x14ac:dyDescent="0.15">
      <c r="P155" s="16">
        <v>152</v>
      </c>
      <c r="Q155" s="16">
        <f t="shared" si="158"/>
        <v>148</v>
      </c>
      <c r="R155" s="16">
        <f t="shared" si="159"/>
        <v>148</v>
      </c>
      <c r="S155" s="16">
        <f t="shared" si="160"/>
        <v>148</v>
      </c>
      <c r="T155" s="16">
        <f t="shared" si="161"/>
        <v>148</v>
      </c>
      <c r="U155" s="16">
        <f t="shared" si="162"/>
        <v>148</v>
      </c>
      <c r="AM155" s="16">
        <v>152</v>
      </c>
      <c r="AN155" s="16">
        <f t="shared" si="198"/>
        <v>15911.421596680351</v>
      </c>
      <c r="AO155" s="16">
        <f t="shared" si="199"/>
        <v>15913.949398991906</v>
      </c>
      <c r="AP155" s="16">
        <f t="shared" si="200"/>
        <v>15925.100000000002</v>
      </c>
      <c r="AQ155" s="16">
        <f t="shared" si="201"/>
        <v>15925.100000000002</v>
      </c>
      <c r="AR155" s="16">
        <f t="shared" si="202"/>
        <v>15925.100000000002</v>
      </c>
      <c r="BH155" s="17">
        <v>152</v>
      </c>
      <c r="BI155" s="17">
        <f t="shared" si="183"/>
        <v>15911.421596680351</v>
      </c>
      <c r="BJ155" s="17">
        <f t="shared" si="184"/>
        <v>15913.949398991906</v>
      </c>
      <c r="BK155" s="17">
        <f t="shared" si="185"/>
        <v>15925.100000000002</v>
      </c>
      <c r="BL155" s="17">
        <f t="shared" si="186"/>
        <v>15925.100000000002</v>
      </c>
      <c r="BM155" s="17">
        <f t="shared" si="187"/>
        <v>15925.100000000002</v>
      </c>
      <c r="CC155" s="17">
        <v>152</v>
      </c>
      <c r="CD155" s="17">
        <f t="shared" si="193"/>
        <v>3987.2027805072289</v>
      </c>
      <c r="CE155" s="17">
        <f t="shared" si="194"/>
        <v>3987.7197134952771</v>
      </c>
      <c r="CF155" s="17">
        <f t="shared" si="195"/>
        <v>3990</v>
      </c>
      <c r="CG155" s="17">
        <f t="shared" si="196"/>
        <v>3990</v>
      </c>
      <c r="CH155" s="17">
        <f t="shared" si="197"/>
        <v>3990</v>
      </c>
      <c r="CX155" s="17">
        <v>152</v>
      </c>
      <c r="CY155" s="17">
        <f t="shared" si="203"/>
        <v>318.72027805072292</v>
      </c>
      <c r="CZ155" s="17">
        <f t="shared" si="204"/>
        <v>318.77197134952769</v>
      </c>
      <c r="DA155" s="17">
        <f t="shared" si="205"/>
        <v>319</v>
      </c>
      <c r="DB155" s="17">
        <f t="shared" si="206"/>
        <v>319</v>
      </c>
      <c r="DC155" s="17">
        <f t="shared" si="207"/>
        <v>319</v>
      </c>
      <c r="DS155" s="17">
        <v>152</v>
      </c>
      <c r="DT155" s="17">
        <f t="shared" si="188"/>
        <v>1.1399999999999999</v>
      </c>
      <c r="DU155" s="17">
        <f t="shared" si="189"/>
        <v>1.1399999999999999</v>
      </c>
      <c r="DV155" s="17">
        <f t="shared" si="190"/>
        <v>1.1399999999999999</v>
      </c>
      <c r="DW155" s="17">
        <f t="shared" si="191"/>
        <v>1.1399999999999999</v>
      </c>
      <c r="DX155" s="17">
        <f t="shared" si="192"/>
        <v>1.1399999999999999</v>
      </c>
      <c r="EN155" s="17">
        <v>152</v>
      </c>
      <c r="EO155" s="17">
        <f t="shared" si="208"/>
        <v>0.80000000000000016</v>
      </c>
      <c r="EP155" s="17">
        <f t="shared" si="209"/>
        <v>0.80000000000000016</v>
      </c>
      <c r="EQ155" s="17">
        <f t="shared" si="210"/>
        <v>0.80000000000000016</v>
      </c>
      <c r="ER155" s="17">
        <f t="shared" si="211"/>
        <v>0.80000000000000016</v>
      </c>
      <c r="ES155" s="17">
        <f t="shared" si="212"/>
        <v>0.80000000000000016</v>
      </c>
    </row>
    <row r="156" spans="16:149" x14ac:dyDescent="0.15">
      <c r="P156" s="16">
        <v>153</v>
      </c>
      <c r="Q156" s="16">
        <f t="shared" si="158"/>
        <v>148</v>
      </c>
      <c r="R156" s="16">
        <f t="shared" si="159"/>
        <v>148</v>
      </c>
      <c r="S156" s="16">
        <f t="shared" si="160"/>
        <v>148</v>
      </c>
      <c r="T156" s="16">
        <f t="shared" si="161"/>
        <v>148</v>
      </c>
      <c r="U156" s="16">
        <f t="shared" si="162"/>
        <v>148</v>
      </c>
      <c r="AM156" s="16">
        <v>153</v>
      </c>
      <c r="AN156" s="16">
        <f t="shared" si="198"/>
        <v>15924.737340856083</v>
      </c>
      <c r="AO156" s="16">
        <f t="shared" si="199"/>
        <v>15924.988273306273</v>
      </c>
      <c r="AP156" s="16">
        <f t="shared" si="200"/>
        <v>15925.100000000002</v>
      </c>
      <c r="AQ156" s="16">
        <f t="shared" si="201"/>
        <v>15925.100000000002</v>
      </c>
      <c r="AR156" s="16">
        <f t="shared" si="202"/>
        <v>15925.100000000002</v>
      </c>
      <c r="BH156" s="17">
        <v>153</v>
      </c>
      <c r="BI156" s="17">
        <f t="shared" si="183"/>
        <v>15924.737340856083</v>
      </c>
      <c r="BJ156" s="17">
        <f t="shared" si="184"/>
        <v>15924.988273306273</v>
      </c>
      <c r="BK156" s="17">
        <f t="shared" si="185"/>
        <v>15925.100000000002</v>
      </c>
      <c r="BL156" s="17">
        <f t="shared" si="186"/>
        <v>15925.100000000002</v>
      </c>
      <c r="BM156" s="17">
        <f t="shared" si="187"/>
        <v>15925.100000000002</v>
      </c>
      <c r="CC156" s="17">
        <v>153</v>
      </c>
      <c r="CD156" s="17">
        <f t="shared" si="193"/>
        <v>3989.9258365758856</v>
      </c>
      <c r="CE156" s="17">
        <f t="shared" si="194"/>
        <v>3989.9771520053728</v>
      </c>
      <c r="CF156" s="17">
        <f t="shared" si="195"/>
        <v>3990</v>
      </c>
      <c r="CG156" s="17">
        <f t="shared" si="196"/>
        <v>3990</v>
      </c>
      <c r="CH156" s="17">
        <f t="shared" si="197"/>
        <v>3990</v>
      </c>
      <c r="CX156" s="17">
        <v>153</v>
      </c>
      <c r="CY156" s="17">
        <f t="shared" si="203"/>
        <v>318.99258365758857</v>
      </c>
      <c r="CZ156" s="17">
        <f t="shared" si="204"/>
        <v>318.99771520053724</v>
      </c>
      <c r="DA156" s="17">
        <f t="shared" si="205"/>
        <v>319</v>
      </c>
      <c r="DB156" s="17">
        <f t="shared" si="206"/>
        <v>319</v>
      </c>
      <c r="DC156" s="17">
        <f t="shared" si="207"/>
        <v>319</v>
      </c>
      <c r="DS156" s="17">
        <v>153</v>
      </c>
      <c r="DT156" s="17">
        <f t="shared" si="188"/>
        <v>1.1399999999999999</v>
      </c>
      <c r="DU156" s="17">
        <f t="shared" si="189"/>
        <v>1.1399999999999999</v>
      </c>
      <c r="DV156" s="17">
        <f t="shared" si="190"/>
        <v>1.1399999999999999</v>
      </c>
      <c r="DW156" s="17">
        <f t="shared" si="191"/>
        <v>1.1399999999999999</v>
      </c>
      <c r="DX156" s="17">
        <f t="shared" si="192"/>
        <v>1.1399999999999999</v>
      </c>
      <c r="EN156" s="17">
        <v>153</v>
      </c>
      <c r="EO156" s="17">
        <f t="shared" si="208"/>
        <v>0.80000000000000016</v>
      </c>
      <c r="EP156" s="17">
        <f t="shared" si="209"/>
        <v>0.80000000000000016</v>
      </c>
      <c r="EQ156" s="17">
        <f t="shared" si="210"/>
        <v>0.80000000000000016</v>
      </c>
      <c r="ER156" s="17">
        <f t="shared" si="211"/>
        <v>0.80000000000000016</v>
      </c>
      <c r="ES156" s="17">
        <f t="shared" si="212"/>
        <v>0.80000000000000016</v>
      </c>
    </row>
    <row r="157" spans="16:149" x14ac:dyDescent="0.15">
      <c r="P157" s="16">
        <v>154</v>
      </c>
      <c r="Q157" s="16">
        <f t="shared" si="158"/>
        <v>148</v>
      </c>
      <c r="R157" s="16">
        <f t="shared" si="159"/>
        <v>148</v>
      </c>
      <c r="S157" s="16">
        <f t="shared" si="160"/>
        <v>148</v>
      </c>
      <c r="T157" s="16">
        <f t="shared" si="161"/>
        <v>148</v>
      </c>
      <c r="U157" s="16">
        <f t="shared" si="162"/>
        <v>148</v>
      </c>
      <c r="AM157" s="16">
        <v>154</v>
      </c>
      <c r="AN157" s="16">
        <f t="shared" si="198"/>
        <v>15925.100000000002</v>
      </c>
      <c r="AO157" s="16">
        <f t="shared" si="199"/>
        <v>15925.100000000002</v>
      </c>
      <c r="AP157" s="16">
        <f t="shared" si="200"/>
        <v>15925.100000000002</v>
      </c>
      <c r="AQ157" s="16">
        <f t="shared" si="201"/>
        <v>15925.100000000002</v>
      </c>
      <c r="AR157" s="16">
        <f t="shared" si="202"/>
        <v>15925.100000000002</v>
      </c>
      <c r="BH157" s="17">
        <v>154</v>
      </c>
      <c r="BI157" s="17">
        <f t="shared" si="183"/>
        <v>15925.100000000002</v>
      </c>
      <c r="BJ157" s="17">
        <f t="shared" si="184"/>
        <v>15925.100000000002</v>
      </c>
      <c r="BK157" s="17">
        <f t="shared" si="185"/>
        <v>15925.100000000002</v>
      </c>
      <c r="BL157" s="17">
        <f t="shared" si="186"/>
        <v>15925.100000000002</v>
      </c>
      <c r="BM157" s="17">
        <f t="shared" si="187"/>
        <v>15925.100000000002</v>
      </c>
      <c r="CC157" s="17">
        <v>154</v>
      </c>
      <c r="CD157" s="17">
        <f t="shared" si="193"/>
        <v>3990</v>
      </c>
      <c r="CE157" s="17">
        <f t="shared" si="194"/>
        <v>3990</v>
      </c>
      <c r="CF157" s="17">
        <f t="shared" si="195"/>
        <v>3990</v>
      </c>
      <c r="CG157" s="17">
        <f t="shared" si="196"/>
        <v>3990</v>
      </c>
      <c r="CH157" s="17">
        <f t="shared" si="197"/>
        <v>3990</v>
      </c>
      <c r="CX157" s="17">
        <v>154</v>
      </c>
      <c r="CY157" s="17">
        <f t="shared" si="203"/>
        <v>319</v>
      </c>
      <c r="CZ157" s="17">
        <f t="shared" si="204"/>
        <v>319</v>
      </c>
      <c r="DA157" s="17">
        <f t="shared" si="205"/>
        <v>319</v>
      </c>
      <c r="DB157" s="17">
        <f t="shared" si="206"/>
        <v>319</v>
      </c>
      <c r="DC157" s="17">
        <f t="shared" si="207"/>
        <v>319</v>
      </c>
      <c r="DS157" s="17">
        <v>154</v>
      </c>
      <c r="DT157" s="17">
        <f t="shared" si="188"/>
        <v>1.1399999999999999</v>
      </c>
      <c r="DU157" s="17">
        <f t="shared" si="189"/>
        <v>1.1399999999999999</v>
      </c>
      <c r="DV157" s="17">
        <f t="shared" si="190"/>
        <v>1.1399999999999999</v>
      </c>
      <c r="DW157" s="17">
        <f t="shared" si="191"/>
        <v>1.1399999999999999</v>
      </c>
      <c r="DX157" s="17">
        <f t="shared" si="192"/>
        <v>1.1399999999999999</v>
      </c>
      <c r="EN157" s="17">
        <v>154</v>
      </c>
      <c r="EO157" s="17">
        <f t="shared" si="208"/>
        <v>0.80000000000000016</v>
      </c>
      <c r="EP157" s="17">
        <f t="shared" si="209"/>
        <v>0.80000000000000016</v>
      </c>
      <c r="EQ157" s="17">
        <f t="shared" si="210"/>
        <v>0.80000000000000016</v>
      </c>
      <c r="ER157" s="17">
        <f t="shared" si="211"/>
        <v>0.80000000000000016</v>
      </c>
      <c r="ES157" s="17">
        <f t="shared" si="212"/>
        <v>0.80000000000000016</v>
      </c>
    </row>
    <row r="158" spans="16:149" x14ac:dyDescent="0.15">
      <c r="P158" s="16">
        <v>155</v>
      </c>
      <c r="Q158" s="16">
        <f t="shared" si="158"/>
        <v>148</v>
      </c>
      <c r="R158" s="16">
        <f t="shared" si="159"/>
        <v>148</v>
      </c>
      <c r="S158" s="16">
        <f t="shared" si="160"/>
        <v>148</v>
      </c>
      <c r="T158" s="16">
        <f t="shared" si="161"/>
        <v>148</v>
      </c>
      <c r="U158" s="16">
        <f t="shared" si="162"/>
        <v>148</v>
      </c>
      <c r="AM158" s="16">
        <v>155</v>
      </c>
      <c r="AN158" s="16">
        <f>求节点(Z$4:Z$42,AE$4:AE$42,$P158)</f>
        <v>15925.100000000002</v>
      </c>
      <c r="AO158" s="16">
        <f>求节点(AA$4:AA$42,AF$4:AF$42,$P158)</f>
        <v>15925.100000000002</v>
      </c>
      <c r="AP158" s="16">
        <f>求节点(AB$4:AB$42,AG$4:AG$42,$P158)</f>
        <v>15925.100000000002</v>
      </c>
      <c r="AQ158" s="16">
        <f>求节点(AC$4:AC$42,AH$4:AH$42,$P158)</f>
        <v>15925.100000000002</v>
      </c>
      <c r="AR158" s="16">
        <f>求节点(AD$4:AD$42,AI$4:AI$42,$P158)</f>
        <v>15925.100000000002</v>
      </c>
      <c r="BH158" s="17">
        <v>155</v>
      </c>
      <c r="BI158" s="17">
        <f t="shared" si="183"/>
        <v>15925.100000000002</v>
      </c>
      <c r="BJ158" s="17">
        <f t="shared" si="184"/>
        <v>15925.100000000002</v>
      </c>
      <c r="BK158" s="17">
        <f t="shared" si="185"/>
        <v>15925.100000000002</v>
      </c>
      <c r="BL158" s="17">
        <f t="shared" si="186"/>
        <v>15925.100000000002</v>
      </c>
      <c r="BM158" s="17">
        <f t="shared" si="187"/>
        <v>15925.100000000002</v>
      </c>
      <c r="CC158" s="17">
        <v>155</v>
      </c>
      <c r="CD158" s="17">
        <f t="shared" si="193"/>
        <v>3990</v>
      </c>
      <c r="CE158" s="17">
        <f t="shared" si="194"/>
        <v>3990</v>
      </c>
      <c r="CF158" s="17">
        <f t="shared" si="195"/>
        <v>3990</v>
      </c>
      <c r="CG158" s="17">
        <f t="shared" si="196"/>
        <v>3990</v>
      </c>
      <c r="CH158" s="17">
        <f t="shared" si="197"/>
        <v>3990</v>
      </c>
      <c r="CX158" s="17">
        <v>155</v>
      </c>
      <c r="CY158" s="17">
        <f t="shared" si="203"/>
        <v>319</v>
      </c>
      <c r="CZ158" s="17">
        <f t="shared" si="204"/>
        <v>319</v>
      </c>
      <c r="DA158" s="17">
        <f t="shared" si="205"/>
        <v>319</v>
      </c>
      <c r="DB158" s="17">
        <f t="shared" si="206"/>
        <v>319</v>
      </c>
      <c r="DC158" s="17">
        <f t="shared" si="207"/>
        <v>319</v>
      </c>
      <c r="DS158" s="17">
        <v>155</v>
      </c>
      <c r="DT158" s="17">
        <f t="shared" si="188"/>
        <v>1.1399999999999999</v>
      </c>
      <c r="DU158" s="17">
        <f t="shared" si="189"/>
        <v>1.1399999999999999</v>
      </c>
      <c r="DV158" s="17">
        <f t="shared" si="190"/>
        <v>1.1399999999999999</v>
      </c>
      <c r="DW158" s="17">
        <f t="shared" si="191"/>
        <v>1.1399999999999999</v>
      </c>
      <c r="DX158" s="17">
        <f t="shared" si="192"/>
        <v>1.1399999999999999</v>
      </c>
      <c r="EN158" s="17">
        <v>155</v>
      </c>
      <c r="EO158" s="17">
        <f t="shared" si="208"/>
        <v>0.80000000000000016</v>
      </c>
      <c r="EP158" s="17">
        <f t="shared" si="209"/>
        <v>0.80000000000000016</v>
      </c>
      <c r="EQ158" s="17">
        <f t="shared" si="210"/>
        <v>0.80000000000000016</v>
      </c>
      <c r="ER158" s="17">
        <f t="shared" si="211"/>
        <v>0.80000000000000016</v>
      </c>
      <c r="ES158" s="17">
        <f t="shared" si="212"/>
        <v>0.80000000000000016</v>
      </c>
    </row>
    <row r="159" spans="16:149" x14ac:dyDescent="0.15">
      <c r="P159" s="16">
        <v>156</v>
      </c>
      <c r="Q159" s="16">
        <f t="shared" si="158"/>
        <v>148</v>
      </c>
      <c r="R159" s="16">
        <f t="shared" si="159"/>
        <v>148</v>
      </c>
      <c r="S159" s="16">
        <f t="shared" si="160"/>
        <v>148</v>
      </c>
      <c r="T159" s="16">
        <f t="shared" si="161"/>
        <v>148</v>
      </c>
      <c r="U159" s="16">
        <f t="shared" si="162"/>
        <v>148</v>
      </c>
      <c r="AM159" s="16">
        <v>156</v>
      </c>
      <c r="AN159" s="16">
        <f t="shared" ref="AN159:AN162" si="213">求节点(Z$4:Z$42,AE$4:AE$42,$P159)</f>
        <v>15925.100000000002</v>
      </c>
      <c r="AO159" s="16">
        <f t="shared" ref="AO159:AO162" si="214">求节点(AA$4:AA$42,AF$4:AF$42,$P159)</f>
        <v>15925.100000000002</v>
      </c>
      <c r="AP159" s="16">
        <f t="shared" ref="AP159:AP162" si="215">求节点(AB$4:AB$42,AG$4:AG$42,$P159)</f>
        <v>15925.100000000002</v>
      </c>
      <c r="AQ159" s="16">
        <f t="shared" ref="AQ159:AQ162" si="216">求节点(AC$4:AC$42,AH$4:AH$42,$P159)</f>
        <v>15925.100000000002</v>
      </c>
      <c r="AR159" s="16">
        <f t="shared" ref="AR159:AR162" si="217">求节点(AD$4:AD$42,AI$4:AI$42,$P159)</f>
        <v>15925.100000000002</v>
      </c>
      <c r="BH159" s="17">
        <v>156</v>
      </c>
      <c r="BI159" s="17">
        <f t="shared" si="183"/>
        <v>15925.100000000002</v>
      </c>
      <c r="BJ159" s="17">
        <f t="shared" si="184"/>
        <v>15925.100000000002</v>
      </c>
      <c r="BK159" s="17">
        <f t="shared" si="185"/>
        <v>15925.100000000002</v>
      </c>
      <c r="BL159" s="17">
        <f t="shared" si="186"/>
        <v>15925.100000000002</v>
      </c>
      <c r="BM159" s="17">
        <f t="shared" si="187"/>
        <v>15925.100000000002</v>
      </c>
      <c r="CC159" s="17">
        <v>156</v>
      </c>
      <c r="CD159" s="17">
        <f t="shared" si="193"/>
        <v>3990</v>
      </c>
      <c r="CE159" s="17">
        <f t="shared" si="194"/>
        <v>3990</v>
      </c>
      <c r="CF159" s="17">
        <f t="shared" si="195"/>
        <v>3990</v>
      </c>
      <c r="CG159" s="17">
        <f t="shared" si="196"/>
        <v>3990</v>
      </c>
      <c r="CH159" s="17">
        <f t="shared" si="197"/>
        <v>3990</v>
      </c>
      <c r="CX159" s="17">
        <v>156</v>
      </c>
      <c r="CY159" s="17">
        <f t="shared" si="203"/>
        <v>319</v>
      </c>
      <c r="CZ159" s="17">
        <f t="shared" si="204"/>
        <v>319</v>
      </c>
      <c r="DA159" s="17">
        <f t="shared" si="205"/>
        <v>319</v>
      </c>
      <c r="DB159" s="17">
        <f t="shared" si="206"/>
        <v>319</v>
      </c>
      <c r="DC159" s="17">
        <f t="shared" si="207"/>
        <v>319</v>
      </c>
      <c r="DS159" s="17">
        <v>156</v>
      </c>
      <c r="DT159" s="17">
        <f t="shared" si="188"/>
        <v>1.1399999999999999</v>
      </c>
      <c r="DU159" s="17">
        <f t="shared" si="189"/>
        <v>1.1399999999999999</v>
      </c>
      <c r="DV159" s="17">
        <f t="shared" si="190"/>
        <v>1.1399999999999999</v>
      </c>
      <c r="DW159" s="17">
        <f t="shared" si="191"/>
        <v>1.1399999999999999</v>
      </c>
      <c r="DX159" s="17">
        <f t="shared" si="192"/>
        <v>1.1399999999999999</v>
      </c>
      <c r="EN159" s="17">
        <v>156</v>
      </c>
      <c r="EO159" s="17">
        <f t="shared" si="208"/>
        <v>0.80000000000000016</v>
      </c>
      <c r="EP159" s="17">
        <f t="shared" si="209"/>
        <v>0.80000000000000016</v>
      </c>
      <c r="EQ159" s="17">
        <f t="shared" si="210"/>
        <v>0.80000000000000016</v>
      </c>
      <c r="ER159" s="17">
        <f t="shared" si="211"/>
        <v>0.80000000000000016</v>
      </c>
      <c r="ES159" s="17">
        <f t="shared" si="212"/>
        <v>0.80000000000000016</v>
      </c>
    </row>
    <row r="160" spans="16:149" x14ac:dyDescent="0.15">
      <c r="P160" s="16">
        <v>157</v>
      </c>
      <c r="Q160" s="16">
        <f t="shared" si="158"/>
        <v>148</v>
      </c>
      <c r="R160" s="16">
        <f t="shared" si="159"/>
        <v>148</v>
      </c>
      <c r="S160" s="16">
        <f t="shared" si="160"/>
        <v>148</v>
      </c>
      <c r="T160" s="16">
        <f t="shared" si="161"/>
        <v>148</v>
      </c>
      <c r="U160" s="16">
        <f t="shared" si="162"/>
        <v>148</v>
      </c>
      <c r="AM160" s="16">
        <v>157</v>
      </c>
      <c r="AN160" s="16">
        <f t="shared" si="213"/>
        <v>15925.100000000002</v>
      </c>
      <c r="AO160" s="16">
        <f t="shared" si="214"/>
        <v>15925.100000000002</v>
      </c>
      <c r="AP160" s="16">
        <f t="shared" si="215"/>
        <v>15925.100000000002</v>
      </c>
      <c r="AQ160" s="16">
        <f t="shared" si="216"/>
        <v>15925.100000000002</v>
      </c>
      <c r="AR160" s="16">
        <f t="shared" si="217"/>
        <v>15925.100000000002</v>
      </c>
      <c r="BH160" s="17">
        <v>157</v>
      </c>
      <c r="BI160" s="17">
        <f t="shared" si="183"/>
        <v>15925.100000000002</v>
      </c>
      <c r="BJ160" s="17">
        <f t="shared" si="184"/>
        <v>15925.100000000002</v>
      </c>
      <c r="BK160" s="17">
        <f t="shared" si="185"/>
        <v>15925.100000000002</v>
      </c>
      <c r="BL160" s="17">
        <f t="shared" si="186"/>
        <v>15925.100000000002</v>
      </c>
      <c r="BM160" s="17">
        <f t="shared" si="187"/>
        <v>15925.100000000002</v>
      </c>
      <c r="CC160" s="17">
        <v>157</v>
      </c>
      <c r="CD160" s="17">
        <f t="shared" si="193"/>
        <v>3990</v>
      </c>
      <c r="CE160" s="17">
        <f t="shared" si="194"/>
        <v>3990</v>
      </c>
      <c r="CF160" s="17">
        <f t="shared" si="195"/>
        <v>3990</v>
      </c>
      <c r="CG160" s="17">
        <f t="shared" si="196"/>
        <v>3990</v>
      </c>
      <c r="CH160" s="17">
        <f t="shared" si="197"/>
        <v>3990</v>
      </c>
      <c r="CX160" s="17">
        <v>157</v>
      </c>
      <c r="CY160" s="17">
        <f t="shared" si="203"/>
        <v>319</v>
      </c>
      <c r="CZ160" s="17">
        <f t="shared" si="204"/>
        <v>319</v>
      </c>
      <c r="DA160" s="17">
        <f t="shared" si="205"/>
        <v>319</v>
      </c>
      <c r="DB160" s="17">
        <f t="shared" si="206"/>
        <v>319</v>
      </c>
      <c r="DC160" s="17">
        <f t="shared" si="207"/>
        <v>319</v>
      </c>
      <c r="DS160" s="17">
        <v>157</v>
      </c>
      <c r="DT160" s="17">
        <f t="shared" si="188"/>
        <v>1.1399999999999999</v>
      </c>
      <c r="DU160" s="17">
        <f t="shared" si="189"/>
        <v>1.1399999999999999</v>
      </c>
      <c r="DV160" s="17">
        <f t="shared" si="190"/>
        <v>1.1399999999999999</v>
      </c>
      <c r="DW160" s="17">
        <f t="shared" si="191"/>
        <v>1.1399999999999999</v>
      </c>
      <c r="DX160" s="17">
        <f t="shared" si="192"/>
        <v>1.1399999999999999</v>
      </c>
      <c r="EN160" s="17">
        <v>157</v>
      </c>
      <c r="EO160" s="17">
        <f t="shared" si="208"/>
        <v>0.80000000000000016</v>
      </c>
      <c r="EP160" s="17">
        <f t="shared" si="209"/>
        <v>0.80000000000000016</v>
      </c>
      <c r="EQ160" s="17">
        <f t="shared" si="210"/>
        <v>0.80000000000000016</v>
      </c>
      <c r="ER160" s="17">
        <f t="shared" si="211"/>
        <v>0.80000000000000016</v>
      </c>
      <c r="ES160" s="17">
        <f t="shared" si="212"/>
        <v>0.80000000000000016</v>
      </c>
    </row>
    <row r="161" spans="16:149" x14ac:dyDescent="0.15">
      <c r="P161" s="16">
        <v>158</v>
      </c>
      <c r="Q161" s="16">
        <f t="shared" si="158"/>
        <v>148</v>
      </c>
      <c r="R161" s="16">
        <f t="shared" si="159"/>
        <v>148</v>
      </c>
      <c r="S161" s="16">
        <f t="shared" si="160"/>
        <v>148</v>
      </c>
      <c r="T161" s="16">
        <f t="shared" si="161"/>
        <v>148</v>
      </c>
      <c r="U161" s="16">
        <f t="shared" si="162"/>
        <v>148</v>
      </c>
      <c r="AM161" s="16">
        <v>158</v>
      </c>
      <c r="AN161" s="16">
        <f t="shared" si="213"/>
        <v>15925.100000000002</v>
      </c>
      <c r="AO161" s="16">
        <f t="shared" si="214"/>
        <v>15925.100000000002</v>
      </c>
      <c r="AP161" s="16">
        <f t="shared" si="215"/>
        <v>15925.100000000002</v>
      </c>
      <c r="AQ161" s="16">
        <f t="shared" si="216"/>
        <v>15925.100000000002</v>
      </c>
      <c r="AR161" s="16">
        <f t="shared" si="217"/>
        <v>15925.100000000002</v>
      </c>
      <c r="BH161" s="17">
        <v>158</v>
      </c>
      <c r="BI161" s="17">
        <f t="shared" si="183"/>
        <v>15925.100000000002</v>
      </c>
      <c r="BJ161" s="17">
        <f t="shared" si="184"/>
        <v>15925.100000000002</v>
      </c>
      <c r="BK161" s="17">
        <f t="shared" si="185"/>
        <v>15925.100000000002</v>
      </c>
      <c r="BL161" s="17">
        <f t="shared" si="186"/>
        <v>15925.100000000002</v>
      </c>
      <c r="BM161" s="17">
        <f t="shared" si="187"/>
        <v>15925.100000000002</v>
      </c>
      <c r="CC161" s="17">
        <v>158</v>
      </c>
      <c r="CD161" s="17">
        <f t="shared" si="193"/>
        <v>3990</v>
      </c>
      <c r="CE161" s="17">
        <f t="shared" si="194"/>
        <v>3990</v>
      </c>
      <c r="CF161" s="17">
        <f t="shared" si="195"/>
        <v>3990</v>
      </c>
      <c r="CG161" s="17">
        <f t="shared" si="196"/>
        <v>3990</v>
      </c>
      <c r="CH161" s="17">
        <f t="shared" si="197"/>
        <v>3990</v>
      </c>
      <c r="CX161" s="17">
        <v>158</v>
      </c>
      <c r="CY161" s="17">
        <f t="shared" si="203"/>
        <v>319</v>
      </c>
      <c r="CZ161" s="17">
        <f t="shared" si="204"/>
        <v>319</v>
      </c>
      <c r="DA161" s="17">
        <f t="shared" si="205"/>
        <v>319</v>
      </c>
      <c r="DB161" s="17">
        <f t="shared" si="206"/>
        <v>319</v>
      </c>
      <c r="DC161" s="17">
        <f t="shared" si="207"/>
        <v>319</v>
      </c>
      <c r="DS161" s="17">
        <v>158</v>
      </c>
      <c r="DT161" s="17">
        <f t="shared" si="188"/>
        <v>1.1399999999999999</v>
      </c>
      <c r="DU161" s="17">
        <f t="shared" si="189"/>
        <v>1.1399999999999999</v>
      </c>
      <c r="DV161" s="17">
        <f t="shared" si="190"/>
        <v>1.1399999999999999</v>
      </c>
      <c r="DW161" s="17">
        <f t="shared" si="191"/>
        <v>1.1399999999999999</v>
      </c>
      <c r="DX161" s="17">
        <f t="shared" si="192"/>
        <v>1.1399999999999999</v>
      </c>
      <c r="EN161" s="17">
        <v>158</v>
      </c>
      <c r="EO161" s="17">
        <f t="shared" si="208"/>
        <v>0.80000000000000016</v>
      </c>
      <c r="EP161" s="17">
        <f t="shared" si="209"/>
        <v>0.80000000000000016</v>
      </c>
      <c r="EQ161" s="17">
        <f t="shared" si="210"/>
        <v>0.80000000000000016</v>
      </c>
      <c r="ER161" s="17">
        <f t="shared" si="211"/>
        <v>0.80000000000000016</v>
      </c>
      <c r="ES161" s="17">
        <f t="shared" si="212"/>
        <v>0.80000000000000016</v>
      </c>
    </row>
    <row r="162" spans="16:149" x14ac:dyDescent="0.15">
      <c r="P162" s="16">
        <v>159</v>
      </c>
      <c r="Q162" s="16">
        <f t="shared" si="158"/>
        <v>148</v>
      </c>
      <c r="R162" s="16">
        <f t="shared" si="159"/>
        <v>148</v>
      </c>
      <c r="S162" s="16">
        <f t="shared" si="160"/>
        <v>148</v>
      </c>
      <c r="T162" s="16">
        <f t="shared" si="161"/>
        <v>148</v>
      </c>
      <c r="U162" s="16">
        <f t="shared" si="162"/>
        <v>148</v>
      </c>
      <c r="AM162" s="16">
        <v>159</v>
      </c>
      <c r="AN162" s="16">
        <f t="shared" si="213"/>
        <v>15925.100000000002</v>
      </c>
      <c r="AO162" s="16">
        <f t="shared" si="214"/>
        <v>15925.100000000002</v>
      </c>
      <c r="AP162" s="16">
        <f t="shared" si="215"/>
        <v>15925.100000000002</v>
      </c>
      <c r="AQ162" s="16">
        <f t="shared" si="216"/>
        <v>15925.100000000002</v>
      </c>
      <c r="AR162" s="16">
        <f t="shared" si="217"/>
        <v>15925.100000000002</v>
      </c>
      <c r="BH162" s="17">
        <v>159</v>
      </c>
      <c r="BI162" s="17">
        <f t="shared" si="183"/>
        <v>15925.100000000002</v>
      </c>
      <c r="BJ162" s="17">
        <f t="shared" si="184"/>
        <v>15925.100000000002</v>
      </c>
      <c r="BK162" s="17">
        <f t="shared" si="185"/>
        <v>15925.100000000002</v>
      </c>
      <c r="BL162" s="17">
        <f t="shared" si="186"/>
        <v>15925.100000000002</v>
      </c>
      <c r="BM162" s="17">
        <f t="shared" si="187"/>
        <v>15925.100000000002</v>
      </c>
      <c r="CC162" s="17">
        <v>159</v>
      </c>
      <c r="CD162" s="17">
        <f t="shared" si="193"/>
        <v>3990</v>
      </c>
      <c r="CE162" s="17">
        <f t="shared" si="194"/>
        <v>3990</v>
      </c>
      <c r="CF162" s="17">
        <f t="shared" si="195"/>
        <v>3990</v>
      </c>
      <c r="CG162" s="17">
        <f t="shared" si="196"/>
        <v>3990</v>
      </c>
      <c r="CH162" s="17">
        <f t="shared" si="197"/>
        <v>3990</v>
      </c>
      <c r="CX162" s="17">
        <v>159</v>
      </c>
      <c r="CY162" s="17">
        <f t="shared" si="203"/>
        <v>319</v>
      </c>
      <c r="CZ162" s="17">
        <f t="shared" si="204"/>
        <v>319</v>
      </c>
      <c r="DA162" s="17">
        <f t="shared" si="205"/>
        <v>319</v>
      </c>
      <c r="DB162" s="17">
        <f t="shared" si="206"/>
        <v>319</v>
      </c>
      <c r="DC162" s="17">
        <f t="shared" si="207"/>
        <v>319</v>
      </c>
      <c r="DS162" s="17">
        <v>159</v>
      </c>
      <c r="DT162" s="17">
        <f t="shared" si="188"/>
        <v>1.1399999999999999</v>
      </c>
      <c r="DU162" s="17">
        <f t="shared" si="189"/>
        <v>1.1399999999999999</v>
      </c>
      <c r="DV162" s="17">
        <f t="shared" si="190"/>
        <v>1.1399999999999999</v>
      </c>
      <c r="DW162" s="17">
        <f t="shared" si="191"/>
        <v>1.1399999999999999</v>
      </c>
      <c r="DX162" s="17">
        <f t="shared" si="192"/>
        <v>1.1399999999999999</v>
      </c>
      <c r="EN162" s="17">
        <v>159</v>
      </c>
      <c r="EO162" s="17">
        <f t="shared" si="208"/>
        <v>0.80000000000000016</v>
      </c>
      <c r="EP162" s="17">
        <f t="shared" si="209"/>
        <v>0.80000000000000016</v>
      </c>
      <c r="EQ162" s="17">
        <f t="shared" si="210"/>
        <v>0.80000000000000016</v>
      </c>
      <c r="ER162" s="17">
        <f t="shared" si="211"/>
        <v>0.80000000000000016</v>
      </c>
      <c r="ES162" s="17">
        <f t="shared" si="212"/>
        <v>0.80000000000000016</v>
      </c>
    </row>
    <row r="163" spans="16:149" x14ac:dyDescent="0.15">
      <c r="P163" s="16">
        <v>160</v>
      </c>
      <c r="Q163" s="16">
        <f>求节点(B$4:B$42,G$4:G$42,$P163)</f>
        <v>148</v>
      </c>
      <c r="R163" s="16">
        <f>求节点(C$4:C$42,H$4:H$42,$P163)</f>
        <v>148</v>
      </c>
      <c r="S163" s="16">
        <f>求节点(D$4:D$42,I$4:I$42,$P163)</f>
        <v>148</v>
      </c>
      <c r="T163" s="16">
        <f>求节点(E$4:E$42,J$4:J$42,$P163)</f>
        <v>148</v>
      </c>
      <c r="U163" s="16">
        <f>求节点(F$4:F$42,K$4:K$42,$P163)</f>
        <v>148</v>
      </c>
      <c r="AM163" s="16">
        <v>160</v>
      </c>
      <c r="AN163" s="16">
        <f>求节点(Z$4:Z$42,AE$4:AE$42,$P163)</f>
        <v>15925.100000000002</v>
      </c>
      <c r="AO163" s="16">
        <f>求节点(AA$4:AA$42,AF$4:AF$42,$P163)</f>
        <v>15925.100000000002</v>
      </c>
      <c r="AP163" s="16">
        <f>求节点(AB$4:AB$42,AG$4:AG$42,$P163)</f>
        <v>15925.100000000002</v>
      </c>
      <c r="AQ163" s="16">
        <f>求节点(AC$4:AC$42,AH$4:AH$42,$P163)</f>
        <v>15925.100000000002</v>
      </c>
      <c r="AR163" s="16">
        <f>求节点(AD$4:AD$42,AI$4:AI$42,$P163)</f>
        <v>15925.100000000002</v>
      </c>
      <c r="BH163" s="17">
        <v>160</v>
      </c>
      <c r="BI163" s="17">
        <f t="shared" si="183"/>
        <v>15925.100000000002</v>
      </c>
      <c r="BJ163" s="17">
        <f t="shared" si="184"/>
        <v>15925.100000000002</v>
      </c>
      <c r="BK163" s="17">
        <f t="shared" si="185"/>
        <v>15925.100000000002</v>
      </c>
      <c r="BL163" s="17">
        <f t="shared" si="186"/>
        <v>15925.100000000002</v>
      </c>
      <c r="BM163" s="17">
        <f t="shared" si="187"/>
        <v>15925.100000000002</v>
      </c>
      <c r="CC163" s="17">
        <v>160</v>
      </c>
      <c r="CD163" s="17">
        <f t="shared" ref="CD163" si="218">求节点(BR$4:BR$42,BW$4:BW$42,$P163)</f>
        <v>3990</v>
      </c>
      <c r="CE163" s="17">
        <f t="shared" ref="CE163" si="219">求节点(BS$4:BS$42,BX$4:BX$42,$P163)</f>
        <v>3990</v>
      </c>
      <c r="CF163" s="17">
        <f t="shared" ref="CF163" si="220">求节点(BT$4:BT$42,BY$4:BY$42,$P163)</f>
        <v>3990</v>
      </c>
      <c r="CG163" s="17">
        <f t="shared" ref="CG163" si="221">求节点(BU$4:BU$42,BZ$4:BZ$42,$P163)</f>
        <v>3990</v>
      </c>
      <c r="CH163" s="17">
        <f t="shared" ref="CH163" si="222">求节点(BV$4:BV$42,CA$4:CA$42,$P163)</f>
        <v>3990</v>
      </c>
      <c r="CX163" s="17">
        <v>160</v>
      </c>
      <c r="CY163" s="17">
        <f t="shared" si="203"/>
        <v>319</v>
      </c>
      <c r="CZ163" s="17">
        <f t="shared" si="204"/>
        <v>319</v>
      </c>
      <c r="DA163" s="17">
        <f t="shared" si="205"/>
        <v>319</v>
      </c>
      <c r="DB163" s="17">
        <f t="shared" si="206"/>
        <v>319</v>
      </c>
      <c r="DC163" s="17">
        <f t="shared" si="207"/>
        <v>319</v>
      </c>
      <c r="DS163" s="17">
        <v>160</v>
      </c>
      <c r="DT163" s="17">
        <f t="shared" si="188"/>
        <v>1.1399999999999999</v>
      </c>
      <c r="DU163" s="17">
        <f t="shared" si="189"/>
        <v>1.1399999999999999</v>
      </c>
      <c r="DV163" s="17">
        <f t="shared" si="190"/>
        <v>1.1399999999999999</v>
      </c>
      <c r="DW163" s="17">
        <f t="shared" si="191"/>
        <v>1.1399999999999999</v>
      </c>
      <c r="DX163" s="17">
        <f t="shared" si="192"/>
        <v>1.1399999999999999</v>
      </c>
      <c r="EN163" s="17">
        <v>160</v>
      </c>
      <c r="EO163" s="17">
        <f t="shared" si="208"/>
        <v>0.80000000000000016</v>
      </c>
      <c r="EP163" s="17">
        <f t="shared" si="209"/>
        <v>0.80000000000000016</v>
      </c>
      <c r="EQ163" s="17">
        <f t="shared" si="210"/>
        <v>0.80000000000000016</v>
      </c>
      <c r="ER163" s="17">
        <f t="shared" si="211"/>
        <v>0.80000000000000016</v>
      </c>
      <c r="ES163" s="17">
        <f t="shared" si="212"/>
        <v>0.80000000000000016</v>
      </c>
    </row>
  </sheetData>
  <mergeCells count="24">
    <mergeCell ref="EC2:EG2"/>
    <mergeCell ref="EH2:EL2"/>
    <mergeCell ref="EO2:ES2"/>
    <mergeCell ref="DH2:DL2"/>
    <mergeCell ref="DM2:DQ2"/>
    <mergeCell ref="DT2:DX2"/>
    <mergeCell ref="BI2:BM2"/>
    <mergeCell ref="CY2:DC2"/>
    <mergeCell ref="BR2:BV2"/>
    <mergeCell ref="BW2:CA2"/>
    <mergeCell ref="CD2:CH2"/>
    <mergeCell ref="CM2:CQ2"/>
    <mergeCell ref="CR2:CV2"/>
    <mergeCell ref="BE2:BF2"/>
    <mergeCell ref="L2:M2"/>
    <mergeCell ref="B2:F2"/>
    <mergeCell ref="G2:K2"/>
    <mergeCell ref="Q2:U2"/>
    <mergeCell ref="Z2:AD2"/>
    <mergeCell ref="AE2:AI2"/>
    <mergeCell ref="AN2:AR2"/>
    <mergeCell ref="AJ2:AK2"/>
    <mergeCell ref="AU2:AY2"/>
    <mergeCell ref="AZ2:BD2"/>
  </mergeCells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"/>
  <dimension ref="B4:AN106"/>
  <sheetViews>
    <sheetView workbookViewId="0">
      <selection activeCell="C6" sqref="C6:C12"/>
    </sheetView>
  </sheetViews>
  <sheetFormatPr defaultRowHeight="12" x14ac:dyDescent="0.15"/>
  <cols>
    <col min="1" max="1" width="9" style="4"/>
    <col min="2" max="6" width="9" style="2"/>
    <col min="7" max="39" width="9" style="4"/>
    <col min="40" max="40" width="9" style="11"/>
    <col min="41" max="16384" width="9" style="4"/>
  </cols>
  <sheetData>
    <row r="4" spans="2:38" x14ac:dyDescent="0.15">
      <c r="B4" s="9"/>
      <c r="C4" s="9" t="s">
        <v>140</v>
      </c>
      <c r="D4" s="9"/>
      <c r="G4" s="2"/>
    </row>
    <row r="5" spans="2:38" x14ac:dyDescent="0.15">
      <c r="B5" s="9" t="s">
        <v>4</v>
      </c>
      <c r="C5" s="9" t="s">
        <v>5</v>
      </c>
      <c r="D5" s="9" t="s">
        <v>6</v>
      </c>
      <c r="G5" s="2"/>
      <c r="J5" s="173" t="s">
        <v>89</v>
      </c>
      <c r="K5" s="173"/>
      <c r="L5" s="173"/>
      <c r="M5" s="173"/>
      <c r="N5" s="173"/>
      <c r="P5" s="173" t="s">
        <v>90</v>
      </c>
      <c r="Q5" s="173"/>
      <c r="R5" s="173"/>
      <c r="S5" s="173"/>
      <c r="T5" s="173"/>
      <c r="Z5" s="173" t="s">
        <v>101</v>
      </c>
      <c r="AA5" s="173"/>
      <c r="AB5" s="173"/>
      <c r="AC5" s="173"/>
      <c r="AD5" s="173"/>
      <c r="AE5" s="10"/>
      <c r="AF5" s="5"/>
      <c r="AG5" s="8"/>
      <c r="AH5" s="173" t="s">
        <v>165</v>
      </c>
      <c r="AI5" s="173"/>
      <c r="AJ5" s="173"/>
      <c r="AK5" s="173"/>
      <c r="AL5" s="173"/>
    </row>
    <row r="6" spans="2:38" x14ac:dyDescent="0.15">
      <c r="B6" s="9">
        <v>1</v>
      </c>
      <c r="C6" s="9">
        <v>1</v>
      </c>
      <c r="D6" s="9">
        <f>SUM($C$6:C6)</f>
        <v>1</v>
      </c>
      <c r="G6" s="2"/>
      <c r="I6" s="4" t="s">
        <v>96</v>
      </c>
      <c r="J6" s="8" t="s">
        <v>85</v>
      </c>
      <c r="K6" s="8" t="s">
        <v>86</v>
      </c>
      <c r="L6" s="8" t="s">
        <v>87</v>
      </c>
      <c r="M6" s="8" t="s">
        <v>0</v>
      </c>
      <c r="N6" s="8" t="s">
        <v>88</v>
      </c>
      <c r="P6" s="8" t="s">
        <v>85</v>
      </c>
      <c r="Q6" s="8" t="s">
        <v>86</v>
      </c>
      <c r="R6" s="8" t="s">
        <v>87</v>
      </c>
      <c r="S6" s="8" t="s">
        <v>0</v>
      </c>
      <c r="T6" s="8" t="s">
        <v>88</v>
      </c>
      <c r="V6" s="8" t="s">
        <v>102</v>
      </c>
      <c r="W6" s="8" t="s">
        <v>91</v>
      </c>
      <c r="X6" s="8" t="s">
        <v>95</v>
      </c>
      <c r="Z6" s="8" t="s">
        <v>85</v>
      </c>
      <c r="AA6" s="8" t="s">
        <v>86</v>
      </c>
      <c r="AB6" s="8" t="s">
        <v>87</v>
      </c>
      <c r="AC6" s="8" t="s">
        <v>0</v>
      </c>
      <c r="AD6" s="8" t="s">
        <v>88</v>
      </c>
      <c r="AE6" s="8" t="s">
        <v>94</v>
      </c>
      <c r="AG6" s="8" t="s">
        <v>100</v>
      </c>
      <c r="AH6" s="8" t="s">
        <v>103</v>
      </c>
      <c r="AI6" s="8" t="s">
        <v>104</v>
      </c>
      <c r="AJ6" s="8" t="s">
        <v>105</v>
      </c>
      <c r="AK6" s="8" t="s">
        <v>106</v>
      </c>
      <c r="AL6" s="8" t="s">
        <v>107</v>
      </c>
    </row>
    <row r="7" spans="2:38" x14ac:dyDescent="0.15">
      <c r="B7" s="9">
        <v>2</v>
      </c>
      <c r="C7" s="9">
        <v>1</v>
      </c>
      <c r="D7" s="9">
        <f>SUM($C$6:C7)</f>
        <v>2</v>
      </c>
      <c r="G7" s="2"/>
      <c r="J7" s="8"/>
      <c r="K7" s="8">
        <v>5</v>
      </c>
      <c r="L7" s="8">
        <v>1</v>
      </c>
      <c r="M7" s="8"/>
      <c r="N7" s="8"/>
      <c r="P7" s="8"/>
      <c r="Q7" s="8">
        <v>0</v>
      </c>
      <c r="R7" s="8">
        <v>0</v>
      </c>
      <c r="S7" s="8"/>
      <c r="T7" s="8"/>
      <c r="V7" s="8">
        <v>6</v>
      </c>
      <c r="W7" s="8">
        <f>INDEX(节奏总纲!P:P,MATCH(V7,节奏总纲!O:O,0))</f>
        <v>0.51571656651039799</v>
      </c>
      <c r="X7" s="8">
        <f>W7</f>
        <v>0.51571656651039799</v>
      </c>
      <c r="Z7" s="8">
        <f t="shared" ref="Z7:Z20" si="0">J7*INDEX($D$19:$D$26,P7+1,1)</f>
        <v>0</v>
      </c>
      <c r="AA7" s="8">
        <f t="shared" ref="AA7:AA20" si="1">K7*INDEX($D$19:$D$26,Q7+1,1)</f>
        <v>5</v>
      </c>
      <c r="AB7" s="8">
        <f t="shared" ref="AB7:AB20" si="2">L7*INDEX($D$19:$D$26,R7+1,1)</f>
        <v>1</v>
      </c>
      <c r="AC7" s="8">
        <f t="shared" ref="AC7:AC20" si="3">M7*INDEX($D$19:$D$26,S7+1,1)</f>
        <v>0</v>
      </c>
      <c r="AD7" s="8">
        <f t="shared" ref="AD7:AD20" si="4">N7*INDEX($D$19:$D$26,T7+1,1)</f>
        <v>0</v>
      </c>
      <c r="AE7" s="8">
        <f t="shared" ref="AE7:AE20" si="5">SUMPRODUCT(Z7:AD7,$C$35:$G$35)</f>
        <v>1000</v>
      </c>
      <c r="AG7" s="8">
        <v>1</v>
      </c>
      <c r="AH7" s="8">
        <f>求节点($V$7:$V$20,$AE$7:$AE$20,AG7)</f>
        <v>166.66666666666674</v>
      </c>
      <c r="AI7" s="8">
        <f>求节点($V$27:$V$39,$AE$27:$AE$39,AG7)</f>
        <v>333.33333333333348</v>
      </c>
      <c r="AJ7" s="8">
        <f>求节点($V$43:$V$54,$AE$43:$AE$54,AG7)</f>
        <v>450</v>
      </c>
      <c r="AK7" s="8">
        <f>求节点($V$58:$V$68,$AE$58:$AE$68,AG7)</f>
        <v>500</v>
      </c>
      <c r="AL7" s="8">
        <f>求节点($V$72:$V$80,$AE$72:$AE$80,AG7)</f>
        <v>1500</v>
      </c>
    </row>
    <row r="8" spans="2:38" x14ac:dyDescent="0.15">
      <c r="B8" s="9">
        <v>3</v>
      </c>
      <c r="C8" s="9">
        <v>1</v>
      </c>
      <c r="D8" s="9">
        <f>SUM($C$6:C8)</f>
        <v>3</v>
      </c>
      <c r="J8" s="8"/>
      <c r="K8" s="8"/>
      <c r="L8" s="8">
        <v>5</v>
      </c>
      <c r="M8" s="8">
        <v>1</v>
      </c>
      <c r="N8" s="8"/>
      <c r="P8" s="8"/>
      <c r="Q8" s="8"/>
      <c r="R8" s="8">
        <v>0</v>
      </c>
      <c r="S8" s="8">
        <v>0</v>
      </c>
      <c r="T8" s="8"/>
      <c r="V8" s="8">
        <v>20</v>
      </c>
      <c r="W8" s="8">
        <f>INDEX(节奏总纲!P:P,MATCH(V8,节奏总纲!O:O,0))</f>
        <v>3</v>
      </c>
      <c r="X8" s="8">
        <f t="shared" ref="X8:X14" si="6">W8-W7</f>
        <v>2.484283433489602</v>
      </c>
      <c r="Z8" s="8">
        <f t="shared" si="0"/>
        <v>0</v>
      </c>
      <c r="AA8" s="8">
        <f t="shared" si="1"/>
        <v>0</v>
      </c>
      <c r="AB8" s="8">
        <f t="shared" si="2"/>
        <v>5</v>
      </c>
      <c r="AC8" s="8">
        <f t="shared" si="3"/>
        <v>1</v>
      </c>
      <c r="AD8" s="8">
        <f t="shared" si="4"/>
        <v>0</v>
      </c>
      <c r="AE8" s="8">
        <f t="shared" si="5"/>
        <v>5000</v>
      </c>
      <c r="AG8" s="8">
        <v>2</v>
      </c>
      <c r="AH8" s="8">
        <f t="shared" ref="AH8:AH71" si="7">求节点($V$7:$V$20,$AE$7:$AE$20,AG8)</f>
        <v>333.33333333333337</v>
      </c>
      <c r="AI8" s="8">
        <f t="shared" ref="AI8:AI71" si="8">求节点($V$27:$V$39,$AE$27:$AE$39,AG8)</f>
        <v>666.66666666666674</v>
      </c>
      <c r="AJ8" s="8">
        <f t="shared" ref="AJ8:AJ71" si="9">求节点($V$43:$V$54,$AE$43:$AE$54,AG8)</f>
        <v>900</v>
      </c>
      <c r="AK8" s="8">
        <f t="shared" ref="AK8:AK71" si="10">求节点($V$58:$V$68,$AE$58:$AE$68,AG8)</f>
        <v>1000</v>
      </c>
      <c r="AL8" s="8">
        <f t="shared" ref="AL8:AL71" si="11">求节点($V$72:$V$80,$AE$72:$AE$80,AG8)</f>
        <v>3000</v>
      </c>
    </row>
    <row r="9" spans="2:38" x14ac:dyDescent="0.15">
      <c r="B9" s="9">
        <v>4</v>
      </c>
      <c r="C9" s="9">
        <v>2</v>
      </c>
      <c r="D9" s="9">
        <f>SUM($C$6:C9)</f>
        <v>5</v>
      </c>
      <c r="J9" s="8"/>
      <c r="K9" s="8"/>
      <c r="L9" s="8">
        <v>3</v>
      </c>
      <c r="M9" s="8">
        <v>3</v>
      </c>
      <c r="N9" s="8"/>
      <c r="P9" s="8"/>
      <c r="Q9" s="8"/>
      <c r="R9" s="8">
        <v>1</v>
      </c>
      <c r="S9" s="8">
        <v>0</v>
      </c>
      <c r="T9" s="8"/>
      <c r="V9" s="8">
        <v>30</v>
      </c>
      <c r="W9" s="8">
        <f>INDEX(节奏总纲!P:P,MATCH(V9,节奏总纲!O:O,0))</f>
        <v>7</v>
      </c>
      <c r="X9" s="8">
        <f t="shared" si="6"/>
        <v>4</v>
      </c>
      <c r="Z9" s="8">
        <f t="shared" si="0"/>
        <v>0</v>
      </c>
      <c r="AA9" s="8">
        <f t="shared" si="1"/>
        <v>0</v>
      </c>
      <c r="AB9" s="8">
        <f t="shared" si="2"/>
        <v>6</v>
      </c>
      <c r="AC9" s="8">
        <f t="shared" si="3"/>
        <v>3</v>
      </c>
      <c r="AD9" s="8">
        <f t="shared" si="4"/>
        <v>0</v>
      </c>
      <c r="AE9" s="8">
        <f t="shared" si="5"/>
        <v>10500</v>
      </c>
      <c r="AG9" s="8">
        <v>3</v>
      </c>
      <c r="AH9" s="8">
        <f t="shared" si="7"/>
        <v>500</v>
      </c>
      <c r="AI9" s="8">
        <f t="shared" si="8"/>
        <v>1000</v>
      </c>
      <c r="AJ9" s="8">
        <f t="shared" si="9"/>
        <v>1350</v>
      </c>
      <c r="AK9" s="8">
        <f t="shared" si="10"/>
        <v>1500</v>
      </c>
      <c r="AL9" s="8">
        <f t="shared" si="11"/>
        <v>4500</v>
      </c>
    </row>
    <row r="10" spans="2:38" x14ac:dyDescent="0.15">
      <c r="B10" s="9">
        <v>5</v>
      </c>
      <c r="C10" s="9">
        <v>2</v>
      </c>
      <c r="D10" s="9">
        <f>SUM($C$6:C10)</f>
        <v>7</v>
      </c>
      <c r="J10" s="8"/>
      <c r="K10" s="8"/>
      <c r="L10" s="8">
        <v>1</v>
      </c>
      <c r="M10" s="8">
        <v>5</v>
      </c>
      <c r="N10" s="8"/>
      <c r="P10" s="8"/>
      <c r="Q10" s="8"/>
      <c r="R10" s="8">
        <v>3</v>
      </c>
      <c r="S10" s="8">
        <v>0</v>
      </c>
      <c r="T10" s="8"/>
      <c r="V10" s="8">
        <v>35</v>
      </c>
      <c r="W10" s="8">
        <f>INDEX(节奏总纲!P:P,MATCH(V10,节奏总纲!O:O,0))</f>
        <v>10.313708498984759</v>
      </c>
      <c r="X10" s="8">
        <f t="shared" si="6"/>
        <v>3.3137084989847594</v>
      </c>
      <c r="Z10" s="8">
        <f t="shared" si="0"/>
        <v>0</v>
      </c>
      <c r="AA10" s="8">
        <f t="shared" si="1"/>
        <v>0</v>
      </c>
      <c r="AB10" s="8">
        <f t="shared" si="2"/>
        <v>4</v>
      </c>
      <c r="AC10" s="8">
        <f t="shared" si="3"/>
        <v>5</v>
      </c>
      <c r="AD10" s="8">
        <f t="shared" si="4"/>
        <v>0</v>
      </c>
      <c r="AE10" s="8">
        <f t="shared" si="5"/>
        <v>14500</v>
      </c>
      <c r="AG10" s="8">
        <v>4</v>
      </c>
      <c r="AH10" s="8">
        <f t="shared" si="7"/>
        <v>666.66666666666674</v>
      </c>
      <c r="AI10" s="8">
        <f t="shared" si="8"/>
        <v>1333.3333333333335</v>
      </c>
      <c r="AJ10" s="8">
        <f t="shared" si="9"/>
        <v>1800</v>
      </c>
      <c r="AK10" s="8">
        <f t="shared" si="10"/>
        <v>2000</v>
      </c>
      <c r="AL10" s="8">
        <f t="shared" si="11"/>
        <v>6000</v>
      </c>
    </row>
    <row r="11" spans="2:38" x14ac:dyDescent="0.15">
      <c r="B11" s="9">
        <v>6</v>
      </c>
      <c r="C11" s="9">
        <v>2</v>
      </c>
      <c r="D11" s="9">
        <f>SUM($C$6:C11)</f>
        <v>9</v>
      </c>
      <c r="J11" s="8"/>
      <c r="K11" s="8"/>
      <c r="L11" s="8"/>
      <c r="M11" s="8">
        <v>6</v>
      </c>
      <c r="N11" s="8"/>
      <c r="P11" s="8"/>
      <c r="Q11" s="8"/>
      <c r="R11" s="8"/>
      <c r="S11" s="8">
        <v>0</v>
      </c>
      <c r="T11" s="8"/>
      <c r="V11" s="8">
        <v>38</v>
      </c>
      <c r="W11" s="8">
        <f>INDEX(节奏总纲!P:P,MATCH(V11,节奏总纲!O:O,0))</f>
        <v>12.928809012737984</v>
      </c>
      <c r="X11" s="8">
        <f t="shared" si="6"/>
        <v>2.6151005137532248</v>
      </c>
      <c r="Z11" s="8">
        <f t="shared" si="0"/>
        <v>0</v>
      </c>
      <c r="AA11" s="8">
        <f t="shared" si="1"/>
        <v>0</v>
      </c>
      <c r="AB11" s="8">
        <f t="shared" si="2"/>
        <v>0</v>
      </c>
      <c r="AC11" s="8">
        <f t="shared" si="3"/>
        <v>6</v>
      </c>
      <c r="AD11" s="8">
        <f t="shared" si="4"/>
        <v>0</v>
      </c>
      <c r="AE11" s="8">
        <f t="shared" si="5"/>
        <v>15000</v>
      </c>
      <c r="AG11" s="8">
        <v>5</v>
      </c>
      <c r="AH11" s="8">
        <f t="shared" si="7"/>
        <v>833.33333333333337</v>
      </c>
      <c r="AI11" s="8">
        <f t="shared" si="8"/>
        <v>1666.6666666666667</v>
      </c>
      <c r="AJ11" s="8">
        <f t="shared" si="9"/>
        <v>2250</v>
      </c>
      <c r="AK11" s="8">
        <f t="shared" si="10"/>
        <v>2500</v>
      </c>
      <c r="AL11" s="8">
        <f t="shared" si="11"/>
        <v>7500</v>
      </c>
    </row>
    <row r="12" spans="2:38" x14ac:dyDescent="0.15">
      <c r="B12" s="9">
        <v>7</v>
      </c>
      <c r="C12" s="9">
        <v>3</v>
      </c>
      <c r="D12" s="9">
        <f>SUM($C$6:C12)</f>
        <v>12</v>
      </c>
      <c r="J12" s="8"/>
      <c r="K12" s="8"/>
      <c r="L12" s="8"/>
      <c r="M12" s="8">
        <v>6</v>
      </c>
      <c r="N12" s="8"/>
      <c r="P12" s="8"/>
      <c r="Q12" s="8"/>
      <c r="R12" s="8"/>
      <c r="S12" s="8">
        <v>1</v>
      </c>
      <c r="T12" s="8"/>
      <c r="V12" s="8">
        <v>46</v>
      </c>
      <c r="W12" s="8">
        <f>INDEX(节奏总纲!P:P,MATCH(V12,节奏总纲!O:O,0))</f>
        <v>23.251465064166357</v>
      </c>
      <c r="X12" s="8">
        <f t="shared" si="6"/>
        <v>10.322656051428373</v>
      </c>
      <c r="Z12" s="8">
        <f t="shared" si="0"/>
        <v>0</v>
      </c>
      <c r="AA12" s="8">
        <f t="shared" si="1"/>
        <v>0</v>
      </c>
      <c r="AB12" s="8">
        <f t="shared" si="2"/>
        <v>0</v>
      </c>
      <c r="AC12" s="8">
        <f t="shared" si="3"/>
        <v>12</v>
      </c>
      <c r="AD12" s="8">
        <f t="shared" si="4"/>
        <v>0</v>
      </c>
      <c r="AE12" s="8">
        <f t="shared" si="5"/>
        <v>30000</v>
      </c>
      <c r="AG12" s="8">
        <v>6</v>
      </c>
      <c r="AH12" s="8">
        <f t="shared" si="7"/>
        <v>1000</v>
      </c>
      <c r="AI12" s="8">
        <f t="shared" si="8"/>
        <v>2000</v>
      </c>
      <c r="AJ12" s="8">
        <f t="shared" si="9"/>
        <v>2700</v>
      </c>
      <c r="AK12" s="8">
        <f t="shared" si="10"/>
        <v>3000</v>
      </c>
      <c r="AL12" s="8">
        <f t="shared" si="11"/>
        <v>9000</v>
      </c>
    </row>
    <row r="13" spans="2:38" x14ac:dyDescent="0.15">
      <c r="B13" s="9">
        <v>8</v>
      </c>
      <c r="C13" s="9">
        <v>3</v>
      </c>
      <c r="D13" s="9">
        <f>SUM($C$6:C13)</f>
        <v>15</v>
      </c>
      <c r="J13" s="8"/>
      <c r="K13" s="8"/>
      <c r="L13" s="8"/>
      <c r="M13" s="8">
        <v>6</v>
      </c>
      <c r="N13" s="8"/>
      <c r="P13" s="8"/>
      <c r="Q13" s="8"/>
      <c r="R13" s="8"/>
      <c r="S13" s="8">
        <v>3</v>
      </c>
      <c r="T13" s="8"/>
      <c r="V13" s="8">
        <v>58</v>
      </c>
      <c r="W13" s="8">
        <f>INDEX(节奏总纲!P:P,MATCH(V13,节奏总纲!O:O,0))</f>
        <v>54.715236050951923</v>
      </c>
      <c r="X13" s="8">
        <f t="shared" si="6"/>
        <v>31.463770986785565</v>
      </c>
      <c r="Z13" s="8">
        <f t="shared" si="0"/>
        <v>0</v>
      </c>
      <c r="AA13" s="8">
        <f t="shared" si="1"/>
        <v>0</v>
      </c>
      <c r="AB13" s="8">
        <f t="shared" si="2"/>
        <v>0</v>
      </c>
      <c r="AC13" s="8">
        <f t="shared" si="3"/>
        <v>24</v>
      </c>
      <c r="AD13" s="8">
        <f t="shared" si="4"/>
        <v>0</v>
      </c>
      <c r="AE13" s="8">
        <f t="shared" si="5"/>
        <v>60000</v>
      </c>
      <c r="AG13" s="8">
        <v>7</v>
      </c>
      <c r="AH13" s="8">
        <f t="shared" si="7"/>
        <v>1285.7142857142858</v>
      </c>
      <c r="AI13" s="8">
        <f t="shared" si="8"/>
        <v>2807.6923076923076</v>
      </c>
      <c r="AJ13" s="8">
        <f t="shared" si="9"/>
        <v>3150</v>
      </c>
      <c r="AK13" s="8">
        <f t="shared" si="10"/>
        <v>3500</v>
      </c>
      <c r="AL13" s="8">
        <f t="shared" si="11"/>
        <v>10500</v>
      </c>
    </row>
    <row r="14" spans="2:38" x14ac:dyDescent="0.15">
      <c r="J14" s="8"/>
      <c r="K14" s="8"/>
      <c r="L14" s="8"/>
      <c r="M14" s="8">
        <v>6</v>
      </c>
      <c r="N14" s="8"/>
      <c r="P14" s="8"/>
      <c r="Q14" s="8"/>
      <c r="R14" s="8"/>
      <c r="S14" s="8">
        <v>6</v>
      </c>
      <c r="T14" s="8"/>
      <c r="V14" s="8">
        <v>67</v>
      </c>
      <c r="W14" s="8">
        <f>INDEX(节奏总纲!P:P,MATCH(V14,节奏总纲!O:O,0))</f>
        <v>102.96830673359811</v>
      </c>
      <c r="X14" s="8">
        <f t="shared" si="6"/>
        <v>48.253070682646189</v>
      </c>
      <c r="Z14" s="8">
        <f t="shared" si="0"/>
        <v>0</v>
      </c>
      <c r="AA14" s="8">
        <f t="shared" si="1"/>
        <v>0</v>
      </c>
      <c r="AB14" s="8">
        <f t="shared" si="2"/>
        <v>0</v>
      </c>
      <c r="AC14" s="8">
        <f t="shared" si="3"/>
        <v>42</v>
      </c>
      <c r="AD14" s="8">
        <f t="shared" si="4"/>
        <v>0</v>
      </c>
      <c r="AE14" s="8">
        <f t="shared" si="5"/>
        <v>105000</v>
      </c>
      <c r="AG14" s="8">
        <v>8</v>
      </c>
      <c r="AH14" s="8">
        <f t="shared" si="7"/>
        <v>1571.4285714285716</v>
      </c>
      <c r="AI14" s="8">
        <f t="shared" si="8"/>
        <v>3615.3846153846152</v>
      </c>
      <c r="AJ14" s="8">
        <f t="shared" si="9"/>
        <v>3600</v>
      </c>
      <c r="AK14" s="8">
        <f t="shared" si="10"/>
        <v>4000</v>
      </c>
      <c r="AL14" s="8">
        <f t="shared" si="11"/>
        <v>12000</v>
      </c>
    </row>
    <row r="15" spans="2:38" x14ac:dyDescent="0.15">
      <c r="J15" s="8"/>
      <c r="K15" s="8"/>
      <c r="L15" s="8"/>
      <c r="M15" s="8"/>
      <c r="N15" s="8">
        <v>1</v>
      </c>
      <c r="P15" s="8"/>
      <c r="Q15" s="8"/>
      <c r="R15" s="8"/>
      <c r="S15" s="8"/>
      <c r="T15" s="8">
        <v>0</v>
      </c>
      <c r="V15" s="8">
        <v>68</v>
      </c>
      <c r="W15" s="8">
        <f>INDEX(节奏总纲!P:P,MATCH(V15,节奏总纲!O:O,0))</f>
        <v>110.43047210190386</v>
      </c>
      <c r="X15" s="8">
        <f t="shared" ref="X15:X20" si="12">W15-W14</f>
        <v>7.4621653683057474</v>
      </c>
      <c r="Z15" s="8">
        <f t="shared" si="0"/>
        <v>0</v>
      </c>
      <c r="AA15" s="8">
        <f t="shared" si="1"/>
        <v>0</v>
      </c>
      <c r="AB15" s="8">
        <f t="shared" si="2"/>
        <v>0</v>
      </c>
      <c r="AC15" s="8">
        <f t="shared" si="3"/>
        <v>0</v>
      </c>
      <c r="AD15" s="8">
        <f t="shared" si="4"/>
        <v>1</v>
      </c>
      <c r="AE15" s="8">
        <f t="shared" si="5"/>
        <v>25000</v>
      </c>
      <c r="AG15" s="8">
        <v>9</v>
      </c>
      <c r="AH15" s="8">
        <f t="shared" si="7"/>
        <v>1857.1428571428571</v>
      </c>
      <c r="AI15" s="8">
        <f t="shared" si="8"/>
        <v>4423.0769230769238</v>
      </c>
      <c r="AJ15" s="8">
        <f t="shared" si="9"/>
        <v>4240</v>
      </c>
      <c r="AK15" s="8">
        <f t="shared" si="10"/>
        <v>4500</v>
      </c>
      <c r="AL15" s="8">
        <f t="shared" si="11"/>
        <v>13500</v>
      </c>
    </row>
    <row r="16" spans="2:38" x14ac:dyDescent="0.15">
      <c r="J16" s="8"/>
      <c r="K16" s="8"/>
      <c r="L16" s="8"/>
      <c r="M16" s="8"/>
      <c r="N16" s="8">
        <v>2</v>
      </c>
      <c r="P16" s="8"/>
      <c r="Q16" s="8"/>
      <c r="R16" s="8"/>
      <c r="S16" s="8"/>
      <c r="T16" s="8">
        <v>0</v>
      </c>
      <c r="V16" s="8">
        <v>75</v>
      </c>
      <c r="W16" s="8">
        <f>INDEX(节奏总纲!P:P,MATCH(V16,节奏总纲!O:O,0))</f>
        <v>180.01933598375612</v>
      </c>
      <c r="X16" s="8">
        <f t="shared" si="12"/>
        <v>69.588863881852262</v>
      </c>
      <c r="Z16" s="8">
        <f t="shared" si="0"/>
        <v>0</v>
      </c>
      <c r="AA16" s="8">
        <f t="shared" si="1"/>
        <v>0</v>
      </c>
      <c r="AB16" s="8">
        <f t="shared" si="2"/>
        <v>0</v>
      </c>
      <c r="AC16" s="8">
        <f t="shared" si="3"/>
        <v>0</v>
      </c>
      <c r="AD16" s="8">
        <f t="shared" si="4"/>
        <v>2</v>
      </c>
      <c r="AE16" s="8">
        <f t="shared" si="5"/>
        <v>50000</v>
      </c>
      <c r="AG16" s="8">
        <v>10</v>
      </c>
      <c r="AH16" s="8">
        <f t="shared" si="7"/>
        <v>2142.8571428571431</v>
      </c>
      <c r="AI16" s="8">
        <f t="shared" si="8"/>
        <v>5230.7692307692305</v>
      </c>
      <c r="AJ16" s="8">
        <f t="shared" si="9"/>
        <v>4880</v>
      </c>
      <c r="AK16" s="8">
        <f t="shared" si="10"/>
        <v>5000</v>
      </c>
      <c r="AL16" s="8">
        <f t="shared" si="11"/>
        <v>15000</v>
      </c>
    </row>
    <row r="17" spans="2:38" x14ac:dyDescent="0.15">
      <c r="B17" s="9"/>
      <c r="C17" s="9" t="s">
        <v>141</v>
      </c>
      <c r="D17" s="9"/>
      <c r="J17" s="8"/>
      <c r="K17" s="8"/>
      <c r="L17" s="8"/>
      <c r="M17" s="8"/>
      <c r="N17" s="8">
        <v>3</v>
      </c>
      <c r="P17" s="8"/>
      <c r="Q17" s="8"/>
      <c r="R17" s="8"/>
      <c r="S17" s="8"/>
      <c r="T17" s="8">
        <v>0</v>
      </c>
      <c r="V17" s="8">
        <v>80</v>
      </c>
      <c r="W17" s="8">
        <f>INDEX(节奏总纲!P:P,MATCH(V17,节奏总纲!O:O,0))</f>
        <v>255</v>
      </c>
      <c r="X17" s="8">
        <f t="shared" si="12"/>
        <v>74.980664016243878</v>
      </c>
      <c r="Z17" s="8">
        <f t="shared" si="0"/>
        <v>0</v>
      </c>
      <c r="AA17" s="8">
        <f t="shared" si="1"/>
        <v>0</v>
      </c>
      <c r="AB17" s="8">
        <f t="shared" si="2"/>
        <v>0</v>
      </c>
      <c r="AC17" s="8">
        <f t="shared" si="3"/>
        <v>0</v>
      </c>
      <c r="AD17" s="8">
        <f t="shared" si="4"/>
        <v>3</v>
      </c>
      <c r="AE17" s="8">
        <f t="shared" si="5"/>
        <v>75000</v>
      </c>
      <c r="AG17" s="8">
        <v>11</v>
      </c>
      <c r="AH17" s="8">
        <f t="shared" si="7"/>
        <v>2428.5714285714284</v>
      </c>
      <c r="AI17" s="8">
        <f t="shared" si="8"/>
        <v>6038.461538461539</v>
      </c>
      <c r="AJ17" s="8">
        <f t="shared" si="9"/>
        <v>5520</v>
      </c>
      <c r="AK17" s="8">
        <f t="shared" si="10"/>
        <v>5307.6923076923076</v>
      </c>
      <c r="AL17" s="8">
        <f t="shared" si="11"/>
        <v>16500</v>
      </c>
    </row>
    <row r="18" spans="2:38" x14ac:dyDescent="0.15">
      <c r="B18" s="9" t="s">
        <v>7</v>
      </c>
      <c r="C18" s="9" t="s">
        <v>5</v>
      </c>
      <c r="D18" s="9" t="s">
        <v>6</v>
      </c>
      <c r="J18" s="8"/>
      <c r="K18" s="8"/>
      <c r="L18" s="8"/>
      <c r="M18" s="8"/>
      <c r="N18" s="8">
        <v>4</v>
      </c>
      <c r="P18" s="8"/>
      <c r="Q18" s="8"/>
      <c r="R18" s="8"/>
      <c r="S18" s="8"/>
      <c r="T18" s="8">
        <v>0</v>
      </c>
      <c r="V18" s="8">
        <v>84</v>
      </c>
      <c r="W18" s="8">
        <f>INDEX(节奏总纲!P:P,MATCH(V18,节奏总纲!O:O,0))</f>
        <v>336.79402515786086</v>
      </c>
      <c r="X18" s="8">
        <f t="shared" si="12"/>
        <v>81.794025157860858</v>
      </c>
      <c r="Z18" s="8">
        <f t="shared" si="0"/>
        <v>0</v>
      </c>
      <c r="AA18" s="8">
        <f t="shared" si="1"/>
        <v>0</v>
      </c>
      <c r="AB18" s="8">
        <f t="shared" si="2"/>
        <v>0</v>
      </c>
      <c r="AC18" s="8">
        <f t="shared" si="3"/>
        <v>0</v>
      </c>
      <c r="AD18" s="8">
        <f t="shared" si="4"/>
        <v>4</v>
      </c>
      <c r="AE18" s="8">
        <f t="shared" si="5"/>
        <v>100000</v>
      </c>
      <c r="AG18" s="8">
        <v>12</v>
      </c>
      <c r="AH18" s="8">
        <f t="shared" si="7"/>
        <v>2714.2857142857142</v>
      </c>
      <c r="AI18" s="8">
        <f t="shared" si="8"/>
        <v>6846.1538461538466</v>
      </c>
      <c r="AJ18" s="8">
        <f t="shared" si="9"/>
        <v>6160</v>
      </c>
      <c r="AK18" s="8">
        <f t="shared" si="10"/>
        <v>5615.3846153846152</v>
      </c>
      <c r="AL18" s="8">
        <f t="shared" si="11"/>
        <v>18000</v>
      </c>
    </row>
    <row r="19" spans="2:38" x14ac:dyDescent="0.15">
      <c r="B19" s="9">
        <v>0</v>
      </c>
      <c r="C19" s="9">
        <v>1</v>
      </c>
      <c r="D19" s="9">
        <f>SUM($C19:C$19)</f>
        <v>1</v>
      </c>
      <c r="J19" s="8"/>
      <c r="K19" s="8"/>
      <c r="L19" s="8"/>
      <c r="M19" s="8"/>
      <c r="N19" s="8">
        <v>5</v>
      </c>
      <c r="P19" s="8"/>
      <c r="Q19" s="8"/>
      <c r="R19" s="8"/>
      <c r="S19" s="8"/>
      <c r="T19" s="8">
        <v>0</v>
      </c>
      <c r="V19" s="8">
        <v>88</v>
      </c>
      <c r="W19" s="8">
        <f>INDEX(节奏总纲!P:P,MATCH(V19,节奏总纲!O:O,0))</f>
        <v>444.72188840761549</v>
      </c>
      <c r="X19" s="8">
        <f t="shared" si="12"/>
        <v>107.92786324975464</v>
      </c>
      <c r="Z19" s="8">
        <f t="shared" si="0"/>
        <v>0</v>
      </c>
      <c r="AA19" s="8">
        <f t="shared" si="1"/>
        <v>0</v>
      </c>
      <c r="AB19" s="8">
        <f t="shared" si="2"/>
        <v>0</v>
      </c>
      <c r="AC19" s="8">
        <f t="shared" si="3"/>
        <v>0</v>
      </c>
      <c r="AD19" s="8">
        <f t="shared" si="4"/>
        <v>5</v>
      </c>
      <c r="AE19" s="8">
        <f t="shared" si="5"/>
        <v>125000</v>
      </c>
      <c r="AG19" s="8">
        <v>13</v>
      </c>
      <c r="AH19" s="8">
        <f t="shared" si="7"/>
        <v>3000</v>
      </c>
      <c r="AI19" s="8">
        <f t="shared" si="8"/>
        <v>7653.8461538461543</v>
      </c>
      <c r="AJ19" s="8">
        <f t="shared" si="9"/>
        <v>6800</v>
      </c>
      <c r="AK19" s="8">
        <f t="shared" si="10"/>
        <v>5923.0769230769229</v>
      </c>
      <c r="AL19" s="8">
        <f t="shared" si="11"/>
        <v>19500</v>
      </c>
    </row>
    <row r="20" spans="2:38" x14ac:dyDescent="0.15">
      <c r="B20" s="9">
        <v>1</v>
      </c>
      <c r="C20" s="9">
        <v>1</v>
      </c>
      <c r="D20" s="9">
        <f>SUM($C$19:C20)</f>
        <v>2</v>
      </c>
      <c r="J20" s="8"/>
      <c r="K20" s="8"/>
      <c r="L20" s="8"/>
      <c r="M20" s="8"/>
      <c r="N20" s="8">
        <v>6</v>
      </c>
      <c r="P20" s="8"/>
      <c r="Q20" s="8"/>
      <c r="R20" s="8"/>
      <c r="S20" s="8"/>
      <c r="T20" s="8">
        <v>0</v>
      </c>
      <c r="V20" s="8">
        <v>91</v>
      </c>
      <c r="W20" s="8">
        <f>INDEX(节奏总纲!P:P,MATCH(V20,节奏总纲!O:O,0))</f>
        <v>547.74801281858208</v>
      </c>
      <c r="X20" s="8">
        <f t="shared" si="12"/>
        <v>103.02612441096659</v>
      </c>
      <c r="Z20" s="8">
        <f t="shared" si="0"/>
        <v>0</v>
      </c>
      <c r="AA20" s="8">
        <f t="shared" si="1"/>
        <v>0</v>
      </c>
      <c r="AB20" s="8">
        <f t="shared" si="2"/>
        <v>0</v>
      </c>
      <c r="AC20" s="8">
        <f t="shared" si="3"/>
        <v>0</v>
      </c>
      <c r="AD20" s="8">
        <f t="shared" si="4"/>
        <v>6</v>
      </c>
      <c r="AE20" s="8">
        <f t="shared" si="5"/>
        <v>150000</v>
      </c>
      <c r="AG20" s="8">
        <v>14</v>
      </c>
      <c r="AH20" s="8">
        <f t="shared" si="7"/>
        <v>3285.7142857142858</v>
      </c>
      <c r="AI20" s="8">
        <f t="shared" si="8"/>
        <v>8461.538461538461</v>
      </c>
      <c r="AJ20" s="8">
        <f t="shared" si="9"/>
        <v>7440</v>
      </c>
      <c r="AK20" s="8">
        <f t="shared" si="10"/>
        <v>6230.7692307692305</v>
      </c>
      <c r="AL20" s="8">
        <f t="shared" si="11"/>
        <v>21000</v>
      </c>
    </row>
    <row r="21" spans="2:38" x14ac:dyDescent="0.15">
      <c r="B21" s="9">
        <v>2</v>
      </c>
      <c r="C21" s="9">
        <v>1</v>
      </c>
      <c r="D21" s="9">
        <f>SUM($C$19:C21)</f>
        <v>3</v>
      </c>
      <c r="AG21" s="8">
        <v>15</v>
      </c>
      <c r="AH21" s="8">
        <f t="shared" si="7"/>
        <v>3571.4285714285716</v>
      </c>
      <c r="AI21" s="8">
        <f t="shared" si="8"/>
        <v>9269.2307692307695</v>
      </c>
      <c r="AJ21" s="8">
        <f t="shared" si="9"/>
        <v>8080</v>
      </c>
      <c r="AK21" s="8">
        <f t="shared" si="10"/>
        <v>6538.4615384615381</v>
      </c>
      <c r="AL21" s="8">
        <f t="shared" si="11"/>
        <v>22500</v>
      </c>
    </row>
    <row r="22" spans="2:38" x14ac:dyDescent="0.15">
      <c r="B22" s="9">
        <v>3</v>
      </c>
      <c r="C22" s="9">
        <v>1</v>
      </c>
      <c r="D22" s="9">
        <f>SUM($C$19:C22)</f>
        <v>4</v>
      </c>
      <c r="AG22" s="8">
        <v>16</v>
      </c>
      <c r="AH22" s="8">
        <f t="shared" si="7"/>
        <v>3857.1428571428573</v>
      </c>
      <c r="AI22" s="8">
        <f t="shared" si="8"/>
        <v>10076.923076923078</v>
      </c>
      <c r="AJ22" s="8">
        <f t="shared" si="9"/>
        <v>8720</v>
      </c>
      <c r="AK22" s="8">
        <f t="shared" si="10"/>
        <v>6846.1538461538457</v>
      </c>
      <c r="AL22" s="8">
        <f t="shared" si="11"/>
        <v>24000</v>
      </c>
    </row>
    <row r="23" spans="2:38" x14ac:dyDescent="0.15">
      <c r="B23" s="9">
        <v>4</v>
      </c>
      <c r="C23" s="9">
        <v>1</v>
      </c>
      <c r="D23" s="9">
        <f>SUM($C$19:C23)</f>
        <v>5</v>
      </c>
      <c r="AG23" s="8">
        <v>17</v>
      </c>
      <c r="AH23" s="8">
        <f t="shared" si="7"/>
        <v>4142.8571428571431</v>
      </c>
      <c r="AI23" s="8">
        <f t="shared" si="8"/>
        <v>10884.615384615385</v>
      </c>
      <c r="AJ23" s="8">
        <f t="shared" si="9"/>
        <v>9360</v>
      </c>
      <c r="AK23" s="8">
        <f t="shared" si="10"/>
        <v>7153.8461538461543</v>
      </c>
      <c r="AL23" s="8">
        <f t="shared" si="11"/>
        <v>25500</v>
      </c>
    </row>
    <row r="24" spans="2:38" x14ac:dyDescent="0.15">
      <c r="B24" s="9">
        <v>5</v>
      </c>
      <c r="C24" s="9">
        <v>1</v>
      </c>
      <c r="D24" s="9">
        <f>SUM($C$19:C24)</f>
        <v>6</v>
      </c>
      <c r="AG24" s="8">
        <v>18</v>
      </c>
      <c r="AH24" s="8">
        <f t="shared" si="7"/>
        <v>4428.5714285714284</v>
      </c>
      <c r="AI24" s="8">
        <f t="shared" si="8"/>
        <v>11692.307692307693</v>
      </c>
      <c r="AJ24" s="8">
        <f t="shared" si="9"/>
        <v>10000</v>
      </c>
      <c r="AK24" s="8">
        <f t="shared" si="10"/>
        <v>7461.538461538461</v>
      </c>
      <c r="AL24" s="8">
        <f t="shared" si="11"/>
        <v>27000</v>
      </c>
    </row>
    <row r="25" spans="2:38" x14ac:dyDescent="0.15">
      <c r="B25" s="9">
        <v>6</v>
      </c>
      <c r="C25" s="9">
        <v>1</v>
      </c>
      <c r="D25" s="9">
        <f>SUM($C$19:C25)</f>
        <v>7</v>
      </c>
      <c r="J25" s="173" t="s">
        <v>89</v>
      </c>
      <c r="K25" s="173"/>
      <c r="L25" s="173"/>
      <c r="M25" s="173"/>
      <c r="N25" s="173"/>
      <c r="P25" s="173" t="s">
        <v>90</v>
      </c>
      <c r="Q25" s="173"/>
      <c r="R25" s="173"/>
      <c r="S25" s="173"/>
      <c r="T25" s="173"/>
      <c r="Z25" s="173" t="s">
        <v>101</v>
      </c>
      <c r="AA25" s="173"/>
      <c r="AB25" s="173"/>
      <c r="AC25" s="173"/>
      <c r="AD25" s="173"/>
      <c r="AE25" s="10"/>
      <c r="AG25" s="8">
        <v>19</v>
      </c>
      <c r="AH25" s="8">
        <f t="shared" si="7"/>
        <v>4714.2857142857138</v>
      </c>
      <c r="AI25" s="8">
        <f t="shared" si="8"/>
        <v>12500</v>
      </c>
      <c r="AJ25" s="8">
        <f t="shared" si="9"/>
        <v>11136.363636363636</v>
      </c>
      <c r="AK25" s="8">
        <f t="shared" si="10"/>
        <v>7769.2307692307695</v>
      </c>
      <c r="AL25" s="8">
        <f t="shared" si="11"/>
        <v>28500</v>
      </c>
    </row>
    <row r="26" spans="2:38" x14ac:dyDescent="0.15">
      <c r="B26" s="9">
        <v>7</v>
      </c>
      <c r="C26" s="9">
        <v>1</v>
      </c>
      <c r="D26" s="9">
        <f>SUM($C$19:C26)</f>
        <v>8</v>
      </c>
      <c r="I26" s="4" t="s">
        <v>97</v>
      </c>
      <c r="J26" s="8" t="s">
        <v>85</v>
      </c>
      <c r="K26" s="8" t="s">
        <v>86</v>
      </c>
      <c r="L26" s="8" t="s">
        <v>87</v>
      </c>
      <c r="M26" s="8" t="s">
        <v>0</v>
      </c>
      <c r="N26" s="8" t="s">
        <v>88</v>
      </c>
      <c r="P26" s="8" t="s">
        <v>85</v>
      </c>
      <c r="Q26" s="8" t="s">
        <v>86</v>
      </c>
      <c r="R26" s="8" t="s">
        <v>87</v>
      </c>
      <c r="S26" s="8" t="s">
        <v>0</v>
      </c>
      <c r="T26" s="8" t="s">
        <v>88</v>
      </c>
      <c r="V26" s="8" t="s">
        <v>102</v>
      </c>
      <c r="W26" s="8" t="s">
        <v>91</v>
      </c>
      <c r="X26" s="8" t="s">
        <v>13</v>
      </c>
      <c r="Z26" s="8" t="s">
        <v>85</v>
      </c>
      <c r="AA26" s="8" t="s">
        <v>86</v>
      </c>
      <c r="AB26" s="8" t="s">
        <v>87</v>
      </c>
      <c r="AC26" s="8" t="s">
        <v>0</v>
      </c>
      <c r="AD26" s="8" t="s">
        <v>88</v>
      </c>
      <c r="AE26" s="8" t="s">
        <v>94</v>
      </c>
      <c r="AG26" s="8">
        <v>20</v>
      </c>
      <c r="AH26" s="8">
        <f t="shared" si="7"/>
        <v>5000</v>
      </c>
      <c r="AI26" s="8">
        <f t="shared" si="8"/>
        <v>13909.090909090908</v>
      </c>
      <c r="AJ26" s="8">
        <f t="shared" si="9"/>
        <v>12272.727272727272</v>
      </c>
      <c r="AK26" s="8">
        <f t="shared" si="10"/>
        <v>8076.9230769230762</v>
      </c>
      <c r="AL26" s="8">
        <f t="shared" si="11"/>
        <v>30000</v>
      </c>
    </row>
    <row r="27" spans="2:38" x14ac:dyDescent="0.15">
      <c r="J27" s="8"/>
      <c r="K27" s="8">
        <v>5</v>
      </c>
      <c r="L27" s="8">
        <v>1</v>
      </c>
      <c r="M27" s="8"/>
      <c r="N27" s="8"/>
      <c r="P27" s="8"/>
      <c r="Q27" s="8">
        <v>0</v>
      </c>
      <c r="R27" s="8">
        <v>0</v>
      </c>
      <c r="S27" s="8"/>
      <c r="T27" s="8"/>
      <c r="V27" s="8">
        <v>6</v>
      </c>
      <c r="W27" s="8">
        <f>INDEX(节奏总纲!Q:Q,MATCH(V27,节奏总纲!O:O,0))</f>
        <v>0.43939051466685908</v>
      </c>
      <c r="X27" s="8">
        <f>W27</f>
        <v>0.43939051466685908</v>
      </c>
      <c r="Z27" s="8">
        <f t="shared" ref="Z27:AD34" si="13">J27*INDEX($D$20:$D$26,P27+1,1)</f>
        <v>0</v>
      </c>
      <c r="AA27" s="8">
        <f t="shared" si="13"/>
        <v>10</v>
      </c>
      <c r="AB27" s="8">
        <f t="shared" si="13"/>
        <v>2</v>
      </c>
      <c r="AC27" s="8">
        <f t="shared" si="13"/>
        <v>0</v>
      </c>
      <c r="AD27" s="8">
        <f t="shared" si="13"/>
        <v>0</v>
      </c>
      <c r="AE27" s="8">
        <f t="shared" ref="AE27:AE39" si="14">SUMPRODUCT(Z27:AD27,$C$35:$G$35)</f>
        <v>2000</v>
      </c>
      <c r="AG27" s="8">
        <v>21</v>
      </c>
      <c r="AH27" s="8">
        <f t="shared" si="7"/>
        <v>5550</v>
      </c>
      <c r="AI27" s="8">
        <f t="shared" si="8"/>
        <v>15318.181818181818</v>
      </c>
      <c r="AJ27" s="8">
        <f t="shared" si="9"/>
        <v>13409.090909090908</v>
      </c>
      <c r="AK27" s="8">
        <f t="shared" si="10"/>
        <v>8384.6153846153848</v>
      </c>
      <c r="AL27" s="8">
        <f t="shared" si="11"/>
        <v>33000</v>
      </c>
    </row>
    <row r="28" spans="2:38" x14ac:dyDescent="0.15">
      <c r="B28" s="9"/>
      <c r="C28" s="9" t="s">
        <v>142</v>
      </c>
      <c r="D28" s="9"/>
      <c r="J28" s="8"/>
      <c r="K28" s="8"/>
      <c r="L28" s="8">
        <v>5</v>
      </c>
      <c r="M28" s="8">
        <v>1</v>
      </c>
      <c r="N28" s="8"/>
      <c r="P28" s="8"/>
      <c r="Q28" s="8"/>
      <c r="R28" s="8">
        <v>1</v>
      </c>
      <c r="S28" s="8">
        <v>0</v>
      </c>
      <c r="T28" s="8"/>
      <c r="V28" s="8">
        <v>19</v>
      </c>
      <c r="W28" s="8">
        <f>INDEX(节奏总纲!Q:Q,MATCH(V28,节奏总纲!O:O,0))</f>
        <v>2.3734030389920986</v>
      </c>
      <c r="X28" s="8">
        <f t="shared" ref="X28:X39" si="15">W28</f>
        <v>2.3734030389920986</v>
      </c>
      <c r="Z28" s="8">
        <f t="shared" si="13"/>
        <v>0</v>
      </c>
      <c r="AA28" s="8">
        <f t="shared" si="13"/>
        <v>0</v>
      </c>
      <c r="AB28" s="8">
        <f t="shared" si="13"/>
        <v>15</v>
      </c>
      <c r="AC28" s="8">
        <f t="shared" si="13"/>
        <v>2</v>
      </c>
      <c r="AD28" s="8">
        <f t="shared" si="13"/>
        <v>0</v>
      </c>
      <c r="AE28" s="8">
        <f t="shared" si="14"/>
        <v>12500</v>
      </c>
      <c r="AG28" s="8">
        <v>22</v>
      </c>
      <c r="AH28" s="8">
        <f t="shared" si="7"/>
        <v>6100</v>
      </c>
      <c r="AI28" s="8">
        <f t="shared" si="8"/>
        <v>16727.272727272728</v>
      </c>
      <c r="AJ28" s="8">
        <f t="shared" si="9"/>
        <v>14545.454545454544</v>
      </c>
      <c r="AK28" s="8">
        <f t="shared" si="10"/>
        <v>8692.3076923076915</v>
      </c>
      <c r="AL28" s="8">
        <f t="shared" si="11"/>
        <v>36000</v>
      </c>
    </row>
    <row r="29" spans="2:38" x14ac:dyDescent="0.15">
      <c r="B29" s="9" t="s">
        <v>14</v>
      </c>
      <c r="C29" s="9" t="s">
        <v>15</v>
      </c>
      <c r="D29" s="9" t="s">
        <v>16</v>
      </c>
      <c r="J29" s="8"/>
      <c r="K29" s="8"/>
      <c r="L29" s="8">
        <v>1</v>
      </c>
      <c r="M29" s="8">
        <v>5</v>
      </c>
      <c r="N29" s="8"/>
      <c r="P29" s="8"/>
      <c r="Q29" s="8"/>
      <c r="R29" s="8">
        <v>4</v>
      </c>
      <c r="S29" s="8">
        <v>0</v>
      </c>
      <c r="T29" s="8"/>
      <c r="V29" s="8">
        <v>30</v>
      </c>
      <c r="W29" s="8">
        <f>INDEX(节奏总纲!Q:Q,MATCH(V29,节奏总纲!O:O,0))</f>
        <v>6.1025999999999998</v>
      </c>
      <c r="X29" s="8">
        <f t="shared" si="15"/>
        <v>6.1025999999999998</v>
      </c>
      <c r="Z29" s="8">
        <f t="shared" si="13"/>
        <v>0</v>
      </c>
      <c r="AA29" s="8">
        <f t="shared" si="13"/>
        <v>0</v>
      </c>
      <c r="AB29" s="8">
        <f t="shared" si="13"/>
        <v>6</v>
      </c>
      <c r="AC29" s="8">
        <f t="shared" si="13"/>
        <v>10</v>
      </c>
      <c r="AD29" s="8">
        <f t="shared" si="13"/>
        <v>0</v>
      </c>
      <c r="AE29" s="8">
        <f t="shared" si="14"/>
        <v>28000</v>
      </c>
      <c r="AG29" s="8">
        <v>23</v>
      </c>
      <c r="AH29" s="8">
        <f t="shared" si="7"/>
        <v>6650</v>
      </c>
      <c r="AI29" s="8">
        <f t="shared" si="8"/>
        <v>18136.363636363636</v>
      </c>
      <c r="AJ29" s="8">
        <f t="shared" si="9"/>
        <v>15681.81818181818</v>
      </c>
      <c r="AK29" s="8">
        <f t="shared" si="10"/>
        <v>9000</v>
      </c>
      <c r="AL29" s="8">
        <f t="shared" si="11"/>
        <v>39000</v>
      </c>
    </row>
    <row r="30" spans="2:38" x14ac:dyDescent="0.15">
      <c r="B30" s="9">
        <v>1</v>
      </c>
      <c r="C30" s="9">
        <v>0</v>
      </c>
      <c r="D30" s="9">
        <v>0</v>
      </c>
      <c r="J30" s="8"/>
      <c r="K30" s="8"/>
      <c r="L30" s="8"/>
      <c r="M30" s="8">
        <v>6</v>
      </c>
      <c r="N30" s="8"/>
      <c r="P30" s="8"/>
      <c r="Q30" s="8"/>
      <c r="R30" s="8"/>
      <c r="S30" s="8">
        <v>0</v>
      </c>
      <c r="T30" s="8"/>
      <c r="V30" s="8">
        <v>38</v>
      </c>
      <c r="W30" s="8">
        <f>INDEX(节奏总纲!Q:Q,MATCH(V30,节奏总纲!O:O,0))</f>
        <v>11.292021791725356</v>
      </c>
      <c r="X30" s="8">
        <f t="shared" si="15"/>
        <v>11.292021791725356</v>
      </c>
      <c r="Z30" s="8">
        <f t="shared" si="13"/>
        <v>0</v>
      </c>
      <c r="AA30" s="8">
        <f t="shared" si="13"/>
        <v>0</v>
      </c>
      <c r="AB30" s="8">
        <f t="shared" si="13"/>
        <v>0</v>
      </c>
      <c r="AC30" s="8">
        <f t="shared" si="13"/>
        <v>12</v>
      </c>
      <c r="AD30" s="8">
        <f t="shared" si="13"/>
        <v>0</v>
      </c>
      <c r="AE30" s="8">
        <f t="shared" si="14"/>
        <v>30000</v>
      </c>
      <c r="AG30" s="8">
        <v>24</v>
      </c>
      <c r="AH30" s="8">
        <f t="shared" si="7"/>
        <v>7200</v>
      </c>
      <c r="AI30" s="8">
        <f t="shared" si="8"/>
        <v>19545.454545454544</v>
      </c>
      <c r="AJ30" s="8">
        <f t="shared" si="9"/>
        <v>16818.181818181816</v>
      </c>
      <c r="AK30" s="8">
        <f t="shared" si="10"/>
        <v>9666.6666666666661</v>
      </c>
      <c r="AL30" s="8">
        <f t="shared" si="11"/>
        <v>42000</v>
      </c>
    </row>
    <row r="31" spans="2:38" x14ac:dyDescent="0.15">
      <c r="B31" s="9">
        <v>2</v>
      </c>
      <c r="C31" s="9">
        <v>3</v>
      </c>
      <c r="D31" s="9">
        <v>3</v>
      </c>
      <c r="J31" s="8"/>
      <c r="K31" s="8"/>
      <c r="L31" s="8"/>
      <c r="M31" s="8">
        <v>6</v>
      </c>
      <c r="N31" s="8"/>
      <c r="P31" s="8"/>
      <c r="Q31" s="8"/>
      <c r="R31" s="8"/>
      <c r="S31" s="8">
        <v>1</v>
      </c>
      <c r="T31" s="8"/>
      <c r="V31" s="8">
        <v>46</v>
      </c>
      <c r="W31" s="8">
        <f>INDEX(节奏总纲!Q:Q,MATCH(V31,节奏总纲!O:O,0))</f>
        <v>20.310154733549314</v>
      </c>
      <c r="X31" s="8">
        <f t="shared" si="15"/>
        <v>20.310154733549314</v>
      </c>
      <c r="Z31" s="8">
        <f t="shared" si="13"/>
        <v>0</v>
      </c>
      <c r="AA31" s="8">
        <f t="shared" si="13"/>
        <v>0</v>
      </c>
      <c r="AB31" s="8">
        <f t="shared" si="13"/>
        <v>0</v>
      </c>
      <c r="AC31" s="8">
        <f t="shared" si="13"/>
        <v>18</v>
      </c>
      <c r="AD31" s="8">
        <f t="shared" si="13"/>
        <v>0</v>
      </c>
      <c r="AE31" s="8">
        <f t="shared" si="14"/>
        <v>45000</v>
      </c>
      <c r="AG31" s="8">
        <v>25</v>
      </c>
      <c r="AH31" s="8">
        <f t="shared" si="7"/>
        <v>7750</v>
      </c>
      <c r="AI31" s="8">
        <f t="shared" si="8"/>
        <v>20954.545454545456</v>
      </c>
      <c r="AJ31" s="8">
        <f t="shared" si="9"/>
        <v>17954.545454545456</v>
      </c>
      <c r="AK31" s="8">
        <f t="shared" si="10"/>
        <v>10333.333333333334</v>
      </c>
      <c r="AL31" s="8">
        <f t="shared" si="11"/>
        <v>45000</v>
      </c>
    </row>
    <row r="32" spans="2:38" x14ac:dyDescent="0.15">
      <c r="J32" s="8"/>
      <c r="K32" s="8"/>
      <c r="L32" s="8"/>
      <c r="M32" s="8">
        <v>6</v>
      </c>
      <c r="N32" s="8"/>
      <c r="P32" s="8"/>
      <c r="Q32" s="8"/>
      <c r="R32" s="8"/>
      <c r="S32" s="8">
        <v>3</v>
      </c>
      <c r="T32" s="8"/>
      <c r="V32" s="8">
        <v>58</v>
      </c>
      <c r="W32" s="8">
        <f>INDEX(节奏总纲!Q:Q,MATCH(V32,节奏总纲!O:O,0))</f>
        <v>47.459995750595695</v>
      </c>
      <c r="X32" s="8">
        <f t="shared" si="15"/>
        <v>47.459995750595695</v>
      </c>
      <c r="Z32" s="8">
        <f t="shared" si="13"/>
        <v>0</v>
      </c>
      <c r="AA32" s="8">
        <f t="shared" si="13"/>
        <v>0</v>
      </c>
      <c r="AB32" s="8">
        <f t="shared" si="13"/>
        <v>0</v>
      </c>
      <c r="AC32" s="8">
        <f t="shared" si="13"/>
        <v>30</v>
      </c>
      <c r="AD32" s="8">
        <f t="shared" si="13"/>
        <v>0</v>
      </c>
      <c r="AE32" s="8">
        <f t="shared" si="14"/>
        <v>75000</v>
      </c>
      <c r="AG32" s="8">
        <v>26</v>
      </c>
      <c r="AH32" s="8">
        <f t="shared" si="7"/>
        <v>8300</v>
      </c>
      <c r="AI32" s="8">
        <f t="shared" si="8"/>
        <v>22363.636363636364</v>
      </c>
      <c r="AJ32" s="8">
        <f t="shared" si="9"/>
        <v>19090.909090909088</v>
      </c>
      <c r="AK32" s="8">
        <f t="shared" si="10"/>
        <v>11000</v>
      </c>
      <c r="AL32" s="8">
        <f t="shared" si="11"/>
        <v>48000</v>
      </c>
    </row>
    <row r="33" spans="2:38" x14ac:dyDescent="0.15">
      <c r="J33" s="8"/>
      <c r="K33" s="8"/>
      <c r="L33" s="8"/>
      <c r="M33" s="8">
        <v>4</v>
      </c>
      <c r="N33" s="8"/>
      <c r="P33" s="8"/>
      <c r="Q33" s="8"/>
      <c r="R33" s="8"/>
      <c r="S33" s="8">
        <v>6</v>
      </c>
      <c r="T33" s="8"/>
      <c r="V33" s="8">
        <v>67</v>
      </c>
      <c r="W33" s="8">
        <f>INDEX(节奏总纲!Q:Q,MATCH(V33,节奏总纲!O:O,0))</f>
        <v>89.469161720823394</v>
      </c>
      <c r="X33" s="8">
        <f t="shared" si="15"/>
        <v>89.469161720823394</v>
      </c>
      <c r="Z33" s="8">
        <f t="shared" si="13"/>
        <v>0</v>
      </c>
      <c r="AA33" s="8">
        <f t="shared" si="13"/>
        <v>0</v>
      </c>
      <c r="AB33" s="8">
        <f t="shared" si="13"/>
        <v>0</v>
      </c>
      <c r="AC33" s="8">
        <f t="shared" si="13"/>
        <v>32</v>
      </c>
      <c r="AD33" s="8">
        <f t="shared" si="13"/>
        <v>0</v>
      </c>
      <c r="AE33" s="8">
        <f t="shared" si="14"/>
        <v>80000</v>
      </c>
      <c r="AG33" s="8">
        <v>27</v>
      </c>
      <c r="AH33" s="8">
        <f t="shared" si="7"/>
        <v>8850</v>
      </c>
      <c r="AI33" s="8">
        <f t="shared" si="8"/>
        <v>23772.727272727272</v>
      </c>
      <c r="AJ33" s="8">
        <f t="shared" si="9"/>
        <v>20227.272727272728</v>
      </c>
      <c r="AK33" s="8">
        <f t="shared" si="10"/>
        <v>11666.666666666666</v>
      </c>
      <c r="AL33" s="8">
        <f t="shared" si="11"/>
        <v>51000</v>
      </c>
    </row>
    <row r="34" spans="2:38" x14ac:dyDescent="0.15">
      <c r="B34" s="9" t="s">
        <v>92</v>
      </c>
      <c r="C34" s="9" t="s">
        <v>83</v>
      </c>
      <c r="D34" s="9" t="s">
        <v>80</v>
      </c>
      <c r="E34" s="9" t="s">
        <v>81</v>
      </c>
      <c r="F34" s="9" t="s">
        <v>82</v>
      </c>
      <c r="G34" s="9" t="s">
        <v>84</v>
      </c>
      <c r="J34" s="8"/>
      <c r="K34" s="8"/>
      <c r="L34" s="8"/>
      <c r="M34" s="8">
        <v>5</v>
      </c>
      <c r="N34" s="8">
        <v>1</v>
      </c>
      <c r="P34" s="8"/>
      <c r="Q34" s="8"/>
      <c r="R34" s="8"/>
      <c r="S34" s="8">
        <v>6</v>
      </c>
      <c r="T34" s="8">
        <v>0</v>
      </c>
      <c r="V34" s="8">
        <v>68</v>
      </c>
      <c r="W34" s="8">
        <f>INDEX(节奏总纲!Q:Q,MATCH(V34,节奏总纲!O:O,0))</f>
        <v>95.831563690032169</v>
      </c>
      <c r="X34" s="8">
        <f t="shared" si="15"/>
        <v>95.831563690032169</v>
      </c>
      <c r="Z34" s="8">
        <f t="shared" si="13"/>
        <v>0</v>
      </c>
      <c r="AA34" s="8">
        <f t="shared" si="13"/>
        <v>0</v>
      </c>
      <c r="AB34" s="8">
        <f t="shared" si="13"/>
        <v>0</v>
      </c>
      <c r="AC34" s="8">
        <f t="shared" si="13"/>
        <v>40</v>
      </c>
      <c r="AD34" s="8">
        <f t="shared" si="13"/>
        <v>2</v>
      </c>
      <c r="AE34" s="8">
        <f t="shared" si="14"/>
        <v>150000</v>
      </c>
      <c r="AG34" s="8">
        <v>28</v>
      </c>
      <c r="AH34" s="8">
        <f t="shared" si="7"/>
        <v>9400</v>
      </c>
      <c r="AI34" s="8">
        <f t="shared" si="8"/>
        <v>25181.81818181818</v>
      </c>
      <c r="AJ34" s="8">
        <f t="shared" si="9"/>
        <v>21363.63636363636</v>
      </c>
      <c r="AK34" s="8">
        <f t="shared" si="10"/>
        <v>12333.333333333332</v>
      </c>
      <c r="AL34" s="8">
        <f t="shared" si="11"/>
        <v>54000</v>
      </c>
    </row>
    <row r="35" spans="2:38" x14ac:dyDescent="0.15">
      <c r="B35" s="9" t="s">
        <v>93</v>
      </c>
      <c r="C35" s="9">
        <v>50</v>
      </c>
      <c r="D35" s="9">
        <v>100</v>
      </c>
      <c r="E35" s="9">
        <v>500</v>
      </c>
      <c r="F35" s="9">
        <v>2500</v>
      </c>
      <c r="G35" s="9">
        <v>25000</v>
      </c>
      <c r="J35" s="8"/>
      <c r="K35" s="8"/>
      <c r="L35" s="8"/>
      <c r="M35" s="8"/>
      <c r="N35" s="8">
        <v>2</v>
      </c>
      <c r="P35" s="8"/>
      <c r="Q35" s="8"/>
      <c r="R35" s="8"/>
      <c r="S35" s="8"/>
      <c r="T35" s="8">
        <v>0</v>
      </c>
      <c r="V35" s="8">
        <v>75</v>
      </c>
      <c r="W35" s="8">
        <f>INDEX(节奏总纲!Q:Q,MATCH(V35,节奏总纲!O:O,0))</f>
        <v>155.75272949314578</v>
      </c>
      <c r="X35" s="8">
        <f t="shared" si="15"/>
        <v>155.75272949314578</v>
      </c>
      <c r="Z35" s="8">
        <f t="shared" ref="Z35:AD39" si="16">J35*INDEX($D$19:$D$26,P35+1,1)</f>
        <v>0</v>
      </c>
      <c r="AA35" s="8">
        <f t="shared" si="16"/>
        <v>0</v>
      </c>
      <c r="AB35" s="8">
        <f t="shared" si="16"/>
        <v>0</v>
      </c>
      <c r="AC35" s="8">
        <f t="shared" si="16"/>
        <v>0</v>
      </c>
      <c r="AD35" s="8">
        <f t="shared" si="16"/>
        <v>2</v>
      </c>
      <c r="AE35" s="8">
        <f t="shared" si="14"/>
        <v>50000</v>
      </c>
      <c r="AG35" s="8">
        <v>29</v>
      </c>
      <c r="AH35" s="8">
        <f t="shared" si="7"/>
        <v>9950</v>
      </c>
      <c r="AI35" s="8">
        <f t="shared" si="8"/>
        <v>26590.909090909088</v>
      </c>
      <c r="AJ35" s="8">
        <f t="shared" si="9"/>
        <v>22500</v>
      </c>
      <c r="AK35" s="8">
        <f t="shared" si="10"/>
        <v>13000</v>
      </c>
      <c r="AL35" s="8">
        <f t="shared" si="11"/>
        <v>57000</v>
      </c>
    </row>
    <row r="36" spans="2:38" x14ac:dyDescent="0.15">
      <c r="J36" s="8"/>
      <c r="K36" s="8"/>
      <c r="L36" s="8"/>
      <c r="M36" s="8"/>
      <c r="N36" s="8">
        <v>3</v>
      </c>
      <c r="P36" s="8"/>
      <c r="Q36" s="8"/>
      <c r="R36" s="8"/>
      <c r="S36" s="8"/>
      <c r="T36" s="8">
        <v>0</v>
      </c>
      <c r="V36" s="8">
        <v>80</v>
      </c>
      <c r="W36" s="8">
        <f>INDEX(节奏总纲!Q:Q,MATCH(V36,节奏总纲!O:O,0))</f>
        <v>221.08500000000001</v>
      </c>
      <c r="X36" s="8">
        <f t="shared" si="15"/>
        <v>221.08500000000001</v>
      </c>
      <c r="Z36" s="8">
        <f t="shared" si="16"/>
        <v>0</v>
      </c>
      <c r="AA36" s="8">
        <f t="shared" si="16"/>
        <v>0</v>
      </c>
      <c r="AB36" s="8">
        <f t="shared" si="16"/>
        <v>0</v>
      </c>
      <c r="AC36" s="8">
        <f t="shared" si="16"/>
        <v>0</v>
      </c>
      <c r="AD36" s="8">
        <f t="shared" si="16"/>
        <v>3</v>
      </c>
      <c r="AE36" s="8">
        <f t="shared" si="14"/>
        <v>75000</v>
      </c>
      <c r="AG36" s="8">
        <v>30</v>
      </c>
      <c r="AH36" s="8">
        <f t="shared" si="7"/>
        <v>10500</v>
      </c>
      <c r="AI36" s="8">
        <f t="shared" si="8"/>
        <v>28000</v>
      </c>
      <c r="AJ36" s="8">
        <f t="shared" si="9"/>
        <v>23111.111111111109</v>
      </c>
      <c r="AK36" s="8">
        <f t="shared" si="10"/>
        <v>13666.666666666666</v>
      </c>
      <c r="AL36" s="8">
        <f t="shared" si="11"/>
        <v>60000</v>
      </c>
    </row>
    <row r="37" spans="2:38" x14ac:dyDescent="0.15">
      <c r="J37" s="8"/>
      <c r="K37" s="8"/>
      <c r="L37" s="8"/>
      <c r="M37" s="8"/>
      <c r="N37" s="8">
        <v>4</v>
      </c>
      <c r="P37" s="8"/>
      <c r="Q37" s="8"/>
      <c r="R37" s="8"/>
      <c r="S37" s="8"/>
      <c r="T37" s="8">
        <v>0</v>
      </c>
      <c r="V37" s="8">
        <v>84</v>
      </c>
      <c r="W37" s="8">
        <f>INDEX(节奏总纲!Q:Q,MATCH(V37,节奏总纲!O:O,0))</f>
        <v>291.2594729565181</v>
      </c>
      <c r="X37" s="8">
        <f t="shared" si="15"/>
        <v>291.2594729565181</v>
      </c>
      <c r="Z37" s="8">
        <f t="shared" si="16"/>
        <v>0</v>
      </c>
      <c r="AA37" s="8">
        <f t="shared" si="16"/>
        <v>0</v>
      </c>
      <c r="AB37" s="8">
        <f t="shared" si="16"/>
        <v>0</v>
      </c>
      <c r="AC37" s="8">
        <f t="shared" si="16"/>
        <v>0</v>
      </c>
      <c r="AD37" s="8">
        <f t="shared" si="16"/>
        <v>4</v>
      </c>
      <c r="AE37" s="8">
        <f t="shared" si="14"/>
        <v>100000</v>
      </c>
      <c r="AG37" s="8">
        <v>31</v>
      </c>
      <c r="AH37" s="8">
        <f t="shared" si="7"/>
        <v>11300</v>
      </c>
      <c r="AI37" s="8">
        <f t="shared" si="8"/>
        <v>28250</v>
      </c>
      <c r="AJ37" s="8">
        <f t="shared" si="9"/>
        <v>23722.222222222223</v>
      </c>
      <c r="AK37" s="8">
        <f t="shared" si="10"/>
        <v>14333.333333333332</v>
      </c>
      <c r="AL37" s="8">
        <f t="shared" si="11"/>
        <v>62750</v>
      </c>
    </row>
    <row r="38" spans="2:38" x14ac:dyDescent="0.15">
      <c r="J38" s="8"/>
      <c r="K38" s="8"/>
      <c r="L38" s="8"/>
      <c r="M38" s="8"/>
      <c r="N38" s="8">
        <v>5</v>
      </c>
      <c r="P38" s="8"/>
      <c r="Q38" s="8"/>
      <c r="R38" s="8"/>
      <c r="S38" s="8"/>
      <c r="T38" s="8">
        <v>0</v>
      </c>
      <c r="V38" s="8">
        <v>88</v>
      </c>
      <c r="W38" s="8">
        <f>INDEX(节奏总纲!Q:Q,MATCH(V38,节奏总纲!O:O,0))</f>
        <v>384.7733778502689</v>
      </c>
      <c r="X38" s="8">
        <f t="shared" si="15"/>
        <v>384.7733778502689</v>
      </c>
      <c r="Z38" s="8">
        <f t="shared" si="16"/>
        <v>0</v>
      </c>
      <c r="AA38" s="8">
        <f t="shared" si="16"/>
        <v>0</v>
      </c>
      <c r="AB38" s="8">
        <f t="shared" si="16"/>
        <v>0</v>
      </c>
      <c r="AC38" s="8">
        <f t="shared" si="16"/>
        <v>0</v>
      </c>
      <c r="AD38" s="8">
        <f t="shared" si="16"/>
        <v>5</v>
      </c>
      <c r="AE38" s="8">
        <f t="shared" si="14"/>
        <v>125000</v>
      </c>
      <c r="AG38" s="8">
        <v>32</v>
      </c>
      <c r="AH38" s="8">
        <f t="shared" si="7"/>
        <v>12100</v>
      </c>
      <c r="AI38" s="8">
        <f t="shared" si="8"/>
        <v>28500</v>
      </c>
      <c r="AJ38" s="8">
        <f t="shared" si="9"/>
        <v>24333.333333333332</v>
      </c>
      <c r="AK38" s="8">
        <f t="shared" si="10"/>
        <v>15000</v>
      </c>
      <c r="AL38" s="8">
        <f t="shared" si="11"/>
        <v>65500</v>
      </c>
    </row>
    <row r="39" spans="2:38" x14ac:dyDescent="0.15">
      <c r="G39" s="2"/>
      <c r="J39" s="8"/>
      <c r="K39" s="8"/>
      <c r="L39" s="8"/>
      <c r="M39" s="8"/>
      <c r="N39" s="8">
        <v>6</v>
      </c>
      <c r="P39" s="8"/>
      <c r="Q39" s="8"/>
      <c r="R39" s="8"/>
      <c r="S39" s="8"/>
      <c r="T39" s="8">
        <v>0</v>
      </c>
      <c r="V39" s="8">
        <v>91</v>
      </c>
      <c r="W39" s="8">
        <f>INDEX(节奏总纲!Q:Q,MATCH(V39,节奏总纲!O:O,0))</f>
        <v>469.6391461906523</v>
      </c>
      <c r="X39" s="8">
        <f t="shared" si="15"/>
        <v>469.6391461906523</v>
      </c>
      <c r="Z39" s="8">
        <f t="shared" si="16"/>
        <v>0</v>
      </c>
      <c r="AA39" s="8">
        <f t="shared" si="16"/>
        <v>0</v>
      </c>
      <c r="AB39" s="8">
        <f t="shared" si="16"/>
        <v>0</v>
      </c>
      <c r="AC39" s="8">
        <f t="shared" si="16"/>
        <v>0</v>
      </c>
      <c r="AD39" s="8">
        <f t="shared" si="16"/>
        <v>6</v>
      </c>
      <c r="AE39" s="8">
        <f t="shared" si="14"/>
        <v>150000</v>
      </c>
      <c r="AG39" s="8">
        <v>33</v>
      </c>
      <c r="AH39" s="8">
        <f t="shared" si="7"/>
        <v>12900</v>
      </c>
      <c r="AI39" s="8">
        <f t="shared" si="8"/>
        <v>28750</v>
      </c>
      <c r="AJ39" s="8">
        <f t="shared" si="9"/>
        <v>24944.444444444445</v>
      </c>
      <c r="AK39" s="8">
        <f t="shared" si="10"/>
        <v>17142.857142857141</v>
      </c>
      <c r="AL39" s="8">
        <f t="shared" si="11"/>
        <v>68250</v>
      </c>
    </row>
    <row r="40" spans="2:38" x14ac:dyDescent="0.15">
      <c r="G40" s="2"/>
      <c r="AG40" s="8">
        <v>34</v>
      </c>
      <c r="AH40" s="8">
        <f t="shared" si="7"/>
        <v>13700</v>
      </c>
      <c r="AI40" s="8">
        <f t="shared" si="8"/>
        <v>29000</v>
      </c>
      <c r="AJ40" s="8">
        <f t="shared" si="9"/>
        <v>25555.555555555555</v>
      </c>
      <c r="AK40" s="8">
        <f t="shared" si="10"/>
        <v>19285.714285714286</v>
      </c>
      <c r="AL40" s="8">
        <f t="shared" si="11"/>
        <v>71000</v>
      </c>
    </row>
    <row r="41" spans="2:38" x14ac:dyDescent="0.15">
      <c r="G41" s="2"/>
      <c r="J41" s="173" t="s">
        <v>89</v>
      </c>
      <c r="K41" s="173"/>
      <c r="L41" s="173"/>
      <c r="M41" s="173"/>
      <c r="N41" s="173"/>
      <c r="P41" s="173" t="s">
        <v>90</v>
      </c>
      <c r="Q41" s="173"/>
      <c r="R41" s="173"/>
      <c r="S41" s="173"/>
      <c r="T41" s="173"/>
      <c r="Z41" s="173" t="s">
        <v>101</v>
      </c>
      <c r="AA41" s="173"/>
      <c r="AB41" s="173"/>
      <c r="AC41" s="173"/>
      <c r="AD41" s="173"/>
      <c r="AE41" s="10"/>
      <c r="AG41" s="8">
        <v>35</v>
      </c>
      <c r="AH41" s="8">
        <f t="shared" si="7"/>
        <v>14500</v>
      </c>
      <c r="AI41" s="8">
        <f t="shared" si="8"/>
        <v>29250</v>
      </c>
      <c r="AJ41" s="8">
        <f t="shared" si="9"/>
        <v>26166.666666666668</v>
      </c>
      <c r="AK41" s="8">
        <f t="shared" si="10"/>
        <v>21428.571428571428</v>
      </c>
      <c r="AL41" s="8">
        <f t="shared" si="11"/>
        <v>73750</v>
      </c>
    </row>
    <row r="42" spans="2:38" x14ac:dyDescent="0.15">
      <c r="G42" s="2"/>
      <c r="I42" s="4" t="s">
        <v>98</v>
      </c>
      <c r="J42" s="8" t="s">
        <v>85</v>
      </c>
      <c r="K42" s="8" t="s">
        <v>86</v>
      </c>
      <c r="L42" s="8" t="s">
        <v>87</v>
      </c>
      <c r="M42" s="8" t="s">
        <v>0</v>
      </c>
      <c r="N42" s="8" t="s">
        <v>88</v>
      </c>
      <c r="P42" s="8" t="s">
        <v>85</v>
      </c>
      <c r="Q42" s="8" t="s">
        <v>86</v>
      </c>
      <c r="R42" s="8" t="s">
        <v>87</v>
      </c>
      <c r="S42" s="8" t="s">
        <v>0</v>
      </c>
      <c r="T42" s="8" t="s">
        <v>88</v>
      </c>
      <c r="V42" s="8" t="s">
        <v>102</v>
      </c>
      <c r="W42" s="8" t="s">
        <v>91</v>
      </c>
      <c r="X42" s="8" t="s">
        <v>13</v>
      </c>
      <c r="Z42" s="8" t="s">
        <v>85</v>
      </c>
      <c r="AA42" s="8" t="s">
        <v>86</v>
      </c>
      <c r="AB42" s="8" t="s">
        <v>87</v>
      </c>
      <c r="AC42" s="8" t="s">
        <v>0</v>
      </c>
      <c r="AD42" s="8" t="s">
        <v>88</v>
      </c>
      <c r="AE42" s="8" t="s">
        <v>94</v>
      </c>
      <c r="AG42" s="8">
        <v>36</v>
      </c>
      <c r="AH42" s="8">
        <f t="shared" si="7"/>
        <v>14666.666666666666</v>
      </c>
      <c r="AI42" s="8">
        <f t="shared" si="8"/>
        <v>29500</v>
      </c>
      <c r="AJ42" s="8">
        <f t="shared" si="9"/>
        <v>26777.777777777777</v>
      </c>
      <c r="AK42" s="8">
        <f t="shared" si="10"/>
        <v>23571.428571428572</v>
      </c>
      <c r="AL42" s="8">
        <f t="shared" si="11"/>
        <v>76500</v>
      </c>
    </row>
    <row r="43" spans="2:38" x14ac:dyDescent="0.15">
      <c r="G43" s="2"/>
      <c r="J43" s="8"/>
      <c r="K43" s="8">
        <v>3</v>
      </c>
      <c r="L43" s="8">
        <v>3</v>
      </c>
      <c r="M43" s="8"/>
      <c r="N43" s="8"/>
      <c r="P43" s="8"/>
      <c r="Q43" s="8">
        <v>0</v>
      </c>
      <c r="R43" s="8">
        <v>0</v>
      </c>
      <c r="S43" s="8"/>
      <c r="T43" s="8"/>
      <c r="V43" s="8">
        <v>8</v>
      </c>
      <c r="W43" s="8">
        <f>INDEX(节奏总纲!R:R,MATCH(V43,节奏总纲!O:O,0))</f>
        <v>0.50550507844857251</v>
      </c>
      <c r="X43" s="8">
        <f>W43</f>
        <v>0.50550507844857251</v>
      </c>
      <c r="Z43" s="8">
        <f t="shared" ref="Z43:Z54" si="17">J43*INDEX($D$20:$D$26,P43+1,1)</f>
        <v>0</v>
      </c>
      <c r="AA43" s="8">
        <f t="shared" ref="AA43:AA54" si="18">K43*INDEX($D$20:$D$26,Q43+1,1)</f>
        <v>6</v>
      </c>
      <c r="AB43" s="8">
        <f t="shared" ref="AB43:AB54" si="19">L43*INDEX($D$20:$D$26,R43+1,1)</f>
        <v>6</v>
      </c>
      <c r="AC43" s="8">
        <f t="shared" ref="AC43:AC54" si="20">M43*INDEX($D$20:$D$26,S43+1,1)</f>
        <v>0</v>
      </c>
      <c r="AD43" s="8">
        <f t="shared" ref="AD43:AD54" si="21">N43*INDEX($D$20:$D$26,T43+1,1)</f>
        <v>0</v>
      </c>
      <c r="AE43" s="8">
        <f t="shared" ref="AE43:AE54" si="22">SUMPRODUCT(Z43:AD43,$C$35:$G$35)</f>
        <v>3600</v>
      </c>
      <c r="AG43" s="8">
        <v>37</v>
      </c>
      <c r="AH43" s="8">
        <f t="shared" si="7"/>
        <v>14833.333333333334</v>
      </c>
      <c r="AI43" s="8">
        <f t="shared" si="8"/>
        <v>29750</v>
      </c>
      <c r="AJ43" s="8">
        <f t="shared" si="9"/>
        <v>27388.888888888891</v>
      </c>
      <c r="AK43" s="8">
        <f t="shared" si="10"/>
        <v>25714.285714285714</v>
      </c>
      <c r="AL43" s="8">
        <f t="shared" si="11"/>
        <v>79250</v>
      </c>
    </row>
    <row r="44" spans="2:38" x14ac:dyDescent="0.15">
      <c r="G44" s="2"/>
      <c r="J44" s="8"/>
      <c r="K44" s="8"/>
      <c r="L44" s="8">
        <v>5</v>
      </c>
      <c r="M44" s="8">
        <v>1</v>
      </c>
      <c r="N44" s="8"/>
      <c r="P44" s="8"/>
      <c r="Q44" s="8"/>
      <c r="R44" s="8">
        <v>0</v>
      </c>
      <c r="S44" s="8">
        <v>0</v>
      </c>
      <c r="T44" s="8"/>
      <c r="V44" s="8">
        <v>18</v>
      </c>
      <c r="W44" s="8">
        <f>INDEX(节奏总纲!R:R,MATCH(V44,节奏总纲!O:O,0))</f>
        <v>1.7690655458445907</v>
      </c>
      <c r="X44" s="8">
        <f>W44-W43</f>
        <v>1.2635604673960183</v>
      </c>
      <c r="Z44" s="8">
        <f t="shared" si="17"/>
        <v>0</v>
      </c>
      <c r="AA44" s="8">
        <f t="shared" si="18"/>
        <v>0</v>
      </c>
      <c r="AB44" s="8">
        <f t="shared" si="19"/>
        <v>10</v>
      </c>
      <c r="AC44" s="8">
        <f t="shared" si="20"/>
        <v>2</v>
      </c>
      <c r="AD44" s="8">
        <f t="shared" si="21"/>
        <v>0</v>
      </c>
      <c r="AE44" s="8">
        <f t="shared" si="22"/>
        <v>10000</v>
      </c>
      <c r="AG44" s="8">
        <v>38</v>
      </c>
      <c r="AH44" s="8">
        <f t="shared" si="7"/>
        <v>15000</v>
      </c>
      <c r="AI44" s="8">
        <f t="shared" si="8"/>
        <v>30000</v>
      </c>
      <c r="AJ44" s="8">
        <f t="shared" si="9"/>
        <v>28000</v>
      </c>
      <c r="AK44" s="8">
        <f t="shared" si="10"/>
        <v>27857.142857142855</v>
      </c>
      <c r="AL44" s="8">
        <f t="shared" si="11"/>
        <v>82000</v>
      </c>
    </row>
    <row r="45" spans="2:38" x14ac:dyDescent="0.15">
      <c r="G45" s="2"/>
      <c r="J45" s="8"/>
      <c r="K45" s="8"/>
      <c r="L45" s="8">
        <v>3</v>
      </c>
      <c r="M45" s="8">
        <v>3</v>
      </c>
      <c r="N45" s="8"/>
      <c r="P45" s="8"/>
      <c r="Q45" s="8"/>
      <c r="R45" s="8">
        <v>3</v>
      </c>
      <c r="S45" s="8">
        <v>0</v>
      </c>
      <c r="T45" s="8"/>
      <c r="V45" s="8">
        <v>29</v>
      </c>
      <c r="W45" s="8">
        <f>INDEX(节奏总纲!R:R,MATCH(V45,节奏总纲!O:O,0))</f>
        <v>4.6510378992858623</v>
      </c>
      <c r="X45" s="8">
        <f t="shared" ref="X45:X54" si="23">W45-W44</f>
        <v>2.8819723534412716</v>
      </c>
      <c r="Z45" s="8">
        <f t="shared" si="17"/>
        <v>0</v>
      </c>
      <c r="AA45" s="8">
        <f t="shared" si="18"/>
        <v>0</v>
      </c>
      <c r="AB45" s="8">
        <f t="shared" si="19"/>
        <v>15</v>
      </c>
      <c r="AC45" s="8">
        <f t="shared" si="20"/>
        <v>6</v>
      </c>
      <c r="AD45" s="8">
        <f t="shared" si="21"/>
        <v>0</v>
      </c>
      <c r="AE45" s="8">
        <f t="shared" si="22"/>
        <v>22500</v>
      </c>
      <c r="AG45" s="8">
        <v>39</v>
      </c>
      <c r="AH45" s="8">
        <f t="shared" si="7"/>
        <v>16875</v>
      </c>
      <c r="AI45" s="8">
        <f t="shared" si="8"/>
        <v>31875</v>
      </c>
      <c r="AJ45" s="8">
        <f t="shared" si="9"/>
        <v>28285.714285714286</v>
      </c>
      <c r="AK45" s="8">
        <f t="shared" si="10"/>
        <v>30000</v>
      </c>
      <c r="AL45" s="8">
        <f t="shared" si="11"/>
        <v>84750</v>
      </c>
    </row>
    <row r="46" spans="2:38" x14ac:dyDescent="0.15">
      <c r="J46" s="8"/>
      <c r="K46" s="8"/>
      <c r="L46" s="8">
        <v>1</v>
      </c>
      <c r="M46" s="8">
        <v>5</v>
      </c>
      <c r="N46" s="8"/>
      <c r="P46" s="8"/>
      <c r="Q46" s="8"/>
      <c r="R46" s="8">
        <v>4</v>
      </c>
      <c r="S46" s="8">
        <v>0</v>
      </c>
      <c r="T46" s="8"/>
      <c r="V46" s="8">
        <v>38</v>
      </c>
      <c r="W46" s="8">
        <f>INDEX(节奏总纲!R:R,MATCH(V46,节奏总纲!O:O,0))</f>
        <v>9.3190855363815395</v>
      </c>
      <c r="X46" s="8">
        <f t="shared" si="23"/>
        <v>4.6680476370956772</v>
      </c>
      <c r="Z46" s="8">
        <f t="shared" si="17"/>
        <v>0</v>
      </c>
      <c r="AA46" s="8">
        <f t="shared" si="18"/>
        <v>0</v>
      </c>
      <c r="AB46" s="8">
        <f t="shared" si="19"/>
        <v>6</v>
      </c>
      <c r="AC46" s="8">
        <f t="shared" si="20"/>
        <v>10</v>
      </c>
      <c r="AD46" s="8">
        <f t="shared" si="21"/>
        <v>0</v>
      </c>
      <c r="AE46" s="8">
        <f t="shared" si="22"/>
        <v>28000</v>
      </c>
      <c r="AG46" s="8">
        <v>40</v>
      </c>
      <c r="AH46" s="8">
        <f t="shared" si="7"/>
        <v>18750</v>
      </c>
      <c r="AI46" s="8">
        <f t="shared" si="8"/>
        <v>33750</v>
      </c>
      <c r="AJ46" s="8">
        <f t="shared" si="9"/>
        <v>28571.428571428572</v>
      </c>
      <c r="AK46" s="8">
        <f t="shared" si="10"/>
        <v>34285.714285714283</v>
      </c>
      <c r="AL46" s="8">
        <f t="shared" si="11"/>
        <v>87500</v>
      </c>
    </row>
    <row r="47" spans="2:38" x14ac:dyDescent="0.15">
      <c r="J47" s="8"/>
      <c r="K47" s="8"/>
      <c r="L47" s="8"/>
      <c r="M47" s="8">
        <v>6</v>
      </c>
      <c r="N47" s="8"/>
      <c r="P47" s="8"/>
      <c r="Q47" s="8"/>
      <c r="R47" s="8"/>
      <c r="S47" s="8">
        <v>0</v>
      </c>
      <c r="T47" s="8"/>
      <c r="V47" s="8">
        <v>45</v>
      </c>
      <c r="W47" s="8">
        <f>INDEX(节奏总纲!R:R,MATCH(V47,节奏总纲!O:O,0))</f>
        <v>15.604181364035009</v>
      </c>
      <c r="X47" s="8">
        <f t="shared" si="23"/>
        <v>6.2850958276534694</v>
      </c>
      <c r="Z47" s="8">
        <f t="shared" si="17"/>
        <v>0</v>
      </c>
      <c r="AA47" s="8">
        <f t="shared" si="18"/>
        <v>0</v>
      </c>
      <c r="AB47" s="8">
        <f t="shared" si="19"/>
        <v>0</v>
      </c>
      <c r="AC47" s="8">
        <f t="shared" si="20"/>
        <v>12</v>
      </c>
      <c r="AD47" s="8">
        <f t="shared" si="21"/>
        <v>0</v>
      </c>
      <c r="AE47" s="8">
        <f t="shared" si="22"/>
        <v>30000</v>
      </c>
      <c r="AG47" s="8">
        <v>41</v>
      </c>
      <c r="AH47" s="8">
        <f t="shared" si="7"/>
        <v>20625</v>
      </c>
      <c r="AI47" s="8">
        <f t="shared" si="8"/>
        <v>35625</v>
      </c>
      <c r="AJ47" s="8">
        <f t="shared" si="9"/>
        <v>28857.142857142859</v>
      </c>
      <c r="AK47" s="8">
        <f t="shared" si="10"/>
        <v>38571.428571428572</v>
      </c>
      <c r="AL47" s="8">
        <f t="shared" si="11"/>
        <v>91500</v>
      </c>
    </row>
    <row r="48" spans="2:38" x14ac:dyDescent="0.15">
      <c r="G48" s="2"/>
      <c r="J48" s="8"/>
      <c r="K48" s="8"/>
      <c r="L48" s="8"/>
      <c r="M48" s="8">
        <v>6</v>
      </c>
      <c r="N48" s="8"/>
      <c r="P48" s="8"/>
      <c r="Q48" s="8"/>
      <c r="R48" s="8"/>
      <c r="S48" s="8">
        <v>1</v>
      </c>
      <c r="T48" s="8"/>
      <c r="V48" s="8">
        <v>52</v>
      </c>
      <c r="W48" s="8">
        <f>INDEX(节奏总纲!R:R,MATCH(V48,节奏总纲!O:O,0))</f>
        <v>25.606552544428059</v>
      </c>
      <c r="X48" s="8">
        <f t="shared" si="23"/>
        <v>10.00237118039305</v>
      </c>
      <c r="Z48" s="8">
        <f t="shared" si="17"/>
        <v>0</v>
      </c>
      <c r="AA48" s="8">
        <f t="shared" si="18"/>
        <v>0</v>
      </c>
      <c r="AB48" s="8">
        <f t="shared" si="19"/>
        <v>0</v>
      </c>
      <c r="AC48" s="8">
        <f t="shared" si="20"/>
        <v>18</v>
      </c>
      <c r="AD48" s="8">
        <f t="shared" si="21"/>
        <v>0</v>
      </c>
      <c r="AE48" s="8">
        <f t="shared" si="22"/>
        <v>45000</v>
      </c>
      <c r="AG48" s="8">
        <v>42</v>
      </c>
      <c r="AH48" s="8">
        <f t="shared" si="7"/>
        <v>22500</v>
      </c>
      <c r="AI48" s="8">
        <f t="shared" si="8"/>
        <v>37500</v>
      </c>
      <c r="AJ48" s="8">
        <f t="shared" si="9"/>
        <v>29142.857142857141</v>
      </c>
      <c r="AK48" s="8">
        <f t="shared" si="10"/>
        <v>42857.142857142855</v>
      </c>
      <c r="AL48" s="8">
        <f t="shared" si="11"/>
        <v>95500</v>
      </c>
    </row>
    <row r="49" spans="7:38" x14ac:dyDescent="0.15">
      <c r="G49" s="2"/>
      <c r="J49" s="8"/>
      <c r="K49" s="8"/>
      <c r="L49" s="8"/>
      <c r="M49" s="8">
        <v>6</v>
      </c>
      <c r="N49" s="8"/>
      <c r="P49" s="8"/>
      <c r="Q49" s="8"/>
      <c r="R49" s="8"/>
      <c r="S49" s="8">
        <v>3</v>
      </c>
      <c r="T49" s="8"/>
      <c r="V49" s="8">
        <v>58</v>
      </c>
      <c r="W49" s="8">
        <f>INDEX(节奏总纲!R:R,MATCH(V49,节奏总纲!O:O,0))</f>
        <v>38.913475879437009</v>
      </c>
      <c r="X49" s="8">
        <f t="shared" si="23"/>
        <v>13.30692333500895</v>
      </c>
      <c r="Z49" s="8">
        <f t="shared" si="17"/>
        <v>0</v>
      </c>
      <c r="AA49" s="8">
        <f t="shared" si="18"/>
        <v>0</v>
      </c>
      <c r="AB49" s="8">
        <f t="shared" si="19"/>
        <v>0</v>
      </c>
      <c r="AC49" s="8">
        <f t="shared" si="20"/>
        <v>30</v>
      </c>
      <c r="AD49" s="8">
        <f t="shared" si="21"/>
        <v>0</v>
      </c>
      <c r="AE49" s="8">
        <f t="shared" si="22"/>
        <v>75000</v>
      </c>
      <c r="AG49" s="8">
        <v>43</v>
      </c>
      <c r="AH49" s="8">
        <f t="shared" si="7"/>
        <v>24375</v>
      </c>
      <c r="AI49" s="8">
        <f t="shared" si="8"/>
        <v>39375</v>
      </c>
      <c r="AJ49" s="8">
        <f t="shared" si="9"/>
        <v>29428.571428571428</v>
      </c>
      <c r="AK49" s="8">
        <f t="shared" si="10"/>
        <v>47142.857142857145</v>
      </c>
      <c r="AL49" s="8">
        <f t="shared" si="11"/>
        <v>99500</v>
      </c>
    </row>
    <row r="50" spans="7:38" x14ac:dyDescent="0.15">
      <c r="G50" s="2"/>
      <c r="J50" s="8"/>
      <c r="K50" s="8"/>
      <c r="L50" s="8"/>
      <c r="M50" s="8">
        <v>5</v>
      </c>
      <c r="N50" s="8">
        <v>1</v>
      </c>
      <c r="P50" s="8"/>
      <c r="Q50" s="8"/>
      <c r="R50" s="8"/>
      <c r="S50" s="8">
        <v>3</v>
      </c>
      <c r="T50" s="8">
        <v>0</v>
      </c>
      <c r="V50" s="8">
        <v>63</v>
      </c>
      <c r="W50" s="8">
        <f>INDEX(节奏总纲!R:R,MATCH(V50,节奏总纲!O:O,0))</f>
        <v>55.27987808786542</v>
      </c>
      <c r="X50" s="8">
        <f t="shared" si="23"/>
        <v>16.366402208428411</v>
      </c>
      <c r="Z50" s="8">
        <f t="shared" si="17"/>
        <v>0</v>
      </c>
      <c r="AA50" s="8">
        <f t="shared" si="18"/>
        <v>0</v>
      </c>
      <c r="AB50" s="8">
        <f t="shared" si="19"/>
        <v>0</v>
      </c>
      <c r="AC50" s="8">
        <f t="shared" si="20"/>
        <v>25</v>
      </c>
      <c r="AD50" s="8">
        <f t="shared" si="21"/>
        <v>2</v>
      </c>
      <c r="AE50" s="8">
        <f t="shared" si="22"/>
        <v>112500</v>
      </c>
      <c r="AG50" s="8">
        <v>44</v>
      </c>
      <c r="AH50" s="8">
        <f t="shared" si="7"/>
        <v>26250</v>
      </c>
      <c r="AI50" s="8">
        <f t="shared" si="8"/>
        <v>41250</v>
      </c>
      <c r="AJ50" s="8">
        <f t="shared" si="9"/>
        <v>29714.285714285714</v>
      </c>
      <c r="AK50" s="8">
        <f t="shared" si="10"/>
        <v>51428.571428571428</v>
      </c>
      <c r="AL50" s="8">
        <f t="shared" si="11"/>
        <v>103500</v>
      </c>
    </row>
    <row r="51" spans="7:38" x14ac:dyDescent="0.15">
      <c r="G51" s="2"/>
      <c r="J51" s="8"/>
      <c r="K51" s="8"/>
      <c r="L51" s="8"/>
      <c r="M51" s="8">
        <v>5</v>
      </c>
      <c r="N51" s="8">
        <v>3</v>
      </c>
      <c r="P51" s="8"/>
      <c r="Q51" s="8"/>
      <c r="R51" s="8"/>
      <c r="S51" s="8">
        <v>5</v>
      </c>
      <c r="T51" s="8">
        <v>0</v>
      </c>
      <c r="V51" s="8">
        <v>69</v>
      </c>
      <c r="W51" s="8">
        <f>INDEX(节奏总纲!R:R,MATCH(V51,节奏总纲!O:O,0))</f>
        <v>83.894553114198303</v>
      </c>
      <c r="X51" s="8">
        <f t="shared" si="23"/>
        <v>28.614675026332883</v>
      </c>
      <c r="Z51" s="8">
        <f t="shared" si="17"/>
        <v>0</v>
      </c>
      <c r="AA51" s="8">
        <f t="shared" si="18"/>
        <v>0</v>
      </c>
      <c r="AB51" s="8">
        <f t="shared" si="19"/>
        <v>0</v>
      </c>
      <c r="AC51" s="8">
        <f t="shared" si="20"/>
        <v>35</v>
      </c>
      <c r="AD51" s="8">
        <f t="shared" si="21"/>
        <v>6</v>
      </c>
      <c r="AE51" s="8">
        <f t="shared" si="22"/>
        <v>237500</v>
      </c>
      <c r="AG51" s="8">
        <v>45</v>
      </c>
      <c r="AH51" s="8">
        <f t="shared" si="7"/>
        <v>28125</v>
      </c>
      <c r="AI51" s="8">
        <f t="shared" si="8"/>
        <v>43125</v>
      </c>
      <c r="AJ51" s="8">
        <f t="shared" si="9"/>
        <v>30000</v>
      </c>
      <c r="AK51" s="8">
        <f t="shared" si="10"/>
        <v>55714.28571428571</v>
      </c>
      <c r="AL51" s="8">
        <f t="shared" si="11"/>
        <v>107500</v>
      </c>
    </row>
    <row r="52" spans="7:38" x14ac:dyDescent="0.15">
      <c r="G52" s="2"/>
      <c r="J52" s="8"/>
      <c r="K52" s="8"/>
      <c r="L52" s="8"/>
      <c r="M52" s="8">
        <v>0</v>
      </c>
      <c r="N52" s="8">
        <v>6</v>
      </c>
      <c r="P52" s="8"/>
      <c r="Q52" s="8"/>
      <c r="R52" s="8"/>
      <c r="S52" s="8"/>
      <c r="T52" s="8">
        <v>0</v>
      </c>
      <c r="V52" s="8">
        <v>75</v>
      </c>
      <c r="W52" s="8">
        <f>INDEX(节奏总纲!R:R,MATCH(V52,节奏总纲!O:O,0))</f>
        <v>127.38168214210583</v>
      </c>
      <c r="X52" s="8">
        <f t="shared" si="23"/>
        <v>43.487129027907528</v>
      </c>
      <c r="Z52" s="8">
        <f t="shared" si="17"/>
        <v>0</v>
      </c>
      <c r="AA52" s="8">
        <f t="shared" si="18"/>
        <v>0</v>
      </c>
      <c r="AB52" s="8">
        <f t="shared" si="19"/>
        <v>0</v>
      </c>
      <c r="AC52" s="8">
        <f t="shared" si="20"/>
        <v>0</v>
      </c>
      <c r="AD52" s="8">
        <f t="shared" si="21"/>
        <v>12</v>
      </c>
      <c r="AE52" s="8">
        <f t="shared" si="22"/>
        <v>300000</v>
      </c>
      <c r="AG52" s="8">
        <v>46</v>
      </c>
      <c r="AH52" s="8">
        <f t="shared" si="7"/>
        <v>30000</v>
      </c>
      <c r="AI52" s="8">
        <f t="shared" si="8"/>
        <v>45000</v>
      </c>
      <c r="AJ52" s="8">
        <f t="shared" si="9"/>
        <v>32142.857142857141</v>
      </c>
      <c r="AK52" s="8">
        <f t="shared" si="10"/>
        <v>60000</v>
      </c>
      <c r="AL52" s="8">
        <f t="shared" si="11"/>
        <v>111500</v>
      </c>
    </row>
    <row r="53" spans="7:38" x14ac:dyDescent="0.15">
      <c r="G53" s="2"/>
      <c r="J53" s="8"/>
      <c r="K53" s="8"/>
      <c r="L53" s="8"/>
      <c r="M53" s="8"/>
      <c r="N53" s="8">
        <v>6</v>
      </c>
      <c r="P53" s="8"/>
      <c r="Q53" s="8"/>
      <c r="R53" s="8"/>
      <c r="S53" s="8"/>
      <c r="T53" s="8">
        <v>1</v>
      </c>
      <c r="V53" s="8">
        <v>84</v>
      </c>
      <c r="W53" s="8">
        <f>INDEX(节奏总纲!R:R,MATCH(V53,节奏总纲!O:O,0))</f>
        <v>237.27139072371298</v>
      </c>
      <c r="X53" s="8">
        <f t="shared" si="23"/>
        <v>109.88970858160715</v>
      </c>
      <c r="Z53" s="8">
        <f t="shared" si="17"/>
        <v>0</v>
      </c>
      <c r="AA53" s="8">
        <f t="shared" si="18"/>
        <v>0</v>
      </c>
      <c r="AB53" s="8">
        <f t="shared" si="19"/>
        <v>0</v>
      </c>
      <c r="AC53" s="8">
        <f t="shared" si="20"/>
        <v>0</v>
      </c>
      <c r="AD53" s="8">
        <f t="shared" si="21"/>
        <v>18</v>
      </c>
      <c r="AE53" s="8">
        <f t="shared" si="22"/>
        <v>450000</v>
      </c>
      <c r="AG53" s="8">
        <v>47</v>
      </c>
      <c r="AH53" s="8">
        <f t="shared" si="7"/>
        <v>32500</v>
      </c>
      <c r="AI53" s="8">
        <f t="shared" si="8"/>
        <v>47500</v>
      </c>
      <c r="AJ53" s="8">
        <f t="shared" si="9"/>
        <v>34285.714285714283</v>
      </c>
      <c r="AK53" s="8">
        <f t="shared" si="10"/>
        <v>65500</v>
      </c>
      <c r="AL53" s="8">
        <f t="shared" si="11"/>
        <v>115500</v>
      </c>
    </row>
    <row r="54" spans="7:38" x14ac:dyDescent="0.15">
      <c r="G54" s="2"/>
      <c r="J54" s="8"/>
      <c r="K54" s="8"/>
      <c r="L54" s="8"/>
      <c r="M54" s="8"/>
      <c r="N54" s="8">
        <v>6</v>
      </c>
      <c r="P54" s="8"/>
      <c r="Q54" s="8"/>
      <c r="R54" s="8"/>
      <c r="S54" s="8"/>
      <c r="T54" s="8">
        <v>3</v>
      </c>
      <c r="V54" s="8">
        <v>91</v>
      </c>
      <c r="W54" s="8">
        <f>INDEX(节奏总纲!R:R,MATCH(V54,节奏总纲!O:O,0))</f>
        <v>378.43910205635837</v>
      </c>
      <c r="X54" s="8">
        <f t="shared" si="23"/>
        <v>141.16771133264538</v>
      </c>
      <c r="Z54" s="8">
        <f t="shared" si="17"/>
        <v>0</v>
      </c>
      <c r="AA54" s="8">
        <f t="shared" si="18"/>
        <v>0</v>
      </c>
      <c r="AB54" s="8">
        <f t="shared" si="19"/>
        <v>0</v>
      </c>
      <c r="AC54" s="8">
        <f t="shared" si="20"/>
        <v>0</v>
      </c>
      <c r="AD54" s="8">
        <f t="shared" si="21"/>
        <v>30</v>
      </c>
      <c r="AE54" s="8">
        <f t="shared" si="22"/>
        <v>750000</v>
      </c>
      <c r="AG54" s="8">
        <v>48</v>
      </c>
      <c r="AH54" s="8">
        <f t="shared" si="7"/>
        <v>35000</v>
      </c>
      <c r="AI54" s="8">
        <f t="shared" si="8"/>
        <v>50000</v>
      </c>
      <c r="AJ54" s="8">
        <f t="shared" si="9"/>
        <v>36428.571428571428</v>
      </c>
      <c r="AK54" s="8">
        <f t="shared" si="10"/>
        <v>71000</v>
      </c>
      <c r="AL54" s="8">
        <f t="shared" si="11"/>
        <v>119500</v>
      </c>
    </row>
    <row r="55" spans="7:38" x14ac:dyDescent="0.15">
      <c r="AG55" s="8">
        <v>49</v>
      </c>
      <c r="AH55" s="8">
        <f t="shared" si="7"/>
        <v>37500</v>
      </c>
      <c r="AI55" s="8">
        <f t="shared" si="8"/>
        <v>52500</v>
      </c>
      <c r="AJ55" s="8">
        <f t="shared" si="9"/>
        <v>38571.428571428572</v>
      </c>
      <c r="AK55" s="8">
        <f t="shared" si="10"/>
        <v>76500</v>
      </c>
      <c r="AL55" s="8">
        <f t="shared" si="11"/>
        <v>123500</v>
      </c>
    </row>
    <row r="56" spans="7:38" x14ac:dyDescent="0.15">
      <c r="J56" s="173" t="s">
        <v>89</v>
      </c>
      <c r="K56" s="173"/>
      <c r="L56" s="173"/>
      <c r="M56" s="173"/>
      <c r="N56" s="173"/>
      <c r="P56" s="173" t="s">
        <v>90</v>
      </c>
      <c r="Q56" s="173"/>
      <c r="R56" s="173"/>
      <c r="S56" s="173"/>
      <c r="T56" s="173"/>
      <c r="Z56" s="173" t="s">
        <v>101</v>
      </c>
      <c r="AA56" s="173"/>
      <c r="AB56" s="173"/>
      <c r="AC56" s="173"/>
      <c r="AD56" s="173"/>
      <c r="AE56" s="10"/>
      <c r="AG56" s="8">
        <v>50</v>
      </c>
      <c r="AH56" s="8">
        <f t="shared" si="7"/>
        <v>40000</v>
      </c>
      <c r="AI56" s="8">
        <f t="shared" si="8"/>
        <v>55000</v>
      </c>
      <c r="AJ56" s="8">
        <f t="shared" si="9"/>
        <v>40714.28571428571</v>
      </c>
      <c r="AK56" s="8">
        <f t="shared" si="10"/>
        <v>82000</v>
      </c>
      <c r="AL56" s="8">
        <f t="shared" si="11"/>
        <v>127500</v>
      </c>
    </row>
    <row r="57" spans="7:38" x14ac:dyDescent="0.15">
      <c r="I57" s="4" t="s">
        <v>99</v>
      </c>
      <c r="J57" s="8" t="s">
        <v>85</v>
      </c>
      <c r="K57" s="8" t="s">
        <v>86</v>
      </c>
      <c r="L57" s="8" t="s">
        <v>87</v>
      </c>
      <c r="M57" s="8" t="s">
        <v>0</v>
      </c>
      <c r="N57" s="8" t="s">
        <v>88</v>
      </c>
      <c r="P57" s="8" t="s">
        <v>85</v>
      </c>
      <c r="Q57" s="8" t="s">
        <v>86</v>
      </c>
      <c r="R57" s="8" t="s">
        <v>87</v>
      </c>
      <c r="S57" s="8" t="s">
        <v>0</v>
      </c>
      <c r="T57" s="8" t="s">
        <v>88</v>
      </c>
      <c r="V57" s="8" t="s">
        <v>102</v>
      </c>
      <c r="W57" s="8" t="s">
        <v>91</v>
      </c>
      <c r="X57" s="8" t="s">
        <v>13</v>
      </c>
      <c r="Z57" s="8" t="s">
        <v>85</v>
      </c>
      <c r="AA57" s="8" t="s">
        <v>86</v>
      </c>
      <c r="AB57" s="8" t="s">
        <v>87</v>
      </c>
      <c r="AC57" s="8" t="s">
        <v>0</v>
      </c>
      <c r="AD57" s="8" t="s">
        <v>88</v>
      </c>
      <c r="AE57" s="8" t="s">
        <v>94</v>
      </c>
      <c r="AG57" s="8">
        <v>51</v>
      </c>
      <c r="AH57" s="8">
        <f t="shared" si="7"/>
        <v>42500</v>
      </c>
      <c r="AI57" s="8">
        <f t="shared" si="8"/>
        <v>57500</v>
      </c>
      <c r="AJ57" s="8">
        <f t="shared" si="9"/>
        <v>42857.142857142855</v>
      </c>
      <c r="AK57" s="8">
        <f t="shared" si="10"/>
        <v>87500</v>
      </c>
      <c r="AL57" s="8">
        <f t="shared" si="11"/>
        <v>130312.5</v>
      </c>
    </row>
    <row r="58" spans="7:38" x14ac:dyDescent="0.15">
      <c r="J58" s="8"/>
      <c r="K58" s="8"/>
      <c r="L58" s="8">
        <v>5</v>
      </c>
      <c r="M58" s="8">
        <v>1</v>
      </c>
      <c r="N58" s="8"/>
      <c r="P58" s="8"/>
      <c r="Q58" s="8"/>
      <c r="R58" s="8">
        <v>0</v>
      </c>
      <c r="S58" s="8">
        <v>0</v>
      </c>
      <c r="T58" s="8"/>
      <c r="V58" s="8">
        <v>10</v>
      </c>
      <c r="W58" s="8">
        <f>INDEX(节奏总纲!S:S,MATCH(V58,节奏总纲!O:O,0))</f>
        <v>0.49980000000000002</v>
      </c>
      <c r="X58" s="8">
        <f>W58</f>
        <v>0.49980000000000002</v>
      </c>
      <c r="Z58" s="8">
        <f t="shared" ref="Z58:Z68" si="24">J58*INDEX($D$19:$D$26,P58+1,1)</f>
        <v>0</v>
      </c>
      <c r="AA58" s="8">
        <f t="shared" ref="AA58:AA68" si="25">K58*INDEX($D$19:$D$26,Q58+1,1)</f>
        <v>0</v>
      </c>
      <c r="AB58" s="8">
        <f t="shared" ref="AB58:AB68" si="26">L58*INDEX($D$19:$D$26,R58+1,1)</f>
        <v>5</v>
      </c>
      <c r="AC58" s="8">
        <f t="shared" ref="AC58:AC68" si="27">M58*INDEX($D$19:$D$26,S58+1,1)</f>
        <v>1</v>
      </c>
      <c r="AD58" s="8">
        <f t="shared" ref="AD58:AD68" si="28">N58*INDEX($D$19:$D$26,T58+1,1)</f>
        <v>0</v>
      </c>
      <c r="AE58" s="8">
        <f t="shared" ref="AE58:AE68" si="29">SUMPRODUCT(Z58:AD58,$C$35:$G$35)</f>
        <v>5000</v>
      </c>
      <c r="AG58" s="8">
        <v>52</v>
      </c>
      <c r="AH58" s="8">
        <f t="shared" si="7"/>
        <v>45000</v>
      </c>
      <c r="AI58" s="8">
        <f t="shared" si="8"/>
        <v>60000</v>
      </c>
      <c r="AJ58" s="8">
        <f t="shared" si="9"/>
        <v>45000</v>
      </c>
      <c r="AK58" s="8">
        <f t="shared" si="10"/>
        <v>93214.28571428571</v>
      </c>
      <c r="AL58" s="8">
        <f t="shared" si="11"/>
        <v>133125</v>
      </c>
    </row>
    <row r="59" spans="7:38" x14ac:dyDescent="0.15">
      <c r="J59" s="8"/>
      <c r="K59" s="8"/>
      <c r="L59" s="8">
        <v>3</v>
      </c>
      <c r="M59" s="8">
        <v>3</v>
      </c>
      <c r="N59" s="8"/>
      <c r="P59" s="8"/>
      <c r="Q59" s="8"/>
      <c r="R59" s="8">
        <v>0</v>
      </c>
      <c r="S59" s="8">
        <v>0</v>
      </c>
      <c r="T59" s="8"/>
      <c r="V59" s="8">
        <v>23</v>
      </c>
      <c r="W59" s="8">
        <f>INDEX(节奏总纲!T:T,MATCH(V59,节奏总纲!O:O,0))</f>
        <v>1.1608900698697047</v>
      </c>
      <c r="X59" s="8">
        <f>W59-W58</f>
        <v>0.66109006986970464</v>
      </c>
      <c r="Z59" s="8">
        <f t="shared" si="24"/>
        <v>0</v>
      </c>
      <c r="AA59" s="8">
        <f t="shared" si="25"/>
        <v>0</v>
      </c>
      <c r="AB59" s="8">
        <f t="shared" si="26"/>
        <v>3</v>
      </c>
      <c r="AC59" s="8">
        <f t="shared" si="27"/>
        <v>3</v>
      </c>
      <c r="AD59" s="8">
        <f t="shared" si="28"/>
        <v>0</v>
      </c>
      <c r="AE59" s="8">
        <f t="shared" si="29"/>
        <v>9000</v>
      </c>
      <c r="AG59" s="8">
        <v>53</v>
      </c>
      <c r="AH59" s="8">
        <f t="shared" si="7"/>
        <v>47500</v>
      </c>
      <c r="AI59" s="8">
        <f t="shared" si="8"/>
        <v>62500</v>
      </c>
      <c r="AJ59" s="8">
        <f t="shared" si="9"/>
        <v>50000</v>
      </c>
      <c r="AK59" s="8">
        <f t="shared" si="10"/>
        <v>98928.571428571435</v>
      </c>
      <c r="AL59" s="8">
        <f t="shared" si="11"/>
        <v>135937.5</v>
      </c>
    </row>
    <row r="60" spans="7:38" x14ac:dyDescent="0.15">
      <c r="J60" s="8"/>
      <c r="K60" s="8"/>
      <c r="L60" s="8"/>
      <c r="M60" s="8">
        <v>6</v>
      </c>
      <c r="N60" s="8"/>
      <c r="P60" s="8"/>
      <c r="Q60" s="8"/>
      <c r="R60" s="8"/>
      <c r="S60" s="8">
        <v>0</v>
      </c>
      <c r="T60" s="8"/>
      <c r="V60" s="8">
        <v>32</v>
      </c>
      <c r="W60" s="8">
        <f>INDEX(节奏总纲!T:T,MATCH(V60,节奏总纲!O:O,0))</f>
        <v>2.46506563883286</v>
      </c>
      <c r="X60" s="8">
        <f t="shared" ref="X60:X68" si="30">W60-W59</f>
        <v>1.3041755689631553</v>
      </c>
      <c r="Z60" s="8">
        <f t="shared" si="24"/>
        <v>0</v>
      </c>
      <c r="AA60" s="8">
        <f t="shared" si="25"/>
        <v>0</v>
      </c>
      <c r="AB60" s="8">
        <f t="shared" si="26"/>
        <v>0</v>
      </c>
      <c r="AC60" s="8">
        <f t="shared" si="27"/>
        <v>6</v>
      </c>
      <c r="AD60" s="8">
        <f t="shared" si="28"/>
        <v>0</v>
      </c>
      <c r="AE60" s="8">
        <f t="shared" si="29"/>
        <v>15000</v>
      </c>
      <c r="AG60" s="8">
        <v>54</v>
      </c>
      <c r="AH60" s="8">
        <f t="shared" si="7"/>
        <v>50000</v>
      </c>
      <c r="AI60" s="8">
        <f t="shared" si="8"/>
        <v>65000</v>
      </c>
      <c r="AJ60" s="8">
        <f t="shared" si="9"/>
        <v>55000</v>
      </c>
      <c r="AK60" s="8">
        <f t="shared" si="10"/>
        <v>104642.85714285714</v>
      </c>
      <c r="AL60" s="8">
        <f t="shared" si="11"/>
        <v>138750</v>
      </c>
    </row>
    <row r="61" spans="7:38" x14ac:dyDescent="0.15">
      <c r="J61" s="8"/>
      <c r="K61" s="8"/>
      <c r="L61" s="8"/>
      <c r="M61" s="8">
        <v>6</v>
      </c>
      <c r="N61" s="8"/>
      <c r="P61" s="8"/>
      <c r="Q61" s="8"/>
      <c r="R61" s="8"/>
      <c r="S61" s="8">
        <v>1</v>
      </c>
      <c r="T61" s="8"/>
      <c r="V61" s="8">
        <v>39</v>
      </c>
      <c r="W61" s="8">
        <f>INDEX(节奏总纲!T:T,MATCH(V61,节奏总纲!O:O,0))</f>
        <v>4.1702012426579218</v>
      </c>
      <c r="X61" s="8">
        <f t="shared" si="30"/>
        <v>1.7051356038250618</v>
      </c>
      <c r="Z61" s="8">
        <f t="shared" si="24"/>
        <v>0</v>
      </c>
      <c r="AA61" s="8">
        <f t="shared" si="25"/>
        <v>0</v>
      </c>
      <c r="AB61" s="8">
        <f t="shared" si="26"/>
        <v>0</v>
      </c>
      <c r="AC61" s="8">
        <f t="shared" si="27"/>
        <v>12</v>
      </c>
      <c r="AD61" s="8">
        <f t="shared" si="28"/>
        <v>0</v>
      </c>
      <c r="AE61" s="8">
        <f t="shared" si="29"/>
        <v>30000</v>
      </c>
      <c r="AG61" s="8">
        <v>55</v>
      </c>
      <c r="AH61" s="8">
        <f t="shared" si="7"/>
        <v>52500</v>
      </c>
      <c r="AI61" s="8">
        <f t="shared" si="8"/>
        <v>67500</v>
      </c>
      <c r="AJ61" s="8">
        <f t="shared" si="9"/>
        <v>60000</v>
      </c>
      <c r="AK61" s="8">
        <f t="shared" si="10"/>
        <v>110357.14285714286</v>
      </c>
      <c r="AL61" s="8">
        <f t="shared" si="11"/>
        <v>141562.5</v>
      </c>
    </row>
    <row r="62" spans="7:38" x14ac:dyDescent="0.15">
      <c r="J62" s="8"/>
      <c r="K62" s="8"/>
      <c r="L62" s="8"/>
      <c r="M62" s="8">
        <v>6</v>
      </c>
      <c r="N62" s="8"/>
      <c r="P62" s="8"/>
      <c r="Q62" s="8"/>
      <c r="R62" s="8"/>
      <c r="S62" s="8">
        <v>3</v>
      </c>
      <c r="T62" s="8"/>
      <c r="V62" s="8">
        <v>46</v>
      </c>
      <c r="W62" s="8">
        <f>INDEX(节奏总纲!T:T,MATCH(V62,节奏总纲!O:O,0))</f>
        <v>6.9545132006921566</v>
      </c>
      <c r="X62" s="8">
        <f t="shared" si="30"/>
        <v>2.7843119580342348</v>
      </c>
      <c r="Z62" s="8">
        <f t="shared" si="24"/>
        <v>0</v>
      </c>
      <c r="AA62" s="8">
        <f t="shared" si="25"/>
        <v>0</v>
      </c>
      <c r="AB62" s="8">
        <f t="shared" si="26"/>
        <v>0</v>
      </c>
      <c r="AC62" s="8">
        <f t="shared" si="27"/>
        <v>24</v>
      </c>
      <c r="AD62" s="8">
        <f t="shared" si="28"/>
        <v>0</v>
      </c>
      <c r="AE62" s="8">
        <f t="shared" si="29"/>
        <v>60000</v>
      </c>
      <c r="AG62" s="8">
        <v>56</v>
      </c>
      <c r="AH62" s="8">
        <f t="shared" si="7"/>
        <v>55000</v>
      </c>
      <c r="AI62" s="8">
        <f t="shared" si="8"/>
        <v>70000</v>
      </c>
      <c r="AJ62" s="8">
        <f t="shared" si="9"/>
        <v>65000</v>
      </c>
      <c r="AK62" s="8">
        <f t="shared" si="10"/>
        <v>116071.42857142858</v>
      </c>
      <c r="AL62" s="8">
        <f t="shared" si="11"/>
        <v>144375</v>
      </c>
    </row>
    <row r="63" spans="7:38" x14ac:dyDescent="0.15">
      <c r="J63" s="8"/>
      <c r="K63" s="8"/>
      <c r="L63" s="8"/>
      <c r="M63" s="8">
        <v>5</v>
      </c>
      <c r="N63" s="8">
        <v>1</v>
      </c>
      <c r="P63" s="8"/>
      <c r="Q63" s="8"/>
      <c r="R63" s="8"/>
      <c r="S63" s="8">
        <v>4</v>
      </c>
      <c r="T63" s="8">
        <v>0</v>
      </c>
      <c r="V63" s="8">
        <v>51</v>
      </c>
      <c r="W63" s="8">
        <f>INDEX(节奏总纲!T:T,MATCH(V63,节奏总纲!O:O,0))</f>
        <v>9.8458492119034169</v>
      </c>
      <c r="X63" s="8">
        <f t="shared" si="30"/>
        <v>2.8913360112112603</v>
      </c>
      <c r="Z63" s="8">
        <f t="shared" si="24"/>
        <v>0</v>
      </c>
      <c r="AA63" s="8">
        <f t="shared" si="25"/>
        <v>0</v>
      </c>
      <c r="AB63" s="8">
        <f t="shared" si="26"/>
        <v>0</v>
      </c>
      <c r="AC63" s="8">
        <f t="shared" si="27"/>
        <v>25</v>
      </c>
      <c r="AD63" s="8">
        <f t="shared" si="28"/>
        <v>1</v>
      </c>
      <c r="AE63" s="8">
        <f t="shared" si="29"/>
        <v>87500</v>
      </c>
      <c r="AG63" s="8">
        <v>57</v>
      </c>
      <c r="AH63" s="8">
        <f t="shared" si="7"/>
        <v>57500</v>
      </c>
      <c r="AI63" s="8">
        <f t="shared" si="8"/>
        <v>72500</v>
      </c>
      <c r="AJ63" s="8">
        <f t="shared" si="9"/>
        <v>70000</v>
      </c>
      <c r="AK63" s="8">
        <f t="shared" si="10"/>
        <v>121785.71428571429</v>
      </c>
      <c r="AL63" s="8">
        <f t="shared" si="11"/>
        <v>147187.5</v>
      </c>
    </row>
    <row r="64" spans="7:38" x14ac:dyDescent="0.15">
      <c r="J64" s="8"/>
      <c r="K64" s="8"/>
      <c r="L64" s="8"/>
      <c r="M64" s="8">
        <v>3</v>
      </c>
      <c r="N64" s="8">
        <v>3</v>
      </c>
      <c r="P64" s="8"/>
      <c r="Q64" s="8"/>
      <c r="R64" s="8"/>
      <c r="S64" s="8">
        <v>6</v>
      </c>
      <c r="T64" s="8">
        <v>0</v>
      </c>
      <c r="V64" s="8">
        <v>58</v>
      </c>
      <c r="W64" s="8">
        <f>INDEX(节奏总纲!T:T,MATCH(V64,节奏总纲!O:O,0))</f>
        <v>15.856475407565867</v>
      </c>
      <c r="X64" s="8">
        <f t="shared" si="30"/>
        <v>6.01062619566245</v>
      </c>
      <c r="Z64" s="8">
        <f t="shared" si="24"/>
        <v>0</v>
      </c>
      <c r="AA64" s="8">
        <f t="shared" si="25"/>
        <v>0</v>
      </c>
      <c r="AB64" s="8">
        <f t="shared" si="26"/>
        <v>0</v>
      </c>
      <c r="AC64" s="8">
        <f t="shared" si="27"/>
        <v>21</v>
      </c>
      <c r="AD64" s="8">
        <f t="shared" si="28"/>
        <v>3</v>
      </c>
      <c r="AE64" s="8">
        <f t="shared" si="29"/>
        <v>127500</v>
      </c>
      <c r="AG64" s="8">
        <v>58</v>
      </c>
      <c r="AH64" s="8">
        <f t="shared" si="7"/>
        <v>60000</v>
      </c>
      <c r="AI64" s="8">
        <f t="shared" si="8"/>
        <v>75000</v>
      </c>
      <c r="AJ64" s="8">
        <f t="shared" si="9"/>
        <v>75000</v>
      </c>
      <c r="AK64" s="8">
        <f t="shared" si="10"/>
        <v>127500</v>
      </c>
      <c r="AL64" s="8">
        <f t="shared" si="11"/>
        <v>150000</v>
      </c>
    </row>
    <row r="65" spans="9:38" x14ac:dyDescent="0.15">
      <c r="J65" s="8"/>
      <c r="K65" s="8"/>
      <c r="L65" s="8"/>
      <c r="M65" s="8">
        <v>0</v>
      </c>
      <c r="N65" s="8">
        <v>6</v>
      </c>
      <c r="P65" s="8"/>
      <c r="Q65" s="8"/>
      <c r="R65" s="8"/>
      <c r="S65" s="8"/>
      <c r="T65" s="8">
        <v>0</v>
      </c>
      <c r="V65" s="8">
        <v>64</v>
      </c>
      <c r="W65" s="8">
        <f>INDEX(节奏总纲!T:T,MATCH(V65,节奏总纲!O:O,0))</f>
        <v>24.341929284637001</v>
      </c>
      <c r="X65" s="8">
        <f t="shared" si="30"/>
        <v>8.4854538770711336</v>
      </c>
      <c r="Z65" s="8">
        <f t="shared" si="24"/>
        <v>0</v>
      </c>
      <c r="AA65" s="8">
        <f t="shared" si="25"/>
        <v>0</v>
      </c>
      <c r="AB65" s="8">
        <f t="shared" si="26"/>
        <v>0</v>
      </c>
      <c r="AC65" s="8">
        <f t="shared" si="27"/>
        <v>0</v>
      </c>
      <c r="AD65" s="8">
        <f t="shared" si="28"/>
        <v>6</v>
      </c>
      <c r="AE65" s="8">
        <f t="shared" si="29"/>
        <v>150000</v>
      </c>
      <c r="AG65" s="8">
        <v>59</v>
      </c>
      <c r="AH65" s="8">
        <f t="shared" si="7"/>
        <v>65000</v>
      </c>
      <c r="AI65" s="8">
        <f t="shared" si="8"/>
        <v>75555.555555555562</v>
      </c>
      <c r="AJ65" s="8">
        <f t="shared" si="9"/>
        <v>82500</v>
      </c>
      <c r="AK65" s="8">
        <f t="shared" si="10"/>
        <v>131250</v>
      </c>
      <c r="AL65" s="8">
        <f t="shared" si="11"/>
        <v>168750</v>
      </c>
    </row>
    <row r="66" spans="9:38" x14ac:dyDescent="0.15">
      <c r="J66" s="8"/>
      <c r="K66" s="8"/>
      <c r="L66" s="8"/>
      <c r="M66" s="8"/>
      <c r="N66" s="8">
        <v>6</v>
      </c>
      <c r="P66" s="8"/>
      <c r="Q66" s="8"/>
      <c r="R66" s="8"/>
      <c r="S66" s="8"/>
      <c r="T66" s="8">
        <v>1</v>
      </c>
      <c r="V66" s="8">
        <v>70</v>
      </c>
      <c r="W66" s="8">
        <f>INDEX(节奏总纲!T:T,MATCH(V66,节奏总纲!O:O,0))</f>
        <v>36.4998</v>
      </c>
      <c r="X66" s="8">
        <f t="shared" si="30"/>
        <v>12.157870715363</v>
      </c>
      <c r="Z66" s="8">
        <f t="shared" si="24"/>
        <v>0</v>
      </c>
      <c r="AA66" s="8">
        <f t="shared" si="25"/>
        <v>0</v>
      </c>
      <c r="AB66" s="8">
        <f t="shared" si="26"/>
        <v>0</v>
      </c>
      <c r="AC66" s="8">
        <f t="shared" si="27"/>
        <v>0</v>
      </c>
      <c r="AD66" s="8">
        <f t="shared" si="28"/>
        <v>12</v>
      </c>
      <c r="AE66" s="8">
        <f t="shared" si="29"/>
        <v>300000</v>
      </c>
      <c r="AG66" s="8">
        <v>60</v>
      </c>
      <c r="AH66" s="8">
        <f t="shared" si="7"/>
        <v>70000</v>
      </c>
      <c r="AI66" s="8">
        <f t="shared" si="8"/>
        <v>76111.111111111109</v>
      </c>
      <c r="AJ66" s="8">
        <f t="shared" si="9"/>
        <v>90000</v>
      </c>
      <c r="AK66" s="8">
        <f t="shared" si="10"/>
        <v>135000</v>
      </c>
      <c r="AL66" s="8">
        <f t="shared" si="11"/>
        <v>187500</v>
      </c>
    </row>
    <row r="67" spans="9:38" x14ac:dyDescent="0.15">
      <c r="J67" s="8"/>
      <c r="K67" s="8"/>
      <c r="L67" s="8"/>
      <c r="M67" s="8"/>
      <c r="N67" s="8">
        <v>6</v>
      </c>
      <c r="P67" s="8"/>
      <c r="Q67" s="8"/>
      <c r="R67" s="8"/>
      <c r="S67" s="8"/>
      <c r="T67" s="8">
        <v>3</v>
      </c>
      <c r="V67" s="8">
        <v>75</v>
      </c>
      <c r="W67" s="8">
        <f>INDEX(节奏总纲!T:T,MATCH(V67,节奏总纲!O:O,0))</f>
        <v>51.755559095329879</v>
      </c>
      <c r="X67" s="8">
        <f t="shared" si="30"/>
        <v>15.255759095329879</v>
      </c>
      <c r="Z67" s="8">
        <f t="shared" si="24"/>
        <v>0</v>
      </c>
      <c r="AA67" s="8">
        <f t="shared" si="25"/>
        <v>0</v>
      </c>
      <c r="AB67" s="8">
        <f t="shared" si="26"/>
        <v>0</v>
      </c>
      <c r="AC67" s="8">
        <f t="shared" si="27"/>
        <v>0</v>
      </c>
      <c r="AD67" s="8">
        <f t="shared" si="28"/>
        <v>24</v>
      </c>
      <c r="AE67" s="8">
        <f t="shared" si="29"/>
        <v>600000</v>
      </c>
      <c r="AG67" s="8">
        <v>61</v>
      </c>
      <c r="AH67" s="8">
        <f t="shared" si="7"/>
        <v>75000</v>
      </c>
      <c r="AI67" s="8">
        <f t="shared" si="8"/>
        <v>76666.666666666672</v>
      </c>
      <c r="AJ67" s="8">
        <f t="shared" si="9"/>
        <v>97500</v>
      </c>
      <c r="AK67" s="8">
        <f t="shared" si="10"/>
        <v>138750</v>
      </c>
      <c r="AL67" s="8">
        <f t="shared" si="11"/>
        <v>206250</v>
      </c>
    </row>
    <row r="68" spans="9:38" x14ac:dyDescent="0.15">
      <c r="J68" s="8"/>
      <c r="K68" s="8"/>
      <c r="L68" s="8"/>
      <c r="M68" s="8"/>
      <c r="N68" s="8">
        <v>6</v>
      </c>
      <c r="P68" s="8"/>
      <c r="Q68" s="8"/>
      <c r="R68" s="8"/>
      <c r="S68" s="8"/>
      <c r="T68" s="8">
        <v>7</v>
      </c>
      <c r="V68" s="8">
        <v>82</v>
      </c>
      <c r="W68" s="8">
        <f>INDEX(节奏总纲!T:T,MATCH(V68,节奏总纲!O:O,0))</f>
        <v>83.230965201704336</v>
      </c>
      <c r="X68" s="8">
        <f t="shared" si="30"/>
        <v>31.475406106374457</v>
      </c>
      <c r="Z68" s="8">
        <f t="shared" si="24"/>
        <v>0</v>
      </c>
      <c r="AA68" s="8">
        <f t="shared" si="25"/>
        <v>0</v>
      </c>
      <c r="AB68" s="8">
        <f t="shared" si="26"/>
        <v>0</v>
      </c>
      <c r="AC68" s="8">
        <f t="shared" si="27"/>
        <v>0</v>
      </c>
      <c r="AD68" s="8">
        <f t="shared" si="28"/>
        <v>48</v>
      </c>
      <c r="AE68" s="8">
        <f t="shared" si="29"/>
        <v>1200000</v>
      </c>
      <c r="AG68" s="8">
        <v>62</v>
      </c>
      <c r="AH68" s="8">
        <f t="shared" si="7"/>
        <v>80000</v>
      </c>
      <c r="AI68" s="8">
        <f t="shared" si="8"/>
        <v>77222.222222222219</v>
      </c>
      <c r="AJ68" s="8">
        <f t="shared" si="9"/>
        <v>105000</v>
      </c>
      <c r="AK68" s="8">
        <f t="shared" si="10"/>
        <v>142500</v>
      </c>
      <c r="AL68" s="8">
        <f t="shared" si="11"/>
        <v>225000</v>
      </c>
    </row>
    <row r="69" spans="9:38" x14ac:dyDescent="0.15">
      <c r="AG69" s="8">
        <v>63</v>
      </c>
      <c r="AH69" s="8">
        <f t="shared" si="7"/>
        <v>85000</v>
      </c>
      <c r="AI69" s="8">
        <f t="shared" si="8"/>
        <v>77777.777777777781</v>
      </c>
      <c r="AJ69" s="8">
        <f t="shared" si="9"/>
        <v>112500</v>
      </c>
      <c r="AK69" s="8">
        <f t="shared" si="10"/>
        <v>146250</v>
      </c>
      <c r="AL69" s="8">
        <f t="shared" si="11"/>
        <v>243750</v>
      </c>
    </row>
    <row r="70" spans="9:38" x14ac:dyDescent="0.15">
      <c r="J70" s="173" t="s">
        <v>89</v>
      </c>
      <c r="K70" s="173"/>
      <c r="L70" s="173"/>
      <c r="M70" s="173"/>
      <c r="N70" s="173"/>
      <c r="P70" s="173" t="s">
        <v>90</v>
      </c>
      <c r="Q70" s="173"/>
      <c r="R70" s="173"/>
      <c r="S70" s="173"/>
      <c r="T70" s="173"/>
      <c r="Z70" s="173" t="s">
        <v>101</v>
      </c>
      <c r="AA70" s="173"/>
      <c r="AB70" s="173"/>
      <c r="AC70" s="173"/>
      <c r="AD70" s="173"/>
      <c r="AE70" s="10"/>
      <c r="AG70" s="8">
        <v>64</v>
      </c>
      <c r="AH70" s="8">
        <f t="shared" si="7"/>
        <v>90000</v>
      </c>
      <c r="AI70" s="8">
        <f t="shared" si="8"/>
        <v>78333.333333333328</v>
      </c>
      <c r="AJ70" s="8">
        <f t="shared" si="9"/>
        <v>133333.33333333334</v>
      </c>
      <c r="AK70" s="8">
        <f t="shared" si="10"/>
        <v>150000</v>
      </c>
      <c r="AL70" s="8">
        <f t="shared" si="11"/>
        <v>262500</v>
      </c>
    </row>
    <row r="71" spans="9:38" x14ac:dyDescent="0.15">
      <c r="I71" s="4" t="s">
        <v>108</v>
      </c>
      <c r="J71" s="8" t="s">
        <v>85</v>
      </c>
      <c r="K71" s="8" t="s">
        <v>86</v>
      </c>
      <c r="L71" s="8" t="s">
        <v>87</v>
      </c>
      <c r="M71" s="8" t="s">
        <v>0</v>
      </c>
      <c r="N71" s="8" t="s">
        <v>88</v>
      </c>
      <c r="P71" s="8" t="s">
        <v>85</v>
      </c>
      <c r="Q71" s="8" t="s">
        <v>86</v>
      </c>
      <c r="R71" s="8" t="s">
        <v>87</v>
      </c>
      <c r="S71" s="8" t="s">
        <v>0</v>
      </c>
      <c r="T71" s="8" t="s">
        <v>88</v>
      </c>
      <c r="V71" s="8" t="s">
        <v>102</v>
      </c>
      <c r="W71" s="8" t="s">
        <v>91</v>
      </c>
      <c r="X71" s="8" t="s">
        <v>95</v>
      </c>
      <c r="Z71" s="8" t="s">
        <v>85</v>
      </c>
      <c r="AA71" s="8" t="s">
        <v>86</v>
      </c>
      <c r="AB71" s="8" t="s">
        <v>87</v>
      </c>
      <c r="AC71" s="8" t="s">
        <v>0</v>
      </c>
      <c r="AD71" s="8" t="s">
        <v>88</v>
      </c>
      <c r="AE71" s="8" t="s">
        <v>94</v>
      </c>
      <c r="AG71" s="8">
        <v>65</v>
      </c>
      <c r="AH71" s="8">
        <f t="shared" si="7"/>
        <v>95000</v>
      </c>
      <c r="AI71" s="8">
        <f t="shared" si="8"/>
        <v>78888.888888888891</v>
      </c>
      <c r="AJ71" s="8">
        <f t="shared" si="9"/>
        <v>154166.66666666666</v>
      </c>
      <c r="AK71" s="8">
        <f t="shared" si="10"/>
        <v>175000</v>
      </c>
      <c r="AL71" s="8">
        <f t="shared" si="11"/>
        <v>281250</v>
      </c>
    </row>
    <row r="72" spans="9:38" x14ac:dyDescent="0.15">
      <c r="J72" s="8"/>
      <c r="K72" s="8"/>
      <c r="L72" s="8">
        <v>0</v>
      </c>
      <c r="M72" s="8">
        <v>6</v>
      </c>
      <c r="N72" s="8"/>
      <c r="P72" s="8"/>
      <c r="Q72" s="8"/>
      <c r="R72" s="8"/>
      <c r="S72" s="8">
        <v>0</v>
      </c>
      <c r="T72" s="8"/>
      <c r="V72" s="8">
        <v>10</v>
      </c>
      <c r="W72" s="8">
        <f>INDEX(节奏总纲!T:T,MATCH(V72,节奏总纲!O:O,0))</f>
        <v>0.2732</v>
      </c>
      <c r="X72" s="8">
        <f>W72</f>
        <v>0.2732</v>
      </c>
      <c r="Z72" s="8">
        <f t="shared" ref="Z72:Z80" si="31">J72*INDEX($D$19:$D$26,P72+1,1)</f>
        <v>0</v>
      </c>
      <c r="AA72" s="8">
        <f t="shared" ref="AA72:AA80" si="32">K72*INDEX($D$19:$D$26,Q72+1,1)</f>
        <v>0</v>
      </c>
      <c r="AB72" s="8">
        <f t="shared" ref="AB72:AB80" si="33">L72*INDEX($D$19:$D$26,R72+1,1)</f>
        <v>0</v>
      </c>
      <c r="AC72" s="8">
        <f t="shared" ref="AC72:AC80" si="34">M72*INDEX($D$19:$D$26,S72+1,1)</f>
        <v>6</v>
      </c>
      <c r="AD72" s="8">
        <f t="shared" ref="AD72:AD80" si="35">N72*INDEX($D$19:$D$26,T72+1,1)</f>
        <v>0</v>
      </c>
      <c r="AE72" s="8">
        <f t="shared" ref="AE72:AE80" si="36">SUMPRODUCT(Z72:AD72,$C$35:$G$35)</f>
        <v>15000</v>
      </c>
      <c r="AG72" s="8">
        <v>66</v>
      </c>
      <c r="AH72" s="8">
        <f t="shared" ref="AH72:AH106" si="37">求节点($V$7:$V$20,$AE$7:$AE$20,AG72)</f>
        <v>100000</v>
      </c>
      <c r="AI72" s="8">
        <f t="shared" ref="AI72:AI106" si="38">求节点($V$27:$V$39,$AE$27:$AE$39,AG72)</f>
        <v>79444.444444444438</v>
      </c>
      <c r="AJ72" s="8">
        <f t="shared" ref="AJ72:AJ106" si="39">求节点($V$43:$V$54,$AE$43:$AE$54,AG72)</f>
        <v>175000</v>
      </c>
      <c r="AK72" s="8">
        <f t="shared" ref="AK72:AK106" si="40">求节点($V$58:$V$68,$AE$58:$AE$68,AG72)</f>
        <v>200000</v>
      </c>
      <c r="AL72" s="8">
        <f t="shared" ref="AL72:AL106" si="41">求节点($V$72:$V$80,$AE$72:$AE$80,AG72)</f>
        <v>300000</v>
      </c>
    </row>
    <row r="73" spans="9:38" x14ac:dyDescent="0.15">
      <c r="J73" s="8"/>
      <c r="K73" s="8"/>
      <c r="L73" s="8"/>
      <c r="M73" s="8">
        <v>6</v>
      </c>
      <c r="N73" s="8"/>
      <c r="P73" s="8"/>
      <c r="Q73" s="8"/>
      <c r="R73" s="8"/>
      <c r="S73" s="8">
        <v>1</v>
      </c>
      <c r="T73" s="8"/>
      <c r="V73" s="8">
        <v>20</v>
      </c>
      <c r="W73" s="8">
        <f>INDEX(节奏总纲!T:T,MATCH(V73,节奏总纲!O:O,0))</f>
        <v>0.87990000000000002</v>
      </c>
      <c r="X73" s="8">
        <f>W73-W72</f>
        <v>0.60670000000000002</v>
      </c>
      <c r="Z73" s="8">
        <f t="shared" si="31"/>
        <v>0</v>
      </c>
      <c r="AA73" s="8">
        <f t="shared" si="32"/>
        <v>0</v>
      </c>
      <c r="AB73" s="8">
        <f t="shared" si="33"/>
        <v>0</v>
      </c>
      <c r="AC73" s="8">
        <f t="shared" si="34"/>
        <v>12</v>
      </c>
      <c r="AD73" s="8">
        <f t="shared" si="35"/>
        <v>0</v>
      </c>
      <c r="AE73" s="8">
        <f t="shared" si="36"/>
        <v>30000</v>
      </c>
      <c r="AG73" s="8">
        <v>67</v>
      </c>
      <c r="AH73" s="8">
        <f t="shared" si="37"/>
        <v>105000</v>
      </c>
      <c r="AI73" s="8">
        <f t="shared" si="38"/>
        <v>80000</v>
      </c>
      <c r="AJ73" s="8">
        <f t="shared" si="39"/>
        <v>195833.33333333331</v>
      </c>
      <c r="AK73" s="8">
        <f t="shared" si="40"/>
        <v>225000</v>
      </c>
      <c r="AL73" s="8">
        <f t="shared" si="41"/>
        <v>350000</v>
      </c>
    </row>
    <row r="74" spans="9:38" x14ac:dyDescent="0.15">
      <c r="J74" s="8"/>
      <c r="K74" s="8"/>
      <c r="L74" s="8"/>
      <c r="M74" s="8">
        <v>6</v>
      </c>
      <c r="N74" s="8"/>
      <c r="P74" s="8"/>
      <c r="Q74" s="8"/>
      <c r="R74" s="8"/>
      <c r="S74" s="8">
        <v>3</v>
      </c>
      <c r="T74" s="8"/>
      <c r="V74" s="8">
        <v>30</v>
      </c>
      <c r="W74" s="8">
        <f>INDEX(节奏总纲!T:T,MATCH(V74,节奏总纲!O:O,0))</f>
        <v>2.1006999999999998</v>
      </c>
      <c r="X74" s="8">
        <f t="shared" ref="X74:X80" si="42">W74-W73</f>
        <v>1.2207999999999997</v>
      </c>
      <c r="Z74" s="8">
        <f t="shared" si="31"/>
        <v>0</v>
      </c>
      <c r="AA74" s="8">
        <f t="shared" si="32"/>
        <v>0</v>
      </c>
      <c r="AB74" s="8">
        <f t="shared" si="33"/>
        <v>0</v>
      </c>
      <c r="AC74" s="8">
        <f t="shared" si="34"/>
        <v>24</v>
      </c>
      <c r="AD74" s="8">
        <f t="shared" si="35"/>
        <v>0</v>
      </c>
      <c r="AE74" s="8">
        <f t="shared" si="36"/>
        <v>60000</v>
      </c>
      <c r="AG74" s="8">
        <v>68</v>
      </c>
      <c r="AH74" s="8">
        <f t="shared" si="37"/>
        <v>25000</v>
      </c>
      <c r="AI74" s="8">
        <f t="shared" si="38"/>
        <v>150000</v>
      </c>
      <c r="AJ74" s="8">
        <f t="shared" si="39"/>
        <v>216666.66666666666</v>
      </c>
      <c r="AK74" s="8">
        <f t="shared" si="40"/>
        <v>250000</v>
      </c>
      <c r="AL74" s="8">
        <f t="shared" si="41"/>
        <v>400000</v>
      </c>
    </row>
    <row r="75" spans="9:38" x14ac:dyDescent="0.15">
      <c r="J75" s="8"/>
      <c r="K75" s="8"/>
      <c r="L75" s="8"/>
      <c r="M75" s="8">
        <v>5</v>
      </c>
      <c r="N75" s="8">
        <v>1</v>
      </c>
      <c r="P75" s="8"/>
      <c r="Q75" s="8"/>
      <c r="R75" s="8"/>
      <c r="S75" s="8">
        <v>4</v>
      </c>
      <c r="T75" s="8">
        <v>0</v>
      </c>
      <c r="V75" s="8">
        <v>40</v>
      </c>
      <c r="W75" s="8">
        <f>INDEX(节奏总纲!T:T,MATCH(V75,节奏总纲!O:O,0))</f>
        <v>4.5</v>
      </c>
      <c r="X75" s="8">
        <f t="shared" si="42"/>
        <v>2.3993000000000002</v>
      </c>
      <c r="Z75" s="8">
        <f t="shared" si="31"/>
        <v>0</v>
      </c>
      <c r="AA75" s="8">
        <f t="shared" si="32"/>
        <v>0</v>
      </c>
      <c r="AB75" s="8">
        <f t="shared" si="33"/>
        <v>0</v>
      </c>
      <c r="AC75" s="8">
        <f t="shared" si="34"/>
        <v>25</v>
      </c>
      <c r="AD75" s="8">
        <f t="shared" si="35"/>
        <v>1</v>
      </c>
      <c r="AE75" s="8">
        <f t="shared" si="36"/>
        <v>87500</v>
      </c>
      <c r="AG75" s="8">
        <v>69</v>
      </c>
      <c r="AH75" s="8">
        <f t="shared" si="37"/>
        <v>28571.428571428572</v>
      </c>
      <c r="AI75" s="8">
        <f t="shared" si="38"/>
        <v>135714.28571428571</v>
      </c>
      <c r="AJ75" s="8">
        <f t="shared" si="39"/>
        <v>237500</v>
      </c>
      <c r="AK75" s="8">
        <f t="shared" si="40"/>
        <v>275000</v>
      </c>
      <c r="AL75" s="8">
        <f t="shared" si="41"/>
        <v>450000</v>
      </c>
    </row>
    <row r="76" spans="9:38" x14ac:dyDescent="0.15">
      <c r="J76" s="8"/>
      <c r="K76" s="8"/>
      <c r="L76" s="8"/>
      <c r="M76" s="8">
        <v>3</v>
      </c>
      <c r="N76" s="8">
        <v>3</v>
      </c>
      <c r="P76" s="8"/>
      <c r="Q76" s="8"/>
      <c r="R76" s="8"/>
      <c r="S76" s="8">
        <v>6</v>
      </c>
      <c r="T76" s="8">
        <v>0</v>
      </c>
      <c r="V76" s="8">
        <v>50</v>
      </c>
      <c r="W76" s="8">
        <f>INDEX(节奏总纲!T:T,MATCH(V76,节奏总纲!O:O,0))</f>
        <v>9.1883999999999997</v>
      </c>
      <c r="X76" s="8">
        <f t="shared" si="42"/>
        <v>4.6883999999999997</v>
      </c>
      <c r="Z76" s="8">
        <f t="shared" si="31"/>
        <v>0</v>
      </c>
      <c r="AA76" s="8">
        <f t="shared" si="32"/>
        <v>0</v>
      </c>
      <c r="AB76" s="8">
        <f t="shared" si="33"/>
        <v>0</v>
      </c>
      <c r="AC76" s="8">
        <f t="shared" si="34"/>
        <v>21</v>
      </c>
      <c r="AD76" s="8">
        <f t="shared" si="35"/>
        <v>3</v>
      </c>
      <c r="AE76" s="8">
        <f t="shared" si="36"/>
        <v>127500</v>
      </c>
      <c r="AG76" s="8">
        <v>70</v>
      </c>
      <c r="AH76" s="8">
        <f t="shared" si="37"/>
        <v>32142.857142857145</v>
      </c>
      <c r="AI76" s="8">
        <f t="shared" si="38"/>
        <v>121428.57142857142</v>
      </c>
      <c r="AJ76" s="8">
        <f t="shared" si="39"/>
        <v>247916.66666666666</v>
      </c>
      <c r="AK76" s="8">
        <f t="shared" si="40"/>
        <v>300000</v>
      </c>
      <c r="AL76" s="8">
        <f t="shared" si="41"/>
        <v>500000</v>
      </c>
    </row>
    <row r="77" spans="9:38" x14ac:dyDescent="0.15">
      <c r="J77" s="8"/>
      <c r="K77" s="8"/>
      <c r="L77" s="8"/>
      <c r="M77" s="8"/>
      <c r="N77" s="8">
        <v>6</v>
      </c>
      <c r="P77" s="8"/>
      <c r="Q77" s="8"/>
      <c r="R77" s="8"/>
      <c r="S77" s="8"/>
      <c r="T77" s="8">
        <v>0</v>
      </c>
      <c r="V77" s="8">
        <v>58</v>
      </c>
      <c r="W77" s="8">
        <f>INDEX(节奏总纲!T:T,MATCH(V77,节奏总纲!O:O,0))</f>
        <v>15.856475407565867</v>
      </c>
      <c r="X77" s="8">
        <f t="shared" si="42"/>
        <v>6.6680754075658673</v>
      </c>
      <c r="Z77" s="8">
        <f t="shared" si="31"/>
        <v>0</v>
      </c>
      <c r="AA77" s="8">
        <f t="shared" si="32"/>
        <v>0</v>
      </c>
      <c r="AB77" s="8">
        <f t="shared" si="33"/>
        <v>0</v>
      </c>
      <c r="AC77" s="8">
        <f t="shared" si="34"/>
        <v>0</v>
      </c>
      <c r="AD77" s="8">
        <f t="shared" si="35"/>
        <v>6</v>
      </c>
      <c r="AE77" s="8">
        <f t="shared" si="36"/>
        <v>150000</v>
      </c>
      <c r="AG77" s="8">
        <v>71</v>
      </c>
      <c r="AH77" s="8">
        <f t="shared" si="37"/>
        <v>35714.28571428571</v>
      </c>
      <c r="AI77" s="8">
        <f t="shared" si="38"/>
        <v>107142.85714285714</v>
      </c>
      <c r="AJ77" s="8">
        <f t="shared" si="39"/>
        <v>258333.33333333334</v>
      </c>
      <c r="AK77" s="8">
        <f t="shared" si="40"/>
        <v>360000</v>
      </c>
      <c r="AL77" s="8">
        <f t="shared" si="41"/>
        <v>550000</v>
      </c>
    </row>
    <row r="78" spans="9:38" x14ac:dyDescent="0.15">
      <c r="J78" s="8"/>
      <c r="K78" s="8"/>
      <c r="L78" s="8"/>
      <c r="M78" s="8"/>
      <c r="N78" s="8">
        <v>6</v>
      </c>
      <c r="P78" s="8"/>
      <c r="Q78" s="8"/>
      <c r="R78" s="8"/>
      <c r="S78" s="8"/>
      <c r="T78" s="8">
        <v>1</v>
      </c>
      <c r="V78" s="8">
        <v>66</v>
      </c>
      <c r="W78" s="8">
        <f>INDEX(节奏总纲!T:T,MATCH(V78,节奏总纲!O:O,0))</f>
        <v>27.851300060458648</v>
      </c>
      <c r="X78" s="8">
        <f t="shared" si="42"/>
        <v>11.994824652892781</v>
      </c>
      <c r="Z78" s="8">
        <f t="shared" si="31"/>
        <v>0</v>
      </c>
      <c r="AA78" s="8">
        <f t="shared" si="32"/>
        <v>0</v>
      </c>
      <c r="AB78" s="8">
        <f t="shared" si="33"/>
        <v>0</v>
      </c>
      <c r="AC78" s="8">
        <f t="shared" si="34"/>
        <v>0</v>
      </c>
      <c r="AD78" s="8">
        <f t="shared" si="35"/>
        <v>12</v>
      </c>
      <c r="AE78" s="8">
        <f t="shared" si="36"/>
        <v>300000</v>
      </c>
      <c r="AG78" s="8">
        <v>72</v>
      </c>
      <c r="AH78" s="8">
        <f t="shared" si="37"/>
        <v>39285.71428571429</v>
      </c>
      <c r="AI78" s="8">
        <f t="shared" si="38"/>
        <v>92857.142857142855</v>
      </c>
      <c r="AJ78" s="8">
        <f t="shared" si="39"/>
        <v>268750</v>
      </c>
      <c r="AK78" s="8">
        <f t="shared" si="40"/>
        <v>420000</v>
      </c>
      <c r="AL78" s="8">
        <f t="shared" si="41"/>
        <v>600000</v>
      </c>
    </row>
    <row r="79" spans="9:38" x14ac:dyDescent="0.15">
      <c r="J79" s="8"/>
      <c r="K79" s="8"/>
      <c r="L79" s="8"/>
      <c r="M79" s="8"/>
      <c r="N79" s="8">
        <v>6</v>
      </c>
      <c r="P79" s="8"/>
      <c r="Q79" s="8"/>
      <c r="R79" s="8"/>
      <c r="S79" s="8"/>
      <c r="T79" s="8">
        <v>3</v>
      </c>
      <c r="V79" s="8">
        <v>72</v>
      </c>
      <c r="W79" s="8">
        <f>INDEX(节奏总纲!T:T,MATCH(V79,节奏总纲!O:O,0))</f>
        <v>41.896979430227098</v>
      </c>
      <c r="X79" s="8">
        <f t="shared" si="42"/>
        <v>14.04567936976845</v>
      </c>
      <c r="Z79" s="8">
        <f t="shared" si="31"/>
        <v>0</v>
      </c>
      <c r="AA79" s="8">
        <f t="shared" si="32"/>
        <v>0</v>
      </c>
      <c r="AB79" s="8">
        <f t="shared" si="33"/>
        <v>0</v>
      </c>
      <c r="AC79" s="8">
        <f t="shared" si="34"/>
        <v>0</v>
      </c>
      <c r="AD79" s="8">
        <f t="shared" si="35"/>
        <v>24</v>
      </c>
      <c r="AE79" s="8">
        <f t="shared" si="36"/>
        <v>600000</v>
      </c>
      <c r="AG79" s="8">
        <v>73</v>
      </c>
      <c r="AH79" s="8">
        <f t="shared" si="37"/>
        <v>42857.142857142855</v>
      </c>
      <c r="AI79" s="8">
        <f t="shared" si="38"/>
        <v>78571.428571428565</v>
      </c>
      <c r="AJ79" s="8">
        <f t="shared" si="39"/>
        <v>279166.66666666669</v>
      </c>
      <c r="AK79" s="8">
        <f t="shared" si="40"/>
        <v>480000</v>
      </c>
      <c r="AL79" s="8">
        <f t="shared" si="41"/>
        <v>720000</v>
      </c>
    </row>
    <row r="80" spans="9:38" x14ac:dyDescent="0.15">
      <c r="J80" s="8"/>
      <c r="K80" s="8"/>
      <c r="L80" s="8"/>
      <c r="M80" s="8"/>
      <c r="N80" s="8">
        <v>6</v>
      </c>
      <c r="P80" s="8"/>
      <c r="Q80" s="8"/>
      <c r="R80" s="8"/>
      <c r="S80" s="8"/>
      <c r="T80" s="8">
        <v>7</v>
      </c>
      <c r="V80" s="8">
        <v>77</v>
      </c>
      <c r="W80" s="8">
        <f>INDEX(节奏总纲!T:T,MATCH(V80,节奏总纲!O:O,0))</f>
        <v>59.535663694512365</v>
      </c>
      <c r="X80" s="8">
        <f t="shared" si="42"/>
        <v>17.638684264285267</v>
      </c>
      <c r="Z80" s="8">
        <f t="shared" si="31"/>
        <v>0</v>
      </c>
      <c r="AA80" s="8">
        <f t="shared" si="32"/>
        <v>0</v>
      </c>
      <c r="AB80" s="8">
        <f t="shared" si="33"/>
        <v>0</v>
      </c>
      <c r="AC80" s="8">
        <f t="shared" si="34"/>
        <v>0</v>
      </c>
      <c r="AD80" s="8">
        <f t="shared" si="35"/>
        <v>48</v>
      </c>
      <c r="AE80" s="8">
        <f t="shared" si="36"/>
        <v>1200000</v>
      </c>
      <c r="AG80" s="8">
        <v>74</v>
      </c>
      <c r="AH80" s="8">
        <f t="shared" si="37"/>
        <v>46428.571428571428</v>
      </c>
      <c r="AI80" s="8">
        <f t="shared" si="38"/>
        <v>64285.71428571429</v>
      </c>
      <c r="AJ80" s="8">
        <f t="shared" si="39"/>
        <v>289583.33333333331</v>
      </c>
      <c r="AK80" s="8">
        <f t="shared" si="40"/>
        <v>540000</v>
      </c>
      <c r="AL80" s="8">
        <f t="shared" si="41"/>
        <v>840000</v>
      </c>
    </row>
    <row r="81" spans="9:38" x14ac:dyDescent="0.15">
      <c r="AG81" s="8">
        <v>75</v>
      </c>
      <c r="AH81" s="8">
        <f t="shared" si="37"/>
        <v>50000</v>
      </c>
      <c r="AI81" s="8">
        <f t="shared" si="38"/>
        <v>50000</v>
      </c>
      <c r="AJ81" s="8">
        <f t="shared" si="39"/>
        <v>300000</v>
      </c>
      <c r="AK81" s="8">
        <f t="shared" si="40"/>
        <v>600000</v>
      </c>
      <c r="AL81" s="8">
        <f t="shared" si="41"/>
        <v>960000</v>
      </c>
    </row>
    <row r="82" spans="9:38" x14ac:dyDescent="0.15">
      <c r="AG82" s="8">
        <v>76</v>
      </c>
      <c r="AH82" s="8">
        <f t="shared" si="37"/>
        <v>55000</v>
      </c>
      <c r="AI82" s="8">
        <f t="shared" si="38"/>
        <v>55000</v>
      </c>
      <c r="AJ82" s="8">
        <f t="shared" si="39"/>
        <v>316666.66666666669</v>
      </c>
      <c r="AK82" s="8">
        <f t="shared" si="40"/>
        <v>685714.28571428568</v>
      </c>
      <c r="AL82" s="8">
        <f t="shared" si="41"/>
        <v>1080000</v>
      </c>
    </row>
    <row r="83" spans="9:38" x14ac:dyDescent="0.15">
      <c r="AG83" s="8">
        <v>77</v>
      </c>
      <c r="AH83" s="8">
        <f t="shared" si="37"/>
        <v>60000</v>
      </c>
      <c r="AI83" s="8">
        <f t="shared" si="38"/>
        <v>60000</v>
      </c>
      <c r="AJ83" s="8">
        <f t="shared" si="39"/>
        <v>333333.33333333331</v>
      </c>
      <c r="AK83" s="8">
        <f t="shared" si="40"/>
        <v>771428.57142857136</v>
      </c>
      <c r="AL83" s="8">
        <f t="shared" si="41"/>
        <v>1200000</v>
      </c>
    </row>
    <row r="84" spans="9:38" x14ac:dyDescent="0.15">
      <c r="AG84" s="8">
        <v>78</v>
      </c>
      <c r="AH84" s="8">
        <f t="shared" si="37"/>
        <v>65000</v>
      </c>
      <c r="AI84" s="8">
        <f t="shared" si="38"/>
        <v>65000</v>
      </c>
      <c r="AJ84" s="8">
        <f t="shared" si="39"/>
        <v>350000</v>
      </c>
      <c r="AK84" s="8">
        <f t="shared" si="40"/>
        <v>857142.85714285716</v>
      </c>
      <c r="AL84" s="8">
        <f t="shared" si="41"/>
        <v>1200000</v>
      </c>
    </row>
    <row r="85" spans="9:38" x14ac:dyDescent="0.15">
      <c r="AG85" s="8">
        <v>79</v>
      </c>
      <c r="AH85" s="8">
        <f t="shared" si="37"/>
        <v>70000</v>
      </c>
      <c r="AI85" s="8">
        <f t="shared" si="38"/>
        <v>70000</v>
      </c>
      <c r="AJ85" s="8">
        <f t="shared" si="39"/>
        <v>366666.66666666669</v>
      </c>
      <c r="AK85" s="8">
        <f t="shared" si="40"/>
        <v>942857.14285714284</v>
      </c>
      <c r="AL85" s="8">
        <f t="shared" si="41"/>
        <v>1200000</v>
      </c>
    </row>
    <row r="86" spans="9:38" x14ac:dyDescent="0.15">
      <c r="AG86" s="8">
        <v>80</v>
      </c>
      <c r="AH86" s="8">
        <f t="shared" si="37"/>
        <v>75000</v>
      </c>
      <c r="AI86" s="8">
        <f t="shared" si="38"/>
        <v>75000</v>
      </c>
      <c r="AJ86" s="8">
        <f t="shared" si="39"/>
        <v>383333.33333333337</v>
      </c>
      <c r="AK86" s="8">
        <f t="shared" si="40"/>
        <v>1028571.4285714285</v>
      </c>
      <c r="AL86" s="8">
        <f t="shared" si="41"/>
        <v>1200000</v>
      </c>
    </row>
    <row r="87" spans="9:38" x14ac:dyDescent="0.15">
      <c r="AG87" s="8">
        <v>81</v>
      </c>
      <c r="AH87" s="8">
        <f t="shared" si="37"/>
        <v>81250</v>
      </c>
      <c r="AI87" s="8">
        <f t="shared" si="38"/>
        <v>81250</v>
      </c>
      <c r="AJ87" s="8">
        <f t="shared" si="39"/>
        <v>400000</v>
      </c>
      <c r="AK87" s="8">
        <f t="shared" si="40"/>
        <v>1114285.7142857143</v>
      </c>
      <c r="AL87" s="8">
        <f t="shared" si="41"/>
        <v>1200000</v>
      </c>
    </row>
    <row r="88" spans="9:38" x14ac:dyDescent="0.15">
      <c r="AG88" s="8">
        <v>82</v>
      </c>
      <c r="AH88" s="8">
        <f t="shared" si="37"/>
        <v>87500</v>
      </c>
      <c r="AI88" s="8">
        <f t="shared" si="38"/>
        <v>87500</v>
      </c>
      <c r="AJ88" s="8">
        <f t="shared" si="39"/>
        <v>416666.66666666669</v>
      </c>
      <c r="AK88" s="8">
        <f t="shared" si="40"/>
        <v>1200000</v>
      </c>
      <c r="AL88" s="8">
        <f t="shared" si="41"/>
        <v>1200000</v>
      </c>
    </row>
    <row r="89" spans="9:38" x14ac:dyDescent="0.15">
      <c r="AG89" s="8">
        <v>83</v>
      </c>
      <c r="AH89" s="8">
        <f t="shared" si="37"/>
        <v>93750</v>
      </c>
      <c r="AI89" s="8">
        <f t="shared" si="38"/>
        <v>93750</v>
      </c>
      <c r="AJ89" s="8">
        <f t="shared" si="39"/>
        <v>433333.33333333337</v>
      </c>
      <c r="AK89" s="8">
        <f t="shared" si="40"/>
        <v>1200000</v>
      </c>
      <c r="AL89" s="8">
        <f t="shared" si="41"/>
        <v>1200000</v>
      </c>
    </row>
    <row r="90" spans="9:38" x14ac:dyDescent="0.15">
      <c r="AG90" s="8">
        <v>84</v>
      </c>
      <c r="AH90" s="8">
        <f t="shared" si="37"/>
        <v>100000</v>
      </c>
      <c r="AI90" s="8">
        <f t="shared" si="38"/>
        <v>100000</v>
      </c>
      <c r="AJ90" s="8">
        <f t="shared" si="39"/>
        <v>450000</v>
      </c>
      <c r="AK90" s="8">
        <f t="shared" si="40"/>
        <v>1200000</v>
      </c>
      <c r="AL90" s="8">
        <f t="shared" si="41"/>
        <v>1200000</v>
      </c>
    </row>
    <row r="91" spans="9:38" x14ac:dyDescent="0.15">
      <c r="I91" s="4">
        <v>6</v>
      </c>
      <c r="AG91" s="8">
        <v>85</v>
      </c>
      <c r="AH91" s="8">
        <f t="shared" si="37"/>
        <v>106250</v>
      </c>
      <c r="AI91" s="8">
        <f t="shared" si="38"/>
        <v>106250</v>
      </c>
      <c r="AJ91" s="8">
        <f t="shared" si="39"/>
        <v>492857.14285714284</v>
      </c>
      <c r="AK91" s="8">
        <f t="shared" si="40"/>
        <v>1200000</v>
      </c>
      <c r="AL91" s="8">
        <f t="shared" si="41"/>
        <v>1200000</v>
      </c>
    </row>
    <row r="92" spans="9:38" x14ac:dyDescent="0.15">
      <c r="AG92" s="8">
        <v>86</v>
      </c>
      <c r="AH92" s="8">
        <f t="shared" si="37"/>
        <v>112500</v>
      </c>
      <c r="AI92" s="8">
        <f t="shared" si="38"/>
        <v>112500</v>
      </c>
      <c r="AJ92" s="8">
        <f t="shared" si="39"/>
        <v>535714.28571428568</v>
      </c>
      <c r="AK92" s="8">
        <f t="shared" si="40"/>
        <v>1200000</v>
      </c>
      <c r="AL92" s="8">
        <f t="shared" si="41"/>
        <v>1200000</v>
      </c>
    </row>
    <row r="93" spans="9:38" x14ac:dyDescent="0.15">
      <c r="AG93" s="8">
        <v>87</v>
      </c>
      <c r="AH93" s="8">
        <f t="shared" si="37"/>
        <v>118750</v>
      </c>
      <c r="AI93" s="8">
        <f t="shared" si="38"/>
        <v>118750</v>
      </c>
      <c r="AJ93" s="8">
        <f t="shared" si="39"/>
        <v>578571.42857142852</v>
      </c>
      <c r="AK93" s="8">
        <f t="shared" si="40"/>
        <v>1200000</v>
      </c>
      <c r="AL93" s="8">
        <f t="shared" si="41"/>
        <v>1200000</v>
      </c>
    </row>
    <row r="94" spans="9:38" x14ac:dyDescent="0.15">
      <c r="AG94" s="8">
        <v>88</v>
      </c>
      <c r="AH94" s="8">
        <f t="shared" si="37"/>
        <v>125000</v>
      </c>
      <c r="AI94" s="8">
        <f t="shared" si="38"/>
        <v>125000</v>
      </c>
      <c r="AJ94" s="8">
        <f t="shared" si="39"/>
        <v>621428.57142857136</v>
      </c>
      <c r="AK94" s="8">
        <f t="shared" si="40"/>
        <v>1200000</v>
      </c>
      <c r="AL94" s="8">
        <f t="shared" si="41"/>
        <v>1200000</v>
      </c>
    </row>
    <row r="95" spans="9:38" x14ac:dyDescent="0.15">
      <c r="AG95" s="8">
        <v>89</v>
      </c>
      <c r="AH95" s="8">
        <f t="shared" si="37"/>
        <v>133333.33333333334</v>
      </c>
      <c r="AI95" s="8">
        <f t="shared" si="38"/>
        <v>133333.33333333334</v>
      </c>
      <c r="AJ95" s="8">
        <f t="shared" si="39"/>
        <v>664285.71428571432</v>
      </c>
      <c r="AK95" s="8">
        <f t="shared" si="40"/>
        <v>1200000</v>
      </c>
      <c r="AL95" s="8">
        <f t="shared" si="41"/>
        <v>1200000</v>
      </c>
    </row>
    <row r="96" spans="9:38" x14ac:dyDescent="0.15">
      <c r="AG96" s="8">
        <v>90</v>
      </c>
      <c r="AH96" s="8">
        <f t="shared" si="37"/>
        <v>141666.66666666666</v>
      </c>
      <c r="AI96" s="8">
        <f t="shared" si="38"/>
        <v>141666.66666666666</v>
      </c>
      <c r="AJ96" s="8">
        <f t="shared" si="39"/>
        <v>707142.85714285716</v>
      </c>
      <c r="AK96" s="8">
        <f t="shared" si="40"/>
        <v>1200000</v>
      </c>
      <c r="AL96" s="8">
        <f t="shared" si="41"/>
        <v>1200000</v>
      </c>
    </row>
    <row r="97" spans="33:38" x14ac:dyDescent="0.15">
      <c r="AG97" s="8">
        <v>91</v>
      </c>
      <c r="AH97" s="8">
        <f t="shared" si="37"/>
        <v>150000</v>
      </c>
      <c r="AI97" s="8">
        <f t="shared" si="38"/>
        <v>150000</v>
      </c>
      <c r="AJ97" s="8">
        <f t="shared" si="39"/>
        <v>750000</v>
      </c>
      <c r="AK97" s="8">
        <f t="shared" si="40"/>
        <v>1200000</v>
      </c>
      <c r="AL97" s="8">
        <f t="shared" si="41"/>
        <v>1200000</v>
      </c>
    </row>
    <row r="98" spans="33:38" x14ac:dyDescent="0.15">
      <c r="AG98" s="8">
        <v>92</v>
      </c>
      <c r="AH98" s="8">
        <f t="shared" si="37"/>
        <v>150000</v>
      </c>
      <c r="AI98" s="8">
        <f t="shared" si="38"/>
        <v>150000</v>
      </c>
      <c r="AJ98" s="8">
        <f t="shared" si="39"/>
        <v>750000</v>
      </c>
      <c r="AK98" s="8">
        <f t="shared" si="40"/>
        <v>1200000</v>
      </c>
      <c r="AL98" s="8">
        <f t="shared" si="41"/>
        <v>1200000</v>
      </c>
    </row>
    <row r="99" spans="33:38" x14ac:dyDescent="0.15">
      <c r="AG99" s="8">
        <v>93</v>
      </c>
      <c r="AH99" s="8">
        <f t="shared" si="37"/>
        <v>150000</v>
      </c>
      <c r="AI99" s="8">
        <f t="shared" si="38"/>
        <v>150000</v>
      </c>
      <c r="AJ99" s="8">
        <f t="shared" si="39"/>
        <v>750000</v>
      </c>
      <c r="AK99" s="8">
        <f t="shared" si="40"/>
        <v>1200000</v>
      </c>
      <c r="AL99" s="8">
        <f t="shared" si="41"/>
        <v>1200000</v>
      </c>
    </row>
    <row r="100" spans="33:38" x14ac:dyDescent="0.15">
      <c r="AG100" s="8">
        <v>94</v>
      </c>
      <c r="AH100" s="8">
        <f t="shared" si="37"/>
        <v>150000</v>
      </c>
      <c r="AI100" s="8">
        <f t="shared" si="38"/>
        <v>150000</v>
      </c>
      <c r="AJ100" s="8">
        <f t="shared" si="39"/>
        <v>750000</v>
      </c>
      <c r="AK100" s="8">
        <f t="shared" si="40"/>
        <v>1200000</v>
      </c>
      <c r="AL100" s="8">
        <f t="shared" si="41"/>
        <v>1200000</v>
      </c>
    </row>
    <row r="101" spans="33:38" x14ac:dyDescent="0.15">
      <c r="AG101" s="8">
        <v>95</v>
      </c>
      <c r="AH101" s="8">
        <f t="shared" si="37"/>
        <v>150000</v>
      </c>
      <c r="AI101" s="8">
        <f t="shared" si="38"/>
        <v>150000</v>
      </c>
      <c r="AJ101" s="8">
        <f t="shared" si="39"/>
        <v>750000</v>
      </c>
      <c r="AK101" s="8">
        <f t="shared" si="40"/>
        <v>1200000</v>
      </c>
      <c r="AL101" s="8">
        <f t="shared" si="41"/>
        <v>1200000</v>
      </c>
    </row>
    <row r="102" spans="33:38" x14ac:dyDescent="0.15">
      <c r="AG102" s="8">
        <v>96</v>
      </c>
      <c r="AH102" s="8">
        <f t="shared" si="37"/>
        <v>150000</v>
      </c>
      <c r="AI102" s="8">
        <f t="shared" si="38"/>
        <v>150000</v>
      </c>
      <c r="AJ102" s="8">
        <f t="shared" si="39"/>
        <v>750000</v>
      </c>
      <c r="AK102" s="8">
        <f t="shared" si="40"/>
        <v>1200000</v>
      </c>
      <c r="AL102" s="8">
        <f t="shared" si="41"/>
        <v>1200000</v>
      </c>
    </row>
    <row r="103" spans="33:38" x14ac:dyDescent="0.15">
      <c r="AG103" s="8">
        <v>97</v>
      </c>
      <c r="AH103" s="8">
        <f t="shared" si="37"/>
        <v>150000</v>
      </c>
      <c r="AI103" s="8">
        <f t="shared" si="38"/>
        <v>150000</v>
      </c>
      <c r="AJ103" s="8">
        <f t="shared" si="39"/>
        <v>750000</v>
      </c>
      <c r="AK103" s="8">
        <f t="shared" si="40"/>
        <v>1200000</v>
      </c>
      <c r="AL103" s="8">
        <f t="shared" si="41"/>
        <v>1200000</v>
      </c>
    </row>
    <row r="104" spans="33:38" x14ac:dyDescent="0.15">
      <c r="AG104" s="8">
        <v>98</v>
      </c>
      <c r="AH104" s="8">
        <f t="shared" si="37"/>
        <v>150000</v>
      </c>
      <c r="AI104" s="8">
        <f t="shared" si="38"/>
        <v>150000</v>
      </c>
      <c r="AJ104" s="8">
        <f t="shared" si="39"/>
        <v>750000</v>
      </c>
      <c r="AK104" s="8">
        <f t="shared" si="40"/>
        <v>1200000</v>
      </c>
      <c r="AL104" s="8">
        <f t="shared" si="41"/>
        <v>1200000</v>
      </c>
    </row>
    <row r="105" spans="33:38" x14ac:dyDescent="0.15">
      <c r="AG105" s="8">
        <v>99</v>
      </c>
      <c r="AH105" s="8">
        <f t="shared" si="37"/>
        <v>150000</v>
      </c>
      <c r="AI105" s="8">
        <f t="shared" si="38"/>
        <v>150000</v>
      </c>
      <c r="AJ105" s="8">
        <f t="shared" si="39"/>
        <v>750000</v>
      </c>
      <c r="AK105" s="8">
        <f t="shared" si="40"/>
        <v>1200000</v>
      </c>
      <c r="AL105" s="8">
        <f t="shared" si="41"/>
        <v>1200000</v>
      </c>
    </row>
    <row r="106" spans="33:38" x14ac:dyDescent="0.15">
      <c r="AG106" s="8">
        <v>100</v>
      </c>
      <c r="AH106" s="8">
        <f t="shared" si="37"/>
        <v>150000</v>
      </c>
      <c r="AI106" s="8">
        <f t="shared" si="38"/>
        <v>150000</v>
      </c>
      <c r="AJ106" s="8">
        <f t="shared" si="39"/>
        <v>750000</v>
      </c>
      <c r="AK106" s="8">
        <f t="shared" si="40"/>
        <v>1200000</v>
      </c>
      <c r="AL106" s="8">
        <f t="shared" si="41"/>
        <v>1200000</v>
      </c>
    </row>
  </sheetData>
  <mergeCells count="16">
    <mergeCell ref="J70:N70"/>
    <mergeCell ref="P70:T70"/>
    <mergeCell ref="Z70:AD70"/>
    <mergeCell ref="J41:N41"/>
    <mergeCell ref="P41:T41"/>
    <mergeCell ref="Z41:AD41"/>
    <mergeCell ref="J56:N56"/>
    <mergeCell ref="P56:T56"/>
    <mergeCell ref="Z56:AD56"/>
    <mergeCell ref="AH5:AL5"/>
    <mergeCell ref="J5:N5"/>
    <mergeCell ref="P5:T5"/>
    <mergeCell ref="Z5:AD5"/>
    <mergeCell ref="J25:N25"/>
    <mergeCell ref="P25:T25"/>
    <mergeCell ref="Z25:AD25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6"/>
  <dimension ref="K20:U39"/>
  <sheetViews>
    <sheetView topLeftCell="A10" workbookViewId="0">
      <selection activeCell="J19" sqref="J19"/>
    </sheetView>
  </sheetViews>
  <sheetFormatPr defaultRowHeight="13.5" x14ac:dyDescent="0.15"/>
  <sheetData>
    <row r="20" spans="11:21" x14ac:dyDescent="0.15">
      <c r="K20" s="2" t="s">
        <v>8</v>
      </c>
      <c r="L20" s="2">
        <v>8</v>
      </c>
      <c r="M20" s="3" t="s">
        <v>34</v>
      </c>
      <c r="N20" s="3">
        <v>1</v>
      </c>
      <c r="O20" s="3" t="s">
        <v>33</v>
      </c>
      <c r="P20" s="3">
        <v>5</v>
      </c>
      <c r="Q20" s="3"/>
      <c r="R20" s="3"/>
      <c r="S20" s="3"/>
      <c r="T20" s="2" t="s">
        <v>8</v>
      </c>
      <c r="U20" s="2">
        <v>8</v>
      </c>
    </row>
    <row r="21" spans="11:21" x14ac:dyDescent="0.15">
      <c r="K21" s="2" t="s">
        <v>9</v>
      </c>
      <c r="L21" s="2">
        <v>12</v>
      </c>
      <c r="M21" s="3" t="s">
        <v>34</v>
      </c>
      <c r="N21" s="3">
        <v>3</v>
      </c>
      <c r="O21" s="3" t="s">
        <v>33</v>
      </c>
      <c r="P21" s="3">
        <v>3</v>
      </c>
      <c r="Q21" s="3"/>
      <c r="R21" s="3"/>
      <c r="S21" s="3"/>
      <c r="T21" s="3" t="s">
        <v>56</v>
      </c>
      <c r="U21" s="3">
        <v>10</v>
      </c>
    </row>
    <row r="22" spans="11:21" x14ac:dyDescent="0.15">
      <c r="K22" s="2" t="s">
        <v>10</v>
      </c>
      <c r="L22" s="2">
        <v>16</v>
      </c>
      <c r="M22" s="3" t="s">
        <v>34</v>
      </c>
      <c r="N22" s="3">
        <v>5</v>
      </c>
      <c r="O22" s="3" t="s">
        <v>33</v>
      </c>
      <c r="P22" s="3">
        <v>1</v>
      </c>
      <c r="Q22" s="3"/>
      <c r="R22" s="3"/>
      <c r="S22" s="3"/>
      <c r="T22" s="2" t="s">
        <v>9</v>
      </c>
      <c r="U22" s="2">
        <v>12</v>
      </c>
    </row>
    <row r="23" spans="11:21" x14ac:dyDescent="0.15">
      <c r="K23" s="2" t="s">
        <v>11</v>
      </c>
      <c r="L23" s="2">
        <v>20</v>
      </c>
      <c r="M23" s="3" t="s">
        <v>29</v>
      </c>
      <c r="N23" s="3">
        <v>1</v>
      </c>
      <c r="O23" s="3" t="s">
        <v>34</v>
      </c>
      <c r="P23" s="3">
        <v>5</v>
      </c>
      <c r="Q23" s="3"/>
      <c r="R23" s="3"/>
      <c r="S23" s="3"/>
      <c r="T23" s="2" t="s">
        <v>10</v>
      </c>
      <c r="U23" s="2">
        <v>16</v>
      </c>
    </row>
    <row r="24" spans="11:21" x14ac:dyDescent="0.15">
      <c r="K24" s="2" t="s">
        <v>21</v>
      </c>
      <c r="L24" s="2">
        <v>30</v>
      </c>
      <c r="M24" s="3" t="s">
        <v>29</v>
      </c>
      <c r="N24" s="3">
        <v>4</v>
      </c>
      <c r="O24" s="3" t="s">
        <v>34</v>
      </c>
      <c r="P24" s="3">
        <v>2</v>
      </c>
      <c r="Q24" s="3"/>
      <c r="R24" s="3"/>
      <c r="S24" s="3"/>
      <c r="T24" s="3" t="s">
        <v>57</v>
      </c>
      <c r="U24" s="3">
        <v>20</v>
      </c>
    </row>
    <row r="25" spans="11:21" x14ac:dyDescent="0.15">
      <c r="K25" s="2" t="s">
        <v>22</v>
      </c>
      <c r="L25" s="2">
        <v>32</v>
      </c>
      <c r="M25" s="3" t="s">
        <v>29</v>
      </c>
      <c r="N25" s="3">
        <v>4</v>
      </c>
      <c r="O25" s="3" t="s">
        <v>34</v>
      </c>
      <c r="P25" s="3">
        <v>1</v>
      </c>
      <c r="Q25" s="3" t="s">
        <v>48</v>
      </c>
      <c r="R25" s="3">
        <v>1</v>
      </c>
      <c r="S25" s="3"/>
      <c r="T25" s="3" t="s">
        <v>58</v>
      </c>
      <c r="U25" s="3">
        <v>30</v>
      </c>
    </row>
    <row r="26" spans="11:21" x14ac:dyDescent="0.15">
      <c r="K26" s="2" t="s">
        <v>12</v>
      </c>
      <c r="L26" s="2">
        <v>35</v>
      </c>
      <c r="M26" s="3" t="s">
        <v>29</v>
      </c>
      <c r="N26" s="3">
        <v>6</v>
      </c>
      <c r="O26" s="3"/>
      <c r="P26" s="3"/>
      <c r="Q26" s="3"/>
      <c r="R26" s="3"/>
      <c r="S26" s="3"/>
      <c r="T26" s="2" t="s">
        <v>22</v>
      </c>
      <c r="U26" s="2">
        <v>32</v>
      </c>
    </row>
    <row r="27" spans="11:21" x14ac:dyDescent="0.15">
      <c r="K27" s="2" t="s">
        <v>23</v>
      </c>
      <c r="L27" s="2">
        <v>36</v>
      </c>
      <c r="M27" s="3" t="s">
        <v>49</v>
      </c>
      <c r="N27" s="3">
        <v>1</v>
      </c>
      <c r="O27" s="3" t="s">
        <v>29</v>
      </c>
      <c r="P27" s="3">
        <v>5</v>
      </c>
      <c r="Q27" s="3"/>
      <c r="R27" s="3"/>
      <c r="S27" s="3"/>
      <c r="T27" s="2" t="s">
        <v>12</v>
      </c>
      <c r="U27" s="2">
        <v>35</v>
      </c>
    </row>
    <row r="28" spans="11:21" x14ac:dyDescent="0.15">
      <c r="K28" s="2" t="s">
        <v>17</v>
      </c>
      <c r="L28" s="2">
        <v>44</v>
      </c>
      <c r="M28" s="3" t="s">
        <v>50</v>
      </c>
      <c r="N28" s="3">
        <v>1</v>
      </c>
      <c r="O28" s="3" t="s">
        <v>29</v>
      </c>
      <c r="P28" s="3">
        <v>5</v>
      </c>
      <c r="Q28" s="3"/>
      <c r="R28" s="3"/>
      <c r="S28" s="3"/>
      <c r="T28" s="2" t="s">
        <v>23</v>
      </c>
      <c r="U28" s="2">
        <v>36</v>
      </c>
    </row>
    <row r="29" spans="11:21" x14ac:dyDescent="0.15">
      <c r="K29" s="2" t="s">
        <v>24</v>
      </c>
      <c r="L29" s="2">
        <v>46</v>
      </c>
      <c r="M29" s="3" t="s">
        <v>51</v>
      </c>
      <c r="N29" s="3">
        <v>1</v>
      </c>
      <c r="O29" s="3" t="s">
        <v>49</v>
      </c>
      <c r="P29" s="3">
        <v>5</v>
      </c>
      <c r="Q29" s="3"/>
      <c r="R29" s="3"/>
      <c r="S29" s="3"/>
      <c r="T29" s="3" t="s">
        <v>59</v>
      </c>
      <c r="U29" s="3">
        <v>40</v>
      </c>
    </row>
    <row r="30" spans="11:21" x14ac:dyDescent="0.15">
      <c r="K30" s="2" t="s">
        <v>18</v>
      </c>
      <c r="L30" s="2">
        <v>48</v>
      </c>
      <c r="M30" s="3" t="s">
        <v>52</v>
      </c>
      <c r="N30" s="3">
        <v>6</v>
      </c>
      <c r="O30" s="3"/>
      <c r="P30" s="3"/>
      <c r="Q30" s="3"/>
      <c r="R30" s="3"/>
      <c r="S30" s="3"/>
      <c r="T30" s="2" t="s">
        <v>17</v>
      </c>
      <c r="U30" s="2">
        <v>44</v>
      </c>
    </row>
    <row r="31" spans="11:21" x14ac:dyDescent="0.15">
      <c r="K31" s="2" t="s">
        <v>19</v>
      </c>
      <c r="L31" s="2">
        <v>58</v>
      </c>
      <c r="M31" s="3" t="s">
        <v>53</v>
      </c>
      <c r="N31" s="3">
        <v>6</v>
      </c>
      <c r="O31" s="3"/>
      <c r="P31" s="3"/>
      <c r="Q31" s="3"/>
      <c r="R31" s="3"/>
      <c r="S31" s="3"/>
      <c r="T31" s="2" t="s">
        <v>24</v>
      </c>
      <c r="U31" s="2">
        <v>46</v>
      </c>
    </row>
    <row r="32" spans="11:21" x14ac:dyDescent="0.15">
      <c r="K32" s="2" t="s">
        <v>20</v>
      </c>
      <c r="L32" s="2">
        <v>66</v>
      </c>
      <c r="M32" s="3" t="s">
        <v>54</v>
      </c>
      <c r="N32" s="3">
        <v>6</v>
      </c>
      <c r="O32" s="3"/>
      <c r="P32" s="3"/>
      <c r="Q32" s="3"/>
      <c r="R32" s="3"/>
      <c r="S32" s="3"/>
      <c r="T32" s="2" t="s">
        <v>18</v>
      </c>
      <c r="U32" s="2">
        <v>48</v>
      </c>
    </row>
    <row r="33" spans="11:21" x14ac:dyDescent="0.15">
      <c r="K33" s="3"/>
      <c r="L33" s="3"/>
      <c r="M33" s="3"/>
      <c r="N33" s="3"/>
      <c r="O33" s="3"/>
      <c r="P33" s="3"/>
      <c r="Q33" s="3"/>
      <c r="R33" s="3"/>
      <c r="S33" s="3"/>
      <c r="T33" s="3" t="s">
        <v>60</v>
      </c>
      <c r="U33" s="3">
        <v>50</v>
      </c>
    </row>
    <row r="34" spans="11:21" x14ac:dyDescent="0.15">
      <c r="K34" s="2"/>
      <c r="L34" s="2"/>
      <c r="M34" s="3"/>
      <c r="N34" s="3"/>
      <c r="O34" s="3"/>
      <c r="P34" s="3"/>
      <c r="Q34" s="3"/>
      <c r="R34" s="3"/>
      <c r="S34" s="3"/>
      <c r="T34" s="3" t="s">
        <v>61</v>
      </c>
      <c r="U34" s="3">
        <v>60</v>
      </c>
    </row>
    <row r="35" spans="11:21" x14ac:dyDescent="0.15">
      <c r="K35" s="3"/>
      <c r="L35" s="3"/>
      <c r="M35" s="3"/>
      <c r="N35" s="3"/>
      <c r="O35" s="3"/>
      <c r="P35" s="3"/>
      <c r="Q35" s="3"/>
      <c r="R35" s="3"/>
      <c r="S35" s="3"/>
      <c r="T35" s="2" t="s">
        <v>19</v>
      </c>
      <c r="U35" s="2">
        <v>58</v>
      </c>
    </row>
    <row r="36" spans="11:21" x14ac:dyDescent="0.15">
      <c r="K36" s="3"/>
      <c r="L36" s="3"/>
      <c r="M36" s="3"/>
      <c r="N36" s="3"/>
      <c r="O36" s="3"/>
      <c r="P36" s="3"/>
      <c r="Q36" s="3"/>
      <c r="R36" s="3"/>
      <c r="S36" s="3"/>
      <c r="T36" s="3" t="s">
        <v>62</v>
      </c>
      <c r="U36" s="3">
        <v>70</v>
      </c>
    </row>
    <row r="37" spans="11:21" x14ac:dyDescent="0.15">
      <c r="K37" s="3"/>
      <c r="L37" s="3"/>
      <c r="M37" s="3"/>
      <c r="N37" s="3"/>
      <c r="O37" s="3"/>
      <c r="P37" s="3"/>
      <c r="Q37" s="3"/>
      <c r="R37" s="3"/>
      <c r="S37" s="3"/>
      <c r="T37" s="3" t="s">
        <v>62</v>
      </c>
      <c r="U37" s="3">
        <v>80</v>
      </c>
    </row>
    <row r="38" spans="11:21" x14ac:dyDescent="0.15">
      <c r="K38" s="3"/>
      <c r="L38" s="3"/>
      <c r="M38" s="3"/>
      <c r="N38" s="3"/>
      <c r="O38" s="3"/>
      <c r="P38" s="3"/>
      <c r="Q38" s="3"/>
      <c r="R38" s="3"/>
      <c r="S38" s="3"/>
      <c r="T38" s="3" t="s">
        <v>62</v>
      </c>
      <c r="U38" s="3">
        <v>90</v>
      </c>
    </row>
    <row r="39" spans="11:21" x14ac:dyDescent="0.15">
      <c r="K39" s="3"/>
      <c r="L39" s="3"/>
      <c r="M39" s="3"/>
      <c r="N39" s="3"/>
      <c r="O39" s="3"/>
      <c r="P39" s="3"/>
      <c r="Q39" s="3"/>
      <c r="R39" s="3"/>
      <c r="S39" s="3"/>
      <c r="T39" s="3" t="s">
        <v>62</v>
      </c>
      <c r="U39" s="3">
        <v>100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7"/>
  <dimension ref="A3:AF104"/>
  <sheetViews>
    <sheetView topLeftCell="G1" workbookViewId="0">
      <selection activeCell="S38" sqref="S38"/>
    </sheetView>
  </sheetViews>
  <sheetFormatPr defaultRowHeight="11.25" x14ac:dyDescent="0.15"/>
  <cols>
    <col min="1" max="16384" width="9" style="4"/>
  </cols>
  <sheetData>
    <row r="3" spans="2:32" x14ac:dyDescent="0.15">
      <c r="AB3" s="152" t="s">
        <v>137</v>
      </c>
      <c r="AC3" s="152"/>
      <c r="AD3" s="152"/>
      <c r="AE3" s="152"/>
      <c r="AF3" s="152"/>
    </row>
    <row r="4" spans="2:32" x14ac:dyDescent="0.15">
      <c r="AA4" s="4" t="s">
        <v>120</v>
      </c>
      <c r="AB4" s="4" t="s">
        <v>116</v>
      </c>
      <c r="AC4" s="4" t="s">
        <v>117</v>
      </c>
      <c r="AD4" s="4" t="s">
        <v>111</v>
      </c>
      <c r="AE4" s="4" t="s">
        <v>119</v>
      </c>
      <c r="AF4" s="4" t="s">
        <v>112</v>
      </c>
    </row>
    <row r="5" spans="2:32" x14ac:dyDescent="0.15">
      <c r="AA5" s="4">
        <v>1</v>
      </c>
      <c r="AB5" s="4">
        <f>求节点($Q$8:$Q$14,S$8:S$14,$AA5)</f>
        <v>0.12000000000000011</v>
      </c>
      <c r="AC5" s="4">
        <f>求节点($Q$8:$Q$14,T$8:T$14,$AA5)</f>
        <v>4.0000000000000036E-2</v>
      </c>
      <c r="AD5" s="4">
        <f>求节点($Q$8:$Q$14,U$8:U$14,$AA5)</f>
        <v>0</v>
      </c>
      <c r="AE5" s="4">
        <f>求节点($Q$8:$Q$14,V$8:V$14,$AA5)</f>
        <v>0</v>
      </c>
      <c r="AF5" s="4">
        <f>求节点($Q$8:$Q$14,W$8:W$14,$AA5)</f>
        <v>0</v>
      </c>
    </row>
    <row r="6" spans="2:32" x14ac:dyDescent="0.15">
      <c r="C6" s="4" t="s">
        <v>109</v>
      </c>
      <c r="J6" s="8"/>
      <c r="K6" s="8"/>
      <c r="L6" s="173" t="s">
        <v>146</v>
      </c>
      <c r="M6" s="173"/>
      <c r="N6" s="8"/>
      <c r="O6" s="173" t="s">
        <v>147</v>
      </c>
      <c r="P6" s="173"/>
      <c r="Q6" s="8" t="s">
        <v>154</v>
      </c>
      <c r="R6" s="8"/>
      <c r="S6" s="173" t="s">
        <v>148</v>
      </c>
      <c r="T6" s="173"/>
      <c r="U6" s="173"/>
      <c r="V6" s="173"/>
      <c r="W6" s="173"/>
      <c r="X6" s="173" t="s">
        <v>149</v>
      </c>
      <c r="Y6" s="173"/>
      <c r="AA6" s="4">
        <v>2</v>
      </c>
      <c r="AB6" s="4">
        <f t="shared" ref="AB6:AB69" si="0">求节点($Q$8:$Q$14,S$8:S$14,$AA6)</f>
        <v>0.24000000000000021</v>
      </c>
      <c r="AC6" s="4">
        <f t="shared" ref="AC6:AC69" si="1">求节点($Q$8:$Q$14,T$8:T$14,$AA6)</f>
        <v>7.999999999999996E-2</v>
      </c>
      <c r="AD6" s="4">
        <f t="shared" ref="AD6:AD69" si="2">求节点($Q$8:$Q$14,U$8:U$14,$AA6)</f>
        <v>0</v>
      </c>
      <c r="AE6" s="4">
        <f t="shared" ref="AE6:AE69" si="3">求节点($Q$8:$Q$14,V$8:V$14,$AA6)</f>
        <v>0</v>
      </c>
      <c r="AF6" s="4">
        <f t="shared" ref="AF6:AF69" si="4">求节点($Q$8:$Q$14,W$8:W$14,$AA6)</f>
        <v>0</v>
      </c>
    </row>
    <row r="7" spans="2:32" x14ac:dyDescent="0.15">
      <c r="J7" s="8" t="s">
        <v>131</v>
      </c>
      <c r="K7" s="8" t="s">
        <v>130</v>
      </c>
      <c r="L7" s="8" t="s">
        <v>128</v>
      </c>
      <c r="M7" s="8" t="s">
        <v>129</v>
      </c>
      <c r="N7" s="8" t="s">
        <v>130</v>
      </c>
      <c r="O7" s="8" t="s">
        <v>128</v>
      </c>
      <c r="P7" s="8" t="s">
        <v>129</v>
      </c>
      <c r="Q7" s="8" t="s">
        <v>123</v>
      </c>
      <c r="R7" s="8" t="s">
        <v>122</v>
      </c>
      <c r="S7" s="8" t="s">
        <v>116</v>
      </c>
      <c r="T7" s="8" t="s">
        <v>117</v>
      </c>
      <c r="U7" s="8" t="s">
        <v>111</v>
      </c>
      <c r="V7" s="8" t="s">
        <v>119</v>
      </c>
      <c r="W7" s="8" t="s">
        <v>112</v>
      </c>
      <c r="X7" s="8" t="s">
        <v>135</v>
      </c>
      <c r="Y7" s="8" t="s">
        <v>136</v>
      </c>
      <c r="AA7" s="4">
        <v>3</v>
      </c>
      <c r="AB7" s="4">
        <f t="shared" si="0"/>
        <v>0.36000000000000032</v>
      </c>
      <c r="AC7" s="4">
        <f t="shared" si="1"/>
        <v>0.12</v>
      </c>
      <c r="AD7" s="4">
        <f t="shared" si="2"/>
        <v>0</v>
      </c>
      <c r="AE7" s="4">
        <f t="shared" si="3"/>
        <v>0</v>
      </c>
      <c r="AF7" s="4">
        <f t="shared" si="4"/>
        <v>0</v>
      </c>
    </row>
    <row r="8" spans="2:32" x14ac:dyDescent="0.15">
      <c r="J8" s="8" t="s">
        <v>125</v>
      </c>
      <c r="K8" s="8" t="s">
        <v>111</v>
      </c>
      <c r="L8" s="8">
        <v>1</v>
      </c>
      <c r="M8" s="8">
        <v>0</v>
      </c>
      <c r="N8" s="8" t="s">
        <v>112</v>
      </c>
      <c r="O8" s="8">
        <v>0</v>
      </c>
      <c r="P8" s="8">
        <v>0</v>
      </c>
      <c r="Q8" s="8">
        <v>25</v>
      </c>
      <c r="R8" s="8">
        <f>INDEX(节奏总纲!$P:$P,MATCH(Q8,节奏总纲!$O:$O,0))</f>
        <v>4.6568542494923806</v>
      </c>
      <c r="S8" s="8">
        <f t="shared" ref="S8:S14" si="5">L8*C$32</f>
        <v>3</v>
      </c>
      <c r="T8" s="8">
        <f t="shared" ref="T8:T14" si="6">L8*D$32+M8*D$33</f>
        <v>1</v>
      </c>
      <c r="U8" s="8">
        <f t="shared" ref="U8:U14" si="7">M8*E$33+O8*E$34</f>
        <v>0</v>
      </c>
      <c r="V8" s="8">
        <f t="shared" ref="V8:V14" si="8">O8*$F$34+P8*$F$35</f>
        <v>0</v>
      </c>
      <c r="W8" s="8">
        <f t="shared" ref="W8:W14" si="9">P8*$G$35</f>
        <v>0</v>
      </c>
      <c r="X8" s="8">
        <f t="shared" ref="X8:X14" si="10">M8*$H$33</f>
        <v>0</v>
      </c>
      <c r="Y8" s="8">
        <f t="shared" ref="Y8:Y14" si="11">P8*$I$35</f>
        <v>0</v>
      </c>
      <c r="AA8" s="4">
        <v>4</v>
      </c>
      <c r="AB8" s="4">
        <f t="shared" si="0"/>
        <v>0.48</v>
      </c>
      <c r="AC8" s="4">
        <f t="shared" si="1"/>
        <v>0.16000000000000003</v>
      </c>
      <c r="AD8" s="4">
        <f t="shared" si="2"/>
        <v>0</v>
      </c>
      <c r="AE8" s="4">
        <f t="shared" si="3"/>
        <v>0</v>
      </c>
      <c r="AF8" s="4">
        <f t="shared" si="4"/>
        <v>0</v>
      </c>
    </row>
    <row r="9" spans="2:32" x14ac:dyDescent="0.15">
      <c r="D9" s="4" t="s">
        <v>110</v>
      </c>
      <c r="E9" s="4" t="s">
        <v>113</v>
      </c>
      <c r="J9" s="8" t="s">
        <v>124</v>
      </c>
      <c r="K9" s="8" t="s">
        <v>111</v>
      </c>
      <c r="L9" s="8">
        <v>3</v>
      </c>
      <c r="M9" s="8">
        <v>0</v>
      </c>
      <c r="N9" s="8" t="s">
        <v>112</v>
      </c>
      <c r="O9" s="8">
        <v>0</v>
      </c>
      <c r="P9" s="8">
        <v>0</v>
      </c>
      <c r="Q9" s="8">
        <v>34</v>
      </c>
      <c r="R9" s="8">
        <f>INDEX(节奏总纲!$P:$P,MATCH(Q9,节奏总纲!$O:$O,0))</f>
        <v>9.5560632861831518</v>
      </c>
      <c r="S9" s="8">
        <f t="shared" si="5"/>
        <v>9</v>
      </c>
      <c r="T9" s="8">
        <f t="shared" si="6"/>
        <v>3</v>
      </c>
      <c r="U9" s="8">
        <f t="shared" si="7"/>
        <v>0</v>
      </c>
      <c r="V9" s="8">
        <f t="shared" si="8"/>
        <v>0</v>
      </c>
      <c r="W9" s="8">
        <f t="shared" si="9"/>
        <v>0</v>
      </c>
      <c r="X9" s="8">
        <f t="shared" si="10"/>
        <v>0</v>
      </c>
      <c r="Y9" s="8">
        <f t="shared" si="11"/>
        <v>0</v>
      </c>
      <c r="AA9" s="4">
        <v>5</v>
      </c>
      <c r="AB9" s="4">
        <f t="shared" si="0"/>
        <v>0.60000000000000009</v>
      </c>
      <c r="AC9" s="4">
        <f t="shared" si="1"/>
        <v>0.19999999999999996</v>
      </c>
      <c r="AD9" s="4">
        <f t="shared" si="2"/>
        <v>0</v>
      </c>
      <c r="AE9" s="4">
        <f t="shared" si="3"/>
        <v>0</v>
      </c>
      <c r="AF9" s="4">
        <f t="shared" si="4"/>
        <v>0</v>
      </c>
    </row>
    <row r="10" spans="2:32" x14ac:dyDescent="0.15">
      <c r="J10" s="8" t="s">
        <v>126</v>
      </c>
      <c r="K10" s="8" t="s">
        <v>111</v>
      </c>
      <c r="L10" s="8">
        <v>5</v>
      </c>
      <c r="M10" s="8">
        <v>1</v>
      </c>
      <c r="N10" s="8" t="s">
        <v>112</v>
      </c>
      <c r="O10" s="8">
        <v>0</v>
      </c>
      <c r="P10" s="8">
        <v>0</v>
      </c>
      <c r="Q10" s="8">
        <v>40</v>
      </c>
      <c r="R10" s="8">
        <f>INDEX(节奏总纲!$P:$P,MATCH(Q10,节奏总纲!$O:$O,0))</f>
        <v>15</v>
      </c>
      <c r="S10" s="8">
        <f t="shared" si="5"/>
        <v>15</v>
      </c>
      <c r="T10" s="8">
        <f t="shared" si="6"/>
        <v>10</v>
      </c>
      <c r="U10" s="8">
        <f t="shared" si="7"/>
        <v>3</v>
      </c>
      <c r="V10" s="8">
        <f t="shared" si="8"/>
        <v>0</v>
      </c>
      <c r="W10" s="8">
        <f t="shared" si="9"/>
        <v>0</v>
      </c>
      <c r="X10" s="8">
        <f t="shared" si="10"/>
        <v>4</v>
      </c>
      <c r="Y10" s="8">
        <f t="shared" si="11"/>
        <v>0</v>
      </c>
      <c r="AA10" s="4">
        <v>6</v>
      </c>
      <c r="AB10" s="4">
        <f t="shared" si="0"/>
        <v>0.7200000000000002</v>
      </c>
      <c r="AC10" s="4">
        <f t="shared" si="1"/>
        <v>0.24</v>
      </c>
      <c r="AD10" s="4">
        <f t="shared" si="2"/>
        <v>0</v>
      </c>
      <c r="AE10" s="4">
        <f t="shared" si="3"/>
        <v>0</v>
      </c>
      <c r="AF10" s="4">
        <f t="shared" si="4"/>
        <v>0</v>
      </c>
    </row>
    <row r="11" spans="2:32" x14ac:dyDescent="0.15">
      <c r="J11" s="8" t="s">
        <v>127</v>
      </c>
      <c r="K11" s="8" t="s">
        <v>111</v>
      </c>
      <c r="L11" s="8">
        <v>6</v>
      </c>
      <c r="M11" s="8">
        <v>3</v>
      </c>
      <c r="N11" s="8" t="s">
        <v>112</v>
      </c>
      <c r="O11" s="8">
        <v>0</v>
      </c>
      <c r="P11" s="8">
        <v>0</v>
      </c>
      <c r="Q11" s="8">
        <v>48</v>
      </c>
      <c r="R11" s="8">
        <f>INDEX(节奏总纲!$P:$P,MATCH(Q11,节奏总纲!$O:$O,0))</f>
        <v>26.857618025475972</v>
      </c>
      <c r="S11" s="8">
        <f t="shared" si="5"/>
        <v>18</v>
      </c>
      <c r="T11" s="8">
        <f t="shared" si="6"/>
        <v>21</v>
      </c>
      <c r="U11" s="8">
        <f t="shared" si="7"/>
        <v>9</v>
      </c>
      <c r="V11" s="8">
        <f t="shared" si="8"/>
        <v>0</v>
      </c>
      <c r="W11" s="8">
        <f t="shared" si="9"/>
        <v>0</v>
      </c>
      <c r="X11" s="8">
        <f t="shared" si="10"/>
        <v>12</v>
      </c>
      <c r="Y11" s="8">
        <f t="shared" si="11"/>
        <v>0</v>
      </c>
      <c r="AA11" s="4">
        <v>7</v>
      </c>
      <c r="AB11" s="4">
        <f t="shared" si="0"/>
        <v>0.83999999999999986</v>
      </c>
      <c r="AC11" s="4">
        <f t="shared" si="1"/>
        <v>0.28000000000000003</v>
      </c>
      <c r="AD11" s="4">
        <f t="shared" si="2"/>
        <v>0</v>
      </c>
      <c r="AE11" s="4">
        <f t="shared" si="3"/>
        <v>0</v>
      </c>
      <c r="AF11" s="4">
        <f t="shared" si="4"/>
        <v>0</v>
      </c>
    </row>
    <row r="12" spans="2:32" x14ac:dyDescent="0.15">
      <c r="B12" s="4" t="s">
        <v>114</v>
      </c>
      <c r="C12" s="4" t="s">
        <v>111</v>
      </c>
      <c r="J12" s="8" t="s">
        <v>134</v>
      </c>
      <c r="K12" s="8" t="s">
        <v>111</v>
      </c>
      <c r="L12" s="8">
        <v>5</v>
      </c>
      <c r="M12" s="8">
        <v>5</v>
      </c>
      <c r="N12" s="8" t="s">
        <v>112</v>
      </c>
      <c r="O12" s="8">
        <v>0</v>
      </c>
      <c r="P12" s="8">
        <v>0</v>
      </c>
      <c r="Q12" s="8">
        <v>53</v>
      </c>
      <c r="R12" s="8">
        <f>INDEX(节奏总纲!$P:$P,MATCH(Q12,节奏总纲!$O:$O,0))</f>
        <v>38.396621227037308</v>
      </c>
      <c r="S12" s="8">
        <f t="shared" si="5"/>
        <v>15</v>
      </c>
      <c r="T12" s="8">
        <f t="shared" si="6"/>
        <v>30</v>
      </c>
      <c r="U12" s="8">
        <f t="shared" si="7"/>
        <v>15</v>
      </c>
      <c r="V12" s="8">
        <f t="shared" si="8"/>
        <v>0</v>
      </c>
      <c r="W12" s="8">
        <f t="shared" si="9"/>
        <v>0</v>
      </c>
      <c r="X12" s="8">
        <f t="shared" si="10"/>
        <v>20</v>
      </c>
      <c r="Y12" s="8">
        <f t="shared" si="11"/>
        <v>0</v>
      </c>
      <c r="AA12" s="4">
        <v>8</v>
      </c>
      <c r="AB12" s="4">
        <f t="shared" si="0"/>
        <v>0.96</v>
      </c>
      <c r="AC12" s="4">
        <f t="shared" si="1"/>
        <v>0.31999999999999995</v>
      </c>
      <c r="AD12" s="4">
        <f t="shared" si="2"/>
        <v>0</v>
      </c>
      <c r="AE12" s="4">
        <f t="shared" si="3"/>
        <v>0</v>
      </c>
      <c r="AF12" s="4">
        <f t="shared" si="4"/>
        <v>0</v>
      </c>
    </row>
    <row r="13" spans="2:32" x14ac:dyDescent="0.15">
      <c r="C13" s="4" t="s">
        <v>112</v>
      </c>
      <c r="J13" s="8" t="s">
        <v>138</v>
      </c>
      <c r="K13" s="8" t="s">
        <v>111</v>
      </c>
      <c r="L13" s="8">
        <v>6</v>
      </c>
      <c r="M13" s="8">
        <v>6</v>
      </c>
      <c r="N13" s="8" t="s">
        <v>112</v>
      </c>
      <c r="O13" s="8">
        <v>1</v>
      </c>
      <c r="P13" s="8">
        <v>0</v>
      </c>
      <c r="Q13" s="8">
        <v>68</v>
      </c>
      <c r="R13" s="8">
        <f>INDEX(节奏总纲!$P:$P,MATCH(Q13,节奏总纲!$O:$O,0))</f>
        <v>110.43047210190386</v>
      </c>
      <c r="S13" s="8">
        <f t="shared" si="5"/>
        <v>18</v>
      </c>
      <c r="T13" s="8">
        <f t="shared" si="6"/>
        <v>36</v>
      </c>
      <c r="U13" s="8">
        <f t="shared" si="7"/>
        <v>28</v>
      </c>
      <c r="V13" s="8">
        <f t="shared" si="8"/>
        <v>5</v>
      </c>
      <c r="W13" s="8">
        <f t="shared" si="9"/>
        <v>0</v>
      </c>
      <c r="X13" s="8">
        <f t="shared" si="10"/>
        <v>24</v>
      </c>
      <c r="Y13" s="8">
        <f t="shared" si="11"/>
        <v>0</v>
      </c>
      <c r="AA13" s="4">
        <v>9</v>
      </c>
      <c r="AB13" s="4">
        <f t="shared" si="0"/>
        <v>1.08</v>
      </c>
      <c r="AC13" s="4">
        <f t="shared" si="1"/>
        <v>0.36</v>
      </c>
      <c r="AD13" s="4">
        <f t="shared" si="2"/>
        <v>0</v>
      </c>
      <c r="AE13" s="4">
        <f t="shared" si="3"/>
        <v>0</v>
      </c>
      <c r="AF13" s="4">
        <f t="shared" si="4"/>
        <v>0</v>
      </c>
    </row>
    <row r="14" spans="2:32" x14ac:dyDescent="0.15">
      <c r="J14" s="8" t="s">
        <v>139</v>
      </c>
      <c r="K14" s="8" t="s">
        <v>111</v>
      </c>
      <c r="L14" s="8">
        <v>11</v>
      </c>
      <c r="M14" s="8">
        <v>11</v>
      </c>
      <c r="N14" s="8" t="s">
        <v>112</v>
      </c>
      <c r="O14" s="8">
        <v>1</v>
      </c>
      <c r="P14" s="8">
        <v>1</v>
      </c>
      <c r="Q14" s="8">
        <v>84</v>
      </c>
      <c r="R14" s="8">
        <f>INDEX(节奏总纲!$P:$P,MATCH(Q14,节奏总纲!$O:$O,0))</f>
        <v>336.79402515786086</v>
      </c>
      <c r="S14" s="8">
        <f t="shared" si="5"/>
        <v>33</v>
      </c>
      <c r="T14" s="8">
        <f t="shared" si="6"/>
        <v>66</v>
      </c>
      <c r="U14" s="8">
        <f t="shared" si="7"/>
        <v>43</v>
      </c>
      <c r="V14" s="8">
        <f t="shared" si="8"/>
        <v>25</v>
      </c>
      <c r="W14" s="8">
        <f t="shared" si="9"/>
        <v>7</v>
      </c>
      <c r="X14" s="8">
        <f t="shared" si="10"/>
        <v>44</v>
      </c>
      <c r="Y14" s="8">
        <f t="shared" si="11"/>
        <v>4</v>
      </c>
      <c r="AA14" s="4">
        <v>10</v>
      </c>
      <c r="AB14" s="4">
        <f t="shared" si="0"/>
        <v>1.2000000000000002</v>
      </c>
      <c r="AC14" s="4">
        <f t="shared" si="1"/>
        <v>0.4</v>
      </c>
      <c r="AD14" s="4">
        <f t="shared" si="2"/>
        <v>0</v>
      </c>
      <c r="AE14" s="4">
        <f t="shared" si="3"/>
        <v>0</v>
      </c>
      <c r="AF14" s="4">
        <f t="shared" si="4"/>
        <v>0</v>
      </c>
    </row>
    <row r="15" spans="2:32" x14ac:dyDescent="0.15">
      <c r="B15" s="4" t="s">
        <v>121</v>
      </c>
      <c r="C15" s="4">
        <v>6</v>
      </c>
      <c r="AA15" s="4">
        <v>11</v>
      </c>
      <c r="AB15" s="4">
        <f t="shared" si="0"/>
        <v>1.32</v>
      </c>
      <c r="AC15" s="4">
        <f t="shared" si="1"/>
        <v>0.43999999999999995</v>
      </c>
      <c r="AD15" s="4">
        <f t="shared" si="2"/>
        <v>0</v>
      </c>
      <c r="AE15" s="4">
        <f t="shared" si="3"/>
        <v>0</v>
      </c>
      <c r="AF15" s="4">
        <f t="shared" si="4"/>
        <v>0</v>
      </c>
    </row>
    <row r="16" spans="2:32" x14ac:dyDescent="0.15">
      <c r="AA16" s="4">
        <v>12</v>
      </c>
      <c r="AB16" s="4">
        <f t="shared" si="0"/>
        <v>1.44</v>
      </c>
      <c r="AC16" s="4">
        <f t="shared" si="1"/>
        <v>0.48</v>
      </c>
      <c r="AD16" s="4">
        <f t="shared" si="2"/>
        <v>0</v>
      </c>
      <c r="AE16" s="4">
        <f t="shared" si="3"/>
        <v>0</v>
      </c>
      <c r="AF16" s="4">
        <f t="shared" si="4"/>
        <v>0</v>
      </c>
    </row>
    <row r="17" spans="1:32" x14ac:dyDescent="0.15">
      <c r="AA17" s="4">
        <v>13</v>
      </c>
      <c r="AB17" s="4">
        <f t="shared" si="0"/>
        <v>1.56</v>
      </c>
      <c r="AC17" s="4">
        <f t="shared" si="1"/>
        <v>0.52</v>
      </c>
      <c r="AD17" s="4">
        <f t="shared" si="2"/>
        <v>0</v>
      </c>
      <c r="AE17" s="4">
        <f t="shared" si="3"/>
        <v>0</v>
      </c>
      <c r="AF17" s="4">
        <f t="shared" si="4"/>
        <v>0</v>
      </c>
    </row>
    <row r="18" spans="1:32" x14ac:dyDescent="0.15">
      <c r="AA18" s="4">
        <v>14</v>
      </c>
      <c r="AB18" s="4">
        <f t="shared" si="0"/>
        <v>1.6800000000000002</v>
      </c>
      <c r="AC18" s="4">
        <f t="shared" si="1"/>
        <v>0.56000000000000005</v>
      </c>
      <c r="AD18" s="4">
        <f t="shared" si="2"/>
        <v>0</v>
      </c>
      <c r="AE18" s="4">
        <f t="shared" si="3"/>
        <v>0</v>
      </c>
      <c r="AF18" s="4">
        <f t="shared" si="4"/>
        <v>0</v>
      </c>
    </row>
    <row r="19" spans="1:32" x14ac:dyDescent="0.15">
      <c r="AA19" s="4">
        <v>15</v>
      </c>
      <c r="AB19" s="4">
        <f t="shared" si="0"/>
        <v>1.8</v>
      </c>
      <c r="AC19" s="4">
        <f t="shared" si="1"/>
        <v>0.6</v>
      </c>
      <c r="AD19" s="4">
        <f t="shared" si="2"/>
        <v>0</v>
      </c>
      <c r="AE19" s="4">
        <f t="shared" si="3"/>
        <v>0</v>
      </c>
      <c r="AF19" s="4">
        <f t="shared" si="4"/>
        <v>0</v>
      </c>
    </row>
    <row r="20" spans="1:32" x14ac:dyDescent="0.15">
      <c r="AA20" s="4">
        <v>16</v>
      </c>
      <c r="AB20" s="4">
        <f t="shared" si="0"/>
        <v>1.92</v>
      </c>
      <c r="AC20" s="4">
        <f t="shared" si="1"/>
        <v>0.64</v>
      </c>
      <c r="AD20" s="4">
        <f t="shared" si="2"/>
        <v>0</v>
      </c>
      <c r="AE20" s="4">
        <f t="shared" si="3"/>
        <v>0</v>
      </c>
      <c r="AF20" s="4">
        <f t="shared" si="4"/>
        <v>0</v>
      </c>
    </row>
    <row r="21" spans="1:32" x14ac:dyDescent="0.15">
      <c r="AA21" s="4">
        <v>17</v>
      </c>
      <c r="AB21" s="4">
        <f t="shared" si="0"/>
        <v>2.04</v>
      </c>
      <c r="AC21" s="4">
        <f t="shared" si="1"/>
        <v>0.67999999999999994</v>
      </c>
      <c r="AD21" s="4">
        <f t="shared" si="2"/>
        <v>0</v>
      </c>
      <c r="AE21" s="4">
        <f t="shared" si="3"/>
        <v>0</v>
      </c>
      <c r="AF21" s="4">
        <f t="shared" si="4"/>
        <v>0</v>
      </c>
    </row>
    <row r="22" spans="1:32" x14ac:dyDescent="0.15">
      <c r="AA22" s="4">
        <v>18</v>
      </c>
      <c r="AB22" s="4">
        <f t="shared" si="0"/>
        <v>2.16</v>
      </c>
      <c r="AC22" s="4">
        <f t="shared" si="1"/>
        <v>0.72</v>
      </c>
      <c r="AD22" s="4">
        <f t="shared" si="2"/>
        <v>0</v>
      </c>
      <c r="AE22" s="4">
        <f t="shared" si="3"/>
        <v>0</v>
      </c>
      <c r="AF22" s="4">
        <f t="shared" si="4"/>
        <v>0</v>
      </c>
    </row>
    <row r="23" spans="1:32" x14ac:dyDescent="0.15">
      <c r="AA23" s="4">
        <v>19</v>
      </c>
      <c r="AB23" s="4">
        <f t="shared" si="0"/>
        <v>2.2800000000000002</v>
      </c>
      <c r="AC23" s="4">
        <f t="shared" si="1"/>
        <v>0.76</v>
      </c>
      <c r="AD23" s="4">
        <f t="shared" si="2"/>
        <v>0</v>
      </c>
      <c r="AE23" s="4">
        <f t="shared" si="3"/>
        <v>0</v>
      </c>
      <c r="AF23" s="4">
        <f t="shared" si="4"/>
        <v>0</v>
      </c>
    </row>
    <row r="24" spans="1:32" x14ac:dyDescent="0.15">
      <c r="AA24" s="4">
        <v>20</v>
      </c>
      <c r="AB24" s="4">
        <f t="shared" si="0"/>
        <v>2.4</v>
      </c>
      <c r="AC24" s="4">
        <f t="shared" si="1"/>
        <v>0.8</v>
      </c>
      <c r="AD24" s="4">
        <f t="shared" si="2"/>
        <v>0</v>
      </c>
      <c r="AE24" s="4">
        <f t="shared" si="3"/>
        <v>0</v>
      </c>
      <c r="AF24" s="4">
        <f t="shared" si="4"/>
        <v>0</v>
      </c>
    </row>
    <row r="25" spans="1:32" x14ac:dyDescent="0.15">
      <c r="B25" s="8" t="s">
        <v>144</v>
      </c>
      <c r="C25" s="173" t="s">
        <v>145</v>
      </c>
      <c r="D25" s="173"/>
      <c r="E25" s="8" t="s">
        <v>120</v>
      </c>
      <c r="F25" s="173" t="s">
        <v>143</v>
      </c>
      <c r="G25" s="173"/>
      <c r="AA25" s="4">
        <v>21</v>
      </c>
      <c r="AB25" s="4">
        <f t="shared" si="0"/>
        <v>2.52</v>
      </c>
      <c r="AC25" s="4">
        <f t="shared" si="1"/>
        <v>0.84</v>
      </c>
      <c r="AD25" s="4">
        <f t="shared" si="2"/>
        <v>0</v>
      </c>
      <c r="AE25" s="4">
        <f t="shared" si="3"/>
        <v>0</v>
      </c>
      <c r="AF25" s="4">
        <f t="shared" si="4"/>
        <v>0</v>
      </c>
    </row>
    <row r="26" spans="1:32" x14ac:dyDescent="0.15">
      <c r="B26" s="8" t="s">
        <v>115</v>
      </c>
      <c r="C26" s="8" t="s">
        <v>116</v>
      </c>
      <c r="D26" s="8" t="s">
        <v>117</v>
      </c>
      <c r="E26" s="8">
        <v>25</v>
      </c>
      <c r="F26" s="8">
        <v>3</v>
      </c>
      <c r="G26" s="8">
        <v>1</v>
      </c>
      <c r="AA26" s="4">
        <v>22</v>
      </c>
      <c r="AB26" s="4">
        <f t="shared" si="0"/>
        <v>2.64</v>
      </c>
      <c r="AC26" s="4">
        <f t="shared" si="1"/>
        <v>0.88</v>
      </c>
      <c r="AD26" s="4">
        <f t="shared" si="2"/>
        <v>0</v>
      </c>
      <c r="AE26" s="4">
        <f t="shared" si="3"/>
        <v>0</v>
      </c>
      <c r="AF26" s="4">
        <f t="shared" si="4"/>
        <v>0</v>
      </c>
    </row>
    <row r="27" spans="1:32" x14ac:dyDescent="0.15">
      <c r="B27" s="8"/>
      <c r="C27" s="8" t="s">
        <v>117</v>
      </c>
      <c r="D27" s="8" t="s">
        <v>111</v>
      </c>
      <c r="E27" s="8">
        <v>40</v>
      </c>
      <c r="F27" s="8">
        <v>5</v>
      </c>
      <c r="G27" s="8">
        <v>3</v>
      </c>
      <c r="AA27" s="4">
        <v>23</v>
      </c>
      <c r="AB27" s="4">
        <f t="shared" si="0"/>
        <v>2.76</v>
      </c>
      <c r="AC27" s="4">
        <f t="shared" si="1"/>
        <v>0.92</v>
      </c>
      <c r="AD27" s="4">
        <f t="shared" si="2"/>
        <v>0</v>
      </c>
      <c r="AE27" s="4">
        <f t="shared" si="3"/>
        <v>0</v>
      </c>
      <c r="AF27" s="4">
        <f t="shared" si="4"/>
        <v>0</v>
      </c>
    </row>
    <row r="28" spans="1:32" x14ac:dyDescent="0.15">
      <c r="B28" s="8" t="s">
        <v>118</v>
      </c>
      <c r="C28" s="8" t="s">
        <v>111</v>
      </c>
      <c r="D28" s="8" t="s">
        <v>119</v>
      </c>
      <c r="E28" s="8">
        <v>60</v>
      </c>
      <c r="F28" s="8">
        <v>10</v>
      </c>
      <c r="G28" s="8">
        <v>5</v>
      </c>
      <c r="AA28" s="4">
        <v>24</v>
      </c>
      <c r="AB28" s="4">
        <f t="shared" si="0"/>
        <v>2.88</v>
      </c>
      <c r="AC28" s="4">
        <f t="shared" si="1"/>
        <v>0.96</v>
      </c>
      <c r="AD28" s="4">
        <f t="shared" si="2"/>
        <v>0</v>
      </c>
      <c r="AE28" s="4">
        <f t="shared" si="3"/>
        <v>0</v>
      </c>
      <c r="AF28" s="4">
        <f t="shared" si="4"/>
        <v>0</v>
      </c>
    </row>
    <row r="29" spans="1:32" x14ac:dyDescent="0.15">
      <c r="B29" s="8"/>
      <c r="C29" s="8" t="s">
        <v>119</v>
      </c>
      <c r="D29" s="8" t="s">
        <v>112</v>
      </c>
      <c r="E29" s="8">
        <v>75</v>
      </c>
      <c r="F29" s="8">
        <v>20</v>
      </c>
      <c r="G29" s="8">
        <v>7</v>
      </c>
      <c r="AA29" s="4">
        <v>25</v>
      </c>
      <c r="AB29" s="4">
        <f t="shared" si="0"/>
        <v>3</v>
      </c>
      <c r="AC29" s="4">
        <f t="shared" si="1"/>
        <v>1</v>
      </c>
      <c r="AD29" s="4">
        <f t="shared" si="2"/>
        <v>0</v>
      </c>
      <c r="AE29" s="4">
        <f t="shared" si="3"/>
        <v>0</v>
      </c>
      <c r="AF29" s="4">
        <f t="shared" si="4"/>
        <v>0</v>
      </c>
    </row>
    <row r="30" spans="1:32" x14ac:dyDescent="0.15">
      <c r="AA30" s="4">
        <v>26</v>
      </c>
      <c r="AB30" s="4">
        <f t="shared" si="0"/>
        <v>3.6666666666666665</v>
      </c>
      <c r="AC30" s="4">
        <f t="shared" si="1"/>
        <v>1.2222222222222223</v>
      </c>
      <c r="AD30" s="4">
        <f t="shared" si="2"/>
        <v>0</v>
      </c>
      <c r="AE30" s="4">
        <f t="shared" si="3"/>
        <v>0</v>
      </c>
      <c r="AF30" s="4">
        <f t="shared" si="4"/>
        <v>0</v>
      </c>
    </row>
    <row r="31" spans="1:32" x14ac:dyDescent="0.15">
      <c r="A31" s="8" t="s">
        <v>133</v>
      </c>
      <c r="B31" s="8" t="s">
        <v>132</v>
      </c>
      <c r="C31" s="8" t="s">
        <v>116</v>
      </c>
      <c r="D31" s="8" t="s">
        <v>117</v>
      </c>
      <c r="E31" s="8" t="s">
        <v>111</v>
      </c>
      <c r="F31" s="8" t="s">
        <v>119</v>
      </c>
      <c r="G31" s="8" t="s">
        <v>112</v>
      </c>
      <c r="H31" s="8" t="s">
        <v>135</v>
      </c>
      <c r="I31" s="8" t="s">
        <v>136</v>
      </c>
      <c r="AA31" s="4">
        <v>27</v>
      </c>
      <c r="AB31" s="4">
        <f t="shared" si="0"/>
        <v>4.333333333333333</v>
      </c>
      <c r="AC31" s="4">
        <f t="shared" si="1"/>
        <v>1.4444444444444444</v>
      </c>
      <c r="AD31" s="4">
        <f t="shared" si="2"/>
        <v>0</v>
      </c>
      <c r="AE31" s="4">
        <f t="shared" si="3"/>
        <v>0</v>
      </c>
      <c r="AF31" s="4">
        <f t="shared" si="4"/>
        <v>0</v>
      </c>
    </row>
    <row r="32" spans="1:32" x14ac:dyDescent="0.15">
      <c r="A32" s="8" t="s">
        <v>111</v>
      </c>
      <c r="B32" s="8" t="s">
        <v>128</v>
      </c>
      <c r="C32" s="8">
        <v>3</v>
      </c>
      <c r="D32" s="8">
        <v>1</v>
      </c>
      <c r="E32" s="8"/>
      <c r="F32" s="8"/>
      <c r="G32" s="8"/>
      <c r="H32" s="8"/>
      <c r="I32" s="8"/>
      <c r="AA32" s="4">
        <v>28</v>
      </c>
      <c r="AB32" s="4">
        <f t="shared" si="0"/>
        <v>5</v>
      </c>
      <c r="AC32" s="4">
        <f t="shared" si="1"/>
        <v>1.6666666666666665</v>
      </c>
      <c r="AD32" s="4">
        <f t="shared" si="2"/>
        <v>0</v>
      </c>
      <c r="AE32" s="4">
        <f t="shared" si="3"/>
        <v>0</v>
      </c>
      <c r="AF32" s="4">
        <f t="shared" si="4"/>
        <v>0</v>
      </c>
    </row>
    <row r="33" spans="1:32" x14ac:dyDescent="0.15">
      <c r="A33" s="8" t="s">
        <v>111</v>
      </c>
      <c r="B33" s="8" t="s">
        <v>129</v>
      </c>
      <c r="C33" s="8"/>
      <c r="D33" s="8">
        <v>5</v>
      </c>
      <c r="E33" s="8">
        <v>3</v>
      </c>
      <c r="F33" s="8"/>
      <c r="G33" s="8"/>
      <c r="H33" s="8">
        <v>4</v>
      </c>
      <c r="I33" s="8"/>
      <c r="AA33" s="4">
        <v>29</v>
      </c>
      <c r="AB33" s="4">
        <f t="shared" si="0"/>
        <v>5.6666666666666661</v>
      </c>
      <c r="AC33" s="4">
        <f t="shared" si="1"/>
        <v>1.8888888888888888</v>
      </c>
      <c r="AD33" s="4">
        <f t="shared" si="2"/>
        <v>0</v>
      </c>
      <c r="AE33" s="4">
        <f t="shared" si="3"/>
        <v>0</v>
      </c>
      <c r="AF33" s="4">
        <f t="shared" si="4"/>
        <v>0</v>
      </c>
    </row>
    <row r="34" spans="1:32" x14ac:dyDescent="0.15">
      <c r="A34" s="8" t="s">
        <v>112</v>
      </c>
      <c r="B34" s="8" t="s">
        <v>128</v>
      </c>
      <c r="C34" s="8"/>
      <c r="D34" s="8"/>
      <c r="E34" s="8">
        <v>10</v>
      </c>
      <c r="F34" s="8">
        <v>5</v>
      </c>
      <c r="G34" s="8"/>
      <c r="H34" s="8"/>
      <c r="I34" s="8"/>
      <c r="AA34" s="4">
        <v>30</v>
      </c>
      <c r="AB34" s="4">
        <f t="shared" si="0"/>
        <v>6.333333333333333</v>
      </c>
      <c r="AC34" s="4">
        <f t="shared" si="1"/>
        <v>2.1111111111111112</v>
      </c>
      <c r="AD34" s="4">
        <f t="shared" si="2"/>
        <v>0</v>
      </c>
      <c r="AE34" s="4">
        <f t="shared" si="3"/>
        <v>0</v>
      </c>
      <c r="AF34" s="4">
        <f t="shared" si="4"/>
        <v>0</v>
      </c>
    </row>
    <row r="35" spans="1:32" x14ac:dyDescent="0.15">
      <c r="A35" s="8" t="s">
        <v>112</v>
      </c>
      <c r="B35" s="8" t="s">
        <v>129</v>
      </c>
      <c r="C35" s="8"/>
      <c r="D35" s="8"/>
      <c r="E35" s="8"/>
      <c r="F35" s="8">
        <v>20</v>
      </c>
      <c r="G35" s="8">
        <v>7</v>
      </c>
      <c r="H35" s="8"/>
      <c r="I35" s="8">
        <v>4</v>
      </c>
      <c r="AA35" s="4">
        <v>31</v>
      </c>
      <c r="AB35" s="4">
        <f t="shared" si="0"/>
        <v>7</v>
      </c>
      <c r="AC35" s="4">
        <f t="shared" si="1"/>
        <v>2.333333333333333</v>
      </c>
      <c r="AD35" s="4">
        <f t="shared" si="2"/>
        <v>0</v>
      </c>
      <c r="AE35" s="4">
        <f t="shared" si="3"/>
        <v>0</v>
      </c>
      <c r="AF35" s="4">
        <f t="shared" si="4"/>
        <v>0</v>
      </c>
    </row>
    <row r="36" spans="1:32" x14ac:dyDescent="0.15">
      <c r="AA36" s="4">
        <v>32</v>
      </c>
      <c r="AB36" s="4">
        <f t="shared" si="0"/>
        <v>7.6666666666666661</v>
      </c>
      <c r="AC36" s="4">
        <f t="shared" si="1"/>
        <v>2.5555555555555554</v>
      </c>
      <c r="AD36" s="4">
        <f t="shared" si="2"/>
        <v>0</v>
      </c>
      <c r="AE36" s="4">
        <f t="shared" si="3"/>
        <v>0</v>
      </c>
      <c r="AF36" s="4">
        <f t="shared" si="4"/>
        <v>0</v>
      </c>
    </row>
    <row r="37" spans="1:32" x14ac:dyDescent="0.15">
      <c r="AA37" s="4">
        <v>33</v>
      </c>
      <c r="AB37" s="4">
        <f t="shared" si="0"/>
        <v>8.3333333333333321</v>
      </c>
      <c r="AC37" s="4">
        <f t="shared" si="1"/>
        <v>2.7777777777777777</v>
      </c>
      <c r="AD37" s="4">
        <f t="shared" si="2"/>
        <v>0</v>
      </c>
      <c r="AE37" s="4">
        <f t="shared" si="3"/>
        <v>0</v>
      </c>
      <c r="AF37" s="4">
        <f t="shared" si="4"/>
        <v>0</v>
      </c>
    </row>
    <row r="38" spans="1:32" x14ac:dyDescent="0.15">
      <c r="AA38" s="4">
        <v>34</v>
      </c>
      <c r="AB38" s="4">
        <f t="shared" si="0"/>
        <v>9</v>
      </c>
      <c r="AC38" s="4">
        <f t="shared" si="1"/>
        <v>3</v>
      </c>
      <c r="AD38" s="4">
        <f t="shared" si="2"/>
        <v>0</v>
      </c>
      <c r="AE38" s="4">
        <f t="shared" si="3"/>
        <v>0</v>
      </c>
      <c r="AF38" s="4">
        <f t="shared" si="4"/>
        <v>0</v>
      </c>
    </row>
    <row r="39" spans="1:32" x14ac:dyDescent="0.15">
      <c r="AA39" s="4">
        <v>35</v>
      </c>
      <c r="AB39" s="4">
        <f t="shared" si="0"/>
        <v>10</v>
      </c>
      <c r="AC39" s="4">
        <f t="shared" si="1"/>
        <v>4.166666666666667</v>
      </c>
      <c r="AD39" s="4">
        <f t="shared" si="2"/>
        <v>0.5</v>
      </c>
      <c r="AE39" s="4">
        <f t="shared" si="3"/>
        <v>0</v>
      </c>
      <c r="AF39" s="4">
        <f t="shared" si="4"/>
        <v>0</v>
      </c>
    </row>
    <row r="40" spans="1:32" x14ac:dyDescent="0.15">
      <c r="AA40" s="4">
        <v>36</v>
      </c>
      <c r="AB40" s="4">
        <f t="shared" si="0"/>
        <v>11</v>
      </c>
      <c r="AC40" s="4">
        <f t="shared" si="1"/>
        <v>5.3333333333333339</v>
      </c>
      <c r="AD40" s="4">
        <f t="shared" si="2"/>
        <v>1</v>
      </c>
      <c r="AE40" s="4">
        <f t="shared" si="3"/>
        <v>0</v>
      </c>
      <c r="AF40" s="4">
        <f t="shared" si="4"/>
        <v>0</v>
      </c>
    </row>
    <row r="41" spans="1:32" x14ac:dyDescent="0.15">
      <c r="AA41" s="4">
        <v>37</v>
      </c>
      <c r="AB41" s="4">
        <f t="shared" si="0"/>
        <v>12</v>
      </c>
      <c r="AC41" s="4">
        <f t="shared" si="1"/>
        <v>6.5</v>
      </c>
      <c r="AD41" s="4">
        <f t="shared" si="2"/>
        <v>1.5</v>
      </c>
      <c r="AE41" s="4">
        <f t="shared" si="3"/>
        <v>0</v>
      </c>
      <c r="AF41" s="4">
        <f t="shared" si="4"/>
        <v>0</v>
      </c>
    </row>
    <row r="42" spans="1:32" x14ac:dyDescent="0.15">
      <c r="AA42" s="4">
        <v>38</v>
      </c>
      <c r="AB42" s="4">
        <f t="shared" si="0"/>
        <v>13</v>
      </c>
      <c r="AC42" s="4">
        <f t="shared" si="1"/>
        <v>7.666666666666667</v>
      </c>
      <c r="AD42" s="4">
        <f t="shared" si="2"/>
        <v>2</v>
      </c>
      <c r="AE42" s="4">
        <f t="shared" si="3"/>
        <v>0</v>
      </c>
      <c r="AF42" s="4">
        <f t="shared" si="4"/>
        <v>0</v>
      </c>
    </row>
    <row r="43" spans="1:32" x14ac:dyDescent="0.15">
      <c r="AA43" s="4">
        <v>39</v>
      </c>
      <c r="AB43" s="4">
        <f t="shared" si="0"/>
        <v>14</v>
      </c>
      <c r="AC43" s="4">
        <f t="shared" si="1"/>
        <v>8.8333333333333339</v>
      </c>
      <c r="AD43" s="4">
        <f t="shared" si="2"/>
        <v>2.5</v>
      </c>
      <c r="AE43" s="4">
        <f t="shared" si="3"/>
        <v>0</v>
      </c>
      <c r="AF43" s="4">
        <f t="shared" si="4"/>
        <v>0</v>
      </c>
    </row>
    <row r="44" spans="1:32" x14ac:dyDescent="0.15">
      <c r="AA44" s="4">
        <v>40</v>
      </c>
      <c r="AB44" s="4">
        <f t="shared" si="0"/>
        <v>15</v>
      </c>
      <c r="AC44" s="4">
        <f t="shared" si="1"/>
        <v>10</v>
      </c>
      <c r="AD44" s="4">
        <f t="shared" si="2"/>
        <v>3</v>
      </c>
      <c r="AE44" s="4">
        <f t="shared" si="3"/>
        <v>0</v>
      </c>
      <c r="AF44" s="4">
        <f t="shared" si="4"/>
        <v>0</v>
      </c>
    </row>
    <row r="45" spans="1:32" x14ac:dyDescent="0.15">
      <c r="AA45" s="4">
        <v>41</v>
      </c>
      <c r="AB45" s="4">
        <f t="shared" si="0"/>
        <v>15.375</v>
      </c>
      <c r="AC45" s="4">
        <f t="shared" si="1"/>
        <v>11.375</v>
      </c>
      <c r="AD45" s="4">
        <f t="shared" si="2"/>
        <v>3.75</v>
      </c>
      <c r="AE45" s="4">
        <f t="shared" si="3"/>
        <v>0</v>
      </c>
      <c r="AF45" s="4">
        <f t="shared" si="4"/>
        <v>0</v>
      </c>
    </row>
    <row r="46" spans="1:32" x14ac:dyDescent="0.15">
      <c r="AA46" s="4">
        <v>42</v>
      </c>
      <c r="AB46" s="4">
        <f t="shared" si="0"/>
        <v>15.75</v>
      </c>
      <c r="AC46" s="4">
        <f t="shared" si="1"/>
        <v>12.75</v>
      </c>
      <c r="AD46" s="4">
        <f t="shared" si="2"/>
        <v>4.5</v>
      </c>
      <c r="AE46" s="4">
        <f t="shared" si="3"/>
        <v>0</v>
      </c>
      <c r="AF46" s="4">
        <f t="shared" si="4"/>
        <v>0</v>
      </c>
    </row>
    <row r="47" spans="1:32" x14ac:dyDescent="0.15">
      <c r="AA47" s="4">
        <v>43</v>
      </c>
      <c r="AB47" s="4">
        <f t="shared" si="0"/>
        <v>16.125</v>
      </c>
      <c r="AC47" s="4">
        <f t="shared" si="1"/>
        <v>14.125</v>
      </c>
      <c r="AD47" s="4">
        <f t="shared" si="2"/>
        <v>5.25</v>
      </c>
      <c r="AE47" s="4">
        <f t="shared" si="3"/>
        <v>0</v>
      </c>
      <c r="AF47" s="4">
        <f t="shared" si="4"/>
        <v>0</v>
      </c>
    </row>
    <row r="48" spans="1:32" x14ac:dyDescent="0.15">
      <c r="AA48" s="4">
        <v>44</v>
      </c>
      <c r="AB48" s="4">
        <f t="shared" si="0"/>
        <v>16.5</v>
      </c>
      <c r="AC48" s="4">
        <f t="shared" si="1"/>
        <v>15.5</v>
      </c>
      <c r="AD48" s="4">
        <f t="shared" si="2"/>
        <v>6</v>
      </c>
      <c r="AE48" s="4">
        <f t="shared" si="3"/>
        <v>0</v>
      </c>
      <c r="AF48" s="4">
        <f t="shared" si="4"/>
        <v>0</v>
      </c>
    </row>
    <row r="49" spans="27:32" x14ac:dyDescent="0.15">
      <c r="AA49" s="4">
        <v>45</v>
      </c>
      <c r="AB49" s="4">
        <f t="shared" si="0"/>
        <v>16.875</v>
      </c>
      <c r="AC49" s="4">
        <f t="shared" si="1"/>
        <v>16.875</v>
      </c>
      <c r="AD49" s="4">
        <f t="shared" si="2"/>
        <v>6.75</v>
      </c>
      <c r="AE49" s="4">
        <f t="shared" si="3"/>
        <v>0</v>
      </c>
      <c r="AF49" s="4">
        <f t="shared" si="4"/>
        <v>0</v>
      </c>
    </row>
    <row r="50" spans="27:32" x14ac:dyDescent="0.15">
      <c r="AA50" s="4">
        <v>46</v>
      </c>
      <c r="AB50" s="4">
        <f t="shared" si="0"/>
        <v>17.25</v>
      </c>
      <c r="AC50" s="4">
        <f t="shared" si="1"/>
        <v>18.25</v>
      </c>
      <c r="AD50" s="4">
        <f t="shared" si="2"/>
        <v>7.5</v>
      </c>
      <c r="AE50" s="4">
        <f t="shared" si="3"/>
        <v>0</v>
      </c>
      <c r="AF50" s="4">
        <f t="shared" si="4"/>
        <v>0</v>
      </c>
    </row>
    <row r="51" spans="27:32" x14ac:dyDescent="0.15">
      <c r="AA51" s="4">
        <v>47</v>
      </c>
      <c r="AB51" s="4">
        <f t="shared" si="0"/>
        <v>17.625</v>
      </c>
      <c r="AC51" s="4">
        <f t="shared" si="1"/>
        <v>19.625</v>
      </c>
      <c r="AD51" s="4">
        <f t="shared" si="2"/>
        <v>8.25</v>
      </c>
      <c r="AE51" s="4">
        <f t="shared" si="3"/>
        <v>0</v>
      </c>
      <c r="AF51" s="4">
        <f t="shared" si="4"/>
        <v>0</v>
      </c>
    </row>
    <row r="52" spans="27:32" x14ac:dyDescent="0.15">
      <c r="AA52" s="4">
        <v>48</v>
      </c>
      <c r="AB52" s="4">
        <f t="shared" si="0"/>
        <v>18</v>
      </c>
      <c r="AC52" s="4">
        <f t="shared" si="1"/>
        <v>21</v>
      </c>
      <c r="AD52" s="4">
        <f t="shared" si="2"/>
        <v>9</v>
      </c>
      <c r="AE52" s="4">
        <f t="shared" si="3"/>
        <v>0</v>
      </c>
      <c r="AF52" s="4">
        <f t="shared" si="4"/>
        <v>0</v>
      </c>
    </row>
    <row r="53" spans="27:32" x14ac:dyDescent="0.15">
      <c r="AA53" s="4">
        <v>49</v>
      </c>
      <c r="AB53" s="4">
        <f t="shared" si="0"/>
        <v>17.399999999999999</v>
      </c>
      <c r="AC53" s="4">
        <f t="shared" si="1"/>
        <v>22.8</v>
      </c>
      <c r="AD53" s="4">
        <f t="shared" si="2"/>
        <v>10.199999999999999</v>
      </c>
      <c r="AE53" s="4">
        <f t="shared" si="3"/>
        <v>0</v>
      </c>
      <c r="AF53" s="4">
        <f t="shared" si="4"/>
        <v>0</v>
      </c>
    </row>
    <row r="54" spans="27:32" x14ac:dyDescent="0.15">
      <c r="AA54" s="4">
        <v>50</v>
      </c>
      <c r="AB54" s="4">
        <f t="shared" si="0"/>
        <v>16.8</v>
      </c>
      <c r="AC54" s="4">
        <f t="shared" si="1"/>
        <v>24.6</v>
      </c>
      <c r="AD54" s="4">
        <f t="shared" si="2"/>
        <v>11.4</v>
      </c>
      <c r="AE54" s="4">
        <f t="shared" si="3"/>
        <v>0</v>
      </c>
      <c r="AF54" s="4">
        <f t="shared" si="4"/>
        <v>0</v>
      </c>
    </row>
    <row r="55" spans="27:32" x14ac:dyDescent="0.15">
      <c r="AA55" s="4">
        <v>51</v>
      </c>
      <c r="AB55" s="4">
        <f t="shared" si="0"/>
        <v>16.2</v>
      </c>
      <c r="AC55" s="4">
        <f t="shared" si="1"/>
        <v>26.4</v>
      </c>
      <c r="AD55" s="4">
        <f t="shared" si="2"/>
        <v>12.6</v>
      </c>
      <c r="AE55" s="4">
        <f t="shared" si="3"/>
        <v>0</v>
      </c>
      <c r="AF55" s="4">
        <f t="shared" si="4"/>
        <v>0</v>
      </c>
    </row>
    <row r="56" spans="27:32" x14ac:dyDescent="0.15">
      <c r="AA56" s="4">
        <v>52</v>
      </c>
      <c r="AB56" s="4">
        <f t="shared" si="0"/>
        <v>15.6</v>
      </c>
      <c r="AC56" s="4">
        <f t="shared" si="1"/>
        <v>28.2</v>
      </c>
      <c r="AD56" s="4">
        <f t="shared" si="2"/>
        <v>13.8</v>
      </c>
      <c r="AE56" s="4">
        <f t="shared" si="3"/>
        <v>0</v>
      </c>
      <c r="AF56" s="4">
        <f t="shared" si="4"/>
        <v>0</v>
      </c>
    </row>
    <row r="57" spans="27:32" x14ac:dyDescent="0.15">
      <c r="AA57" s="4">
        <v>53</v>
      </c>
      <c r="AB57" s="4">
        <f t="shared" si="0"/>
        <v>15</v>
      </c>
      <c r="AC57" s="4">
        <f t="shared" si="1"/>
        <v>30</v>
      </c>
      <c r="AD57" s="4">
        <f t="shared" si="2"/>
        <v>15</v>
      </c>
      <c r="AE57" s="4">
        <f t="shared" si="3"/>
        <v>0</v>
      </c>
      <c r="AF57" s="4">
        <f t="shared" si="4"/>
        <v>0</v>
      </c>
    </row>
    <row r="58" spans="27:32" x14ac:dyDescent="0.15">
      <c r="AA58" s="4">
        <v>54</v>
      </c>
      <c r="AB58" s="4">
        <f t="shared" si="0"/>
        <v>15.2</v>
      </c>
      <c r="AC58" s="4">
        <f t="shared" si="1"/>
        <v>30.4</v>
      </c>
      <c r="AD58" s="4">
        <f t="shared" si="2"/>
        <v>15.866666666666667</v>
      </c>
      <c r="AE58" s="4">
        <f t="shared" si="3"/>
        <v>0.33333333333333331</v>
      </c>
      <c r="AF58" s="4">
        <f t="shared" si="4"/>
        <v>0</v>
      </c>
    </row>
    <row r="59" spans="27:32" x14ac:dyDescent="0.15">
      <c r="AA59" s="4">
        <v>55</v>
      </c>
      <c r="AB59" s="4">
        <f t="shared" si="0"/>
        <v>15.4</v>
      </c>
      <c r="AC59" s="4">
        <f t="shared" si="1"/>
        <v>30.8</v>
      </c>
      <c r="AD59" s="4">
        <f t="shared" si="2"/>
        <v>16.733333333333334</v>
      </c>
      <c r="AE59" s="4">
        <f t="shared" si="3"/>
        <v>0.66666666666666663</v>
      </c>
      <c r="AF59" s="4">
        <f t="shared" si="4"/>
        <v>0</v>
      </c>
    </row>
    <row r="60" spans="27:32" x14ac:dyDescent="0.15">
      <c r="AA60" s="4">
        <v>56</v>
      </c>
      <c r="AB60" s="4">
        <f t="shared" si="0"/>
        <v>15.6</v>
      </c>
      <c r="AC60" s="4">
        <f t="shared" si="1"/>
        <v>31.2</v>
      </c>
      <c r="AD60" s="4">
        <f t="shared" si="2"/>
        <v>17.600000000000001</v>
      </c>
      <c r="AE60" s="4">
        <f t="shared" si="3"/>
        <v>1</v>
      </c>
      <c r="AF60" s="4">
        <f t="shared" si="4"/>
        <v>0</v>
      </c>
    </row>
    <row r="61" spans="27:32" x14ac:dyDescent="0.15">
      <c r="AA61" s="4">
        <v>57</v>
      </c>
      <c r="AB61" s="4">
        <f t="shared" si="0"/>
        <v>15.8</v>
      </c>
      <c r="AC61" s="4">
        <f t="shared" si="1"/>
        <v>31.6</v>
      </c>
      <c r="AD61" s="4">
        <f t="shared" si="2"/>
        <v>18.466666666666669</v>
      </c>
      <c r="AE61" s="4">
        <f t="shared" si="3"/>
        <v>1.3333333333333333</v>
      </c>
      <c r="AF61" s="4">
        <f t="shared" si="4"/>
        <v>0</v>
      </c>
    </row>
    <row r="62" spans="27:32" x14ac:dyDescent="0.15">
      <c r="AA62" s="4">
        <v>58</v>
      </c>
      <c r="AB62" s="4">
        <f t="shared" si="0"/>
        <v>16</v>
      </c>
      <c r="AC62" s="4">
        <f t="shared" si="1"/>
        <v>32</v>
      </c>
      <c r="AD62" s="4">
        <f t="shared" si="2"/>
        <v>19.333333333333336</v>
      </c>
      <c r="AE62" s="4">
        <f t="shared" si="3"/>
        <v>1.6666666666666665</v>
      </c>
      <c r="AF62" s="4">
        <f t="shared" si="4"/>
        <v>0</v>
      </c>
    </row>
    <row r="63" spans="27:32" x14ac:dyDescent="0.15">
      <c r="AA63" s="4">
        <v>59</v>
      </c>
      <c r="AB63" s="4">
        <f t="shared" si="0"/>
        <v>16.2</v>
      </c>
      <c r="AC63" s="4">
        <f t="shared" si="1"/>
        <v>32.4</v>
      </c>
      <c r="AD63" s="4">
        <f t="shared" si="2"/>
        <v>20.2</v>
      </c>
      <c r="AE63" s="4">
        <f t="shared" si="3"/>
        <v>2</v>
      </c>
      <c r="AF63" s="4">
        <f t="shared" si="4"/>
        <v>0</v>
      </c>
    </row>
    <row r="64" spans="27:32" x14ac:dyDescent="0.15">
      <c r="AA64" s="4">
        <v>60</v>
      </c>
      <c r="AB64" s="4">
        <f t="shared" si="0"/>
        <v>16.399999999999999</v>
      </c>
      <c r="AC64" s="4">
        <f t="shared" si="1"/>
        <v>32.799999999999997</v>
      </c>
      <c r="AD64" s="4">
        <f t="shared" si="2"/>
        <v>21.066666666666666</v>
      </c>
      <c r="AE64" s="4">
        <f t="shared" si="3"/>
        <v>2.333333333333333</v>
      </c>
      <c r="AF64" s="4">
        <f t="shared" si="4"/>
        <v>0</v>
      </c>
    </row>
    <row r="65" spans="27:32" x14ac:dyDescent="0.15">
      <c r="AA65" s="4">
        <v>61</v>
      </c>
      <c r="AB65" s="4">
        <f t="shared" si="0"/>
        <v>16.600000000000001</v>
      </c>
      <c r="AC65" s="4">
        <f t="shared" si="1"/>
        <v>33.200000000000003</v>
      </c>
      <c r="AD65" s="4">
        <f t="shared" si="2"/>
        <v>21.933333333333334</v>
      </c>
      <c r="AE65" s="4">
        <f t="shared" si="3"/>
        <v>2.6666666666666665</v>
      </c>
      <c r="AF65" s="4">
        <f t="shared" si="4"/>
        <v>0</v>
      </c>
    </row>
    <row r="66" spans="27:32" x14ac:dyDescent="0.15">
      <c r="AA66" s="4">
        <v>62</v>
      </c>
      <c r="AB66" s="4">
        <f t="shared" si="0"/>
        <v>16.8</v>
      </c>
      <c r="AC66" s="4">
        <f t="shared" si="1"/>
        <v>33.6</v>
      </c>
      <c r="AD66" s="4">
        <f t="shared" si="2"/>
        <v>22.8</v>
      </c>
      <c r="AE66" s="4">
        <f t="shared" si="3"/>
        <v>3</v>
      </c>
      <c r="AF66" s="4">
        <f t="shared" si="4"/>
        <v>0</v>
      </c>
    </row>
    <row r="67" spans="27:32" x14ac:dyDescent="0.15">
      <c r="AA67" s="4">
        <v>63</v>
      </c>
      <c r="AB67" s="4">
        <f t="shared" si="0"/>
        <v>17</v>
      </c>
      <c r="AC67" s="4">
        <f t="shared" si="1"/>
        <v>34</v>
      </c>
      <c r="AD67" s="4">
        <f t="shared" si="2"/>
        <v>23.666666666666668</v>
      </c>
      <c r="AE67" s="4">
        <f t="shared" si="3"/>
        <v>3.333333333333333</v>
      </c>
      <c r="AF67" s="4">
        <f t="shared" si="4"/>
        <v>0</v>
      </c>
    </row>
    <row r="68" spans="27:32" x14ac:dyDescent="0.15">
      <c r="AA68" s="4">
        <v>64</v>
      </c>
      <c r="AB68" s="4">
        <f t="shared" si="0"/>
        <v>17.2</v>
      </c>
      <c r="AC68" s="4">
        <f t="shared" si="1"/>
        <v>34.4</v>
      </c>
      <c r="AD68" s="4">
        <f t="shared" si="2"/>
        <v>24.533333333333331</v>
      </c>
      <c r="AE68" s="4">
        <f t="shared" si="3"/>
        <v>3.6666666666666665</v>
      </c>
      <c r="AF68" s="4">
        <f t="shared" si="4"/>
        <v>0</v>
      </c>
    </row>
    <row r="69" spans="27:32" x14ac:dyDescent="0.15">
      <c r="AA69" s="4">
        <v>65</v>
      </c>
      <c r="AB69" s="4">
        <f t="shared" si="0"/>
        <v>17.399999999999999</v>
      </c>
      <c r="AC69" s="4">
        <f t="shared" si="1"/>
        <v>34.799999999999997</v>
      </c>
      <c r="AD69" s="4">
        <f t="shared" si="2"/>
        <v>25.4</v>
      </c>
      <c r="AE69" s="4">
        <f t="shared" si="3"/>
        <v>4</v>
      </c>
      <c r="AF69" s="4">
        <f t="shared" si="4"/>
        <v>0</v>
      </c>
    </row>
    <row r="70" spans="27:32" x14ac:dyDescent="0.15">
      <c r="AA70" s="4">
        <v>66</v>
      </c>
      <c r="AB70" s="4">
        <f t="shared" ref="AB70:AB104" si="12">求节点($Q$8:$Q$14,S$8:S$14,$AA70)</f>
        <v>17.600000000000001</v>
      </c>
      <c r="AC70" s="4">
        <f t="shared" ref="AC70:AC104" si="13">求节点($Q$8:$Q$14,T$8:T$14,$AA70)</f>
        <v>35.200000000000003</v>
      </c>
      <c r="AD70" s="4">
        <f t="shared" ref="AD70:AD104" si="14">求节点($Q$8:$Q$14,U$8:U$14,$AA70)</f>
        <v>26.266666666666666</v>
      </c>
      <c r="AE70" s="4">
        <f t="shared" ref="AE70:AE104" si="15">求节点($Q$8:$Q$14,V$8:V$14,$AA70)</f>
        <v>4.333333333333333</v>
      </c>
      <c r="AF70" s="4">
        <f t="shared" ref="AF70:AF104" si="16">求节点($Q$8:$Q$14,W$8:W$14,$AA70)</f>
        <v>0</v>
      </c>
    </row>
    <row r="71" spans="27:32" x14ac:dyDescent="0.15">
      <c r="AA71" s="4">
        <v>67</v>
      </c>
      <c r="AB71" s="4">
        <f t="shared" si="12"/>
        <v>17.8</v>
      </c>
      <c r="AC71" s="4">
        <f t="shared" si="13"/>
        <v>35.6</v>
      </c>
      <c r="AD71" s="4">
        <f t="shared" si="14"/>
        <v>27.133333333333333</v>
      </c>
      <c r="AE71" s="4">
        <f t="shared" si="15"/>
        <v>4.6666666666666661</v>
      </c>
      <c r="AF71" s="4">
        <f t="shared" si="16"/>
        <v>0</v>
      </c>
    </row>
    <row r="72" spans="27:32" x14ac:dyDescent="0.15">
      <c r="AA72" s="4">
        <v>68</v>
      </c>
      <c r="AB72" s="4">
        <f t="shared" si="12"/>
        <v>18</v>
      </c>
      <c r="AC72" s="4">
        <f t="shared" si="13"/>
        <v>36</v>
      </c>
      <c r="AD72" s="4">
        <f t="shared" si="14"/>
        <v>28</v>
      </c>
      <c r="AE72" s="4">
        <f t="shared" si="15"/>
        <v>5</v>
      </c>
      <c r="AF72" s="4">
        <f t="shared" si="16"/>
        <v>0</v>
      </c>
    </row>
    <row r="73" spans="27:32" x14ac:dyDescent="0.15">
      <c r="AA73" s="4">
        <v>69</v>
      </c>
      <c r="AB73" s="4">
        <f t="shared" si="12"/>
        <v>18.9375</v>
      </c>
      <c r="AC73" s="4">
        <f t="shared" si="13"/>
        <v>37.875</v>
      </c>
      <c r="AD73" s="4">
        <f t="shared" si="14"/>
        <v>28.9375</v>
      </c>
      <c r="AE73" s="4">
        <f t="shared" si="15"/>
        <v>6.25</v>
      </c>
      <c r="AF73" s="4">
        <f t="shared" si="16"/>
        <v>0.4375</v>
      </c>
    </row>
    <row r="74" spans="27:32" x14ac:dyDescent="0.15">
      <c r="AA74" s="4">
        <v>70</v>
      </c>
      <c r="AB74" s="4">
        <f t="shared" si="12"/>
        <v>19.875</v>
      </c>
      <c r="AC74" s="4">
        <f t="shared" si="13"/>
        <v>39.75</v>
      </c>
      <c r="AD74" s="4">
        <f t="shared" si="14"/>
        <v>29.875</v>
      </c>
      <c r="AE74" s="4">
        <f t="shared" si="15"/>
        <v>7.5</v>
      </c>
      <c r="AF74" s="4">
        <f t="shared" si="16"/>
        <v>0.875</v>
      </c>
    </row>
    <row r="75" spans="27:32" x14ac:dyDescent="0.15">
      <c r="AA75" s="4">
        <v>71</v>
      </c>
      <c r="AB75" s="4">
        <f t="shared" si="12"/>
        <v>20.8125</v>
      </c>
      <c r="AC75" s="4">
        <f t="shared" si="13"/>
        <v>41.625</v>
      </c>
      <c r="AD75" s="4">
        <f t="shared" si="14"/>
        <v>30.8125</v>
      </c>
      <c r="AE75" s="4">
        <f t="shared" si="15"/>
        <v>8.75</v>
      </c>
      <c r="AF75" s="4">
        <f t="shared" si="16"/>
        <v>1.3125</v>
      </c>
    </row>
    <row r="76" spans="27:32" x14ac:dyDescent="0.15">
      <c r="AA76" s="4">
        <v>72</v>
      </c>
      <c r="AB76" s="4">
        <f t="shared" si="12"/>
        <v>21.75</v>
      </c>
      <c r="AC76" s="4">
        <f t="shared" si="13"/>
        <v>43.5</v>
      </c>
      <c r="AD76" s="4">
        <f t="shared" si="14"/>
        <v>31.75</v>
      </c>
      <c r="AE76" s="4">
        <f t="shared" si="15"/>
        <v>10</v>
      </c>
      <c r="AF76" s="4">
        <f t="shared" si="16"/>
        <v>1.75</v>
      </c>
    </row>
    <row r="77" spans="27:32" x14ac:dyDescent="0.15">
      <c r="AA77" s="4">
        <v>73</v>
      </c>
      <c r="AB77" s="4">
        <f t="shared" si="12"/>
        <v>22.6875</v>
      </c>
      <c r="AC77" s="4">
        <f t="shared" si="13"/>
        <v>45.375</v>
      </c>
      <c r="AD77" s="4">
        <f t="shared" si="14"/>
        <v>32.6875</v>
      </c>
      <c r="AE77" s="4">
        <f t="shared" si="15"/>
        <v>11.25</v>
      </c>
      <c r="AF77" s="4">
        <f t="shared" si="16"/>
        <v>2.1875</v>
      </c>
    </row>
    <row r="78" spans="27:32" x14ac:dyDescent="0.15">
      <c r="AA78" s="4">
        <v>74</v>
      </c>
      <c r="AB78" s="4">
        <f t="shared" si="12"/>
        <v>23.625</v>
      </c>
      <c r="AC78" s="4">
        <f t="shared" si="13"/>
        <v>47.25</v>
      </c>
      <c r="AD78" s="4">
        <f t="shared" si="14"/>
        <v>33.625</v>
      </c>
      <c r="AE78" s="4">
        <f t="shared" si="15"/>
        <v>12.5</v>
      </c>
      <c r="AF78" s="4">
        <f t="shared" si="16"/>
        <v>2.625</v>
      </c>
    </row>
    <row r="79" spans="27:32" x14ac:dyDescent="0.15">
      <c r="AA79" s="4">
        <v>75</v>
      </c>
      <c r="AB79" s="4">
        <f t="shared" si="12"/>
        <v>24.5625</v>
      </c>
      <c r="AC79" s="4">
        <f t="shared" si="13"/>
        <v>49.125</v>
      </c>
      <c r="AD79" s="4">
        <f t="shared" si="14"/>
        <v>34.5625</v>
      </c>
      <c r="AE79" s="4">
        <f t="shared" si="15"/>
        <v>13.75</v>
      </c>
      <c r="AF79" s="4">
        <f t="shared" si="16"/>
        <v>3.0625</v>
      </c>
    </row>
    <row r="80" spans="27:32" x14ac:dyDescent="0.15">
      <c r="AA80" s="4">
        <v>76</v>
      </c>
      <c r="AB80" s="4">
        <f t="shared" si="12"/>
        <v>25.5</v>
      </c>
      <c r="AC80" s="4">
        <f t="shared" si="13"/>
        <v>51</v>
      </c>
      <c r="AD80" s="4">
        <f t="shared" si="14"/>
        <v>35.5</v>
      </c>
      <c r="AE80" s="4">
        <f t="shared" si="15"/>
        <v>15</v>
      </c>
      <c r="AF80" s="4">
        <f t="shared" si="16"/>
        <v>3.5</v>
      </c>
    </row>
    <row r="81" spans="27:32" x14ac:dyDescent="0.15">
      <c r="AA81" s="4">
        <v>77</v>
      </c>
      <c r="AB81" s="4">
        <f t="shared" si="12"/>
        <v>26.4375</v>
      </c>
      <c r="AC81" s="4">
        <f t="shared" si="13"/>
        <v>52.875</v>
      </c>
      <c r="AD81" s="4">
        <f t="shared" si="14"/>
        <v>36.4375</v>
      </c>
      <c r="AE81" s="4">
        <f t="shared" si="15"/>
        <v>16.25</v>
      </c>
      <c r="AF81" s="4">
        <f t="shared" si="16"/>
        <v>3.9375</v>
      </c>
    </row>
    <row r="82" spans="27:32" x14ac:dyDescent="0.15">
      <c r="AA82" s="4">
        <v>78</v>
      </c>
      <c r="AB82" s="4">
        <f t="shared" si="12"/>
        <v>27.375</v>
      </c>
      <c r="AC82" s="4">
        <f t="shared" si="13"/>
        <v>54.75</v>
      </c>
      <c r="AD82" s="4">
        <f t="shared" si="14"/>
        <v>37.375</v>
      </c>
      <c r="AE82" s="4">
        <f t="shared" si="15"/>
        <v>17.5</v>
      </c>
      <c r="AF82" s="4">
        <f t="shared" si="16"/>
        <v>4.375</v>
      </c>
    </row>
    <row r="83" spans="27:32" x14ac:dyDescent="0.15">
      <c r="AA83" s="4">
        <v>79</v>
      </c>
      <c r="AB83" s="4">
        <f t="shared" si="12"/>
        <v>28.3125</v>
      </c>
      <c r="AC83" s="4">
        <f t="shared" si="13"/>
        <v>56.625</v>
      </c>
      <c r="AD83" s="4">
        <f t="shared" si="14"/>
        <v>38.3125</v>
      </c>
      <c r="AE83" s="4">
        <f t="shared" si="15"/>
        <v>18.75</v>
      </c>
      <c r="AF83" s="4">
        <f t="shared" si="16"/>
        <v>4.8125</v>
      </c>
    </row>
    <row r="84" spans="27:32" x14ac:dyDescent="0.15">
      <c r="AA84" s="4">
        <v>80</v>
      </c>
      <c r="AB84" s="4">
        <f t="shared" si="12"/>
        <v>29.25</v>
      </c>
      <c r="AC84" s="4">
        <f t="shared" si="13"/>
        <v>58.5</v>
      </c>
      <c r="AD84" s="4">
        <f t="shared" si="14"/>
        <v>39.25</v>
      </c>
      <c r="AE84" s="4">
        <f t="shared" si="15"/>
        <v>20</v>
      </c>
      <c r="AF84" s="4">
        <f t="shared" si="16"/>
        <v>5.25</v>
      </c>
    </row>
    <row r="85" spans="27:32" x14ac:dyDescent="0.15">
      <c r="AA85" s="4">
        <v>81</v>
      </c>
      <c r="AB85" s="4">
        <f t="shared" si="12"/>
        <v>30.1875</v>
      </c>
      <c r="AC85" s="4">
        <f t="shared" si="13"/>
        <v>60.375</v>
      </c>
      <c r="AD85" s="4">
        <f t="shared" si="14"/>
        <v>40.1875</v>
      </c>
      <c r="AE85" s="4">
        <f t="shared" si="15"/>
        <v>21.25</v>
      </c>
      <c r="AF85" s="4">
        <f t="shared" si="16"/>
        <v>5.6875</v>
      </c>
    </row>
    <row r="86" spans="27:32" x14ac:dyDescent="0.15">
      <c r="AA86" s="4">
        <v>82</v>
      </c>
      <c r="AB86" s="4">
        <f t="shared" si="12"/>
        <v>31.125</v>
      </c>
      <c r="AC86" s="4">
        <f t="shared" si="13"/>
        <v>62.25</v>
      </c>
      <c r="AD86" s="4">
        <f t="shared" si="14"/>
        <v>41.125</v>
      </c>
      <c r="AE86" s="4">
        <f t="shared" si="15"/>
        <v>22.5</v>
      </c>
      <c r="AF86" s="4">
        <f t="shared" si="16"/>
        <v>6.125</v>
      </c>
    </row>
    <row r="87" spans="27:32" x14ac:dyDescent="0.15">
      <c r="AA87" s="4">
        <v>83</v>
      </c>
      <c r="AB87" s="4">
        <f t="shared" si="12"/>
        <v>32.0625</v>
      </c>
      <c r="AC87" s="4">
        <f t="shared" si="13"/>
        <v>64.125</v>
      </c>
      <c r="AD87" s="4">
        <f t="shared" si="14"/>
        <v>42.0625</v>
      </c>
      <c r="AE87" s="4">
        <f t="shared" si="15"/>
        <v>23.75</v>
      </c>
      <c r="AF87" s="4">
        <f t="shared" si="16"/>
        <v>6.5625</v>
      </c>
    </row>
    <row r="88" spans="27:32" x14ac:dyDescent="0.15">
      <c r="AA88" s="4">
        <v>84</v>
      </c>
      <c r="AB88" s="4">
        <f t="shared" si="12"/>
        <v>33</v>
      </c>
      <c r="AC88" s="4">
        <f t="shared" si="13"/>
        <v>66</v>
      </c>
      <c r="AD88" s="4">
        <f t="shared" si="14"/>
        <v>43</v>
      </c>
      <c r="AE88" s="4">
        <f t="shared" si="15"/>
        <v>25</v>
      </c>
      <c r="AF88" s="4">
        <f t="shared" si="16"/>
        <v>7</v>
      </c>
    </row>
    <row r="89" spans="27:32" x14ac:dyDescent="0.15">
      <c r="AA89" s="4">
        <v>85</v>
      </c>
      <c r="AB89" s="4">
        <f t="shared" si="12"/>
        <v>33</v>
      </c>
      <c r="AC89" s="4">
        <f t="shared" si="13"/>
        <v>66</v>
      </c>
      <c r="AD89" s="4">
        <f t="shared" si="14"/>
        <v>43</v>
      </c>
      <c r="AE89" s="4">
        <f t="shared" si="15"/>
        <v>25</v>
      </c>
      <c r="AF89" s="4">
        <f t="shared" si="16"/>
        <v>7</v>
      </c>
    </row>
    <row r="90" spans="27:32" x14ac:dyDescent="0.15">
      <c r="AA90" s="4">
        <v>86</v>
      </c>
      <c r="AB90" s="4">
        <f t="shared" si="12"/>
        <v>33</v>
      </c>
      <c r="AC90" s="4">
        <f t="shared" si="13"/>
        <v>66</v>
      </c>
      <c r="AD90" s="4">
        <f t="shared" si="14"/>
        <v>43</v>
      </c>
      <c r="AE90" s="4">
        <f t="shared" si="15"/>
        <v>25</v>
      </c>
      <c r="AF90" s="4">
        <f t="shared" si="16"/>
        <v>7</v>
      </c>
    </row>
    <row r="91" spans="27:32" x14ac:dyDescent="0.15">
      <c r="AA91" s="4">
        <v>87</v>
      </c>
      <c r="AB91" s="4">
        <f t="shared" si="12"/>
        <v>33</v>
      </c>
      <c r="AC91" s="4">
        <f t="shared" si="13"/>
        <v>66</v>
      </c>
      <c r="AD91" s="4">
        <f t="shared" si="14"/>
        <v>43</v>
      </c>
      <c r="AE91" s="4">
        <f t="shared" si="15"/>
        <v>25</v>
      </c>
      <c r="AF91" s="4">
        <f t="shared" si="16"/>
        <v>7</v>
      </c>
    </row>
    <row r="92" spans="27:32" x14ac:dyDescent="0.15">
      <c r="AA92" s="4">
        <v>88</v>
      </c>
      <c r="AB92" s="4">
        <f t="shared" si="12"/>
        <v>33</v>
      </c>
      <c r="AC92" s="4">
        <f t="shared" si="13"/>
        <v>66</v>
      </c>
      <c r="AD92" s="4">
        <f t="shared" si="14"/>
        <v>43</v>
      </c>
      <c r="AE92" s="4">
        <f t="shared" si="15"/>
        <v>25</v>
      </c>
      <c r="AF92" s="4">
        <f t="shared" si="16"/>
        <v>7</v>
      </c>
    </row>
    <row r="93" spans="27:32" x14ac:dyDescent="0.15">
      <c r="AA93" s="4">
        <v>89</v>
      </c>
      <c r="AB93" s="4">
        <f t="shared" si="12"/>
        <v>33</v>
      </c>
      <c r="AC93" s="4">
        <f t="shared" si="13"/>
        <v>66</v>
      </c>
      <c r="AD93" s="4">
        <f t="shared" si="14"/>
        <v>43</v>
      </c>
      <c r="AE93" s="4">
        <f t="shared" si="15"/>
        <v>25</v>
      </c>
      <c r="AF93" s="4">
        <f t="shared" si="16"/>
        <v>7</v>
      </c>
    </row>
    <row r="94" spans="27:32" x14ac:dyDescent="0.15">
      <c r="AA94" s="4">
        <v>90</v>
      </c>
      <c r="AB94" s="4">
        <f t="shared" si="12"/>
        <v>33</v>
      </c>
      <c r="AC94" s="4">
        <f t="shared" si="13"/>
        <v>66</v>
      </c>
      <c r="AD94" s="4">
        <f t="shared" si="14"/>
        <v>43</v>
      </c>
      <c r="AE94" s="4">
        <f t="shared" si="15"/>
        <v>25</v>
      </c>
      <c r="AF94" s="4">
        <f t="shared" si="16"/>
        <v>7</v>
      </c>
    </row>
    <row r="95" spans="27:32" x14ac:dyDescent="0.15">
      <c r="AA95" s="4">
        <v>91</v>
      </c>
      <c r="AB95" s="4">
        <f t="shared" si="12"/>
        <v>33</v>
      </c>
      <c r="AC95" s="4">
        <f t="shared" si="13"/>
        <v>66</v>
      </c>
      <c r="AD95" s="4">
        <f t="shared" si="14"/>
        <v>43</v>
      </c>
      <c r="AE95" s="4">
        <f t="shared" si="15"/>
        <v>25</v>
      </c>
      <c r="AF95" s="4">
        <f t="shared" si="16"/>
        <v>7</v>
      </c>
    </row>
    <row r="96" spans="27:32" x14ac:dyDescent="0.15">
      <c r="AA96" s="4">
        <v>92</v>
      </c>
      <c r="AB96" s="4">
        <f t="shared" si="12"/>
        <v>33</v>
      </c>
      <c r="AC96" s="4">
        <f t="shared" si="13"/>
        <v>66</v>
      </c>
      <c r="AD96" s="4">
        <f t="shared" si="14"/>
        <v>43</v>
      </c>
      <c r="AE96" s="4">
        <f t="shared" si="15"/>
        <v>25</v>
      </c>
      <c r="AF96" s="4">
        <f t="shared" si="16"/>
        <v>7</v>
      </c>
    </row>
    <row r="97" spans="27:32" x14ac:dyDescent="0.15">
      <c r="AA97" s="4">
        <v>93</v>
      </c>
      <c r="AB97" s="4">
        <f t="shared" si="12"/>
        <v>33</v>
      </c>
      <c r="AC97" s="4">
        <f t="shared" si="13"/>
        <v>66</v>
      </c>
      <c r="AD97" s="4">
        <f t="shared" si="14"/>
        <v>43</v>
      </c>
      <c r="AE97" s="4">
        <f t="shared" si="15"/>
        <v>25</v>
      </c>
      <c r="AF97" s="4">
        <f t="shared" si="16"/>
        <v>7</v>
      </c>
    </row>
    <row r="98" spans="27:32" x14ac:dyDescent="0.15">
      <c r="AA98" s="4">
        <v>94</v>
      </c>
      <c r="AB98" s="4">
        <f t="shared" si="12"/>
        <v>33</v>
      </c>
      <c r="AC98" s="4">
        <f t="shared" si="13"/>
        <v>66</v>
      </c>
      <c r="AD98" s="4">
        <f t="shared" si="14"/>
        <v>43</v>
      </c>
      <c r="AE98" s="4">
        <f t="shared" si="15"/>
        <v>25</v>
      </c>
      <c r="AF98" s="4">
        <f t="shared" si="16"/>
        <v>7</v>
      </c>
    </row>
    <row r="99" spans="27:32" x14ac:dyDescent="0.15">
      <c r="AA99" s="4">
        <v>95</v>
      </c>
      <c r="AB99" s="4">
        <f t="shared" si="12"/>
        <v>33</v>
      </c>
      <c r="AC99" s="4">
        <f t="shared" si="13"/>
        <v>66</v>
      </c>
      <c r="AD99" s="4">
        <f t="shared" si="14"/>
        <v>43</v>
      </c>
      <c r="AE99" s="4">
        <f t="shared" si="15"/>
        <v>25</v>
      </c>
      <c r="AF99" s="4">
        <f t="shared" si="16"/>
        <v>7</v>
      </c>
    </row>
    <row r="100" spans="27:32" x14ac:dyDescent="0.15">
      <c r="AA100" s="4">
        <v>96</v>
      </c>
      <c r="AB100" s="4">
        <f t="shared" si="12"/>
        <v>33</v>
      </c>
      <c r="AC100" s="4">
        <f t="shared" si="13"/>
        <v>66</v>
      </c>
      <c r="AD100" s="4">
        <f t="shared" si="14"/>
        <v>43</v>
      </c>
      <c r="AE100" s="4">
        <f t="shared" si="15"/>
        <v>25</v>
      </c>
      <c r="AF100" s="4">
        <f t="shared" si="16"/>
        <v>7</v>
      </c>
    </row>
    <row r="101" spans="27:32" x14ac:dyDescent="0.15">
      <c r="AA101" s="4">
        <v>97</v>
      </c>
      <c r="AB101" s="4">
        <f t="shared" si="12"/>
        <v>33</v>
      </c>
      <c r="AC101" s="4">
        <f t="shared" si="13"/>
        <v>66</v>
      </c>
      <c r="AD101" s="4">
        <f t="shared" si="14"/>
        <v>43</v>
      </c>
      <c r="AE101" s="4">
        <f t="shared" si="15"/>
        <v>25</v>
      </c>
      <c r="AF101" s="4">
        <f t="shared" si="16"/>
        <v>7</v>
      </c>
    </row>
    <row r="102" spans="27:32" x14ac:dyDescent="0.15">
      <c r="AA102" s="4">
        <v>98</v>
      </c>
      <c r="AB102" s="4">
        <f t="shared" si="12"/>
        <v>33</v>
      </c>
      <c r="AC102" s="4">
        <f t="shared" si="13"/>
        <v>66</v>
      </c>
      <c r="AD102" s="4">
        <f t="shared" si="14"/>
        <v>43</v>
      </c>
      <c r="AE102" s="4">
        <f t="shared" si="15"/>
        <v>25</v>
      </c>
      <c r="AF102" s="4">
        <f t="shared" si="16"/>
        <v>7</v>
      </c>
    </row>
    <row r="103" spans="27:32" x14ac:dyDescent="0.15">
      <c r="AA103" s="4">
        <v>99</v>
      </c>
      <c r="AB103" s="4">
        <f t="shared" si="12"/>
        <v>33</v>
      </c>
      <c r="AC103" s="4">
        <f t="shared" si="13"/>
        <v>66</v>
      </c>
      <c r="AD103" s="4">
        <f t="shared" si="14"/>
        <v>43</v>
      </c>
      <c r="AE103" s="4">
        <f t="shared" si="15"/>
        <v>25</v>
      </c>
      <c r="AF103" s="4">
        <f t="shared" si="16"/>
        <v>7</v>
      </c>
    </row>
    <row r="104" spans="27:32" x14ac:dyDescent="0.15">
      <c r="AA104" s="4">
        <v>100</v>
      </c>
      <c r="AB104" s="4">
        <f t="shared" si="12"/>
        <v>33</v>
      </c>
      <c r="AC104" s="4">
        <f t="shared" si="13"/>
        <v>66</v>
      </c>
      <c r="AD104" s="4">
        <f t="shared" si="14"/>
        <v>43</v>
      </c>
      <c r="AE104" s="4">
        <f t="shared" si="15"/>
        <v>25</v>
      </c>
      <c r="AF104" s="4">
        <f t="shared" si="16"/>
        <v>7</v>
      </c>
    </row>
  </sheetData>
  <mergeCells count="7">
    <mergeCell ref="S6:W6"/>
    <mergeCell ref="F25:G25"/>
    <mergeCell ref="AB3:AF3"/>
    <mergeCell ref="C25:D25"/>
    <mergeCell ref="L6:M6"/>
    <mergeCell ref="O6:P6"/>
    <mergeCell ref="X6:Y6"/>
  </mergeCells>
  <phoneticPr fontId="1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"/>
  <dimension ref="B2:AM185"/>
  <sheetViews>
    <sheetView workbookViewId="0">
      <selection activeCell="E10" sqref="E10"/>
    </sheetView>
  </sheetViews>
  <sheetFormatPr defaultRowHeight="11.25" x14ac:dyDescent="0.15"/>
  <cols>
    <col min="1" max="23" width="9" style="1"/>
    <col min="24" max="25" width="9" style="7"/>
    <col min="26" max="16384" width="9" style="1"/>
  </cols>
  <sheetData>
    <row r="2" spans="2:39" x14ac:dyDescent="0.15">
      <c r="J2" s="1" t="s">
        <v>42</v>
      </c>
      <c r="X2" s="1"/>
      <c r="Y2" s="1"/>
    </row>
    <row r="3" spans="2:39" x14ac:dyDescent="0.15">
      <c r="P3" s="1" t="s">
        <v>44</v>
      </c>
      <c r="Q3" s="1" t="s">
        <v>32</v>
      </c>
      <c r="R3" s="1" t="s">
        <v>33</v>
      </c>
      <c r="S3" s="1" t="s">
        <v>34</v>
      </c>
      <c r="T3" s="1" t="s">
        <v>43</v>
      </c>
      <c r="U3" s="1" t="s">
        <v>35</v>
      </c>
      <c r="X3" s="1"/>
      <c r="Y3" s="1"/>
      <c r="AB3" s="1" t="s">
        <v>45</v>
      </c>
      <c r="AC3" s="1" t="s">
        <v>46</v>
      </c>
      <c r="AD3" s="154" t="s">
        <v>47</v>
      </c>
      <c r="AE3" s="154"/>
      <c r="AF3" s="154"/>
      <c r="AG3" s="154"/>
      <c r="AH3" s="1" t="s">
        <v>55</v>
      </c>
      <c r="AJ3" s="1" t="s">
        <v>25</v>
      </c>
      <c r="AK3" s="1" t="s">
        <v>63</v>
      </c>
      <c r="AL3" s="1" t="s">
        <v>73</v>
      </c>
      <c r="AM3" s="1" t="s">
        <v>74</v>
      </c>
    </row>
    <row r="4" spans="2:39" x14ac:dyDescent="0.15">
      <c r="I4" s="1" t="s">
        <v>25</v>
      </c>
      <c r="J4" s="1" t="s">
        <v>26</v>
      </c>
      <c r="K4" s="1" t="s">
        <v>27</v>
      </c>
      <c r="L4" s="1" t="s">
        <v>28</v>
      </c>
      <c r="M4" s="1" t="s">
        <v>29</v>
      </c>
      <c r="N4" s="1" t="s">
        <v>30</v>
      </c>
      <c r="P4" s="1">
        <v>1</v>
      </c>
      <c r="Q4" s="1">
        <f t="shared" ref="Q4:U7" si="0">$P4*C$12</f>
        <v>0</v>
      </c>
      <c r="R4" s="1">
        <f t="shared" si="0"/>
        <v>0</v>
      </c>
      <c r="S4" s="1">
        <f t="shared" si="0"/>
        <v>0</v>
      </c>
      <c r="T4" s="1">
        <f t="shared" si="0"/>
        <v>0</v>
      </c>
      <c r="U4" s="1">
        <f t="shared" si="0"/>
        <v>0</v>
      </c>
      <c r="X4" s="1"/>
      <c r="Y4" s="1"/>
      <c r="AB4" s="1">
        <v>0</v>
      </c>
      <c r="AC4" s="1">
        <v>0</v>
      </c>
      <c r="AH4" s="1">
        <v>0</v>
      </c>
      <c r="AJ4" s="1">
        <v>1</v>
      </c>
      <c r="AK4" s="1">
        <f>求节点($AC$4:$AC$17,$AH$4:$AH$17,AJ4)</f>
        <v>81.25</v>
      </c>
      <c r="AL4" s="1">
        <f>IF(AJ4&lt;=$AC$26,求节点($AC$21:$AC$26,$AH$21:$AH$26,AJ4),$AH$26)</f>
        <v>0.3125</v>
      </c>
      <c r="AM4" s="1">
        <f>AK4+AL4</f>
        <v>81.5625</v>
      </c>
    </row>
    <row r="5" spans="2:39" x14ac:dyDescent="0.15">
      <c r="C5" s="6"/>
      <c r="D5" s="6"/>
      <c r="E5" s="6"/>
      <c r="F5" s="6"/>
      <c r="I5" s="1">
        <v>1</v>
      </c>
      <c r="J5" s="1">
        <f t="shared" ref="J5:J24" si="1">C$7+C$8*$I5</f>
        <v>15</v>
      </c>
      <c r="K5" s="1">
        <f t="shared" ref="K5:K24" si="2">D$7+D$8*$I5</f>
        <v>30</v>
      </c>
      <c r="L5" s="1">
        <f t="shared" ref="L5:L24" si="3">E$7+E$8*$I5</f>
        <v>45</v>
      </c>
      <c r="M5" s="1">
        <f t="shared" ref="M5:M24" si="4">F$7+F$8*$I5</f>
        <v>60</v>
      </c>
      <c r="N5" s="1">
        <f t="shared" ref="N5:N24" si="5">G$7+G$8*$I5</f>
        <v>75</v>
      </c>
      <c r="P5" s="1">
        <v>2</v>
      </c>
      <c r="Q5" s="1">
        <f t="shared" si="0"/>
        <v>0</v>
      </c>
      <c r="R5" s="1">
        <f t="shared" si="0"/>
        <v>0</v>
      </c>
      <c r="S5" s="1">
        <f t="shared" si="0"/>
        <v>0</v>
      </c>
      <c r="T5" s="1">
        <f t="shared" si="0"/>
        <v>0</v>
      </c>
      <c r="U5" s="1">
        <f t="shared" si="0"/>
        <v>0</v>
      </c>
      <c r="X5" s="1"/>
      <c r="Y5" s="1"/>
      <c r="AB5" s="1" t="s">
        <v>8</v>
      </c>
      <c r="AC5" s="1">
        <v>8</v>
      </c>
      <c r="AD5" s="1" t="s">
        <v>34</v>
      </c>
      <c r="AE5" s="1">
        <v>1</v>
      </c>
      <c r="AF5" s="1" t="s">
        <v>33</v>
      </c>
      <c r="AG5" s="1">
        <v>5</v>
      </c>
      <c r="AH5" s="1">
        <f>IFERROR(INDEX($J:$N,MATCH(AC5,$I:$I,0),MATCH(AD5,$J$4:$N$4,0))*AE5+INDEX($J:$N,MATCH(AC5,$I:$I,0),MATCH(AF5,$J$4:$N$4,0))*AG5,INDEX($J:$N,MATCH(AC5,$I:$I,0),MATCH(AD5,$J$4:$N$4,0))*AE5)</f>
        <v>650</v>
      </c>
      <c r="AJ5" s="1">
        <v>2</v>
      </c>
      <c r="AK5" s="1">
        <f t="shared" ref="AK5:AK68" si="6">求节点($AC$4:$AC$17,$AH$4:$AH$17,AJ5)</f>
        <v>162.5</v>
      </c>
      <c r="AL5" s="1">
        <f t="shared" ref="AL5:AL68" si="7">IF(AJ5&lt;=$AC$26,求节点($AC$21:$AC$26,$AH$21:$AH$26,AJ5),$AH$26)</f>
        <v>0.625</v>
      </c>
      <c r="AM5" s="1">
        <f t="shared" ref="AM5:AM68" si="8">AK5+AL5</f>
        <v>163.125</v>
      </c>
    </row>
    <row r="6" spans="2:39" x14ac:dyDescent="0.15">
      <c r="B6" s="1" t="s">
        <v>31</v>
      </c>
      <c r="C6" s="1" t="s">
        <v>32</v>
      </c>
      <c r="D6" s="1" t="s">
        <v>33</v>
      </c>
      <c r="E6" s="1" t="s">
        <v>34</v>
      </c>
      <c r="F6" s="1" t="s">
        <v>29</v>
      </c>
      <c r="G6" s="1" t="s">
        <v>35</v>
      </c>
      <c r="I6" s="1">
        <v>2</v>
      </c>
      <c r="J6" s="1">
        <f t="shared" si="1"/>
        <v>20</v>
      </c>
      <c r="K6" s="1">
        <f t="shared" si="2"/>
        <v>40</v>
      </c>
      <c r="L6" s="1">
        <f t="shared" si="3"/>
        <v>60</v>
      </c>
      <c r="M6" s="1">
        <f t="shared" si="4"/>
        <v>80</v>
      </c>
      <c r="N6" s="1">
        <f t="shared" si="5"/>
        <v>100</v>
      </c>
      <c r="P6" s="1">
        <v>3</v>
      </c>
      <c r="Q6" s="1">
        <f t="shared" si="0"/>
        <v>0</v>
      </c>
      <c r="R6" s="1">
        <f t="shared" si="0"/>
        <v>0</v>
      </c>
      <c r="S6" s="1">
        <f t="shared" si="0"/>
        <v>0</v>
      </c>
      <c r="T6" s="1">
        <f t="shared" si="0"/>
        <v>0</v>
      </c>
      <c r="U6" s="1">
        <f t="shared" si="0"/>
        <v>0</v>
      </c>
      <c r="X6" s="1"/>
      <c r="Y6" s="1"/>
      <c r="AB6" s="1" t="s">
        <v>9</v>
      </c>
      <c r="AC6" s="1">
        <v>12</v>
      </c>
      <c r="AD6" s="1" t="s">
        <v>34</v>
      </c>
      <c r="AE6" s="1">
        <v>3</v>
      </c>
      <c r="AF6" s="1" t="s">
        <v>33</v>
      </c>
      <c r="AG6" s="1">
        <v>3</v>
      </c>
      <c r="AH6" s="1">
        <f t="shared" ref="AH6:AH17" si="9">IFERROR(INDEX($J:$N,MATCH(AC6,$I:$I,0),MATCH(AD6,$J$4:$N$4,0))*AE6+INDEX($J:$N,MATCH(AC6,$I:$I,0),MATCH(AF6,$J$4:$N$4,0))*AG6,INDEX($J:$N,MATCH(AC6,$I:$I,0),MATCH(AD6,$J$4:$N$4,0))*AE6)</f>
        <v>1050</v>
      </c>
      <c r="AJ6" s="1">
        <v>3</v>
      </c>
      <c r="AK6" s="1">
        <f t="shared" si="6"/>
        <v>243.75</v>
      </c>
      <c r="AL6" s="1">
        <f t="shared" si="7"/>
        <v>0.9375</v>
      </c>
      <c r="AM6" s="1">
        <f t="shared" si="8"/>
        <v>244.6875</v>
      </c>
    </row>
    <row r="7" spans="2:39" x14ac:dyDescent="0.15">
      <c r="B7" s="1" t="s">
        <v>36</v>
      </c>
      <c r="C7" s="1">
        <v>10</v>
      </c>
      <c r="D7" s="1">
        <v>20</v>
      </c>
      <c r="E7" s="1">
        <v>30</v>
      </c>
      <c r="F7" s="1">
        <v>40</v>
      </c>
      <c r="G7" s="1">
        <v>50</v>
      </c>
      <c r="I7" s="1">
        <v>3</v>
      </c>
      <c r="J7" s="1">
        <f t="shared" si="1"/>
        <v>25</v>
      </c>
      <c r="K7" s="1">
        <f t="shared" si="2"/>
        <v>50</v>
      </c>
      <c r="L7" s="1">
        <f t="shared" si="3"/>
        <v>75</v>
      </c>
      <c r="M7" s="1">
        <f t="shared" si="4"/>
        <v>100</v>
      </c>
      <c r="N7" s="1">
        <f t="shared" si="5"/>
        <v>125</v>
      </c>
      <c r="P7" s="1">
        <v>4</v>
      </c>
      <c r="Q7" s="1">
        <f t="shared" si="0"/>
        <v>0</v>
      </c>
      <c r="R7" s="1">
        <f t="shared" si="0"/>
        <v>0</v>
      </c>
      <c r="S7" s="1">
        <f t="shared" si="0"/>
        <v>0</v>
      </c>
      <c r="T7" s="1">
        <f t="shared" si="0"/>
        <v>0</v>
      </c>
      <c r="U7" s="1">
        <f t="shared" si="0"/>
        <v>0</v>
      </c>
      <c r="X7" s="1"/>
      <c r="Y7" s="1"/>
      <c r="AB7" s="1" t="s">
        <v>10</v>
      </c>
      <c r="AC7" s="1">
        <v>16</v>
      </c>
      <c r="AD7" s="1" t="s">
        <v>34</v>
      </c>
      <c r="AE7" s="1">
        <v>5</v>
      </c>
      <c r="AF7" s="1" t="s">
        <v>33</v>
      </c>
      <c r="AG7" s="1">
        <v>1</v>
      </c>
      <c r="AH7" s="1">
        <f t="shared" si="9"/>
        <v>1530</v>
      </c>
      <c r="AJ7" s="1">
        <v>4</v>
      </c>
      <c r="AK7" s="1">
        <f t="shared" si="6"/>
        <v>325</v>
      </c>
      <c r="AL7" s="1">
        <f t="shared" si="7"/>
        <v>1.25</v>
      </c>
      <c r="AM7" s="1">
        <f t="shared" si="8"/>
        <v>326.25</v>
      </c>
    </row>
    <row r="8" spans="2:39" x14ac:dyDescent="0.15">
      <c r="B8" s="1" t="s">
        <v>37</v>
      </c>
      <c r="C8" s="1">
        <v>5</v>
      </c>
      <c r="D8" s="1">
        <v>10</v>
      </c>
      <c r="E8" s="1">
        <v>15</v>
      </c>
      <c r="F8" s="1">
        <v>20</v>
      </c>
      <c r="G8" s="1">
        <v>25</v>
      </c>
      <c r="I8" s="1">
        <v>4</v>
      </c>
      <c r="J8" s="1">
        <f t="shared" si="1"/>
        <v>30</v>
      </c>
      <c r="K8" s="1">
        <f t="shared" si="2"/>
        <v>60</v>
      </c>
      <c r="L8" s="1">
        <f t="shared" si="3"/>
        <v>90</v>
      </c>
      <c r="M8" s="1">
        <f t="shared" si="4"/>
        <v>120</v>
      </c>
      <c r="N8" s="1">
        <f t="shared" si="5"/>
        <v>150</v>
      </c>
      <c r="P8" s="1">
        <v>5</v>
      </c>
      <c r="Q8" s="1">
        <f t="shared" ref="Q8:R10" si="10">$P8*C$12</f>
        <v>0</v>
      </c>
      <c r="R8" s="1">
        <f t="shared" si="10"/>
        <v>0</v>
      </c>
      <c r="S8" s="1">
        <v>40</v>
      </c>
      <c r="T8" s="1">
        <f t="shared" ref="T8:U10" si="11">$P8*F$12</f>
        <v>0</v>
      </c>
      <c r="U8" s="1">
        <f t="shared" si="11"/>
        <v>0</v>
      </c>
      <c r="X8" s="1"/>
      <c r="Y8" s="1"/>
      <c r="AB8" s="1" t="s">
        <v>11</v>
      </c>
      <c r="AC8" s="1">
        <v>20</v>
      </c>
      <c r="AD8" s="1" t="s">
        <v>29</v>
      </c>
      <c r="AE8" s="1">
        <v>1</v>
      </c>
      <c r="AF8" s="1" t="s">
        <v>34</v>
      </c>
      <c r="AG8" s="1">
        <v>5</v>
      </c>
      <c r="AH8" s="1">
        <f t="shared" si="9"/>
        <v>2090</v>
      </c>
      <c r="AJ8" s="1">
        <v>5</v>
      </c>
      <c r="AK8" s="1">
        <f t="shared" si="6"/>
        <v>406.25</v>
      </c>
      <c r="AL8" s="1">
        <f t="shared" si="7"/>
        <v>1.5625</v>
      </c>
      <c r="AM8" s="1">
        <f t="shared" si="8"/>
        <v>407.8125</v>
      </c>
    </row>
    <row r="9" spans="2:39" x14ac:dyDescent="0.15">
      <c r="B9" s="1" t="s">
        <v>38</v>
      </c>
      <c r="C9" s="1">
        <v>0</v>
      </c>
      <c r="D9" s="1">
        <v>8</v>
      </c>
      <c r="E9" s="1">
        <v>8</v>
      </c>
      <c r="F9" s="1">
        <v>8</v>
      </c>
      <c r="G9" s="1">
        <v>8</v>
      </c>
      <c r="I9" s="1">
        <v>5</v>
      </c>
      <c r="J9" s="1">
        <f t="shared" si="1"/>
        <v>35</v>
      </c>
      <c r="K9" s="1">
        <f t="shared" si="2"/>
        <v>70</v>
      </c>
      <c r="L9" s="1">
        <f t="shared" si="3"/>
        <v>105</v>
      </c>
      <c r="M9" s="1">
        <f t="shared" si="4"/>
        <v>140</v>
      </c>
      <c r="N9" s="1">
        <f t="shared" si="5"/>
        <v>175</v>
      </c>
      <c r="P9" s="1">
        <v>6</v>
      </c>
      <c r="Q9" s="1">
        <f t="shared" si="10"/>
        <v>0</v>
      </c>
      <c r="R9" s="1">
        <f t="shared" si="10"/>
        <v>0</v>
      </c>
      <c r="S9" s="1">
        <v>40</v>
      </c>
      <c r="T9" s="1">
        <f t="shared" si="11"/>
        <v>0</v>
      </c>
      <c r="U9" s="1">
        <f t="shared" si="11"/>
        <v>0</v>
      </c>
      <c r="X9" s="1"/>
      <c r="Y9" s="1"/>
      <c r="AB9" s="1" t="s">
        <v>21</v>
      </c>
      <c r="AC9" s="1">
        <v>30</v>
      </c>
      <c r="AD9" s="1" t="s">
        <v>29</v>
      </c>
      <c r="AE9" s="1">
        <v>4</v>
      </c>
      <c r="AF9" s="1" t="s">
        <v>34</v>
      </c>
      <c r="AG9" s="1">
        <v>2</v>
      </c>
      <c r="AH9" s="1">
        <f t="shared" si="9"/>
        <v>3520</v>
      </c>
      <c r="AJ9" s="1">
        <v>6</v>
      </c>
      <c r="AK9" s="1">
        <f t="shared" si="6"/>
        <v>487.5</v>
      </c>
      <c r="AL9" s="1">
        <f t="shared" si="7"/>
        <v>1.875</v>
      </c>
      <c r="AM9" s="1">
        <f t="shared" si="8"/>
        <v>489.375</v>
      </c>
    </row>
    <row r="10" spans="2:39" x14ac:dyDescent="0.15">
      <c r="B10" s="1" t="s">
        <v>39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I10" s="1">
        <v>6</v>
      </c>
      <c r="J10" s="1">
        <f t="shared" si="1"/>
        <v>40</v>
      </c>
      <c r="K10" s="1">
        <f t="shared" si="2"/>
        <v>80</v>
      </c>
      <c r="L10" s="1">
        <f t="shared" si="3"/>
        <v>120</v>
      </c>
      <c r="M10" s="1">
        <f t="shared" si="4"/>
        <v>160</v>
      </c>
      <c r="N10" s="1">
        <f t="shared" si="5"/>
        <v>200</v>
      </c>
      <c r="P10" s="1">
        <v>7</v>
      </c>
      <c r="Q10" s="1">
        <f t="shared" si="10"/>
        <v>0</v>
      </c>
      <c r="R10" s="1">
        <f t="shared" si="10"/>
        <v>0</v>
      </c>
      <c r="S10" s="1">
        <v>40</v>
      </c>
      <c r="T10" s="1">
        <f t="shared" si="11"/>
        <v>0</v>
      </c>
      <c r="U10" s="1">
        <f t="shared" si="11"/>
        <v>0</v>
      </c>
      <c r="X10" s="1"/>
      <c r="Y10" s="1"/>
      <c r="AB10" s="1" t="s">
        <v>12</v>
      </c>
      <c r="AC10" s="1">
        <v>35</v>
      </c>
      <c r="AD10" s="1" t="s">
        <v>29</v>
      </c>
      <c r="AE10" s="1">
        <v>6</v>
      </c>
      <c r="AH10" s="1">
        <f t="shared" si="9"/>
        <v>4440</v>
      </c>
      <c r="AJ10" s="1">
        <v>7</v>
      </c>
      <c r="AK10" s="1">
        <f t="shared" si="6"/>
        <v>568.75</v>
      </c>
      <c r="AL10" s="1">
        <f t="shared" si="7"/>
        <v>2.1875</v>
      </c>
      <c r="AM10" s="1">
        <f t="shared" si="8"/>
        <v>570.9375</v>
      </c>
    </row>
    <row r="11" spans="2:39" x14ac:dyDescent="0.15">
      <c r="B11" s="1" t="s">
        <v>40</v>
      </c>
      <c r="C11" s="1">
        <v>2</v>
      </c>
      <c r="D11" s="1">
        <v>3</v>
      </c>
      <c r="E11" s="1">
        <v>4</v>
      </c>
      <c r="F11" s="1">
        <v>5</v>
      </c>
      <c r="G11" s="1">
        <v>7</v>
      </c>
      <c r="I11" s="1">
        <v>7</v>
      </c>
      <c r="J11" s="1">
        <f t="shared" si="1"/>
        <v>45</v>
      </c>
      <c r="K11" s="1">
        <f t="shared" si="2"/>
        <v>90</v>
      </c>
      <c r="L11" s="1">
        <f t="shared" si="3"/>
        <v>135</v>
      </c>
      <c r="M11" s="1">
        <f t="shared" si="4"/>
        <v>180</v>
      </c>
      <c r="N11" s="1">
        <f t="shared" si="5"/>
        <v>225</v>
      </c>
      <c r="X11" s="1"/>
      <c r="Y11" s="1"/>
      <c r="AB11" s="1" t="s">
        <v>59</v>
      </c>
      <c r="AC11" s="1">
        <v>40</v>
      </c>
      <c r="AD11" s="1" t="s">
        <v>29</v>
      </c>
      <c r="AE11" s="1">
        <v>6</v>
      </c>
      <c r="AH11" s="1">
        <f t="shared" si="9"/>
        <v>5040</v>
      </c>
      <c r="AJ11" s="1">
        <v>8</v>
      </c>
      <c r="AK11" s="1">
        <f t="shared" si="6"/>
        <v>650</v>
      </c>
      <c r="AL11" s="1">
        <f t="shared" si="7"/>
        <v>2.5</v>
      </c>
      <c r="AM11" s="1">
        <f t="shared" si="8"/>
        <v>652.5</v>
      </c>
    </row>
    <row r="12" spans="2:39" x14ac:dyDescent="0.15">
      <c r="B12" s="1" t="s">
        <v>41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I12" s="1">
        <v>8</v>
      </c>
      <c r="J12" s="1">
        <f t="shared" si="1"/>
        <v>50</v>
      </c>
      <c r="K12" s="1">
        <f t="shared" si="2"/>
        <v>100</v>
      </c>
      <c r="L12" s="1">
        <f t="shared" si="3"/>
        <v>150</v>
      </c>
      <c r="M12" s="1">
        <f t="shared" si="4"/>
        <v>200</v>
      </c>
      <c r="N12" s="1">
        <f t="shared" si="5"/>
        <v>250</v>
      </c>
      <c r="X12" s="1"/>
      <c r="Y12" s="1"/>
      <c r="AB12" s="1" t="s">
        <v>59</v>
      </c>
      <c r="AC12" s="1">
        <v>50</v>
      </c>
      <c r="AD12" s="1" t="s">
        <v>29</v>
      </c>
      <c r="AE12" s="1">
        <v>6</v>
      </c>
      <c r="AH12" s="1">
        <f t="shared" si="9"/>
        <v>6240</v>
      </c>
      <c r="AJ12" s="1">
        <v>9</v>
      </c>
      <c r="AK12" s="1">
        <f t="shared" si="6"/>
        <v>750</v>
      </c>
      <c r="AL12" s="1">
        <f t="shared" si="7"/>
        <v>2.8125</v>
      </c>
      <c r="AM12" s="1">
        <f t="shared" si="8"/>
        <v>752.8125</v>
      </c>
    </row>
    <row r="13" spans="2:39" x14ac:dyDescent="0.15">
      <c r="I13" s="1">
        <v>9</v>
      </c>
      <c r="J13" s="1">
        <f t="shared" si="1"/>
        <v>55</v>
      </c>
      <c r="K13" s="1">
        <f t="shared" si="2"/>
        <v>110</v>
      </c>
      <c r="L13" s="1">
        <f t="shared" si="3"/>
        <v>165</v>
      </c>
      <c r="M13" s="1">
        <f t="shared" si="4"/>
        <v>220</v>
      </c>
      <c r="N13" s="1">
        <f t="shared" si="5"/>
        <v>275</v>
      </c>
      <c r="X13" s="1"/>
      <c r="Y13" s="1"/>
      <c r="AB13" s="1" t="s">
        <v>59</v>
      </c>
      <c r="AC13" s="1">
        <v>60</v>
      </c>
      <c r="AD13" s="1" t="s">
        <v>29</v>
      </c>
      <c r="AE13" s="1">
        <v>6</v>
      </c>
      <c r="AH13" s="1">
        <f t="shared" si="9"/>
        <v>7440</v>
      </c>
      <c r="AJ13" s="1">
        <v>10</v>
      </c>
      <c r="AK13" s="1">
        <f t="shared" si="6"/>
        <v>850</v>
      </c>
      <c r="AL13" s="1">
        <f t="shared" si="7"/>
        <v>3.125</v>
      </c>
      <c r="AM13" s="1">
        <f t="shared" si="8"/>
        <v>853.125</v>
      </c>
    </row>
    <row r="14" spans="2:39" x14ac:dyDescent="0.15">
      <c r="I14" s="1">
        <v>10</v>
      </c>
      <c r="J14" s="1">
        <f t="shared" si="1"/>
        <v>60</v>
      </c>
      <c r="K14" s="1">
        <f t="shared" si="2"/>
        <v>120</v>
      </c>
      <c r="L14" s="1">
        <f t="shared" si="3"/>
        <v>180</v>
      </c>
      <c r="M14" s="1">
        <f t="shared" si="4"/>
        <v>240</v>
      </c>
      <c r="N14" s="1">
        <f t="shared" si="5"/>
        <v>300</v>
      </c>
      <c r="X14" s="1"/>
      <c r="Y14" s="1"/>
      <c r="AB14" s="1" t="s">
        <v>59</v>
      </c>
      <c r="AC14" s="1">
        <v>70</v>
      </c>
      <c r="AD14" s="1" t="s">
        <v>29</v>
      </c>
      <c r="AE14" s="1">
        <v>6</v>
      </c>
      <c r="AH14" s="1">
        <f t="shared" si="9"/>
        <v>8640</v>
      </c>
      <c r="AJ14" s="1">
        <v>11</v>
      </c>
      <c r="AK14" s="1">
        <f t="shared" si="6"/>
        <v>950</v>
      </c>
      <c r="AL14" s="1">
        <f t="shared" si="7"/>
        <v>3.4375</v>
      </c>
      <c r="AM14" s="1">
        <f t="shared" si="8"/>
        <v>953.4375</v>
      </c>
    </row>
    <row r="15" spans="2:39" x14ac:dyDescent="0.15">
      <c r="I15" s="1">
        <v>11</v>
      </c>
      <c r="J15" s="1">
        <f t="shared" si="1"/>
        <v>65</v>
      </c>
      <c r="K15" s="1">
        <f t="shared" si="2"/>
        <v>130</v>
      </c>
      <c r="L15" s="1">
        <f t="shared" si="3"/>
        <v>195</v>
      </c>
      <c r="M15" s="1">
        <f t="shared" si="4"/>
        <v>260</v>
      </c>
      <c r="N15" s="1">
        <f t="shared" si="5"/>
        <v>325</v>
      </c>
      <c r="X15" s="1"/>
      <c r="Y15" s="1"/>
      <c r="AB15" s="1" t="s">
        <v>59</v>
      </c>
      <c r="AC15" s="1">
        <v>80</v>
      </c>
      <c r="AD15" s="1" t="s">
        <v>29</v>
      </c>
      <c r="AE15" s="1">
        <v>6</v>
      </c>
      <c r="AH15" s="1">
        <f t="shared" si="9"/>
        <v>9840</v>
      </c>
      <c r="AJ15" s="1">
        <v>12</v>
      </c>
      <c r="AK15" s="1">
        <f t="shared" si="6"/>
        <v>1050</v>
      </c>
      <c r="AL15" s="1">
        <f t="shared" si="7"/>
        <v>3.75</v>
      </c>
      <c r="AM15" s="1">
        <f t="shared" si="8"/>
        <v>1053.75</v>
      </c>
    </row>
    <row r="16" spans="2:39" x14ac:dyDescent="0.15">
      <c r="I16" s="1">
        <v>12</v>
      </c>
      <c r="J16" s="1">
        <f t="shared" si="1"/>
        <v>70</v>
      </c>
      <c r="K16" s="1">
        <f t="shared" si="2"/>
        <v>140</v>
      </c>
      <c r="L16" s="1">
        <f t="shared" si="3"/>
        <v>210</v>
      </c>
      <c r="M16" s="1">
        <f t="shared" si="4"/>
        <v>280</v>
      </c>
      <c r="N16" s="1">
        <f t="shared" si="5"/>
        <v>350</v>
      </c>
      <c r="X16" s="1"/>
      <c r="Y16" s="1"/>
      <c r="AB16" s="1" t="s">
        <v>59</v>
      </c>
      <c r="AC16" s="1">
        <v>90</v>
      </c>
      <c r="AD16" s="1" t="s">
        <v>29</v>
      </c>
      <c r="AE16" s="1">
        <v>6</v>
      </c>
      <c r="AH16" s="1">
        <f t="shared" si="9"/>
        <v>11040</v>
      </c>
      <c r="AJ16" s="1">
        <v>13</v>
      </c>
      <c r="AK16" s="1">
        <f t="shared" si="6"/>
        <v>1170</v>
      </c>
      <c r="AL16" s="1">
        <f t="shared" si="7"/>
        <v>4.0625</v>
      </c>
      <c r="AM16" s="1">
        <f t="shared" si="8"/>
        <v>1174.0625</v>
      </c>
    </row>
    <row r="17" spans="9:39" x14ac:dyDescent="0.15">
      <c r="I17" s="1">
        <v>13</v>
      </c>
      <c r="J17" s="1">
        <f t="shared" si="1"/>
        <v>75</v>
      </c>
      <c r="K17" s="1">
        <f t="shared" si="2"/>
        <v>150</v>
      </c>
      <c r="L17" s="1">
        <f t="shared" si="3"/>
        <v>225</v>
      </c>
      <c r="M17" s="1">
        <f t="shared" si="4"/>
        <v>300</v>
      </c>
      <c r="N17" s="1">
        <f t="shared" si="5"/>
        <v>375</v>
      </c>
      <c r="X17" s="1"/>
      <c r="Y17" s="1"/>
      <c r="AB17" s="1" t="s">
        <v>59</v>
      </c>
      <c r="AC17" s="1">
        <v>100</v>
      </c>
      <c r="AD17" s="1" t="s">
        <v>29</v>
      </c>
      <c r="AE17" s="1">
        <v>6</v>
      </c>
      <c r="AH17" s="1">
        <f t="shared" si="9"/>
        <v>12240</v>
      </c>
      <c r="AJ17" s="1">
        <v>14</v>
      </c>
      <c r="AK17" s="1">
        <f t="shared" si="6"/>
        <v>1290</v>
      </c>
      <c r="AL17" s="1">
        <f t="shared" si="7"/>
        <v>4.375</v>
      </c>
      <c r="AM17" s="1">
        <f t="shared" si="8"/>
        <v>1294.375</v>
      </c>
    </row>
    <row r="18" spans="9:39" x14ac:dyDescent="0.15">
      <c r="I18" s="1">
        <v>14</v>
      </c>
      <c r="J18" s="1">
        <f t="shared" si="1"/>
        <v>80</v>
      </c>
      <c r="K18" s="1">
        <f t="shared" si="2"/>
        <v>160</v>
      </c>
      <c r="L18" s="1">
        <f t="shared" si="3"/>
        <v>240</v>
      </c>
      <c r="M18" s="1">
        <f t="shared" si="4"/>
        <v>320</v>
      </c>
      <c r="N18" s="1">
        <f t="shared" si="5"/>
        <v>400</v>
      </c>
      <c r="X18" s="1"/>
      <c r="Y18" s="1"/>
      <c r="AJ18" s="1">
        <v>15</v>
      </c>
      <c r="AK18" s="1">
        <f t="shared" si="6"/>
        <v>1410</v>
      </c>
      <c r="AL18" s="1">
        <f t="shared" si="7"/>
        <v>4.6875</v>
      </c>
      <c r="AM18" s="1">
        <f t="shared" si="8"/>
        <v>1414.6875</v>
      </c>
    </row>
    <row r="19" spans="9:39" x14ac:dyDescent="0.15">
      <c r="I19" s="1">
        <v>15</v>
      </c>
      <c r="J19" s="1">
        <f t="shared" si="1"/>
        <v>85</v>
      </c>
      <c r="K19" s="1">
        <f t="shared" si="2"/>
        <v>170</v>
      </c>
      <c r="L19" s="1">
        <f t="shared" si="3"/>
        <v>255</v>
      </c>
      <c r="M19" s="1">
        <f t="shared" si="4"/>
        <v>340</v>
      </c>
      <c r="N19" s="1">
        <f t="shared" si="5"/>
        <v>425</v>
      </c>
      <c r="X19" s="1"/>
      <c r="Y19" s="1"/>
      <c r="AJ19" s="1">
        <v>16</v>
      </c>
      <c r="AK19" s="1">
        <f t="shared" si="6"/>
        <v>1530</v>
      </c>
      <c r="AL19" s="1">
        <f t="shared" si="7"/>
        <v>5</v>
      </c>
      <c r="AM19" s="1">
        <f t="shared" si="8"/>
        <v>1535</v>
      </c>
    </row>
    <row r="20" spans="9:39" x14ac:dyDescent="0.15">
      <c r="I20" s="1">
        <v>16</v>
      </c>
      <c r="J20" s="1">
        <f t="shared" si="1"/>
        <v>90</v>
      </c>
      <c r="K20" s="1">
        <f t="shared" si="2"/>
        <v>180</v>
      </c>
      <c r="L20" s="1">
        <f t="shared" si="3"/>
        <v>270</v>
      </c>
      <c r="M20" s="1">
        <f t="shared" si="4"/>
        <v>360</v>
      </c>
      <c r="N20" s="1">
        <f t="shared" si="5"/>
        <v>450</v>
      </c>
      <c r="X20" s="1"/>
      <c r="Y20" s="1"/>
      <c r="AB20" s="1" t="s">
        <v>72</v>
      </c>
      <c r="AC20" s="1" t="s">
        <v>46</v>
      </c>
      <c r="AD20" s="154" t="s">
        <v>47</v>
      </c>
      <c r="AE20" s="154"/>
      <c r="AF20" s="154"/>
      <c r="AG20" s="154"/>
      <c r="AH20" s="1" t="s">
        <v>55</v>
      </c>
      <c r="AJ20" s="1">
        <v>17</v>
      </c>
      <c r="AK20" s="1">
        <f t="shared" si="6"/>
        <v>1670</v>
      </c>
      <c r="AL20" s="1">
        <f t="shared" si="7"/>
        <v>5.3125</v>
      </c>
      <c r="AM20" s="1">
        <f t="shared" si="8"/>
        <v>1675.3125</v>
      </c>
    </row>
    <row r="21" spans="9:39" x14ac:dyDescent="0.15">
      <c r="I21" s="1">
        <v>17</v>
      </c>
      <c r="J21" s="1">
        <f t="shared" si="1"/>
        <v>95</v>
      </c>
      <c r="K21" s="1">
        <f t="shared" si="2"/>
        <v>190</v>
      </c>
      <c r="L21" s="1">
        <f t="shared" si="3"/>
        <v>285</v>
      </c>
      <c r="M21" s="1">
        <f t="shared" si="4"/>
        <v>380</v>
      </c>
      <c r="N21" s="1">
        <f t="shared" si="5"/>
        <v>475</v>
      </c>
      <c r="X21" s="1"/>
      <c r="Y21" s="1"/>
      <c r="AB21" s="1">
        <v>0</v>
      </c>
      <c r="AC21" s="1">
        <v>0</v>
      </c>
      <c r="AD21" s="1">
        <v>0</v>
      </c>
      <c r="AE21" s="1">
        <v>0</v>
      </c>
      <c r="AH21" s="1">
        <v>0</v>
      </c>
      <c r="AJ21" s="1">
        <v>18</v>
      </c>
      <c r="AK21" s="1">
        <f t="shared" si="6"/>
        <v>1810</v>
      </c>
      <c r="AL21" s="1">
        <f t="shared" si="7"/>
        <v>5.625</v>
      </c>
      <c r="AM21" s="1">
        <f t="shared" si="8"/>
        <v>1815.625</v>
      </c>
    </row>
    <row r="22" spans="9:39" x14ac:dyDescent="0.15">
      <c r="I22" s="1">
        <v>18</v>
      </c>
      <c r="J22" s="1">
        <f t="shared" si="1"/>
        <v>100</v>
      </c>
      <c r="K22" s="1">
        <f t="shared" si="2"/>
        <v>200</v>
      </c>
      <c r="L22" s="1">
        <f t="shared" si="3"/>
        <v>300</v>
      </c>
      <c r="M22" s="1">
        <f t="shared" si="4"/>
        <v>400</v>
      </c>
      <c r="N22" s="1">
        <f t="shared" si="5"/>
        <v>500</v>
      </c>
      <c r="X22" s="1"/>
      <c r="Y22" s="1"/>
      <c r="AB22" s="1" t="s">
        <v>64</v>
      </c>
      <c r="AC22" s="1">
        <v>32</v>
      </c>
      <c r="AD22" s="1" t="s">
        <v>48</v>
      </c>
      <c r="AE22" s="1">
        <v>1</v>
      </c>
      <c r="AH22" s="1">
        <v>10</v>
      </c>
      <c r="AJ22" s="1">
        <v>19</v>
      </c>
      <c r="AK22" s="1">
        <f t="shared" si="6"/>
        <v>1950</v>
      </c>
      <c r="AL22" s="1">
        <f t="shared" si="7"/>
        <v>5.9375</v>
      </c>
      <c r="AM22" s="1">
        <f t="shared" si="8"/>
        <v>1955.9375</v>
      </c>
    </row>
    <row r="23" spans="9:39" x14ac:dyDescent="0.15">
      <c r="I23" s="1">
        <v>19</v>
      </c>
      <c r="J23" s="1">
        <f t="shared" si="1"/>
        <v>105</v>
      </c>
      <c r="K23" s="1">
        <f t="shared" si="2"/>
        <v>210</v>
      </c>
      <c r="L23" s="1">
        <f t="shared" si="3"/>
        <v>315</v>
      </c>
      <c r="M23" s="1">
        <f t="shared" si="4"/>
        <v>420</v>
      </c>
      <c r="N23" s="1">
        <f t="shared" si="5"/>
        <v>525</v>
      </c>
      <c r="X23" s="1"/>
      <c r="Y23" s="1"/>
      <c r="AB23" s="1" t="s">
        <v>65</v>
      </c>
      <c r="AC23" s="1">
        <v>44</v>
      </c>
      <c r="AD23" s="1" t="s">
        <v>69</v>
      </c>
      <c r="AE23" s="1">
        <v>1</v>
      </c>
      <c r="AH23" s="1">
        <v>20</v>
      </c>
      <c r="AJ23" s="1">
        <v>20</v>
      </c>
      <c r="AK23" s="1">
        <f t="shared" si="6"/>
        <v>2090</v>
      </c>
      <c r="AL23" s="1">
        <f t="shared" si="7"/>
        <v>6.25</v>
      </c>
      <c r="AM23" s="1">
        <f t="shared" si="8"/>
        <v>2096.25</v>
      </c>
    </row>
    <row r="24" spans="9:39" x14ac:dyDescent="0.15">
      <c r="I24" s="1">
        <v>20</v>
      </c>
      <c r="J24" s="1">
        <f t="shared" si="1"/>
        <v>110</v>
      </c>
      <c r="K24" s="1">
        <f t="shared" si="2"/>
        <v>220</v>
      </c>
      <c r="L24" s="1">
        <f t="shared" si="3"/>
        <v>330</v>
      </c>
      <c r="M24" s="1">
        <f t="shared" si="4"/>
        <v>440</v>
      </c>
      <c r="N24" s="1">
        <f t="shared" si="5"/>
        <v>550</v>
      </c>
      <c r="X24" s="1"/>
      <c r="Y24" s="1"/>
      <c r="AB24" s="1" t="s">
        <v>66</v>
      </c>
      <c r="AC24" s="1">
        <v>48</v>
      </c>
      <c r="AD24" s="1" t="s">
        <v>69</v>
      </c>
      <c r="AE24" s="1">
        <v>6</v>
      </c>
      <c r="AH24" s="1">
        <v>120</v>
      </c>
      <c r="AJ24" s="1">
        <v>21</v>
      </c>
      <c r="AK24" s="1">
        <f t="shared" si="6"/>
        <v>2233</v>
      </c>
      <c r="AL24" s="1">
        <f t="shared" si="7"/>
        <v>6.5625</v>
      </c>
      <c r="AM24" s="1">
        <f t="shared" si="8"/>
        <v>2239.5625</v>
      </c>
    </row>
    <row r="25" spans="9:39" x14ac:dyDescent="0.15">
      <c r="I25" s="1">
        <v>21</v>
      </c>
      <c r="K25" s="1">
        <f t="shared" ref="K25:K56" si="12">D$7+D$8*$I25</f>
        <v>230</v>
      </c>
      <c r="L25" s="1">
        <f t="shared" ref="L25:L56" si="13">E$7+E$8*$I25</f>
        <v>345</v>
      </c>
      <c r="M25" s="1">
        <f t="shared" ref="M25:M56" si="14">F$7+F$8*$I25</f>
        <v>460</v>
      </c>
      <c r="N25" s="1">
        <f t="shared" ref="N25:N56" si="15">G$7+G$8*$I25</f>
        <v>575</v>
      </c>
      <c r="X25" s="1"/>
      <c r="Y25" s="1"/>
      <c r="AB25" s="1" t="s">
        <v>67</v>
      </c>
      <c r="AC25" s="1">
        <v>58</v>
      </c>
      <c r="AD25" s="1" t="s">
        <v>70</v>
      </c>
      <c r="AE25" s="1">
        <v>6</v>
      </c>
      <c r="AH25" s="1">
        <v>360</v>
      </c>
      <c r="AJ25" s="1">
        <v>22</v>
      </c>
      <c r="AK25" s="1">
        <f t="shared" si="6"/>
        <v>2376</v>
      </c>
      <c r="AL25" s="1">
        <f t="shared" si="7"/>
        <v>6.875</v>
      </c>
      <c r="AM25" s="1">
        <f t="shared" si="8"/>
        <v>2382.875</v>
      </c>
    </row>
    <row r="26" spans="9:39" x14ac:dyDescent="0.15">
      <c r="I26" s="1">
        <v>22</v>
      </c>
      <c r="K26" s="1">
        <f t="shared" si="12"/>
        <v>240</v>
      </c>
      <c r="L26" s="1">
        <f t="shared" si="13"/>
        <v>360</v>
      </c>
      <c r="M26" s="1">
        <f t="shared" si="14"/>
        <v>480</v>
      </c>
      <c r="N26" s="1">
        <f t="shared" si="15"/>
        <v>600</v>
      </c>
      <c r="X26" s="1"/>
      <c r="Y26" s="1"/>
      <c r="AB26" s="1" t="s">
        <v>68</v>
      </c>
      <c r="AC26" s="1">
        <v>66</v>
      </c>
      <c r="AD26" s="1" t="s">
        <v>71</v>
      </c>
      <c r="AE26" s="1">
        <v>6</v>
      </c>
      <c r="AH26" s="1">
        <v>840</v>
      </c>
      <c r="AJ26" s="1">
        <v>23</v>
      </c>
      <c r="AK26" s="1">
        <f t="shared" si="6"/>
        <v>2519</v>
      </c>
      <c r="AL26" s="1">
        <f t="shared" si="7"/>
        <v>7.1875</v>
      </c>
      <c r="AM26" s="1">
        <f t="shared" si="8"/>
        <v>2526.1875</v>
      </c>
    </row>
    <row r="27" spans="9:39" x14ac:dyDescent="0.15">
      <c r="I27" s="1">
        <v>23</v>
      </c>
      <c r="K27" s="1">
        <f t="shared" si="12"/>
        <v>250</v>
      </c>
      <c r="L27" s="1">
        <f t="shared" si="13"/>
        <v>375</v>
      </c>
      <c r="M27" s="1">
        <f t="shared" si="14"/>
        <v>500</v>
      </c>
      <c r="N27" s="1">
        <f t="shared" si="15"/>
        <v>625</v>
      </c>
      <c r="X27" s="1"/>
      <c r="Y27" s="1"/>
      <c r="AJ27" s="1">
        <v>24</v>
      </c>
      <c r="AK27" s="1">
        <f t="shared" si="6"/>
        <v>2662</v>
      </c>
      <c r="AL27" s="1">
        <f t="shared" si="7"/>
        <v>7.5</v>
      </c>
      <c r="AM27" s="1">
        <f t="shared" si="8"/>
        <v>2669.5</v>
      </c>
    </row>
    <row r="28" spans="9:39" x14ac:dyDescent="0.15">
      <c r="I28" s="1">
        <v>24</v>
      </c>
      <c r="K28" s="1">
        <f t="shared" si="12"/>
        <v>260</v>
      </c>
      <c r="L28" s="1">
        <f t="shared" si="13"/>
        <v>390</v>
      </c>
      <c r="M28" s="1">
        <f t="shared" si="14"/>
        <v>520</v>
      </c>
      <c r="N28" s="1">
        <f t="shared" si="15"/>
        <v>650</v>
      </c>
      <c r="X28" s="1"/>
      <c r="Y28" s="1"/>
      <c r="AJ28" s="1">
        <v>25</v>
      </c>
      <c r="AK28" s="1">
        <f t="shared" si="6"/>
        <v>2805</v>
      </c>
      <c r="AL28" s="1">
        <f t="shared" si="7"/>
        <v>7.8125</v>
      </c>
      <c r="AM28" s="1">
        <f t="shared" si="8"/>
        <v>2812.8125</v>
      </c>
    </row>
    <row r="29" spans="9:39" x14ac:dyDescent="0.15">
      <c r="I29" s="1">
        <v>25</v>
      </c>
      <c r="K29" s="1">
        <f t="shared" si="12"/>
        <v>270</v>
      </c>
      <c r="L29" s="1">
        <f t="shared" si="13"/>
        <v>405</v>
      </c>
      <c r="M29" s="1">
        <f t="shared" si="14"/>
        <v>540</v>
      </c>
      <c r="N29" s="1">
        <f t="shared" si="15"/>
        <v>675</v>
      </c>
      <c r="X29" s="1"/>
      <c r="Y29" s="1"/>
      <c r="AJ29" s="1">
        <v>26</v>
      </c>
      <c r="AK29" s="1">
        <f t="shared" si="6"/>
        <v>2948</v>
      </c>
      <c r="AL29" s="1">
        <f t="shared" si="7"/>
        <v>8.125</v>
      </c>
      <c r="AM29" s="1">
        <f t="shared" si="8"/>
        <v>2956.125</v>
      </c>
    </row>
    <row r="30" spans="9:39" x14ac:dyDescent="0.15">
      <c r="I30" s="1">
        <v>26</v>
      </c>
      <c r="K30" s="1">
        <f t="shared" si="12"/>
        <v>280</v>
      </c>
      <c r="L30" s="1">
        <f t="shared" si="13"/>
        <v>420</v>
      </c>
      <c r="M30" s="1">
        <f t="shared" si="14"/>
        <v>560</v>
      </c>
      <c r="N30" s="1">
        <f t="shared" si="15"/>
        <v>700</v>
      </c>
      <c r="X30" s="1"/>
      <c r="Y30" s="1"/>
      <c r="AJ30" s="1">
        <v>27</v>
      </c>
      <c r="AK30" s="1">
        <f t="shared" si="6"/>
        <v>3091</v>
      </c>
      <c r="AL30" s="1">
        <f t="shared" si="7"/>
        <v>8.4375</v>
      </c>
      <c r="AM30" s="1">
        <f t="shared" si="8"/>
        <v>3099.4375</v>
      </c>
    </row>
    <row r="31" spans="9:39" x14ac:dyDescent="0.15">
      <c r="I31" s="1">
        <v>27</v>
      </c>
      <c r="K31" s="1">
        <f t="shared" si="12"/>
        <v>290</v>
      </c>
      <c r="L31" s="1">
        <f t="shared" si="13"/>
        <v>435</v>
      </c>
      <c r="M31" s="1">
        <f t="shared" si="14"/>
        <v>580</v>
      </c>
      <c r="N31" s="1">
        <f t="shared" si="15"/>
        <v>725</v>
      </c>
      <c r="X31" s="1"/>
      <c r="Y31" s="1"/>
      <c r="AJ31" s="1">
        <v>28</v>
      </c>
      <c r="AK31" s="1">
        <f t="shared" si="6"/>
        <v>3234</v>
      </c>
      <c r="AL31" s="1">
        <f t="shared" si="7"/>
        <v>8.75</v>
      </c>
      <c r="AM31" s="1">
        <f t="shared" si="8"/>
        <v>3242.75</v>
      </c>
    </row>
    <row r="32" spans="9:39" x14ac:dyDescent="0.15">
      <c r="I32" s="1">
        <v>28</v>
      </c>
      <c r="K32" s="1">
        <f t="shared" si="12"/>
        <v>300</v>
      </c>
      <c r="L32" s="1">
        <f t="shared" si="13"/>
        <v>450</v>
      </c>
      <c r="M32" s="1">
        <f t="shared" si="14"/>
        <v>600</v>
      </c>
      <c r="N32" s="1">
        <f t="shared" si="15"/>
        <v>750</v>
      </c>
      <c r="X32" s="1"/>
      <c r="Y32" s="1"/>
      <c r="AJ32" s="1">
        <v>29</v>
      </c>
      <c r="AK32" s="1">
        <f t="shared" si="6"/>
        <v>3377</v>
      </c>
      <c r="AL32" s="1">
        <f t="shared" si="7"/>
        <v>9.0625</v>
      </c>
      <c r="AM32" s="1">
        <f t="shared" si="8"/>
        <v>3386.0625</v>
      </c>
    </row>
    <row r="33" spans="9:39" x14ac:dyDescent="0.15">
      <c r="I33" s="1">
        <v>29</v>
      </c>
      <c r="K33" s="1">
        <f t="shared" si="12"/>
        <v>310</v>
      </c>
      <c r="L33" s="1">
        <f t="shared" si="13"/>
        <v>465</v>
      </c>
      <c r="M33" s="1">
        <f t="shared" si="14"/>
        <v>620</v>
      </c>
      <c r="N33" s="1">
        <f t="shared" si="15"/>
        <v>775</v>
      </c>
      <c r="X33" s="1"/>
      <c r="Y33" s="1"/>
      <c r="AJ33" s="1">
        <v>30</v>
      </c>
      <c r="AK33" s="1">
        <f t="shared" si="6"/>
        <v>3520</v>
      </c>
      <c r="AL33" s="1">
        <f t="shared" si="7"/>
        <v>9.375</v>
      </c>
      <c r="AM33" s="1">
        <f t="shared" si="8"/>
        <v>3529.375</v>
      </c>
    </row>
    <row r="34" spans="9:39" x14ac:dyDescent="0.15">
      <c r="I34" s="1">
        <v>30</v>
      </c>
      <c r="K34" s="1">
        <f t="shared" si="12"/>
        <v>320</v>
      </c>
      <c r="L34" s="1">
        <f t="shared" si="13"/>
        <v>480</v>
      </c>
      <c r="M34" s="1">
        <f t="shared" si="14"/>
        <v>640</v>
      </c>
      <c r="N34" s="1">
        <f t="shared" si="15"/>
        <v>800</v>
      </c>
      <c r="X34" s="1"/>
      <c r="Y34" s="1"/>
      <c r="AJ34" s="1">
        <v>31</v>
      </c>
      <c r="AK34" s="1">
        <f t="shared" si="6"/>
        <v>3704</v>
      </c>
      <c r="AL34" s="1">
        <f t="shared" si="7"/>
        <v>9.6875</v>
      </c>
      <c r="AM34" s="1">
        <f t="shared" si="8"/>
        <v>3713.6875</v>
      </c>
    </row>
    <row r="35" spans="9:39" x14ac:dyDescent="0.15">
      <c r="I35" s="1">
        <v>31</v>
      </c>
      <c r="K35" s="1">
        <f t="shared" si="12"/>
        <v>330</v>
      </c>
      <c r="L35" s="1">
        <f t="shared" si="13"/>
        <v>495</v>
      </c>
      <c r="M35" s="1">
        <f t="shared" si="14"/>
        <v>660</v>
      </c>
      <c r="N35" s="1">
        <f t="shared" si="15"/>
        <v>825</v>
      </c>
      <c r="X35" s="1"/>
      <c r="Y35" s="1"/>
      <c r="AJ35" s="1">
        <v>32</v>
      </c>
      <c r="AK35" s="1">
        <f t="shared" si="6"/>
        <v>3888</v>
      </c>
      <c r="AL35" s="1">
        <f t="shared" si="7"/>
        <v>10</v>
      </c>
      <c r="AM35" s="1">
        <f t="shared" si="8"/>
        <v>3898</v>
      </c>
    </row>
    <row r="36" spans="9:39" x14ac:dyDescent="0.15">
      <c r="I36" s="1">
        <v>32</v>
      </c>
      <c r="K36" s="1">
        <f t="shared" si="12"/>
        <v>340</v>
      </c>
      <c r="L36" s="1">
        <f t="shared" si="13"/>
        <v>510</v>
      </c>
      <c r="M36" s="1">
        <f t="shared" si="14"/>
        <v>680</v>
      </c>
      <c r="N36" s="1">
        <f t="shared" si="15"/>
        <v>850</v>
      </c>
      <c r="X36" s="1"/>
      <c r="Y36" s="1"/>
      <c r="AJ36" s="1">
        <v>33</v>
      </c>
      <c r="AK36" s="1">
        <f t="shared" si="6"/>
        <v>4072</v>
      </c>
      <c r="AL36" s="1">
        <f t="shared" si="7"/>
        <v>10.833333333333334</v>
      </c>
      <c r="AM36" s="1">
        <f t="shared" si="8"/>
        <v>4082.8333333333335</v>
      </c>
    </row>
    <row r="37" spans="9:39" x14ac:dyDescent="0.15">
      <c r="I37" s="1">
        <v>33</v>
      </c>
      <c r="K37" s="1">
        <f t="shared" si="12"/>
        <v>350</v>
      </c>
      <c r="L37" s="1">
        <f t="shared" si="13"/>
        <v>525</v>
      </c>
      <c r="M37" s="1">
        <f t="shared" si="14"/>
        <v>700</v>
      </c>
      <c r="N37" s="1">
        <f t="shared" si="15"/>
        <v>875</v>
      </c>
      <c r="X37" s="1"/>
      <c r="Y37" s="1"/>
      <c r="AJ37" s="1">
        <v>34</v>
      </c>
      <c r="AK37" s="1">
        <f t="shared" si="6"/>
        <v>4256</v>
      </c>
      <c r="AL37" s="1">
        <f t="shared" si="7"/>
        <v>11.666666666666666</v>
      </c>
      <c r="AM37" s="1">
        <f t="shared" si="8"/>
        <v>4267.666666666667</v>
      </c>
    </row>
    <row r="38" spans="9:39" x14ac:dyDescent="0.15">
      <c r="I38" s="1">
        <v>34</v>
      </c>
      <c r="K38" s="1">
        <f t="shared" si="12"/>
        <v>360</v>
      </c>
      <c r="L38" s="1">
        <f t="shared" si="13"/>
        <v>540</v>
      </c>
      <c r="M38" s="1">
        <f t="shared" si="14"/>
        <v>720</v>
      </c>
      <c r="N38" s="1">
        <f t="shared" si="15"/>
        <v>900</v>
      </c>
      <c r="X38" s="1"/>
      <c r="Y38" s="1"/>
      <c r="AJ38" s="1">
        <v>35</v>
      </c>
      <c r="AK38" s="1">
        <f t="shared" si="6"/>
        <v>4440</v>
      </c>
      <c r="AL38" s="1">
        <f t="shared" si="7"/>
        <v>12.5</v>
      </c>
      <c r="AM38" s="1">
        <f t="shared" si="8"/>
        <v>4452.5</v>
      </c>
    </row>
    <row r="39" spans="9:39" x14ac:dyDescent="0.15">
      <c r="I39" s="1">
        <v>35</v>
      </c>
      <c r="K39" s="1">
        <f t="shared" si="12"/>
        <v>370</v>
      </c>
      <c r="L39" s="1">
        <f t="shared" si="13"/>
        <v>555</v>
      </c>
      <c r="M39" s="1">
        <f t="shared" si="14"/>
        <v>740</v>
      </c>
      <c r="N39" s="1">
        <f t="shared" si="15"/>
        <v>925</v>
      </c>
      <c r="X39" s="1"/>
      <c r="Y39" s="1"/>
      <c r="AJ39" s="1">
        <v>36</v>
      </c>
      <c r="AK39" s="1">
        <f t="shared" si="6"/>
        <v>4560</v>
      </c>
      <c r="AL39" s="1">
        <f t="shared" si="7"/>
        <v>13.333333333333334</v>
      </c>
      <c r="AM39" s="1">
        <f t="shared" si="8"/>
        <v>4573.333333333333</v>
      </c>
    </row>
    <row r="40" spans="9:39" x14ac:dyDescent="0.15">
      <c r="I40" s="1">
        <v>36</v>
      </c>
      <c r="K40" s="1">
        <f t="shared" si="12"/>
        <v>380</v>
      </c>
      <c r="L40" s="1">
        <f t="shared" si="13"/>
        <v>570</v>
      </c>
      <c r="M40" s="1">
        <f t="shared" si="14"/>
        <v>760</v>
      </c>
      <c r="N40" s="1">
        <f t="shared" si="15"/>
        <v>950</v>
      </c>
      <c r="X40" s="1"/>
      <c r="Y40" s="1"/>
      <c r="AJ40" s="1">
        <v>37</v>
      </c>
      <c r="AK40" s="1">
        <f t="shared" si="6"/>
        <v>4680</v>
      </c>
      <c r="AL40" s="1">
        <f t="shared" si="7"/>
        <v>14.166666666666668</v>
      </c>
      <c r="AM40" s="1">
        <f t="shared" si="8"/>
        <v>4694.166666666667</v>
      </c>
    </row>
    <row r="41" spans="9:39" x14ac:dyDescent="0.15">
      <c r="I41" s="1">
        <v>37</v>
      </c>
      <c r="K41" s="1">
        <f t="shared" si="12"/>
        <v>390</v>
      </c>
      <c r="L41" s="1">
        <f t="shared" si="13"/>
        <v>585</v>
      </c>
      <c r="M41" s="1">
        <f t="shared" si="14"/>
        <v>780</v>
      </c>
      <c r="N41" s="1">
        <f t="shared" si="15"/>
        <v>975</v>
      </c>
      <c r="X41" s="1"/>
      <c r="Y41" s="1"/>
      <c r="AJ41" s="1">
        <v>38</v>
      </c>
      <c r="AK41" s="1">
        <f t="shared" si="6"/>
        <v>4800</v>
      </c>
      <c r="AL41" s="1">
        <f t="shared" si="7"/>
        <v>15</v>
      </c>
      <c r="AM41" s="1">
        <f t="shared" si="8"/>
        <v>4815</v>
      </c>
    </row>
    <row r="42" spans="9:39" x14ac:dyDescent="0.15">
      <c r="I42" s="1">
        <v>38</v>
      </c>
      <c r="K42" s="1">
        <f t="shared" si="12"/>
        <v>400</v>
      </c>
      <c r="L42" s="1">
        <f t="shared" si="13"/>
        <v>600</v>
      </c>
      <c r="M42" s="1">
        <f t="shared" si="14"/>
        <v>800</v>
      </c>
      <c r="N42" s="1">
        <f t="shared" si="15"/>
        <v>1000</v>
      </c>
      <c r="X42" s="1"/>
      <c r="Y42" s="1"/>
      <c r="AJ42" s="1">
        <v>39</v>
      </c>
      <c r="AK42" s="1">
        <f t="shared" si="6"/>
        <v>4920</v>
      </c>
      <c r="AL42" s="1">
        <f t="shared" si="7"/>
        <v>15.833333333333334</v>
      </c>
      <c r="AM42" s="1">
        <f t="shared" si="8"/>
        <v>4935.833333333333</v>
      </c>
    </row>
    <row r="43" spans="9:39" x14ac:dyDescent="0.15">
      <c r="I43" s="1">
        <v>39</v>
      </c>
      <c r="K43" s="1">
        <f t="shared" si="12"/>
        <v>410</v>
      </c>
      <c r="L43" s="1">
        <f t="shared" si="13"/>
        <v>615</v>
      </c>
      <c r="M43" s="1">
        <f t="shared" si="14"/>
        <v>820</v>
      </c>
      <c r="N43" s="1">
        <f t="shared" si="15"/>
        <v>1025</v>
      </c>
      <c r="X43" s="1"/>
      <c r="Y43" s="1"/>
      <c r="AJ43" s="1">
        <v>40</v>
      </c>
      <c r="AK43" s="1">
        <f t="shared" si="6"/>
        <v>5040</v>
      </c>
      <c r="AL43" s="1">
        <f t="shared" si="7"/>
        <v>16.666666666666668</v>
      </c>
      <c r="AM43" s="1">
        <f t="shared" si="8"/>
        <v>5056.666666666667</v>
      </c>
    </row>
    <row r="44" spans="9:39" x14ac:dyDescent="0.15">
      <c r="I44" s="1">
        <v>40</v>
      </c>
      <c r="K44" s="1">
        <f t="shared" si="12"/>
        <v>420</v>
      </c>
      <c r="L44" s="1">
        <f t="shared" si="13"/>
        <v>630</v>
      </c>
      <c r="M44" s="1">
        <f t="shared" si="14"/>
        <v>840</v>
      </c>
      <c r="N44" s="1">
        <f t="shared" si="15"/>
        <v>1050</v>
      </c>
      <c r="X44" s="1"/>
      <c r="Y44" s="1"/>
      <c r="AJ44" s="1">
        <v>41</v>
      </c>
      <c r="AK44" s="1">
        <f t="shared" si="6"/>
        <v>5160</v>
      </c>
      <c r="AL44" s="1">
        <f t="shared" si="7"/>
        <v>17.5</v>
      </c>
      <c r="AM44" s="1">
        <f t="shared" si="8"/>
        <v>5177.5</v>
      </c>
    </row>
    <row r="45" spans="9:39" x14ac:dyDescent="0.15">
      <c r="I45" s="1">
        <v>41</v>
      </c>
      <c r="K45" s="1">
        <f t="shared" si="12"/>
        <v>430</v>
      </c>
      <c r="L45" s="1">
        <f t="shared" si="13"/>
        <v>645</v>
      </c>
      <c r="M45" s="1">
        <f t="shared" si="14"/>
        <v>860</v>
      </c>
      <c r="N45" s="1">
        <f t="shared" si="15"/>
        <v>1075</v>
      </c>
      <c r="X45" s="1"/>
      <c r="Y45" s="1"/>
      <c r="AJ45" s="1">
        <v>42</v>
      </c>
      <c r="AK45" s="1">
        <f t="shared" si="6"/>
        <v>5280</v>
      </c>
      <c r="AL45" s="1">
        <f t="shared" si="7"/>
        <v>18.333333333333336</v>
      </c>
      <c r="AM45" s="1">
        <f t="shared" si="8"/>
        <v>5298.333333333333</v>
      </c>
    </row>
    <row r="46" spans="9:39" x14ac:dyDescent="0.15">
      <c r="I46" s="1">
        <v>42</v>
      </c>
      <c r="K46" s="1">
        <f t="shared" si="12"/>
        <v>440</v>
      </c>
      <c r="L46" s="1">
        <f t="shared" si="13"/>
        <v>660</v>
      </c>
      <c r="M46" s="1">
        <f t="shared" si="14"/>
        <v>880</v>
      </c>
      <c r="N46" s="1">
        <f t="shared" si="15"/>
        <v>1100</v>
      </c>
      <c r="X46" s="1"/>
      <c r="Y46" s="1"/>
      <c r="AJ46" s="1">
        <v>43</v>
      </c>
      <c r="AK46" s="1">
        <f t="shared" si="6"/>
        <v>5400</v>
      </c>
      <c r="AL46" s="1">
        <f t="shared" si="7"/>
        <v>19.166666666666668</v>
      </c>
      <c r="AM46" s="1">
        <f t="shared" si="8"/>
        <v>5419.166666666667</v>
      </c>
    </row>
    <row r="47" spans="9:39" x14ac:dyDescent="0.15">
      <c r="I47" s="1">
        <v>43</v>
      </c>
      <c r="K47" s="1">
        <f t="shared" si="12"/>
        <v>450</v>
      </c>
      <c r="L47" s="1">
        <f t="shared" si="13"/>
        <v>675</v>
      </c>
      <c r="M47" s="1">
        <f t="shared" si="14"/>
        <v>900</v>
      </c>
      <c r="N47" s="1">
        <f t="shared" si="15"/>
        <v>1125</v>
      </c>
      <c r="X47" s="1"/>
      <c r="Y47" s="1"/>
      <c r="AJ47" s="1">
        <v>44</v>
      </c>
      <c r="AK47" s="1">
        <f t="shared" si="6"/>
        <v>5520</v>
      </c>
      <c r="AL47" s="1">
        <f t="shared" si="7"/>
        <v>20</v>
      </c>
      <c r="AM47" s="1">
        <f t="shared" si="8"/>
        <v>5540</v>
      </c>
    </row>
    <row r="48" spans="9:39" x14ac:dyDescent="0.15">
      <c r="I48" s="1">
        <v>44</v>
      </c>
      <c r="K48" s="1">
        <f t="shared" si="12"/>
        <v>460</v>
      </c>
      <c r="L48" s="1">
        <f t="shared" si="13"/>
        <v>690</v>
      </c>
      <c r="M48" s="1">
        <f t="shared" si="14"/>
        <v>920</v>
      </c>
      <c r="N48" s="1">
        <f t="shared" si="15"/>
        <v>1150</v>
      </c>
      <c r="X48" s="1"/>
      <c r="Y48" s="1"/>
      <c r="AJ48" s="1">
        <v>45</v>
      </c>
      <c r="AK48" s="1">
        <f t="shared" si="6"/>
        <v>5640</v>
      </c>
      <c r="AL48" s="1">
        <f t="shared" si="7"/>
        <v>45</v>
      </c>
      <c r="AM48" s="1">
        <f t="shared" si="8"/>
        <v>5685</v>
      </c>
    </row>
    <row r="49" spans="9:39" x14ac:dyDescent="0.15">
      <c r="I49" s="1">
        <v>45</v>
      </c>
      <c r="K49" s="1">
        <f t="shared" si="12"/>
        <v>470</v>
      </c>
      <c r="L49" s="1">
        <f t="shared" si="13"/>
        <v>705</v>
      </c>
      <c r="M49" s="1">
        <f t="shared" si="14"/>
        <v>940</v>
      </c>
      <c r="N49" s="1">
        <f t="shared" si="15"/>
        <v>1175</v>
      </c>
      <c r="X49" s="1"/>
      <c r="Y49" s="1"/>
      <c r="AJ49" s="1">
        <v>46</v>
      </c>
      <c r="AK49" s="1">
        <f t="shared" si="6"/>
        <v>5760</v>
      </c>
      <c r="AL49" s="1">
        <f t="shared" si="7"/>
        <v>70</v>
      </c>
      <c r="AM49" s="1">
        <f t="shared" si="8"/>
        <v>5830</v>
      </c>
    </row>
    <row r="50" spans="9:39" x14ac:dyDescent="0.15">
      <c r="I50" s="1">
        <v>46</v>
      </c>
      <c r="K50" s="1">
        <f t="shared" si="12"/>
        <v>480</v>
      </c>
      <c r="L50" s="1">
        <f t="shared" si="13"/>
        <v>720</v>
      </c>
      <c r="M50" s="1">
        <f t="shared" si="14"/>
        <v>960</v>
      </c>
      <c r="N50" s="1">
        <f t="shared" si="15"/>
        <v>1200</v>
      </c>
      <c r="X50" s="1"/>
      <c r="Y50" s="1"/>
      <c r="AJ50" s="1">
        <v>47</v>
      </c>
      <c r="AK50" s="1">
        <f t="shared" si="6"/>
        <v>5880</v>
      </c>
      <c r="AL50" s="1">
        <f t="shared" si="7"/>
        <v>95</v>
      </c>
      <c r="AM50" s="1">
        <f t="shared" si="8"/>
        <v>5975</v>
      </c>
    </row>
    <row r="51" spans="9:39" x14ac:dyDescent="0.15">
      <c r="I51" s="1">
        <v>47</v>
      </c>
      <c r="K51" s="1">
        <f t="shared" si="12"/>
        <v>490</v>
      </c>
      <c r="L51" s="1">
        <f t="shared" si="13"/>
        <v>735</v>
      </c>
      <c r="M51" s="1">
        <f t="shared" si="14"/>
        <v>980</v>
      </c>
      <c r="N51" s="1">
        <f t="shared" si="15"/>
        <v>1225</v>
      </c>
      <c r="X51" s="1"/>
      <c r="Y51" s="1"/>
      <c r="AJ51" s="1">
        <v>48</v>
      </c>
      <c r="AK51" s="1">
        <f t="shared" si="6"/>
        <v>6000</v>
      </c>
      <c r="AL51" s="1">
        <f t="shared" si="7"/>
        <v>120</v>
      </c>
      <c r="AM51" s="1">
        <f t="shared" si="8"/>
        <v>6120</v>
      </c>
    </row>
    <row r="52" spans="9:39" x14ac:dyDescent="0.15">
      <c r="I52" s="1">
        <v>48</v>
      </c>
      <c r="K52" s="1">
        <f t="shared" si="12"/>
        <v>500</v>
      </c>
      <c r="L52" s="1">
        <f t="shared" si="13"/>
        <v>750</v>
      </c>
      <c r="M52" s="1">
        <f t="shared" si="14"/>
        <v>1000</v>
      </c>
      <c r="N52" s="1">
        <f t="shared" si="15"/>
        <v>1250</v>
      </c>
      <c r="X52" s="1"/>
      <c r="Y52" s="1"/>
      <c r="AJ52" s="1">
        <v>49</v>
      </c>
      <c r="AK52" s="1">
        <f t="shared" si="6"/>
        <v>6120</v>
      </c>
      <c r="AL52" s="1">
        <f t="shared" si="7"/>
        <v>144</v>
      </c>
      <c r="AM52" s="1">
        <f t="shared" si="8"/>
        <v>6264</v>
      </c>
    </row>
    <row r="53" spans="9:39" x14ac:dyDescent="0.15">
      <c r="I53" s="1">
        <v>49</v>
      </c>
      <c r="K53" s="1">
        <f t="shared" si="12"/>
        <v>510</v>
      </c>
      <c r="L53" s="1">
        <f t="shared" si="13"/>
        <v>765</v>
      </c>
      <c r="M53" s="1">
        <f t="shared" si="14"/>
        <v>1020</v>
      </c>
      <c r="N53" s="1">
        <f t="shared" si="15"/>
        <v>1275</v>
      </c>
      <c r="X53" s="1"/>
      <c r="Y53" s="1"/>
      <c r="AJ53" s="1">
        <v>50</v>
      </c>
      <c r="AK53" s="1">
        <f t="shared" si="6"/>
        <v>6240</v>
      </c>
      <c r="AL53" s="1">
        <f t="shared" si="7"/>
        <v>168</v>
      </c>
      <c r="AM53" s="1">
        <f t="shared" si="8"/>
        <v>6408</v>
      </c>
    </row>
    <row r="54" spans="9:39" x14ac:dyDescent="0.15">
      <c r="I54" s="1">
        <v>50</v>
      </c>
      <c r="K54" s="1">
        <f t="shared" si="12"/>
        <v>520</v>
      </c>
      <c r="L54" s="1">
        <f t="shared" si="13"/>
        <v>780</v>
      </c>
      <c r="M54" s="1">
        <f t="shared" si="14"/>
        <v>1040</v>
      </c>
      <c r="N54" s="1">
        <f t="shared" si="15"/>
        <v>1300</v>
      </c>
      <c r="X54" s="1"/>
      <c r="Y54" s="1"/>
      <c r="AJ54" s="1">
        <v>51</v>
      </c>
      <c r="AK54" s="1">
        <f t="shared" si="6"/>
        <v>6360</v>
      </c>
      <c r="AL54" s="1">
        <f t="shared" si="7"/>
        <v>192</v>
      </c>
      <c r="AM54" s="1">
        <f t="shared" si="8"/>
        <v>6552</v>
      </c>
    </row>
    <row r="55" spans="9:39" x14ac:dyDescent="0.15">
      <c r="I55" s="1">
        <v>51</v>
      </c>
      <c r="K55" s="1">
        <f t="shared" si="12"/>
        <v>530</v>
      </c>
      <c r="L55" s="1">
        <f t="shared" si="13"/>
        <v>795</v>
      </c>
      <c r="M55" s="1">
        <f t="shared" si="14"/>
        <v>1060</v>
      </c>
      <c r="N55" s="1">
        <f t="shared" si="15"/>
        <v>1325</v>
      </c>
      <c r="X55" s="1"/>
      <c r="Y55" s="1"/>
      <c r="AJ55" s="1">
        <v>52</v>
      </c>
      <c r="AK55" s="1">
        <f t="shared" si="6"/>
        <v>6480</v>
      </c>
      <c r="AL55" s="1">
        <f t="shared" si="7"/>
        <v>216</v>
      </c>
      <c r="AM55" s="1">
        <f t="shared" si="8"/>
        <v>6696</v>
      </c>
    </row>
    <row r="56" spans="9:39" x14ac:dyDescent="0.15">
      <c r="I56" s="1">
        <v>52</v>
      </c>
      <c r="K56" s="1">
        <f t="shared" si="12"/>
        <v>540</v>
      </c>
      <c r="L56" s="1">
        <f t="shared" si="13"/>
        <v>810</v>
      </c>
      <c r="M56" s="1">
        <f t="shared" si="14"/>
        <v>1080</v>
      </c>
      <c r="N56" s="1">
        <f t="shared" si="15"/>
        <v>1350</v>
      </c>
      <c r="X56" s="1"/>
      <c r="Y56" s="1"/>
      <c r="AJ56" s="1">
        <v>53</v>
      </c>
      <c r="AK56" s="1">
        <f t="shared" si="6"/>
        <v>6600</v>
      </c>
      <c r="AL56" s="1">
        <f t="shared" si="7"/>
        <v>240</v>
      </c>
      <c r="AM56" s="1">
        <f t="shared" si="8"/>
        <v>6840</v>
      </c>
    </row>
    <row r="57" spans="9:39" x14ac:dyDescent="0.15">
      <c r="I57" s="1">
        <v>53</v>
      </c>
      <c r="K57" s="1">
        <f t="shared" ref="K57:K88" si="16">D$7+D$8*$I57</f>
        <v>550</v>
      </c>
      <c r="L57" s="1">
        <f t="shared" ref="L57:L88" si="17">E$7+E$8*$I57</f>
        <v>825</v>
      </c>
      <c r="M57" s="1">
        <f t="shared" ref="M57:M88" si="18">F$7+F$8*$I57</f>
        <v>1100</v>
      </c>
      <c r="N57" s="1">
        <f t="shared" ref="N57:N88" si="19">G$7+G$8*$I57</f>
        <v>1375</v>
      </c>
      <c r="X57" s="1"/>
      <c r="Y57" s="1"/>
      <c r="AJ57" s="1">
        <v>54</v>
      </c>
      <c r="AK57" s="1">
        <f t="shared" si="6"/>
        <v>6720</v>
      </c>
      <c r="AL57" s="1">
        <f t="shared" si="7"/>
        <v>264</v>
      </c>
      <c r="AM57" s="1">
        <f t="shared" si="8"/>
        <v>6984</v>
      </c>
    </row>
    <row r="58" spans="9:39" x14ac:dyDescent="0.15">
      <c r="I58" s="1">
        <v>54</v>
      </c>
      <c r="K58" s="1">
        <f t="shared" si="16"/>
        <v>560</v>
      </c>
      <c r="L58" s="1">
        <f t="shared" si="17"/>
        <v>840</v>
      </c>
      <c r="M58" s="1">
        <f t="shared" si="18"/>
        <v>1120</v>
      </c>
      <c r="N58" s="1">
        <f t="shared" si="19"/>
        <v>1400</v>
      </c>
      <c r="X58" s="1"/>
      <c r="Y58" s="1"/>
      <c r="AJ58" s="1">
        <v>55</v>
      </c>
      <c r="AK58" s="1">
        <f t="shared" si="6"/>
        <v>6840</v>
      </c>
      <c r="AL58" s="1">
        <f t="shared" si="7"/>
        <v>288</v>
      </c>
      <c r="AM58" s="1">
        <f t="shared" si="8"/>
        <v>7128</v>
      </c>
    </row>
    <row r="59" spans="9:39" x14ac:dyDescent="0.15">
      <c r="I59" s="1">
        <v>55</v>
      </c>
      <c r="K59" s="1">
        <f t="shared" si="16"/>
        <v>570</v>
      </c>
      <c r="L59" s="1">
        <f t="shared" si="17"/>
        <v>855</v>
      </c>
      <c r="M59" s="1">
        <f t="shared" si="18"/>
        <v>1140</v>
      </c>
      <c r="N59" s="1">
        <f t="shared" si="19"/>
        <v>1425</v>
      </c>
      <c r="X59" s="1"/>
      <c r="Y59" s="1"/>
      <c r="AJ59" s="1">
        <v>56</v>
      </c>
      <c r="AK59" s="1">
        <f t="shared" si="6"/>
        <v>6960</v>
      </c>
      <c r="AL59" s="1">
        <f t="shared" si="7"/>
        <v>312</v>
      </c>
      <c r="AM59" s="1">
        <f t="shared" si="8"/>
        <v>7272</v>
      </c>
    </row>
    <row r="60" spans="9:39" x14ac:dyDescent="0.15">
      <c r="I60" s="1">
        <v>56</v>
      </c>
      <c r="K60" s="1">
        <f t="shared" si="16"/>
        <v>580</v>
      </c>
      <c r="L60" s="1">
        <f t="shared" si="17"/>
        <v>870</v>
      </c>
      <c r="M60" s="1">
        <f t="shared" si="18"/>
        <v>1160</v>
      </c>
      <c r="N60" s="1">
        <f t="shared" si="19"/>
        <v>1450</v>
      </c>
      <c r="X60" s="1"/>
      <c r="Y60" s="1"/>
      <c r="AJ60" s="1">
        <v>57</v>
      </c>
      <c r="AK60" s="1">
        <f t="shared" si="6"/>
        <v>7080</v>
      </c>
      <c r="AL60" s="1">
        <f t="shared" si="7"/>
        <v>336</v>
      </c>
      <c r="AM60" s="1">
        <f t="shared" si="8"/>
        <v>7416</v>
      </c>
    </row>
    <row r="61" spans="9:39" x14ac:dyDescent="0.15">
      <c r="I61" s="1">
        <v>57</v>
      </c>
      <c r="K61" s="1">
        <f t="shared" si="16"/>
        <v>590</v>
      </c>
      <c r="L61" s="1">
        <f t="shared" si="17"/>
        <v>885</v>
      </c>
      <c r="M61" s="1">
        <f t="shared" si="18"/>
        <v>1180</v>
      </c>
      <c r="N61" s="1">
        <f t="shared" si="19"/>
        <v>1475</v>
      </c>
      <c r="X61" s="1"/>
      <c r="Y61" s="1"/>
      <c r="AJ61" s="1">
        <v>58</v>
      </c>
      <c r="AK61" s="1">
        <f t="shared" si="6"/>
        <v>7200</v>
      </c>
      <c r="AL61" s="1">
        <f t="shared" si="7"/>
        <v>360</v>
      </c>
      <c r="AM61" s="1">
        <f t="shared" si="8"/>
        <v>7560</v>
      </c>
    </row>
    <row r="62" spans="9:39" x14ac:dyDescent="0.15">
      <c r="I62" s="1">
        <v>58</v>
      </c>
      <c r="K62" s="1">
        <f t="shared" si="16"/>
        <v>600</v>
      </c>
      <c r="L62" s="1">
        <f t="shared" si="17"/>
        <v>900</v>
      </c>
      <c r="M62" s="1">
        <f t="shared" si="18"/>
        <v>1200</v>
      </c>
      <c r="N62" s="1">
        <f t="shared" si="19"/>
        <v>1500</v>
      </c>
      <c r="X62" s="1"/>
      <c r="Y62" s="1"/>
      <c r="AJ62" s="1">
        <v>59</v>
      </c>
      <c r="AK62" s="1">
        <f t="shared" si="6"/>
        <v>7320</v>
      </c>
      <c r="AL62" s="1">
        <f t="shared" si="7"/>
        <v>420</v>
      </c>
      <c r="AM62" s="1">
        <f t="shared" si="8"/>
        <v>7740</v>
      </c>
    </row>
    <row r="63" spans="9:39" x14ac:dyDescent="0.15">
      <c r="I63" s="1">
        <v>59</v>
      </c>
      <c r="K63" s="1">
        <f t="shared" si="16"/>
        <v>610</v>
      </c>
      <c r="L63" s="1">
        <f t="shared" si="17"/>
        <v>915</v>
      </c>
      <c r="M63" s="1">
        <f t="shared" si="18"/>
        <v>1220</v>
      </c>
      <c r="N63" s="1">
        <f t="shared" si="19"/>
        <v>1525</v>
      </c>
      <c r="X63" s="1"/>
      <c r="Y63" s="1"/>
      <c r="AJ63" s="1">
        <v>60</v>
      </c>
      <c r="AK63" s="1">
        <f t="shared" si="6"/>
        <v>7440</v>
      </c>
      <c r="AL63" s="1">
        <f t="shared" si="7"/>
        <v>480</v>
      </c>
      <c r="AM63" s="1">
        <f t="shared" si="8"/>
        <v>7920</v>
      </c>
    </row>
    <row r="64" spans="9:39" x14ac:dyDescent="0.15">
      <c r="I64" s="1">
        <v>60</v>
      </c>
      <c r="K64" s="1">
        <f t="shared" si="16"/>
        <v>620</v>
      </c>
      <c r="L64" s="1">
        <f t="shared" si="17"/>
        <v>930</v>
      </c>
      <c r="M64" s="1">
        <f t="shared" si="18"/>
        <v>1240</v>
      </c>
      <c r="N64" s="1">
        <f t="shared" si="19"/>
        <v>1550</v>
      </c>
      <c r="X64" s="1"/>
      <c r="Y64" s="1"/>
      <c r="AJ64" s="1">
        <v>61</v>
      </c>
      <c r="AK64" s="1">
        <f t="shared" si="6"/>
        <v>7560</v>
      </c>
      <c r="AL64" s="1">
        <f t="shared" si="7"/>
        <v>540</v>
      </c>
      <c r="AM64" s="1">
        <f t="shared" si="8"/>
        <v>8100</v>
      </c>
    </row>
    <row r="65" spans="9:39" x14ac:dyDescent="0.15">
      <c r="I65" s="1">
        <v>61</v>
      </c>
      <c r="K65" s="1">
        <f t="shared" si="16"/>
        <v>630</v>
      </c>
      <c r="L65" s="1">
        <f t="shared" si="17"/>
        <v>945</v>
      </c>
      <c r="M65" s="1">
        <f t="shared" si="18"/>
        <v>1260</v>
      </c>
      <c r="N65" s="1">
        <f t="shared" si="19"/>
        <v>1575</v>
      </c>
      <c r="X65" s="1"/>
      <c r="Y65" s="1"/>
      <c r="AJ65" s="1">
        <v>62</v>
      </c>
      <c r="AK65" s="1">
        <f t="shared" si="6"/>
        <v>7680</v>
      </c>
      <c r="AL65" s="1">
        <f t="shared" si="7"/>
        <v>600</v>
      </c>
      <c r="AM65" s="1">
        <f t="shared" si="8"/>
        <v>8280</v>
      </c>
    </row>
    <row r="66" spans="9:39" x14ac:dyDescent="0.15">
      <c r="I66" s="1">
        <v>62</v>
      </c>
      <c r="K66" s="1">
        <f t="shared" si="16"/>
        <v>640</v>
      </c>
      <c r="L66" s="1">
        <f t="shared" si="17"/>
        <v>960</v>
      </c>
      <c r="M66" s="1">
        <f t="shared" si="18"/>
        <v>1280</v>
      </c>
      <c r="N66" s="1">
        <f t="shared" si="19"/>
        <v>1600</v>
      </c>
      <c r="X66" s="1"/>
      <c r="Y66" s="1"/>
      <c r="AJ66" s="1">
        <v>63</v>
      </c>
      <c r="AK66" s="1">
        <f t="shared" si="6"/>
        <v>7800</v>
      </c>
      <c r="AL66" s="1">
        <f t="shared" si="7"/>
        <v>660</v>
      </c>
      <c r="AM66" s="1">
        <f t="shared" si="8"/>
        <v>8460</v>
      </c>
    </row>
    <row r="67" spans="9:39" x14ac:dyDescent="0.15">
      <c r="I67" s="1">
        <v>63</v>
      </c>
      <c r="K67" s="1">
        <f t="shared" si="16"/>
        <v>650</v>
      </c>
      <c r="L67" s="1">
        <f t="shared" si="17"/>
        <v>975</v>
      </c>
      <c r="M67" s="1">
        <f t="shared" si="18"/>
        <v>1300</v>
      </c>
      <c r="N67" s="1">
        <f t="shared" si="19"/>
        <v>1625</v>
      </c>
      <c r="X67" s="1"/>
      <c r="Y67" s="1"/>
      <c r="AJ67" s="1">
        <v>64</v>
      </c>
      <c r="AK67" s="1">
        <f t="shared" si="6"/>
        <v>7920</v>
      </c>
      <c r="AL67" s="1">
        <f t="shared" si="7"/>
        <v>720</v>
      </c>
      <c r="AM67" s="1">
        <f t="shared" si="8"/>
        <v>8640</v>
      </c>
    </row>
    <row r="68" spans="9:39" x14ac:dyDescent="0.15">
      <c r="I68" s="1">
        <v>64</v>
      </c>
      <c r="K68" s="1">
        <f t="shared" si="16"/>
        <v>660</v>
      </c>
      <c r="L68" s="1">
        <f t="shared" si="17"/>
        <v>990</v>
      </c>
      <c r="M68" s="1">
        <f t="shared" si="18"/>
        <v>1320</v>
      </c>
      <c r="N68" s="1">
        <f t="shared" si="19"/>
        <v>1650</v>
      </c>
      <c r="X68" s="1"/>
      <c r="Y68" s="1"/>
      <c r="AJ68" s="1">
        <v>65</v>
      </c>
      <c r="AK68" s="1">
        <f t="shared" si="6"/>
        <v>8040</v>
      </c>
      <c r="AL68" s="1">
        <f t="shared" si="7"/>
        <v>780</v>
      </c>
      <c r="AM68" s="1">
        <f t="shared" si="8"/>
        <v>8820</v>
      </c>
    </row>
    <row r="69" spans="9:39" x14ac:dyDescent="0.15">
      <c r="I69" s="1">
        <v>65</v>
      </c>
      <c r="K69" s="1">
        <f t="shared" si="16"/>
        <v>670</v>
      </c>
      <c r="L69" s="1">
        <f t="shared" si="17"/>
        <v>1005</v>
      </c>
      <c r="M69" s="1">
        <f t="shared" si="18"/>
        <v>1340</v>
      </c>
      <c r="N69" s="1">
        <f t="shared" si="19"/>
        <v>1675</v>
      </c>
      <c r="X69" s="1"/>
      <c r="Y69" s="1"/>
      <c r="AJ69" s="1">
        <v>66</v>
      </c>
      <c r="AK69" s="1">
        <f t="shared" ref="AK69:AK103" si="20">求节点($AC$4:$AC$17,$AH$4:$AH$17,AJ69)</f>
        <v>8160</v>
      </c>
      <c r="AL69" s="1">
        <f t="shared" ref="AL69:AL103" si="21">IF(AJ69&lt;=$AC$26,求节点($AC$21:$AC$26,$AH$21:$AH$26,AJ69),$AH$26)</f>
        <v>840</v>
      </c>
      <c r="AM69" s="1">
        <f t="shared" ref="AM69:AM103" si="22">AK69+AL69</f>
        <v>9000</v>
      </c>
    </row>
    <row r="70" spans="9:39" x14ac:dyDescent="0.15">
      <c r="I70" s="1">
        <v>66</v>
      </c>
      <c r="K70" s="1">
        <f t="shared" si="16"/>
        <v>680</v>
      </c>
      <c r="L70" s="1">
        <f t="shared" si="17"/>
        <v>1020</v>
      </c>
      <c r="M70" s="1">
        <f t="shared" si="18"/>
        <v>1360</v>
      </c>
      <c r="N70" s="1">
        <f t="shared" si="19"/>
        <v>1700</v>
      </c>
      <c r="X70" s="1"/>
      <c r="Y70" s="1"/>
      <c r="AJ70" s="1">
        <v>67</v>
      </c>
      <c r="AK70" s="1">
        <f t="shared" si="20"/>
        <v>8280</v>
      </c>
      <c r="AL70" s="1">
        <f t="shared" si="21"/>
        <v>840</v>
      </c>
      <c r="AM70" s="1">
        <f t="shared" si="22"/>
        <v>9120</v>
      </c>
    </row>
    <row r="71" spans="9:39" x14ac:dyDescent="0.15">
      <c r="I71" s="1">
        <v>67</v>
      </c>
      <c r="K71" s="1">
        <f t="shared" si="16"/>
        <v>690</v>
      </c>
      <c r="L71" s="1">
        <f t="shared" si="17"/>
        <v>1035</v>
      </c>
      <c r="M71" s="1">
        <f t="shared" si="18"/>
        <v>1380</v>
      </c>
      <c r="N71" s="1">
        <f t="shared" si="19"/>
        <v>1725</v>
      </c>
      <c r="X71" s="1"/>
      <c r="Y71" s="1"/>
      <c r="AJ71" s="1">
        <v>68</v>
      </c>
      <c r="AK71" s="1">
        <f t="shared" si="20"/>
        <v>8400</v>
      </c>
      <c r="AL71" s="1">
        <f t="shared" si="21"/>
        <v>840</v>
      </c>
      <c r="AM71" s="1">
        <f t="shared" si="22"/>
        <v>9240</v>
      </c>
    </row>
    <row r="72" spans="9:39" x14ac:dyDescent="0.15">
      <c r="I72" s="1">
        <v>68</v>
      </c>
      <c r="K72" s="1">
        <f t="shared" si="16"/>
        <v>700</v>
      </c>
      <c r="L72" s="1">
        <f t="shared" si="17"/>
        <v>1050</v>
      </c>
      <c r="M72" s="1">
        <f t="shared" si="18"/>
        <v>1400</v>
      </c>
      <c r="N72" s="1">
        <f t="shared" si="19"/>
        <v>1750</v>
      </c>
      <c r="X72" s="1"/>
      <c r="Y72" s="1"/>
      <c r="AJ72" s="1">
        <v>69</v>
      </c>
      <c r="AK72" s="1">
        <f t="shared" si="20"/>
        <v>8520</v>
      </c>
      <c r="AL72" s="1">
        <f t="shared" si="21"/>
        <v>840</v>
      </c>
      <c r="AM72" s="1">
        <f t="shared" si="22"/>
        <v>9360</v>
      </c>
    </row>
    <row r="73" spans="9:39" x14ac:dyDescent="0.15">
      <c r="I73" s="1">
        <v>69</v>
      </c>
      <c r="K73" s="1">
        <f t="shared" si="16"/>
        <v>710</v>
      </c>
      <c r="L73" s="1">
        <f t="shared" si="17"/>
        <v>1065</v>
      </c>
      <c r="M73" s="1">
        <f t="shared" si="18"/>
        <v>1420</v>
      </c>
      <c r="N73" s="1">
        <f t="shared" si="19"/>
        <v>1775</v>
      </c>
      <c r="X73" s="1"/>
      <c r="Y73" s="1"/>
      <c r="AJ73" s="1">
        <v>70</v>
      </c>
      <c r="AK73" s="1">
        <f t="shared" si="20"/>
        <v>8640</v>
      </c>
      <c r="AL73" s="1">
        <f t="shared" si="21"/>
        <v>840</v>
      </c>
      <c r="AM73" s="1">
        <f t="shared" si="22"/>
        <v>9480</v>
      </c>
    </row>
    <row r="74" spans="9:39" x14ac:dyDescent="0.15">
      <c r="I74" s="1">
        <v>70</v>
      </c>
      <c r="K74" s="1">
        <f t="shared" si="16"/>
        <v>720</v>
      </c>
      <c r="L74" s="1">
        <f t="shared" si="17"/>
        <v>1080</v>
      </c>
      <c r="M74" s="1">
        <f t="shared" si="18"/>
        <v>1440</v>
      </c>
      <c r="N74" s="1">
        <f t="shared" si="19"/>
        <v>1800</v>
      </c>
      <c r="X74" s="1"/>
      <c r="Y74" s="1"/>
      <c r="AJ74" s="1">
        <v>71</v>
      </c>
      <c r="AK74" s="1">
        <f t="shared" si="20"/>
        <v>8760</v>
      </c>
      <c r="AL74" s="1">
        <f t="shared" si="21"/>
        <v>840</v>
      </c>
      <c r="AM74" s="1">
        <f t="shared" si="22"/>
        <v>9600</v>
      </c>
    </row>
    <row r="75" spans="9:39" x14ac:dyDescent="0.15">
      <c r="I75" s="1">
        <v>71</v>
      </c>
      <c r="K75" s="1">
        <f t="shared" si="16"/>
        <v>730</v>
      </c>
      <c r="L75" s="1">
        <f t="shared" si="17"/>
        <v>1095</v>
      </c>
      <c r="M75" s="1">
        <f t="shared" si="18"/>
        <v>1460</v>
      </c>
      <c r="N75" s="1">
        <f t="shared" si="19"/>
        <v>1825</v>
      </c>
      <c r="X75" s="1"/>
      <c r="Y75" s="1"/>
      <c r="AJ75" s="1">
        <v>72</v>
      </c>
      <c r="AK75" s="1">
        <f t="shared" si="20"/>
        <v>8880</v>
      </c>
      <c r="AL75" s="1">
        <f t="shared" si="21"/>
        <v>840</v>
      </c>
      <c r="AM75" s="1">
        <f t="shared" si="22"/>
        <v>9720</v>
      </c>
    </row>
    <row r="76" spans="9:39" x14ac:dyDescent="0.15">
      <c r="I76" s="1">
        <v>72</v>
      </c>
      <c r="K76" s="1">
        <f t="shared" si="16"/>
        <v>740</v>
      </c>
      <c r="L76" s="1">
        <f t="shared" si="17"/>
        <v>1110</v>
      </c>
      <c r="M76" s="1">
        <f t="shared" si="18"/>
        <v>1480</v>
      </c>
      <c r="N76" s="1">
        <f t="shared" si="19"/>
        <v>1850</v>
      </c>
      <c r="X76" s="1"/>
      <c r="Y76" s="1"/>
      <c r="AJ76" s="1">
        <v>73</v>
      </c>
      <c r="AK76" s="1">
        <f t="shared" si="20"/>
        <v>9000</v>
      </c>
      <c r="AL76" s="1">
        <f t="shared" si="21"/>
        <v>840</v>
      </c>
      <c r="AM76" s="1">
        <f t="shared" si="22"/>
        <v>9840</v>
      </c>
    </row>
    <row r="77" spans="9:39" x14ac:dyDescent="0.15">
      <c r="I77" s="1">
        <v>73</v>
      </c>
      <c r="K77" s="1">
        <f t="shared" si="16"/>
        <v>750</v>
      </c>
      <c r="L77" s="1">
        <f t="shared" si="17"/>
        <v>1125</v>
      </c>
      <c r="M77" s="1">
        <f t="shared" si="18"/>
        <v>1500</v>
      </c>
      <c r="N77" s="1">
        <f t="shared" si="19"/>
        <v>1875</v>
      </c>
      <c r="X77" s="1"/>
      <c r="Y77" s="1"/>
      <c r="AJ77" s="1">
        <v>74</v>
      </c>
      <c r="AK77" s="1">
        <f t="shared" si="20"/>
        <v>9120</v>
      </c>
      <c r="AL77" s="1">
        <f t="shared" si="21"/>
        <v>840</v>
      </c>
      <c r="AM77" s="1">
        <f t="shared" si="22"/>
        <v>9960</v>
      </c>
    </row>
    <row r="78" spans="9:39" x14ac:dyDescent="0.15">
      <c r="I78" s="1">
        <v>74</v>
      </c>
      <c r="K78" s="1">
        <f t="shared" si="16"/>
        <v>760</v>
      </c>
      <c r="L78" s="1">
        <f t="shared" si="17"/>
        <v>1140</v>
      </c>
      <c r="M78" s="1">
        <f t="shared" si="18"/>
        <v>1520</v>
      </c>
      <c r="N78" s="1">
        <f t="shared" si="19"/>
        <v>1900</v>
      </c>
      <c r="X78" s="1"/>
      <c r="Y78" s="1"/>
      <c r="AJ78" s="1">
        <v>75</v>
      </c>
      <c r="AK78" s="1">
        <f t="shared" si="20"/>
        <v>9240</v>
      </c>
      <c r="AL78" s="1">
        <f t="shared" si="21"/>
        <v>840</v>
      </c>
      <c r="AM78" s="1">
        <f t="shared" si="22"/>
        <v>10080</v>
      </c>
    </row>
    <row r="79" spans="9:39" x14ac:dyDescent="0.15">
      <c r="I79" s="1">
        <v>75</v>
      </c>
      <c r="K79" s="1">
        <f t="shared" si="16"/>
        <v>770</v>
      </c>
      <c r="L79" s="1">
        <f t="shared" si="17"/>
        <v>1155</v>
      </c>
      <c r="M79" s="1">
        <f t="shared" si="18"/>
        <v>1540</v>
      </c>
      <c r="N79" s="1">
        <f t="shared" si="19"/>
        <v>1925</v>
      </c>
      <c r="X79" s="1"/>
      <c r="Y79" s="1"/>
      <c r="AJ79" s="1">
        <v>76</v>
      </c>
      <c r="AK79" s="1">
        <f t="shared" si="20"/>
        <v>9360</v>
      </c>
      <c r="AL79" s="1">
        <f t="shared" si="21"/>
        <v>840</v>
      </c>
      <c r="AM79" s="1">
        <f t="shared" si="22"/>
        <v>10200</v>
      </c>
    </row>
    <row r="80" spans="9:39" x14ac:dyDescent="0.15">
      <c r="I80" s="1">
        <v>76</v>
      </c>
      <c r="K80" s="1">
        <f t="shared" si="16"/>
        <v>780</v>
      </c>
      <c r="L80" s="1">
        <f t="shared" si="17"/>
        <v>1170</v>
      </c>
      <c r="M80" s="1">
        <f t="shared" si="18"/>
        <v>1560</v>
      </c>
      <c r="N80" s="1">
        <f t="shared" si="19"/>
        <v>1950</v>
      </c>
      <c r="X80" s="1"/>
      <c r="Y80" s="1"/>
      <c r="AJ80" s="1">
        <v>77</v>
      </c>
      <c r="AK80" s="1">
        <f t="shared" si="20"/>
        <v>9480</v>
      </c>
      <c r="AL80" s="1">
        <f t="shared" si="21"/>
        <v>840</v>
      </c>
      <c r="AM80" s="1">
        <f t="shared" si="22"/>
        <v>10320</v>
      </c>
    </row>
    <row r="81" spans="9:39" x14ac:dyDescent="0.15">
      <c r="I81" s="1">
        <v>77</v>
      </c>
      <c r="K81" s="1">
        <f t="shared" si="16"/>
        <v>790</v>
      </c>
      <c r="L81" s="1">
        <f t="shared" si="17"/>
        <v>1185</v>
      </c>
      <c r="M81" s="1">
        <f t="shared" si="18"/>
        <v>1580</v>
      </c>
      <c r="N81" s="1">
        <f t="shared" si="19"/>
        <v>1975</v>
      </c>
      <c r="X81" s="1"/>
      <c r="Y81" s="1"/>
      <c r="AJ81" s="1">
        <v>78</v>
      </c>
      <c r="AK81" s="1">
        <f t="shared" si="20"/>
        <v>9600</v>
      </c>
      <c r="AL81" s="1">
        <f t="shared" si="21"/>
        <v>840</v>
      </c>
      <c r="AM81" s="1">
        <f t="shared" si="22"/>
        <v>10440</v>
      </c>
    </row>
    <row r="82" spans="9:39" x14ac:dyDescent="0.15">
      <c r="I82" s="1">
        <v>78</v>
      </c>
      <c r="K82" s="1">
        <f t="shared" si="16"/>
        <v>800</v>
      </c>
      <c r="L82" s="1">
        <f t="shared" si="17"/>
        <v>1200</v>
      </c>
      <c r="M82" s="1">
        <f t="shared" si="18"/>
        <v>1600</v>
      </c>
      <c r="N82" s="1">
        <f t="shared" si="19"/>
        <v>2000</v>
      </c>
      <c r="X82" s="1"/>
      <c r="Y82" s="1"/>
      <c r="AJ82" s="1">
        <v>79</v>
      </c>
      <c r="AK82" s="1">
        <f t="shared" si="20"/>
        <v>9720</v>
      </c>
      <c r="AL82" s="1">
        <f t="shared" si="21"/>
        <v>840</v>
      </c>
      <c r="AM82" s="1">
        <f t="shared" si="22"/>
        <v>10560</v>
      </c>
    </row>
    <row r="83" spans="9:39" x14ac:dyDescent="0.15">
      <c r="I83" s="1">
        <v>79</v>
      </c>
      <c r="K83" s="1">
        <f t="shared" si="16"/>
        <v>810</v>
      </c>
      <c r="L83" s="1">
        <f t="shared" si="17"/>
        <v>1215</v>
      </c>
      <c r="M83" s="1">
        <f t="shared" si="18"/>
        <v>1620</v>
      </c>
      <c r="N83" s="1">
        <f t="shared" si="19"/>
        <v>2025</v>
      </c>
      <c r="X83" s="1"/>
      <c r="Y83" s="1"/>
      <c r="AJ83" s="1">
        <v>80</v>
      </c>
      <c r="AK83" s="1">
        <f t="shared" si="20"/>
        <v>9840</v>
      </c>
      <c r="AL83" s="1">
        <f t="shared" si="21"/>
        <v>840</v>
      </c>
      <c r="AM83" s="1">
        <f t="shared" si="22"/>
        <v>10680</v>
      </c>
    </row>
    <row r="84" spans="9:39" x14ac:dyDescent="0.15">
      <c r="I84" s="1">
        <v>80</v>
      </c>
      <c r="K84" s="1">
        <f t="shared" si="16"/>
        <v>820</v>
      </c>
      <c r="L84" s="1">
        <f t="shared" si="17"/>
        <v>1230</v>
      </c>
      <c r="M84" s="1">
        <f t="shared" si="18"/>
        <v>1640</v>
      </c>
      <c r="N84" s="1">
        <f t="shared" si="19"/>
        <v>2050</v>
      </c>
      <c r="X84" s="1"/>
      <c r="Y84" s="1"/>
      <c r="AJ84" s="1">
        <v>81</v>
      </c>
      <c r="AK84" s="1">
        <f t="shared" si="20"/>
        <v>9960</v>
      </c>
      <c r="AL84" s="1">
        <f t="shared" si="21"/>
        <v>840</v>
      </c>
      <c r="AM84" s="1">
        <f t="shared" si="22"/>
        <v>10800</v>
      </c>
    </row>
    <row r="85" spans="9:39" x14ac:dyDescent="0.15">
      <c r="I85" s="1">
        <v>81</v>
      </c>
      <c r="K85" s="1">
        <f t="shared" si="16"/>
        <v>830</v>
      </c>
      <c r="L85" s="1">
        <f t="shared" si="17"/>
        <v>1245</v>
      </c>
      <c r="M85" s="1">
        <f t="shared" si="18"/>
        <v>1660</v>
      </c>
      <c r="N85" s="1">
        <f t="shared" si="19"/>
        <v>2075</v>
      </c>
      <c r="X85" s="1"/>
      <c r="Y85" s="1"/>
      <c r="AJ85" s="1">
        <v>82</v>
      </c>
      <c r="AK85" s="1">
        <f t="shared" si="20"/>
        <v>10080</v>
      </c>
      <c r="AL85" s="1">
        <f t="shared" si="21"/>
        <v>840</v>
      </c>
      <c r="AM85" s="1">
        <f t="shared" si="22"/>
        <v>10920</v>
      </c>
    </row>
    <row r="86" spans="9:39" x14ac:dyDescent="0.15">
      <c r="I86" s="1">
        <v>82</v>
      </c>
      <c r="K86" s="1">
        <f t="shared" si="16"/>
        <v>840</v>
      </c>
      <c r="L86" s="1">
        <f t="shared" si="17"/>
        <v>1260</v>
      </c>
      <c r="M86" s="1">
        <f t="shared" si="18"/>
        <v>1680</v>
      </c>
      <c r="N86" s="1">
        <f t="shared" si="19"/>
        <v>2100</v>
      </c>
      <c r="X86" s="1"/>
      <c r="Y86" s="1"/>
      <c r="AJ86" s="1">
        <v>83</v>
      </c>
      <c r="AK86" s="1">
        <f t="shared" si="20"/>
        <v>10200</v>
      </c>
      <c r="AL86" s="1">
        <f t="shared" si="21"/>
        <v>840</v>
      </c>
      <c r="AM86" s="1">
        <f t="shared" si="22"/>
        <v>11040</v>
      </c>
    </row>
    <row r="87" spans="9:39" x14ac:dyDescent="0.15">
      <c r="I87" s="1">
        <v>83</v>
      </c>
      <c r="K87" s="1">
        <f t="shared" si="16"/>
        <v>850</v>
      </c>
      <c r="L87" s="1">
        <f t="shared" si="17"/>
        <v>1275</v>
      </c>
      <c r="M87" s="1">
        <f t="shared" si="18"/>
        <v>1700</v>
      </c>
      <c r="N87" s="1">
        <f t="shared" si="19"/>
        <v>2125</v>
      </c>
      <c r="X87" s="1"/>
      <c r="Y87" s="1"/>
      <c r="AJ87" s="1">
        <v>84</v>
      </c>
      <c r="AK87" s="1">
        <f t="shared" si="20"/>
        <v>10320</v>
      </c>
      <c r="AL87" s="1">
        <f t="shared" si="21"/>
        <v>840</v>
      </c>
      <c r="AM87" s="1">
        <f t="shared" si="22"/>
        <v>11160</v>
      </c>
    </row>
    <row r="88" spans="9:39" x14ac:dyDescent="0.15">
      <c r="I88" s="1">
        <v>84</v>
      </c>
      <c r="K88" s="1">
        <f t="shared" si="16"/>
        <v>860</v>
      </c>
      <c r="L88" s="1">
        <f t="shared" si="17"/>
        <v>1290</v>
      </c>
      <c r="M88" s="1">
        <f t="shared" si="18"/>
        <v>1720</v>
      </c>
      <c r="N88" s="1">
        <f t="shared" si="19"/>
        <v>2150</v>
      </c>
      <c r="X88" s="1"/>
      <c r="Y88" s="1"/>
      <c r="AJ88" s="1">
        <v>85</v>
      </c>
      <c r="AK88" s="1">
        <f t="shared" si="20"/>
        <v>10440</v>
      </c>
      <c r="AL88" s="1">
        <f t="shared" si="21"/>
        <v>840</v>
      </c>
      <c r="AM88" s="1">
        <f t="shared" si="22"/>
        <v>11280</v>
      </c>
    </row>
    <row r="89" spans="9:39" x14ac:dyDescent="0.15">
      <c r="I89" s="1">
        <v>85</v>
      </c>
      <c r="K89" s="1">
        <f t="shared" ref="K89:K104" si="23">D$7+D$8*$I89</f>
        <v>870</v>
      </c>
      <c r="L89" s="1">
        <f t="shared" ref="L89:L104" si="24">E$7+E$8*$I89</f>
        <v>1305</v>
      </c>
      <c r="M89" s="1">
        <f t="shared" ref="M89:M104" si="25">F$7+F$8*$I89</f>
        <v>1740</v>
      </c>
      <c r="N89" s="1">
        <f t="shared" ref="N89:N104" si="26">G$7+G$8*$I89</f>
        <v>2175</v>
      </c>
      <c r="X89" s="1"/>
      <c r="Y89" s="1"/>
      <c r="AJ89" s="1">
        <v>86</v>
      </c>
      <c r="AK89" s="1">
        <f t="shared" si="20"/>
        <v>10560</v>
      </c>
      <c r="AL89" s="1">
        <f t="shared" si="21"/>
        <v>840</v>
      </c>
      <c r="AM89" s="1">
        <f t="shared" si="22"/>
        <v>11400</v>
      </c>
    </row>
    <row r="90" spans="9:39" x14ac:dyDescent="0.15">
      <c r="I90" s="1">
        <v>86</v>
      </c>
      <c r="K90" s="1">
        <f t="shared" si="23"/>
        <v>880</v>
      </c>
      <c r="L90" s="1">
        <f t="shared" si="24"/>
        <v>1320</v>
      </c>
      <c r="M90" s="1">
        <f t="shared" si="25"/>
        <v>1760</v>
      </c>
      <c r="N90" s="1">
        <f t="shared" si="26"/>
        <v>2200</v>
      </c>
      <c r="X90" s="1"/>
      <c r="Y90" s="1"/>
      <c r="AJ90" s="1">
        <v>87</v>
      </c>
      <c r="AK90" s="1">
        <f t="shared" si="20"/>
        <v>10680</v>
      </c>
      <c r="AL90" s="1">
        <f t="shared" si="21"/>
        <v>840</v>
      </c>
      <c r="AM90" s="1">
        <f t="shared" si="22"/>
        <v>11520</v>
      </c>
    </row>
    <row r="91" spans="9:39" x14ac:dyDescent="0.15">
      <c r="I91" s="1">
        <v>87</v>
      </c>
      <c r="K91" s="1">
        <f t="shared" si="23"/>
        <v>890</v>
      </c>
      <c r="L91" s="1">
        <f t="shared" si="24"/>
        <v>1335</v>
      </c>
      <c r="M91" s="1">
        <f t="shared" si="25"/>
        <v>1780</v>
      </c>
      <c r="N91" s="1">
        <f t="shared" si="26"/>
        <v>2225</v>
      </c>
      <c r="X91" s="1"/>
      <c r="Y91" s="1"/>
      <c r="AJ91" s="1">
        <v>88</v>
      </c>
      <c r="AK91" s="1">
        <f t="shared" si="20"/>
        <v>10800</v>
      </c>
      <c r="AL91" s="1">
        <f t="shared" si="21"/>
        <v>840</v>
      </c>
      <c r="AM91" s="1">
        <f t="shared" si="22"/>
        <v>11640</v>
      </c>
    </row>
    <row r="92" spans="9:39" x14ac:dyDescent="0.15">
      <c r="I92" s="1">
        <v>88</v>
      </c>
      <c r="K92" s="1">
        <f t="shared" si="23"/>
        <v>900</v>
      </c>
      <c r="L92" s="1">
        <f t="shared" si="24"/>
        <v>1350</v>
      </c>
      <c r="M92" s="1">
        <f t="shared" si="25"/>
        <v>1800</v>
      </c>
      <c r="N92" s="1">
        <f t="shared" si="26"/>
        <v>2250</v>
      </c>
      <c r="X92" s="1"/>
      <c r="Y92" s="1"/>
      <c r="AJ92" s="1">
        <v>89</v>
      </c>
      <c r="AK92" s="1">
        <f t="shared" si="20"/>
        <v>10920</v>
      </c>
      <c r="AL92" s="1">
        <f t="shared" si="21"/>
        <v>840</v>
      </c>
      <c r="AM92" s="1">
        <f t="shared" si="22"/>
        <v>11760</v>
      </c>
    </row>
    <row r="93" spans="9:39" x14ac:dyDescent="0.15">
      <c r="I93" s="1">
        <v>89</v>
      </c>
      <c r="K93" s="1">
        <f t="shared" si="23"/>
        <v>910</v>
      </c>
      <c r="L93" s="1">
        <f t="shared" si="24"/>
        <v>1365</v>
      </c>
      <c r="M93" s="1">
        <f t="shared" si="25"/>
        <v>1820</v>
      </c>
      <c r="N93" s="1">
        <f t="shared" si="26"/>
        <v>2275</v>
      </c>
      <c r="X93" s="1"/>
      <c r="Y93" s="1"/>
      <c r="AJ93" s="1">
        <v>90</v>
      </c>
      <c r="AK93" s="1">
        <f t="shared" si="20"/>
        <v>11040</v>
      </c>
      <c r="AL93" s="1">
        <f t="shared" si="21"/>
        <v>840</v>
      </c>
      <c r="AM93" s="1">
        <f t="shared" si="22"/>
        <v>11880</v>
      </c>
    </row>
    <row r="94" spans="9:39" x14ac:dyDescent="0.15">
      <c r="I94" s="1">
        <v>90</v>
      </c>
      <c r="K94" s="1">
        <f t="shared" si="23"/>
        <v>920</v>
      </c>
      <c r="L94" s="1">
        <f t="shared" si="24"/>
        <v>1380</v>
      </c>
      <c r="M94" s="1">
        <f t="shared" si="25"/>
        <v>1840</v>
      </c>
      <c r="N94" s="1">
        <f t="shared" si="26"/>
        <v>2300</v>
      </c>
      <c r="X94" s="1"/>
      <c r="Y94" s="1"/>
      <c r="AJ94" s="1">
        <v>91</v>
      </c>
      <c r="AK94" s="1">
        <f t="shared" si="20"/>
        <v>11160</v>
      </c>
      <c r="AL94" s="1">
        <f t="shared" si="21"/>
        <v>840</v>
      </c>
      <c r="AM94" s="1">
        <f t="shared" si="22"/>
        <v>12000</v>
      </c>
    </row>
    <row r="95" spans="9:39" x14ac:dyDescent="0.15">
      <c r="I95" s="1">
        <v>91</v>
      </c>
      <c r="K95" s="1">
        <f t="shared" si="23"/>
        <v>930</v>
      </c>
      <c r="L95" s="1">
        <f t="shared" si="24"/>
        <v>1395</v>
      </c>
      <c r="M95" s="1">
        <f t="shared" si="25"/>
        <v>1860</v>
      </c>
      <c r="N95" s="1">
        <f t="shared" si="26"/>
        <v>2325</v>
      </c>
      <c r="X95" s="1"/>
      <c r="Y95" s="1"/>
      <c r="AJ95" s="1">
        <v>92</v>
      </c>
      <c r="AK95" s="1">
        <f t="shared" si="20"/>
        <v>11280</v>
      </c>
      <c r="AL95" s="1">
        <f t="shared" si="21"/>
        <v>840</v>
      </c>
      <c r="AM95" s="1">
        <f t="shared" si="22"/>
        <v>12120</v>
      </c>
    </row>
    <row r="96" spans="9:39" x14ac:dyDescent="0.15">
      <c r="I96" s="1">
        <v>92</v>
      </c>
      <c r="K96" s="1">
        <f t="shared" si="23"/>
        <v>940</v>
      </c>
      <c r="L96" s="1">
        <f t="shared" si="24"/>
        <v>1410</v>
      </c>
      <c r="M96" s="1">
        <f t="shared" si="25"/>
        <v>1880</v>
      </c>
      <c r="N96" s="1">
        <f t="shared" si="26"/>
        <v>2350</v>
      </c>
      <c r="X96" s="1"/>
      <c r="Y96" s="1"/>
      <c r="AJ96" s="1">
        <v>93</v>
      </c>
      <c r="AK96" s="1">
        <f t="shared" si="20"/>
        <v>11400</v>
      </c>
      <c r="AL96" s="1">
        <f t="shared" si="21"/>
        <v>840</v>
      </c>
      <c r="AM96" s="1">
        <f t="shared" si="22"/>
        <v>12240</v>
      </c>
    </row>
    <row r="97" spans="9:39" x14ac:dyDescent="0.15">
      <c r="I97" s="1">
        <v>93</v>
      </c>
      <c r="K97" s="1">
        <f t="shared" si="23"/>
        <v>950</v>
      </c>
      <c r="L97" s="1">
        <f t="shared" si="24"/>
        <v>1425</v>
      </c>
      <c r="M97" s="1">
        <f t="shared" si="25"/>
        <v>1900</v>
      </c>
      <c r="N97" s="1">
        <f t="shared" si="26"/>
        <v>2375</v>
      </c>
      <c r="X97" s="1"/>
      <c r="Y97" s="1"/>
      <c r="AJ97" s="1">
        <v>94</v>
      </c>
      <c r="AK97" s="1">
        <f t="shared" si="20"/>
        <v>11520</v>
      </c>
      <c r="AL97" s="1">
        <f t="shared" si="21"/>
        <v>840</v>
      </c>
      <c r="AM97" s="1">
        <f t="shared" si="22"/>
        <v>12360</v>
      </c>
    </row>
    <row r="98" spans="9:39" x14ac:dyDescent="0.15">
      <c r="I98" s="1">
        <v>94</v>
      </c>
      <c r="K98" s="1">
        <f t="shared" si="23"/>
        <v>960</v>
      </c>
      <c r="L98" s="1">
        <f t="shared" si="24"/>
        <v>1440</v>
      </c>
      <c r="M98" s="1">
        <f t="shared" si="25"/>
        <v>1920</v>
      </c>
      <c r="N98" s="1">
        <f t="shared" si="26"/>
        <v>2400</v>
      </c>
      <c r="X98" s="1"/>
      <c r="Y98" s="1"/>
      <c r="AJ98" s="1">
        <v>95</v>
      </c>
      <c r="AK98" s="1">
        <f t="shared" si="20"/>
        <v>11640</v>
      </c>
      <c r="AL98" s="1">
        <f t="shared" si="21"/>
        <v>840</v>
      </c>
      <c r="AM98" s="1">
        <f t="shared" si="22"/>
        <v>12480</v>
      </c>
    </row>
    <row r="99" spans="9:39" x14ac:dyDescent="0.15">
      <c r="I99" s="1">
        <v>95</v>
      </c>
      <c r="K99" s="1">
        <f t="shared" si="23"/>
        <v>970</v>
      </c>
      <c r="L99" s="1">
        <f t="shared" si="24"/>
        <v>1455</v>
      </c>
      <c r="M99" s="1">
        <f t="shared" si="25"/>
        <v>1940</v>
      </c>
      <c r="N99" s="1">
        <f t="shared" si="26"/>
        <v>2425</v>
      </c>
      <c r="X99" s="1"/>
      <c r="Y99" s="1"/>
      <c r="AJ99" s="1">
        <v>96</v>
      </c>
      <c r="AK99" s="1">
        <f t="shared" si="20"/>
        <v>11760</v>
      </c>
      <c r="AL99" s="1">
        <f t="shared" si="21"/>
        <v>840</v>
      </c>
      <c r="AM99" s="1">
        <f t="shared" si="22"/>
        <v>12600</v>
      </c>
    </row>
    <row r="100" spans="9:39" x14ac:dyDescent="0.15">
      <c r="I100" s="1">
        <v>96</v>
      </c>
      <c r="K100" s="1">
        <f t="shared" si="23"/>
        <v>980</v>
      </c>
      <c r="L100" s="1">
        <f t="shared" si="24"/>
        <v>1470</v>
      </c>
      <c r="M100" s="1">
        <f t="shared" si="25"/>
        <v>1960</v>
      </c>
      <c r="N100" s="1">
        <f t="shared" si="26"/>
        <v>2450</v>
      </c>
      <c r="X100" s="1"/>
      <c r="Y100" s="1"/>
      <c r="AJ100" s="1">
        <v>97</v>
      </c>
      <c r="AK100" s="1">
        <f t="shared" si="20"/>
        <v>11880</v>
      </c>
      <c r="AL100" s="1">
        <f t="shared" si="21"/>
        <v>840</v>
      </c>
      <c r="AM100" s="1">
        <f t="shared" si="22"/>
        <v>12720</v>
      </c>
    </row>
    <row r="101" spans="9:39" x14ac:dyDescent="0.15">
      <c r="I101" s="1">
        <v>97</v>
      </c>
      <c r="K101" s="1">
        <f t="shared" si="23"/>
        <v>990</v>
      </c>
      <c r="L101" s="1">
        <f t="shared" si="24"/>
        <v>1485</v>
      </c>
      <c r="M101" s="1">
        <f t="shared" si="25"/>
        <v>1980</v>
      </c>
      <c r="N101" s="1">
        <f t="shared" si="26"/>
        <v>2475</v>
      </c>
      <c r="X101" s="1"/>
      <c r="Y101" s="1"/>
      <c r="AJ101" s="1">
        <v>98</v>
      </c>
      <c r="AK101" s="1">
        <f t="shared" si="20"/>
        <v>12000</v>
      </c>
      <c r="AL101" s="1">
        <f t="shared" si="21"/>
        <v>840</v>
      </c>
      <c r="AM101" s="1">
        <f t="shared" si="22"/>
        <v>12840</v>
      </c>
    </row>
    <row r="102" spans="9:39" x14ac:dyDescent="0.15">
      <c r="I102" s="1">
        <v>98</v>
      </c>
      <c r="K102" s="1">
        <f t="shared" si="23"/>
        <v>1000</v>
      </c>
      <c r="L102" s="1">
        <f t="shared" si="24"/>
        <v>1500</v>
      </c>
      <c r="M102" s="1">
        <f t="shared" si="25"/>
        <v>2000</v>
      </c>
      <c r="N102" s="1">
        <f t="shared" si="26"/>
        <v>2500</v>
      </c>
      <c r="X102" s="1"/>
      <c r="Y102" s="1"/>
      <c r="AJ102" s="1">
        <v>99</v>
      </c>
      <c r="AK102" s="1">
        <f t="shared" si="20"/>
        <v>12120</v>
      </c>
      <c r="AL102" s="1">
        <f t="shared" si="21"/>
        <v>840</v>
      </c>
      <c r="AM102" s="1">
        <f t="shared" si="22"/>
        <v>12960</v>
      </c>
    </row>
    <row r="103" spans="9:39" x14ac:dyDescent="0.15">
      <c r="I103" s="1">
        <v>99</v>
      </c>
      <c r="K103" s="1">
        <f t="shared" si="23"/>
        <v>1010</v>
      </c>
      <c r="L103" s="1">
        <f t="shared" si="24"/>
        <v>1515</v>
      </c>
      <c r="M103" s="1">
        <f t="shared" si="25"/>
        <v>2020</v>
      </c>
      <c r="N103" s="1">
        <f t="shared" si="26"/>
        <v>2525</v>
      </c>
      <c r="X103" s="1"/>
      <c r="Y103" s="1"/>
      <c r="AJ103" s="1">
        <v>100</v>
      </c>
      <c r="AK103" s="1">
        <f t="shared" si="20"/>
        <v>12240</v>
      </c>
      <c r="AL103" s="1">
        <f t="shared" si="21"/>
        <v>840</v>
      </c>
      <c r="AM103" s="1">
        <f t="shared" si="22"/>
        <v>13080</v>
      </c>
    </row>
    <row r="104" spans="9:39" x14ac:dyDescent="0.15">
      <c r="I104" s="1">
        <v>100</v>
      </c>
      <c r="K104" s="1">
        <f t="shared" si="23"/>
        <v>1020</v>
      </c>
      <c r="L104" s="1">
        <f t="shared" si="24"/>
        <v>1530</v>
      </c>
      <c r="M104" s="1">
        <f t="shared" si="25"/>
        <v>2040</v>
      </c>
      <c r="N104" s="1">
        <f t="shared" si="26"/>
        <v>2550</v>
      </c>
      <c r="X104" s="1"/>
      <c r="Y104" s="1"/>
    </row>
    <row r="105" spans="9:39" x14ac:dyDescent="0.15">
      <c r="X105" s="1"/>
      <c r="Y105" s="1"/>
    </row>
    <row r="106" spans="9:39" x14ac:dyDescent="0.15">
      <c r="X106" s="1"/>
      <c r="Y106" s="1"/>
    </row>
    <row r="107" spans="9:39" x14ac:dyDescent="0.15">
      <c r="X107" s="1"/>
      <c r="Y107" s="1"/>
    </row>
    <row r="108" spans="9:39" x14ac:dyDescent="0.15">
      <c r="X108" s="1"/>
      <c r="Y108" s="1"/>
    </row>
    <row r="109" spans="9:39" x14ac:dyDescent="0.15">
      <c r="X109" s="1"/>
      <c r="Y109" s="1"/>
    </row>
    <row r="110" spans="9:39" x14ac:dyDescent="0.15">
      <c r="X110" s="1"/>
      <c r="Y110" s="1"/>
    </row>
    <row r="111" spans="9:39" x14ac:dyDescent="0.15">
      <c r="X111" s="1"/>
      <c r="Y111" s="1"/>
    </row>
    <row r="112" spans="9:39" x14ac:dyDescent="0.15">
      <c r="X112" s="1"/>
      <c r="Y112" s="1"/>
    </row>
    <row r="113" s="1" customFormat="1" x14ac:dyDescent="0.15"/>
    <row r="114" s="1" customFormat="1" x14ac:dyDescent="0.15"/>
    <row r="115" s="1" customFormat="1" x14ac:dyDescent="0.15"/>
    <row r="116" s="1" customFormat="1" x14ac:dyDescent="0.15"/>
    <row r="117" s="1" customFormat="1" x14ac:dyDescent="0.15"/>
    <row r="118" s="1" customFormat="1" x14ac:dyDescent="0.15"/>
    <row r="119" s="1" customFormat="1" x14ac:dyDescent="0.15"/>
    <row r="120" s="1" customFormat="1" x14ac:dyDescent="0.15"/>
    <row r="121" s="1" customFormat="1" x14ac:dyDescent="0.15"/>
    <row r="122" s="1" customFormat="1" x14ac:dyDescent="0.15"/>
    <row r="123" s="1" customFormat="1" x14ac:dyDescent="0.15"/>
    <row r="124" s="1" customFormat="1" x14ac:dyDescent="0.15"/>
    <row r="125" s="1" customFormat="1" x14ac:dyDescent="0.15"/>
    <row r="126" s="1" customFormat="1" x14ac:dyDescent="0.15"/>
    <row r="127" s="1" customFormat="1" x14ac:dyDescent="0.15"/>
    <row r="128" s="1" customFormat="1" x14ac:dyDescent="0.15"/>
    <row r="129" s="1" customFormat="1" x14ac:dyDescent="0.15"/>
    <row r="130" s="1" customFormat="1" x14ac:dyDescent="0.15"/>
    <row r="131" s="1" customFormat="1" x14ac:dyDescent="0.15"/>
    <row r="132" s="1" customFormat="1" x14ac:dyDescent="0.15"/>
    <row r="133" s="1" customFormat="1" x14ac:dyDescent="0.15"/>
    <row r="134" s="1" customFormat="1" x14ac:dyDescent="0.15"/>
    <row r="135" s="1" customFormat="1" x14ac:dyDescent="0.15"/>
    <row r="136" s="1" customFormat="1" x14ac:dyDescent="0.15"/>
    <row r="137" s="1" customFormat="1" x14ac:dyDescent="0.15"/>
    <row r="138" s="1" customFormat="1" x14ac:dyDescent="0.15"/>
    <row r="139" s="1" customFormat="1" x14ac:dyDescent="0.15"/>
    <row r="140" s="1" customFormat="1" x14ac:dyDescent="0.15"/>
    <row r="141" s="1" customFormat="1" x14ac:dyDescent="0.15"/>
    <row r="142" s="1" customFormat="1" x14ac:dyDescent="0.15"/>
    <row r="143" s="1" customFormat="1" x14ac:dyDescent="0.15"/>
    <row r="144" s="1" customFormat="1" x14ac:dyDescent="0.15"/>
    <row r="145" s="1" customFormat="1" x14ac:dyDescent="0.15"/>
    <row r="146" s="1" customFormat="1" x14ac:dyDescent="0.15"/>
    <row r="147" s="1" customFormat="1" x14ac:dyDescent="0.15"/>
    <row r="148" s="1" customFormat="1" x14ac:dyDescent="0.15"/>
    <row r="149" s="1" customFormat="1" x14ac:dyDescent="0.15"/>
    <row r="150" s="1" customFormat="1" x14ac:dyDescent="0.15"/>
    <row r="151" s="1" customFormat="1" x14ac:dyDescent="0.15"/>
    <row r="152" s="1" customFormat="1" x14ac:dyDescent="0.15"/>
    <row r="153" s="1" customFormat="1" x14ac:dyDescent="0.15"/>
    <row r="154" s="1" customFormat="1" x14ac:dyDescent="0.15"/>
    <row r="155" s="1" customFormat="1" x14ac:dyDescent="0.15"/>
    <row r="156" s="1" customFormat="1" x14ac:dyDescent="0.15"/>
    <row r="157" s="1" customFormat="1" x14ac:dyDescent="0.15"/>
    <row r="158" s="1" customFormat="1" x14ac:dyDescent="0.15"/>
    <row r="159" s="1" customFormat="1" x14ac:dyDescent="0.15"/>
    <row r="160" s="1" customFormat="1" x14ac:dyDescent="0.15"/>
    <row r="161" s="1" customFormat="1" x14ac:dyDescent="0.15"/>
    <row r="162" s="1" customFormat="1" x14ac:dyDescent="0.15"/>
    <row r="163" s="1" customFormat="1" x14ac:dyDescent="0.15"/>
    <row r="164" s="1" customFormat="1" x14ac:dyDescent="0.15"/>
    <row r="165" s="1" customFormat="1" x14ac:dyDescent="0.15"/>
    <row r="166" s="1" customFormat="1" x14ac:dyDescent="0.15"/>
    <row r="167" s="1" customFormat="1" x14ac:dyDescent="0.15"/>
    <row r="168" s="1" customFormat="1" x14ac:dyDescent="0.15"/>
    <row r="169" s="1" customFormat="1" x14ac:dyDescent="0.15"/>
    <row r="170" s="1" customFormat="1" x14ac:dyDescent="0.15"/>
    <row r="171" s="1" customFormat="1" x14ac:dyDescent="0.15"/>
    <row r="172" s="1" customFormat="1" x14ac:dyDescent="0.15"/>
    <row r="173" s="1" customFormat="1" x14ac:dyDescent="0.15"/>
    <row r="174" s="1" customFormat="1" x14ac:dyDescent="0.15"/>
    <row r="175" s="1" customFormat="1" x14ac:dyDescent="0.15"/>
    <row r="176" s="1" customFormat="1" x14ac:dyDescent="0.15"/>
    <row r="177" s="1" customFormat="1" x14ac:dyDescent="0.15"/>
    <row r="178" s="1" customFormat="1" x14ac:dyDescent="0.15"/>
    <row r="179" s="1" customFormat="1" x14ac:dyDescent="0.15"/>
    <row r="180" s="1" customFormat="1" x14ac:dyDescent="0.15"/>
    <row r="181" s="1" customFormat="1" x14ac:dyDescent="0.15"/>
    <row r="182" s="1" customFormat="1" x14ac:dyDescent="0.15"/>
    <row r="183" s="1" customFormat="1" x14ac:dyDescent="0.15"/>
    <row r="184" s="1" customFormat="1" x14ac:dyDescent="0.15"/>
    <row r="185" s="1" customFormat="1" x14ac:dyDescent="0.15"/>
  </sheetData>
  <mergeCells count="2">
    <mergeCell ref="AD3:AG3"/>
    <mergeCell ref="AD20:AG20"/>
  </mergeCells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6"/>
  <dimension ref="A1:DC228"/>
  <sheetViews>
    <sheetView zoomScaleNormal="100" workbookViewId="0">
      <selection activeCell="BD35" sqref="BD35"/>
    </sheetView>
  </sheetViews>
  <sheetFormatPr defaultColWidth="6.625" defaultRowHeight="11.25" x14ac:dyDescent="0.15"/>
  <cols>
    <col min="1" max="1" width="15.5" style="17" bestFit="1" customWidth="1"/>
    <col min="2" max="5" width="8.25" style="17" bestFit="1" customWidth="1"/>
    <col min="6" max="6" width="7.625" style="17" customWidth="1"/>
    <col min="7" max="7" width="6.625" style="119" customWidth="1"/>
    <col min="8" max="8" width="6.625" style="16" customWidth="1"/>
    <col min="9" max="42" width="6.625" style="17" customWidth="1"/>
    <col min="43" max="43" width="6.625" style="119" customWidth="1"/>
    <col min="44" max="72" width="6.625" style="17" customWidth="1"/>
    <col min="73" max="73" width="6.625" style="119" customWidth="1"/>
    <col min="74" max="89" width="6.625" style="17" customWidth="1"/>
    <col min="90" max="90" width="6.625" style="119" customWidth="1"/>
    <col min="91" max="108" width="6.625" style="17" customWidth="1"/>
    <col min="109" max="16384" width="6.625" style="17"/>
  </cols>
  <sheetData>
    <row r="1" spans="1:107" x14ac:dyDescent="0.15">
      <c r="A1" s="125" t="s">
        <v>861</v>
      </c>
      <c r="E1" s="151">
        <v>0.33</v>
      </c>
      <c r="I1" s="16"/>
      <c r="J1" s="16"/>
      <c r="K1" s="16"/>
      <c r="L1" s="16"/>
      <c r="P1" s="16"/>
      <c r="Q1" s="16"/>
      <c r="U1" s="16"/>
      <c r="V1" s="16"/>
      <c r="Z1" s="16"/>
      <c r="AA1" s="16"/>
      <c r="AS1" s="120" t="s">
        <v>330</v>
      </c>
      <c r="AT1" s="16"/>
      <c r="AU1" s="16"/>
      <c r="AV1" s="16"/>
      <c r="AW1" s="16"/>
      <c r="AX1" s="16"/>
      <c r="AY1" s="16"/>
      <c r="AZ1" s="16"/>
    </row>
    <row r="2" spans="1:107" x14ac:dyDescent="0.15">
      <c r="A2" s="16" t="s">
        <v>277</v>
      </c>
      <c r="B2" s="17">
        <f>ROUND(SUMPRODUCT(B7:E7,B12:E12,B13:E13)*10/100,0)*100+E2+$E$3</f>
        <v>2300</v>
      </c>
      <c r="C2" s="16"/>
      <c r="D2" s="149" t="s">
        <v>488</v>
      </c>
      <c r="E2" s="82">
        <v>500</v>
      </c>
      <c r="BF2" s="161" t="s">
        <v>372</v>
      </c>
      <c r="BG2" s="162"/>
      <c r="BH2" s="162"/>
      <c r="BI2" s="163"/>
      <c r="CX2" s="187" t="s">
        <v>529</v>
      </c>
      <c r="CY2" s="187"/>
      <c r="CZ2" s="187"/>
      <c r="DA2" s="187"/>
      <c r="DB2" s="187"/>
      <c r="DC2" s="187"/>
    </row>
    <row r="3" spans="1:107" x14ac:dyDescent="0.15">
      <c r="A3" s="17" t="s">
        <v>661</v>
      </c>
      <c r="B3" s="17">
        <f>(SUMPRODUCT(B16:D16,B7:D7,B17:D17)+(E16*E17+E20)*E7)*10+E2+E3</f>
        <v>2650.6666666666665</v>
      </c>
      <c r="D3" s="91" t="s">
        <v>501</v>
      </c>
      <c r="E3" s="82">
        <v>300</v>
      </c>
      <c r="BF3" s="29">
        <f>10-SUM(BG3:BI3)</f>
        <v>8.3000000000000007</v>
      </c>
      <c r="BG3" s="29">
        <v>1.5</v>
      </c>
      <c r="BH3" s="29">
        <v>0.2</v>
      </c>
      <c r="BI3" s="29"/>
      <c r="BW3" s="187" t="s">
        <v>485</v>
      </c>
      <c r="BX3" s="187"/>
      <c r="BY3" s="187"/>
      <c r="BZ3" s="187"/>
      <c r="CA3" s="187"/>
      <c r="CB3" s="187"/>
      <c r="CD3" s="187" t="s">
        <v>486</v>
      </c>
      <c r="CE3" s="187"/>
      <c r="CF3" s="187"/>
      <c r="CG3" s="187"/>
      <c r="CH3" s="187"/>
      <c r="CI3" s="187"/>
      <c r="CP3" s="187" t="s">
        <v>473</v>
      </c>
      <c r="CQ3" s="187"/>
      <c r="CR3" s="187"/>
      <c r="CS3" s="187"/>
      <c r="CT3" s="187"/>
      <c r="CU3" s="187"/>
      <c r="CW3" s="17" t="s">
        <v>528</v>
      </c>
      <c r="CX3" s="17" t="s">
        <v>75</v>
      </c>
      <c r="CY3" s="17" t="s">
        <v>76</v>
      </c>
      <c r="CZ3" s="17" t="s">
        <v>77</v>
      </c>
      <c r="DA3" s="17" t="s">
        <v>78</v>
      </c>
      <c r="DB3" s="17" t="s">
        <v>79</v>
      </c>
    </row>
    <row r="4" spans="1:107" x14ac:dyDescent="0.15">
      <c r="C4" s="17">
        <f>C7/B7</f>
        <v>5</v>
      </c>
      <c r="D4" s="17">
        <f t="shared" ref="D4:E4" si="0">D7/C7</f>
        <v>5</v>
      </c>
      <c r="E4" s="17">
        <f t="shared" si="0"/>
        <v>3</v>
      </c>
      <c r="H4" s="16">
        <v>1</v>
      </c>
      <c r="I4" s="160" t="s">
        <v>169</v>
      </c>
      <c r="J4" s="160"/>
      <c r="AP4" s="17">
        <v>1</v>
      </c>
      <c r="AS4" s="160" t="s">
        <v>169</v>
      </c>
      <c r="AT4" s="160"/>
      <c r="AU4" s="160" t="s">
        <v>371</v>
      </c>
      <c r="AV4" s="160"/>
      <c r="AW4" s="160"/>
      <c r="AX4" s="160"/>
      <c r="AY4" s="160"/>
      <c r="AZ4" s="160"/>
      <c r="BA4" s="160"/>
      <c r="BB4" s="160"/>
      <c r="BC4" s="160"/>
      <c r="BD4" s="160"/>
      <c r="BE4" s="160"/>
      <c r="BF4" s="160" t="s">
        <v>373</v>
      </c>
      <c r="BG4" s="160"/>
      <c r="BH4" s="160"/>
      <c r="BI4" s="160"/>
      <c r="BW4" s="17" t="s">
        <v>478</v>
      </c>
      <c r="BX4" s="17" t="s">
        <v>96</v>
      </c>
      <c r="BY4" s="17" t="s">
        <v>97</v>
      </c>
      <c r="BZ4" s="17" t="s">
        <v>98</v>
      </c>
      <c r="CA4" s="17" t="s">
        <v>99</v>
      </c>
      <c r="CB4" s="17" t="s">
        <v>107</v>
      </c>
      <c r="CD4" s="17" t="s">
        <v>478</v>
      </c>
      <c r="CE4" s="17" t="s">
        <v>96</v>
      </c>
      <c r="CF4" s="17" t="s">
        <v>97</v>
      </c>
      <c r="CG4" s="17" t="s">
        <v>98</v>
      </c>
      <c r="CH4" s="17" t="s">
        <v>99</v>
      </c>
      <c r="CI4" s="17" t="s">
        <v>107</v>
      </c>
      <c r="CO4" s="17" t="s">
        <v>489</v>
      </c>
      <c r="CP4" s="17" t="s">
        <v>163</v>
      </c>
      <c r="CQ4" s="17" t="s">
        <v>75</v>
      </c>
      <c r="CR4" s="17" t="s">
        <v>76</v>
      </c>
      <c r="CS4" s="17" t="s">
        <v>77</v>
      </c>
      <c r="CT4" s="17" t="s">
        <v>78</v>
      </c>
      <c r="CU4" s="17" t="s">
        <v>79</v>
      </c>
      <c r="CW4" s="17">
        <v>1</v>
      </c>
      <c r="CX4" s="17">
        <f t="shared" ref="CX4:CX35" si="1">求节点($CO$41:$CO$72,CQ$41:CQ$72,$CW4)</f>
        <v>0.11973913043478263</v>
      </c>
      <c r="CY4" s="17">
        <f t="shared" ref="CY4:CY35" si="2">求节点($CO$41:$CO$72,CR$41:CR$72,$CW4)</f>
        <v>0.11973913043478263</v>
      </c>
      <c r="CZ4" s="17">
        <f t="shared" ref="CZ4:CZ35" si="3">求节点($CO$41:$CO$72,CS$41:CS$72,$CW4)</f>
        <v>0.11973913043478263</v>
      </c>
      <c r="DA4" s="17">
        <f t="shared" ref="DA4:DA35" si="4">求节点($CO$41:$CO$72,CT$41:CT$72,$CW4)</f>
        <v>0.11973913043478263</v>
      </c>
      <c r="DB4" s="17">
        <f t="shared" ref="DB4:DB35" si="5">求节点($CO$41:$CO$72,CU$41:CU$72,$CW4)</f>
        <v>0.11973913043478263</v>
      </c>
    </row>
    <row r="5" spans="1:107" x14ac:dyDescent="0.15">
      <c r="A5" s="29" t="s">
        <v>244</v>
      </c>
      <c r="B5" s="29" t="s">
        <v>1</v>
      </c>
      <c r="C5" s="29" t="s">
        <v>245</v>
      </c>
      <c r="D5" s="29" t="s">
        <v>246</v>
      </c>
      <c r="E5" s="29" t="s">
        <v>545</v>
      </c>
      <c r="H5" s="16">
        <v>2</v>
      </c>
      <c r="I5" s="160"/>
      <c r="J5" s="160"/>
      <c r="K5" s="160" t="s">
        <v>376</v>
      </c>
      <c r="L5" s="160"/>
      <c r="M5" s="160"/>
      <c r="N5" s="160"/>
      <c r="O5" s="160"/>
      <c r="P5" s="160" t="s">
        <v>408</v>
      </c>
      <c r="Q5" s="160"/>
      <c r="R5" s="160"/>
      <c r="S5" s="160"/>
      <c r="T5" s="160"/>
      <c r="U5" s="160" t="s">
        <v>414</v>
      </c>
      <c r="V5" s="160"/>
      <c r="W5" s="160"/>
      <c r="X5" s="160"/>
      <c r="Y5" s="160"/>
      <c r="Z5" s="160" t="s">
        <v>415</v>
      </c>
      <c r="AA5" s="160"/>
      <c r="AB5" s="160"/>
      <c r="AC5" s="160"/>
      <c r="AD5" s="160"/>
      <c r="AE5" s="160" t="s">
        <v>378</v>
      </c>
      <c r="AF5" s="160"/>
      <c r="AG5" s="160"/>
      <c r="AH5" s="160"/>
      <c r="AI5" s="160"/>
      <c r="AP5" s="17">
        <v>2</v>
      </c>
      <c r="AS5" s="160"/>
      <c r="AT5" s="160"/>
      <c r="AU5" s="186" t="s">
        <v>323</v>
      </c>
      <c r="AV5" s="186"/>
      <c r="AW5" s="186" t="s">
        <v>326</v>
      </c>
      <c r="AX5" s="186"/>
      <c r="AY5" s="186"/>
      <c r="AZ5" s="186"/>
      <c r="BA5" s="169" t="s">
        <v>327</v>
      </c>
      <c r="BB5" s="186" t="s">
        <v>328</v>
      </c>
      <c r="BC5" s="186"/>
      <c r="BD5" s="186"/>
      <c r="BE5" s="186"/>
      <c r="BF5" s="160"/>
      <c r="BG5" s="160"/>
      <c r="BH5" s="160"/>
      <c r="BI5" s="160"/>
      <c r="BJ5" s="163" t="s">
        <v>416</v>
      </c>
      <c r="BK5" s="160"/>
      <c r="BL5" s="160"/>
      <c r="BM5" s="160"/>
      <c r="BW5" s="17">
        <v>1</v>
      </c>
      <c r="BX5" s="17">
        <f>'[1]资源-钻石'!L4/$B$2*$B$12*10</f>
        <v>2.9792024547252387</v>
      </c>
      <c r="BY5" s="17">
        <f>'[1]资源-钻石'!M4/$B$2*$B$12*10</f>
        <v>3.3459122852376737</v>
      </c>
      <c r="BZ5" s="17">
        <f>'[1]资源-钻石'!N4/$B$2*$B$12*10</f>
        <v>4.1567089009231308</v>
      </c>
      <c r="CA5" s="17">
        <f>'[1]资源-钻石'!O4/$B$2*$B$12*10</f>
        <v>7.1865447896743113</v>
      </c>
      <c r="CB5" s="17">
        <f>'[1]资源-钻石'!P4/$B$2*$B$12*10</f>
        <v>8.716952772726831</v>
      </c>
      <c r="CD5" s="17">
        <v>1</v>
      </c>
      <c r="CE5" s="17">
        <f>'[1]资源-钻石'!L4/$B$2*$C$12*10</f>
        <v>1.2067655512811093</v>
      </c>
      <c r="CF5" s="17">
        <f>'[1]资源-钻石'!M4/$B$2*$C$12*10</f>
        <v>1.3553062421215896</v>
      </c>
      <c r="CG5" s="17">
        <f>'[1]资源-钻石'!N4/$B$2*$C$12*10</f>
        <v>1.6837301877156985</v>
      </c>
      <c r="CH5" s="17">
        <f>'[1]资源-钻石'!O4/$B$2*$C$12*10</f>
        <v>2.9110054844250377</v>
      </c>
      <c r="CI5" s="17">
        <f>'[1]资源-钻石'!P4/$B$2*$C$12*10</f>
        <v>3.5309175788260578</v>
      </c>
      <c r="CN5" s="17">
        <v>0.85</v>
      </c>
      <c r="CO5" s="17">
        <v>5</v>
      </c>
      <c r="CP5" s="17">
        <f>INDEX(节奏总纲!$P$4:$P$163,CO5,1)</f>
        <v>0.41421356237309515</v>
      </c>
      <c r="CQ5" s="17">
        <f>0.9*CN5</f>
        <v>0.76500000000000001</v>
      </c>
      <c r="CR5" s="17">
        <f>CQ5</f>
        <v>0.76500000000000001</v>
      </c>
      <c r="CS5" s="17">
        <f t="shared" ref="CS5:CU5" si="6">CR5</f>
        <v>0.76500000000000001</v>
      </c>
      <c r="CT5" s="17">
        <f t="shared" si="6"/>
        <v>0.76500000000000001</v>
      </c>
      <c r="CU5" s="17">
        <f t="shared" si="6"/>
        <v>0.76500000000000001</v>
      </c>
      <c r="CW5" s="17">
        <v>2</v>
      </c>
      <c r="CX5" s="17">
        <f t="shared" si="1"/>
        <v>0.23947826086956525</v>
      </c>
      <c r="CY5" s="17">
        <f t="shared" si="2"/>
        <v>0.23947826086956525</v>
      </c>
      <c r="CZ5" s="17">
        <f t="shared" si="3"/>
        <v>0.23947826086956525</v>
      </c>
      <c r="DA5" s="17">
        <f t="shared" si="4"/>
        <v>0.23947826086956525</v>
      </c>
      <c r="DB5" s="17">
        <f t="shared" si="5"/>
        <v>0.23947826086956525</v>
      </c>
    </row>
    <row r="6" spans="1:107" x14ac:dyDescent="0.15">
      <c r="A6" s="29" t="s">
        <v>247</v>
      </c>
      <c r="B6" s="29">
        <v>6</v>
      </c>
      <c r="C6" s="29">
        <v>10</v>
      </c>
      <c r="D6" s="29">
        <v>25</v>
      </c>
      <c r="E6" s="29">
        <v>1</v>
      </c>
      <c r="H6" s="17">
        <v>3</v>
      </c>
      <c r="I6" s="29" t="s">
        <v>170</v>
      </c>
      <c r="J6" s="29" t="s">
        <v>484</v>
      </c>
      <c r="K6" s="29" t="s">
        <v>3</v>
      </c>
      <c r="L6" s="29" t="s">
        <v>1</v>
      </c>
      <c r="M6" s="29" t="s">
        <v>2</v>
      </c>
      <c r="N6" s="29" t="s">
        <v>0</v>
      </c>
      <c r="O6" s="29" t="s">
        <v>545</v>
      </c>
      <c r="P6" s="29" t="s">
        <v>3</v>
      </c>
      <c r="Q6" s="29" t="s">
        <v>1</v>
      </c>
      <c r="R6" s="29" t="s">
        <v>2</v>
      </c>
      <c r="S6" s="29" t="s">
        <v>0</v>
      </c>
      <c r="T6" s="29" t="s">
        <v>545</v>
      </c>
      <c r="U6" s="29" t="s">
        <v>3</v>
      </c>
      <c r="V6" s="29" t="s">
        <v>1</v>
      </c>
      <c r="W6" s="29" t="s">
        <v>2</v>
      </c>
      <c r="X6" s="29" t="s">
        <v>0</v>
      </c>
      <c r="Y6" s="29" t="s">
        <v>545</v>
      </c>
      <c r="Z6" s="29" t="s">
        <v>3</v>
      </c>
      <c r="AA6" s="29" t="s">
        <v>1</v>
      </c>
      <c r="AB6" s="29" t="s">
        <v>2</v>
      </c>
      <c r="AC6" s="29" t="s">
        <v>0</v>
      </c>
      <c r="AD6" s="29" t="s">
        <v>545</v>
      </c>
      <c r="AE6" s="29" t="s">
        <v>3</v>
      </c>
      <c r="AF6" s="29" t="s">
        <v>1</v>
      </c>
      <c r="AG6" s="29" t="s">
        <v>2</v>
      </c>
      <c r="AH6" s="29" t="s">
        <v>0</v>
      </c>
      <c r="AI6" s="29" t="s">
        <v>545</v>
      </c>
      <c r="AJ6" s="29" t="s">
        <v>353</v>
      </c>
      <c r="AK6" s="14" t="s">
        <v>324</v>
      </c>
      <c r="AL6" s="16"/>
      <c r="AP6" s="17">
        <v>3</v>
      </c>
      <c r="AR6" s="16"/>
      <c r="AS6" s="29" t="s">
        <v>170</v>
      </c>
      <c r="AT6" s="29" t="s">
        <v>374</v>
      </c>
      <c r="AU6" s="29" t="s">
        <v>314</v>
      </c>
      <c r="AV6" s="29" t="s">
        <v>317</v>
      </c>
      <c r="AW6" s="29" t="s">
        <v>1</v>
      </c>
      <c r="AX6" s="29" t="s">
        <v>28</v>
      </c>
      <c r="AY6" s="29" t="s">
        <v>29</v>
      </c>
      <c r="AZ6" s="29" t="s">
        <v>545</v>
      </c>
      <c r="BA6" s="171"/>
      <c r="BB6" s="29" t="s">
        <v>1</v>
      </c>
      <c r="BC6" s="29" t="s">
        <v>2</v>
      </c>
      <c r="BD6" s="29" t="s">
        <v>0</v>
      </c>
      <c r="BE6" s="29" t="s">
        <v>545</v>
      </c>
      <c r="BF6" s="29" t="s">
        <v>1</v>
      </c>
      <c r="BG6" s="29" t="s">
        <v>2</v>
      </c>
      <c r="BH6" s="29" t="s">
        <v>0</v>
      </c>
      <c r="BI6" s="29" t="s">
        <v>545</v>
      </c>
      <c r="BJ6" s="29" t="s">
        <v>1</v>
      </c>
      <c r="BK6" s="29" t="s">
        <v>2</v>
      </c>
      <c r="BL6" s="29" t="s">
        <v>0</v>
      </c>
      <c r="BM6" s="29" t="s">
        <v>545</v>
      </c>
      <c r="BN6" s="29" t="s">
        <v>490</v>
      </c>
      <c r="BR6" s="17" t="s">
        <v>503</v>
      </c>
      <c r="BS6" s="17" t="s">
        <v>502</v>
      </c>
      <c r="BW6" s="17">
        <v>2</v>
      </c>
      <c r="BX6" s="17">
        <f>'[1]资源-钻石'!L5/$B$2*$B$12*10</f>
        <v>6.1722325852227398</v>
      </c>
      <c r="BY6" s="17">
        <f>'[1]资源-钻石'!M5/$B$2*$B$12*10</f>
        <v>6.9985458438480022</v>
      </c>
      <c r="BZ6" s="17">
        <f>'[1]资源-钻石'!N5/$B$2*$B$12*10</f>
        <v>8.783545090075517</v>
      </c>
      <c r="CA6" s="17">
        <f>'[1]资源-钻石'!O5/$B$2*$B$12*10</f>
        <v>15.400493503739177</v>
      </c>
      <c r="CB6" s="17">
        <f>'[1]资源-钻石'!P5/$B$2*$B$12*10</f>
        <v>18.972418392258493</v>
      </c>
      <c r="CD6" s="17">
        <v>2</v>
      </c>
      <c r="CE6" s="17">
        <f>'[1]资源-钻石'!L5/$B$2*$C$12*10</f>
        <v>2.5001448446471857</v>
      </c>
      <c r="CF6" s="17">
        <f>'[1]资源-钻石'!M5/$B$2*$C$12*10</f>
        <v>2.8348540126979249</v>
      </c>
      <c r="CG6" s="17">
        <f>'[1]资源-钻石'!N5/$B$2*$C$12*10</f>
        <v>3.5578916820559052</v>
      </c>
      <c r="CH6" s="17">
        <f>'[1]资源-钻石'!O5/$B$2*$C$12*10</f>
        <v>6.2381745837930849</v>
      </c>
      <c r="CI6" s="17">
        <f>'[1]资源-钻石'!P5/$B$2*$C$12*10</f>
        <v>7.6850302348388837</v>
      </c>
      <c r="CN6" s="17">
        <v>0.85</v>
      </c>
      <c r="CO6" s="17">
        <v>10</v>
      </c>
      <c r="CP6" s="17">
        <f>INDEX(节奏总纲!$P$4:$P$163,CO6,1)</f>
        <v>1</v>
      </c>
      <c r="CQ6" s="17">
        <f>CQ5*$CN6/$CN5</f>
        <v>0.76500000000000001</v>
      </c>
      <c r="CR6" s="17">
        <f t="shared" ref="CR6:CU6" si="7">CQ6</f>
        <v>0.76500000000000001</v>
      </c>
      <c r="CS6" s="17">
        <f t="shared" si="7"/>
        <v>0.76500000000000001</v>
      </c>
      <c r="CT6" s="17">
        <f t="shared" si="7"/>
        <v>0.76500000000000001</v>
      </c>
      <c r="CU6" s="17">
        <f t="shared" si="7"/>
        <v>0.76500000000000001</v>
      </c>
      <c r="CW6" s="17">
        <v>3</v>
      </c>
      <c r="CX6" s="17">
        <f t="shared" si="1"/>
        <v>0.35921739130434782</v>
      </c>
      <c r="CY6" s="17">
        <f t="shared" si="2"/>
        <v>0.35921739130434782</v>
      </c>
      <c r="CZ6" s="17">
        <f t="shared" si="3"/>
        <v>0.35921739130434782</v>
      </c>
      <c r="DA6" s="17">
        <f t="shared" si="4"/>
        <v>0.35921739130434782</v>
      </c>
      <c r="DB6" s="17">
        <f t="shared" si="5"/>
        <v>0.35921739130434782</v>
      </c>
    </row>
    <row r="7" spans="1:107" x14ac:dyDescent="0.15">
      <c r="A7" s="29" t="s">
        <v>331</v>
      </c>
      <c r="B7" s="29">
        <v>40</v>
      </c>
      <c r="C7" s="29">
        <v>200</v>
      </c>
      <c r="D7" s="29">
        <v>1000</v>
      </c>
      <c r="E7" s="29">
        <v>3000</v>
      </c>
      <c r="H7" s="16">
        <v>4</v>
      </c>
      <c r="I7" s="29">
        <f>IF(基础状态预期!C17="","",基础状态预期!C17)</f>
        <v>1</v>
      </c>
      <c r="J7" s="29">
        <f>IF(基础状态预期!D17="","",基础状态预期!D17)</f>
        <v>10</v>
      </c>
      <c r="K7" s="29" t="str">
        <f>IF(基础状态预期!F17="","",基础状态预期!F17)</f>
        <v/>
      </c>
      <c r="L7" s="29" t="str">
        <f>IF(基础状态预期!G17="","",基础状态预期!G17)</f>
        <v/>
      </c>
      <c r="M7" s="29">
        <f>IF(基础状态预期!H17="","",基础状态预期!H17)</f>
        <v>2</v>
      </c>
      <c r="N7" s="29">
        <f>IF(基础状态预期!I17="","",基础状态预期!I17)</f>
        <v>4</v>
      </c>
      <c r="O7" s="29" t="str">
        <f>IF(基础状态预期!J17="","",基础状态预期!J17)</f>
        <v/>
      </c>
      <c r="P7" s="29">
        <f>武将进阶!O4</f>
        <v>0</v>
      </c>
      <c r="Q7" s="29">
        <f>武将进阶!P4</f>
        <v>2.4000000000000004</v>
      </c>
      <c r="R7" s="29">
        <f>武将进阶!Q4</f>
        <v>4.8000000000000007</v>
      </c>
      <c r="S7" s="29">
        <f>武将进阶!R4</f>
        <v>0</v>
      </c>
      <c r="T7" s="29">
        <f>武将进阶!S4</f>
        <v>0</v>
      </c>
      <c r="U7" s="29">
        <f>武将觉醒!T5</f>
        <v>0</v>
      </c>
      <c r="V7" s="29">
        <f>武将觉醒!U5</f>
        <v>0</v>
      </c>
      <c r="W7" s="29">
        <f>武将觉醒!V5</f>
        <v>0</v>
      </c>
      <c r="X7" s="29">
        <f>武将觉醒!W5</f>
        <v>0</v>
      </c>
      <c r="Y7" s="29">
        <f>武将觉醒!X5</f>
        <v>0</v>
      </c>
      <c r="Z7" s="29"/>
      <c r="AA7" s="29">
        <f>IF(L7="",0,同名需求(L7,武将升星!P4,B$6)+武将升星!U4)</f>
        <v>0</v>
      </c>
      <c r="AB7" s="29">
        <f>IF(M7="",0,同名需求(M7,武将升星!Q4,C$6)+武将升星!V4)</f>
        <v>6.3623534953916128</v>
      </c>
      <c r="AC7" s="59">
        <f>IF(N7="",0,同名需求(N7,武将升星!R4,D$6*0.5)+武将升星!W4)</f>
        <v>4</v>
      </c>
      <c r="AD7" s="29">
        <f>IF(O7="",0,同名需求(O7,武将升星!S4,E$6)+武将升星!X4)</f>
        <v>0</v>
      </c>
      <c r="AE7" s="29">
        <f>MAX(U7+P7+IF(K7="",0,K7)*武将升星!O4,Z7)</f>
        <v>0</v>
      </c>
      <c r="AF7" s="29">
        <f>MAX(V7+Q7+IF(L7="",0,L7)*武将升星!P4,AA7)</f>
        <v>2.4000000000000004</v>
      </c>
      <c r="AG7" s="29">
        <f>MAX(W7+R7+IF(M7="",0,M7)*武将升星!Q4,AB7)</f>
        <v>7.6724706990783229</v>
      </c>
      <c r="AH7" s="29">
        <f>MAX(X7+S7+IF(N7="",0,N7)*武将升星!R4,AC7)</f>
        <v>4</v>
      </c>
      <c r="AI7" s="45">
        <f t="shared" ref="AI7:AI22" si="8">IFERROR(AD7+Y7,0)</f>
        <v>0</v>
      </c>
      <c r="AJ7" s="29">
        <f t="shared" ref="AJ7:AJ45" si="9">(MAX(AF7/$B$12*$B$2/10,AG7/$C$12*$B$2/10,(AH7-$AI7/($E$16*$E$17+$E$18)*$D$16)/$D$12*$B$2/10)+$AI7/($E$16*$E$17+$E$18)*$B$2/10)*($B$2-500)/$B$2</f>
        <v>9600.0000000000018</v>
      </c>
      <c r="AK7" s="14" t="e">
        <f>AJ7/求节点('[1]资源-钻石'!$K$4:$K$113,'[1]资源-钻石'!$L$4:$L$113,J7)</f>
        <v>#VALUE!</v>
      </c>
      <c r="AL7" s="16"/>
      <c r="AM7" s="16"/>
      <c r="AN7" s="16"/>
      <c r="AO7" s="16"/>
      <c r="AP7" s="17">
        <v>4</v>
      </c>
      <c r="AR7" s="16">
        <f>$BA7/$B$2*10/AS7*AV7</f>
        <v>0</v>
      </c>
      <c r="AS7" s="29">
        <f>IF(基础状态预期!C17="","",基础状态预期!C17)</f>
        <v>1</v>
      </c>
      <c r="AT7" s="29">
        <f>求节点(节奏总纲!$P$4:$P$163,其他调用!$C$4:$C$163,$AS7)*求节点($CP$5:$CP$36,$CQ$5:$CQ$36,AS7)</f>
        <v>11093.779889775267</v>
      </c>
      <c r="AU7" s="37">
        <f t="shared" ref="AU7:AU15" si="10">1-AV7</f>
        <v>1</v>
      </c>
      <c r="AV7" s="37">
        <v>0</v>
      </c>
      <c r="AW7" s="38">
        <f t="shared" ref="AW7:AW45" si="11">(B$16*B$17+B$18)*$AV7+B$12*B$13*$AU7</f>
        <v>0.65833333333333333</v>
      </c>
      <c r="AX7" s="38">
        <f t="shared" ref="AX7:AX45" si="12">(C$16*C$17+C$18)*$AV7+C$12*C$13*$AU7</f>
        <v>0.26666666666666666</v>
      </c>
      <c r="AY7" s="38">
        <f t="shared" ref="AY7:AY45" si="13">(D$16*D$17+D$18)*$AV7+D$12*D$13*$AU7</f>
        <v>7.4999999999999997E-2</v>
      </c>
      <c r="AZ7" s="38">
        <f t="shared" ref="AZ7:AZ45" si="14">(E$16*E$17+E$18)*$AV7+E$12*E$13*$AU7</f>
        <v>0</v>
      </c>
      <c r="BA7" s="121">
        <f>AT7</f>
        <v>11093.779889775267</v>
      </c>
      <c r="BB7" s="29">
        <f>$BA7/$B$2*10*AW7</f>
        <v>31.753935191748045</v>
      </c>
      <c r="BC7" s="29">
        <f t="shared" ref="BC7:BE7" si="15">$BA7/$B$2*10*AX7</f>
        <v>12.862353495391613</v>
      </c>
      <c r="BD7" s="29">
        <f t="shared" si="15"/>
        <v>3.6175369205788912</v>
      </c>
      <c r="BE7" s="29">
        <f>$BA7/300*AZ7</f>
        <v>0</v>
      </c>
      <c r="BF7" s="29">
        <f>BF$3*$AS7</f>
        <v>8.3000000000000007</v>
      </c>
      <c r="BG7" s="29">
        <f t="shared" ref="BG7:BI23" si="16">BG$3*$AS7</f>
        <v>1.5</v>
      </c>
      <c r="BH7" s="29">
        <f>BH$3*$AS7</f>
        <v>0.2</v>
      </c>
      <c r="BI7" s="29">
        <f>BI$3*$AS7</f>
        <v>0</v>
      </c>
      <c r="BJ7" s="29">
        <f>SUM(BB$7:BB7)+BF7</f>
        <v>40.053935191748046</v>
      </c>
      <c r="BK7" s="29">
        <f>SUM(BC$7:BC7)+BG7</f>
        <v>14.362353495391613</v>
      </c>
      <c r="BL7" s="29">
        <f>SUM(BD$7:BD7)+BH7</f>
        <v>3.8175369205788914</v>
      </c>
      <c r="BM7" s="29">
        <f>SUM(BE$7:BE7)+BI7</f>
        <v>0</v>
      </c>
      <c r="BN7" s="29">
        <f>SUM(BT$7:BT7)</f>
        <v>1.2058456401929638</v>
      </c>
      <c r="BO7" s="17">
        <f>BK7/AG7</f>
        <v>1.8719333131004241</v>
      </c>
      <c r="BP7" s="17">
        <f>BL7/AH7</f>
        <v>0.95438423014472284</v>
      </c>
      <c r="BQ7" s="17" t="e">
        <f>BM7/AI7</f>
        <v>#DIV/0!</v>
      </c>
      <c r="BR7" s="17">
        <f>BA7/$B$2*10*AU7/AS7</f>
        <v>48.233825607718551</v>
      </c>
      <c r="BS7" s="17">
        <f t="shared" ref="BS7:BS45" si="17">1/($B$49*$C$49)/$D$12+1/(1*$C$49)/$D$12</f>
        <v>80</v>
      </c>
      <c r="BT7" s="17">
        <f>MIN(BR7/BS7,1)*$B$49*AS7</f>
        <v>1.2058456401929638</v>
      </c>
      <c r="BV7" s="17">
        <f>BL7-S7</f>
        <v>3.8175369205788914</v>
      </c>
      <c r="BW7" s="17">
        <v>3</v>
      </c>
      <c r="BX7" s="17">
        <f>'[1]资源-钻石'!L6/$B$2*$B$12*10</f>
        <v>9.5944375441687519</v>
      </c>
      <c r="BY7" s="17">
        <f>'[1]资源-钻石'!M6/$B$2*$B$12*10</f>
        <v>10.959102785537295</v>
      </c>
      <c r="BZ7" s="17">
        <f>'[1]资源-钻石'!N6/$B$2*$B$12*10</f>
        <v>13.877493555274931</v>
      </c>
      <c r="CA7" s="17">
        <f>'[1]资源-钻石'!O6/$B$2*$B$12*10</f>
        <v>24.52557192189094</v>
      </c>
      <c r="CB7" s="17">
        <f>'[1]资源-钻石'!P6/$B$2*$B$12*10</f>
        <v>30.378588121042004</v>
      </c>
      <c r="CD7" s="17">
        <v>3</v>
      </c>
      <c r="CE7" s="17">
        <f>'[1]资源-钻石'!L6/$B$2*$C$12*10</f>
        <v>3.8863544482708869</v>
      </c>
      <c r="CF7" s="17">
        <f>'[1]资源-钻石'!M6/$B$2*$C$12*10</f>
        <v>4.4391302422429559</v>
      </c>
      <c r="CG7" s="17">
        <f>'[1]资源-钻石'!N6/$B$2*$C$12*10</f>
        <v>5.6212632122632638</v>
      </c>
      <c r="CH7" s="17">
        <f>'[1]资源-钻石'!O6/$B$2*$C$12*10</f>
        <v>9.9344088797532919</v>
      </c>
      <c r="CI7" s="17">
        <f>'[1]资源-钻石'!P6/$B$2*$C$12*10</f>
        <v>12.305250884472709</v>
      </c>
      <c r="CN7" s="17">
        <v>0.83</v>
      </c>
      <c r="CO7" s="17">
        <v>15</v>
      </c>
      <c r="CP7" s="17">
        <f>INDEX(节奏总纲!$P$4:$P$163,CO7,1)</f>
        <v>1.8284271247461898</v>
      </c>
      <c r="CQ7" s="17">
        <f>CQ6*0.98*$CN7/$CN6</f>
        <v>0.73206000000000004</v>
      </c>
      <c r="CR7" s="17">
        <f t="shared" ref="CR7:CU7" si="18">CQ7</f>
        <v>0.73206000000000004</v>
      </c>
      <c r="CS7" s="17">
        <f t="shared" si="18"/>
        <v>0.73206000000000004</v>
      </c>
      <c r="CT7" s="17">
        <f t="shared" si="18"/>
        <v>0.73206000000000004</v>
      </c>
      <c r="CU7" s="17">
        <f t="shared" si="18"/>
        <v>0.73206000000000004</v>
      </c>
      <c r="CW7" s="17">
        <v>4</v>
      </c>
      <c r="CX7" s="17">
        <f t="shared" si="1"/>
        <v>0.47895652173913045</v>
      </c>
      <c r="CY7" s="17">
        <f t="shared" si="2"/>
        <v>0.47895652173913045</v>
      </c>
      <c r="CZ7" s="17">
        <f t="shared" si="3"/>
        <v>0.47895652173913045</v>
      </c>
      <c r="DA7" s="17">
        <f t="shared" si="4"/>
        <v>0.47895652173913045</v>
      </c>
      <c r="DB7" s="17">
        <f t="shared" si="5"/>
        <v>0.47895652173913045</v>
      </c>
    </row>
    <row r="8" spans="1:107" x14ac:dyDescent="0.15">
      <c r="A8" s="29" t="s">
        <v>344</v>
      </c>
      <c r="B8" s="29">
        <v>25</v>
      </c>
      <c r="C8" s="29">
        <v>360</v>
      </c>
      <c r="D8" s="29">
        <v>1800</v>
      </c>
      <c r="E8" s="29"/>
      <c r="H8" s="17">
        <v>5</v>
      </c>
      <c r="I8" s="29">
        <f>IF(基础状态预期!C18="","",基础状态预期!C18)</f>
        <v>3</v>
      </c>
      <c r="J8" s="29">
        <f>IF(基础状态预期!D18="","",基础状态预期!D18)</f>
        <v>20</v>
      </c>
      <c r="K8" s="29" t="str">
        <f>IF(基础状态预期!F18="","",基础状态预期!F18)</f>
        <v/>
      </c>
      <c r="L8" s="29" t="str">
        <f>IF(基础状态预期!G18="","",基础状态预期!G18)</f>
        <v/>
      </c>
      <c r="M8" s="29" t="str">
        <f>IF(基础状态预期!H18="","",基础状态预期!H18)</f>
        <v/>
      </c>
      <c r="N8" s="29">
        <f>IF(基础状态预期!I18="","",基础状态预期!I18)</f>
        <v>6</v>
      </c>
      <c r="O8" s="29" t="str">
        <f>IF(基础状态预期!J18="","",基础状态预期!J18)</f>
        <v/>
      </c>
      <c r="P8" s="29">
        <f>武将进阶!O5</f>
        <v>0</v>
      </c>
      <c r="Q8" s="29">
        <f>武将进阶!P5</f>
        <v>0</v>
      </c>
      <c r="R8" s="29">
        <f>武将进阶!Q5</f>
        <v>14.400000000000002</v>
      </c>
      <c r="S8" s="29">
        <f>武将进阶!R5</f>
        <v>0</v>
      </c>
      <c r="T8" s="29">
        <f>武将进阶!S5</f>
        <v>0</v>
      </c>
      <c r="U8" s="29">
        <f>武将觉醒!T6</f>
        <v>0</v>
      </c>
      <c r="V8" s="29">
        <f>武将觉醒!U6</f>
        <v>0</v>
      </c>
      <c r="W8" s="29">
        <f>武将觉醒!V6</f>
        <v>0</v>
      </c>
      <c r="X8" s="29">
        <f>武将觉醒!W6</f>
        <v>0</v>
      </c>
      <c r="Y8" s="29">
        <f>武将觉醒!X6</f>
        <v>0</v>
      </c>
      <c r="Z8" s="29"/>
      <c r="AA8" s="29">
        <f>IF(L8="",0,同名需求(L8,武将升星!P5,B$6)+武将升星!U5)</f>
        <v>0</v>
      </c>
      <c r="AB8" s="29">
        <f>IF(M8="",0,同名需求(M8,武将升星!Q5,C$6)+武将升星!V5)</f>
        <v>0</v>
      </c>
      <c r="AC8" s="59">
        <f>IF(N8="",0,同名需求(N8,武将升星!R5,D$6*0.5)+武将升星!W5)</f>
        <v>6</v>
      </c>
      <c r="AD8" s="29">
        <f>IF(O8="",0,同名需求(O8,武将升星!S5,E$6)+武将升星!X5)</f>
        <v>0</v>
      </c>
      <c r="AE8" s="29">
        <f>MAX(U8+P8+IF(K8="",0,K8)*武将升星!O5,Z8)</f>
        <v>0</v>
      </c>
      <c r="AF8" s="29">
        <f>MAX(V8+Q8+IF(L8="",0,L8)*武将升星!P5,AA8)</f>
        <v>0</v>
      </c>
      <c r="AG8" s="29">
        <f>MAX(W8+R8+IF(M8="",0,M8)*武将升星!Q5,AB8)</f>
        <v>14.400000000000002</v>
      </c>
      <c r="AH8" s="29">
        <f>MAX(X8+S8+IF(N8="",0,N8)*武将升星!R5,AC8)</f>
        <v>6</v>
      </c>
      <c r="AI8" s="45">
        <f t="shared" si="8"/>
        <v>0</v>
      </c>
      <c r="AJ8" s="29">
        <f t="shared" si="9"/>
        <v>14400</v>
      </c>
      <c r="AK8" s="14" t="e">
        <f>AJ8/求节点('[1]资源-钻石'!$K$4:$K$113,'[1]资源-钻石'!$L$4:$L$113,J8)</f>
        <v>#VALUE!</v>
      </c>
      <c r="AL8" s="16"/>
      <c r="AM8" s="16"/>
      <c r="AN8" s="16"/>
      <c r="AO8" s="16"/>
      <c r="AP8" s="17">
        <v>5</v>
      </c>
      <c r="AR8" s="16">
        <f t="shared" ref="AR8:AR45" si="19">$BA8/$B$2*10/(AS8-AS7)*AV8</f>
        <v>0</v>
      </c>
      <c r="AS8" s="29">
        <f>IF(基础状态预期!C18="","",基础状态预期!C18)</f>
        <v>3</v>
      </c>
      <c r="AT8" s="29">
        <f>求节点(节奏总纲!$P$4:$P$163,其他调用!$C$4:$C$163,$AS8)*求节点($CP$5:$CP$36,$CQ$5:$CQ$36,AS8)</f>
        <v>22096.934659166222</v>
      </c>
      <c r="AU8" s="37">
        <f t="shared" si="10"/>
        <v>1</v>
      </c>
      <c r="AV8" s="37">
        <v>0</v>
      </c>
      <c r="AW8" s="38">
        <f t="shared" si="11"/>
        <v>0.65833333333333333</v>
      </c>
      <c r="AX8" s="38">
        <f t="shared" si="12"/>
        <v>0.26666666666666666</v>
      </c>
      <c r="AY8" s="38">
        <f t="shared" si="13"/>
        <v>7.4999999999999997E-2</v>
      </c>
      <c r="AZ8" s="38">
        <f t="shared" si="14"/>
        <v>0</v>
      </c>
      <c r="BA8" s="29">
        <f>AT8-AT7</f>
        <v>11003.154769390954</v>
      </c>
      <c r="BB8" s="29">
        <f t="shared" ref="BB8:BB45" si="20">$BA8/$B$2*10*AW8</f>
        <v>31.494537202242224</v>
      </c>
      <c r="BC8" s="29">
        <f t="shared" ref="BC8:BC45" si="21">$BA8/$B$2*10*AX8</f>
        <v>12.757280892047483</v>
      </c>
      <c r="BD8" s="29">
        <f t="shared" ref="BD8:BD45" si="22">$BA8/$B$2*10*AY8</f>
        <v>3.5879852508883547</v>
      </c>
      <c r="BE8" s="29">
        <f t="shared" ref="BE8:BE45" si="23">$BA8/300*AZ8</f>
        <v>0</v>
      </c>
      <c r="BF8" s="29">
        <f t="shared" ref="BF8:BI45" si="24">BF$3*$AS8</f>
        <v>24.900000000000002</v>
      </c>
      <c r="BG8" s="29">
        <f t="shared" si="16"/>
        <v>4.5</v>
      </c>
      <c r="BH8" s="29">
        <f>BH$3*$AS8</f>
        <v>0.60000000000000009</v>
      </c>
      <c r="BI8" s="29">
        <f t="shared" si="16"/>
        <v>0</v>
      </c>
      <c r="BJ8" s="29">
        <f>SUM(BB$7:BB8)+BF8</f>
        <v>88.148472393990275</v>
      </c>
      <c r="BK8" s="29">
        <f>SUM(BC$7:BC8)+BG8</f>
        <v>30.119634387439095</v>
      </c>
      <c r="BL8" s="29">
        <f>SUM(BD$7:BD8)+BH8</f>
        <v>7.8055221714672456</v>
      </c>
      <c r="BM8" s="29">
        <f>SUM(BE$7:BE8)+BI8</f>
        <v>0</v>
      </c>
      <c r="BN8" s="29">
        <f>SUM(BT$7:BT8)</f>
        <v>2.4018407238224153</v>
      </c>
      <c r="BO8" s="17">
        <f t="shared" ref="BO8:BO22" si="25">BK8/AG8</f>
        <v>2.0916412769054924</v>
      </c>
      <c r="BP8" s="17">
        <f t="shared" ref="BP8:BP22" si="26">BL8/AH8</f>
        <v>1.3009203619112075</v>
      </c>
      <c r="BQ8" s="17" t="e">
        <f t="shared" ref="BQ8:BQ22" si="27">BM8/AI8</f>
        <v>#DIV/0!</v>
      </c>
      <c r="BR8" s="17">
        <f t="shared" ref="BR8:BR45" si="28">BA8/$B$2*10*AU8/(AS8-AS7)</f>
        <v>23.919901672589031</v>
      </c>
      <c r="BS8" s="17">
        <f t="shared" si="17"/>
        <v>80</v>
      </c>
      <c r="BT8" s="17">
        <f t="shared" ref="BT8:BT45" si="29">MIN(BR8/BS8,1)*$B$49*(AS8-AS7)</f>
        <v>1.1959950836294515</v>
      </c>
      <c r="BV8" s="17">
        <f t="shared" ref="BV8:BV45" si="30">BL8-S8</f>
        <v>7.8055221714672456</v>
      </c>
      <c r="BW8" s="17">
        <v>4</v>
      </c>
      <c r="BX8" s="17">
        <f>'[1]资源-钻石'!L7/$B$2*$B$12*10</f>
        <v>13.262266002527191</v>
      </c>
      <c r="BY8" s="17">
        <f>'[1]资源-钻石'!M7/$B$2*$B$12*10</f>
        <v>15.220148237182926</v>
      </c>
      <c r="BZ8" s="17">
        <f>'[1]资源-钻石'!N7/$B$2*$B$12*10</f>
        <v>19.387112037641888</v>
      </c>
      <c r="CA8" s="17">
        <f>'[1]资源-钻石'!O7/$B$2*$B$12*10</f>
        <v>34.422829760755334</v>
      </c>
      <c r="CB8" s="17">
        <f>'[1]资源-钻石'!P7/$B$2*$B$12*10</f>
        <v>43.005355662895838</v>
      </c>
      <c r="CD8" s="17">
        <v>4</v>
      </c>
      <c r="CE8" s="17">
        <f>'[1]资源-钻石'!L7/$B$2*$C$12*10</f>
        <v>5.3720571149477241</v>
      </c>
      <c r="CF8" s="17">
        <f>'[1]资源-钻石'!M7/$B$2*$C$12*10</f>
        <v>6.1651233365804261</v>
      </c>
      <c r="CG8" s="17">
        <f>'[1]资源-钻石'!N7/$B$2*$C$12*10</f>
        <v>7.8530074076524103</v>
      </c>
      <c r="CH8" s="17">
        <f>'[1]资源-钻石'!O7/$B$2*$C$12*10</f>
        <v>13.943424713217352</v>
      </c>
      <c r="CI8" s="17">
        <f>'[1]资源-钻石'!P7/$B$2*$C$12*10</f>
        <v>17.419890901426164</v>
      </c>
      <c r="CN8" s="17">
        <v>0.81</v>
      </c>
      <c r="CO8" s="17">
        <v>20</v>
      </c>
      <c r="CP8" s="17">
        <f>INDEX(节奏总纲!$P$4:$P$163,CO8,1)</f>
        <v>3</v>
      </c>
      <c r="CQ8" s="17">
        <f t="shared" ref="CQ8:CQ36" si="31">CQ7*0.98*$CN8/$CN7</f>
        <v>0.70013160000000019</v>
      </c>
      <c r="CR8" s="17">
        <f t="shared" ref="CR8:CU8" si="32">CQ8</f>
        <v>0.70013160000000019</v>
      </c>
      <c r="CS8" s="17">
        <f t="shared" si="32"/>
        <v>0.70013160000000019</v>
      </c>
      <c r="CT8" s="17">
        <f t="shared" si="32"/>
        <v>0.70013160000000019</v>
      </c>
      <c r="CU8" s="17">
        <f t="shared" si="32"/>
        <v>0.70013160000000019</v>
      </c>
      <c r="CW8" s="17">
        <v>5</v>
      </c>
      <c r="CX8" s="17">
        <f t="shared" si="1"/>
        <v>0.59869565217391307</v>
      </c>
      <c r="CY8" s="17">
        <f t="shared" si="2"/>
        <v>0.59869565217391307</v>
      </c>
      <c r="CZ8" s="17">
        <f t="shared" si="3"/>
        <v>0.59869565217391307</v>
      </c>
      <c r="DA8" s="17">
        <f t="shared" si="4"/>
        <v>0.59869565217391307</v>
      </c>
      <c r="DB8" s="17">
        <f t="shared" si="5"/>
        <v>0.59869565217391307</v>
      </c>
    </row>
    <row r="9" spans="1:107" x14ac:dyDescent="0.15">
      <c r="A9" s="29" t="s">
        <v>345</v>
      </c>
      <c r="B9" s="29">
        <f>B8*1</f>
        <v>25</v>
      </c>
      <c r="C9" s="29">
        <f>C8*1.5</f>
        <v>540</v>
      </c>
      <c r="D9" s="29">
        <v>4800</v>
      </c>
      <c r="E9" s="29"/>
      <c r="H9" s="16">
        <v>6</v>
      </c>
      <c r="I9" s="29">
        <f>IF(基础状态预期!C19="","",基础状态预期!C19)</f>
        <v>6</v>
      </c>
      <c r="J9" s="29">
        <f>IF(基础状态预期!D19="","",基础状态预期!D19)</f>
        <v>28.071211008105138</v>
      </c>
      <c r="K9" s="29" t="str">
        <f>IF(基础状态预期!F19="","",基础状态预期!F19)</f>
        <v/>
      </c>
      <c r="L9" s="29" t="str">
        <f>IF(基础状态预期!G19="","",基础状态预期!G19)</f>
        <v/>
      </c>
      <c r="M9" s="29" t="str">
        <f>IF(基础状态预期!H19="","",基础状态预期!H19)</f>
        <v/>
      </c>
      <c r="N9" s="29">
        <f>IF(基础状态预期!I19="","",基础状态预期!I19)</f>
        <v>6</v>
      </c>
      <c r="O9" s="29" t="str">
        <f>IF(基础状态预期!J19="","",基础状态预期!J19)</f>
        <v/>
      </c>
      <c r="P9" s="29">
        <f>武将进阶!O6</f>
        <v>0</v>
      </c>
      <c r="Q9" s="29">
        <f>武将进阶!P6</f>
        <v>0</v>
      </c>
      <c r="R9" s="29">
        <f>武将进阶!Q6</f>
        <v>22.422543851671403</v>
      </c>
      <c r="S9" s="29">
        <f>武将进阶!R6</f>
        <v>0</v>
      </c>
      <c r="T9" s="29">
        <f>武将进阶!S6</f>
        <v>0</v>
      </c>
      <c r="U9" s="29">
        <f>武将觉醒!T7</f>
        <v>0</v>
      </c>
      <c r="V9" s="29">
        <f>武将觉醒!U7</f>
        <v>0</v>
      </c>
      <c r="W9" s="29">
        <f>武将觉醒!V7</f>
        <v>0</v>
      </c>
      <c r="X9" s="29">
        <f>武将觉醒!W7</f>
        <v>0</v>
      </c>
      <c r="Y9" s="29">
        <f>武将觉醒!X7</f>
        <v>0</v>
      </c>
      <c r="Z9" s="29"/>
      <c r="AA9" s="29">
        <f>IF(L9="",0,同名需求(L9,武将升星!P6,B$6)+武将升星!U6)</f>
        <v>0</v>
      </c>
      <c r="AB9" s="29">
        <f>IF(M9="",0,同名需求(M9,武将升星!Q6,C$6)+武将升星!V6)</f>
        <v>0</v>
      </c>
      <c r="AC9" s="59">
        <f>IF(N9="",0,同名需求(N9,武将升星!R6,D$6*0.5)+武将升星!W6)</f>
        <v>6.5881381504053209</v>
      </c>
      <c r="AD9" s="29">
        <f>IF(O9="",0,同名需求(O9,武将升星!S6,E$6)+武将升星!X6)</f>
        <v>0</v>
      </c>
      <c r="AE9" s="29">
        <f>MAX(U9+P9+IF(K9="",0,K9)*武将升星!O6,Z9)</f>
        <v>0</v>
      </c>
      <c r="AF9" s="29">
        <f>MAX(V9+Q9+IF(L9="",0,L9)*武将升星!P6,AA9)</f>
        <v>0</v>
      </c>
      <c r="AG9" s="29">
        <f>MAX(W9+R9+IF(M9="",0,M9)*武将升星!Q6,AB9)</f>
        <v>22.422543851671403</v>
      </c>
      <c r="AH9" s="29">
        <f>MAX(X9+S9+IF(N9="",0,N9)*武将升星!R6,AC9)</f>
        <v>6.5881381504053209</v>
      </c>
      <c r="AI9" s="45">
        <f t="shared" si="8"/>
        <v>0</v>
      </c>
      <c r="AJ9" s="29">
        <f t="shared" si="9"/>
        <v>15811.53156097277</v>
      </c>
      <c r="AK9" s="14" t="e">
        <f>AJ9/求节点('[1]资源-钻石'!$K$4:$K$113,'[1]资源-钻石'!$L$4:$L$113,J9)</f>
        <v>#VALUE!</v>
      </c>
      <c r="AL9" s="16"/>
      <c r="AM9" s="16"/>
      <c r="AN9" s="16"/>
      <c r="AO9" s="16"/>
      <c r="AP9" s="17">
        <v>6</v>
      </c>
      <c r="AR9" s="16">
        <f t="shared" si="19"/>
        <v>0</v>
      </c>
      <c r="AS9" s="29">
        <f>IF(基础状态预期!C19="","",基础状态预期!C19)</f>
        <v>6</v>
      </c>
      <c r="AT9" s="29">
        <f>求节点(节奏总纲!$P$4:$P$163,其他调用!$C$4:$C$163,$AS9)*求节点($CP$5:$CP$36,$CQ$5:$CQ$36,AS9)</f>
        <v>37261.904102831009</v>
      </c>
      <c r="AU9" s="37">
        <f t="shared" si="10"/>
        <v>1</v>
      </c>
      <c r="AV9" s="37">
        <v>0</v>
      </c>
      <c r="AW9" s="38">
        <f t="shared" si="11"/>
        <v>0.65833333333333333</v>
      </c>
      <c r="AX9" s="38">
        <f t="shared" si="12"/>
        <v>0.26666666666666666</v>
      </c>
      <c r="AY9" s="38">
        <f t="shared" si="13"/>
        <v>7.4999999999999997E-2</v>
      </c>
      <c r="AZ9" s="38">
        <f t="shared" si="14"/>
        <v>0</v>
      </c>
      <c r="BA9" s="29">
        <f t="shared" ref="BA9:BA45" si="33">AT9-AT8</f>
        <v>15164.969443664788</v>
      </c>
      <c r="BB9" s="29">
        <f t="shared" si="20"/>
        <v>43.40697775541733</v>
      </c>
      <c r="BC9" s="29">
        <f t="shared" si="21"/>
        <v>17.582573268017146</v>
      </c>
      <c r="BD9" s="29">
        <f t="shared" si="22"/>
        <v>4.9450987316298223</v>
      </c>
      <c r="BE9" s="29">
        <f t="shared" si="23"/>
        <v>0</v>
      </c>
      <c r="BF9" s="29">
        <f t="shared" si="24"/>
        <v>49.800000000000004</v>
      </c>
      <c r="BG9" s="29">
        <f t="shared" si="16"/>
        <v>9</v>
      </c>
      <c r="BH9" s="29">
        <f t="shared" si="16"/>
        <v>1.2000000000000002</v>
      </c>
      <c r="BI9" s="29">
        <f t="shared" si="16"/>
        <v>0</v>
      </c>
      <c r="BJ9" s="29">
        <f>SUM(BB$7:BB9)+BF9</f>
        <v>156.4554501494076</v>
      </c>
      <c r="BK9" s="29">
        <f>SUM(BC$7:BC9)+BG9</f>
        <v>52.202207655456242</v>
      </c>
      <c r="BL9" s="29">
        <f>SUM(BD$7:BD9)+BH9</f>
        <v>13.350620903097067</v>
      </c>
      <c r="BM9" s="29">
        <f>SUM(BE$7:BE9)+BI9</f>
        <v>0</v>
      </c>
      <c r="BN9" s="29">
        <f>SUM(BT$7:BT9)</f>
        <v>4.0502069676990224</v>
      </c>
      <c r="BO9" s="17">
        <f t="shared" si="25"/>
        <v>2.3281126352470052</v>
      </c>
      <c r="BP9" s="17">
        <f t="shared" si="26"/>
        <v>2.0264634101936219</v>
      </c>
      <c r="BQ9" s="17" t="e">
        <f t="shared" si="27"/>
        <v>#DIV/0!</v>
      </c>
      <c r="BR9" s="17">
        <f t="shared" si="28"/>
        <v>21.978216585021432</v>
      </c>
      <c r="BS9" s="17">
        <f t="shared" si="17"/>
        <v>80</v>
      </c>
      <c r="BT9" s="17">
        <f t="shared" si="29"/>
        <v>1.6483662438766076</v>
      </c>
      <c r="BV9" s="17">
        <f t="shared" si="30"/>
        <v>13.350620903097067</v>
      </c>
      <c r="BW9" s="17">
        <v>5</v>
      </c>
      <c r="BX9" s="17">
        <f>'[1]资源-钻石'!L8/$B$2*$B$12*10</f>
        <v>17.193347209331179</v>
      </c>
      <c r="BY9" s="17">
        <f>'[1]资源-钻石'!M8/$B$2*$B$12*10</f>
        <v>19.722294874594347</v>
      </c>
      <c r="BZ9" s="17">
        <f>'[1]资源-钻石'!N8/$B$2*$B$12*10</f>
        <v>25.163112596150778</v>
      </c>
      <c r="CA9" s="17">
        <f>'[1]资源-钻石'!O8/$B$2*$B$12*10</f>
        <v>44.763164414242112</v>
      </c>
      <c r="CB9" s="17">
        <f>'[1]资源-钻石'!P8/$B$2*$B$12*10</f>
        <v>56.028093622371252</v>
      </c>
      <c r="CD9" s="17">
        <v>5</v>
      </c>
      <c r="CE9" s="17">
        <f>'[1]资源-钻石'!L8/$B$2*$C$12*10</f>
        <v>6.9643938063113637</v>
      </c>
      <c r="CF9" s="17">
        <f>'[1]资源-钻石'!M8/$B$2*$C$12*10</f>
        <v>7.9887776707217606</v>
      </c>
      <c r="CG9" s="17">
        <f>'[1]资源-钻石'!N8/$B$2*$C$12*10</f>
        <v>10.192653203504115</v>
      </c>
      <c r="CH9" s="17">
        <f>'[1]资源-钻石'!O8/$B$2*$C$12*10</f>
        <v>18.131914699439843</v>
      </c>
      <c r="CI9" s="17">
        <f>'[1]资源-钻石'!P8/$B$2*$C$12*10</f>
        <v>22.694923998935188</v>
      </c>
      <c r="CN9" s="17">
        <v>0.79</v>
      </c>
      <c r="CO9" s="17">
        <v>25</v>
      </c>
      <c r="CP9" s="17">
        <f>INDEX(节奏总纲!$P$4:$P$163,CO9,1)</f>
        <v>4.6568542494923806</v>
      </c>
      <c r="CQ9" s="17">
        <f t="shared" si="31"/>
        <v>0.66918751200000015</v>
      </c>
      <c r="CR9" s="17">
        <f t="shared" ref="CR9:CU9" si="34">CQ9</f>
        <v>0.66918751200000015</v>
      </c>
      <c r="CS9" s="17">
        <f t="shared" si="34"/>
        <v>0.66918751200000015</v>
      </c>
      <c r="CT9" s="17">
        <f t="shared" si="34"/>
        <v>0.66918751200000015</v>
      </c>
      <c r="CU9" s="17">
        <f t="shared" si="34"/>
        <v>0.66918751200000015</v>
      </c>
      <c r="CW9" s="17">
        <v>6</v>
      </c>
      <c r="CX9" s="17">
        <f t="shared" si="1"/>
        <v>0.59869565217391307</v>
      </c>
      <c r="CY9" s="17">
        <f t="shared" si="2"/>
        <v>0.59869565217391307</v>
      </c>
      <c r="CZ9" s="17">
        <f t="shared" si="3"/>
        <v>0.59869565217391307</v>
      </c>
      <c r="DA9" s="17">
        <f t="shared" si="4"/>
        <v>0.59869565217391307</v>
      </c>
      <c r="DB9" s="17">
        <f t="shared" si="5"/>
        <v>0.59869565217391307</v>
      </c>
    </row>
    <row r="10" spans="1:107" x14ac:dyDescent="0.15">
      <c r="B10" s="82"/>
      <c r="C10" s="82"/>
      <c r="D10" s="82"/>
      <c r="E10" s="82"/>
      <c r="H10" s="17">
        <v>7</v>
      </c>
      <c r="I10" s="29">
        <f>IF(基础状态预期!C20="","",基础状态预期!C20)</f>
        <v>10</v>
      </c>
      <c r="J10" s="29">
        <f>IF(基础状态预期!D20="","",基础状态预期!D20)</f>
        <v>34.585942742481357</v>
      </c>
      <c r="K10" s="29" t="str">
        <f>IF(基础状态预期!F20="","",基础状态预期!F20)</f>
        <v/>
      </c>
      <c r="L10" s="29" t="str">
        <f>IF(基础状态预期!G20="","",基础状态预期!G20)</f>
        <v/>
      </c>
      <c r="M10" s="29" t="str">
        <f>IF(基础状态预期!H20="","",基础状态预期!H20)</f>
        <v/>
      </c>
      <c r="N10" s="29">
        <f>IF(基础状态预期!I20="","",基础状态预期!I20)</f>
        <v>6</v>
      </c>
      <c r="O10" s="29" t="str">
        <f>IF(基础状态预期!J20="","",基础状态预期!J20)</f>
        <v/>
      </c>
      <c r="P10" s="29">
        <f>武将进阶!O7</f>
        <v>0</v>
      </c>
      <c r="Q10" s="29">
        <f>武将进阶!P7</f>
        <v>0</v>
      </c>
      <c r="R10" s="29">
        <f>武将进阶!Q7</f>
        <v>31.803757549173156</v>
      </c>
      <c r="S10" s="29">
        <f>武将进阶!R7</f>
        <v>0</v>
      </c>
      <c r="T10" s="29">
        <f>武将进阶!S7</f>
        <v>0</v>
      </c>
      <c r="U10" s="29">
        <f>武将觉醒!T8</f>
        <v>0</v>
      </c>
      <c r="V10" s="29">
        <f>武将觉醒!U8</f>
        <v>0</v>
      </c>
      <c r="W10" s="29">
        <f>武将觉醒!V8</f>
        <v>0</v>
      </c>
      <c r="X10" s="29">
        <f>武将觉醒!W8</f>
        <v>1.5859427424813575</v>
      </c>
      <c r="Y10" s="29">
        <f>武将觉醒!X8</f>
        <v>0</v>
      </c>
      <c r="Z10" s="29"/>
      <c r="AA10" s="29">
        <f>IF(L10="",0,同名需求(L10,武将升星!P7,B$6)+武将升星!U7)</f>
        <v>0</v>
      </c>
      <c r="AB10" s="29">
        <f>IF(M10="",0,同名需求(M10,武将升星!Q7,C$6)+武将升星!V7)</f>
        <v>0</v>
      </c>
      <c r="AC10" s="59">
        <f>IF(N10="",0,同名需求(N10,武将升星!R7,D$6*0.5)+武将升星!W7)</f>
        <v>11.497312047570274</v>
      </c>
      <c r="AD10" s="29">
        <f>IF(O10="",0,同名需求(O10,武将升星!S7,E$6)+武将升星!X7)</f>
        <v>0</v>
      </c>
      <c r="AE10" s="29">
        <f>MAX(U10+P10+IF(K10="",0,K10)*武将升星!O7,Z10)</f>
        <v>0</v>
      </c>
      <c r="AF10" s="29">
        <f>MAX(V10+Q10+IF(L10="",0,L10)*武将升星!P7,AA10)</f>
        <v>0</v>
      </c>
      <c r="AG10" s="29">
        <f>MAX(W10+R10+IF(M10="",0,M10)*武将升星!Q7,AB10)</f>
        <v>31.803757549173156</v>
      </c>
      <c r="AH10" s="29">
        <f>MAX(X10+S10+IF(N10="",0,N10)*武将升星!R7,AC10)</f>
        <v>11.497312047570274</v>
      </c>
      <c r="AI10" s="45">
        <f t="shared" si="8"/>
        <v>0</v>
      </c>
      <c r="AJ10" s="29">
        <f t="shared" si="9"/>
        <v>27593.548914168656</v>
      </c>
      <c r="AK10" s="14" t="e">
        <f>AJ10/求节点('[1]资源-钻石'!$K$4:$K$113,'[1]资源-钻石'!$L$4:$L$113,J10)</f>
        <v>#VALUE!</v>
      </c>
      <c r="AL10" s="16"/>
      <c r="AM10" s="16"/>
      <c r="AN10" s="16"/>
      <c r="AO10" s="16"/>
      <c r="AP10" s="17">
        <v>7</v>
      </c>
      <c r="AR10" s="16">
        <f t="shared" si="19"/>
        <v>0</v>
      </c>
      <c r="AS10" s="29">
        <f>IF(基础状态预期!C20="","",基础状态预期!C20)</f>
        <v>10</v>
      </c>
      <c r="AT10" s="29">
        <f>求节点(节奏总纲!$P$4:$P$163,其他调用!$C$4:$C$163,$AS10)*求节点($CP$5:$CP$36,$CQ$5:$CQ$36,AS10)</f>
        <v>50716.304055452922</v>
      </c>
      <c r="AU10" s="37">
        <f t="shared" si="10"/>
        <v>1</v>
      </c>
      <c r="AV10" s="37">
        <v>0</v>
      </c>
      <c r="AW10" s="38">
        <f t="shared" si="11"/>
        <v>0.65833333333333333</v>
      </c>
      <c r="AX10" s="38">
        <f t="shared" si="12"/>
        <v>0.26666666666666666</v>
      </c>
      <c r="AY10" s="38">
        <f t="shared" si="13"/>
        <v>7.4999999999999997E-2</v>
      </c>
      <c r="AZ10" s="38">
        <f t="shared" si="14"/>
        <v>0</v>
      </c>
      <c r="BA10" s="29">
        <f t="shared" si="33"/>
        <v>13454.399952621912</v>
      </c>
      <c r="BB10" s="29">
        <f t="shared" si="20"/>
        <v>38.510782473084461</v>
      </c>
      <c r="BC10" s="29">
        <f t="shared" si="21"/>
        <v>15.599304292894971</v>
      </c>
      <c r="BD10" s="29">
        <f t="shared" si="22"/>
        <v>4.3873043323767105</v>
      </c>
      <c r="BE10" s="29">
        <f t="shared" si="23"/>
        <v>0</v>
      </c>
      <c r="BF10" s="29">
        <f t="shared" si="24"/>
        <v>83</v>
      </c>
      <c r="BG10" s="29">
        <f t="shared" si="16"/>
        <v>15</v>
      </c>
      <c r="BH10" s="29">
        <f t="shared" si="16"/>
        <v>2</v>
      </c>
      <c r="BI10" s="29">
        <f t="shared" si="16"/>
        <v>0</v>
      </c>
      <c r="BJ10" s="29">
        <f>SUM(BB$7:BB10)+BF10</f>
        <v>228.16623262249206</v>
      </c>
      <c r="BK10" s="29">
        <f>SUM(BC$7:BC10)+BG10</f>
        <v>73.801511948351219</v>
      </c>
      <c r="BL10" s="29">
        <f>SUM(BD$7:BD10)+BH10</f>
        <v>18.537925235473779</v>
      </c>
      <c r="BM10" s="29">
        <f>SUM(BE$7:BE10)+BI10</f>
        <v>0</v>
      </c>
      <c r="BN10" s="29">
        <f>SUM(BT$7:BT10)</f>
        <v>5.5126417451579259</v>
      </c>
      <c r="BO10" s="17">
        <f t="shared" si="25"/>
        <v>2.3205280644667075</v>
      </c>
      <c r="BP10" s="17">
        <f t="shared" si="26"/>
        <v>1.6123703661145212</v>
      </c>
      <c r="BQ10" s="17" t="e">
        <f t="shared" si="27"/>
        <v>#DIV/0!</v>
      </c>
      <c r="BR10" s="17">
        <f t="shared" si="28"/>
        <v>14.624347774589035</v>
      </c>
      <c r="BS10" s="17">
        <f t="shared" si="17"/>
        <v>80</v>
      </c>
      <c r="BT10" s="17">
        <f t="shared" si="29"/>
        <v>1.4624347774589035</v>
      </c>
      <c r="BV10" s="17">
        <f t="shared" si="30"/>
        <v>18.537925235473779</v>
      </c>
      <c r="BW10" s="17">
        <v>6</v>
      </c>
      <c r="BX10" s="17">
        <f>'[1]资源-钻石'!L9/$B$2*$B$12*10</f>
        <v>21.406575725858822</v>
      </c>
      <c r="BY10" s="17">
        <f>'[1]资源-钻石'!M9/$B$2*$B$12*10</f>
        <v>24.589875464885566</v>
      </c>
      <c r="BZ10" s="17">
        <f>'[1]资源-钻石'!N9/$B$2*$B$12*10</f>
        <v>31.40265942442927</v>
      </c>
      <c r="CA10" s="17">
        <f>'[1]资源-钻石'!O9/$B$2*$B$12*10</f>
        <v>56.107715167736309</v>
      </c>
      <c r="CB10" s="17">
        <f>'[1]资源-钻石'!P9/$B$2*$B$12*10</f>
        <v>70.786727548197589</v>
      </c>
      <c r="CD10" s="17">
        <v>6</v>
      </c>
      <c r="CE10" s="17">
        <f>'[1]资源-钻石'!L9/$B$2*$C$12*10</f>
        <v>8.6710180155377508</v>
      </c>
      <c r="CF10" s="17">
        <f>'[1]资源-钻石'!M9/$B$2*$C$12*10</f>
        <v>9.9604558845106101</v>
      </c>
      <c r="CG10" s="17">
        <f>'[1]资源-钻石'!N9/$B$2*$C$12*10</f>
        <v>12.720064576984008</v>
      </c>
      <c r="CH10" s="17">
        <f>'[1]资源-钻石'!O9/$B$2*$C$12*10</f>
        <v>22.727175764146352</v>
      </c>
      <c r="CI10" s="17">
        <f>'[1]资源-钻石'!P9/$B$2*$C$12*10</f>
        <v>28.673104829649656</v>
      </c>
      <c r="CN10" s="17">
        <v>0.77</v>
      </c>
      <c r="CO10" s="17">
        <v>30</v>
      </c>
      <c r="CP10" s="17">
        <f>INDEX(节奏总纲!$P$4:$P$163,CO10,1)</f>
        <v>7</v>
      </c>
      <c r="CQ10" s="17">
        <f t="shared" si="31"/>
        <v>0.63920113488000008</v>
      </c>
      <c r="CR10" s="17">
        <f t="shared" ref="CR10:CU10" si="35">CQ10</f>
        <v>0.63920113488000008</v>
      </c>
      <c r="CS10" s="17">
        <f t="shared" si="35"/>
        <v>0.63920113488000008</v>
      </c>
      <c r="CT10" s="17">
        <f t="shared" si="35"/>
        <v>0.63920113488000008</v>
      </c>
      <c r="CU10" s="17">
        <f t="shared" si="35"/>
        <v>0.63920113488000008</v>
      </c>
      <c r="CW10" s="17">
        <v>7</v>
      </c>
      <c r="CX10" s="17">
        <f t="shared" si="1"/>
        <v>0.59869565217391307</v>
      </c>
      <c r="CY10" s="17">
        <f t="shared" si="2"/>
        <v>0.59869565217391307</v>
      </c>
      <c r="CZ10" s="17">
        <f t="shared" si="3"/>
        <v>0.59869565217391307</v>
      </c>
      <c r="DA10" s="17">
        <f t="shared" si="4"/>
        <v>0.59869565217391307</v>
      </c>
      <c r="DB10" s="17">
        <f t="shared" si="5"/>
        <v>0.59869565217391307</v>
      </c>
    </row>
    <row r="11" spans="1:107" x14ac:dyDescent="0.15">
      <c r="A11" s="29" t="s">
        <v>314</v>
      </c>
      <c r="B11" s="56" t="s">
        <v>1</v>
      </c>
      <c r="C11" s="56" t="s">
        <v>2</v>
      </c>
      <c r="D11" s="56" t="s">
        <v>0</v>
      </c>
      <c r="E11" s="56" t="s">
        <v>545</v>
      </c>
      <c r="H11" s="16">
        <v>8</v>
      </c>
      <c r="I11" s="29">
        <f>IF(基础状态预期!C21="","",基础状态预期!C21)</f>
        <v>15</v>
      </c>
      <c r="J11" s="29">
        <f>IF(基础状态预期!D21="","",基础状态预期!D21)</f>
        <v>40</v>
      </c>
      <c r="K11" s="29" t="str">
        <f>IF(基础状态预期!F21="","",基础状态预期!F21)</f>
        <v/>
      </c>
      <c r="L11" s="29" t="str">
        <f>IF(基础状态预期!G21="","",基础状态预期!G21)</f>
        <v/>
      </c>
      <c r="M11" s="29" t="str">
        <f>IF(基础状态预期!H21="","",基础状态预期!H21)</f>
        <v/>
      </c>
      <c r="N11" s="29">
        <f>IF(基础状态预期!I21="","",基础状态预期!I21)</f>
        <v>6</v>
      </c>
      <c r="O11" s="29" t="str">
        <f>IF(基础状态预期!J21="","",基础状态预期!J21)</f>
        <v/>
      </c>
      <c r="P11" s="29">
        <f>武将进阶!O8</f>
        <v>0</v>
      </c>
      <c r="Q11" s="29">
        <f>武将进阶!P8</f>
        <v>0</v>
      </c>
      <c r="R11" s="29">
        <f>武将进阶!Q8</f>
        <v>39.6</v>
      </c>
      <c r="S11" s="29">
        <f>武将进阶!R8</f>
        <v>0</v>
      </c>
      <c r="T11" s="29">
        <f>武将进阶!S8</f>
        <v>0</v>
      </c>
      <c r="U11" s="29">
        <f>武将觉醒!T9</f>
        <v>0</v>
      </c>
      <c r="V11" s="29">
        <f>武将觉醒!U9</f>
        <v>0</v>
      </c>
      <c r="W11" s="29">
        <f>武将觉醒!V9</f>
        <v>0</v>
      </c>
      <c r="X11" s="29">
        <f>武将觉醒!W9</f>
        <v>6</v>
      </c>
      <c r="Y11" s="29">
        <f>武将觉醒!X9</f>
        <v>0</v>
      </c>
      <c r="Z11" s="29"/>
      <c r="AA11" s="29">
        <f>IF(L11="",0,同名需求(L11,武将升星!P8,B$6)+武将升星!U8)</f>
        <v>0</v>
      </c>
      <c r="AB11" s="29">
        <f>IF(M11="",0,同名需求(M11,武将升星!Q8,C$6)+武将升星!V8)</f>
        <v>0</v>
      </c>
      <c r="AC11" s="59">
        <f>IF(N11="",0,同名需求(N11,武将升星!R8,D$6*0.5)+武将升星!W8)</f>
        <v>16.689172211148907</v>
      </c>
      <c r="AD11" s="29">
        <f>IF(O11="",0,同名需求(O11,武将升星!S8,E$6)+武将升星!X8)</f>
        <v>0</v>
      </c>
      <c r="AE11" s="29">
        <f>MAX(U11+P11+IF(K11="",0,K11)*武将升星!O8,Z11)</f>
        <v>0</v>
      </c>
      <c r="AF11" s="29">
        <f>MAX(V11+Q11+IF(L11="",0,L11)*武将升星!P8,AA11)</f>
        <v>0</v>
      </c>
      <c r="AG11" s="29">
        <f>MAX(W11+R11+IF(M11="",0,M11)*武将升星!Q8,AB11)</f>
        <v>39.6</v>
      </c>
      <c r="AH11" s="29">
        <f>MAX(X11+S11+IF(N11="",0,N11)*武将升星!R8,AC11)</f>
        <v>17.130802661351474</v>
      </c>
      <c r="AI11" s="45">
        <f t="shared" si="8"/>
        <v>0</v>
      </c>
      <c r="AJ11" s="29">
        <f t="shared" si="9"/>
        <v>41113.92638724354</v>
      </c>
      <c r="AK11" s="14" t="e">
        <f>AJ11/求节点('[1]资源-钻石'!$K$4:$K$113,'[1]资源-钻石'!$L$4:$L$113,J11)</f>
        <v>#VALUE!</v>
      </c>
      <c r="AL11" s="16"/>
      <c r="AM11" s="16"/>
      <c r="AN11" s="16"/>
      <c r="AO11" s="16"/>
      <c r="AP11" s="17">
        <v>8</v>
      </c>
      <c r="AR11" s="16">
        <f t="shared" si="19"/>
        <v>0</v>
      </c>
      <c r="AS11" s="29">
        <f>IF(基础状态预期!C21="","",基础状态预期!C21)</f>
        <v>15</v>
      </c>
      <c r="AT11" s="29">
        <f>求节点(节奏总纲!$P$4:$P$163,其他调用!$C$4:$C$163,$AS11)*求节点($CP$5:$CP$36,$CQ$5:$CQ$36,AS11)</f>
        <v>64715.800327319994</v>
      </c>
      <c r="AU11" s="37">
        <f t="shared" si="10"/>
        <v>1</v>
      </c>
      <c r="AV11" s="37">
        <v>0</v>
      </c>
      <c r="AW11" s="38">
        <f t="shared" si="11"/>
        <v>0.65833333333333333</v>
      </c>
      <c r="AX11" s="38">
        <f t="shared" si="12"/>
        <v>0.26666666666666666</v>
      </c>
      <c r="AY11" s="38">
        <f t="shared" si="13"/>
        <v>7.4999999999999997E-2</v>
      </c>
      <c r="AZ11" s="38">
        <f t="shared" si="14"/>
        <v>0</v>
      </c>
      <c r="BA11" s="29">
        <f t="shared" si="33"/>
        <v>13999.496271867072</v>
      </c>
      <c r="BB11" s="29">
        <f t="shared" si="20"/>
        <v>40.07102193759053</v>
      </c>
      <c r="BC11" s="29">
        <f t="shared" si="21"/>
        <v>16.231300025353125</v>
      </c>
      <c r="BD11" s="29">
        <f t="shared" si="22"/>
        <v>4.5650531321305667</v>
      </c>
      <c r="BE11" s="29">
        <f t="shared" si="23"/>
        <v>0</v>
      </c>
      <c r="BF11" s="29">
        <f t="shared" si="24"/>
        <v>124.50000000000001</v>
      </c>
      <c r="BG11" s="29">
        <f t="shared" si="16"/>
        <v>22.5</v>
      </c>
      <c r="BH11" s="29">
        <f t="shared" si="16"/>
        <v>3</v>
      </c>
      <c r="BI11" s="29">
        <f t="shared" si="16"/>
        <v>0</v>
      </c>
      <c r="BJ11" s="29">
        <f>SUM(BB$7:BB11)+BF11</f>
        <v>309.73725456008259</v>
      </c>
      <c r="BK11" s="29">
        <f>SUM(BC$7:BC11)+BG11</f>
        <v>97.532811973704341</v>
      </c>
      <c r="BL11" s="29">
        <f>SUM(BD$7:BD11)+BH11</f>
        <v>24.102978367604344</v>
      </c>
      <c r="BM11" s="29">
        <f>SUM(BE$7:BE11)+BI11</f>
        <v>0</v>
      </c>
      <c r="BN11" s="29">
        <f>SUM(BT$7:BT11)</f>
        <v>7.0343261225347815</v>
      </c>
      <c r="BO11" s="17">
        <f t="shared" si="25"/>
        <v>2.4629497973157659</v>
      </c>
      <c r="BP11" s="17">
        <f t="shared" si="26"/>
        <v>1.4069964405102093</v>
      </c>
      <c r="BQ11" s="17" t="e">
        <f t="shared" si="27"/>
        <v>#DIV/0!</v>
      </c>
      <c r="BR11" s="17">
        <f t="shared" si="28"/>
        <v>12.173475019014845</v>
      </c>
      <c r="BS11" s="17">
        <f t="shared" si="17"/>
        <v>80</v>
      </c>
      <c r="BT11" s="17">
        <f t="shared" si="29"/>
        <v>1.5216843773768556</v>
      </c>
      <c r="BV11" s="17">
        <f t="shared" si="30"/>
        <v>24.102978367604344</v>
      </c>
      <c r="BW11" s="17">
        <v>7</v>
      </c>
      <c r="BX11" s="17">
        <f>'[1]资源-钻石'!L10/$B$2*$B$12*10</f>
        <v>25.922202241474309</v>
      </c>
      <c r="BY11" s="17">
        <f>'[1]资源-钻石'!M10/$B$2*$B$12*10</f>
        <v>29.892339054935562</v>
      </c>
      <c r="BZ11" s="17">
        <f>'[1]资源-钻石'!N10/$B$2*$B$12*10</f>
        <v>38.27665642376094</v>
      </c>
      <c r="CA11" s="17">
        <f>'[1]资源-钻石'!O10/$B$2*$B$12*10</f>
        <v>68.260184680327669</v>
      </c>
      <c r="CB11" s="17">
        <f>'[1]资源-钻石'!P10/$B$2*$B$12*10</f>
        <v>85.431347954893297</v>
      </c>
      <c r="CD11" s="17">
        <v>7</v>
      </c>
      <c r="CE11" s="17">
        <f>'[1]资源-钻石'!L10/$B$2*$C$12*10</f>
        <v>10.500132553508582</v>
      </c>
      <c r="CF11" s="17">
        <f>'[1]资源-钻石'!M10/$B$2*$C$12*10</f>
        <v>12.108289237442252</v>
      </c>
      <c r="CG11" s="17">
        <f>'[1]资源-钻石'!N10/$B$2*$C$12*10</f>
        <v>15.50446842481456</v>
      </c>
      <c r="CH11" s="17">
        <f>'[1]资源-钻石'!O10/$B$2*$C$12*10</f>
        <v>27.649695060385891</v>
      </c>
      <c r="CI11" s="17">
        <f>'[1]资源-钻石'!P10/$B$2*$C$12*10</f>
        <v>34.6051029690707</v>
      </c>
      <c r="CN11" s="17">
        <v>0.75</v>
      </c>
      <c r="CO11" s="17">
        <v>35</v>
      </c>
      <c r="CP11" s="17">
        <f>INDEX(节奏总纲!$P$4:$P$163,CO11,1)</f>
        <v>10.313708498984759</v>
      </c>
      <c r="CQ11" s="17">
        <f t="shared" si="31"/>
        <v>0.61014653784000006</v>
      </c>
      <c r="CR11" s="17">
        <f t="shared" ref="CR11:CU11" si="36">CQ11</f>
        <v>0.61014653784000006</v>
      </c>
      <c r="CS11" s="17">
        <f t="shared" si="36"/>
        <v>0.61014653784000006</v>
      </c>
      <c r="CT11" s="17">
        <f t="shared" si="36"/>
        <v>0.61014653784000006</v>
      </c>
      <c r="CU11" s="17">
        <f t="shared" si="36"/>
        <v>0.61014653784000006</v>
      </c>
      <c r="CW11" s="17">
        <v>8</v>
      </c>
      <c r="CX11" s="17">
        <f t="shared" si="1"/>
        <v>0.59869565217391307</v>
      </c>
      <c r="CY11" s="17">
        <f t="shared" si="2"/>
        <v>0.59869565217391307</v>
      </c>
      <c r="CZ11" s="17">
        <f t="shared" si="3"/>
        <v>0.59869565217391307</v>
      </c>
      <c r="DA11" s="17">
        <f t="shared" si="4"/>
        <v>0.59869565217391307</v>
      </c>
      <c r="DB11" s="17">
        <f t="shared" si="5"/>
        <v>0.59869565217391307</v>
      </c>
    </row>
    <row r="12" spans="1:107" x14ac:dyDescent="0.15">
      <c r="A12" s="29" t="s">
        <v>315</v>
      </c>
      <c r="B12" s="205">
        <f>1-SUM(C12:E12)</f>
        <v>0.65833333333333333</v>
      </c>
      <c r="C12" s="117">
        <f>4/15</f>
        <v>0.26666666666666666</v>
      </c>
      <c r="D12" s="95">
        <v>7.4999999999999997E-2</v>
      </c>
      <c r="E12" s="20">
        <v>0</v>
      </c>
      <c r="H12" s="17">
        <v>9</v>
      </c>
      <c r="I12" s="29">
        <f>IF(基础状态预期!C22="","",基础状态预期!C22)</f>
        <v>20</v>
      </c>
      <c r="J12" s="29">
        <f>IF(基础状态预期!D22="","",基础状态预期!D22)</f>
        <v>43.920692243099523</v>
      </c>
      <c r="K12" s="29" t="str">
        <f>IF(基础状态预期!F22="","",基础状态预期!F22)</f>
        <v/>
      </c>
      <c r="L12" s="29" t="str">
        <f>IF(基础状态预期!G22="","",基础状态预期!G22)</f>
        <v/>
      </c>
      <c r="M12" s="29" t="str">
        <f>IF(基础状态预期!H22="","",基础状态预期!H22)</f>
        <v/>
      </c>
      <c r="N12" s="29">
        <f>IF(基础状态预期!I22="","",基础状态预期!I22)</f>
        <v>6</v>
      </c>
      <c r="O12" s="29" t="str">
        <f>IF(基础状态预期!J22="","",基础状态预期!J22)</f>
        <v/>
      </c>
      <c r="P12" s="29">
        <f>武将进阶!O9</f>
        <v>0</v>
      </c>
      <c r="Q12" s="29">
        <f>武将进阶!P9</f>
        <v>0</v>
      </c>
      <c r="R12" s="29">
        <f>武将进阶!Q9</f>
        <v>45.245796830063313</v>
      </c>
      <c r="S12" s="29">
        <f>武将进阶!R9</f>
        <v>0</v>
      </c>
      <c r="T12" s="29">
        <f>武将进阶!S9</f>
        <v>0</v>
      </c>
      <c r="U12" s="29">
        <f>武将觉醒!T10</f>
        <v>0</v>
      </c>
      <c r="V12" s="29">
        <f>武将觉醒!U10</f>
        <v>0</v>
      </c>
      <c r="W12" s="29">
        <f>武将觉醒!V10</f>
        <v>0</v>
      </c>
      <c r="X12" s="29">
        <f>武将觉醒!W10</f>
        <v>6</v>
      </c>
      <c r="Y12" s="29">
        <f>武将觉醒!X10</f>
        <v>0</v>
      </c>
      <c r="Z12" s="29"/>
      <c r="AA12" s="29">
        <f>IF(L12="",0,同名需求(L12,武将升星!P9,B$6)+武将升星!U9)</f>
        <v>0</v>
      </c>
      <c r="AB12" s="29">
        <f>IF(M12="",0,同名需求(M12,武将升星!Q9,C$6)+武将升星!V9)</f>
        <v>0</v>
      </c>
      <c r="AC12" s="59">
        <f>IF(N12="",0,同名需求(N12,武将升星!R9,D$6*0.5)+武将升星!W9)</f>
        <v>21.775132550650106</v>
      </c>
      <c r="AD12" s="29">
        <f>IF(O12="",0,同名需求(O12,武将升星!S9,E$6)+武将升星!X9)</f>
        <v>0</v>
      </c>
      <c r="AE12" s="29">
        <f>MAX(U12+P12+IF(K12="",0,K12)*武将升星!O9,Z12)</f>
        <v>0</v>
      </c>
      <c r="AF12" s="29">
        <f>MAX(V12+Q12+IF(L12="",0,L12)*武将升星!P9,AA12)</f>
        <v>0</v>
      </c>
      <c r="AG12" s="29">
        <f>MAX(W12+R12+IF(M12="",0,M12)*武将升星!Q9,AB12)</f>
        <v>45.245796830063313</v>
      </c>
      <c r="AH12" s="29">
        <f>MAX(X12+S12+IF(N12="",0,N12)*武将升星!R9,AC12)</f>
        <v>21.775132550650106</v>
      </c>
      <c r="AI12" s="45">
        <f t="shared" si="8"/>
        <v>0</v>
      </c>
      <c r="AJ12" s="29">
        <f t="shared" si="9"/>
        <v>52260.31812156026</v>
      </c>
      <c r="AK12" s="14" t="e">
        <f>AJ12/求节点('[1]资源-钻石'!$K$4:$K$113,'[1]资源-钻石'!$L$4:$L$113,J12)</f>
        <v>#VALUE!</v>
      </c>
      <c r="AL12" s="16"/>
      <c r="AM12" s="16"/>
      <c r="AN12" s="16"/>
      <c r="AO12" s="16"/>
      <c r="AP12" s="17">
        <v>9</v>
      </c>
      <c r="AR12" s="16">
        <f t="shared" si="19"/>
        <v>0</v>
      </c>
      <c r="AS12" s="29">
        <f>IF(基础状态预期!C22="","",基础状态预期!C22)</f>
        <v>20</v>
      </c>
      <c r="AT12" s="29">
        <f>求节点(节奏总纲!$P$4:$P$163,其他调用!$C$4:$C$163,$AS12)*求节点($CP$5:$CP$36,$CQ$5:$CQ$36,AS12)</f>
        <v>78399.314421399235</v>
      </c>
      <c r="AU12" s="37">
        <f t="shared" si="10"/>
        <v>1</v>
      </c>
      <c r="AV12" s="37">
        <v>0</v>
      </c>
      <c r="AW12" s="38">
        <f t="shared" si="11"/>
        <v>0.65833333333333333</v>
      </c>
      <c r="AX12" s="38">
        <f t="shared" si="12"/>
        <v>0.26666666666666666</v>
      </c>
      <c r="AY12" s="38">
        <f t="shared" si="13"/>
        <v>7.4999999999999997E-2</v>
      </c>
      <c r="AZ12" s="38">
        <f t="shared" si="14"/>
        <v>0</v>
      </c>
      <c r="BA12" s="29">
        <f t="shared" si="33"/>
        <v>13683.514094079241</v>
      </c>
      <c r="BB12" s="29">
        <f t="shared" si="20"/>
        <v>39.166580196821009</v>
      </c>
      <c r="BC12" s="29">
        <f t="shared" si="21"/>
        <v>15.864943877193321</v>
      </c>
      <c r="BD12" s="29">
        <f t="shared" si="22"/>
        <v>4.4620154654606212</v>
      </c>
      <c r="BE12" s="29">
        <f t="shared" si="23"/>
        <v>0</v>
      </c>
      <c r="BF12" s="29">
        <f t="shared" si="24"/>
        <v>166</v>
      </c>
      <c r="BG12" s="29">
        <f t="shared" si="16"/>
        <v>30</v>
      </c>
      <c r="BH12" s="29">
        <f t="shared" si="16"/>
        <v>4</v>
      </c>
      <c r="BI12" s="29">
        <f t="shared" si="16"/>
        <v>0</v>
      </c>
      <c r="BJ12" s="29">
        <f>SUM(BB$7:BB12)+BF12</f>
        <v>390.40383475690362</v>
      </c>
      <c r="BK12" s="29">
        <f>SUM(BC$7:BC12)+BG12</f>
        <v>120.89775585089767</v>
      </c>
      <c r="BL12" s="29">
        <f>SUM(BD$7:BD12)+BH12</f>
        <v>29.564993833064964</v>
      </c>
      <c r="BM12" s="29">
        <f>SUM(BE$7:BE12)+BI12</f>
        <v>0</v>
      </c>
      <c r="BN12" s="29">
        <f>SUM(BT$7:BT12)</f>
        <v>8.5216646110216558</v>
      </c>
      <c r="BO12" s="17">
        <f t="shared" si="25"/>
        <v>2.6720218080139508</v>
      </c>
      <c r="BP12" s="17">
        <f t="shared" si="26"/>
        <v>1.3577411648032558</v>
      </c>
      <c r="BQ12" s="17" t="e">
        <f t="shared" si="27"/>
        <v>#DIV/0!</v>
      </c>
      <c r="BR12" s="17">
        <f t="shared" si="28"/>
        <v>11.898707907894991</v>
      </c>
      <c r="BS12" s="17">
        <f t="shared" si="17"/>
        <v>80</v>
      </c>
      <c r="BT12" s="17">
        <f t="shared" si="29"/>
        <v>1.4873384884868739</v>
      </c>
      <c r="BV12" s="17">
        <f t="shared" si="30"/>
        <v>29.564993833064964</v>
      </c>
      <c r="BW12" s="17">
        <v>8</v>
      </c>
      <c r="BX12" s="17">
        <f>'[1]资源-钻石'!L11/$B$2*$B$12*10</f>
        <v>30.761930907636227</v>
      </c>
      <c r="BY12" s="17">
        <f>'[1]资源-钻石'!M11/$B$2*$B$12*10</f>
        <v>35.307401708060041</v>
      </c>
      <c r="BZ12" s="17">
        <f>'[1]资源-钻石'!N11/$B$2*$B$12*10</f>
        <v>44.922458402942389</v>
      </c>
      <c r="CA12" s="17">
        <f>'[1]资源-钻石'!O11/$B$2*$B$12*10</f>
        <v>79.827681207188732</v>
      </c>
      <c r="CB12" s="17">
        <f>'[1]资源-钻石'!P11/$B$2*$B$12*10</f>
        <v>100.16831469507785</v>
      </c>
      <c r="CD12" s="17">
        <v>8</v>
      </c>
      <c r="CE12" s="17">
        <f>'[1]资源-钻石'!L11/$B$2*$C$12*10</f>
        <v>12.460528975245055</v>
      </c>
      <c r="CF12" s="17">
        <f>'[1]资源-钻石'!M11/$B$2*$C$12*10</f>
        <v>14.30173233744204</v>
      </c>
      <c r="CG12" s="17">
        <f>'[1]资源-钻石'!N11/$B$2*$C$12*10</f>
        <v>18.196438846761474</v>
      </c>
      <c r="CH12" s="17">
        <f>'[1]资源-钻石'!O11/$B$2*$C$12*10</f>
        <v>32.33526327379797</v>
      </c>
      <c r="CI12" s="17">
        <f>'[1]资源-钻石'!P11/$B$2*$C$12*10</f>
        <v>40.574507218259384</v>
      </c>
      <c r="CN12" s="17">
        <v>0.73</v>
      </c>
      <c r="CO12" s="17">
        <v>40</v>
      </c>
      <c r="CP12" s="17">
        <f>INDEX(节奏总纲!$P$4:$P$163,CO12,1)</f>
        <v>15</v>
      </c>
      <c r="CQ12" s="17">
        <f t="shared" si="31"/>
        <v>0.58199844422764802</v>
      </c>
      <c r="CR12" s="17">
        <f t="shared" ref="CR12:CU12" si="37">CQ12</f>
        <v>0.58199844422764802</v>
      </c>
      <c r="CS12" s="17">
        <f t="shared" si="37"/>
        <v>0.58199844422764802</v>
      </c>
      <c r="CT12" s="17">
        <f t="shared" si="37"/>
        <v>0.58199844422764802</v>
      </c>
      <c r="CU12" s="17">
        <f t="shared" si="37"/>
        <v>0.58199844422764802</v>
      </c>
      <c r="CW12" s="17">
        <v>9</v>
      </c>
      <c r="CX12" s="17">
        <f t="shared" si="1"/>
        <v>0.59869565217391307</v>
      </c>
      <c r="CY12" s="17">
        <f t="shared" si="2"/>
        <v>0.59869565217391307</v>
      </c>
      <c r="CZ12" s="17">
        <f t="shared" si="3"/>
        <v>0.59869565217391307</v>
      </c>
      <c r="DA12" s="17">
        <f t="shared" si="4"/>
        <v>0.59869565217391307</v>
      </c>
      <c r="DB12" s="17">
        <f t="shared" si="5"/>
        <v>0.59869565217391307</v>
      </c>
    </row>
    <row r="13" spans="1:107" x14ac:dyDescent="0.15">
      <c r="A13" s="29" t="s">
        <v>316</v>
      </c>
      <c r="B13" s="29">
        <v>1</v>
      </c>
      <c r="C13" s="29">
        <v>1</v>
      </c>
      <c r="D13" s="29">
        <v>1</v>
      </c>
      <c r="E13" s="29">
        <f>1/30</f>
        <v>3.3333333333333333E-2</v>
      </c>
      <c r="H13" s="16">
        <v>10</v>
      </c>
      <c r="I13" s="29">
        <f>IF(基础状态预期!C23="","",基础状态预期!C23)</f>
        <v>30</v>
      </c>
      <c r="J13" s="29">
        <f>IF(基础状态预期!D23="","",基础状态预期!D23)</f>
        <v>49.533352307096472</v>
      </c>
      <c r="K13" s="29" t="str">
        <f>IF(基础状态预期!F23="","",基础状态预期!F23)</f>
        <v/>
      </c>
      <c r="L13" s="29" t="str">
        <f>IF(基础状态预期!G23="","",基础状态预期!G23)</f>
        <v/>
      </c>
      <c r="M13" s="29" t="str">
        <f>IF(基础状态预期!H23="","",基础状态预期!H23)</f>
        <v/>
      </c>
      <c r="N13" s="29">
        <f>IF(基础状态预期!I23="","",基础状态预期!I23)</f>
        <v>6</v>
      </c>
      <c r="O13" s="29" t="str">
        <f>IF(基础状态预期!J23="","",基础状态预期!J23)</f>
        <v/>
      </c>
      <c r="P13" s="29">
        <f>武将进阶!O10</f>
        <v>0</v>
      </c>
      <c r="Q13" s="29">
        <f>武将进阶!P10</f>
        <v>0</v>
      </c>
      <c r="R13" s="29">
        <f>武将进阶!Q10</f>
        <v>53.328027322218915</v>
      </c>
      <c r="S13" s="29">
        <f>武将进阶!R10</f>
        <v>0</v>
      </c>
      <c r="T13" s="29">
        <f>武将进阶!S10</f>
        <v>0</v>
      </c>
      <c r="U13" s="29">
        <f>武将觉醒!T11</f>
        <v>0</v>
      </c>
      <c r="V13" s="29">
        <f>武将觉醒!U11</f>
        <v>0</v>
      </c>
      <c r="W13" s="29">
        <f>武将觉醒!V11</f>
        <v>0</v>
      </c>
      <c r="X13" s="29">
        <f>武将觉醒!W11</f>
        <v>6</v>
      </c>
      <c r="Y13" s="29">
        <f>武将觉醒!X11</f>
        <v>0</v>
      </c>
      <c r="Z13" s="29"/>
      <c r="AA13" s="29">
        <f>IF(L13="",0,同名需求(L13,武将升星!P10,B$6)+武将升星!U10)</f>
        <v>0</v>
      </c>
      <c r="AB13" s="29">
        <f>IF(M13="",0,同名需求(M13,武将升星!Q10,C$6)+武将升星!V10)</f>
        <v>0</v>
      </c>
      <c r="AC13" s="59">
        <f>IF(N13="",0,同名需求(N13,武将升星!R10,D$6*0.5)+武将升星!W10)</f>
        <v>30.861263242251287</v>
      </c>
      <c r="AD13" s="29">
        <f>IF(O13="",0,同名需求(O13,武将升星!S10,E$6)+武将升星!X10)</f>
        <v>0</v>
      </c>
      <c r="AE13" s="29">
        <f>MAX(U13+P13+IF(K13="",0,K13)*武将升星!O10,Z13)</f>
        <v>0</v>
      </c>
      <c r="AF13" s="29">
        <f>MAX(V13+Q13+IF(L13="",0,L13)*武将升星!P10,AA13)</f>
        <v>0</v>
      </c>
      <c r="AG13" s="29">
        <f>MAX(W13+R13+IF(M13="",0,M13)*武将升星!Q10,AB13)</f>
        <v>53.328027322218915</v>
      </c>
      <c r="AH13" s="29">
        <f>MAX(X13+S13+IF(N13="",0,N13)*武将升星!R10,AC13)</f>
        <v>30.861263242251287</v>
      </c>
      <c r="AI13" s="45">
        <f t="shared" si="8"/>
        <v>0</v>
      </c>
      <c r="AJ13" s="29">
        <f t="shared" si="9"/>
        <v>74067.0317814031</v>
      </c>
      <c r="AK13" s="14" t="e">
        <f>AJ13/求节点('[1]资源-钻石'!$K$4:$K$113,'[1]资源-钻石'!$L$4:$L$113,J13)</f>
        <v>#VALUE!</v>
      </c>
      <c r="AL13" s="16"/>
      <c r="AM13" s="16"/>
      <c r="AN13" s="16"/>
      <c r="AO13" s="16"/>
      <c r="AP13" s="17">
        <v>10</v>
      </c>
      <c r="AR13" s="16">
        <f t="shared" si="19"/>
        <v>1.1329079778075211</v>
      </c>
      <c r="AS13" s="29">
        <f>IF(基础状态预期!C23="","",基础状态预期!C23)</f>
        <v>30</v>
      </c>
      <c r="AT13" s="29">
        <f>求节点(节奏总纲!$P$4:$P$163,其他调用!$C$4:$C$163,$AS13)*求节点($CP$5:$CP$36,$CQ$5:$CQ$36,AS13)</f>
        <v>104456.19791097222</v>
      </c>
      <c r="AU13" s="37">
        <f t="shared" si="10"/>
        <v>0.9</v>
      </c>
      <c r="AV13" s="37">
        <v>0.1</v>
      </c>
      <c r="AW13" s="38">
        <f t="shared" si="11"/>
        <v>0.64183333333333337</v>
      </c>
      <c r="AX13" s="38">
        <f t="shared" si="12"/>
        <v>0.26666666666666666</v>
      </c>
      <c r="AY13" s="38">
        <f t="shared" si="13"/>
        <v>7.1500000000000008E-2</v>
      </c>
      <c r="AZ13" s="38">
        <f t="shared" si="14"/>
        <v>2.8000000000000004E-3</v>
      </c>
      <c r="BA13" s="29">
        <f t="shared" si="33"/>
        <v>26056.883489572981</v>
      </c>
      <c r="BB13" s="29">
        <f t="shared" si="20"/>
        <v>72.713810375612724</v>
      </c>
      <c r="BC13" s="29">
        <f t="shared" si="21"/>
        <v>30.210879408200558</v>
      </c>
      <c r="BD13" s="29">
        <f t="shared" si="22"/>
        <v>8.100292041323776</v>
      </c>
      <c r="BE13" s="29">
        <f t="shared" si="23"/>
        <v>0.24319757923601454</v>
      </c>
      <c r="BF13" s="29">
        <f t="shared" si="24"/>
        <v>249.00000000000003</v>
      </c>
      <c r="BG13" s="29">
        <f t="shared" si="16"/>
        <v>45</v>
      </c>
      <c r="BH13" s="29">
        <f t="shared" si="16"/>
        <v>6</v>
      </c>
      <c r="BI13" s="29">
        <f t="shared" si="16"/>
        <v>0</v>
      </c>
      <c r="BJ13" s="29">
        <f>SUM(BB$7:BB13)+BF13</f>
        <v>546.11764513251637</v>
      </c>
      <c r="BK13" s="29">
        <f>SUM(BC$7:BC13)+BG13</f>
        <v>166.10863525909821</v>
      </c>
      <c r="BL13" s="29">
        <f>SUM(BD$7:BD13)+BH13</f>
        <v>39.665285874388744</v>
      </c>
      <c r="BM13" s="29">
        <f>SUM(BE$7:BE13)+BI13</f>
        <v>0.24319757923601454</v>
      </c>
      <c r="BN13" s="29">
        <f>SUM(BT$7:BT13)</f>
        <v>11.070707561088579</v>
      </c>
      <c r="BO13" s="17">
        <f t="shared" si="25"/>
        <v>3.1148468000782339</v>
      </c>
      <c r="BP13" s="17">
        <f>BL13/AH13</f>
        <v>1.2852774548802046</v>
      </c>
      <c r="BQ13" s="17" t="e">
        <f t="shared" si="27"/>
        <v>#DIV/0!</v>
      </c>
      <c r="BR13" s="17">
        <f t="shared" si="28"/>
        <v>10.196171800267688</v>
      </c>
      <c r="BS13" s="17">
        <f t="shared" si="17"/>
        <v>80</v>
      </c>
      <c r="BT13" s="17">
        <f t="shared" si="29"/>
        <v>2.5490429500669221</v>
      </c>
      <c r="BV13" s="17">
        <f t="shared" si="30"/>
        <v>39.665285874388744</v>
      </c>
      <c r="BW13" s="17">
        <v>9</v>
      </c>
      <c r="BX13" s="17">
        <f>'[1]资源-钻石'!L12/$B$2*$B$12*10</f>
        <v>35.949023657904746</v>
      </c>
      <c r="BY13" s="17">
        <f>'[1]资源-钻石'!M12/$B$2*$B$12*10</f>
        <v>41.246413651737157</v>
      </c>
      <c r="BZ13" s="17">
        <f>'[1]资源-钻石'!N12/$B$2*$B$12*10</f>
        <v>52.682020817436708</v>
      </c>
      <c r="CA13" s="17">
        <f>'[1]资源-钻石'!O12/$B$2*$B$12*10</f>
        <v>94.319708977424654</v>
      </c>
      <c r="CB13" s="17">
        <f>'[1]资源-钻石'!P12/$B$2*$B$12*10</f>
        <v>118.65379517452403</v>
      </c>
      <c r="CD13" s="17">
        <v>9</v>
      </c>
      <c r="CE13" s="17">
        <f>'[1]资源-钻石'!L12/$B$2*$C$12*10</f>
        <v>14.561629836113315</v>
      </c>
      <c r="CF13" s="17">
        <f>'[1]资源-钻石'!M12/$B$2*$C$12*10</f>
        <v>16.707408061463155</v>
      </c>
      <c r="CG13" s="17">
        <f>'[1]资源-钻石'!N12/$B$2*$C$12*10</f>
        <v>21.339552736176891</v>
      </c>
      <c r="CH13" s="17">
        <f>'[1]资源-钻石'!O12/$B$2*$C$12*10</f>
        <v>38.205451737690993</v>
      </c>
      <c r="CI13" s="17">
        <f>'[1]资源-钻石'!P12/$B$2*$C$12*10</f>
        <v>48.062296779554039</v>
      </c>
      <c r="CN13" s="17">
        <v>0.71</v>
      </c>
      <c r="CO13" s="17">
        <v>45</v>
      </c>
      <c r="CP13" s="17">
        <f>INDEX(节奏总纲!$P$4:$P$163,CO13,1)</f>
        <v>21.627416997969519</v>
      </c>
      <c r="CQ13" s="17">
        <f t="shared" si="31"/>
        <v>0.55473221574465403</v>
      </c>
      <c r="CR13" s="17">
        <f t="shared" ref="CR13:CU13" si="38">CQ13</f>
        <v>0.55473221574465403</v>
      </c>
      <c r="CS13" s="17">
        <f t="shared" si="38"/>
        <v>0.55473221574465403</v>
      </c>
      <c r="CT13" s="17">
        <f t="shared" si="38"/>
        <v>0.55473221574465403</v>
      </c>
      <c r="CU13" s="17">
        <f t="shared" si="38"/>
        <v>0.55473221574465403</v>
      </c>
      <c r="CW13" s="17">
        <v>10</v>
      </c>
      <c r="CX13" s="17">
        <f t="shared" si="1"/>
        <v>0.59869565217391307</v>
      </c>
      <c r="CY13" s="17">
        <f t="shared" si="2"/>
        <v>0.59869565217391307</v>
      </c>
      <c r="CZ13" s="17">
        <f t="shared" si="3"/>
        <v>0.59869565217391307</v>
      </c>
      <c r="DA13" s="17">
        <f t="shared" si="4"/>
        <v>0.59869565217391307</v>
      </c>
      <c r="DB13" s="17">
        <f t="shared" si="5"/>
        <v>0.59869565217391307</v>
      </c>
    </row>
    <row r="14" spans="1:107" x14ac:dyDescent="0.15">
      <c r="B14" s="82"/>
      <c r="C14" s="82"/>
      <c r="D14" s="82"/>
      <c r="E14" s="150"/>
      <c r="H14" s="17">
        <v>11</v>
      </c>
      <c r="I14" s="29">
        <f>IF(基础状态预期!C24="","",基础状态预期!C24)</f>
        <v>40</v>
      </c>
      <c r="J14" s="29">
        <f>IF(基础状态预期!D24="","",基础状态预期!D24)</f>
        <v>53.567039423670657</v>
      </c>
      <c r="K14" s="29" t="str">
        <f>IF(基础状态预期!F24="","",基础状态预期!F24)</f>
        <v/>
      </c>
      <c r="L14" s="29" t="str">
        <f>IF(基础状态预期!G24="","",基础状态预期!G24)</f>
        <v/>
      </c>
      <c r="M14" s="29" t="str">
        <f>IF(基础状态预期!H24="","",基础状态预期!H24)</f>
        <v/>
      </c>
      <c r="N14" s="29">
        <f>IF(基础状态预期!I24="","",基础状态预期!I24)</f>
        <v>5</v>
      </c>
      <c r="O14" s="29">
        <f>IF(基础状态预期!J24="","",基础状态预期!J24)</f>
        <v>1</v>
      </c>
      <c r="P14" s="29">
        <f>武将进阶!O11</f>
        <v>0</v>
      </c>
      <c r="Q14" s="29">
        <f>武将进阶!P11</f>
        <v>0</v>
      </c>
      <c r="R14" s="29">
        <f>武将进阶!Q11</f>
        <v>53.560894616809584</v>
      </c>
      <c r="S14" s="29">
        <f>武将进阶!R11</f>
        <v>11.568268385042874</v>
      </c>
      <c r="T14" s="29">
        <f>武将进阶!S11</f>
        <v>0</v>
      </c>
      <c r="U14" s="29">
        <f>武将觉醒!T12</f>
        <v>0</v>
      </c>
      <c r="V14" s="29">
        <f>武将觉醒!U12</f>
        <v>0</v>
      </c>
      <c r="W14" s="29">
        <f>武将觉醒!V12</f>
        <v>0</v>
      </c>
      <c r="X14" s="29">
        <f>武将觉醒!W12</f>
        <v>8</v>
      </c>
      <c r="Y14" s="29">
        <f>武将觉醒!X12</f>
        <v>0</v>
      </c>
      <c r="Z14" s="29"/>
      <c r="AA14" s="29">
        <f>IF(L14="",0,同名需求(L14,武将升星!P11,B$6)+武将升星!U11)</f>
        <v>0</v>
      </c>
      <c r="AB14" s="29">
        <f>IF(M14="",0,同名需求(M14,武将升星!Q11,C$6)+武将升星!V11)</f>
        <v>0</v>
      </c>
      <c r="AC14" s="59">
        <f>IF(N14="",0,同名需求(N14,武将升星!R11,D$6*0.5)+武将升星!W11)</f>
        <v>41.69926949426047</v>
      </c>
      <c r="AD14" s="29">
        <f>IF(O14="",0,同名需求(O14,武将升星!S11,E$6)+武将升星!X11)</f>
        <v>1</v>
      </c>
      <c r="AE14" s="29">
        <f>MAX(U14+P14+IF(K14="",0,K14)*武将升星!O11,Z14)</f>
        <v>0</v>
      </c>
      <c r="AF14" s="29">
        <f>MAX(V14+Q14+IF(L14="",0,L14)*武将升星!P11,AA14)</f>
        <v>0</v>
      </c>
      <c r="AG14" s="29">
        <f>MAX(W14+R14+IF(M14="",0,M14)*武将升星!Q11,AB14)</f>
        <v>53.560894616809584</v>
      </c>
      <c r="AH14" s="29">
        <f>MAX(X14+S14+IF(N14="",0,N14)*武将升星!R11,AC14)</f>
        <v>41.69926949426047</v>
      </c>
      <c r="AI14" s="45">
        <f t="shared" si="8"/>
        <v>1</v>
      </c>
      <c r="AJ14" s="29">
        <f t="shared" si="9"/>
        <v>103078.24678622512</v>
      </c>
      <c r="AK14" s="14" t="e">
        <f>AJ14/求节点('[1]资源-钻石'!$K$4:$K$113,'[1]资源-钻石'!$L$4:$L$113,J14)</f>
        <v>#VALUE!</v>
      </c>
      <c r="AL14" s="16"/>
      <c r="AM14" s="16"/>
      <c r="AN14" s="16"/>
      <c r="AO14" s="16"/>
      <c r="AP14" s="17">
        <v>11</v>
      </c>
      <c r="AR14" s="16">
        <f t="shared" si="19"/>
        <v>2.2828500990084102</v>
      </c>
      <c r="AS14" s="29">
        <f>IF(基础状态预期!C24="","",基础状态预期!C24)</f>
        <v>40</v>
      </c>
      <c r="AT14" s="29">
        <f>求节点(节奏总纲!$P$4:$P$163,其他调用!$C$4:$C$163,$AS14)*求节点($CP$5:$CP$36,$CQ$5:$CQ$36,AS14)</f>
        <v>130708.97404956893</v>
      </c>
      <c r="AU14" s="37">
        <f t="shared" si="10"/>
        <v>0.8</v>
      </c>
      <c r="AV14" s="37">
        <v>0.2</v>
      </c>
      <c r="AW14" s="38">
        <f t="shared" si="11"/>
        <v>0.62533333333333341</v>
      </c>
      <c r="AX14" s="38">
        <f t="shared" si="12"/>
        <v>0.26666666666666666</v>
      </c>
      <c r="AY14" s="38">
        <f t="shared" si="13"/>
        <v>6.8000000000000005E-2</v>
      </c>
      <c r="AZ14" s="38">
        <f t="shared" si="14"/>
        <v>5.6000000000000008E-3</v>
      </c>
      <c r="BA14" s="29">
        <f t="shared" si="33"/>
        <v>26252.776138596717</v>
      </c>
      <c r="BB14" s="29">
        <f t="shared" si="20"/>
        <v>71.377113095662978</v>
      </c>
      <c r="BC14" s="29">
        <f t="shared" si="21"/>
        <v>30.438001320112136</v>
      </c>
      <c r="BD14" s="29">
        <f t="shared" si="22"/>
        <v>7.7616903366285959</v>
      </c>
      <c r="BE14" s="29">
        <f t="shared" si="23"/>
        <v>0.49005182125380548</v>
      </c>
      <c r="BF14" s="29">
        <f t="shared" si="24"/>
        <v>332</v>
      </c>
      <c r="BG14" s="29">
        <f t="shared" si="16"/>
        <v>60</v>
      </c>
      <c r="BH14" s="29">
        <f t="shared" si="16"/>
        <v>8</v>
      </c>
      <c r="BI14" s="29">
        <f t="shared" si="16"/>
        <v>0</v>
      </c>
      <c r="BJ14" s="29">
        <f>SUM(BB$7:BB14)+BF14</f>
        <v>700.49475822817931</v>
      </c>
      <c r="BK14" s="29">
        <f>SUM(BC$7:BC14)+BG14</f>
        <v>211.54663657921037</v>
      </c>
      <c r="BL14" s="29">
        <f>SUM(BD$7:BD14)+BH14</f>
        <v>49.42697621101734</v>
      </c>
      <c r="BM14" s="29">
        <f>SUM(BE$7:BE14)+BI14</f>
        <v>0.73324940048982001</v>
      </c>
      <c r="BN14" s="29">
        <f>SUM(BT$7:BT14)</f>
        <v>13.353557660096989</v>
      </c>
      <c r="BO14" s="17">
        <f t="shared" si="25"/>
        <v>3.9496471836902152</v>
      </c>
      <c r="BP14" s="17">
        <f t="shared" si="26"/>
        <v>1.1853199542936963</v>
      </c>
      <c r="BQ14" s="17">
        <f t="shared" si="27"/>
        <v>0.73324940048982001</v>
      </c>
      <c r="BR14" s="17">
        <f t="shared" si="28"/>
        <v>9.1314003960336425</v>
      </c>
      <c r="BS14" s="17">
        <f t="shared" si="17"/>
        <v>80</v>
      </c>
      <c r="BT14" s="17">
        <f t="shared" si="29"/>
        <v>2.2828500990084106</v>
      </c>
      <c r="BV14" s="17">
        <f t="shared" si="30"/>
        <v>37.858707825974463</v>
      </c>
      <c r="BW14" s="17">
        <v>10</v>
      </c>
      <c r="BX14" s="17">
        <f>'[1]资源-钻石'!L13/$B$2*$B$12*10</f>
        <v>41.508412015356924</v>
      </c>
      <c r="BY14" s="17">
        <f>'[1]资源-钻石'!M13/$B$2*$B$12*10</f>
        <v>47.837686171538955</v>
      </c>
      <c r="BZ14" s="17">
        <f>'[1]资源-钻石'!N13/$B$2*$B$12*10</f>
        <v>61.2734399501783</v>
      </c>
      <c r="CA14" s="17">
        <f>'[1]资源-钻石'!O13/$B$2*$B$12*10</f>
        <v>110.22919539607196</v>
      </c>
      <c r="CB14" s="17">
        <f>'[1]资源-钻石'!P13/$B$2*$B$12*10</f>
        <v>139.76575511116044</v>
      </c>
      <c r="CD14" s="17">
        <v>10</v>
      </c>
      <c r="CE14" s="17">
        <f>'[1]资源-钻石'!L13/$B$2*$C$12*10</f>
        <v>16.813533980904072</v>
      </c>
      <c r="CF14" s="17">
        <f>'[1]资源-钻石'!M13/$B$2*$C$12*10</f>
        <v>19.377290601129705</v>
      </c>
      <c r="CG14" s="17">
        <f>'[1]资源-钻石'!N13/$B$2*$C$12*10</f>
        <v>24.819621245641841</v>
      </c>
      <c r="CH14" s="17">
        <f>'[1]资源-钻石'!O13/$B$2*$C$12*10</f>
        <v>44.649800666763326</v>
      </c>
      <c r="CI14" s="17">
        <f>'[1]资源-钻石'!P13/$B$2*$C$12*10</f>
        <v>56.613976753887769</v>
      </c>
      <c r="CN14" s="17">
        <v>0.69</v>
      </c>
      <c r="CO14" s="17">
        <v>50</v>
      </c>
      <c r="CP14" s="17">
        <f>INDEX(节奏总纲!$P$4:$P$163,CO14,1)</f>
        <v>31</v>
      </c>
      <c r="CQ14" s="17">
        <f t="shared" si="31"/>
        <v>0.52832383702328889</v>
      </c>
      <c r="CR14" s="17">
        <f t="shared" ref="CR14:CU14" si="39">CQ14</f>
        <v>0.52832383702328889</v>
      </c>
      <c r="CS14" s="17">
        <f t="shared" si="39"/>
        <v>0.52832383702328889</v>
      </c>
      <c r="CT14" s="17">
        <f t="shared" si="39"/>
        <v>0.52832383702328889</v>
      </c>
      <c r="CU14" s="17">
        <f t="shared" si="39"/>
        <v>0.52832383702328889</v>
      </c>
      <c r="CW14" s="17">
        <v>11</v>
      </c>
      <c r="CX14" s="17">
        <f t="shared" si="1"/>
        <v>0.59353982608695655</v>
      </c>
      <c r="CY14" s="17">
        <f t="shared" si="2"/>
        <v>0.59353982608695655</v>
      </c>
      <c r="CZ14" s="17">
        <f t="shared" si="3"/>
        <v>0.59353982608695655</v>
      </c>
      <c r="DA14" s="17">
        <f t="shared" si="4"/>
        <v>0.59353982608695655</v>
      </c>
      <c r="DB14" s="17">
        <f t="shared" si="5"/>
        <v>0.59353982608695655</v>
      </c>
    </row>
    <row r="15" spans="1:107" x14ac:dyDescent="0.15">
      <c r="A15" s="29" t="s">
        <v>317</v>
      </c>
      <c r="B15" s="56" t="s">
        <v>1</v>
      </c>
      <c r="C15" s="56" t="s">
        <v>2</v>
      </c>
      <c r="D15" s="56" t="s">
        <v>0</v>
      </c>
      <c r="E15" s="56" t="s">
        <v>545</v>
      </c>
      <c r="H15" s="16">
        <v>12</v>
      </c>
      <c r="I15" s="29">
        <f>IF(基础状态预期!C25="","",基础状态预期!C25)</f>
        <v>60</v>
      </c>
      <c r="J15" s="29">
        <f>IF(基础状态预期!D25="","",基础状态预期!D25)</f>
        <v>59.300028460644697</v>
      </c>
      <c r="K15" s="29" t="str">
        <f>IF(基础状态预期!F25="","",基础状态预期!F25)</f>
        <v/>
      </c>
      <c r="L15" s="29" t="str">
        <f>IF(基础状态预期!G25="","",基础状态预期!G25)</f>
        <v/>
      </c>
      <c r="M15" s="29" t="str">
        <f>IF(基础状态预期!H25="","",基础状态预期!H25)</f>
        <v/>
      </c>
      <c r="N15" s="29">
        <f>IF(基础状态预期!I25="","",基础状态预期!I25)</f>
        <v>4</v>
      </c>
      <c r="O15" s="29">
        <f>IF(基础状态预期!J25="","",基础状态预期!J25)</f>
        <v>2</v>
      </c>
      <c r="P15" s="29">
        <f>武将进阶!O12</f>
        <v>0</v>
      </c>
      <c r="Q15" s="29">
        <f>武将进阶!P12</f>
        <v>0</v>
      </c>
      <c r="R15" s="29">
        <f>武将进阶!Q12</f>
        <v>53.856054644437812</v>
      </c>
      <c r="S15" s="29">
        <f>武将进阶!R12</f>
        <v>31.392040983328357</v>
      </c>
      <c r="T15" s="29">
        <f>武将进阶!S12</f>
        <v>0</v>
      </c>
      <c r="U15" s="29">
        <f>武将觉醒!T13</f>
        <v>0</v>
      </c>
      <c r="V15" s="29">
        <f>武将觉醒!U13</f>
        <v>0</v>
      </c>
      <c r="W15" s="29">
        <f>武将觉醒!V13</f>
        <v>0</v>
      </c>
      <c r="X15" s="29">
        <f>武将觉醒!W13</f>
        <v>10</v>
      </c>
      <c r="Y15" s="29">
        <f>武将觉醒!X13</f>
        <v>0</v>
      </c>
      <c r="Z15" s="29"/>
      <c r="AA15" s="29">
        <f>IF(L15="",0,同名需求(L15,武将升星!P12,B$6)+武将升星!U12)</f>
        <v>0</v>
      </c>
      <c r="AB15" s="29">
        <f>IF(M15="",0,同名需求(M15,武将升星!Q12,C$6)+武将升星!V12)</f>
        <v>0</v>
      </c>
      <c r="AC15" s="59">
        <f>IF(N15="",0,同名需求(N15,武将升星!R12,D$6*0.5)+武将升星!W12)</f>
        <v>53.848770494691436</v>
      </c>
      <c r="AD15" s="29">
        <f>IF(O15="",0,同名需求(O15,武将升星!S12,E$6)+武将升星!X12)</f>
        <v>3.0532302524113559</v>
      </c>
      <c r="AE15" s="29">
        <f>MAX(U15+P15+IF(K15="",0,K15)*武将升星!O12,Z15)</f>
        <v>0</v>
      </c>
      <c r="AF15" s="29">
        <f>MAX(V15+Q15+IF(L15="",0,L15)*武将升星!P12,AA15)</f>
        <v>0</v>
      </c>
      <c r="AG15" s="29">
        <f>MAX(W15+R15+IF(M15="",0,M15)*武将升星!Q12,AB15)</f>
        <v>53.856054644437812</v>
      </c>
      <c r="AH15" s="29">
        <f>MAX(X15+S15+IF(N15="",0,N15)*武将升星!R12,AC15)</f>
        <v>60.063647541629621</v>
      </c>
      <c r="AI15" s="45">
        <f t="shared" si="8"/>
        <v>3.0532302524113559</v>
      </c>
      <c r="AJ15" s="29">
        <f t="shared" si="9"/>
        <v>153312.44485714516</v>
      </c>
      <c r="AK15" s="14" t="e">
        <f>AJ15/求节点('[1]资源-钻石'!$K$4:$K$113,'[1]资源-钻石'!$L$4:$L$113,J15)</f>
        <v>#VALUE!</v>
      </c>
      <c r="AL15" s="16"/>
      <c r="AM15" s="16"/>
      <c r="AN15" s="16"/>
      <c r="AO15" s="16"/>
      <c r="AP15" s="17">
        <v>12</v>
      </c>
      <c r="AR15" s="16">
        <f t="shared" si="19"/>
        <v>5.4036821085128945</v>
      </c>
      <c r="AS15" s="29">
        <f>IF(基础状态预期!C25="","",基础状态预期!C25)</f>
        <v>60</v>
      </c>
      <c r="AT15" s="29">
        <f>求节点(节奏总纲!$P$4:$P$163,其他调用!$C$4:$C$163,$AS15)*求节点($CP$5:$CP$36,$CQ$5:$CQ$36,AS15)</f>
        <v>180422.84944788757</v>
      </c>
      <c r="AU15" s="37">
        <f t="shared" si="10"/>
        <v>0.5</v>
      </c>
      <c r="AV15" s="37">
        <v>0.5</v>
      </c>
      <c r="AW15" s="38">
        <f t="shared" si="11"/>
        <v>0.57583333333333342</v>
      </c>
      <c r="AX15" s="38">
        <f t="shared" si="12"/>
        <v>0.26666666666666666</v>
      </c>
      <c r="AY15" s="38">
        <f t="shared" si="13"/>
        <v>5.7499999999999996E-2</v>
      </c>
      <c r="AZ15" s="38">
        <f t="shared" si="14"/>
        <v>1.4E-2</v>
      </c>
      <c r="BA15" s="29">
        <f t="shared" si="33"/>
        <v>49713.875398318633</v>
      </c>
      <c r="BB15" s="29">
        <f t="shared" si="20"/>
        <v>124.46481123274702</v>
      </c>
      <c r="BC15" s="29">
        <f t="shared" si="21"/>
        <v>57.639275824137542</v>
      </c>
      <c r="BD15" s="29">
        <f t="shared" si="22"/>
        <v>12.428468849579657</v>
      </c>
      <c r="BE15" s="29">
        <f t="shared" si="23"/>
        <v>2.3199808519215361</v>
      </c>
      <c r="BF15" s="29">
        <f t="shared" si="24"/>
        <v>498.00000000000006</v>
      </c>
      <c r="BG15" s="29">
        <f t="shared" si="16"/>
        <v>90</v>
      </c>
      <c r="BH15" s="29">
        <f t="shared" si="16"/>
        <v>12</v>
      </c>
      <c r="BI15" s="29">
        <f t="shared" si="16"/>
        <v>0</v>
      </c>
      <c r="BJ15" s="29">
        <f>SUM(BB$7:BB15)+BF15</f>
        <v>990.95956946092633</v>
      </c>
      <c r="BK15" s="29">
        <f>SUM(BC$7:BC15)+BG15</f>
        <v>299.18591240334791</v>
      </c>
      <c r="BL15" s="29">
        <f>SUM(BD$7:BD15)+BH15</f>
        <v>65.855445060596992</v>
      </c>
      <c r="BM15" s="29">
        <f>SUM(BE$7:BE15)+BI15</f>
        <v>3.0532302524113559</v>
      </c>
      <c r="BN15" s="29">
        <f>SUM(BT$7:BT15)</f>
        <v>16.055398714353437</v>
      </c>
      <c r="BO15" s="17">
        <f t="shared" si="25"/>
        <v>5.5552883399758555</v>
      </c>
      <c r="BP15" s="17">
        <f t="shared" si="26"/>
        <v>1.096427668914931</v>
      </c>
      <c r="BQ15" s="17">
        <f t="shared" si="27"/>
        <v>1</v>
      </c>
      <c r="BR15" s="17">
        <f t="shared" si="28"/>
        <v>5.4036821085128945</v>
      </c>
      <c r="BS15" s="17">
        <f t="shared" si="17"/>
        <v>80</v>
      </c>
      <c r="BT15" s="17">
        <f t="shared" si="29"/>
        <v>2.7018410542564473</v>
      </c>
      <c r="BV15" s="17">
        <f t="shared" si="30"/>
        <v>34.463404077268635</v>
      </c>
      <c r="BW15" s="17">
        <v>11</v>
      </c>
      <c r="BX15" s="17">
        <f>'[1]资源-钻石'!L14/$B$2*$B$12*10</f>
        <v>45.013078970108175</v>
      </c>
      <c r="BY15" s="17">
        <f>'[1]资源-钻石'!M14/$B$2*$B$12*10</f>
        <v>54.864631433772466</v>
      </c>
      <c r="BZ15" s="17">
        <f>'[1]资源-钻石'!N14/$B$2*$B$12*10</f>
        <v>70.607655707854036</v>
      </c>
      <c r="CA15" s="17">
        <f>'[1]资源-钻石'!O14/$B$2*$B$12*10</f>
        <v>126.98541741750918</v>
      </c>
      <c r="CB15" s="17">
        <f>'[1]资源-钻石'!P14/$B$2*$B$12*10</f>
        <v>162.51981229031912</v>
      </c>
      <c r="CD15" s="17">
        <v>11</v>
      </c>
      <c r="CE15" s="17">
        <f>'[1]资源-钻石'!L14/$B$2*$C$12*10</f>
        <v>18.23314591194255</v>
      </c>
      <c r="CF15" s="17">
        <f>'[1]资源-钻石'!M14/$B$2*$C$12*10</f>
        <v>22.2236481757053</v>
      </c>
      <c r="CG15" s="17">
        <f>'[1]资源-钻石'!N14/$B$2*$C$12*10</f>
        <v>28.600569400649732</v>
      </c>
      <c r="CH15" s="17">
        <f>'[1]资源-钻石'!O14/$B$2*$C$12*10</f>
        <v>51.437131105826509</v>
      </c>
      <c r="CI15" s="17">
        <f>'[1]资源-钻石'!P14/$B$2*$C$12*10</f>
        <v>65.830810041648249</v>
      </c>
      <c r="CN15" s="17">
        <v>0.67</v>
      </c>
      <c r="CO15" s="17">
        <v>55</v>
      </c>
      <c r="CP15" s="17">
        <f>INDEX(节奏总纲!$P$4:$P$163,CO15,1)</f>
        <v>44.254833995939045</v>
      </c>
      <c r="CQ15" s="17">
        <f t="shared" si="31"/>
        <v>0.50274990056448055</v>
      </c>
      <c r="CR15" s="17">
        <f t="shared" ref="CR15:CU15" si="40">CQ15</f>
        <v>0.50274990056448055</v>
      </c>
      <c r="CS15" s="17">
        <f t="shared" si="40"/>
        <v>0.50274990056448055</v>
      </c>
      <c r="CT15" s="17">
        <f t="shared" si="40"/>
        <v>0.50274990056448055</v>
      </c>
      <c r="CU15" s="17">
        <f t="shared" si="40"/>
        <v>0.50274990056448055</v>
      </c>
      <c r="CW15" s="17">
        <v>12</v>
      </c>
      <c r="CX15" s="17">
        <f t="shared" si="1"/>
        <v>0.58838400000000002</v>
      </c>
      <c r="CY15" s="17">
        <f t="shared" si="2"/>
        <v>0.58838400000000002</v>
      </c>
      <c r="CZ15" s="17">
        <f t="shared" si="3"/>
        <v>0.58838400000000002</v>
      </c>
      <c r="DA15" s="17">
        <f t="shared" si="4"/>
        <v>0.58838400000000002</v>
      </c>
      <c r="DB15" s="17">
        <f t="shared" si="5"/>
        <v>0.58838400000000002</v>
      </c>
    </row>
    <row r="16" spans="1:107" x14ac:dyDescent="0.15">
      <c r="A16" s="29" t="s">
        <v>315</v>
      </c>
      <c r="B16" s="118">
        <f>1-SUM(C16:E16)</f>
        <v>0.4933333333333334</v>
      </c>
      <c r="C16" s="117">
        <f>C12</f>
        <v>0.26666666666666666</v>
      </c>
      <c r="D16" s="95">
        <v>0.04</v>
      </c>
      <c r="E16" s="20">
        <v>0.2</v>
      </c>
      <c r="H16" s="17">
        <v>13</v>
      </c>
      <c r="I16" s="29">
        <f>IF(基础状态预期!C26="","",基础状态预期!C26)</f>
        <v>90</v>
      </c>
      <c r="J16" s="29">
        <f>IF(基础状态预期!D26="","",基础状态预期!D26)</f>
        <v>65.075479910097457</v>
      </c>
      <c r="K16" s="29" t="str">
        <f>IF(基础状态预期!F26="","",基础状态预期!F26)</f>
        <v/>
      </c>
      <c r="L16" s="29" t="str">
        <f>IF(基础状态预期!G26="","",基础状态预期!G26)</f>
        <v/>
      </c>
      <c r="M16" s="29" t="str">
        <f>IF(基础状态预期!H26="","",基础状态预期!H26)</f>
        <v/>
      </c>
      <c r="N16" s="29">
        <f>IF(基础状态预期!I26="","",基础状态预期!I26)</f>
        <v>3</v>
      </c>
      <c r="O16" s="29">
        <f>IF(基础状态预期!J26="","",基础状态预期!J26)</f>
        <v>3</v>
      </c>
      <c r="P16" s="29">
        <f>武将进阶!O13</f>
        <v>0</v>
      </c>
      <c r="Q16" s="29">
        <f>武将进阶!P13</f>
        <v>0</v>
      </c>
      <c r="R16" s="29">
        <f>武将进阶!Q13</f>
        <v>48.70869107054034</v>
      </c>
      <c r="S16" s="29">
        <f>武将进阶!R13</f>
        <v>59.56303660581051</v>
      </c>
      <c r="T16" s="29">
        <f>武将进阶!S13</f>
        <v>0</v>
      </c>
      <c r="U16" s="29">
        <f>武将觉醒!T14</f>
        <v>0</v>
      </c>
      <c r="V16" s="29">
        <f>武将觉醒!U14</f>
        <v>0</v>
      </c>
      <c r="W16" s="29">
        <f>武将觉醒!V14</f>
        <v>0</v>
      </c>
      <c r="X16" s="29">
        <f>武将觉醒!W14</f>
        <v>12</v>
      </c>
      <c r="Y16" s="29">
        <f>武将觉醒!X14</f>
        <v>0</v>
      </c>
      <c r="Z16" s="29"/>
      <c r="AA16" s="29">
        <f>IF(L16="",0,同名需求(L16,武将升星!P13,B$6)+武将升星!U13)</f>
        <v>0</v>
      </c>
      <c r="AB16" s="29">
        <f>IF(M16="",0,同名需求(M16,武将升星!Q13,C$6)+武将升星!V13)</f>
        <v>0</v>
      </c>
      <c r="AC16" s="59">
        <f>IF(N16="",0,同名需求(N16,武将升星!R13,D$6*0.5)+武将升星!W13)</f>
        <v>62.614952117386913</v>
      </c>
      <c r="AD16" s="29">
        <f>IF(O16="",0,同名需求(O16,武将升星!S13,E$6)+武将升星!X13)</f>
        <v>9.5660975973391373</v>
      </c>
      <c r="AE16" s="29">
        <f>MAX(U16+P16+IF(K16="",0,K16)*武将升星!O13,Z16)</f>
        <v>0</v>
      </c>
      <c r="AF16" s="29">
        <f>MAX(V16+Q16+IF(L16="",0,L16)*武将升星!P13,AA16)</f>
        <v>0</v>
      </c>
      <c r="AG16" s="29">
        <f>MAX(W16+R16+IF(M16="",0,M16)*武将升星!Q13,AB16)</f>
        <v>48.70869107054034</v>
      </c>
      <c r="AH16" s="29">
        <f>MAX(X16+S16+IF(N16="",0,N16)*武将升星!R13,AC16)</f>
        <v>87.743034843899181</v>
      </c>
      <c r="AI16" s="45">
        <f t="shared" si="8"/>
        <v>9.5660975973391373</v>
      </c>
      <c r="AJ16" s="29">
        <f t="shared" si="9"/>
        <v>239281.5764173755</v>
      </c>
      <c r="AK16" s="14" t="e">
        <f>AJ16/求节点('[1]资源-钻石'!$K$4:$K$113,'[1]资源-钻石'!$L$4:$L$113,J16)</f>
        <v>#VALUE!</v>
      </c>
      <c r="AL16" s="16"/>
      <c r="AM16" s="16"/>
      <c r="AN16" s="16"/>
      <c r="AO16" s="16"/>
      <c r="AP16" s="17">
        <v>13</v>
      </c>
      <c r="AR16" s="16">
        <f t="shared" si="19"/>
        <v>10.113148051130093</v>
      </c>
      <c r="AS16" s="29">
        <f>IF(基础状态预期!C26="","",基础状态预期!C26)</f>
        <v>90</v>
      </c>
      <c r="AT16" s="29">
        <f>求节点(节奏总纲!$P$4:$P$163,其他调用!$C$4:$C$163,$AS16)*求节点($CP$5:$CP$36,$CQ$5:$CQ$36,AS16)</f>
        <v>250203.57100068522</v>
      </c>
      <c r="AU16" s="37">
        <f t="shared" ref="AU16:AU22" si="41">1-AV16</f>
        <v>0</v>
      </c>
      <c r="AV16" s="37">
        <v>1</v>
      </c>
      <c r="AW16" s="38">
        <f t="shared" si="11"/>
        <v>0.4933333333333334</v>
      </c>
      <c r="AX16" s="38">
        <f t="shared" si="12"/>
        <v>0.26666666666666666</v>
      </c>
      <c r="AY16" s="38">
        <f t="shared" si="13"/>
        <v>0.04</v>
      </c>
      <c r="AZ16" s="38">
        <f t="shared" si="14"/>
        <v>2.8000000000000001E-2</v>
      </c>
      <c r="BA16" s="29">
        <f t="shared" si="33"/>
        <v>69780.721552797651</v>
      </c>
      <c r="BB16" s="29">
        <f t="shared" si="20"/>
        <v>149.6745911567254</v>
      </c>
      <c r="BC16" s="29">
        <f t="shared" si="21"/>
        <v>80.905184409040743</v>
      </c>
      <c r="BD16" s="29">
        <f t="shared" si="22"/>
        <v>12.135777661356112</v>
      </c>
      <c r="BE16" s="29">
        <f t="shared" si="23"/>
        <v>6.5128673449277814</v>
      </c>
      <c r="BF16" s="29">
        <f t="shared" si="24"/>
        <v>747.00000000000011</v>
      </c>
      <c r="BG16" s="29">
        <f t="shared" si="16"/>
        <v>135</v>
      </c>
      <c r="BH16" s="29">
        <f t="shared" si="16"/>
        <v>18</v>
      </c>
      <c r="BI16" s="29">
        <f t="shared" si="16"/>
        <v>0</v>
      </c>
      <c r="BJ16" s="29">
        <f>SUM(BB$7:BB16)+BF16</f>
        <v>1389.634160617652</v>
      </c>
      <c r="BK16" s="29">
        <f>SUM(BC$7:BC16)+BG16</f>
        <v>425.09109681238863</v>
      </c>
      <c r="BL16" s="29">
        <f>SUM(BD$7:BD16)+BH16</f>
        <v>83.991222721953108</v>
      </c>
      <c r="BM16" s="29">
        <f>SUM(BE$7:BE16)+BI16</f>
        <v>9.5660975973391373</v>
      </c>
      <c r="BN16" s="29">
        <f>SUM(BT$7:BT16)</f>
        <v>16.055398714353437</v>
      </c>
      <c r="BO16" s="17">
        <f t="shared" si="25"/>
        <v>8.7272124844572012</v>
      </c>
      <c r="BP16" s="17">
        <f>BL16/AH16</f>
        <v>0.95724091230009534</v>
      </c>
      <c r="BQ16" s="17">
        <f t="shared" si="27"/>
        <v>1</v>
      </c>
      <c r="BR16" s="17">
        <f t="shared" si="28"/>
        <v>0</v>
      </c>
      <c r="BS16" s="17">
        <f t="shared" si="17"/>
        <v>80</v>
      </c>
      <c r="BT16" s="17">
        <f t="shared" si="29"/>
        <v>0</v>
      </c>
      <c r="BV16" s="17">
        <f t="shared" si="30"/>
        <v>24.428186116142598</v>
      </c>
      <c r="BW16" s="17">
        <v>12</v>
      </c>
      <c r="BX16" s="17">
        <f>'[1]资源-钻石'!L15/$B$2*$B$12*10</f>
        <v>48.769288007238451</v>
      </c>
      <c r="BY16" s="17">
        <f>'[1]资源-钻石'!M15/$B$2*$B$12*10</f>
        <v>59.607960517584871</v>
      </c>
      <c r="BZ16" s="17">
        <f>'[1]资源-钻石'!N15/$B$2*$B$12*10</f>
        <v>80.499026619353032</v>
      </c>
      <c r="CA16" s="17">
        <f>'[1]资源-钻石'!O15/$B$2*$B$12*10</f>
        <v>146.04404177427185</v>
      </c>
      <c r="CB16" s="17">
        <f>'[1]资源-钻石'!P15/$B$2*$B$12*10</f>
        <v>187.03972757623606</v>
      </c>
      <c r="CD16" s="17">
        <v>12</v>
      </c>
      <c r="CE16" s="17">
        <f>'[1]资源-钻石'!L15/$B$2*$C$12*10</f>
        <v>19.7546483067295</v>
      </c>
      <c r="CF16" s="17">
        <f>'[1]资源-钻石'!M15/$B$2*$C$12*10</f>
        <v>24.144996665350838</v>
      </c>
      <c r="CG16" s="17">
        <f>'[1]资源-钻石'!N15/$B$2*$C$12*10</f>
        <v>32.60720065594046</v>
      </c>
      <c r="CH16" s="17">
        <f>'[1]资源-钻石'!O15/$B$2*$C$12*10</f>
        <v>59.157080212363276</v>
      </c>
      <c r="CI16" s="17">
        <f>'[1]资源-钻石'!P15/$B$2*$C$12*10</f>
        <v>75.762927625817142</v>
      </c>
      <c r="CN16" s="17">
        <v>0.65</v>
      </c>
      <c r="CO16" s="17">
        <v>60</v>
      </c>
      <c r="CP16" s="17">
        <f>INDEX(节奏总纲!$P$4:$P$163,CO16,1)</f>
        <v>63</v>
      </c>
      <c r="CQ16" s="17">
        <f t="shared" si="31"/>
        <v>0.47798759202921504</v>
      </c>
      <c r="CR16" s="17">
        <f t="shared" ref="CR16:CU16" si="42">CQ16</f>
        <v>0.47798759202921504</v>
      </c>
      <c r="CS16" s="17">
        <f t="shared" si="42"/>
        <v>0.47798759202921504</v>
      </c>
      <c r="CT16" s="17">
        <f t="shared" si="42"/>
        <v>0.47798759202921504</v>
      </c>
      <c r="CU16" s="17">
        <f t="shared" si="42"/>
        <v>0.47798759202921504</v>
      </c>
      <c r="CW16" s="17">
        <v>13</v>
      </c>
      <c r="CX16" s="17">
        <f t="shared" si="1"/>
        <v>0.58322817391304349</v>
      </c>
      <c r="CY16" s="17">
        <f t="shared" si="2"/>
        <v>0.58322817391304349</v>
      </c>
      <c r="CZ16" s="17">
        <f t="shared" si="3"/>
        <v>0.58322817391304349</v>
      </c>
      <c r="DA16" s="17">
        <f t="shared" si="4"/>
        <v>0.58322817391304349</v>
      </c>
      <c r="DB16" s="17">
        <f t="shared" si="5"/>
        <v>0.58322817391304349</v>
      </c>
    </row>
    <row r="17" spans="1:106" x14ac:dyDescent="0.15">
      <c r="A17" s="29" t="s">
        <v>316</v>
      </c>
      <c r="B17" s="29">
        <v>1</v>
      </c>
      <c r="C17" s="29">
        <v>1</v>
      </c>
      <c r="D17" s="29">
        <v>1</v>
      </c>
      <c r="E17" s="29">
        <f>1.2/30</f>
        <v>0.04</v>
      </c>
      <c r="H17" s="16">
        <v>14</v>
      </c>
      <c r="I17" s="29">
        <f>IF(基础状态预期!C27="","",基础状态预期!C27)</f>
        <v>120</v>
      </c>
      <c r="J17" s="29">
        <f>IF(基础状态预期!D27="","",基础状态预期!D27)</f>
        <v>69.18336653741882</v>
      </c>
      <c r="K17" s="29" t="str">
        <f>IF(基础状态预期!F27="","",基础状态预期!F27)</f>
        <v/>
      </c>
      <c r="L17" s="29" t="str">
        <f>IF(基础状态预期!G27="","",基础状态预期!G27)</f>
        <v/>
      </c>
      <c r="M17" s="29" t="str">
        <f>IF(基础状态预期!H27="","",基础状态预期!H27)</f>
        <v/>
      </c>
      <c r="N17" s="29">
        <f>IF(基础状态预期!I27="","",基础状态预期!I27)</f>
        <v>2</v>
      </c>
      <c r="O17" s="29">
        <f>IF(基础状态预期!J27="","",基础状态预期!J27)</f>
        <v>4</v>
      </c>
      <c r="P17" s="29">
        <f>武将进阶!O14</f>
        <v>0</v>
      </c>
      <c r="Q17" s="29">
        <f>武将进阶!P14</f>
        <v>0</v>
      </c>
      <c r="R17" s="29">
        <f>武将进阶!Q14</f>
        <v>36.416031875922073</v>
      </c>
      <c r="S17" s="29">
        <f>武将进阶!R14</f>
        <v>91.248095627766205</v>
      </c>
      <c r="T17" s="29">
        <f>武将进阶!S14</f>
        <v>0</v>
      </c>
      <c r="U17" s="29">
        <f>武将觉醒!T15</f>
        <v>0</v>
      </c>
      <c r="V17" s="29">
        <f>武将觉醒!U15</f>
        <v>0</v>
      </c>
      <c r="W17" s="29">
        <f>武将觉醒!V15</f>
        <v>0</v>
      </c>
      <c r="X17" s="29">
        <f>武将觉醒!W15</f>
        <v>14</v>
      </c>
      <c r="Y17" s="29">
        <f>武将觉醒!X15</f>
        <v>0</v>
      </c>
      <c r="Z17" s="29"/>
      <c r="AA17" s="29">
        <f>IF(L17="",0,同名需求(L17,武将升星!P14,B$6)+武将升星!U14)</f>
        <v>0</v>
      </c>
      <c r="AB17" s="29">
        <f>IF(M17="",0,同名需求(M17,武将升星!Q14,C$6)+武将升星!V14)</f>
        <v>0</v>
      </c>
      <c r="AC17" s="59">
        <f>IF(N17="",0,同名需求(N17,武将升星!R14,D$6*0.5)+武将升星!W14)</f>
        <v>71.730988331545262</v>
      </c>
      <c r="AD17" s="29">
        <f>IF(O17="",0,同名需求(O17,武将升星!S14,E$6)+武将升星!X14)</f>
        <v>13.919465418001845</v>
      </c>
      <c r="AE17" s="29">
        <f>MAX(U17+P17+IF(K17="",0,K17)*武将升星!O14,Z17)</f>
        <v>0</v>
      </c>
      <c r="AF17" s="29">
        <f>MAX(V17+Q17+IF(L17="",0,L17)*武将升星!P14,AA17)</f>
        <v>0</v>
      </c>
      <c r="AG17" s="29">
        <f>MAX(W17+R17+IF(M17="",0,M17)*武将升星!Q14,AB17)</f>
        <v>36.416031875922073</v>
      </c>
      <c r="AH17" s="29">
        <f>MAX(X17+S17+IF(N17="",0,N17)*武将升星!R14,AC17)</f>
        <v>117.16371036017256</v>
      </c>
      <c r="AI17" s="45">
        <f t="shared" si="8"/>
        <v>13.919465418001845</v>
      </c>
      <c r="AJ17" s="29">
        <f t="shared" si="9"/>
        <v>322951.30111841968</v>
      </c>
      <c r="AK17" s="14" t="e">
        <f>AJ17/求节点('[1]资源-钻石'!$K$4:$K$113,'[1]资源-钻石'!$L$4:$L$113,J17)</f>
        <v>#VALUE!</v>
      </c>
      <c r="AL17" s="16"/>
      <c r="AM17" s="16"/>
      <c r="AN17" s="16"/>
      <c r="AO17" s="16"/>
      <c r="AP17" s="17">
        <v>14</v>
      </c>
      <c r="AR17" s="16">
        <f t="shared" si="19"/>
        <v>6.7598879202837088</v>
      </c>
      <c r="AS17" s="29">
        <f>IF(基础状态预期!C27="","",基础状态预期!C27)</f>
        <v>120</v>
      </c>
      <c r="AT17" s="29">
        <f>求节点(节奏总纲!$P$4:$P$163,其他调用!$C$4:$C$163,$AS17)*求节点($CP$5:$CP$36,$CQ$5:$CQ$36,AS17)</f>
        <v>296846.79765064281</v>
      </c>
      <c r="AU17" s="37">
        <f t="shared" si="41"/>
        <v>0</v>
      </c>
      <c r="AV17" s="37">
        <v>1</v>
      </c>
      <c r="AW17" s="38">
        <f t="shared" si="11"/>
        <v>0.4933333333333334</v>
      </c>
      <c r="AX17" s="38">
        <f t="shared" si="12"/>
        <v>0.26666666666666666</v>
      </c>
      <c r="AY17" s="38">
        <f t="shared" si="13"/>
        <v>0.04</v>
      </c>
      <c r="AZ17" s="38">
        <f t="shared" si="14"/>
        <v>2.8000000000000001E-2</v>
      </c>
      <c r="BA17" s="29">
        <f t="shared" si="33"/>
        <v>46643.226649957593</v>
      </c>
      <c r="BB17" s="29">
        <f t="shared" si="20"/>
        <v>100.04634122019891</v>
      </c>
      <c r="BC17" s="29">
        <f t="shared" si="21"/>
        <v>54.07910336226967</v>
      </c>
      <c r="BD17" s="29">
        <f t="shared" si="22"/>
        <v>8.1118655043404519</v>
      </c>
      <c r="BE17" s="29">
        <f t="shared" si="23"/>
        <v>4.3533678206627089</v>
      </c>
      <c r="BF17" s="29">
        <f t="shared" si="24"/>
        <v>996.00000000000011</v>
      </c>
      <c r="BG17" s="29">
        <f t="shared" si="16"/>
        <v>180</v>
      </c>
      <c r="BH17" s="29">
        <f t="shared" si="16"/>
        <v>24</v>
      </c>
      <c r="BI17" s="29">
        <f t="shared" si="16"/>
        <v>0</v>
      </c>
      <c r="BJ17" s="29">
        <f>SUM(BB$7:BB17)+BF17</f>
        <v>1738.6805018378509</v>
      </c>
      <c r="BK17" s="29">
        <f>SUM(BC$7:BC17)+BG17</f>
        <v>524.17020017465825</v>
      </c>
      <c r="BL17" s="29">
        <f>SUM(BD$7:BD17)+BH17</f>
        <v>98.103088226293565</v>
      </c>
      <c r="BM17" s="29">
        <f>SUM(BE$7:BE17)+BI17</f>
        <v>13.919465418001845</v>
      </c>
      <c r="BN17" s="29">
        <f>SUM(BT$7:BT17)</f>
        <v>16.055398714353437</v>
      </c>
      <c r="BO17" s="17">
        <f t="shared" si="25"/>
        <v>14.393940612767162</v>
      </c>
      <c r="BP17" s="17">
        <f t="shared" si="26"/>
        <v>0.83731633220487123</v>
      </c>
      <c r="BQ17" s="17">
        <f t="shared" si="27"/>
        <v>1</v>
      </c>
      <c r="BR17" s="17">
        <f t="shared" si="28"/>
        <v>0</v>
      </c>
      <c r="BS17" s="17">
        <f t="shared" si="17"/>
        <v>80</v>
      </c>
      <c r="BT17" s="17">
        <f t="shared" si="29"/>
        <v>0</v>
      </c>
      <c r="BV17" s="17">
        <f t="shared" si="30"/>
        <v>6.8549925985273603</v>
      </c>
      <c r="BW17" s="17">
        <v>13</v>
      </c>
      <c r="BX17" s="17">
        <f>'[1]资源-钻石'!L16/$B$2*$B$12*10</f>
        <v>52.795093172973687</v>
      </c>
      <c r="BY17" s="17">
        <f>'[1]资源-钻石'!M16/$B$2*$B$12*10</f>
        <v>64.466739427026582</v>
      </c>
      <c r="BZ17" s="17">
        <f>'[1]资源-钻石'!N16/$B$2*$B$12*10</f>
        <v>90.343484440857395</v>
      </c>
      <c r="CA17" s="17">
        <f>'[1]资源-钻石'!O16/$B$2*$B$12*10</f>
        <v>166.63721884503414</v>
      </c>
      <c r="CB17" s="17">
        <f>'[1]资源-钻石'!P16/$B$2*$B$12*10</f>
        <v>214.17786734169184</v>
      </c>
      <c r="CD17" s="17">
        <v>13</v>
      </c>
      <c r="CE17" s="17">
        <f>'[1]资源-钻石'!L16/$B$2*$C$12*10</f>
        <v>21.385354196647569</v>
      </c>
      <c r="CF17" s="17">
        <f>'[1]资源-钻石'!M16/$B$2*$C$12*10</f>
        <v>26.11310964132722</v>
      </c>
      <c r="CG17" s="17">
        <f>'[1]资源-钻石'!N16/$B$2*$C$12*10</f>
        <v>36.594829140600467</v>
      </c>
      <c r="CH17" s="17">
        <f>'[1]资源-钻石'!O16/$B$2*$C$12*10</f>
        <v>67.498620291659407</v>
      </c>
      <c r="CI17" s="17">
        <f>'[1]资源-钻石'!P16/$B$2*$C$12*10</f>
        <v>86.755591834609348</v>
      </c>
      <c r="CN17" s="17">
        <v>0.63</v>
      </c>
      <c r="CO17" s="17">
        <v>65</v>
      </c>
      <c r="CP17" s="17">
        <f>INDEX(节奏总纲!$P$4:$P$163,CO17,1)</f>
        <v>89.509667991878061</v>
      </c>
      <c r="CQ17" s="17">
        <f t="shared" si="31"/>
        <v>0.45401467587513433</v>
      </c>
      <c r="CR17" s="17">
        <f t="shared" ref="CR17:CU17" si="43">CQ17</f>
        <v>0.45401467587513433</v>
      </c>
      <c r="CS17" s="17">
        <f t="shared" si="43"/>
        <v>0.45401467587513433</v>
      </c>
      <c r="CT17" s="17">
        <f t="shared" si="43"/>
        <v>0.45401467587513433</v>
      </c>
      <c r="CU17" s="17">
        <f t="shared" si="43"/>
        <v>0.45401467587513433</v>
      </c>
      <c r="CW17" s="17">
        <v>14</v>
      </c>
      <c r="CX17" s="17">
        <f t="shared" si="1"/>
        <v>0.57807234782608696</v>
      </c>
      <c r="CY17" s="17">
        <f t="shared" si="2"/>
        <v>0.57807234782608696</v>
      </c>
      <c r="CZ17" s="17">
        <f t="shared" si="3"/>
        <v>0.57807234782608696</v>
      </c>
      <c r="DA17" s="17">
        <f t="shared" si="4"/>
        <v>0.57807234782608696</v>
      </c>
      <c r="DB17" s="17">
        <f t="shared" si="5"/>
        <v>0.57807234782608696</v>
      </c>
    </row>
    <row r="18" spans="1:106" x14ac:dyDescent="0.15">
      <c r="A18" s="29" t="s">
        <v>318</v>
      </c>
      <c r="B18" s="29"/>
      <c r="C18" s="29"/>
      <c r="D18" s="29"/>
      <c r="E18" s="29">
        <v>0.02</v>
      </c>
      <c r="H18" s="17">
        <v>15</v>
      </c>
      <c r="I18" s="29">
        <f>IF(基础状态预期!C28="","",基础状态预期!C28)</f>
        <v>150</v>
      </c>
      <c r="J18" s="29">
        <f>IF(基础状态预期!D28="","",基础状态预期!D28)</f>
        <v>72.375871759353331</v>
      </c>
      <c r="K18" s="29" t="str">
        <f>IF(基础状态预期!F28="","",基础状态预期!F28)</f>
        <v/>
      </c>
      <c r="L18" s="29" t="str">
        <f>IF(基础状态预期!G28="","",基础状态预期!G28)</f>
        <v/>
      </c>
      <c r="M18" s="29" t="str">
        <f>IF(基础状态预期!H28="","",基础状态预期!H28)</f>
        <v/>
      </c>
      <c r="N18" s="29">
        <f>IF(基础状态预期!I28="","",基础状态预期!I28)</f>
        <v>1</v>
      </c>
      <c r="O18" s="29">
        <f>IF(基础状态预期!J28="","",基础状态预期!J28)</f>
        <v>5</v>
      </c>
      <c r="P18" s="29">
        <f>武将进阶!O15</f>
        <v>0</v>
      </c>
      <c r="Q18" s="29">
        <f>武将进阶!P15</f>
        <v>0</v>
      </c>
      <c r="R18" s="29">
        <f>武将进阶!Q15</f>
        <v>19.740418444489599</v>
      </c>
      <c r="S18" s="29">
        <f>武将进阶!R15</f>
        <v>125.55313833367197</v>
      </c>
      <c r="T18" s="29">
        <f>武将进阶!S15</f>
        <v>0</v>
      </c>
      <c r="U18" s="29">
        <f>武将觉醒!T16</f>
        <v>0</v>
      </c>
      <c r="V18" s="29">
        <f>武将觉醒!U16</f>
        <v>0</v>
      </c>
      <c r="W18" s="29">
        <f>武将觉醒!V16</f>
        <v>0</v>
      </c>
      <c r="X18" s="29">
        <f>武将觉醒!W16</f>
        <v>16</v>
      </c>
      <c r="Y18" s="29">
        <f>武将觉醒!X16</f>
        <v>0</v>
      </c>
      <c r="Z18" s="29"/>
      <c r="AA18" s="29">
        <f>IF(L18="",0,同名需求(L18,武将升星!P15,B$6)+武将升星!U15)</f>
        <v>0</v>
      </c>
      <c r="AB18" s="29">
        <f>IF(M18="",0,同名需求(M18,武将升星!Q15,C$6)+武将升星!V15)</f>
        <v>0</v>
      </c>
      <c r="AC18" s="59">
        <f>IF(N18="",0,同名需求(N18,武将升星!R15,D$6*0.5)+武将升星!W15)</f>
        <v>80.806112187209933</v>
      </c>
      <c r="AD18" s="29">
        <f>IF(O18="",0,同名需求(O18,武将升星!S15,E$6)+武将升星!X15)</f>
        <v>18.132252944828668</v>
      </c>
      <c r="AE18" s="29">
        <f>MAX(U18+P18+IF(K18="",0,K18)*武将升星!O15,Z18)</f>
        <v>0</v>
      </c>
      <c r="AF18" s="29">
        <f>MAX(V18+Q18+IF(L18="",0,L18)*武将升星!P15,AA18)</f>
        <v>0</v>
      </c>
      <c r="AG18" s="29">
        <f>MAX(W18+R18+IF(M18="",0,M18)*武将升星!Q15,AB18)</f>
        <v>19.740418444489599</v>
      </c>
      <c r="AH18" s="29">
        <f>MAX(X18+S18+IF(N18="",0,N18)*武将升星!R15,AC18)</f>
        <v>148.06494228572558</v>
      </c>
      <c r="AI18" s="45">
        <f t="shared" si="8"/>
        <v>18.132252944828668</v>
      </c>
      <c r="AJ18" s="29">
        <f t="shared" si="9"/>
        <v>409752.6203202274</v>
      </c>
      <c r="AK18" s="14" t="e">
        <f>AJ18/求节点('[1]资源-钻石'!$K$4:$K$113,'[1]资源-钻石'!$L$4:$L$113,J18)</f>
        <v>#VALUE!</v>
      </c>
      <c r="AL18" s="16"/>
      <c r="AM18" s="16"/>
      <c r="AN18" s="16"/>
      <c r="AO18" s="16"/>
      <c r="AP18" s="17">
        <v>15</v>
      </c>
      <c r="AR18" s="16">
        <f t="shared" si="19"/>
        <v>6.5415955385509656</v>
      </c>
      <c r="AS18" s="29">
        <f>IF(基础状态预期!C28="","",基础状态预期!C28)</f>
        <v>150</v>
      </c>
      <c r="AT18" s="29">
        <f>求节点(节奏总纲!$P$4:$P$163,其他调用!$C$4:$C$163,$AS18)*求节点($CP$5:$CP$36,$CQ$5:$CQ$36,AS18)</f>
        <v>341983.80686664447</v>
      </c>
      <c r="AU18" s="37">
        <f t="shared" si="41"/>
        <v>0</v>
      </c>
      <c r="AV18" s="37">
        <v>1</v>
      </c>
      <c r="AW18" s="38">
        <f t="shared" si="11"/>
        <v>0.4933333333333334</v>
      </c>
      <c r="AX18" s="38">
        <f t="shared" si="12"/>
        <v>0.26666666666666666</v>
      </c>
      <c r="AY18" s="38">
        <f t="shared" si="13"/>
        <v>0.04</v>
      </c>
      <c r="AZ18" s="38">
        <f t="shared" si="14"/>
        <v>2.8000000000000001E-2</v>
      </c>
      <c r="BA18" s="29">
        <f t="shared" si="33"/>
        <v>45137.009216001665</v>
      </c>
      <c r="BB18" s="29">
        <f t="shared" si="20"/>
        <v>96.81561397055431</v>
      </c>
      <c r="BC18" s="29">
        <f t="shared" si="21"/>
        <v>52.332764308407725</v>
      </c>
      <c r="BD18" s="29">
        <f t="shared" si="22"/>
        <v>7.8499146462611593</v>
      </c>
      <c r="BE18" s="29">
        <f t="shared" si="23"/>
        <v>4.2127875268268218</v>
      </c>
      <c r="BF18" s="29">
        <f t="shared" si="24"/>
        <v>1245</v>
      </c>
      <c r="BG18" s="29">
        <f t="shared" si="16"/>
        <v>225</v>
      </c>
      <c r="BH18" s="29">
        <f t="shared" si="16"/>
        <v>30</v>
      </c>
      <c r="BI18" s="29">
        <f t="shared" si="16"/>
        <v>0</v>
      </c>
      <c r="BJ18" s="29">
        <f>SUM(BB$7:BB18)+BF18</f>
        <v>2084.4961158084052</v>
      </c>
      <c r="BK18" s="29">
        <f>SUM(BC$7:BC18)+BG18</f>
        <v>621.50296448306608</v>
      </c>
      <c r="BL18" s="29">
        <f>SUM(BD$7:BD18)+BH18</f>
        <v>111.95300287255472</v>
      </c>
      <c r="BM18" s="29">
        <f>SUM(BE$7:BE18)+BI18</f>
        <v>18.132252944828668</v>
      </c>
      <c r="BN18" s="29">
        <f>SUM(BT$7:BT18)</f>
        <v>16.055398714353437</v>
      </c>
      <c r="BO18" s="17">
        <f t="shared" si="25"/>
        <v>31.483778635733749</v>
      </c>
      <c r="BP18" s="17">
        <f t="shared" si="26"/>
        <v>0.75610742924220031</v>
      </c>
      <c r="BQ18" s="17">
        <f t="shared" si="27"/>
        <v>1</v>
      </c>
      <c r="BR18" s="17">
        <f t="shared" si="28"/>
        <v>0</v>
      </c>
      <c r="BS18" s="17">
        <f t="shared" si="17"/>
        <v>80</v>
      </c>
      <c r="BT18" s="17">
        <f t="shared" si="29"/>
        <v>0</v>
      </c>
      <c r="BV18" s="17">
        <f t="shared" si="30"/>
        <v>-13.600135461117247</v>
      </c>
      <c r="BW18" s="17">
        <v>14</v>
      </c>
      <c r="BX18" s="17">
        <f>'[1]资源-钻石'!L17/$B$2*$B$12*10</f>
        <v>57.109844314950216</v>
      </c>
      <c r="BY18" s="17">
        <f>'[1]资源-钻石'!M17/$B$2*$B$12*10</f>
        <v>69.346006903717395</v>
      </c>
      <c r="BZ18" s="17">
        <f>'[1]资源-钻石'!N17/$B$2*$B$12*10</f>
        <v>96.615888539656552</v>
      </c>
      <c r="CA18" s="17">
        <f>'[1]资源-钻石'!O17/$B$2*$B$12*10</f>
        <v>186.59565711938566</v>
      </c>
      <c r="CB18" s="17">
        <f>'[1]资源-钻石'!P17/$B$2*$B$12*10</f>
        <v>239.47568774724022</v>
      </c>
      <c r="CD18" s="17">
        <v>14</v>
      </c>
      <c r="CE18" s="17">
        <f>'[1]资源-钻石'!L17/$B$2*$C$12*10</f>
        <v>23.133101494663379</v>
      </c>
      <c r="CF18" s="17">
        <f>'[1]资源-钻石'!M17/$B$2*$C$12*10</f>
        <v>28.089521783784264</v>
      </c>
      <c r="CG18" s="17">
        <f>'[1]资源-钻石'!N17/$B$2*$C$12*10</f>
        <v>39.135549788215314</v>
      </c>
      <c r="CH18" s="17">
        <f>'[1]资源-钻石'!O17/$B$2*$C$12*10</f>
        <v>75.583050985067615</v>
      </c>
      <c r="CI18" s="17">
        <f>'[1]资源-钻石'!P17/$B$2*$C$12*10</f>
        <v>97.002810226730219</v>
      </c>
      <c r="CN18" s="17">
        <v>0.61</v>
      </c>
      <c r="CO18" s="17">
        <v>70</v>
      </c>
      <c r="CP18" s="17">
        <f>INDEX(节奏总纲!$P$4:$P$163,CO18,1)</f>
        <v>127</v>
      </c>
      <c r="CQ18" s="17">
        <f t="shared" si="31"/>
        <v>0.43080948133040525</v>
      </c>
      <c r="CR18" s="17">
        <f t="shared" ref="CR18:CU18" si="44">CQ18</f>
        <v>0.43080948133040525</v>
      </c>
      <c r="CS18" s="17">
        <f t="shared" si="44"/>
        <v>0.43080948133040525</v>
      </c>
      <c r="CT18" s="17">
        <f t="shared" si="44"/>
        <v>0.43080948133040525</v>
      </c>
      <c r="CU18" s="17">
        <f t="shared" si="44"/>
        <v>0.43080948133040525</v>
      </c>
      <c r="CW18" s="17">
        <v>15</v>
      </c>
      <c r="CX18" s="17">
        <f t="shared" si="1"/>
        <v>0.57291652173913044</v>
      </c>
      <c r="CY18" s="17">
        <f t="shared" si="2"/>
        <v>0.57291652173913044</v>
      </c>
      <c r="CZ18" s="17">
        <f t="shared" si="3"/>
        <v>0.57291652173913044</v>
      </c>
      <c r="DA18" s="17">
        <f t="shared" si="4"/>
        <v>0.57291652173913044</v>
      </c>
      <c r="DB18" s="17">
        <f t="shared" si="5"/>
        <v>0.57291652173913044</v>
      </c>
    </row>
    <row r="19" spans="1:106" x14ac:dyDescent="0.15">
      <c r="A19" s="29" t="s">
        <v>319</v>
      </c>
      <c r="B19" s="29"/>
      <c r="C19" s="29"/>
      <c r="D19" s="29"/>
      <c r="E19" s="29">
        <v>0.02</v>
      </c>
      <c r="H19" s="16">
        <v>16</v>
      </c>
      <c r="I19" s="29">
        <f>IF(基础状态预期!C29="","",基础状态预期!C29)</f>
        <v>180</v>
      </c>
      <c r="J19" s="29">
        <f>IF(基础状态预期!D29="","",基础状态预期!D29)</f>
        <v>74.998404927577795</v>
      </c>
      <c r="K19" s="29" t="str">
        <f>IF(基础状态预期!F29="","",基础状态预期!F29)</f>
        <v/>
      </c>
      <c r="L19" s="29" t="str">
        <f>IF(基础状态预期!G29="","",基础状态预期!G29)</f>
        <v/>
      </c>
      <c r="M19" s="29" t="str">
        <f>IF(基础状态预期!H29="","",基础状态预期!H29)</f>
        <v/>
      </c>
      <c r="N19" s="29">
        <f>IF(基础状态预期!I29="","",基础状态预期!I29)</f>
        <v>0.5</v>
      </c>
      <c r="O19" s="29">
        <f>IF(基础状态预期!J29="","",基础状态预期!J29)</f>
        <v>5.5</v>
      </c>
      <c r="P19" s="29">
        <f>武将进阶!O16</f>
        <v>0</v>
      </c>
      <c r="Q19" s="29">
        <f>武将进阶!P16</f>
        <v>0</v>
      </c>
      <c r="R19" s="29">
        <f>武将进阶!Q16</f>
        <v>10.499617182618669</v>
      </c>
      <c r="S19" s="29">
        <f>武将进阶!R16</f>
        <v>148.49368351320803</v>
      </c>
      <c r="T19" s="29">
        <f>武将进阶!S16</f>
        <v>0</v>
      </c>
      <c r="U19" s="29">
        <f>武将觉醒!T17</f>
        <v>0</v>
      </c>
      <c r="V19" s="29">
        <f>武将觉醒!U17</f>
        <v>0</v>
      </c>
      <c r="W19" s="29">
        <f>武将觉醒!V17</f>
        <v>0</v>
      </c>
      <c r="X19" s="29">
        <f>武将觉醒!W17</f>
        <v>17</v>
      </c>
      <c r="Y19" s="29">
        <f>武将觉醒!X17</f>
        <v>0</v>
      </c>
      <c r="Z19" s="29"/>
      <c r="AA19" s="29">
        <f>IF(L19="",0,同名需求(L19,武将升星!P16,B$6)+武将升星!U16)</f>
        <v>0</v>
      </c>
      <c r="AB19" s="29">
        <f>IF(M19="",0,同名需求(M19,武将升星!Q16,C$6)+武将升星!V16)</f>
        <v>0</v>
      </c>
      <c r="AC19" s="59">
        <f>IF(N19="",0,同名需求(N19,武将升星!R16,D$6*0.5)+武将升星!W16)</f>
        <v>93.640661129522186</v>
      </c>
      <c r="AD19" s="29">
        <f>IF(O19="",0,同名需求(O19,武将升星!S16,E$6)+武将升星!X16)</f>
        <v>23.634630976210563</v>
      </c>
      <c r="AE19" s="29">
        <f>MAX(U19+P19+IF(K19="",0,K19)*武将升星!O16,Z19)</f>
        <v>0</v>
      </c>
      <c r="AF19" s="29">
        <f>MAX(V19+Q19+IF(L19="",0,L19)*武将升星!P16,AA19)</f>
        <v>0</v>
      </c>
      <c r="AG19" s="29">
        <f>MAX(W19+R19+IF(M19="",0,M19)*武将升星!Q16,AB19)</f>
        <v>10.499617182618669</v>
      </c>
      <c r="AH19" s="29">
        <f>MAX(X19+S19+IF(N19="",0,N19)*武将升星!R16,AC19)</f>
        <v>169.01832432588196</v>
      </c>
      <c r="AI19" s="45">
        <f t="shared" si="8"/>
        <v>23.634630976210563</v>
      </c>
      <c r="AJ19" s="29">
        <f t="shared" si="9"/>
        <v>476547.87131074833</v>
      </c>
      <c r="AK19" s="14" t="e">
        <f>AJ19/求节点('[1]资源-钻石'!$K$4:$K$113,'[1]资源-钻石'!$L$4:$L$113,J19)</f>
        <v>#VALUE!</v>
      </c>
      <c r="AL19" s="16"/>
      <c r="AM19" s="16"/>
      <c r="AN19" s="16"/>
      <c r="AO19" s="16"/>
      <c r="AP19" s="17">
        <v>16</v>
      </c>
      <c r="AR19" s="16">
        <f t="shared" si="19"/>
        <v>6.1974515269632766</v>
      </c>
      <c r="AS19" s="29">
        <f>IF(基础状态预期!C29="","",基础状态预期!C29)</f>
        <v>180</v>
      </c>
      <c r="AT19" s="29">
        <f>求节点(节奏总纲!$P$4:$P$163,其他调用!$C$4:$C$163,$AS19)*求节点($CP$5:$CP$36,$CQ$5:$CQ$36,AS19)</f>
        <v>384746.22240269108</v>
      </c>
      <c r="AU19" s="37">
        <f t="shared" si="41"/>
        <v>0</v>
      </c>
      <c r="AV19" s="37">
        <v>1</v>
      </c>
      <c r="AW19" s="38">
        <f t="shared" si="11"/>
        <v>0.4933333333333334</v>
      </c>
      <c r="AX19" s="38">
        <f t="shared" si="12"/>
        <v>0.26666666666666666</v>
      </c>
      <c r="AY19" s="38">
        <f t="shared" si="13"/>
        <v>0.04</v>
      </c>
      <c r="AZ19" s="38">
        <f t="shared" si="14"/>
        <v>2.8000000000000001E-2</v>
      </c>
      <c r="BA19" s="29">
        <f t="shared" si="33"/>
        <v>42762.41553604661</v>
      </c>
      <c r="BB19" s="29">
        <f t="shared" si="20"/>
        <v>91.722282599056513</v>
      </c>
      <c r="BC19" s="29">
        <f t="shared" si="21"/>
        <v>49.579612215706213</v>
      </c>
      <c r="BD19" s="29">
        <f t="shared" si="22"/>
        <v>7.4369418323559318</v>
      </c>
      <c r="BE19" s="29">
        <f t="shared" si="23"/>
        <v>3.9911587833643498</v>
      </c>
      <c r="BF19" s="29">
        <f t="shared" si="24"/>
        <v>1494.0000000000002</v>
      </c>
      <c r="BG19" s="29">
        <f t="shared" si="16"/>
        <v>270</v>
      </c>
      <c r="BH19" s="29">
        <f t="shared" si="16"/>
        <v>36</v>
      </c>
      <c r="BI19" s="29">
        <f t="shared" si="16"/>
        <v>0</v>
      </c>
      <c r="BJ19" s="29">
        <f>SUM(BB$7:BB19)+BF19</f>
        <v>2425.2183984074618</v>
      </c>
      <c r="BK19" s="29">
        <f>SUM(BC$7:BC19)+BG19</f>
        <v>716.0825766987723</v>
      </c>
      <c r="BL19" s="29">
        <f>SUM(BD$7:BD19)+BH19</f>
        <v>125.38994470491065</v>
      </c>
      <c r="BM19" s="29">
        <f>SUM(BE$7:BE19)+BI19</f>
        <v>22.12341172819302</v>
      </c>
      <c r="BN19" s="29">
        <f>SUM(BT$7:BT19)</f>
        <v>16.055398714353437</v>
      </c>
      <c r="BO19" s="17">
        <f t="shared" si="25"/>
        <v>68.200827158174249</v>
      </c>
      <c r="BP19" s="17">
        <f t="shared" si="26"/>
        <v>0.74187189587294677</v>
      </c>
      <c r="BQ19" s="17">
        <f t="shared" si="27"/>
        <v>0.93605911386817675</v>
      </c>
      <c r="BR19" s="17">
        <f t="shared" si="28"/>
        <v>0</v>
      </c>
      <c r="BS19" s="17">
        <f t="shared" si="17"/>
        <v>80</v>
      </c>
      <c r="BT19" s="17">
        <f t="shared" si="29"/>
        <v>0</v>
      </c>
      <c r="BV19" s="17">
        <f t="shared" si="30"/>
        <v>-23.103738808297379</v>
      </c>
      <c r="BW19" s="17">
        <v>15</v>
      </c>
      <c r="BX19" s="17">
        <f>'[1]资源-钻石'!L18/$B$2*$B$12*10</f>
        <v>61.734280086368834</v>
      </c>
      <c r="BY19" s="17">
        <f>'[1]资源-钻石'!M18/$B$2*$B$12*10</f>
        <v>74.70814896869669</v>
      </c>
      <c r="BZ19" s="17">
        <f>'[1]资源-钻石'!N18/$B$2*$B$12*10</f>
        <v>103.55462660257115</v>
      </c>
      <c r="CA19" s="17">
        <f>'[1]资源-钻石'!O18/$B$2*$B$12*10</f>
        <v>209.28851613802379</v>
      </c>
      <c r="CB19" s="17">
        <f>'[1]资源-钻石'!P18/$B$2*$B$12*10</f>
        <v>269.67604979143471</v>
      </c>
      <c r="CD19" s="17">
        <v>15</v>
      </c>
      <c r="CE19" s="17">
        <f>'[1]资源-钻石'!L18/$B$2*$C$12*10</f>
        <v>25.006290667896238</v>
      </c>
      <c r="CF19" s="17">
        <f>'[1]资源-钻石'!M18/$B$2*$C$12*10</f>
        <v>30.261528696180939</v>
      </c>
      <c r="CG19" s="17">
        <f>'[1]资源-钻石'!N18/$B$2*$C$12*10</f>
        <v>41.946177864332618</v>
      </c>
      <c r="CH19" s="17">
        <f>'[1]资源-钻石'!O18/$B$2*$C$12*10</f>
        <v>84.775095144515973</v>
      </c>
      <c r="CI19" s="17">
        <f>'[1]资源-钻石'!P18/$B$2*$C$12*10</f>
        <v>109.23586826994824</v>
      </c>
      <c r="CN19" s="17">
        <v>0.59</v>
      </c>
      <c r="CO19" s="17">
        <v>75</v>
      </c>
      <c r="CP19" s="17">
        <f>INDEX(节奏总纲!$P$4:$P$163,CO19,1)</f>
        <v>180.01933598375612</v>
      </c>
      <c r="CQ19" s="17">
        <f t="shared" si="31"/>
        <v>0.40835088869711528</v>
      </c>
      <c r="CR19" s="17">
        <f t="shared" ref="CR19:CU19" si="45">CQ19</f>
        <v>0.40835088869711528</v>
      </c>
      <c r="CS19" s="17">
        <f t="shared" si="45"/>
        <v>0.40835088869711528</v>
      </c>
      <c r="CT19" s="17">
        <f t="shared" si="45"/>
        <v>0.40835088869711528</v>
      </c>
      <c r="CU19" s="17">
        <f t="shared" si="45"/>
        <v>0.40835088869711528</v>
      </c>
      <c r="CW19" s="17">
        <v>16</v>
      </c>
      <c r="CX19" s="17">
        <f t="shared" si="1"/>
        <v>0.56791903304347835</v>
      </c>
      <c r="CY19" s="17">
        <f t="shared" si="2"/>
        <v>0.56791903304347835</v>
      </c>
      <c r="CZ19" s="17">
        <f t="shared" si="3"/>
        <v>0.56791903304347835</v>
      </c>
      <c r="DA19" s="17">
        <f t="shared" si="4"/>
        <v>0.56791903304347835</v>
      </c>
      <c r="DB19" s="17">
        <f t="shared" si="5"/>
        <v>0.56791903304347835</v>
      </c>
    </row>
    <row r="20" spans="1:106" x14ac:dyDescent="0.15">
      <c r="A20" s="29" t="s">
        <v>320</v>
      </c>
      <c r="B20" s="29"/>
      <c r="C20" s="29"/>
      <c r="D20" s="29"/>
      <c r="E20" s="29">
        <v>1.6E-2</v>
      </c>
      <c r="H20" s="17">
        <v>17</v>
      </c>
      <c r="I20" s="29">
        <f>IF(基础状态预期!C30="","",基础状态预期!C30)</f>
        <v>220</v>
      </c>
      <c r="J20" s="29">
        <f>IF(基础状态预期!D30="","",基础状态预期!D30)</f>
        <v>77.875308029777003</v>
      </c>
      <c r="K20" s="29" t="str">
        <f>IF(基础状态预期!F30="","",基础状态预期!F30)</f>
        <v/>
      </c>
      <c r="L20" s="29" t="str">
        <f>IF(基础状态预期!G30="","",基础状态预期!G30)</f>
        <v/>
      </c>
      <c r="M20" s="29" t="str">
        <f>IF(基础状态预期!H30="","",基础状态预期!H30)</f>
        <v/>
      </c>
      <c r="N20" s="29" t="str">
        <f>IF(基础状态预期!I30="","",基础状态预期!I30)</f>
        <v/>
      </c>
      <c r="O20" s="29">
        <f>IF(基础状态预期!J30="","",基础状态预期!J30)</f>
        <v>6</v>
      </c>
      <c r="P20" s="29">
        <f>武将进阶!O17</f>
        <v>0</v>
      </c>
      <c r="Q20" s="29">
        <f>武将进阶!P17</f>
        <v>0</v>
      </c>
      <c r="R20" s="29">
        <f>武将进阶!Q17</f>
        <v>0</v>
      </c>
      <c r="S20" s="29">
        <f>武将进阶!R17</f>
        <v>182.7022178143944</v>
      </c>
      <c r="T20" s="29">
        <f>武将进阶!S17</f>
        <v>0</v>
      </c>
      <c r="U20" s="29">
        <f>武将觉醒!T18</f>
        <v>0</v>
      </c>
      <c r="V20" s="29">
        <f>武将觉醒!U18</f>
        <v>0</v>
      </c>
      <c r="W20" s="29">
        <f>武将觉醒!V18</f>
        <v>0</v>
      </c>
      <c r="X20" s="29">
        <f>武将觉醒!W18</f>
        <v>0</v>
      </c>
      <c r="Y20" s="29">
        <f>武将觉醒!X18</f>
        <v>0</v>
      </c>
      <c r="Z20" s="29"/>
      <c r="AA20" s="29">
        <f>IF(L20="",0,同名需求(L20,武将升星!P17,B$6)+武将升星!U17)</f>
        <v>0</v>
      </c>
      <c r="AB20" s="29">
        <f>IF(M20="",0,同名需求(M20,武将升星!Q17,C$6)+武将升星!V17)</f>
        <v>0</v>
      </c>
      <c r="AC20" s="59">
        <f>IF(N20="",0,同名需求(N20,武将升星!R17,D$6*0.5)+武将升星!W17)</f>
        <v>0</v>
      </c>
      <c r="AD20" s="29">
        <f>IF(O20="",0,同名需求(O20,武将升星!S17,E$6)+武将升星!X17)</f>
        <v>26.86295949028418</v>
      </c>
      <c r="AE20" s="29">
        <f>MAX(U20+P20+IF(K20="",0,K20)*武将升星!O17,Z20)</f>
        <v>0</v>
      </c>
      <c r="AF20" s="29">
        <f>MAX(V20+Q20+IF(L20="",0,L20)*武将升星!P17,AA20)</f>
        <v>0</v>
      </c>
      <c r="AG20" s="29">
        <f>MAX(W20+R20+IF(M20="",0,M20)*武将升星!Q17,AB20)</f>
        <v>0</v>
      </c>
      <c r="AH20" s="29">
        <f>MAX(X20+S20+IF(N20="",0,N20)*武将升星!R17,AC20)</f>
        <v>182.7022178143944</v>
      </c>
      <c r="AI20" s="45">
        <f t="shared" si="8"/>
        <v>26.86295949028418</v>
      </c>
      <c r="AJ20" s="29">
        <f t="shared" si="9"/>
        <v>519074.20122539916</v>
      </c>
      <c r="AK20" s="14" t="e">
        <f>AJ20/求节点('[1]资源-钻石'!$K$4:$K$113,'[1]资源-钻石'!$L$4:$L$113,J20)</f>
        <v>#VALUE!</v>
      </c>
      <c r="AL20" s="16"/>
      <c r="AM20" s="16"/>
      <c r="AN20" s="16"/>
      <c r="AO20" s="16"/>
      <c r="AP20" s="17">
        <v>17</v>
      </c>
      <c r="AR20" s="16">
        <f t="shared" si="19"/>
        <v>5.5196596608204516</v>
      </c>
      <c r="AS20" s="29">
        <f>IF(基础状态预期!C30="","",基础状态预期!C30)</f>
        <v>220</v>
      </c>
      <c r="AT20" s="29">
        <f>求节点(节奏总纲!$P$4:$P$163,其他调用!$C$4:$C$163,$AS20)*求节点($CP$5:$CP$36,$CQ$5:$CQ$36,AS20)</f>
        <v>435527.09128223924</v>
      </c>
      <c r="AU20" s="37">
        <f t="shared" si="41"/>
        <v>0</v>
      </c>
      <c r="AV20" s="37">
        <v>1</v>
      </c>
      <c r="AW20" s="38">
        <f t="shared" si="11"/>
        <v>0.4933333333333334</v>
      </c>
      <c r="AX20" s="38">
        <f t="shared" si="12"/>
        <v>0.26666666666666666</v>
      </c>
      <c r="AY20" s="38">
        <f t="shared" si="13"/>
        <v>0.04</v>
      </c>
      <c r="AZ20" s="38">
        <f t="shared" si="14"/>
        <v>2.8000000000000001E-2</v>
      </c>
      <c r="BA20" s="29">
        <f t="shared" si="33"/>
        <v>50780.868879548158</v>
      </c>
      <c r="BB20" s="29">
        <f t="shared" si="20"/>
        <v>108.92128397352359</v>
      </c>
      <c r="BC20" s="29">
        <f t="shared" si="21"/>
        <v>58.87636971541815</v>
      </c>
      <c r="BD20" s="29">
        <f t="shared" si="22"/>
        <v>8.8314554573127229</v>
      </c>
      <c r="BE20" s="29">
        <f t="shared" si="23"/>
        <v>4.7395477620911608</v>
      </c>
      <c r="BF20" s="29">
        <f t="shared" si="24"/>
        <v>1826.0000000000002</v>
      </c>
      <c r="BG20" s="29">
        <f t="shared" si="16"/>
        <v>330</v>
      </c>
      <c r="BH20" s="29">
        <f t="shared" si="16"/>
        <v>44</v>
      </c>
      <c r="BI20" s="29">
        <f t="shared" si="16"/>
        <v>0</v>
      </c>
      <c r="BJ20" s="29">
        <f>SUM(BB$7:BB20)+BF20</f>
        <v>2866.1396823809855</v>
      </c>
      <c r="BK20" s="29">
        <f>SUM(BC$7:BC20)+BG20</f>
        <v>834.95894641419045</v>
      </c>
      <c r="BL20" s="29">
        <f>SUM(BD$7:BD20)+BH20</f>
        <v>142.22140016222338</v>
      </c>
      <c r="BM20" s="29">
        <f>SUM(BE$7:BE20)+BI20</f>
        <v>26.86295949028418</v>
      </c>
      <c r="BN20" s="29">
        <f>SUM(BT$7:BT20)</f>
        <v>16.055398714353437</v>
      </c>
      <c r="BO20" s="17" t="e">
        <f t="shared" si="25"/>
        <v>#DIV/0!</v>
      </c>
      <c r="BP20" s="17">
        <f t="shared" si="26"/>
        <v>0.7784328064736733</v>
      </c>
      <c r="BQ20" s="17">
        <f t="shared" si="27"/>
        <v>1</v>
      </c>
      <c r="BR20" s="17">
        <f t="shared" si="28"/>
        <v>0</v>
      </c>
      <c r="BS20" s="17">
        <f t="shared" si="17"/>
        <v>80</v>
      </c>
      <c r="BT20" s="17">
        <f t="shared" si="29"/>
        <v>0</v>
      </c>
      <c r="BV20" s="17">
        <f t="shared" si="30"/>
        <v>-40.480817652171027</v>
      </c>
      <c r="BW20" s="17">
        <v>16</v>
      </c>
      <c r="BX20" s="17">
        <f>'[1]资源-钻石'!L19/$B$2*$B$12*10</f>
        <v>66.69062762537888</v>
      </c>
      <c r="BY20" s="17">
        <f>'[1]资源-钻石'!M19/$B$2*$B$12*10</f>
        <v>80.506139518962797</v>
      </c>
      <c r="BZ20" s="17">
        <f>'[1]资源-钻石'!N19/$B$2*$B$12*10</f>
        <v>110.92671131339061</v>
      </c>
      <c r="CA20" s="17">
        <f>'[1]资源-钻石'!O19/$B$2*$B$12*10</f>
        <v>228.00675064163789</v>
      </c>
      <c r="CB20" s="17">
        <f>'[1]资源-钻石'!P19/$B$2*$B$12*10</f>
        <v>304.19028112022283</v>
      </c>
      <c r="CD20" s="17">
        <v>16</v>
      </c>
      <c r="CE20" s="17">
        <f>'[1]资源-钻石'!L19/$B$2*$C$12*10</f>
        <v>27.013925114077519</v>
      </c>
      <c r="CF20" s="17">
        <f>'[1]资源-钻石'!M19/$B$2*$C$12*10</f>
        <v>32.610081830465944</v>
      </c>
      <c r="CG20" s="17">
        <f>'[1]资源-钻石'!N19/$B$2*$C$12*10</f>
        <v>44.932338759854424</v>
      </c>
      <c r="CH20" s="17">
        <f>'[1]资源-钻石'!O19/$B$2*$C$12*10</f>
        <v>92.357164816866003</v>
      </c>
      <c r="CI20" s="17">
        <f>'[1]资源-钻石'!P19/$B$2*$C$12*10</f>
        <v>123.21631640312825</v>
      </c>
      <c r="CN20" s="17">
        <v>0.56999999999999995</v>
      </c>
      <c r="CO20" s="17">
        <v>80</v>
      </c>
      <c r="CP20" s="17">
        <f>INDEX(节奏总纲!$P$4:$P$163,CO20,1)</f>
        <v>255</v>
      </c>
      <c r="CQ20" s="17">
        <f t="shared" si="31"/>
        <v>0.38661831597662477</v>
      </c>
      <c r="CR20" s="17">
        <f t="shared" ref="CR20:CU20" si="46">CQ20</f>
        <v>0.38661831597662477</v>
      </c>
      <c r="CS20" s="17">
        <f t="shared" si="46"/>
        <v>0.38661831597662477</v>
      </c>
      <c r="CT20" s="17">
        <f t="shared" si="46"/>
        <v>0.38661831597662477</v>
      </c>
      <c r="CU20" s="17">
        <f t="shared" si="46"/>
        <v>0.38661831597662477</v>
      </c>
      <c r="CW20" s="17">
        <v>17</v>
      </c>
      <c r="CX20" s="17">
        <f t="shared" si="1"/>
        <v>0.56292154434782615</v>
      </c>
      <c r="CY20" s="17">
        <f t="shared" si="2"/>
        <v>0.56292154434782615</v>
      </c>
      <c r="CZ20" s="17">
        <f t="shared" si="3"/>
        <v>0.56292154434782615</v>
      </c>
      <c r="DA20" s="17">
        <f t="shared" si="4"/>
        <v>0.56292154434782615</v>
      </c>
      <c r="DB20" s="17">
        <f t="shared" si="5"/>
        <v>0.56292154434782615</v>
      </c>
    </row>
    <row r="21" spans="1:106" x14ac:dyDescent="0.15">
      <c r="A21" s="29" t="s">
        <v>321</v>
      </c>
      <c r="B21" s="29"/>
      <c r="C21" s="29"/>
      <c r="D21" s="29"/>
      <c r="E21" s="29">
        <v>1.2E-2</v>
      </c>
      <c r="H21" s="16">
        <v>18</v>
      </c>
      <c r="I21" s="29">
        <f>IF(基础状态预期!C31="","",基础状态预期!C31)</f>
        <v>260</v>
      </c>
      <c r="J21" s="29">
        <f>IF(基础状态预期!D31="","",基础状态预期!D31)</f>
        <v>80.272123558064706</v>
      </c>
      <c r="K21" s="29" t="str">
        <f>IF(基础状态预期!F31="","",基础状态预期!F31)</f>
        <v/>
      </c>
      <c r="L21" s="29" t="str">
        <f>IF(基础状态预期!G31="","",基础状态预期!G31)</f>
        <v/>
      </c>
      <c r="M21" s="29" t="str">
        <f>IF(基础状态预期!H31="","",基础状态预期!H31)</f>
        <v/>
      </c>
      <c r="N21" s="29" t="str">
        <f>IF(基础状态预期!I31="","",基础状态预期!I31)</f>
        <v/>
      </c>
      <c r="O21" s="29">
        <f>IF(基础状态预期!J31="","",基础状态预期!J31)</f>
        <v>6</v>
      </c>
      <c r="P21" s="29">
        <f>武将进阶!O18</f>
        <v>0</v>
      </c>
      <c r="Q21" s="29">
        <f>武将进阶!P18</f>
        <v>0</v>
      </c>
      <c r="R21" s="29">
        <f>武将进阶!Q18</f>
        <v>0</v>
      </c>
      <c r="S21" s="29">
        <f>武将进阶!R18</f>
        <v>199.95928961806587</v>
      </c>
      <c r="T21" s="29">
        <f>武将进阶!S18</f>
        <v>0</v>
      </c>
      <c r="U21" s="29">
        <f>武将觉醒!T19</f>
        <v>0</v>
      </c>
      <c r="V21" s="29">
        <f>武将觉醒!U19</f>
        <v>0</v>
      </c>
      <c r="W21" s="29">
        <f>武将觉醒!V19</f>
        <v>0</v>
      </c>
      <c r="X21" s="29">
        <f>武将觉醒!W19</f>
        <v>0</v>
      </c>
      <c r="Y21" s="29">
        <f>武将觉醒!X19</f>
        <v>0</v>
      </c>
      <c r="Z21" s="29"/>
      <c r="AA21" s="29">
        <f>IF(L21="",0,同名需求(L21,武将升星!P18,B$6)+武将升星!U18)</f>
        <v>0</v>
      </c>
      <c r="AB21" s="29">
        <f>IF(M21="",0,同名需求(M21,武将升星!Q18,C$6)+武将升星!V18)</f>
        <v>0</v>
      </c>
      <c r="AC21" s="59">
        <f>IF(N21="",0,同名需求(N21,武将升星!R18,D$6*0.5)+武将升星!W18)</f>
        <v>0</v>
      </c>
      <c r="AD21" s="29">
        <f>IF(O21="",0,同名需求(O21,武将升星!S18,E$6)+武将升星!X18)</f>
        <v>31.319386636687064</v>
      </c>
      <c r="AE21" s="29">
        <f>MAX(U21+P21+IF(K21="",0,K21)*武将升星!O18,Z21)</f>
        <v>0</v>
      </c>
      <c r="AF21" s="29">
        <f>MAX(V21+Q21+IF(L21="",0,L21)*武将升星!P18,AA21)</f>
        <v>0</v>
      </c>
      <c r="AG21" s="29">
        <f>MAX(W21+R21+IF(M21="",0,M21)*武将升星!Q18,AB21)</f>
        <v>0</v>
      </c>
      <c r="AH21" s="29">
        <f>MAX(X21+S21+IF(N21="",0,N21)*武将升星!R18,AC21)</f>
        <v>199.95928961806587</v>
      </c>
      <c r="AI21" s="45">
        <f t="shared" si="8"/>
        <v>31.319386636687064</v>
      </c>
      <c r="AJ21" s="29">
        <f t="shared" si="9"/>
        <v>573860.45499341935</v>
      </c>
      <c r="AK21" s="14" t="e">
        <f>AJ21/求节点('[1]资源-钻石'!$K$4:$K$113,'[1]资源-钻石'!$L$4:$L$113,J21)</f>
        <v>#VALUE!</v>
      </c>
      <c r="AL21" s="16"/>
      <c r="AM21" s="16"/>
      <c r="AN21" s="16"/>
      <c r="AO21" s="16"/>
      <c r="AP21" s="17">
        <v>18</v>
      </c>
      <c r="AR21" s="16">
        <f t="shared" si="19"/>
        <v>5.1899384468977665</v>
      </c>
      <c r="AS21" s="29">
        <f>IF(基础状态预期!C31="","",基础状态预期!C31)</f>
        <v>260</v>
      </c>
      <c r="AT21" s="29">
        <f>求节点(节奏总纲!$P$4:$P$163,其他调用!$C$4:$C$163,$AS21)*求节点($CP$5:$CP$36,$CQ$5:$CQ$36,AS21)</f>
        <v>483274.52499369869</v>
      </c>
      <c r="AU21" s="37">
        <f t="shared" si="41"/>
        <v>0</v>
      </c>
      <c r="AV21" s="37">
        <v>1</v>
      </c>
      <c r="AW21" s="38">
        <f t="shared" si="11"/>
        <v>0.4933333333333334</v>
      </c>
      <c r="AX21" s="38">
        <f t="shared" si="12"/>
        <v>0.26666666666666666</v>
      </c>
      <c r="AY21" s="38">
        <f t="shared" si="13"/>
        <v>0.04</v>
      </c>
      <c r="AZ21" s="38">
        <f t="shared" si="14"/>
        <v>2.8000000000000001E-2</v>
      </c>
      <c r="BA21" s="29">
        <f t="shared" si="33"/>
        <v>47747.433711459453</v>
      </c>
      <c r="BB21" s="29">
        <f t="shared" si="20"/>
        <v>102.41478535211594</v>
      </c>
      <c r="BC21" s="29">
        <f t="shared" si="21"/>
        <v>55.359343433576178</v>
      </c>
      <c r="BD21" s="29">
        <f t="shared" si="22"/>
        <v>8.3039015150364257</v>
      </c>
      <c r="BE21" s="29">
        <f t="shared" si="23"/>
        <v>4.4564271464028824</v>
      </c>
      <c r="BF21" s="29">
        <f t="shared" si="24"/>
        <v>2158</v>
      </c>
      <c r="BG21" s="29">
        <f t="shared" si="16"/>
        <v>390</v>
      </c>
      <c r="BH21" s="29">
        <f t="shared" si="16"/>
        <v>52</v>
      </c>
      <c r="BI21" s="29">
        <f t="shared" si="16"/>
        <v>0</v>
      </c>
      <c r="BJ21" s="29">
        <f>SUM(BB$7:BB21)+BF21</f>
        <v>3300.5544677331009</v>
      </c>
      <c r="BK21" s="29">
        <f>SUM(BC$7:BC21)+BG21</f>
        <v>950.31828984776655</v>
      </c>
      <c r="BL21" s="29">
        <f>SUM(BD$7:BD21)+BH21</f>
        <v>158.52530167725979</v>
      </c>
      <c r="BM21" s="29">
        <f>SUM(BE$7:BE21)+BI21</f>
        <v>31.319386636687064</v>
      </c>
      <c r="BN21" s="29">
        <f>SUM(BT$7:BT21)</f>
        <v>16.055398714353437</v>
      </c>
      <c r="BO21" s="17" t="e">
        <f t="shared" si="25"/>
        <v>#DIV/0!</v>
      </c>
      <c r="BP21" s="17">
        <f t="shared" si="26"/>
        <v>0.79278788187361804</v>
      </c>
      <c r="BQ21" s="17">
        <f t="shared" si="27"/>
        <v>1</v>
      </c>
      <c r="BR21" s="17">
        <f t="shared" si="28"/>
        <v>0</v>
      </c>
      <c r="BS21" s="17">
        <f t="shared" si="17"/>
        <v>80</v>
      </c>
      <c r="BT21" s="17">
        <f t="shared" si="29"/>
        <v>0</v>
      </c>
      <c r="BV21" s="17">
        <f t="shared" si="30"/>
        <v>-41.433987940806077</v>
      </c>
      <c r="BW21" s="17">
        <v>17</v>
      </c>
      <c r="BX21" s="17">
        <f>'[1]资源-钻石'!L20/$B$2*$B$12*10</f>
        <v>72.002709388796887</v>
      </c>
      <c r="BY21" s="17">
        <f>'[1]资源-钻石'!M20/$B$2*$B$12*10</f>
        <v>86.483398702968401</v>
      </c>
      <c r="BZ21" s="17">
        <f>'[1]资源-钻石'!N20/$B$2*$B$12*10</f>
        <v>118.48038071917034</v>
      </c>
      <c r="CA21" s="17">
        <f>'[1]资源-钻石'!O20/$B$2*$B$12*10</f>
        <v>241.56575053216554</v>
      </c>
      <c r="CB21" s="17">
        <f>'[1]资源-钻石'!P20/$B$2*$B$12*10</f>
        <v>334.12425134457754</v>
      </c>
      <c r="CD21" s="17">
        <v>17</v>
      </c>
      <c r="CE21" s="17">
        <f>'[1]资源-钻石'!L20/$B$2*$C$12*10</f>
        <v>29.165654435968364</v>
      </c>
      <c r="CF21" s="17">
        <f>'[1]资源-钻石'!M20/$B$2*$C$12*10</f>
        <v>35.031250107531513</v>
      </c>
      <c r="CG21" s="17">
        <f>'[1]资源-钻石'!N20/$B$2*$C$12*10</f>
        <v>47.99205294953736</v>
      </c>
      <c r="CH21" s="17">
        <f>'[1]资源-钻石'!O20/$B$2*$C$12*10</f>
        <v>97.849417937079707</v>
      </c>
      <c r="CI21" s="17">
        <f>'[1]资源-钻石'!P20/$B$2*$C$12*10</f>
        <v>135.34146889906938</v>
      </c>
      <c r="CN21" s="17">
        <v>0.55000000000000004</v>
      </c>
      <c r="CO21" s="17">
        <v>85</v>
      </c>
      <c r="CP21" s="17">
        <f>INDEX(节奏总纲!$P$4:$P$163,CO21,1)</f>
        <v>361.0386719675123</v>
      </c>
      <c r="CQ21" s="17">
        <f t="shared" si="31"/>
        <v>0.36559170580947509</v>
      </c>
      <c r="CR21" s="17">
        <f t="shared" ref="CR21:CU22" si="47">CQ21</f>
        <v>0.36559170580947509</v>
      </c>
      <c r="CS21" s="17">
        <f t="shared" si="47"/>
        <v>0.36559170580947509</v>
      </c>
      <c r="CT21" s="17">
        <f t="shared" si="47"/>
        <v>0.36559170580947509</v>
      </c>
      <c r="CU21" s="17">
        <f t="shared" si="47"/>
        <v>0.36559170580947509</v>
      </c>
      <c r="CW21" s="17">
        <v>18</v>
      </c>
      <c r="CX21" s="17">
        <f t="shared" si="1"/>
        <v>0.55792405565217407</v>
      </c>
      <c r="CY21" s="17">
        <f t="shared" si="2"/>
        <v>0.55792405565217407</v>
      </c>
      <c r="CZ21" s="17">
        <f t="shared" si="3"/>
        <v>0.55792405565217407</v>
      </c>
      <c r="DA21" s="17">
        <f t="shared" si="4"/>
        <v>0.55792405565217407</v>
      </c>
      <c r="DB21" s="17">
        <f t="shared" si="5"/>
        <v>0.55792405565217407</v>
      </c>
    </row>
    <row r="22" spans="1:106" x14ac:dyDescent="0.15">
      <c r="A22" s="29" t="s">
        <v>322</v>
      </c>
      <c r="B22" s="29"/>
      <c r="C22" s="29"/>
      <c r="D22" s="29"/>
      <c r="E22" s="29">
        <v>8.0000000000000002E-3</v>
      </c>
      <c r="H22" s="17">
        <v>19</v>
      </c>
      <c r="I22" s="29">
        <f>IF(基础状态预期!C32="","",基础状态预期!C32)</f>
        <v>300</v>
      </c>
      <c r="J22" s="29">
        <f>IF(基础状态预期!D32="","",基础状态预期!D32)</f>
        <v>82.328492296001457</v>
      </c>
      <c r="K22" s="29" t="str">
        <f>IF(基础状态预期!F32="","",基础状态预期!F32)</f>
        <v/>
      </c>
      <c r="L22" s="29" t="str">
        <f>IF(基础状态预期!G32="","",基础状态预期!G32)</f>
        <v/>
      </c>
      <c r="M22" s="29" t="str">
        <f>IF(基础状态预期!H32="","",基础状态预期!H32)</f>
        <v/>
      </c>
      <c r="N22" s="29" t="str">
        <f>IF(基础状态预期!I32="","",基础状态预期!I32)</f>
        <v/>
      </c>
      <c r="O22" s="29">
        <f>IF(基础状态预期!J32="","",基础状态预期!J32)</f>
        <v>6</v>
      </c>
      <c r="P22" s="29">
        <f>武将进阶!O19</f>
        <v>0</v>
      </c>
      <c r="Q22" s="29">
        <f>武将进阶!P19</f>
        <v>0</v>
      </c>
      <c r="R22" s="29">
        <f>武将进阶!Q19</f>
        <v>0</v>
      </c>
      <c r="S22" s="29">
        <f>武将进阶!R19</f>
        <v>214.76514453121047</v>
      </c>
      <c r="T22" s="29">
        <f>武将进阶!S19</f>
        <v>0</v>
      </c>
      <c r="U22" s="29">
        <f>武将觉醒!T20</f>
        <v>0</v>
      </c>
      <c r="V22" s="29">
        <f>武将觉醒!U20</f>
        <v>0</v>
      </c>
      <c r="W22" s="29">
        <f>武将觉醒!V20</f>
        <v>0</v>
      </c>
      <c r="X22" s="29">
        <f>武将觉醒!W20</f>
        <v>0</v>
      </c>
      <c r="Y22" s="29">
        <f>武将觉醒!X20</f>
        <v>0</v>
      </c>
      <c r="Z22" s="29"/>
      <c r="AA22" s="29">
        <f>IF(L22="",0,同名需求(L22,武将升星!P19,B$6)+武将升星!U19)</f>
        <v>0</v>
      </c>
      <c r="AB22" s="29">
        <f>IF(M22="",0,同名需求(M22,武将升星!Q19,C$6)+武将升星!V19)</f>
        <v>0</v>
      </c>
      <c r="AC22" s="59">
        <f>IF(N22="",0,同名需求(N22,武将升星!R19,D$6*0.5)+武将升星!W19)</f>
        <v>0</v>
      </c>
      <c r="AD22" s="29">
        <f>IF(O22="",0,同名需求(O22,武将升星!S19,E$6)+武将升星!X19)</f>
        <v>35.873842990325983</v>
      </c>
      <c r="AE22" s="29">
        <f>MAX(U22+P22+IF(K22="",0,K22)*武将升星!O19,Z22)</f>
        <v>0</v>
      </c>
      <c r="AF22" s="29">
        <f>MAX(V22+Q22+IF(L22="",0,L22)*武将升星!P19,AA22)</f>
        <v>0</v>
      </c>
      <c r="AG22" s="29">
        <f>MAX(W22+R22+IF(M22="",0,M22)*武将升星!Q19,AB22)</f>
        <v>0</v>
      </c>
      <c r="AH22" s="29">
        <f>MAX(X22+S22+IF(N22="",0,N22)*武将升星!R19,AC22)</f>
        <v>214.76514453121047</v>
      </c>
      <c r="AI22" s="45">
        <f t="shared" si="8"/>
        <v>35.873842990325983</v>
      </c>
      <c r="AJ22" s="29">
        <f t="shared" si="9"/>
        <v>623057.87584588316</v>
      </c>
      <c r="AK22" s="14" t="e">
        <f>AJ22/求节点('[1]资源-钻石'!$K$4:$K$113,'[1]资源-钻石'!$L$4:$L$113,J22)</f>
        <v>#VALUE!</v>
      </c>
      <c r="AL22" s="16"/>
      <c r="AM22" s="16"/>
      <c r="AN22" s="16"/>
      <c r="AO22" s="16"/>
      <c r="AP22" s="17">
        <v>19</v>
      </c>
      <c r="AR22" s="16">
        <f t="shared" si="19"/>
        <v>5.304102896318617</v>
      </c>
      <c r="AS22" s="29">
        <f>IF(基础状态预期!C32="","",基础状态预期!C32)</f>
        <v>300</v>
      </c>
      <c r="AT22" s="29">
        <f>求节点(节奏总纲!$P$4:$P$163,其他调用!$C$4:$C$163,$AS22)*求节点($CP$5:$CP$36,$CQ$5:$CQ$36,AS22)</f>
        <v>532072.27163982997</v>
      </c>
      <c r="AU22" s="37">
        <f t="shared" si="41"/>
        <v>0</v>
      </c>
      <c r="AV22" s="37">
        <v>1</v>
      </c>
      <c r="AW22" s="38">
        <f t="shared" si="11"/>
        <v>0.4933333333333334</v>
      </c>
      <c r="AX22" s="38">
        <f t="shared" si="12"/>
        <v>0.26666666666666666</v>
      </c>
      <c r="AY22" s="38">
        <f t="shared" si="13"/>
        <v>0.04</v>
      </c>
      <c r="AZ22" s="38">
        <f t="shared" si="14"/>
        <v>2.8000000000000001E-2</v>
      </c>
      <c r="BA22" s="29">
        <f t="shared" si="33"/>
        <v>48797.746646131272</v>
      </c>
      <c r="BB22" s="29">
        <f t="shared" si="20"/>
        <v>104.66763048735406</v>
      </c>
      <c r="BC22" s="29">
        <f t="shared" si="21"/>
        <v>56.577097560731914</v>
      </c>
      <c r="BD22" s="29">
        <f t="shared" si="22"/>
        <v>8.4865646341097882</v>
      </c>
      <c r="BE22" s="29">
        <f t="shared" si="23"/>
        <v>4.5544563536389191</v>
      </c>
      <c r="BF22" s="29">
        <f t="shared" si="24"/>
        <v>2490</v>
      </c>
      <c r="BG22" s="29">
        <f t="shared" si="16"/>
        <v>450</v>
      </c>
      <c r="BH22" s="29">
        <f t="shared" si="16"/>
        <v>60</v>
      </c>
      <c r="BI22" s="29">
        <f t="shared" si="16"/>
        <v>0</v>
      </c>
      <c r="BJ22" s="29">
        <f>SUM(BB$7:BB22)+BF22</f>
        <v>3737.2220982204553</v>
      </c>
      <c r="BK22" s="29">
        <f>SUM(BC$7:BC22)+BG22</f>
        <v>1066.8953874084984</v>
      </c>
      <c r="BL22" s="29">
        <f>SUM(BD$7:BD22)+BH22</f>
        <v>175.0118663113696</v>
      </c>
      <c r="BM22" s="29">
        <f>SUM(BE$7:BE22)+BI22</f>
        <v>35.873842990325983</v>
      </c>
      <c r="BN22" s="29">
        <f>SUM(BT$7:BT22)</f>
        <v>16.055398714353437</v>
      </c>
      <c r="BO22" s="17" t="e">
        <f t="shared" si="25"/>
        <v>#DIV/0!</v>
      </c>
      <c r="BP22" s="17">
        <f t="shared" si="26"/>
        <v>0.814898836090864</v>
      </c>
      <c r="BQ22" s="17">
        <f t="shared" si="27"/>
        <v>1</v>
      </c>
      <c r="BR22" s="17">
        <f t="shared" si="28"/>
        <v>0</v>
      </c>
      <c r="BS22" s="17">
        <f t="shared" si="17"/>
        <v>80</v>
      </c>
      <c r="BT22" s="17">
        <f t="shared" si="29"/>
        <v>0</v>
      </c>
      <c r="BV22" s="17">
        <f t="shared" si="30"/>
        <v>-39.753278219840865</v>
      </c>
      <c r="BW22" s="17">
        <v>18</v>
      </c>
      <c r="BX22" s="17">
        <f>'[1]资源-钻石'!L21/$B$2*$B$12*10</f>
        <v>77.696057653651337</v>
      </c>
      <c r="BY22" s="17">
        <f>'[1]资源-钻石'!M21/$B$2*$B$12*10</f>
        <v>93.219187656788009</v>
      </c>
      <c r="BZ22" s="17">
        <f>'[1]资源-钻石'!N21/$B$2*$B$12*10</f>
        <v>127.43556797727187</v>
      </c>
      <c r="CA22" s="17">
        <f>'[1]资源-钻石'!O21/$B$2*$B$12*10</f>
        <v>257.54335687292019</v>
      </c>
      <c r="CB22" s="17">
        <f>'[1]资源-钻石'!P21/$B$2*$B$12*10</f>
        <v>371.18127657438998</v>
      </c>
      <c r="CD22" s="17">
        <v>18</v>
      </c>
      <c r="CE22" s="17">
        <f>'[1]资源-钻石'!L21/$B$2*$C$12*10</f>
        <v>31.471820821732184</v>
      </c>
      <c r="CF22" s="17">
        <f>'[1]资源-钻石'!M21/$B$2*$C$12*10</f>
        <v>37.759670949585015</v>
      </c>
      <c r="CG22" s="17">
        <f>'[1]资源-钻石'!N21/$B$2*$C$12*10</f>
        <v>51.619470573072157</v>
      </c>
      <c r="CH22" s="17">
        <f>'[1]资源-钻石'!O21/$B$2*$C$12*10</f>
        <v>104.32135974599298</v>
      </c>
      <c r="CI22" s="17">
        <f>'[1]资源-钻石'!P21/$B$2*$C$12*10</f>
        <v>150.35190949848709</v>
      </c>
      <c r="CN22" s="17">
        <v>0.53</v>
      </c>
      <c r="CO22" s="17">
        <v>90</v>
      </c>
      <c r="CP22" s="17">
        <f>INDEX(节奏总纲!$P$4:$P$163,CO22,1)</f>
        <v>511</v>
      </c>
      <c r="CQ22" s="17">
        <f t="shared" si="31"/>
        <v>0.34525151272262067</v>
      </c>
      <c r="CR22" s="17">
        <f t="shared" si="47"/>
        <v>0.34525151272262067</v>
      </c>
      <c r="CS22" s="17">
        <f t="shared" si="47"/>
        <v>0.34525151272262067</v>
      </c>
      <c r="CT22" s="17">
        <f t="shared" si="47"/>
        <v>0.34525151272262067</v>
      </c>
      <c r="CU22" s="17">
        <f t="shared" si="47"/>
        <v>0.34525151272262067</v>
      </c>
      <c r="CW22" s="17">
        <v>19</v>
      </c>
      <c r="CX22" s="17">
        <f t="shared" si="1"/>
        <v>0.55292656695652187</v>
      </c>
      <c r="CY22" s="17">
        <f t="shared" si="2"/>
        <v>0.55292656695652187</v>
      </c>
      <c r="CZ22" s="17">
        <f t="shared" si="3"/>
        <v>0.55292656695652187</v>
      </c>
      <c r="DA22" s="17">
        <f t="shared" si="4"/>
        <v>0.55292656695652187</v>
      </c>
      <c r="DB22" s="17">
        <f t="shared" si="5"/>
        <v>0.55292656695652187</v>
      </c>
    </row>
    <row r="23" spans="1:106" x14ac:dyDescent="0.15">
      <c r="H23" s="16">
        <v>20</v>
      </c>
      <c r="I23" s="29">
        <f>IF(基础状态预期!C33="","",基础状态预期!C33)</f>
        <v>340</v>
      </c>
      <c r="J23" s="29">
        <f>IF(基础状态预期!D33="","",基础状态预期!D33)</f>
        <v>84.132234338875293</v>
      </c>
      <c r="K23" s="29" t="str">
        <f>IF(基础状态预期!F33="","",基础状态预期!F33)</f>
        <v/>
      </c>
      <c r="L23" s="29" t="str">
        <f>IF(基础状态预期!G33="","",基础状态预期!G33)</f>
        <v/>
      </c>
      <c r="M23" s="29" t="str">
        <f>IF(基础状态预期!H33="","",基础状态预期!H33)</f>
        <v/>
      </c>
      <c r="N23" s="29" t="str">
        <f>IF(基础状态预期!I33="","",基础状态预期!I33)</f>
        <v/>
      </c>
      <c r="O23" s="29">
        <f>IF(基础状态预期!J33="","",基础状态预期!J33)</f>
        <v>6</v>
      </c>
      <c r="P23" s="29">
        <f>武将进阶!O20</f>
        <v>0</v>
      </c>
      <c r="Q23" s="29">
        <f>武将进阶!P20</f>
        <v>0</v>
      </c>
      <c r="R23" s="29">
        <f>武将进阶!Q20</f>
        <v>0</v>
      </c>
      <c r="S23" s="29">
        <f>武将进阶!R20</f>
        <v>227.7520872399021</v>
      </c>
      <c r="T23" s="29">
        <f>武将进阶!S20</f>
        <v>0</v>
      </c>
      <c r="U23" s="29">
        <f>武将觉醒!T21</f>
        <v>0</v>
      </c>
      <c r="V23" s="29">
        <f>武将觉醒!U21</f>
        <v>0</v>
      </c>
      <c r="W23" s="29">
        <f>武将觉醒!V21</f>
        <v>0</v>
      </c>
      <c r="X23" s="29">
        <f>武将觉醒!W21</f>
        <v>0</v>
      </c>
      <c r="Y23" s="29">
        <f>武将觉醒!X21</f>
        <v>0</v>
      </c>
      <c r="Z23" s="29"/>
      <c r="AA23" s="29">
        <f>IF(L23="",0,同名需求(L23,武将升星!P20,B$6)+武将升星!U20)</f>
        <v>0</v>
      </c>
      <c r="AB23" s="29">
        <f>IF(M23="",0,同名需求(M23,武将升星!Q20,C$6)+武将升星!V20)</f>
        <v>0</v>
      </c>
      <c r="AC23" s="59">
        <f>IF(N23="",0,同名需求(N23,武将升星!R20,D$6*0.5)+武将升星!W20)</f>
        <v>0</v>
      </c>
      <c r="AD23" s="29">
        <f>IF(O23="",0,同名需求(O23,武将升星!S20,E$6)+武将升星!X20)</f>
        <v>40.196371894812742</v>
      </c>
      <c r="AE23" s="29">
        <f>MAX(U23+P23+IF(K23="",0,K23)*武将升星!O20,Z23)</f>
        <v>0</v>
      </c>
      <c r="AF23" s="29">
        <f>MAX(V23+Q23+IF(L23="",0,L23)*武将升星!P20,AA23)</f>
        <v>0</v>
      </c>
      <c r="AG23" s="29">
        <f>MAX(W23+R23+IF(M23="",0,M23)*武将升星!Q20,AB23)</f>
        <v>0</v>
      </c>
      <c r="AH23" s="29">
        <f>MAX(X23+S23+IF(N23="",0,N23)*武将升星!R20,AC23)</f>
        <v>227.7520872399021</v>
      </c>
      <c r="AI23" s="45">
        <f t="shared" ref="AI23:AI45" si="48">IFERROR(AD23+Y23,0)</f>
        <v>40.196371894812742</v>
      </c>
      <c r="AJ23" s="29">
        <f t="shared" si="9"/>
        <v>667194.12506020325</v>
      </c>
      <c r="AK23" s="14" t="e">
        <f>AJ23/求节点('[1]资源-钻石'!$K$4:$K$113,'[1]资源-钻石'!$L$4:$L$113,J23)</f>
        <v>#VALUE!</v>
      </c>
      <c r="AL23" s="16"/>
      <c r="AM23" s="16"/>
      <c r="AN23" s="16"/>
      <c r="AO23" s="16"/>
      <c r="AP23" s="17">
        <v>20</v>
      </c>
      <c r="AR23" s="16">
        <f t="shared" si="19"/>
        <v>5.0340010533619131</v>
      </c>
      <c r="AS23" s="29">
        <f>IF(基础状态预期!C33="","",基础状态预期!C33)</f>
        <v>340</v>
      </c>
      <c r="AT23" s="29">
        <f>求节点(节奏总纲!$P$4:$P$163,其他调用!$C$4:$C$163,$AS23)*求节点($CP$5:$CP$36,$CQ$5:$CQ$36,AS23)</f>
        <v>578385.08133075957</v>
      </c>
      <c r="AU23" s="37">
        <f t="shared" ref="AU23:AU45" si="49">1-AV23</f>
        <v>0</v>
      </c>
      <c r="AV23" s="37">
        <v>1</v>
      </c>
      <c r="AW23" s="38">
        <f t="shared" si="11"/>
        <v>0.4933333333333334</v>
      </c>
      <c r="AX23" s="38">
        <f t="shared" si="12"/>
        <v>0.26666666666666666</v>
      </c>
      <c r="AY23" s="38">
        <f t="shared" si="13"/>
        <v>0.04</v>
      </c>
      <c r="AZ23" s="38">
        <f t="shared" si="14"/>
        <v>2.8000000000000001E-2</v>
      </c>
      <c r="BA23" s="29">
        <f t="shared" si="33"/>
        <v>46312.8096909296</v>
      </c>
      <c r="BB23" s="29">
        <f t="shared" si="20"/>
        <v>99.337620786341759</v>
      </c>
      <c r="BC23" s="29">
        <f t="shared" si="21"/>
        <v>53.696011235860404</v>
      </c>
      <c r="BD23" s="29">
        <f t="shared" si="22"/>
        <v>8.0544016853790605</v>
      </c>
      <c r="BE23" s="29">
        <f t="shared" si="23"/>
        <v>4.322528904486763</v>
      </c>
      <c r="BF23" s="29">
        <f t="shared" si="24"/>
        <v>2822.0000000000005</v>
      </c>
      <c r="BG23" s="29">
        <f t="shared" si="16"/>
        <v>510</v>
      </c>
      <c r="BH23" s="29">
        <f t="shared" si="16"/>
        <v>68</v>
      </c>
      <c r="BI23" s="29">
        <f t="shared" si="16"/>
        <v>0</v>
      </c>
      <c r="BJ23" s="29">
        <f>SUM(BB$7:BB23)+BF23</f>
        <v>4168.5597190067974</v>
      </c>
      <c r="BK23" s="29">
        <f>SUM(BC$7:BC23)+BG23</f>
        <v>1180.5913986443588</v>
      </c>
      <c r="BL23" s="29">
        <f>SUM(BD$7:BD23)+BH23</f>
        <v>191.06626799674865</v>
      </c>
      <c r="BM23" s="29">
        <f>SUM(BE$7:BE23)+BI23</f>
        <v>40.196371894812742</v>
      </c>
      <c r="BN23" s="29">
        <f>SUM(BT$7:BT23)</f>
        <v>16.055398714353437</v>
      </c>
      <c r="BO23" s="17" t="e">
        <f t="shared" ref="BO23:BO45" si="50">BK23/AG45</f>
        <v>#DIV/0!</v>
      </c>
      <c r="BP23" s="17">
        <f t="shared" ref="BP23:BP45" si="51">BL23/AH45</f>
        <v>0.29761100934072998</v>
      </c>
      <c r="BQ23" s="17">
        <f t="shared" ref="BQ23:BQ45" si="52">BM23/AI45</f>
        <v>0.37218862865567354</v>
      </c>
      <c r="BR23" s="17">
        <f t="shared" si="28"/>
        <v>0</v>
      </c>
      <c r="BS23" s="17">
        <f t="shared" si="17"/>
        <v>80</v>
      </c>
      <c r="BT23" s="17">
        <f t="shared" si="29"/>
        <v>0</v>
      </c>
      <c r="BV23" s="17">
        <f t="shared" si="30"/>
        <v>-36.685819243153446</v>
      </c>
      <c r="BW23" s="17">
        <v>19</v>
      </c>
      <c r="BX23" s="17">
        <f>'[1]资源-钻石'!L22/$B$2*$B$12*10</f>
        <v>83.798037236899347</v>
      </c>
      <c r="BY23" s="17">
        <f>'[1]资源-钻石'!M22/$B$2*$B$12*10</f>
        <v>100.39581657578591</v>
      </c>
      <c r="BZ23" s="17">
        <f>'[1]资源-钻石'!N22/$B$2*$B$12*10</f>
        <v>136.56046100252402</v>
      </c>
      <c r="CA23" s="17">
        <f>'[1]资源-钻石'!O22/$B$2*$B$12*10</f>
        <v>273.58197934470002</v>
      </c>
      <c r="CB23" s="17">
        <f>'[1]资源-钻石'!P22/$B$2*$B$12*10</f>
        <v>410.65162361727033</v>
      </c>
      <c r="CD23" s="17">
        <v>19</v>
      </c>
      <c r="CE23" s="17">
        <f>'[1]资源-钻石'!L22/$B$2*$C$12*10</f>
        <v>33.943508754187086</v>
      </c>
      <c r="CF23" s="17">
        <f>'[1]资源-钻石'!M22/$B$2*$C$12*10</f>
        <v>40.666659878799358</v>
      </c>
      <c r="CG23" s="17">
        <f>'[1]资源-钻石'!N22/$B$2*$C$12*10</f>
        <v>55.31562977317428</v>
      </c>
      <c r="CH23" s="17">
        <f>'[1]资源-钻石'!O22/$B$2*$C$12*10</f>
        <v>110.81801694975191</v>
      </c>
      <c r="CI23" s="17">
        <f>'[1]资源-钻石'!P22/$B$2*$C$12*10</f>
        <v>166.3398981740842</v>
      </c>
      <c r="CN23" s="17">
        <v>0.51</v>
      </c>
      <c r="CO23" s="17">
        <v>95</v>
      </c>
      <c r="CP23" s="17">
        <f>INDEX(节奏总纲!$P$4:$P$163,CO23,1)</f>
        <v>723.0773439350246</v>
      </c>
      <c r="CQ23" s="17">
        <f t="shared" si="31"/>
        <v>0.32557869067691658</v>
      </c>
      <c r="CR23" s="17">
        <f t="shared" ref="CR23:CR36" si="53">CQ23</f>
        <v>0.32557869067691658</v>
      </c>
      <c r="CS23" s="17">
        <f t="shared" ref="CS23:CS36" si="54">CR23</f>
        <v>0.32557869067691658</v>
      </c>
      <c r="CT23" s="17">
        <f t="shared" ref="CT23:CT36" si="55">CS23</f>
        <v>0.32557869067691658</v>
      </c>
      <c r="CU23" s="17">
        <f t="shared" ref="CU23:CU36" si="56">CT23</f>
        <v>0.32557869067691658</v>
      </c>
      <c r="CW23" s="17">
        <v>20</v>
      </c>
      <c r="CX23" s="17">
        <f t="shared" si="1"/>
        <v>0.54792907826086978</v>
      </c>
      <c r="CY23" s="17">
        <f t="shared" si="2"/>
        <v>0.54792907826086978</v>
      </c>
      <c r="CZ23" s="17">
        <f t="shared" si="3"/>
        <v>0.54792907826086978</v>
      </c>
      <c r="DA23" s="17">
        <f t="shared" si="4"/>
        <v>0.54792907826086978</v>
      </c>
      <c r="DB23" s="17">
        <f t="shared" si="5"/>
        <v>0.54792907826086978</v>
      </c>
    </row>
    <row r="24" spans="1:106" x14ac:dyDescent="0.15">
      <c r="B24" s="29" t="s">
        <v>1</v>
      </c>
      <c r="C24" s="29" t="s">
        <v>2</v>
      </c>
      <c r="D24" s="29" t="s">
        <v>0</v>
      </c>
      <c r="E24" s="29" t="s">
        <v>545</v>
      </c>
      <c r="H24" s="17">
        <v>21</v>
      </c>
      <c r="I24" s="29">
        <f>IF(基础状态预期!C34="","",基础状态预期!C34)</f>
        <v>400</v>
      </c>
      <c r="J24" s="29">
        <f>IF(基础状态预期!D34="","",基础状态预期!D34)</f>
        <v>86.465948248806328</v>
      </c>
      <c r="K24" s="29" t="str">
        <f>IF(基础状态预期!F34="","",基础状态预期!F34)</f>
        <v/>
      </c>
      <c r="L24" s="29" t="str">
        <f>IF(基础状态预期!G34="","",基础状态预期!G34)</f>
        <v/>
      </c>
      <c r="M24" s="29" t="str">
        <f>IF(基础状态预期!H34="","",基础状态预期!H34)</f>
        <v/>
      </c>
      <c r="N24" s="29" t="str">
        <f>IF(基础状态预期!I34="","",基础状态预期!I34)</f>
        <v/>
      </c>
      <c r="O24" s="29">
        <f>IF(基础状态预期!J34="","",基础状态预期!J34)</f>
        <v>6</v>
      </c>
      <c r="P24" s="29">
        <f>武将进阶!O21</f>
        <v>0</v>
      </c>
      <c r="Q24" s="29">
        <f>武将进阶!P21</f>
        <v>0</v>
      </c>
      <c r="R24" s="29">
        <f>武将进阶!Q21</f>
        <v>0</v>
      </c>
      <c r="S24" s="29">
        <f>武将进阶!R21</f>
        <v>244.55482739140552</v>
      </c>
      <c r="T24" s="29">
        <f>武将进阶!S21</f>
        <v>0</v>
      </c>
      <c r="U24" s="29">
        <f>武将觉醒!T22</f>
        <v>0</v>
      </c>
      <c r="V24" s="29">
        <f>武将觉醒!U22</f>
        <v>0</v>
      </c>
      <c r="W24" s="29">
        <f>武将觉醒!V22</f>
        <v>0</v>
      </c>
      <c r="X24" s="29">
        <f>武将觉醒!W22</f>
        <v>0</v>
      </c>
      <c r="Y24" s="29">
        <f>武将觉醒!X22</f>
        <v>0</v>
      </c>
      <c r="Z24" s="29"/>
      <c r="AA24" s="29">
        <f>IF(L24="",0,同名需求(L24,武将升星!P21,B$6)+武将升星!U21)</f>
        <v>0</v>
      </c>
      <c r="AB24" s="29">
        <f>IF(M24="",0,同名需求(M24,武将升星!Q21,C$6)+武将升星!V21)</f>
        <v>0</v>
      </c>
      <c r="AC24" s="59">
        <f>IF(N24="",0,同名需求(N24,武将升星!R21,D$6*0.5)+武将升星!W21)</f>
        <v>0</v>
      </c>
      <c r="AD24" s="29">
        <f>IF(O24="",0,同名需求(O24,武将升星!S21,E$6)+武将升星!X21)</f>
        <v>46.187465923462895</v>
      </c>
      <c r="AE24" s="29">
        <f>MAX(U24+P24+IF(K24="",0,K24)*武将升星!O21,Z24)</f>
        <v>0</v>
      </c>
      <c r="AF24" s="29">
        <f>MAX(V24+Q24+IF(L24="",0,L24)*武将升星!P21,AA24)</f>
        <v>0</v>
      </c>
      <c r="AG24" s="29">
        <f>MAX(W24+R24+IF(M24="",0,M24)*武将升星!Q21,AB24)</f>
        <v>0</v>
      </c>
      <c r="AH24" s="29">
        <f>MAX(X24+S24+IF(N24="",0,N24)*武将升星!R21,AC24)</f>
        <v>244.55482739140552</v>
      </c>
      <c r="AI24" s="45">
        <f t="shared" si="48"/>
        <v>46.187465923462895</v>
      </c>
      <c r="AJ24" s="29">
        <f t="shared" si="9"/>
        <v>725493.98350976198</v>
      </c>
      <c r="AK24" s="14" t="e">
        <f>AJ24/求节点('[1]资源-钻石'!$K$4:$K$113,'[1]资源-钻石'!$L$4:$L$113,J24)</f>
        <v>#VALUE!</v>
      </c>
      <c r="AL24" s="16"/>
      <c r="AM24" s="16"/>
      <c r="AN24" s="16"/>
      <c r="AO24" s="16"/>
      <c r="AP24" s="17">
        <v>21</v>
      </c>
      <c r="AR24" s="16">
        <f t="shared" si="19"/>
        <v>4.651470519138325</v>
      </c>
      <c r="AS24" s="29">
        <f>IF(基础状态预期!C34="","",基础状态预期!C34)</f>
        <v>400</v>
      </c>
      <c r="AT24" s="29">
        <f>求节点(节奏总纲!$P$4:$P$163,其他调用!$C$4:$C$163,$AS24)*求节点($CP$5:$CP$36,$CQ$5:$CQ$36,AS24)</f>
        <v>642575.37449486845</v>
      </c>
      <c r="AU24" s="37">
        <f t="shared" si="49"/>
        <v>0</v>
      </c>
      <c r="AV24" s="37">
        <v>1</v>
      </c>
      <c r="AW24" s="38">
        <f t="shared" si="11"/>
        <v>0.4933333333333334</v>
      </c>
      <c r="AX24" s="38">
        <f t="shared" si="12"/>
        <v>0.26666666666666666</v>
      </c>
      <c r="AY24" s="38">
        <f t="shared" si="13"/>
        <v>0.04</v>
      </c>
      <c r="AZ24" s="38">
        <f t="shared" si="14"/>
        <v>2.8000000000000001E-2</v>
      </c>
      <c r="BA24" s="29">
        <f t="shared" si="33"/>
        <v>64190.29316410888</v>
      </c>
      <c r="BB24" s="29">
        <f t="shared" si="20"/>
        <v>137.68352736649445</v>
      </c>
      <c r="BC24" s="29">
        <f t="shared" si="21"/>
        <v>74.4235283062132</v>
      </c>
      <c r="BD24" s="29">
        <f t="shared" si="22"/>
        <v>11.163529245931979</v>
      </c>
      <c r="BE24" s="29">
        <f t="shared" si="23"/>
        <v>5.9910940286501626</v>
      </c>
      <c r="BF24" s="29">
        <f t="shared" si="24"/>
        <v>3320.0000000000005</v>
      </c>
      <c r="BG24" s="29">
        <f t="shared" si="24"/>
        <v>600</v>
      </c>
      <c r="BH24" s="29">
        <f t="shared" si="24"/>
        <v>80</v>
      </c>
      <c r="BI24" s="29">
        <f t="shared" si="24"/>
        <v>0</v>
      </c>
      <c r="BJ24" s="29">
        <f>SUM(BB$7:BB24)+BF24</f>
        <v>4804.2432463732921</v>
      </c>
      <c r="BK24" s="29">
        <f>SUM(BC$7:BC24)+BG24</f>
        <v>1345.0149269505721</v>
      </c>
      <c r="BL24" s="29">
        <f>SUM(BD$7:BD24)+BH24</f>
        <v>214.22979724268063</v>
      </c>
      <c r="BM24" s="29">
        <f>SUM(BE$7:BE24)+BI24</f>
        <v>46.187465923462902</v>
      </c>
      <c r="BN24" s="29">
        <f>SUM(BT$7:BT24)</f>
        <v>16.055398714353437</v>
      </c>
      <c r="BO24" s="17" t="e">
        <f t="shared" si="50"/>
        <v>#DIV/0!</v>
      </c>
      <c r="BP24" s="17" t="e">
        <f t="shared" si="51"/>
        <v>#DIV/0!</v>
      </c>
      <c r="BQ24" s="17" t="e">
        <f t="shared" si="52"/>
        <v>#DIV/0!</v>
      </c>
      <c r="BR24" s="17">
        <f t="shared" si="28"/>
        <v>0</v>
      </c>
      <c r="BS24" s="17">
        <f t="shared" si="17"/>
        <v>80</v>
      </c>
      <c r="BT24" s="17">
        <f t="shared" si="29"/>
        <v>0</v>
      </c>
      <c r="BV24" s="17">
        <f t="shared" si="30"/>
        <v>-30.325030148724892</v>
      </c>
      <c r="BW24" s="17">
        <v>20</v>
      </c>
      <c r="BX24" s="17">
        <f>'[1]资源-钻石'!L23/$B$2*$B$12*10</f>
        <v>90.337977023162864</v>
      </c>
      <c r="BY24" s="17">
        <f>'[1]资源-钻石'!M23/$B$2*$B$12*10</f>
        <v>107.84636380594404</v>
      </c>
      <c r="BZ24" s="17">
        <f>'[1]资源-钻石'!N23/$B$2*$B$12*10</f>
        <v>145.89772528482069</v>
      </c>
      <c r="CA24" s="17">
        <f>'[1]资源-钻石'!O23/$B$2*$B$12*10</f>
        <v>290.53886255097751</v>
      </c>
      <c r="CB24" s="17">
        <f>'[1]资源-钻石'!P23/$B$2*$B$12*10</f>
        <v>450.14600264388747</v>
      </c>
      <c r="CD24" s="17">
        <v>20</v>
      </c>
      <c r="CE24" s="17">
        <f>'[1]资源-钻石'!L23/$B$2*$C$12*10</f>
        <v>36.592598287863439</v>
      </c>
      <c r="CF24" s="17">
        <f>'[1]资源-钻石'!M23/$B$2*$C$12*10</f>
        <v>43.684603060635553</v>
      </c>
      <c r="CG24" s="17">
        <f>'[1]资源-钻石'!N23/$B$2*$C$12*10</f>
        <v>59.097812773598257</v>
      </c>
      <c r="CH24" s="17">
        <f>'[1]资源-钻石'!O23/$B$2*$C$12*10</f>
        <v>117.68662786875039</v>
      </c>
      <c r="CI24" s="17">
        <f>'[1]资源-钻石'!P23/$B$2*$C$12*10</f>
        <v>182.33762132410632</v>
      </c>
      <c r="CN24" s="17">
        <v>0.49</v>
      </c>
      <c r="CO24" s="17">
        <v>100</v>
      </c>
      <c r="CP24" s="17">
        <f>INDEX(节奏总纲!$P$4:$P$163,CO24,1)</f>
        <v>1023</v>
      </c>
      <c r="CQ24" s="17">
        <f t="shared" si="31"/>
        <v>0.30655468090795163</v>
      </c>
      <c r="CR24" s="17">
        <f t="shared" si="53"/>
        <v>0.30655468090795163</v>
      </c>
      <c r="CS24" s="17">
        <f t="shared" si="54"/>
        <v>0.30655468090795163</v>
      </c>
      <c r="CT24" s="17">
        <f t="shared" si="55"/>
        <v>0.30655468090795163</v>
      </c>
      <c r="CU24" s="17">
        <f t="shared" si="56"/>
        <v>0.30655468090795163</v>
      </c>
      <c r="CW24" s="17">
        <v>21</v>
      </c>
      <c r="CX24" s="17">
        <f t="shared" si="1"/>
        <v>0.54308565579130452</v>
      </c>
      <c r="CY24" s="17">
        <f t="shared" si="2"/>
        <v>0.54308565579130452</v>
      </c>
      <c r="CZ24" s="17">
        <f t="shared" si="3"/>
        <v>0.54308565579130452</v>
      </c>
      <c r="DA24" s="17">
        <f t="shared" si="4"/>
        <v>0.54308565579130452</v>
      </c>
      <c r="DB24" s="17">
        <f t="shared" si="5"/>
        <v>0.54308565579130452</v>
      </c>
    </row>
    <row r="25" spans="1:106" x14ac:dyDescent="0.15">
      <c r="A25" s="29" t="s">
        <v>283</v>
      </c>
      <c r="B25" s="29">
        <f t="shared" ref="B25:E29" si="57">B$16*B$17+B18</f>
        <v>0.4933333333333334</v>
      </c>
      <c r="C25" s="29">
        <f t="shared" si="57"/>
        <v>0.26666666666666666</v>
      </c>
      <c r="D25" s="29">
        <f t="shared" si="57"/>
        <v>0.04</v>
      </c>
      <c r="E25" s="29">
        <f t="shared" si="57"/>
        <v>2.8000000000000001E-2</v>
      </c>
      <c r="H25" s="16">
        <v>22</v>
      </c>
      <c r="I25" s="29">
        <f>IF(基础状态预期!C35="","",基础状态预期!C35)</f>
        <v>520</v>
      </c>
      <c r="J25" s="29">
        <f>IF(基础状态预期!D35="","",基础状态预期!D35)</f>
        <v>90.244911202258237</v>
      </c>
      <c r="K25" s="29" t="str">
        <f>IF(基础状态预期!F35="","",基础状态预期!F35)</f>
        <v/>
      </c>
      <c r="L25" s="29" t="str">
        <f>IF(基础状态预期!G35="","",基础状态预期!G35)</f>
        <v/>
      </c>
      <c r="M25" s="29" t="str">
        <f>IF(基础状态预期!H35="","",基础状态预期!H35)</f>
        <v/>
      </c>
      <c r="N25" s="29" t="str">
        <f>IF(基础状态预期!I35="","",基础状态预期!I35)</f>
        <v/>
      </c>
      <c r="O25" s="29">
        <f>IF(基础状态预期!J35="","",基础状态预期!J35)</f>
        <v>6</v>
      </c>
      <c r="P25" s="29">
        <f>武将进阶!O22</f>
        <v>0</v>
      </c>
      <c r="Q25" s="29">
        <f>武将进阶!P22</f>
        <v>0</v>
      </c>
      <c r="R25" s="29">
        <f>武将进阶!Q22</f>
        <v>0</v>
      </c>
      <c r="S25" s="29">
        <f>武将进阶!R22</f>
        <v>271.76336065625935</v>
      </c>
      <c r="T25" s="29">
        <f>武将进阶!S22</f>
        <v>0</v>
      </c>
      <c r="U25" s="29">
        <f>武将觉醒!T23</f>
        <v>0</v>
      </c>
      <c r="V25" s="29">
        <f>武将觉醒!U23</f>
        <v>0</v>
      </c>
      <c r="W25" s="29">
        <f>武将觉醒!V23</f>
        <v>0</v>
      </c>
      <c r="X25" s="29">
        <f>武将觉醒!W23</f>
        <v>0</v>
      </c>
      <c r="Y25" s="29">
        <f>武将觉醒!X23</f>
        <v>0</v>
      </c>
      <c r="Z25" s="29"/>
      <c r="AA25" s="29">
        <f>IF(L25="",0,同名需求(L25,武将升星!P22,B$6)+武将升星!U22)</f>
        <v>0</v>
      </c>
      <c r="AB25" s="29">
        <f>IF(M25="",0,同名需求(M25,武将升星!Q22,C$6)+武将升星!V22)</f>
        <v>0</v>
      </c>
      <c r="AC25" s="59">
        <f>IF(N25="",0,同名需求(N25,武将升星!R22,D$6*0.5)+武将升星!W22)</f>
        <v>0</v>
      </c>
      <c r="AD25" s="29">
        <f>IF(O25="",0,同名需求(O25,武将升星!S22,E$6)+武将升星!X22)</f>
        <v>57.178668124598062</v>
      </c>
      <c r="AE25" s="29">
        <f>MAX(U25+P25+IF(K25="",0,K25)*武将升星!O22,Z25)</f>
        <v>0</v>
      </c>
      <c r="AF25" s="29">
        <f>MAX(V25+Q25+IF(L25="",0,L25)*武将升星!P22,AA25)</f>
        <v>0</v>
      </c>
      <c r="AG25" s="29">
        <f>MAX(W25+R25+IF(M25="",0,M25)*武将升星!Q22,AB25)</f>
        <v>0</v>
      </c>
      <c r="AH25" s="29">
        <f>MAX(X25+S25+IF(N25="",0,N25)*武将升星!R22,AC25)</f>
        <v>271.76336065625935</v>
      </c>
      <c r="AI25" s="45">
        <f t="shared" si="48"/>
        <v>57.178668124598062</v>
      </c>
      <c r="AJ25" s="29">
        <f t="shared" si="9"/>
        <v>823768.06994881667</v>
      </c>
      <c r="AK25" s="14" t="e">
        <f>AJ25/求节点('[1]资源-钻石'!$K$4:$K$113,'[1]资源-钻石'!$L$4:$L$113,J25)</f>
        <v>#VALUE!</v>
      </c>
      <c r="AL25" s="16"/>
      <c r="AM25" s="16"/>
      <c r="AN25" s="16"/>
      <c r="AO25" s="16"/>
      <c r="AP25" s="17">
        <v>22</v>
      </c>
      <c r="AR25" s="16">
        <f t="shared" si="19"/>
        <v>4.2667710408133388</v>
      </c>
      <c r="AS25" s="29">
        <f>IF(基础状态预期!C35="","",基础状态预期!C35)</f>
        <v>520</v>
      </c>
      <c r="AT25" s="29">
        <f>求节点(节奏总纲!$P$4:$P$163,其他调用!$C$4:$C$163,$AS25)*求节点($CP$5:$CP$36,$CQ$5:$CQ$36,AS25)</f>
        <v>760338.25522131659</v>
      </c>
      <c r="AU25" s="37">
        <f t="shared" si="49"/>
        <v>0</v>
      </c>
      <c r="AV25" s="37">
        <v>1</v>
      </c>
      <c r="AW25" s="38">
        <f t="shared" si="11"/>
        <v>0.4933333333333334</v>
      </c>
      <c r="AX25" s="38">
        <f t="shared" si="12"/>
        <v>0.26666666666666666</v>
      </c>
      <c r="AY25" s="38">
        <f t="shared" si="13"/>
        <v>0.04</v>
      </c>
      <c r="AZ25" s="38">
        <f t="shared" si="14"/>
        <v>2.8000000000000001E-2</v>
      </c>
      <c r="BA25" s="29">
        <f t="shared" si="33"/>
        <v>117762.88072644814</v>
      </c>
      <c r="BB25" s="29">
        <f t="shared" si="20"/>
        <v>252.5928456161497</v>
      </c>
      <c r="BC25" s="29">
        <f t="shared" si="21"/>
        <v>136.53667330602684</v>
      </c>
      <c r="BD25" s="29">
        <f t="shared" si="22"/>
        <v>20.480500995904027</v>
      </c>
      <c r="BE25" s="29">
        <f t="shared" si="23"/>
        <v>10.991202201135161</v>
      </c>
      <c r="BF25" s="29">
        <f t="shared" si="24"/>
        <v>4316</v>
      </c>
      <c r="BG25" s="29">
        <f t="shared" si="24"/>
        <v>780</v>
      </c>
      <c r="BH25" s="29">
        <f t="shared" si="24"/>
        <v>104</v>
      </c>
      <c r="BI25" s="29">
        <f t="shared" si="24"/>
        <v>0</v>
      </c>
      <c r="BJ25" s="29">
        <f>SUM(BB$7:BB25)+BF25</f>
        <v>6052.8360919894412</v>
      </c>
      <c r="BK25" s="29">
        <f>SUM(BC$7:BC25)+BG25</f>
        <v>1661.5516002565989</v>
      </c>
      <c r="BL25" s="29">
        <f>SUM(BD$7:BD25)+BH25</f>
        <v>258.71029823858464</v>
      </c>
      <c r="BM25" s="29">
        <f>SUM(BE$7:BE25)+BI25</f>
        <v>57.178668124598062</v>
      </c>
      <c r="BN25" s="29">
        <f>SUM(BT$7:BT25)</f>
        <v>16.055398714353437</v>
      </c>
      <c r="BO25" s="17" t="e">
        <f t="shared" si="50"/>
        <v>#DIV/0!</v>
      </c>
      <c r="BP25" s="17" t="e">
        <f t="shared" si="51"/>
        <v>#DIV/0!</v>
      </c>
      <c r="BQ25" s="17" t="e">
        <f t="shared" si="52"/>
        <v>#DIV/0!</v>
      </c>
      <c r="BR25" s="17">
        <f t="shared" si="28"/>
        <v>0</v>
      </c>
      <c r="BS25" s="17">
        <f t="shared" si="17"/>
        <v>80</v>
      </c>
      <c r="BT25" s="17">
        <f t="shared" si="29"/>
        <v>0</v>
      </c>
      <c r="BV25" s="17">
        <f t="shared" si="30"/>
        <v>-13.05306241767471</v>
      </c>
      <c r="BW25" s="17">
        <v>21</v>
      </c>
      <c r="BX25" s="17">
        <f>'[1]资源-钻石'!L24/$B$2*$B$12*10</f>
        <v>97.347310932665351</v>
      </c>
      <c r="BY25" s="17">
        <f>'[1]资源-钻石'!M24/$B$2*$B$12*10</f>
        <v>115.87554646037211</v>
      </c>
      <c r="BZ25" s="17">
        <f>'[1]资源-钻石'!N24/$B$2*$B$12*10</f>
        <v>156.40208071519805</v>
      </c>
      <c r="CA25" s="17">
        <f>'[1]资源-钻石'!O24/$B$2*$B$12*10</f>
        <v>309.41803080491513</v>
      </c>
      <c r="CB25" s="17">
        <f>'[1]资源-钻石'!P24/$B$2*$B$12*10</f>
        <v>497.09181679376138</v>
      </c>
      <c r="CD25" s="17">
        <v>21</v>
      </c>
      <c r="CE25" s="17">
        <f>'[1]资源-钻石'!L24/$B$2*$C$12*10</f>
        <v>39.431822149940402</v>
      </c>
      <c r="CF25" s="17">
        <f>'[1]资源-钻石'!M24/$B$2*$C$12*10</f>
        <v>46.936930211796295</v>
      </c>
      <c r="CG25" s="17">
        <f>'[1]资源-钻石'!N24/$B$2*$C$12*10</f>
        <v>63.352741555523259</v>
      </c>
      <c r="CH25" s="17">
        <f>'[1]资源-钻石'!O24/$B$2*$C$12*10</f>
        <v>125.33388589566184</v>
      </c>
      <c r="CI25" s="17">
        <f>'[1]资源-钻石'!P24/$B$2*$C$12*10</f>
        <v>201.35364730886536</v>
      </c>
      <c r="CN25" s="17">
        <v>0.49</v>
      </c>
      <c r="CO25" s="17">
        <v>105</v>
      </c>
      <c r="CP25" s="17">
        <f>INDEX(节奏总纲!$P$4:$P$163,CO25,1)</f>
        <v>1447.1546878700494</v>
      </c>
      <c r="CQ25" s="17">
        <f t="shared" si="31"/>
        <v>0.30042358728979263</v>
      </c>
      <c r="CR25" s="17">
        <f t="shared" si="53"/>
        <v>0.30042358728979263</v>
      </c>
      <c r="CS25" s="17">
        <f t="shared" si="54"/>
        <v>0.30042358728979263</v>
      </c>
      <c r="CT25" s="17">
        <f t="shared" si="55"/>
        <v>0.30042358728979263</v>
      </c>
      <c r="CU25" s="17">
        <f t="shared" si="56"/>
        <v>0.30042358728979263</v>
      </c>
      <c r="CW25" s="17">
        <v>22</v>
      </c>
      <c r="CX25" s="17">
        <f t="shared" si="1"/>
        <v>0.53824223332173926</v>
      </c>
      <c r="CY25" s="17">
        <f t="shared" si="2"/>
        <v>0.53824223332173926</v>
      </c>
      <c r="CZ25" s="17">
        <f t="shared" si="3"/>
        <v>0.53824223332173926</v>
      </c>
      <c r="DA25" s="17">
        <f t="shared" si="4"/>
        <v>0.53824223332173926</v>
      </c>
      <c r="DB25" s="17">
        <f t="shared" si="5"/>
        <v>0.53824223332173926</v>
      </c>
    </row>
    <row r="26" spans="1:106" x14ac:dyDescent="0.15">
      <c r="A26" s="29" t="s">
        <v>282</v>
      </c>
      <c r="B26" s="29">
        <f t="shared" si="57"/>
        <v>0.4933333333333334</v>
      </c>
      <c r="C26" s="29">
        <f t="shared" si="57"/>
        <v>0.26666666666666666</v>
      </c>
      <c r="D26" s="29">
        <f t="shared" si="57"/>
        <v>0.04</v>
      </c>
      <c r="E26" s="29">
        <f t="shared" si="57"/>
        <v>2.8000000000000001E-2</v>
      </c>
      <c r="H26" s="17">
        <v>23</v>
      </c>
      <c r="I26" s="29">
        <f>IF(基础状态预期!C36="","",基础状态预期!C36)</f>
        <v>640</v>
      </c>
      <c r="J26" s="29">
        <f>IF(基础状态预期!D36="","",基础状态预期!D36)</f>
        <v>93.235489905456092</v>
      </c>
      <c r="K26" s="29" t="str">
        <f>IF(基础状态预期!F36="","",基础状态预期!F36)</f>
        <v/>
      </c>
      <c r="L26" s="29" t="str">
        <f>IF(基础状态预期!G36="","",基础状态预期!G36)</f>
        <v/>
      </c>
      <c r="M26" s="29" t="str">
        <f>IF(基础状态预期!H36="","",基础状态预期!H36)</f>
        <v/>
      </c>
      <c r="N26" s="29" t="str">
        <f>IF(基础状态预期!I36="","",基础状态预期!I36)</f>
        <v/>
      </c>
      <c r="O26" s="29">
        <f>IF(基础状态预期!J36="","",基础状态预期!J36)</f>
        <v>6</v>
      </c>
      <c r="P26" s="29">
        <f>武将进阶!O23</f>
        <v>0</v>
      </c>
      <c r="Q26" s="29">
        <f>武将进阶!P23</f>
        <v>0</v>
      </c>
      <c r="R26" s="29">
        <f>武将进阶!Q23</f>
        <v>0</v>
      </c>
      <c r="S26" s="29">
        <f>武将进阶!R23</f>
        <v>293.29552731928391</v>
      </c>
      <c r="T26" s="29">
        <f>武将进阶!S23</f>
        <v>0</v>
      </c>
      <c r="U26" s="29">
        <f>武将觉醒!T24</f>
        <v>0</v>
      </c>
      <c r="V26" s="29">
        <f>武将觉醒!U24</f>
        <v>0</v>
      </c>
      <c r="W26" s="29">
        <f>武将觉醒!V24</f>
        <v>0</v>
      </c>
      <c r="X26" s="29">
        <f>武将觉醒!W24</f>
        <v>0</v>
      </c>
      <c r="Y26" s="29">
        <f>武将觉醒!X24</f>
        <v>0</v>
      </c>
      <c r="Z26" s="29"/>
      <c r="AA26" s="29">
        <f>IF(L26="",0,同名需求(L26,武将升星!P23,B$6)+武将升星!U23)</f>
        <v>0</v>
      </c>
      <c r="AB26" s="29">
        <f>IF(M26="",0,同名需求(M26,武将升星!Q23,C$6)+武将升星!V23)</f>
        <v>0</v>
      </c>
      <c r="AC26" s="59">
        <f>IF(N26="",0,同名需求(N26,武将升星!R23,D$6*0.5)+武将升星!W23)</f>
        <v>0</v>
      </c>
      <c r="AD26" s="29">
        <f>IF(O26="",0,同名需求(O26,武将升星!S23,E$6)+武将升星!X23)</f>
        <v>68.080571414721902</v>
      </c>
      <c r="AE26" s="29">
        <f>MAX(U26+P26+IF(K26="",0,K26)*武将升星!O23,Z26)</f>
        <v>0</v>
      </c>
      <c r="AF26" s="29">
        <f>MAX(V26+Q26+IF(L26="",0,L26)*武将升星!P23,AA26)</f>
        <v>0</v>
      </c>
      <c r="AG26" s="29">
        <f>MAX(W26+R26+IF(M26="",0,M26)*武将升星!Q23,AB26)</f>
        <v>0</v>
      </c>
      <c r="AH26" s="29">
        <f>MAX(X26+S26+IF(N26="",0,N26)*武将升星!R23,AC26)</f>
        <v>293.29552731928391</v>
      </c>
      <c r="AI26" s="45">
        <f t="shared" si="48"/>
        <v>68.080571414721902</v>
      </c>
      <c r="AJ26" s="29">
        <f t="shared" si="9"/>
        <v>908150.9798104472</v>
      </c>
      <c r="AK26" s="14" t="e">
        <f>AJ26/求节点('[1]资源-钻石'!$K$4:$K$113,'[1]资源-钻石'!$L$4:$L$113,J26)</f>
        <v>#VALUE!</v>
      </c>
      <c r="AL26" s="16"/>
      <c r="AM26" s="16"/>
      <c r="AN26" s="16"/>
      <c r="AO26" s="16"/>
      <c r="AP26" s="17">
        <v>23</v>
      </c>
      <c r="AR26" s="16">
        <f t="shared" si="19"/>
        <v>4.2321053144890701</v>
      </c>
      <c r="AS26" s="29">
        <f>IF(基础状态预期!C36="","",基础状态预期!C36)</f>
        <v>640</v>
      </c>
      <c r="AT26" s="29">
        <f>求节点(节奏总纲!$P$4:$P$163,其他调用!$C$4:$C$163,$AS26)*求节点($CP$5:$CP$36,$CQ$5:$CQ$36,AS26)</f>
        <v>877144.36190121493</v>
      </c>
      <c r="AU26" s="37">
        <f t="shared" si="49"/>
        <v>0</v>
      </c>
      <c r="AV26" s="37">
        <v>1</v>
      </c>
      <c r="AW26" s="38">
        <f t="shared" si="11"/>
        <v>0.4933333333333334</v>
      </c>
      <c r="AX26" s="38">
        <f t="shared" si="12"/>
        <v>0.26666666666666666</v>
      </c>
      <c r="AY26" s="38">
        <f t="shared" si="13"/>
        <v>0.04</v>
      </c>
      <c r="AZ26" s="38">
        <f t="shared" si="14"/>
        <v>2.8000000000000001E-2</v>
      </c>
      <c r="BA26" s="29">
        <f t="shared" si="33"/>
        <v>116806.10667989834</v>
      </c>
      <c r="BB26" s="29">
        <f t="shared" si="20"/>
        <v>250.540634617753</v>
      </c>
      <c r="BC26" s="29">
        <f t="shared" si="21"/>
        <v>135.42737006365024</v>
      </c>
      <c r="BD26" s="29">
        <f t="shared" si="22"/>
        <v>20.314105509547538</v>
      </c>
      <c r="BE26" s="29">
        <f t="shared" si="23"/>
        <v>10.901903290123844</v>
      </c>
      <c r="BF26" s="29">
        <f t="shared" si="24"/>
        <v>5312</v>
      </c>
      <c r="BG26" s="29">
        <f t="shared" si="24"/>
        <v>960</v>
      </c>
      <c r="BH26" s="29">
        <f t="shared" si="24"/>
        <v>128</v>
      </c>
      <c r="BI26" s="29">
        <f t="shared" si="24"/>
        <v>0</v>
      </c>
      <c r="BJ26" s="29">
        <f>SUM(BB$7:BB26)+BF26</f>
        <v>7299.3767266071945</v>
      </c>
      <c r="BK26" s="29">
        <f>SUM(BC$7:BC26)+BG26</f>
        <v>1976.9789703202491</v>
      </c>
      <c r="BL26" s="29">
        <f>SUM(BD$7:BD26)+BH26</f>
        <v>303.02440374813222</v>
      </c>
      <c r="BM26" s="29">
        <f>SUM(BE$7:BE26)+BI26</f>
        <v>68.080571414721902</v>
      </c>
      <c r="BN26" s="29">
        <f>SUM(BT$7:BT26)</f>
        <v>16.055398714353437</v>
      </c>
      <c r="BO26" s="17" t="e">
        <f t="shared" si="50"/>
        <v>#DIV/0!</v>
      </c>
      <c r="BP26" s="17" t="e">
        <f t="shared" si="51"/>
        <v>#DIV/0!</v>
      </c>
      <c r="BQ26" s="17" t="e">
        <f t="shared" si="52"/>
        <v>#DIV/0!</v>
      </c>
      <c r="BR26" s="17">
        <f t="shared" si="28"/>
        <v>0</v>
      </c>
      <c r="BS26" s="17">
        <f t="shared" si="17"/>
        <v>80</v>
      </c>
      <c r="BT26" s="17">
        <f t="shared" si="29"/>
        <v>0</v>
      </c>
      <c r="BV26" s="17">
        <f t="shared" si="30"/>
        <v>9.7288764288483094</v>
      </c>
      <c r="BW26" s="17">
        <v>22</v>
      </c>
      <c r="BX26" s="17">
        <f>'[1]资源-钻石'!L25/$B$2*$B$12*10</f>
        <v>104.8597290069259</v>
      </c>
      <c r="BY26" s="17">
        <f>'[1]资源-钻石'!M25/$B$2*$B$12*10</f>
        <v>124.68666555038715</v>
      </c>
      <c r="BZ26" s="17">
        <f>'[1]资源-钻石'!N25/$B$2*$B$12*10</f>
        <v>167.85116918246356</v>
      </c>
      <c r="CA26" s="17">
        <f>'[1]资源-钻石'!O25/$B$2*$B$12*10</f>
        <v>330.07246441114478</v>
      </c>
      <c r="CB26" s="17">
        <f>'[1]资源-钻石'!P25/$B$2*$B$12*10</f>
        <v>530.57014232316067</v>
      </c>
      <c r="CD26" s="17">
        <v>22</v>
      </c>
      <c r="CE26" s="17">
        <f>'[1]资源-钻石'!L25/$B$2*$C$12*10</f>
        <v>42.474826939514294</v>
      </c>
      <c r="CF26" s="17">
        <f>'[1]资源-钻石'!M25/$B$2*$C$12*10</f>
        <v>50.505991109017579</v>
      </c>
      <c r="CG26" s="17">
        <f>'[1]资源-钻石'!N25/$B$2*$C$12*10</f>
        <v>67.990347010618152</v>
      </c>
      <c r="CH26" s="17">
        <f>'[1]资源-钻石'!O25/$B$2*$C$12*10</f>
        <v>133.70023874881812</v>
      </c>
      <c r="CI26" s="17">
        <f>'[1]资源-钻石'!P25/$B$2*$C$12*10</f>
        <v>214.91448802963473</v>
      </c>
      <c r="CN26" s="17">
        <v>0.49</v>
      </c>
      <c r="CO26" s="17">
        <v>110</v>
      </c>
      <c r="CP26" s="17">
        <f>INDEX(节奏总纲!$P$4:$P$163,CO26,1)</f>
        <v>2047</v>
      </c>
      <c r="CQ26" s="17">
        <f t="shared" si="31"/>
        <v>0.29441511554399674</v>
      </c>
      <c r="CR26" s="17">
        <f t="shared" si="53"/>
        <v>0.29441511554399674</v>
      </c>
      <c r="CS26" s="17">
        <f t="shared" si="54"/>
        <v>0.29441511554399674</v>
      </c>
      <c r="CT26" s="17">
        <f t="shared" si="55"/>
        <v>0.29441511554399674</v>
      </c>
      <c r="CU26" s="17">
        <f t="shared" si="56"/>
        <v>0.29441511554399674</v>
      </c>
      <c r="CW26" s="17">
        <v>23</v>
      </c>
      <c r="CX26" s="17">
        <f t="shared" si="1"/>
        <v>0.53339881085217411</v>
      </c>
      <c r="CY26" s="17">
        <f t="shared" si="2"/>
        <v>0.53339881085217411</v>
      </c>
      <c r="CZ26" s="17">
        <f t="shared" si="3"/>
        <v>0.53339881085217411</v>
      </c>
      <c r="DA26" s="17">
        <f t="shared" si="4"/>
        <v>0.53339881085217411</v>
      </c>
      <c r="DB26" s="17">
        <f t="shared" si="5"/>
        <v>0.53339881085217411</v>
      </c>
    </row>
    <row r="27" spans="1:106" x14ac:dyDescent="0.15">
      <c r="A27" s="29" t="s">
        <v>281</v>
      </c>
      <c r="B27" s="29">
        <f t="shared" si="57"/>
        <v>0.4933333333333334</v>
      </c>
      <c r="C27" s="29">
        <f t="shared" si="57"/>
        <v>0.26666666666666666</v>
      </c>
      <c r="D27" s="29">
        <f t="shared" si="57"/>
        <v>0.04</v>
      </c>
      <c r="E27" s="29">
        <f t="shared" si="57"/>
        <v>2.4E-2</v>
      </c>
      <c r="H27" s="16">
        <v>24</v>
      </c>
      <c r="I27" s="29">
        <f>IF(基础状态预期!C37="","",基础状态预期!C37)</f>
        <v>820</v>
      </c>
      <c r="J27" s="29">
        <f>IF(基础状态预期!D37="","",基础状态预期!D37)</f>
        <v>96.807063977001675</v>
      </c>
      <c r="K27" s="29" t="str">
        <f>IF(基础状态预期!F37="","",基础状态预期!F37)</f>
        <v/>
      </c>
      <c r="L27" s="29" t="str">
        <f>IF(基础状态预期!G37="","",基础状态预期!G37)</f>
        <v/>
      </c>
      <c r="M27" s="29" t="str">
        <f>IF(基础状态预期!H37="","",基础状态预期!H37)</f>
        <v/>
      </c>
      <c r="N27" s="29" t="str">
        <f>IF(基础状态预期!I37="","",基础状态预期!I37)</f>
        <v/>
      </c>
      <c r="O27" s="29">
        <f>IF(基础状态预期!J37="","",基础状态预期!J37)</f>
        <v>6</v>
      </c>
      <c r="P27" s="29">
        <f>武将进阶!O24</f>
        <v>0</v>
      </c>
      <c r="Q27" s="29">
        <f>武将进阶!P24</f>
        <v>0</v>
      </c>
      <c r="R27" s="29">
        <f>武将进阶!Q24</f>
        <v>0</v>
      </c>
      <c r="S27" s="29">
        <f>武将进阶!R24</f>
        <v>319.01086063441204</v>
      </c>
      <c r="T27" s="29">
        <f>武将进阶!S24</f>
        <v>0</v>
      </c>
      <c r="U27" s="29">
        <f>武将觉醒!T25</f>
        <v>0</v>
      </c>
      <c r="V27" s="29">
        <f>武将觉醒!U25</f>
        <v>0</v>
      </c>
      <c r="W27" s="29">
        <f>武将觉醒!V25</f>
        <v>0</v>
      </c>
      <c r="X27" s="29">
        <f>武将觉醒!W25</f>
        <v>0</v>
      </c>
      <c r="Y27" s="29">
        <f>武将觉醒!X25</f>
        <v>0</v>
      </c>
      <c r="Z27" s="29"/>
      <c r="AA27" s="29">
        <f>IF(L27="",0,同名需求(L27,武将升星!P24,B$6)+武将升星!U24)</f>
        <v>0</v>
      </c>
      <c r="AB27" s="29">
        <f>IF(M27="",0,同名需求(M27,武将升星!Q24,C$6)+武将升星!V24)</f>
        <v>0</v>
      </c>
      <c r="AC27" s="59">
        <f>IF(N27="",0,同名需求(N27,武将升星!R24,D$6*0.5)+武将升星!W24)</f>
        <v>0</v>
      </c>
      <c r="AD27" s="29">
        <f>IF(O27="",0,同名需求(O27,武将升星!S24,E$6)+武将升星!X24)</f>
        <v>82.842486814527348</v>
      </c>
      <c r="AE27" s="29">
        <f>MAX(U27+P27+IF(K27="",0,K27)*武将升星!O24,Z27)</f>
        <v>0</v>
      </c>
      <c r="AF27" s="29">
        <f>MAX(V27+Q27+IF(L27="",0,L27)*武将升星!P24,AA27)</f>
        <v>0</v>
      </c>
      <c r="AG27" s="29">
        <f>MAX(W27+R27+IF(M27="",0,M27)*武将升星!Q24,AB27)</f>
        <v>0</v>
      </c>
      <c r="AH27" s="29">
        <f>MAX(X27+S27+IF(N27="",0,N27)*武将升星!R24,AC27)</f>
        <v>319.01086063441204</v>
      </c>
      <c r="AI27" s="45">
        <f t="shared" si="48"/>
        <v>82.842486814527348</v>
      </c>
      <c r="AJ27" s="29">
        <f t="shared" si="9"/>
        <v>1014153.5259661709</v>
      </c>
      <c r="AK27" s="14" t="e">
        <f>AJ27/求节点('[1]资源-钻石'!$K$4:$K$113,'[1]资源-钻石'!$L$4:$L$113,J27)</f>
        <v>#VALUE!</v>
      </c>
      <c r="AL27" s="16"/>
      <c r="AM27" s="16"/>
      <c r="AN27" s="16"/>
      <c r="AO27" s="16"/>
      <c r="AP27" s="17">
        <v>24</v>
      </c>
      <c r="AR27" s="16">
        <f t="shared" si="19"/>
        <v>3.8203714802809166</v>
      </c>
      <c r="AS27" s="29">
        <f>IF(基础状态预期!C37="","",基础状态预期!C37)</f>
        <v>820</v>
      </c>
      <c r="AT27" s="29">
        <f>求节点(节奏总纲!$P$4:$P$163,其他调用!$C$4:$C$163,$AS27)*求节点($CP$5:$CP$36,$CQ$5:$CQ$36,AS27)</f>
        <v>1035307.7411848449</v>
      </c>
      <c r="AU27" s="37">
        <f t="shared" si="49"/>
        <v>0</v>
      </c>
      <c r="AV27" s="37">
        <v>1</v>
      </c>
      <c r="AW27" s="38">
        <f t="shared" si="11"/>
        <v>0.4933333333333334</v>
      </c>
      <c r="AX27" s="38">
        <f t="shared" si="12"/>
        <v>0.26666666666666666</v>
      </c>
      <c r="AY27" s="38">
        <f t="shared" si="13"/>
        <v>0.04</v>
      </c>
      <c r="AZ27" s="38">
        <f t="shared" si="14"/>
        <v>2.8000000000000001E-2</v>
      </c>
      <c r="BA27" s="29">
        <f t="shared" si="33"/>
        <v>158163.37928362994</v>
      </c>
      <c r="BB27" s="29">
        <f t="shared" si="20"/>
        <v>339.2489874489454</v>
      </c>
      <c r="BC27" s="29">
        <f t="shared" si="21"/>
        <v>183.37783105348399</v>
      </c>
      <c r="BD27" s="29">
        <f t="shared" si="22"/>
        <v>27.5066746580226</v>
      </c>
      <c r="BE27" s="29">
        <f t="shared" si="23"/>
        <v>14.761915399805464</v>
      </c>
      <c r="BF27" s="29">
        <f t="shared" si="24"/>
        <v>6806.0000000000009</v>
      </c>
      <c r="BG27" s="29">
        <f t="shared" si="24"/>
        <v>1230</v>
      </c>
      <c r="BH27" s="29">
        <f t="shared" si="24"/>
        <v>164</v>
      </c>
      <c r="BI27" s="29">
        <f t="shared" si="24"/>
        <v>0</v>
      </c>
      <c r="BJ27" s="29">
        <f>SUM(BB$7:BB27)+BF27</f>
        <v>9132.6257140561411</v>
      </c>
      <c r="BK27" s="29">
        <f>SUM(BC$7:BC27)+BG27</f>
        <v>2430.3568013737331</v>
      </c>
      <c r="BL27" s="29">
        <f>SUM(BD$7:BD27)+BH27</f>
        <v>366.53107840615485</v>
      </c>
      <c r="BM27" s="29">
        <f>SUM(BE$7:BE27)+BI27</f>
        <v>82.842486814527362</v>
      </c>
      <c r="BN27" s="29">
        <f>SUM(BT$7:BT27)</f>
        <v>16.055398714353437</v>
      </c>
      <c r="BO27" s="17" t="e">
        <f t="shared" si="50"/>
        <v>#DIV/0!</v>
      </c>
      <c r="BP27" s="17" t="e">
        <f t="shared" si="51"/>
        <v>#DIV/0!</v>
      </c>
      <c r="BQ27" s="17" t="e">
        <f t="shared" si="52"/>
        <v>#DIV/0!</v>
      </c>
      <c r="BR27" s="17">
        <f t="shared" si="28"/>
        <v>0</v>
      </c>
      <c r="BS27" s="17">
        <f t="shared" si="17"/>
        <v>80</v>
      </c>
      <c r="BT27" s="17">
        <f t="shared" si="29"/>
        <v>0</v>
      </c>
      <c r="BV27" s="17">
        <f t="shared" si="30"/>
        <v>47.520217771742807</v>
      </c>
      <c r="BW27" s="17">
        <v>23</v>
      </c>
      <c r="BX27" s="17">
        <f>'[1]资源-钻石'!L26/$B$2*$B$12*10</f>
        <v>112.91133933839635</v>
      </c>
      <c r="BY27" s="17">
        <f>'[1]资源-钻石'!M26/$B$2*$B$12*10</f>
        <v>133.87034719778501</v>
      </c>
      <c r="BZ27" s="17">
        <f>'[1]资源-钻石'!N26/$B$2*$B$12*10</f>
        <v>179.46177893842633</v>
      </c>
      <c r="CA27" s="17">
        <f>'[1]资源-钻石'!O26/$B$2*$B$12*10</f>
        <v>350.81034861669957</v>
      </c>
      <c r="CB27" s="17">
        <f>'[1]资源-钻石'!P26/$B$2*$B$12*10</f>
        <v>556.02237784171029</v>
      </c>
      <c r="CD27" s="17">
        <v>23</v>
      </c>
      <c r="CE27" s="17">
        <f>'[1]资源-钻石'!L26/$B$2*$C$12*10</f>
        <v>45.736238719350418</v>
      </c>
      <c r="CF27" s="17">
        <f>'[1]资源-钻石'!M26/$B$2*$C$12*10</f>
        <v>54.225963421887599</v>
      </c>
      <c r="CG27" s="17">
        <f>'[1]资源-钻石'!N26/$B$2*$C$12*10</f>
        <v>72.693378810501812</v>
      </c>
      <c r="CH27" s="17">
        <f>'[1]资源-钻石'!O26/$B$2*$C$12*10</f>
        <v>142.10039437638466</v>
      </c>
      <c r="CI27" s="17">
        <f>'[1]资源-钻石'!P26/$B$2*$C$12*10</f>
        <v>225.22425431562951</v>
      </c>
      <c r="CN27" s="17">
        <v>0.49</v>
      </c>
      <c r="CO27" s="17">
        <v>115</v>
      </c>
      <c r="CP27" s="17">
        <f>INDEX(节奏总纲!$P$4:$P$163,CO27,1)</f>
        <v>2895.3093757400989</v>
      </c>
      <c r="CQ27" s="17">
        <f t="shared" si="31"/>
        <v>0.2885268132331168</v>
      </c>
      <c r="CR27" s="17">
        <f t="shared" si="53"/>
        <v>0.2885268132331168</v>
      </c>
      <c r="CS27" s="17">
        <f t="shared" si="54"/>
        <v>0.2885268132331168</v>
      </c>
      <c r="CT27" s="17">
        <f t="shared" si="55"/>
        <v>0.2885268132331168</v>
      </c>
      <c r="CU27" s="17">
        <f t="shared" si="56"/>
        <v>0.2885268132331168</v>
      </c>
      <c r="CW27" s="17">
        <v>24</v>
      </c>
      <c r="CX27" s="17">
        <f t="shared" si="1"/>
        <v>0.52855538838260885</v>
      </c>
      <c r="CY27" s="17">
        <f t="shared" si="2"/>
        <v>0.52855538838260885</v>
      </c>
      <c r="CZ27" s="17">
        <f t="shared" si="3"/>
        <v>0.52855538838260885</v>
      </c>
      <c r="DA27" s="17">
        <f t="shared" si="4"/>
        <v>0.52855538838260885</v>
      </c>
      <c r="DB27" s="17">
        <f t="shared" si="5"/>
        <v>0.52855538838260885</v>
      </c>
    </row>
    <row r="28" spans="1:106" x14ac:dyDescent="0.15">
      <c r="A28" s="29" t="s">
        <v>280</v>
      </c>
      <c r="B28" s="29">
        <f t="shared" si="57"/>
        <v>0.4933333333333334</v>
      </c>
      <c r="C28" s="29">
        <f t="shared" si="57"/>
        <v>0.26666666666666666</v>
      </c>
      <c r="D28" s="29">
        <f t="shared" si="57"/>
        <v>0.04</v>
      </c>
      <c r="E28" s="29">
        <f t="shared" si="57"/>
        <v>0.02</v>
      </c>
      <c r="H28" s="17">
        <v>25</v>
      </c>
      <c r="I28" s="29">
        <f>IF(基础状态预期!C38="","",基础状态预期!C38)</f>
        <v>1060</v>
      </c>
      <c r="J28" s="29">
        <f>IF(基础状态预期!D38="","",基础状态预期!D38)</f>
        <v>100.50342858241972</v>
      </c>
      <c r="K28" s="29" t="str">
        <f>IF(基础状态预期!F38="","",基础状态预期!F38)</f>
        <v/>
      </c>
      <c r="L28" s="29" t="str">
        <f>IF(基础状态预期!G38="","",基础状态预期!G38)</f>
        <v/>
      </c>
      <c r="M28" s="29" t="str">
        <f>IF(基础状态预期!H38="","",基础状态预期!H38)</f>
        <v/>
      </c>
      <c r="N28" s="29" t="str">
        <f>IF(基础状态预期!I38="","",基础状态预期!I38)</f>
        <v/>
      </c>
      <c r="O28" s="29">
        <f>IF(基础状态预期!J38="","",基础状态预期!J38)</f>
        <v>6</v>
      </c>
      <c r="P28" s="29">
        <f>武将进阶!O25</f>
        <v>0</v>
      </c>
      <c r="Q28" s="29">
        <f>武将进阶!P25</f>
        <v>0</v>
      </c>
      <c r="R28" s="29">
        <f>武将进阶!Q25</f>
        <v>0</v>
      </c>
      <c r="S28" s="29">
        <f>武将进阶!R25</f>
        <v>348.04114298903664</v>
      </c>
      <c r="T28" s="29">
        <f>武将进阶!S25</f>
        <v>0</v>
      </c>
      <c r="U28" s="29">
        <f>武将觉醒!T26</f>
        <v>0</v>
      </c>
      <c r="V28" s="29">
        <f>武将觉醒!U26</f>
        <v>0</v>
      </c>
      <c r="W28" s="29">
        <f>武将觉醒!V26</f>
        <v>0</v>
      </c>
      <c r="X28" s="29">
        <f>武将觉醒!W26</f>
        <v>0</v>
      </c>
      <c r="Y28" s="29">
        <f>武将觉醒!X26</f>
        <v>0</v>
      </c>
      <c r="Z28" s="29"/>
      <c r="AA28" s="29">
        <f>IF(L28="",0,同名需求(L28,武将升星!P25,B$6)+武将升星!U25)</f>
        <v>0</v>
      </c>
      <c r="AB28" s="29">
        <f>IF(M28="",0,同名需求(M28,武将升星!Q25,C$6)+武将升星!V25)</f>
        <v>0</v>
      </c>
      <c r="AC28" s="59">
        <f>IF(N28="",0,同名需求(N28,武将升星!R25,D$6*0.5)+武将升星!W25)</f>
        <v>0</v>
      </c>
      <c r="AD28" s="29">
        <f>IF(O28="",0,同名需求(O28,武将升星!S25,E$6)+武将升星!X25)</f>
        <v>101.16571202319251</v>
      </c>
      <c r="AE28" s="29">
        <f>MAX(U28+P28+IF(K28="",0,K28)*武将升星!O25,Z28)</f>
        <v>0</v>
      </c>
      <c r="AF28" s="29">
        <f>MAX(V28+Q28+IF(L28="",0,L28)*武将升星!P25,AA28)</f>
        <v>0</v>
      </c>
      <c r="AG28" s="29">
        <f>MAX(W28+R28+IF(M28="",0,M28)*武将升星!Q25,AB28)</f>
        <v>0</v>
      </c>
      <c r="AH28" s="29">
        <f>MAX(X28+S28+IF(N28="",0,N28)*武将升星!R25,AC28)</f>
        <v>348.04114298903664</v>
      </c>
      <c r="AI28" s="45">
        <f t="shared" si="48"/>
        <v>101.16571202319251</v>
      </c>
      <c r="AJ28" s="29">
        <f t="shared" si="9"/>
        <v>1138795.8792432656</v>
      </c>
      <c r="AK28" s="14" t="e">
        <f>AJ28/求节点('[1]资源-钻石'!$K$4:$K$113,'[1]资源-钻石'!$L$4:$L$113,J28)</f>
        <v>#VALUE!</v>
      </c>
      <c r="AL28" s="16"/>
      <c r="AM28" s="16"/>
      <c r="AN28" s="16"/>
      <c r="AO28" s="16"/>
      <c r="AP28" s="17">
        <v>25</v>
      </c>
      <c r="AR28" s="16">
        <f t="shared" si="19"/>
        <v>3.5565266321166806</v>
      </c>
      <c r="AS28" s="29">
        <f>IF(基础状态预期!C38="","",基础状态预期!C38)</f>
        <v>1060</v>
      </c>
      <c r="AT28" s="29">
        <f>求节点(节奏总纲!$P$4:$P$163,其他调用!$C$4:$C$163,$AS28)*求节点($CP$5:$CP$36,$CQ$5:$CQ$36,AS28)</f>
        <v>1231628.0112776856</v>
      </c>
      <c r="AU28" s="37">
        <f t="shared" si="49"/>
        <v>0</v>
      </c>
      <c r="AV28" s="37">
        <v>1</v>
      </c>
      <c r="AW28" s="38">
        <f t="shared" si="11"/>
        <v>0.4933333333333334</v>
      </c>
      <c r="AX28" s="38">
        <f t="shared" si="12"/>
        <v>0.26666666666666666</v>
      </c>
      <c r="AY28" s="38">
        <f t="shared" si="13"/>
        <v>0.04</v>
      </c>
      <c r="AZ28" s="38">
        <f t="shared" si="14"/>
        <v>2.8000000000000001E-2</v>
      </c>
      <c r="BA28" s="29">
        <f t="shared" si="33"/>
        <v>196320.27009284077</v>
      </c>
      <c r="BB28" s="29">
        <f t="shared" si="20"/>
        <v>421.09275324261506</v>
      </c>
      <c r="BC28" s="29">
        <f t="shared" si="21"/>
        <v>227.61770445546756</v>
      </c>
      <c r="BD28" s="29">
        <f t="shared" si="22"/>
        <v>34.142655668320138</v>
      </c>
      <c r="BE28" s="29">
        <f t="shared" si="23"/>
        <v>18.323225208665139</v>
      </c>
      <c r="BF28" s="29">
        <f t="shared" si="24"/>
        <v>8798</v>
      </c>
      <c r="BG28" s="29">
        <f t="shared" si="24"/>
        <v>1590</v>
      </c>
      <c r="BH28" s="29">
        <f t="shared" si="24"/>
        <v>212</v>
      </c>
      <c r="BI28" s="29">
        <f t="shared" si="24"/>
        <v>0</v>
      </c>
      <c r="BJ28" s="29">
        <f>SUM(BB$7:BB28)+BF28</f>
        <v>11545.718467298755</v>
      </c>
      <c r="BK28" s="29">
        <f>SUM(BC$7:BC28)+BG28</f>
        <v>3017.9745058292006</v>
      </c>
      <c r="BL28" s="29">
        <f>SUM(BD$7:BD28)+BH28</f>
        <v>448.67373407447496</v>
      </c>
      <c r="BM28" s="29">
        <f>SUM(BE$7:BE28)+BI28</f>
        <v>101.1657120231925</v>
      </c>
      <c r="BN28" s="29">
        <f>SUM(BT$7:BT28)</f>
        <v>16.055398714353437</v>
      </c>
      <c r="BO28" s="17" t="e">
        <f t="shared" si="50"/>
        <v>#DIV/0!</v>
      </c>
      <c r="BP28" s="17" t="e">
        <f t="shared" si="51"/>
        <v>#DIV/0!</v>
      </c>
      <c r="BQ28" s="17" t="e">
        <f t="shared" si="52"/>
        <v>#DIV/0!</v>
      </c>
      <c r="BR28" s="17">
        <f t="shared" si="28"/>
        <v>0</v>
      </c>
      <c r="BS28" s="17">
        <f t="shared" si="17"/>
        <v>80</v>
      </c>
      <c r="BT28" s="17">
        <f t="shared" si="29"/>
        <v>0</v>
      </c>
      <c r="BV28" s="17">
        <f t="shared" si="30"/>
        <v>100.63259108543832</v>
      </c>
      <c r="BW28" s="17">
        <v>24</v>
      </c>
      <c r="BX28" s="17">
        <f>'[1]资源-钻石'!L27/$B$2*$B$12*10</f>
        <v>121.54084162234945</v>
      </c>
      <c r="BY28" s="17">
        <f>'[1]资源-钻石'!M27/$B$2*$B$12*10</f>
        <v>144.0080291466779</v>
      </c>
      <c r="BZ28" s="17">
        <f>'[1]资源-钻石'!N27/$B$2*$B$12*10</f>
        <v>192.67395125490629</v>
      </c>
      <c r="CA28" s="17">
        <f>'[1]资源-钻石'!O27/$B$2*$B$12*10</f>
        <v>374.28603782649043</v>
      </c>
      <c r="CB28" s="17">
        <f>'[1]资源-钻石'!P27/$B$2*$B$12*10</f>
        <v>585.96087021029086</v>
      </c>
      <c r="CD28" s="17">
        <v>24</v>
      </c>
      <c r="CE28" s="17">
        <f>'[1]资源-钻石'!L27/$B$2*$C$12*10</f>
        <v>49.231733315382058</v>
      </c>
      <c r="CF28" s="17">
        <f>'[1]资源-钻石'!M27/$B$2*$C$12*10</f>
        <v>58.332366236629021</v>
      </c>
      <c r="CG28" s="17">
        <f>'[1]资源-钻石'!N27/$B$2*$C$12*10</f>
        <v>78.045144812113961</v>
      </c>
      <c r="CH28" s="17">
        <f>'[1]资源-钻石'!O27/$B$2*$C$12*10</f>
        <v>151.60953430946446</v>
      </c>
      <c r="CI28" s="17">
        <f>'[1]资源-钻石'!P27/$B$2*$C$12*10</f>
        <v>237.35123856619379</v>
      </c>
      <c r="CN28" s="17">
        <v>0.49</v>
      </c>
      <c r="CO28" s="17">
        <v>120</v>
      </c>
      <c r="CP28" s="17">
        <f>INDEX(节奏总纲!$P$4:$P$163,CO28,1)</f>
        <v>4095</v>
      </c>
      <c r="CQ28" s="17">
        <f t="shared" si="31"/>
        <v>0.28275627696845446</v>
      </c>
      <c r="CR28" s="17">
        <f t="shared" si="53"/>
        <v>0.28275627696845446</v>
      </c>
      <c r="CS28" s="17">
        <f t="shared" si="54"/>
        <v>0.28275627696845446</v>
      </c>
      <c r="CT28" s="17">
        <f t="shared" si="55"/>
        <v>0.28275627696845446</v>
      </c>
      <c r="CU28" s="17">
        <f t="shared" si="56"/>
        <v>0.28275627696845446</v>
      </c>
      <c r="CW28" s="17">
        <v>25</v>
      </c>
      <c r="CX28" s="17">
        <f t="shared" si="1"/>
        <v>0.52371196591304359</v>
      </c>
      <c r="CY28" s="17">
        <f t="shared" si="2"/>
        <v>0.52371196591304359</v>
      </c>
      <c r="CZ28" s="17">
        <f t="shared" si="3"/>
        <v>0.52371196591304359</v>
      </c>
      <c r="DA28" s="17">
        <f t="shared" si="4"/>
        <v>0.52371196591304359</v>
      </c>
      <c r="DB28" s="17">
        <f t="shared" si="5"/>
        <v>0.52371196591304359</v>
      </c>
    </row>
    <row r="29" spans="1:106" x14ac:dyDescent="0.15">
      <c r="A29" s="29" t="s">
        <v>279</v>
      </c>
      <c r="B29" s="29">
        <f t="shared" si="57"/>
        <v>0.4933333333333334</v>
      </c>
      <c r="C29" s="29">
        <f t="shared" si="57"/>
        <v>0.26666666666666666</v>
      </c>
      <c r="D29" s="29">
        <f t="shared" si="57"/>
        <v>0.04</v>
      </c>
      <c r="E29" s="29">
        <f t="shared" si="57"/>
        <v>1.6E-2</v>
      </c>
      <c r="H29" s="16">
        <v>26</v>
      </c>
      <c r="I29" s="29">
        <f>IF(基础状态预期!C39="","",基础状态预期!C39)</f>
        <v>1360</v>
      </c>
      <c r="J29" s="29">
        <f>IF(基础状态预期!D39="","",基础状态预期!D39)</f>
        <v>104.10129967499306</v>
      </c>
      <c r="K29" s="29" t="str">
        <f>IF(基础状态预期!F39="","",基础状态预期!F39)</f>
        <v/>
      </c>
      <c r="L29" s="29" t="str">
        <f>IF(基础状态预期!G39="","",基础状态预期!G39)</f>
        <v/>
      </c>
      <c r="M29" s="29" t="str">
        <f>IF(基础状态预期!H39="","",基础状态预期!H39)</f>
        <v/>
      </c>
      <c r="N29" s="29" t="str">
        <f>IF(基础状态预期!I39="","",基础状态预期!I39)</f>
        <v/>
      </c>
      <c r="O29" s="29">
        <f>IF(基础状态预期!J39="","",基础状态预期!J39)</f>
        <v>6</v>
      </c>
      <c r="P29" s="29">
        <f>武将进阶!O26</f>
        <v>0</v>
      </c>
      <c r="Q29" s="29">
        <f>武将进阶!P26</f>
        <v>0</v>
      </c>
      <c r="R29" s="29">
        <f>武将进阶!Q26</f>
        <v>0</v>
      </c>
      <c r="S29" s="29">
        <f>武将进阶!R26</f>
        <v>391.21559609991675</v>
      </c>
      <c r="T29" s="29">
        <f>武将进阶!S26</f>
        <v>0</v>
      </c>
      <c r="U29" s="29">
        <f>武将觉醒!T27</f>
        <v>0</v>
      </c>
      <c r="V29" s="29">
        <f>武将觉醒!U27</f>
        <v>0</v>
      </c>
      <c r="W29" s="29">
        <f>武将觉醒!V27</f>
        <v>0</v>
      </c>
      <c r="X29" s="29">
        <f>武将觉醒!W27</f>
        <v>0</v>
      </c>
      <c r="Y29" s="29">
        <f>武将觉醒!X27</f>
        <v>0</v>
      </c>
      <c r="Z29" s="29"/>
      <c r="AA29" s="29">
        <f>IF(L29="",0,同名需求(L29,武将升星!P26,B$6)+武将升星!U26)</f>
        <v>0</v>
      </c>
      <c r="AB29" s="29">
        <f>IF(M29="",0,同名需求(M29,武将升星!Q26,C$6)+武将升星!V26)</f>
        <v>0</v>
      </c>
      <c r="AC29" s="59">
        <f>IF(N29="",0,同名需求(N29,武将升星!R26,D$6*0.5)+武将升星!W26)</f>
        <v>0</v>
      </c>
      <c r="AD29" s="29">
        <f>IF(O29="",0,同名需求(O29,武将升星!S26,E$6)+武将升星!X26)</f>
        <v>108</v>
      </c>
      <c r="AE29" s="29">
        <f>MAX(U29+P29+IF(K29="",0,K29)*武将升星!O26,Z29)</f>
        <v>0</v>
      </c>
      <c r="AF29" s="29">
        <f>MAX(V29+Q29+IF(L29="",0,L29)*武将升星!P26,AA29)</f>
        <v>0</v>
      </c>
      <c r="AG29" s="29">
        <f>MAX(W29+R29+IF(M29="",0,M29)*武将升星!Q26,AB29)</f>
        <v>0</v>
      </c>
      <c r="AH29" s="29">
        <f>MAX(X29+S29+IF(N29="",0,N29)*武将升星!R26,AC29)</f>
        <v>391.21559609991675</v>
      </c>
      <c r="AI29" s="45">
        <f t="shared" si="48"/>
        <v>108</v>
      </c>
      <c r="AJ29" s="29">
        <f t="shared" si="9"/>
        <v>1262917.4306398004</v>
      </c>
      <c r="AK29" s="14" t="e">
        <f>AJ29/求节点('[1]资源-钻石'!$K$4:$K$113,'[1]资源-钻石'!$L$4:$L$113,J29)</f>
        <v>#VALUE!</v>
      </c>
      <c r="AL29" s="16"/>
      <c r="AM29" s="16"/>
      <c r="AN29" s="16"/>
      <c r="AO29" s="16"/>
      <c r="AP29" s="17">
        <v>26</v>
      </c>
      <c r="AR29" s="16">
        <f t="shared" si="19"/>
        <v>4.0288689404596045</v>
      </c>
      <c r="AS29" s="29">
        <f>IF(基础状态预期!C39="","",基础状态预期!C39)</f>
        <v>1360</v>
      </c>
      <c r="AT29" s="29">
        <f>求节点(节奏总纲!$P$4:$P$163,其他调用!$C$4:$C$163,$AS29)*求节点($CP$5:$CP$36,$CQ$5:$CQ$36,AS29)</f>
        <v>1509619.9681693984</v>
      </c>
      <c r="AU29" s="37">
        <f t="shared" si="49"/>
        <v>0</v>
      </c>
      <c r="AV29" s="37">
        <v>1</v>
      </c>
      <c r="AW29" s="38">
        <f t="shared" si="11"/>
        <v>0.4933333333333334</v>
      </c>
      <c r="AX29" s="38">
        <f t="shared" si="12"/>
        <v>0.26666666666666666</v>
      </c>
      <c r="AY29" s="38">
        <f t="shared" si="13"/>
        <v>0.04</v>
      </c>
      <c r="AZ29" s="38">
        <f t="shared" si="14"/>
        <v>2.8000000000000001E-2</v>
      </c>
      <c r="BA29" s="29">
        <f t="shared" si="33"/>
        <v>277991.95689171273</v>
      </c>
      <c r="BB29" s="29">
        <f t="shared" si="20"/>
        <v>596.27260318802155</v>
      </c>
      <c r="BC29" s="29">
        <f t="shared" si="21"/>
        <v>322.30951523676839</v>
      </c>
      <c r="BD29" s="29">
        <f t="shared" si="22"/>
        <v>48.346427285515254</v>
      </c>
      <c r="BE29" s="29">
        <f t="shared" si="23"/>
        <v>25.945915976559856</v>
      </c>
      <c r="BF29" s="29">
        <f t="shared" si="24"/>
        <v>11288.000000000002</v>
      </c>
      <c r="BG29" s="29">
        <f t="shared" si="24"/>
        <v>2040</v>
      </c>
      <c r="BH29" s="29">
        <f t="shared" si="24"/>
        <v>272</v>
      </c>
      <c r="BI29" s="29">
        <f t="shared" si="24"/>
        <v>0</v>
      </c>
      <c r="BJ29" s="29">
        <f>SUM(BB$7:BB29)+BF29</f>
        <v>14631.991070486778</v>
      </c>
      <c r="BK29" s="29">
        <f>SUM(BC$7:BC29)+BG29</f>
        <v>3790.2840210659688</v>
      </c>
      <c r="BL29" s="29">
        <f>SUM(BD$7:BD29)+BH29</f>
        <v>557.0201613599902</v>
      </c>
      <c r="BM29" s="29">
        <f>SUM(BE$7:BE29)+BI29</f>
        <v>127.11162799975236</v>
      </c>
      <c r="BN29" s="29">
        <f>SUM(BT$7:BT29)</f>
        <v>16.055398714353437</v>
      </c>
      <c r="BO29" s="17" t="e">
        <f t="shared" si="50"/>
        <v>#VALUE!</v>
      </c>
      <c r="BP29" s="17" t="e">
        <f t="shared" si="51"/>
        <v>#VALUE!</v>
      </c>
      <c r="BQ29" s="17" t="e">
        <f t="shared" si="52"/>
        <v>#VALUE!</v>
      </c>
      <c r="BR29" s="17">
        <f t="shared" si="28"/>
        <v>0</v>
      </c>
      <c r="BS29" s="17">
        <f t="shared" si="17"/>
        <v>80</v>
      </c>
      <c r="BT29" s="17">
        <f t="shared" si="29"/>
        <v>0</v>
      </c>
      <c r="BV29" s="17">
        <f t="shared" si="30"/>
        <v>165.80456526007345</v>
      </c>
      <c r="BW29" s="17">
        <v>25</v>
      </c>
      <c r="BX29" s="17">
        <f>'[1]资源-钻石'!L28/$B$2*$B$12*10</f>
        <v>130.78971316518673</v>
      </c>
      <c r="BY29" s="17">
        <f>'[1]资源-钻石'!M28/$B$2*$B$12*10</f>
        <v>154.77466758375743</v>
      </c>
      <c r="BZ29" s="17">
        <f>'[1]资源-钻石'!N28/$B$2*$B$12*10</f>
        <v>206.4471675534931</v>
      </c>
      <c r="CA29" s="17">
        <f>'[1]资源-钻石'!O28/$B$2*$B$12*10</f>
        <v>398.92101968868315</v>
      </c>
      <c r="CB29" s="17">
        <f>'[1]资源-钻石'!P28/$B$2*$B$12*10</f>
        <v>616.61679447798167</v>
      </c>
      <c r="CD29" s="17">
        <v>25</v>
      </c>
      <c r="CE29" s="17">
        <f>'[1]资源-钻石'!L28/$B$2*$C$12*10</f>
        <v>52.978111661847784</v>
      </c>
      <c r="CF29" s="17">
        <f>'[1]资源-钻石'!M28/$B$2*$C$12*10</f>
        <v>62.693536236458705</v>
      </c>
      <c r="CG29" s="17">
        <f>'[1]资源-钻石'!N28/$B$2*$C$12*10</f>
        <v>83.62416913559214</v>
      </c>
      <c r="CH29" s="17">
        <f>'[1]资源-钻石'!O28/$B$2*$C$12*10</f>
        <v>161.58826113971975</v>
      </c>
      <c r="CI29" s="17">
        <f>'[1]资源-钻石'!P28/$B$2*$C$12*10</f>
        <v>249.76882814297991</v>
      </c>
      <c r="CN29" s="17">
        <v>0.49</v>
      </c>
      <c r="CO29" s="17">
        <v>125</v>
      </c>
      <c r="CP29" s="17">
        <f>INDEX(节奏总纲!$P$4:$P$163,CO29,1)</f>
        <v>5791.6187514801986</v>
      </c>
      <c r="CQ29" s="17">
        <f t="shared" si="31"/>
        <v>0.27710115142908537</v>
      </c>
      <c r="CR29" s="17">
        <f t="shared" si="53"/>
        <v>0.27710115142908537</v>
      </c>
      <c r="CS29" s="17">
        <f t="shared" si="54"/>
        <v>0.27710115142908537</v>
      </c>
      <c r="CT29" s="17">
        <f t="shared" si="55"/>
        <v>0.27710115142908537</v>
      </c>
      <c r="CU29" s="17">
        <f t="shared" si="56"/>
        <v>0.27710115142908537</v>
      </c>
      <c r="CW29" s="17">
        <v>26</v>
      </c>
      <c r="CX29" s="17">
        <f t="shared" si="1"/>
        <v>0.51901844601600011</v>
      </c>
      <c r="CY29" s="17">
        <f t="shared" si="2"/>
        <v>0.51901844601600011</v>
      </c>
      <c r="CZ29" s="17">
        <f t="shared" si="3"/>
        <v>0.51901844601600011</v>
      </c>
      <c r="DA29" s="17">
        <f t="shared" si="4"/>
        <v>0.51901844601600011</v>
      </c>
      <c r="DB29" s="17">
        <f t="shared" si="5"/>
        <v>0.51901844601600011</v>
      </c>
    </row>
    <row r="30" spans="1:106" x14ac:dyDescent="0.15">
      <c r="H30" s="17">
        <v>27</v>
      </c>
      <c r="I30" s="29">
        <f>IF(基础状态预期!C40="","",基础状态预期!C40)</f>
        <v>1720</v>
      </c>
      <c r="J30" s="29">
        <f>IF(基础状态预期!D40="","",基础状态预期!D40)</f>
        <v>107.48165553683219</v>
      </c>
      <c r="K30" s="29" t="str">
        <f>IF(基础状态预期!F40="","",基础状态预期!F40)</f>
        <v/>
      </c>
      <c r="L30" s="29" t="str">
        <f>IF(基础状态预期!G40="","",基础状态预期!G40)</f>
        <v/>
      </c>
      <c r="M30" s="29" t="str">
        <f>IF(基础状态预期!H40="","",基础状态预期!H40)</f>
        <v/>
      </c>
      <c r="N30" s="29" t="str">
        <f>IF(基础状态预期!I40="","",基础状态预期!I40)</f>
        <v/>
      </c>
      <c r="O30" s="29">
        <f>IF(基础状态预期!J40="","",基础状态预期!J40)</f>
        <v>6</v>
      </c>
      <c r="P30" s="29">
        <f>武将进阶!O27</f>
        <v>0</v>
      </c>
      <c r="Q30" s="29">
        <f>武将进阶!P27</f>
        <v>0</v>
      </c>
      <c r="R30" s="29">
        <f>武将进阶!Q27</f>
        <v>0</v>
      </c>
      <c r="S30" s="29">
        <f>武将进阶!R27</f>
        <v>431.77986644198643</v>
      </c>
      <c r="T30" s="29">
        <f>武将进阶!S27</f>
        <v>0</v>
      </c>
      <c r="U30" s="29">
        <f>武将觉醒!T28</f>
        <v>0</v>
      </c>
      <c r="V30" s="29">
        <f>武将觉醒!U28</f>
        <v>0</v>
      </c>
      <c r="W30" s="29">
        <f>武将觉醒!V28</f>
        <v>0</v>
      </c>
      <c r="X30" s="29">
        <f>武将觉醒!W28</f>
        <v>0</v>
      </c>
      <c r="Y30" s="29">
        <f>武将觉醒!X28</f>
        <v>0</v>
      </c>
      <c r="Z30" s="29"/>
      <c r="AA30" s="29">
        <f>IF(L30="",0,同名需求(L30,武将升星!P27,B$6)+武将升星!U27)</f>
        <v>0</v>
      </c>
      <c r="AB30" s="29">
        <f>IF(M30="",0,同名需求(M30,武将升星!Q27,C$6)+武将升星!V27)</f>
        <v>0</v>
      </c>
      <c r="AC30" s="59">
        <f>IF(N30="",0,同名需求(N30,武将升星!R27,D$6*0.5)+武将升星!W27)</f>
        <v>0</v>
      </c>
      <c r="AD30" s="29">
        <f>IF(O30="",0,同名需求(O30,武将升星!S27,E$6)+武将升星!X27)</f>
        <v>108</v>
      </c>
      <c r="AE30" s="29">
        <f>MAX(U30+P30+IF(K30="",0,K30)*武将升星!O27,Z30)</f>
        <v>0</v>
      </c>
      <c r="AF30" s="29">
        <f>MAX(V30+Q30+IF(L30="",0,L30)*武将升星!P27,AA30)</f>
        <v>0</v>
      </c>
      <c r="AG30" s="29">
        <f>MAX(W30+R30+IF(M30="",0,M30)*武将升星!Q27,AB30)</f>
        <v>0</v>
      </c>
      <c r="AH30" s="29">
        <f>MAX(X30+S30+IF(N30="",0,N30)*武将升星!R27,AC30)</f>
        <v>431.77986644198643</v>
      </c>
      <c r="AI30" s="45">
        <f t="shared" si="48"/>
        <v>108</v>
      </c>
      <c r="AJ30" s="29">
        <f t="shared" si="9"/>
        <v>1360271.6794607674</v>
      </c>
      <c r="AK30" s="14" t="e">
        <f>AJ30/求节点('[1]资源-钻石'!$K$4:$K$113,'[1]资源-钻石'!$L$4:$L$113,J30)</f>
        <v>#VALUE!</v>
      </c>
      <c r="AL30" s="16"/>
      <c r="AM30" s="16"/>
      <c r="AN30" s="16"/>
      <c r="AO30" s="16"/>
      <c r="AP30" s="17">
        <v>27</v>
      </c>
      <c r="AR30" s="16">
        <f t="shared" si="19"/>
        <v>3.7940010369602559</v>
      </c>
      <c r="AS30" s="29">
        <f>IF(基础状态预期!C40="","",基础状态预期!C40)</f>
        <v>1720</v>
      </c>
      <c r="AT30" s="29">
        <f>求节点(节奏总纲!$P$4:$P$163,其他调用!$C$4:$C$163,$AS30)*求节点($CP$5:$CP$36,$CQ$5:$CQ$36,AS30)</f>
        <v>1823763.2540297075</v>
      </c>
      <c r="AU30" s="37">
        <f t="shared" si="49"/>
        <v>0</v>
      </c>
      <c r="AV30" s="37">
        <v>1</v>
      </c>
      <c r="AW30" s="38">
        <f t="shared" si="11"/>
        <v>0.4933333333333334</v>
      </c>
      <c r="AX30" s="38">
        <f t="shared" si="12"/>
        <v>0.26666666666666666</v>
      </c>
      <c r="AY30" s="38">
        <f t="shared" si="13"/>
        <v>0.04</v>
      </c>
      <c r="AZ30" s="38">
        <f t="shared" si="14"/>
        <v>2.8000000000000001E-2</v>
      </c>
      <c r="BA30" s="29">
        <f t="shared" si="33"/>
        <v>314143.28586030914</v>
      </c>
      <c r="BB30" s="29">
        <f t="shared" si="20"/>
        <v>673.81458416414148</v>
      </c>
      <c r="BC30" s="29">
        <f t="shared" si="21"/>
        <v>364.22409954818454</v>
      </c>
      <c r="BD30" s="29">
        <f t="shared" si="22"/>
        <v>54.633614932227687</v>
      </c>
      <c r="BE30" s="29">
        <f t="shared" si="23"/>
        <v>29.320040013628859</v>
      </c>
      <c r="BF30" s="29">
        <f t="shared" si="24"/>
        <v>14276.000000000002</v>
      </c>
      <c r="BG30" s="29">
        <f t="shared" si="24"/>
        <v>2580</v>
      </c>
      <c r="BH30" s="29">
        <f t="shared" si="24"/>
        <v>344</v>
      </c>
      <c r="BI30" s="29">
        <f t="shared" si="24"/>
        <v>0</v>
      </c>
      <c r="BJ30" s="29">
        <f>SUM(BB$7:BB30)+BF30</f>
        <v>18293.805654650918</v>
      </c>
      <c r="BK30" s="29">
        <f>SUM(BC$7:BC30)+BG30</f>
        <v>4694.5081206141531</v>
      </c>
      <c r="BL30" s="29">
        <f>SUM(BD$7:BD30)+BH30</f>
        <v>683.65377629221791</v>
      </c>
      <c r="BM30" s="29">
        <f>SUM(BE$7:BE30)+BI30</f>
        <v>156.43166801338123</v>
      </c>
      <c r="BN30" s="29">
        <f>SUM(BT$7:BT30)</f>
        <v>16.055398714353437</v>
      </c>
      <c r="BO30" s="17">
        <f t="shared" si="50"/>
        <v>597.21409710070589</v>
      </c>
      <c r="BP30" s="17">
        <f t="shared" si="51"/>
        <v>170.91344407305448</v>
      </c>
      <c r="BQ30" s="17" t="e">
        <f t="shared" si="52"/>
        <v>#DIV/0!</v>
      </c>
      <c r="BR30" s="17">
        <f t="shared" si="28"/>
        <v>0</v>
      </c>
      <c r="BS30" s="17">
        <f t="shared" si="17"/>
        <v>80</v>
      </c>
      <c r="BT30" s="17">
        <f t="shared" si="29"/>
        <v>0</v>
      </c>
      <c r="BV30" s="17">
        <f t="shared" si="30"/>
        <v>251.87390985023148</v>
      </c>
      <c r="BW30" s="17">
        <v>26</v>
      </c>
      <c r="BX30" s="17">
        <f>'[1]资源-钻石'!L29/$B$2*$B$12*10</f>
        <v>140.70240824320678</v>
      </c>
      <c r="BY30" s="17">
        <f>'[1]资源-钻石'!M29/$B$2*$B$12*10</f>
        <v>166.24298832899183</v>
      </c>
      <c r="BZ30" s="17">
        <f>'[1]资源-钻石'!N29/$B$2*$B$12*10</f>
        <v>221.12174973122933</v>
      </c>
      <c r="CA30" s="17">
        <f>'[1]资源-钻石'!O29/$B$2*$B$12*10</f>
        <v>424.62569279755053</v>
      </c>
      <c r="CB30" s="17">
        <f>'[1]资源-钻石'!P29/$B$2*$B$12*10</f>
        <v>649.5732405490827</v>
      </c>
      <c r="CD30" s="17">
        <v>26</v>
      </c>
      <c r="CE30" s="17">
        <f>'[1]资源-钻石'!L29/$B$2*$C$12*10</f>
        <v>56.99338055421034</v>
      </c>
      <c r="CF30" s="17">
        <f>'[1]资源-钻石'!M29/$B$2*$C$12*10</f>
        <v>67.338931981363771</v>
      </c>
      <c r="CG30" s="17">
        <f>'[1]资源-钻石'!N29/$B$2*$C$12*10</f>
        <v>89.568303688599229</v>
      </c>
      <c r="CH30" s="17">
        <f>'[1]资源-钻石'!O29/$B$2*$C$12*10</f>
        <v>172.0002806268559</v>
      </c>
      <c r="CI30" s="17">
        <f>'[1]资源-钻石'!P29/$B$2*$C$12*10</f>
        <v>263.11827465279299</v>
      </c>
      <c r="CN30" s="17">
        <v>0.49</v>
      </c>
      <c r="CO30" s="17">
        <v>130</v>
      </c>
      <c r="CP30" s="17">
        <f>INDEX(节奏总纲!$P$4:$P$163,CO30,1)</f>
        <v>8191</v>
      </c>
      <c r="CQ30" s="17">
        <f t="shared" si="31"/>
        <v>0.27155912840050367</v>
      </c>
      <c r="CR30" s="17">
        <f t="shared" si="53"/>
        <v>0.27155912840050367</v>
      </c>
      <c r="CS30" s="17">
        <f t="shared" si="54"/>
        <v>0.27155912840050367</v>
      </c>
      <c r="CT30" s="17">
        <f t="shared" si="55"/>
        <v>0.27155912840050367</v>
      </c>
      <c r="CU30" s="17">
        <f t="shared" si="56"/>
        <v>0.27155912840050367</v>
      </c>
      <c r="CW30" s="17">
        <v>27</v>
      </c>
      <c r="CX30" s="17">
        <f t="shared" si="1"/>
        <v>0.51432492611895664</v>
      </c>
      <c r="CY30" s="17">
        <f t="shared" si="2"/>
        <v>0.51432492611895664</v>
      </c>
      <c r="CZ30" s="17">
        <f t="shared" si="3"/>
        <v>0.51432492611895664</v>
      </c>
      <c r="DA30" s="17">
        <f t="shared" si="4"/>
        <v>0.51432492611895664</v>
      </c>
      <c r="DB30" s="17">
        <f t="shared" si="5"/>
        <v>0.51432492611895664</v>
      </c>
    </row>
    <row r="31" spans="1:106" x14ac:dyDescent="0.15">
      <c r="B31" s="17">
        <f>B7*B12</f>
        <v>26.333333333333332</v>
      </c>
      <c r="C31" s="17">
        <f t="shared" ref="C31:E31" si="58">C7*C12</f>
        <v>53.333333333333336</v>
      </c>
      <c r="D31" s="17">
        <f t="shared" si="58"/>
        <v>75</v>
      </c>
      <c r="E31" s="17">
        <f t="shared" si="58"/>
        <v>0</v>
      </c>
      <c r="H31" s="16">
        <v>28</v>
      </c>
      <c r="I31" s="29">
        <f>IF(基础状态预期!C41="","",基础状态预期!C41)</f>
        <v>2200</v>
      </c>
      <c r="J31" s="29">
        <f>IF(基础状态预期!D41="","",基础状态预期!D41)</f>
        <v>111.03813549320469</v>
      </c>
      <c r="K31" s="29" t="str">
        <f>IF(基础状态预期!F41="","",基础状态预期!F41)</f>
        <v/>
      </c>
      <c r="L31" s="29" t="str">
        <f>IF(基础状态预期!G41="","",基础状态预期!G41)</f>
        <v/>
      </c>
      <c r="M31" s="29" t="str">
        <f>IF(基础状态预期!H41="","",基础状态预期!H41)</f>
        <v/>
      </c>
      <c r="N31" s="29" t="str">
        <f>IF(基础状态预期!I41="","",基础状态预期!I41)</f>
        <v/>
      </c>
      <c r="O31" s="29">
        <f>IF(基础状态预期!J41="","",基础状态预期!J41)</f>
        <v>6</v>
      </c>
      <c r="P31" s="29">
        <f>武将进阶!O28</f>
        <v>0</v>
      </c>
      <c r="Q31" s="29">
        <f>武将进阶!P28</f>
        <v>0</v>
      </c>
      <c r="R31" s="29">
        <f>武将进阶!Q28</f>
        <v>0</v>
      </c>
      <c r="S31" s="29">
        <f>武将进阶!R28</f>
        <v>474.4576259184563</v>
      </c>
      <c r="T31" s="29">
        <f>武将进阶!S28</f>
        <v>0</v>
      </c>
      <c r="U31" s="29">
        <f>武将觉醒!T29</f>
        <v>0</v>
      </c>
      <c r="V31" s="29">
        <f>武将觉醒!U29</f>
        <v>0</v>
      </c>
      <c r="W31" s="29">
        <f>武将觉醒!V29</f>
        <v>0</v>
      </c>
      <c r="X31" s="29">
        <f>武将觉醒!W29</f>
        <v>0</v>
      </c>
      <c r="Y31" s="29">
        <f>武将觉醒!X29</f>
        <v>0</v>
      </c>
      <c r="Z31" s="29"/>
      <c r="AA31" s="29">
        <f>IF(L31="",0,同名需求(L31,武将升星!P28,B$6)+武将升星!U28)</f>
        <v>0</v>
      </c>
      <c r="AB31" s="29">
        <f>IF(M31="",0,同名需求(M31,武将升星!Q28,C$6)+武将升星!V28)</f>
        <v>0</v>
      </c>
      <c r="AC31" s="59">
        <f>IF(N31="",0,同名需求(N31,武将升星!R28,D$6*0.5)+武将升星!W28)</f>
        <v>0</v>
      </c>
      <c r="AD31" s="29">
        <f>IF(O31="",0,同名需求(O31,武将升星!S28,E$6)+武将升星!X28)</f>
        <v>108</v>
      </c>
      <c r="AE31" s="29">
        <f>MAX(U31+P31+IF(K31="",0,K31)*武将升星!O28,Z31)</f>
        <v>0</v>
      </c>
      <c r="AF31" s="29">
        <f>MAX(V31+Q31+IF(L31="",0,L31)*武将升星!P28,AA31)</f>
        <v>0</v>
      </c>
      <c r="AG31" s="29">
        <f>MAX(W31+R31+IF(M31="",0,M31)*武将升星!Q28,AB31)</f>
        <v>0</v>
      </c>
      <c r="AH31" s="29">
        <f>MAX(X31+S31+IF(N31="",0,N31)*武将升星!R28,AC31)</f>
        <v>474.4576259184563</v>
      </c>
      <c r="AI31" s="45">
        <f t="shared" si="48"/>
        <v>108</v>
      </c>
      <c r="AJ31" s="29">
        <f t="shared" si="9"/>
        <v>1462698.3022042951</v>
      </c>
      <c r="AK31" s="14" t="e">
        <f>AJ31/求节点('[1]资源-钻石'!$K$4:$K$113,'[1]资源-钻石'!$L$4:$L$113,J31)</f>
        <v>#VALUE!</v>
      </c>
      <c r="AL31" s="16"/>
      <c r="AM31" s="16"/>
      <c r="AN31" s="16"/>
      <c r="AO31" s="16"/>
      <c r="AP31" s="17">
        <v>28</v>
      </c>
      <c r="AR31" s="16">
        <f t="shared" si="19"/>
        <v>3.6815720314518265</v>
      </c>
      <c r="AS31" s="29">
        <f>IF(基础状态预期!C41="","",基础状态预期!C41)</f>
        <v>2200</v>
      </c>
      <c r="AT31" s="29">
        <f>求节点(节奏总纲!$P$4:$P$163,其他调用!$C$4:$C$163,$AS31)*求节点($CP$5:$CP$36,$CQ$5:$CQ$36,AS31)</f>
        <v>2230208.8063019891</v>
      </c>
      <c r="AU31" s="37">
        <f t="shared" si="49"/>
        <v>0</v>
      </c>
      <c r="AV31" s="37">
        <v>1</v>
      </c>
      <c r="AW31" s="38">
        <f t="shared" si="11"/>
        <v>0.4933333333333334</v>
      </c>
      <c r="AX31" s="38">
        <f t="shared" si="12"/>
        <v>0.26666666666666666</v>
      </c>
      <c r="AY31" s="38">
        <f t="shared" si="13"/>
        <v>0.04</v>
      </c>
      <c r="AZ31" s="38">
        <f t="shared" si="14"/>
        <v>2.8000000000000001E-2</v>
      </c>
      <c r="BA31" s="29">
        <f t="shared" si="33"/>
        <v>406445.55227228161</v>
      </c>
      <c r="BB31" s="29">
        <f t="shared" si="20"/>
        <v>871.79625704779266</v>
      </c>
      <c r="BC31" s="29">
        <f t="shared" si="21"/>
        <v>471.2412200258338</v>
      </c>
      <c r="BD31" s="29">
        <f t="shared" si="22"/>
        <v>70.686183003875072</v>
      </c>
      <c r="BE31" s="29">
        <f t="shared" si="23"/>
        <v>37.934918212079616</v>
      </c>
      <c r="BF31" s="29">
        <f t="shared" si="24"/>
        <v>18260</v>
      </c>
      <c r="BG31" s="29">
        <f t="shared" si="24"/>
        <v>3300</v>
      </c>
      <c r="BH31" s="29">
        <f t="shared" si="24"/>
        <v>440</v>
      </c>
      <c r="BI31" s="29">
        <f t="shared" si="24"/>
        <v>0</v>
      </c>
      <c r="BJ31" s="29">
        <f>SUM(BB$7:BB31)+BF31</f>
        <v>23149.601911698712</v>
      </c>
      <c r="BK31" s="29">
        <f>SUM(BC$7:BC31)+BG31</f>
        <v>5885.7493406399872</v>
      </c>
      <c r="BL31" s="29">
        <f>SUM(BD$7:BD31)+BH31</f>
        <v>850.33995929609296</v>
      </c>
      <c r="BM31" s="29">
        <f>SUM(BE$7:BE31)+BI31</f>
        <v>194.36658622546085</v>
      </c>
      <c r="BN31" s="29">
        <f>SUM(BT$7:BT31)</f>
        <v>16.055398714353437</v>
      </c>
      <c r="BO31" s="17">
        <f t="shared" si="50"/>
        <v>413.55416314233713</v>
      </c>
      <c r="BP31" s="17">
        <f t="shared" si="51"/>
        <v>141.72332654934883</v>
      </c>
      <c r="BQ31" s="17" t="e">
        <f t="shared" si="52"/>
        <v>#DIV/0!</v>
      </c>
      <c r="BR31" s="17">
        <f t="shared" si="28"/>
        <v>0</v>
      </c>
      <c r="BS31" s="17">
        <f t="shared" si="17"/>
        <v>80</v>
      </c>
      <c r="BT31" s="17">
        <f t="shared" si="29"/>
        <v>0</v>
      </c>
      <c r="BV31" s="17">
        <f t="shared" si="30"/>
        <v>375.88233337763666</v>
      </c>
      <c r="BW31" s="17">
        <v>27</v>
      </c>
      <c r="BX31" s="17">
        <f>'[1]资源-钻石'!L30/$B$2*$B$12*10</f>
        <v>151.32657177004285</v>
      </c>
      <c r="BY31" s="17">
        <f>'[1]资源-钻石'!M30/$B$2*$B$12*10</f>
        <v>178.5199230273787</v>
      </c>
      <c r="BZ31" s="17">
        <f>'[1]资源-钻石'!N30/$B$2*$B$12*10</f>
        <v>236.77194335448024</v>
      </c>
      <c r="CA31" s="17">
        <f>'[1]资源-钻石'!O30/$B$2*$B$12*10</f>
        <v>452.27125447329053</v>
      </c>
      <c r="CB31" s="17">
        <f>'[1]资源-钻石'!P30/$B$2*$B$12*10</f>
        <v>685.32261788402309</v>
      </c>
      <c r="CD31" s="17">
        <v>27</v>
      </c>
      <c r="CE31" s="17">
        <f>'[1]资源-钻石'!L30/$B$2*$C$12*10</f>
        <v>61.296839197992043</v>
      </c>
      <c r="CF31" s="17">
        <f>'[1]资源-钻石'!M30/$B$2*$C$12*10</f>
        <v>72.311867555393889</v>
      </c>
      <c r="CG31" s="17">
        <f>'[1]资源-钻石'!N30/$B$2*$C$12*10</f>
        <v>95.907622624599597</v>
      </c>
      <c r="CH31" s="17">
        <f>'[1]资源-钻石'!O30/$B$2*$C$12*10</f>
        <v>183.19848282462399</v>
      </c>
      <c r="CI31" s="17">
        <f>'[1]资源-钻石'!P30/$B$2*$C$12*10</f>
        <v>277.59903509226251</v>
      </c>
      <c r="CN31" s="17">
        <v>0.49</v>
      </c>
      <c r="CO31" s="17">
        <v>135</v>
      </c>
      <c r="CP31" s="17">
        <f>INDEX(节奏总纲!$P$4:$P$163,CO31,1)</f>
        <v>11584.237502960397</v>
      </c>
      <c r="CQ31" s="17">
        <f t="shared" si="31"/>
        <v>0.26612794583249361</v>
      </c>
      <c r="CR31" s="17">
        <f t="shared" si="53"/>
        <v>0.26612794583249361</v>
      </c>
      <c r="CS31" s="17">
        <f t="shared" si="54"/>
        <v>0.26612794583249361</v>
      </c>
      <c r="CT31" s="17">
        <f t="shared" si="55"/>
        <v>0.26612794583249361</v>
      </c>
      <c r="CU31" s="17">
        <f t="shared" si="56"/>
        <v>0.26612794583249361</v>
      </c>
      <c r="CW31" s="17">
        <v>28</v>
      </c>
      <c r="CX31" s="17">
        <f t="shared" si="1"/>
        <v>0.50963140622191305</v>
      </c>
      <c r="CY31" s="17">
        <f t="shared" si="2"/>
        <v>0.50963140622191305</v>
      </c>
      <c r="CZ31" s="17">
        <f t="shared" si="3"/>
        <v>0.50963140622191305</v>
      </c>
      <c r="DA31" s="17">
        <f t="shared" si="4"/>
        <v>0.50963140622191305</v>
      </c>
      <c r="DB31" s="17">
        <f t="shared" si="5"/>
        <v>0.50963140622191305</v>
      </c>
    </row>
    <row r="32" spans="1:106" x14ac:dyDescent="0.15">
      <c r="D32" s="39"/>
      <c r="E32" s="39"/>
      <c r="H32" s="17">
        <v>29</v>
      </c>
      <c r="I32" s="29">
        <f>IF(基础状态预期!C42="","",基础状态预期!C42)</f>
        <v>2800</v>
      </c>
      <c r="J32" s="29">
        <f>IF(基础状态预期!D42="","",基础状态预期!D42)</f>
        <v>114.50860608277577</v>
      </c>
      <c r="K32" s="29" t="str">
        <f>IF(基础状态预期!F42="","",基础状态预期!F42)</f>
        <v/>
      </c>
      <c r="L32" s="29" t="str">
        <f>IF(基础状态预期!G42="","",基础状态预期!G42)</f>
        <v/>
      </c>
      <c r="M32" s="29" t="str">
        <f>IF(基础状态预期!H42="","",基础状态预期!H42)</f>
        <v/>
      </c>
      <c r="N32" s="29" t="str">
        <f>IF(基础状态预期!I42="","",基础状态预期!I42)</f>
        <v/>
      </c>
      <c r="O32" s="29">
        <f>IF(基础状态预期!J42="","",基础状态预期!J42)</f>
        <v>6</v>
      </c>
      <c r="P32" s="29">
        <f>武将进阶!O29</f>
        <v>0</v>
      </c>
      <c r="Q32" s="29">
        <f>武将进阶!P29</f>
        <v>0</v>
      </c>
      <c r="R32" s="29">
        <f>武将进阶!Q29</f>
        <v>0</v>
      </c>
      <c r="S32" s="29">
        <f>武将进阶!R29</f>
        <v>516.10327299330936</v>
      </c>
      <c r="T32" s="29">
        <f>武将进阶!S29</f>
        <v>0</v>
      </c>
      <c r="U32" s="29">
        <f>武将觉醒!T30</f>
        <v>0</v>
      </c>
      <c r="V32" s="29">
        <f>武将觉醒!U30</f>
        <v>0</v>
      </c>
      <c r="W32" s="29">
        <f>武将觉醒!V30</f>
        <v>0</v>
      </c>
      <c r="X32" s="29">
        <f>武将觉醒!W30</f>
        <v>0</v>
      </c>
      <c r="Y32" s="29">
        <f>武将觉醒!X30</f>
        <v>0</v>
      </c>
      <c r="Z32" s="29"/>
      <c r="AA32" s="29">
        <f>IF(L32="",0,同名需求(L32,武将升星!P29,B$6)+武将升星!U29)</f>
        <v>0</v>
      </c>
      <c r="AB32" s="29">
        <f>IF(M32="",0,同名需求(M32,武将升星!Q29,C$6)+武将升星!V29)</f>
        <v>0</v>
      </c>
      <c r="AC32" s="59">
        <f>IF(N32="",0,同名需求(N32,武将升星!R29,D$6*0.5)+武将升星!W29)</f>
        <v>0</v>
      </c>
      <c r="AD32" s="29">
        <f>IF(O32="",0,同名需求(O32,武将升星!S29,E$6)+武将升星!X29)</f>
        <v>108</v>
      </c>
      <c r="AE32" s="29">
        <f>MAX(U32+P32+IF(K32="",0,K32)*武将升星!O29,Z32)</f>
        <v>0</v>
      </c>
      <c r="AF32" s="29">
        <f>MAX(V32+Q32+IF(L32="",0,L32)*武将升星!P29,AA32)</f>
        <v>0</v>
      </c>
      <c r="AG32" s="29">
        <f>MAX(W32+R32+IF(M32="",0,M32)*武将升星!Q29,AB32)</f>
        <v>0</v>
      </c>
      <c r="AH32" s="29">
        <f>MAX(X32+S32+IF(N32="",0,N32)*武将升星!R29,AC32)</f>
        <v>516.10327299330936</v>
      </c>
      <c r="AI32" s="45">
        <f t="shared" si="48"/>
        <v>108</v>
      </c>
      <c r="AJ32" s="29">
        <f t="shared" si="9"/>
        <v>1562647.8551839425</v>
      </c>
      <c r="AK32" s="14" t="e">
        <f>AJ32/求节点('[1]资源-钻石'!$K$4:$K$113,'[1]资源-钻石'!$L$4:$L$113,J32)</f>
        <v>#VALUE!</v>
      </c>
      <c r="AL32" s="16"/>
      <c r="AM32" s="16"/>
      <c r="AN32" s="16"/>
      <c r="AO32" s="16"/>
      <c r="AP32" s="17">
        <v>29</v>
      </c>
      <c r="AR32" s="16">
        <f t="shared" si="19"/>
        <v>3.6348519173141645</v>
      </c>
      <c r="AS32" s="29">
        <f>IF(基础状态预期!C42="","",基础状态预期!C42)</f>
        <v>2800</v>
      </c>
      <c r="AT32" s="29">
        <f>求节点(节奏总纲!$P$4:$P$163,其他调用!$C$4:$C$163,$AS32)*求节点($CP$5:$CP$36,$CQ$5:$CQ$36,AS32)</f>
        <v>2731818.3708913438</v>
      </c>
      <c r="AU32" s="37">
        <f t="shared" si="49"/>
        <v>0</v>
      </c>
      <c r="AV32" s="37">
        <v>1</v>
      </c>
      <c r="AW32" s="38">
        <f t="shared" si="11"/>
        <v>0.4933333333333334</v>
      </c>
      <c r="AX32" s="38">
        <f t="shared" si="12"/>
        <v>0.26666666666666666</v>
      </c>
      <c r="AY32" s="38">
        <f t="shared" si="13"/>
        <v>0.04</v>
      </c>
      <c r="AZ32" s="38">
        <f t="shared" si="14"/>
        <v>2.8000000000000001E-2</v>
      </c>
      <c r="BA32" s="29">
        <f t="shared" si="33"/>
        <v>501609.56458935468</v>
      </c>
      <c r="BB32" s="29">
        <f t="shared" si="20"/>
        <v>1075.9161675249929</v>
      </c>
      <c r="BC32" s="29">
        <f t="shared" si="21"/>
        <v>581.57630677026634</v>
      </c>
      <c r="BD32" s="29">
        <f t="shared" si="22"/>
        <v>87.236446015539954</v>
      </c>
      <c r="BE32" s="29">
        <f t="shared" si="23"/>
        <v>46.816892695006437</v>
      </c>
      <c r="BF32" s="29">
        <f t="shared" si="24"/>
        <v>23240.000000000004</v>
      </c>
      <c r="BG32" s="29">
        <f t="shared" si="24"/>
        <v>4200</v>
      </c>
      <c r="BH32" s="29">
        <f t="shared" si="24"/>
        <v>560</v>
      </c>
      <c r="BI32" s="29">
        <f t="shared" si="24"/>
        <v>0</v>
      </c>
      <c r="BJ32" s="29">
        <f>SUM(BB$7:BB32)+BF32</f>
        <v>29205.518079223708</v>
      </c>
      <c r="BK32" s="29">
        <f>SUM(BC$7:BC32)+BG32</f>
        <v>7367.3256474102536</v>
      </c>
      <c r="BL32" s="29">
        <f>SUM(BD$7:BD32)+BH32</f>
        <v>1057.5764053116329</v>
      </c>
      <c r="BM32" s="29">
        <f>SUM(BE$7:BE32)+BI32</f>
        <v>241.18347892046728</v>
      </c>
      <c r="BN32" s="29">
        <f>SUM(BT$7:BT32)</f>
        <v>16.055398714353437</v>
      </c>
      <c r="BO32" s="17">
        <f t="shared" si="50"/>
        <v>334.97737201380835</v>
      </c>
      <c r="BP32" s="17">
        <f t="shared" si="51"/>
        <v>123.83813988948582</v>
      </c>
      <c r="BQ32" s="17" t="e">
        <f t="shared" si="52"/>
        <v>#DIV/0!</v>
      </c>
      <c r="BR32" s="17">
        <f t="shared" si="28"/>
        <v>0</v>
      </c>
      <c r="BS32" s="17">
        <f t="shared" si="17"/>
        <v>80</v>
      </c>
      <c r="BT32" s="17">
        <f t="shared" si="29"/>
        <v>0</v>
      </c>
      <c r="BV32" s="17">
        <f t="shared" si="30"/>
        <v>541.47313231832356</v>
      </c>
      <c r="BW32" s="17">
        <v>28</v>
      </c>
      <c r="BX32" s="17">
        <f>'[1]资源-钻石'!L31/$B$2*$B$12*10</f>
        <v>162.71326829975166</v>
      </c>
      <c r="BY32" s="17">
        <f>'[1]资源-钻石'!M31/$B$2*$B$12*10</f>
        <v>191.56398094790308</v>
      </c>
      <c r="BZ32" s="17">
        <f>'[1]资源-钻石'!N31/$B$2*$B$12*10</f>
        <v>253.12394096150339</v>
      </c>
      <c r="CA32" s="17">
        <f>'[1]资源-钻石'!O31/$B$2*$B$12*10</f>
        <v>481.80309728933071</v>
      </c>
      <c r="CB32" s="17">
        <f>'[1]资源-钻石'!P31/$B$2*$B$12*10</f>
        <v>725.29996672258278</v>
      </c>
      <c r="CD32" s="17">
        <v>28</v>
      </c>
      <c r="CE32" s="17">
        <f>'[1]资源-钻石'!L31/$B$2*$C$12*10</f>
        <v>65.909171969519662</v>
      </c>
      <c r="CF32" s="17">
        <f>'[1]资源-钻石'!M31/$B$2*$C$12*10</f>
        <v>77.5955365864924</v>
      </c>
      <c r="CG32" s="17">
        <f>'[1]资源-钻石'!N31/$B$2*$C$12*10</f>
        <v>102.53121659200136</v>
      </c>
      <c r="CH32" s="17">
        <f>'[1]资源-钻石'!O31/$B$2*$C$12*10</f>
        <v>195.16074826909596</v>
      </c>
      <c r="CI32" s="17">
        <f>'[1]资源-钻石'!P31/$B$2*$C$12*10</f>
        <v>293.79239158383098</v>
      </c>
      <c r="CN32" s="17">
        <v>0.49</v>
      </c>
      <c r="CO32" s="17">
        <v>140</v>
      </c>
      <c r="CP32" s="17">
        <f>INDEX(节奏总纲!$P$4:$P$163,CO32,1)</f>
        <v>16383</v>
      </c>
      <c r="CQ32" s="17">
        <f t="shared" si="31"/>
        <v>0.26080538691584371</v>
      </c>
      <c r="CR32" s="17">
        <f t="shared" si="53"/>
        <v>0.26080538691584371</v>
      </c>
      <c r="CS32" s="17">
        <f t="shared" si="54"/>
        <v>0.26080538691584371</v>
      </c>
      <c r="CT32" s="17">
        <f t="shared" si="55"/>
        <v>0.26080538691584371</v>
      </c>
      <c r="CU32" s="17">
        <f t="shared" si="56"/>
        <v>0.26080538691584371</v>
      </c>
      <c r="CW32" s="17">
        <v>29</v>
      </c>
      <c r="CX32" s="17">
        <f t="shared" si="1"/>
        <v>0.50493788632486958</v>
      </c>
      <c r="CY32" s="17">
        <f t="shared" si="2"/>
        <v>0.50493788632486958</v>
      </c>
      <c r="CZ32" s="17">
        <f t="shared" si="3"/>
        <v>0.50493788632486958</v>
      </c>
      <c r="DA32" s="17">
        <f t="shared" si="4"/>
        <v>0.50493788632486958</v>
      </c>
      <c r="DB32" s="17">
        <f t="shared" si="5"/>
        <v>0.50493788632486958</v>
      </c>
    </row>
    <row r="33" spans="1:106" x14ac:dyDescent="0.15">
      <c r="B33" s="17" t="s">
        <v>549</v>
      </c>
      <c r="C33" s="17" t="s">
        <v>347</v>
      </c>
      <c r="D33" s="39" t="s">
        <v>346</v>
      </c>
      <c r="H33" s="16">
        <v>30</v>
      </c>
      <c r="I33" s="29">
        <f>IF(基础状态预期!C43="","",基础状态预期!C43)</f>
        <v>3580</v>
      </c>
      <c r="J33" s="29">
        <f>IF(基础状态预期!D43="","",基础状态预期!D43)</f>
        <v>118.05948896247369</v>
      </c>
      <c r="K33" s="29" t="str">
        <f>IF(基础状态预期!F43="","",基础状态预期!F43)</f>
        <v/>
      </c>
      <c r="L33" s="29" t="str">
        <f>IF(基础状态预期!G43="","",基础状态预期!G43)</f>
        <v/>
      </c>
      <c r="M33" s="29" t="str">
        <f>IF(基础状态预期!H43="","",基础状态预期!H43)</f>
        <v/>
      </c>
      <c r="N33" s="29" t="str">
        <f>IF(基础状态预期!I43="","",基础状态预期!I43)</f>
        <v/>
      </c>
      <c r="O33" s="29">
        <f>IF(基础状态预期!J43="","",基础状态预期!J43)</f>
        <v>6</v>
      </c>
      <c r="P33" s="29">
        <f>武将进阶!O30</f>
        <v>0</v>
      </c>
      <c r="Q33" s="29">
        <f>武将进阶!P30</f>
        <v>0</v>
      </c>
      <c r="R33" s="29">
        <f>武将进阶!Q30</f>
        <v>0</v>
      </c>
      <c r="S33" s="29">
        <f>武将进阶!R30</f>
        <v>558.71386754968432</v>
      </c>
      <c r="T33" s="29">
        <f>武将进阶!S30</f>
        <v>0</v>
      </c>
      <c r="U33" s="29">
        <f>武将觉醒!T31</f>
        <v>0</v>
      </c>
      <c r="V33" s="29">
        <f>武将觉醒!U31</f>
        <v>0</v>
      </c>
      <c r="W33" s="29">
        <f>武将觉醒!V31</f>
        <v>0</v>
      </c>
      <c r="X33" s="29">
        <f>武将觉醒!W31</f>
        <v>0</v>
      </c>
      <c r="Y33" s="29">
        <f>武将觉醒!X31</f>
        <v>0</v>
      </c>
      <c r="Z33" s="29"/>
      <c r="AA33" s="29">
        <f>IF(L33="",0,同名需求(L33,武将升星!P30,B$6)+武将升星!U30)</f>
        <v>0</v>
      </c>
      <c r="AB33" s="29">
        <f>IF(M33="",0,同名需求(M33,武将升星!Q30,C$6)+武将升星!V30)</f>
        <v>0</v>
      </c>
      <c r="AC33" s="59">
        <f>IF(N33="",0,同名需求(N33,武将升星!R30,D$6*0.5)+武将升星!W30)</f>
        <v>0</v>
      </c>
      <c r="AD33" s="29">
        <f>IF(O33="",0,同名需求(O33,武将升星!S30,E$6)+武将升星!X30)</f>
        <v>108</v>
      </c>
      <c r="AE33" s="29">
        <f>MAX(U33+P33+IF(K33="",0,K33)*武将升星!O30,Z33)</f>
        <v>0</v>
      </c>
      <c r="AF33" s="29">
        <f>MAX(V33+Q33+IF(L33="",0,L33)*武将升星!P30,AA33)</f>
        <v>0</v>
      </c>
      <c r="AG33" s="29">
        <f>MAX(W33+R33+IF(M33="",0,M33)*武将升星!Q30,AB33)</f>
        <v>0</v>
      </c>
      <c r="AH33" s="29">
        <f>MAX(X33+S33+IF(N33="",0,N33)*武将升星!R30,AC33)</f>
        <v>558.71386754968432</v>
      </c>
      <c r="AI33" s="45">
        <f t="shared" si="48"/>
        <v>108</v>
      </c>
      <c r="AJ33" s="29">
        <f t="shared" si="9"/>
        <v>1664913.2821192425</v>
      </c>
      <c r="AK33" s="14" t="e">
        <f>AJ33/求节点('[1]资源-钻石'!$K$4:$K$113,'[1]资源-钻石'!$L$4:$L$113,J33)</f>
        <v>#VALUE!</v>
      </c>
      <c r="AL33" s="16"/>
      <c r="AM33" s="16"/>
      <c r="AN33" s="16"/>
      <c r="AO33" s="16"/>
      <c r="AP33" s="17">
        <v>30</v>
      </c>
      <c r="AR33" s="16">
        <f t="shared" si="19"/>
        <v>3.4505912846259523</v>
      </c>
      <c r="AS33" s="29">
        <f>IF(基础状态预期!C43="","",基础状态预期!C43)</f>
        <v>3580</v>
      </c>
      <c r="AT33" s="29">
        <f>求节点(节奏总纲!$P$4:$P$163,其他调用!$C$4:$C$163,$AS33)*求节点($CP$5:$CP$36,$CQ$5:$CQ$36,AS33)</f>
        <v>3350854.4473532396</v>
      </c>
      <c r="AU33" s="37">
        <f t="shared" si="49"/>
        <v>0</v>
      </c>
      <c r="AV33" s="37">
        <v>1</v>
      </c>
      <c r="AW33" s="38">
        <f t="shared" si="11"/>
        <v>0.4933333333333334</v>
      </c>
      <c r="AX33" s="38">
        <f t="shared" si="12"/>
        <v>0.26666666666666666</v>
      </c>
      <c r="AY33" s="38">
        <f t="shared" si="13"/>
        <v>0.04</v>
      </c>
      <c r="AZ33" s="38">
        <f t="shared" si="14"/>
        <v>2.8000000000000001E-2</v>
      </c>
      <c r="BA33" s="29">
        <f t="shared" si="33"/>
        <v>619036.07646189583</v>
      </c>
      <c r="BB33" s="29">
        <f t="shared" si="20"/>
        <v>1327.7875263240667</v>
      </c>
      <c r="BC33" s="29">
        <f t="shared" si="21"/>
        <v>717.72298720219806</v>
      </c>
      <c r="BD33" s="29">
        <f t="shared" si="22"/>
        <v>107.65844808032971</v>
      </c>
      <c r="BE33" s="29">
        <f t="shared" si="23"/>
        <v>57.776700469776948</v>
      </c>
      <c r="BF33" s="29">
        <f t="shared" si="24"/>
        <v>29714.000000000004</v>
      </c>
      <c r="BG33" s="29">
        <f t="shared" si="24"/>
        <v>5370</v>
      </c>
      <c r="BH33" s="29">
        <f t="shared" si="24"/>
        <v>716</v>
      </c>
      <c r="BI33" s="29">
        <f t="shared" si="24"/>
        <v>0</v>
      </c>
      <c r="BJ33" s="29">
        <f>SUM(BB$7:BB33)+BF33</f>
        <v>37007.305605547772</v>
      </c>
      <c r="BK33" s="29">
        <f>SUM(BC$7:BC33)+BG33</f>
        <v>9255.0486346124526</v>
      </c>
      <c r="BL33" s="29">
        <f>SUM(BD$7:BD33)+BH33</f>
        <v>1321.2348533919626</v>
      </c>
      <c r="BM33" s="29">
        <f>SUM(BE$7:BE33)+BI33</f>
        <v>298.96017939024421</v>
      </c>
      <c r="BN33" s="29">
        <f>SUM(BT$7:BT33)</f>
        <v>16.055398714353437</v>
      </c>
      <c r="BO33" s="17">
        <f t="shared" si="50"/>
        <v>295.4886847217403</v>
      </c>
      <c r="BP33" s="17">
        <f t="shared" si="51"/>
        <v>82.381394102732983</v>
      </c>
      <c r="BQ33" s="17" t="e">
        <f t="shared" si="52"/>
        <v>#DIV/0!</v>
      </c>
      <c r="BR33" s="17">
        <f t="shared" si="28"/>
        <v>0</v>
      </c>
      <c r="BS33" s="17">
        <f t="shared" si="17"/>
        <v>80</v>
      </c>
      <c r="BT33" s="17">
        <f t="shared" si="29"/>
        <v>0</v>
      </c>
      <c r="BV33" s="17">
        <f t="shared" si="30"/>
        <v>762.52098584227826</v>
      </c>
      <c r="BW33" s="17">
        <v>29</v>
      </c>
      <c r="BX33" s="17">
        <f>'[1]资源-钻石'!L32/$B$2*$B$12*10</f>
        <v>174.91722746624771</v>
      </c>
      <c r="BY33" s="17">
        <f>'[1]资源-钻石'!M32/$B$2*$B$12*10</f>
        <v>205.8277931876259</v>
      </c>
      <c r="BZ33" s="17">
        <f>'[1]资源-钻石'!N32/$B$2*$B$12*10</f>
        <v>271.96816019907379</v>
      </c>
      <c r="CA33" s="17">
        <f>'[1]资源-钻石'!O32/$B$2*$B$12*10</f>
        <v>516.53985327356668</v>
      </c>
      <c r="CB33" s="17">
        <f>'[1]资源-钻石'!P32/$B$2*$B$12*10</f>
        <v>770.28412329672665</v>
      </c>
      <c r="CD33" s="17">
        <v>29</v>
      </c>
      <c r="CE33" s="17">
        <f>'[1]资源-钻石'!L32/$B$2*$C$12*10</f>
        <v>70.852547834429458</v>
      </c>
      <c r="CF33" s="17">
        <f>'[1]资源-钻石'!M32/$B$2*$C$12*10</f>
        <v>83.373283316506701</v>
      </c>
      <c r="CG33" s="17">
        <f>'[1]资源-钻石'!N32/$B$2*$C$12*10</f>
        <v>110.16431805532102</v>
      </c>
      <c r="CH33" s="17">
        <f>'[1]资源-钻石'!O32/$B$2*$C$12*10</f>
        <v>209.23133297157131</v>
      </c>
      <c r="CI33" s="17">
        <f>'[1]资源-钻石'!P32/$B$2*$C$12*10</f>
        <v>312.01382209487662</v>
      </c>
      <c r="CN33" s="17">
        <v>0.49</v>
      </c>
      <c r="CO33" s="17">
        <v>145</v>
      </c>
      <c r="CP33" s="17">
        <f>INDEX(节奏总纲!$P$4:$P$163,CO33,1)</f>
        <v>23169.475005920798</v>
      </c>
      <c r="CQ33" s="17">
        <f t="shared" si="31"/>
        <v>0.25558927917752683</v>
      </c>
      <c r="CR33" s="17">
        <f t="shared" si="53"/>
        <v>0.25558927917752683</v>
      </c>
      <c r="CS33" s="17">
        <f t="shared" si="54"/>
        <v>0.25558927917752683</v>
      </c>
      <c r="CT33" s="17">
        <f t="shared" si="55"/>
        <v>0.25558927917752683</v>
      </c>
      <c r="CU33" s="17">
        <f t="shared" si="56"/>
        <v>0.25558927917752683</v>
      </c>
      <c r="CW33" s="17">
        <v>30</v>
      </c>
      <c r="CX33" s="17">
        <f t="shared" si="1"/>
        <v>0.5002443664278261</v>
      </c>
      <c r="CY33" s="17">
        <f t="shared" si="2"/>
        <v>0.5002443664278261</v>
      </c>
      <c r="CZ33" s="17">
        <f t="shared" si="3"/>
        <v>0.5002443664278261</v>
      </c>
      <c r="DA33" s="17">
        <f t="shared" si="4"/>
        <v>0.5002443664278261</v>
      </c>
      <c r="DB33" s="17">
        <f t="shared" si="5"/>
        <v>0.5002443664278261</v>
      </c>
    </row>
    <row r="34" spans="1:106" x14ac:dyDescent="0.15">
      <c r="B34" s="29" t="s">
        <v>283</v>
      </c>
      <c r="C34" s="29">
        <f>D34*E34</f>
        <v>6626.6666666666661</v>
      </c>
      <c r="D34" s="29">
        <f>$B$3/10/($E$16*$E$17+E18)</f>
        <v>9466.6666666666661</v>
      </c>
      <c r="E34" s="17">
        <v>0.7</v>
      </c>
      <c r="H34" s="17">
        <v>31</v>
      </c>
      <c r="I34" s="29">
        <f>IF(基础状态预期!C44="","",基础状态预期!C44)</f>
        <v>4540</v>
      </c>
      <c r="J34" s="29">
        <f>IF(基础状态预期!D44="","",基础状态预期!D44)</f>
        <v>121.47928719052189</v>
      </c>
      <c r="K34" s="29" t="str">
        <f>IF(基础状态预期!F44="","",基础状态预期!F44)</f>
        <v/>
      </c>
      <c r="L34" s="29" t="str">
        <f>IF(基础状态预期!G44="","",基础状态预期!G44)</f>
        <v/>
      </c>
      <c r="M34" s="29" t="str">
        <f>IF(基础状态预期!H44="","",基础状态预期!H44)</f>
        <v/>
      </c>
      <c r="N34" s="29" t="str">
        <f>IF(基础状态预期!I44="","",基础状态预期!I44)</f>
        <v/>
      </c>
      <c r="O34" s="29">
        <f>IF(基础状态预期!J44="","",基础状态预期!J44)</f>
        <v>6</v>
      </c>
      <c r="P34" s="29">
        <f>武将进阶!O31</f>
        <v>0</v>
      </c>
      <c r="Q34" s="29">
        <f>武将进阶!P31</f>
        <v>0</v>
      </c>
      <c r="R34" s="29">
        <f>武将进阶!Q31</f>
        <v>0</v>
      </c>
      <c r="S34" s="29">
        <f>武将进阶!R31</f>
        <v>599.75144628626254</v>
      </c>
      <c r="T34" s="29">
        <f>武将进阶!S31</f>
        <v>0</v>
      </c>
      <c r="U34" s="29">
        <f>武将觉醒!T32</f>
        <v>0</v>
      </c>
      <c r="V34" s="29">
        <f>武将觉醒!U32</f>
        <v>0</v>
      </c>
      <c r="W34" s="29">
        <f>武将觉醒!V32</f>
        <v>0</v>
      </c>
      <c r="X34" s="29">
        <f>武将觉醒!W32</f>
        <v>0</v>
      </c>
      <c r="Y34" s="29">
        <f>武将觉醒!X32</f>
        <v>0</v>
      </c>
      <c r="Z34" s="29"/>
      <c r="AA34" s="29">
        <f>IF(L34="",0,同名需求(L34,武将升星!P31,B$6)+武将升星!U31)</f>
        <v>0</v>
      </c>
      <c r="AB34" s="29">
        <f>IF(M34="",0,同名需求(M34,武将升星!Q31,C$6)+武将升星!V31)</f>
        <v>0</v>
      </c>
      <c r="AC34" s="59">
        <f>IF(N34="",0,同名需求(N34,武将升星!R31,D$6*0.5)+武将升星!W31)</f>
        <v>0</v>
      </c>
      <c r="AD34" s="29">
        <f>IF(O34="",0,同名需求(O34,武将升星!S31,E$6)+武将升星!X31)</f>
        <v>108</v>
      </c>
      <c r="AE34" s="29">
        <f>MAX(U34+P34+IF(K34="",0,K34)*武将升星!O31,Z34)</f>
        <v>0</v>
      </c>
      <c r="AF34" s="29">
        <f>MAX(V34+Q34+IF(L34="",0,L34)*武将升星!P31,AA34)</f>
        <v>0</v>
      </c>
      <c r="AG34" s="29">
        <f>MAX(W34+R34+IF(M34="",0,M34)*武将升星!Q31,AB34)</f>
        <v>0</v>
      </c>
      <c r="AH34" s="29">
        <f>MAX(X34+S34+IF(N34="",0,N34)*武将升星!R31,AC34)</f>
        <v>599.75144628626254</v>
      </c>
      <c r="AI34" s="45">
        <f t="shared" si="48"/>
        <v>108</v>
      </c>
      <c r="AJ34" s="29">
        <f t="shared" si="9"/>
        <v>1763403.4710870299</v>
      </c>
      <c r="AK34" s="14" t="e">
        <f>AJ34/求节点('[1]资源-钻石'!$K$4:$K$113,'[1]资源-钻石'!$L$4:$L$113,J34)</f>
        <v>#VALUE!</v>
      </c>
      <c r="AL34" s="16"/>
      <c r="AM34" s="16"/>
      <c r="AN34" s="16"/>
      <c r="AO34" s="16"/>
      <c r="AP34" s="17">
        <v>31</v>
      </c>
      <c r="AR34" s="16">
        <f t="shared" si="19"/>
        <v>3.3779574382625057</v>
      </c>
      <c r="AS34" s="29">
        <f>IF(基础状态预期!C44="","",基础状态预期!C44)</f>
        <v>4540</v>
      </c>
      <c r="AT34" s="29">
        <f>求节点(节奏总纲!$P$4:$P$163,其他调用!$C$4:$C$163,$AS34)*求节点($CP$5:$CP$36,$CQ$5:$CQ$36,AS34)</f>
        <v>4096707.4497216009</v>
      </c>
      <c r="AU34" s="37">
        <f t="shared" si="49"/>
        <v>0</v>
      </c>
      <c r="AV34" s="37">
        <v>1</v>
      </c>
      <c r="AW34" s="38">
        <f t="shared" si="11"/>
        <v>0.4933333333333334</v>
      </c>
      <c r="AX34" s="38">
        <f t="shared" si="12"/>
        <v>0.26666666666666666</v>
      </c>
      <c r="AY34" s="38">
        <f t="shared" si="13"/>
        <v>0.04</v>
      </c>
      <c r="AZ34" s="38">
        <f t="shared" si="14"/>
        <v>2.8000000000000001E-2</v>
      </c>
      <c r="BA34" s="29">
        <f t="shared" si="33"/>
        <v>745853.00236836122</v>
      </c>
      <c r="BB34" s="29">
        <f t="shared" si="20"/>
        <v>1599.8006427611228</v>
      </c>
      <c r="BC34" s="29">
        <f t="shared" si="21"/>
        <v>864.75710419520146</v>
      </c>
      <c r="BD34" s="29">
        <f t="shared" si="22"/>
        <v>129.71356562928023</v>
      </c>
      <c r="BE34" s="29">
        <f t="shared" si="23"/>
        <v>69.612946887713719</v>
      </c>
      <c r="BF34" s="29">
        <f t="shared" si="24"/>
        <v>37682</v>
      </c>
      <c r="BG34" s="29">
        <f t="shared" si="24"/>
        <v>6810</v>
      </c>
      <c r="BH34" s="29">
        <f t="shared" si="24"/>
        <v>908</v>
      </c>
      <c r="BI34" s="29">
        <f t="shared" si="24"/>
        <v>0</v>
      </c>
      <c r="BJ34" s="29">
        <f>SUM(BB$7:BB34)+BF34</f>
        <v>46575.10624830889</v>
      </c>
      <c r="BK34" s="29">
        <f>SUM(BC$7:BC34)+BG34</f>
        <v>11559.805738807652</v>
      </c>
      <c r="BL34" s="29">
        <f>SUM(BD$7:BD34)+BH34</f>
        <v>1642.9484190212429</v>
      </c>
      <c r="BM34" s="29">
        <f>SUM(BE$7:BE34)+BI34</f>
        <v>368.57312627795795</v>
      </c>
      <c r="BN34" s="29">
        <f>SUM(BT$7:BT34)</f>
        <v>16.055398714353437</v>
      </c>
      <c r="BO34" s="17">
        <f t="shared" si="50"/>
        <v>295.55598185196351</v>
      </c>
      <c r="BP34" s="17">
        <f t="shared" si="51"/>
        <v>70.844179848719449</v>
      </c>
      <c r="BQ34" s="17" t="e">
        <f t="shared" si="52"/>
        <v>#DIV/0!</v>
      </c>
      <c r="BR34" s="17">
        <f t="shared" si="28"/>
        <v>0</v>
      </c>
      <c r="BS34" s="17">
        <f t="shared" si="17"/>
        <v>80</v>
      </c>
      <c r="BT34" s="17">
        <f t="shared" si="29"/>
        <v>0</v>
      </c>
      <c r="BV34" s="17">
        <f t="shared" si="30"/>
        <v>1043.1969727349804</v>
      </c>
      <c r="BW34" s="17">
        <v>30</v>
      </c>
      <c r="BX34" s="17">
        <f>'[1]资源-钻石'!L33/$B$2*$B$12*10</f>
        <v>187.99710703877477</v>
      </c>
      <c r="BY34" s="17">
        <f>'[1]资源-钻石'!M33/$B$2*$B$12*10</f>
        <v>221.04247195044513</v>
      </c>
      <c r="BZ34" s="17">
        <f>'[1]资源-钻石'!N33/$B$2*$B$12*10</f>
        <v>291.58015233648189</v>
      </c>
      <c r="CA34" s="17">
        <f>'[1]资源-钻石'!O33/$B$2*$B$12*10</f>
        <v>551.49256887273248</v>
      </c>
      <c r="CB34" s="17">
        <f>'[1]资源-钻石'!P33/$B$2*$B$12*10</f>
        <v>815.57952198888529</v>
      </c>
      <c r="CD34" s="17">
        <v>30</v>
      </c>
      <c r="CE34" s="17">
        <f>'[1]资源-钻石'!L33/$B$2*$C$12*10</f>
        <v>76.150726901782193</v>
      </c>
      <c r="CF34" s="17">
        <f>'[1]资源-钻石'!M33/$B$2*$C$12*10</f>
        <v>89.536191169800574</v>
      </c>
      <c r="CG34" s="17">
        <f>'[1]资源-钻石'!N33/$B$2*$C$12*10</f>
        <v>118.10841613629646</v>
      </c>
      <c r="CH34" s="17">
        <f>'[1]资源-钻石'!O33/$B$2*$C$12*10</f>
        <v>223.3893949864233</v>
      </c>
      <c r="CI34" s="17">
        <f>'[1]资源-钻石'!P33/$B$2*$C$12*10</f>
        <v>330.3613253625864</v>
      </c>
      <c r="CN34" s="17">
        <v>0.49</v>
      </c>
      <c r="CO34" s="17">
        <v>150</v>
      </c>
      <c r="CP34" s="17">
        <f>INDEX(节奏总纲!$P$4:$P$163,CO34,1)</f>
        <v>32767</v>
      </c>
      <c r="CQ34" s="17">
        <f t="shared" si="31"/>
        <v>0.25047749359397631</v>
      </c>
      <c r="CR34" s="17">
        <f t="shared" si="53"/>
        <v>0.25047749359397631</v>
      </c>
      <c r="CS34" s="17">
        <f t="shared" si="54"/>
        <v>0.25047749359397631</v>
      </c>
      <c r="CT34" s="17">
        <f t="shared" si="55"/>
        <v>0.25047749359397631</v>
      </c>
      <c r="CU34" s="17">
        <f t="shared" si="56"/>
        <v>0.25047749359397631</v>
      </c>
      <c r="CW34" s="17">
        <v>31</v>
      </c>
      <c r="CX34" s="17">
        <f t="shared" si="1"/>
        <v>0.49569669036939135</v>
      </c>
      <c r="CY34" s="17">
        <f t="shared" si="2"/>
        <v>0.49569669036939135</v>
      </c>
      <c r="CZ34" s="17">
        <f t="shared" si="3"/>
        <v>0.49569669036939135</v>
      </c>
      <c r="DA34" s="17">
        <f t="shared" si="4"/>
        <v>0.49569669036939135</v>
      </c>
      <c r="DB34" s="17">
        <f t="shared" si="5"/>
        <v>0.49569669036939135</v>
      </c>
    </row>
    <row r="35" spans="1:106" x14ac:dyDescent="0.15">
      <c r="B35" s="29" t="s">
        <v>282</v>
      </c>
      <c r="C35" s="29">
        <f t="shared" ref="C35:C38" si="59">D35*E35</f>
        <v>6910.6666666666661</v>
      </c>
      <c r="D35" s="29">
        <f t="shared" ref="D35:D38" si="60">$B$3/10/($E$16*$E$17+E19)</f>
        <v>9466.6666666666661</v>
      </c>
      <c r="E35" s="17">
        <f>E34+F35</f>
        <v>0.73</v>
      </c>
      <c r="F35" s="17">
        <v>0.03</v>
      </c>
      <c r="H35" s="16">
        <v>32</v>
      </c>
      <c r="I35" s="29">
        <f>IF(基础状态预期!C45="","",基础状态预期!C45)</f>
        <v>5800</v>
      </c>
      <c r="J35" s="29">
        <f>IF(基础状态预期!D45="","",基础状态预期!D45)</f>
        <v>125.02015904129435</v>
      </c>
      <c r="K35" s="29" t="str">
        <f>IF(基础状态预期!F45="","",基础状态预期!F45)</f>
        <v/>
      </c>
      <c r="L35" s="29" t="str">
        <f>IF(基础状态预期!G45="","",基础状态预期!G45)</f>
        <v/>
      </c>
      <c r="M35" s="29" t="str">
        <f>IF(基础状态预期!H45="","",基础状态预期!H45)</f>
        <v/>
      </c>
      <c r="N35" s="29" t="str">
        <f>IF(基础状态预期!I45="","",基础状态预期!I45)</f>
        <v/>
      </c>
      <c r="O35" s="29">
        <f>IF(基础状态预期!J45="","",基础状态预期!J45)</f>
        <v>6</v>
      </c>
      <c r="P35" s="29">
        <f>武将进阶!O32</f>
        <v>0</v>
      </c>
      <c r="Q35" s="29">
        <f>武将进阶!P32</f>
        <v>0</v>
      </c>
      <c r="R35" s="29">
        <f>武将进阶!Q32</f>
        <v>0</v>
      </c>
      <c r="S35" s="29">
        <f>武将进阶!R32</f>
        <v>642</v>
      </c>
      <c r="T35" s="29">
        <f>武将进阶!S32</f>
        <v>0</v>
      </c>
      <c r="U35" s="29">
        <f>武将觉醒!T33</f>
        <v>0</v>
      </c>
      <c r="V35" s="29">
        <f>武将觉醒!U33</f>
        <v>0</v>
      </c>
      <c r="W35" s="29">
        <f>武将觉醒!V33</f>
        <v>0</v>
      </c>
      <c r="X35" s="29">
        <f>武将觉醒!W33</f>
        <v>0</v>
      </c>
      <c r="Y35" s="29">
        <f>武将觉醒!X33</f>
        <v>0</v>
      </c>
      <c r="Z35" s="29"/>
      <c r="AA35" s="29">
        <f>IF(L35="",0,同名需求(L35,武将升星!P32,B$6)+武将升星!U32)</f>
        <v>0</v>
      </c>
      <c r="AB35" s="29">
        <f>IF(M35="",0,同名需求(M35,武将升星!Q32,C$6)+武将升星!V32)</f>
        <v>0</v>
      </c>
      <c r="AC35" s="59">
        <f>IF(N35="",0,同名需求(N35,武将升星!R32,D$6*0.5)+武将升星!W32)</f>
        <v>0</v>
      </c>
      <c r="AD35" s="29">
        <f>IF(O35="",0,同名需求(O35,武将升星!S32,E$6)+武将升星!X32)</f>
        <v>108</v>
      </c>
      <c r="AE35" s="29">
        <f>MAX(U35+P35+IF(K35="",0,K35)*武将升星!O32,Z35)</f>
        <v>0</v>
      </c>
      <c r="AF35" s="29">
        <f>MAX(V35+Q35+IF(L35="",0,L35)*武将升星!P32,AA35)</f>
        <v>0</v>
      </c>
      <c r="AG35" s="29">
        <f>MAX(W35+R35+IF(M35="",0,M35)*武将升星!Q32,AB35)</f>
        <v>0</v>
      </c>
      <c r="AH35" s="29">
        <f>MAX(X35+S35+IF(N35="",0,N35)*武将升星!R32,AC35)</f>
        <v>642</v>
      </c>
      <c r="AI35" s="45">
        <f t="shared" si="48"/>
        <v>108</v>
      </c>
      <c r="AJ35" s="29">
        <f t="shared" si="9"/>
        <v>1864800</v>
      </c>
      <c r="AK35" s="14" t="e">
        <f>AJ35/求节点('[1]资源-钻石'!$K$4:$K$113,'[1]资源-钻石'!$L$4:$L$113,J35)</f>
        <v>#VALUE!</v>
      </c>
      <c r="AL35" s="16"/>
      <c r="AM35" s="16"/>
      <c r="AN35" s="16"/>
      <c r="AO35" s="16"/>
      <c r="AP35" s="17">
        <v>32</v>
      </c>
      <c r="AR35" s="16">
        <f t="shared" si="19"/>
        <v>3.320508779280114</v>
      </c>
      <c r="AS35" s="29">
        <f>IF(基础状态预期!C45="","",基础状态预期!C45)</f>
        <v>5800</v>
      </c>
      <c r="AT35" s="29">
        <f>求节点(节奏总纲!$P$4:$P$163,其他调用!$C$4:$C$163,$AS35)*求节点($CP$5:$CP$36,$CQ$5:$CQ$36,AS35)</f>
        <v>5058990.8939569779</v>
      </c>
      <c r="AU35" s="37">
        <f t="shared" si="49"/>
        <v>0</v>
      </c>
      <c r="AV35" s="37">
        <v>1</v>
      </c>
      <c r="AW35" s="38">
        <f t="shared" si="11"/>
        <v>0.4933333333333334</v>
      </c>
      <c r="AX35" s="38">
        <f t="shared" si="12"/>
        <v>0.26666666666666666</v>
      </c>
      <c r="AY35" s="38">
        <f t="shared" si="13"/>
        <v>0.04</v>
      </c>
      <c r="AZ35" s="38">
        <f t="shared" si="14"/>
        <v>2.8000000000000001E-2</v>
      </c>
      <c r="BA35" s="29">
        <f t="shared" si="33"/>
        <v>962283.44423537701</v>
      </c>
      <c r="BB35" s="29">
        <f t="shared" si="20"/>
        <v>2064.0282572005194</v>
      </c>
      <c r="BC35" s="29">
        <f t="shared" si="21"/>
        <v>1115.6909498381183</v>
      </c>
      <c r="BD35" s="29">
        <f t="shared" si="22"/>
        <v>167.35364247571775</v>
      </c>
      <c r="BE35" s="29">
        <f t="shared" si="23"/>
        <v>89.813121461968521</v>
      </c>
      <c r="BF35" s="29">
        <f t="shared" si="24"/>
        <v>48140.000000000007</v>
      </c>
      <c r="BG35" s="29">
        <f t="shared" si="24"/>
        <v>8700</v>
      </c>
      <c r="BH35" s="29">
        <f t="shared" si="24"/>
        <v>1160</v>
      </c>
      <c r="BI35" s="29">
        <f t="shared" si="24"/>
        <v>0</v>
      </c>
      <c r="BJ35" s="29">
        <f>SUM(BB$7:BB35)+BF35</f>
        <v>59097.134505509421</v>
      </c>
      <c r="BK35" s="29">
        <f>SUM(BC$7:BC35)+BG35</f>
        <v>14565.496688645771</v>
      </c>
      <c r="BL35" s="29">
        <f>SUM(BD$7:BD35)+BH35</f>
        <v>2062.3020614969605</v>
      </c>
      <c r="BM35" s="29">
        <f>SUM(BE$7:BE35)+BI35</f>
        <v>458.38624773992649</v>
      </c>
      <c r="BN35" s="29">
        <f>SUM(BT$7:BT35)</f>
        <v>16.055398714353437</v>
      </c>
      <c r="BO35" s="17">
        <f t="shared" si="50"/>
        <v>325.91594303339798</v>
      </c>
      <c r="BP35" s="17">
        <f t="shared" si="51"/>
        <v>68.64239029691781</v>
      </c>
      <c r="BQ35" s="17" t="e">
        <f t="shared" si="52"/>
        <v>#DIV/0!</v>
      </c>
      <c r="BR35" s="17">
        <f t="shared" si="28"/>
        <v>0</v>
      </c>
      <c r="BS35" s="17">
        <f t="shared" si="17"/>
        <v>80</v>
      </c>
      <c r="BT35" s="17">
        <f t="shared" si="29"/>
        <v>0</v>
      </c>
      <c r="BV35" s="17">
        <f t="shared" si="30"/>
        <v>1420.3020614969605</v>
      </c>
      <c r="BW35" s="17">
        <v>31</v>
      </c>
      <c r="BX35" s="17">
        <f>'[1]资源-钻石'!L34/$B$2*$B$12*10</f>
        <v>197.34783337755812</v>
      </c>
      <c r="BY35" s="17">
        <f>'[1]资源-钻石'!M34/$B$2*$B$12*10</f>
        <v>237.50663360568558</v>
      </c>
      <c r="BZ35" s="17">
        <f>'[1]资源-钻石'!N34/$B$2*$B$12*10</f>
        <v>312.70165130468672</v>
      </c>
      <c r="CA35" s="17">
        <f>'[1]资源-钻石'!O34/$B$2*$B$12*10</f>
        <v>588.81015780322559</v>
      </c>
      <c r="CB35" s="17">
        <f>'[1]资源-钻石'!P34/$B$2*$B$12*10</f>
        <v>864.63349774675135</v>
      </c>
      <c r="CD35" s="17">
        <v>31</v>
      </c>
      <c r="CE35" s="17">
        <f>'[1]资源-钻石'!L34/$B$2*$C$12*10</f>
        <v>79.938362887112135</v>
      </c>
      <c r="CF35" s="17">
        <f>'[1]资源-钻石'!M34/$B$2*$C$12*10</f>
        <v>96.205218675720744</v>
      </c>
      <c r="CG35" s="17">
        <f>'[1]资源-钻石'!N34/$B$2*$C$12*10</f>
        <v>126.66396002215157</v>
      </c>
      <c r="CH35" s="17">
        <f>'[1]资源-钻石'!O34/$B$2*$C$12*10</f>
        <v>238.50538037599009</v>
      </c>
      <c r="CI35" s="17">
        <f>'[1]资源-钻石'!P34/$B$2*$C$12*10</f>
        <v>350.23129022653217</v>
      </c>
      <c r="CN35" s="17">
        <v>0.49</v>
      </c>
      <c r="CO35" s="17">
        <v>155</v>
      </c>
      <c r="CP35" s="17">
        <f>INDEX(节奏总纲!$P$4:$P$163,CO35,1)</f>
        <v>46339.950011841604</v>
      </c>
      <c r="CQ35" s="17">
        <f t="shared" si="31"/>
        <v>0.24546794372209677</v>
      </c>
      <c r="CR35" s="17">
        <f t="shared" si="53"/>
        <v>0.24546794372209677</v>
      </c>
      <c r="CS35" s="17">
        <f t="shared" si="54"/>
        <v>0.24546794372209677</v>
      </c>
      <c r="CT35" s="17">
        <f t="shared" si="55"/>
        <v>0.24546794372209677</v>
      </c>
      <c r="CU35" s="17">
        <f t="shared" si="56"/>
        <v>0.24546794372209677</v>
      </c>
      <c r="CW35" s="17">
        <v>32</v>
      </c>
      <c r="CX35" s="17">
        <f t="shared" si="1"/>
        <v>0.49114901431095659</v>
      </c>
      <c r="CY35" s="17">
        <f t="shared" si="2"/>
        <v>0.49114901431095659</v>
      </c>
      <c r="CZ35" s="17">
        <f t="shared" si="3"/>
        <v>0.49114901431095659</v>
      </c>
      <c r="DA35" s="17">
        <f t="shared" si="4"/>
        <v>0.49114901431095659</v>
      </c>
      <c r="DB35" s="17">
        <f t="shared" si="5"/>
        <v>0.49114901431095659</v>
      </c>
    </row>
    <row r="36" spans="1:106" x14ac:dyDescent="0.15">
      <c r="B36" s="29" t="s">
        <v>281</v>
      </c>
      <c r="C36" s="29">
        <f t="shared" si="59"/>
        <v>8614.6666666666661</v>
      </c>
      <c r="D36" s="29">
        <f t="shared" si="60"/>
        <v>11044.444444444443</v>
      </c>
      <c r="E36" s="17">
        <f t="shared" ref="E36:E38" si="61">E35+F36</f>
        <v>0.78</v>
      </c>
      <c r="F36" s="17">
        <v>0.05</v>
      </c>
      <c r="H36" s="17">
        <v>33</v>
      </c>
      <c r="I36" s="29">
        <f>IF(基础状态预期!C46="","",基础状态预期!C46)</f>
        <v>7420</v>
      </c>
      <c r="J36" s="29">
        <f>IF(基础状态预期!D46="","",基础状态预期!D46)</f>
        <v>128.56549059889721</v>
      </c>
      <c r="K36" s="29" t="str">
        <f>IF(基础状态预期!F46="","",基础状态预期!F46)</f>
        <v/>
      </c>
      <c r="L36" s="29" t="str">
        <f>IF(基础状态预期!G46="","",基础状态预期!G46)</f>
        <v/>
      </c>
      <c r="M36" s="29" t="str">
        <f>IF(基础状态预期!H46="","",基础状态预期!H46)</f>
        <v/>
      </c>
      <c r="N36" s="29" t="str">
        <f>IF(基础状态预期!I46="","",基础状态预期!I46)</f>
        <v/>
      </c>
      <c r="O36" s="29">
        <f>IF(基础状态预期!J46="","",基础状态预期!J46)</f>
        <v>6</v>
      </c>
      <c r="P36" s="29">
        <f>武将进阶!O33</f>
        <v>0</v>
      </c>
      <c r="Q36" s="29">
        <f>武将进阶!P33</f>
        <v>0</v>
      </c>
      <c r="R36" s="29">
        <f>武将进阶!Q33</f>
        <v>0</v>
      </c>
      <c r="S36" s="29">
        <f>武将进阶!R33</f>
        <v>642</v>
      </c>
      <c r="T36" s="29">
        <f>武将进阶!S33</f>
        <v>0</v>
      </c>
      <c r="U36" s="29">
        <f>武将觉醒!T34</f>
        <v>0</v>
      </c>
      <c r="V36" s="29">
        <f>武将觉醒!U34</f>
        <v>0</v>
      </c>
      <c r="W36" s="29">
        <f>武将觉醒!V34</f>
        <v>0</v>
      </c>
      <c r="X36" s="29">
        <f>武将觉醒!W34</f>
        <v>0</v>
      </c>
      <c r="Y36" s="29">
        <f>武将觉醒!X34</f>
        <v>0</v>
      </c>
      <c r="Z36" s="29"/>
      <c r="AA36" s="29">
        <f>IF(L36="",0,同名需求(L36,武将升星!P33,B$6)+武将升星!U33)</f>
        <v>0</v>
      </c>
      <c r="AB36" s="29">
        <f>IF(M36="",0,同名需求(M36,武将升星!Q33,C$6)+武将升星!V33)</f>
        <v>0</v>
      </c>
      <c r="AC36" s="59">
        <f>IF(N36="",0,同名需求(N36,武将升星!R33,D$6*0.5)+武将升星!W33)</f>
        <v>0</v>
      </c>
      <c r="AD36" s="29">
        <f>IF(O36="",0,同名需求(O36,武将升星!S33,E$6)+武将升星!X33)</f>
        <v>108</v>
      </c>
      <c r="AE36" s="29">
        <f>MAX(U36+P36+IF(K36="",0,K36)*武将升星!O33,Z36)</f>
        <v>0</v>
      </c>
      <c r="AF36" s="29">
        <f>MAX(V36+Q36+IF(L36="",0,L36)*武将升星!P33,AA36)</f>
        <v>0</v>
      </c>
      <c r="AG36" s="29">
        <f>MAX(W36+R36+IF(M36="",0,M36)*武将升星!Q33,AB36)</f>
        <v>0</v>
      </c>
      <c r="AH36" s="29">
        <f>MAX(X36+S36+IF(N36="",0,N36)*武将升星!R33,AC36)</f>
        <v>642</v>
      </c>
      <c r="AI36" s="45">
        <f t="shared" si="48"/>
        <v>108</v>
      </c>
      <c r="AJ36" s="29">
        <f t="shared" si="9"/>
        <v>1864800</v>
      </c>
      <c r="AK36" s="14" t="e">
        <f>AJ36/求节点('[1]资源-钻石'!$K$4:$K$113,'[1]资源-钻石'!$L$4:$L$113,J36)</f>
        <v>#VALUE!</v>
      </c>
      <c r="AL36" s="16"/>
      <c r="AM36" s="16"/>
      <c r="AN36" s="16"/>
      <c r="AO36" s="16"/>
      <c r="AP36" s="17">
        <v>33</v>
      </c>
      <c r="AR36" s="16">
        <f t="shared" si="19"/>
        <v>3.1783670512170059</v>
      </c>
      <c r="AS36" s="29">
        <f>IF(基础状态预期!C46="","",基础状态预期!C46)</f>
        <v>7420</v>
      </c>
      <c r="AT36" s="29">
        <f>求节点(节奏总纲!$P$4:$P$163,其他调用!$C$4:$C$163,$AS36)*求节点($CP$5:$CP$36,$CQ$5:$CQ$36,AS36)</f>
        <v>6243250.4572404344</v>
      </c>
      <c r="AU36" s="37">
        <f t="shared" si="49"/>
        <v>0</v>
      </c>
      <c r="AV36" s="37">
        <v>1</v>
      </c>
      <c r="AW36" s="38">
        <f t="shared" si="11"/>
        <v>0.4933333333333334</v>
      </c>
      <c r="AX36" s="38">
        <f t="shared" si="12"/>
        <v>0.26666666666666666</v>
      </c>
      <c r="AY36" s="38">
        <f t="shared" si="13"/>
        <v>0.04</v>
      </c>
      <c r="AZ36" s="38">
        <f t="shared" si="14"/>
        <v>2.8000000000000001E-2</v>
      </c>
      <c r="BA36" s="29">
        <f t="shared" si="33"/>
        <v>1184259.5632834565</v>
      </c>
      <c r="BB36" s="29">
        <f t="shared" si="20"/>
        <v>2540.1509473326314</v>
      </c>
      <c r="BC36" s="29">
        <f t="shared" si="21"/>
        <v>1373.0545661257465</v>
      </c>
      <c r="BD36" s="29">
        <f t="shared" si="22"/>
        <v>205.958184918862</v>
      </c>
      <c r="BE36" s="29">
        <f t="shared" si="23"/>
        <v>110.53089257312261</v>
      </c>
      <c r="BF36" s="29">
        <f t="shared" si="24"/>
        <v>61586.000000000007</v>
      </c>
      <c r="BG36" s="29">
        <f t="shared" si="24"/>
        <v>11130</v>
      </c>
      <c r="BH36" s="29">
        <f t="shared" si="24"/>
        <v>1484</v>
      </c>
      <c r="BI36" s="29">
        <f t="shared" si="24"/>
        <v>0</v>
      </c>
      <c r="BJ36" s="29">
        <f>SUM(BB$7:BB36)+BF36</f>
        <v>75083.285452842058</v>
      </c>
      <c r="BK36" s="29">
        <f>SUM(BC$7:BC36)+BG36</f>
        <v>18368.551254771519</v>
      </c>
      <c r="BL36" s="29">
        <f>SUM(BD$7:BD36)+BH36</f>
        <v>2592.2602464158226</v>
      </c>
      <c r="BM36" s="29">
        <f>SUM(BE$7:BE36)+BI36</f>
        <v>568.91714031304912</v>
      </c>
      <c r="BN36" s="29">
        <f>SUM(BT$7:BT36)</f>
        <v>16.055398714353437</v>
      </c>
      <c r="BO36" s="17">
        <f t="shared" si="50"/>
        <v>347.776129269975</v>
      </c>
      <c r="BP36" s="17">
        <f t="shared" si="51"/>
        <v>58.179259415903473</v>
      </c>
      <c r="BQ36" s="17" t="e">
        <f t="shared" si="52"/>
        <v>#DIV/0!</v>
      </c>
      <c r="BR36" s="17">
        <f t="shared" si="28"/>
        <v>0</v>
      </c>
      <c r="BS36" s="17">
        <f t="shared" si="17"/>
        <v>80</v>
      </c>
      <c r="BT36" s="17">
        <f t="shared" si="29"/>
        <v>0</v>
      </c>
      <c r="BV36" s="17">
        <f t="shared" si="30"/>
        <v>1950.2602464158226</v>
      </c>
      <c r="BW36" s="17">
        <v>32</v>
      </c>
      <c r="BX36" s="17">
        <f>'[1]资源-钻石'!L35/$B$2*$B$12*10</f>
        <v>207.36969372290528</v>
      </c>
      <c r="BY36" s="17">
        <f>'[1]资源-钻石'!M35/$B$2*$B$12*10</f>
        <v>253.58030432087065</v>
      </c>
      <c r="BZ36" s="17">
        <f>'[1]资源-钻石'!N35/$B$2*$B$12*10</f>
        <v>334.92179168872144</v>
      </c>
      <c r="CA36" s="17">
        <f>'[1]资源-钻石'!O35/$B$2*$B$12*10</f>
        <v>629.02865638219225</v>
      </c>
      <c r="CB36" s="17">
        <f>'[1]资源-钻石'!P35/$B$2*$B$12*10</f>
        <v>916.21019379686072</v>
      </c>
      <c r="CD36" s="17">
        <v>32</v>
      </c>
      <c r="CE36" s="17">
        <f>'[1]资源-钻石'!L35/$B$2*$C$12*10</f>
        <v>83.997850621936308</v>
      </c>
      <c r="CF36" s="17">
        <f>'[1]资源-钻石'!M35/$B$2*$C$12*10</f>
        <v>102.71607263630204</v>
      </c>
      <c r="CG36" s="17">
        <f>'[1]资源-钻石'!N35/$B$2*$C$12*10</f>
        <v>135.6645232156846</v>
      </c>
      <c r="CH36" s="17">
        <f>'[1]资源-钻石'!O35/$B$2*$C$12*10</f>
        <v>254.79641777506521</v>
      </c>
      <c r="CI36" s="17">
        <f>'[1]资源-钻石'!P35/$B$2*$C$12*10</f>
        <v>371.12311647467777</v>
      </c>
      <c r="CN36" s="17">
        <v>0.49</v>
      </c>
      <c r="CO36" s="17">
        <v>160</v>
      </c>
      <c r="CP36" s="17">
        <f>INDEX(节奏总纲!$P$4:$P$163,CO36,1)</f>
        <v>65535</v>
      </c>
      <c r="CQ36" s="17">
        <f t="shared" si="31"/>
        <v>0.24055858484765483</v>
      </c>
      <c r="CR36" s="17">
        <f t="shared" si="53"/>
        <v>0.24055858484765483</v>
      </c>
      <c r="CS36" s="17">
        <f t="shared" si="54"/>
        <v>0.24055858484765483</v>
      </c>
      <c r="CT36" s="17">
        <f t="shared" si="55"/>
        <v>0.24055858484765483</v>
      </c>
      <c r="CU36" s="17">
        <f t="shared" si="56"/>
        <v>0.24055858484765483</v>
      </c>
      <c r="CW36" s="17">
        <v>33</v>
      </c>
      <c r="CX36" s="17">
        <f t="shared" ref="CX36:CX67" si="62">求节点($CO$41:$CO$72,CQ$41:CQ$72,$CW36)</f>
        <v>0.48660133825252178</v>
      </c>
      <c r="CY36" s="17">
        <f t="shared" ref="CY36:CY67" si="63">求节点($CO$41:$CO$72,CR$41:CR$72,$CW36)</f>
        <v>0.48660133825252178</v>
      </c>
      <c r="CZ36" s="17">
        <f t="shared" ref="CZ36:CZ67" si="64">求节点($CO$41:$CO$72,CS$41:CS$72,$CW36)</f>
        <v>0.48660133825252178</v>
      </c>
      <c r="DA36" s="17">
        <f t="shared" ref="DA36:DA67" si="65">求节点($CO$41:$CO$72,CT$41:CT$72,$CW36)</f>
        <v>0.48660133825252178</v>
      </c>
      <c r="DB36" s="17">
        <f t="shared" ref="DB36:DB67" si="66">求节点($CO$41:$CO$72,CU$41:CU$72,$CW36)</f>
        <v>0.48660133825252178</v>
      </c>
    </row>
    <row r="37" spans="1:106" x14ac:dyDescent="0.15">
      <c r="B37" s="29" t="s">
        <v>280</v>
      </c>
      <c r="C37" s="29">
        <f t="shared" si="59"/>
        <v>11265.333333333334</v>
      </c>
      <c r="D37" s="29">
        <f t="shared" si="60"/>
        <v>13253.333333333332</v>
      </c>
      <c r="E37" s="17">
        <f t="shared" si="61"/>
        <v>0.85000000000000009</v>
      </c>
      <c r="F37" s="17">
        <v>7.0000000000000007E-2</v>
      </c>
      <c r="H37" s="16">
        <v>34</v>
      </c>
      <c r="I37" s="29">
        <f>IF(基础状态预期!C47="","",基础状态预期!C47)</f>
        <v>9460</v>
      </c>
      <c r="J37" s="29">
        <f>IF(基础状态预期!D47="","",基础状态预期!D47)</f>
        <v>132.07530828871487</v>
      </c>
      <c r="K37" s="29" t="str">
        <f>IF(基础状态预期!F47="","",基础状态预期!F47)</f>
        <v/>
      </c>
      <c r="L37" s="29" t="str">
        <f>IF(基础状态预期!G47="","",基础状态预期!G47)</f>
        <v/>
      </c>
      <c r="M37" s="29" t="str">
        <f>IF(基础状态预期!H47="","",基础状态预期!H47)</f>
        <v/>
      </c>
      <c r="N37" s="29" t="str">
        <f>IF(基础状态预期!I47="","",基础状态预期!I47)</f>
        <v/>
      </c>
      <c r="O37" s="29">
        <f>IF(基础状态预期!J47="","",基础状态预期!J47)</f>
        <v>6</v>
      </c>
      <c r="P37" s="29">
        <f>武将进阶!O34</f>
        <v>0</v>
      </c>
      <c r="Q37" s="29">
        <f>武将进阶!P34</f>
        <v>0</v>
      </c>
      <c r="R37" s="29">
        <f>武将进阶!Q34</f>
        <v>0</v>
      </c>
      <c r="S37" s="29">
        <f>武将进阶!R34</f>
        <v>642</v>
      </c>
      <c r="T37" s="29">
        <f>武将进阶!S34</f>
        <v>0</v>
      </c>
      <c r="U37" s="29">
        <f>武将觉醒!T35</f>
        <v>0</v>
      </c>
      <c r="V37" s="29">
        <f>武将觉醒!U35</f>
        <v>0</v>
      </c>
      <c r="W37" s="29">
        <f>武将觉醒!V35</f>
        <v>0</v>
      </c>
      <c r="X37" s="29">
        <f>武将觉醒!W35</f>
        <v>0</v>
      </c>
      <c r="Y37" s="29">
        <f>武将觉醒!X35</f>
        <v>0</v>
      </c>
      <c r="Z37" s="29"/>
      <c r="AA37" s="29">
        <f>IF(L37="",0,同名需求(L37,武将升星!P34,B$6)+武将升星!U34)</f>
        <v>0</v>
      </c>
      <c r="AB37" s="29">
        <f>IF(M37="",0,同名需求(M37,武将升星!Q34,C$6)+武将升星!V34)</f>
        <v>0</v>
      </c>
      <c r="AC37" s="59">
        <f>IF(N37="",0,同名需求(N37,武将升星!R34,D$6*0.5)+武将升星!W34)</f>
        <v>0</v>
      </c>
      <c r="AD37" s="29">
        <f>IF(O37="",0,同名需求(O37,武将升星!S34,E$6)+武将升星!X34)</f>
        <v>108</v>
      </c>
      <c r="AE37" s="29">
        <f>MAX(U37+P37+IF(K37="",0,K37)*武将升星!O34,Z37)</f>
        <v>0</v>
      </c>
      <c r="AF37" s="29">
        <f>MAX(V37+Q37+IF(L37="",0,L37)*武将升星!P34,AA37)</f>
        <v>0</v>
      </c>
      <c r="AG37" s="29">
        <f>MAX(W37+R37+IF(M37="",0,M37)*武将升星!Q34,AB37)</f>
        <v>0</v>
      </c>
      <c r="AH37" s="29">
        <f>MAX(X37+S37+IF(N37="",0,N37)*武将升星!R34,AC37)</f>
        <v>642</v>
      </c>
      <c r="AI37" s="45">
        <f t="shared" si="48"/>
        <v>108</v>
      </c>
      <c r="AJ37" s="29">
        <f t="shared" si="9"/>
        <v>1864800</v>
      </c>
      <c r="AK37" s="14" t="e">
        <f>AJ37/求节点('[1]资源-钻石'!$K$4:$K$113,'[1]资源-钻石'!$L$4:$L$113,J37)</f>
        <v>#VALUE!</v>
      </c>
      <c r="AL37" s="16"/>
      <c r="AM37" s="16"/>
      <c r="AN37" s="16"/>
      <c r="AO37" s="16"/>
      <c r="AP37" s="17">
        <v>34</v>
      </c>
      <c r="AR37" s="16">
        <f t="shared" si="19"/>
        <v>3.1292745730359663</v>
      </c>
      <c r="AS37" s="29">
        <f>IF(基础状态预期!C47="","",基础状态预期!C47)</f>
        <v>9460</v>
      </c>
      <c r="AT37" s="29">
        <f>求节点(节奏总纲!$P$4:$P$163,其他调用!$C$4:$C$163,$AS37)*求节点($CP$5:$CP$36,$CQ$5:$CQ$36,AS37)</f>
        <v>7711506.0869089095</v>
      </c>
      <c r="AU37" s="37">
        <f t="shared" si="49"/>
        <v>0</v>
      </c>
      <c r="AV37" s="37">
        <v>1</v>
      </c>
      <c r="AW37" s="38">
        <f t="shared" si="11"/>
        <v>0.4933333333333334</v>
      </c>
      <c r="AX37" s="38">
        <f t="shared" si="12"/>
        <v>0.26666666666666666</v>
      </c>
      <c r="AY37" s="38">
        <f t="shared" si="13"/>
        <v>0.04</v>
      </c>
      <c r="AZ37" s="38">
        <f t="shared" si="14"/>
        <v>2.8000000000000001E-2</v>
      </c>
      <c r="BA37" s="29">
        <f t="shared" si="33"/>
        <v>1468255.6296684751</v>
      </c>
      <c r="BB37" s="29">
        <f t="shared" si="20"/>
        <v>3149.3019303033966</v>
      </c>
      <c r="BC37" s="29">
        <f t="shared" si="21"/>
        <v>1702.3253677315656</v>
      </c>
      <c r="BD37" s="29">
        <f t="shared" si="22"/>
        <v>255.34880515973484</v>
      </c>
      <c r="BE37" s="29">
        <f t="shared" si="23"/>
        <v>137.03719210239103</v>
      </c>
      <c r="BF37" s="29">
        <f t="shared" si="24"/>
        <v>78518</v>
      </c>
      <c r="BG37" s="29">
        <f t="shared" si="24"/>
        <v>14190</v>
      </c>
      <c r="BH37" s="29">
        <f t="shared" si="24"/>
        <v>1892</v>
      </c>
      <c r="BI37" s="29">
        <f t="shared" si="24"/>
        <v>0</v>
      </c>
      <c r="BJ37" s="29">
        <f>SUM(BB$7:BB37)+BF37</f>
        <v>95164.587383145437</v>
      </c>
      <c r="BK37" s="29">
        <f>SUM(BC$7:BC37)+BG37</f>
        <v>23130.876622503085</v>
      </c>
      <c r="BL37" s="29">
        <f>SUM(BD$7:BD37)+BH37</f>
        <v>3255.6090515755577</v>
      </c>
      <c r="BM37" s="29">
        <f>SUM(BE$7:BE37)+BI37</f>
        <v>705.95433241544015</v>
      </c>
      <c r="BN37" s="29">
        <f>SUM(BT$7:BT37)</f>
        <v>16.055398714353437</v>
      </c>
      <c r="BO37" s="17">
        <f t="shared" si="50"/>
        <v>438.54336974426587</v>
      </c>
      <c r="BP37" s="17">
        <f t="shared" si="51"/>
        <v>56.910817640580753</v>
      </c>
      <c r="BQ37" s="17">
        <f t="shared" si="52"/>
        <v>669.35119528998644</v>
      </c>
      <c r="BR37" s="17">
        <f t="shared" si="28"/>
        <v>0</v>
      </c>
      <c r="BS37" s="17">
        <f t="shared" si="17"/>
        <v>80</v>
      </c>
      <c r="BT37" s="17">
        <f t="shared" si="29"/>
        <v>0</v>
      </c>
      <c r="BV37" s="17">
        <f t="shared" si="30"/>
        <v>2613.6090515755577</v>
      </c>
      <c r="BW37" s="17">
        <v>33</v>
      </c>
      <c r="BX37" s="17">
        <f>'[1]资源-钻石'!L36/$B$2*$B$12*10</f>
        <v>218.11085768629314</v>
      </c>
      <c r="BY37" s="17">
        <f>'[1]资源-钻石'!M36/$B$2*$B$12*10</f>
        <v>266.49884317144972</v>
      </c>
      <c r="BZ37" s="17">
        <f>'[1]资源-钻石'!N36/$B$2*$B$12*10</f>
        <v>358.15615338274716</v>
      </c>
      <c r="CA37" s="17">
        <f>'[1]资源-钻石'!O36/$B$2*$B$12*10</f>
        <v>671.32373669694744</v>
      </c>
      <c r="CB37" s="17">
        <f>'[1]资源-钻石'!P36/$B$2*$B$12*10</f>
        <v>970.79593522956031</v>
      </c>
      <c r="CD37" s="17">
        <v>33</v>
      </c>
      <c r="CE37" s="17">
        <f>'[1]资源-钻石'!L36/$B$2*$C$12*10</f>
        <v>88.348701847612418</v>
      </c>
      <c r="CF37" s="17">
        <f>'[1]资源-钻石'!M36/$B$2*$C$12*10</f>
        <v>107.94889849982773</v>
      </c>
      <c r="CG37" s="17">
        <f>'[1]资源-钻石'!N36/$B$2*$C$12*10</f>
        <v>145.07591023098621</v>
      </c>
      <c r="CH37" s="17">
        <f>'[1]资源-钻石'!O36/$B$2*$C$12*10</f>
        <v>271.92860220635845</v>
      </c>
      <c r="CI37" s="17">
        <f>'[1]资源-钻石'!P36/$B$2*$C$12*10</f>
        <v>393.23379654868268</v>
      </c>
      <c r="CW37" s="17">
        <v>34</v>
      </c>
      <c r="CX37" s="17">
        <f t="shared" si="62"/>
        <v>0.48205366219408702</v>
      </c>
      <c r="CY37" s="17">
        <f t="shared" si="63"/>
        <v>0.48205366219408702</v>
      </c>
      <c r="CZ37" s="17">
        <f t="shared" si="64"/>
        <v>0.48205366219408702</v>
      </c>
      <c r="DA37" s="17">
        <f t="shared" si="65"/>
        <v>0.48205366219408702</v>
      </c>
      <c r="DB37" s="17">
        <f t="shared" si="66"/>
        <v>0.48205366219408702</v>
      </c>
    </row>
    <row r="38" spans="1:106" x14ac:dyDescent="0.15">
      <c r="B38" s="29" t="s">
        <v>279</v>
      </c>
      <c r="C38" s="29">
        <f t="shared" si="59"/>
        <v>15572.666666666668</v>
      </c>
      <c r="D38" s="29">
        <f t="shared" si="60"/>
        <v>16566.666666666668</v>
      </c>
      <c r="E38" s="17">
        <f t="shared" si="61"/>
        <v>0.94000000000000006</v>
      </c>
      <c r="F38" s="17">
        <v>0.09</v>
      </c>
      <c r="H38" s="17">
        <v>35</v>
      </c>
      <c r="I38" s="29">
        <f>IF(基础状态预期!C48="","",基础状态预期!C48)</f>
        <v>12040</v>
      </c>
      <c r="J38" s="29">
        <f>IF(基础状态预期!D48="","",基础状态预期!D48)</f>
        <v>135.54811255008914</v>
      </c>
      <c r="K38" s="29" t="str">
        <f>IF(基础状态预期!F48="","",基础状态预期!F48)</f>
        <v/>
      </c>
      <c r="L38" s="29" t="str">
        <f>IF(基础状态预期!G48="","",基础状态预期!G48)</f>
        <v/>
      </c>
      <c r="M38" s="29" t="str">
        <f>IF(基础状态预期!H48="","",基础状态预期!H48)</f>
        <v/>
      </c>
      <c r="N38" s="29" t="str">
        <f>IF(基础状态预期!I48="","",基础状态预期!I48)</f>
        <v/>
      </c>
      <c r="O38" s="29">
        <f>IF(基础状态预期!J48="","",基础状态预期!J48)</f>
        <v>6</v>
      </c>
      <c r="P38" s="29">
        <f>武将进阶!O35</f>
        <v>0</v>
      </c>
      <c r="Q38" s="29">
        <f>武将进阶!P35</f>
        <v>0</v>
      </c>
      <c r="R38" s="29">
        <f>武将进阶!Q35</f>
        <v>0</v>
      </c>
      <c r="S38" s="29">
        <f>武将进阶!R35</f>
        <v>642</v>
      </c>
      <c r="T38" s="29">
        <f>武将进阶!S35</f>
        <v>0</v>
      </c>
      <c r="U38" s="29">
        <f>武将觉醒!T36</f>
        <v>0</v>
      </c>
      <c r="V38" s="29">
        <f>武将觉醒!U36</f>
        <v>0</v>
      </c>
      <c r="W38" s="29">
        <f>武将觉醒!V36</f>
        <v>0</v>
      </c>
      <c r="X38" s="29">
        <f>武将觉醒!W36</f>
        <v>0</v>
      </c>
      <c r="Y38" s="29">
        <f>武将觉醒!X36</f>
        <v>0</v>
      </c>
      <c r="Z38" s="29"/>
      <c r="AA38" s="29">
        <f>IF(L38="",0,同名需求(L38,武将升星!P35,B$6)+武将升星!U35)</f>
        <v>0</v>
      </c>
      <c r="AB38" s="29">
        <f>IF(M38="",0,同名需求(M38,武将升星!Q35,C$6)+武将升星!V35)</f>
        <v>0</v>
      </c>
      <c r="AC38" s="59">
        <f>IF(N38="",0,同名需求(N38,武将升星!R35,D$6*0.5)+武将升星!W35)</f>
        <v>0</v>
      </c>
      <c r="AD38" s="29">
        <f>IF(O38="",0,同名需求(O38,武将升星!S35,E$6)+武将升星!X35)</f>
        <v>108</v>
      </c>
      <c r="AE38" s="29">
        <f>MAX(U38+P38+IF(K38="",0,K38)*武将升星!O35,Z38)</f>
        <v>0</v>
      </c>
      <c r="AF38" s="29">
        <f>MAX(V38+Q38+IF(L38="",0,L38)*武将升星!P35,AA38)</f>
        <v>0</v>
      </c>
      <c r="AG38" s="29">
        <f>MAX(W38+R38+IF(M38="",0,M38)*武将升星!Q35,AB38)</f>
        <v>0</v>
      </c>
      <c r="AH38" s="29">
        <f>MAX(X38+S38+IF(N38="",0,N38)*武将升星!R35,AC38)</f>
        <v>642</v>
      </c>
      <c r="AI38" s="45">
        <f t="shared" si="48"/>
        <v>108</v>
      </c>
      <c r="AJ38" s="29">
        <f t="shared" si="9"/>
        <v>1864800</v>
      </c>
      <c r="AK38" s="14" t="e">
        <f>AJ38/求节点('[1]资源-钻石'!$K$4:$K$113,'[1]资源-钻石'!$L$4:$L$113,J38)</f>
        <v>#VALUE!</v>
      </c>
      <c r="AL38" s="16"/>
      <c r="AM38" s="16"/>
      <c r="AN38" s="16"/>
      <c r="AO38" s="16"/>
      <c r="AP38" s="17">
        <v>35</v>
      </c>
      <c r="AR38" s="16">
        <f t="shared" si="19"/>
        <v>3.0600319838226908</v>
      </c>
      <c r="AS38" s="29">
        <f>IF(基础状态预期!C48="","",基础状态预期!C48)</f>
        <v>12040</v>
      </c>
      <c r="AT38" s="29">
        <f>求节点(节奏总纲!$P$4:$P$163,其他调用!$C$4:$C$163,$AS38)*求节点($CP$5:$CP$36,$CQ$5:$CQ$36,AS38)</f>
        <v>9527329.0661092941</v>
      </c>
      <c r="AU38" s="37">
        <f t="shared" si="49"/>
        <v>0</v>
      </c>
      <c r="AV38" s="37">
        <v>1</v>
      </c>
      <c r="AW38" s="38">
        <f t="shared" si="11"/>
        <v>0.4933333333333334</v>
      </c>
      <c r="AX38" s="38">
        <f t="shared" si="12"/>
        <v>0.26666666666666666</v>
      </c>
      <c r="AY38" s="38">
        <f t="shared" si="13"/>
        <v>0.04</v>
      </c>
      <c r="AZ38" s="38">
        <f t="shared" si="14"/>
        <v>2.8000000000000001E-2</v>
      </c>
      <c r="BA38" s="29">
        <f t="shared" si="33"/>
        <v>1815822.9792003846</v>
      </c>
      <c r="BB38" s="29">
        <f t="shared" si="20"/>
        <v>3894.8087090095214</v>
      </c>
      <c r="BC38" s="29">
        <f t="shared" si="21"/>
        <v>2105.3020048700114</v>
      </c>
      <c r="BD38" s="29">
        <f t="shared" si="22"/>
        <v>315.79530073050171</v>
      </c>
      <c r="BE38" s="29">
        <f t="shared" si="23"/>
        <v>169.4768113920359</v>
      </c>
      <c r="BF38" s="29">
        <f t="shared" si="24"/>
        <v>99932.000000000015</v>
      </c>
      <c r="BG38" s="29">
        <f t="shared" si="24"/>
        <v>18060</v>
      </c>
      <c r="BH38" s="29">
        <f t="shared" si="24"/>
        <v>2408</v>
      </c>
      <c r="BI38" s="29">
        <f t="shared" si="24"/>
        <v>0</v>
      </c>
      <c r="BJ38" s="29">
        <f>SUM(BB$7:BB38)+BF38</f>
        <v>120473.39609215497</v>
      </c>
      <c r="BK38" s="29">
        <f>SUM(BC$7:BC38)+BG38</f>
        <v>29106.178627373094</v>
      </c>
      <c r="BL38" s="29">
        <f>SUM(BD$7:BD38)+BH38</f>
        <v>4087.4043523060591</v>
      </c>
      <c r="BM38" s="29">
        <f>SUM(BE$7:BE38)+BI38</f>
        <v>875.43114380747602</v>
      </c>
      <c r="BN38" s="29">
        <f>SUM(BT$7:BT38)</f>
        <v>16.055398714353437</v>
      </c>
      <c r="BO38" s="17">
        <f t="shared" si="50"/>
        <v>545.96560218848049</v>
      </c>
      <c r="BP38" s="17">
        <f t="shared" si="51"/>
        <v>57.024818147759426</v>
      </c>
      <c r="BQ38" s="17">
        <f t="shared" si="52"/>
        <v>196.15544923393421</v>
      </c>
      <c r="BR38" s="17">
        <f t="shared" si="28"/>
        <v>0</v>
      </c>
      <c r="BS38" s="17">
        <f t="shared" si="17"/>
        <v>80</v>
      </c>
      <c r="BT38" s="17">
        <f t="shared" si="29"/>
        <v>0</v>
      </c>
      <c r="BV38" s="17">
        <f t="shared" si="30"/>
        <v>3445.4043523060591</v>
      </c>
      <c r="BW38" s="17">
        <v>34</v>
      </c>
      <c r="BX38" s="17">
        <f>'[1]资源-钻石'!L37/$B$2*$B$12*10</f>
        <v>229.62295217900339</v>
      </c>
      <c r="BY38" s="17">
        <f>'[1]资源-钻石'!M37/$B$2*$B$12*10</f>
        <v>280.77513945539005</v>
      </c>
      <c r="BZ38" s="17">
        <f>'[1]资源-钻石'!N37/$B$2*$B$12*10</f>
        <v>384.34533179843947</v>
      </c>
      <c r="CA38" s="17">
        <f>'[1]资源-钻石'!O37/$B$2*$B$12*10</f>
        <v>718.70168051219412</v>
      </c>
      <c r="CB38" s="17">
        <f>'[1]资源-钻石'!P37/$B$2*$B$12*10</f>
        <v>1031.1254172755334</v>
      </c>
      <c r="CD38" s="17">
        <v>34</v>
      </c>
      <c r="CE38" s="17">
        <f>'[1]资源-钻石'!L37/$B$2*$C$12*10</f>
        <v>93.011828730735559</v>
      </c>
      <c r="CF38" s="17">
        <f>'[1]资源-钻石'!M37/$B$2*$C$12*10</f>
        <v>113.73170205787952</v>
      </c>
      <c r="CG38" s="17">
        <f>'[1]资源-钻石'!N37/$B$2*$C$12*10</f>
        <v>155.68418503227926</v>
      </c>
      <c r="CH38" s="17">
        <f>'[1]资源-钻石'!O37/$B$2*$C$12*10</f>
        <v>291.11966805557233</v>
      </c>
      <c r="CI38" s="17">
        <f>'[1]资源-钻石'!P37/$B$2*$C$12*10</f>
        <v>417.67105509895026</v>
      </c>
      <c r="CW38" s="17">
        <v>35</v>
      </c>
      <c r="CX38" s="17">
        <f t="shared" si="62"/>
        <v>0.47750598613565226</v>
      </c>
      <c r="CY38" s="17">
        <f t="shared" si="63"/>
        <v>0.47750598613565226</v>
      </c>
      <c r="CZ38" s="17">
        <f t="shared" si="64"/>
        <v>0.47750598613565226</v>
      </c>
      <c r="DA38" s="17">
        <f t="shared" si="65"/>
        <v>0.47750598613565226</v>
      </c>
      <c r="DB38" s="17">
        <f t="shared" si="66"/>
        <v>0.47750598613565226</v>
      </c>
    </row>
    <row r="39" spans="1:106" x14ac:dyDescent="0.15">
      <c r="B39" s="125" t="s">
        <v>867</v>
      </c>
      <c r="H39" s="16">
        <v>36</v>
      </c>
      <c r="I39" s="29">
        <f>IF(基础状态预期!C49="","",基础状态预期!C49)</f>
        <v>15340</v>
      </c>
      <c r="J39" s="29">
        <f>IF(基础状态预期!D49="","",基础状态预期!D49)</f>
        <v>139.0493876099641</v>
      </c>
      <c r="K39" s="29" t="str">
        <f>IF(基础状态预期!F49="","",基础状态预期!F49)</f>
        <v/>
      </c>
      <c r="L39" s="29" t="str">
        <f>IF(基础状态预期!G49="","",基础状态预期!G49)</f>
        <v/>
      </c>
      <c r="M39" s="29" t="str">
        <f>IF(基础状态预期!H49="","",基础状态预期!H49)</f>
        <v/>
      </c>
      <c r="N39" s="29" t="str">
        <f>IF(基础状态预期!I49="","",基础状态预期!I49)</f>
        <v/>
      </c>
      <c r="O39" s="29">
        <f>IF(基础状态预期!J49="","",基础状态预期!J49)</f>
        <v>6</v>
      </c>
      <c r="P39" s="29">
        <f>武将进阶!O36</f>
        <v>0</v>
      </c>
      <c r="Q39" s="29">
        <f>武将进阶!P36</f>
        <v>0</v>
      </c>
      <c r="R39" s="29">
        <f>武将进阶!Q36</f>
        <v>0</v>
      </c>
      <c r="S39" s="29">
        <f>武将进阶!R36</f>
        <v>642</v>
      </c>
      <c r="T39" s="29">
        <f>武将进阶!S36</f>
        <v>0</v>
      </c>
      <c r="U39" s="29">
        <f>武将觉醒!T37</f>
        <v>0</v>
      </c>
      <c r="V39" s="29">
        <f>武将觉醒!U37</f>
        <v>0</v>
      </c>
      <c r="W39" s="29">
        <f>武将觉醒!V37</f>
        <v>0</v>
      </c>
      <c r="X39" s="29">
        <f>武将觉醒!W37</f>
        <v>0</v>
      </c>
      <c r="Y39" s="29">
        <f>武将觉醒!X37</f>
        <v>0</v>
      </c>
      <c r="Z39" s="29"/>
      <c r="AA39" s="29">
        <f>IF(L39="",0,同名需求(L39,武将升星!P36,B$6)+武将升星!U36)</f>
        <v>0</v>
      </c>
      <c r="AB39" s="29">
        <f>IF(M39="",0,同名需求(M39,武将升星!Q36,C$6)+武将升星!V36)</f>
        <v>0</v>
      </c>
      <c r="AC39" s="59">
        <f>IF(N39="",0,同名需求(N39,武将升星!R36,D$6*0.5)+武将升星!W36)</f>
        <v>0</v>
      </c>
      <c r="AD39" s="29">
        <f>IF(O39="",0,同名需求(O39,武将升星!S36,E$6)+武将升星!X36)</f>
        <v>108</v>
      </c>
      <c r="AE39" s="29">
        <f>MAX(U39+P39+IF(K39="",0,K39)*武将升星!O36,Z39)</f>
        <v>0</v>
      </c>
      <c r="AF39" s="29">
        <f>MAX(V39+Q39+IF(L39="",0,L39)*武将升星!P36,AA39)</f>
        <v>0</v>
      </c>
      <c r="AG39" s="29">
        <f>MAX(W39+R39+IF(M39="",0,M39)*武将升星!Q36,AB39)</f>
        <v>0</v>
      </c>
      <c r="AH39" s="29">
        <f>MAX(X39+S39+IF(N39="",0,N39)*武将升星!R36,AC39)</f>
        <v>642</v>
      </c>
      <c r="AI39" s="45">
        <f t="shared" si="48"/>
        <v>108</v>
      </c>
      <c r="AJ39" s="29">
        <f t="shared" si="9"/>
        <v>1864800</v>
      </c>
      <c r="AK39" s="14" t="e">
        <f>AJ39/求节点('[1]资源-钻石'!$K$4:$K$113,'[1]资源-钻石'!$L$4:$L$113,J39)</f>
        <v>#VALUE!</v>
      </c>
      <c r="AL39" s="16"/>
      <c r="AM39" s="16"/>
      <c r="AN39" s="16"/>
      <c r="AO39" s="16"/>
      <c r="AP39" s="17">
        <v>36</v>
      </c>
      <c r="AR39" s="16">
        <f t="shared" si="19"/>
        <v>2.9584550571059847</v>
      </c>
      <c r="AS39" s="29">
        <f>IF(基础状态预期!C49="","",基础状态预期!C49)</f>
        <v>15340</v>
      </c>
      <c r="AT39" s="29">
        <f>求节点(节奏总纲!$P$4:$P$163,其他调用!$C$4:$C$163,$AS39)*求节点($CP$5:$CP$36,$CQ$5:$CQ$36,AS39)</f>
        <v>11772796.454452736</v>
      </c>
      <c r="AU39" s="37">
        <f t="shared" si="49"/>
        <v>0</v>
      </c>
      <c r="AV39" s="37">
        <v>1</v>
      </c>
      <c r="AW39" s="38">
        <f t="shared" si="11"/>
        <v>0.4933333333333334</v>
      </c>
      <c r="AX39" s="38">
        <f t="shared" si="12"/>
        <v>0.26666666666666666</v>
      </c>
      <c r="AY39" s="38">
        <f t="shared" si="13"/>
        <v>0.04</v>
      </c>
      <c r="AZ39" s="38">
        <f t="shared" si="14"/>
        <v>2.8000000000000001E-2</v>
      </c>
      <c r="BA39" s="29">
        <f t="shared" si="33"/>
        <v>2245467.3883434422</v>
      </c>
      <c r="BB39" s="29">
        <f t="shared" si="20"/>
        <v>4816.3648329685429</v>
      </c>
      <c r="BC39" s="29">
        <f t="shared" si="21"/>
        <v>2603.4404502532661</v>
      </c>
      <c r="BD39" s="29">
        <f t="shared" si="22"/>
        <v>390.51606753798995</v>
      </c>
      <c r="BE39" s="29">
        <f t="shared" si="23"/>
        <v>209.57695624538795</v>
      </c>
      <c r="BF39" s="29">
        <f t="shared" si="24"/>
        <v>127322.00000000001</v>
      </c>
      <c r="BG39" s="29">
        <f t="shared" si="24"/>
        <v>23010</v>
      </c>
      <c r="BH39" s="29">
        <f t="shared" si="24"/>
        <v>3068</v>
      </c>
      <c r="BI39" s="29">
        <f t="shared" si="24"/>
        <v>0</v>
      </c>
      <c r="BJ39" s="29">
        <f>SUM(BB$7:BB39)+BF39</f>
        <v>152679.76092512353</v>
      </c>
      <c r="BK39" s="29">
        <f>SUM(BC$7:BC39)+BG39</f>
        <v>36659.619077626361</v>
      </c>
      <c r="BL39" s="29">
        <f>SUM(BD$7:BD39)+BH39</f>
        <v>5137.9204198440493</v>
      </c>
      <c r="BM39" s="29">
        <f>SUM(BE$7:BE39)+BI39</f>
        <v>1085.0081000528639</v>
      </c>
      <c r="BN39" s="29">
        <f>SUM(BT$7:BT39)</f>
        <v>16.055398714353437</v>
      </c>
      <c r="BO39" s="17">
        <f t="shared" si="50"/>
        <v>759.23955597121392</v>
      </c>
      <c r="BP39" s="17">
        <f t="shared" si="51"/>
        <v>57.101518859162283</v>
      </c>
      <c r="BQ39" s="17">
        <f t="shared" si="52"/>
        <v>77.073830609649079</v>
      </c>
      <c r="BR39" s="17">
        <f t="shared" si="28"/>
        <v>0</v>
      </c>
      <c r="BS39" s="17">
        <f t="shared" si="17"/>
        <v>80</v>
      </c>
      <c r="BT39" s="17">
        <f t="shared" si="29"/>
        <v>0</v>
      </c>
      <c r="BV39" s="17">
        <f t="shared" si="30"/>
        <v>4495.9204198440493</v>
      </c>
      <c r="BW39" s="17">
        <v>35</v>
      </c>
      <c r="BX39" s="17">
        <f>'[1]资源-钻石'!L38/$B$2*$B$12*10</f>
        <v>241.96130955450059</v>
      </c>
      <c r="BY39" s="17">
        <f>'[1]资源-钻石'!M38/$B$2*$B$12*10</f>
        <v>296.31972853462577</v>
      </c>
      <c r="BZ39" s="17">
        <f>'[1]资源-钻石'!N38/$B$2*$B$12*10</f>
        <v>407.5168427915898</v>
      </c>
      <c r="CA39" s="17">
        <f>'[1]资源-钻石'!O38/$B$2*$B$12*10</f>
        <v>768.38580867265478</v>
      </c>
      <c r="CB39" s="17">
        <f>'[1]资源-钻石'!P38/$B$2*$B$12*10</f>
        <v>1094.4981742745317</v>
      </c>
      <c r="CD39" s="17">
        <v>35</v>
      </c>
      <c r="CE39" s="17">
        <f>'[1]资源-钻石'!L38/$B$2*$C$12*10</f>
        <v>98.009644376506571</v>
      </c>
      <c r="CF39" s="17">
        <f>'[1]资源-钻石'!M38/$B$2*$C$12*10</f>
        <v>120.02824446972183</v>
      </c>
      <c r="CG39" s="17">
        <f>'[1]资源-钻石'!N38/$B$2*$C$12*10</f>
        <v>165.07011353583385</v>
      </c>
      <c r="CH39" s="17">
        <f>'[1]资源-钻石'!O38/$B$2*$C$12*10</f>
        <v>311.2448845256323</v>
      </c>
      <c r="CI39" s="17">
        <f>'[1]资源-钻石'!P38/$B$2*$C$12*10</f>
        <v>443.34103261753182</v>
      </c>
      <c r="CP39" s="187" t="s">
        <v>474</v>
      </c>
      <c r="CQ39" s="187"/>
      <c r="CR39" s="187"/>
      <c r="CS39" s="187"/>
      <c r="CT39" s="187"/>
      <c r="CU39" s="187"/>
      <c r="CW39" s="17">
        <v>36</v>
      </c>
      <c r="CX39" s="17">
        <f t="shared" si="62"/>
        <v>0.47310019757024063</v>
      </c>
      <c r="CY39" s="17">
        <f t="shared" si="63"/>
        <v>0.47310019757024063</v>
      </c>
      <c r="CZ39" s="17">
        <f t="shared" si="64"/>
        <v>0.47310019757024063</v>
      </c>
      <c r="DA39" s="17">
        <f t="shared" si="65"/>
        <v>0.47310019757024063</v>
      </c>
      <c r="DB39" s="17">
        <f t="shared" si="66"/>
        <v>0.47310019757024063</v>
      </c>
    </row>
    <row r="40" spans="1:106" x14ac:dyDescent="0.15">
      <c r="H40" s="17">
        <v>37</v>
      </c>
      <c r="I40" s="29">
        <f>IF(基础状态预期!C50="","",基础状态预期!C50)</f>
        <v>19540</v>
      </c>
      <c r="J40" s="29">
        <f>IF(基础状态预期!D50="","",基础状态预期!D50)</f>
        <v>142.53355653582128</v>
      </c>
      <c r="K40" s="29" t="str">
        <f>IF(基础状态预期!F50="","",基础状态预期!F50)</f>
        <v/>
      </c>
      <c r="L40" s="29" t="str">
        <f>IF(基础状态预期!G50="","",基础状态预期!G50)</f>
        <v/>
      </c>
      <c r="M40" s="29" t="str">
        <f>IF(基础状态预期!H50="","",基础状态预期!H50)</f>
        <v/>
      </c>
      <c r="N40" s="29" t="str">
        <f>IF(基础状态预期!I50="","",基础状态预期!I50)</f>
        <v/>
      </c>
      <c r="O40" s="29">
        <f>IF(基础状态预期!J50="","",基础状态预期!J50)</f>
        <v>6</v>
      </c>
      <c r="P40" s="29">
        <f>武将进阶!O37</f>
        <v>0</v>
      </c>
      <c r="Q40" s="29">
        <f>武将进阶!P37</f>
        <v>0</v>
      </c>
      <c r="R40" s="29">
        <f>武将进阶!Q37</f>
        <v>0</v>
      </c>
      <c r="S40" s="29">
        <f>武将进阶!R37</f>
        <v>642</v>
      </c>
      <c r="T40" s="29">
        <f>武将进阶!S37</f>
        <v>0</v>
      </c>
      <c r="U40" s="29">
        <f>武将觉醒!T38</f>
        <v>0</v>
      </c>
      <c r="V40" s="29">
        <f>武将觉醒!U38</f>
        <v>0</v>
      </c>
      <c r="W40" s="29">
        <f>武将觉醒!V38</f>
        <v>0</v>
      </c>
      <c r="X40" s="29">
        <f>武将觉醒!W38</f>
        <v>0</v>
      </c>
      <c r="Y40" s="29">
        <f>武将觉醒!X38</f>
        <v>0</v>
      </c>
      <c r="Z40" s="29"/>
      <c r="AA40" s="29">
        <f>IF(L40="",0,同名需求(L40,武将升星!P37,B$6)+武将升星!U37)</f>
        <v>0</v>
      </c>
      <c r="AB40" s="29">
        <f>IF(M40="",0,同名需求(M40,武将升星!Q37,C$6)+武将升星!V37)</f>
        <v>0</v>
      </c>
      <c r="AC40" s="59">
        <f>IF(N40="",0,同名需求(N40,武将升星!R37,D$6*0.5)+武将升星!W37)</f>
        <v>0</v>
      </c>
      <c r="AD40" s="29">
        <f>IF(O40="",0,同名需求(O40,武将升星!S37,E$6)+武将升星!X37)</f>
        <v>108</v>
      </c>
      <c r="AE40" s="29">
        <f>MAX(U40+P40+IF(K40="",0,K40)*武将升星!O37,Z40)</f>
        <v>0</v>
      </c>
      <c r="AF40" s="29">
        <f>MAX(V40+Q40+IF(L40="",0,L40)*武将升星!P37,AA40)</f>
        <v>0</v>
      </c>
      <c r="AG40" s="29">
        <f>MAX(W40+R40+IF(M40="",0,M40)*武将升星!Q37,AB40)</f>
        <v>0</v>
      </c>
      <c r="AH40" s="29">
        <f>MAX(X40+S40+IF(N40="",0,N40)*武将升星!R37,AC40)</f>
        <v>642</v>
      </c>
      <c r="AI40" s="45">
        <f t="shared" si="48"/>
        <v>108</v>
      </c>
      <c r="AJ40" s="29">
        <f t="shared" si="9"/>
        <v>1864800</v>
      </c>
      <c r="AK40" s="14" t="e">
        <f>AJ40/求节点('[1]资源-钻石'!$K$4:$K$113,'[1]资源-钻石'!$L$4:$L$113,J40)</f>
        <v>#VALUE!</v>
      </c>
      <c r="AL40" s="16"/>
      <c r="AM40" s="16"/>
      <c r="AN40" s="16"/>
      <c r="AO40" s="16"/>
      <c r="AP40" s="17">
        <v>37</v>
      </c>
      <c r="AR40" s="16">
        <f t="shared" si="19"/>
        <v>2.9218849326982923</v>
      </c>
      <c r="AS40" s="29">
        <f>IF(基础状态预期!C50="","",基础状态预期!C50)</f>
        <v>19540</v>
      </c>
      <c r="AT40" s="29">
        <f>求节点(节奏总纲!$P$4:$P$163,其他调用!$C$4:$C$163,$AS40)*求节点($CP$5:$CP$36,$CQ$5:$CQ$36,AS40)</f>
        <v>14595337.299439287</v>
      </c>
      <c r="AU40" s="37">
        <f t="shared" si="49"/>
        <v>0</v>
      </c>
      <c r="AV40" s="37">
        <v>1</v>
      </c>
      <c r="AW40" s="38">
        <f t="shared" si="11"/>
        <v>0.4933333333333334</v>
      </c>
      <c r="AX40" s="38">
        <f t="shared" si="12"/>
        <v>0.26666666666666666</v>
      </c>
      <c r="AY40" s="38">
        <f t="shared" si="13"/>
        <v>0.04</v>
      </c>
      <c r="AZ40" s="38">
        <f t="shared" si="14"/>
        <v>2.8000000000000001E-2</v>
      </c>
      <c r="BA40" s="29">
        <f t="shared" si="33"/>
        <v>2822540.8449865505</v>
      </c>
      <c r="BB40" s="29">
        <f t="shared" si="20"/>
        <v>6054.1455805508622</v>
      </c>
      <c r="BC40" s="29">
        <f t="shared" si="21"/>
        <v>3272.5111246220872</v>
      </c>
      <c r="BD40" s="29">
        <f t="shared" si="22"/>
        <v>490.87666869331315</v>
      </c>
      <c r="BE40" s="29">
        <f t="shared" si="23"/>
        <v>263.43714553207803</v>
      </c>
      <c r="BF40" s="29">
        <f t="shared" si="24"/>
        <v>162182</v>
      </c>
      <c r="BG40" s="29">
        <f t="shared" si="24"/>
        <v>29310</v>
      </c>
      <c r="BH40" s="29">
        <f t="shared" si="24"/>
        <v>3908</v>
      </c>
      <c r="BI40" s="29">
        <f t="shared" si="24"/>
        <v>0</v>
      </c>
      <c r="BJ40" s="29">
        <f>SUM(BB$7:BB40)+BF40</f>
        <v>193593.90650567436</v>
      </c>
      <c r="BK40" s="29">
        <f>SUM(BC$7:BC40)+BG40</f>
        <v>46232.130202248445</v>
      </c>
      <c r="BL40" s="29">
        <f>SUM(BD$7:BD40)+BH40</f>
        <v>6468.7970885373616</v>
      </c>
      <c r="BM40" s="29">
        <f>SUM(BE$7:BE40)+BI40</f>
        <v>1348.4452455849419</v>
      </c>
      <c r="BN40" s="29">
        <f>SUM(BT$7:BT40)</f>
        <v>16.055398714353437</v>
      </c>
      <c r="BO40" s="17">
        <f t="shared" si="50"/>
        <v>1278.3138387574377</v>
      </c>
      <c r="BP40" s="17">
        <f t="shared" si="51"/>
        <v>54.897203499938854</v>
      </c>
      <c r="BQ40" s="17">
        <f t="shared" si="52"/>
        <v>60.69766590074353</v>
      </c>
      <c r="BR40" s="17">
        <f t="shared" si="28"/>
        <v>0</v>
      </c>
      <c r="BS40" s="17">
        <f t="shared" si="17"/>
        <v>80</v>
      </c>
      <c r="BT40" s="17">
        <f t="shared" si="29"/>
        <v>0</v>
      </c>
      <c r="BV40" s="17">
        <f t="shared" si="30"/>
        <v>5826.7970885373616</v>
      </c>
      <c r="BW40" s="17">
        <v>36</v>
      </c>
      <c r="BX40" s="17">
        <f>'[1]资源-钻石'!L39/$B$2*$B$12*10</f>
        <v>255.18523356084731</v>
      </c>
      <c r="BY40" s="17">
        <f>'[1]资源-钻石'!M39/$B$2*$B$12*10</f>
        <v>312.9551829281508</v>
      </c>
      <c r="BZ40" s="17">
        <f>'[1]资源-钻石'!N39/$B$2*$B$12*10</f>
        <v>430.37879826699668</v>
      </c>
      <c r="CA40" s="17">
        <f>'[1]资源-钻石'!O39/$B$2*$B$12*10</f>
        <v>820.21263740449308</v>
      </c>
      <c r="CB40" s="17">
        <f>'[1]资源-钻石'!P39/$B$2*$B$12*10</f>
        <v>1157.5274862475535</v>
      </c>
      <c r="CD40" s="17">
        <v>36</v>
      </c>
      <c r="CE40" s="17">
        <f>'[1]资源-钻石'!L39/$B$2*$C$12*10</f>
        <v>103.36617055629259</v>
      </c>
      <c r="CF40" s="17">
        <f>'[1]资源-钻石'!M39/$B$2*$C$12*10</f>
        <v>126.76665637595981</v>
      </c>
      <c r="CG40" s="17">
        <f>'[1]资源-钻石'!N39/$B$2*$C$12*10</f>
        <v>174.33065246258093</v>
      </c>
      <c r="CH40" s="17">
        <f>'[1]资源-钻石'!O39/$B$2*$C$12*10</f>
        <v>332.23803034106055</v>
      </c>
      <c r="CI40" s="17">
        <f>'[1]资源-钻石'!P39/$B$2*$C$12*10</f>
        <v>468.87189316356597</v>
      </c>
      <c r="CO40" s="17" t="s">
        <v>489</v>
      </c>
      <c r="CP40" s="17" t="s">
        <v>163</v>
      </c>
      <c r="CQ40" s="17" t="s">
        <v>75</v>
      </c>
      <c r="CR40" s="17" t="s">
        <v>76</v>
      </c>
      <c r="CS40" s="17" t="s">
        <v>77</v>
      </c>
      <c r="CT40" s="17" t="s">
        <v>78</v>
      </c>
      <c r="CU40" s="17" t="s">
        <v>79</v>
      </c>
      <c r="CW40" s="17">
        <v>37</v>
      </c>
      <c r="CX40" s="17">
        <f t="shared" si="62"/>
        <v>0.468694409004829</v>
      </c>
      <c r="CY40" s="17">
        <f t="shared" si="63"/>
        <v>0.468694409004829</v>
      </c>
      <c r="CZ40" s="17">
        <f t="shared" si="64"/>
        <v>0.468694409004829</v>
      </c>
      <c r="DA40" s="17">
        <f t="shared" si="65"/>
        <v>0.468694409004829</v>
      </c>
      <c r="DB40" s="17">
        <f t="shared" si="66"/>
        <v>0.468694409004829</v>
      </c>
    </row>
    <row r="41" spans="1:106" x14ac:dyDescent="0.15">
      <c r="H41" s="16">
        <v>38</v>
      </c>
      <c r="I41" s="29">
        <f>IF(基础状态预期!C51="","",基础状态预期!C51)</f>
        <v>24880</v>
      </c>
      <c r="J41" s="29">
        <f>IF(基础状态预期!D51="","",基础状态预期!D51)</f>
        <v>146.02664953963369</v>
      </c>
      <c r="K41" s="29" t="str">
        <f>IF(基础状态预期!F51="","",基础状态预期!F51)</f>
        <v/>
      </c>
      <c r="L41" s="29" t="str">
        <f>IF(基础状态预期!G51="","",基础状态预期!G51)</f>
        <v/>
      </c>
      <c r="M41" s="29" t="str">
        <f>IF(基础状态预期!H51="","",基础状态预期!H51)</f>
        <v/>
      </c>
      <c r="N41" s="29" t="str">
        <f>IF(基础状态预期!I51="","",基础状态预期!I51)</f>
        <v/>
      </c>
      <c r="O41" s="29">
        <f>IF(基础状态预期!J51="","",基础状态预期!J51)</f>
        <v>6</v>
      </c>
      <c r="P41" s="29">
        <f>武将进阶!O38</f>
        <v>0</v>
      </c>
      <c r="Q41" s="29">
        <f>武将进阶!P38</f>
        <v>0</v>
      </c>
      <c r="R41" s="29">
        <f>武将进阶!Q38</f>
        <v>0</v>
      </c>
      <c r="S41" s="29">
        <f>武将进阶!R38</f>
        <v>642</v>
      </c>
      <c r="T41" s="29">
        <f>武将进阶!S38</f>
        <v>0</v>
      </c>
      <c r="U41" s="29">
        <f>武将觉醒!T39</f>
        <v>0</v>
      </c>
      <c r="V41" s="29">
        <f>武将觉醒!U39</f>
        <v>0</v>
      </c>
      <c r="W41" s="29">
        <f>武将觉醒!V39</f>
        <v>0</v>
      </c>
      <c r="X41" s="29">
        <f>武将觉醒!W39</f>
        <v>0</v>
      </c>
      <c r="Y41" s="29">
        <f>武将觉醒!X39</f>
        <v>0</v>
      </c>
      <c r="Z41" s="29"/>
      <c r="AA41" s="29">
        <f>IF(L41="",0,同名需求(L41,武将升星!P38,B$6)+武将升星!U38)</f>
        <v>0</v>
      </c>
      <c r="AB41" s="29">
        <f>IF(M41="",0,同名需求(M41,武将升星!Q38,C$6)+武将升星!V38)</f>
        <v>0</v>
      </c>
      <c r="AC41" s="59">
        <f>IF(N41="",0,同名需求(N41,武将升星!R38,D$6*0.5)+武将升星!W38)</f>
        <v>0</v>
      </c>
      <c r="AD41" s="29">
        <f>IF(O41="",0,同名需求(O41,武将升星!S38,E$6)+武将升星!X38)</f>
        <v>108</v>
      </c>
      <c r="AE41" s="29">
        <f>MAX(U41+P41+IF(K41="",0,K41)*武将升星!O38,Z41)</f>
        <v>0</v>
      </c>
      <c r="AF41" s="29">
        <f>MAX(V41+Q41+IF(L41="",0,L41)*武将升星!P38,AA41)</f>
        <v>0</v>
      </c>
      <c r="AG41" s="29">
        <f>MAX(W41+R41+IF(M41="",0,M41)*武将升星!Q38,AB41)</f>
        <v>0</v>
      </c>
      <c r="AH41" s="29">
        <f>MAX(X41+S41+IF(N41="",0,N41)*武将升星!R38,AC41)</f>
        <v>642</v>
      </c>
      <c r="AI41" s="45">
        <f t="shared" si="48"/>
        <v>108</v>
      </c>
      <c r="AJ41" s="29">
        <f t="shared" si="9"/>
        <v>1864800</v>
      </c>
      <c r="AK41" s="14" t="e">
        <f>AJ41/求节点('[1]资源-钻石'!$K$4:$K$113,'[1]资源-钻石'!$L$4:$L$113,J41)</f>
        <v>#VALUE!</v>
      </c>
      <c r="AL41" s="16"/>
      <c r="AM41" s="16"/>
      <c r="AN41" s="16"/>
      <c r="AO41" s="16"/>
      <c r="AP41" s="17">
        <v>38</v>
      </c>
      <c r="AR41" s="16">
        <f t="shared" si="19"/>
        <v>2.8514461681403254</v>
      </c>
      <c r="AS41" s="29">
        <f>IF(基础状态预期!C51="","",基础状态预期!C51)</f>
        <v>24880</v>
      </c>
      <c r="AT41" s="29">
        <f>求节点(节奏总纲!$P$4:$P$163,其他调用!$C$4:$C$163,$AS41)*求节点($CP$5:$CP$36,$CQ$5:$CQ$36,AS41)</f>
        <v>18097483.483149234</v>
      </c>
      <c r="AU41" s="37">
        <f t="shared" si="49"/>
        <v>0</v>
      </c>
      <c r="AV41" s="37">
        <v>1</v>
      </c>
      <c r="AW41" s="38">
        <f t="shared" si="11"/>
        <v>0.4933333333333334</v>
      </c>
      <c r="AX41" s="38">
        <f t="shared" si="12"/>
        <v>0.26666666666666666</v>
      </c>
      <c r="AY41" s="38">
        <f t="shared" si="13"/>
        <v>0.04</v>
      </c>
      <c r="AZ41" s="38">
        <f t="shared" si="14"/>
        <v>2.8000000000000001E-2</v>
      </c>
      <c r="BA41" s="29">
        <f t="shared" si="33"/>
        <v>3502146.1837099474</v>
      </c>
      <c r="BB41" s="29">
        <f t="shared" si="20"/>
        <v>7511.8497853488734</v>
      </c>
      <c r="BC41" s="29">
        <f t="shared" si="21"/>
        <v>4060.4593434318231</v>
      </c>
      <c r="BD41" s="29">
        <f t="shared" si="22"/>
        <v>609.06890151477353</v>
      </c>
      <c r="BE41" s="29">
        <f t="shared" si="23"/>
        <v>326.86697714626177</v>
      </c>
      <c r="BF41" s="29">
        <f t="shared" si="24"/>
        <v>206504.00000000003</v>
      </c>
      <c r="BG41" s="29">
        <f t="shared" si="24"/>
        <v>37320</v>
      </c>
      <c r="BH41" s="29">
        <f t="shared" si="24"/>
        <v>4976</v>
      </c>
      <c r="BI41" s="29">
        <f t="shared" si="24"/>
        <v>0</v>
      </c>
      <c r="BJ41" s="29">
        <f>SUM(BB$7:BB41)+BF41</f>
        <v>245427.75629102328</v>
      </c>
      <c r="BK41" s="29">
        <f>SUM(BC$7:BC41)+BG41</f>
        <v>58302.589545680268</v>
      </c>
      <c r="BL41" s="29">
        <f>SUM(BD$7:BD41)+BH41</f>
        <v>8145.8659900521361</v>
      </c>
      <c r="BM41" s="29">
        <f>SUM(BE$7:BE41)+BI41</f>
        <v>1675.3122227312037</v>
      </c>
      <c r="BN41" s="29">
        <f>SUM(BT$7:BT41)</f>
        <v>16.055398714353437</v>
      </c>
      <c r="BO41" s="17">
        <f t="shared" si="50"/>
        <v>2973.1213059625225</v>
      </c>
      <c r="BP41" s="17">
        <f t="shared" si="51"/>
        <v>55.103450426811953</v>
      </c>
      <c r="BQ41" s="17">
        <f t="shared" si="52"/>
        <v>57.940252552950227</v>
      </c>
      <c r="BR41" s="17">
        <f t="shared" si="28"/>
        <v>0</v>
      </c>
      <c r="BS41" s="17">
        <f t="shared" si="17"/>
        <v>80</v>
      </c>
      <c r="BT41" s="17">
        <f t="shared" si="29"/>
        <v>0</v>
      </c>
      <c r="BV41" s="17">
        <f t="shared" si="30"/>
        <v>7503.8659900521361</v>
      </c>
      <c r="BW41" s="17">
        <v>37</v>
      </c>
      <c r="BX41" s="17">
        <f>'[1]资源-钻石'!L40/$B$2*$B$12*10</f>
        <v>269.35828438144642</v>
      </c>
      <c r="BY41" s="17">
        <f>'[1]资源-钻石'!M40/$B$2*$B$12*10</f>
        <v>330.42114635067634</v>
      </c>
      <c r="BZ41" s="17">
        <f>'[1]资源-钻石'!N40/$B$2*$B$12*10</f>
        <v>454.83114357638169</v>
      </c>
      <c r="CA41" s="17">
        <f>'[1]资源-钻石'!O40/$B$2*$B$12*10</f>
        <v>874.09893011252871</v>
      </c>
      <c r="CB41" s="17">
        <f>'[1]资源-钻石'!P40/$B$2*$B$12*10</f>
        <v>1229.65996152719</v>
      </c>
      <c r="CD41" s="17">
        <v>37</v>
      </c>
      <c r="CE41" s="17">
        <f>'[1]资源-钻石'!L40/$B$2*$C$12*10</f>
        <v>109.10715316716816</v>
      </c>
      <c r="CF41" s="17">
        <f>'[1]资源-钻石'!M40/$B$2*$C$12*10</f>
        <v>133.84147700280559</v>
      </c>
      <c r="CG41" s="17">
        <f>'[1]资源-钻石'!N40/$B$2*$C$12*10</f>
        <v>184.2353999296736</v>
      </c>
      <c r="CH41" s="17">
        <f>'[1]资源-钻石'!O40/$B$2*$C$12*10</f>
        <v>354.0653894126699</v>
      </c>
      <c r="CI41" s="17">
        <f>'[1]资源-钻石'!P40/$B$2*$C$12*10</f>
        <v>498.09011099835544</v>
      </c>
      <c r="CO41" s="17">
        <v>5</v>
      </c>
      <c r="CP41" s="17">
        <f>INDEX(节奏总纲!$Q$4:$Q$163,CO41,1)</f>
        <v>0.35241289886702937</v>
      </c>
      <c r="CQ41" s="17">
        <f t="shared" ref="CQ41:CU50" si="67">CQ5*($B$2-500)/$B$2</f>
        <v>0.59869565217391307</v>
      </c>
      <c r="CR41" s="17">
        <f t="shared" si="67"/>
        <v>0.59869565217391307</v>
      </c>
      <c r="CS41" s="17">
        <f t="shared" si="67"/>
        <v>0.59869565217391307</v>
      </c>
      <c r="CT41" s="17">
        <f t="shared" si="67"/>
        <v>0.59869565217391307</v>
      </c>
      <c r="CU41" s="17">
        <f t="shared" si="67"/>
        <v>0.59869565217391307</v>
      </c>
      <c r="CW41" s="17">
        <v>38</v>
      </c>
      <c r="CX41" s="17">
        <f t="shared" si="62"/>
        <v>0.46428862043941738</v>
      </c>
      <c r="CY41" s="17">
        <f t="shared" si="63"/>
        <v>0.46428862043941738</v>
      </c>
      <c r="CZ41" s="17">
        <f t="shared" si="64"/>
        <v>0.46428862043941738</v>
      </c>
      <c r="DA41" s="17">
        <f t="shared" si="65"/>
        <v>0.46428862043941738</v>
      </c>
      <c r="DB41" s="17">
        <f t="shared" si="66"/>
        <v>0.46428862043941738</v>
      </c>
    </row>
    <row r="42" spans="1:106" x14ac:dyDescent="0.15">
      <c r="H42" s="17">
        <v>39</v>
      </c>
      <c r="I42" s="29">
        <f>IF(基础状态预期!C52="","",基础状态预期!C52)</f>
        <v>31720</v>
      </c>
      <c r="J42" s="29">
        <f>IF(基础状态预期!D52="","",基础状态预期!D52)</f>
        <v>149.52287096243165</v>
      </c>
      <c r="K42" s="29" t="str">
        <f>IF(基础状态预期!F52="","",基础状态预期!F52)</f>
        <v/>
      </c>
      <c r="L42" s="29" t="str">
        <f>IF(基础状态预期!G52="","",基础状态预期!G52)</f>
        <v/>
      </c>
      <c r="M42" s="29" t="str">
        <f>IF(基础状态预期!H52="","",基础状态预期!H52)</f>
        <v/>
      </c>
      <c r="N42" s="29" t="str">
        <f>IF(基础状态预期!I52="","",基础状态预期!I52)</f>
        <v/>
      </c>
      <c r="O42" s="29">
        <f>IF(基础状态预期!J52="","",基础状态预期!J52)</f>
        <v>6</v>
      </c>
      <c r="P42" s="29">
        <f>武将进阶!O39</f>
        <v>0</v>
      </c>
      <c r="Q42" s="29">
        <f>武将进阶!P39</f>
        <v>0</v>
      </c>
      <c r="R42" s="29">
        <f>武将进阶!Q39</f>
        <v>0</v>
      </c>
      <c r="S42" s="29">
        <f>武将进阶!R39</f>
        <v>642</v>
      </c>
      <c r="T42" s="29">
        <f>武将进阶!S39</f>
        <v>0</v>
      </c>
      <c r="U42" s="29">
        <f>武将觉醒!T40</f>
        <v>0</v>
      </c>
      <c r="V42" s="29">
        <f>武将觉醒!U40</f>
        <v>0</v>
      </c>
      <c r="W42" s="29">
        <f>武将觉醒!V40</f>
        <v>0</v>
      </c>
      <c r="X42" s="29">
        <f>武将觉醒!W40</f>
        <v>0</v>
      </c>
      <c r="Y42" s="29">
        <f>武将觉醒!X40</f>
        <v>0</v>
      </c>
      <c r="Z42" s="29"/>
      <c r="AA42" s="29">
        <f>IF(L42="",0,同名需求(L42,武将升星!P39,B$6)+武将升星!U39)</f>
        <v>0</v>
      </c>
      <c r="AB42" s="29">
        <f>IF(M42="",0,同名需求(M42,武将升星!Q39,C$6)+武将升星!V39)</f>
        <v>0</v>
      </c>
      <c r="AC42" s="59">
        <f>IF(N42="",0,同名需求(N42,武将升星!R39,D$6*0.5)+武将升星!W39)</f>
        <v>0</v>
      </c>
      <c r="AD42" s="29">
        <f>IF(O42="",0,同名需求(O42,武将升星!S39,E$6)+武将升星!X39)</f>
        <v>108</v>
      </c>
      <c r="AE42" s="29">
        <f>MAX(U42+P42+IF(K42="",0,K42)*武将升星!O39,Z42)</f>
        <v>0</v>
      </c>
      <c r="AF42" s="29">
        <f>MAX(V42+Q42+IF(L42="",0,L42)*武将升星!P39,AA42)</f>
        <v>0</v>
      </c>
      <c r="AG42" s="29">
        <f>MAX(W42+R42+IF(M42="",0,M42)*武将升星!Q39,AB42)</f>
        <v>0</v>
      </c>
      <c r="AH42" s="29">
        <f>MAX(X42+S42+IF(N42="",0,N42)*武将升星!R39,AC42)</f>
        <v>642</v>
      </c>
      <c r="AI42" s="45">
        <f t="shared" si="48"/>
        <v>108</v>
      </c>
      <c r="AJ42" s="29">
        <f t="shared" si="9"/>
        <v>1864800</v>
      </c>
      <c r="AK42" s="14" t="e">
        <f>AJ42/求节点('[1]资源-钻石'!$K$4:$K$113,'[1]资源-钻石'!$L$4:$L$113,J42)</f>
        <v>#VALUE!</v>
      </c>
      <c r="AL42" s="16"/>
      <c r="AM42" s="16"/>
      <c r="AN42" s="16"/>
      <c r="AO42" s="16"/>
      <c r="AP42" s="17">
        <v>39</v>
      </c>
      <c r="AR42" s="16">
        <f t="shared" si="19"/>
        <v>2.7713023961764258</v>
      </c>
      <c r="AS42" s="29">
        <f>IF(基础状态预期!C52="","",基础状态预期!C52)</f>
        <v>31720</v>
      </c>
      <c r="AT42" s="29">
        <f>求节点(节奏总纲!$P$4:$P$163,其他调用!$C$4:$C$163,$AS42)*求节点($CP$5:$CP$36,$CQ$5:$CQ$36,AS42)</f>
        <v>22457296.412813988</v>
      </c>
      <c r="AU42" s="37">
        <f t="shared" si="49"/>
        <v>0</v>
      </c>
      <c r="AV42" s="37">
        <v>1</v>
      </c>
      <c r="AW42" s="38">
        <f t="shared" si="11"/>
        <v>0.4933333333333334</v>
      </c>
      <c r="AX42" s="38">
        <f t="shared" si="12"/>
        <v>0.26666666666666666</v>
      </c>
      <c r="AY42" s="38">
        <f t="shared" si="13"/>
        <v>0.04</v>
      </c>
      <c r="AZ42" s="38">
        <f t="shared" si="14"/>
        <v>2.8000000000000001E-2</v>
      </c>
      <c r="BA42" s="29">
        <f t="shared" si="33"/>
        <v>4359812.9296647534</v>
      </c>
      <c r="BB42" s="29">
        <f t="shared" si="20"/>
        <v>9351.4828056577335</v>
      </c>
      <c r="BC42" s="29">
        <f t="shared" si="21"/>
        <v>5054.8555706258012</v>
      </c>
      <c r="BD42" s="29">
        <f t="shared" si="22"/>
        <v>758.22833559387016</v>
      </c>
      <c r="BE42" s="29">
        <f t="shared" si="23"/>
        <v>406.91587343537697</v>
      </c>
      <c r="BF42" s="29">
        <f t="shared" si="24"/>
        <v>263276</v>
      </c>
      <c r="BG42" s="29">
        <f t="shared" si="24"/>
        <v>47580</v>
      </c>
      <c r="BH42" s="29">
        <f t="shared" si="24"/>
        <v>6344</v>
      </c>
      <c r="BI42" s="29">
        <f t="shared" si="24"/>
        <v>0</v>
      </c>
      <c r="BJ42" s="29">
        <f>SUM(BB$7:BB42)+BF42</f>
        <v>311551.23909668095</v>
      </c>
      <c r="BK42" s="29">
        <f>SUM(BC$7:BC42)+BG42</f>
        <v>73617.445116306073</v>
      </c>
      <c r="BL42" s="29">
        <f>SUM(BD$7:BD42)+BH42</f>
        <v>10272.094325646005</v>
      </c>
      <c r="BM42" s="29">
        <f>SUM(BE$7:BE42)+BI42</f>
        <v>2082.2280961665806</v>
      </c>
      <c r="BN42" s="29">
        <f>SUM(BT$7:BT42)</f>
        <v>16.055398714353437</v>
      </c>
      <c r="BO42" s="17">
        <f t="shared" si="50"/>
        <v>7053.0946423995147</v>
      </c>
      <c r="BP42" s="17">
        <f t="shared" si="51"/>
        <v>61.005052881247572</v>
      </c>
      <c r="BQ42" s="17">
        <f t="shared" si="52"/>
        <v>54.846074776834925</v>
      </c>
      <c r="BR42" s="17">
        <f t="shared" si="28"/>
        <v>0</v>
      </c>
      <c r="BS42" s="17">
        <f t="shared" si="17"/>
        <v>80</v>
      </c>
      <c r="BT42" s="17">
        <f t="shared" si="29"/>
        <v>0</v>
      </c>
      <c r="BV42" s="17">
        <f t="shared" si="30"/>
        <v>9630.094325646005</v>
      </c>
      <c r="BW42" s="17">
        <v>38</v>
      </c>
      <c r="BX42" s="17">
        <f>'[1]资源-钻石'!L41/$B$2*$B$12*10</f>
        <v>284.54858413414269</v>
      </c>
      <c r="BY42" s="17">
        <f>'[1]资源-钻石'!M41/$B$2*$B$12*10</f>
        <v>349.0741085193024</v>
      </c>
      <c r="BZ42" s="17">
        <f>'[1]资源-钻石'!N41/$B$2*$B$12*10</f>
        <v>480.27384462314023</v>
      </c>
      <c r="CA42" s="17">
        <f>'[1]资源-钻石'!O41/$B$2*$B$12*10</f>
        <v>931.95876859394093</v>
      </c>
      <c r="CB42" s="17">
        <f>'[1]资源-钻石'!P41/$B$2*$B$12*10</f>
        <v>1304.4701551733478</v>
      </c>
      <c r="CD42" s="17">
        <v>38</v>
      </c>
      <c r="CE42" s="17">
        <f>'[1]资源-钻石'!L41/$B$2*$C$12*10</f>
        <v>115.26018597838691</v>
      </c>
      <c r="CF42" s="17">
        <f>'[1]资源-钻石'!M41/$B$2*$C$12*10</f>
        <v>141.397107248325</v>
      </c>
      <c r="CG42" s="17">
        <f>'[1]资源-钻石'!N41/$B$2*$C$12*10</f>
        <v>194.54130415114543</v>
      </c>
      <c r="CH42" s="17">
        <f>'[1]资源-钻石'!O41/$B$2*$C$12*10</f>
        <v>377.50228601273557</v>
      </c>
      <c r="CI42" s="17">
        <f>'[1]资源-钻石'!P41/$B$2*$C$12*10</f>
        <v>528.39297424743211</v>
      </c>
      <c r="CO42" s="17">
        <v>10</v>
      </c>
      <c r="CP42" s="17">
        <f>INDEX(节奏总纲!$Q$4:$Q$163,CO42,1)</f>
        <v>0.8548</v>
      </c>
      <c r="CQ42" s="17">
        <f t="shared" si="67"/>
        <v>0.59869565217391307</v>
      </c>
      <c r="CR42" s="17">
        <f t="shared" si="67"/>
        <v>0.59869565217391307</v>
      </c>
      <c r="CS42" s="17">
        <f t="shared" si="67"/>
        <v>0.59869565217391307</v>
      </c>
      <c r="CT42" s="17">
        <f t="shared" si="67"/>
        <v>0.59869565217391307</v>
      </c>
      <c r="CU42" s="17">
        <f t="shared" si="67"/>
        <v>0.59869565217391307</v>
      </c>
      <c r="CW42" s="17">
        <v>39</v>
      </c>
      <c r="CX42" s="17">
        <f t="shared" si="62"/>
        <v>0.45988283187400575</v>
      </c>
      <c r="CY42" s="17">
        <f t="shared" si="63"/>
        <v>0.45988283187400575</v>
      </c>
      <c r="CZ42" s="17">
        <f t="shared" si="64"/>
        <v>0.45988283187400575</v>
      </c>
      <c r="DA42" s="17">
        <f t="shared" si="65"/>
        <v>0.45988283187400575</v>
      </c>
      <c r="DB42" s="17">
        <f t="shared" si="66"/>
        <v>0.45988283187400575</v>
      </c>
    </row>
    <row r="43" spans="1:106" x14ac:dyDescent="0.15">
      <c r="B43" s="29" t="s">
        <v>1</v>
      </c>
      <c r="C43" s="29" t="s">
        <v>2</v>
      </c>
      <c r="D43" s="29" t="s">
        <v>0</v>
      </c>
      <c r="E43" s="29" t="s">
        <v>545</v>
      </c>
      <c r="H43" s="16">
        <v>40</v>
      </c>
      <c r="I43" s="29">
        <f>IF(基础状态预期!C53="","",基础状态预期!C53)</f>
        <v>40420</v>
      </c>
      <c r="J43" s="29">
        <f>IF(基础状态预期!D53="","",基础状态预期!D53)</f>
        <v>153.02723536432757</v>
      </c>
      <c r="K43" s="29" t="str">
        <f>IF(基础状态预期!F53="","",基础状态预期!F53)</f>
        <v/>
      </c>
      <c r="L43" s="29" t="str">
        <f>IF(基础状态预期!G53="","",基础状态预期!G53)</f>
        <v/>
      </c>
      <c r="M43" s="29" t="str">
        <f>IF(基础状态预期!H53="","",基础状态预期!H53)</f>
        <v/>
      </c>
      <c r="N43" s="29" t="str">
        <f>IF(基础状态预期!I53="","",基础状态预期!I53)</f>
        <v/>
      </c>
      <c r="O43" s="29">
        <f>IF(基础状态预期!J53="","",基础状态预期!J53)</f>
        <v>6</v>
      </c>
      <c r="P43" s="29">
        <f>武将进阶!O40</f>
        <v>0</v>
      </c>
      <c r="Q43" s="29">
        <f>武将进阶!P40</f>
        <v>0</v>
      </c>
      <c r="R43" s="29">
        <f>武将进阶!Q40</f>
        <v>0</v>
      </c>
      <c r="S43" s="29">
        <f>武将进阶!R40</f>
        <v>642</v>
      </c>
      <c r="T43" s="29">
        <f>武将进阶!S40</f>
        <v>0</v>
      </c>
      <c r="U43" s="29">
        <f>武将觉醒!T41</f>
        <v>0</v>
      </c>
      <c r="V43" s="29">
        <f>武将觉醒!U41</f>
        <v>0</v>
      </c>
      <c r="W43" s="29">
        <f>武将觉醒!V41</f>
        <v>0</v>
      </c>
      <c r="X43" s="29">
        <f>武将觉醒!W41</f>
        <v>0</v>
      </c>
      <c r="Y43" s="29">
        <f>武将觉醒!X41</f>
        <v>0</v>
      </c>
      <c r="Z43" s="29"/>
      <c r="AA43" s="29">
        <f>IF(L43="",0,同名需求(L43,武将升星!P40,B$6)+武将升星!U40)</f>
        <v>0</v>
      </c>
      <c r="AB43" s="29">
        <f>IF(M43="",0,同名需求(M43,武将升星!Q40,C$6)+武将升星!V40)</f>
        <v>0</v>
      </c>
      <c r="AC43" s="59">
        <f>IF(N43="",0,同名需求(N43,武将升星!R40,D$6*0.5)+武将升星!W40)</f>
        <v>0</v>
      </c>
      <c r="AD43" s="29">
        <f>IF(O43="",0,同名需求(O43,武将升星!S40,E$6)+武将升星!X40)</f>
        <v>108</v>
      </c>
      <c r="AE43" s="29">
        <f>MAX(U43+P43+IF(K43="",0,K43)*武将升星!O40,Z43)</f>
        <v>0</v>
      </c>
      <c r="AF43" s="29">
        <f>MAX(V43+Q43+IF(L43="",0,L43)*武将升星!P40,AA43)</f>
        <v>0</v>
      </c>
      <c r="AG43" s="29">
        <f>MAX(W43+R43+IF(M43="",0,M43)*武将升星!Q40,AB43)</f>
        <v>0</v>
      </c>
      <c r="AH43" s="29">
        <f>MAX(X43+S43+IF(N43="",0,N43)*武将升星!R40,AC43)</f>
        <v>642</v>
      </c>
      <c r="AI43" s="45">
        <f t="shared" si="48"/>
        <v>108</v>
      </c>
      <c r="AJ43" s="29">
        <f t="shared" si="9"/>
        <v>1864800</v>
      </c>
      <c r="AK43" s="14" t="e">
        <f>AJ43/求节点('[1]资源-钻石'!$K$4:$K$113,'[1]资源-钻石'!$L$4:$L$113,J43)</f>
        <v>#VALUE!</v>
      </c>
      <c r="AL43" s="16"/>
      <c r="AM43" s="16"/>
      <c r="AN43" s="16"/>
      <c r="AO43" s="16"/>
      <c r="AP43" s="17">
        <v>40</v>
      </c>
      <c r="AR43" s="16">
        <f t="shared" si="19"/>
        <v>2.7450923137512455</v>
      </c>
      <c r="AS43" s="29">
        <f>IF(基础状态预期!C53="","",基础状态预期!C53)</f>
        <v>40420</v>
      </c>
      <c r="AT43" s="29">
        <f>求节点(节奏总纲!$P$4:$P$163,其他调用!$C$4:$C$163,$AS43)*求节点($CP$5:$CP$36,$CQ$5:$CQ$36,AS43)</f>
        <v>27950226.132630229</v>
      </c>
      <c r="AU43" s="37">
        <f t="shared" si="49"/>
        <v>0</v>
      </c>
      <c r="AV43" s="37">
        <v>1</v>
      </c>
      <c r="AW43" s="38">
        <f t="shared" si="11"/>
        <v>0.4933333333333334</v>
      </c>
      <c r="AX43" s="38">
        <f t="shared" si="12"/>
        <v>0.26666666666666666</v>
      </c>
      <c r="AY43" s="38">
        <f t="shared" si="13"/>
        <v>0.04</v>
      </c>
      <c r="AZ43" s="38">
        <f t="shared" si="14"/>
        <v>2.8000000000000001E-2</v>
      </c>
      <c r="BA43" s="29">
        <f t="shared" si="33"/>
        <v>5492929.7198162414</v>
      </c>
      <c r="BB43" s="29">
        <f t="shared" si="20"/>
        <v>11781.936210620346</v>
      </c>
      <c r="BC43" s="29">
        <f t="shared" si="21"/>
        <v>6368.6141679028897</v>
      </c>
      <c r="BD43" s="29">
        <f t="shared" si="22"/>
        <v>955.29212518543341</v>
      </c>
      <c r="BE43" s="29">
        <f t="shared" si="23"/>
        <v>512.6734405161825</v>
      </c>
      <c r="BF43" s="29">
        <f t="shared" si="24"/>
        <v>335486</v>
      </c>
      <c r="BG43" s="29">
        <f t="shared" si="24"/>
        <v>60630</v>
      </c>
      <c r="BH43" s="29">
        <f t="shared" si="24"/>
        <v>8084</v>
      </c>
      <c r="BI43" s="29">
        <f t="shared" si="24"/>
        <v>0</v>
      </c>
      <c r="BJ43" s="29">
        <f>SUM(BB$7:BB43)+BF43</f>
        <v>395543.17530730134</v>
      </c>
      <c r="BK43" s="29">
        <f>SUM(BC$7:BC43)+BG43</f>
        <v>93036.059284208954</v>
      </c>
      <c r="BL43" s="29">
        <f>SUM(BD$7:BD43)+BH43</f>
        <v>12967.38645083144</v>
      </c>
      <c r="BM43" s="29">
        <f>SUM(BE$7:BE43)+BI43</f>
        <v>2594.901536682763</v>
      </c>
      <c r="BN43" s="29">
        <f>SUM(BT$7:BT43)</f>
        <v>16.055398714353437</v>
      </c>
      <c r="BO43" s="17" t="e">
        <f t="shared" si="50"/>
        <v>#DIV/0!</v>
      </c>
      <c r="BP43" s="17">
        <f t="shared" si="51"/>
        <v>71.726465007398289</v>
      </c>
      <c r="BQ43" s="17">
        <f t="shared" si="52"/>
        <v>59.434579736174086</v>
      </c>
      <c r="BR43" s="17">
        <f t="shared" si="28"/>
        <v>0</v>
      </c>
      <c r="BS43" s="17">
        <f t="shared" si="17"/>
        <v>80</v>
      </c>
      <c r="BT43" s="17">
        <f t="shared" si="29"/>
        <v>0</v>
      </c>
      <c r="BV43" s="17">
        <f t="shared" si="30"/>
        <v>12325.38645083144</v>
      </c>
      <c r="BW43" s="17">
        <v>39</v>
      </c>
      <c r="BX43" s="17">
        <f>'[1]资源-钻石'!L42/$B$2*$B$12*10</f>
        <v>300.82914429705426</v>
      </c>
      <c r="BY43" s="17">
        <f>'[1]资源-钻石'!M42/$B$2*$B$12*10</f>
        <v>368.79648253592359</v>
      </c>
      <c r="BZ43" s="17">
        <f>'[1]资源-钻石'!N42/$B$2*$B$12*10</f>
        <v>507.47156972100294</v>
      </c>
      <c r="CA43" s="17">
        <f>'[1]资源-钻石'!O42/$B$2*$B$12*10</f>
        <v>988.26757196106632</v>
      </c>
      <c r="CB43" s="17">
        <f>'[1]资源-钻石'!P42/$B$2*$B$12*10</f>
        <v>1387.1353388962987</v>
      </c>
      <c r="CD43" s="17">
        <v>39</v>
      </c>
      <c r="CE43" s="17">
        <f>'[1]资源-钻石'!L42/$B$2*$C$12*10</f>
        <v>121.85484325956628</v>
      </c>
      <c r="CF43" s="17">
        <f>'[1]资源-钻石'!M42/$B$2*$C$12*10</f>
        <v>149.38591697657665</v>
      </c>
      <c r="CG43" s="17">
        <f>'[1]资源-钻石'!N42/$B$2*$C$12*10</f>
        <v>205.55810419078597</v>
      </c>
      <c r="CH43" s="17">
        <f>'[1]资源-钻石'!O42/$B$2*$C$12*10</f>
        <v>400.31091522473571</v>
      </c>
      <c r="CI43" s="17">
        <f>'[1]资源-钻石'!P42/$B$2*$C$12*10</f>
        <v>561.87760562888047</v>
      </c>
      <c r="CO43" s="17">
        <v>15</v>
      </c>
      <c r="CP43" s="17">
        <f>INDEX(节奏总纲!$Q$4:$Q$163,CO43,1)</f>
        <v>1.5793953503557587</v>
      </c>
      <c r="CQ43" s="17">
        <f t="shared" si="67"/>
        <v>0.57291652173913044</v>
      </c>
      <c r="CR43" s="17">
        <f t="shared" si="67"/>
        <v>0.57291652173913044</v>
      </c>
      <c r="CS43" s="17">
        <f t="shared" si="67"/>
        <v>0.57291652173913044</v>
      </c>
      <c r="CT43" s="17">
        <f t="shared" si="67"/>
        <v>0.57291652173913044</v>
      </c>
      <c r="CU43" s="17">
        <f t="shared" si="67"/>
        <v>0.57291652173913044</v>
      </c>
      <c r="CW43" s="17">
        <v>40</v>
      </c>
      <c r="CX43" s="17">
        <f t="shared" si="62"/>
        <v>0.45547704330859412</v>
      </c>
      <c r="CY43" s="17">
        <f t="shared" si="63"/>
        <v>0.45547704330859412</v>
      </c>
      <c r="CZ43" s="17">
        <f t="shared" si="64"/>
        <v>0.45547704330859412</v>
      </c>
      <c r="DA43" s="17">
        <f t="shared" si="65"/>
        <v>0.45547704330859412</v>
      </c>
      <c r="DB43" s="17">
        <f t="shared" si="66"/>
        <v>0.45547704330859412</v>
      </c>
    </row>
    <row r="44" spans="1:106" x14ac:dyDescent="0.15">
      <c r="A44" s="29" t="s">
        <v>430</v>
      </c>
      <c r="B44" s="29">
        <f>BF$3/10</f>
        <v>0.83000000000000007</v>
      </c>
      <c r="C44" s="29">
        <f t="shared" ref="C44:E44" si="68">BG$3/10</f>
        <v>0.15</v>
      </c>
      <c r="D44" s="29">
        <f>BH$3</f>
        <v>0.2</v>
      </c>
      <c r="E44" s="29">
        <f t="shared" si="68"/>
        <v>0</v>
      </c>
      <c r="H44" s="17">
        <v>41</v>
      </c>
      <c r="I44" s="29">
        <f>IF(基础状态预期!C54="","",基础状态预期!C54)</f>
        <v>51520</v>
      </c>
      <c r="J44" s="29">
        <f>IF(基础状态预期!D54="","",基础状态预期!D54)</f>
        <v>156.52008914974525</v>
      </c>
      <c r="K44" s="29" t="str">
        <f>IF(基础状态预期!F54="","",基础状态预期!F54)</f>
        <v/>
      </c>
      <c r="L44" s="29" t="str">
        <f>IF(基础状态预期!G54="","",基础状态预期!G54)</f>
        <v/>
      </c>
      <c r="M44" s="29" t="str">
        <f>IF(基础状态预期!H54="","",基础状态预期!H54)</f>
        <v/>
      </c>
      <c r="N44" s="29" t="str">
        <f>IF(基础状态预期!I54="","",基础状态预期!I54)</f>
        <v/>
      </c>
      <c r="O44" s="29">
        <f>IF(基础状态预期!J54="","",基础状态预期!J54)</f>
        <v>6</v>
      </c>
      <c r="P44" s="29">
        <f>武将进阶!O41</f>
        <v>0</v>
      </c>
      <c r="Q44" s="29">
        <f>武将进阶!P41</f>
        <v>0</v>
      </c>
      <c r="R44" s="29">
        <f>武将进阶!Q41</f>
        <v>0</v>
      </c>
      <c r="S44" s="29">
        <f>武将进阶!R41</f>
        <v>642</v>
      </c>
      <c r="T44" s="29">
        <f>武将进阶!S41</f>
        <v>0</v>
      </c>
      <c r="U44" s="29">
        <f>武将觉醒!T42</f>
        <v>0</v>
      </c>
      <c r="V44" s="29">
        <f>武将觉醒!U42</f>
        <v>0</v>
      </c>
      <c r="W44" s="29">
        <f>武将觉醒!V42</f>
        <v>0</v>
      </c>
      <c r="X44" s="29">
        <f>武将觉醒!W42</f>
        <v>0</v>
      </c>
      <c r="Y44" s="29">
        <f>武将觉醒!X42</f>
        <v>0</v>
      </c>
      <c r="Z44" s="29"/>
      <c r="AA44" s="29">
        <f>IF(L44="",0,同名需求(L44,武将升星!P41,B$6)+武将升星!U41)</f>
        <v>0</v>
      </c>
      <c r="AB44" s="29">
        <f>IF(M44="",0,同名需求(M44,武将升星!Q41,C$6)+武将升星!V41)</f>
        <v>0</v>
      </c>
      <c r="AC44" s="59">
        <f>IF(N44="",0,同名需求(N44,武将升星!R41,D$6*0.5)+武将升星!W41)</f>
        <v>0</v>
      </c>
      <c r="AD44" s="29">
        <f>IF(O44="",0,同名需求(O44,武将升星!S41,E$6)+武将升星!X41)</f>
        <v>108</v>
      </c>
      <c r="AE44" s="29">
        <f>MAX(U44+P44+IF(K44="",0,K44)*武将升星!O41,Z44)</f>
        <v>0</v>
      </c>
      <c r="AF44" s="29">
        <f>MAX(V44+Q44+IF(L44="",0,L44)*武将升星!P41,AA44)</f>
        <v>0</v>
      </c>
      <c r="AG44" s="29">
        <f>MAX(W44+R44+IF(M44="",0,M44)*武将升星!Q41,AB44)</f>
        <v>0</v>
      </c>
      <c r="AH44" s="29">
        <f>MAX(X44+S44+IF(N44="",0,N44)*武将升星!R41,AC44)</f>
        <v>642</v>
      </c>
      <c r="AI44" s="45">
        <f t="shared" si="48"/>
        <v>108</v>
      </c>
      <c r="AJ44" s="29">
        <f t="shared" si="9"/>
        <v>1864800</v>
      </c>
      <c r="AK44" s="14" t="e">
        <f>AJ44/求节点('[1]资源-钻石'!$K$4:$K$113,'[1]资源-钻石'!$L$4:$L$113,J44)</f>
        <v>#VALUE!</v>
      </c>
      <c r="AL44" s="16"/>
      <c r="AM44" s="16"/>
      <c r="AN44" s="16"/>
      <c r="AO44" s="16"/>
      <c r="AP44" s="17">
        <v>41</v>
      </c>
      <c r="AR44" s="16">
        <f t="shared" si="19"/>
        <v>2.6733614373261112</v>
      </c>
      <c r="AS44" s="29">
        <f>IF(基础状态预期!C54="","",基础状态预期!C54)</f>
        <v>51520</v>
      </c>
      <c r="AT44" s="29">
        <f>求节点(节奏总纲!$P$4:$P$163,其他调用!$C$4:$C$163,$AS44)*求节点($CP$5:$CP$36,$CQ$5:$CQ$36,AS44)</f>
        <v>34775317.882123791</v>
      </c>
      <c r="AU44" s="37">
        <f t="shared" si="49"/>
        <v>0</v>
      </c>
      <c r="AV44" s="37">
        <v>1</v>
      </c>
      <c r="AW44" s="38">
        <f t="shared" si="11"/>
        <v>0.4933333333333334</v>
      </c>
      <c r="AX44" s="38">
        <f t="shared" si="12"/>
        <v>0.26666666666666666</v>
      </c>
      <c r="AY44" s="38">
        <f t="shared" si="13"/>
        <v>0.04</v>
      </c>
      <c r="AZ44" s="38">
        <f t="shared" si="14"/>
        <v>2.8000000000000001E-2</v>
      </c>
      <c r="BA44" s="29">
        <f t="shared" si="33"/>
        <v>6825091.7494935617</v>
      </c>
      <c r="BB44" s="29">
        <f t="shared" si="20"/>
        <v>14639.327230797786</v>
      </c>
      <c r="BC44" s="29">
        <f t="shared" si="21"/>
        <v>7913.1498544852884</v>
      </c>
      <c r="BD44" s="29">
        <f t="shared" si="22"/>
        <v>1186.9724781727934</v>
      </c>
      <c r="BE44" s="29">
        <f t="shared" si="23"/>
        <v>637.00856328606574</v>
      </c>
      <c r="BF44" s="29">
        <f t="shared" si="24"/>
        <v>427616.00000000006</v>
      </c>
      <c r="BG44" s="29">
        <f t="shared" si="24"/>
        <v>77280</v>
      </c>
      <c r="BH44" s="29">
        <f t="shared" si="24"/>
        <v>10304</v>
      </c>
      <c r="BI44" s="29">
        <f t="shared" si="24"/>
        <v>0</v>
      </c>
      <c r="BJ44" s="29">
        <f>SUM(BB$7:BB44)+BF44</f>
        <v>502312.50253809919</v>
      </c>
      <c r="BK44" s="29">
        <f>SUM(BC$7:BC44)+BG44</f>
        <v>117599.20913869425</v>
      </c>
      <c r="BL44" s="29">
        <f>SUM(BD$7:BD44)+BH44</f>
        <v>16374.358929004233</v>
      </c>
      <c r="BM44" s="29">
        <f>SUM(BE$7:BE44)+BI44</f>
        <v>3231.9100999688289</v>
      </c>
      <c r="BN44" s="29">
        <f>SUM(BT$7:BT44)</f>
        <v>16.055398714353437</v>
      </c>
      <c r="BO44" s="17" t="e">
        <f t="shared" si="50"/>
        <v>#DIV/0!</v>
      </c>
      <c r="BP44" s="17">
        <f t="shared" si="51"/>
        <v>82.715819927575183</v>
      </c>
      <c r="BQ44" s="17">
        <f t="shared" si="52"/>
        <v>63.392623828979183</v>
      </c>
      <c r="BR44" s="17">
        <f t="shared" si="28"/>
        <v>0</v>
      </c>
      <c r="BS44" s="17">
        <f t="shared" si="17"/>
        <v>80</v>
      </c>
      <c r="BT44" s="17">
        <f t="shared" si="29"/>
        <v>0</v>
      </c>
      <c r="BV44" s="17">
        <f t="shared" si="30"/>
        <v>15732.358929004233</v>
      </c>
      <c r="BW44" s="17">
        <v>40</v>
      </c>
      <c r="BX44" s="17">
        <f>'[1]资源-钻石'!L43/$B$2*$B$12*10</f>
        <v>318.27792049496827</v>
      </c>
      <c r="BY44" s="17">
        <f>'[1]资源-钻石'!M43/$B$2*$B$12*10</f>
        <v>389.8309212697402</v>
      </c>
      <c r="BZ44" s="17">
        <f>'[1]资源-钻石'!N43/$B$2*$B$12*10</f>
        <v>537.36506171901715</v>
      </c>
      <c r="CA44" s="17">
        <f>'[1]资源-钻石'!O43/$B$2*$B$12*10</f>
        <v>1048.9088853581411</v>
      </c>
      <c r="CB44" s="17">
        <f>'[1]资源-钻石'!P43/$B$2*$B$12*10</f>
        <v>1478.2193132772986</v>
      </c>
      <c r="CD44" s="17">
        <v>40</v>
      </c>
      <c r="CE44" s="17">
        <f>'[1]资源-钻石'!L43/$B$2*$C$12*10</f>
        <v>128.9227019726454</v>
      </c>
      <c r="CF44" s="17">
        <f>'[1]资源-钻石'!M43/$B$2*$C$12*10</f>
        <v>157.90619595736311</v>
      </c>
      <c r="CG44" s="17">
        <f>'[1]资源-钻石'!N43/$B$2*$C$12*10</f>
        <v>217.66686044314616</v>
      </c>
      <c r="CH44" s="17">
        <f>'[1]资源-钻石'!O43/$B$2*$C$12*10</f>
        <v>424.87448520836097</v>
      </c>
      <c r="CI44" s="17">
        <f>'[1]资源-钻石'!P43/$B$2*$C$12*10</f>
        <v>598.77238006169046</v>
      </c>
      <c r="CO44" s="17">
        <v>20</v>
      </c>
      <c r="CP44" s="17">
        <f>INDEX(节奏总纲!$Q$4:$Q$163,CO44,1)</f>
        <v>2.6036999999999999</v>
      </c>
      <c r="CQ44" s="17">
        <f t="shared" si="67"/>
        <v>0.54792907826086978</v>
      </c>
      <c r="CR44" s="17">
        <f t="shared" si="67"/>
        <v>0.54792907826086978</v>
      </c>
      <c r="CS44" s="17">
        <f t="shared" si="67"/>
        <v>0.54792907826086978</v>
      </c>
      <c r="CT44" s="17">
        <f t="shared" si="67"/>
        <v>0.54792907826086978</v>
      </c>
      <c r="CU44" s="17">
        <f t="shared" si="67"/>
        <v>0.54792907826086978</v>
      </c>
      <c r="CW44" s="17">
        <v>41</v>
      </c>
      <c r="CX44" s="17">
        <f t="shared" si="62"/>
        <v>0.45120928580690811</v>
      </c>
      <c r="CY44" s="17">
        <f t="shared" si="63"/>
        <v>0.45120928580690811</v>
      </c>
      <c r="CZ44" s="17">
        <f t="shared" si="64"/>
        <v>0.45120928580690811</v>
      </c>
      <c r="DA44" s="17">
        <f t="shared" si="65"/>
        <v>0.45120928580690811</v>
      </c>
      <c r="DB44" s="17">
        <f t="shared" si="66"/>
        <v>0.45120928580690811</v>
      </c>
    </row>
    <row r="45" spans="1:106" x14ac:dyDescent="0.15">
      <c r="A45" s="29" t="s">
        <v>463</v>
      </c>
      <c r="B45" s="29">
        <f>SUMPRODUCT(B44:E44,$B$7:$E$7)*0.7+5+E3*0.3/10</f>
        <v>198.23999999999998</v>
      </c>
      <c r="H45" s="16">
        <v>42</v>
      </c>
      <c r="I45" s="29">
        <f>IF(基础状态预期!C55="","",基础状态预期!C55)</f>
        <v>65500</v>
      </c>
      <c r="J45" s="29">
        <f>IF(基础状态预期!D55="","",基础状态预期!D55)</f>
        <v>159.99202506384199</v>
      </c>
      <c r="K45" s="29" t="str">
        <f>IF(基础状态预期!F55="","",基础状态预期!F55)</f>
        <v/>
      </c>
      <c r="L45" s="29" t="str">
        <f>IF(基础状态预期!G55="","",基础状态预期!G55)</f>
        <v/>
      </c>
      <c r="M45" s="29" t="str">
        <f>IF(基础状态预期!H55="","",基础状态预期!H55)</f>
        <v/>
      </c>
      <c r="N45" s="29" t="str">
        <f>IF(基础状态预期!I55="","",基础状态预期!I55)</f>
        <v/>
      </c>
      <c r="O45" s="29">
        <f>IF(基础状态预期!J55="","",基础状态预期!J55)</f>
        <v>6</v>
      </c>
      <c r="P45" s="29">
        <f>武将进阶!O42</f>
        <v>0</v>
      </c>
      <c r="Q45" s="29">
        <f>武将进阶!P42</f>
        <v>0</v>
      </c>
      <c r="R45" s="29">
        <f>武将进阶!Q42</f>
        <v>0</v>
      </c>
      <c r="S45" s="29">
        <f>武将进阶!R42</f>
        <v>642</v>
      </c>
      <c r="T45" s="29">
        <f>武将进阶!S42</f>
        <v>0</v>
      </c>
      <c r="U45" s="29">
        <f>武将觉醒!T43</f>
        <v>0</v>
      </c>
      <c r="V45" s="29">
        <f>武将觉醒!U43</f>
        <v>0</v>
      </c>
      <c r="W45" s="29">
        <f>武将觉醒!V43</f>
        <v>0</v>
      </c>
      <c r="X45" s="29">
        <f>武将觉醒!W43</f>
        <v>0</v>
      </c>
      <c r="Y45" s="29">
        <f>武将觉醒!X43</f>
        <v>0</v>
      </c>
      <c r="Z45" s="29"/>
      <c r="AA45" s="29">
        <f>IF(L45="",0,同名需求(L45,武将升星!P42,B$6)+武将升星!U42)</f>
        <v>0</v>
      </c>
      <c r="AB45" s="29">
        <f>IF(M45="",0,同名需求(M45,武将升星!Q42,C$6)+武将升星!V42)</f>
        <v>0</v>
      </c>
      <c r="AC45" s="59">
        <f>IF(N45="",0,同名需求(N45,武将升星!R42,D$6*0.5)+武将升星!W42)</f>
        <v>0</v>
      </c>
      <c r="AD45" s="29">
        <f>IF(O45="",0,同名需求(O45,武将升星!S42,E$6)+武将升星!X42)</f>
        <v>108</v>
      </c>
      <c r="AE45" s="29">
        <f>MAX(U45+P45+IF(K45="",0,K45)*武将升星!O42,Z45)</f>
        <v>0</v>
      </c>
      <c r="AF45" s="29">
        <f>MAX(V45+Q45+IF(L45="",0,L45)*武将升星!P42,AA45)</f>
        <v>0</v>
      </c>
      <c r="AG45" s="29">
        <f>MAX(W45+R45+IF(M45="",0,M45)*武将升星!Q42,AB45)</f>
        <v>0</v>
      </c>
      <c r="AH45" s="29">
        <f>MAX(X45+S45+IF(N45="",0,N45)*武将升星!R42,AC45)</f>
        <v>642</v>
      </c>
      <c r="AI45" s="45">
        <f t="shared" si="48"/>
        <v>108</v>
      </c>
      <c r="AJ45" s="29">
        <f t="shared" si="9"/>
        <v>1864800</v>
      </c>
      <c r="AK45" s="14" t="e">
        <f>AJ45/求节点('[1]资源-钻石'!$K$4:$K$113,'[1]资源-钻石'!$L$4:$L$113,J45)</f>
        <v>#VALUE!</v>
      </c>
      <c r="AL45" s="16"/>
      <c r="AM45" s="16"/>
      <c r="AN45" s="16"/>
      <c r="AO45" s="16"/>
      <c r="AP45" s="17">
        <v>42</v>
      </c>
      <c r="AR45" s="16">
        <f t="shared" si="19"/>
        <v>2.6012937328627301</v>
      </c>
      <c r="AS45" s="29">
        <f>IF(基础状态预期!C55="","",基础状态预期!C55)</f>
        <v>65500</v>
      </c>
      <c r="AT45" s="29">
        <f>求节点(节奏总纲!$P$4:$P$163,其他调用!$C$4:$C$163,$AS45)*求节点($CP$5:$CP$36,$CQ$5:$CQ$36,AS45)</f>
        <v>43139517.750770614</v>
      </c>
      <c r="AU45" s="37">
        <f t="shared" si="49"/>
        <v>0</v>
      </c>
      <c r="AV45" s="37">
        <v>1</v>
      </c>
      <c r="AW45" s="38">
        <f t="shared" si="11"/>
        <v>0.4933333333333334</v>
      </c>
      <c r="AX45" s="38">
        <f t="shared" si="12"/>
        <v>0.26666666666666666</v>
      </c>
      <c r="AY45" s="38">
        <f t="shared" si="13"/>
        <v>0.04</v>
      </c>
      <c r="AZ45" s="38">
        <f t="shared" si="14"/>
        <v>2.8000000000000001E-2</v>
      </c>
      <c r="BA45" s="29">
        <f t="shared" si="33"/>
        <v>8364199.8686468229</v>
      </c>
      <c r="BB45" s="29">
        <f t="shared" si="20"/>
        <v>17940.602616807679</v>
      </c>
      <c r="BC45" s="29">
        <f t="shared" si="21"/>
        <v>9697.623036112258</v>
      </c>
      <c r="BD45" s="29">
        <f t="shared" si="22"/>
        <v>1454.6434554168388</v>
      </c>
      <c r="BE45" s="29">
        <f t="shared" si="23"/>
        <v>780.65865440703681</v>
      </c>
      <c r="BF45" s="29">
        <f t="shared" si="24"/>
        <v>543650</v>
      </c>
      <c r="BG45" s="29">
        <f t="shared" si="24"/>
        <v>98250</v>
      </c>
      <c r="BH45" s="29">
        <f t="shared" si="24"/>
        <v>13100</v>
      </c>
      <c r="BI45" s="29">
        <f t="shared" si="24"/>
        <v>0</v>
      </c>
      <c r="BJ45" s="29">
        <f>SUM(BB$7:BB45)+BF45</f>
        <v>636287.10515490675</v>
      </c>
      <c r="BK45" s="29">
        <f>SUM(BC$7:BC45)+BG45</f>
        <v>148266.83217480651</v>
      </c>
      <c r="BL45" s="29">
        <f>SUM(BD$7:BD45)+BH45</f>
        <v>20625.002384421074</v>
      </c>
      <c r="BM45" s="29">
        <f>SUM(BE$7:BE45)+BI45</f>
        <v>4012.5687543758659</v>
      </c>
      <c r="BN45" s="29">
        <f>SUM(BT$7:BT45)</f>
        <v>16.055398714353437</v>
      </c>
      <c r="BO45" s="17" t="e">
        <f t="shared" si="50"/>
        <v>#DIV/0!</v>
      </c>
      <c r="BP45" s="17">
        <f t="shared" si="51"/>
        <v>96.774687420254736</v>
      </c>
      <c r="BQ45" s="17">
        <f t="shared" si="52"/>
        <v>68.661918932744115</v>
      </c>
      <c r="BR45" s="17">
        <f t="shared" si="28"/>
        <v>0</v>
      </c>
      <c r="BS45" s="17">
        <f t="shared" si="17"/>
        <v>80</v>
      </c>
      <c r="BT45" s="17">
        <f t="shared" si="29"/>
        <v>0</v>
      </c>
      <c r="BV45" s="17">
        <f t="shared" si="30"/>
        <v>19983.002384421074</v>
      </c>
      <c r="BW45" s="17">
        <v>41</v>
      </c>
      <c r="BX45" s="17">
        <f>'[1]资源-钻石'!L44/$B$2*$B$12*10</f>
        <v>336.97903309273556</v>
      </c>
      <c r="BY45" s="17">
        <f>'[1]资源-钻石'!M44/$B$2*$B$12*10</f>
        <v>412.99852858658801</v>
      </c>
      <c r="BZ45" s="17">
        <f>'[1]资源-钻石'!N44/$B$2*$B$12*10</f>
        <v>570.14606941027375</v>
      </c>
      <c r="CA45" s="17">
        <f>'[1]资源-钻石'!O44/$B$2*$B$12*10</f>
        <v>1114.4971438546518</v>
      </c>
      <c r="CB45" s="17">
        <f>'[1]资源-钻石'!P44/$B$2*$B$12*10</f>
        <v>1577.826834985108</v>
      </c>
      <c r="CD45" s="17">
        <v>41</v>
      </c>
      <c r="CE45" s="17">
        <f>'[1]资源-钻石'!L44/$B$2*$C$12*10</f>
        <v>136.4978361894625</v>
      </c>
      <c r="CF45" s="17">
        <f>'[1]资源-钻石'!M44/$B$2*$C$12*10</f>
        <v>167.29054322494704</v>
      </c>
      <c r="CG45" s="17">
        <f>'[1]资源-钻石'!N44/$B$2*$C$12*10</f>
        <v>230.94524330542737</v>
      </c>
      <c r="CH45" s="17">
        <f>'[1]资源-钻石'!O44/$B$2*$C$12*10</f>
        <v>451.44188105504884</v>
      </c>
      <c r="CI45" s="17">
        <f>'[1]资源-钻石'!P44/$B$2*$C$12*10</f>
        <v>639.11973062687923</v>
      </c>
      <c r="CO45" s="17">
        <v>25</v>
      </c>
      <c r="CP45" s="17">
        <f>INDEX(节奏总纲!$Q$4:$Q$163,CO45,1)</f>
        <v>4.054257309608067</v>
      </c>
      <c r="CQ45" s="17">
        <f t="shared" si="67"/>
        <v>0.52371196591304359</v>
      </c>
      <c r="CR45" s="17">
        <f t="shared" si="67"/>
        <v>0.52371196591304359</v>
      </c>
      <c r="CS45" s="17">
        <f t="shared" si="67"/>
        <v>0.52371196591304359</v>
      </c>
      <c r="CT45" s="17">
        <f t="shared" si="67"/>
        <v>0.52371196591304359</v>
      </c>
      <c r="CU45" s="17">
        <f t="shared" si="67"/>
        <v>0.52371196591304359</v>
      </c>
      <c r="CW45" s="17">
        <v>42</v>
      </c>
      <c r="CX45" s="17">
        <f t="shared" si="62"/>
        <v>0.4469415283052221</v>
      </c>
      <c r="CY45" s="17">
        <f t="shared" si="63"/>
        <v>0.4469415283052221</v>
      </c>
      <c r="CZ45" s="17">
        <f t="shared" si="64"/>
        <v>0.4469415283052221</v>
      </c>
      <c r="DA45" s="17">
        <f t="shared" si="65"/>
        <v>0.4469415283052221</v>
      </c>
      <c r="DB45" s="17">
        <f t="shared" si="66"/>
        <v>0.4469415283052221</v>
      </c>
    </row>
    <row r="46" spans="1:106" x14ac:dyDescent="0.15">
      <c r="H46" s="16">
        <v>43</v>
      </c>
      <c r="AN46" s="16"/>
      <c r="AP46" s="17">
        <v>43</v>
      </c>
      <c r="BW46" s="17">
        <v>42</v>
      </c>
      <c r="BX46" s="17">
        <f>'[1]资源-钻石'!L45/$B$2*$B$12*10</f>
        <v>357.02238929492586</v>
      </c>
      <c r="BY46" s="17">
        <f>'[1]资源-钻石'!M45/$B$2*$B$12*10</f>
        <v>438.04805497815045</v>
      </c>
      <c r="BZ46" s="17">
        <f>'[1]资源-钻石'!N45/$B$2*$B$12*10</f>
        <v>606.27516134609459</v>
      </c>
      <c r="CA46" s="17">
        <f>'[1]资源-钻石'!O45/$B$2*$B$12*10</f>
        <v>1186.7418714104001</v>
      </c>
      <c r="CB46" s="17">
        <f>'[1]资源-钻石'!P45/$B$2*$B$12*10</f>
        <v>1684.9432782907993</v>
      </c>
      <c r="CD46" s="17">
        <v>42</v>
      </c>
      <c r="CE46" s="17">
        <f>'[1]资源-钻石'!L45/$B$2*$C$12*10</f>
        <v>144.61666401819781</v>
      </c>
      <c r="CF46" s="17">
        <f>'[1]资源-钻石'!M45/$B$2*$C$12*10</f>
        <v>177.43718682659261</v>
      </c>
      <c r="CG46" s="17">
        <f>'[1]资源-钻石'!N45/$B$2*$C$12*10</f>
        <v>245.57981219082313</v>
      </c>
      <c r="CH46" s="17">
        <f>'[1]资源-钻石'!O45/$B$2*$C$12*10</f>
        <v>480.70556816623809</v>
      </c>
      <c r="CI46" s="17">
        <f>'[1]资源-钻石'!P45/$B$2*$C$12*10</f>
        <v>682.50866968741229</v>
      </c>
      <c r="CO46" s="17">
        <v>30</v>
      </c>
      <c r="CP46" s="17">
        <f>INDEX(节奏总纲!$Q$4:$Q$163,CO46,1)</f>
        <v>6.1025999999999998</v>
      </c>
      <c r="CQ46" s="17">
        <f t="shared" si="67"/>
        <v>0.5002443664278261</v>
      </c>
      <c r="CR46" s="17">
        <f t="shared" si="67"/>
        <v>0.5002443664278261</v>
      </c>
      <c r="CS46" s="17">
        <f t="shared" si="67"/>
        <v>0.5002443664278261</v>
      </c>
      <c r="CT46" s="17">
        <f t="shared" si="67"/>
        <v>0.5002443664278261</v>
      </c>
      <c r="CU46" s="17">
        <f t="shared" si="67"/>
        <v>0.5002443664278261</v>
      </c>
      <c r="CW46" s="17">
        <v>43</v>
      </c>
      <c r="CX46" s="17">
        <f t="shared" si="62"/>
        <v>0.44267377080353609</v>
      </c>
      <c r="CY46" s="17">
        <f t="shared" si="63"/>
        <v>0.44267377080353609</v>
      </c>
      <c r="CZ46" s="17">
        <f t="shared" si="64"/>
        <v>0.44267377080353609</v>
      </c>
      <c r="DA46" s="17">
        <f t="shared" si="65"/>
        <v>0.44267377080353609</v>
      </c>
      <c r="DB46" s="17">
        <f t="shared" si="66"/>
        <v>0.44267377080353609</v>
      </c>
    </row>
    <row r="47" spans="1:106" x14ac:dyDescent="0.15">
      <c r="H47" s="16">
        <v>44</v>
      </c>
      <c r="AP47" s="17">
        <v>44</v>
      </c>
      <c r="BW47" s="17">
        <v>43</v>
      </c>
      <c r="BX47" s="17">
        <f>'[1]资源-钻石'!L46/$B$2*$B$12*10</f>
        <v>378.50432657259552</v>
      </c>
      <c r="BY47" s="17">
        <f>'[1]资源-钻石'!M46/$B$2*$B$12*10</f>
        <v>463.9703718425651</v>
      </c>
      <c r="BZ47" s="17">
        <f>'[1]资源-钻石'!N46/$B$2*$B$12*10</f>
        <v>643.80872471249336</v>
      </c>
      <c r="CA47" s="17">
        <f>'[1]资源-钻石'!O46/$B$2*$B$12*10</f>
        <v>1259.585314579459</v>
      </c>
      <c r="CB47" s="17">
        <f>'[1]资源-钻石'!P46/$B$2*$B$12*10</f>
        <v>1792.9022305224694</v>
      </c>
      <c r="CD47" s="17">
        <v>43</v>
      </c>
      <c r="CE47" s="17">
        <f>'[1]资源-钻石'!L46/$B$2*$C$12*10</f>
        <v>153.31820823193743</v>
      </c>
      <c r="CF47" s="17">
        <f>'[1]资源-钻石'!M46/$B$2*$C$12*10</f>
        <v>187.93736580964662</v>
      </c>
      <c r="CG47" s="17">
        <f>'[1]资源-钻石'!N46/$B$2*$C$12*10</f>
        <v>260.78328089619981</v>
      </c>
      <c r="CH47" s="17">
        <f>'[1]资源-钻石'!O46/$B$2*$C$12*10</f>
        <v>510.21177299421117</v>
      </c>
      <c r="CI47" s="17">
        <f>'[1]资源-钻石'!P46/$B$2*$C$12*10</f>
        <v>726.2388781863167</v>
      </c>
      <c r="CO47" s="17">
        <v>35</v>
      </c>
      <c r="CP47" s="17">
        <f>INDEX(节奏总纲!$Q$4:$Q$163,CO47,1)</f>
        <v>9.0048988904635934</v>
      </c>
      <c r="CQ47" s="17">
        <f t="shared" si="67"/>
        <v>0.47750598613565226</v>
      </c>
      <c r="CR47" s="17">
        <f t="shared" si="67"/>
        <v>0.47750598613565226</v>
      </c>
      <c r="CS47" s="17">
        <f t="shared" si="67"/>
        <v>0.47750598613565226</v>
      </c>
      <c r="CT47" s="17">
        <f t="shared" si="67"/>
        <v>0.47750598613565226</v>
      </c>
      <c r="CU47" s="17">
        <f t="shared" si="67"/>
        <v>0.47750598613565226</v>
      </c>
      <c r="CW47" s="17">
        <v>44</v>
      </c>
      <c r="CX47" s="17">
        <f t="shared" si="62"/>
        <v>0.43840601330185008</v>
      </c>
      <c r="CY47" s="17">
        <f t="shared" si="63"/>
        <v>0.43840601330185008</v>
      </c>
      <c r="CZ47" s="17">
        <f t="shared" si="64"/>
        <v>0.43840601330185008</v>
      </c>
      <c r="DA47" s="17">
        <f t="shared" si="65"/>
        <v>0.43840601330185008</v>
      </c>
      <c r="DB47" s="17">
        <f t="shared" si="66"/>
        <v>0.43840601330185008</v>
      </c>
    </row>
    <row r="48" spans="1:106" x14ac:dyDescent="0.15">
      <c r="B48" s="17" t="s">
        <v>492</v>
      </c>
      <c r="C48" s="17" t="s">
        <v>493</v>
      </c>
      <c r="H48" s="16">
        <v>45</v>
      </c>
      <c r="AP48" s="17">
        <v>45</v>
      </c>
      <c r="BW48" s="17">
        <v>44</v>
      </c>
      <c r="BX48" s="17">
        <f>'[1]资源-钻石'!L47/$B$2*$B$12*10</f>
        <v>401.52809687067105</v>
      </c>
      <c r="BY48" s="17">
        <f>'[1]资源-钻石'!M47/$B$2*$B$12*10</f>
        <v>491.66969624302624</v>
      </c>
      <c r="BZ48" s="17">
        <f>'[1]资源-钻石'!N47/$B$2*$B$12*10</f>
        <v>682.02196433151869</v>
      </c>
      <c r="CA48" s="17">
        <f>'[1]资源-钻石'!O47/$B$2*$B$12*10</f>
        <v>1337.5794918473634</v>
      </c>
      <c r="CB48" s="17">
        <f>'[1]资源-钻石'!P47/$B$2*$B$12*10</f>
        <v>1907.3347389598337</v>
      </c>
      <c r="CD48" s="17">
        <v>44</v>
      </c>
      <c r="CE48" s="17">
        <f>'[1]资源-钻石'!L47/$B$2*$C$12*10</f>
        <v>162.64429240330981</v>
      </c>
      <c r="CF48" s="17">
        <f>'[1]资源-钻石'!M47/$B$2*$C$12*10</f>
        <v>199.15734531363086</v>
      </c>
      <c r="CG48" s="17">
        <f>'[1]资源-钻石'!N47/$B$2*$C$12*10</f>
        <v>276.26206150137466</v>
      </c>
      <c r="CH48" s="17">
        <f>'[1]资源-钻石'!O47/$B$2*$C$12*10</f>
        <v>541.80435112804594</v>
      </c>
      <c r="CI48" s="17">
        <f>'[1]资源-钻石'!P47/$B$2*$C$12*10</f>
        <v>772.59128666727452</v>
      </c>
      <c r="CO48" s="17">
        <v>40</v>
      </c>
      <c r="CP48" s="17">
        <f>INDEX(节奏总纲!$Q$4:$Q$163,CO48,1)</f>
        <v>13.059000000000001</v>
      </c>
      <c r="CQ48" s="17">
        <f t="shared" si="67"/>
        <v>0.45547704330859412</v>
      </c>
      <c r="CR48" s="17">
        <f t="shared" si="67"/>
        <v>0.45547704330859412</v>
      </c>
      <c r="CS48" s="17">
        <f t="shared" si="67"/>
        <v>0.45547704330859412</v>
      </c>
      <c r="CT48" s="17">
        <f t="shared" si="67"/>
        <v>0.45547704330859412</v>
      </c>
      <c r="CU48" s="17">
        <f t="shared" si="67"/>
        <v>0.45547704330859412</v>
      </c>
      <c r="CW48" s="17">
        <v>45</v>
      </c>
      <c r="CX48" s="17">
        <f t="shared" si="62"/>
        <v>0.43413825580016407</v>
      </c>
      <c r="CY48" s="17">
        <f t="shared" si="63"/>
        <v>0.43413825580016407</v>
      </c>
      <c r="CZ48" s="17">
        <f t="shared" si="64"/>
        <v>0.43413825580016407</v>
      </c>
      <c r="DA48" s="17">
        <f t="shared" si="65"/>
        <v>0.43413825580016407</v>
      </c>
      <c r="DB48" s="17">
        <f t="shared" si="66"/>
        <v>0.43413825580016407</v>
      </c>
    </row>
    <row r="49" spans="1:106" x14ac:dyDescent="0.15">
      <c r="A49" s="17" t="s">
        <v>491</v>
      </c>
      <c r="B49" s="17">
        <v>2</v>
      </c>
      <c r="C49" s="92">
        <v>0.25</v>
      </c>
      <c r="H49" s="16">
        <v>1</v>
      </c>
      <c r="I49" s="160" t="s">
        <v>174</v>
      </c>
      <c r="J49" s="160"/>
      <c r="AP49" s="17">
        <v>1</v>
      </c>
      <c r="AS49" s="160" t="s">
        <v>174</v>
      </c>
      <c r="AT49" s="160"/>
      <c r="BF49" s="160" t="s">
        <v>373</v>
      </c>
      <c r="BG49" s="160"/>
      <c r="BH49" s="160"/>
      <c r="BI49" s="160"/>
      <c r="BW49" s="17">
        <v>45</v>
      </c>
      <c r="BX49" s="17">
        <f>'[1]资源-钻石'!L48/$B$2*$B$12*10</f>
        <v>426.20436288367966</v>
      </c>
      <c r="BY49" s="17">
        <f>'[1]资源-钻石'!M48/$B$2*$B$12*10</f>
        <v>521.40558893320622</v>
      </c>
      <c r="BZ49" s="17">
        <f>'[1]资源-钻石'!N48/$B$2*$B$12*10</f>
        <v>721.67911671857564</v>
      </c>
      <c r="CA49" s="17">
        <f>'[1]资源-钻石'!O48/$B$2*$B$12*10</f>
        <v>1421.5400520267474</v>
      </c>
      <c r="CB49" s="17">
        <f>'[1]资源-钻石'!P48/$B$2*$B$12*10</f>
        <v>2030.3147821380333</v>
      </c>
      <c r="CD49" s="17">
        <v>45</v>
      </c>
      <c r="CE49" s="17">
        <f>'[1]资源-钻石'!L48/$B$2*$C$12*10</f>
        <v>172.63974192756646</v>
      </c>
      <c r="CF49" s="17">
        <f>'[1]资源-钻石'!M48/$B$2*$C$12*10</f>
        <v>211.20226387167847</v>
      </c>
      <c r="CG49" s="17">
        <f>'[1]资源-钻石'!N48/$B$2*$C$12*10</f>
        <v>292.32571816448637</v>
      </c>
      <c r="CH49" s="17">
        <f>'[1]资源-钻石'!O48/$B$2*$C$12*10</f>
        <v>575.81369196020137</v>
      </c>
      <c r="CI49" s="17">
        <f>'[1]资源-钻石'!P48/$B$2*$C$12*10</f>
        <v>822.40598770148176</v>
      </c>
      <c r="CO49" s="17">
        <v>45</v>
      </c>
      <c r="CP49" s="17">
        <f>INDEX(节奏总纲!$Q$4:$Q$163,CO49,1)</f>
        <v>18.900199714525563</v>
      </c>
      <c r="CQ49" s="17">
        <f t="shared" si="67"/>
        <v>0.43413825580016407</v>
      </c>
      <c r="CR49" s="17">
        <f t="shared" si="67"/>
        <v>0.43413825580016407</v>
      </c>
      <c r="CS49" s="17">
        <f t="shared" si="67"/>
        <v>0.43413825580016407</v>
      </c>
      <c r="CT49" s="17">
        <f t="shared" si="67"/>
        <v>0.43413825580016407</v>
      </c>
      <c r="CU49" s="17">
        <f t="shared" si="67"/>
        <v>0.43413825580016407</v>
      </c>
      <c r="CW49" s="17">
        <v>46</v>
      </c>
      <c r="CX49" s="17">
        <f t="shared" si="62"/>
        <v>0.43000477043508084</v>
      </c>
      <c r="CY49" s="17">
        <f t="shared" si="63"/>
        <v>0.43000477043508084</v>
      </c>
      <c r="CZ49" s="17">
        <f t="shared" si="64"/>
        <v>0.43000477043508084</v>
      </c>
      <c r="DA49" s="17">
        <f t="shared" si="65"/>
        <v>0.43000477043508084</v>
      </c>
      <c r="DB49" s="17">
        <f t="shared" si="66"/>
        <v>0.43000477043508084</v>
      </c>
    </row>
    <row r="50" spans="1:106" x14ac:dyDescent="0.15">
      <c r="H50" s="16">
        <v>2</v>
      </c>
      <c r="I50" s="160"/>
      <c r="J50" s="160"/>
      <c r="K50" s="160" t="s">
        <v>376</v>
      </c>
      <c r="L50" s="160"/>
      <c r="M50" s="160"/>
      <c r="N50" s="160"/>
      <c r="O50" s="160"/>
      <c r="P50" s="160" t="s">
        <v>407</v>
      </c>
      <c r="Q50" s="160"/>
      <c r="R50" s="160"/>
      <c r="S50" s="160"/>
      <c r="T50" s="160"/>
      <c r="U50" s="160" t="s">
        <v>409</v>
      </c>
      <c r="V50" s="160"/>
      <c r="W50" s="160"/>
      <c r="X50" s="160"/>
      <c r="Y50" s="160"/>
      <c r="Z50" s="160" t="s">
        <v>377</v>
      </c>
      <c r="AA50" s="160"/>
      <c r="AB50" s="160"/>
      <c r="AC50" s="160"/>
      <c r="AD50" s="160"/>
      <c r="AE50" s="160" t="s">
        <v>378</v>
      </c>
      <c r="AF50" s="160"/>
      <c r="AG50" s="160"/>
      <c r="AH50" s="160"/>
      <c r="AI50" s="160"/>
      <c r="AP50" s="17">
        <v>2</v>
      </c>
      <c r="AS50" s="160"/>
      <c r="AT50" s="160"/>
      <c r="AU50" s="160" t="s">
        <v>323</v>
      </c>
      <c r="AV50" s="160"/>
      <c r="AW50" s="160" t="s">
        <v>325</v>
      </c>
      <c r="AX50" s="160"/>
      <c r="AY50" s="160"/>
      <c r="AZ50" s="160"/>
      <c r="BA50" s="169" t="s">
        <v>327</v>
      </c>
      <c r="BB50" s="160" t="s">
        <v>328</v>
      </c>
      <c r="BC50" s="160"/>
      <c r="BD50" s="160"/>
      <c r="BE50" s="160"/>
      <c r="BF50" s="160"/>
      <c r="BG50" s="160"/>
      <c r="BH50" s="160"/>
      <c r="BI50" s="160"/>
      <c r="BJ50" s="160" t="s">
        <v>329</v>
      </c>
      <c r="BK50" s="160"/>
      <c r="BL50" s="160"/>
      <c r="BM50" s="160"/>
      <c r="BW50" s="17">
        <v>46</v>
      </c>
      <c r="BX50" s="17">
        <f>'[1]资源-钻石'!L49/$B$2*$B$12*10</f>
        <v>452.65172995090859</v>
      </c>
      <c r="BY50" s="17">
        <f>'[1]资源-钻石'!M49/$B$2*$B$12*10</f>
        <v>553.01886576834011</v>
      </c>
      <c r="BZ50" s="17">
        <f>'[1]资源-钻石'!N49/$B$2*$B$12*10</f>
        <v>763.89618559235942</v>
      </c>
      <c r="CA50" s="17">
        <f>'[1]资源-钻石'!O49/$B$2*$B$12*10</f>
        <v>1510.5033939494097</v>
      </c>
      <c r="CB50" s="17">
        <f>'[1]资源-钻石'!P49/$B$2*$B$12*10</f>
        <v>2156.1079120441495</v>
      </c>
      <c r="CD50" s="17">
        <v>46</v>
      </c>
      <c r="CE50" s="17">
        <f>'[1]资源-钻石'!L49/$B$2*$C$12*10</f>
        <v>183.35259947378574</v>
      </c>
      <c r="CF50" s="17">
        <f>'[1]资源-钻石'!M49/$B$2*$C$12*10</f>
        <v>224.00764183021374</v>
      </c>
      <c r="CG50" s="17">
        <f>'[1]资源-钻石'!N49/$B$2*$C$12*10</f>
        <v>309.42630302475317</v>
      </c>
      <c r="CH50" s="17">
        <f>'[1]资源-钻石'!O49/$B$2*$C$12*10</f>
        <v>611.84947603014064</v>
      </c>
      <c r="CI50" s="17">
        <f>'[1]资源-钻石'!P49/$B$2*$C$12*10</f>
        <v>873.36016690395923</v>
      </c>
      <c r="CO50" s="17">
        <v>50</v>
      </c>
      <c r="CP50" s="17">
        <f>INDEX(节奏总纲!$Q$4:$Q$163,CO50,1)</f>
        <v>27.0351</v>
      </c>
      <c r="CQ50" s="17">
        <f t="shared" si="67"/>
        <v>0.41347082897474779</v>
      </c>
      <c r="CR50" s="17">
        <f t="shared" si="67"/>
        <v>0.41347082897474779</v>
      </c>
      <c r="CS50" s="17">
        <f t="shared" si="67"/>
        <v>0.41347082897474779</v>
      </c>
      <c r="CT50" s="17">
        <f t="shared" si="67"/>
        <v>0.41347082897474779</v>
      </c>
      <c r="CU50" s="17">
        <f t="shared" si="67"/>
        <v>0.41347082897474779</v>
      </c>
      <c r="CW50" s="17">
        <v>47</v>
      </c>
      <c r="CX50" s="17">
        <f t="shared" si="62"/>
        <v>0.42587128506999755</v>
      </c>
      <c r="CY50" s="17">
        <f t="shared" si="63"/>
        <v>0.42587128506999755</v>
      </c>
      <c r="CZ50" s="17">
        <f t="shared" si="64"/>
        <v>0.42587128506999755</v>
      </c>
      <c r="DA50" s="17">
        <f t="shared" si="65"/>
        <v>0.42587128506999755</v>
      </c>
      <c r="DB50" s="17">
        <f t="shared" si="66"/>
        <v>0.42587128506999755</v>
      </c>
    </row>
    <row r="51" spans="1:106" x14ac:dyDescent="0.15">
      <c r="H51" s="17">
        <v>3</v>
      </c>
      <c r="I51" s="29" t="s">
        <v>170</v>
      </c>
      <c r="J51" s="29" t="s">
        <v>484</v>
      </c>
      <c r="K51" s="29" t="s">
        <v>3</v>
      </c>
      <c r="L51" s="29" t="s">
        <v>1</v>
      </c>
      <c r="M51" s="29" t="s">
        <v>2</v>
      </c>
      <c r="N51" s="29" t="s">
        <v>0</v>
      </c>
      <c r="O51" s="29" t="s">
        <v>545</v>
      </c>
      <c r="P51" s="29" t="s">
        <v>3</v>
      </c>
      <c r="Q51" s="29" t="s">
        <v>1</v>
      </c>
      <c r="R51" s="29" t="s">
        <v>2</v>
      </c>
      <c r="S51" s="29" t="s">
        <v>0</v>
      </c>
      <c r="T51" s="29" t="s">
        <v>545</v>
      </c>
      <c r="U51" s="29" t="s">
        <v>3</v>
      </c>
      <c r="V51" s="29" t="s">
        <v>1</v>
      </c>
      <c r="W51" s="29" t="s">
        <v>2</v>
      </c>
      <c r="X51" s="29" t="s">
        <v>0</v>
      </c>
      <c r="Y51" s="29" t="s">
        <v>545</v>
      </c>
      <c r="Z51" s="29" t="s">
        <v>3</v>
      </c>
      <c r="AA51" s="29" t="s">
        <v>1</v>
      </c>
      <c r="AB51" s="29" t="s">
        <v>2</v>
      </c>
      <c r="AC51" s="29" t="s">
        <v>0</v>
      </c>
      <c r="AD51" s="29" t="s">
        <v>545</v>
      </c>
      <c r="AE51" s="29" t="s">
        <v>3</v>
      </c>
      <c r="AF51" s="29" t="s">
        <v>1</v>
      </c>
      <c r="AG51" s="29" t="s">
        <v>2</v>
      </c>
      <c r="AH51" s="29" t="s">
        <v>0</v>
      </c>
      <c r="AI51" s="29" t="s">
        <v>545</v>
      </c>
      <c r="AJ51" s="29" t="s">
        <v>353</v>
      </c>
      <c r="AK51" s="14" t="s">
        <v>324</v>
      </c>
      <c r="AL51" s="16"/>
      <c r="AM51" s="16"/>
      <c r="AP51" s="17">
        <v>3</v>
      </c>
      <c r="AS51" s="29" t="s">
        <v>170</v>
      </c>
      <c r="AT51" s="29" t="s">
        <v>374</v>
      </c>
      <c r="AU51" s="29" t="s">
        <v>314</v>
      </c>
      <c r="AV51" s="29" t="s">
        <v>317</v>
      </c>
      <c r="AW51" s="29" t="s">
        <v>1</v>
      </c>
      <c r="AX51" s="29" t="s">
        <v>28</v>
      </c>
      <c r="AY51" s="29" t="s">
        <v>29</v>
      </c>
      <c r="AZ51" s="29" t="s">
        <v>545</v>
      </c>
      <c r="BA51" s="171"/>
      <c r="BB51" s="29" t="s">
        <v>1</v>
      </c>
      <c r="BC51" s="29" t="s">
        <v>2</v>
      </c>
      <c r="BD51" s="29" t="s">
        <v>0</v>
      </c>
      <c r="BE51" s="29" t="s">
        <v>545</v>
      </c>
      <c r="BF51" s="29" t="s">
        <v>1</v>
      </c>
      <c r="BG51" s="29" t="s">
        <v>2</v>
      </c>
      <c r="BH51" s="29" t="s">
        <v>0</v>
      </c>
      <c r="BI51" s="29" t="s">
        <v>545</v>
      </c>
      <c r="BJ51" s="29" t="s">
        <v>1</v>
      </c>
      <c r="BK51" s="29" t="s">
        <v>2</v>
      </c>
      <c r="BL51" s="29" t="s">
        <v>0</v>
      </c>
      <c r="BM51" s="29" t="s">
        <v>545</v>
      </c>
      <c r="BN51" s="29" t="s">
        <v>490</v>
      </c>
      <c r="BR51" s="17" t="s">
        <v>503</v>
      </c>
      <c r="BS51" s="17" t="s">
        <v>502</v>
      </c>
      <c r="BW51" s="17">
        <v>47</v>
      </c>
      <c r="BX51" s="17">
        <f>'[1]资源-钻石'!L50/$B$2*$B$12*10</f>
        <v>480.997316127521</v>
      </c>
      <c r="BY51" s="17">
        <f>'[1]资源-钻石'!M50/$B$2*$B$12*10</f>
        <v>586.94091833466371</v>
      </c>
      <c r="BZ51" s="17">
        <f>'[1]资源-钻石'!N50/$B$2*$B$12*10</f>
        <v>809.27323134523579</v>
      </c>
      <c r="CA51" s="17">
        <f>'[1]资源-钻石'!O50/$B$2*$B$12*10</f>
        <v>1605.4588592590412</v>
      </c>
      <c r="CB51" s="17">
        <f>'[1]资源-钻石'!P50/$B$2*$B$12*10</f>
        <v>2278.9989073238735</v>
      </c>
      <c r="CD51" s="17">
        <v>47</v>
      </c>
      <c r="CE51" s="17">
        <f>'[1]资源-钻石'!L50/$B$2*$C$12*10</f>
        <v>194.83435589975534</v>
      </c>
      <c r="CF51" s="17">
        <f>'[1]资源-钻石'!M50/$B$2*$C$12*10</f>
        <v>237.74822008492708</v>
      </c>
      <c r="CG51" s="17">
        <f>'[1]资源-钻石'!N50/$B$2*$C$12*10</f>
        <v>327.80687851958919</v>
      </c>
      <c r="CH51" s="17">
        <f>'[1]资源-钻石'!O50/$B$2*$C$12*10</f>
        <v>650.31244932011805</v>
      </c>
      <c r="CI51" s="17">
        <f>'[1]资源-钻石'!P50/$B$2*$C$12*10</f>
        <v>923.13879790334113</v>
      </c>
      <c r="CO51" s="17">
        <v>55</v>
      </c>
      <c r="CP51" s="17">
        <f>INDEX(节奏总纲!$Q$4:$Q$163,CO51,1)</f>
        <v>38.53268396026413</v>
      </c>
      <c r="CQ51" s="17">
        <f t="shared" ref="CQ51:CU60" si="69">CQ15*($B$2-500)/$B$2</f>
        <v>0.39345644392002826</v>
      </c>
      <c r="CR51" s="17">
        <f t="shared" si="69"/>
        <v>0.39345644392002826</v>
      </c>
      <c r="CS51" s="17">
        <f t="shared" si="69"/>
        <v>0.39345644392002826</v>
      </c>
      <c r="CT51" s="17">
        <f t="shared" si="69"/>
        <v>0.39345644392002826</v>
      </c>
      <c r="CU51" s="17">
        <f t="shared" si="69"/>
        <v>0.39345644392002826</v>
      </c>
      <c r="CW51" s="17">
        <v>48</v>
      </c>
      <c r="CX51" s="17">
        <f t="shared" si="62"/>
        <v>0.42173779970491432</v>
      </c>
      <c r="CY51" s="17">
        <f t="shared" si="63"/>
        <v>0.42173779970491432</v>
      </c>
      <c r="CZ51" s="17">
        <f t="shared" si="64"/>
        <v>0.42173779970491432</v>
      </c>
      <c r="DA51" s="17">
        <f t="shared" si="65"/>
        <v>0.42173779970491432</v>
      </c>
      <c r="DB51" s="17">
        <f t="shared" si="66"/>
        <v>0.42173779970491432</v>
      </c>
    </row>
    <row r="52" spans="1:106" x14ac:dyDescent="0.15">
      <c r="H52" s="16">
        <v>4</v>
      </c>
      <c r="I52" s="29">
        <f>IF(基础状态预期!C62="","",基础状态预期!C62)</f>
        <v>0.85</v>
      </c>
      <c r="J52" s="29">
        <f>IF(基础状态预期!D62="","",基础状态预期!D62)</f>
        <v>9.9592453074578113</v>
      </c>
      <c r="K52" s="29" t="str">
        <f>IF(基础状态预期!F62="","",基础状态预期!F62)</f>
        <v/>
      </c>
      <c r="L52" s="29" t="str">
        <f>IF(基础状态预期!G62="","",基础状态预期!G62)</f>
        <v/>
      </c>
      <c r="M52" s="29">
        <f>IF(基础状态预期!H62="","",基础状态预期!H62)</f>
        <v>2</v>
      </c>
      <c r="N52" s="29">
        <f>IF(基础状态预期!I62="","",基础状态预期!I62)</f>
        <v>4</v>
      </c>
      <c r="O52" s="29" t="str">
        <f>IF(基础状态预期!J62="","",基础状态预期!J62)</f>
        <v/>
      </c>
      <c r="P52" s="29">
        <f>武将进阶!O49</f>
        <v>0</v>
      </c>
      <c r="Q52" s="29">
        <f>武将进阶!P49</f>
        <v>2.3902188737898751</v>
      </c>
      <c r="R52" s="29">
        <f>武将进阶!Q49</f>
        <v>4.7804377475797502</v>
      </c>
      <c r="S52" s="29">
        <f>武将进阶!R49</f>
        <v>0</v>
      </c>
      <c r="T52" s="29">
        <f>武将进阶!S49</f>
        <v>0</v>
      </c>
      <c r="U52" s="29">
        <f>武将觉醒!T50</f>
        <v>0</v>
      </c>
      <c r="V52" s="29">
        <f>武将觉醒!U50</f>
        <v>0</v>
      </c>
      <c r="W52" s="29">
        <f>武将觉醒!V50</f>
        <v>0</v>
      </c>
      <c r="X52" s="29">
        <f>武将觉醒!W50</f>
        <v>0</v>
      </c>
      <c r="Y52" s="29">
        <f>武将觉醒!X50</f>
        <v>0</v>
      </c>
      <c r="Z52" s="29"/>
      <c r="AA52" s="29">
        <f>IF(L52="",0,同名需求(L52,武将升星!P49,B$6)+武将升星!U49)</f>
        <v>0</v>
      </c>
      <c r="AB52" s="29">
        <f>IF(M52="",0,同名需求(M52,武将升星!Q49,C$6)+武将升星!V49)</f>
        <v>7.4012046632665323</v>
      </c>
      <c r="AC52" s="59">
        <f>IF(N52="",0,同名需求(N52,武将升星!R49,D$6*0.6)+武将升星!W49)</f>
        <v>4</v>
      </c>
      <c r="AD52" s="29">
        <f>IF(O52="",0,同名需求(O52,武将升星!S49,E$6)+武将升星!X49)</f>
        <v>0</v>
      </c>
      <c r="AE52" s="29">
        <f>MAX(U52+P52+IF(K52="",0,K52)*武将升星!O49,Z52)</f>
        <v>0</v>
      </c>
      <c r="AF52" s="29">
        <f>MAX(V52+Q52+IF(L52="",0,L52)*武将升星!P49,AA52)</f>
        <v>2.3902188737898751</v>
      </c>
      <c r="AG52" s="29">
        <f>MAX(W52+R52+IF(M52="",0,M52)*武将升星!Q49,AB52)</f>
        <v>7.8606786802330566</v>
      </c>
      <c r="AH52" s="29">
        <f>MAX(X52+S52+IF(N52="",0,N52)*武将升星!R49,AC52)</f>
        <v>4</v>
      </c>
      <c r="AI52" s="45">
        <f t="shared" ref="AI52:AI67" si="70">IFERROR(AD52+Y52,0)</f>
        <v>0</v>
      </c>
      <c r="AJ52" s="29">
        <f t="shared" ref="AJ52:AJ90" si="71">(MAX(AF52/$B$12*$B$2/10,AG52/$C$12*$B$2/10,(AH52-$AI52/($E$16*$E$17+$E$19)*$D$16)/$D$12*$B$2/10)+$AI52/($E$16*$E$17+$E$19)*$B$2/10)*($B$2-500)/$B$2</f>
        <v>9600.0000000000018</v>
      </c>
      <c r="AK52" s="14" t="e">
        <f>AJ52/求节点('[1]资源-钻石'!$K$4:$K$113,'[1]资源-钻石'!$M$4:$M$113,J52)</f>
        <v>#VALUE!</v>
      </c>
      <c r="AL52" s="16">
        <f t="shared" ref="AL52:AL67" si="72">X52/AC52</f>
        <v>0</v>
      </c>
      <c r="AM52" s="16"/>
      <c r="AN52" s="16"/>
      <c r="AO52" s="16"/>
      <c r="AP52" s="17">
        <v>4</v>
      </c>
      <c r="AR52" s="16">
        <f>$BA52/$B$2*10/AS52*AV52</f>
        <v>0</v>
      </c>
      <c r="AS52" s="29">
        <f>IF(基础状态预期!C62="","",基础状态预期!C62)</f>
        <v>0.85</v>
      </c>
      <c r="AT52" s="29">
        <f>求节点(节奏总纲!$Q$4:$Q$163,其他调用!$D$4:$D$163,$AS52)*求节点($CP$5:$CP$36,$CR$5:$CR$36,AS7)</f>
        <v>12713.584196939879</v>
      </c>
      <c r="AU52" s="37">
        <f t="shared" ref="AU52:AU58" si="73">1-AV52</f>
        <v>1</v>
      </c>
      <c r="AV52" s="37">
        <f t="shared" ref="AV52:AV67" si="74">AV7</f>
        <v>0</v>
      </c>
      <c r="AW52" s="38">
        <f t="shared" ref="AW52:AW90" si="75">(B$16*B$17+B$19)*$AV52+B$12*B$13*$AU52</f>
        <v>0.65833333333333333</v>
      </c>
      <c r="AX52" s="38">
        <f t="shared" ref="AX52:AX90" si="76">(C$16*C$17+C$19)*$AV52+C$12*C$13*$AU52</f>
        <v>0.26666666666666666</v>
      </c>
      <c r="AY52" s="38">
        <f t="shared" ref="AY52:AY90" si="77">(D$16*D$17+D$19)*$AV52+D$12*D$13*$AU52</f>
        <v>7.4999999999999997E-2</v>
      </c>
      <c r="AZ52" s="38">
        <f t="shared" ref="AZ52:AZ90" si="78">(E$16*E$17+E$19)*$AV52+E$12*E$13*$AU52</f>
        <v>0</v>
      </c>
      <c r="BA52" s="121">
        <f>AT52</f>
        <v>12713.584196939879</v>
      </c>
      <c r="BB52" s="29">
        <f>$BA52/240*AW52</f>
        <v>34.874067762439253</v>
      </c>
      <c r="BC52" s="29">
        <f t="shared" ref="BC52:BC90" si="79">$BA52/240*AX52</f>
        <v>14.126204663266531</v>
      </c>
      <c r="BD52" s="29">
        <f t="shared" ref="BD52:BD90" si="80">$BA52/240*AY52</f>
        <v>3.972995061543712</v>
      </c>
      <c r="BE52" s="29">
        <f t="shared" ref="BE52:BE90" si="81">$BA52/240*AZ52</f>
        <v>0</v>
      </c>
      <c r="BF52" s="29">
        <f>BF$3*$AS52</f>
        <v>7.0550000000000006</v>
      </c>
      <c r="BG52" s="29">
        <f t="shared" ref="BG52:BI68" si="82">BG$3*$AS52</f>
        <v>1.2749999999999999</v>
      </c>
      <c r="BH52" s="29">
        <f t="shared" si="82"/>
        <v>0.17</v>
      </c>
      <c r="BI52" s="29">
        <f>BI$3*$AS52</f>
        <v>0</v>
      </c>
      <c r="BJ52" s="29">
        <f>SUM(BB$52:BB52)+BF52</f>
        <v>41.929067762439253</v>
      </c>
      <c r="BK52" s="29">
        <f>SUM(BC$52:BC52)+BG52</f>
        <v>15.401204663266531</v>
      </c>
      <c r="BL52" s="29">
        <f>SUM(BD$52:BD52)+BH52</f>
        <v>4.1429950615437123</v>
      </c>
      <c r="BM52" s="29">
        <f>SUM(BE$52:BE52)+BI52</f>
        <v>0</v>
      </c>
      <c r="BN52" s="29">
        <f>SUM(BT$52:BT52)</f>
        <v>1.3819113257543347</v>
      </c>
      <c r="BO52" s="17">
        <f t="shared" ref="BO52:BO67" si="83">BK52/AG52</f>
        <v>1.9592716214180517</v>
      </c>
      <c r="BP52" s="17">
        <f t="shared" ref="BP52:BP67" si="84">BL52/AH52</f>
        <v>1.0357487653859281</v>
      </c>
      <c r="BQ52" s="17" t="e">
        <f t="shared" ref="BQ52:BQ67" si="85">BM52/AI52</f>
        <v>#DIV/0!</v>
      </c>
      <c r="BR52" s="17">
        <f>BA52/$B$2*10*AU52/AS52</f>
        <v>65.031121211968696</v>
      </c>
      <c r="BS52" s="17">
        <f t="shared" ref="BS52:BS90" si="86">1/($B$49*$C$49)/$D$12+1/(1*$C$49)/$D$12</f>
        <v>80</v>
      </c>
      <c r="BT52" s="17">
        <f>MIN(BR52/BS52,1)*$B$49*AS52</f>
        <v>1.3819113257543347</v>
      </c>
      <c r="BV52" s="17">
        <f t="shared" ref="BV52:BV90" si="87">BL52-S52</f>
        <v>4.1429950615437123</v>
      </c>
      <c r="BW52" s="17">
        <v>48</v>
      </c>
      <c r="BX52" s="17">
        <f>'[1]资源-钻石'!L51/$B$2*$B$12*10</f>
        <v>511.37736317164956</v>
      </c>
      <c r="BY52" s="17">
        <f>'[1]资源-钻石'!M51/$B$2*$B$12*10</f>
        <v>622.86311156826832</v>
      </c>
      <c r="BZ52" s="17">
        <f>'[1]资源-钻石'!N51/$B$2*$B$12*10</f>
        <v>858.0612421823771</v>
      </c>
      <c r="CA52" s="17">
        <f>'[1]资源-钻石'!O51/$B$2*$B$12*10</f>
        <v>1700.081169706431</v>
      </c>
      <c r="CB52" s="17">
        <f>'[1]资源-钻石'!P51/$B$2*$B$12*10</f>
        <v>2408.1001781214281</v>
      </c>
      <c r="CD52" s="17">
        <v>48</v>
      </c>
      <c r="CE52" s="17">
        <f>'[1]资源-钻石'!L51/$B$2*$C$12*10</f>
        <v>207.14019774041503</v>
      </c>
      <c r="CF52" s="17">
        <f>'[1]资源-钻石'!M51/$B$2*$C$12*10</f>
        <v>252.29898190107068</v>
      </c>
      <c r="CG52" s="17">
        <f>'[1]资源-钻石'!N51/$B$2*$C$12*10</f>
        <v>347.56911075741863</v>
      </c>
      <c r="CH52" s="17">
        <f>'[1]资源-钻石'!O51/$B$2*$C$12*10</f>
        <v>688.64047380513671</v>
      </c>
      <c r="CI52" s="17">
        <f>'[1]资源-钻石'!P51/$B$2*$C$12*10</f>
        <v>975.43298354285707</v>
      </c>
      <c r="CO52" s="17">
        <v>60</v>
      </c>
      <c r="CP52" s="17">
        <f>INDEX(节奏总纲!$Q$4:$Q$163,CO52,1)</f>
        <v>54.589500000000001</v>
      </c>
      <c r="CQ52" s="17">
        <f t="shared" si="69"/>
        <v>0.37407724593590741</v>
      </c>
      <c r="CR52" s="17">
        <f t="shared" si="69"/>
        <v>0.37407724593590741</v>
      </c>
      <c r="CS52" s="17">
        <f t="shared" si="69"/>
        <v>0.37407724593590741</v>
      </c>
      <c r="CT52" s="17">
        <f t="shared" si="69"/>
        <v>0.37407724593590741</v>
      </c>
      <c r="CU52" s="17">
        <f t="shared" si="69"/>
        <v>0.37407724593590741</v>
      </c>
      <c r="CW52" s="17">
        <v>49</v>
      </c>
      <c r="CX52" s="17">
        <f t="shared" si="62"/>
        <v>0.41760431433983103</v>
      </c>
      <c r="CY52" s="17">
        <f t="shared" si="63"/>
        <v>0.41760431433983103</v>
      </c>
      <c r="CZ52" s="17">
        <f t="shared" si="64"/>
        <v>0.41760431433983103</v>
      </c>
      <c r="DA52" s="17">
        <f t="shared" si="65"/>
        <v>0.41760431433983103</v>
      </c>
      <c r="DB52" s="17">
        <f t="shared" si="66"/>
        <v>0.41760431433983103</v>
      </c>
    </row>
    <row r="53" spans="1:106" x14ac:dyDescent="0.15">
      <c r="E53" s="92"/>
      <c r="H53" s="17">
        <v>5</v>
      </c>
      <c r="I53" s="29">
        <f>IF(基础状态预期!C63="","",基础状态预期!C63)</f>
        <v>2.5499999999999998</v>
      </c>
      <c r="J53" s="29">
        <f>IF(基础状态预期!D63="","",基础状态预期!D63)</f>
        <v>19.766822802328868</v>
      </c>
      <c r="K53" s="29" t="str">
        <f>IF(基础状态预期!F63="","",基础状态预期!F63)</f>
        <v/>
      </c>
      <c r="L53" s="29" t="str">
        <f>IF(基础状态预期!G63="","",基础状态预期!G63)</f>
        <v/>
      </c>
      <c r="M53" s="29" t="str">
        <f>IF(基础状态预期!H63="","",基础状态预期!H63)</f>
        <v/>
      </c>
      <c r="N53" s="29">
        <f>IF(基础状态预期!I63="","",基础状态预期!I63)</f>
        <v>6</v>
      </c>
      <c r="O53" s="29" t="str">
        <f>IF(基础状态预期!J63="","",基础状态预期!J63)</f>
        <v/>
      </c>
      <c r="P53" s="29">
        <f>武将进阶!O50</f>
        <v>0</v>
      </c>
      <c r="Q53" s="29">
        <f>武将进阶!P50</f>
        <v>0</v>
      </c>
      <c r="R53" s="29">
        <f>武将进阶!Q50</f>
        <v>14.232112417676785</v>
      </c>
      <c r="S53" s="29">
        <f>武将进阶!R50</f>
        <v>0</v>
      </c>
      <c r="T53" s="29">
        <f>武将进阶!S50</f>
        <v>0</v>
      </c>
      <c r="U53" s="29">
        <f>武将觉醒!T51</f>
        <v>0</v>
      </c>
      <c r="V53" s="29">
        <f>武将觉醒!U51</f>
        <v>0</v>
      </c>
      <c r="W53" s="29">
        <f>武将觉醒!V51</f>
        <v>0</v>
      </c>
      <c r="X53" s="29">
        <f>武将觉醒!W51</f>
        <v>0</v>
      </c>
      <c r="Y53" s="29">
        <f>武将觉醒!X51</f>
        <v>0</v>
      </c>
      <c r="Z53" s="29"/>
      <c r="AA53" s="29">
        <f>IF(L53="",0,同名需求(L53,武将升星!P50,B$6)+武将升星!U50)</f>
        <v>0</v>
      </c>
      <c r="AB53" s="29">
        <f>IF(M53="",0,同名需求(M53,武将升星!Q50,C$6)+武将升星!V50)</f>
        <v>0</v>
      </c>
      <c r="AC53" s="59">
        <f>IF(N53="",0,同名需求(N53,武将升星!R50,D$6*0.6)+武将升星!W50)</f>
        <v>6</v>
      </c>
      <c r="AD53" s="29">
        <f>IF(O53="",0,同名需求(O53,武将升星!S50,E$6)+武将升星!X50)</f>
        <v>0</v>
      </c>
      <c r="AE53" s="29">
        <f>MAX(U53+P53+IF(K53="",0,K53)*武将升星!O50,Z53)</f>
        <v>0</v>
      </c>
      <c r="AF53" s="29">
        <f>MAX(V53+Q53+IF(L53="",0,L53)*武将升星!P50,AA53)</f>
        <v>0</v>
      </c>
      <c r="AG53" s="29">
        <f>MAX(W53+R53+IF(M53="",0,M53)*武将升星!Q50,AB53)</f>
        <v>14.232112417676785</v>
      </c>
      <c r="AH53" s="29">
        <f>MAX(X53+S53+IF(N53="",0,N53)*武将升星!R50,AC53)</f>
        <v>6</v>
      </c>
      <c r="AI53" s="45">
        <f t="shared" si="70"/>
        <v>0</v>
      </c>
      <c r="AJ53" s="29">
        <f t="shared" si="71"/>
        <v>14400</v>
      </c>
      <c r="AK53" s="14" t="e">
        <f>AJ53/求节点('[1]资源-钻石'!$K$4:$K$113,'[1]资源-钻石'!$M$4:$M$113,J53)</f>
        <v>#VALUE!</v>
      </c>
      <c r="AL53" s="16">
        <f t="shared" si="72"/>
        <v>0</v>
      </c>
      <c r="AM53" s="16"/>
      <c r="AN53" s="16"/>
      <c r="AO53" s="16"/>
      <c r="AP53" s="17">
        <v>5</v>
      </c>
      <c r="AR53" s="16">
        <f t="shared" ref="AR53:AR90" si="88">$BA53/$B$2*10/(AS53-AS52)*AV53</f>
        <v>0</v>
      </c>
      <c r="AS53" s="29">
        <f>IF(基础状态预期!C63="","",基础状态预期!C63)</f>
        <v>2.5499999999999998</v>
      </c>
      <c r="AT53" s="29">
        <f>求节点(节奏总纲!$Q$4:$Q$163,其他调用!$D$4:$D$163,$AS53)*求节点($CP$5:$CP$36,$CR$5:$CR$36,AS8)</f>
        <v>25954.589389922679</v>
      </c>
      <c r="AU53" s="37">
        <f t="shared" si="73"/>
        <v>1</v>
      </c>
      <c r="AV53" s="37">
        <f t="shared" si="74"/>
        <v>0</v>
      </c>
      <c r="AW53" s="38">
        <f t="shared" si="75"/>
        <v>0.65833333333333333</v>
      </c>
      <c r="AX53" s="38">
        <f t="shared" si="76"/>
        <v>0.26666666666666666</v>
      </c>
      <c r="AY53" s="38">
        <f t="shared" si="77"/>
        <v>7.4999999999999997E-2</v>
      </c>
      <c r="AZ53" s="38">
        <f t="shared" si="78"/>
        <v>0</v>
      </c>
      <c r="BA53" s="29">
        <f>AT53-AT52</f>
        <v>13241.005192982801</v>
      </c>
      <c r="BB53" s="29">
        <f t="shared" ref="BB53:BB90" si="89">$BA53/240*AW53</f>
        <v>36.320812855751427</v>
      </c>
      <c r="BC53" s="29">
        <f t="shared" si="79"/>
        <v>14.712227992203111</v>
      </c>
      <c r="BD53" s="29">
        <f t="shared" si="80"/>
        <v>4.137814122807125</v>
      </c>
      <c r="BE53" s="29">
        <f t="shared" si="81"/>
        <v>0</v>
      </c>
      <c r="BF53" s="29">
        <f t="shared" ref="BF53:BI90" si="90">BF$3*$AS53</f>
        <v>21.164999999999999</v>
      </c>
      <c r="BG53" s="29">
        <f t="shared" si="82"/>
        <v>3.8249999999999997</v>
      </c>
      <c r="BH53" s="29">
        <f t="shared" si="82"/>
        <v>0.51</v>
      </c>
      <c r="BI53" s="29">
        <f t="shared" si="82"/>
        <v>0</v>
      </c>
      <c r="BJ53" s="29">
        <f>SUM(BB$52:BB53)+BF53</f>
        <v>92.359880618190687</v>
      </c>
      <c r="BK53" s="29">
        <f>SUM(BC$52:BC53)+BG53</f>
        <v>32.663432655469641</v>
      </c>
      <c r="BL53" s="29">
        <f>SUM(BD$52:BD53)+BH53</f>
        <v>8.6208091843508363</v>
      </c>
      <c r="BM53" s="29">
        <f>SUM(BE$52:BE53)+BI53</f>
        <v>0</v>
      </c>
      <c r="BN53" s="29">
        <f>SUM(BT$52:BT53)</f>
        <v>2.8211510206437698</v>
      </c>
      <c r="BO53" s="17">
        <f t="shared" si="83"/>
        <v>2.2950516196668396</v>
      </c>
      <c r="BP53" s="17">
        <f t="shared" si="84"/>
        <v>1.4368015307251394</v>
      </c>
      <c r="BQ53" s="17" t="e">
        <f t="shared" si="85"/>
        <v>#DIV/0!</v>
      </c>
      <c r="BR53" s="17">
        <f t="shared" ref="BR53:BR90" si="91">BA53/$B$2*10*AU53/(AS53-AS52)</f>
        <v>33.864463409163179</v>
      </c>
      <c r="BS53" s="17">
        <f t="shared" si="86"/>
        <v>80</v>
      </c>
      <c r="BT53" s="17">
        <f t="shared" ref="BT53:BT90" si="92">MIN(BR53/BS53,1)*$B$49*(AS53-AS52)</f>
        <v>1.4392396948894348</v>
      </c>
      <c r="BV53" s="17">
        <f t="shared" si="87"/>
        <v>8.6208091843508363</v>
      </c>
      <c r="BW53" s="17">
        <v>49</v>
      </c>
      <c r="BX53" s="17">
        <f>'[1]资源-钻石'!L52/$B$2*$B$12*10</f>
        <v>543.93789138415093</v>
      </c>
      <c r="BY53" s="17">
        <f>'[1]资源-钻石'!M52/$B$2*$B$12*10</f>
        <v>661.89944145635661</v>
      </c>
      <c r="BZ53" s="17">
        <f>'[1]资源-钻石'!N52/$B$2*$B$12*10</f>
        <v>908.94720399338655</v>
      </c>
      <c r="CA53" s="17">
        <f>'[1]资源-钻石'!O52/$B$2*$B$12*10</f>
        <v>1793.9632559870984</v>
      </c>
      <c r="CB53" s="17">
        <f>'[1]资源-钻石'!P52/$B$2*$B$12*10</f>
        <v>2554.3759119580895</v>
      </c>
      <c r="CD53" s="17">
        <v>49</v>
      </c>
      <c r="CE53" s="17">
        <f>'[1]资源-钻石'!L52/$B$2*$C$12*10</f>
        <v>220.32927245940294</v>
      </c>
      <c r="CF53" s="17">
        <f>'[1]资源-钻石'!M52/$B$2*$C$12*10</f>
        <v>268.11116615953688</v>
      </c>
      <c r="CG53" s="17">
        <f>'[1]资源-钻石'!N52/$B$2*$C$12*10</f>
        <v>368.18114592137169</v>
      </c>
      <c r="CH53" s="17">
        <f>'[1]资源-钻石'!O52/$B$2*$C$12*10</f>
        <v>726.66866065300178</v>
      </c>
      <c r="CI53" s="17">
        <f>'[1]资源-钻石'!P52/$B$2*$C$12*10</f>
        <v>1034.6839137045426</v>
      </c>
      <c r="CO53" s="17">
        <v>65</v>
      </c>
      <c r="CP53" s="17">
        <f>INDEX(节奏总纲!$Q$4:$Q$163,CO53,1)</f>
        <v>77.64963698295422</v>
      </c>
      <c r="CQ53" s="17">
        <f t="shared" si="69"/>
        <v>0.35531583329358341</v>
      </c>
      <c r="CR53" s="17">
        <f t="shared" si="69"/>
        <v>0.35531583329358341</v>
      </c>
      <c r="CS53" s="17">
        <f t="shared" si="69"/>
        <v>0.35531583329358341</v>
      </c>
      <c r="CT53" s="17">
        <f t="shared" si="69"/>
        <v>0.35531583329358341</v>
      </c>
      <c r="CU53" s="17">
        <f t="shared" si="69"/>
        <v>0.35531583329358341</v>
      </c>
      <c r="CW53" s="17">
        <v>50</v>
      </c>
      <c r="CX53" s="17">
        <f t="shared" si="62"/>
        <v>0.41347082897474779</v>
      </c>
      <c r="CY53" s="17">
        <f t="shared" si="63"/>
        <v>0.41347082897474779</v>
      </c>
      <c r="CZ53" s="17">
        <f t="shared" si="64"/>
        <v>0.41347082897474779</v>
      </c>
      <c r="DA53" s="17">
        <f t="shared" si="65"/>
        <v>0.41347082897474779</v>
      </c>
      <c r="DB53" s="17">
        <f t="shared" si="66"/>
        <v>0.41347082897474779</v>
      </c>
    </row>
    <row r="54" spans="1:106" x14ac:dyDescent="0.15">
      <c r="H54" s="16">
        <v>6</v>
      </c>
      <c r="I54" s="29">
        <f>IF(基础状态预期!C64="","",基础状态预期!C64)</f>
        <v>5.0999999999999996</v>
      </c>
      <c r="J54" s="29">
        <f>IF(基础状态预期!D64="","",基础状态预期!D64)</f>
        <v>27.773265580596355</v>
      </c>
      <c r="K54" s="29" t="str">
        <f>IF(基础状态预期!F64="","",基础状态预期!F64)</f>
        <v/>
      </c>
      <c r="L54" s="29" t="str">
        <f>IF(基础状态预期!G64="","",基础状态预期!G64)</f>
        <v/>
      </c>
      <c r="M54" s="29" t="str">
        <f>IF(基础状态预期!H64="","",基础状态预期!H64)</f>
        <v/>
      </c>
      <c r="N54" s="29">
        <f>IF(基础状态预期!I64="","",基础状态预期!I64)</f>
        <v>6</v>
      </c>
      <c r="O54" s="29" t="str">
        <f>IF(基础状态预期!J64="","",基础状态预期!J64)</f>
        <v/>
      </c>
      <c r="P54" s="29">
        <f>武将进阶!O51</f>
        <v>0</v>
      </c>
      <c r="Q54" s="29">
        <f>武将进阶!P51</f>
        <v>0</v>
      </c>
      <c r="R54" s="29">
        <f>武将进阶!Q51</f>
        <v>21.993502436058755</v>
      </c>
      <c r="S54" s="29">
        <f>武将进阶!R51</f>
        <v>0</v>
      </c>
      <c r="T54" s="29">
        <f>武将进阶!S51</f>
        <v>0</v>
      </c>
      <c r="U54" s="29">
        <f>武将觉醒!T52</f>
        <v>0</v>
      </c>
      <c r="V54" s="29">
        <f>武将觉醒!U52</f>
        <v>0</v>
      </c>
      <c r="W54" s="29">
        <f>武将觉醒!V52</f>
        <v>0</v>
      </c>
      <c r="X54" s="29">
        <f>武将觉醒!W52</f>
        <v>0</v>
      </c>
      <c r="Y54" s="29">
        <f>武将觉醒!X52</f>
        <v>0</v>
      </c>
      <c r="Z54" s="29"/>
      <c r="AA54" s="29">
        <f>IF(L54="",0,同名需求(L54,武将升星!P51,B$6)+武将升星!U51)</f>
        <v>0</v>
      </c>
      <c r="AB54" s="29">
        <f>IF(M54="",0,同名需求(M54,武将升星!Q51,C$6)+武将升星!V51)</f>
        <v>0</v>
      </c>
      <c r="AC54" s="59">
        <f>IF(N54="",0,同名需求(N54,武将升星!R51,D$6*0.6)+武将升星!W51)</f>
        <v>8.5399894269683223</v>
      </c>
      <c r="AD54" s="29">
        <f>IF(O54="",0,同名需求(O54,武将升星!S51,E$6)+武将升星!X51)</f>
        <v>0</v>
      </c>
      <c r="AE54" s="29">
        <f>MAX(U54+P54+IF(K54="",0,K54)*武将升星!O51,Z54)</f>
        <v>0</v>
      </c>
      <c r="AF54" s="29">
        <f>MAX(V54+Q54+IF(L54="",0,L54)*武将升星!P51,AA54)</f>
        <v>0</v>
      </c>
      <c r="AG54" s="29">
        <f>MAX(W54+R54+IF(M54="",0,M54)*武将升星!Q51,AB54)</f>
        <v>21.993502436058755</v>
      </c>
      <c r="AH54" s="29">
        <f>MAX(X54+S54+IF(N54="",0,N54)*武将升星!R51,AC54)</f>
        <v>8.5399894269683223</v>
      </c>
      <c r="AI54" s="45">
        <f t="shared" si="70"/>
        <v>0</v>
      </c>
      <c r="AJ54" s="29">
        <f t="shared" si="71"/>
        <v>20495.974624723975</v>
      </c>
      <c r="AK54" s="14" t="e">
        <f>AJ54/求节点('[1]资源-钻石'!$K$4:$K$113,'[1]资源-钻石'!$M$4:$M$113,J54)</f>
        <v>#VALUE!</v>
      </c>
      <c r="AL54" s="16">
        <f t="shared" si="72"/>
        <v>0</v>
      </c>
      <c r="AM54" s="16"/>
      <c r="AN54" s="16"/>
      <c r="AO54" s="16"/>
      <c r="AP54" s="17">
        <v>6</v>
      </c>
      <c r="AR54" s="16">
        <f t="shared" si="88"/>
        <v>0</v>
      </c>
      <c r="AS54" s="29">
        <f>IF(基础状态预期!C64="","",基础状态预期!C64)</f>
        <v>5.0999999999999996</v>
      </c>
      <c r="AT54" s="29">
        <f>求节点(节奏总纲!$Q$4:$Q$163,其他调用!$D$4:$D$163,$AS54)*求节点($CP$5:$CP$36,$CR$5:$CR$36,AS9)</f>
        <v>42962.069718098923</v>
      </c>
      <c r="AU54" s="37">
        <f t="shared" si="73"/>
        <v>1</v>
      </c>
      <c r="AV54" s="37">
        <f t="shared" si="74"/>
        <v>0</v>
      </c>
      <c r="AW54" s="38">
        <f t="shared" si="75"/>
        <v>0.65833333333333333</v>
      </c>
      <c r="AX54" s="38">
        <f t="shared" si="76"/>
        <v>0.26666666666666666</v>
      </c>
      <c r="AY54" s="38">
        <f t="shared" si="77"/>
        <v>7.4999999999999997E-2</v>
      </c>
      <c r="AZ54" s="38">
        <f t="shared" si="78"/>
        <v>0</v>
      </c>
      <c r="BA54" s="29">
        <f t="shared" ref="BA54:BA67" si="93">AT54-AT53</f>
        <v>17007.480328176243</v>
      </c>
      <c r="BB54" s="29">
        <f t="shared" si="89"/>
        <v>46.652463400205669</v>
      </c>
      <c r="BC54" s="29">
        <f t="shared" si="79"/>
        <v>18.89720036464027</v>
      </c>
      <c r="BD54" s="29">
        <f t="shared" si="80"/>
        <v>5.3148376025550759</v>
      </c>
      <c r="BE54" s="29">
        <f t="shared" si="81"/>
        <v>0</v>
      </c>
      <c r="BF54" s="29">
        <f t="shared" si="90"/>
        <v>42.33</v>
      </c>
      <c r="BG54" s="29">
        <f t="shared" si="82"/>
        <v>7.6499999999999995</v>
      </c>
      <c r="BH54" s="29">
        <f t="shared" si="82"/>
        <v>1.02</v>
      </c>
      <c r="BI54" s="29">
        <f t="shared" si="82"/>
        <v>0</v>
      </c>
      <c r="BJ54" s="29">
        <f>SUM(BB$52:BB54)+BF54</f>
        <v>160.17734401839635</v>
      </c>
      <c r="BK54" s="29">
        <f>SUM(BC$52:BC54)+BG54</f>
        <v>55.385633020109914</v>
      </c>
      <c r="BL54" s="29">
        <f>SUM(BD$52:BD54)+BH54</f>
        <v>14.445646786905911</v>
      </c>
      <c r="BM54" s="29">
        <f>SUM(BE$52:BE54)+BI54</f>
        <v>0</v>
      </c>
      <c r="BN54" s="29">
        <f>SUM(BT$52:BT54)</f>
        <v>4.669790186749883</v>
      </c>
      <c r="BO54" s="17">
        <f t="shared" si="83"/>
        <v>2.5182725298588253</v>
      </c>
      <c r="BP54" s="17">
        <f t="shared" si="84"/>
        <v>1.691529821019238</v>
      </c>
      <c r="BQ54" s="17" t="e">
        <f t="shared" si="85"/>
        <v>#DIV/0!</v>
      </c>
      <c r="BR54" s="17">
        <f t="shared" si="91"/>
        <v>28.998261429115505</v>
      </c>
      <c r="BS54" s="17">
        <f t="shared" si="86"/>
        <v>80</v>
      </c>
      <c r="BT54" s="17">
        <f t="shared" si="92"/>
        <v>1.8486391661061135</v>
      </c>
      <c r="BV54" s="17">
        <f t="shared" si="87"/>
        <v>14.445646786905911</v>
      </c>
      <c r="BW54" s="17">
        <v>50</v>
      </c>
      <c r="BX54" s="17">
        <f>'[1]资源-钻石'!L53/$B$2*$B$12*10</f>
        <v>579.51676247638045</v>
      </c>
      <c r="BY54" s="17">
        <f>'[1]资源-钻石'!M53/$B$2*$B$12*10</f>
        <v>703.80208476537655</v>
      </c>
      <c r="BZ54" s="17">
        <f>'[1]资源-钻石'!N53/$B$2*$B$12*10</f>
        <v>963.34758922397373</v>
      </c>
      <c r="CA54" s="17">
        <f>'[1]资源-钻石'!O53/$B$2*$B$12*10</f>
        <v>1899.0790653760801</v>
      </c>
      <c r="CB54" s="17">
        <f>'[1]资源-钻石'!P53/$B$2*$B$12*10</f>
        <v>2714.1306661522112</v>
      </c>
      <c r="CD54" s="17">
        <v>50</v>
      </c>
      <c r="CE54" s="17">
        <f>'[1]资源-钻石'!L53/$B$2*$C$12*10</f>
        <v>234.74096707904016</v>
      </c>
      <c r="CF54" s="17">
        <f>'[1]资源-钻石'!M53/$B$2*$C$12*10</f>
        <v>285.08438876572217</v>
      </c>
      <c r="CG54" s="17">
        <f>'[1]资源-钻石'!N53/$B$2*$C$12*10</f>
        <v>390.21674500211594</v>
      </c>
      <c r="CH54" s="17">
        <f>'[1]资源-钻石'!O53/$B$2*$C$12*10</f>
        <v>769.24721635486787</v>
      </c>
      <c r="CI54" s="17">
        <f>'[1]资源-钻石'!P53/$B$2*$C$12*10</f>
        <v>1099.394700213554</v>
      </c>
      <c r="CO54" s="17">
        <v>70</v>
      </c>
      <c r="CP54" s="17">
        <f>INDEX(节奏总纲!$Q$4:$Q$163,CO54,1)</f>
        <v>109.9693</v>
      </c>
      <c r="CQ54" s="17">
        <f t="shared" si="69"/>
        <v>0.33715524625857807</v>
      </c>
      <c r="CR54" s="17">
        <f t="shared" si="69"/>
        <v>0.33715524625857807</v>
      </c>
      <c r="CS54" s="17">
        <f t="shared" si="69"/>
        <v>0.33715524625857807</v>
      </c>
      <c r="CT54" s="17">
        <f t="shared" si="69"/>
        <v>0.33715524625857807</v>
      </c>
      <c r="CU54" s="17">
        <f t="shared" si="69"/>
        <v>0.33715524625857807</v>
      </c>
      <c r="CW54" s="17">
        <v>51</v>
      </c>
      <c r="CX54" s="17">
        <f t="shared" si="62"/>
        <v>0.40946795196380387</v>
      </c>
      <c r="CY54" s="17">
        <f t="shared" si="63"/>
        <v>0.40946795196380387</v>
      </c>
      <c r="CZ54" s="17">
        <f t="shared" si="64"/>
        <v>0.40946795196380387</v>
      </c>
      <c r="DA54" s="17">
        <f t="shared" si="65"/>
        <v>0.40946795196380387</v>
      </c>
      <c r="DB54" s="17">
        <f t="shared" si="66"/>
        <v>0.40946795196380387</v>
      </c>
    </row>
    <row r="55" spans="1:106" x14ac:dyDescent="0.15">
      <c r="D55" s="93"/>
      <c r="H55" s="17">
        <v>7</v>
      </c>
      <c r="I55" s="29">
        <f>IF(基础状态预期!C65="","",基础状态预期!C65)</f>
        <v>8.5</v>
      </c>
      <c r="J55" s="29">
        <f>IF(基础状态预期!D65="","",基础状态预期!D65)</f>
        <v>34.250806171891597</v>
      </c>
      <c r="K55" s="29" t="str">
        <f>IF(基础状态预期!F65="","",基础状态预期!F65)</f>
        <v/>
      </c>
      <c r="L55" s="29" t="str">
        <f>IF(基础状态预期!G65="","",基础状态预期!G65)</f>
        <v/>
      </c>
      <c r="M55" s="29" t="str">
        <f>IF(基础状态预期!H65="","",基础状态预期!H65)</f>
        <v/>
      </c>
      <c r="N55" s="29">
        <f>IF(基础状态预期!I65="","",基础状态预期!I65)</f>
        <v>6</v>
      </c>
      <c r="O55" s="29" t="str">
        <f>IF(基础状态预期!J65="","",基础状态预期!J65)</f>
        <v/>
      </c>
      <c r="P55" s="29">
        <f>武将进阶!O52</f>
        <v>0</v>
      </c>
      <c r="Q55" s="29">
        <f>武将进阶!P52</f>
        <v>0</v>
      </c>
      <c r="R55" s="29">
        <f>武将进阶!Q52</f>
        <v>31.321160887523895</v>
      </c>
      <c r="S55" s="29">
        <f>武将进阶!R52</f>
        <v>0</v>
      </c>
      <c r="T55" s="29">
        <f>武将进阶!S52</f>
        <v>0</v>
      </c>
      <c r="U55" s="29">
        <f>武将觉醒!T53</f>
        <v>0</v>
      </c>
      <c r="V55" s="29">
        <f>武将觉醒!U53</f>
        <v>0</v>
      </c>
      <c r="W55" s="29">
        <f>武将觉醒!V53</f>
        <v>0</v>
      </c>
      <c r="X55" s="29">
        <f>武将觉醒!W53</f>
        <v>3.0534801809385268</v>
      </c>
      <c r="Y55" s="29">
        <f>武将觉醒!X53</f>
        <v>0</v>
      </c>
      <c r="Z55" s="29"/>
      <c r="AA55" s="29">
        <f>IF(L55="",0,同名需求(L55,武将升星!P52,B$6)+武将升星!U52)</f>
        <v>0</v>
      </c>
      <c r="AB55" s="29">
        <f>IF(M55="",0,同名需求(M55,武将升星!Q52,C$6)+武将升星!V52)</f>
        <v>0</v>
      </c>
      <c r="AC55" s="59">
        <f>IF(N55="",0,同名需求(N55,武将升星!R52,D$6*0.6)+武将升星!W52)</f>
        <v>16.038024942189356</v>
      </c>
      <c r="AD55" s="29">
        <f>IF(O55="",0,同名需求(O55,武将升星!S52,E$6)+武将升星!X52)</f>
        <v>0</v>
      </c>
      <c r="AE55" s="29">
        <f>MAX(U55+P55+IF(K55="",0,K55)*武将升星!O52,Z55)</f>
        <v>0</v>
      </c>
      <c r="AF55" s="29">
        <f>MAX(V55+Q55+IF(L55="",0,L55)*武将升星!P52,AA55)</f>
        <v>0</v>
      </c>
      <c r="AG55" s="29">
        <f>MAX(W55+R55+IF(M55="",0,M55)*武将升星!Q52,AB55)</f>
        <v>31.321160887523895</v>
      </c>
      <c r="AH55" s="29">
        <f>MAX(X55+S55+IF(N55="",0,N55)*武将升星!R52,AC55)</f>
        <v>16.038024942189356</v>
      </c>
      <c r="AI55" s="45">
        <f t="shared" si="70"/>
        <v>0</v>
      </c>
      <c r="AJ55" s="29">
        <f t="shared" si="71"/>
        <v>38491.259861254461</v>
      </c>
      <c r="AK55" s="14" t="e">
        <f>AJ55/求节点('[1]资源-钻石'!$K$4:$K$113,'[1]资源-钻石'!$M$4:$M$113,J55)</f>
        <v>#VALUE!</v>
      </c>
      <c r="AL55" s="16">
        <f t="shared" si="72"/>
        <v>0.19039003817147671</v>
      </c>
      <c r="AM55" s="16"/>
      <c r="AN55" s="16"/>
      <c r="AO55" s="16"/>
      <c r="AP55" s="17">
        <v>7</v>
      </c>
      <c r="AR55" s="16">
        <f t="shared" si="88"/>
        <v>0</v>
      </c>
      <c r="AS55" s="29">
        <f>IF(基础状态预期!C65="","",基础状态预期!C65)</f>
        <v>8.5</v>
      </c>
      <c r="AT55" s="29">
        <f>求节点(节奏总纲!$Q$4:$Q$163,其他调用!$D$4:$D$163,$AS55)*求节点($CP$5:$CP$36,$CR$5:$CR$36,AS10)</f>
        <v>60956.090887763341</v>
      </c>
      <c r="AU55" s="37">
        <f t="shared" si="73"/>
        <v>1</v>
      </c>
      <c r="AV55" s="37">
        <f t="shared" si="74"/>
        <v>0</v>
      </c>
      <c r="AW55" s="38">
        <f t="shared" si="75"/>
        <v>0.65833333333333333</v>
      </c>
      <c r="AX55" s="38">
        <f t="shared" si="76"/>
        <v>0.26666666666666666</v>
      </c>
      <c r="AY55" s="38">
        <f t="shared" si="77"/>
        <v>7.4999999999999997E-2</v>
      </c>
      <c r="AZ55" s="38">
        <f t="shared" si="78"/>
        <v>0</v>
      </c>
      <c r="BA55" s="29">
        <f t="shared" si="93"/>
        <v>17994.021169664418</v>
      </c>
      <c r="BB55" s="29">
        <f t="shared" si="89"/>
        <v>49.35859973623225</v>
      </c>
      <c r="BC55" s="29">
        <f t="shared" si="79"/>
        <v>19.993356855182686</v>
      </c>
      <c r="BD55" s="29">
        <f t="shared" si="80"/>
        <v>5.6231316155201299</v>
      </c>
      <c r="BE55" s="29">
        <f t="shared" si="81"/>
        <v>0</v>
      </c>
      <c r="BF55" s="29">
        <f t="shared" si="90"/>
        <v>70.550000000000011</v>
      </c>
      <c r="BG55" s="29">
        <f t="shared" si="82"/>
        <v>12.75</v>
      </c>
      <c r="BH55" s="29">
        <f t="shared" si="82"/>
        <v>1.7000000000000002</v>
      </c>
      <c r="BI55" s="29">
        <f t="shared" si="82"/>
        <v>0</v>
      </c>
      <c r="BJ55" s="29">
        <f>SUM(BB$52:BB55)+BF55</f>
        <v>237.75594375462862</v>
      </c>
      <c r="BK55" s="29">
        <f>SUM(BC$52:BC55)+BG55</f>
        <v>80.478989875292598</v>
      </c>
      <c r="BL55" s="29">
        <f>SUM(BD$52:BD55)+BH55</f>
        <v>20.748778402426041</v>
      </c>
      <c r="BM55" s="29">
        <f>SUM(BE$52:BE55)+BI55</f>
        <v>0</v>
      </c>
      <c r="BN55" s="29">
        <f>SUM(BT$52:BT55)</f>
        <v>6.6256620530177539</v>
      </c>
      <c r="BO55" s="17">
        <f t="shared" si="83"/>
        <v>2.5694765964868709</v>
      </c>
      <c r="BP55" s="17">
        <f t="shared" si="84"/>
        <v>1.2937240387901292</v>
      </c>
      <c r="BQ55" s="17" t="e">
        <f t="shared" si="85"/>
        <v>#DIV/0!</v>
      </c>
      <c r="BR55" s="17">
        <f t="shared" si="91"/>
        <v>23.010257250210248</v>
      </c>
      <c r="BS55" s="17">
        <f t="shared" si="86"/>
        <v>80</v>
      </c>
      <c r="BT55" s="17">
        <f t="shared" si="92"/>
        <v>1.9558718662678711</v>
      </c>
      <c r="BV55" s="17">
        <f t="shared" si="87"/>
        <v>20.748778402426041</v>
      </c>
      <c r="BW55" s="17">
        <v>51</v>
      </c>
      <c r="BX55" s="17">
        <f>'[1]资源-钻石'!L54/$B$2*$B$12*10</f>
        <v>618.48390415863901</v>
      </c>
      <c r="BY55" s="17">
        <f>'[1]资源-钻石'!M54/$B$2*$B$12*10</f>
        <v>746.24856995903929</v>
      </c>
      <c r="BZ55" s="17">
        <f>'[1]资源-钻石'!N54/$B$2*$B$12*10</f>
        <v>1021.1393671815581</v>
      </c>
      <c r="CA55" s="17">
        <f>'[1]资源-钻石'!O54/$B$2*$B$12*10</f>
        <v>2011.9410550294183</v>
      </c>
      <c r="CB55" s="17">
        <f>'[1]资源-钻石'!P54/$B$2*$B$12*10</f>
        <v>2878.0003294592275</v>
      </c>
      <c r="CD55" s="17">
        <v>51</v>
      </c>
      <c r="CE55" s="17">
        <f>'[1]资源-钻石'!L54/$B$2*$C$12*10</f>
        <v>250.52512573514491</v>
      </c>
      <c r="CF55" s="17">
        <f>'[1]资源-钻石'!M54/$B$2*$C$12*10</f>
        <v>302.27790175556026</v>
      </c>
      <c r="CG55" s="17">
        <f>'[1]资源-钻石'!N54/$B$2*$C$12*10</f>
        <v>413.6260727824033</v>
      </c>
      <c r="CH55" s="17">
        <f>'[1]资源-钻石'!O54/$B$2*$C$12*10</f>
        <v>814.96346532837197</v>
      </c>
      <c r="CI55" s="17">
        <f>'[1]资源-钻石'!P54/$B$2*$C$12*10</f>
        <v>1165.7722853505732</v>
      </c>
      <c r="CO55" s="17">
        <v>75</v>
      </c>
      <c r="CP55" s="17">
        <f>INDEX(节奏总纲!$Q$4:$Q$163,CO55,1)</f>
        <v>155.75272949314578</v>
      </c>
      <c r="CQ55" s="17">
        <f t="shared" si="69"/>
        <v>0.3195789563716554</v>
      </c>
      <c r="CR55" s="17">
        <f t="shared" si="69"/>
        <v>0.3195789563716554</v>
      </c>
      <c r="CS55" s="17">
        <f t="shared" si="69"/>
        <v>0.3195789563716554</v>
      </c>
      <c r="CT55" s="17">
        <f t="shared" si="69"/>
        <v>0.3195789563716554</v>
      </c>
      <c r="CU55" s="17">
        <f t="shared" si="69"/>
        <v>0.3195789563716554</v>
      </c>
      <c r="CW55" s="17">
        <v>52</v>
      </c>
      <c r="CX55" s="17">
        <f t="shared" si="62"/>
        <v>0.40546507495285999</v>
      </c>
      <c r="CY55" s="17">
        <f t="shared" si="63"/>
        <v>0.40546507495285999</v>
      </c>
      <c r="CZ55" s="17">
        <f t="shared" si="64"/>
        <v>0.40546507495285999</v>
      </c>
      <c r="DA55" s="17">
        <f t="shared" si="65"/>
        <v>0.40546507495285999</v>
      </c>
      <c r="DB55" s="17">
        <f t="shared" si="66"/>
        <v>0.40546507495285999</v>
      </c>
    </row>
    <row r="56" spans="1:106" x14ac:dyDescent="0.15">
      <c r="H56" s="16">
        <v>8</v>
      </c>
      <c r="I56" s="29">
        <f>IF(基础状态预期!C66="","",基础状态预期!C66)</f>
        <v>12.75</v>
      </c>
      <c r="J56" s="29">
        <f>IF(基础状态预期!D66="","",基础状态预期!D66)</f>
        <v>39.661158518499626</v>
      </c>
      <c r="K56" s="29" t="str">
        <f>IF(基础状态预期!F66="","",基础状态预期!F66)</f>
        <v/>
      </c>
      <c r="L56" s="29" t="str">
        <f>IF(基础状态预期!G66="","",基础状态预期!G66)</f>
        <v/>
      </c>
      <c r="M56" s="29" t="str">
        <f>IF(基础状态预期!H66="","",基础状态预期!H66)</f>
        <v/>
      </c>
      <c r="N56" s="29">
        <f>IF(基础状态预期!I66="","",基础状态预期!I66)</f>
        <v>6</v>
      </c>
      <c r="O56" s="29" t="str">
        <f>IF(基础状态预期!J66="","",基础状态预期!J66)</f>
        <v/>
      </c>
      <c r="P56" s="29">
        <f>武将进阶!O53</f>
        <v>0</v>
      </c>
      <c r="Q56" s="29">
        <f>武将进阶!P53</f>
        <v>0</v>
      </c>
      <c r="R56" s="29">
        <f>武将进阶!Q53</f>
        <v>39.112068266639469</v>
      </c>
      <c r="S56" s="29">
        <f>武将进阶!R53</f>
        <v>0</v>
      </c>
      <c r="T56" s="29">
        <f>武将进阶!S53</f>
        <v>0</v>
      </c>
      <c r="U56" s="29">
        <f>武将觉醒!T54</f>
        <v>0</v>
      </c>
      <c r="V56" s="29">
        <f>武将觉醒!U54</f>
        <v>0</v>
      </c>
      <c r="W56" s="29">
        <f>武将觉醒!V54</f>
        <v>0</v>
      </c>
      <c r="X56" s="29">
        <f>武将觉醒!W54</f>
        <v>6</v>
      </c>
      <c r="Y56" s="29">
        <f>武将觉醒!X54</f>
        <v>0</v>
      </c>
      <c r="Z56" s="29"/>
      <c r="AA56" s="29">
        <f>IF(L56="",0,同名需求(L56,武将升星!P53,B$6)+武将升星!U53)</f>
        <v>0</v>
      </c>
      <c r="AB56" s="29">
        <f>IF(M56="",0,同名需求(M56,武将升星!Q53,C$6)+武将升星!V53)</f>
        <v>0</v>
      </c>
      <c r="AC56" s="59">
        <f>IF(N56="",0,同名需求(N56,武将升星!R53,D$6*0.6)+武将升星!W53)</f>
        <v>23.191014738678497</v>
      </c>
      <c r="AD56" s="29">
        <f>IF(O56="",0,同名需求(O56,武将升星!S53,E$6)+武将升星!X53)</f>
        <v>0</v>
      </c>
      <c r="AE56" s="29">
        <f>MAX(U56+P56+IF(K56="",0,K56)*武将升星!O53,Z56)</f>
        <v>0</v>
      </c>
      <c r="AF56" s="29">
        <f>MAX(V56+Q56+IF(L56="",0,L56)*武将升星!P53,AA56)</f>
        <v>0</v>
      </c>
      <c r="AG56" s="29">
        <f>MAX(W56+R56+IF(M56="",0,M56)*武将升星!Q53,AB56)</f>
        <v>39.112068266639469</v>
      </c>
      <c r="AH56" s="29">
        <f>MAX(X56+S56+IF(N56="",0,N56)*武将升星!R53,AC56)</f>
        <v>23.191014738678497</v>
      </c>
      <c r="AI56" s="45">
        <f t="shared" si="70"/>
        <v>0</v>
      </c>
      <c r="AJ56" s="29">
        <f t="shared" si="71"/>
        <v>55658.435372828404</v>
      </c>
      <c r="AK56" s="14" t="e">
        <f>AJ56/求节点('[1]资源-钻石'!$K$4:$K$113,'[1]资源-钻石'!$M$4:$M$113,J56)</f>
        <v>#VALUE!</v>
      </c>
      <c r="AL56" s="16">
        <f t="shared" si="72"/>
        <v>0.25872089115587793</v>
      </c>
      <c r="AM56" s="16"/>
      <c r="AN56" s="16"/>
      <c r="AO56" s="16"/>
      <c r="AP56" s="17">
        <v>8</v>
      </c>
      <c r="AR56" s="16">
        <f t="shared" si="88"/>
        <v>0</v>
      </c>
      <c r="AS56" s="29">
        <f>IF(基础状态预期!C66="","",基础状态预期!C66)</f>
        <v>12.75</v>
      </c>
      <c r="AT56" s="29">
        <f>求节点(节奏总纲!$Q$4:$Q$163,其他调用!$D$4:$D$163,$AS56)*求节点($CP$5:$CP$36,$CR$5:$CR$36,AS11)</f>
        <v>77815.540854025428</v>
      </c>
      <c r="AU56" s="37">
        <f t="shared" si="73"/>
        <v>1</v>
      </c>
      <c r="AV56" s="37">
        <f t="shared" si="74"/>
        <v>0</v>
      </c>
      <c r="AW56" s="38">
        <f t="shared" si="75"/>
        <v>0.65833333333333333</v>
      </c>
      <c r="AX56" s="38">
        <f t="shared" si="76"/>
        <v>0.26666666666666666</v>
      </c>
      <c r="AY56" s="38">
        <f t="shared" si="77"/>
        <v>7.4999999999999997E-2</v>
      </c>
      <c r="AZ56" s="38">
        <f t="shared" si="78"/>
        <v>0</v>
      </c>
      <c r="BA56" s="29">
        <f t="shared" si="93"/>
        <v>16859.449966262087</v>
      </c>
      <c r="BB56" s="29">
        <f t="shared" si="89"/>
        <v>46.246407893566136</v>
      </c>
      <c r="BC56" s="29">
        <f t="shared" si="79"/>
        <v>18.73272218473565</v>
      </c>
      <c r="BD56" s="29">
        <f t="shared" si="80"/>
        <v>5.2685781144569015</v>
      </c>
      <c r="BE56" s="29">
        <f t="shared" si="81"/>
        <v>0</v>
      </c>
      <c r="BF56" s="29">
        <f t="shared" si="90"/>
        <v>105.825</v>
      </c>
      <c r="BG56" s="29">
        <f t="shared" si="82"/>
        <v>19.125</v>
      </c>
      <c r="BH56" s="29">
        <f t="shared" si="82"/>
        <v>2.5500000000000003</v>
      </c>
      <c r="BI56" s="29">
        <f t="shared" si="82"/>
        <v>0</v>
      </c>
      <c r="BJ56" s="29">
        <f>SUM(BB$52:BB56)+BF56</f>
        <v>319.27735164819472</v>
      </c>
      <c r="BK56" s="29">
        <f>SUM(BC$52:BC56)+BG56</f>
        <v>105.58671206002825</v>
      </c>
      <c r="BL56" s="29">
        <f>SUM(BD$52:BD56)+BH56</f>
        <v>26.867356516882943</v>
      </c>
      <c r="BM56" s="29">
        <f>SUM(BE$52:BE56)+BI56</f>
        <v>0</v>
      </c>
      <c r="BN56" s="29">
        <f>SUM(BT$52:BT56)</f>
        <v>8.4582109623940678</v>
      </c>
      <c r="BO56" s="17">
        <f t="shared" si="83"/>
        <v>2.6995941851044511</v>
      </c>
      <c r="BP56" s="17">
        <f t="shared" si="84"/>
        <v>1.1585244035084399</v>
      </c>
      <c r="BQ56" s="17" t="e">
        <f t="shared" si="85"/>
        <v>#DIV/0!</v>
      </c>
      <c r="BR56" s="17">
        <f t="shared" si="91"/>
        <v>17.247519147071188</v>
      </c>
      <c r="BS56" s="17">
        <f t="shared" si="86"/>
        <v>80</v>
      </c>
      <c r="BT56" s="17">
        <f t="shared" si="92"/>
        <v>1.8325489093763139</v>
      </c>
      <c r="BV56" s="17">
        <f t="shared" si="87"/>
        <v>26.867356516882943</v>
      </c>
      <c r="BW56" s="17">
        <v>52</v>
      </c>
      <c r="BX56" s="17">
        <f>'[1]资源-钻石'!L55/$B$2*$B$12*10</f>
        <v>660.24785252457616</v>
      </c>
      <c r="BY56" s="17">
        <f>'[1]资源-钻石'!M55/$B$2*$B$12*10</f>
        <v>795.65589092061612</v>
      </c>
      <c r="BZ56" s="17">
        <f>'[1]资源-钻石'!N55/$B$2*$B$12*10</f>
        <v>1087.8682276713187</v>
      </c>
      <c r="CA56" s="17">
        <f>'[1]资源-钻石'!O55/$B$2*$B$12*10</f>
        <v>2138.1859702735592</v>
      </c>
      <c r="CB56" s="17">
        <f>'[1]资源-钻石'!P55/$B$2*$B$12*10</f>
        <v>3058.5371504084078</v>
      </c>
      <c r="CD56" s="17">
        <v>52</v>
      </c>
      <c r="CE56" s="17">
        <f>'[1]资源-钻石'!L55/$B$2*$C$12*10</f>
        <v>267.44216811122072</v>
      </c>
      <c r="CF56" s="17">
        <f>'[1]资源-钻石'!M55/$B$2*$C$12*10</f>
        <v>322.29099379062927</v>
      </c>
      <c r="CG56" s="17">
        <f>'[1]资源-钻石'!N55/$B$2*$C$12*10</f>
        <v>440.65548462635689</v>
      </c>
      <c r="CH56" s="17">
        <f>'[1]资源-钻石'!O55/$B$2*$C$12*10</f>
        <v>866.10064618675824</v>
      </c>
      <c r="CI56" s="17">
        <f>'[1]资源-钻石'!P55/$B$2*$C$12*10</f>
        <v>1238.9011242160636</v>
      </c>
      <c r="CO56" s="17">
        <v>80</v>
      </c>
      <c r="CP56" s="17">
        <f>INDEX(节奏总纲!$Q$4:$Q$163,CO56,1)</f>
        <v>221.08500000000001</v>
      </c>
      <c r="CQ56" s="17">
        <f t="shared" si="69"/>
        <v>0.3025708559817063</v>
      </c>
      <c r="CR56" s="17">
        <f t="shared" si="69"/>
        <v>0.3025708559817063</v>
      </c>
      <c r="CS56" s="17">
        <f t="shared" si="69"/>
        <v>0.3025708559817063</v>
      </c>
      <c r="CT56" s="17">
        <f t="shared" si="69"/>
        <v>0.3025708559817063</v>
      </c>
      <c r="CU56" s="17">
        <f t="shared" si="69"/>
        <v>0.3025708559817063</v>
      </c>
      <c r="CW56" s="17">
        <v>53</v>
      </c>
      <c r="CX56" s="17">
        <f t="shared" si="62"/>
        <v>0.40146219794191607</v>
      </c>
      <c r="CY56" s="17">
        <f t="shared" si="63"/>
        <v>0.40146219794191607</v>
      </c>
      <c r="CZ56" s="17">
        <f t="shared" si="64"/>
        <v>0.40146219794191607</v>
      </c>
      <c r="DA56" s="17">
        <f t="shared" si="65"/>
        <v>0.40146219794191607</v>
      </c>
      <c r="DB56" s="17">
        <f t="shared" si="66"/>
        <v>0.40146219794191607</v>
      </c>
    </row>
    <row r="57" spans="1:106" x14ac:dyDescent="0.15">
      <c r="H57" s="17">
        <v>9</v>
      </c>
      <c r="I57" s="29">
        <f>IF(基础状态预期!C67="","",基础状态预期!C67)</f>
        <v>17</v>
      </c>
      <c r="J57" s="29">
        <f>IF(基础状态预期!D67="","",基础状态预期!D67)</f>
        <v>43.535389560453282</v>
      </c>
      <c r="K57" s="29" t="str">
        <f>IF(基础状态预期!F67="","",基础状态预期!F67)</f>
        <v/>
      </c>
      <c r="L57" s="29" t="str">
        <f>IF(基础状态预期!G67="","",基础状态预期!G67)</f>
        <v/>
      </c>
      <c r="M57" s="29" t="str">
        <f>IF(基础状态预期!H67="","",基础状态预期!H67)</f>
        <v/>
      </c>
      <c r="N57" s="29">
        <f>IF(基础状态预期!I67="","",基础状态预期!I67)</f>
        <v>6</v>
      </c>
      <c r="O57" s="29" t="str">
        <f>IF(基础状态预期!J67="","",基础状态预期!J67)</f>
        <v/>
      </c>
      <c r="P57" s="29">
        <f>武将进阶!O54</f>
        <v>0</v>
      </c>
      <c r="Q57" s="29">
        <f>武将进阶!P54</f>
        <v>0</v>
      </c>
      <c r="R57" s="29">
        <f>武将进阶!Q54</f>
        <v>44.690960967052732</v>
      </c>
      <c r="S57" s="29">
        <f>武将进阶!R54</f>
        <v>0</v>
      </c>
      <c r="T57" s="29">
        <f>武将进阶!S54</f>
        <v>0</v>
      </c>
      <c r="U57" s="29">
        <f>武将觉醒!T55</f>
        <v>0</v>
      </c>
      <c r="V57" s="29">
        <f>武将觉醒!U55</f>
        <v>0</v>
      </c>
      <c r="W57" s="29">
        <f>武将觉醒!V55</f>
        <v>0</v>
      </c>
      <c r="X57" s="29">
        <f>武将觉醒!W55</f>
        <v>6</v>
      </c>
      <c r="Y57" s="29">
        <f>武将觉醒!X55</f>
        <v>0</v>
      </c>
      <c r="Z57" s="29"/>
      <c r="AA57" s="29">
        <f>IF(L57="",0,同名需求(L57,武将升星!P54,B$6)+武将升星!U54)</f>
        <v>0</v>
      </c>
      <c r="AB57" s="29">
        <f>IF(M57="",0,同名需求(M57,武将升星!Q54,C$6)+武将升星!V54)</f>
        <v>0</v>
      </c>
      <c r="AC57" s="59">
        <f>IF(N57="",0,同名需求(N57,武将升星!R54,D$6*0.6)+武将升星!W54)</f>
        <v>30.044146956076531</v>
      </c>
      <c r="AD57" s="29">
        <f>IF(O57="",0,同名需求(O57,武将升星!S54,E$6)+武将升星!X54)</f>
        <v>0</v>
      </c>
      <c r="AE57" s="29">
        <f>MAX(U57+P57+IF(K57="",0,K57)*武将升星!O54,Z57)</f>
        <v>0</v>
      </c>
      <c r="AF57" s="29">
        <f>MAX(V57+Q57+IF(L57="",0,L57)*武将升星!P54,AA57)</f>
        <v>0</v>
      </c>
      <c r="AG57" s="29">
        <f>MAX(W57+R57+IF(M57="",0,M57)*武将升星!Q54,AB57)</f>
        <v>44.690960967052732</v>
      </c>
      <c r="AH57" s="29">
        <f>MAX(X57+S57+IF(N57="",0,N57)*武将升星!R54,AC57)</f>
        <v>30.044146956076531</v>
      </c>
      <c r="AI57" s="45">
        <f t="shared" si="70"/>
        <v>0</v>
      </c>
      <c r="AJ57" s="29">
        <f t="shared" si="71"/>
        <v>72105.952694583684</v>
      </c>
      <c r="AK57" s="14" t="e">
        <f>AJ57/求节点('[1]资源-钻石'!$K$4:$K$113,'[1]资源-钻石'!$M$4:$M$113,J57)</f>
        <v>#VALUE!</v>
      </c>
      <c r="AL57" s="16">
        <f t="shared" si="72"/>
        <v>0.19970611942391925</v>
      </c>
      <c r="AM57" s="16"/>
      <c r="AN57" s="16"/>
      <c r="AO57" s="16"/>
      <c r="AP57" s="17">
        <v>9</v>
      </c>
      <c r="AR57" s="16">
        <f t="shared" si="88"/>
        <v>0</v>
      </c>
      <c r="AS57" s="29">
        <f>IF(基础状态预期!C67="","",基础状态预期!C67)</f>
        <v>17</v>
      </c>
      <c r="AT57" s="29">
        <f>求节点(节奏总纲!$Q$4:$Q$163,其他调用!$D$4:$D$163,$AS57)*求节点($CP$5:$CP$36,$CR$5:$CR$36,AS12)</f>
        <v>93913.972964387343</v>
      </c>
      <c r="AU57" s="37">
        <f t="shared" si="73"/>
        <v>1</v>
      </c>
      <c r="AV57" s="37">
        <f t="shared" si="74"/>
        <v>0</v>
      </c>
      <c r="AW57" s="38">
        <f t="shared" si="75"/>
        <v>0.65833333333333333</v>
      </c>
      <c r="AX57" s="38">
        <f t="shared" si="76"/>
        <v>0.26666666666666666</v>
      </c>
      <c r="AY57" s="38">
        <f t="shared" si="77"/>
        <v>7.4999999999999997E-2</v>
      </c>
      <c r="AZ57" s="38">
        <f t="shared" si="78"/>
        <v>0</v>
      </c>
      <c r="BA57" s="29">
        <f t="shared" si="93"/>
        <v>16098.432110361915</v>
      </c>
      <c r="BB57" s="29">
        <f t="shared" si="89"/>
        <v>44.158893636062196</v>
      </c>
      <c r="BC57" s="29">
        <f t="shared" si="79"/>
        <v>17.887146789291016</v>
      </c>
      <c r="BD57" s="29">
        <f t="shared" si="80"/>
        <v>5.0307600344880976</v>
      </c>
      <c r="BE57" s="29">
        <f t="shared" si="81"/>
        <v>0</v>
      </c>
      <c r="BF57" s="29">
        <f t="shared" si="90"/>
        <v>141.10000000000002</v>
      </c>
      <c r="BG57" s="29">
        <f t="shared" si="82"/>
        <v>25.5</v>
      </c>
      <c r="BH57" s="29">
        <f t="shared" si="82"/>
        <v>3.4000000000000004</v>
      </c>
      <c r="BI57" s="29">
        <f t="shared" si="82"/>
        <v>0</v>
      </c>
      <c r="BJ57" s="29">
        <f>SUM(BB$52:BB57)+BF57</f>
        <v>398.71124528425696</v>
      </c>
      <c r="BK57" s="29">
        <f>SUM(BC$52:BC57)+BG57</f>
        <v>129.84885884931927</v>
      </c>
      <c r="BL57" s="29">
        <f>SUM(BD$52:BD57)+BH57</f>
        <v>32.748116551371041</v>
      </c>
      <c r="BM57" s="29">
        <f>SUM(BE$52:BE57)+BI57</f>
        <v>0</v>
      </c>
      <c r="BN57" s="29">
        <f>SUM(BT$52:BT57)</f>
        <v>10.208040539607319</v>
      </c>
      <c r="BO57" s="17">
        <f t="shared" si="83"/>
        <v>2.905483704972176</v>
      </c>
      <c r="BP57" s="17">
        <f t="shared" si="84"/>
        <v>1.0899998791527554</v>
      </c>
      <c r="BQ57" s="17" t="e">
        <f t="shared" si="85"/>
        <v>#DIV/0!</v>
      </c>
      <c r="BR57" s="17">
        <f t="shared" si="91"/>
        <v>16.468984256124724</v>
      </c>
      <c r="BS57" s="17">
        <f t="shared" si="86"/>
        <v>80</v>
      </c>
      <c r="BT57" s="17">
        <f t="shared" si="92"/>
        <v>1.7498295772132519</v>
      </c>
      <c r="BV57" s="17">
        <f t="shared" si="87"/>
        <v>32.748116551371041</v>
      </c>
      <c r="BW57" s="17">
        <v>53</v>
      </c>
      <c r="BX57" s="17">
        <f>'[1]资源-钻石'!L56/$B$2*$B$12*10</f>
        <v>705.0093440739231</v>
      </c>
      <c r="BY57" s="17">
        <f>'[1]资源-钻石'!M56/$B$2*$B$12*10</f>
        <v>850.74220754710609</v>
      </c>
      <c r="BZ57" s="17">
        <f>'[1]资源-钻石'!N56/$B$2*$B$12*10</f>
        <v>1160.1273210071788</v>
      </c>
      <c r="CA57" s="17">
        <f>'[1]资源-钻石'!O56/$B$2*$B$12*10</f>
        <v>2268.7449515237668</v>
      </c>
      <c r="CB57" s="17">
        <f>'[1]资源-钻石'!P56/$B$2*$B$12*10</f>
        <v>3250.0500992062075</v>
      </c>
      <c r="CD57" s="17">
        <v>53</v>
      </c>
      <c r="CE57" s="17">
        <f>'[1]资源-钻石'!L56/$B$2*$C$12*10</f>
        <v>285.57340519450048</v>
      </c>
      <c r="CF57" s="17">
        <f>'[1]资源-钻石'!M56/$B$2*$C$12*10</f>
        <v>344.60443850009364</v>
      </c>
      <c r="CG57" s="17">
        <f>'[1]资源-钻石'!N56/$B$2*$C$12*10</f>
        <v>469.924990787718</v>
      </c>
      <c r="CH57" s="17">
        <f>'[1]资源-钻石'!O56/$B$2*$C$12*10</f>
        <v>918.98529681975356</v>
      </c>
      <c r="CI57" s="17">
        <f>'[1]资源-钻石'!P56/$B$2*$C$12*10</f>
        <v>1316.4759895518816</v>
      </c>
      <c r="CO57" s="17">
        <v>85</v>
      </c>
      <c r="CP57" s="17">
        <f>INDEX(节奏总纲!$Q$4:$Q$163,CO57,1)</f>
        <v>311.72078937675008</v>
      </c>
      <c r="CQ57" s="17">
        <f t="shared" si="69"/>
        <v>0.28611524802480659</v>
      </c>
      <c r="CR57" s="17">
        <f t="shared" si="69"/>
        <v>0.28611524802480659</v>
      </c>
      <c r="CS57" s="17">
        <f t="shared" si="69"/>
        <v>0.28611524802480659</v>
      </c>
      <c r="CT57" s="17">
        <f t="shared" si="69"/>
        <v>0.28611524802480659</v>
      </c>
      <c r="CU57" s="17">
        <f t="shared" si="69"/>
        <v>0.28611524802480659</v>
      </c>
      <c r="CW57" s="17">
        <v>54</v>
      </c>
      <c r="CX57" s="17">
        <f t="shared" si="62"/>
        <v>0.39745932093097219</v>
      </c>
      <c r="CY57" s="17">
        <f t="shared" si="63"/>
        <v>0.39745932093097219</v>
      </c>
      <c r="CZ57" s="17">
        <f t="shared" si="64"/>
        <v>0.39745932093097219</v>
      </c>
      <c r="DA57" s="17">
        <f t="shared" si="65"/>
        <v>0.39745932093097219</v>
      </c>
      <c r="DB57" s="17">
        <f t="shared" si="66"/>
        <v>0.39745932093097219</v>
      </c>
    </row>
    <row r="58" spans="1:106" x14ac:dyDescent="0.15">
      <c r="C58" s="92"/>
      <c r="H58" s="16">
        <v>10</v>
      </c>
      <c r="I58" s="29">
        <f>IF(基础状态预期!C68="","",基础状态预期!C68)</f>
        <v>25.5</v>
      </c>
      <c r="J58" s="29">
        <f>IF(基础状态预期!D68="","",基础状态预期!D68)</f>
        <v>49.178590903134719</v>
      </c>
      <c r="K58" s="29" t="str">
        <f>IF(基础状态预期!F68="","",基础状态预期!F68)</f>
        <v/>
      </c>
      <c r="L58" s="29" t="str">
        <f>IF(基础状态预期!G68="","",基础状态预期!G68)</f>
        <v/>
      </c>
      <c r="M58" s="29" t="str">
        <f>IF(基础状态预期!H68="","",基础状态预期!H68)</f>
        <v/>
      </c>
      <c r="N58" s="29">
        <f>IF(基础状态预期!I68="","",基础状态预期!I68)</f>
        <v>6</v>
      </c>
      <c r="O58" s="29" t="str">
        <f>IF(基础状态预期!J68="","",基础状态预期!J68)</f>
        <v/>
      </c>
      <c r="P58" s="29">
        <f>武将进阶!O55</f>
        <v>0</v>
      </c>
      <c r="Q58" s="29">
        <f>武将进阶!P55</f>
        <v>0</v>
      </c>
      <c r="R58" s="29">
        <f>武将进阶!Q55</f>
        <v>52.817170900514</v>
      </c>
      <c r="S58" s="29">
        <f>武将进阶!R55</f>
        <v>0</v>
      </c>
      <c r="T58" s="29">
        <f>武将进阶!S55</f>
        <v>0</v>
      </c>
      <c r="U58" s="29">
        <f>武将觉醒!T56</f>
        <v>0</v>
      </c>
      <c r="V58" s="29">
        <f>武将觉醒!U56</f>
        <v>0</v>
      </c>
      <c r="W58" s="29">
        <f>武将觉醒!V56</f>
        <v>0</v>
      </c>
      <c r="X58" s="29">
        <f>武将觉醒!W56</f>
        <v>6</v>
      </c>
      <c r="Y58" s="29">
        <f>武将觉醒!X56</f>
        <v>0</v>
      </c>
      <c r="Z58" s="29"/>
      <c r="AA58" s="29">
        <f>IF(L58="",0,同名需求(L58,武将升星!P55,B$6)+武将升星!U55)</f>
        <v>0</v>
      </c>
      <c r="AB58" s="29">
        <f>IF(M58="",0,同名需求(M58,武将升星!Q55,C$6)+武将升星!V55)</f>
        <v>0</v>
      </c>
      <c r="AC58" s="59">
        <f>IF(N58="",0,同名需求(N58,武将升星!R55,D$6*0.6)+武将升星!W55)</f>
        <v>44.55643252322357</v>
      </c>
      <c r="AD58" s="29">
        <f>IF(O58="",0,同名需求(O58,武将升星!S55,E$6)+武将升星!X55)</f>
        <v>0</v>
      </c>
      <c r="AE58" s="29">
        <f>MAX(U58+P58+IF(K58="",0,K58)*武将升星!O55,Z58)</f>
        <v>0</v>
      </c>
      <c r="AF58" s="29">
        <f>MAX(V58+Q58+IF(L58="",0,L58)*武将升星!P55,AA58)</f>
        <v>0</v>
      </c>
      <c r="AG58" s="29">
        <f>MAX(W58+R58+IF(M58="",0,M58)*武将升星!Q55,AB58)</f>
        <v>52.817170900514</v>
      </c>
      <c r="AH58" s="29">
        <f>MAX(X58+S58+IF(N58="",0,N58)*武将升星!R55,AC58)</f>
        <v>44.55643252322357</v>
      </c>
      <c r="AI58" s="45">
        <f t="shared" si="70"/>
        <v>0</v>
      </c>
      <c r="AJ58" s="29">
        <f t="shared" si="71"/>
        <v>106935.43805573658</v>
      </c>
      <c r="AK58" s="14" t="e">
        <f>AJ58/求节点('[1]资源-钻石'!$K$4:$K$113,'[1]资源-钻石'!$M$4:$M$113,J58)</f>
        <v>#VALUE!</v>
      </c>
      <c r="AL58" s="16">
        <f t="shared" si="72"/>
        <v>0.13466069117792809</v>
      </c>
      <c r="AM58" s="16"/>
      <c r="AN58" s="16"/>
      <c r="AO58" s="16"/>
      <c r="AP58" s="17">
        <v>10</v>
      </c>
      <c r="AR58" s="16">
        <f t="shared" si="88"/>
        <v>1.5498184963849069</v>
      </c>
      <c r="AS58" s="29">
        <f>IF(基础状态预期!C68="","",基础状态预期!C68)</f>
        <v>25.5</v>
      </c>
      <c r="AT58" s="29">
        <f>求节点(节奏总纲!$Q$4:$Q$163,其他调用!$D$4:$D$163,$AS58)*求节点($CP$5:$CP$36,$CR$5:$CR$36,AS13)</f>
        <v>124212.92456871227</v>
      </c>
      <c r="AU58" s="37">
        <f t="shared" si="73"/>
        <v>0.9</v>
      </c>
      <c r="AV58" s="37">
        <f t="shared" si="74"/>
        <v>0.1</v>
      </c>
      <c r="AW58" s="38">
        <f t="shared" si="75"/>
        <v>0.64183333333333337</v>
      </c>
      <c r="AX58" s="38">
        <f t="shared" si="76"/>
        <v>0.26666666666666666</v>
      </c>
      <c r="AY58" s="38">
        <f t="shared" si="77"/>
        <v>7.1500000000000008E-2</v>
      </c>
      <c r="AZ58" s="38">
        <f t="shared" si="78"/>
        <v>2.8000000000000004E-3</v>
      </c>
      <c r="BA58" s="29">
        <f t="shared" si="93"/>
        <v>30298.951604324931</v>
      </c>
      <c r="BB58" s="29">
        <f t="shared" si="89"/>
        <v>81.028654602955086</v>
      </c>
      <c r="BC58" s="29">
        <f t="shared" si="79"/>
        <v>33.665501782583256</v>
      </c>
      <c r="BD58" s="29">
        <f t="shared" si="80"/>
        <v>9.0265626654551365</v>
      </c>
      <c r="BE58" s="29">
        <f t="shared" si="81"/>
        <v>0.35348776871712423</v>
      </c>
      <c r="BF58" s="29">
        <f t="shared" si="90"/>
        <v>211.65</v>
      </c>
      <c r="BG58" s="29">
        <f t="shared" si="82"/>
        <v>38.25</v>
      </c>
      <c r="BH58" s="29">
        <f t="shared" si="82"/>
        <v>5.1000000000000005</v>
      </c>
      <c r="BI58" s="29">
        <f t="shared" si="82"/>
        <v>0</v>
      </c>
      <c r="BJ58" s="29">
        <f>SUM(BB$52:BB58)+BF58</f>
        <v>550.28989988721207</v>
      </c>
      <c r="BK58" s="29">
        <f>SUM(BC$52:BC58)+BG58</f>
        <v>176.26436063190252</v>
      </c>
      <c r="BL58" s="29">
        <f>SUM(BD$52:BD58)+BH58</f>
        <v>43.474679216826175</v>
      </c>
      <c r="BM58" s="29">
        <f>SUM(BE$52:BE58)+BI58</f>
        <v>0.35348776871712423</v>
      </c>
      <c r="BN58" s="29">
        <f>SUM(BT$52:BT58)</f>
        <v>13.172068413943453</v>
      </c>
      <c r="BO58" s="17">
        <f t="shared" si="83"/>
        <v>3.3372548666779722</v>
      </c>
      <c r="BP58" s="17">
        <f t="shared" si="84"/>
        <v>0.97572172534608625</v>
      </c>
      <c r="BQ58" s="17" t="e">
        <f t="shared" si="85"/>
        <v>#DIV/0!</v>
      </c>
      <c r="BR58" s="17">
        <f t="shared" si="91"/>
        <v>13.948366467464162</v>
      </c>
      <c r="BS58" s="17">
        <f t="shared" si="86"/>
        <v>80</v>
      </c>
      <c r="BT58" s="17">
        <f t="shared" si="92"/>
        <v>2.9640278743361343</v>
      </c>
      <c r="BV58" s="17">
        <f t="shared" si="87"/>
        <v>43.474679216826175</v>
      </c>
      <c r="BW58" s="17">
        <v>54</v>
      </c>
      <c r="BX58" s="17">
        <f>'[1]资源-钻石'!L57/$B$2*$B$12*10</f>
        <v>752.98352286005615</v>
      </c>
      <c r="BY58" s="17">
        <f>'[1]资源-钻石'!M57/$B$2*$B$12*10</f>
        <v>909.87753468653875</v>
      </c>
      <c r="BZ58" s="17">
        <f>'[1]资源-钻石'!N57/$B$2*$B$12*10</f>
        <v>1232.3729992243739</v>
      </c>
      <c r="CA58" s="17">
        <f>'[1]资源-钻石'!O57/$B$2*$B$12*10</f>
        <v>2404.3578094469326</v>
      </c>
      <c r="CB58" s="17">
        <f>'[1]资源-钻石'!P57/$B$2*$B$12*10</f>
        <v>3442.7615840630269</v>
      </c>
      <c r="CD58" s="17">
        <v>54</v>
      </c>
      <c r="CE58" s="17">
        <f>'[1]资源-钻石'!L57/$B$2*$C$12*10</f>
        <v>305.00598394331388</v>
      </c>
      <c r="CF58" s="17">
        <f>'[1]资源-钻石'!M57/$B$2*$C$12*10</f>
        <v>368.55798873378785</v>
      </c>
      <c r="CG58" s="17">
        <f>'[1]资源-钻石'!N57/$B$2*$C$12*10</f>
        <v>499.18906297696151</v>
      </c>
      <c r="CH58" s="17">
        <f>'[1]资源-钻石'!O57/$B$2*$C$12*10</f>
        <v>973.91708737090937</v>
      </c>
      <c r="CI58" s="17">
        <f>'[1]资源-钻石'!P57/$B$2*$C$12*10</f>
        <v>1394.5363378483146</v>
      </c>
      <c r="CO58" s="17">
        <v>90</v>
      </c>
      <c r="CP58" s="17">
        <f>INDEX(节奏总纲!$Q$4:$Q$163,CO58,1)</f>
        <v>438.13140000000004</v>
      </c>
      <c r="CQ58" s="17">
        <f t="shared" si="69"/>
        <v>0.27019683604379008</v>
      </c>
      <c r="CR58" s="17">
        <f t="shared" si="69"/>
        <v>0.27019683604379008</v>
      </c>
      <c r="CS58" s="17">
        <f t="shared" si="69"/>
        <v>0.27019683604379008</v>
      </c>
      <c r="CT58" s="17">
        <f t="shared" si="69"/>
        <v>0.27019683604379008</v>
      </c>
      <c r="CU58" s="17">
        <f t="shared" si="69"/>
        <v>0.27019683604379008</v>
      </c>
      <c r="CW58" s="17">
        <v>55</v>
      </c>
      <c r="CX58" s="17">
        <f t="shared" si="62"/>
        <v>0.39345644392002826</v>
      </c>
      <c r="CY58" s="17">
        <f t="shared" si="63"/>
        <v>0.39345644392002826</v>
      </c>
      <c r="CZ58" s="17">
        <f t="shared" si="64"/>
        <v>0.39345644392002826</v>
      </c>
      <c r="DA58" s="17">
        <f t="shared" si="65"/>
        <v>0.39345644392002826</v>
      </c>
      <c r="DB58" s="17">
        <f t="shared" si="66"/>
        <v>0.39345644392002826</v>
      </c>
    </row>
    <row r="59" spans="1:106" x14ac:dyDescent="0.15">
      <c r="E59" s="100"/>
      <c r="H59" s="17">
        <v>11</v>
      </c>
      <c r="I59" s="29">
        <f>IF(基础状态预期!C69="","",基础状态预期!C69)</f>
        <v>34</v>
      </c>
      <c r="J59" s="29">
        <f>IF(基础状态预期!D69="","",基础状态预期!D69)</f>
        <v>53.226994578658328</v>
      </c>
      <c r="K59" s="29" t="str">
        <f>IF(基础状态预期!F69="","",基础状态预期!F69)</f>
        <v/>
      </c>
      <c r="L59" s="29" t="str">
        <f>IF(基础状态预期!G69="","",基础状态预期!G69)</f>
        <v/>
      </c>
      <c r="M59" s="29" t="str">
        <f>IF(基础状态预期!H69="","",基础状态预期!H69)</f>
        <v/>
      </c>
      <c r="N59" s="29">
        <f>IF(基础状态预期!I69="","",基础状态预期!I69)</f>
        <v>5</v>
      </c>
      <c r="O59" s="29">
        <f>IF(基础状态预期!J69="","",基础状态预期!J69)</f>
        <v>1</v>
      </c>
      <c r="P59" s="29">
        <f>武将进阶!O56</f>
        <v>0</v>
      </c>
      <c r="Q59" s="29">
        <f>武将进阶!P56</f>
        <v>0</v>
      </c>
      <c r="R59" s="29">
        <f>武将进阶!Q56</f>
        <v>52.744786988779985</v>
      </c>
      <c r="S59" s="29">
        <f>武将进阶!R56</f>
        <v>11.323436096633994</v>
      </c>
      <c r="T59" s="29">
        <f>武将进阶!S56</f>
        <v>0</v>
      </c>
      <c r="U59" s="29">
        <f>武将觉醒!T57</f>
        <v>0</v>
      </c>
      <c r="V59" s="29">
        <f>武将觉醒!U57</f>
        <v>0</v>
      </c>
      <c r="W59" s="29">
        <f>武将觉醒!V57</f>
        <v>0</v>
      </c>
      <c r="X59" s="29">
        <f>武将觉醒!W57</f>
        <v>8</v>
      </c>
      <c r="Y59" s="29">
        <f>武将觉醒!X57</f>
        <v>0</v>
      </c>
      <c r="Z59" s="29"/>
      <c r="AA59" s="29">
        <f>IF(L59="",0,同名需求(L59,武将升星!P56,B$6)+武将升星!U56)</f>
        <v>0</v>
      </c>
      <c r="AB59" s="29">
        <f>IF(M59="",0,同名需求(M59,武将升星!Q56,C$6)+武将升星!V56)</f>
        <v>0</v>
      </c>
      <c r="AC59" s="59">
        <f>IF(N59="",0,同名需求(N59,武将升星!R56,D$6*0.6)+武将升星!W56)</f>
        <v>57.205452083579232</v>
      </c>
      <c r="AD59" s="29">
        <f>IF(O59="",0,同名需求(O59,武将升星!S56,E$6)+武将升星!X56)</f>
        <v>1.0546845025197811</v>
      </c>
      <c r="AE59" s="29">
        <f>MAX(U59+P59+IF(K59="",0,K59)*武将升星!O56,Z59)</f>
        <v>0</v>
      </c>
      <c r="AF59" s="29">
        <f>MAX(V59+Q59+IF(L59="",0,L59)*武将升星!P56,AA59)</f>
        <v>0</v>
      </c>
      <c r="AG59" s="29">
        <f>MAX(W59+R59+IF(M59="",0,M59)*武将升星!Q56,AB59)</f>
        <v>52.744786988779985</v>
      </c>
      <c r="AH59" s="29">
        <f>MAX(X59+S59+IF(N59="",0,N59)*武将升星!R56,AC59)</f>
        <v>57.205452083579232</v>
      </c>
      <c r="AI59" s="45">
        <f t="shared" si="70"/>
        <v>1.0546845025197811</v>
      </c>
      <c r="AJ59" s="29">
        <f t="shared" si="71"/>
        <v>140457.13850814951</v>
      </c>
      <c r="AK59" s="14" t="e">
        <f>AJ59/求节点('[1]资源-钻石'!$K$4:$K$113,'[1]资源-钻石'!$M$4:$M$113,J59)</f>
        <v>#VALUE!</v>
      </c>
      <c r="AL59" s="16">
        <f t="shared" si="72"/>
        <v>0.13984681020109258</v>
      </c>
      <c r="AM59" s="16"/>
      <c r="AN59" s="16"/>
      <c r="AO59" s="16"/>
      <c r="AP59" s="17">
        <v>11</v>
      </c>
      <c r="AR59" s="16">
        <f t="shared" si="88"/>
        <v>3.0743006231756964</v>
      </c>
      <c r="AS59" s="29">
        <f>IF(基础状态预期!C69="","",基础状态预期!C69)</f>
        <v>34</v>
      </c>
      <c r="AT59" s="29">
        <f>求节点(节奏总纲!$Q$4:$Q$163,其他调用!$D$4:$D$163,$AS59)*求节点($CP$5:$CP$36,$CR$5:$CR$36,AS14)</f>
        <v>154264.2131602547</v>
      </c>
      <c r="AU59" s="37">
        <f>1-AV59</f>
        <v>0.8</v>
      </c>
      <c r="AV59" s="37">
        <f t="shared" si="74"/>
        <v>0.2</v>
      </c>
      <c r="AW59" s="38">
        <f t="shared" si="75"/>
        <v>0.62533333333333341</v>
      </c>
      <c r="AX59" s="38">
        <f t="shared" si="76"/>
        <v>0.26666666666666666</v>
      </c>
      <c r="AY59" s="38">
        <f t="shared" si="77"/>
        <v>6.8000000000000005E-2</v>
      </c>
      <c r="AZ59" s="38">
        <f t="shared" si="78"/>
        <v>5.6000000000000008E-3</v>
      </c>
      <c r="BA59" s="29">
        <f t="shared" si="93"/>
        <v>30051.288591542427</v>
      </c>
      <c r="BB59" s="29">
        <f t="shared" si="89"/>
        <v>78.300301941296667</v>
      </c>
      <c r="BC59" s="29">
        <f t="shared" si="79"/>
        <v>33.390320657269363</v>
      </c>
      <c r="BD59" s="29">
        <f t="shared" si="80"/>
        <v>8.5145317676036889</v>
      </c>
      <c r="BE59" s="29">
        <f t="shared" si="81"/>
        <v>0.70119673380265679</v>
      </c>
      <c r="BF59" s="29">
        <f t="shared" si="90"/>
        <v>282.20000000000005</v>
      </c>
      <c r="BG59" s="29">
        <f t="shared" si="82"/>
        <v>51</v>
      </c>
      <c r="BH59" s="29">
        <f t="shared" si="82"/>
        <v>6.8000000000000007</v>
      </c>
      <c r="BI59" s="29">
        <f t="shared" si="82"/>
        <v>0</v>
      </c>
      <c r="BJ59" s="29">
        <f>SUM(BB$52:BB59)+BF59</f>
        <v>699.14020182850868</v>
      </c>
      <c r="BK59" s="29">
        <f>SUM(BC$52:BC59)+BG59</f>
        <v>222.40468128917189</v>
      </c>
      <c r="BL59" s="29">
        <f>SUM(BD$52:BD59)+BH59</f>
        <v>53.689210984429863</v>
      </c>
      <c r="BM59" s="29">
        <f>SUM(BE$52:BE59)+BI59</f>
        <v>1.0546845025197811</v>
      </c>
      <c r="BN59" s="29">
        <f>SUM(BT$52:BT59)</f>
        <v>15.785223943642794</v>
      </c>
      <c r="BO59" s="17">
        <f t="shared" si="83"/>
        <v>4.2166191956843511</v>
      </c>
      <c r="BP59" s="17">
        <f t="shared" si="84"/>
        <v>0.9385331122982471</v>
      </c>
      <c r="BQ59" s="17">
        <f t="shared" si="85"/>
        <v>1</v>
      </c>
      <c r="BR59" s="17">
        <f t="shared" si="91"/>
        <v>12.297202492702786</v>
      </c>
      <c r="BS59" s="17">
        <f t="shared" si="86"/>
        <v>80</v>
      </c>
      <c r="BT59" s="17">
        <f t="shared" si="92"/>
        <v>2.6131555296993421</v>
      </c>
      <c r="BV59" s="17">
        <f t="shared" si="87"/>
        <v>42.365774887795865</v>
      </c>
      <c r="BW59" s="17">
        <v>55</v>
      </c>
      <c r="BX59" s="17">
        <f>'[1]资源-钻石'!L58/$B$2*$B$12*10</f>
        <v>804.40097457000479</v>
      </c>
      <c r="BY59" s="17">
        <f>'[1]资源-钻石'!M58/$B$2*$B$12*10</f>
        <v>970.5545866217476</v>
      </c>
      <c r="BZ59" s="17">
        <f>'[1]资源-钻石'!N58/$B$2*$B$12*10</f>
        <v>1312.0396418140288</v>
      </c>
      <c r="CA59" s="17">
        <f>'[1]资源-钻石'!O58/$B$2*$B$12*10</f>
        <v>2547.2451595144175</v>
      </c>
      <c r="CB59" s="17">
        <f>'[1]资源-钻石'!P58/$B$2*$B$12*10</f>
        <v>3650.3508530695481</v>
      </c>
      <c r="CD59" s="17">
        <v>55</v>
      </c>
      <c r="CE59" s="17">
        <f>'[1]资源-钻石'!L58/$B$2*$C$12*10</f>
        <v>325.83330615493867</v>
      </c>
      <c r="CF59" s="17">
        <f>'[1]资源-钻石'!M58/$B$2*$C$12*10</f>
        <v>393.13603508729017</v>
      </c>
      <c r="CG59" s="17">
        <f>'[1]资源-钻石'!N58/$B$2*$C$12*10</f>
        <v>531.45909541834078</v>
      </c>
      <c r="CH59" s="17">
        <f>'[1]资源-钻石'!O58/$B$2*$C$12*10</f>
        <v>1031.7955076514095</v>
      </c>
      <c r="CI59" s="17">
        <f>'[1]资源-钻石'!P58/$B$2*$C$12*10</f>
        <v>1478.6231303572854</v>
      </c>
      <c r="CO59" s="17">
        <v>95</v>
      </c>
      <c r="CP59" s="17">
        <f>INDEX(节奏总纲!$Q$4:$Q$163,CO59,1)</f>
        <v>618.15882133005255</v>
      </c>
      <c r="CQ59" s="17">
        <f t="shared" si="69"/>
        <v>0.25480071444280428</v>
      </c>
      <c r="CR59" s="17">
        <f t="shared" si="69"/>
        <v>0.25480071444280428</v>
      </c>
      <c r="CS59" s="17">
        <f t="shared" si="69"/>
        <v>0.25480071444280428</v>
      </c>
      <c r="CT59" s="17">
        <f t="shared" si="69"/>
        <v>0.25480071444280428</v>
      </c>
      <c r="CU59" s="17">
        <f t="shared" si="69"/>
        <v>0.25480071444280428</v>
      </c>
      <c r="CW59" s="17">
        <v>56</v>
      </c>
      <c r="CX59" s="17">
        <f t="shared" si="62"/>
        <v>0.38958060432320407</v>
      </c>
      <c r="CY59" s="17">
        <f t="shared" si="63"/>
        <v>0.38958060432320407</v>
      </c>
      <c r="CZ59" s="17">
        <f t="shared" si="64"/>
        <v>0.38958060432320407</v>
      </c>
      <c r="DA59" s="17">
        <f t="shared" si="65"/>
        <v>0.38958060432320407</v>
      </c>
      <c r="DB59" s="17">
        <f t="shared" si="66"/>
        <v>0.38958060432320407</v>
      </c>
    </row>
    <row r="60" spans="1:106" x14ac:dyDescent="0.15">
      <c r="E60" s="92"/>
      <c r="H60" s="16">
        <v>12</v>
      </c>
      <c r="I60" s="29">
        <f>IF(基础状态预期!C70="","",基础状态预期!C70)</f>
        <v>51</v>
      </c>
      <c r="J60" s="29">
        <f>IF(基础状态预期!D70="","",基础状态预期!D70)</f>
        <v>59.016342740868758</v>
      </c>
      <c r="K60" s="29" t="str">
        <f>IF(基础状态预期!F70="","",基础状态预期!F70)</f>
        <v/>
      </c>
      <c r="L60" s="29" t="str">
        <f>IF(基础状态预期!G70="","",基础状态预期!G70)</f>
        <v/>
      </c>
      <c r="M60" s="29" t="str">
        <f>IF(基础状态预期!H70="","",基础状态预期!H70)</f>
        <v/>
      </c>
      <c r="N60" s="29">
        <f>IF(基础状态预期!I70="","",基础状态预期!I70)</f>
        <v>4</v>
      </c>
      <c r="O60" s="29">
        <f>IF(基础状态预期!J70="","",基础状态预期!J70)</f>
        <v>2</v>
      </c>
      <c r="P60" s="29">
        <f>武将进阶!O57</f>
        <v>0</v>
      </c>
      <c r="Q60" s="29">
        <f>武将进阶!P57</f>
        <v>0</v>
      </c>
      <c r="R60" s="29">
        <f>武将进阶!Q57</f>
        <v>53.311378062468009</v>
      </c>
      <c r="S60" s="29">
        <f>武将进阶!R57</f>
        <v>30.983533546851007</v>
      </c>
      <c r="T60" s="29">
        <f>武将进阶!S57</f>
        <v>0</v>
      </c>
      <c r="U60" s="29">
        <f>武将觉醒!T58</f>
        <v>0</v>
      </c>
      <c r="V60" s="29">
        <f>武将觉醒!U58</f>
        <v>0</v>
      </c>
      <c r="W60" s="29">
        <f>武将觉醒!V58</f>
        <v>0</v>
      </c>
      <c r="X60" s="29">
        <f>武将觉醒!W58</f>
        <v>10</v>
      </c>
      <c r="Y60" s="29">
        <f>武将觉醒!X58</f>
        <v>0</v>
      </c>
      <c r="Z60" s="29"/>
      <c r="AA60" s="29">
        <f>IF(L60="",0,同名需求(L60,武将升星!P57,B$6)+武将升星!U57)</f>
        <v>0</v>
      </c>
      <c r="AB60" s="29">
        <f>IF(M60="",0,同名需求(M60,武将升星!Q57,C$6)+武将升星!V57)</f>
        <v>0</v>
      </c>
      <c r="AC60" s="59">
        <f>IF(N60="",0,同名需求(N60,武将升星!R57,D$6*0.6)+武将升星!W57)</f>
        <v>71.677639404566136</v>
      </c>
      <c r="AD60" s="29">
        <f>IF(O60="",0,同名需求(O60,武将升星!S57,E$6)+武将升星!X57)</f>
        <v>4.4629458280480412</v>
      </c>
      <c r="AE60" s="29">
        <f>MAX(U60+P60+IF(K60="",0,K60)*武将升星!O57,Z60)</f>
        <v>0</v>
      </c>
      <c r="AF60" s="29">
        <f>MAX(V60+Q60+IF(L60="",0,L60)*武将升星!P57,AA60)</f>
        <v>0</v>
      </c>
      <c r="AG60" s="29">
        <f>MAX(W60+R60+IF(M60="",0,M60)*武将升星!Q57,AB60)</f>
        <v>53.311378062468009</v>
      </c>
      <c r="AH60" s="29">
        <f>MAX(X60+S60+IF(N60="",0,N60)*武将升星!R57,AC60)</f>
        <v>71.677639404566136</v>
      </c>
      <c r="AI60" s="45">
        <f t="shared" si="70"/>
        <v>4.4629458280480412</v>
      </c>
      <c r="AJ60" s="29">
        <f t="shared" si="71"/>
        <v>185415.17205510286</v>
      </c>
      <c r="AK60" s="14" t="e">
        <f>AJ60/求节点('[1]资源-钻石'!$K$4:$K$113,'[1]资源-钻石'!$M$4:$M$113,J60)</f>
        <v>#VALUE!</v>
      </c>
      <c r="AL60" s="16">
        <f t="shared" si="72"/>
        <v>0.1395135230885263</v>
      </c>
      <c r="AM60" s="16"/>
      <c r="AN60" s="16"/>
      <c r="AO60" s="16"/>
      <c r="AP60" s="17">
        <v>12</v>
      </c>
      <c r="AR60" s="16">
        <f t="shared" si="88"/>
        <v>7.4715264717462775</v>
      </c>
      <c r="AS60" s="29">
        <f>IF(基础状态预期!C70="","",基础状态预期!C70)</f>
        <v>51</v>
      </c>
      <c r="AT60" s="29">
        <f>求节点(节奏总纲!$Q$4:$Q$163,其他调用!$D$4:$D$163,$AS60)*求节点($CP$5:$CP$36,$CR$5:$CR$36,AS15)</f>
        <v>212691.55016931059</v>
      </c>
      <c r="AU60" s="37">
        <f t="shared" ref="AU60:AU67" si="94">1-AV60</f>
        <v>0.5</v>
      </c>
      <c r="AV60" s="37">
        <f t="shared" si="74"/>
        <v>0.5</v>
      </c>
      <c r="AW60" s="38">
        <f t="shared" si="75"/>
        <v>0.57583333333333342</v>
      </c>
      <c r="AX60" s="38">
        <f t="shared" si="76"/>
        <v>0.26666666666666666</v>
      </c>
      <c r="AY60" s="38">
        <f t="shared" si="77"/>
        <v>5.7499999999999996E-2</v>
      </c>
      <c r="AZ60" s="38">
        <f t="shared" si="78"/>
        <v>1.4E-2</v>
      </c>
      <c r="BA60" s="29">
        <f t="shared" si="93"/>
        <v>58427.337009055889</v>
      </c>
      <c r="BB60" s="29">
        <f t="shared" si="89"/>
        <v>140.18503428214453</v>
      </c>
      <c r="BC60" s="29">
        <f t="shared" si="79"/>
        <v>64.919263343395428</v>
      </c>
      <c r="BD60" s="29">
        <f t="shared" si="80"/>
        <v>13.998216158419638</v>
      </c>
      <c r="BE60" s="29">
        <f t="shared" si="81"/>
        <v>3.4082613255282603</v>
      </c>
      <c r="BF60" s="29">
        <f t="shared" si="90"/>
        <v>423.3</v>
      </c>
      <c r="BG60" s="29">
        <f t="shared" si="82"/>
        <v>76.5</v>
      </c>
      <c r="BH60" s="29">
        <f t="shared" si="82"/>
        <v>10.200000000000001</v>
      </c>
      <c r="BI60" s="29">
        <f t="shared" si="82"/>
        <v>0</v>
      </c>
      <c r="BJ60" s="29">
        <f>SUM(BB$52:BB60)+BF60</f>
        <v>980.42523611065326</v>
      </c>
      <c r="BK60" s="29">
        <f>SUM(BC$52:BC60)+BG60</f>
        <v>312.8239446325673</v>
      </c>
      <c r="BL60" s="29">
        <f>SUM(BD$52:BD60)+BH60</f>
        <v>71.087427142849506</v>
      </c>
      <c r="BM60" s="29">
        <f>SUM(BE$52:BE60)+BI60</f>
        <v>4.4629458280480412</v>
      </c>
      <c r="BN60" s="29">
        <f>SUM(BT$52:BT60)</f>
        <v>18.960622694134962</v>
      </c>
      <c r="BO60" s="17">
        <f t="shared" si="83"/>
        <v>5.8678645347717984</v>
      </c>
      <c r="BP60" s="17">
        <f t="shared" si="84"/>
        <v>0.99176574079978652</v>
      </c>
      <c r="BQ60" s="17">
        <f t="shared" si="85"/>
        <v>1</v>
      </c>
      <c r="BR60" s="17">
        <f t="shared" si="91"/>
        <v>7.4715264717462775</v>
      </c>
      <c r="BS60" s="17">
        <f t="shared" si="86"/>
        <v>80</v>
      </c>
      <c r="BT60" s="17">
        <f t="shared" si="92"/>
        <v>3.1753987504921679</v>
      </c>
      <c r="BV60" s="17">
        <f t="shared" si="87"/>
        <v>40.1038935959985</v>
      </c>
      <c r="BW60" s="17">
        <v>56</v>
      </c>
      <c r="BX60" s="17">
        <f>'[1]资源-钻石'!L59/$B$2*$B$12*10</f>
        <v>859.50883482396887</v>
      </c>
      <c r="BY60" s="17">
        <f>'[1]资源-钻石'!M59/$B$2*$B$12*10</f>
        <v>1034.9278585935554</v>
      </c>
      <c r="BZ60" s="17">
        <f>'[1]资源-钻石'!N59/$B$2*$B$12*10</f>
        <v>1398.6640632760727</v>
      </c>
      <c r="CA60" s="17">
        <f>'[1]资源-钻石'!O59/$B$2*$B$12*10</f>
        <v>2700.27284314486</v>
      </c>
      <c r="CB60" s="17">
        <f>'[1]资源-钻石'!P59/$B$2*$B$12*10</f>
        <v>3872.9478127815446</v>
      </c>
      <c r="CD60" s="17">
        <v>56</v>
      </c>
      <c r="CE60" s="17">
        <f>'[1]资源-钻石'!L59/$B$2*$C$12*10</f>
        <v>348.15547739705067</v>
      </c>
      <c r="CF60" s="17">
        <f>'[1]资源-钻石'!M59/$B$2*$C$12*10</f>
        <v>419.21128449359207</v>
      </c>
      <c r="CG60" s="17">
        <f>'[1]资源-钻石'!N59/$B$2*$C$12*10</f>
        <v>566.54746866878907</v>
      </c>
      <c r="CH60" s="17">
        <f>'[1]资源-钻石'!O59/$B$2*$C$12*10</f>
        <v>1093.781404818171</v>
      </c>
      <c r="CI60" s="17">
        <f>'[1]资源-钻石'!P59/$B$2*$C$12*10</f>
        <v>1568.7889874558155</v>
      </c>
      <c r="CO60" s="17">
        <v>100</v>
      </c>
      <c r="CP60" s="17">
        <f>INDEX(节奏总纲!$Q$4:$Q$163,CO60,1)</f>
        <v>875.38110000000006</v>
      </c>
      <c r="CQ60" s="17">
        <f t="shared" si="69"/>
        <v>0.23991235897144039</v>
      </c>
      <c r="CR60" s="17">
        <f t="shared" si="69"/>
        <v>0.23991235897144039</v>
      </c>
      <c r="CS60" s="17">
        <f t="shared" si="69"/>
        <v>0.23991235897144039</v>
      </c>
      <c r="CT60" s="17">
        <f t="shared" si="69"/>
        <v>0.23991235897144039</v>
      </c>
      <c r="CU60" s="17">
        <f t="shared" si="69"/>
        <v>0.23991235897144039</v>
      </c>
      <c r="CW60" s="17">
        <v>57</v>
      </c>
      <c r="CX60" s="17">
        <f t="shared" si="62"/>
        <v>0.38570476472637993</v>
      </c>
      <c r="CY60" s="17">
        <f t="shared" si="63"/>
        <v>0.38570476472637993</v>
      </c>
      <c r="CZ60" s="17">
        <f t="shared" si="64"/>
        <v>0.38570476472637993</v>
      </c>
      <c r="DA60" s="17">
        <f t="shared" si="65"/>
        <v>0.38570476472637993</v>
      </c>
      <c r="DB60" s="17">
        <f t="shared" si="66"/>
        <v>0.38570476472637993</v>
      </c>
    </row>
    <row r="61" spans="1:106" x14ac:dyDescent="0.15">
      <c r="H61" s="17">
        <v>13</v>
      </c>
      <c r="I61" s="29">
        <f>IF(基础状态预期!C71="","",基础状态预期!C71)</f>
        <v>76.5</v>
      </c>
      <c r="J61" s="29">
        <f>IF(基础状态预期!D71="","",基础状态预期!D71)</f>
        <v>64.781009552500748</v>
      </c>
      <c r="K61" s="29" t="str">
        <f>IF(基础状态预期!F71="","",基础状态预期!F71)</f>
        <v/>
      </c>
      <c r="L61" s="29" t="str">
        <f>IF(基础状态预期!G71="","",基础状态预期!G71)</f>
        <v/>
      </c>
      <c r="M61" s="29" t="str">
        <f>IF(基础状态预期!H71="","",基础状态预期!H71)</f>
        <v/>
      </c>
      <c r="N61" s="29">
        <f>IF(基础状态预期!I71="","",基础状态预期!I71)</f>
        <v>3</v>
      </c>
      <c r="O61" s="29">
        <f>IF(基础状态预期!J71="","",基础状态预期!J71)</f>
        <v>3</v>
      </c>
      <c r="P61" s="29">
        <f>武将进阶!O58</f>
        <v>0</v>
      </c>
      <c r="Q61" s="29">
        <f>武将进阶!P58</f>
        <v>0</v>
      </c>
      <c r="R61" s="29">
        <f>武将进阶!Q58</f>
        <v>48.28465375560107</v>
      </c>
      <c r="S61" s="29">
        <f>武将进阶!R58</f>
        <v>58.926980633401605</v>
      </c>
      <c r="T61" s="29">
        <f>武将进阶!S58</f>
        <v>0</v>
      </c>
      <c r="U61" s="29">
        <f>武将觉醒!T59</f>
        <v>0</v>
      </c>
      <c r="V61" s="29">
        <f>武将觉醒!U59</f>
        <v>0</v>
      </c>
      <c r="W61" s="29">
        <f>武将觉醒!V59</f>
        <v>0</v>
      </c>
      <c r="X61" s="29">
        <f>武将觉醒!W59</f>
        <v>12</v>
      </c>
      <c r="Y61" s="29">
        <f>武将觉醒!X59</f>
        <v>0</v>
      </c>
      <c r="Z61" s="29"/>
      <c r="AA61" s="29">
        <f>IF(L61="",0,同名需求(L61,武将升星!P58,B$6)+武将升星!U58)</f>
        <v>0</v>
      </c>
      <c r="AB61" s="29">
        <f>IF(M61="",0,同名需求(M61,武将升星!Q58,C$6)+武将升星!V58)</f>
        <v>0</v>
      </c>
      <c r="AC61" s="59">
        <f>IF(N61="",0,同名需求(N61,武将升星!R58,D$6*0.6)+武将升星!W58)</f>
        <v>89.978699735053354</v>
      </c>
      <c r="AD61" s="29">
        <f>IF(O61="",0,同名需求(O61,武将升星!S58,E$6)+武将升星!X58)</f>
        <v>14.077516213616466</v>
      </c>
      <c r="AE61" s="29">
        <f>MAX(U61+P61+IF(K61="",0,K61)*武将升星!O58,Z61)</f>
        <v>0</v>
      </c>
      <c r="AF61" s="29">
        <f>MAX(V61+Q61+IF(L61="",0,L61)*武将升星!P58,AA61)</f>
        <v>0</v>
      </c>
      <c r="AG61" s="29">
        <f>MAX(W61+R61+IF(M61="",0,M61)*武将升星!Q58,AB61)</f>
        <v>48.28465375560107</v>
      </c>
      <c r="AH61" s="29">
        <f>MAX(X61+S61+IF(N61="",0,N61)*武将升星!R58,AC61)</f>
        <v>89.978699735053354</v>
      </c>
      <c r="AI61" s="45">
        <f t="shared" si="70"/>
        <v>14.077516213616466</v>
      </c>
      <c r="AJ61" s="29">
        <f t="shared" si="71"/>
        <v>258181.42800497744</v>
      </c>
      <c r="AK61" s="14" t="e">
        <f>AJ61/求节点('[1]资源-钻石'!$K$4:$K$113,'[1]资源-钻石'!$M$4:$M$113,J61)</f>
        <v>#VALUE!</v>
      </c>
      <c r="AL61" s="16">
        <f t="shared" si="72"/>
        <v>0.13336489675150431</v>
      </c>
      <c r="AM61" s="16"/>
      <c r="AN61" s="16"/>
      <c r="AO61" s="16"/>
      <c r="AP61" s="17">
        <v>13</v>
      </c>
      <c r="AR61" s="16">
        <f t="shared" si="88"/>
        <v>14.051253760421522</v>
      </c>
      <c r="AS61" s="29">
        <f>IF(基础状态预期!C71="","",基础状态预期!C71)</f>
        <v>76.5</v>
      </c>
      <c r="AT61" s="29">
        <f>求节点(节奏总纲!$Q$4:$Q$163,其他调用!$D$4:$D$163,$AS61)*求节点($CP$5:$CP$36,$CR$5:$CR$36,AS16)</f>
        <v>295102.15347418282</v>
      </c>
      <c r="AU61" s="37">
        <f t="shared" si="94"/>
        <v>0</v>
      </c>
      <c r="AV61" s="37">
        <f t="shared" si="74"/>
        <v>1</v>
      </c>
      <c r="AW61" s="38">
        <f t="shared" si="75"/>
        <v>0.4933333333333334</v>
      </c>
      <c r="AX61" s="38">
        <f t="shared" si="76"/>
        <v>0.26666666666666666</v>
      </c>
      <c r="AY61" s="38">
        <f t="shared" si="77"/>
        <v>0.04</v>
      </c>
      <c r="AZ61" s="38">
        <f t="shared" si="78"/>
        <v>2.8000000000000001E-2</v>
      </c>
      <c r="BA61" s="29">
        <f t="shared" si="93"/>
        <v>82410.603304872231</v>
      </c>
      <c r="BB61" s="29">
        <f t="shared" si="89"/>
        <v>169.39957346001515</v>
      </c>
      <c r="BC61" s="29">
        <f t="shared" si="79"/>
        <v>91.567337005413577</v>
      </c>
      <c r="BD61" s="29">
        <f t="shared" si="80"/>
        <v>13.735100550812037</v>
      </c>
      <c r="BE61" s="29">
        <f t="shared" si="81"/>
        <v>9.6145703855684257</v>
      </c>
      <c r="BF61" s="29">
        <f t="shared" si="90"/>
        <v>634.95000000000005</v>
      </c>
      <c r="BG61" s="29">
        <f t="shared" si="82"/>
        <v>114.75</v>
      </c>
      <c r="BH61" s="29">
        <f t="shared" si="82"/>
        <v>15.3</v>
      </c>
      <c r="BI61" s="29">
        <f t="shared" si="82"/>
        <v>0</v>
      </c>
      <c r="BJ61" s="29">
        <f>SUM(BB$52:BB61)+BF61</f>
        <v>1361.4748095706684</v>
      </c>
      <c r="BK61" s="29">
        <f>SUM(BC$52:BC61)+BG61</f>
        <v>442.64128163798091</v>
      </c>
      <c r="BL61" s="29">
        <f>SUM(BD$52:BD61)+BH61</f>
        <v>89.922527693661536</v>
      </c>
      <c r="BM61" s="29">
        <f>SUM(BE$52:BE61)+BI61</f>
        <v>14.077516213616466</v>
      </c>
      <c r="BN61" s="29">
        <f>SUM(BT$52:BT61)</f>
        <v>18.960622694134962</v>
      </c>
      <c r="BO61" s="17">
        <f t="shared" si="83"/>
        <v>9.1673284824297632</v>
      </c>
      <c r="BP61" s="17">
        <f t="shared" si="84"/>
        <v>0.99937571845828821</v>
      </c>
      <c r="BQ61" s="17">
        <f t="shared" si="85"/>
        <v>1</v>
      </c>
      <c r="BR61" s="17">
        <f t="shared" si="91"/>
        <v>0</v>
      </c>
      <c r="BS61" s="17">
        <f t="shared" si="86"/>
        <v>80</v>
      </c>
      <c r="BT61" s="17">
        <f t="shared" si="92"/>
        <v>0</v>
      </c>
      <c r="BV61" s="17">
        <f t="shared" si="87"/>
        <v>30.995547060259931</v>
      </c>
      <c r="BW61" s="17">
        <v>57</v>
      </c>
      <c r="BX61" s="17">
        <f>'[1]资源-钻石'!L60/$B$2*$B$12*10</f>
        <v>918.57197702132692</v>
      </c>
      <c r="BY61" s="17">
        <f>'[1]资源-钻石'!M60/$B$2*$B$12*10</f>
        <v>1106.1646646824258</v>
      </c>
      <c r="BZ61" s="17">
        <f>'[1]资源-钻石'!N60/$B$2*$B$12*10</f>
        <v>1492.2696221693113</v>
      </c>
      <c r="CA61" s="17">
        <f>'[1]资源-钻石'!O60/$B$2*$B$12*10</f>
        <v>2865.1537766605989</v>
      </c>
      <c r="CB61" s="17">
        <f>'[1]资源-钻石'!P60/$B$2*$B$12*10</f>
        <v>4093.82075216875</v>
      </c>
      <c r="CD61" s="17">
        <v>57</v>
      </c>
      <c r="CE61" s="17">
        <f>'[1]资源-钻石'!L60/$B$2*$C$12*10</f>
        <v>372.07978816053748</v>
      </c>
      <c r="CF61" s="17">
        <f>'[1]资源-钻石'!M60/$B$2*$C$12*10</f>
        <v>448.06669961819779</v>
      </c>
      <c r="CG61" s="17">
        <f>'[1]资源-钻石'!N60/$B$2*$C$12*10</f>
        <v>604.46364442301206</v>
      </c>
      <c r="CH61" s="17">
        <f>'[1]资源-钻石'!O60/$B$2*$C$12*10</f>
        <v>1160.5686183941666</v>
      </c>
      <c r="CI61" s="17">
        <f>'[1]资源-钻石'!P60/$B$2*$C$12*10</f>
        <v>1658.256507207595</v>
      </c>
      <c r="CO61" s="17">
        <v>105</v>
      </c>
      <c r="CP61" s="17">
        <f>INDEX(节奏总纲!$Q$4:$Q$163,CO61,1)</f>
        <v>1234.8570951595132</v>
      </c>
      <c r="CQ61" s="17">
        <f t="shared" ref="CQ61:CU70" si="95">CQ25*($B$2-500)/$B$2</f>
        <v>0.23511411179201164</v>
      </c>
      <c r="CR61" s="17">
        <f t="shared" si="95"/>
        <v>0.23511411179201164</v>
      </c>
      <c r="CS61" s="17">
        <f t="shared" si="95"/>
        <v>0.23511411179201164</v>
      </c>
      <c r="CT61" s="17">
        <f t="shared" si="95"/>
        <v>0.23511411179201164</v>
      </c>
      <c r="CU61" s="17">
        <f t="shared" si="95"/>
        <v>0.23511411179201164</v>
      </c>
      <c r="CW61" s="17">
        <v>58</v>
      </c>
      <c r="CX61" s="17">
        <f t="shared" si="62"/>
        <v>0.38182892512955574</v>
      </c>
      <c r="CY61" s="17">
        <f t="shared" si="63"/>
        <v>0.38182892512955574</v>
      </c>
      <c r="CZ61" s="17">
        <f t="shared" si="64"/>
        <v>0.38182892512955574</v>
      </c>
      <c r="DA61" s="17">
        <f t="shared" si="65"/>
        <v>0.38182892512955574</v>
      </c>
      <c r="DB61" s="17">
        <f t="shared" si="66"/>
        <v>0.38182892512955574</v>
      </c>
    </row>
    <row r="62" spans="1:106" x14ac:dyDescent="0.15">
      <c r="H62" s="16">
        <v>14</v>
      </c>
      <c r="I62" s="29">
        <f>IF(基础状态预期!C72="","",基础状态预期!C72)</f>
        <v>102</v>
      </c>
      <c r="J62" s="29">
        <f>IF(基础状态预期!D72="","",基础状态预期!D72)</f>
        <v>68.923431594456531</v>
      </c>
      <c r="K62" s="29" t="str">
        <f>IF(基础状态预期!F72="","",基础状态预期!F72)</f>
        <v/>
      </c>
      <c r="L62" s="29" t="str">
        <f>IF(基础状态预期!G72="","",基础状态预期!G72)</f>
        <v/>
      </c>
      <c r="M62" s="29" t="str">
        <f>IF(基础状态预期!H72="","",基础状态预期!H72)</f>
        <v/>
      </c>
      <c r="N62" s="29">
        <f>IF(基础状态预期!I72="","",基础状态预期!I72)</f>
        <v>2</v>
      </c>
      <c r="O62" s="29">
        <f>IF(基础状态预期!J72="","",基础状态预期!J72)</f>
        <v>4</v>
      </c>
      <c r="P62" s="29">
        <f>武将进阶!O59</f>
        <v>0</v>
      </c>
      <c r="Q62" s="29">
        <f>武将进阶!P59</f>
        <v>0</v>
      </c>
      <c r="R62" s="29">
        <f>武将进阶!Q59</f>
        <v>36.166494330678269</v>
      </c>
      <c r="S62" s="29">
        <f>武将进阶!R59</f>
        <v>90.499482992034814</v>
      </c>
      <c r="T62" s="29">
        <f>武将进阶!S59</f>
        <v>0</v>
      </c>
      <c r="U62" s="29">
        <f>武将觉醒!T60</f>
        <v>0</v>
      </c>
      <c r="V62" s="29">
        <f>武将觉醒!U60</f>
        <v>0</v>
      </c>
      <c r="W62" s="29">
        <f>武将觉醒!V60</f>
        <v>0</v>
      </c>
      <c r="X62" s="29">
        <f>武将觉醒!W60</f>
        <v>14</v>
      </c>
      <c r="Y62" s="29">
        <f>武将觉醒!X60</f>
        <v>0</v>
      </c>
      <c r="Z62" s="29"/>
      <c r="AA62" s="29">
        <f>IF(L62="",0,同名需求(L62,武将升星!P59,B$6)+武将升星!U59)</f>
        <v>0</v>
      </c>
      <c r="AB62" s="29">
        <f>IF(M62="",0,同名需求(M62,武将升星!Q59,C$6)+武将升星!V59)</f>
        <v>0</v>
      </c>
      <c r="AC62" s="59">
        <f>IF(N62="",0,同名需求(N62,武将升星!R59,D$6*0.6)+武将升星!W59)</f>
        <v>102.34958971510014</v>
      </c>
      <c r="AD62" s="29">
        <f>IF(O62="",0,同名需求(O62,武将升星!S59,E$6)+武将升星!X59)</f>
        <v>22.215767700029858</v>
      </c>
      <c r="AE62" s="29">
        <f>MAX(U62+P62+IF(K62="",0,K62)*武将升星!O59,Z62)</f>
        <v>0</v>
      </c>
      <c r="AF62" s="29">
        <f>MAX(V62+Q62+IF(L62="",0,L62)*武将升星!P59,AA62)</f>
        <v>0</v>
      </c>
      <c r="AG62" s="29">
        <f>MAX(W62+R62+IF(M62="",0,M62)*武将升星!Q59,AB62)</f>
        <v>36.166494330678269</v>
      </c>
      <c r="AH62" s="29">
        <f>MAX(X62+S62+IF(N62="",0,N62)*武将升星!R59,AC62)</f>
        <v>117.83472884087013</v>
      </c>
      <c r="AI62" s="45">
        <f t="shared" si="70"/>
        <v>22.215767700029858</v>
      </c>
      <c r="AJ62" s="29">
        <f t="shared" si="71"/>
        <v>349450.65231817792</v>
      </c>
      <c r="AK62" s="14" t="e">
        <f>AJ62/求节点('[1]资源-钻石'!$K$4:$K$113,'[1]资源-钻石'!$M$4:$M$113,J62)</f>
        <v>#VALUE!</v>
      </c>
      <c r="AL62" s="16">
        <f t="shared" si="72"/>
        <v>0.13678608814134319</v>
      </c>
      <c r="AM62" s="16"/>
      <c r="AN62" s="16"/>
      <c r="AO62" s="16"/>
      <c r="AP62" s="17">
        <v>14</v>
      </c>
      <c r="AR62" s="16">
        <f t="shared" si="88"/>
        <v>11.893681383139771</v>
      </c>
      <c r="AS62" s="29">
        <f>IF(基础状态预期!C72="","",基础状态预期!C72)</f>
        <v>102</v>
      </c>
      <c r="AT62" s="29">
        <f>求节点(节奏总纲!$Q$4:$Q$163,其他调用!$D$4:$D$163,$AS62)*求节点($CP$5:$CP$36,$CR$5:$CR$36,AS17)</f>
        <v>364858.59478629759</v>
      </c>
      <c r="AU62" s="37">
        <f t="shared" si="94"/>
        <v>0</v>
      </c>
      <c r="AV62" s="37">
        <f t="shared" si="74"/>
        <v>1</v>
      </c>
      <c r="AW62" s="38">
        <f t="shared" si="75"/>
        <v>0.4933333333333334</v>
      </c>
      <c r="AX62" s="38">
        <f t="shared" si="76"/>
        <v>0.26666666666666666</v>
      </c>
      <c r="AY62" s="38">
        <f t="shared" si="77"/>
        <v>0.04</v>
      </c>
      <c r="AZ62" s="38">
        <f t="shared" si="78"/>
        <v>2.8000000000000001E-2</v>
      </c>
      <c r="BA62" s="29">
        <f t="shared" si="93"/>
        <v>69756.441312114766</v>
      </c>
      <c r="BB62" s="29">
        <f t="shared" si="89"/>
        <v>143.38824047490257</v>
      </c>
      <c r="BC62" s="29">
        <f t="shared" si="79"/>
        <v>77.507157013460841</v>
      </c>
      <c r="BD62" s="29">
        <f t="shared" si="80"/>
        <v>11.626073552019127</v>
      </c>
      <c r="BE62" s="29">
        <f t="shared" si="81"/>
        <v>8.1382514864133899</v>
      </c>
      <c r="BF62" s="29">
        <f t="shared" si="90"/>
        <v>846.6</v>
      </c>
      <c r="BG62" s="29">
        <f t="shared" si="82"/>
        <v>153</v>
      </c>
      <c r="BH62" s="29">
        <f t="shared" si="82"/>
        <v>20.400000000000002</v>
      </c>
      <c r="BI62" s="29">
        <f t="shared" si="82"/>
        <v>0</v>
      </c>
      <c r="BJ62" s="29">
        <f>SUM(BB$52:BB62)+BF62</f>
        <v>1716.5130500455709</v>
      </c>
      <c r="BK62" s="29">
        <f>SUM(BC$52:BC62)+BG62</f>
        <v>558.39843865144178</v>
      </c>
      <c r="BL62" s="29">
        <f>SUM(BD$52:BD62)+BH62</f>
        <v>106.64860124568067</v>
      </c>
      <c r="BM62" s="29">
        <f>SUM(BE$52:BE62)+BI62</f>
        <v>22.215767700029858</v>
      </c>
      <c r="BN62" s="29">
        <f>SUM(BT$52:BT62)</f>
        <v>18.960622694134962</v>
      </c>
      <c r="BO62" s="17">
        <f t="shared" si="83"/>
        <v>15.439661736243529</v>
      </c>
      <c r="BP62" s="17">
        <f t="shared" si="84"/>
        <v>0.90506934835573172</v>
      </c>
      <c r="BQ62" s="17">
        <f t="shared" si="85"/>
        <v>1</v>
      </c>
      <c r="BR62" s="17">
        <f t="shared" si="91"/>
        <v>0</v>
      </c>
      <c r="BS62" s="17">
        <f t="shared" si="86"/>
        <v>80</v>
      </c>
      <c r="BT62" s="17">
        <f t="shared" si="92"/>
        <v>0</v>
      </c>
      <c r="BV62" s="17">
        <f t="shared" si="87"/>
        <v>16.149118253645852</v>
      </c>
      <c r="BW62" s="17">
        <v>58</v>
      </c>
      <c r="BX62" s="17">
        <f>'[1]资源-钻石'!L61/$B$2*$B$12*10</f>
        <v>981.87428544246188</v>
      </c>
      <c r="BY62" s="17">
        <f>'[1]资源-钻石'!M61/$B$2*$B$12*10</f>
        <v>1180.0921602697604</v>
      </c>
      <c r="BZ62" s="17">
        <f>'[1]资源-钻石'!N61/$B$2*$B$12*10</f>
        <v>1592.432267016402</v>
      </c>
      <c r="CA62" s="17">
        <f>'[1]资源-钻石'!O61/$B$2*$B$12*10</f>
        <v>3044.4540875887424</v>
      </c>
      <c r="CB62" s="17">
        <f>'[1]资源-钻石'!P61/$B$2*$B$12*10</f>
        <v>4323.8442323449381</v>
      </c>
      <c r="CD62" s="17">
        <v>58</v>
      </c>
      <c r="CE62" s="17">
        <f>'[1]资源-钻石'!L61/$B$2*$C$12*10</f>
        <v>397.72122954631368</v>
      </c>
      <c r="CF62" s="17">
        <f>'[1]资源-钻石'!M61/$B$2*$C$12*10</f>
        <v>478.01201428648528</v>
      </c>
      <c r="CG62" s="17">
        <f>'[1]资源-钻石'!N61/$B$2*$C$12*10</f>
        <v>645.03585499398559</v>
      </c>
      <c r="CH62" s="17">
        <f>'[1]资源-钻石'!O61/$B$2*$C$12*10</f>
        <v>1233.1965924410094</v>
      </c>
      <c r="CI62" s="17">
        <f>'[1]资源-钻石'!P61/$B$2*$C$12*10</f>
        <v>1751.4305751270638</v>
      </c>
      <c r="CO62" s="17">
        <v>110</v>
      </c>
      <c r="CP62" s="17">
        <f>INDEX(节奏总纲!$Q$4:$Q$163,CO62,1)</f>
        <v>1741.3829000000001</v>
      </c>
      <c r="CQ62" s="17">
        <f t="shared" si="95"/>
        <v>0.23041182955617134</v>
      </c>
      <c r="CR62" s="17">
        <f t="shared" si="95"/>
        <v>0.23041182955617134</v>
      </c>
      <c r="CS62" s="17">
        <f t="shared" si="95"/>
        <v>0.23041182955617134</v>
      </c>
      <c r="CT62" s="17">
        <f t="shared" si="95"/>
        <v>0.23041182955617134</v>
      </c>
      <c r="CU62" s="17">
        <f t="shared" si="95"/>
        <v>0.23041182955617134</v>
      </c>
      <c r="CW62" s="17">
        <v>59</v>
      </c>
      <c r="CX62" s="17">
        <f t="shared" si="62"/>
        <v>0.3779530855327316</v>
      </c>
      <c r="CY62" s="17">
        <f t="shared" si="63"/>
        <v>0.3779530855327316</v>
      </c>
      <c r="CZ62" s="17">
        <f t="shared" si="64"/>
        <v>0.3779530855327316</v>
      </c>
      <c r="DA62" s="17">
        <f t="shared" si="65"/>
        <v>0.3779530855327316</v>
      </c>
      <c r="DB62" s="17">
        <f t="shared" si="66"/>
        <v>0.3779530855327316</v>
      </c>
    </row>
    <row r="63" spans="1:106" x14ac:dyDescent="0.15">
      <c r="H63" s="17">
        <v>15</v>
      </c>
      <c r="I63" s="29">
        <f>IF(基础状态预期!C73="","",基础状态预期!C73)</f>
        <v>127.5</v>
      </c>
      <c r="J63" s="29">
        <f>IF(基础状态预期!D73="","",基础状态预期!D73)</f>
        <v>72.103942950990486</v>
      </c>
      <c r="K63" s="29" t="str">
        <f>IF(基础状态预期!F73="","",基础状态预期!F73)</f>
        <v/>
      </c>
      <c r="L63" s="29" t="str">
        <f>IF(基础状态预期!G73="","",基础状态预期!G73)</f>
        <v/>
      </c>
      <c r="M63" s="29" t="str">
        <f>IF(基础状态预期!H73="","",基础状态预期!H73)</f>
        <v/>
      </c>
      <c r="N63" s="29">
        <f>IF(基础状态预期!I73="","",基础状态预期!I73)</f>
        <v>1</v>
      </c>
      <c r="O63" s="29">
        <f>IF(基础状态预期!J73="","",基础状态预期!J73)</f>
        <v>5</v>
      </c>
      <c r="P63" s="29">
        <f>武将进阶!O60</f>
        <v>0</v>
      </c>
      <c r="Q63" s="29">
        <f>武将进阶!P60</f>
        <v>0</v>
      </c>
      <c r="R63" s="29">
        <f>武将进阶!Q60</f>
        <v>19.609892616475435</v>
      </c>
      <c r="S63" s="29">
        <f>武将进阶!R60</f>
        <v>124.57419462356575</v>
      </c>
      <c r="T63" s="29">
        <f>武将进阶!S60</f>
        <v>0</v>
      </c>
      <c r="U63" s="29">
        <f>武将觉醒!T61</f>
        <v>0</v>
      </c>
      <c r="V63" s="29">
        <f>武将觉醒!U61</f>
        <v>0</v>
      </c>
      <c r="W63" s="29">
        <f>武将觉醒!V61</f>
        <v>0</v>
      </c>
      <c r="X63" s="29">
        <f>武将觉醒!W61</f>
        <v>16</v>
      </c>
      <c r="Y63" s="29">
        <f>武将觉醒!X61</f>
        <v>0</v>
      </c>
      <c r="Z63" s="29"/>
      <c r="AA63" s="29">
        <f>IF(L63="",0,同名需求(L63,武将升星!P60,B$6)+武将升星!U60)</f>
        <v>0</v>
      </c>
      <c r="AB63" s="29">
        <f>IF(M63="",0,同名需求(M63,武将升星!Q60,C$6)+武将升星!V60)</f>
        <v>0</v>
      </c>
      <c r="AC63" s="59">
        <f>IF(N63="",0,同名需求(N63,武将升星!R60,D$6*0.6)+武将升星!W60)</f>
        <v>112.0705029473682</v>
      </c>
      <c r="AD63" s="29">
        <f>IF(O63="",0,同名需求(O63,武将升星!S60,E$6)+武将升星!X60)</f>
        <v>28.914479121404856</v>
      </c>
      <c r="AE63" s="29">
        <f>MAX(U63+P63+IF(K63="",0,K63)*武将升星!O60,Z63)</f>
        <v>0</v>
      </c>
      <c r="AF63" s="29">
        <f>MAX(V63+Q63+IF(L63="",0,L63)*武将升星!P60,AA63)</f>
        <v>0</v>
      </c>
      <c r="AG63" s="29">
        <f>MAX(W63+R63+IF(M63="",0,M63)*武将升星!Q60,AB63)</f>
        <v>19.609892616475435</v>
      </c>
      <c r="AH63" s="29">
        <f>MAX(X63+S63+IF(N63="",0,N63)*武将升星!R60,AC63)</f>
        <v>147.82860105777627</v>
      </c>
      <c r="AI63" s="45">
        <f t="shared" si="70"/>
        <v>28.914479121404856</v>
      </c>
      <c r="AJ63" s="29">
        <f t="shared" si="71"/>
        <v>441532.07990287762</v>
      </c>
      <c r="AK63" s="14" t="e">
        <f>AJ63/求节点('[1]资源-钻石'!$K$4:$K$113,'[1]资源-钻石'!$M$4:$M$113,J63)</f>
        <v>#VALUE!</v>
      </c>
      <c r="AL63" s="16">
        <f t="shared" si="72"/>
        <v>0.14276727220109023</v>
      </c>
      <c r="AM63" s="16"/>
      <c r="AN63" s="16"/>
      <c r="AO63" s="16"/>
      <c r="AP63" s="17">
        <v>15</v>
      </c>
      <c r="AR63" s="16">
        <f t="shared" si="88"/>
        <v>9.7898595854950639</v>
      </c>
      <c r="AS63" s="29">
        <f>IF(基础状态预期!C73="","",基础状态预期!C73)</f>
        <v>127.5</v>
      </c>
      <c r="AT63" s="29">
        <f>求节点(节奏总纲!$Q$4:$Q$163,其他调用!$D$4:$D$163,$AS63)*求节点($CP$5:$CP$36,$CR$5:$CR$36,AS18)</f>
        <v>422276.12125522614</v>
      </c>
      <c r="AU63" s="37">
        <f t="shared" si="94"/>
        <v>0</v>
      </c>
      <c r="AV63" s="37">
        <f t="shared" si="74"/>
        <v>1</v>
      </c>
      <c r="AW63" s="38">
        <f t="shared" si="75"/>
        <v>0.4933333333333334</v>
      </c>
      <c r="AX63" s="38">
        <f t="shared" si="76"/>
        <v>0.26666666666666666</v>
      </c>
      <c r="AY63" s="38">
        <f t="shared" si="77"/>
        <v>0.04</v>
      </c>
      <c r="AZ63" s="38">
        <f t="shared" si="78"/>
        <v>2.8000000000000001E-2</v>
      </c>
      <c r="BA63" s="29">
        <f t="shared" si="93"/>
        <v>57417.526468928554</v>
      </c>
      <c r="BB63" s="29">
        <f t="shared" si="89"/>
        <v>118.02491551946426</v>
      </c>
      <c r="BC63" s="29">
        <f t="shared" si="79"/>
        <v>63.797251632142832</v>
      </c>
      <c r="BD63" s="29">
        <f t="shared" si="80"/>
        <v>9.5695877448214262</v>
      </c>
      <c r="BE63" s="29">
        <f t="shared" si="81"/>
        <v>6.6987114213749974</v>
      </c>
      <c r="BF63" s="29">
        <f t="shared" si="90"/>
        <v>1058.25</v>
      </c>
      <c r="BG63" s="29">
        <f t="shared" si="82"/>
        <v>191.25</v>
      </c>
      <c r="BH63" s="29">
        <f t="shared" si="82"/>
        <v>25.5</v>
      </c>
      <c r="BI63" s="29">
        <f t="shared" si="82"/>
        <v>0</v>
      </c>
      <c r="BJ63" s="29">
        <f>SUM(BB$52:BB63)+BF63</f>
        <v>2046.187965565035</v>
      </c>
      <c r="BK63" s="29">
        <f>SUM(BC$52:BC63)+BG63</f>
        <v>660.44569028358455</v>
      </c>
      <c r="BL63" s="29">
        <f>SUM(BD$52:BD63)+BH63</f>
        <v>121.31818899050208</v>
      </c>
      <c r="BM63" s="29">
        <f>SUM(BE$52:BE63)+BI63</f>
        <v>28.914479121404856</v>
      </c>
      <c r="BN63" s="29">
        <f>SUM(BT$52:BT63)</f>
        <v>18.960622694134962</v>
      </c>
      <c r="BO63" s="17">
        <f t="shared" si="83"/>
        <v>33.67920993757533</v>
      </c>
      <c r="BP63" s="17">
        <f t="shared" si="84"/>
        <v>0.82066790947366774</v>
      </c>
      <c r="BQ63" s="17">
        <f t="shared" si="85"/>
        <v>1</v>
      </c>
      <c r="BR63" s="17">
        <f t="shared" si="91"/>
        <v>0</v>
      </c>
      <c r="BS63" s="17">
        <f t="shared" si="86"/>
        <v>80</v>
      </c>
      <c r="BT63" s="17">
        <f t="shared" si="92"/>
        <v>0</v>
      </c>
      <c r="BV63" s="17">
        <f t="shared" si="87"/>
        <v>-3.2560056330636655</v>
      </c>
      <c r="BW63" s="17">
        <v>59</v>
      </c>
      <c r="BX63" s="17">
        <f>'[1]资源-钻石'!L62/$B$2*$B$12*10</f>
        <v>1049.7200197255231</v>
      </c>
      <c r="BY63" s="17">
        <f>'[1]资源-钻石'!M62/$B$2*$B$12*10</f>
        <v>1261.7816707508152</v>
      </c>
      <c r="BZ63" s="17">
        <f>'[1]资源-钻石'!N62/$B$2*$B$12*10</f>
        <v>1700.9697334798611</v>
      </c>
      <c r="CA63" s="17">
        <f>'[1]资源-钻石'!O62/$B$2*$B$12*10</f>
        <v>3239.2462167905942</v>
      </c>
      <c r="CB63" s="17">
        <f>'[1]资源-钻石'!P62/$B$2*$B$12*10</f>
        <v>4577.445469992248</v>
      </c>
      <c r="CD63" s="17">
        <v>59</v>
      </c>
      <c r="CE63" s="17">
        <f>'[1]资源-钻石'!L62/$B$2*$C$12*10</f>
        <v>425.20304596476888</v>
      </c>
      <c r="CF63" s="17">
        <f>'[1]资源-钻石'!M62/$B$2*$C$12*10</f>
        <v>511.1014362534948</v>
      </c>
      <c r="CG63" s="17">
        <f>'[1]资源-钻石'!N62/$B$2*$C$12*10</f>
        <v>689.00039837158931</v>
      </c>
      <c r="CH63" s="17">
        <f>'[1]资源-钻石'!O62/$B$2*$C$12*10</f>
        <v>1312.0997333835319</v>
      </c>
      <c r="CI63" s="17">
        <f>'[1]资源-钻石'!P62/$B$2*$C$12*10</f>
        <v>1854.1551270854677</v>
      </c>
      <c r="CO63" s="17">
        <v>115</v>
      </c>
      <c r="CP63" s="17">
        <f>INDEX(节奏总纲!$Q$4:$Q$163,CO63,1)</f>
        <v>2463.0396859421021</v>
      </c>
      <c r="CQ63" s="17">
        <f t="shared" si="95"/>
        <v>0.22580359296504793</v>
      </c>
      <c r="CR63" s="17">
        <f t="shared" si="95"/>
        <v>0.22580359296504793</v>
      </c>
      <c r="CS63" s="17">
        <f t="shared" si="95"/>
        <v>0.22580359296504793</v>
      </c>
      <c r="CT63" s="17">
        <f t="shared" si="95"/>
        <v>0.22580359296504793</v>
      </c>
      <c r="CU63" s="17">
        <f t="shared" si="95"/>
        <v>0.22580359296504793</v>
      </c>
      <c r="CW63" s="17">
        <v>60</v>
      </c>
      <c r="CX63" s="17">
        <f t="shared" si="62"/>
        <v>0.37407724593590741</v>
      </c>
      <c r="CY63" s="17">
        <f t="shared" si="63"/>
        <v>0.37407724593590741</v>
      </c>
      <c r="CZ63" s="17">
        <f t="shared" si="64"/>
        <v>0.37407724593590741</v>
      </c>
      <c r="DA63" s="17">
        <f t="shared" si="65"/>
        <v>0.37407724593590741</v>
      </c>
      <c r="DB63" s="17">
        <f t="shared" si="66"/>
        <v>0.37407724593590741</v>
      </c>
    </row>
    <row r="64" spans="1:106" x14ac:dyDescent="0.15">
      <c r="H64" s="16">
        <v>16</v>
      </c>
      <c r="I64" s="29">
        <f>IF(基础状态预期!C74="","",基础状态预期!C74)</f>
        <v>153</v>
      </c>
      <c r="J64" s="29">
        <f>IF(基础状态预期!D74="","",基础状态预期!D74)</f>
        <v>74.74003809013405</v>
      </c>
      <c r="K64" s="29" t="str">
        <f>IF(基础状态预期!F74="","",基础状态预期!F74)</f>
        <v/>
      </c>
      <c r="L64" s="29" t="str">
        <f>IF(基础状态预期!G74="","",基础状态预期!G74)</f>
        <v/>
      </c>
      <c r="M64" s="29" t="str">
        <f>IF(基础状态预期!H74="","",基础状态预期!H74)</f>
        <v/>
      </c>
      <c r="N64" s="29">
        <f>IF(基础状态预期!I74="","",基础状态预期!I74)</f>
        <v>0.5</v>
      </c>
      <c r="O64" s="29">
        <f>IF(基础状态预期!J74="","",基础状态预期!J74)</f>
        <v>5.5</v>
      </c>
      <c r="P64" s="29">
        <f>武将进阶!O61</f>
        <v>0</v>
      </c>
      <c r="Q64" s="29">
        <f>武将进阶!P61</f>
        <v>0</v>
      </c>
      <c r="R64" s="29">
        <f>武将进阶!Q61</f>
        <v>10.437609141632173</v>
      </c>
      <c r="S64" s="29">
        <f>武将进阶!R61</f>
        <v>147.47055083693084</v>
      </c>
      <c r="T64" s="29">
        <f>武将进阶!S61</f>
        <v>0</v>
      </c>
      <c r="U64" s="29">
        <f>武将觉醒!T62</f>
        <v>0</v>
      </c>
      <c r="V64" s="29">
        <f>武将觉醒!U62</f>
        <v>0</v>
      </c>
      <c r="W64" s="29">
        <f>武将觉醒!V62</f>
        <v>0</v>
      </c>
      <c r="X64" s="29">
        <f>武将觉醒!W62</f>
        <v>17</v>
      </c>
      <c r="Y64" s="29">
        <f>武将觉醒!X62</f>
        <v>0</v>
      </c>
      <c r="Z64" s="29"/>
      <c r="AA64" s="29">
        <f>IF(L64="",0,同名需求(L64,武将升星!P61,B$6)+武将升星!U61)</f>
        <v>0</v>
      </c>
      <c r="AB64" s="29">
        <f>IF(M64="",0,同名需求(M64,武将升星!Q61,C$6)+武将升星!V61)</f>
        <v>0</v>
      </c>
      <c r="AC64" s="59">
        <f>IF(N64="",0,同名需求(N64,武将升星!R61,D$6*0.6)+武将升星!W61)</f>
        <v>124.11449926197815</v>
      </c>
      <c r="AD64" s="29">
        <f>IF(O64="",0,同名需求(O64,武将升星!S61,E$6)+武将升星!X61)</f>
        <v>37.964942881309739</v>
      </c>
      <c r="AE64" s="29">
        <f>MAX(U64+P64+IF(K64="",0,K64)*武将升星!O61,Z64)</f>
        <v>0</v>
      </c>
      <c r="AF64" s="29">
        <f>MAX(V64+Q64+IF(L64="",0,L64)*武将升星!P61,AA64)</f>
        <v>0</v>
      </c>
      <c r="AG64" s="29">
        <f>MAX(W64+R64+IF(M64="",0,M64)*武将升星!Q61,AB64)</f>
        <v>10.437609141632173</v>
      </c>
      <c r="AH64" s="29">
        <f>MAX(X64+S64+IF(N64="",0,N64)*武将升星!R61,AC64)</f>
        <v>168.3810412498398</v>
      </c>
      <c r="AI64" s="45">
        <f t="shared" si="70"/>
        <v>37.964942881309739</v>
      </c>
      <c r="AJ64" s="29">
        <f t="shared" si="71"/>
        <v>518009.32764354476</v>
      </c>
      <c r="AK64" s="14" t="e">
        <f>AJ64/求节点('[1]资源-钻石'!$K$4:$K$113,'[1]资源-钻石'!$M$4:$M$113,J64)</f>
        <v>#VALUE!</v>
      </c>
      <c r="AL64" s="16">
        <f t="shared" si="72"/>
        <v>0.13697029840258046</v>
      </c>
      <c r="AM64" s="16"/>
      <c r="AN64" s="16"/>
      <c r="AO64" s="16"/>
      <c r="AP64" s="17">
        <v>16</v>
      </c>
      <c r="AR64" s="16">
        <f t="shared" si="88"/>
        <v>9.2730023428996216</v>
      </c>
      <c r="AS64" s="29">
        <f>IF(基础状态预期!C74="","",基础状态预期!C74)</f>
        <v>153</v>
      </c>
      <c r="AT64" s="29">
        <f>求节点(节奏总纲!$Q$4:$Q$163,其他调用!$D$4:$D$163,$AS64)*求节点($CP$5:$CP$36,$CR$5:$CR$36,AS19)</f>
        <v>476662.27999633242</v>
      </c>
      <c r="AU64" s="37">
        <f t="shared" si="94"/>
        <v>0</v>
      </c>
      <c r="AV64" s="37">
        <f t="shared" si="74"/>
        <v>1</v>
      </c>
      <c r="AW64" s="38">
        <f t="shared" si="75"/>
        <v>0.4933333333333334</v>
      </c>
      <c r="AX64" s="38">
        <f t="shared" si="76"/>
        <v>0.26666666666666666</v>
      </c>
      <c r="AY64" s="38">
        <f t="shared" si="77"/>
        <v>0.04</v>
      </c>
      <c r="AZ64" s="38">
        <f t="shared" si="78"/>
        <v>2.8000000000000001E-2</v>
      </c>
      <c r="BA64" s="29">
        <f t="shared" si="93"/>
        <v>54386.158741106279</v>
      </c>
      <c r="BB64" s="29">
        <f t="shared" si="89"/>
        <v>111.79377074560736</v>
      </c>
      <c r="BC64" s="29">
        <f t="shared" si="79"/>
        <v>60.429065267895858</v>
      </c>
      <c r="BD64" s="29">
        <f t="shared" si="80"/>
        <v>9.0643597901843798</v>
      </c>
      <c r="BE64" s="29">
        <f t="shared" si="81"/>
        <v>6.3450518531290658</v>
      </c>
      <c r="BF64" s="29">
        <f t="shared" si="90"/>
        <v>1269.9000000000001</v>
      </c>
      <c r="BG64" s="29">
        <f t="shared" si="82"/>
        <v>229.5</v>
      </c>
      <c r="BH64" s="29">
        <f t="shared" si="82"/>
        <v>30.6</v>
      </c>
      <c r="BI64" s="29">
        <f t="shared" si="82"/>
        <v>0</v>
      </c>
      <c r="BJ64" s="29">
        <f>SUM(BB$52:BB64)+BF64</f>
        <v>2369.6317363106427</v>
      </c>
      <c r="BK64" s="29">
        <f>SUM(BC$52:BC64)+BG64</f>
        <v>759.12475555148046</v>
      </c>
      <c r="BL64" s="29">
        <f>SUM(BD$52:BD64)+BH64</f>
        <v>135.48254878068647</v>
      </c>
      <c r="BM64" s="29">
        <f>SUM(BE$52:BE64)+BI64</f>
        <v>35.259530974533924</v>
      </c>
      <c r="BN64" s="29">
        <f>SUM(BT$52:BT64)</f>
        <v>18.960622694134962</v>
      </c>
      <c r="BO64" s="17">
        <f t="shared" si="83"/>
        <v>72.729754989922242</v>
      </c>
      <c r="BP64" s="17">
        <f t="shared" si="84"/>
        <v>0.80461878472209158</v>
      </c>
      <c r="BQ64" s="17">
        <f t="shared" si="85"/>
        <v>0.9287392077677088</v>
      </c>
      <c r="BR64" s="17">
        <f t="shared" si="91"/>
        <v>0</v>
      </c>
      <c r="BS64" s="17">
        <f t="shared" si="86"/>
        <v>80</v>
      </c>
      <c r="BT64" s="17">
        <f t="shared" si="92"/>
        <v>0</v>
      </c>
      <c r="BV64" s="17">
        <f t="shared" si="87"/>
        <v>-11.988002056244369</v>
      </c>
      <c r="BW64" s="17">
        <v>60</v>
      </c>
      <c r="BX64" s="17">
        <f>'[1]资源-钻石'!L63/$B$2*$B$12*10</f>
        <v>1122.4352772763959</v>
      </c>
      <c r="BY64" s="17">
        <f>'[1]资源-钻石'!M63/$B$2*$B$12*10</f>
        <v>1347.4324589867042</v>
      </c>
      <c r="BZ64" s="17">
        <f>'[1]资源-钻石'!N63/$B$2*$B$12*10</f>
        <v>1816.241535047182</v>
      </c>
      <c r="CA64" s="17">
        <f>'[1]资源-钻石'!O63/$B$2*$B$12*10</f>
        <v>3458.9061465614491</v>
      </c>
      <c r="CB64" s="17">
        <f>'[1]资源-钻石'!P63/$B$2*$B$12*10</f>
        <v>4858.8052495933498</v>
      </c>
      <c r="CD64" s="17">
        <v>60</v>
      </c>
      <c r="CE64" s="17">
        <f>'[1]资源-钻石'!L63/$B$2*$C$12*10</f>
        <v>454.65732750436291</v>
      </c>
      <c r="CF64" s="17">
        <f>'[1]资源-钻石'!M63/$B$2*$C$12*10</f>
        <v>545.79542642499416</v>
      </c>
      <c r="CG64" s="17">
        <f>'[1]资源-钻石'!N63/$B$2*$C$12*10</f>
        <v>735.69277368999781</v>
      </c>
      <c r="CH64" s="17">
        <f>'[1]资源-钻石'!O63/$B$2*$C$12*10</f>
        <v>1401.0759074679288</v>
      </c>
      <c r="CI64" s="17">
        <f>'[1]资源-钻石'!P63/$B$2*$C$12*10</f>
        <v>1968.1236454049013</v>
      </c>
      <c r="CO64" s="17">
        <v>120</v>
      </c>
      <c r="CP64" s="17">
        <f>INDEX(节奏总纲!$Q$4:$Q$163,CO64,1)</f>
        <v>3486.0735</v>
      </c>
      <c r="CQ64" s="17">
        <f t="shared" si="95"/>
        <v>0.22128752110574698</v>
      </c>
      <c r="CR64" s="17">
        <f t="shared" si="95"/>
        <v>0.22128752110574698</v>
      </c>
      <c r="CS64" s="17">
        <f t="shared" si="95"/>
        <v>0.22128752110574698</v>
      </c>
      <c r="CT64" s="17">
        <f t="shared" si="95"/>
        <v>0.22128752110574698</v>
      </c>
      <c r="CU64" s="17">
        <f t="shared" si="95"/>
        <v>0.22128752110574698</v>
      </c>
      <c r="CW64" s="17">
        <v>61</v>
      </c>
      <c r="CX64" s="17">
        <f t="shared" si="62"/>
        <v>0.37032496340744259</v>
      </c>
      <c r="CY64" s="17">
        <f t="shared" si="63"/>
        <v>0.37032496340744259</v>
      </c>
      <c r="CZ64" s="17">
        <f t="shared" si="64"/>
        <v>0.37032496340744259</v>
      </c>
      <c r="DA64" s="17">
        <f t="shared" si="65"/>
        <v>0.37032496340744259</v>
      </c>
      <c r="DB64" s="17">
        <f t="shared" si="66"/>
        <v>0.37032496340744259</v>
      </c>
    </row>
    <row r="65" spans="8:106" x14ac:dyDescent="0.15">
      <c r="H65" s="17">
        <v>17</v>
      </c>
      <c r="I65" s="29">
        <f>IF(基础状态预期!C75="","",基础状态预期!C75)</f>
        <v>187</v>
      </c>
      <c r="J65" s="29">
        <f>IF(基础状态预期!D75="","",基础状态预期!D75)</f>
        <v>77.609642525433856</v>
      </c>
      <c r="K65" s="29" t="str">
        <f>IF(基础状态预期!F75="","",基础状态预期!F75)</f>
        <v/>
      </c>
      <c r="L65" s="29" t="str">
        <f>IF(基础状态预期!G75="","",基础状态预期!G75)</f>
        <v/>
      </c>
      <c r="M65" s="29" t="str">
        <f>IF(基础状态预期!H75="","",基础状态预期!H75)</f>
        <v/>
      </c>
      <c r="N65" s="29" t="str">
        <f>IF(基础状态预期!I75="","",基础状态预期!I75)</f>
        <v/>
      </c>
      <c r="O65" s="29">
        <f>IF(基础状态预期!J75="","",基础状态预期!J75)</f>
        <v>6</v>
      </c>
      <c r="P65" s="29">
        <f>武将进阶!O62</f>
        <v>0</v>
      </c>
      <c r="Q65" s="29">
        <f>武将进阶!P62</f>
        <v>0</v>
      </c>
      <c r="R65" s="29">
        <f>武将进阶!Q62</f>
        <v>0</v>
      </c>
      <c r="S65" s="29">
        <f>武将进阶!R62</f>
        <v>180.78942618312374</v>
      </c>
      <c r="T65" s="29">
        <f>武将进阶!S62</f>
        <v>0</v>
      </c>
      <c r="U65" s="29">
        <f>武将觉醒!T63</f>
        <v>0</v>
      </c>
      <c r="V65" s="29">
        <f>武将觉醒!U63</f>
        <v>0</v>
      </c>
      <c r="W65" s="29">
        <f>武将觉醒!V63</f>
        <v>0</v>
      </c>
      <c r="X65" s="29">
        <f>武将觉醒!W63</f>
        <v>0</v>
      </c>
      <c r="Y65" s="29">
        <f>武将觉醒!X63</f>
        <v>0</v>
      </c>
      <c r="Z65" s="29"/>
      <c r="AA65" s="29">
        <f>IF(L65="",0,同名需求(L65,武将升星!P62,B$6)+武将升星!U62)</f>
        <v>0</v>
      </c>
      <c r="AB65" s="29">
        <f>IF(M65="",0,同名需求(M65,武将升星!Q62,C$6)+武将升星!V62)</f>
        <v>0</v>
      </c>
      <c r="AC65" s="59">
        <f>IF(N65="",0,同名需求(N65,武将升星!R62,D$6*0.6)+武将升星!W62)</f>
        <v>0</v>
      </c>
      <c r="AD65" s="29">
        <f>IF(O65="",0,同名需求(O65,武将升星!S62,E$6)+武将升星!X62)</f>
        <v>43.659794486666655</v>
      </c>
      <c r="AE65" s="29">
        <f>MAX(U65+P65+IF(K65="",0,K65)*武将升星!O62,Z65)</f>
        <v>0</v>
      </c>
      <c r="AF65" s="29">
        <f>MAX(V65+Q65+IF(L65="",0,L65)*武将升星!P62,AA65)</f>
        <v>0</v>
      </c>
      <c r="AG65" s="29">
        <f>MAX(W65+R65+IF(M65="",0,M65)*武将升星!Q62,AB65)</f>
        <v>0</v>
      </c>
      <c r="AH65" s="29">
        <f>MAX(X65+S65+IF(N65="",0,N65)*武将升星!R62,AC65)</f>
        <v>180.78942618312374</v>
      </c>
      <c r="AI65" s="45">
        <f t="shared" si="70"/>
        <v>43.659794486666655</v>
      </c>
      <c r="AJ65" s="29">
        <f t="shared" si="71"/>
        <v>564874.00629949698</v>
      </c>
      <c r="AK65" s="14" t="e">
        <f>AJ65/求节点('[1]资源-钻石'!$K$4:$K$113,'[1]资源-钻石'!$M$4:$M$113,J65)</f>
        <v>#VALUE!</v>
      </c>
      <c r="AL65" s="16" t="e">
        <f t="shared" si="72"/>
        <v>#DIV/0!</v>
      </c>
      <c r="AM65" s="16"/>
      <c r="AN65" s="16"/>
      <c r="AO65" s="16"/>
      <c r="AP65" s="17">
        <v>17</v>
      </c>
      <c r="AR65" s="16">
        <f t="shared" si="88"/>
        <v>9.2074499584940401</v>
      </c>
      <c r="AS65" s="29">
        <f>IF(基础状态预期!C75="","",基础状态预期!C75)</f>
        <v>187</v>
      </c>
      <c r="AT65" s="29">
        <f>求节点(节奏总纲!$Q$4:$Q$163,其他调用!$D$4:$D$163,$AS65)*求节点($CP$5:$CP$36,$CR$5:$CR$36,AS20)</f>
        <v>548664.53867175581</v>
      </c>
      <c r="AU65" s="37">
        <f t="shared" si="94"/>
        <v>0</v>
      </c>
      <c r="AV65" s="37">
        <f t="shared" si="74"/>
        <v>1</v>
      </c>
      <c r="AW65" s="38">
        <f t="shared" si="75"/>
        <v>0.4933333333333334</v>
      </c>
      <c r="AX65" s="38">
        <f t="shared" si="76"/>
        <v>0.26666666666666666</v>
      </c>
      <c r="AY65" s="38">
        <f t="shared" si="77"/>
        <v>0.04</v>
      </c>
      <c r="AZ65" s="38">
        <f t="shared" si="78"/>
        <v>2.8000000000000001E-2</v>
      </c>
      <c r="BA65" s="29">
        <f t="shared" si="93"/>
        <v>72002.258675423393</v>
      </c>
      <c r="BB65" s="29">
        <f t="shared" si="89"/>
        <v>148.00464283281477</v>
      </c>
      <c r="BC65" s="29">
        <f t="shared" si="79"/>
        <v>80.002509639359317</v>
      </c>
      <c r="BD65" s="29">
        <f t="shared" si="80"/>
        <v>12.000376445903898</v>
      </c>
      <c r="BE65" s="29">
        <f t="shared" si="81"/>
        <v>8.4002635121327298</v>
      </c>
      <c r="BF65" s="29">
        <f t="shared" si="90"/>
        <v>1552.1000000000001</v>
      </c>
      <c r="BG65" s="29">
        <f t="shared" si="82"/>
        <v>280.5</v>
      </c>
      <c r="BH65" s="29">
        <f t="shared" si="82"/>
        <v>37.4</v>
      </c>
      <c r="BI65" s="29">
        <f t="shared" si="82"/>
        <v>0</v>
      </c>
      <c r="BJ65" s="29">
        <f>SUM(BB$52:BB65)+BF65</f>
        <v>2799.8363791434576</v>
      </c>
      <c r="BK65" s="29">
        <f>SUM(BC$52:BC65)+BG65</f>
        <v>890.12726519083981</v>
      </c>
      <c r="BL65" s="29">
        <f>SUM(BD$52:BD65)+BH65</f>
        <v>154.28292522659035</v>
      </c>
      <c r="BM65" s="29">
        <f>SUM(BE$52:BE65)+BI65</f>
        <v>43.659794486666655</v>
      </c>
      <c r="BN65" s="29">
        <f>SUM(BT$52:BT65)</f>
        <v>18.960622694134962</v>
      </c>
      <c r="BO65" s="17" t="e">
        <f t="shared" si="83"/>
        <v>#DIV/0!</v>
      </c>
      <c r="BP65" s="17">
        <f t="shared" si="84"/>
        <v>0.85338467234425186</v>
      </c>
      <c r="BQ65" s="17">
        <f t="shared" si="85"/>
        <v>1</v>
      </c>
      <c r="BR65" s="17">
        <f t="shared" si="91"/>
        <v>0</v>
      </c>
      <c r="BS65" s="17">
        <f t="shared" si="86"/>
        <v>80</v>
      </c>
      <c r="BT65" s="17">
        <f t="shared" si="92"/>
        <v>0</v>
      </c>
      <c r="BV65" s="17">
        <f t="shared" si="87"/>
        <v>-26.506500956533387</v>
      </c>
      <c r="BW65" s="17">
        <v>61</v>
      </c>
      <c r="BX65" s="17">
        <f>'[1]资源-钻石'!L64/$B$2*$B$12*10</f>
        <v>1200.3695606409131</v>
      </c>
      <c r="BY65" s="17">
        <f>'[1]资源-钻石'!M64/$B$2*$B$12*10</f>
        <v>1441.4900329549946</v>
      </c>
      <c r="BZ65" s="17">
        <f>'[1]资源-钻石'!N64/$B$2*$B$12*10</f>
        <v>1941.9707512513285</v>
      </c>
      <c r="CA65" s="17">
        <f>'[1]资源-钻石'!O64/$B$2*$B$12*10</f>
        <v>3700.1656893609156</v>
      </c>
      <c r="CB65" s="17">
        <f>'[1]资源-钻石'!P64/$B$2*$B$12*10</f>
        <v>5151.9089695419116</v>
      </c>
      <c r="CD65" s="17">
        <v>61</v>
      </c>
      <c r="CE65" s="17">
        <f>'[1]资源-钻石'!L64/$B$2*$C$12*10</f>
        <v>486.22564481657241</v>
      </c>
      <c r="CF65" s="17">
        <f>'[1]资源-钻石'!M64/$B$2*$C$12*10</f>
        <v>583.8946968931624</v>
      </c>
      <c r="CG65" s="17">
        <f>'[1]资源-钻石'!N64/$B$2*$C$12*10</f>
        <v>786.6210637980065</v>
      </c>
      <c r="CH65" s="17">
        <f>'[1]资源-钻石'!O64/$B$2*$C$12*10</f>
        <v>1498.8012918930292</v>
      </c>
      <c r="CI65" s="17">
        <f>'[1]资源-钻石'!P64/$B$2*$C$12*10</f>
        <v>2086.8492028524197</v>
      </c>
      <c r="CO65" s="17">
        <v>125</v>
      </c>
      <c r="CP65" s="17">
        <f>INDEX(节奏总纲!$Q$4:$Q$163,CO65,1)</f>
        <v>4918.821805632133</v>
      </c>
      <c r="CQ65" s="17">
        <f t="shared" si="95"/>
        <v>0.21686177068363205</v>
      </c>
      <c r="CR65" s="17">
        <f t="shared" si="95"/>
        <v>0.21686177068363205</v>
      </c>
      <c r="CS65" s="17">
        <f t="shared" si="95"/>
        <v>0.21686177068363205</v>
      </c>
      <c r="CT65" s="17">
        <f t="shared" si="95"/>
        <v>0.21686177068363205</v>
      </c>
      <c r="CU65" s="17">
        <f t="shared" si="95"/>
        <v>0.21686177068363205</v>
      </c>
      <c r="CW65" s="17">
        <v>62</v>
      </c>
      <c r="CX65" s="17">
        <f t="shared" si="62"/>
        <v>0.36657268087897782</v>
      </c>
      <c r="CY65" s="17">
        <f t="shared" si="63"/>
        <v>0.36657268087897782</v>
      </c>
      <c r="CZ65" s="17">
        <f t="shared" si="64"/>
        <v>0.36657268087897782</v>
      </c>
      <c r="DA65" s="17">
        <f t="shared" si="65"/>
        <v>0.36657268087897782</v>
      </c>
      <c r="DB65" s="17">
        <f t="shared" si="66"/>
        <v>0.36657268087897782</v>
      </c>
    </row>
    <row r="66" spans="8:106" x14ac:dyDescent="0.15">
      <c r="H66" s="16">
        <v>18</v>
      </c>
      <c r="I66" s="29">
        <f>IF(基础状态预期!C76="","",基础状态预期!C76)</f>
        <v>221</v>
      </c>
      <c r="J66" s="29">
        <f>IF(基础状态预期!D76="","",基础状态预期!D76)</f>
        <v>79.994335665275713</v>
      </c>
      <c r="K66" s="29" t="str">
        <f>IF(基础状态预期!F76="","",基础状态预期!F76)</f>
        <v/>
      </c>
      <c r="L66" s="29" t="str">
        <f>IF(基础状态预期!G76="","",基础状态预期!G76)</f>
        <v/>
      </c>
      <c r="M66" s="29" t="str">
        <f>IF(基础状态预期!H76="","",基础状态预期!H76)</f>
        <v/>
      </c>
      <c r="N66" s="29" t="str">
        <f>IF(基础状态预期!I76="","",基础状态预期!I76)</f>
        <v/>
      </c>
      <c r="O66" s="29">
        <f>IF(基础状态预期!J76="","",基础状态预期!J76)</f>
        <v>6</v>
      </c>
      <c r="P66" s="29">
        <f>武将进阶!O63</f>
        <v>0</v>
      </c>
      <c r="Q66" s="29">
        <f>武将进阶!P63</f>
        <v>0</v>
      </c>
      <c r="R66" s="29">
        <f>武将进阶!Q63</f>
        <v>0</v>
      </c>
      <c r="S66" s="29">
        <f>武将进阶!R63</f>
        <v>197.95921678998519</v>
      </c>
      <c r="T66" s="29">
        <f>武将进阶!S63</f>
        <v>0</v>
      </c>
      <c r="U66" s="29">
        <f>武将觉醒!T64</f>
        <v>0</v>
      </c>
      <c r="V66" s="29">
        <f>武将觉醒!U64</f>
        <v>0</v>
      </c>
      <c r="W66" s="29">
        <f>武将觉醒!V64</f>
        <v>0</v>
      </c>
      <c r="X66" s="29">
        <f>武将觉醒!W64</f>
        <v>0</v>
      </c>
      <c r="Y66" s="29">
        <f>武将觉醒!X64</f>
        <v>0</v>
      </c>
      <c r="Z66" s="29"/>
      <c r="AA66" s="29">
        <f>IF(L66="",0,同名需求(L66,武将升星!P63,B$6)+武将升星!U63)</f>
        <v>0</v>
      </c>
      <c r="AB66" s="29">
        <f>IF(M66="",0,同名需求(M66,武将升星!Q63,C$6)+武将升星!V63)</f>
        <v>0</v>
      </c>
      <c r="AC66" s="59">
        <f>IF(N66="",0,同名需求(N66,武将升星!R63,D$6*0.6)+武将升星!W63)</f>
        <v>0</v>
      </c>
      <c r="AD66" s="29">
        <f>IF(O66="",0,同名需求(O66,武将升星!S63,E$6)+武将升星!X63)</f>
        <v>50.982431468492074</v>
      </c>
      <c r="AE66" s="29">
        <f>MAX(U66+P66+IF(K66="",0,K66)*武将升星!O63,Z66)</f>
        <v>0</v>
      </c>
      <c r="AF66" s="29">
        <f>MAX(V66+Q66+IF(L66="",0,L66)*武将升星!P63,AA66)</f>
        <v>0</v>
      </c>
      <c r="AG66" s="29">
        <f>MAX(W66+R66+IF(M66="",0,M66)*武将升星!Q63,AB66)</f>
        <v>0</v>
      </c>
      <c r="AH66" s="29">
        <f>MAX(X66+S66+IF(N66="",0,N66)*武将升星!R63,AC66)</f>
        <v>197.95921678998519</v>
      </c>
      <c r="AI66" s="45">
        <f t="shared" si="70"/>
        <v>50.982431468492074</v>
      </c>
      <c r="AJ66" s="29">
        <f t="shared" si="71"/>
        <v>628049.4147014406</v>
      </c>
      <c r="AK66" s="14" t="e">
        <f>AJ66/求节点('[1]资源-钻石'!$K$4:$K$113,'[1]资源-钻石'!$M$4:$M$113,J66)</f>
        <v>#VALUE!</v>
      </c>
      <c r="AL66" s="16" t="e">
        <f t="shared" si="72"/>
        <v>#DIV/0!</v>
      </c>
      <c r="AM66" s="16"/>
      <c r="AN66" s="16"/>
      <c r="AO66" s="16"/>
      <c r="AP66" s="17">
        <v>18</v>
      </c>
      <c r="AR66" s="16">
        <f t="shared" si="88"/>
        <v>8.0262736373680141</v>
      </c>
      <c r="AS66" s="29">
        <f>IF(基础状态预期!C76="","",基础状态预期!C76)</f>
        <v>221</v>
      </c>
      <c r="AT66" s="29">
        <f>求节点(节奏总纲!$Q$4:$Q$163,其他调用!$D$4:$D$163,$AS66)*求节点($CP$5:$CP$36,$CR$5:$CR$36,AS21)</f>
        <v>611429.99851597368</v>
      </c>
      <c r="AU66" s="37">
        <f t="shared" si="94"/>
        <v>0</v>
      </c>
      <c r="AV66" s="37">
        <f t="shared" si="74"/>
        <v>1</v>
      </c>
      <c r="AW66" s="38">
        <f t="shared" si="75"/>
        <v>0.4933333333333334</v>
      </c>
      <c r="AX66" s="38">
        <f t="shared" si="76"/>
        <v>0.26666666666666666</v>
      </c>
      <c r="AY66" s="38">
        <f t="shared" si="77"/>
        <v>0.04</v>
      </c>
      <c r="AZ66" s="38">
        <f t="shared" si="78"/>
        <v>2.8000000000000001E-2</v>
      </c>
      <c r="BA66" s="29">
        <f t="shared" si="93"/>
        <v>62765.459844217869</v>
      </c>
      <c r="BB66" s="29">
        <f t="shared" si="89"/>
        <v>129.01788967978118</v>
      </c>
      <c r="BC66" s="29">
        <f t="shared" si="79"/>
        <v>69.739399826908738</v>
      </c>
      <c r="BD66" s="29">
        <f t="shared" si="80"/>
        <v>10.46090997403631</v>
      </c>
      <c r="BE66" s="29">
        <f t="shared" si="81"/>
        <v>7.3226369818254176</v>
      </c>
      <c r="BF66" s="29">
        <f t="shared" si="90"/>
        <v>1834.3000000000002</v>
      </c>
      <c r="BG66" s="29">
        <f t="shared" si="82"/>
        <v>331.5</v>
      </c>
      <c r="BH66" s="29">
        <f t="shared" si="82"/>
        <v>44.2</v>
      </c>
      <c r="BI66" s="29">
        <f t="shared" si="82"/>
        <v>0</v>
      </c>
      <c r="BJ66" s="29">
        <f>SUM(BB$52:BB66)+BF66</f>
        <v>3211.0542688232385</v>
      </c>
      <c r="BK66" s="29">
        <f>SUM(BC$52:BC66)+BG66</f>
        <v>1010.8666650177486</v>
      </c>
      <c r="BL66" s="29">
        <f>SUM(BD$52:BD66)+BH66</f>
        <v>171.54383520062669</v>
      </c>
      <c r="BM66" s="29">
        <f>SUM(BE$52:BE66)+BI66</f>
        <v>50.982431468492074</v>
      </c>
      <c r="BN66" s="29">
        <f>SUM(BT$52:BT66)</f>
        <v>18.960622694134962</v>
      </c>
      <c r="BO66" s="17" t="e">
        <f t="shared" si="83"/>
        <v>#DIV/0!</v>
      </c>
      <c r="BP66" s="17">
        <f t="shared" si="84"/>
        <v>0.86656149676838456</v>
      </c>
      <c r="BQ66" s="17">
        <f t="shared" si="85"/>
        <v>1</v>
      </c>
      <c r="BR66" s="17">
        <f t="shared" si="91"/>
        <v>0</v>
      </c>
      <c r="BS66" s="17">
        <f t="shared" si="86"/>
        <v>80</v>
      </c>
      <c r="BT66" s="17">
        <f t="shared" si="92"/>
        <v>0</v>
      </c>
      <c r="BV66" s="17">
        <f t="shared" si="87"/>
        <v>-26.415381589358503</v>
      </c>
      <c r="BW66" s="17">
        <v>62</v>
      </c>
      <c r="BX66" s="17">
        <f>'[1]资源-钻石'!L65/$B$2*$B$12*10</f>
        <v>1283.8974573727874</v>
      </c>
      <c r="BY66" s="17">
        <f>'[1]资源-钻石'!M65/$B$2*$B$12*10</f>
        <v>1541.1538865522139</v>
      </c>
      <c r="BZ66" s="17">
        <f>'[1]资源-钻石'!N65/$B$2*$B$12*10</f>
        <v>2078.1221727030102</v>
      </c>
      <c r="CA66" s="17">
        <f>'[1]资源-钻石'!O65/$B$2*$B$12*10</f>
        <v>3961.1099494437844</v>
      </c>
      <c r="CB66" s="17">
        <f>'[1]资源-钻石'!P65/$B$2*$B$12*10</f>
        <v>5488.3835405678419</v>
      </c>
      <c r="CD66" s="17">
        <v>62</v>
      </c>
      <c r="CE66" s="17">
        <f>'[1]资源-钻石'!L65/$B$2*$C$12*10</f>
        <v>520.05972956872392</v>
      </c>
      <c r="CF66" s="17">
        <f>'[1]资源-钻石'!M65/$B$2*$C$12*10</f>
        <v>624.26486543887142</v>
      </c>
      <c r="CG66" s="17">
        <f>'[1]资源-钻石'!N65/$B$2*$C$12*10</f>
        <v>841.77100666451042</v>
      </c>
      <c r="CH66" s="17">
        <f>'[1]资源-钻石'!O65/$B$2*$C$12*10</f>
        <v>1604.5002326860899</v>
      </c>
      <c r="CI66" s="17">
        <f>'[1]资源-钻石'!P65/$B$2*$C$12*10</f>
        <v>2223.1426999768473</v>
      </c>
      <c r="CO66" s="17">
        <v>130</v>
      </c>
      <c r="CP66" s="17">
        <f>INDEX(节奏总纲!$Q$4:$Q$163,CO66,1)</f>
        <v>6941.8725000000004</v>
      </c>
      <c r="CQ66" s="17">
        <f t="shared" si="95"/>
        <v>0.2125245352699594</v>
      </c>
      <c r="CR66" s="17">
        <f t="shared" si="95"/>
        <v>0.2125245352699594</v>
      </c>
      <c r="CS66" s="17">
        <f t="shared" si="95"/>
        <v>0.2125245352699594</v>
      </c>
      <c r="CT66" s="17">
        <f t="shared" si="95"/>
        <v>0.2125245352699594</v>
      </c>
      <c r="CU66" s="17">
        <f t="shared" si="95"/>
        <v>0.2125245352699594</v>
      </c>
      <c r="CW66" s="17">
        <v>63</v>
      </c>
      <c r="CX66" s="17">
        <f t="shared" si="62"/>
        <v>0.362820398350513</v>
      </c>
      <c r="CY66" s="17">
        <f t="shared" si="63"/>
        <v>0.362820398350513</v>
      </c>
      <c r="CZ66" s="17">
        <f t="shared" si="64"/>
        <v>0.362820398350513</v>
      </c>
      <c r="DA66" s="17">
        <f t="shared" si="65"/>
        <v>0.362820398350513</v>
      </c>
      <c r="DB66" s="17">
        <f t="shared" si="66"/>
        <v>0.362820398350513</v>
      </c>
    </row>
    <row r="67" spans="8:106" x14ac:dyDescent="0.15">
      <c r="H67" s="17">
        <v>19</v>
      </c>
      <c r="I67" s="29">
        <f>IF(基础状态预期!C77="","",基础状态预期!C77)</f>
        <v>255</v>
      </c>
      <c r="J67" s="29">
        <f>IF(基础状态预期!D77="","",基础状态预期!D77)</f>
        <v>82.100546804797787</v>
      </c>
      <c r="K67" s="29" t="str">
        <f>IF(基础状态预期!F77="","",基础状态预期!F77)</f>
        <v/>
      </c>
      <c r="L67" s="29" t="str">
        <f>IF(基础状态预期!G77="","",基础状态预期!G77)</f>
        <v/>
      </c>
      <c r="M67" s="29" t="str">
        <f>IF(基础状态预期!H77="","",基础状态预期!H77)</f>
        <v/>
      </c>
      <c r="N67" s="29" t="str">
        <f>IF(基础状态预期!I77="","",基础状态预期!I77)</f>
        <v/>
      </c>
      <c r="O67" s="29">
        <f>IF(基础状态预期!J77="","",基础状态预期!J77)</f>
        <v>6</v>
      </c>
      <c r="P67" s="29">
        <f>武将进阶!O64</f>
        <v>0</v>
      </c>
      <c r="Q67" s="29">
        <f>武将进阶!P64</f>
        <v>0</v>
      </c>
      <c r="R67" s="29">
        <f>武将进阶!Q64</f>
        <v>0</v>
      </c>
      <c r="S67" s="29">
        <f>武将进阶!R64</f>
        <v>213.12393699454412</v>
      </c>
      <c r="T67" s="29">
        <f>武将进阶!S64</f>
        <v>0</v>
      </c>
      <c r="U67" s="29">
        <f>武将觉醒!T65</f>
        <v>0</v>
      </c>
      <c r="V67" s="29">
        <f>武将觉醒!U65</f>
        <v>0</v>
      </c>
      <c r="W67" s="29">
        <f>武将觉醒!V65</f>
        <v>0</v>
      </c>
      <c r="X67" s="29">
        <f>武将觉醒!W65</f>
        <v>0</v>
      </c>
      <c r="Y67" s="29">
        <f>武将觉醒!X65</f>
        <v>0</v>
      </c>
      <c r="Z67" s="29"/>
      <c r="AA67" s="29">
        <f>IF(L67="",0,同名需求(L67,武将升星!P64,B$6)+武将升星!U64)</f>
        <v>0</v>
      </c>
      <c r="AB67" s="29">
        <f>IF(M67="",0,同名需求(M67,武将升星!Q64,C$6)+武将升星!V64)</f>
        <v>0</v>
      </c>
      <c r="AC67" s="59">
        <f>IF(N67="",0,同名需求(N67,武将升星!R64,D$6*0.6)+武将升星!W64)</f>
        <v>0</v>
      </c>
      <c r="AD67" s="29">
        <f>IF(O67="",0,同名需求(O67,武将升星!S64,E$6)+武将升星!X64)</f>
        <v>58.439507906941358</v>
      </c>
      <c r="AE67" s="29">
        <f>MAX(U67+P67+IF(K67="",0,K67)*武将升星!O64,Z67)</f>
        <v>0</v>
      </c>
      <c r="AF67" s="29">
        <f>MAX(V67+Q67+IF(L67="",0,L67)*武将升星!P64,AA67)</f>
        <v>0</v>
      </c>
      <c r="AG67" s="29">
        <f>MAX(W67+R67+IF(M67="",0,M67)*武将升星!Q64,AB67)</f>
        <v>0</v>
      </c>
      <c r="AH67" s="29">
        <f>MAX(X67+S67+IF(N67="",0,N67)*武将升星!R64,AC67)</f>
        <v>213.12393699454412</v>
      </c>
      <c r="AI67" s="45">
        <f t="shared" si="70"/>
        <v>58.439507906941358</v>
      </c>
      <c r="AJ67" s="29">
        <f t="shared" si="71"/>
        <v>686815.97250772989</v>
      </c>
      <c r="AK67" s="14" t="e">
        <f>AJ67/求节点('[1]资源-钻石'!$K$4:$K$113,'[1]资源-钻石'!$M$4:$M$113,J67)</f>
        <v>#VALUE!</v>
      </c>
      <c r="AL67" s="16" t="e">
        <f t="shared" si="72"/>
        <v>#DIV/0!</v>
      </c>
      <c r="AM67" s="16"/>
      <c r="AN67" s="16"/>
      <c r="AO67" s="16"/>
      <c r="AP67" s="17">
        <v>19</v>
      </c>
      <c r="AR67" s="16">
        <f t="shared" si="88"/>
        <v>8.1736314634080607</v>
      </c>
      <c r="AS67" s="29">
        <f>IF(基础状态预期!C77="","",基础状态预期!C77)</f>
        <v>255</v>
      </c>
      <c r="AT67" s="29">
        <f>求节点(节奏总纲!$Q$4:$Q$163,其他调用!$D$4:$D$163,$AS67)*求节点($CP$5:$CP$36,$CR$5:$CR$36,AS22)</f>
        <v>675347.79655982472</v>
      </c>
      <c r="AU67" s="37">
        <f t="shared" si="94"/>
        <v>0</v>
      </c>
      <c r="AV67" s="37">
        <f t="shared" si="74"/>
        <v>1</v>
      </c>
      <c r="AW67" s="38">
        <f t="shared" si="75"/>
        <v>0.4933333333333334</v>
      </c>
      <c r="AX67" s="38">
        <f t="shared" si="76"/>
        <v>0.26666666666666666</v>
      </c>
      <c r="AY67" s="38">
        <f t="shared" si="77"/>
        <v>0.04</v>
      </c>
      <c r="AZ67" s="38">
        <f t="shared" si="78"/>
        <v>2.8000000000000001E-2</v>
      </c>
      <c r="BA67" s="29">
        <f t="shared" si="93"/>
        <v>63917.798043851042</v>
      </c>
      <c r="BB67" s="29">
        <f t="shared" si="89"/>
        <v>131.38658486791604</v>
      </c>
      <c r="BC67" s="29">
        <f t="shared" si="79"/>
        <v>71.019775604278934</v>
      </c>
      <c r="BD67" s="29">
        <f t="shared" si="80"/>
        <v>10.652966340641839</v>
      </c>
      <c r="BE67" s="29">
        <f t="shared" si="81"/>
        <v>7.4570764384492882</v>
      </c>
      <c r="BF67" s="29">
        <f t="shared" si="90"/>
        <v>2116.5</v>
      </c>
      <c r="BG67" s="29">
        <f t="shared" si="82"/>
        <v>382.5</v>
      </c>
      <c r="BH67" s="29">
        <f t="shared" si="82"/>
        <v>51</v>
      </c>
      <c r="BI67" s="29">
        <f t="shared" si="82"/>
        <v>0</v>
      </c>
      <c r="BJ67" s="29">
        <f>SUM(BB$52:BB67)+BF67</f>
        <v>3624.6408536911545</v>
      </c>
      <c r="BK67" s="29">
        <f>SUM(BC$52:BC67)+BG67</f>
        <v>1132.8864406220275</v>
      </c>
      <c r="BL67" s="29">
        <f>SUM(BD$52:BD67)+BH67</f>
        <v>188.9968015412685</v>
      </c>
      <c r="BM67" s="29">
        <f>SUM(BE$52:BE67)+BI67</f>
        <v>58.439507906941358</v>
      </c>
      <c r="BN67" s="29">
        <f>SUM(BT$52:BT67)</f>
        <v>18.960622694134962</v>
      </c>
      <c r="BO67" s="17" t="e">
        <f t="shared" si="83"/>
        <v>#DIV/0!</v>
      </c>
      <c r="BP67" s="17">
        <f t="shared" si="84"/>
        <v>0.88679293469558385</v>
      </c>
      <c r="BQ67" s="17">
        <f t="shared" si="85"/>
        <v>1</v>
      </c>
      <c r="BR67" s="17">
        <f t="shared" si="91"/>
        <v>0</v>
      </c>
      <c r="BS67" s="17">
        <f t="shared" si="86"/>
        <v>80</v>
      </c>
      <c r="BT67" s="17">
        <f t="shared" si="92"/>
        <v>0</v>
      </c>
      <c r="BV67" s="17">
        <f t="shared" si="87"/>
        <v>-24.127135453275628</v>
      </c>
      <c r="BW67" s="17">
        <v>63</v>
      </c>
      <c r="BX67" s="17">
        <f>'[1]资源-钻石'!L66/$B$2*$B$12*10</f>
        <v>1373.420440471481</v>
      </c>
      <c r="BY67" s="17">
        <f>'[1]资源-钻石'!M66/$B$2*$B$12*10</f>
        <v>1649.7592256589646</v>
      </c>
      <c r="BZ67" s="17">
        <f>'[1]资源-钻石'!N66/$B$2*$B$12*10</f>
        <v>2223.5488051510169</v>
      </c>
      <c r="CA67" s="17">
        <f>'[1]资源-钻石'!O66/$B$2*$B$12*10</f>
        <v>4243.4837203420102</v>
      </c>
      <c r="CB67" s="17">
        <f>'[1]资源-钻石'!P66/$B$2*$B$12*10</f>
        <v>5836.7866768329204</v>
      </c>
      <c r="CD67" s="17">
        <v>63</v>
      </c>
      <c r="CE67" s="17">
        <f>'[1]资源-钻石'!L66/$B$2*$C$12*10</f>
        <v>556.32220373528344</v>
      </c>
      <c r="CF67" s="17">
        <f>'[1]资源-钻石'!M66/$B$2*$C$12*10</f>
        <v>668.25690153274525</v>
      </c>
      <c r="CG67" s="17">
        <f>'[1]资源-钻石'!N66/$B$2*$C$12*10</f>
        <v>900.67799702319678</v>
      </c>
      <c r="CH67" s="17">
        <f>'[1]资源-钻石'!O66/$B$2*$C$12*10</f>
        <v>1718.879481657523</v>
      </c>
      <c r="CI67" s="17">
        <f>'[1]资源-钻石'!P66/$B$2*$C$12*10</f>
        <v>2364.2680209956134</v>
      </c>
      <c r="CO67" s="17">
        <v>135</v>
      </c>
      <c r="CP67" s="17">
        <f>INDEX(节奏总纲!$Q$4:$Q$163,CO67,1)</f>
        <v>9796.789656253608</v>
      </c>
      <c r="CQ67" s="17">
        <f t="shared" si="95"/>
        <v>0.2082740445645602</v>
      </c>
      <c r="CR67" s="17">
        <f t="shared" si="95"/>
        <v>0.2082740445645602</v>
      </c>
      <c r="CS67" s="17">
        <f t="shared" si="95"/>
        <v>0.2082740445645602</v>
      </c>
      <c r="CT67" s="17">
        <f t="shared" si="95"/>
        <v>0.2082740445645602</v>
      </c>
      <c r="CU67" s="17">
        <f t="shared" si="95"/>
        <v>0.2082740445645602</v>
      </c>
      <c r="CW67" s="17">
        <v>64</v>
      </c>
      <c r="CX67" s="17">
        <f t="shared" si="62"/>
        <v>0.35906811582204823</v>
      </c>
      <c r="CY67" s="17">
        <f t="shared" si="63"/>
        <v>0.35906811582204823</v>
      </c>
      <c r="CZ67" s="17">
        <f t="shared" si="64"/>
        <v>0.35906811582204823</v>
      </c>
      <c r="DA67" s="17">
        <f t="shared" si="65"/>
        <v>0.35906811582204823</v>
      </c>
      <c r="DB67" s="17">
        <f t="shared" si="66"/>
        <v>0.35906811582204823</v>
      </c>
    </row>
    <row r="68" spans="8:106" x14ac:dyDescent="0.15">
      <c r="H68" s="17">
        <v>20</v>
      </c>
      <c r="I68" s="29">
        <f>IF(基础状态预期!C78="","",基础状态预期!C78)</f>
        <v>289</v>
      </c>
      <c r="J68" s="29">
        <f>IF(基础状态预期!D78="","",基础状态预期!D78)</f>
        <v>83.885420957389968</v>
      </c>
      <c r="K68" s="29" t="str">
        <f>IF(基础状态预期!F78="","",基础状态预期!F78)</f>
        <v/>
      </c>
      <c r="L68" s="29" t="str">
        <f>IF(基础状态预期!G78="","",基础状态预期!G78)</f>
        <v/>
      </c>
      <c r="M68" s="29" t="str">
        <f>IF(基础状态预期!H78="","",基础状态预期!H78)</f>
        <v/>
      </c>
      <c r="N68" s="29" t="str">
        <f>IF(基础状态预期!I78="","",基础状态预期!I78)</f>
        <v/>
      </c>
      <c r="O68" s="29">
        <f>IF(基础状态预期!J78="","",基础状态预期!J78)</f>
        <v>6</v>
      </c>
      <c r="P68" s="29">
        <f>武将进阶!O65</f>
        <v>0</v>
      </c>
      <c r="Q68" s="29">
        <f>武将进阶!P65</f>
        <v>0</v>
      </c>
      <c r="R68" s="29">
        <f>武将进阶!Q65</f>
        <v>0</v>
      </c>
      <c r="S68" s="29">
        <f>武将进阶!R65</f>
        <v>225.97503089320779</v>
      </c>
      <c r="T68" s="29">
        <f>武将进阶!S65</f>
        <v>0</v>
      </c>
      <c r="U68" s="29">
        <f>武将觉醒!T66</f>
        <v>0</v>
      </c>
      <c r="V68" s="29">
        <f>武将觉醒!U66</f>
        <v>0</v>
      </c>
      <c r="W68" s="29">
        <f>武将觉醒!V66</f>
        <v>0</v>
      </c>
      <c r="X68" s="29">
        <f>武将觉醒!W66</f>
        <v>0</v>
      </c>
      <c r="Y68" s="29">
        <f>武将觉醒!X66</f>
        <v>0</v>
      </c>
      <c r="Z68" s="29"/>
      <c r="AA68" s="29">
        <f>IF(L68="",0,同名需求(L68,武将升星!P65,B$6)+武将升星!U65)</f>
        <v>0</v>
      </c>
      <c r="AB68" s="29">
        <f>IF(M68="",0,同名需求(M68,武将升星!Q65,C$6)+武将升星!V65)</f>
        <v>0</v>
      </c>
      <c r="AC68" s="59">
        <f>IF(N68="",0,同名需求(N68,武将升星!R65,D$6*0.6)+武将升星!W65)</f>
        <v>0</v>
      </c>
      <c r="AD68" s="29">
        <f>IF(O68="",0,同名需求(O68,武将升星!S65,E$6)+武将升星!X65)</f>
        <v>65.521760806582449</v>
      </c>
      <c r="AE68" s="29">
        <f>MAX(U68+P68+IF(K68="",0,K68)*武将升星!O65,Z68)</f>
        <v>0</v>
      </c>
      <c r="AF68" s="29">
        <f>MAX(V68+Q68+IF(L68="",0,L68)*武将升星!P65,AA68)</f>
        <v>0</v>
      </c>
      <c r="AG68" s="29">
        <f>MAX(W68+R68+IF(M68="",0,M68)*武将升星!Q65,AB68)</f>
        <v>0</v>
      </c>
      <c r="AH68" s="29">
        <f>MAX(X68+S68+IF(N68="",0,N68)*武将升星!R65,AC68)</f>
        <v>225.97503089320779</v>
      </c>
      <c r="AI68" s="45">
        <f t="shared" ref="AI68:AI90" si="96">IFERROR(AD68+Y68,0)</f>
        <v>65.521760806582449</v>
      </c>
      <c r="AJ68" s="29">
        <f t="shared" si="71"/>
        <v>738905.356563446</v>
      </c>
      <c r="AK68" s="14" t="e">
        <f>AJ68/求节点('[1]资源-钻石'!$K$4:$K$113,'[1]资源-钻石'!$M$4:$M$113,J68)</f>
        <v>#VALUE!</v>
      </c>
      <c r="AL68" s="16" t="e">
        <f t="shared" ref="AL68:AL90" si="97">X68/AC68</f>
        <v>#DIV/0!</v>
      </c>
      <c r="AM68" s="16"/>
      <c r="AN68" s="16"/>
      <c r="AO68" s="16"/>
      <c r="AP68" s="17">
        <v>20</v>
      </c>
      <c r="AR68" s="16">
        <f t="shared" si="88"/>
        <v>7.7627909020545456</v>
      </c>
      <c r="AS68" s="29">
        <f>IF(基础状态预期!C78="","",基础状态预期!C78)</f>
        <v>289</v>
      </c>
      <c r="AT68" s="29">
        <f>求节点(节奏总纲!$Q$4:$Q$163,其他调用!$D$4:$D$163,$AS68)*求节点($CP$5:$CP$36,$CR$5:$CR$36,AS23)</f>
        <v>736052.82141389127</v>
      </c>
      <c r="AU68" s="37">
        <f t="shared" ref="AU68:AU90" si="98">1-AV68</f>
        <v>0</v>
      </c>
      <c r="AV68" s="37">
        <f t="shared" ref="AV68:AV90" si="99">AV23</f>
        <v>1</v>
      </c>
      <c r="AW68" s="38">
        <f t="shared" si="75"/>
        <v>0.4933333333333334</v>
      </c>
      <c r="AX68" s="38">
        <f t="shared" si="76"/>
        <v>0.26666666666666666</v>
      </c>
      <c r="AY68" s="38">
        <f t="shared" si="77"/>
        <v>0.04</v>
      </c>
      <c r="AZ68" s="38">
        <f t="shared" si="78"/>
        <v>2.8000000000000001E-2</v>
      </c>
      <c r="BA68" s="29">
        <f t="shared" ref="BA68:BA90" si="100">AT68-AT67</f>
        <v>60705.024854066549</v>
      </c>
      <c r="BB68" s="29">
        <f t="shared" si="89"/>
        <v>124.78255108891459</v>
      </c>
      <c r="BC68" s="29">
        <f t="shared" si="79"/>
        <v>67.450027615629494</v>
      </c>
      <c r="BD68" s="29">
        <f t="shared" si="80"/>
        <v>10.117504142344425</v>
      </c>
      <c r="BE68" s="29">
        <f t="shared" si="81"/>
        <v>7.0822528996410972</v>
      </c>
      <c r="BF68" s="29">
        <f t="shared" si="90"/>
        <v>2398.7000000000003</v>
      </c>
      <c r="BG68" s="29">
        <f t="shared" si="82"/>
        <v>433.5</v>
      </c>
      <c r="BH68" s="29">
        <f t="shared" si="82"/>
        <v>57.800000000000004</v>
      </c>
      <c r="BI68" s="29">
        <f t="shared" si="82"/>
        <v>0</v>
      </c>
      <c r="BJ68" s="29">
        <f>SUM(BB$52:BB68)+BF68</f>
        <v>4031.623404780069</v>
      </c>
      <c r="BK68" s="29">
        <f>SUM(BC$52:BC68)+BG68</f>
        <v>1251.3364682376571</v>
      </c>
      <c r="BL68" s="29">
        <f>SUM(BD$52:BD68)+BH68</f>
        <v>205.91430568361292</v>
      </c>
      <c r="BM68" s="29">
        <f>SUM(BE$52:BE68)+BI68</f>
        <v>65.521760806582449</v>
      </c>
      <c r="BN68" s="29">
        <f>SUM(BT$52:BT68)</f>
        <v>18.960622694134962</v>
      </c>
      <c r="BO68" s="17" t="e">
        <f t="shared" ref="BO68:BO90" si="101">BK68/AG90</f>
        <v>#DIV/0!</v>
      </c>
      <c r="BP68" s="17">
        <f t="shared" ref="BP68:BP90" si="102">BL68/AH90</f>
        <v>0.32073879389970861</v>
      </c>
      <c r="BQ68" s="17">
        <f t="shared" ref="BQ68:BQ90" si="103">BM68/AI90</f>
        <v>0.60668297043131902</v>
      </c>
      <c r="BR68" s="17">
        <f t="shared" si="91"/>
        <v>0</v>
      </c>
      <c r="BS68" s="17">
        <f t="shared" si="86"/>
        <v>80</v>
      </c>
      <c r="BT68" s="17">
        <f t="shared" si="92"/>
        <v>0</v>
      </c>
      <c r="BV68" s="17">
        <f t="shared" si="87"/>
        <v>-20.060725209594864</v>
      </c>
      <c r="BW68" s="17">
        <v>64</v>
      </c>
      <c r="BX68" s="17">
        <f>'[1]资源-钻石'!L67/$B$2*$B$12*10</f>
        <v>1469.3687980437469</v>
      </c>
      <c r="BY68" s="17">
        <f>'[1]资源-钻石'!M67/$B$2*$B$12*10</f>
        <v>1765.4701762907275</v>
      </c>
      <c r="BZ68" s="17">
        <f>'[1]资源-钻石'!N67/$B$2*$B$12*10</f>
        <v>2381.0884226287762</v>
      </c>
      <c r="CA68" s="17">
        <f>'[1]资源-钻石'!O67/$B$2*$B$12*10</f>
        <v>4546.6955433126541</v>
      </c>
      <c r="CB68" s="17">
        <f>'[1]资源-钻石'!P67/$B$2*$B$12*10</f>
        <v>6199.7599710664035</v>
      </c>
      <c r="CD68" s="17">
        <v>64</v>
      </c>
      <c r="CE68" s="17">
        <f>'[1]资源-钻石'!L67/$B$2*$C$12*10</f>
        <v>595.18736123291001</v>
      </c>
      <c r="CF68" s="17">
        <f>'[1]资源-钻石'!M67/$B$2*$C$12*10</f>
        <v>715.12716001649721</v>
      </c>
      <c r="CG68" s="17">
        <f>'[1]资源-钻石'!N67/$B$2*$C$12*10</f>
        <v>964.49151296355478</v>
      </c>
      <c r="CH68" s="17">
        <f>'[1]资源-钻石'!O67/$B$2*$C$12*10</f>
        <v>1841.6994605823411</v>
      </c>
      <c r="CI68" s="17">
        <f>'[1]资源-钻石'!P67/$B$2*$C$12*10</f>
        <v>2511.2951781534794</v>
      </c>
      <c r="CO68" s="17">
        <v>140</v>
      </c>
      <c r="CP68" s="17">
        <f>INDEX(节奏总纲!$Q$4:$Q$163,CO68,1)</f>
        <v>13881.315900000001</v>
      </c>
      <c r="CQ68" s="17">
        <f t="shared" si="95"/>
        <v>0.20410856367326899</v>
      </c>
      <c r="CR68" s="17">
        <f t="shared" si="95"/>
        <v>0.20410856367326899</v>
      </c>
      <c r="CS68" s="17">
        <f t="shared" si="95"/>
        <v>0.20410856367326899</v>
      </c>
      <c r="CT68" s="17">
        <f t="shared" si="95"/>
        <v>0.20410856367326899</v>
      </c>
      <c r="CU68" s="17">
        <f t="shared" si="95"/>
        <v>0.20410856367326899</v>
      </c>
      <c r="CW68" s="17">
        <v>65</v>
      </c>
      <c r="CX68" s="17">
        <f t="shared" ref="CX68:CX103" si="104">求节点($CO$41:$CO$72,CQ$41:CQ$72,$CW68)</f>
        <v>0.35531583329358341</v>
      </c>
      <c r="CY68" s="17">
        <f t="shared" ref="CY68:CY103" si="105">求节点($CO$41:$CO$72,CR$41:CR$72,$CW68)</f>
        <v>0.35531583329358341</v>
      </c>
      <c r="CZ68" s="17">
        <f t="shared" ref="CZ68:CZ103" si="106">求节点($CO$41:$CO$72,CS$41:CS$72,$CW68)</f>
        <v>0.35531583329358341</v>
      </c>
      <c r="DA68" s="17">
        <f t="shared" ref="DA68:DA103" si="107">求节点($CO$41:$CO$72,CT$41:CT$72,$CW68)</f>
        <v>0.35531583329358341</v>
      </c>
      <c r="DB68" s="17">
        <f t="shared" ref="DB68:DB103" si="108">求节点($CO$41:$CO$72,CU$41:CU$72,$CW68)</f>
        <v>0.35531583329358341</v>
      </c>
    </row>
    <row r="69" spans="8:106" x14ac:dyDescent="0.15">
      <c r="H69" s="17">
        <v>21</v>
      </c>
      <c r="I69" s="29">
        <f>IF(基础状态预期!C79="","",基础状态预期!C79)</f>
        <v>340</v>
      </c>
      <c r="J69" s="29">
        <f>IF(基础状态预期!D79="","",基础状态预期!D79)</f>
        <v>86.247032860782397</v>
      </c>
      <c r="K69" s="29" t="str">
        <f>IF(基础状态预期!F79="","",基础状态预期!F79)</f>
        <v/>
      </c>
      <c r="L69" s="29" t="str">
        <f>IF(基础状态预期!G79="","",基础状态预期!G79)</f>
        <v/>
      </c>
      <c r="M69" s="29" t="str">
        <f>IF(基础状态预期!H79="","",基础状态预期!H79)</f>
        <v/>
      </c>
      <c r="N69" s="29" t="str">
        <f>IF(基础状态预期!I79="","",基础状态预期!I79)</f>
        <v/>
      </c>
      <c r="O69" s="29">
        <f>IF(基础状态预期!J79="","",基础状态预期!J79)</f>
        <v>6</v>
      </c>
      <c r="P69" s="29">
        <f>武将进阶!O66</f>
        <v>0</v>
      </c>
      <c r="Q69" s="29">
        <f>武将进阶!P66</f>
        <v>0</v>
      </c>
      <c r="R69" s="29">
        <f>武将进阶!Q66</f>
        <v>0</v>
      </c>
      <c r="S69" s="29">
        <f>武将进阶!R66</f>
        <v>242.97863659763331</v>
      </c>
      <c r="T69" s="29">
        <f>武将进阶!S66</f>
        <v>0</v>
      </c>
      <c r="U69" s="29">
        <f>武将觉醒!T67</f>
        <v>0</v>
      </c>
      <c r="V69" s="29">
        <f>武将觉醒!U67</f>
        <v>0</v>
      </c>
      <c r="W69" s="29">
        <f>武将觉醒!V67</f>
        <v>0</v>
      </c>
      <c r="X69" s="29">
        <f>武将觉醒!W67</f>
        <v>0</v>
      </c>
      <c r="Y69" s="29">
        <f>武将觉醒!X67</f>
        <v>0</v>
      </c>
      <c r="Z69" s="29"/>
      <c r="AA69" s="29">
        <f>IF(L69="",0,同名需求(L69,武将升星!P66,B$6)+武将升星!U66)</f>
        <v>0</v>
      </c>
      <c r="AB69" s="29">
        <f>IF(M69="",0,同名需求(M69,武将升星!Q66,C$6)+武将升星!V66)</f>
        <v>0</v>
      </c>
      <c r="AC69" s="59">
        <f>IF(N69="",0,同名需求(N69,武将升星!R66,D$6*0.6)+武将升星!W66)</f>
        <v>0</v>
      </c>
      <c r="AD69" s="29">
        <f>IF(O69="",0,同名需求(O69,武将升星!S66,E$6)+武将升星!X66)</f>
        <v>76.095791268815276</v>
      </c>
      <c r="AE69" s="29">
        <f>MAX(U69+P69+IF(K69="",0,K69)*武将升星!O66,Z69)</f>
        <v>0</v>
      </c>
      <c r="AF69" s="29">
        <f>MAX(V69+Q69+IF(L69="",0,L69)*武将升星!P66,AA69)</f>
        <v>0</v>
      </c>
      <c r="AG69" s="29">
        <f>MAX(W69+R69+IF(M69="",0,M69)*武将升星!Q66,AB69)</f>
        <v>0</v>
      </c>
      <c r="AH69" s="29">
        <f>MAX(X69+S69+IF(N69="",0,N69)*武将升星!R66,AC69)</f>
        <v>242.97863659763331</v>
      </c>
      <c r="AI69" s="45">
        <f t="shared" si="96"/>
        <v>76.095791268815276</v>
      </c>
      <c r="AJ69" s="29">
        <f t="shared" si="71"/>
        <v>811436.1016407659</v>
      </c>
      <c r="AK69" s="14" t="e">
        <f>AJ69/求节点('[1]资源-钻石'!$K$4:$K$113,'[1]资源-钻石'!$M$4:$M$113,J69)</f>
        <v>#VALUE!</v>
      </c>
      <c r="AL69" s="16" t="e">
        <f t="shared" si="97"/>
        <v>#DIV/0!</v>
      </c>
      <c r="AM69" s="16"/>
      <c r="AN69" s="16"/>
      <c r="AO69" s="16"/>
      <c r="AP69" s="17">
        <v>21</v>
      </c>
      <c r="AR69" s="16">
        <f t="shared" si="88"/>
        <v>7.7267303341124212</v>
      </c>
      <c r="AS69" s="29">
        <f>IF(基础状态预期!C79="","",基础状态预期!C79)</f>
        <v>340</v>
      </c>
      <c r="AT69" s="29">
        <f>求节点(节奏总纲!$Q$4:$Q$163,其他调用!$D$4:$D$163,$AS69)*求节点($CP$5:$CP$36,$CR$5:$CR$36,AS24)</f>
        <v>826687.36823302996</v>
      </c>
      <c r="AU69" s="37">
        <f t="shared" si="98"/>
        <v>0</v>
      </c>
      <c r="AV69" s="37">
        <f t="shared" si="99"/>
        <v>1</v>
      </c>
      <c r="AW69" s="38">
        <f t="shared" si="75"/>
        <v>0.4933333333333334</v>
      </c>
      <c r="AX69" s="38">
        <f t="shared" si="76"/>
        <v>0.26666666666666666</v>
      </c>
      <c r="AY69" s="38">
        <f t="shared" si="77"/>
        <v>0.04</v>
      </c>
      <c r="AZ69" s="38">
        <f t="shared" si="78"/>
        <v>2.8000000000000001E-2</v>
      </c>
      <c r="BA69" s="29">
        <f t="shared" si="100"/>
        <v>90634.54681913869</v>
      </c>
      <c r="BB69" s="29">
        <f t="shared" si="89"/>
        <v>186.30434623934065</v>
      </c>
      <c r="BC69" s="29">
        <f t="shared" si="79"/>
        <v>100.7050520212652</v>
      </c>
      <c r="BD69" s="29">
        <f t="shared" si="80"/>
        <v>15.105757803189782</v>
      </c>
      <c r="BE69" s="29">
        <f t="shared" si="81"/>
        <v>10.574030462232846</v>
      </c>
      <c r="BF69" s="29">
        <f t="shared" si="90"/>
        <v>2822.0000000000005</v>
      </c>
      <c r="BG69" s="29">
        <f t="shared" si="90"/>
        <v>510</v>
      </c>
      <c r="BH69" s="29">
        <f t="shared" si="90"/>
        <v>68</v>
      </c>
      <c r="BI69" s="29">
        <f t="shared" si="90"/>
        <v>0</v>
      </c>
      <c r="BJ69" s="29">
        <f>SUM(BB$52:BB69)+BF69</f>
        <v>4641.2277510194099</v>
      </c>
      <c r="BK69" s="29">
        <f>SUM(BC$52:BC69)+BG69</f>
        <v>1428.5415202589222</v>
      </c>
      <c r="BL69" s="29">
        <f>SUM(BD$52:BD69)+BH69</f>
        <v>231.2200634868027</v>
      </c>
      <c r="BM69" s="29">
        <f>SUM(BE$52:BE69)+BI69</f>
        <v>76.09579126881529</v>
      </c>
      <c r="BN69" s="29">
        <f>SUM(BT$52:BT69)</f>
        <v>18.960622694134962</v>
      </c>
      <c r="BO69" s="17" t="e">
        <f t="shared" si="101"/>
        <v>#DIV/0!</v>
      </c>
      <c r="BP69" s="17" t="e">
        <f t="shared" si="102"/>
        <v>#DIV/0!</v>
      </c>
      <c r="BQ69" s="17" t="e">
        <f t="shared" si="103"/>
        <v>#DIV/0!</v>
      </c>
      <c r="BR69" s="17">
        <f t="shared" si="91"/>
        <v>0</v>
      </c>
      <c r="BS69" s="17">
        <f t="shared" si="86"/>
        <v>80</v>
      </c>
      <c r="BT69" s="17">
        <f t="shared" si="92"/>
        <v>0</v>
      </c>
      <c r="BV69" s="17">
        <f t="shared" si="87"/>
        <v>-11.758573110830611</v>
      </c>
      <c r="BW69" s="17">
        <v>65</v>
      </c>
      <c r="BX69" s="17">
        <f>'[1]资源-钻石'!L68/$B$2*$B$12*10</f>
        <v>1572.2037014636444</v>
      </c>
      <c r="BY69" s="17">
        <f>'[1]资源-钻石'!M68/$B$2*$B$12*10</f>
        <v>1888.6889161244667</v>
      </c>
      <c r="BZ69" s="17">
        <f>'[1]资源-钻石'!N68/$B$2*$B$12*10</f>
        <v>2552.1953889241613</v>
      </c>
      <c r="CA69" s="17">
        <f>'[1]资源-钻石'!O68/$B$2*$B$12*10</f>
        <v>4866.9258907170861</v>
      </c>
      <c r="CB69" s="17">
        <f>'[1]资源-钻石'!P68/$B$2*$B$12*10</f>
        <v>6564.9035878422192</v>
      </c>
      <c r="CD69" s="17">
        <v>65</v>
      </c>
      <c r="CE69" s="17">
        <f>'[1]资源-钻石'!L68/$B$2*$C$12*10</f>
        <v>636.8420056561597</v>
      </c>
      <c r="CF69" s="17">
        <f>'[1]资源-钻石'!M68/$B$2*$C$12*10</f>
        <v>765.03854830358136</v>
      </c>
      <c r="CG69" s="17">
        <f>'[1]资源-钻石'!N68/$B$2*$C$12*10</f>
        <v>1033.8006638680147</v>
      </c>
      <c r="CH69" s="17">
        <f>'[1]资源-钻石'!O68/$B$2*$C$12*10</f>
        <v>1971.4130190246428</v>
      </c>
      <c r="CI69" s="17">
        <f>'[1]资源-钻石'!P68/$B$2*$C$12*10</f>
        <v>2659.2014533031779</v>
      </c>
      <c r="CO69" s="17">
        <v>145</v>
      </c>
      <c r="CP69" s="17">
        <f>INDEX(节奏总纲!$Q$4:$Q$163,CO69,1)</f>
        <v>19631.496172516694</v>
      </c>
      <c r="CQ69" s="17">
        <f t="shared" si="95"/>
        <v>0.2000263923998036</v>
      </c>
      <c r="CR69" s="17">
        <f t="shared" si="95"/>
        <v>0.2000263923998036</v>
      </c>
      <c r="CS69" s="17">
        <f t="shared" si="95"/>
        <v>0.2000263923998036</v>
      </c>
      <c r="CT69" s="17">
        <f t="shared" si="95"/>
        <v>0.2000263923998036</v>
      </c>
      <c r="CU69" s="17">
        <f t="shared" si="95"/>
        <v>0.2000263923998036</v>
      </c>
      <c r="CW69" s="17">
        <v>66</v>
      </c>
      <c r="CX69" s="17">
        <f t="shared" si="104"/>
        <v>0.35168371588658232</v>
      </c>
      <c r="CY69" s="17">
        <f t="shared" si="105"/>
        <v>0.35168371588658232</v>
      </c>
      <c r="CZ69" s="17">
        <f t="shared" si="106"/>
        <v>0.35168371588658232</v>
      </c>
      <c r="DA69" s="17">
        <f t="shared" si="107"/>
        <v>0.35168371588658232</v>
      </c>
      <c r="DB69" s="17">
        <f t="shared" si="108"/>
        <v>0.35168371588658232</v>
      </c>
    </row>
    <row r="70" spans="8:106" x14ac:dyDescent="0.15">
      <c r="H70" s="17">
        <v>22</v>
      </c>
      <c r="I70" s="29">
        <f>IF(基础状态预期!C80="","",基础状态预期!C80)</f>
        <v>442</v>
      </c>
      <c r="J70" s="29">
        <f>IF(基础状态预期!D80="","",基础状态预期!D80)</f>
        <v>90.122782504866933</v>
      </c>
      <c r="K70" s="29" t="str">
        <f>IF(基础状态预期!F80="","",基础状态预期!F80)</f>
        <v/>
      </c>
      <c r="L70" s="29" t="str">
        <f>IF(基础状态预期!G80="","",基础状态预期!G80)</f>
        <v/>
      </c>
      <c r="M70" s="29" t="str">
        <f>IF(基础状态预期!H80="","",基础状态预期!H80)</f>
        <v/>
      </c>
      <c r="N70" s="29" t="str">
        <f>IF(基础状态预期!I80="","",基础状态预期!I80)</f>
        <v/>
      </c>
      <c r="O70" s="29">
        <f>IF(基础状态预期!J80="","",基础状态预期!J80)</f>
        <v>6</v>
      </c>
      <c r="P70" s="29">
        <f>武将进阶!O67</f>
        <v>0</v>
      </c>
      <c r="Q70" s="29">
        <f>武将进阶!P67</f>
        <v>0</v>
      </c>
      <c r="R70" s="29">
        <f>武将进阶!Q67</f>
        <v>0</v>
      </c>
      <c r="S70" s="29">
        <f>武将进阶!R67</f>
        <v>270.88403403504196</v>
      </c>
      <c r="T70" s="29">
        <f>武将进阶!S67</f>
        <v>0</v>
      </c>
      <c r="U70" s="29">
        <f>武将觉醒!T68</f>
        <v>0</v>
      </c>
      <c r="V70" s="29">
        <f>武将觉醒!U68</f>
        <v>0</v>
      </c>
      <c r="W70" s="29">
        <f>武将觉醒!V68</f>
        <v>0</v>
      </c>
      <c r="X70" s="29">
        <f>武将觉醒!W68</f>
        <v>0</v>
      </c>
      <c r="Y70" s="29">
        <f>武将觉醒!X68</f>
        <v>0</v>
      </c>
      <c r="Z70" s="29"/>
      <c r="AA70" s="29">
        <f>IF(L70="",0,同名需求(L70,武将升星!P67,B$6)+武将升星!U67)</f>
        <v>0</v>
      </c>
      <c r="AB70" s="29">
        <f>IF(M70="",0,同名需求(M70,武将升星!Q67,C$6)+武将升星!V67)</f>
        <v>0</v>
      </c>
      <c r="AC70" s="59">
        <f>IF(N70="",0,同名需求(N70,武将升星!R67,D$6*0.6)+武将升星!W67)</f>
        <v>0</v>
      </c>
      <c r="AD70" s="29">
        <f>IF(O70="",0,同名需求(O70,武将升星!S67,E$6)+武将升星!X67)</f>
        <v>94.977083061441135</v>
      </c>
      <c r="AE70" s="29">
        <f>MAX(U70+P70+IF(K70="",0,K70)*武将升星!O67,Z70)</f>
        <v>0</v>
      </c>
      <c r="AF70" s="29">
        <f>MAX(V70+Q70+IF(L70="",0,L70)*武将升星!P67,AA70)</f>
        <v>0</v>
      </c>
      <c r="AG70" s="29">
        <f>MAX(W70+R70+IF(M70="",0,M70)*武将升星!Q67,AB70)</f>
        <v>0</v>
      </c>
      <c r="AH70" s="29">
        <f>MAX(X70+S70+IF(N70="",0,N70)*武将升星!R67,AC70)</f>
        <v>270.88403403504196</v>
      </c>
      <c r="AI70" s="45">
        <f t="shared" si="96"/>
        <v>94.977083061441135</v>
      </c>
      <c r="AJ70" s="29">
        <f t="shared" si="71"/>
        <v>935052.93086842413</v>
      </c>
      <c r="AK70" s="14" t="e">
        <f>AJ70/求节点('[1]资源-钻石'!$K$4:$K$113,'[1]资源-钻石'!$M$4:$M$113,J70)</f>
        <v>#VALUE!</v>
      </c>
      <c r="AL70" s="16" t="e">
        <f t="shared" si="97"/>
        <v>#DIV/0!</v>
      </c>
      <c r="AM70" s="16"/>
      <c r="AN70" s="16"/>
      <c r="AP70" s="17">
        <v>22</v>
      </c>
      <c r="AR70" s="16">
        <f t="shared" si="88"/>
        <v>6.8985355471778806</v>
      </c>
      <c r="AS70" s="29">
        <f>IF(基础状态预期!C80="","",基础状态预期!C80)</f>
        <v>442</v>
      </c>
      <c r="AT70" s="29">
        <f>求节点(节奏总纲!$Q$4:$Q$163,其他调用!$D$4:$D$163,$AS70)*求节点($CP$5:$CP$36,$CR$5:$CR$36,AS25)</f>
        <v>988527.01216982305</v>
      </c>
      <c r="AU70" s="37">
        <f t="shared" si="98"/>
        <v>0</v>
      </c>
      <c r="AV70" s="37">
        <f t="shared" si="99"/>
        <v>1</v>
      </c>
      <c r="AW70" s="38">
        <f t="shared" si="75"/>
        <v>0.4933333333333334</v>
      </c>
      <c r="AX70" s="38">
        <f t="shared" si="76"/>
        <v>0.26666666666666666</v>
      </c>
      <c r="AY70" s="38">
        <f t="shared" si="77"/>
        <v>0.04</v>
      </c>
      <c r="AZ70" s="38">
        <f t="shared" si="78"/>
        <v>2.8000000000000001E-2</v>
      </c>
      <c r="BA70" s="29">
        <f t="shared" si="100"/>
        <v>161839.64393679309</v>
      </c>
      <c r="BB70" s="29">
        <f t="shared" si="89"/>
        <v>332.67037920340806</v>
      </c>
      <c r="BC70" s="29">
        <f t="shared" si="79"/>
        <v>179.82182659643678</v>
      </c>
      <c r="BD70" s="29">
        <f t="shared" si="80"/>
        <v>26.973273989465515</v>
      </c>
      <c r="BE70" s="29">
        <f t="shared" si="81"/>
        <v>18.881291792625859</v>
      </c>
      <c r="BF70" s="29">
        <f t="shared" si="90"/>
        <v>3668.6000000000004</v>
      </c>
      <c r="BG70" s="29">
        <f t="shared" si="90"/>
        <v>663</v>
      </c>
      <c r="BH70" s="29">
        <f t="shared" si="90"/>
        <v>88.4</v>
      </c>
      <c r="BI70" s="29">
        <f t="shared" si="90"/>
        <v>0</v>
      </c>
      <c r="BJ70" s="29">
        <f>SUM(BB$52:BB70)+BF70</f>
        <v>5820.498130222818</v>
      </c>
      <c r="BK70" s="29">
        <f>SUM(BC$52:BC70)+BG70</f>
        <v>1761.3633468553589</v>
      </c>
      <c r="BL70" s="29">
        <f>SUM(BD$52:BD70)+BH70</f>
        <v>278.59333747626823</v>
      </c>
      <c r="BM70" s="29">
        <f>SUM(BE$52:BE70)+BI70</f>
        <v>94.977083061441149</v>
      </c>
      <c r="BN70" s="29">
        <f>SUM(BT$52:BT70)</f>
        <v>18.960622694134962</v>
      </c>
      <c r="BO70" s="17" t="e">
        <f t="shared" si="101"/>
        <v>#DIV/0!</v>
      </c>
      <c r="BP70" s="17" t="e">
        <f t="shared" si="102"/>
        <v>#DIV/0!</v>
      </c>
      <c r="BQ70" s="17" t="e">
        <f t="shared" si="103"/>
        <v>#DIV/0!</v>
      </c>
      <c r="BR70" s="17">
        <f t="shared" si="91"/>
        <v>0</v>
      </c>
      <c r="BS70" s="17">
        <f t="shared" si="86"/>
        <v>80</v>
      </c>
      <c r="BT70" s="17">
        <f t="shared" si="92"/>
        <v>0</v>
      </c>
      <c r="BV70" s="17">
        <f t="shared" si="87"/>
        <v>7.7093034412262682</v>
      </c>
      <c r="BW70" s="17">
        <v>66</v>
      </c>
      <c r="BX70" s="17">
        <f>'[1]资源-钻石'!L69/$B$2*$B$12*10</f>
        <v>1655.0161713139064</v>
      </c>
      <c r="BY70" s="17">
        <f>'[1]资源-钻石'!M69/$B$2*$B$12*10</f>
        <v>2022.5387982962643</v>
      </c>
      <c r="BZ70" s="17">
        <f>'[1]资源-钻石'!N69/$B$2*$B$12*10</f>
        <v>2732.9761549864497</v>
      </c>
      <c r="CA70" s="17">
        <f>'[1]资源-钻石'!O69/$B$2*$B$12*10</f>
        <v>5189.3397974265145</v>
      </c>
      <c r="CB70" s="17">
        <f>'[1]资源-钻石'!P69/$B$2*$B$12*10</f>
        <v>6975.591643331094</v>
      </c>
      <c r="CD70" s="17">
        <v>66</v>
      </c>
      <c r="CE70" s="17">
        <f>'[1]资源-钻石'!L69/$B$2*$C$12*10</f>
        <v>670.38629724107591</v>
      </c>
      <c r="CF70" s="17">
        <f>'[1]资源-钻石'!M69/$B$2*$C$12*10</f>
        <v>819.25622209468941</v>
      </c>
      <c r="CG70" s="17">
        <f>'[1]资源-钻石'!N69/$B$2*$C$12*10</f>
        <v>1107.0283159438784</v>
      </c>
      <c r="CH70" s="17">
        <f>'[1]资源-钻石'!O69/$B$2*$C$12*10</f>
        <v>2102.0110571854234</v>
      </c>
      <c r="CI70" s="17">
        <f>'[1]资源-钻石'!P69/$B$2*$C$12*10</f>
        <v>2825.5561086910757</v>
      </c>
      <c r="CO70" s="17">
        <v>150</v>
      </c>
      <c r="CP70" s="17">
        <f>INDEX(节奏总纲!$Q$4:$Q$163,CO70,1)</f>
        <v>27671.731500000002</v>
      </c>
      <c r="CQ70" s="17">
        <f t="shared" si="95"/>
        <v>0.19602586455180754</v>
      </c>
      <c r="CR70" s="17">
        <f t="shared" si="95"/>
        <v>0.19602586455180754</v>
      </c>
      <c r="CS70" s="17">
        <f t="shared" si="95"/>
        <v>0.19602586455180754</v>
      </c>
      <c r="CT70" s="17">
        <f t="shared" si="95"/>
        <v>0.19602586455180754</v>
      </c>
      <c r="CU70" s="17">
        <f t="shared" si="95"/>
        <v>0.19602586455180754</v>
      </c>
      <c r="CW70" s="17">
        <v>67</v>
      </c>
      <c r="CX70" s="17">
        <f t="shared" si="104"/>
        <v>0.34805159847958128</v>
      </c>
      <c r="CY70" s="17">
        <f t="shared" si="105"/>
        <v>0.34805159847958128</v>
      </c>
      <c r="CZ70" s="17">
        <f t="shared" si="106"/>
        <v>0.34805159847958128</v>
      </c>
      <c r="DA70" s="17">
        <f t="shared" si="107"/>
        <v>0.34805159847958128</v>
      </c>
      <c r="DB70" s="17">
        <f t="shared" si="108"/>
        <v>0.34805159847958128</v>
      </c>
    </row>
    <row r="71" spans="8:106" x14ac:dyDescent="0.15">
      <c r="H71" s="17">
        <v>23</v>
      </c>
      <c r="I71" s="29">
        <f>IF(基础状态预期!C81="","",基础状态预期!C81)</f>
        <v>544</v>
      </c>
      <c r="J71" s="29">
        <f>IF(基础状态预期!D81="","",基础状态预期!D81)</f>
        <v>93.149045658279036</v>
      </c>
      <c r="K71" s="29" t="str">
        <f>IF(基础状态预期!F81="","",基础状态预期!F81)</f>
        <v/>
      </c>
      <c r="L71" s="29" t="str">
        <f>IF(基础状态预期!G81="","",基础状态预期!G81)</f>
        <v/>
      </c>
      <c r="M71" s="29" t="str">
        <f>IF(基础状态预期!H81="","",基础状态预期!H81)</f>
        <v/>
      </c>
      <c r="N71" s="29" t="str">
        <f>IF(基础状态预期!I81="","",基础状态预期!I81)</f>
        <v/>
      </c>
      <c r="O71" s="29">
        <f>IF(基础状态预期!J81="","",基础状态预期!J81)</f>
        <v>6</v>
      </c>
      <c r="P71" s="29">
        <f>武将进阶!O68</f>
        <v>0</v>
      </c>
      <c r="Q71" s="29">
        <f>武将进阶!P68</f>
        <v>0</v>
      </c>
      <c r="R71" s="29">
        <f>武将进阶!Q68</f>
        <v>0</v>
      </c>
      <c r="S71" s="29">
        <f>武将进阶!R68</f>
        <v>292.67312873960907</v>
      </c>
      <c r="T71" s="29">
        <f>武将进阶!S68</f>
        <v>0</v>
      </c>
      <c r="U71" s="29">
        <f>武将觉醒!T69</f>
        <v>0</v>
      </c>
      <c r="V71" s="29">
        <f>武将觉醒!U69</f>
        <v>0</v>
      </c>
      <c r="W71" s="29">
        <f>武将觉醒!V69</f>
        <v>0</v>
      </c>
      <c r="X71" s="29">
        <f>武将觉醒!W69</f>
        <v>0</v>
      </c>
      <c r="Y71" s="29">
        <f>武将觉醒!X69</f>
        <v>0</v>
      </c>
      <c r="Z71" s="29"/>
      <c r="AA71" s="29">
        <f>IF(L71="",0,同名需求(L71,武将升星!P68,B$6)+武将升星!U68)</f>
        <v>0</v>
      </c>
      <c r="AB71" s="29">
        <f>IF(M71="",0,同名需求(M71,武将升星!Q68,C$6)+武将升星!V68)</f>
        <v>0</v>
      </c>
      <c r="AC71" s="59">
        <f>IF(N71="",0,同名需求(N71,武将升星!R68,D$6*0.6)+武将升星!W68)</f>
        <v>0</v>
      </c>
      <c r="AD71" s="29">
        <f>IF(O71="",0,同名需求(O71,武将升星!S68,E$6)+武将升星!X68)</f>
        <v>108</v>
      </c>
      <c r="AE71" s="29">
        <f>MAX(U71+P71+IF(K71="",0,K71)*武将升星!O68,Z71)</f>
        <v>0</v>
      </c>
      <c r="AF71" s="29">
        <f>MAX(V71+Q71+IF(L71="",0,L71)*武将升星!P68,AA71)</f>
        <v>0</v>
      </c>
      <c r="AG71" s="29">
        <f>MAX(W71+R71+IF(M71="",0,M71)*武将升星!Q68,AB71)</f>
        <v>0</v>
      </c>
      <c r="AH71" s="29">
        <f>MAX(X71+S71+IF(N71="",0,N71)*武将升星!R68,AC71)</f>
        <v>292.67312873960907</v>
      </c>
      <c r="AI71" s="45">
        <f t="shared" si="96"/>
        <v>108</v>
      </c>
      <c r="AJ71" s="29">
        <f t="shared" si="71"/>
        <v>1026415.5089750617</v>
      </c>
      <c r="AK71" s="14" t="e">
        <f>AJ71/求节点('[1]资源-钻石'!$K$4:$K$113,'[1]资源-钻石'!$M$4:$M$113,J71)</f>
        <v>#VALUE!</v>
      </c>
      <c r="AL71" s="16" t="e">
        <f t="shared" si="97"/>
        <v>#DIV/0!</v>
      </c>
      <c r="AM71" s="16"/>
      <c r="AN71" s="16"/>
      <c r="AP71" s="17">
        <v>23</v>
      </c>
      <c r="AR71" s="16">
        <f t="shared" si="88"/>
        <v>6.7072937973818947</v>
      </c>
      <c r="AS71" s="29">
        <f>IF(基础状态预期!C81="","",基础状态预期!C81)</f>
        <v>544</v>
      </c>
      <c r="AT71" s="29">
        <f>求节点(节奏总纲!$Q$4:$Q$163,其他调用!$D$4:$D$163,$AS71)*求节点($CP$5:$CP$36,$CR$5:$CR$36,AS26)</f>
        <v>1145880.1246564023</v>
      </c>
      <c r="AU71" s="37">
        <f t="shared" si="98"/>
        <v>0</v>
      </c>
      <c r="AV71" s="37">
        <f t="shared" si="99"/>
        <v>1</v>
      </c>
      <c r="AW71" s="38">
        <f t="shared" si="75"/>
        <v>0.4933333333333334</v>
      </c>
      <c r="AX71" s="38">
        <f t="shared" si="76"/>
        <v>0.26666666666666666</v>
      </c>
      <c r="AY71" s="38">
        <f t="shared" si="77"/>
        <v>0.04</v>
      </c>
      <c r="AZ71" s="38">
        <f t="shared" si="78"/>
        <v>2.8000000000000001E-2</v>
      </c>
      <c r="BA71" s="29">
        <f t="shared" si="100"/>
        <v>157353.11248657922</v>
      </c>
      <c r="BB71" s="29">
        <f t="shared" si="89"/>
        <v>323.44806455574621</v>
      </c>
      <c r="BC71" s="29">
        <f t="shared" si="79"/>
        <v>174.83679165175468</v>
      </c>
      <c r="BD71" s="29">
        <f t="shared" si="80"/>
        <v>26.225518747763203</v>
      </c>
      <c r="BE71" s="29">
        <f t="shared" si="81"/>
        <v>18.357863123434242</v>
      </c>
      <c r="BF71" s="29">
        <f t="shared" si="90"/>
        <v>4515.2000000000007</v>
      </c>
      <c r="BG71" s="29">
        <f t="shared" si="90"/>
        <v>816</v>
      </c>
      <c r="BH71" s="29">
        <f t="shared" si="90"/>
        <v>108.80000000000001</v>
      </c>
      <c r="BI71" s="29">
        <f t="shared" si="90"/>
        <v>0</v>
      </c>
      <c r="BJ71" s="29">
        <f>SUM(BB$52:BB71)+BF71</f>
        <v>6990.5461947785643</v>
      </c>
      <c r="BK71" s="29">
        <f>SUM(BC$52:BC71)+BG71</f>
        <v>2089.2001385071135</v>
      </c>
      <c r="BL71" s="29">
        <f>SUM(BD$52:BD71)+BH71</f>
        <v>325.21885622403147</v>
      </c>
      <c r="BM71" s="29">
        <f>SUM(BE$52:BE71)+BI71</f>
        <v>113.33494618487539</v>
      </c>
      <c r="BN71" s="29">
        <f>SUM(BT$52:BT71)</f>
        <v>18.960622694134962</v>
      </c>
      <c r="BO71" s="17" t="e">
        <f t="shared" si="101"/>
        <v>#DIV/0!</v>
      </c>
      <c r="BP71" s="17" t="e">
        <f t="shared" si="102"/>
        <v>#DIV/0!</v>
      </c>
      <c r="BQ71" s="17" t="e">
        <f t="shared" si="103"/>
        <v>#DIV/0!</v>
      </c>
      <c r="BR71" s="17">
        <f t="shared" si="91"/>
        <v>0</v>
      </c>
      <c r="BS71" s="17">
        <f t="shared" si="86"/>
        <v>80</v>
      </c>
      <c r="BT71" s="17">
        <f t="shared" si="92"/>
        <v>0</v>
      </c>
      <c r="BV71" s="17">
        <f t="shared" si="87"/>
        <v>32.5457274844224</v>
      </c>
      <c r="BW71" s="17">
        <v>67</v>
      </c>
      <c r="BX71" s="17">
        <f>'[1]资源-钻石'!L70/$B$2*$B$12*10</f>
        <v>1741.3745393995091</v>
      </c>
      <c r="BY71" s="17">
        <f>'[1]资源-钻石'!M70/$B$2*$B$12*10</f>
        <v>2166.1111226534254</v>
      </c>
      <c r="BZ71" s="17">
        <f>'[1]资源-钻石'!N70/$B$2*$B$12*10</f>
        <v>2918.1595376353571</v>
      </c>
      <c r="CA71" s="17">
        <f>'[1]资源-钻石'!O70/$B$2*$B$12*10</f>
        <v>5534.6586486326714</v>
      </c>
      <c r="CB71" s="17">
        <f>'[1]资源-钻石'!P70/$B$2*$B$12*10</f>
        <v>7406.1842186671229</v>
      </c>
      <c r="CD71" s="17">
        <v>67</v>
      </c>
      <c r="CE71" s="17">
        <f>'[1]资源-钻石'!L70/$B$2*$C$12*10</f>
        <v>705.36690203524415</v>
      </c>
      <c r="CF71" s="17">
        <f>'[1]资源-钻石'!M70/$B$2*$C$12*10</f>
        <v>877.41210031531159</v>
      </c>
      <c r="CG71" s="17">
        <f>'[1]资源-钻石'!N70/$B$2*$C$12*10</f>
        <v>1182.0393063839422</v>
      </c>
      <c r="CH71" s="17">
        <f>'[1]资源-钻石'!O70/$B$2*$C$12*10</f>
        <v>2241.8870475474109</v>
      </c>
      <c r="CI71" s="17">
        <f>'[1]资源-钻石'!P70/$B$2*$C$12*10</f>
        <v>2999.9733543968091</v>
      </c>
      <c r="CO71" s="17">
        <v>155</v>
      </c>
      <c r="CP71" s="17">
        <f>INDEX(节奏总纲!$Q$4:$Q$163,CO71,1)</f>
        <v>44078.560451263736</v>
      </c>
      <c r="CQ71" s="17">
        <f t="shared" ref="CQ71:CU72" si="109">CQ35*($B$2-500)/$B$2</f>
        <v>0.19210534726077139</v>
      </c>
      <c r="CR71" s="17">
        <f t="shared" si="109"/>
        <v>0.19210534726077139</v>
      </c>
      <c r="CS71" s="17">
        <f t="shared" si="109"/>
        <v>0.19210534726077139</v>
      </c>
      <c r="CT71" s="17">
        <f t="shared" si="109"/>
        <v>0.19210534726077139</v>
      </c>
      <c r="CU71" s="17">
        <f t="shared" si="109"/>
        <v>0.19210534726077139</v>
      </c>
      <c r="CW71" s="17">
        <v>68</v>
      </c>
      <c r="CX71" s="17">
        <f t="shared" si="104"/>
        <v>0.34441948107258019</v>
      </c>
      <c r="CY71" s="17">
        <f t="shared" si="105"/>
        <v>0.34441948107258019</v>
      </c>
      <c r="CZ71" s="17">
        <f t="shared" si="106"/>
        <v>0.34441948107258019</v>
      </c>
      <c r="DA71" s="17">
        <f t="shared" si="107"/>
        <v>0.34441948107258019</v>
      </c>
      <c r="DB71" s="17">
        <f t="shared" si="108"/>
        <v>0.34441948107258019</v>
      </c>
    </row>
    <row r="72" spans="8:106" x14ac:dyDescent="0.15">
      <c r="H72" s="17">
        <v>24</v>
      </c>
      <c r="I72" s="29">
        <f>IF(基础状态预期!C82="","",基础状态预期!C82)</f>
        <v>697</v>
      </c>
      <c r="J72" s="29">
        <f>IF(基础状态预期!D82="","",基础状态预期!D82)</f>
        <v>96.770480813454071</v>
      </c>
      <c r="K72" s="29" t="str">
        <f>IF(基础状态预期!F82="","",基础状态预期!F82)</f>
        <v/>
      </c>
      <c r="L72" s="29" t="str">
        <f>IF(基础状态预期!G82="","",基础状态预期!G82)</f>
        <v/>
      </c>
      <c r="M72" s="29" t="str">
        <f>IF(基础状态预期!H82="","",基础状态预期!H82)</f>
        <v/>
      </c>
      <c r="N72" s="29" t="str">
        <f>IF(基础状态预期!I82="","",基础状态预期!I82)</f>
        <v/>
      </c>
      <c r="O72" s="29">
        <f>IF(基础状态预期!J82="","",基础状态预期!J82)</f>
        <v>6</v>
      </c>
      <c r="P72" s="29">
        <f>武将进阶!O69</f>
        <v>0</v>
      </c>
      <c r="Q72" s="29">
        <f>武将进阶!P69</f>
        <v>0</v>
      </c>
      <c r="R72" s="29">
        <f>武将进阶!Q69</f>
        <v>0</v>
      </c>
      <c r="S72" s="29">
        <f>武将进阶!R69</f>
        <v>318.74746185686934</v>
      </c>
      <c r="T72" s="29">
        <f>武将进阶!S69</f>
        <v>0</v>
      </c>
      <c r="U72" s="29">
        <f>武将觉醒!T70</f>
        <v>0</v>
      </c>
      <c r="V72" s="29">
        <f>武将觉醒!U70</f>
        <v>0</v>
      </c>
      <c r="W72" s="29">
        <f>武将觉醒!V70</f>
        <v>0</v>
      </c>
      <c r="X72" s="29">
        <f>武将觉醒!W70</f>
        <v>0</v>
      </c>
      <c r="Y72" s="29">
        <f>武将觉醒!X70</f>
        <v>0</v>
      </c>
      <c r="Z72" s="29"/>
      <c r="AA72" s="29">
        <f>IF(L72="",0,同名需求(L72,武将升星!P69,B$6)+武将升星!U69)</f>
        <v>0</v>
      </c>
      <c r="AB72" s="29">
        <f>IF(M72="",0,同名需求(M72,武将升星!Q69,C$6)+武将升星!V69)</f>
        <v>0</v>
      </c>
      <c r="AC72" s="59">
        <f>IF(N72="",0,同名需求(N72,武将升星!R69,D$6*0.6)+武将升星!W69)</f>
        <v>0</v>
      </c>
      <c r="AD72" s="29">
        <f>IF(O72="",0,同名需求(O72,武将升星!S69,E$6)+武将升星!X69)</f>
        <v>108</v>
      </c>
      <c r="AE72" s="29">
        <f>MAX(U72+P72+IF(K72="",0,K72)*武将升星!O69,Z72)</f>
        <v>0</v>
      </c>
      <c r="AF72" s="29">
        <f>MAX(V72+Q72+IF(L72="",0,L72)*武将升星!P69,AA72)</f>
        <v>0</v>
      </c>
      <c r="AG72" s="29">
        <f>MAX(W72+R72+IF(M72="",0,M72)*武将升星!Q69,AB72)</f>
        <v>0</v>
      </c>
      <c r="AH72" s="29">
        <f>MAX(X72+S72+IF(N72="",0,N72)*武将升星!R69,AC72)</f>
        <v>318.74746185686934</v>
      </c>
      <c r="AI72" s="45">
        <f t="shared" si="96"/>
        <v>108</v>
      </c>
      <c r="AJ72" s="29">
        <f t="shared" si="71"/>
        <v>1088993.9084564864</v>
      </c>
      <c r="AK72" s="14" t="e">
        <f>AJ72/求节点('[1]资源-钻石'!$K$4:$K$113,'[1]资源-钻石'!$M$4:$M$113,J72)</f>
        <v>#VALUE!</v>
      </c>
      <c r="AL72" s="16" t="e">
        <f t="shared" si="97"/>
        <v>#DIV/0!</v>
      </c>
      <c r="AM72" s="16"/>
      <c r="AN72" s="16"/>
      <c r="AP72" s="17">
        <v>24</v>
      </c>
      <c r="AR72" s="16">
        <f t="shared" si="88"/>
        <v>6.3801337502980155</v>
      </c>
      <c r="AS72" s="29">
        <f>IF(基础状态预期!C82="","",基础状态预期!C82)</f>
        <v>697</v>
      </c>
      <c r="AT72" s="29">
        <f>求节点(节奏总纲!$Q$4:$Q$163,其他调用!$D$4:$D$163,$AS72)*求节点($CP$5:$CP$36,$CR$5:$CR$36,AS27)</f>
        <v>1370397.0313293894</v>
      </c>
      <c r="AU72" s="37">
        <f t="shared" si="98"/>
        <v>0</v>
      </c>
      <c r="AV72" s="37">
        <f t="shared" si="99"/>
        <v>1</v>
      </c>
      <c r="AW72" s="38">
        <f t="shared" si="75"/>
        <v>0.4933333333333334</v>
      </c>
      <c r="AX72" s="38">
        <f t="shared" si="76"/>
        <v>0.26666666666666666</v>
      </c>
      <c r="AY72" s="38">
        <f t="shared" si="77"/>
        <v>0.04</v>
      </c>
      <c r="AZ72" s="38">
        <f t="shared" si="78"/>
        <v>2.8000000000000001E-2</v>
      </c>
      <c r="BA72" s="29">
        <f t="shared" si="100"/>
        <v>224516.90667298716</v>
      </c>
      <c r="BB72" s="29">
        <f t="shared" si="89"/>
        <v>461.50697482780703</v>
      </c>
      <c r="BC72" s="29">
        <f t="shared" si="79"/>
        <v>249.46322963665239</v>
      </c>
      <c r="BD72" s="29">
        <f t="shared" si="80"/>
        <v>37.419484445497858</v>
      </c>
      <c r="BE72" s="29">
        <f t="shared" si="81"/>
        <v>26.193639111848501</v>
      </c>
      <c r="BF72" s="29">
        <f t="shared" si="90"/>
        <v>5785.1</v>
      </c>
      <c r="BG72" s="29">
        <f t="shared" si="90"/>
        <v>1045.5</v>
      </c>
      <c r="BH72" s="29">
        <f t="shared" si="90"/>
        <v>139.4</v>
      </c>
      <c r="BI72" s="29">
        <f t="shared" si="90"/>
        <v>0</v>
      </c>
      <c r="BJ72" s="29">
        <f>SUM(BB$52:BB72)+BF72</f>
        <v>8721.9531696063714</v>
      </c>
      <c r="BK72" s="29">
        <f>SUM(BC$52:BC72)+BG72</f>
        <v>2568.1633681437661</v>
      </c>
      <c r="BL72" s="29">
        <f>SUM(BD$52:BD72)+BH72</f>
        <v>393.23834066952929</v>
      </c>
      <c r="BM72" s="29">
        <f>SUM(BE$52:BE72)+BI72</f>
        <v>139.52858529672389</v>
      </c>
      <c r="BN72" s="29">
        <f>SUM(BT$52:BT72)</f>
        <v>18.960622694134962</v>
      </c>
      <c r="BO72" s="17" t="e">
        <f t="shared" si="101"/>
        <v>#DIV/0!</v>
      </c>
      <c r="BP72" s="17" t="e">
        <f t="shared" si="102"/>
        <v>#DIV/0!</v>
      </c>
      <c r="BQ72" s="17" t="e">
        <f t="shared" si="103"/>
        <v>#DIV/0!</v>
      </c>
      <c r="BR72" s="17">
        <f t="shared" si="91"/>
        <v>0</v>
      </c>
      <c r="BS72" s="17">
        <f t="shared" si="86"/>
        <v>80</v>
      </c>
      <c r="BT72" s="17">
        <f t="shared" si="92"/>
        <v>0</v>
      </c>
      <c r="BV72" s="17">
        <f t="shared" si="87"/>
        <v>74.490878812659957</v>
      </c>
      <c r="BW72" s="17">
        <v>68</v>
      </c>
      <c r="BX72" s="17">
        <f>'[1]资源-钻石'!L71/$B$2*$B$12*10</f>
        <v>1833.9311465815995</v>
      </c>
      <c r="BY72" s="17">
        <f>'[1]资源-钻石'!M71/$B$2*$B$12*10</f>
        <v>2286.1775886444634</v>
      </c>
      <c r="BZ72" s="17">
        <f>'[1]资源-钻石'!N71/$B$2*$B$12*10</f>
        <v>3109.3559168630163</v>
      </c>
      <c r="CA72" s="17">
        <f>'[1]资源-钻石'!O71/$B$2*$B$12*10</f>
        <v>5912.2948614048764</v>
      </c>
      <c r="CB72" s="17">
        <f>'[1]资源-钻石'!P71/$B$2*$B$12*10</f>
        <v>7887.9341382124303</v>
      </c>
      <c r="CD72" s="17">
        <v>68</v>
      </c>
      <c r="CE72" s="17">
        <f>'[1]资源-钻石'!L71/$B$2*$C$12*10</f>
        <v>742.85818595710361</v>
      </c>
      <c r="CF72" s="17">
        <f>'[1]资源-钻石'!M71/$B$2*$C$12*10</f>
        <v>926.04661818509908</v>
      </c>
      <c r="CG72" s="17">
        <f>'[1]资源-钻石'!N71/$B$2*$C$12*10</f>
        <v>1259.4859410078041</v>
      </c>
      <c r="CH72" s="17">
        <f>'[1]资源-钻石'!O71/$B$2*$C$12*10</f>
        <v>2394.8536147462792</v>
      </c>
      <c r="CI72" s="17">
        <f>'[1]资源-钻石'!P71/$B$2*$C$12*10</f>
        <v>3195.112562313896</v>
      </c>
      <c r="CO72" s="17">
        <v>160</v>
      </c>
      <c r="CP72" s="17">
        <f>INDEX(节奏总纲!$Q$4:$Q$163,CO72,1)</f>
        <v>65535</v>
      </c>
      <c r="CQ72" s="17">
        <f t="shared" si="109"/>
        <v>0.18826324031555594</v>
      </c>
      <c r="CR72" s="17">
        <f t="shared" si="109"/>
        <v>0.18826324031555594</v>
      </c>
      <c r="CS72" s="17">
        <f t="shared" si="109"/>
        <v>0.18826324031555594</v>
      </c>
      <c r="CT72" s="17">
        <f t="shared" si="109"/>
        <v>0.18826324031555594</v>
      </c>
      <c r="CU72" s="17">
        <f t="shared" si="109"/>
        <v>0.18826324031555594</v>
      </c>
      <c r="CW72" s="17">
        <v>69</v>
      </c>
      <c r="CX72" s="17">
        <f t="shared" si="104"/>
        <v>0.34078736366557916</v>
      </c>
      <c r="CY72" s="17">
        <f t="shared" si="105"/>
        <v>0.34078736366557916</v>
      </c>
      <c r="CZ72" s="17">
        <f t="shared" si="106"/>
        <v>0.34078736366557916</v>
      </c>
      <c r="DA72" s="17">
        <f t="shared" si="107"/>
        <v>0.34078736366557916</v>
      </c>
      <c r="DB72" s="17">
        <f t="shared" si="108"/>
        <v>0.34078736366557916</v>
      </c>
    </row>
    <row r="73" spans="8:106" x14ac:dyDescent="0.15">
      <c r="H73" s="17">
        <v>25</v>
      </c>
      <c r="I73" s="29">
        <f>IF(基础状态预期!C83="","",基础状态预期!C83)</f>
        <v>901</v>
      </c>
      <c r="J73" s="29">
        <f>IF(基础状态预期!D83="","",基础状态预期!D83)</f>
        <v>100.40175326279811</v>
      </c>
      <c r="K73" s="29" t="str">
        <f>IF(基础状态预期!F83="","",基础状态预期!F83)</f>
        <v/>
      </c>
      <c r="L73" s="29" t="str">
        <f>IF(基础状态预期!G83="","",基础状态预期!G83)</f>
        <v/>
      </c>
      <c r="M73" s="29" t="str">
        <f>IF(基础状态预期!H83="","",基础状态预期!H83)</f>
        <v/>
      </c>
      <c r="N73" s="29" t="str">
        <f>IF(基础状态预期!I83="","",基础状态预期!I83)</f>
        <v/>
      </c>
      <c r="O73" s="29">
        <f>IF(基础状态预期!J83="","",基础状态预期!J83)</f>
        <v>6</v>
      </c>
      <c r="P73" s="29">
        <f>武将进阶!O70</f>
        <v>0</v>
      </c>
      <c r="Q73" s="29">
        <f>武将进阶!P70</f>
        <v>0</v>
      </c>
      <c r="R73" s="29">
        <f>武将进阶!Q70</f>
        <v>0</v>
      </c>
      <c r="S73" s="29">
        <f>武将进阶!R70</f>
        <v>346.8210391535772</v>
      </c>
      <c r="T73" s="29">
        <f>武将进阶!S70</f>
        <v>0</v>
      </c>
      <c r="U73" s="29">
        <f>武将觉醒!T71</f>
        <v>0</v>
      </c>
      <c r="V73" s="29">
        <f>武将觉醒!U71</f>
        <v>0</v>
      </c>
      <c r="W73" s="29">
        <f>武将觉醒!V71</f>
        <v>0</v>
      </c>
      <c r="X73" s="29">
        <f>武将觉醒!W71</f>
        <v>0</v>
      </c>
      <c r="Y73" s="29">
        <f>武将觉醒!X71</f>
        <v>0</v>
      </c>
      <c r="Z73" s="29"/>
      <c r="AA73" s="29">
        <f>IF(L73="",0,同名需求(L73,武将升星!P70,B$6)+武将升星!U70)</f>
        <v>0</v>
      </c>
      <c r="AB73" s="29">
        <f>IF(M73="",0,同名需求(M73,武将升星!Q70,C$6)+武将升星!V70)</f>
        <v>0</v>
      </c>
      <c r="AC73" s="59">
        <f>IF(N73="",0,同名需求(N73,武将升星!R70,D$6*0.6)+武将升星!W70)</f>
        <v>0</v>
      </c>
      <c r="AD73" s="29">
        <f>IF(O73="",0,同名需求(O73,武将升星!S70,E$6)+武将升星!X70)</f>
        <v>108</v>
      </c>
      <c r="AE73" s="29">
        <f>MAX(U73+P73+IF(K73="",0,K73)*武将升星!O70,Z73)</f>
        <v>0</v>
      </c>
      <c r="AF73" s="29">
        <f>MAX(V73+Q73+IF(L73="",0,L73)*武将升星!P70,AA73)</f>
        <v>0</v>
      </c>
      <c r="AG73" s="29">
        <f>MAX(W73+R73+IF(M73="",0,M73)*武将升星!Q70,AB73)</f>
        <v>0</v>
      </c>
      <c r="AH73" s="29">
        <f>MAX(X73+S73+IF(N73="",0,N73)*武将升星!R70,AC73)</f>
        <v>346.8210391535772</v>
      </c>
      <c r="AI73" s="45">
        <f t="shared" si="96"/>
        <v>108</v>
      </c>
      <c r="AJ73" s="29">
        <f t="shared" si="71"/>
        <v>1156370.4939685853</v>
      </c>
      <c r="AK73" s="14" t="e">
        <f>AJ73/求节点('[1]资源-钻石'!$K$4:$K$113,'[1]资源-钻石'!$M$4:$M$113,J73)</f>
        <v>#VALUE!</v>
      </c>
      <c r="AL73" s="16" t="e">
        <f t="shared" si="97"/>
        <v>#DIV/0!</v>
      </c>
      <c r="AM73" s="16"/>
      <c r="AN73" s="16"/>
      <c r="AP73" s="17">
        <v>25</v>
      </c>
      <c r="AR73" s="16">
        <f t="shared" si="88"/>
        <v>5.8319777428905111</v>
      </c>
      <c r="AS73" s="29">
        <f>IF(基础状态预期!C83="","",基础状态预期!C83)</f>
        <v>901</v>
      </c>
      <c r="AT73" s="29">
        <f>求节点(节奏总纲!$Q$4:$Q$163,其他调用!$D$4:$D$163,$AS73)*求节点($CP$5:$CP$36,$CR$5:$CR$36,AS28)</f>
        <v>1644033.4270258122</v>
      </c>
      <c r="AU73" s="37">
        <f t="shared" si="98"/>
        <v>0</v>
      </c>
      <c r="AV73" s="37">
        <f t="shared" si="99"/>
        <v>1</v>
      </c>
      <c r="AW73" s="38">
        <f t="shared" si="75"/>
        <v>0.4933333333333334</v>
      </c>
      <c r="AX73" s="38">
        <f t="shared" si="76"/>
        <v>0.26666666666666666</v>
      </c>
      <c r="AY73" s="38">
        <f t="shared" si="77"/>
        <v>0.04</v>
      </c>
      <c r="AZ73" s="38">
        <f t="shared" si="78"/>
        <v>2.8000000000000001E-2</v>
      </c>
      <c r="BA73" s="29">
        <f t="shared" si="100"/>
        <v>273636.39569642278</v>
      </c>
      <c r="BB73" s="29">
        <f t="shared" si="89"/>
        <v>562.47481337598026</v>
      </c>
      <c r="BC73" s="29">
        <f t="shared" si="79"/>
        <v>304.04043966269199</v>
      </c>
      <c r="BD73" s="29">
        <f t="shared" si="80"/>
        <v>45.606065949403799</v>
      </c>
      <c r="BE73" s="29">
        <f t="shared" si="81"/>
        <v>31.924246164582662</v>
      </c>
      <c r="BF73" s="29">
        <f t="shared" si="90"/>
        <v>7478.3000000000011</v>
      </c>
      <c r="BG73" s="29">
        <f t="shared" si="90"/>
        <v>1351.5</v>
      </c>
      <c r="BH73" s="29">
        <f t="shared" si="90"/>
        <v>180.20000000000002</v>
      </c>
      <c r="BI73" s="29">
        <f t="shared" si="90"/>
        <v>0</v>
      </c>
      <c r="BJ73" s="29">
        <f>SUM(BB$52:BB73)+BF73</f>
        <v>10977.627982982352</v>
      </c>
      <c r="BK73" s="29">
        <f>SUM(BC$52:BC73)+BG73</f>
        <v>3178.2038078064579</v>
      </c>
      <c r="BL73" s="29">
        <f>SUM(BD$52:BD73)+BH73</f>
        <v>479.64440661893309</v>
      </c>
      <c r="BM73" s="29">
        <f>SUM(BE$52:BE73)+BI73</f>
        <v>171.45283146130654</v>
      </c>
      <c r="BN73" s="29">
        <f>SUM(BT$52:BT73)</f>
        <v>18.960622694134962</v>
      </c>
      <c r="BO73" s="17" t="e">
        <f t="shared" si="101"/>
        <v>#DIV/0!</v>
      </c>
      <c r="BP73" s="17" t="e">
        <f t="shared" si="102"/>
        <v>#DIV/0!</v>
      </c>
      <c r="BQ73" s="17" t="e">
        <f t="shared" si="103"/>
        <v>#DIV/0!</v>
      </c>
      <c r="BR73" s="17">
        <f t="shared" si="91"/>
        <v>0</v>
      </c>
      <c r="BS73" s="17">
        <f t="shared" si="86"/>
        <v>80</v>
      </c>
      <c r="BT73" s="17">
        <f t="shared" si="92"/>
        <v>0</v>
      </c>
      <c r="BV73" s="17">
        <f t="shared" si="87"/>
        <v>132.82336746535589</v>
      </c>
      <c r="BW73" s="17">
        <v>69</v>
      </c>
      <c r="BX73" s="17">
        <f>'[1]资源-钻石'!L72/$B$2*$B$12*10</f>
        <v>1933.1308619417598</v>
      </c>
      <c r="BY73" s="17">
        <f>'[1]资源-钻石'!M72/$B$2*$B$12*10</f>
        <v>2409.4385048557565</v>
      </c>
      <c r="BZ73" s="17">
        <f>'[1]资源-钻石'!N72/$B$2*$B$12*10</f>
        <v>3326.9797493793135</v>
      </c>
      <c r="CA73" s="17">
        <f>'[1]资源-钻石'!O72/$B$2*$B$12*10</f>
        <v>6323.3970028277163</v>
      </c>
      <c r="CB73" s="17">
        <f>'[1]资源-钻石'!P72/$B$2*$B$12*10</f>
        <v>8405.5996864900408</v>
      </c>
      <c r="CD73" s="17">
        <v>69</v>
      </c>
      <c r="CE73" s="17">
        <f>'[1]资源-钻石'!L72/$B$2*$C$12*10</f>
        <v>783.04034914096587</v>
      </c>
      <c r="CF73" s="17">
        <f>'[1]资源-钻石'!M72/$B$2*$C$12*10</f>
        <v>975.97509057448383</v>
      </c>
      <c r="CG73" s="17">
        <f>'[1]资源-钻石'!N72/$B$2*$C$12*10</f>
        <v>1347.6373668371903</v>
      </c>
      <c r="CH73" s="17">
        <f>'[1]资源-钻石'!O72/$B$2*$C$12*10</f>
        <v>2561.3760011454042</v>
      </c>
      <c r="CI73" s="17">
        <f>'[1]资源-钻石'!P72/$B$2*$C$12*10</f>
        <v>3404.7998730086242</v>
      </c>
      <c r="CW73" s="17">
        <v>70</v>
      </c>
      <c r="CX73" s="17">
        <f t="shared" si="104"/>
        <v>0.33715524625857807</v>
      </c>
      <c r="CY73" s="17">
        <f t="shared" si="105"/>
        <v>0.33715524625857807</v>
      </c>
      <c r="CZ73" s="17">
        <f t="shared" si="106"/>
        <v>0.33715524625857807</v>
      </c>
      <c r="DA73" s="17">
        <f t="shared" si="107"/>
        <v>0.33715524625857807</v>
      </c>
      <c r="DB73" s="17">
        <f t="shared" si="108"/>
        <v>0.33715524625857807</v>
      </c>
    </row>
    <row r="74" spans="8:106" x14ac:dyDescent="0.15">
      <c r="H74" s="17">
        <v>26</v>
      </c>
      <c r="I74" s="29">
        <f>IF(基础状态预期!C84="","",基础状态预期!C84)</f>
        <v>1156</v>
      </c>
      <c r="J74" s="29">
        <f>IF(基础状态预期!D84="","",基础状态预期!D84)</f>
        <v>104.06236366727887</v>
      </c>
      <c r="K74" s="29" t="str">
        <f>IF(基础状态预期!F84="","",基础状态预期!F84)</f>
        <v/>
      </c>
      <c r="L74" s="29" t="str">
        <f>IF(基础状态预期!G84="","",基础状态预期!G84)</f>
        <v/>
      </c>
      <c r="M74" s="29" t="str">
        <f>IF(基础状态预期!H84="","",基础状态预期!H84)</f>
        <v/>
      </c>
      <c r="N74" s="29" t="str">
        <f>IF(基础状态预期!I84="","",基础状态预期!I84)</f>
        <v/>
      </c>
      <c r="O74" s="29">
        <f>IF(基础状态预期!J84="","",基础状态预期!J84)</f>
        <v>6</v>
      </c>
      <c r="P74" s="29">
        <f>武将进阶!O71</f>
        <v>0</v>
      </c>
      <c r="Q74" s="29">
        <f>武将进阶!P71</f>
        <v>0</v>
      </c>
      <c r="R74" s="29">
        <f>武将进阶!Q71</f>
        <v>0</v>
      </c>
      <c r="S74" s="29">
        <f>武将进阶!R71</f>
        <v>390.74836400734659</v>
      </c>
      <c r="T74" s="29">
        <f>武将进阶!S71</f>
        <v>0</v>
      </c>
      <c r="U74" s="29">
        <f>武将觉醒!T72</f>
        <v>0</v>
      </c>
      <c r="V74" s="29">
        <f>武将觉醒!U72</f>
        <v>0</v>
      </c>
      <c r="W74" s="29">
        <f>武将觉醒!V72</f>
        <v>0</v>
      </c>
      <c r="X74" s="29">
        <f>武将觉醒!W72</f>
        <v>0</v>
      </c>
      <c r="Y74" s="29">
        <f>武将觉醒!X72</f>
        <v>0</v>
      </c>
      <c r="Z74" s="29"/>
      <c r="AA74" s="29">
        <f>IF(L74="",0,同名需求(L74,武将升星!P71,B$6)+武将升星!U71)</f>
        <v>0</v>
      </c>
      <c r="AB74" s="29">
        <f>IF(M74="",0,同名需求(M74,武将升星!Q71,C$6)+武将升星!V71)</f>
        <v>0</v>
      </c>
      <c r="AC74" s="59">
        <f>IF(N74="",0,同名需求(N74,武将升星!R71,D$6*0.6)+武将升星!W71)</f>
        <v>0</v>
      </c>
      <c r="AD74" s="29">
        <f>IF(O74="",0,同名需求(O74,武将升星!S71,E$6)+武将升星!X71)</f>
        <v>108</v>
      </c>
      <c r="AE74" s="29">
        <f>MAX(U74+P74+IF(K74="",0,K74)*武将升星!O71,Z74)</f>
        <v>0</v>
      </c>
      <c r="AF74" s="29">
        <f>MAX(V74+Q74+IF(L74="",0,L74)*武将升星!P71,AA74)</f>
        <v>0</v>
      </c>
      <c r="AG74" s="29">
        <f>MAX(W74+R74+IF(M74="",0,M74)*武将升星!Q71,AB74)</f>
        <v>0</v>
      </c>
      <c r="AH74" s="29">
        <f>MAX(X74+S74+IF(N74="",0,N74)*武将升星!R71,AC74)</f>
        <v>390.74836400734659</v>
      </c>
      <c r="AI74" s="45">
        <f t="shared" si="96"/>
        <v>108</v>
      </c>
      <c r="AJ74" s="29">
        <f t="shared" si="71"/>
        <v>1261796.0736176316</v>
      </c>
      <c r="AK74" s="14" t="e">
        <f>AJ74/求节点('[1]资源-钻石'!$K$4:$K$113,'[1]资源-钻石'!$M$4:$M$113,J74)</f>
        <v>#VALUE!</v>
      </c>
      <c r="AL74" s="16" t="e">
        <f t="shared" si="97"/>
        <v>#DIV/0!</v>
      </c>
      <c r="AM74" s="16"/>
      <c r="AN74" s="16"/>
      <c r="AP74" s="17">
        <v>26</v>
      </c>
      <c r="AR74" s="16">
        <f t="shared" si="88"/>
        <v>6.5170331442016094</v>
      </c>
      <c r="AS74" s="29">
        <f>IF(基础状态预期!C84="","",基础状态预期!C84)</f>
        <v>1156</v>
      </c>
      <c r="AT74" s="29">
        <f>求节点(节奏总纲!$Q$4:$Q$163,其他调用!$D$4:$D$163,$AS74)*求节点($CP$5:$CP$36,$CR$5:$CR$36,AS29)</f>
        <v>2026257.4209332366</v>
      </c>
      <c r="AU74" s="37">
        <f t="shared" si="98"/>
        <v>0</v>
      </c>
      <c r="AV74" s="37">
        <f t="shared" si="99"/>
        <v>1</v>
      </c>
      <c r="AW74" s="38">
        <f t="shared" si="75"/>
        <v>0.4933333333333334</v>
      </c>
      <c r="AX74" s="38">
        <f t="shared" si="76"/>
        <v>0.26666666666666666</v>
      </c>
      <c r="AY74" s="38">
        <f t="shared" si="77"/>
        <v>0.04</v>
      </c>
      <c r="AZ74" s="38">
        <f t="shared" si="78"/>
        <v>2.8000000000000001E-2</v>
      </c>
      <c r="BA74" s="29">
        <f t="shared" si="100"/>
        <v>382223.99390742439</v>
      </c>
      <c r="BB74" s="29">
        <f t="shared" si="89"/>
        <v>785.68265414303914</v>
      </c>
      <c r="BC74" s="29">
        <f t="shared" si="79"/>
        <v>424.69332656380487</v>
      </c>
      <c r="BD74" s="29">
        <f t="shared" si="80"/>
        <v>63.703998984570738</v>
      </c>
      <c r="BE74" s="29">
        <f t="shared" si="81"/>
        <v>44.592799289199519</v>
      </c>
      <c r="BF74" s="29">
        <f t="shared" si="90"/>
        <v>9594.8000000000011</v>
      </c>
      <c r="BG74" s="29">
        <f t="shared" si="90"/>
        <v>1734</v>
      </c>
      <c r="BH74" s="29">
        <f t="shared" si="90"/>
        <v>231.20000000000002</v>
      </c>
      <c r="BI74" s="29">
        <f t="shared" si="90"/>
        <v>0</v>
      </c>
      <c r="BJ74" s="29">
        <f>SUM(BB$52:BB74)+BF74</f>
        <v>13879.810637125391</v>
      </c>
      <c r="BK74" s="29">
        <f>SUM(BC$52:BC74)+BG74</f>
        <v>3985.3971343702628</v>
      </c>
      <c r="BL74" s="29">
        <f>SUM(BD$52:BD74)+BH74</f>
        <v>594.34840560350381</v>
      </c>
      <c r="BM74" s="29">
        <f>SUM(BE$52:BE74)+BI74</f>
        <v>216.04563075050606</v>
      </c>
      <c r="BN74" s="29">
        <f>SUM(BT$52:BT74)</f>
        <v>18.960622694134962</v>
      </c>
      <c r="BO74" s="17" t="e">
        <f t="shared" si="101"/>
        <v>#VALUE!</v>
      </c>
      <c r="BP74" s="17" t="e">
        <f t="shared" si="102"/>
        <v>#VALUE!</v>
      </c>
      <c r="BQ74" s="17" t="e">
        <f t="shared" si="103"/>
        <v>#VALUE!</v>
      </c>
      <c r="BR74" s="17">
        <f t="shared" si="91"/>
        <v>0</v>
      </c>
      <c r="BS74" s="17">
        <f t="shared" si="86"/>
        <v>80</v>
      </c>
      <c r="BT74" s="17">
        <f t="shared" si="92"/>
        <v>0</v>
      </c>
      <c r="BV74" s="17">
        <f t="shared" si="87"/>
        <v>203.60004159615721</v>
      </c>
      <c r="BW74" s="17">
        <v>70</v>
      </c>
      <c r="BX74" s="17">
        <f>'[1]资源-钻石'!L73/$B$2*$B$12*10</f>
        <v>2039.4504843559339</v>
      </c>
      <c r="BY74" s="17">
        <f>'[1]资源-钻石'!M73/$B$2*$B$12*10</f>
        <v>2547.0540610569269</v>
      </c>
      <c r="BZ74" s="17">
        <f>'[1]资源-钻石'!N73/$B$2*$B$12*10</f>
        <v>3565.9350959803173</v>
      </c>
      <c r="CA74" s="17">
        <f>'[1]资源-钻石'!O73/$B$2*$B$12*10</f>
        <v>6761.2138576765037</v>
      </c>
      <c r="CB74" s="17">
        <f>'[1]资源-钻石'!P73/$B$2*$B$12*10</f>
        <v>8979.5011722486361</v>
      </c>
      <c r="CD74" s="17">
        <v>70</v>
      </c>
      <c r="CE74" s="17">
        <f>'[1]资源-钻石'!L73/$B$2*$C$12*10</f>
        <v>826.10652530873267</v>
      </c>
      <c r="CF74" s="17">
        <f>'[1]资源-钻石'!M73/$B$2*$C$12*10</f>
        <v>1031.7181006812868</v>
      </c>
      <c r="CG74" s="17">
        <f>'[1]资源-钻石'!N73/$B$2*$C$12*10</f>
        <v>1444.4294059667109</v>
      </c>
      <c r="CH74" s="17">
        <f>'[1]资源-钻石'!O73/$B$2*$C$12*10</f>
        <v>2738.7195372866854</v>
      </c>
      <c r="CI74" s="17">
        <f>'[1]资源-钻石'!P73/$B$2*$C$12*10</f>
        <v>3637.2662976197007</v>
      </c>
      <c r="CW74" s="17">
        <v>71</v>
      </c>
      <c r="CX74" s="17">
        <f t="shared" si="104"/>
        <v>0.33363998828119351</v>
      </c>
      <c r="CY74" s="17">
        <f t="shared" si="105"/>
        <v>0.33363998828119351</v>
      </c>
      <c r="CZ74" s="17">
        <f t="shared" si="106"/>
        <v>0.33363998828119351</v>
      </c>
      <c r="DA74" s="17">
        <f t="shared" si="107"/>
        <v>0.33363998828119351</v>
      </c>
      <c r="DB74" s="17">
        <f t="shared" si="108"/>
        <v>0.33363998828119351</v>
      </c>
    </row>
    <row r="75" spans="8:106" x14ac:dyDescent="0.15">
      <c r="H75" s="17">
        <v>27</v>
      </c>
      <c r="I75" s="29">
        <f>IF(基础状态预期!C85="","",基础状态预期!C85)</f>
        <v>1462</v>
      </c>
      <c r="J75" s="29">
        <f>IF(基础状态预期!D85="","",基础状态预期!D85)</f>
        <v>107.42257994053838</v>
      </c>
      <c r="K75" s="29" t="str">
        <f>IF(基础状态预期!F85="","",基础状态预期!F85)</f>
        <v/>
      </c>
      <c r="L75" s="29" t="str">
        <f>IF(基础状态预期!G85="","",基础状态预期!G85)</f>
        <v/>
      </c>
      <c r="M75" s="29" t="str">
        <f>IF(基础状态预期!H85="","",基础状态预期!H85)</f>
        <v/>
      </c>
      <c r="N75" s="29" t="str">
        <f>IF(基础状态预期!I85="","",基础状态预期!I85)</f>
        <v/>
      </c>
      <c r="O75" s="29">
        <f>IF(基础状态预期!J85="","",基础状态预期!J85)</f>
        <v>6</v>
      </c>
      <c r="P75" s="29">
        <f>武将进阶!O72</f>
        <v>0</v>
      </c>
      <c r="Q75" s="29">
        <f>武将进阶!P72</f>
        <v>0</v>
      </c>
      <c r="R75" s="29">
        <f>武将进阶!Q72</f>
        <v>0</v>
      </c>
      <c r="S75" s="29">
        <f>武将进阶!R72</f>
        <v>431.07095928646061</v>
      </c>
      <c r="T75" s="29">
        <f>武将进阶!S72</f>
        <v>0</v>
      </c>
      <c r="U75" s="29">
        <f>武将觉醒!T73</f>
        <v>0</v>
      </c>
      <c r="V75" s="29">
        <f>武将觉醒!U73</f>
        <v>0</v>
      </c>
      <c r="W75" s="29">
        <f>武将觉醒!V73</f>
        <v>0</v>
      </c>
      <c r="X75" s="29">
        <f>武将觉醒!W73</f>
        <v>0</v>
      </c>
      <c r="Y75" s="29">
        <f>武将觉醒!X73</f>
        <v>0</v>
      </c>
      <c r="Z75" s="29"/>
      <c r="AA75" s="29">
        <f>IF(L75="",0,同名需求(L75,武将升星!P72,B$6)+武将升星!U72)</f>
        <v>0</v>
      </c>
      <c r="AB75" s="29">
        <f>IF(M75="",0,同名需求(M75,武将升星!Q72,C$6)+武将升星!V72)</f>
        <v>0</v>
      </c>
      <c r="AC75" s="59">
        <f>IF(N75="",0,同名需求(N75,武将升星!R72,D$6*0.6)+武将升星!W72)</f>
        <v>0</v>
      </c>
      <c r="AD75" s="29">
        <f>IF(O75="",0,同名需求(O75,武将升星!S72,E$6)+武将升星!X72)</f>
        <v>108</v>
      </c>
      <c r="AE75" s="29">
        <f>MAX(U75+P75+IF(K75="",0,K75)*武将升星!O72,Z75)</f>
        <v>0</v>
      </c>
      <c r="AF75" s="29">
        <f>MAX(V75+Q75+IF(L75="",0,L75)*武将升星!P72,AA75)</f>
        <v>0</v>
      </c>
      <c r="AG75" s="29">
        <f>MAX(W75+R75+IF(M75="",0,M75)*武将升星!Q72,AB75)</f>
        <v>0</v>
      </c>
      <c r="AH75" s="29">
        <f>MAX(X75+S75+IF(N75="",0,N75)*武将升星!R72,AC75)</f>
        <v>431.07095928646061</v>
      </c>
      <c r="AI75" s="45">
        <f t="shared" si="96"/>
        <v>108</v>
      </c>
      <c r="AJ75" s="29">
        <f t="shared" si="71"/>
        <v>1358570.3022875055</v>
      </c>
      <c r="AK75" s="14" t="e">
        <f>AJ75/求节点('[1]资源-钻石'!$K$4:$K$113,'[1]资源-钻石'!$M$4:$M$113,J75)</f>
        <v>#VALUE!</v>
      </c>
      <c r="AL75" s="16" t="e">
        <f t="shared" si="97"/>
        <v>#DIV/0!</v>
      </c>
      <c r="AM75" s="16"/>
      <c r="AN75" s="16"/>
      <c r="AO75" s="16"/>
      <c r="AP75" s="17">
        <v>27</v>
      </c>
      <c r="AR75" s="16">
        <f t="shared" si="88"/>
        <v>6.4115523230566804</v>
      </c>
      <c r="AS75" s="29">
        <f>IF(基础状态预期!C85="","",基础状态预期!C85)</f>
        <v>1462</v>
      </c>
      <c r="AT75" s="29">
        <f>求节点(节奏总纲!$Q$4:$Q$163,其他调用!$D$4:$D$163,$AS75)*求节点($CP$5:$CP$36,$CR$5:$CR$36,AS30)</f>
        <v>2477502.4734299658</v>
      </c>
      <c r="AU75" s="37">
        <f t="shared" si="98"/>
        <v>0</v>
      </c>
      <c r="AV75" s="37">
        <f t="shared" si="99"/>
        <v>1</v>
      </c>
      <c r="AW75" s="38">
        <f t="shared" si="75"/>
        <v>0.4933333333333334</v>
      </c>
      <c r="AX75" s="38">
        <f t="shared" si="76"/>
        <v>0.26666666666666666</v>
      </c>
      <c r="AY75" s="38">
        <f t="shared" si="77"/>
        <v>0.04</v>
      </c>
      <c r="AZ75" s="38">
        <f t="shared" si="78"/>
        <v>2.8000000000000001E-2</v>
      </c>
      <c r="BA75" s="29">
        <f t="shared" si="100"/>
        <v>451245.05249672919</v>
      </c>
      <c r="BB75" s="29">
        <f t="shared" si="89"/>
        <v>927.55927457661016</v>
      </c>
      <c r="BC75" s="29">
        <f t="shared" si="79"/>
        <v>501.3833916630324</v>
      </c>
      <c r="BD75" s="29">
        <f t="shared" si="80"/>
        <v>75.20750874945486</v>
      </c>
      <c r="BE75" s="29">
        <f t="shared" si="81"/>
        <v>52.645256124618406</v>
      </c>
      <c r="BF75" s="29">
        <f t="shared" si="90"/>
        <v>12134.6</v>
      </c>
      <c r="BG75" s="29">
        <f t="shared" si="90"/>
        <v>2193</v>
      </c>
      <c r="BH75" s="29">
        <f t="shared" si="90"/>
        <v>292.40000000000003</v>
      </c>
      <c r="BI75" s="29">
        <f t="shared" si="90"/>
        <v>0</v>
      </c>
      <c r="BJ75" s="29">
        <f>SUM(BB$52:BB75)+BF75</f>
        <v>17347.169911702</v>
      </c>
      <c r="BK75" s="29">
        <f>SUM(BC$52:BC75)+BG75</f>
        <v>4945.7805260332952</v>
      </c>
      <c r="BL75" s="29">
        <f>SUM(BD$52:BD75)+BH75</f>
        <v>730.75591435295871</v>
      </c>
      <c r="BM75" s="29">
        <f>SUM(BE$52:BE75)+BI75</f>
        <v>268.69088687512448</v>
      </c>
      <c r="BN75" s="29">
        <f>SUM(BT$52:BT75)</f>
        <v>18.960622694134962</v>
      </c>
      <c r="BO75" s="17">
        <f t="shared" si="101"/>
        <v>429.21021582116327</v>
      </c>
      <c r="BP75" s="17">
        <f t="shared" si="102"/>
        <v>182.68897858823968</v>
      </c>
      <c r="BQ75" s="17" t="e">
        <f t="shared" si="103"/>
        <v>#DIV/0!</v>
      </c>
      <c r="BR75" s="17">
        <f t="shared" si="91"/>
        <v>0</v>
      </c>
      <c r="BS75" s="17">
        <f t="shared" si="86"/>
        <v>80</v>
      </c>
      <c r="BT75" s="17">
        <f t="shared" si="92"/>
        <v>0</v>
      </c>
      <c r="BV75" s="17">
        <f t="shared" si="87"/>
        <v>299.68495506649811</v>
      </c>
      <c r="BW75" s="17">
        <v>71</v>
      </c>
      <c r="BX75" s="17">
        <f>'[1]资源-钻石'!L74/$B$2*$B$12*10</f>
        <v>2153.4010342063239</v>
      </c>
      <c r="BY75" s="17">
        <f>'[1]资源-钻石'!M74/$B$2*$B$12*10</f>
        <v>2695.8545113011492</v>
      </c>
      <c r="BZ75" s="17">
        <f>'[1]资源-钻石'!N74/$B$2*$B$12*10</f>
        <v>3779.9509228539519</v>
      </c>
      <c r="CA75" s="17">
        <f>'[1]资源-钻石'!O74/$B$2*$B$12*10</f>
        <v>7228.6346172042886</v>
      </c>
      <c r="CB75" s="17">
        <f>'[1]资源-钻石'!P74/$B$2*$B$12*10</f>
        <v>9597.3613832838619</v>
      </c>
      <c r="CD75" s="17">
        <v>71</v>
      </c>
      <c r="CE75" s="17">
        <f>'[1]资源-钻石'!L74/$B$2*$C$12*10</f>
        <v>872.26371005825763</v>
      </c>
      <c r="CF75" s="17">
        <f>'[1]资源-钻石'!M74/$B$2*$C$12*10</f>
        <v>1091.9917007802123</v>
      </c>
      <c r="CG75" s="17">
        <f>'[1]资源-钻石'!N74/$B$2*$C$12*10</f>
        <v>1531.1193611560311</v>
      </c>
      <c r="CH75" s="17">
        <f>'[1]资源-钻石'!O74/$B$2*$C$12*10</f>
        <v>2928.0545284878126</v>
      </c>
      <c r="CI75" s="17">
        <f>'[1]资源-钻石'!P74/$B$2*$C$12*10</f>
        <v>3887.5387881656143</v>
      </c>
      <c r="CW75" s="17">
        <v>72</v>
      </c>
      <c r="CX75" s="17">
        <f t="shared" si="104"/>
        <v>0.33012473030380901</v>
      </c>
      <c r="CY75" s="17">
        <f t="shared" si="105"/>
        <v>0.33012473030380901</v>
      </c>
      <c r="CZ75" s="17">
        <f t="shared" si="106"/>
        <v>0.33012473030380901</v>
      </c>
      <c r="DA75" s="17">
        <f t="shared" si="107"/>
        <v>0.33012473030380901</v>
      </c>
      <c r="DB75" s="17">
        <f t="shared" si="108"/>
        <v>0.33012473030380901</v>
      </c>
    </row>
    <row r="76" spans="8:106" x14ac:dyDescent="0.15">
      <c r="H76" s="17">
        <v>28</v>
      </c>
      <c r="I76" s="29">
        <f>IF(基础状态预期!C86="","",基础状态预期!C86)</f>
        <v>1870</v>
      </c>
      <c r="J76" s="29">
        <f>IF(基础状态预期!D86="","",基础状态预期!D86)</f>
        <v>111.00691759243479</v>
      </c>
      <c r="K76" s="29" t="str">
        <f>IF(基础状态预期!F86="","",基础状态预期!F86)</f>
        <v/>
      </c>
      <c r="L76" s="29" t="str">
        <f>IF(基础状态预期!G86="","",基础状态预期!G86)</f>
        <v/>
      </c>
      <c r="M76" s="29" t="str">
        <f>IF(基础状态预期!H86="","",基础状态预期!H86)</f>
        <v/>
      </c>
      <c r="N76" s="29" t="str">
        <f>IF(基础状态预期!I86="","",基础状态预期!I86)</f>
        <v/>
      </c>
      <c r="O76" s="29">
        <f>IF(基础状态预期!J86="","",基础状态预期!J86)</f>
        <v>6</v>
      </c>
      <c r="P76" s="29">
        <f>武将进阶!O73</f>
        <v>0</v>
      </c>
      <c r="Q76" s="29">
        <f>武将进阶!P73</f>
        <v>0</v>
      </c>
      <c r="R76" s="29">
        <f>武将进阶!Q73</f>
        <v>0</v>
      </c>
      <c r="S76" s="29">
        <f>武将进阶!R73</f>
        <v>474.08301110921752</v>
      </c>
      <c r="T76" s="29">
        <f>武将进阶!S73</f>
        <v>0</v>
      </c>
      <c r="U76" s="29">
        <f>武将觉醒!T74</f>
        <v>0</v>
      </c>
      <c r="V76" s="29">
        <f>武将觉醒!U74</f>
        <v>0</v>
      </c>
      <c r="W76" s="29">
        <f>武将觉醒!V74</f>
        <v>0</v>
      </c>
      <c r="X76" s="29">
        <f>武将觉醒!W74</f>
        <v>0</v>
      </c>
      <c r="Y76" s="29">
        <f>武将觉醒!X74</f>
        <v>0</v>
      </c>
      <c r="Z76" s="29"/>
      <c r="AA76" s="29">
        <f>IF(L76="",0,同名需求(L76,武将升星!P73,B$6)+武将升星!U73)</f>
        <v>0</v>
      </c>
      <c r="AB76" s="29">
        <f>IF(M76="",0,同名需求(M76,武将升星!Q73,C$6)+武将升星!V73)</f>
        <v>0</v>
      </c>
      <c r="AC76" s="59">
        <f>IF(N76="",0,同名需求(N76,武将升星!R73,D$6*0.6)+武将升星!W73)</f>
        <v>0</v>
      </c>
      <c r="AD76" s="29">
        <f>IF(O76="",0,同名需求(O76,武将升星!S73,E$6)+武将升星!X73)</f>
        <v>108</v>
      </c>
      <c r="AE76" s="29">
        <f>MAX(U76+P76+IF(K76="",0,K76)*武将升星!O73,Z76)</f>
        <v>0</v>
      </c>
      <c r="AF76" s="29">
        <f>MAX(V76+Q76+IF(L76="",0,L76)*武将升星!P73,AA76)</f>
        <v>0</v>
      </c>
      <c r="AG76" s="29">
        <f>MAX(W76+R76+IF(M76="",0,M76)*武将升星!Q73,AB76)</f>
        <v>0</v>
      </c>
      <c r="AH76" s="29">
        <f>MAX(X76+S76+IF(N76="",0,N76)*武将升星!R73,AC76)</f>
        <v>474.08301110921752</v>
      </c>
      <c r="AI76" s="45">
        <f t="shared" si="96"/>
        <v>108</v>
      </c>
      <c r="AJ76" s="29">
        <f t="shared" si="71"/>
        <v>1461799.2266621219</v>
      </c>
      <c r="AK76" s="14" t="e">
        <f>AJ76/求节点('[1]资源-钻石'!$K$4:$K$113,'[1]资源-钻石'!$M$4:$M$113,J76)</f>
        <v>#VALUE!</v>
      </c>
      <c r="AL76" s="16" t="e">
        <f t="shared" si="97"/>
        <v>#DIV/0!</v>
      </c>
      <c r="AM76" s="16"/>
      <c r="AN76" s="16"/>
      <c r="AO76" s="16"/>
      <c r="AP76" s="17">
        <v>28</v>
      </c>
      <c r="AR76" s="16">
        <f t="shared" si="88"/>
        <v>6.0805024688084615</v>
      </c>
      <c r="AS76" s="29">
        <f>IF(基础状态预期!C86="","",基础状态预期!C86)</f>
        <v>1870</v>
      </c>
      <c r="AT76" s="29">
        <f>求节点(节奏总纲!$Q$4:$Q$163,其他调用!$D$4:$D$163,$AS76)*求节点($CP$5:$CP$36,$CR$5:$CR$36,AS31)</f>
        <v>3048096.8251029518</v>
      </c>
      <c r="AU76" s="37">
        <f t="shared" si="98"/>
        <v>0</v>
      </c>
      <c r="AV76" s="37">
        <f t="shared" si="99"/>
        <v>1</v>
      </c>
      <c r="AW76" s="38">
        <f t="shared" si="75"/>
        <v>0.4933333333333334</v>
      </c>
      <c r="AX76" s="38">
        <f t="shared" si="76"/>
        <v>0.26666666666666666</v>
      </c>
      <c r="AY76" s="38">
        <f t="shared" si="77"/>
        <v>0.04</v>
      </c>
      <c r="AZ76" s="38">
        <f t="shared" si="78"/>
        <v>2.8000000000000001E-2</v>
      </c>
      <c r="BA76" s="29">
        <f t="shared" si="100"/>
        <v>570594.35167298606</v>
      </c>
      <c r="BB76" s="29">
        <f t="shared" si="89"/>
        <v>1172.8883895500269</v>
      </c>
      <c r="BC76" s="29">
        <f t="shared" si="79"/>
        <v>633.99372408109559</v>
      </c>
      <c r="BD76" s="29">
        <f t="shared" si="80"/>
        <v>95.099058612164342</v>
      </c>
      <c r="BE76" s="29">
        <f t="shared" si="81"/>
        <v>66.569341028515041</v>
      </c>
      <c r="BF76" s="29">
        <f t="shared" si="90"/>
        <v>15521.000000000002</v>
      </c>
      <c r="BG76" s="29">
        <f t="shared" si="90"/>
        <v>2805</v>
      </c>
      <c r="BH76" s="29">
        <f t="shared" si="90"/>
        <v>374</v>
      </c>
      <c r="BI76" s="29">
        <f t="shared" si="90"/>
        <v>0</v>
      </c>
      <c r="BJ76" s="29">
        <f>SUM(BB$52:BB76)+BF76</f>
        <v>21906.458301252027</v>
      </c>
      <c r="BK76" s="29">
        <f>SUM(BC$52:BC76)+BG76</f>
        <v>6191.7742501143912</v>
      </c>
      <c r="BL76" s="29">
        <f>SUM(BD$52:BD76)+BH76</f>
        <v>907.45497296512303</v>
      </c>
      <c r="BM76" s="29">
        <f>SUM(BE$52:BE76)+BI76</f>
        <v>335.26022790363953</v>
      </c>
      <c r="BN76" s="29">
        <f>SUM(BT$52:BT76)</f>
        <v>18.960622694134962</v>
      </c>
      <c r="BO76" s="17">
        <f t="shared" si="101"/>
        <v>434.32325002002671</v>
      </c>
      <c r="BP76" s="17">
        <f t="shared" si="102"/>
        <v>151.24249549418718</v>
      </c>
      <c r="BQ76" s="17" t="e">
        <f t="shared" si="103"/>
        <v>#DIV/0!</v>
      </c>
      <c r="BR76" s="17">
        <f t="shared" si="91"/>
        <v>0</v>
      </c>
      <c r="BS76" s="17">
        <f t="shared" si="86"/>
        <v>80</v>
      </c>
      <c r="BT76" s="17">
        <f t="shared" si="92"/>
        <v>0</v>
      </c>
      <c r="BV76" s="17">
        <f t="shared" si="87"/>
        <v>433.37196185590551</v>
      </c>
      <c r="BW76" s="17">
        <v>72</v>
      </c>
      <c r="BX76" s="17">
        <f>'[1]资源-钻石'!L75/$B$2*$B$12*10</f>
        <v>2275.5302095773905</v>
      </c>
      <c r="BY76" s="17">
        <f>'[1]资源-钻石'!M75/$B$2*$B$12*10</f>
        <v>2853.595020889366</v>
      </c>
      <c r="BZ76" s="17">
        <f>'[1]资源-钻石'!N75/$B$2*$B$12*10</f>
        <v>4002.4740145384071</v>
      </c>
      <c r="CA76" s="17">
        <f>'[1]资源-钻石'!O75/$B$2*$B$12*10</f>
        <v>7724.6415497697581</v>
      </c>
      <c r="CB76" s="17">
        <f>'[1]资源-钻石'!P75/$B$2*$B$12*10</f>
        <v>10249.029244640906</v>
      </c>
      <c r="CD76" s="17">
        <v>72</v>
      </c>
      <c r="CE76" s="17">
        <f>'[1]资源-钻石'!L75/$B$2*$C$12*10</f>
        <v>921.73375577818342</v>
      </c>
      <c r="CF76" s="17">
        <f>'[1]资源-钻石'!M75/$B$2*$C$12*10</f>
        <v>1155.8865907399963</v>
      </c>
      <c r="CG76" s="17">
        <f>'[1]资源-钻石'!N75/$B$2*$C$12*10</f>
        <v>1621.2552970282154</v>
      </c>
      <c r="CH76" s="17">
        <f>'[1]资源-钻石'!O75/$B$2*$C$12*10</f>
        <v>3128.9687290206616</v>
      </c>
      <c r="CI76" s="17">
        <f>'[1]资源-钻石'!P75/$B$2*$C$12*10</f>
        <v>4151.50551681657</v>
      </c>
      <c r="CW76" s="17">
        <v>73</v>
      </c>
      <c r="CX76" s="17">
        <f t="shared" si="104"/>
        <v>0.32660947232642445</v>
      </c>
      <c r="CY76" s="17">
        <f t="shared" si="105"/>
        <v>0.32660947232642445</v>
      </c>
      <c r="CZ76" s="17">
        <f t="shared" si="106"/>
        <v>0.32660947232642445</v>
      </c>
      <c r="DA76" s="17">
        <f t="shared" si="107"/>
        <v>0.32660947232642445</v>
      </c>
      <c r="DB76" s="17">
        <f t="shared" si="108"/>
        <v>0.32660947232642445</v>
      </c>
    </row>
    <row r="77" spans="8:106" x14ac:dyDescent="0.15">
      <c r="H77" s="17">
        <v>29</v>
      </c>
      <c r="I77" s="29">
        <f>IF(基础状态预期!C87="","",基础状态预期!C87)</f>
        <v>2380</v>
      </c>
      <c r="J77" s="29">
        <f>IF(基础状态预期!D87="","",基础状态预期!D87)</f>
        <v>114.47614359759058</v>
      </c>
      <c r="K77" s="29" t="str">
        <f>IF(基础状态预期!F87="","",基础状态预期!F87)</f>
        <v/>
      </c>
      <c r="L77" s="29" t="str">
        <f>IF(基础状态预期!G87="","",基础状态预期!G87)</f>
        <v/>
      </c>
      <c r="M77" s="29" t="str">
        <f>IF(基础状态预期!H87="","",基础状态预期!H87)</f>
        <v/>
      </c>
      <c r="N77" s="29" t="str">
        <f>IF(基础状态预期!I87="","",基础状态预期!I87)</f>
        <v/>
      </c>
      <c r="O77" s="29">
        <f>IF(基础状态预期!J87="","",基础状态预期!J87)</f>
        <v>6</v>
      </c>
      <c r="P77" s="29">
        <f>武将进阶!O74</f>
        <v>0</v>
      </c>
      <c r="Q77" s="29">
        <f>武将进阶!P74</f>
        <v>0</v>
      </c>
      <c r="R77" s="29">
        <f>武将进阶!Q74</f>
        <v>0</v>
      </c>
      <c r="S77" s="29">
        <f>武将进阶!R74</f>
        <v>515.71372317108694</v>
      </c>
      <c r="T77" s="29">
        <f>武将进阶!S74</f>
        <v>0</v>
      </c>
      <c r="U77" s="29">
        <f>武将觉醒!T75</f>
        <v>0</v>
      </c>
      <c r="V77" s="29">
        <f>武将觉醒!U75</f>
        <v>0</v>
      </c>
      <c r="W77" s="29">
        <f>武将觉醒!V75</f>
        <v>0</v>
      </c>
      <c r="X77" s="29">
        <f>武将觉醒!W75</f>
        <v>0</v>
      </c>
      <c r="Y77" s="29">
        <f>武将觉醒!X75</f>
        <v>0</v>
      </c>
      <c r="Z77" s="29"/>
      <c r="AA77" s="29">
        <f>IF(L77="",0,同名需求(L77,武将升星!P74,B$6)+武将升星!U74)</f>
        <v>0</v>
      </c>
      <c r="AB77" s="29">
        <f>IF(M77="",0,同名需求(M77,武将升星!Q74,C$6)+武将升星!V74)</f>
        <v>0</v>
      </c>
      <c r="AC77" s="59">
        <f>IF(N77="",0,同名需求(N77,武将升星!R74,D$6*0.6)+武将升星!W74)</f>
        <v>0</v>
      </c>
      <c r="AD77" s="29">
        <f>IF(O77="",0,同名需求(O77,武将升星!S74,E$6)+武将升星!X74)</f>
        <v>108</v>
      </c>
      <c r="AE77" s="29">
        <f>MAX(U77+P77+IF(K77="",0,K77)*武将升星!O74,Z77)</f>
        <v>0</v>
      </c>
      <c r="AF77" s="29">
        <f>MAX(V77+Q77+IF(L77="",0,L77)*武将升星!P74,AA77)</f>
        <v>0</v>
      </c>
      <c r="AG77" s="29">
        <f>MAX(W77+R77+IF(M77="",0,M77)*武将升星!Q74,AB77)</f>
        <v>0</v>
      </c>
      <c r="AH77" s="29">
        <f>MAX(X77+S77+IF(N77="",0,N77)*武将升星!R74,AC77)</f>
        <v>515.71372317108694</v>
      </c>
      <c r="AI77" s="45">
        <f t="shared" si="96"/>
        <v>108</v>
      </c>
      <c r="AJ77" s="29">
        <f t="shared" si="71"/>
        <v>1561712.9356106089</v>
      </c>
      <c r="AK77" s="14" t="e">
        <f>AJ77/求节点('[1]资源-钻石'!$K$4:$K$113,'[1]资源-钻石'!$M$4:$M$113,J77)</f>
        <v>#VALUE!</v>
      </c>
      <c r="AL77" s="16" t="e">
        <f t="shared" si="97"/>
        <v>#DIV/0!</v>
      </c>
      <c r="AM77" s="16"/>
      <c r="AN77" s="16"/>
      <c r="AO77" s="16"/>
      <c r="AP77" s="17">
        <v>29</v>
      </c>
      <c r="AR77" s="16">
        <f t="shared" si="88"/>
        <v>5.9966598169142156</v>
      </c>
      <c r="AS77" s="29">
        <f>IF(基础状态预期!C87="","",基础状态预期!C87)</f>
        <v>2380</v>
      </c>
      <c r="AT77" s="29">
        <f>求节点(节奏总纲!$Q$4:$Q$163,其他调用!$D$4:$D$163,$AS77)*求节点($CP$5:$CP$36,$CR$5:$CR$36,AS32)</f>
        <v>3751505.0216269894</v>
      </c>
      <c r="AU77" s="37">
        <f t="shared" si="98"/>
        <v>0</v>
      </c>
      <c r="AV77" s="37">
        <f t="shared" si="99"/>
        <v>1</v>
      </c>
      <c r="AW77" s="38">
        <f t="shared" si="75"/>
        <v>0.4933333333333334</v>
      </c>
      <c r="AX77" s="38">
        <f t="shared" si="76"/>
        <v>0.26666666666666666</v>
      </c>
      <c r="AY77" s="38">
        <f t="shared" si="77"/>
        <v>0.04</v>
      </c>
      <c r="AZ77" s="38">
        <f t="shared" si="78"/>
        <v>2.8000000000000001E-2</v>
      </c>
      <c r="BA77" s="29">
        <f t="shared" si="100"/>
        <v>703408.19652403751</v>
      </c>
      <c r="BB77" s="29">
        <f t="shared" si="89"/>
        <v>1445.8946261882995</v>
      </c>
      <c r="BC77" s="29">
        <f t="shared" si="79"/>
        <v>781.56466280448603</v>
      </c>
      <c r="BD77" s="29">
        <f t="shared" si="80"/>
        <v>117.23469942067291</v>
      </c>
      <c r="BE77" s="29">
        <f t="shared" si="81"/>
        <v>82.064289594471035</v>
      </c>
      <c r="BF77" s="29">
        <f t="shared" si="90"/>
        <v>19754</v>
      </c>
      <c r="BG77" s="29">
        <f t="shared" si="90"/>
        <v>3570</v>
      </c>
      <c r="BH77" s="29">
        <f t="shared" si="90"/>
        <v>476</v>
      </c>
      <c r="BI77" s="29">
        <f t="shared" si="90"/>
        <v>0</v>
      </c>
      <c r="BJ77" s="29">
        <f>SUM(BB$52:BB77)+BF77</f>
        <v>27585.352927440326</v>
      </c>
      <c r="BK77" s="29">
        <f>SUM(BC$52:BC77)+BG77</f>
        <v>7738.3389129188763</v>
      </c>
      <c r="BL77" s="29">
        <f>SUM(BD$52:BD77)+BH77</f>
        <v>1126.6896723857958</v>
      </c>
      <c r="BM77" s="29">
        <f>SUM(BE$52:BE77)+BI77</f>
        <v>417.32451749811059</v>
      </c>
      <c r="BN77" s="29">
        <f>SUM(BT$52:BT77)</f>
        <v>18.960622694134962</v>
      </c>
      <c r="BO77" s="17">
        <f t="shared" si="101"/>
        <v>351.9424654998474</v>
      </c>
      <c r="BP77" s="17">
        <f t="shared" si="102"/>
        <v>78.815815927561587</v>
      </c>
      <c r="BQ77" s="17" t="e">
        <f t="shared" si="103"/>
        <v>#DIV/0!</v>
      </c>
      <c r="BR77" s="17">
        <f t="shared" si="91"/>
        <v>0</v>
      </c>
      <c r="BS77" s="17">
        <f t="shared" si="86"/>
        <v>80</v>
      </c>
      <c r="BT77" s="17">
        <f t="shared" si="92"/>
        <v>0</v>
      </c>
      <c r="BV77" s="17">
        <f t="shared" si="87"/>
        <v>610.97594921470886</v>
      </c>
      <c r="BW77" s="17">
        <v>73</v>
      </c>
      <c r="BX77" s="17">
        <f>'[1]资源-钻石'!L76/$B$2*$B$12*10</f>
        <v>2406.4250187415419</v>
      </c>
      <c r="BY77" s="17">
        <f>'[1]资源-钻石'!M76/$B$2*$B$12*10</f>
        <v>3016.6089556126967</v>
      </c>
      <c r="BZ77" s="17">
        <f>'[1]资源-钻石'!N76/$B$2*$B$12*10</f>
        <v>4242.4410633503821</v>
      </c>
      <c r="CA77" s="17">
        <f>'[1]资源-钻石'!O76/$B$2*$B$12*10</f>
        <v>8259.9795543574764</v>
      </c>
      <c r="CB77" s="17">
        <f>'[1]资源-钻石'!P76/$B$2*$B$12*10</f>
        <v>10950.153126916268</v>
      </c>
      <c r="CD77" s="17">
        <v>73</v>
      </c>
      <c r="CE77" s="17">
        <f>'[1]资源-钻石'!L76/$B$2*$C$12*10</f>
        <v>974.7544379712574</v>
      </c>
      <c r="CF77" s="17">
        <f>'[1]资源-钻石'!M76/$B$2*$C$12*10</f>
        <v>1221.917551640586</v>
      </c>
      <c r="CG77" s="17">
        <f>'[1]资源-钻石'!N76/$B$2*$C$12*10</f>
        <v>1718.457139584965</v>
      </c>
      <c r="CH77" s="17">
        <f>'[1]资源-钻石'!O76/$B$2*$C$12*10</f>
        <v>3345.8145030308765</v>
      </c>
      <c r="CI77" s="17">
        <f>'[1]资源-钻石'!P76/$B$2*$C$12*10</f>
        <v>4435.5050640673489</v>
      </c>
      <c r="CW77" s="17">
        <v>74</v>
      </c>
      <c r="CX77" s="17">
        <f t="shared" si="104"/>
        <v>0.32309421434903995</v>
      </c>
      <c r="CY77" s="17">
        <f t="shared" si="105"/>
        <v>0.32309421434903995</v>
      </c>
      <c r="CZ77" s="17">
        <f t="shared" si="106"/>
        <v>0.32309421434903995</v>
      </c>
      <c r="DA77" s="17">
        <f t="shared" si="107"/>
        <v>0.32309421434903995</v>
      </c>
      <c r="DB77" s="17">
        <f t="shared" si="108"/>
        <v>0.32309421434903995</v>
      </c>
    </row>
    <row r="78" spans="8:106" x14ac:dyDescent="0.15">
      <c r="H78" s="17">
        <v>30</v>
      </c>
      <c r="I78" s="29">
        <f>IF(基础状态预期!C88="","",基础状态预期!C88)</f>
        <v>3043</v>
      </c>
      <c r="J78" s="29">
        <f>IF(基础状态预期!D88="","",基础状态预期!D88)</f>
        <v>118.05724034557241</v>
      </c>
      <c r="K78" s="29" t="str">
        <f>IF(基础状态预期!F88="","",基础状态预期!F88)</f>
        <v/>
      </c>
      <c r="L78" s="29" t="str">
        <f>IF(基础状态预期!G88="","",基础状态预期!G88)</f>
        <v/>
      </c>
      <c r="M78" s="29" t="str">
        <f>IF(基础状态预期!H88="","",基础状态预期!H88)</f>
        <v/>
      </c>
      <c r="N78" s="29" t="str">
        <f>IF(基础状态预期!I88="","",基础状态预期!I88)</f>
        <v/>
      </c>
      <c r="O78" s="29">
        <f>IF(基础状态预期!J88="","",基础状态预期!J88)</f>
        <v>6</v>
      </c>
      <c r="P78" s="29">
        <f>武将进阶!O75</f>
        <v>0</v>
      </c>
      <c r="Q78" s="29">
        <f>武将进阶!P75</f>
        <v>0</v>
      </c>
      <c r="R78" s="29">
        <f>武将进阶!Q75</f>
        <v>0</v>
      </c>
      <c r="S78" s="29">
        <f>武将进阶!R75</f>
        <v>558.68688414686892</v>
      </c>
      <c r="T78" s="29">
        <f>武将进阶!S75</f>
        <v>0</v>
      </c>
      <c r="U78" s="29">
        <f>武将觉醒!T76</f>
        <v>0</v>
      </c>
      <c r="V78" s="29">
        <f>武将觉醒!U76</f>
        <v>0</v>
      </c>
      <c r="W78" s="29">
        <f>武将觉醒!V76</f>
        <v>0</v>
      </c>
      <c r="X78" s="29">
        <f>武将觉醒!W76</f>
        <v>0</v>
      </c>
      <c r="Y78" s="29">
        <f>武将觉醒!X76</f>
        <v>0</v>
      </c>
      <c r="Z78" s="29"/>
      <c r="AA78" s="29">
        <f>IF(L78="",0,同名需求(L78,武将升星!P75,B$6)+武将升星!U75)</f>
        <v>0</v>
      </c>
      <c r="AB78" s="29">
        <f>IF(M78="",0,同名需求(M78,武将升星!Q75,C$6)+武将升星!V75)</f>
        <v>0</v>
      </c>
      <c r="AC78" s="59">
        <f>IF(N78="",0,同名需求(N78,武将升星!R75,D$6*0.6)+武将升星!W75)</f>
        <v>0</v>
      </c>
      <c r="AD78" s="29">
        <f>IF(O78="",0,同名需求(O78,武将升星!S75,E$6)+武将升星!X75)</f>
        <v>108</v>
      </c>
      <c r="AE78" s="29">
        <f>MAX(U78+P78+IF(K78="",0,K78)*武将升星!O75,Z78)</f>
        <v>0</v>
      </c>
      <c r="AF78" s="29">
        <f>MAX(V78+Q78+IF(L78="",0,L78)*武将升星!P75,AA78)</f>
        <v>0</v>
      </c>
      <c r="AG78" s="29">
        <f>MAX(W78+R78+IF(M78="",0,M78)*武将升星!Q75,AB78)</f>
        <v>0</v>
      </c>
      <c r="AH78" s="29">
        <f>MAX(X78+S78+IF(N78="",0,N78)*武将升星!R75,AC78)</f>
        <v>558.68688414686892</v>
      </c>
      <c r="AI78" s="45">
        <f t="shared" si="96"/>
        <v>108</v>
      </c>
      <c r="AJ78" s="29">
        <f t="shared" si="71"/>
        <v>1664848.5219524852</v>
      </c>
      <c r="AK78" s="14" t="e">
        <f>AJ78/求节点('[1]资源-钻石'!$K$4:$K$113,'[1]资源-钻石'!$M$4:$M$113,J78)</f>
        <v>#VALUE!</v>
      </c>
      <c r="AL78" s="16" t="e">
        <f t="shared" si="97"/>
        <v>#DIV/0!</v>
      </c>
      <c r="AM78" s="16"/>
      <c r="AN78" s="16"/>
      <c r="AO78" s="16"/>
      <c r="AP78" s="17">
        <v>30</v>
      </c>
      <c r="AR78" s="16">
        <f t="shared" si="88"/>
        <v>5.8948760626497307</v>
      </c>
      <c r="AS78" s="29">
        <f>IF(基础状态预期!C88="","",基础状态预期!C88)</f>
        <v>3043</v>
      </c>
      <c r="AT78" s="29">
        <f>求节点(节奏总纲!$Q$4:$Q$163,其他调用!$D$4:$D$163,$AS78)*求节点($CP$5:$CP$36,$CR$5:$CR$36,AS33)</f>
        <v>4650414.6724204468</v>
      </c>
      <c r="AU78" s="37">
        <f t="shared" si="98"/>
        <v>0</v>
      </c>
      <c r="AV78" s="37">
        <f t="shared" si="99"/>
        <v>1</v>
      </c>
      <c r="AW78" s="38">
        <f t="shared" si="75"/>
        <v>0.4933333333333334</v>
      </c>
      <c r="AX78" s="38">
        <f t="shared" si="76"/>
        <v>0.26666666666666666</v>
      </c>
      <c r="AY78" s="38">
        <f t="shared" si="77"/>
        <v>0.04</v>
      </c>
      <c r="AZ78" s="38">
        <f t="shared" si="78"/>
        <v>2.8000000000000001E-2</v>
      </c>
      <c r="BA78" s="29">
        <f t="shared" si="100"/>
        <v>898909.6507934574</v>
      </c>
      <c r="BB78" s="29">
        <f t="shared" si="89"/>
        <v>1847.7587266309961</v>
      </c>
      <c r="BC78" s="29">
        <f t="shared" si="79"/>
        <v>998.78850088161937</v>
      </c>
      <c r="BD78" s="29">
        <f t="shared" si="80"/>
        <v>149.81827513224292</v>
      </c>
      <c r="BE78" s="29">
        <f t="shared" si="81"/>
        <v>104.87279259257004</v>
      </c>
      <c r="BF78" s="29">
        <f t="shared" si="90"/>
        <v>25256.9</v>
      </c>
      <c r="BG78" s="29">
        <f t="shared" si="90"/>
        <v>4564.5</v>
      </c>
      <c r="BH78" s="29">
        <f t="shared" si="90"/>
        <v>608.6</v>
      </c>
      <c r="BI78" s="29">
        <f t="shared" si="90"/>
        <v>0</v>
      </c>
      <c r="BJ78" s="29">
        <f>SUM(BB$52:BB78)+BF78</f>
        <v>34936.011654071321</v>
      </c>
      <c r="BK78" s="29">
        <f>SUM(BC$52:BC78)+BG78</f>
        <v>9731.6274138004956</v>
      </c>
      <c r="BL78" s="29">
        <f>SUM(BD$52:BD78)+BH78</f>
        <v>1409.1079475180388</v>
      </c>
      <c r="BM78" s="29">
        <f>SUM(BE$52:BE78)+BI78</f>
        <v>522.19731009068062</v>
      </c>
      <c r="BN78" s="29">
        <f>SUM(BT$52:BT78)</f>
        <v>18.960622694134962</v>
      </c>
      <c r="BO78" s="17">
        <f t="shared" si="101"/>
        <v>311.54463620796184</v>
      </c>
      <c r="BP78" s="17">
        <f t="shared" si="102"/>
        <v>52.485277580471141</v>
      </c>
      <c r="BQ78" s="17" t="e">
        <f t="shared" si="103"/>
        <v>#DIV/0!</v>
      </c>
      <c r="BR78" s="17">
        <f t="shared" si="91"/>
        <v>0</v>
      </c>
      <c r="BS78" s="17">
        <f t="shared" si="86"/>
        <v>80</v>
      </c>
      <c r="BT78" s="17">
        <f t="shared" si="92"/>
        <v>0</v>
      </c>
      <c r="BV78" s="17">
        <f t="shared" si="87"/>
        <v>850.42106337116991</v>
      </c>
      <c r="BW78" s="17">
        <v>74</v>
      </c>
      <c r="BX78" s="17">
        <f>'[1]资源-钻石'!L77/$B$2*$B$12*10</f>
        <v>2546.7146015874305</v>
      </c>
      <c r="BY78" s="17">
        <f>'[1]资源-钻石'!M77/$B$2*$B$12*10</f>
        <v>3196.479514261795</v>
      </c>
      <c r="BZ78" s="17">
        <f>'[1]资源-钻石'!N77/$B$2*$B$12*10</f>
        <v>4510.7921170909976</v>
      </c>
      <c r="CA78" s="17">
        <f>'[1]资源-钻石'!O77/$B$2*$B$12*10</f>
        <v>8849.8025285830881</v>
      </c>
      <c r="CB78" s="17">
        <f>'[1]资源-钻石'!P77/$B$2*$B$12*10</f>
        <v>11724.491599203477</v>
      </c>
      <c r="CD78" s="17">
        <v>74</v>
      </c>
      <c r="CE78" s="17">
        <f>'[1]资源-钻石'!L77/$B$2*$C$12*10</f>
        <v>1031.5805981113642</v>
      </c>
      <c r="CF78" s="17">
        <f>'[1]资源-钻石'!M77/$B$2*$C$12*10</f>
        <v>1294.7765121060434</v>
      </c>
      <c r="CG78" s="17">
        <f>'[1]资源-钻石'!N77/$B$2*$C$12*10</f>
        <v>1827.1563005938217</v>
      </c>
      <c r="CH78" s="17">
        <f>'[1]资源-钻石'!O77/$B$2*$C$12*10</f>
        <v>3584.7301381602383</v>
      </c>
      <c r="CI78" s="17">
        <f>'[1]资源-钻石'!P77/$B$2*$C$12*10</f>
        <v>4749.1611541077373</v>
      </c>
      <c r="CW78" s="17">
        <v>75</v>
      </c>
      <c r="CX78" s="17">
        <f t="shared" si="104"/>
        <v>0.3195789563716554</v>
      </c>
      <c r="CY78" s="17">
        <f t="shared" si="105"/>
        <v>0.3195789563716554</v>
      </c>
      <c r="CZ78" s="17">
        <f t="shared" si="106"/>
        <v>0.3195789563716554</v>
      </c>
      <c r="DA78" s="17">
        <f t="shared" si="107"/>
        <v>0.3195789563716554</v>
      </c>
      <c r="DB78" s="17">
        <f t="shared" si="108"/>
        <v>0.3195789563716554</v>
      </c>
    </row>
    <row r="79" spans="8:106" x14ac:dyDescent="0.15">
      <c r="H79" s="17">
        <v>31</v>
      </c>
      <c r="I79" s="29">
        <f>IF(基础状态预期!C89="","",基础状态预期!C89)</f>
        <v>3859</v>
      </c>
      <c r="J79" s="29">
        <f>IF(基础状态预期!D89="","",基础状态预期!D89)</f>
        <v>121.49411884885473</v>
      </c>
      <c r="K79" s="29" t="str">
        <f>IF(基础状态预期!F89="","",基础状态预期!F89)</f>
        <v/>
      </c>
      <c r="L79" s="29" t="str">
        <f>IF(基础状态预期!G89="","",基础状态预期!G89)</f>
        <v/>
      </c>
      <c r="M79" s="29" t="str">
        <f>IF(基础状态预期!H89="","",基础状态预期!H89)</f>
        <v/>
      </c>
      <c r="N79" s="29" t="str">
        <f>IF(基础状态预期!I89="","",基础状态预期!I89)</f>
        <v/>
      </c>
      <c r="O79" s="29">
        <f>IF(基础状态预期!J89="","",基础状态预期!J89)</f>
        <v>6</v>
      </c>
      <c r="P79" s="29">
        <f>武将进阶!O76</f>
        <v>0</v>
      </c>
      <c r="Q79" s="29">
        <f>武将进阶!P76</f>
        <v>0</v>
      </c>
      <c r="R79" s="29">
        <f>武将进阶!Q76</f>
        <v>0</v>
      </c>
      <c r="S79" s="29">
        <f>武将进阶!R76</f>
        <v>599.92942618625671</v>
      </c>
      <c r="T79" s="29">
        <f>武将进阶!S76</f>
        <v>0</v>
      </c>
      <c r="U79" s="29">
        <f>武将觉醒!T77</f>
        <v>0</v>
      </c>
      <c r="V79" s="29">
        <f>武将觉醒!U77</f>
        <v>0</v>
      </c>
      <c r="W79" s="29">
        <f>武将觉醒!V77</f>
        <v>0</v>
      </c>
      <c r="X79" s="29">
        <f>武将觉醒!W77</f>
        <v>0</v>
      </c>
      <c r="Y79" s="29">
        <f>武将觉醒!X77</f>
        <v>0</v>
      </c>
      <c r="Z79" s="29"/>
      <c r="AA79" s="29">
        <f>IF(L79="",0,同名需求(L79,武将升星!P76,B$6)+武将升星!U76)</f>
        <v>0</v>
      </c>
      <c r="AB79" s="29">
        <f>IF(M79="",0,同名需求(M79,武将升星!Q76,C$6)+武将升星!V76)</f>
        <v>0</v>
      </c>
      <c r="AC79" s="59">
        <f>IF(N79="",0,同名需求(N79,武将升星!R76,D$6*0.6)+武将升星!W76)</f>
        <v>0</v>
      </c>
      <c r="AD79" s="29">
        <f>IF(O79="",0,同名需求(O79,武将升星!S76,E$6)+武将升星!X76)</f>
        <v>108</v>
      </c>
      <c r="AE79" s="29">
        <f>MAX(U79+P79+IF(K79="",0,K79)*武将升星!O76,Z79)</f>
        <v>0</v>
      </c>
      <c r="AF79" s="29">
        <f>MAX(V79+Q79+IF(L79="",0,L79)*武将升星!P76,AA79)</f>
        <v>0</v>
      </c>
      <c r="AG79" s="29">
        <f>MAX(W79+R79+IF(M79="",0,M79)*武将升星!Q76,AB79)</f>
        <v>0</v>
      </c>
      <c r="AH79" s="29">
        <f>MAX(X79+S79+IF(N79="",0,N79)*武将升星!R76,AC79)</f>
        <v>599.92942618625671</v>
      </c>
      <c r="AI79" s="45">
        <f t="shared" si="96"/>
        <v>108</v>
      </c>
      <c r="AJ79" s="29">
        <f t="shared" si="71"/>
        <v>1763830.622847016</v>
      </c>
      <c r="AK79" s="14" t="e">
        <f>AJ79/求节点('[1]资源-钻石'!$K$4:$K$113,'[1]资源-钻石'!$M$4:$M$113,J79)</f>
        <v>#VALUE!</v>
      </c>
      <c r="AL79" s="16" t="e">
        <f t="shared" si="97"/>
        <v>#DIV/0!</v>
      </c>
      <c r="AM79" s="16"/>
      <c r="AN79" s="16"/>
      <c r="AO79" s="16"/>
      <c r="AP79" s="17">
        <v>31</v>
      </c>
      <c r="AR79" s="16">
        <f t="shared" si="88"/>
        <v>5.6580121191674628</v>
      </c>
      <c r="AS79" s="29">
        <f>IF(基础状态预期!C89="","",基础状态预期!C89)</f>
        <v>3859</v>
      </c>
      <c r="AT79" s="29">
        <f>求节点(节奏总纲!$Q$4:$Q$163,其他调用!$D$4:$D$163,$AS79)*求节点($CP$5:$CP$36,$CR$5:$CR$36,AS34)</f>
        <v>5712310.3869457962</v>
      </c>
      <c r="AU79" s="37">
        <f t="shared" si="98"/>
        <v>0</v>
      </c>
      <c r="AV79" s="37">
        <f t="shared" si="99"/>
        <v>1</v>
      </c>
      <c r="AW79" s="38">
        <f t="shared" si="75"/>
        <v>0.4933333333333334</v>
      </c>
      <c r="AX79" s="38">
        <f t="shared" si="76"/>
        <v>0.26666666666666666</v>
      </c>
      <c r="AY79" s="38">
        <f t="shared" si="77"/>
        <v>0.04</v>
      </c>
      <c r="AZ79" s="38">
        <f t="shared" si="78"/>
        <v>2.8000000000000001E-2</v>
      </c>
      <c r="BA79" s="29">
        <f t="shared" si="100"/>
        <v>1061895.7145253494</v>
      </c>
      <c r="BB79" s="29">
        <f t="shared" si="89"/>
        <v>2182.7856354132186</v>
      </c>
      <c r="BC79" s="29">
        <f t="shared" si="79"/>
        <v>1179.8841272503882</v>
      </c>
      <c r="BD79" s="29">
        <f t="shared" si="80"/>
        <v>176.98261908755825</v>
      </c>
      <c r="BE79" s="29">
        <f t="shared" si="81"/>
        <v>123.88783336129076</v>
      </c>
      <c r="BF79" s="29">
        <f t="shared" si="90"/>
        <v>32029.700000000004</v>
      </c>
      <c r="BG79" s="29">
        <f t="shared" si="90"/>
        <v>5788.5</v>
      </c>
      <c r="BH79" s="29">
        <f t="shared" si="90"/>
        <v>771.80000000000007</v>
      </c>
      <c r="BI79" s="29">
        <f t="shared" si="90"/>
        <v>0</v>
      </c>
      <c r="BJ79" s="29">
        <f>SUM(BB$52:BB79)+BF79</f>
        <v>43891.597289484547</v>
      </c>
      <c r="BK79" s="29">
        <f>SUM(BC$52:BC79)+BG79</f>
        <v>12135.511541050884</v>
      </c>
      <c r="BL79" s="29">
        <f>SUM(BD$52:BD79)+BH79</f>
        <v>1749.2905666055972</v>
      </c>
      <c r="BM79" s="29">
        <f>SUM(BE$52:BE79)+BI79</f>
        <v>646.08514345197136</v>
      </c>
      <c r="BN79" s="29">
        <f>SUM(BT$52:BT79)</f>
        <v>18.960622694134962</v>
      </c>
      <c r="BO79" s="17">
        <f t="shared" si="101"/>
        <v>310.61052044742644</v>
      </c>
      <c r="BP79" s="17">
        <f t="shared" si="102"/>
        <v>45.713730751486352</v>
      </c>
      <c r="BQ79" s="17" t="e">
        <f t="shared" si="103"/>
        <v>#DIV/0!</v>
      </c>
      <c r="BR79" s="17">
        <f t="shared" si="91"/>
        <v>0</v>
      </c>
      <c r="BS79" s="17">
        <f t="shared" si="86"/>
        <v>80</v>
      </c>
      <c r="BT79" s="17">
        <f t="shared" si="92"/>
        <v>0</v>
      </c>
      <c r="BV79" s="17">
        <f t="shared" si="87"/>
        <v>1149.3611404193405</v>
      </c>
      <c r="BW79" s="17">
        <v>75</v>
      </c>
      <c r="BX79" s="17">
        <f>'[1]资源-钻石'!L78/$B$2*$B$12*10</f>
        <v>2697.0486001715353</v>
      </c>
      <c r="BY79" s="17">
        <f>'[1]资源-钻石'!M78/$B$2*$B$12*10</f>
        <v>3391.8724477668002</v>
      </c>
      <c r="BZ79" s="17">
        <f>'[1]资源-钻石'!N78/$B$2*$B$12*10</f>
        <v>4797.5363811205862</v>
      </c>
      <c r="CA79" s="17">
        <f>'[1]资源-钻石'!O78/$B$2*$B$12*10</f>
        <v>9462.92677606078</v>
      </c>
      <c r="CB79" s="17">
        <f>'[1]资源-钻石'!P78/$B$2*$B$12*10</f>
        <v>12567.97079560523</v>
      </c>
      <c r="CD79" s="17">
        <v>75</v>
      </c>
      <c r="CE79" s="17">
        <f>'[1]资源-钻石'!L78/$B$2*$C$12*10</f>
        <v>1092.4753823479637</v>
      </c>
      <c r="CF79" s="17">
        <f>'[1]资源-钻石'!M78/$B$2*$C$12*10</f>
        <v>1373.9230168169317</v>
      </c>
      <c r="CG79" s="17">
        <f>'[1]资源-钻石'!N78/$B$2*$C$12*10</f>
        <v>1943.3058758969464</v>
      </c>
      <c r="CH79" s="17">
        <f>'[1]资源-钻石'!O78/$B$2*$C$12*10</f>
        <v>3833.0842637208225</v>
      </c>
      <c r="CI79" s="17">
        <f>'[1]资源-钻石'!P78/$B$2*$C$12*10</f>
        <v>5090.8236134097133</v>
      </c>
      <c r="CW79" s="17">
        <v>76</v>
      </c>
      <c r="CX79" s="17">
        <f t="shared" si="104"/>
        <v>0.31617733629366557</v>
      </c>
      <c r="CY79" s="17">
        <f t="shared" si="105"/>
        <v>0.31617733629366557</v>
      </c>
      <c r="CZ79" s="17">
        <f t="shared" si="106"/>
        <v>0.31617733629366557</v>
      </c>
      <c r="DA79" s="17">
        <f t="shared" si="107"/>
        <v>0.31617733629366557</v>
      </c>
      <c r="DB79" s="17">
        <f t="shared" si="108"/>
        <v>0.31617733629366557</v>
      </c>
    </row>
    <row r="80" spans="8:106" x14ac:dyDescent="0.15">
      <c r="H80" s="17">
        <v>32</v>
      </c>
      <c r="I80" s="29">
        <f>IF(基础状态预期!C90="","",基础状态预期!C90)</f>
        <v>4930</v>
      </c>
      <c r="J80" s="29">
        <f>IF(基础状态预期!D90="","",基础状态预期!D90)</f>
        <v>125.03100311549058</v>
      </c>
      <c r="K80" s="29" t="str">
        <f>IF(基础状态预期!F90="","",基础状态预期!F90)</f>
        <v/>
      </c>
      <c r="L80" s="29" t="str">
        <f>IF(基础状态预期!G90="","",基础状态预期!G90)</f>
        <v/>
      </c>
      <c r="M80" s="29" t="str">
        <f>IF(基础状态预期!H90="","",基础状态预期!H90)</f>
        <v/>
      </c>
      <c r="N80" s="29" t="str">
        <f>IF(基础状态预期!I90="","",基础状态预期!I90)</f>
        <v/>
      </c>
      <c r="O80" s="29">
        <f>IF(基础状态预期!J90="","",基础状态预期!J90)</f>
        <v>6</v>
      </c>
      <c r="P80" s="29">
        <f>武将进阶!O77</f>
        <v>0</v>
      </c>
      <c r="Q80" s="29">
        <f>武将进阶!P77</f>
        <v>0</v>
      </c>
      <c r="R80" s="29">
        <f>武将进阶!Q77</f>
        <v>0</v>
      </c>
      <c r="S80" s="29">
        <f>武将进阶!R77</f>
        <v>642</v>
      </c>
      <c r="T80" s="29">
        <f>武将进阶!S77</f>
        <v>0</v>
      </c>
      <c r="U80" s="29">
        <f>武将觉醒!T78</f>
        <v>0</v>
      </c>
      <c r="V80" s="29">
        <f>武将觉醒!U78</f>
        <v>0</v>
      </c>
      <c r="W80" s="29">
        <f>武将觉醒!V78</f>
        <v>0</v>
      </c>
      <c r="X80" s="29">
        <f>武将觉醒!W78</f>
        <v>0</v>
      </c>
      <c r="Y80" s="29">
        <f>武将觉醒!X78</f>
        <v>0</v>
      </c>
      <c r="Z80" s="29"/>
      <c r="AA80" s="29">
        <f>IF(L80="",0,同名需求(L80,武将升星!P77,B$6)+武将升星!U77)</f>
        <v>0</v>
      </c>
      <c r="AB80" s="29">
        <f>IF(M80="",0,同名需求(M80,武将升星!Q77,C$6)+武将升星!V77)</f>
        <v>0</v>
      </c>
      <c r="AC80" s="59">
        <f>IF(N80="",0,同名需求(N80,武将升星!R77,D$6*0.6)+武将升星!W77)</f>
        <v>0</v>
      </c>
      <c r="AD80" s="29">
        <f>IF(O80="",0,同名需求(O80,武将升星!S77,E$6)+武将升星!X77)</f>
        <v>108</v>
      </c>
      <c r="AE80" s="29">
        <f>MAX(U80+P80+IF(K80="",0,K80)*武将升星!O77,Z80)</f>
        <v>0</v>
      </c>
      <c r="AF80" s="29">
        <f>MAX(V80+Q80+IF(L80="",0,L80)*武将升星!P77,AA80)</f>
        <v>0</v>
      </c>
      <c r="AG80" s="29">
        <f>MAX(W80+R80+IF(M80="",0,M80)*武将升星!Q77,AB80)</f>
        <v>0</v>
      </c>
      <c r="AH80" s="29">
        <f>MAX(X80+S80+IF(N80="",0,N80)*武将升星!R77,AC80)</f>
        <v>642</v>
      </c>
      <c r="AI80" s="45">
        <f t="shared" si="96"/>
        <v>108</v>
      </c>
      <c r="AJ80" s="29">
        <f t="shared" si="71"/>
        <v>1864800</v>
      </c>
      <c r="AK80" s="14" t="e">
        <f>AJ80/求节点('[1]资源-钻石'!$K$4:$K$113,'[1]资源-钻石'!$M$4:$M$113,J80)</f>
        <v>#VALUE!</v>
      </c>
      <c r="AL80" s="16" t="e">
        <f t="shared" si="97"/>
        <v>#DIV/0!</v>
      </c>
      <c r="AM80" s="16"/>
      <c r="AN80" s="16"/>
      <c r="AO80" s="16"/>
      <c r="AP80" s="17">
        <v>32</v>
      </c>
      <c r="AR80" s="16">
        <f t="shared" si="88"/>
        <v>5.5670737482158277</v>
      </c>
      <c r="AS80" s="29">
        <f>IF(基础状态预期!C90="","",基础状态预期!C90)</f>
        <v>4930</v>
      </c>
      <c r="AT80" s="29">
        <f>求节点(节奏总纲!$Q$4:$Q$163,其他调用!$D$4:$D$163,$AS80)*求节点($CP$5:$CP$36,$CR$5:$CR$36,AS35)</f>
        <v>7083647.6633438012</v>
      </c>
      <c r="AU80" s="37">
        <f t="shared" si="98"/>
        <v>0</v>
      </c>
      <c r="AV80" s="37">
        <f t="shared" si="99"/>
        <v>1</v>
      </c>
      <c r="AW80" s="38">
        <f t="shared" si="75"/>
        <v>0.4933333333333334</v>
      </c>
      <c r="AX80" s="38">
        <f t="shared" si="76"/>
        <v>0.26666666666666666</v>
      </c>
      <c r="AY80" s="38">
        <f t="shared" si="77"/>
        <v>0.04</v>
      </c>
      <c r="AZ80" s="38">
        <f t="shared" si="78"/>
        <v>2.8000000000000001E-2</v>
      </c>
      <c r="BA80" s="29">
        <f t="shared" si="100"/>
        <v>1371337.276398005</v>
      </c>
      <c r="BB80" s="29">
        <f t="shared" si="89"/>
        <v>2818.8599570403439</v>
      </c>
      <c r="BC80" s="29">
        <f t="shared" si="79"/>
        <v>1523.7080848866722</v>
      </c>
      <c r="BD80" s="29">
        <f t="shared" si="80"/>
        <v>228.55621273300085</v>
      </c>
      <c r="BE80" s="29">
        <f t="shared" si="81"/>
        <v>159.98934891310057</v>
      </c>
      <c r="BF80" s="29">
        <f t="shared" si="90"/>
        <v>40919</v>
      </c>
      <c r="BG80" s="29">
        <f t="shared" si="90"/>
        <v>7395</v>
      </c>
      <c r="BH80" s="29">
        <f t="shared" si="90"/>
        <v>986</v>
      </c>
      <c r="BI80" s="29">
        <f t="shared" si="90"/>
        <v>0</v>
      </c>
      <c r="BJ80" s="29">
        <f>SUM(BB$52:BB80)+BF80</f>
        <v>55599.757246524881</v>
      </c>
      <c r="BK80" s="29">
        <f>SUM(BC$52:BC80)+BG80</f>
        <v>15265.719625937556</v>
      </c>
      <c r="BL80" s="29">
        <f>SUM(BD$52:BD80)+BH80</f>
        <v>2192.0467793385978</v>
      </c>
      <c r="BM80" s="29">
        <f>SUM(BE$52:BE80)+BI80</f>
        <v>806.07449236507193</v>
      </c>
      <c r="BN80" s="29">
        <f>SUM(BT$52:BT80)</f>
        <v>18.960622694134962</v>
      </c>
      <c r="BO80" s="17">
        <f t="shared" si="101"/>
        <v>342.14033262429524</v>
      </c>
      <c r="BP80" s="17">
        <f t="shared" si="102"/>
        <v>42.060775367298007</v>
      </c>
      <c r="BQ80" s="17" t="e">
        <f t="shared" si="103"/>
        <v>#DIV/0!</v>
      </c>
      <c r="BR80" s="17">
        <f t="shared" si="91"/>
        <v>0</v>
      </c>
      <c r="BS80" s="17">
        <f t="shared" si="86"/>
        <v>80</v>
      </c>
      <c r="BT80" s="17">
        <f t="shared" si="92"/>
        <v>0</v>
      </c>
      <c r="BV80" s="17">
        <f t="shared" si="87"/>
        <v>1550.0467793385978</v>
      </c>
      <c r="BW80" s="17">
        <v>76</v>
      </c>
      <c r="BX80" s="17">
        <f>'[1]资源-钻石'!L79/$B$2*$B$12*10</f>
        <v>2841.6337221839185</v>
      </c>
      <c r="BY80" s="17">
        <f>'[1]资源-钻石'!M79/$B$2*$B$12*10</f>
        <v>3598.9409653107068</v>
      </c>
      <c r="BZ80" s="17">
        <f>'[1]资源-钻石'!N79/$B$2*$B$12*10</f>
        <v>5099.3807309519352</v>
      </c>
      <c r="CA80" s="17">
        <f>'[1]资源-钻石'!O79/$B$2*$B$12*10</f>
        <v>10101.980545166629</v>
      </c>
      <c r="CB80" s="17">
        <f>'[1]资源-钻石'!P79/$B$2*$B$12*10</f>
        <v>13487.453293285005</v>
      </c>
      <c r="CD80" s="17">
        <v>76</v>
      </c>
      <c r="CE80" s="17">
        <f>'[1]资源-钻石'!L79/$B$2*$C$12*10</f>
        <v>1151.0415077200682</v>
      </c>
      <c r="CF80" s="17">
        <f>'[1]资源-钻石'!M79/$B$2*$C$12*10</f>
        <v>1457.7988720245901</v>
      </c>
      <c r="CG80" s="17">
        <f>'[1]资源-钻石'!N79/$B$2*$C$12*10</f>
        <v>2065.5719416514166</v>
      </c>
      <c r="CH80" s="17">
        <f>'[1]资源-钻石'!O79/$B$2*$C$12*10</f>
        <v>4091.9414866497746</v>
      </c>
      <c r="CI80" s="17">
        <f>'[1]资源-钻石'!P79/$B$2*$C$12*10</f>
        <v>5463.2722200648113</v>
      </c>
      <c r="CW80" s="17">
        <v>77</v>
      </c>
      <c r="CX80" s="17">
        <f t="shared" si="104"/>
        <v>0.31277571621567574</v>
      </c>
      <c r="CY80" s="17">
        <f t="shared" si="105"/>
        <v>0.31277571621567574</v>
      </c>
      <c r="CZ80" s="17">
        <f t="shared" si="106"/>
        <v>0.31277571621567574</v>
      </c>
      <c r="DA80" s="17">
        <f t="shared" si="107"/>
        <v>0.31277571621567574</v>
      </c>
      <c r="DB80" s="17">
        <f t="shared" si="108"/>
        <v>0.31277571621567574</v>
      </c>
    </row>
    <row r="81" spans="8:106" x14ac:dyDescent="0.15">
      <c r="H81" s="17">
        <v>33</v>
      </c>
      <c r="I81" s="29">
        <f>IF(基础状态预期!C91="","",基础状态预期!C91)</f>
        <v>6307</v>
      </c>
      <c r="J81" s="29">
        <f>IF(基础状态预期!D91="","",基础状态预期!D91)</f>
        <v>128.62542789463421</v>
      </c>
      <c r="K81" s="29" t="str">
        <f>IF(基础状态预期!F91="","",基础状态预期!F91)</f>
        <v/>
      </c>
      <c r="L81" s="29" t="str">
        <f>IF(基础状态预期!G91="","",基础状态预期!G91)</f>
        <v/>
      </c>
      <c r="M81" s="29" t="str">
        <f>IF(基础状态预期!H91="","",基础状态预期!H91)</f>
        <v/>
      </c>
      <c r="N81" s="29" t="str">
        <f>IF(基础状态预期!I91="","",基础状态预期!I91)</f>
        <v/>
      </c>
      <c r="O81" s="29">
        <f>IF(基础状态预期!J91="","",基础状态预期!J91)</f>
        <v>6</v>
      </c>
      <c r="P81" s="29">
        <f>武将进阶!O78</f>
        <v>0</v>
      </c>
      <c r="Q81" s="29">
        <f>武将进阶!P78</f>
        <v>0</v>
      </c>
      <c r="R81" s="29">
        <f>武将进阶!Q78</f>
        <v>0</v>
      </c>
      <c r="S81" s="29">
        <f>武将进阶!R78</f>
        <v>642</v>
      </c>
      <c r="T81" s="29">
        <f>武将进阶!S78</f>
        <v>0</v>
      </c>
      <c r="U81" s="29">
        <f>武将觉醒!T79</f>
        <v>0</v>
      </c>
      <c r="V81" s="29">
        <f>武将觉醒!U79</f>
        <v>0</v>
      </c>
      <c r="W81" s="29">
        <f>武将觉醒!V79</f>
        <v>0</v>
      </c>
      <c r="X81" s="29">
        <f>武将觉醒!W79</f>
        <v>0</v>
      </c>
      <c r="Y81" s="29">
        <f>武将觉醒!X79</f>
        <v>0</v>
      </c>
      <c r="Z81" s="29"/>
      <c r="AA81" s="29">
        <f>IF(L81="",0,同名需求(L81,武将升星!P78,B$6)+武将升星!U78)</f>
        <v>0</v>
      </c>
      <c r="AB81" s="29">
        <f>IF(M81="",0,同名需求(M81,武将升星!Q78,C$6)+武将升星!V78)</f>
        <v>0</v>
      </c>
      <c r="AC81" s="59">
        <f>IF(N81="",0,同名需求(N81,武将升星!R78,D$6*0.6)+武将升星!W78)</f>
        <v>0</v>
      </c>
      <c r="AD81" s="29">
        <f>IF(O81="",0,同名需求(O81,武将升星!S78,E$6)+武将升星!X78)</f>
        <v>108</v>
      </c>
      <c r="AE81" s="29">
        <f>MAX(U81+P81+IF(K81="",0,K81)*武将升星!O78,Z81)</f>
        <v>0</v>
      </c>
      <c r="AF81" s="29">
        <f>MAX(V81+Q81+IF(L81="",0,L81)*武将升星!P78,AA81)</f>
        <v>0</v>
      </c>
      <c r="AG81" s="29">
        <f>MAX(W81+R81+IF(M81="",0,M81)*武将升星!Q78,AB81)</f>
        <v>0</v>
      </c>
      <c r="AH81" s="29">
        <f>MAX(X81+S81+IF(N81="",0,N81)*武将升星!R78,AC81)</f>
        <v>642</v>
      </c>
      <c r="AI81" s="45">
        <f t="shared" si="96"/>
        <v>108</v>
      </c>
      <c r="AJ81" s="29">
        <f t="shared" si="71"/>
        <v>1864800</v>
      </c>
      <c r="AK81" s="14" t="e">
        <f>AJ81/求节点('[1]资源-钻石'!$K$4:$K$113,'[1]资源-钻石'!$M$4:$M$113,J81)</f>
        <v>#VALUE!</v>
      </c>
      <c r="AL81" s="16" t="e">
        <f t="shared" si="97"/>
        <v>#DIV/0!</v>
      </c>
      <c r="AM81" s="16"/>
      <c r="AN81" s="16"/>
      <c r="AO81" s="16"/>
      <c r="AP81" s="17">
        <v>33</v>
      </c>
      <c r="AR81" s="16">
        <f t="shared" si="88"/>
        <v>5.4757880238228989</v>
      </c>
      <c r="AS81" s="29">
        <f>IF(基础状态预期!C91="","",基础状态预期!C91)</f>
        <v>6307</v>
      </c>
      <c r="AT81" s="29">
        <f>求节点(节奏总纲!$Q$4:$Q$163,其他调用!$D$4:$D$163,$AS81)*求节点($CP$5:$CP$36,$CR$5:$CR$36,AS36)</f>
        <v>8817884.4883687515</v>
      </c>
      <c r="AU81" s="37">
        <f t="shared" si="98"/>
        <v>0</v>
      </c>
      <c r="AV81" s="37">
        <f t="shared" si="99"/>
        <v>1</v>
      </c>
      <c r="AW81" s="38">
        <f t="shared" si="75"/>
        <v>0.4933333333333334</v>
      </c>
      <c r="AX81" s="38">
        <f t="shared" si="76"/>
        <v>0.26666666666666666</v>
      </c>
      <c r="AY81" s="38">
        <f t="shared" si="77"/>
        <v>0.04</v>
      </c>
      <c r="AZ81" s="38">
        <f t="shared" si="78"/>
        <v>2.8000000000000001E-2</v>
      </c>
      <c r="BA81" s="29">
        <f t="shared" si="100"/>
        <v>1734236.8250249503</v>
      </c>
      <c r="BB81" s="29">
        <f t="shared" si="89"/>
        <v>3564.820140329065</v>
      </c>
      <c r="BC81" s="29">
        <f t="shared" si="79"/>
        <v>1926.929805583278</v>
      </c>
      <c r="BD81" s="29">
        <f t="shared" si="80"/>
        <v>289.03947083749171</v>
      </c>
      <c r="BE81" s="29">
        <f t="shared" si="81"/>
        <v>202.3276295862442</v>
      </c>
      <c r="BF81" s="29">
        <f t="shared" si="90"/>
        <v>52348.100000000006</v>
      </c>
      <c r="BG81" s="29">
        <f t="shared" si="90"/>
        <v>9460.5</v>
      </c>
      <c r="BH81" s="29">
        <f t="shared" si="90"/>
        <v>1261.4000000000001</v>
      </c>
      <c r="BI81" s="29">
        <f t="shared" si="90"/>
        <v>0</v>
      </c>
      <c r="BJ81" s="29">
        <f>SUM(BB$52:BB81)+BF81</f>
        <v>70593.67738685396</v>
      </c>
      <c r="BK81" s="29">
        <f>SUM(BC$52:BC81)+BG81</f>
        <v>19258.149431520833</v>
      </c>
      <c r="BL81" s="29">
        <f>SUM(BD$52:BD81)+BH81</f>
        <v>2756.4862501760899</v>
      </c>
      <c r="BM81" s="29">
        <f>SUM(BE$52:BE81)+BI81</f>
        <v>1008.4021219513161</v>
      </c>
      <c r="BN81" s="29">
        <f>SUM(BT$52:BT81)</f>
        <v>18.960622694134962</v>
      </c>
      <c r="BO81" s="17">
        <f t="shared" si="101"/>
        <v>364.51704309899986</v>
      </c>
      <c r="BP81" s="17">
        <f t="shared" si="102"/>
        <v>37.475587375926679</v>
      </c>
      <c r="BQ81" s="17" t="e">
        <f t="shared" si="103"/>
        <v>#DIV/0!</v>
      </c>
      <c r="BR81" s="17">
        <f t="shared" si="91"/>
        <v>0</v>
      </c>
      <c r="BS81" s="17">
        <f t="shared" si="86"/>
        <v>80</v>
      </c>
      <c r="BT81" s="17">
        <f t="shared" si="92"/>
        <v>0</v>
      </c>
      <c r="BV81" s="17">
        <f t="shared" si="87"/>
        <v>2114.4862501760899</v>
      </c>
      <c r="BW81" s="17">
        <v>77</v>
      </c>
      <c r="BX81" s="17">
        <f>'[1]资源-钻石'!L80/$B$2*$B$12*10</f>
        <v>2996.5962190343625</v>
      </c>
      <c r="BY81" s="17">
        <f>'[1]资源-钻石'!M80/$B$2*$B$12*10</f>
        <v>3823.1367777805053</v>
      </c>
      <c r="BZ81" s="17">
        <f>'[1]资源-钻石'!N80/$B$2*$B$12*10</f>
        <v>5430.271839670424</v>
      </c>
      <c r="CA81" s="17">
        <f>'[1]资源-钻石'!O80/$B$2*$B$12*10</f>
        <v>10793.370589562386</v>
      </c>
      <c r="CB81" s="17">
        <f>'[1]资源-钻石'!P80/$B$2*$B$12*10</f>
        <v>14398.012083373716</v>
      </c>
      <c r="CD81" s="17">
        <v>77</v>
      </c>
      <c r="CE81" s="17">
        <f>'[1]资源-钻石'!L80/$B$2*$C$12*10</f>
        <v>1213.8111266974631</v>
      </c>
      <c r="CF81" s="17">
        <f>'[1]资源-钻石'!M80/$B$2*$C$12*10</f>
        <v>1548.6123656832428</v>
      </c>
      <c r="CG81" s="17">
        <f>'[1]资源-钻石'!N80/$B$2*$C$12*10</f>
        <v>2199.6037831576405</v>
      </c>
      <c r="CH81" s="17">
        <f>'[1]资源-钻石'!O80/$B$2*$C$12*10</f>
        <v>4371.9982134936254</v>
      </c>
      <c r="CI81" s="17">
        <f>'[1]资源-钻石'!P80/$B$2*$C$12*10</f>
        <v>5832.1061603539101</v>
      </c>
      <c r="CW81" s="17">
        <v>78</v>
      </c>
      <c r="CX81" s="17">
        <f t="shared" si="104"/>
        <v>0.30937409613768596</v>
      </c>
      <c r="CY81" s="17">
        <f t="shared" si="105"/>
        <v>0.30937409613768596</v>
      </c>
      <c r="CZ81" s="17">
        <f t="shared" si="106"/>
        <v>0.30937409613768596</v>
      </c>
      <c r="DA81" s="17">
        <f t="shared" si="107"/>
        <v>0.30937409613768596</v>
      </c>
      <c r="DB81" s="17">
        <f t="shared" si="108"/>
        <v>0.30937409613768596</v>
      </c>
    </row>
    <row r="82" spans="8:106" x14ac:dyDescent="0.15">
      <c r="H82" s="17">
        <v>34</v>
      </c>
      <c r="I82" s="29">
        <f>IF(基础状态预期!C92="","",基础状态预期!C92)</f>
        <v>8041</v>
      </c>
      <c r="J82" s="29">
        <f>IF(基础状态预期!D92="","",基础状态预期!D92)</f>
        <v>132.09902390525281</v>
      </c>
      <c r="K82" s="29" t="str">
        <f>IF(基础状态预期!F92="","",基础状态预期!F92)</f>
        <v/>
      </c>
      <c r="L82" s="29" t="str">
        <f>IF(基础状态预期!G92="","",基础状态预期!G92)</f>
        <v/>
      </c>
      <c r="M82" s="29" t="str">
        <f>IF(基础状态预期!H92="","",基础状态预期!H92)</f>
        <v/>
      </c>
      <c r="N82" s="29" t="str">
        <f>IF(基础状态预期!I92="","",基础状态预期!I92)</f>
        <v/>
      </c>
      <c r="O82" s="29">
        <f>IF(基础状态预期!J92="","",基础状态预期!J92)</f>
        <v>6</v>
      </c>
      <c r="P82" s="29">
        <f>武将进阶!O79</f>
        <v>0</v>
      </c>
      <c r="Q82" s="29">
        <f>武将进阶!P79</f>
        <v>0</v>
      </c>
      <c r="R82" s="29">
        <f>武将进阶!Q79</f>
        <v>0</v>
      </c>
      <c r="S82" s="29">
        <f>武将进阶!R79</f>
        <v>642</v>
      </c>
      <c r="T82" s="29">
        <f>武将进阶!S79</f>
        <v>0</v>
      </c>
      <c r="U82" s="29">
        <f>武将觉醒!T80</f>
        <v>0</v>
      </c>
      <c r="V82" s="29">
        <f>武将觉醒!U80</f>
        <v>0</v>
      </c>
      <c r="W82" s="29">
        <f>武将觉醒!V80</f>
        <v>0</v>
      </c>
      <c r="X82" s="29">
        <f>武将觉醒!W80</f>
        <v>0</v>
      </c>
      <c r="Y82" s="29">
        <f>武将觉醒!X80</f>
        <v>0</v>
      </c>
      <c r="Z82" s="29"/>
      <c r="AA82" s="29">
        <f>IF(L82="",0,同名需求(L82,武将升星!P79,B$6)+武将升星!U79)</f>
        <v>0</v>
      </c>
      <c r="AB82" s="29">
        <f>IF(M82="",0,同名需求(M82,武将升星!Q79,C$6)+武将升星!V79)</f>
        <v>0</v>
      </c>
      <c r="AC82" s="59">
        <f>IF(N82="",0,同名需求(N82,武将升星!R79,D$6*0.6)+武将升星!W79)</f>
        <v>0</v>
      </c>
      <c r="AD82" s="29">
        <f>IF(O82="",0,同名需求(O82,武将升星!S79,E$6)+武将升星!X79)</f>
        <v>108</v>
      </c>
      <c r="AE82" s="29">
        <f>MAX(U82+P82+IF(K82="",0,K82)*武将升星!O79,Z82)</f>
        <v>0</v>
      </c>
      <c r="AF82" s="29">
        <f>MAX(V82+Q82+IF(L82="",0,L82)*武将升星!P79,AA82)</f>
        <v>0</v>
      </c>
      <c r="AG82" s="29">
        <f>MAX(W82+R82+IF(M82="",0,M82)*武将升星!Q79,AB82)</f>
        <v>0</v>
      </c>
      <c r="AH82" s="29">
        <f>MAX(X82+S82+IF(N82="",0,N82)*武将升星!R79,AC82)</f>
        <v>642</v>
      </c>
      <c r="AI82" s="45">
        <f t="shared" si="96"/>
        <v>108</v>
      </c>
      <c r="AJ82" s="29">
        <f t="shared" si="71"/>
        <v>1864800</v>
      </c>
      <c r="AK82" s="14" t="e">
        <f>AJ82/求节点('[1]资源-钻石'!$K$4:$K$113,'[1]资源-钻石'!$M$4:$M$113,J82)</f>
        <v>#VALUE!</v>
      </c>
      <c r="AL82" s="16" t="e">
        <f t="shared" si="97"/>
        <v>#DIV/0!</v>
      </c>
      <c r="AM82" s="16"/>
      <c r="AN82" s="16"/>
      <c r="AO82" s="16"/>
      <c r="AP82" s="17">
        <v>34</v>
      </c>
      <c r="AR82" s="16">
        <f t="shared" si="88"/>
        <v>5.3067079069210701</v>
      </c>
      <c r="AS82" s="29">
        <f>IF(基础状态预期!C92="","",基础状态预期!C92)</f>
        <v>8041</v>
      </c>
      <c r="AT82" s="29">
        <f>求节点(节奏总纲!$Q$4:$Q$163,其他调用!$D$4:$D$163,$AS82)*求节点($CP$5:$CP$36,$CR$5:$CR$36,AS37)</f>
        <v>10934305.735807013</v>
      </c>
      <c r="AU82" s="37">
        <f t="shared" si="98"/>
        <v>0</v>
      </c>
      <c r="AV82" s="37">
        <f t="shared" si="99"/>
        <v>1</v>
      </c>
      <c r="AW82" s="38">
        <f t="shared" si="75"/>
        <v>0.4933333333333334</v>
      </c>
      <c r="AX82" s="38">
        <f t="shared" si="76"/>
        <v>0.26666666666666666</v>
      </c>
      <c r="AY82" s="38">
        <f t="shared" si="77"/>
        <v>0.04</v>
      </c>
      <c r="AZ82" s="38">
        <f t="shared" si="78"/>
        <v>2.8000000000000001E-2</v>
      </c>
      <c r="BA82" s="29">
        <f t="shared" si="100"/>
        <v>2116421.2474382613</v>
      </c>
      <c r="BB82" s="29">
        <f t="shared" si="89"/>
        <v>4350.4214530675372</v>
      </c>
      <c r="BC82" s="29">
        <f t="shared" si="79"/>
        <v>2351.57916382029</v>
      </c>
      <c r="BD82" s="29">
        <f t="shared" si="80"/>
        <v>352.73687457304356</v>
      </c>
      <c r="BE82" s="29">
        <f t="shared" si="81"/>
        <v>246.91581220113048</v>
      </c>
      <c r="BF82" s="29">
        <f t="shared" si="90"/>
        <v>66740.3</v>
      </c>
      <c r="BG82" s="29">
        <f t="shared" si="90"/>
        <v>12061.5</v>
      </c>
      <c r="BH82" s="29">
        <f t="shared" si="90"/>
        <v>1608.2</v>
      </c>
      <c r="BI82" s="29">
        <f t="shared" si="90"/>
        <v>0</v>
      </c>
      <c r="BJ82" s="29">
        <f>SUM(BB$52:BB82)+BF82</f>
        <v>89336.298839921481</v>
      </c>
      <c r="BK82" s="29">
        <f>SUM(BC$52:BC82)+BG82</f>
        <v>24210.728595341126</v>
      </c>
      <c r="BL82" s="29">
        <f>SUM(BD$52:BD82)+BH82</f>
        <v>3456.0231247491329</v>
      </c>
      <c r="BM82" s="29">
        <f>SUM(BE$52:BE82)+BI82</f>
        <v>1255.3179341524465</v>
      </c>
      <c r="BN82" s="29">
        <f>SUM(BT$52:BT82)</f>
        <v>18.960622694134962</v>
      </c>
      <c r="BO82" s="17">
        <f t="shared" si="101"/>
        <v>459.31558922748115</v>
      </c>
      <c r="BP82" s="17">
        <f t="shared" si="102"/>
        <v>39.321837984364258</v>
      </c>
      <c r="BQ82" s="17">
        <f t="shared" si="103"/>
        <v>1053.1895367819136</v>
      </c>
      <c r="BR82" s="17">
        <f t="shared" si="91"/>
        <v>0</v>
      </c>
      <c r="BS82" s="17">
        <f t="shared" si="86"/>
        <v>80</v>
      </c>
      <c r="BT82" s="17">
        <f t="shared" si="92"/>
        <v>0</v>
      </c>
      <c r="BV82" s="17">
        <f t="shared" si="87"/>
        <v>2814.0231247491329</v>
      </c>
      <c r="BW82" s="17">
        <v>78</v>
      </c>
      <c r="BX82" s="17">
        <f>'[1]资源-钻石'!L81/$B$2*$B$12*10</f>
        <v>3162.680910847032</v>
      </c>
      <c r="BY82" s="17">
        <f>'[1]资源-钻石'!M81/$B$2*$B$12*10</f>
        <v>4044.6252395763859</v>
      </c>
      <c r="BZ82" s="17">
        <f>'[1]资源-钻石'!N81/$B$2*$B$12*10</f>
        <v>5783.8424434710541</v>
      </c>
      <c r="CA82" s="17">
        <f>'[1]资源-钻石'!O81/$B$2*$B$12*10</f>
        <v>11518.886028005147</v>
      </c>
      <c r="CB82" s="17">
        <f>'[1]资源-钻石'!P81/$B$2*$B$12*10</f>
        <v>15366.237027642464</v>
      </c>
      <c r="CD82" s="17">
        <v>78</v>
      </c>
      <c r="CE82" s="17">
        <f>'[1]资源-钻石'!L81/$B$2*$C$12*10</f>
        <v>1281.0859385709498</v>
      </c>
      <c r="CF82" s="17">
        <f>'[1]资源-钻石'!M81/$B$2*$C$12*10</f>
        <v>1638.3292109676499</v>
      </c>
      <c r="CG82" s="17">
        <f>'[1]资源-钻石'!N81/$B$2*$C$12*10</f>
        <v>2342.8222555832117</v>
      </c>
      <c r="CH82" s="17">
        <f>'[1]资源-钻石'!O81/$B$2*$C$12*10</f>
        <v>4665.8778847615786</v>
      </c>
      <c r="CI82" s="17">
        <f>'[1]资源-钻石'!P81/$B$2*$C$12*10</f>
        <v>6224.2985428425172</v>
      </c>
      <c r="CW82" s="17">
        <v>79</v>
      </c>
      <c r="CX82" s="17">
        <f t="shared" si="104"/>
        <v>0.30597247605969613</v>
      </c>
      <c r="CY82" s="17">
        <f t="shared" si="105"/>
        <v>0.30597247605969613</v>
      </c>
      <c r="CZ82" s="17">
        <f t="shared" si="106"/>
        <v>0.30597247605969613</v>
      </c>
      <c r="DA82" s="17">
        <f t="shared" si="107"/>
        <v>0.30597247605969613</v>
      </c>
      <c r="DB82" s="17">
        <f t="shared" si="108"/>
        <v>0.30597247605969613</v>
      </c>
    </row>
    <row r="83" spans="8:106" x14ac:dyDescent="0.15">
      <c r="H83" s="17">
        <v>35</v>
      </c>
      <c r="I83" s="29">
        <f>IF(基础状态预期!C93="","",基础状态预期!C93)</f>
        <v>10234</v>
      </c>
      <c r="J83" s="29">
        <f>IF(基础状态预期!D93="","",基础状态预期!D93)</f>
        <v>135.61521761503846</v>
      </c>
      <c r="K83" s="29" t="str">
        <f>IF(基础状态预期!F93="","",基础状态预期!F93)</f>
        <v/>
      </c>
      <c r="L83" s="29" t="str">
        <f>IF(基础状态预期!G93="","",基础状态预期!G93)</f>
        <v/>
      </c>
      <c r="M83" s="29" t="str">
        <f>IF(基础状态预期!H93="","",基础状态预期!H93)</f>
        <v/>
      </c>
      <c r="N83" s="29" t="str">
        <f>IF(基础状态预期!I93="","",基础状态预期!I93)</f>
        <v/>
      </c>
      <c r="O83" s="29">
        <f>IF(基础状态预期!J93="","",基础状态预期!J93)</f>
        <v>6</v>
      </c>
      <c r="P83" s="29">
        <f>武将进阶!O80</f>
        <v>0</v>
      </c>
      <c r="Q83" s="29">
        <f>武将进阶!P80</f>
        <v>0</v>
      </c>
      <c r="R83" s="29">
        <f>武将进阶!Q80</f>
        <v>0</v>
      </c>
      <c r="S83" s="29">
        <f>武将进阶!R80</f>
        <v>642</v>
      </c>
      <c r="T83" s="29">
        <f>武将进阶!S80</f>
        <v>0</v>
      </c>
      <c r="U83" s="29">
        <f>武将觉醒!T81</f>
        <v>0</v>
      </c>
      <c r="V83" s="29">
        <f>武将觉醒!U81</f>
        <v>0</v>
      </c>
      <c r="W83" s="29">
        <f>武将觉醒!V81</f>
        <v>0</v>
      </c>
      <c r="X83" s="29">
        <f>武将觉醒!W81</f>
        <v>0</v>
      </c>
      <c r="Y83" s="29">
        <f>武将觉醒!X81</f>
        <v>0</v>
      </c>
      <c r="Z83" s="29"/>
      <c r="AA83" s="29">
        <f>IF(L83="",0,同名需求(L83,武将升星!P80,B$6)+武将升星!U80)</f>
        <v>0</v>
      </c>
      <c r="AB83" s="29">
        <f>IF(M83="",0,同名需求(M83,武将升星!Q80,C$6)+武将升星!V80)</f>
        <v>0</v>
      </c>
      <c r="AC83" s="59">
        <f>IF(N83="",0,同名需求(N83,武将升星!R80,D$6*0.6)+武将升星!W80)</f>
        <v>0</v>
      </c>
      <c r="AD83" s="29">
        <f>IF(O83="",0,同名需求(O83,武将升星!S80,E$6)+武将升星!X80)</f>
        <v>108</v>
      </c>
      <c r="AE83" s="29">
        <f>MAX(U83+P83+IF(K83="",0,K83)*武将升星!O80,Z83)</f>
        <v>0</v>
      </c>
      <c r="AF83" s="29">
        <f>MAX(V83+Q83+IF(L83="",0,L83)*武将升星!P80,AA83)</f>
        <v>0</v>
      </c>
      <c r="AG83" s="29">
        <f>MAX(W83+R83+IF(M83="",0,M83)*武将升星!Q80,AB83)</f>
        <v>0</v>
      </c>
      <c r="AH83" s="29">
        <f>MAX(X83+S83+IF(N83="",0,N83)*武将升星!R80,AC83)</f>
        <v>642</v>
      </c>
      <c r="AI83" s="45">
        <f t="shared" si="96"/>
        <v>108</v>
      </c>
      <c r="AJ83" s="29">
        <f t="shared" si="71"/>
        <v>1864800</v>
      </c>
      <c r="AK83" s="14" t="e">
        <f>AJ83/求节点('[1]资源-钻石'!$K$4:$K$113,'[1]资源-钻石'!$M$4:$M$113,J83)</f>
        <v>#VALUE!</v>
      </c>
      <c r="AL83" s="16" t="e">
        <f t="shared" si="97"/>
        <v>#DIV/0!</v>
      </c>
      <c r="AM83" s="16"/>
      <c r="AN83" s="16"/>
      <c r="AO83" s="16"/>
      <c r="AP83" s="17">
        <v>35</v>
      </c>
      <c r="AR83" s="16">
        <f t="shared" si="88"/>
        <v>5.2195630023492852</v>
      </c>
      <c r="AS83" s="29">
        <f>IF(基础状态预期!C93="","",基础状态预期!C93)</f>
        <v>10234</v>
      </c>
      <c r="AT83" s="29">
        <f>求节点(节奏总纲!$Q$4:$Q$163,其他调用!$D$4:$D$163,$AS83)*求节点($CP$5:$CP$36,$CR$5:$CR$36,AS38)</f>
        <v>13567001.118561968</v>
      </c>
      <c r="AU83" s="37">
        <f t="shared" si="98"/>
        <v>0</v>
      </c>
      <c r="AV83" s="37">
        <f t="shared" si="99"/>
        <v>1</v>
      </c>
      <c r="AW83" s="38">
        <f t="shared" si="75"/>
        <v>0.4933333333333334</v>
      </c>
      <c r="AX83" s="38">
        <f t="shared" si="76"/>
        <v>0.26666666666666666</v>
      </c>
      <c r="AY83" s="38">
        <f t="shared" si="77"/>
        <v>0.04</v>
      </c>
      <c r="AZ83" s="38">
        <f t="shared" si="78"/>
        <v>2.8000000000000001E-2</v>
      </c>
      <c r="BA83" s="29">
        <f t="shared" si="100"/>
        <v>2632695.3827549554</v>
      </c>
      <c r="BB83" s="29">
        <f t="shared" si="89"/>
        <v>5411.6516201074091</v>
      </c>
      <c r="BC83" s="29">
        <f t="shared" si="79"/>
        <v>2925.2170919499504</v>
      </c>
      <c r="BD83" s="29">
        <f t="shared" si="80"/>
        <v>438.78256379249257</v>
      </c>
      <c r="BE83" s="29">
        <f t="shared" si="81"/>
        <v>307.14779465474481</v>
      </c>
      <c r="BF83" s="29">
        <f t="shared" si="90"/>
        <v>84942.200000000012</v>
      </c>
      <c r="BG83" s="29">
        <f t="shared" si="90"/>
        <v>15351</v>
      </c>
      <c r="BH83" s="29">
        <f t="shared" si="90"/>
        <v>2046.8000000000002</v>
      </c>
      <c r="BI83" s="29">
        <f t="shared" si="90"/>
        <v>0</v>
      </c>
      <c r="BJ83" s="29">
        <f>SUM(BB$52:BB83)+BF83</f>
        <v>112949.8504600289</v>
      </c>
      <c r="BK83" s="29">
        <f>SUM(BC$52:BC83)+BG83</f>
        <v>30425.445687291074</v>
      </c>
      <c r="BL83" s="29">
        <f>SUM(BD$52:BD83)+BH83</f>
        <v>4333.4056885416258</v>
      </c>
      <c r="BM83" s="29">
        <f>SUM(BE$52:BE83)+BI83</f>
        <v>1562.4657288071912</v>
      </c>
      <c r="BN83" s="29">
        <f>SUM(BT$52:BT83)</f>
        <v>18.960622694134962</v>
      </c>
      <c r="BO83" s="17">
        <f t="shared" si="101"/>
        <v>569.18263118570451</v>
      </c>
      <c r="BP83" s="17">
        <f t="shared" si="102"/>
        <v>38.067378153285389</v>
      </c>
      <c r="BQ83" s="17">
        <f t="shared" si="103"/>
        <v>305.85887505297916</v>
      </c>
      <c r="BR83" s="17">
        <f t="shared" si="91"/>
        <v>0</v>
      </c>
      <c r="BS83" s="17">
        <f t="shared" si="86"/>
        <v>80</v>
      </c>
      <c r="BT83" s="17">
        <f t="shared" si="92"/>
        <v>0</v>
      </c>
      <c r="BV83" s="17">
        <f t="shared" si="87"/>
        <v>3691.4056885416258</v>
      </c>
      <c r="BW83" s="17">
        <v>79</v>
      </c>
      <c r="BX83" s="17">
        <f>'[1]资源-钻石'!L82/$B$2*$B$12*10</f>
        <v>3340.6860760653708</v>
      </c>
      <c r="BY83" s="17">
        <f>'[1]资源-钻石'!M82/$B$2*$B$12*10</f>
        <v>4283.9387854178185</v>
      </c>
      <c r="BZ83" s="17">
        <f>'[1]资源-钻石'!N82/$B$2*$B$12*10</f>
        <v>6163.8944553608917</v>
      </c>
      <c r="CA83" s="17">
        <f>'[1]资源-钻石'!O82/$B$2*$B$12*10</f>
        <v>12263.061877221684</v>
      </c>
      <c r="CB83" s="17">
        <f>'[1]资源-钻石'!P82/$B$2*$B$12*10</f>
        <v>16417.715969303496</v>
      </c>
      <c r="CD83" s="17">
        <v>79</v>
      </c>
      <c r="CE83" s="17">
        <f>'[1]资源-钻石'!L82/$B$2*$C$12*10</f>
        <v>1353.189296634074</v>
      </c>
      <c r="CF83" s="17">
        <f>'[1]资源-钻石'!M82/$B$2*$C$12*10</f>
        <v>1735.2663434603821</v>
      </c>
      <c r="CG83" s="17">
        <f>'[1]资源-钻石'!N82/$B$2*$C$12*10</f>
        <v>2496.7673743233991</v>
      </c>
      <c r="CH83" s="17">
        <f>'[1]资源-钻石'!O82/$B$2*$C$12*10</f>
        <v>4967.3162034315683</v>
      </c>
      <c r="CI83" s="17">
        <f>'[1]资源-钻石'!P82/$B$2*$C$12*10</f>
        <v>6650.2140635153401</v>
      </c>
      <c r="CW83" s="17">
        <v>80</v>
      </c>
      <c r="CX83" s="17">
        <f t="shared" si="104"/>
        <v>0.3025708559817063</v>
      </c>
      <c r="CY83" s="17">
        <f t="shared" si="105"/>
        <v>0.3025708559817063</v>
      </c>
      <c r="CZ83" s="17">
        <f t="shared" si="106"/>
        <v>0.3025708559817063</v>
      </c>
      <c r="DA83" s="17">
        <f t="shared" si="107"/>
        <v>0.3025708559817063</v>
      </c>
      <c r="DB83" s="17">
        <f t="shared" si="108"/>
        <v>0.3025708559817063</v>
      </c>
    </row>
    <row r="84" spans="8:106" x14ac:dyDescent="0.15">
      <c r="H84" s="17">
        <v>36</v>
      </c>
      <c r="I84" s="29">
        <f>IF(基础状态预期!C94="","",基础状态预期!C94)</f>
        <v>13039</v>
      </c>
      <c r="J84" s="29">
        <f>IF(基础状态预期!D94="","",基础状态预期!D94)</f>
        <v>139.08794136138388</v>
      </c>
      <c r="K84" s="29" t="str">
        <f>IF(基础状态预期!F94="","",基础状态预期!F94)</f>
        <v/>
      </c>
      <c r="L84" s="29" t="str">
        <f>IF(基础状态预期!G94="","",基础状态预期!G94)</f>
        <v/>
      </c>
      <c r="M84" s="29" t="str">
        <f>IF(基础状态预期!H94="","",基础状态预期!H94)</f>
        <v/>
      </c>
      <c r="N84" s="29" t="str">
        <f>IF(基础状态预期!I94="","",基础状态预期!I94)</f>
        <v/>
      </c>
      <c r="O84" s="29">
        <f>IF(基础状态预期!J94="","",基础状态预期!J94)</f>
        <v>6</v>
      </c>
      <c r="P84" s="29">
        <f>武将进阶!O81</f>
        <v>0</v>
      </c>
      <c r="Q84" s="29">
        <f>武将进阶!P81</f>
        <v>0</v>
      </c>
      <c r="R84" s="29">
        <f>武将进阶!Q81</f>
        <v>0</v>
      </c>
      <c r="S84" s="29">
        <f>武将进阶!R81</f>
        <v>642</v>
      </c>
      <c r="T84" s="29">
        <f>武将进阶!S81</f>
        <v>0</v>
      </c>
      <c r="U84" s="29">
        <f>武将觉醒!T82</f>
        <v>0</v>
      </c>
      <c r="V84" s="29">
        <f>武将觉醒!U82</f>
        <v>0</v>
      </c>
      <c r="W84" s="29">
        <f>武将觉醒!V82</f>
        <v>0</v>
      </c>
      <c r="X84" s="29">
        <f>武将觉醒!W82</f>
        <v>0</v>
      </c>
      <c r="Y84" s="29">
        <f>武将觉醒!X82</f>
        <v>0</v>
      </c>
      <c r="Z84" s="29"/>
      <c r="AA84" s="29">
        <f>IF(L84="",0,同名需求(L84,武将升星!P81,B$6)+武将升星!U81)</f>
        <v>0</v>
      </c>
      <c r="AB84" s="29">
        <f>IF(M84="",0,同名需求(M84,武将升星!Q81,C$6)+武将升星!V81)</f>
        <v>0</v>
      </c>
      <c r="AC84" s="59">
        <f>IF(N84="",0,同名需求(N84,武将升星!R81,D$6*0.6)+武将升星!W81)</f>
        <v>0</v>
      </c>
      <c r="AD84" s="29">
        <f>IF(O84="",0,同名需求(O84,武将升星!S81,E$6)+武将升星!X81)</f>
        <v>108</v>
      </c>
      <c r="AE84" s="29">
        <f>MAX(U84+P84+IF(K84="",0,K84)*武将升星!O81,Z84)</f>
        <v>0</v>
      </c>
      <c r="AF84" s="29">
        <f>MAX(V84+Q84+IF(L84="",0,L84)*武将升星!P81,AA84)</f>
        <v>0</v>
      </c>
      <c r="AG84" s="29">
        <f>MAX(W84+R84+IF(M84="",0,M84)*武将升星!Q81,AB84)</f>
        <v>0</v>
      </c>
      <c r="AH84" s="29">
        <f>MAX(X84+S84+IF(N84="",0,N84)*武将升星!R81,AC84)</f>
        <v>642</v>
      </c>
      <c r="AI84" s="45">
        <f t="shared" si="96"/>
        <v>108</v>
      </c>
      <c r="AJ84" s="29">
        <f t="shared" si="71"/>
        <v>1864800</v>
      </c>
      <c r="AK84" s="14" t="e">
        <f>AJ84/求节点('[1]资源-钻石'!$K$4:$K$113,'[1]资源-钻石'!$M$4:$M$113,J84)</f>
        <v>#VALUE!</v>
      </c>
      <c r="AL84" s="16" t="e">
        <f t="shared" si="97"/>
        <v>#DIV/0!</v>
      </c>
      <c r="AM84" s="16"/>
      <c r="AN84" s="16"/>
      <c r="AO84" s="16"/>
      <c r="AP84" s="17">
        <v>36</v>
      </c>
      <c r="AR84" s="16">
        <f t="shared" si="88"/>
        <v>5.1138274750432053</v>
      </c>
      <c r="AS84" s="29">
        <f>IF(基础状态预期!C94="","",基础状态预期!C94)</f>
        <v>13039</v>
      </c>
      <c r="AT84" s="29">
        <f>求节点(节奏总纲!$Q$4:$Q$163,其他调用!$D$4:$D$163,$AS84)*求节点($CP$5:$CP$36,$CR$5:$CR$36,AS39)</f>
        <v>16866186.914086092</v>
      </c>
      <c r="AU84" s="37">
        <f t="shared" si="98"/>
        <v>0</v>
      </c>
      <c r="AV84" s="37">
        <f t="shared" si="99"/>
        <v>1</v>
      </c>
      <c r="AW84" s="38">
        <f t="shared" si="75"/>
        <v>0.4933333333333334</v>
      </c>
      <c r="AX84" s="38">
        <f t="shared" si="76"/>
        <v>0.26666666666666666</v>
      </c>
      <c r="AY84" s="38">
        <f t="shared" si="77"/>
        <v>0.04</v>
      </c>
      <c r="AZ84" s="38">
        <f t="shared" si="78"/>
        <v>2.8000000000000001E-2</v>
      </c>
      <c r="BA84" s="29">
        <f t="shared" si="100"/>
        <v>3299185.7955241241</v>
      </c>
      <c r="BB84" s="29">
        <f t="shared" si="89"/>
        <v>6781.659690799589</v>
      </c>
      <c r="BC84" s="29">
        <f t="shared" si="79"/>
        <v>3665.7619950268045</v>
      </c>
      <c r="BD84" s="29">
        <f t="shared" si="80"/>
        <v>549.86429925402069</v>
      </c>
      <c r="BE84" s="29">
        <f t="shared" si="81"/>
        <v>384.90500947781447</v>
      </c>
      <c r="BF84" s="29">
        <f t="shared" si="90"/>
        <v>108223.70000000001</v>
      </c>
      <c r="BG84" s="29">
        <f t="shared" si="90"/>
        <v>19558.5</v>
      </c>
      <c r="BH84" s="29">
        <f t="shared" si="90"/>
        <v>2607.8000000000002</v>
      </c>
      <c r="BI84" s="29">
        <f t="shared" si="90"/>
        <v>0</v>
      </c>
      <c r="BJ84" s="29">
        <f>SUM(BB$52:BB84)+BF84</f>
        <v>143013.01015082849</v>
      </c>
      <c r="BK84" s="29">
        <f>SUM(BC$52:BC84)+BG84</f>
        <v>38298.70768231788</v>
      </c>
      <c r="BL84" s="29">
        <f>SUM(BD$52:BD84)+BH84</f>
        <v>5444.2699877956466</v>
      </c>
      <c r="BM84" s="29">
        <f>SUM(BE$52:BE84)+BI84</f>
        <v>1947.3707382850057</v>
      </c>
      <c r="BN84" s="29">
        <f>SUM(BT$52:BT84)</f>
        <v>18.960622694134962</v>
      </c>
      <c r="BO84" s="17">
        <f t="shared" si="101"/>
        <v>792.28482822706383</v>
      </c>
      <c r="BP84" s="17">
        <f t="shared" si="102"/>
        <v>39.263008783682558</v>
      </c>
      <c r="BQ84" s="17">
        <f t="shared" si="103"/>
        <v>119.79275035134046</v>
      </c>
      <c r="BR84" s="17">
        <f t="shared" si="91"/>
        <v>0</v>
      </c>
      <c r="BS84" s="17">
        <f t="shared" si="86"/>
        <v>80</v>
      </c>
      <c r="BT84" s="17">
        <f t="shared" si="92"/>
        <v>0</v>
      </c>
      <c r="BV84" s="17">
        <f t="shared" si="87"/>
        <v>4802.2699877956466</v>
      </c>
      <c r="BW84" s="17">
        <v>80</v>
      </c>
      <c r="BX84" s="17">
        <f>'[1]资源-钻石'!L83/$B$2*$B$12*10</f>
        <v>3531.4672883407738</v>
      </c>
      <c r="BY84" s="17">
        <f>'[1]资源-钻石'!M83/$B$2*$B$12*10</f>
        <v>4539.7939604287103</v>
      </c>
      <c r="BZ84" s="17">
        <f>'[1]资源-钻石'!N83/$B$2*$B$12*10</f>
        <v>6546.6702569942199</v>
      </c>
      <c r="CA84" s="17">
        <f>'[1]资源-钻石'!O83/$B$2*$B$12*10</f>
        <v>13055.843483382052</v>
      </c>
      <c r="CB84" s="17">
        <f>'[1]资源-钻石'!P83/$B$2*$B$12*10</f>
        <v>17512.647861768834</v>
      </c>
      <c r="CD84" s="17">
        <v>80</v>
      </c>
      <c r="CE84" s="17">
        <f>'[1]资源-钻石'!L83/$B$2*$C$12*10</f>
        <v>1430.4677623658833</v>
      </c>
      <c r="CF84" s="17">
        <f>'[1]资源-钻石'!M83/$B$2*$C$12*10</f>
        <v>1838.9038827053002</v>
      </c>
      <c r="CG84" s="17">
        <f>'[1]资源-钻石'!N83/$B$2*$C$12*10</f>
        <v>2651.815800301456</v>
      </c>
      <c r="CH84" s="17">
        <f>'[1]资源-钻石'!O83/$B$2*$C$12*10</f>
        <v>5288.4429299775402</v>
      </c>
      <c r="CI84" s="17">
        <f>'[1]资源-钻石'!P83/$B$2*$C$12*10</f>
        <v>7093.7307794506669</v>
      </c>
      <c r="CW84" s="17">
        <v>81</v>
      </c>
      <c r="CX84" s="17">
        <f t="shared" si="104"/>
        <v>0.29927973439032635</v>
      </c>
      <c r="CY84" s="17">
        <f t="shared" si="105"/>
        <v>0.29927973439032635</v>
      </c>
      <c r="CZ84" s="17">
        <f t="shared" si="106"/>
        <v>0.29927973439032635</v>
      </c>
      <c r="DA84" s="17">
        <f t="shared" si="107"/>
        <v>0.29927973439032635</v>
      </c>
      <c r="DB84" s="17">
        <f t="shared" si="108"/>
        <v>0.29927973439032635</v>
      </c>
    </row>
    <row r="85" spans="8:106" x14ac:dyDescent="0.15">
      <c r="H85" s="17">
        <v>37</v>
      </c>
      <c r="I85" s="29">
        <f>IF(基础状态预期!C95="","",基础状态预期!C95)</f>
        <v>16609</v>
      </c>
      <c r="J85" s="29">
        <f>IF(基础状态预期!D95="","",基础状态预期!D95)</f>
        <v>142.60670974426387</v>
      </c>
      <c r="K85" s="29" t="str">
        <f>IF(基础状态预期!F95="","",基础状态预期!F95)</f>
        <v/>
      </c>
      <c r="L85" s="29" t="str">
        <f>IF(基础状态预期!G95="","",基础状态预期!G95)</f>
        <v/>
      </c>
      <c r="M85" s="29" t="str">
        <f>IF(基础状态预期!H95="","",基础状态预期!H95)</f>
        <v/>
      </c>
      <c r="N85" s="29" t="str">
        <f>IF(基础状态预期!I95="","",基础状态预期!I95)</f>
        <v/>
      </c>
      <c r="O85" s="29">
        <f>IF(基础状态预期!J95="","",基础状态预期!J95)</f>
        <v>6</v>
      </c>
      <c r="P85" s="29">
        <f>武将进阶!O82</f>
        <v>0</v>
      </c>
      <c r="Q85" s="29">
        <f>武将进阶!P82</f>
        <v>0</v>
      </c>
      <c r="R85" s="29">
        <f>武将进阶!Q82</f>
        <v>0</v>
      </c>
      <c r="S85" s="29">
        <f>武将进阶!R82</f>
        <v>642</v>
      </c>
      <c r="T85" s="29">
        <f>武将进阶!S82</f>
        <v>0</v>
      </c>
      <c r="U85" s="29">
        <f>武将觉醒!T83</f>
        <v>0</v>
      </c>
      <c r="V85" s="29">
        <f>武将觉醒!U83</f>
        <v>0</v>
      </c>
      <c r="W85" s="29">
        <f>武将觉醒!V83</f>
        <v>0</v>
      </c>
      <c r="X85" s="29">
        <f>武将觉醒!W83</f>
        <v>0</v>
      </c>
      <c r="Y85" s="29">
        <f>武将觉醒!X83</f>
        <v>0</v>
      </c>
      <c r="Z85" s="29"/>
      <c r="AA85" s="29">
        <f>IF(L85="",0,同名需求(L85,武将升星!P82,B$6)+武将升星!U82)</f>
        <v>0</v>
      </c>
      <c r="AB85" s="29">
        <f>IF(M85="",0,同名需求(M85,武将升星!Q82,C$6)+武将升星!V82)</f>
        <v>0</v>
      </c>
      <c r="AC85" s="59">
        <f>IF(N85="",0,同名需求(N85,武将升星!R82,D$6*0.6)+武将升星!W82)</f>
        <v>0</v>
      </c>
      <c r="AD85" s="29">
        <f>IF(O85="",0,同名需求(O85,武将升星!S82,E$6)+武将升星!X82)</f>
        <v>108</v>
      </c>
      <c r="AE85" s="29">
        <f>MAX(U85+P85+IF(K85="",0,K85)*武将升星!O82,Z85)</f>
        <v>0</v>
      </c>
      <c r="AF85" s="29">
        <f>MAX(V85+Q85+IF(L85="",0,L85)*武将升星!P82,AA85)</f>
        <v>0</v>
      </c>
      <c r="AG85" s="29">
        <f>MAX(W85+R85+IF(M85="",0,M85)*武将升星!Q82,AB85)</f>
        <v>0</v>
      </c>
      <c r="AH85" s="29">
        <f>MAX(X85+S85+IF(N85="",0,N85)*武将升星!R82,AC85)</f>
        <v>642</v>
      </c>
      <c r="AI85" s="45">
        <f t="shared" si="96"/>
        <v>108</v>
      </c>
      <c r="AJ85" s="29">
        <f t="shared" si="71"/>
        <v>1864800</v>
      </c>
      <c r="AK85" s="14" t="e">
        <f>AJ85/求节点('[1]资源-钻石'!$K$4:$K$113,'[1]资源-钻石'!$M$4:$M$113,J85)</f>
        <v>#VALUE!</v>
      </c>
      <c r="AL85" s="16" t="e">
        <f t="shared" si="97"/>
        <v>#DIV/0!</v>
      </c>
      <c r="AM85" s="16"/>
      <c r="AN85" s="16"/>
      <c r="AO85" s="16"/>
      <c r="AP85" s="17">
        <v>37</v>
      </c>
      <c r="AR85" s="16">
        <f t="shared" si="88"/>
        <v>5.0037634177736399</v>
      </c>
      <c r="AS85" s="29">
        <f>IF(基础状态预期!C95="","",基础状态预期!C95)</f>
        <v>16609</v>
      </c>
      <c r="AT85" s="29">
        <f>求节点(节奏总纲!$Q$4:$Q$163,其他调用!$D$4:$D$163,$AS85)*求节点($CP$5:$CP$36,$CR$5:$CR$36,AS40)</f>
        <v>20974777.056420028</v>
      </c>
      <c r="AU85" s="37">
        <f t="shared" si="98"/>
        <v>0</v>
      </c>
      <c r="AV85" s="37">
        <f t="shared" si="99"/>
        <v>1</v>
      </c>
      <c r="AW85" s="38">
        <f t="shared" si="75"/>
        <v>0.4933333333333334</v>
      </c>
      <c r="AX85" s="38">
        <f t="shared" si="76"/>
        <v>0.26666666666666666</v>
      </c>
      <c r="AY85" s="38">
        <f t="shared" si="77"/>
        <v>0.04</v>
      </c>
      <c r="AZ85" s="38">
        <f t="shared" si="78"/>
        <v>2.8000000000000001E-2</v>
      </c>
      <c r="BA85" s="29">
        <f t="shared" si="100"/>
        <v>4108590.1423339359</v>
      </c>
      <c r="BB85" s="29">
        <f t="shared" si="89"/>
        <v>8445.4352925753137</v>
      </c>
      <c r="BC85" s="29">
        <f t="shared" si="79"/>
        <v>4565.1001581488181</v>
      </c>
      <c r="BD85" s="29">
        <f t="shared" si="80"/>
        <v>684.76502372232267</v>
      </c>
      <c r="BE85" s="29">
        <f t="shared" si="81"/>
        <v>479.33551660562586</v>
      </c>
      <c r="BF85" s="29">
        <f t="shared" si="90"/>
        <v>137854.70000000001</v>
      </c>
      <c r="BG85" s="29">
        <f t="shared" si="90"/>
        <v>24913.5</v>
      </c>
      <c r="BH85" s="29">
        <f t="shared" si="90"/>
        <v>3321.8</v>
      </c>
      <c r="BI85" s="29">
        <f t="shared" si="90"/>
        <v>0</v>
      </c>
      <c r="BJ85" s="29">
        <f>SUM(BB$52:BB85)+BF85</f>
        <v>181089.44544340379</v>
      </c>
      <c r="BK85" s="29">
        <f>SUM(BC$52:BC85)+BG85</f>
        <v>48218.807840466696</v>
      </c>
      <c r="BL85" s="29">
        <f>SUM(BD$52:BD85)+BH85</f>
        <v>6843.035011517969</v>
      </c>
      <c r="BM85" s="29">
        <f>SUM(BE$52:BE85)+BI85</f>
        <v>2426.7062548906315</v>
      </c>
      <c r="BN85" s="29">
        <f>SUM(BT$52:BT85)</f>
        <v>18.960622694134962</v>
      </c>
      <c r="BO85" s="17">
        <f t="shared" si="101"/>
        <v>1329.9430263927352</v>
      </c>
      <c r="BP85" s="17">
        <f t="shared" si="102"/>
        <v>43.266320086646907</v>
      </c>
      <c r="BQ85" s="17">
        <f t="shared" si="103"/>
        <v>90.107426951388433</v>
      </c>
      <c r="BR85" s="17">
        <f t="shared" si="91"/>
        <v>0</v>
      </c>
      <c r="BS85" s="17">
        <f t="shared" si="86"/>
        <v>80</v>
      </c>
      <c r="BT85" s="17">
        <f t="shared" si="92"/>
        <v>0</v>
      </c>
      <c r="BV85" s="17">
        <f t="shared" si="87"/>
        <v>6201.035011517969</v>
      </c>
      <c r="BW85" s="17">
        <v>81</v>
      </c>
      <c r="BX85" s="17">
        <f>'[1]资源-钻石'!L84/$B$2*$B$12*10</f>
        <v>3735.9415288080545</v>
      </c>
      <c r="BY85" s="17">
        <f>'[1]资源-钻石'!M84/$B$2*$B$12*10</f>
        <v>4800.2183733241391</v>
      </c>
      <c r="BZ85" s="17">
        <f>'[1]资源-钻石'!N84/$B$2*$B$12*10</f>
        <v>6935.2930050908071</v>
      </c>
      <c r="CA85" s="17">
        <f>'[1]资源-钻石'!O84/$B$2*$B$12*10</f>
        <v>13915.562430477901</v>
      </c>
      <c r="CB85" s="17">
        <f>'[1]资源-钻石'!P84/$B$2*$B$12*10</f>
        <v>18707.549263972967</v>
      </c>
      <c r="CD85" s="17">
        <v>81</v>
      </c>
      <c r="CE85" s="17">
        <f>'[1]资源-钻石'!L84/$B$2*$C$12*10</f>
        <v>1513.2927711627563</v>
      </c>
      <c r="CF85" s="17">
        <f>'[1]资源-钻石'!M84/$B$2*$C$12*10</f>
        <v>1944.3922524857271</v>
      </c>
      <c r="CG85" s="17">
        <f>'[1]资源-钻石'!N84/$B$2*$C$12*10</f>
        <v>2809.2326096570359</v>
      </c>
      <c r="CH85" s="17">
        <f>'[1]资源-钻石'!O84/$B$2*$C$12*10</f>
        <v>5636.6835161429472</v>
      </c>
      <c r="CI85" s="17">
        <f>'[1]资源-钻石'!P84/$B$2*$C$12*10</f>
        <v>7577.7414740143658</v>
      </c>
      <c r="CW85" s="17">
        <v>82</v>
      </c>
      <c r="CX85" s="17">
        <f t="shared" si="104"/>
        <v>0.29598861279894639</v>
      </c>
      <c r="CY85" s="17">
        <f t="shared" si="105"/>
        <v>0.29598861279894639</v>
      </c>
      <c r="CZ85" s="17">
        <f t="shared" si="106"/>
        <v>0.29598861279894639</v>
      </c>
      <c r="DA85" s="17">
        <f t="shared" si="107"/>
        <v>0.29598861279894639</v>
      </c>
      <c r="DB85" s="17">
        <f t="shared" si="108"/>
        <v>0.29598861279894639</v>
      </c>
    </row>
    <row r="86" spans="8:106" x14ac:dyDescent="0.15">
      <c r="H86" s="17">
        <v>38</v>
      </c>
      <c r="I86" s="29">
        <f>IF(基础状态预期!C96="","",基础状态预期!C96)</f>
        <v>21148</v>
      </c>
      <c r="J86" s="29">
        <f>IF(基础状态预期!D96="","",基础状态预期!D96)</f>
        <v>146.07830147206653</v>
      </c>
      <c r="K86" s="29" t="str">
        <f>IF(基础状态预期!F96="","",基础状态预期!F96)</f>
        <v/>
      </c>
      <c r="L86" s="29" t="str">
        <f>IF(基础状态预期!G96="","",基础状态预期!G96)</f>
        <v/>
      </c>
      <c r="M86" s="29" t="str">
        <f>IF(基础状态预期!H96="","",基础状态预期!H96)</f>
        <v/>
      </c>
      <c r="N86" s="29" t="str">
        <f>IF(基础状态预期!I96="","",基础状态预期!I96)</f>
        <v/>
      </c>
      <c r="O86" s="29">
        <f>IF(基础状态预期!J96="","",基础状态预期!J96)</f>
        <v>6</v>
      </c>
      <c r="P86" s="29">
        <f>武将进阶!O83</f>
        <v>0</v>
      </c>
      <c r="Q86" s="29">
        <f>武将进阶!P83</f>
        <v>0</v>
      </c>
      <c r="R86" s="29">
        <f>武将进阶!Q83</f>
        <v>0</v>
      </c>
      <c r="S86" s="29">
        <f>武将进阶!R83</f>
        <v>642</v>
      </c>
      <c r="T86" s="29">
        <f>武将进阶!S83</f>
        <v>0</v>
      </c>
      <c r="U86" s="29">
        <f>武将觉醒!T84</f>
        <v>0</v>
      </c>
      <c r="V86" s="29">
        <f>武将觉醒!U84</f>
        <v>0</v>
      </c>
      <c r="W86" s="29">
        <f>武将觉醒!V84</f>
        <v>0</v>
      </c>
      <c r="X86" s="29">
        <f>武将觉醒!W84</f>
        <v>0</v>
      </c>
      <c r="Y86" s="29">
        <f>武将觉醒!X84</f>
        <v>0</v>
      </c>
      <c r="Z86" s="29"/>
      <c r="AA86" s="29">
        <f>IF(L86="",0,同名需求(L86,武将升星!P83,B$6)+武将升星!U83)</f>
        <v>0</v>
      </c>
      <c r="AB86" s="29">
        <f>IF(M86="",0,同名需求(M86,武将升星!Q83,C$6)+武将升星!V83)</f>
        <v>0</v>
      </c>
      <c r="AC86" s="59">
        <f>IF(N86="",0,同名需求(N86,武将升星!R83,D$6*0.6)+武将升星!W83)</f>
        <v>0</v>
      </c>
      <c r="AD86" s="29">
        <f>IF(O86="",0,同名需求(O86,武将升星!S83,E$6)+武将升星!X83)</f>
        <v>108</v>
      </c>
      <c r="AE86" s="29">
        <f>MAX(U86+P86+IF(K86="",0,K86)*武将升星!O83,Z86)</f>
        <v>0</v>
      </c>
      <c r="AF86" s="29">
        <f>MAX(V86+Q86+IF(L86="",0,L86)*武将升星!P83,AA86)</f>
        <v>0</v>
      </c>
      <c r="AG86" s="29">
        <f>MAX(W86+R86+IF(M86="",0,M86)*武将升星!Q83,AB86)</f>
        <v>0</v>
      </c>
      <c r="AH86" s="29">
        <f>MAX(X86+S86+IF(N86="",0,N86)*武将升星!R83,AC86)</f>
        <v>642</v>
      </c>
      <c r="AI86" s="45">
        <f t="shared" si="96"/>
        <v>108</v>
      </c>
      <c r="AJ86" s="29">
        <f t="shared" si="71"/>
        <v>1864800</v>
      </c>
      <c r="AK86" s="14" t="e">
        <f>AJ86/求节点('[1]资源-钻石'!$K$4:$K$113,'[1]资源-钻石'!$M$4:$M$113,J86)</f>
        <v>#VALUE!</v>
      </c>
      <c r="AL86" s="16" t="e">
        <f t="shared" si="97"/>
        <v>#DIV/0!</v>
      </c>
      <c r="AM86" s="16"/>
      <c r="AN86" s="16"/>
      <c r="AO86" s="16"/>
      <c r="AP86" s="17">
        <v>38</v>
      </c>
      <c r="AR86" s="16">
        <f t="shared" si="88"/>
        <v>4.9212853006360806</v>
      </c>
      <c r="AS86" s="29">
        <f>IF(基础状态预期!C96="","",基础状态预期!C96)</f>
        <v>21148</v>
      </c>
      <c r="AT86" s="29">
        <f>求节点(节奏总纲!$Q$4:$Q$163,其他调用!$D$4:$D$163,$AS86)*求节点($CP$5:$CP$36,$CR$5:$CR$36,AS41)</f>
        <v>26112451.271725077</v>
      </c>
      <c r="AU86" s="37">
        <f t="shared" si="98"/>
        <v>0</v>
      </c>
      <c r="AV86" s="37">
        <f t="shared" si="99"/>
        <v>1</v>
      </c>
      <c r="AW86" s="38">
        <f t="shared" si="75"/>
        <v>0.4933333333333334</v>
      </c>
      <c r="AX86" s="38">
        <f t="shared" si="76"/>
        <v>0.26666666666666666</v>
      </c>
      <c r="AY86" s="38">
        <f t="shared" si="77"/>
        <v>0.04</v>
      </c>
      <c r="AZ86" s="38">
        <f t="shared" si="78"/>
        <v>2.8000000000000001E-2</v>
      </c>
      <c r="BA86" s="29">
        <f t="shared" si="100"/>
        <v>5137674.215305049</v>
      </c>
      <c r="BB86" s="29">
        <f t="shared" si="89"/>
        <v>10560.774775904823</v>
      </c>
      <c r="BC86" s="29">
        <f t="shared" si="79"/>
        <v>5708.5269058944987</v>
      </c>
      <c r="BD86" s="29">
        <f t="shared" si="80"/>
        <v>856.27903588417485</v>
      </c>
      <c r="BE86" s="29">
        <f t="shared" si="81"/>
        <v>599.39532511892241</v>
      </c>
      <c r="BF86" s="29">
        <f t="shared" si="90"/>
        <v>175528.40000000002</v>
      </c>
      <c r="BG86" s="29">
        <f t="shared" si="90"/>
        <v>31722</v>
      </c>
      <c r="BH86" s="29">
        <f t="shared" si="90"/>
        <v>4229.6000000000004</v>
      </c>
      <c r="BI86" s="29">
        <f t="shared" si="90"/>
        <v>0</v>
      </c>
      <c r="BJ86" s="29">
        <f>SUM(BB$52:BB86)+BF86</f>
        <v>229323.92021930864</v>
      </c>
      <c r="BK86" s="29">
        <f>SUM(BC$52:BC86)+BG86</f>
        <v>60735.834746361194</v>
      </c>
      <c r="BL86" s="29">
        <f>SUM(BD$52:BD86)+BH86</f>
        <v>8607.1140474021449</v>
      </c>
      <c r="BM86" s="29">
        <f>SUM(BE$52:BE86)+BI86</f>
        <v>3026.1015800095538</v>
      </c>
      <c r="BN86" s="29">
        <f>SUM(BT$52:BT86)</f>
        <v>18.960622694134962</v>
      </c>
      <c r="BO86" s="17">
        <f t="shared" si="101"/>
        <v>3087.5631177164851</v>
      </c>
      <c r="BP86" s="17">
        <f t="shared" si="102"/>
        <v>49.112921416342793</v>
      </c>
      <c r="BQ86" s="17">
        <f t="shared" si="103"/>
        <v>84.086913079782761</v>
      </c>
      <c r="BR86" s="17">
        <f t="shared" si="91"/>
        <v>0</v>
      </c>
      <c r="BS86" s="17">
        <f t="shared" si="86"/>
        <v>80</v>
      </c>
      <c r="BT86" s="17">
        <f t="shared" si="92"/>
        <v>0</v>
      </c>
      <c r="BV86" s="17">
        <f t="shared" si="87"/>
        <v>7965.1140474021449</v>
      </c>
      <c r="BW86" s="17">
        <v>82</v>
      </c>
      <c r="BX86" s="17">
        <f>'[1]资源-钻石'!L85/$B$2*$B$12*10</f>
        <v>3955.0915935131475</v>
      </c>
      <c r="BY86" s="17">
        <f>'[1]资源-钻石'!M85/$B$2*$B$12*10</f>
        <v>5086.5204413582187</v>
      </c>
      <c r="BZ86" s="17">
        <f>'[1]资源-钻石'!N85/$B$2*$B$12*10</f>
        <v>7366.9302968066177</v>
      </c>
      <c r="CA86" s="17">
        <f>'[1]资源-钻石'!O85/$B$2*$B$12*10</f>
        <v>14856.906579727673</v>
      </c>
      <c r="CB86" s="17">
        <f>'[1]资源-钻石'!P85/$B$2*$B$12*10</f>
        <v>19971.63638771027</v>
      </c>
      <c r="CD86" s="17">
        <v>82</v>
      </c>
      <c r="CE86" s="17">
        <f>'[1]资源-钻石'!L85/$B$2*$C$12*10</f>
        <v>1602.0624176255787</v>
      </c>
      <c r="CF86" s="17">
        <f>'[1]资源-钻石'!M85/$B$2*$C$12*10</f>
        <v>2060.3627104235825</v>
      </c>
      <c r="CG86" s="17">
        <f>'[1]资源-钻石'!N85/$B$2*$C$12*10</f>
        <v>2984.0730316178706</v>
      </c>
      <c r="CH86" s="17">
        <f>'[1]资源-钻石'!O85/$B$2*$C$12*10</f>
        <v>6017.9874753327276</v>
      </c>
      <c r="CI86" s="17">
        <f>'[1]资源-钻石'!P85/$B$2*$C$12*10</f>
        <v>8089.7767646421344</v>
      </c>
      <c r="CW86" s="17">
        <v>83</v>
      </c>
      <c r="CX86" s="17">
        <f t="shared" si="104"/>
        <v>0.2926974912075665</v>
      </c>
      <c r="CY86" s="17">
        <f t="shared" si="105"/>
        <v>0.2926974912075665</v>
      </c>
      <c r="CZ86" s="17">
        <f t="shared" si="106"/>
        <v>0.2926974912075665</v>
      </c>
      <c r="DA86" s="17">
        <f t="shared" si="107"/>
        <v>0.2926974912075665</v>
      </c>
      <c r="DB86" s="17">
        <f t="shared" si="108"/>
        <v>0.2926974912075665</v>
      </c>
    </row>
    <row r="87" spans="8:106" x14ac:dyDescent="0.15">
      <c r="H87" s="17">
        <v>39</v>
      </c>
      <c r="I87" s="29">
        <f>IF(基础状态预期!C97="","",基础状态预期!C97)</f>
        <v>26962</v>
      </c>
      <c r="J87" s="29">
        <f>IF(基础状态预期!D97="","",基础状态预期!D97)</f>
        <v>149.61701338734093</v>
      </c>
      <c r="K87" s="29" t="str">
        <f>IF(基础状态预期!F97="","",基础状态预期!F97)</f>
        <v/>
      </c>
      <c r="L87" s="29" t="str">
        <f>IF(基础状态预期!G97="","",基础状态预期!G97)</f>
        <v/>
      </c>
      <c r="M87" s="29" t="str">
        <f>IF(基础状态预期!H97="","",基础状态预期!H97)</f>
        <v/>
      </c>
      <c r="N87" s="29" t="str">
        <f>IF(基础状态预期!I97="","",基础状态预期!I97)</f>
        <v/>
      </c>
      <c r="O87" s="29">
        <f>IF(基础状态预期!J97="","",基础状态预期!J97)</f>
        <v>6</v>
      </c>
      <c r="P87" s="29">
        <f>武将进阶!O84</f>
        <v>0</v>
      </c>
      <c r="Q87" s="29">
        <f>武将进阶!P84</f>
        <v>0</v>
      </c>
      <c r="R87" s="29">
        <f>武将进阶!Q84</f>
        <v>0</v>
      </c>
      <c r="S87" s="29">
        <f>武将进阶!R84</f>
        <v>642</v>
      </c>
      <c r="T87" s="29">
        <f>武将进阶!S84</f>
        <v>0</v>
      </c>
      <c r="U87" s="29">
        <f>武将觉醒!T85</f>
        <v>0</v>
      </c>
      <c r="V87" s="29">
        <f>武将觉醒!U85</f>
        <v>0</v>
      </c>
      <c r="W87" s="29">
        <f>武将觉醒!V85</f>
        <v>0</v>
      </c>
      <c r="X87" s="29">
        <f>武将觉醒!W85</f>
        <v>0</v>
      </c>
      <c r="Y87" s="29">
        <f>武将觉醒!X85</f>
        <v>0</v>
      </c>
      <c r="Z87" s="29"/>
      <c r="AA87" s="29">
        <f>IF(L87="",0,同名需求(L87,武将升星!P84,B$6)+武将升星!U84)</f>
        <v>0</v>
      </c>
      <c r="AB87" s="29">
        <f>IF(M87="",0,同名需求(M87,武将升星!Q84,C$6)+武将升星!V84)</f>
        <v>0</v>
      </c>
      <c r="AC87" s="59">
        <f>IF(N87="",0,同名需求(N87,武将升星!R84,D$6*0.6)+武将升星!W84)</f>
        <v>0</v>
      </c>
      <c r="AD87" s="29">
        <f>IF(O87="",0,同名需求(O87,武将升星!S84,E$6)+武将升星!X84)</f>
        <v>108</v>
      </c>
      <c r="AE87" s="29">
        <f>MAX(U87+P87+IF(K87="",0,K87)*武将升星!O84,Z87)</f>
        <v>0</v>
      </c>
      <c r="AF87" s="29">
        <f>MAX(V87+Q87+IF(L87="",0,L87)*武将升星!P84,AA87)</f>
        <v>0</v>
      </c>
      <c r="AG87" s="29">
        <f>MAX(W87+R87+IF(M87="",0,M87)*武将升星!Q84,AB87)</f>
        <v>0</v>
      </c>
      <c r="AH87" s="29">
        <f>MAX(X87+S87+IF(N87="",0,N87)*武将升星!R84,AC87)</f>
        <v>642</v>
      </c>
      <c r="AI87" s="45">
        <f t="shared" si="96"/>
        <v>108</v>
      </c>
      <c r="AJ87" s="29">
        <f t="shared" si="71"/>
        <v>1864800</v>
      </c>
      <c r="AK87" s="14" t="e">
        <f>AJ87/求节点('[1]资源-钻石'!$K$4:$K$113,'[1]资源-钻石'!$M$4:$M$113,J87)</f>
        <v>#VALUE!</v>
      </c>
      <c r="AL87" s="16" t="e">
        <f t="shared" si="97"/>
        <v>#DIV/0!</v>
      </c>
      <c r="AM87" s="16"/>
      <c r="AN87" s="16"/>
      <c r="AO87" s="16"/>
      <c r="AP87" s="17">
        <v>39</v>
      </c>
      <c r="AR87" s="16">
        <f t="shared" si="88"/>
        <v>4.807007183693834</v>
      </c>
      <c r="AS87" s="29">
        <f>IF(基础状态预期!C97="","",基础状态预期!C97)</f>
        <v>26962</v>
      </c>
      <c r="AT87" s="29">
        <f>求节点(节奏总纲!$Q$4:$Q$163,其他调用!$D$4:$D$163,$AS87)*求节点($CP$5:$CP$36,$CR$5:$CR$36,AS42)</f>
        <v>32540477.417904146</v>
      </c>
      <c r="AU87" s="37">
        <f t="shared" si="98"/>
        <v>0</v>
      </c>
      <c r="AV87" s="37">
        <f t="shared" si="99"/>
        <v>1</v>
      </c>
      <c r="AW87" s="38">
        <f t="shared" si="75"/>
        <v>0.4933333333333334</v>
      </c>
      <c r="AX87" s="38">
        <f t="shared" si="76"/>
        <v>0.26666666666666666</v>
      </c>
      <c r="AY87" s="38">
        <f t="shared" si="77"/>
        <v>0.04</v>
      </c>
      <c r="AZ87" s="38">
        <f t="shared" si="78"/>
        <v>2.8000000000000001E-2</v>
      </c>
      <c r="BA87" s="29">
        <f t="shared" si="100"/>
        <v>6428026.1461790688</v>
      </c>
      <c r="BB87" s="29">
        <f t="shared" si="89"/>
        <v>13213.164856034755</v>
      </c>
      <c r="BC87" s="29">
        <f t="shared" si="79"/>
        <v>7142.2512735322989</v>
      </c>
      <c r="BD87" s="29">
        <f t="shared" si="80"/>
        <v>1071.3376910298448</v>
      </c>
      <c r="BE87" s="29">
        <f t="shared" si="81"/>
        <v>749.9363837208914</v>
      </c>
      <c r="BF87" s="29">
        <f t="shared" si="90"/>
        <v>223784.6</v>
      </c>
      <c r="BG87" s="29">
        <f t="shared" si="90"/>
        <v>40443</v>
      </c>
      <c r="BH87" s="29">
        <f t="shared" si="90"/>
        <v>5392.4000000000005</v>
      </c>
      <c r="BI87" s="29">
        <f t="shared" si="90"/>
        <v>0</v>
      </c>
      <c r="BJ87" s="29">
        <f>SUM(BB$52:BB87)+BF87</f>
        <v>290793.28507534339</v>
      </c>
      <c r="BK87" s="29">
        <f>SUM(BC$52:BC87)+BG87</f>
        <v>76599.086019893497</v>
      </c>
      <c r="BL87" s="29">
        <f>SUM(BD$52:BD87)+BH87</f>
        <v>10841.251738431989</v>
      </c>
      <c r="BM87" s="29">
        <f>SUM(BE$52:BE87)+BI87</f>
        <v>3776.037963730445</v>
      </c>
      <c r="BN87" s="29">
        <f>SUM(BT$52:BT87)</f>
        <v>18.960622694134962</v>
      </c>
      <c r="BO87" s="17">
        <f t="shared" si="101"/>
        <v>7321.7952865848301</v>
      </c>
      <c r="BP87" s="17">
        <f t="shared" si="102"/>
        <v>55.694173533202949</v>
      </c>
      <c r="BQ87" s="17">
        <f t="shared" si="103"/>
        <v>79.340274682082963</v>
      </c>
      <c r="BR87" s="17">
        <f t="shared" si="91"/>
        <v>0</v>
      </c>
      <c r="BS87" s="17">
        <f t="shared" si="86"/>
        <v>80</v>
      </c>
      <c r="BT87" s="17">
        <f t="shared" si="92"/>
        <v>0</v>
      </c>
      <c r="BV87" s="17">
        <f t="shared" si="87"/>
        <v>10199.251738431989</v>
      </c>
      <c r="BW87" s="17">
        <v>83</v>
      </c>
      <c r="BX87" s="17">
        <f>'[1]资源-钻石'!L86/$B$2*$B$12*10</f>
        <v>4189.9708171771863</v>
      </c>
      <c r="BY87" s="17">
        <f>'[1]资源-钻石'!M86/$B$2*$B$12*10</f>
        <v>5400.0461736044399</v>
      </c>
      <c r="BZ87" s="17">
        <f>'[1]资源-钻石'!N86/$B$2*$B$12*10</f>
        <v>7844.9807829158162</v>
      </c>
      <c r="CA87" s="17">
        <f>'[1]资源-钻石'!O86/$B$2*$B$12*10</f>
        <v>15865.219272711127</v>
      </c>
      <c r="CB87" s="17">
        <f>'[1]资源-钻石'!P86/$B$2*$B$12*10</f>
        <v>21374.19620544654</v>
      </c>
      <c r="CD87" s="17">
        <v>83</v>
      </c>
      <c r="CE87" s="17">
        <f>'[1]资源-钻石'!L86/$B$2*$C$12*10</f>
        <v>1697.2033689831642</v>
      </c>
      <c r="CF87" s="17">
        <f>'[1]资源-钻石'!M86/$B$2*$C$12*10</f>
        <v>2187.3604753840764</v>
      </c>
      <c r="CG87" s="17">
        <f>'[1]资源-钻石'!N86/$B$2*$C$12*10</f>
        <v>3177.7137348519764</v>
      </c>
      <c r="CH87" s="17">
        <f>'[1]资源-钻石'!O86/$B$2*$C$12*10</f>
        <v>6426.4179332500762</v>
      </c>
      <c r="CI87" s="17">
        <f>'[1]资源-钻石'!P86/$B$2*$C$12*10</f>
        <v>8657.9022604340425</v>
      </c>
      <c r="CW87" s="17">
        <v>84</v>
      </c>
      <c r="CX87" s="17">
        <f t="shared" si="104"/>
        <v>0.28940636961618654</v>
      </c>
      <c r="CY87" s="17">
        <f t="shared" si="105"/>
        <v>0.28940636961618654</v>
      </c>
      <c r="CZ87" s="17">
        <f t="shared" si="106"/>
        <v>0.28940636961618654</v>
      </c>
      <c r="DA87" s="17">
        <f t="shared" si="107"/>
        <v>0.28940636961618654</v>
      </c>
      <c r="DB87" s="17">
        <f t="shared" si="108"/>
        <v>0.28940636961618654</v>
      </c>
    </row>
    <row r="88" spans="8:106" x14ac:dyDescent="0.15">
      <c r="H88" s="17">
        <v>40</v>
      </c>
      <c r="I88" s="29">
        <f>IF(基础状态预期!C98="","",基础状态预期!C98)</f>
        <v>34357</v>
      </c>
      <c r="J88" s="29">
        <f>IF(基础状态预期!D98="","",基础状态预期!D98)</f>
        <v>153.01012120353457</v>
      </c>
      <c r="K88" s="29" t="str">
        <f>IF(基础状态预期!F98="","",基础状态预期!F98)</f>
        <v/>
      </c>
      <c r="L88" s="29" t="str">
        <f>IF(基础状态预期!G98="","",基础状态预期!G98)</f>
        <v/>
      </c>
      <c r="M88" s="29" t="str">
        <f>IF(基础状态预期!H98="","",基础状态预期!H98)</f>
        <v/>
      </c>
      <c r="N88" s="29" t="str">
        <f>IF(基础状态预期!I98="","",基础状态预期!I98)</f>
        <v/>
      </c>
      <c r="O88" s="29">
        <f>IF(基础状态预期!J98="","",基础状态预期!J98)</f>
        <v>6</v>
      </c>
      <c r="P88" s="29">
        <f>武将进阶!O85</f>
        <v>0</v>
      </c>
      <c r="Q88" s="29">
        <f>武将进阶!P85</f>
        <v>0</v>
      </c>
      <c r="R88" s="29">
        <f>武将进阶!Q85</f>
        <v>0</v>
      </c>
      <c r="S88" s="29">
        <f>武将进阶!R85</f>
        <v>642</v>
      </c>
      <c r="T88" s="29">
        <f>武将进阶!S85</f>
        <v>0</v>
      </c>
      <c r="U88" s="29">
        <f>武将觉醒!T86</f>
        <v>0</v>
      </c>
      <c r="V88" s="29">
        <f>武将觉醒!U86</f>
        <v>0</v>
      </c>
      <c r="W88" s="29">
        <f>武将觉醒!V86</f>
        <v>0</v>
      </c>
      <c r="X88" s="29">
        <f>武将觉醒!W86</f>
        <v>0</v>
      </c>
      <c r="Y88" s="29">
        <f>武将觉醒!X86</f>
        <v>0</v>
      </c>
      <c r="Z88" s="29"/>
      <c r="AA88" s="29">
        <f>IF(L88="",0,同名需求(L88,武将升星!P85,B$6)+武将升星!U85)</f>
        <v>0</v>
      </c>
      <c r="AB88" s="29">
        <f>IF(M88="",0,同名需求(M88,武将升星!Q85,C$6)+武将升星!V85)</f>
        <v>0</v>
      </c>
      <c r="AC88" s="59">
        <f>IF(N88="",0,同名需求(N88,武将升星!R85,D$6*0.6)+武将升星!W85)</f>
        <v>0</v>
      </c>
      <c r="AD88" s="29">
        <f>IF(O88="",0,同名需求(O88,武将升星!S85,E$6)+武将升星!X85)</f>
        <v>108</v>
      </c>
      <c r="AE88" s="29">
        <f>MAX(U88+P88+IF(K88="",0,K88)*武将升星!O85,Z88)</f>
        <v>0</v>
      </c>
      <c r="AF88" s="29">
        <f>MAX(V88+Q88+IF(L88="",0,L88)*武将升星!P85,AA88)</f>
        <v>0</v>
      </c>
      <c r="AG88" s="29">
        <f>MAX(W88+R88+IF(M88="",0,M88)*武将升星!Q85,AB88)</f>
        <v>0</v>
      </c>
      <c r="AH88" s="29">
        <f>MAX(X88+S88+IF(N88="",0,N88)*武将升星!R85,AC88)</f>
        <v>642</v>
      </c>
      <c r="AI88" s="45">
        <f t="shared" si="96"/>
        <v>108</v>
      </c>
      <c r="AJ88" s="29">
        <f t="shared" si="71"/>
        <v>1864800</v>
      </c>
      <c r="AK88" s="14" t="e">
        <f>AJ88/求节点('[1]资源-钻石'!$K$4:$K$113,'[1]资源-钻石'!$M$4:$M$113,J88)</f>
        <v>#VALUE!</v>
      </c>
      <c r="AL88" s="16" t="e">
        <f t="shared" si="97"/>
        <v>#DIV/0!</v>
      </c>
      <c r="AM88" s="16"/>
      <c r="AN88" s="16"/>
      <c r="AO88" s="16"/>
      <c r="AP88" s="17">
        <v>40</v>
      </c>
      <c r="AR88" s="16">
        <f t="shared" si="88"/>
        <v>4.7371080039020406</v>
      </c>
      <c r="AS88" s="29">
        <f>IF(基础状态预期!C98="","",基础状态预期!C98)</f>
        <v>34357</v>
      </c>
      <c r="AT88" s="29">
        <f>求节点(节奏总纲!$Q$4:$Q$163,其他调用!$D$4:$D$163,$AS88)*求节点($CP$5:$CP$36,$CR$5:$CR$36,AS43)</f>
        <v>40597587.566340931</v>
      </c>
      <c r="AU88" s="37">
        <f t="shared" si="98"/>
        <v>0</v>
      </c>
      <c r="AV88" s="37">
        <f t="shared" si="99"/>
        <v>1</v>
      </c>
      <c r="AW88" s="38">
        <f t="shared" si="75"/>
        <v>0.4933333333333334</v>
      </c>
      <c r="AX88" s="38">
        <f t="shared" si="76"/>
        <v>0.26666666666666666</v>
      </c>
      <c r="AY88" s="38">
        <f t="shared" si="77"/>
        <v>0.04</v>
      </c>
      <c r="AZ88" s="38">
        <f t="shared" si="78"/>
        <v>2.8000000000000001E-2</v>
      </c>
      <c r="BA88" s="29">
        <f t="shared" si="100"/>
        <v>8057110.1484367847</v>
      </c>
      <c r="BB88" s="29">
        <f t="shared" si="89"/>
        <v>16561.837527342283</v>
      </c>
      <c r="BC88" s="29">
        <f t="shared" si="79"/>
        <v>8952.3446093742059</v>
      </c>
      <c r="BD88" s="29">
        <f t="shared" si="80"/>
        <v>1342.8516914061308</v>
      </c>
      <c r="BE88" s="29">
        <f t="shared" si="81"/>
        <v>939.99618398429163</v>
      </c>
      <c r="BF88" s="29">
        <f t="shared" si="90"/>
        <v>285163.10000000003</v>
      </c>
      <c r="BG88" s="29">
        <f t="shared" si="90"/>
        <v>51535.5</v>
      </c>
      <c r="BH88" s="29">
        <f t="shared" si="90"/>
        <v>6871.4000000000005</v>
      </c>
      <c r="BI88" s="29">
        <f t="shared" si="90"/>
        <v>0</v>
      </c>
      <c r="BJ88" s="29">
        <f>SUM(BB$52:BB88)+BF88</f>
        <v>368733.6226026857</v>
      </c>
      <c r="BK88" s="29">
        <f>SUM(BC$52:BC88)+BG88</f>
        <v>96643.930629267692</v>
      </c>
      <c r="BL88" s="29">
        <f>SUM(BD$52:BD88)+BH88</f>
        <v>13663.10342983812</v>
      </c>
      <c r="BM88" s="29">
        <f>SUM(BE$52:BE88)+BI88</f>
        <v>4716.0341477147367</v>
      </c>
      <c r="BN88" s="29">
        <f>SUM(BT$52:BT88)</f>
        <v>18.960622694134962</v>
      </c>
      <c r="BO88" s="17" t="e">
        <f t="shared" si="101"/>
        <v>#DIV/0!</v>
      </c>
      <c r="BP88" s="17">
        <f t="shared" si="102"/>
        <v>75.309995506184805</v>
      </c>
      <c r="BQ88" s="17">
        <f t="shared" si="103"/>
        <v>85.771052676767695</v>
      </c>
      <c r="BR88" s="17">
        <f t="shared" si="91"/>
        <v>0</v>
      </c>
      <c r="BS88" s="17">
        <f t="shared" si="86"/>
        <v>80</v>
      </c>
      <c r="BT88" s="17">
        <f t="shared" si="92"/>
        <v>0</v>
      </c>
      <c r="BV88" s="17">
        <f t="shared" si="87"/>
        <v>13021.10342983812</v>
      </c>
      <c r="BW88" s="17">
        <v>84</v>
      </c>
      <c r="BX88" s="17">
        <f>'[1]资源-钻石'!L87/$B$2*$B$12*10</f>
        <v>4441.7081360014208</v>
      </c>
      <c r="BY88" s="17">
        <f>'[1]资源-钻石'!M87/$B$2*$B$12*10</f>
        <v>5736.2681895272681</v>
      </c>
      <c r="BZ88" s="17">
        <f>'[1]资源-钻石'!N87/$B$2*$B$12*10</f>
        <v>8340.023192157134</v>
      </c>
      <c r="CA88" s="17">
        <f>'[1]资源-钻石'!O87/$B$2*$B$12*10</f>
        <v>16932.648413928026</v>
      </c>
      <c r="CB88" s="17">
        <f>'[1]资源-钻石'!P87/$B$2*$B$12*10</f>
        <v>22854.992479736193</v>
      </c>
      <c r="CD88" s="17">
        <v>84</v>
      </c>
      <c r="CE88" s="17">
        <f>'[1]资源-钻石'!L87/$B$2*$C$12*10</f>
        <v>1799.1729158486769</v>
      </c>
      <c r="CF88" s="17">
        <f>'[1]资源-钻石'!M87/$B$2*$C$12*10</f>
        <v>2323.5516717072478</v>
      </c>
      <c r="CG88" s="17">
        <f>'[1]资源-钻石'!N87/$B$2*$C$12*10</f>
        <v>3378.2372423927627</v>
      </c>
      <c r="CH88" s="17">
        <f>'[1]资源-钻石'!O87/$B$2*$C$12*10</f>
        <v>6858.7942942493273</v>
      </c>
      <c r="CI88" s="17">
        <f>'[1]资源-钻石'!P87/$B$2*$C$12*10</f>
        <v>9257.718472804534</v>
      </c>
      <c r="CW88" s="17">
        <v>85</v>
      </c>
      <c r="CX88" s="17">
        <f t="shared" si="104"/>
        <v>0.28611524802480659</v>
      </c>
      <c r="CY88" s="17">
        <f t="shared" si="105"/>
        <v>0.28611524802480659</v>
      </c>
      <c r="CZ88" s="17">
        <f t="shared" si="106"/>
        <v>0.28611524802480659</v>
      </c>
      <c r="DA88" s="17">
        <f t="shared" si="107"/>
        <v>0.28611524802480659</v>
      </c>
      <c r="DB88" s="17">
        <f t="shared" si="108"/>
        <v>0.28611524802480659</v>
      </c>
    </row>
    <row r="89" spans="8:106" x14ac:dyDescent="0.15">
      <c r="H89" s="17">
        <v>41</v>
      </c>
      <c r="I89" s="29">
        <f>IF(基础状态预期!C99="","",基础状态预期!C99)</f>
        <v>43792</v>
      </c>
      <c r="J89" s="29">
        <f>IF(基础状态预期!D99="","",基础状态预期!D99)</f>
        <v>154.95970315183646</v>
      </c>
      <c r="K89" s="29" t="str">
        <f>IF(基础状态预期!F99="","",基础状态预期!F99)</f>
        <v/>
      </c>
      <c r="L89" s="29" t="str">
        <f>IF(基础状态预期!G99="","",基础状态预期!G99)</f>
        <v/>
      </c>
      <c r="M89" s="29" t="str">
        <f>IF(基础状态预期!H99="","",基础状态预期!H99)</f>
        <v/>
      </c>
      <c r="N89" s="29" t="str">
        <f>IF(基础状态预期!I99="","",基础状态预期!I99)</f>
        <v/>
      </c>
      <c r="O89" s="29">
        <f>IF(基础状态预期!J99="","",基础状态预期!J99)</f>
        <v>6</v>
      </c>
      <c r="P89" s="29">
        <f>武将进阶!O86</f>
        <v>0</v>
      </c>
      <c r="Q89" s="29">
        <f>武将进阶!P86</f>
        <v>0</v>
      </c>
      <c r="R89" s="29">
        <f>武将进阶!Q86</f>
        <v>0</v>
      </c>
      <c r="S89" s="29">
        <f>武将进阶!R86</f>
        <v>642</v>
      </c>
      <c r="T89" s="29">
        <f>武将进阶!S86</f>
        <v>0</v>
      </c>
      <c r="U89" s="29">
        <f>武将觉醒!T87</f>
        <v>0</v>
      </c>
      <c r="V89" s="29">
        <f>武将觉醒!U87</f>
        <v>0</v>
      </c>
      <c r="W89" s="29">
        <f>武将觉醒!V87</f>
        <v>0</v>
      </c>
      <c r="X89" s="29">
        <f>武将觉醒!W87</f>
        <v>0</v>
      </c>
      <c r="Y89" s="29">
        <f>武将觉醒!X87</f>
        <v>0</v>
      </c>
      <c r="Z89" s="29"/>
      <c r="AA89" s="29">
        <f>IF(L89="",0,同名需求(L89,武将升星!P86,B$6)+武将升星!U86)</f>
        <v>0</v>
      </c>
      <c r="AB89" s="29">
        <f>IF(M89="",0,同名需求(M89,武将升星!Q86,C$6)+武将升星!V86)</f>
        <v>0</v>
      </c>
      <c r="AC89" s="59">
        <f>IF(N89="",0,同名需求(N89,武将升星!R86,D$6*0.6)+武将升星!W86)</f>
        <v>0</v>
      </c>
      <c r="AD89" s="29">
        <f>IF(O89="",0,同名需求(O89,武将升星!S86,E$6)+武将升星!X86)</f>
        <v>108</v>
      </c>
      <c r="AE89" s="29">
        <f>MAX(U89+P89+IF(K89="",0,K89)*武将升星!O86,Z89)</f>
        <v>0</v>
      </c>
      <c r="AF89" s="29">
        <f>MAX(V89+Q89+IF(L89="",0,L89)*武将升星!P86,AA89)</f>
        <v>0</v>
      </c>
      <c r="AG89" s="29">
        <f>MAX(W89+R89+IF(M89="",0,M89)*武将升星!Q86,AB89)</f>
        <v>0</v>
      </c>
      <c r="AH89" s="29">
        <f>MAX(X89+S89+IF(N89="",0,N89)*武将升星!R86,AC89)</f>
        <v>642</v>
      </c>
      <c r="AI89" s="45">
        <f t="shared" si="96"/>
        <v>108</v>
      </c>
      <c r="AJ89" s="29">
        <f t="shared" si="71"/>
        <v>1864800</v>
      </c>
      <c r="AK89" s="14" t="e">
        <f>AJ89/求节点('[1]资源-钻石'!$K$4:$K$113,'[1]资源-钻石'!$M$4:$M$113,J89)</f>
        <v>#VALUE!</v>
      </c>
      <c r="AL89" s="16" t="e">
        <f t="shared" si="97"/>
        <v>#DIV/0!</v>
      </c>
      <c r="AM89" s="16"/>
      <c r="AN89" s="16"/>
      <c r="AO89" s="16"/>
      <c r="AP89" s="17">
        <v>41</v>
      </c>
      <c r="AR89" s="16">
        <f t="shared" si="88"/>
        <v>4.6589491173063848</v>
      </c>
      <c r="AS89" s="29">
        <f>IF(基础状态预期!C99="","",基础状态预期!C99)</f>
        <v>43792</v>
      </c>
      <c r="AT89" s="29">
        <f>求节点(节奏总纲!$Q$4:$Q$163,其他调用!$D$4:$D$163,$AS89)*求节点($CP$5:$CP$36,$CR$5:$CR$36,AS44)</f>
        <v>50707740.09835165</v>
      </c>
      <c r="AU89" s="37">
        <f t="shared" si="98"/>
        <v>0</v>
      </c>
      <c r="AV89" s="37">
        <f t="shared" si="99"/>
        <v>1</v>
      </c>
      <c r="AW89" s="38">
        <f t="shared" si="75"/>
        <v>0.4933333333333334</v>
      </c>
      <c r="AX89" s="38">
        <f t="shared" si="76"/>
        <v>0.26666666666666666</v>
      </c>
      <c r="AY89" s="38">
        <f t="shared" si="77"/>
        <v>0.04</v>
      </c>
      <c r="AZ89" s="38">
        <f t="shared" si="78"/>
        <v>2.8000000000000001E-2</v>
      </c>
      <c r="BA89" s="29">
        <f t="shared" si="100"/>
        <v>10110152.532010719</v>
      </c>
      <c r="BB89" s="29">
        <f t="shared" si="89"/>
        <v>20781.980204688705</v>
      </c>
      <c r="BC89" s="29">
        <f t="shared" si="79"/>
        <v>11233.502813345243</v>
      </c>
      <c r="BD89" s="29">
        <f t="shared" si="80"/>
        <v>1685.0254220017866</v>
      </c>
      <c r="BE89" s="29">
        <f t="shared" si="81"/>
        <v>1179.5177954012506</v>
      </c>
      <c r="BF89" s="29">
        <f t="shared" si="90"/>
        <v>363473.60000000003</v>
      </c>
      <c r="BG89" s="29">
        <f t="shared" si="90"/>
        <v>65688</v>
      </c>
      <c r="BH89" s="29">
        <f t="shared" si="90"/>
        <v>8758.4</v>
      </c>
      <c r="BI89" s="29">
        <f t="shared" si="90"/>
        <v>0</v>
      </c>
      <c r="BJ89" s="29">
        <f>SUM(BB$52:BB89)+BF89</f>
        <v>467826.10280737438</v>
      </c>
      <c r="BK89" s="29">
        <f>SUM(BC$52:BC89)+BG89</f>
        <v>122029.93344261294</v>
      </c>
      <c r="BL89" s="29">
        <f>SUM(BD$52:BD89)+BH89</f>
        <v>17235.128851839905</v>
      </c>
      <c r="BM89" s="29">
        <f>SUM(BE$52:BE89)+BI89</f>
        <v>5895.5519431159873</v>
      </c>
      <c r="BN89" s="29">
        <f>SUM(BT$52:BT89)</f>
        <v>18.960622694134962</v>
      </c>
      <c r="BO89" s="17" t="e">
        <f t="shared" si="101"/>
        <v>#DIV/0!</v>
      </c>
      <c r="BP89" s="17">
        <f t="shared" si="102"/>
        <v>86.621289652543439</v>
      </c>
      <c r="BQ89" s="17">
        <f t="shared" si="103"/>
        <v>90.425689416874732</v>
      </c>
      <c r="BR89" s="17">
        <f t="shared" si="91"/>
        <v>0</v>
      </c>
      <c r="BS89" s="17">
        <f t="shared" si="86"/>
        <v>80</v>
      </c>
      <c r="BT89" s="17">
        <f t="shared" si="92"/>
        <v>0</v>
      </c>
      <c r="BV89" s="17">
        <f t="shared" si="87"/>
        <v>16593.128851839905</v>
      </c>
      <c r="BW89" s="17">
        <v>85</v>
      </c>
      <c r="BX89" s="17">
        <f>'[1]资源-钻石'!L88/$B$2*$B$12*10</f>
        <v>4710.4643372854744</v>
      </c>
      <c r="BY89" s="17">
        <f>'[1]资源-钻石'!M88/$B$2*$B$12*10</f>
        <v>6085.1334785534928</v>
      </c>
      <c r="BZ89" s="17">
        <f>'[1]资源-钻石'!N88/$B$2*$B$12*10</f>
        <v>8864.3743612104881</v>
      </c>
      <c r="CA89" s="17">
        <f>'[1]资源-钻石'!O88/$B$2*$B$12*10</f>
        <v>18102.829391602754</v>
      </c>
      <c r="CB89" s="17">
        <f>'[1]资源-钻石'!P88/$B$2*$B$12*10</f>
        <v>24428.602269564151</v>
      </c>
      <c r="CD89" s="17">
        <v>85</v>
      </c>
      <c r="CE89" s="17">
        <f>'[1]资源-钻石'!L88/$B$2*$C$12*10</f>
        <v>1908.0361872548758</v>
      </c>
      <c r="CF89" s="17">
        <f>'[1]资源-钻石'!M88/$B$2*$C$12*10</f>
        <v>2464.8641938444525</v>
      </c>
      <c r="CG89" s="17">
        <f>'[1]资源-钻石'!N88/$B$2*$C$12*10</f>
        <v>3590.6326526422235</v>
      </c>
      <c r="CH89" s="17">
        <f>'[1]资源-钻石'!O88/$B$2*$C$12*10</f>
        <v>7332.7916522947862</v>
      </c>
      <c r="CI89" s="17">
        <f>'[1]资源-钻石'!P88/$B$2*$C$12*10</f>
        <v>9895.1300332411756</v>
      </c>
      <c r="CW89" s="17">
        <v>86</v>
      </c>
      <c r="CX89" s="17">
        <f t="shared" si="104"/>
        <v>0.28293156562860328</v>
      </c>
      <c r="CY89" s="17">
        <f t="shared" si="105"/>
        <v>0.28293156562860328</v>
      </c>
      <c r="CZ89" s="17">
        <f t="shared" si="106"/>
        <v>0.28293156562860328</v>
      </c>
      <c r="DA89" s="17">
        <f t="shared" si="107"/>
        <v>0.28293156562860328</v>
      </c>
      <c r="DB89" s="17">
        <f t="shared" si="108"/>
        <v>0.28293156562860328</v>
      </c>
    </row>
    <row r="90" spans="8:106" x14ac:dyDescent="0.15">
      <c r="H90" s="17">
        <v>42</v>
      </c>
      <c r="I90" s="29">
        <f>IF(基础状态预期!C100="","",基础状态预期!C100)</f>
        <v>55675</v>
      </c>
      <c r="J90" s="29">
        <f>IF(基础状态预期!D100="","",基础状态预期!D100)</f>
        <v>157.63974470288184</v>
      </c>
      <c r="K90" s="29" t="str">
        <f>IF(基础状态预期!F100="","",基础状态预期!F100)</f>
        <v/>
      </c>
      <c r="L90" s="29" t="str">
        <f>IF(基础状态预期!G100="","",基础状态预期!G100)</f>
        <v/>
      </c>
      <c r="M90" s="29" t="str">
        <f>IF(基础状态预期!H100="","",基础状态预期!H100)</f>
        <v/>
      </c>
      <c r="N90" s="29" t="str">
        <f>IF(基础状态预期!I100="","",基础状态预期!I100)</f>
        <v/>
      </c>
      <c r="O90" s="29">
        <f>IF(基础状态预期!J100="","",基础状态预期!J100)</f>
        <v>6</v>
      </c>
      <c r="P90" s="29">
        <f>武将进阶!O87</f>
        <v>0</v>
      </c>
      <c r="Q90" s="29">
        <f>武将进阶!P87</f>
        <v>0</v>
      </c>
      <c r="R90" s="29">
        <f>武将进阶!Q87</f>
        <v>0</v>
      </c>
      <c r="S90" s="29">
        <f>武将进阶!R87</f>
        <v>642</v>
      </c>
      <c r="T90" s="29">
        <f>武将进阶!S87</f>
        <v>0</v>
      </c>
      <c r="U90" s="29">
        <f>武将觉醒!T88</f>
        <v>0</v>
      </c>
      <c r="V90" s="29">
        <f>武将觉醒!U88</f>
        <v>0</v>
      </c>
      <c r="W90" s="29">
        <f>武将觉醒!V88</f>
        <v>0</v>
      </c>
      <c r="X90" s="29">
        <f>武将觉醒!W88</f>
        <v>0</v>
      </c>
      <c r="Y90" s="29">
        <f>武将觉醒!X88</f>
        <v>0</v>
      </c>
      <c r="Z90" s="29"/>
      <c r="AA90" s="29">
        <f>IF(L90="",0,同名需求(L90,武将升星!P87,B$6)+武将升星!U87)</f>
        <v>0</v>
      </c>
      <c r="AB90" s="29">
        <f>IF(M90="",0,同名需求(M90,武将升星!Q87,C$6)+武将升星!V87)</f>
        <v>0</v>
      </c>
      <c r="AC90" s="59">
        <f>IF(N90="",0,同名需求(N90,武将升星!R87,D$6*0.6)+武将升星!W87)</f>
        <v>0</v>
      </c>
      <c r="AD90" s="29">
        <f>IF(O90="",0,同名需求(O90,武将升星!S87,E$6)+武将升星!X87)</f>
        <v>108</v>
      </c>
      <c r="AE90" s="29">
        <f>MAX(U90+P90+IF(K90="",0,K90)*武将升星!O87,Z90)</f>
        <v>0</v>
      </c>
      <c r="AF90" s="29">
        <f>MAX(V90+Q90+IF(L90="",0,L90)*武将升星!P87,AA90)</f>
        <v>0</v>
      </c>
      <c r="AG90" s="29">
        <f>MAX(W90+R90+IF(M90="",0,M90)*武将升星!Q87,AB90)</f>
        <v>0</v>
      </c>
      <c r="AH90" s="29">
        <f>MAX(X90+S90+IF(N90="",0,N90)*武将升星!R87,AC90)</f>
        <v>642</v>
      </c>
      <c r="AI90" s="45">
        <f t="shared" si="96"/>
        <v>108</v>
      </c>
      <c r="AJ90" s="29">
        <f t="shared" si="71"/>
        <v>1864800</v>
      </c>
      <c r="AK90" s="14" t="e">
        <f>AJ90/求节点('[1]资源-钻石'!$K$4:$K$113,'[1]资源-钻石'!$M$4:$M$113,J90)</f>
        <v>#VALUE!</v>
      </c>
      <c r="AL90" s="16" t="e">
        <f t="shared" si="97"/>
        <v>#DIV/0!</v>
      </c>
      <c r="AM90" s="16"/>
      <c r="AN90" s="16"/>
      <c r="AO90" s="16"/>
      <c r="AP90" s="17">
        <v>42</v>
      </c>
      <c r="AR90" s="16">
        <f t="shared" si="88"/>
        <v>4.5325103713543289</v>
      </c>
      <c r="AS90" s="29">
        <f>IF(基础状态预期!C100="","",基础状态预期!C100)</f>
        <v>55675</v>
      </c>
      <c r="AT90" s="29">
        <f>求节点(节奏总纲!$Q$4:$Q$163,其他调用!$D$4:$D$163,$AS90)*求节点($CP$5:$CP$36,$CR$5:$CR$36,AS45)</f>
        <v>63095498.869196452</v>
      </c>
      <c r="AU90" s="37">
        <f t="shared" si="98"/>
        <v>0</v>
      </c>
      <c r="AV90" s="37">
        <f t="shared" si="99"/>
        <v>1</v>
      </c>
      <c r="AW90" s="38">
        <f t="shared" si="75"/>
        <v>0.4933333333333334</v>
      </c>
      <c r="AX90" s="38">
        <f t="shared" si="76"/>
        <v>0.26666666666666666</v>
      </c>
      <c r="AY90" s="38">
        <f t="shared" si="77"/>
        <v>0.04</v>
      </c>
      <c r="AZ90" s="38">
        <f t="shared" si="78"/>
        <v>2.8000000000000001E-2</v>
      </c>
      <c r="BA90" s="29">
        <f t="shared" si="100"/>
        <v>12387758.770844802</v>
      </c>
      <c r="BB90" s="29">
        <f t="shared" si="89"/>
        <v>25463.726362292095</v>
      </c>
      <c r="BC90" s="29">
        <f t="shared" si="79"/>
        <v>13764.176412049779</v>
      </c>
      <c r="BD90" s="29">
        <f t="shared" si="80"/>
        <v>2064.626461807467</v>
      </c>
      <c r="BE90" s="29">
        <f t="shared" si="81"/>
        <v>1445.2385232652268</v>
      </c>
      <c r="BF90" s="29">
        <f t="shared" si="90"/>
        <v>462102.50000000006</v>
      </c>
      <c r="BG90" s="29">
        <f t="shared" si="90"/>
        <v>83512.5</v>
      </c>
      <c r="BH90" s="29">
        <f t="shared" si="90"/>
        <v>11135</v>
      </c>
      <c r="BI90" s="29">
        <f t="shared" si="90"/>
        <v>0</v>
      </c>
      <c r="BJ90" s="29">
        <f>SUM(BB$52:BB90)+BF90</f>
        <v>591918.72916966653</v>
      </c>
      <c r="BK90" s="29">
        <f>SUM(BC$52:BC90)+BG90</f>
        <v>153618.60985466273</v>
      </c>
      <c r="BL90" s="29">
        <f>SUM(BD$52:BD90)+BH90</f>
        <v>21676.355313647371</v>
      </c>
      <c r="BM90" s="29">
        <f>SUM(BE$52:BE90)+BI90</f>
        <v>7340.7904663812142</v>
      </c>
      <c r="BN90" s="29">
        <f>SUM(BT$52:BT90)</f>
        <v>18.960622694134962</v>
      </c>
      <c r="BO90" s="17" t="e">
        <f t="shared" si="101"/>
        <v>#DIV/0!</v>
      </c>
      <c r="BP90" s="17">
        <f t="shared" si="102"/>
        <v>101.2353483152074</v>
      </c>
      <c r="BQ90" s="17">
        <f t="shared" si="103"/>
        <v>97.868404094416348</v>
      </c>
      <c r="BR90" s="17">
        <f t="shared" si="91"/>
        <v>0</v>
      </c>
      <c r="BS90" s="17">
        <f t="shared" si="86"/>
        <v>80</v>
      </c>
      <c r="BT90" s="17">
        <f t="shared" si="92"/>
        <v>0</v>
      </c>
      <c r="BV90" s="17">
        <f t="shared" si="87"/>
        <v>21034.355313647371</v>
      </c>
      <c r="BW90" s="17">
        <v>86</v>
      </c>
      <c r="BX90" s="17">
        <f>'[1]资源-钻石'!L89/$B$2*$B$12*10</f>
        <v>4973.3870156558087</v>
      </c>
      <c r="BY90" s="17">
        <f>'[1]资源-钻石'!M89/$B$2*$B$12*10</f>
        <v>6465.0148146598185</v>
      </c>
      <c r="BZ90" s="17">
        <f>'[1]资源-钻石'!N89/$B$2*$B$12*10</f>
        <v>9441.2227746892531</v>
      </c>
      <c r="CA90" s="17">
        <f>'[1]资源-钻石'!O89/$B$2*$B$12*10</f>
        <v>19373.653711644034</v>
      </c>
      <c r="CB90" s="17">
        <f>'[1]资源-钻石'!P89/$B$2*$B$12*10</f>
        <v>25894.029321998925</v>
      </c>
      <c r="CD90" s="17">
        <v>86</v>
      </c>
      <c r="CE90" s="17">
        <f>'[1]资源-钻石'!L89/$B$2*$C$12*10</f>
        <v>2014.536512670707</v>
      </c>
      <c r="CF90" s="17">
        <f>'[1]资源-钻石'!M89/$B$2*$C$12*10</f>
        <v>2618.7401780900536</v>
      </c>
      <c r="CG90" s="17">
        <f>'[1]资源-钻石'!N89/$B$2*$C$12*10</f>
        <v>3824.2927694943814</v>
      </c>
      <c r="CH90" s="17">
        <f>'[1]资源-钻石'!O89/$B$2*$C$12*10</f>
        <v>7847.5559338304956</v>
      </c>
      <c r="CI90" s="17">
        <f>'[1]资源-钻石'!P89/$B$2*$C$12*10</f>
        <v>10488.72073802488</v>
      </c>
      <c r="CW90" s="17">
        <v>87</v>
      </c>
      <c r="CX90" s="17">
        <f t="shared" si="104"/>
        <v>0.27974788323239996</v>
      </c>
      <c r="CY90" s="17">
        <f t="shared" si="105"/>
        <v>0.27974788323239996</v>
      </c>
      <c r="CZ90" s="17">
        <f t="shared" si="106"/>
        <v>0.27974788323239996</v>
      </c>
      <c r="DA90" s="17">
        <f t="shared" si="107"/>
        <v>0.27974788323239996</v>
      </c>
      <c r="DB90" s="17">
        <f t="shared" si="108"/>
        <v>0.27974788323239996</v>
      </c>
    </row>
    <row r="91" spans="8:106" x14ac:dyDescent="0.15">
      <c r="H91" s="16">
        <v>43</v>
      </c>
      <c r="AN91" s="16"/>
      <c r="AO91" s="16"/>
      <c r="AP91" s="17">
        <v>43</v>
      </c>
      <c r="BW91" s="17">
        <v>87</v>
      </c>
      <c r="BX91" s="17">
        <f>'[1]资源-钻石'!L90/$B$2*$B$12*10</f>
        <v>5255.1805650320912</v>
      </c>
      <c r="BY91" s="17">
        <f>'[1]资源-钻石'!M90/$B$2*$B$12*10</f>
        <v>6879.0447100190358</v>
      </c>
      <c r="BZ91" s="17">
        <f>'[1]资源-钻石'!N90/$B$2*$B$12*10</f>
        <v>10076.549542488185</v>
      </c>
      <c r="CA91" s="17">
        <f>'[1]资源-钻石'!O90/$B$2*$B$12*10</f>
        <v>20586.177608548132</v>
      </c>
      <c r="CB91" s="17">
        <f>'[1]资源-钻石'!P90/$B$2*$B$12*10</f>
        <v>27448.682142217716</v>
      </c>
      <c r="CD91" s="17">
        <v>87</v>
      </c>
      <c r="CE91" s="17">
        <f>'[1]资源-钻石'!L90/$B$2*$C$12*10</f>
        <v>2128.6807352028718</v>
      </c>
      <c r="CF91" s="17">
        <f>'[1]资源-钻石'!M90/$B$2*$C$12*10</f>
        <v>2786.448490134293</v>
      </c>
      <c r="CG91" s="17">
        <f>'[1]资源-钻石'!N90/$B$2*$C$12*10</f>
        <v>4081.640321007872</v>
      </c>
      <c r="CH91" s="17">
        <f>'[1]资源-钻石'!O90/$B$2*$C$12*10</f>
        <v>8338.7048540954456</v>
      </c>
      <c r="CI91" s="17">
        <f>'[1]资源-钻石'!P90/$B$2*$C$12*10</f>
        <v>11118.453525961606</v>
      </c>
      <c r="CW91" s="17">
        <v>88</v>
      </c>
      <c r="CX91" s="17">
        <f t="shared" si="104"/>
        <v>0.27656420083619671</v>
      </c>
      <c r="CY91" s="17">
        <f t="shared" si="105"/>
        <v>0.27656420083619671</v>
      </c>
      <c r="CZ91" s="17">
        <f t="shared" si="106"/>
        <v>0.27656420083619671</v>
      </c>
      <c r="DA91" s="17">
        <f t="shared" si="107"/>
        <v>0.27656420083619671</v>
      </c>
      <c r="DB91" s="17">
        <f t="shared" si="108"/>
        <v>0.27656420083619671</v>
      </c>
    </row>
    <row r="92" spans="8:106" x14ac:dyDescent="0.15">
      <c r="H92" s="16">
        <v>44</v>
      </c>
      <c r="AO92" s="16"/>
      <c r="AP92" s="17">
        <v>44</v>
      </c>
      <c r="BW92" s="17">
        <v>88</v>
      </c>
      <c r="BX92" s="17">
        <f>'[1]资源-钻石'!L91/$B$2*$B$12*10</f>
        <v>5557.1994131675101</v>
      </c>
      <c r="BY92" s="17">
        <f>'[1]资源-钻石'!M91/$B$2*$B$12*10</f>
        <v>7303.1532399189527</v>
      </c>
      <c r="BZ92" s="17">
        <f>'[1]资源-钻石'!N91/$B$2*$B$12*10</f>
        <v>10722.374870441281</v>
      </c>
      <c r="CA92" s="17">
        <f>'[1]资源-钻石'!O91/$B$2*$B$12*10</f>
        <v>21820.775147475033</v>
      </c>
      <c r="CB92" s="17">
        <f>'[1]资源-钻石'!P91/$B$2*$B$12*10</f>
        <v>29148.641156518701</v>
      </c>
      <c r="CD92" s="17">
        <v>88</v>
      </c>
      <c r="CE92" s="17">
        <f>'[1]资源-钻石'!L91/$B$2*$C$12*10</f>
        <v>2251.0174838146877</v>
      </c>
      <c r="CF92" s="17">
        <f>'[1]资源-钻石'!M91/$B$2*$C$12*10</f>
        <v>2958.2392870557783</v>
      </c>
      <c r="CG92" s="17">
        <f>'[1]资源-钻石'!N91/$B$2*$C$12*10</f>
        <v>4343.240453849633</v>
      </c>
      <c r="CH92" s="17">
        <f>'[1]资源-钻石'!O91/$B$2*$C$12*10</f>
        <v>8838.7949964455838</v>
      </c>
      <c r="CI92" s="17">
        <f>'[1]资源-钻石'!P91/$B$2*$C$12*10</f>
        <v>11807.044519096184</v>
      </c>
      <c r="CW92" s="17">
        <v>89</v>
      </c>
      <c r="CX92" s="17">
        <f t="shared" si="104"/>
        <v>0.27338051843999339</v>
      </c>
      <c r="CY92" s="17">
        <f t="shared" si="105"/>
        <v>0.27338051843999339</v>
      </c>
      <c r="CZ92" s="17">
        <f t="shared" si="106"/>
        <v>0.27338051843999339</v>
      </c>
      <c r="DA92" s="17">
        <f t="shared" si="107"/>
        <v>0.27338051843999339</v>
      </c>
      <c r="DB92" s="17">
        <f t="shared" si="108"/>
        <v>0.27338051843999339</v>
      </c>
    </row>
    <row r="93" spans="8:106" x14ac:dyDescent="0.15">
      <c r="H93" s="16">
        <v>45</v>
      </c>
      <c r="AP93" s="17">
        <v>45</v>
      </c>
      <c r="BW93" s="17">
        <v>89</v>
      </c>
      <c r="BX93" s="17">
        <f>'[1]资源-钻石'!L92/$B$2*$B$12*10</f>
        <v>5880.895199784828</v>
      </c>
      <c r="BY93" s="17">
        <f>'[1]资源-钻石'!M92/$B$2*$B$12*10</f>
        <v>7733.6814653796418</v>
      </c>
      <c r="BZ93" s="17">
        <f>'[1]资源-钻石'!N92/$B$2*$B$12*10</f>
        <v>11342.768479873281</v>
      </c>
      <c r="CA93" s="17">
        <f>'[1]资源-钻石'!O92/$B$2*$B$12*10</f>
        <v>23135.984950741349</v>
      </c>
      <c r="CB93" s="17">
        <f>'[1]资源-钻石'!P92/$B$2*$B$12*10</f>
        <v>30847.008719637412</v>
      </c>
      <c r="CD93" s="17">
        <v>89</v>
      </c>
      <c r="CE93" s="17">
        <f>'[1]资源-钻石'!L92/$B$2*$C$12*10</f>
        <v>2382.1347644698035</v>
      </c>
      <c r="CF93" s="17">
        <f>'[1]资源-钻石'!M92/$B$2*$C$12*10</f>
        <v>3132.630466989222</v>
      </c>
      <c r="CG93" s="17">
        <f>'[1]资源-钻石'!N92/$B$2*$C$12*10</f>
        <v>4594.5391310879113</v>
      </c>
      <c r="CH93" s="17">
        <f>'[1]资源-钻石'!O92/$B$2*$C$12*10</f>
        <v>9371.5382078952298</v>
      </c>
      <c r="CI93" s="17">
        <f>'[1]资源-钻石'!P92/$B$2*$C$12*10</f>
        <v>12494.990873777178</v>
      </c>
      <c r="CW93" s="17">
        <v>90</v>
      </c>
      <c r="CX93" s="17">
        <f t="shared" si="104"/>
        <v>0.27019683604379008</v>
      </c>
      <c r="CY93" s="17">
        <f t="shared" si="105"/>
        <v>0.27019683604379008</v>
      </c>
      <c r="CZ93" s="17">
        <f t="shared" si="106"/>
        <v>0.27019683604379008</v>
      </c>
      <c r="DA93" s="17">
        <f t="shared" si="107"/>
        <v>0.27019683604379008</v>
      </c>
      <c r="DB93" s="17">
        <f t="shared" si="108"/>
        <v>0.27019683604379008</v>
      </c>
    </row>
    <row r="94" spans="8:106" x14ac:dyDescent="0.15">
      <c r="H94" s="16">
        <v>1</v>
      </c>
      <c r="I94" s="160" t="s">
        <v>171</v>
      </c>
      <c r="J94" s="160"/>
      <c r="AP94" s="17">
        <v>1</v>
      </c>
      <c r="AS94" s="160" t="s">
        <v>171</v>
      </c>
      <c r="AT94" s="160"/>
      <c r="BF94" s="160" t="s">
        <v>373</v>
      </c>
      <c r="BG94" s="160"/>
      <c r="BH94" s="160"/>
      <c r="BI94" s="160"/>
      <c r="BW94" s="17">
        <v>90</v>
      </c>
      <c r="BX94" s="17">
        <f>'[1]资源-钻石'!L93/$B$2*$B$12*10</f>
        <v>6227.8237538160793</v>
      </c>
      <c r="BY94" s="17">
        <f>'[1]资源-钻石'!M93/$B$2*$B$12*10</f>
        <v>8153.619687393104</v>
      </c>
      <c r="BZ94" s="17">
        <f>'[1]资源-钻石'!N93/$B$2*$B$12*10</f>
        <v>12020.619282048567</v>
      </c>
      <c r="CA94" s="17">
        <f>'[1]资源-钻石'!O93/$B$2*$B$12*10</f>
        <v>24476.253946610967</v>
      </c>
      <c r="CB94" s="17">
        <f>'[1]资源-钻石'!P93/$B$2*$B$12*10</f>
        <v>32643.716833042592</v>
      </c>
      <c r="CD94" s="17">
        <v>90</v>
      </c>
      <c r="CE94" s="17">
        <f>'[1]资源-钻石'!L93/$B$2*$C$12*10</f>
        <v>2522.6627863558806</v>
      </c>
      <c r="CF94" s="17">
        <f>'[1]资源-钻石'!M93/$B$2*$C$12*10</f>
        <v>3302.7320252731561</v>
      </c>
      <c r="CG94" s="17">
        <f>'[1]资源-钻石'!N93/$B$2*$C$12*10</f>
        <v>4869.1116079184067</v>
      </c>
      <c r="CH94" s="17">
        <f>'[1]资源-钻石'!O93/$B$2*$C$12*10</f>
        <v>9914.4319783740648</v>
      </c>
      <c r="CI94" s="17">
        <f>'[1]资源-钻石'!P93/$B$2*$C$12*10</f>
        <v>13222.771375409657</v>
      </c>
      <c r="CW94" s="17">
        <v>91</v>
      </c>
      <c r="CX94" s="17">
        <f t="shared" si="104"/>
        <v>0.26711761172359294</v>
      </c>
      <c r="CY94" s="17">
        <f t="shared" si="105"/>
        <v>0.26711761172359294</v>
      </c>
      <c r="CZ94" s="17">
        <f t="shared" si="106"/>
        <v>0.26711761172359294</v>
      </c>
      <c r="DA94" s="17">
        <f t="shared" si="107"/>
        <v>0.26711761172359294</v>
      </c>
      <c r="DB94" s="17">
        <f t="shared" si="108"/>
        <v>0.26711761172359294</v>
      </c>
    </row>
    <row r="95" spans="8:106" x14ac:dyDescent="0.15">
      <c r="H95" s="16">
        <v>2</v>
      </c>
      <c r="I95" s="160"/>
      <c r="J95" s="160"/>
      <c r="K95" s="160" t="s">
        <v>376</v>
      </c>
      <c r="L95" s="160"/>
      <c r="M95" s="160"/>
      <c r="N95" s="160"/>
      <c r="O95" s="160"/>
      <c r="P95" s="160" t="s">
        <v>407</v>
      </c>
      <c r="Q95" s="160"/>
      <c r="R95" s="160"/>
      <c r="S95" s="160"/>
      <c r="T95" s="160"/>
      <c r="U95" s="160" t="s">
        <v>409</v>
      </c>
      <c r="V95" s="160"/>
      <c r="W95" s="160"/>
      <c r="X95" s="160"/>
      <c r="Y95" s="160"/>
      <c r="Z95" s="160" t="s">
        <v>377</v>
      </c>
      <c r="AA95" s="160"/>
      <c r="AB95" s="160"/>
      <c r="AC95" s="160"/>
      <c r="AD95" s="160"/>
      <c r="AE95" s="160" t="s">
        <v>378</v>
      </c>
      <c r="AF95" s="160"/>
      <c r="AG95" s="160"/>
      <c r="AH95" s="160"/>
      <c r="AI95" s="160"/>
      <c r="AP95" s="17">
        <v>2</v>
      </c>
      <c r="AS95" s="160"/>
      <c r="AT95" s="160"/>
      <c r="AU95" s="160" t="s">
        <v>323</v>
      </c>
      <c r="AV95" s="160"/>
      <c r="AW95" s="160" t="s">
        <v>325</v>
      </c>
      <c r="AX95" s="160"/>
      <c r="AY95" s="160"/>
      <c r="AZ95" s="160"/>
      <c r="BA95" s="169" t="s">
        <v>327</v>
      </c>
      <c r="BB95" s="160" t="s">
        <v>328</v>
      </c>
      <c r="BC95" s="160"/>
      <c r="BD95" s="160"/>
      <c r="BE95" s="160"/>
      <c r="BF95" s="160"/>
      <c r="BG95" s="160"/>
      <c r="BH95" s="160"/>
      <c r="BI95" s="160"/>
      <c r="BJ95" s="160" t="s">
        <v>329</v>
      </c>
      <c r="BK95" s="160"/>
      <c r="BL95" s="160"/>
      <c r="BM95" s="160"/>
      <c r="BW95" s="17">
        <v>91</v>
      </c>
      <c r="BX95" s="17">
        <f>'[1]资源-钻石'!L94/$B$2*$B$12*10</f>
        <v>6599.6525714228619</v>
      </c>
      <c r="BY95" s="17">
        <f>'[1]资源-钻石'!M94/$B$2*$B$12*10</f>
        <v>8655.8174805475537</v>
      </c>
      <c r="BZ95" s="17">
        <f>'[1]资源-钻石'!N94/$B$2*$B$12*10</f>
        <v>12763.9917593509</v>
      </c>
      <c r="CA95" s="17">
        <f>'[1]资源-钻石'!O94/$B$2*$B$12*10</f>
        <v>26106.313001221348</v>
      </c>
      <c r="CB95" s="17">
        <f>'[1]资源-钻石'!P94/$B$2*$B$12*10</f>
        <v>34794.501512140749</v>
      </c>
      <c r="CD95" s="17">
        <v>91</v>
      </c>
      <c r="CE95" s="17">
        <f>'[1]资源-钻石'!L94/$B$2*$C$12*10</f>
        <v>2673.2769909560961</v>
      </c>
      <c r="CF95" s="17">
        <f>'[1]资源-钻石'!M94/$B$2*$C$12*10</f>
        <v>3506.1539161711612</v>
      </c>
      <c r="CG95" s="17">
        <f>'[1]资源-钻石'!N94/$B$2*$C$12*10</f>
        <v>5170.224510116821</v>
      </c>
      <c r="CH95" s="17">
        <f>'[1]资源-钻石'!O94/$B$2*$C$12*10</f>
        <v>10574.709063785864</v>
      </c>
      <c r="CI95" s="17">
        <f>'[1]资源-钻石'!P94/$B$2*$C$12*10</f>
        <v>14093.975296057013</v>
      </c>
      <c r="CW95" s="17">
        <v>92</v>
      </c>
      <c r="CX95" s="17">
        <f t="shared" si="104"/>
        <v>0.26403838740339575</v>
      </c>
      <c r="CY95" s="17">
        <f t="shared" si="105"/>
        <v>0.26403838740339575</v>
      </c>
      <c r="CZ95" s="17">
        <f t="shared" si="106"/>
        <v>0.26403838740339575</v>
      </c>
      <c r="DA95" s="17">
        <f t="shared" si="107"/>
        <v>0.26403838740339575</v>
      </c>
      <c r="DB95" s="17">
        <f t="shared" si="108"/>
        <v>0.26403838740339575</v>
      </c>
    </row>
    <row r="96" spans="8:106" x14ac:dyDescent="0.15">
      <c r="H96" s="17">
        <v>3</v>
      </c>
      <c r="I96" s="29" t="s">
        <v>170</v>
      </c>
      <c r="J96" s="29" t="s">
        <v>484</v>
      </c>
      <c r="K96" s="29" t="s">
        <v>3</v>
      </c>
      <c r="L96" s="29" t="s">
        <v>1</v>
      </c>
      <c r="M96" s="29" t="s">
        <v>2</v>
      </c>
      <c r="N96" s="29" t="s">
        <v>0</v>
      </c>
      <c r="O96" s="29" t="s">
        <v>545</v>
      </c>
      <c r="P96" s="29" t="s">
        <v>3</v>
      </c>
      <c r="Q96" s="29" t="s">
        <v>1</v>
      </c>
      <c r="R96" s="29" t="s">
        <v>2</v>
      </c>
      <c r="S96" s="29" t="s">
        <v>0</v>
      </c>
      <c r="T96" s="29" t="s">
        <v>545</v>
      </c>
      <c r="U96" s="29" t="s">
        <v>3</v>
      </c>
      <c r="V96" s="29" t="s">
        <v>1</v>
      </c>
      <c r="W96" s="29" t="s">
        <v>2</v>
      </c>
      <c r="X96" s="29" t="s">
        <v>0</v>
      </c>
      <c r="Y96" s="29" t="s">
        <v>545</v>
      </c>
      <c r="Z96" s="29" t="s">
        <v>3</v>
      </c>
      <c r="AA96" s="29" t="s">
        <v>1</v>
      </c>
      <c r="AB96" s="29" t="s">
        <v>2</v>
      </c>
      <c r="AC96" s="29" t="s">
        <v>0</v>
      </c>
      <c r="AD96" s="29" t="s">
        <v>545</v>
      </c>
      <c r="AE96" s="29" t="s">
        <v>3</v>
      </c>
      <c r="AF96" s="29" t="s">
        <v>1</v>
      </c>
      <c r="AG96" s="29" t="s">
        <v>2</v>
      </c>
      <c r="AH96" s="29" t="s">
        <v>0</v>
      </c>
      <c r="AI96" s="29" t="s">
        <v>545</v>
      </c>
      <c r="AJ96" s="29" t="s">
        <v>353</v>
      </c>
      <c r="AK96" s="14" t="s">
        <v>324</v>
      </c>
      <c r="AL96" s="16"/>
      <c r="AM96" s="16"/>
      <c r="AP96" s="17">
        <v>3</v>
      </c>
      <c r="AR96" s="16"/>
      <c r="AS96" s="29" t="s">
        <v>170</v>
      </c>
      <c r="AT96" s="29" t="s">
        <v>374</v>
      </c>
      <c r="AU96" s="29" t="s">
        <v>314</v>
      </c>
      <c r="AV96" s="29" t="s">
        <v>317</v>
      </c>
      <c r="AW96" s="29" t="s">
        <v>1</v>
      </c>
      <c r="AX96" s="29" t="s">
        <v>28</v>
      </c>
      <c r="AY96" s="29" t="s">
        <v>29</v>
      </c>
      <c r="AZ96" s="29" t="s">
        <v>545</v>
      </c>
      <c r="BA96" s="171"/>
      <c r="BB96" s="29" t="s">
        <v>1</v>
      </c>
      <c r="BC96" s="29" t="s">
        <v>2</v>
      </c>
      <c r="BD96" s="29" t="s">
        <v>0</v>
      </c>
      <c r="BE96" s="29" t="s">
        <v>545</v>
      </c>
      <c r="BF96" s="29" t="s">
        <v>1</v>
      </c>
      <c r="BG96" s="29" t="s">
        <v>2</v>
      </c>
      <c r="BH96" s="29" t="s">
        <v>0</v>
      </c>
      <c r="BI96" s="29" t="s">
        <v>545</v>
      </c>
      <c r="BJ96" s="29" t="s">
        <v>1</v>
      </c>
      <c r="BK96" s="29" t="s">
        <v>2</v>
      </c>
      <c r="BL96" s="29" t="s">
        <v>0</v>
      </c>
      <c r="BM96" s="29" t="s">
        <v>545</v>
      </c>
      <c r="BN96" s="29" t="s">
        <v>490</v>
      </c>
      <c r="BR96" s="17" t="s">
        <v>503</v>
      </c>
      <c r="BS96" s="17" t="s">
        <v>502</v>
      </c>
      <c r="BW96" s="17">
        <v>92</v>
      </c>
      <c r="BX96" s="17">
        <f>'[1]资源-钻石'!L95/$B$2*$B$12*10</f>
        <v>6998.1688307400555</v>
      </c>
      <c r="BY96" s="17">
        <f>'[1]资源-钻石'!M95/$B$2*$B$12*10</f>
        <v>9176.2790845796389</v>
      </c>
      <c r="BZ96" s="17">
        <f>'[1]资源-钻石'!N95/$B$2*$B$12*10</f>
        <v>13571.842469907519</v>
      </c>
      <c r="CA96" s="17">
        <f>'[1]资源-钻石'!O95/$B$2*$B$12*10</f>
        <v>27849.376064403663</v>
      </c>
      <c r="CB96" s="17">
        <f>'[1]资源-钻石'!P95/$B$2*$B$12*10</f>
        <v>37023.546018299734</v>
      </c>
      <c r="CD96" s="17">
        <v>92</v>
      </c>
      <c r="CE96" s="17">
        <f>'[1]资源-钻石'!L95/$B$2*$C$12*10</f>
        <v>2834.7012985276169</v>
      </c>
      <c r="CF96" s="17">
        <f>'[1]资源-钻石'!M95/$B$2*$C$12*10</f>
        <v>3716.9738064120061</v>
      </c>
      <c r="CG96" s="17">
        <f>'[1]资源-钻石'!N95/$B$2*$C$12*10</f>
        <v>5497.455177684059</v>
      </c>
      <c r="CH96" s="17">
        <f>'[1]资源-钻石'!O95/$B$2*$C$12*10</f>
        <v>11280.759924821738</v>
      </c>
      <c r="CI96" s="17">
        <f>'[1]资源-钻石'!P95/$B$2*$C$12*10</f>
        <v>14996.879399817612</v>
      </c>
      <c r="CW96" s="17">
        <v>93</v>
      </c>
      <c r="CX96" s="17">
        <f t="shared" si="104"/>
        <v>0.26095916308319861</v>
      </c>
      <c r="CY96" s="17">
        <f t="shared" si="105"/>
        <v>0.26095916308319861</v>
      </c>
      <c r="CZ96" s="17">
        <f t="shared" si="106"/>
        <v>0.26095916308319861</v>
      </c>
      <c r="DA96" s="17">
        <f t="shared" si="107"/>
        <v>0.26095916308319861</v>
      </c>
      <c r="DB96" s="17">
        <f t="shared" si="108"/>
        <v>0.26095916308319861</v>
      </c>
    </row>
    <row r="97" spans="8:106" x14ac:dyDescent="0.15">
      <c r="H97" s="16">
        <v>4</v>
      </c>
      <c r="I97" s="29">
        <f>IF(基础状态预期!C107="","",基础状态预期!C107)</f>
        <v>0.7</v>
      </c>
      <c r="J97" s="29">
        <f>IF(基础状态预期!D107="","",基础状态预期!D107)</f>
        <v>10.099965341977441</v>
      </c>
      <c r="K97" s="29" t="str">
        <f>IF(基础状态预期!F107="","",基础状态预期!F107)</f>
        <v/>
      </c>
      <c r="L97" s="29" t="str">
        <f>IF(基础状态预期!G107="","",基础状态预期!G107)</f>
        <v/>
      </c>
      <c r="M97" s="29">
        <f>IF(基础状态预期!H107="","",基础状态预期!H107)</f>
        <v>2</v>
      </c>
      <c r="N97" s="29">
        <f>IF(基础状态预期!I107="","",基础状态预期!I107)</f>
        <v>4</v>
      </c>
      <c r="O97" s="29" t="str">
        <f>IF(基础状态预期!J107="","",基础状态预期!J107)</f>
        <v/>
      </c>
      <c r="P97" s="29">
        <f>武将进阶!O94</f>
        <v>0</v>
      </c>
      <c r="Q97" s="29">
        <f>武将进阶!P94</f>
        <v>2.4239916820745857</v>
      </c>
      <c r="R97" s="29">
        <f>武将进阶!Q94</f>
        <v>4.8479833641491714</v>
      </c>
      <c r="S97" s="29">
        <f>武将进阶!R94</f>
        <v>0</v>
      </c>
      <c r="T97" s="29">
        <f>武将进阶!S94</f>
        <v>0</v>
      </c>
      <c r="U97" s="29">
        <f>武将觉醒!T95</f>
        <v>0</v>
      </c>
      <c r="V97" s="29">
        <f>武将觉醒!U95</f>
        <v>0</v>
      </c>
      <c r="W97" s="29">
        <f>武将觉醒!V95</f>
        <v>0</v>
      </c>
      <c r="X97" s="29">
        <f>武将觉醒!W95</f>
        <v>0</v>
      </c>
      <c r="Y97" s="29">
        <f>武将觉醒!X95</f>
        <v>0</v>
      </c>
      <c r="Z97" s="29"/>
      <c r="AA97" s="29">
        <f>IF(L97="",0,同名需求(L97,武将升星!P94,B$6)+武将升星!U94)</f>
        <v>0</v>
      </c>
      <c r="AB97" s="29">
        <f>IF(M97="",0,同名需求(M97,武将升星!Q94,C$6)+武将升星!V94)</f>
        <v>11.522979518488505</v>
      </c>
      <c r="AC97" s="59">
        <f>IF(N97="",0,同名需求(N97,武将升星!R94,D$6*0.7)+武将升星!W94)</f>
        <v>4</v>
      </c>
      <c r="AD97" s="29">
        <f>IF(O97="",0,同名需求(O97,武将升星!S94,E$6)+武将升星!X94)</f>
        <v>0</v>
      </c>
      <c r="AE97" s="29">
        <f>MAX(U97+P97+IF(K97="",0,K97)*武将升星!O94,Z97)</f>
        <v>0</v>
      </c>
      <c r="AF97" s="29">
        <f>MAX(V97+Q97+IF(L97="",0,L97)*武将升星!P94,AA97)</f>
        <v>2.4239916820745857</v>
      </c>
      <c r="AG97" s="29">
        <f>MAX(W97+R97+IF(M97="",0,M97)*武将升星!Q94,AB97)</f>
        <v>11.522979518488505</v>
      </c>
      <c r="AH97" s="29">
        <f>MAX(X97+S97+IF(N97="",0,N97)*武将升星!R94,AC97)</f>
        <v>4</v>
      </c>
      <c r="AI97" s="45">
        <f t="shared" ref="AI97:AI112" si="110">IFERROR(AD97+Y97,0)</f>
        <v>0</v>
      </c>
      <c r="AJ97" s="29">
        <f t="shared" ref="AJ97:AJ135" si="111">(MAX(AF97/$B$12*$B$2/10,AG97/$C$12*$B$2/10,(AH97-$AI97/($E$16*$E$17+$E$20)*$D$16)/$D$12*$B$2/10)+$AI97/($E$16*$E$17+$E$20)*$B$2/10)*($B$2-500)/$B$2</f>
        <v>9600.0000000000018</v>
      </c>
      <c r="AK97" s="14" t="e">
        <f>AJ97/求节点('[1]资源-钻石'!$K$4:$K$113,'[1]资源-钻石'!$N$4:$N$113,J97)</f>
        <v>#VALUE!</v>
      </c>
      <c r="AL97" s="16">
        <f t="shared" ref="AL97:AL112" si="112">X97/AC97</f>
        <v>0</v>
      </c>
      <c r="AM97" s="16"/>
      <c r="AN97" s="16"/>
      <c r="AP97" s="17">
        <v>4</v>
      </c>
      <c r="AR97" s="16">
        <f>$BA97/$B$2*10/AS97*AV97</f>
        <v>0</v>
      </c>
      <c r="AS97" s="29">
        <f>IF(基础状态预期!C107="","",基础状态预期!C107)</f>
        <v>0.7</v>
      </c>
      <c r="AT97" s="29">
        <f>求节点(节奏总纲!$R$4:$R$163,其他调用!$E$4:$E$163,$AS97)*求节点($CP$5:$CP$36,$CS$5:$CS$36,AS7)</f>
        <v>16625.681566639654</v>
      </c>
      <c r="AU97" s="37">
        <f t="shared" ref="AU97:AU103" si="113">1-AV97</f>
        <v>1</v>
      </c>
      <c r="AV97" s="37">
        <f t="shared" ref="AV97:AV112" si="114">AV52</f>
        <v>0</v>
      </c>
      <c r="AW97" s="38">
        <f t="shared" ref="AW97:AW135" si="115">(B$16*B$17+B$20)*$AV97+B$12*B$13*$AU97</f>
        <v>0.65833333333333333</v>
      </c>
      <c r="AX97" s="38">
        <f t="shared" ref="AX97:AX135" si="116">(C$16*C$17+C$20)*$AV97+C$12*C$13*$AU97</f>
        <v>0.26666666666666666</v>
      </c>
      <c r="AY97" s="38">
        <f t="shared" ref="AY97:AY135" si="117">(D$16*D$17+D$20)*$AV97+D$12*D$13*$AU97</f>
        <v>7.4999999999999997E-2</v>
      </c>
      <c r="AZ97" s="38">
        <f t="shared" ref="AZ97:AZ135" si="118">(E$16*E$17+E$20)*$AV97+E$12*E$13*$AU97</f>
        <v>0</v>
      </c>
      <c r="BA97" s="121">
        <f>AT97</f>
        <v>16625.681566639654</v>
      </c>
      <c r="BB97" s="29">
        <f>$BA97/240*AW97</f>
        <v>45.605168186268493</v>
      </c>
      <c r="BC97" s="29">
        <f t="shared" ref="BC97:BC135" si="119">$BA97/240*AX97</f>
        <v>18.472979518488504</v>
      </c>
      <c r="BD97" s="29">
        <f t="shared" ref="BD97:BD135" si="120">$BA97/240*AY97</f>
        <v>5.1955254895748917</v>
      </c>
      <c r="BE97" s="29">
        <f t="shared" ref="BE97:BE135" si="121">$BA97/240*AZ97</f>
        <v>0</v>
      </c>
      <c r="BF97" s="29">
        <f>BF$3*$AS97</f>
        <v>5.8100000000000005</v>
      </c>
      <c r="BG97" s="29">
        <f t="shared" ref="BG97:BI113" si="122">BG$3*$AS97</f>
        <v>1.0499999999999998</v>
      </c>
      <c r="BH97" s="29">
        <f t="shared" si="122"/>
        <v>0.13999999999999999</v>
      </c>
      <c r="BI97" s="29">
        <f>BI$3*$AS97</f>
        <v>0</v>
      </c>
      <c r="BJ97" s="29">
        <f>SUM(BB$97:BB97)+BF97</f>
        <v>51.415168186268495</v>
      </c>
      <c r="BK97" s="29">
        <f>SUM(BC$97:BC97)+BG97</f>
        <v>19.522979518488505</v>
      </c>
      <c r="BL97" s="29">
        <f>SUM(BD$97:BD97)+BH97</f>
        <v>5.3355254895748914</v>
      </c>
      <c r="BM97" s="29">
        <f>SUM(BE$97:BE97)+BI97</f>
        <v>0</v>
      </c>
      <c r="BN97" s="29">
        <f>SUM(BT$97:BT97)</f>
        <v>1.4</v>
      </c>
      <c r="BO97" s="17">
        <f t="shared" ref="BO97:BO112" si="123">BK97/AG97</f>
        <v>1.6942648806382135</v>
      </c>
      <c r="BP97" s="17">
        <f t="shared" ref="BP97:BP112" si="124">BL97/AH97</f>
        <v>1.3338813723937228</v>
      </c>
      <c r="BQ97" s="17" t="e">
        <f t="shared" ref="BQ97:BQ112" si="125">BM97/AI97</f>
        <v>#DIV/0!</v>
      </c>
      <c r="BR97" s="17">
        <f>BA97/$B$2*10*AU97/AS97</f>
        <v>103.26510289838295</v>
      </c>
      <c r="BS97" s="17">
        <f t="shared" ref="BS97:BS135" si="126">1/($B$49*$C$49)/$D$12+1/(1*$C$49)/$D$12</f>
        <v>80</v>
      </c>
      <c r="BT97" s="17">
        <f>MIN(BR97/BS97,1)*$B$49*AS97</f>
        <v>1.4</v>
      </c>
      <c r="BV97" s="17">
        <f t="shared" ref="BV97:BV135" si="127">BL97-S97</f>
        <v>5.3355254895748914</v>
      </c>
      <c r="BW97" s="17">
        <v>93</v>
      </c>
      <c r="BX97" s="17">
        <f>'[1]资源-钻石'!L96/$B$2*$B$12*10</f>
        <v>7425.2879818654656</v>
      </c>
      <c r="BY97" s="17">
        <f>'[1]资源-钻石'!M96/$B$2*$B$12*10</f>
        <v>9750.8714039316601</v>
      </c>
      <c r="BZ97" s="17">
        <f>'[1]资源-钻石'!N96/$B$2*$B$12*10</f>
        <v>14436.523255290689</v>
      </c>
      <c r="CA97" s="17">
        <f>'[1]资源-钻石'!O96/$B$2*$B$12*10</f>
        <v>29684.33326060513</v>
      </c>
      <c r="CB97" s="17">
        <f>'[1]资源-钻石'!P96/$B$2*$B$12*10</f>
        <v>39469.996778531073</v>
      </c>
      <c r="CD97" s="17">
        <v>93</v>
      </c>
      <c r="CE97" s="17">
        <f>'[1]资源-钻石'!L96/$B$2*$C$12*10</f>
        <v>3007.7115875910745</v>
      </c>
      <c r="CF97" s="17">
        <f>'[1]资源-钻石'!M96/$B$2*$C$12*10</f>
        <v>3949.7200623520648</v>
      </c>
      <c r="CG97" s="17">
        <f>'[1]资源-钻石'!N96/$B$2*$C$12*10</f>
        <v>5847.705622396229</v>
      </c>
      <c r="CH97" s="17">
        <f>'[1]资源-钻石'!O96/$B$2*$C$12*10</f>
        <v>12024.033725814736</v>
      </c>
      <c r="CI97" s="17">
        <f>'[1]资源-钻石'!P96/$B$2*$C$12*10</f>
        <v>15987.846796367019</v>
      </c>
      <c r="CW97" s="17">
        <v>94</v>
      </c>
      <c r="CX97" s="17">
        <f t="shared" si="104"/>
        <v>0.25787993876300142</v>
      </c>
      <c r="CY97" s="17">
        <f t="shared" si="105"/>
        <v>0.25787993876300142</v>
      </c>
      <c r="CZ97" s="17">
        <f t="shared" si="106"/>
        <v>0.25787993876300142</v>
      </c>
      <c r="DA97" s="17">
        <f t="shared" si="107"/>
        <v>0.25787993876300142</v>
      </c>
      <c r="DB97" s="17">
        <f t="shared" si="108"/>
        <v>0.25787993876300142</v>
      </c>
    </row>
    <row r="98" spans="8:106" x14ac:dyDescent="0.15">
      <c r="H98" s="17">
        <v>5</v>
      </c>
      <c r="I98" s="29">
        <f>IF(基础状态预期!C108="","",基础状态预期!C108)</f>
        <v>2.0999999999999996</v>
      </c>
      <c r="J98" s="29">
        <f>IF(基础状态预期!D108="","",基础状态预期!D108)</f>
        <v>19.800198258084681</v>
      </c>
      <c r="K98" s="29" t="str">
        <f>IF(基础状态预期!F108="","",基础状态预期!F108)</f>
        <v/>
      </c>
      <c r="L98" s="29" t="str">
        <f>IF(基础状态预期!G108="","",基础状态预期!G108)</f>
        <v/>
      </c>
      <c r="M98" s="29" t="str">
        <f>IF(基础状态预期!H108="","",基础状态预期!H108)</f>
        <v/>
      </c>
      <c r="N98" s="29">
        <f>IF(基础状态预期!I108="","",基础状态预期!I108)</f>
        <v>6</v>
      </c>
      <c r="O98" s="29" t="str">
        <f>IF(基础状态预期!J108="","",基础状态预期!J108)</f>
        <v/>
      </c>
      <c r="P98" s="29">
        <f>武将进阶!O95</f>
        <v>0</v>
      </c>
      <c r="Q98" s="29">
        <f>武将进阶!P95</f>
        <v>0</v>
      </c>
      <c r="R98" s="29">
        <f>武将进阶!Q95</f>
        <v>14.25614274582097</v>
      </c>
      <c r="S98" s="29">
        <f>武将进阶!R95</f>
        <v>0</v>
      </c>
      <c r="T98" s="29">
        <f>武将进阶!S95</f>
        <v>0</v>
      </c>
      <c r="U98" s="29">
        <f>武将觉醒!T96</f>
        <v>0</v>
      </c>
      <c r="V98" s="29">
        <f>武将觉醒!U96</f>
        <v>0</v>
      </c>
      <c r="W98" s="29">
        <f>武将觉醒!V96</f>
        <v>0</v>
      </c>
      <c r="X98" s="29">
        <f>武将觉醒!W96</f>
        <v>0</v>
      </c>
      <c r="Y98" s="29">
        <f>武将觉醒!X96</f>
        <v>0</v>
      </c>
      <c r="Z98" s="29"/>
      <c r="AA98" s="29">
        <f>IF(L98="",0,同名需求(L98,武将升星!P95,B$6)+武将升星!U95)</f>
        <v>0</v>
      </c>
      <c r="AB98" s="29">
        <f>IF(M98="",0,同名需求(M98,武将升星!Q95,C$6)+武将升星!V95)</f>
        <v>0</v>
      </c>
      <c r="AC98" s="59">
        <f>IF(N98="",0,同名需求(N98,武将升星!R95,D$6*0.7)+武将升星!W95)</f>
        <v>6</v>
      </c>
      <c r="AD98" s="29">
        <f>IF(O98="",0,同名需求(O98,武将升星!S95,E$6)+武将升星!X95)</f>
        <v>0</v>
      </c>
      <c r="AE98" s="29">
        <f>MAX(U98+P98+IF(K98="",0,K98)*武将升星!O95,Z98)</f>
        <v>0</v>
      </c>
      <c r="AF98" s="29">
        <f>MAX(V98+Q98+IF(L98="",0,L98)*武将升星!P95,AA98)</f>
        <v>0</v>
      </c>
      <c r="AG98" s="29">
        <f>MAX(W98+R98+IF(M98="",0,M98)*武将升星!Q95,AB98)</f>
        <v>14.25614274582097</v>
      </c>
      <c r="AH98" s="29">
        <f>MAX(X98+S98+IF(N98="",0,N98)*武将升星!R95,AC98)</f>
        <v>6</v>
      </c>
      <c r="AI98" s="45">
        <f t="shared" si="110"/>
        <v>0</v>
      </c>
      <c r="AJ98" s="29">
        <f t="shared" si="111"/>
        <v>14400</v>
      </c>
      <c r="AK98" s="14" t="e">
        <f>AJ98/求节点('[1]资源-钻石'!$K$4:$K$113,'[1]资源-钻石'!$N$4:$N$113,J98)</f>
        <v>#VALUE!</v>
      </c>
      <c r="AL98" s="16">
        <f t="shared" si="112"/>
        <v>0</v>
      </c>
      <c r="AM98" s="16"/>
      <c r="AN98" s="16"/>
      <c r="AO98" s="16"/>
      <c r="AP98" s="17">
        <v>5</v>
      </c>
      <c r="AR98" s="16">
        <f t="shared" ref="AR98:AR135" si="128">$BA98/$B$2*10/(AS98-AS97)*AV98</f>
        <v>0</v>
      </c>
      <c r="AS98" s="29">
        <f>IF(基础状态预期!C108="","",基础状态预期!C108)</f>
        <v>2.0999999999999996</v>
      </c>
      <c r="AT98" s="29">
        <f>求节点(节奏总纲!$R$4:$R$163,其他调用!$E$4:$E$163,$AS98)*求节点($CP$5:$CP$36,$CS$5:$CS$36,AS8)</f>
        <v>35230.680708718755</v>
      </c>
      <c r="AU98" s="37">
        <f t="shared" si="113"/>
        <v>1</v>
      </c>
      <c r="AV98" s="37">
        <f t="shared" si="114"/>
        <v>0</v>
      </c>
      <c r="AW98" s="38">
        <f t="shared" si="115"/>
        <v>0.65833333333333333</v>
      </c>
      <c r="AX98" s="38">
        <f t="shared" si="116"/>
        <v>0.26666666666666666</v>
      </c>
      <c r="AY98" s="38">
        <f t="shared" si="117"/>
        <v>7.4999999999999997E-2</v>
      </c>
      <c r="AZ98" s="38">
        <f t="shared" si="118"/>
        <v>0</v>
      </c>
      <c r="BA98" s="29">
        <f>AT98-AT97</f>
        <v>18604.999142079101</v>
      </c>
      <c r="BB98" s="29">
        <f t="shared" ref="BB98:BB135" si="129">$BA98/240*AW98</f>
        <v>51.034546257786424</v>
      </c>
      <c r="BC98" s="29">
        <f t="shared" si="119"/>
        <v>20.672221268976781</v>
      </c>
      <c r="BD98" s="29">
        <f t="shared" si="120"/>
        <v>5.8140622318997197</v>
      </c>
      <c r="BE98" s="29">
        <f t="shared" si="121"/>
        <v>0</v>
      </c>
      <c r="BF98" s="29">
        <f t="shared" ref="BF98:BI135" si="130">BF$3*$AS98</f>
        <v>17.43</v>
      </c>
      <c r="BG98" s="29">
        <f t="shared" si="122"/>
        <v>3.1499999999999995</v>
      </c>
      <c r="BH98" s="29">
        <f t="shared" si="122"/>
        <v>0.41999999999999993</v>
      </c>
      <c r="BI98" s="29">
        <f t="shared" si="122"/>
        <v>0</v>
      </c>
      <c r="BJ98" s="29">
        <f>SUM(BB$97:BB98)+BF98</f>
        <v>114.06971444405491</v>
      </c>
      <c r="BK98" s="29">
        <f>SUM(BC$97:BC98)+BG98</f>
        <v>42.295200787465284</v>
      </c>
      <c r="BL98" s="29">
        <f>SUM(BD$97:BD98)+BH98</f>
        <v>11.429587721474611</v>
      </c>
      <c r="BM98" s="29">
        <f>SUM(BE$97:BE98)+BI98</f>
        <v>0</v>
      </c>
      <c r="BN98" s="29">
        <f>SUM(BT$97:BT98)</f>
        <v>3.4222825154433805</v>
      </c>
      <c r="BO98" s="17">
        <f t="shared" si="123"/>
        <v>2.9668053653477657</v>
      </c>
      <c r="BP98" s="17">
        <f t="shared" si="124"/>
        <v>1.9049312869124353</v>
      </c>
      <c r="BQ98" s="17" t="e">
        <f t="shared" si="125"/>
        <v>#DIV/0!</v>
      </c>
      <c r="BR98" s="17">
        <f t="shared" ref="BR98:BR135" si="131">BA98/$B$2*10*AU98/(AS98-AS97)</f>
        <v>57.779500441239463</v>
      </c>
      <c r="BS98" s="17">
        <f t="shared" si="126"/>
        <v>80</v>
      </c>
      <c r="BT98" s="17">
        <f t="shared" ref="BT98:BT135" si="132">MIN(BR98/BS98,1)*$B$49*(AS98-AS97)</f>
        <v>2.0222825154433806</v>
      </c>
      <c r="BV98" s="17">
        <f t="shared" si="127"/>
        <v>11.429587721474611</v>
      </c>
      <c r="BW98" s="17">
        <v>94</v>
      </c>
      <c r="BX98" s="17">
        <f>'[1]资源-钻石'!L97/$B$2*$B$12*10</f>
        <v>7883.0629533827032</v>
      </c>
      <c r="BY98" s="17">
        <f>'[1]资源-钻石'!M97/$B$2*$B$12*10</f>
        <v>10355.879808809601</v>
      </c>
      <c r="BZ98" s="17">
        <f>'[1]资源-钻石'!N97/$B$2*$B$12*10</f>
        <v>15355.903344617544</v>
      </c>
      <c r="CA98" s="17">
        <f>'[1]资源-钻石'!O97/$B$2*$B$12*10</f>
        <v>31631.919132298204</v>
      </c>
      <c r="CB98" s="17">
        <f>'[1]资源-钻石'!P97/$B$2*$B$12*10</f>
        <v>42050.847615890387</v>
      </c>
      <c r="CD98" s="17">
        <v>94</v>
      </c>
      <c r="CE98" s="17">
        <f>'[1]资源-钻石'!L97/$B$2*$C$12*10</f>
        <v>3193.1394241550188</v>
      </c>
      <c r="CF98" s="17">
        <f>'[1]资源-钻石'!M97/$B$2*$C$12*10</f>
        <v>4194.7867579988251</v>
      </c>
      <c r="CG98" s="17">
        <f>'[1]资源-钻石'!N97/$B$2*$C$12*10</f>
        <v>6220.1127471868531</v>
      </c>
      <c r="CH98" s="17">
        <f>'[1]资源-钻石'!O97/$B$2*$C$12*10</f>
        <v>12812.929268779018</v>
      </c>
      <c r="CI98" s="17">
        <f>'[1]资源-钻石'!P97/$B$2*$C$12*10</f>
        <v>17033.254730487246</v>
      </c>
      <c r="CW98" s="17">
        <v>95</v>
      </c>
      <c r="CX98" s="17">
        <f t="shared" si="104"/>
        <v>0.25480071444280428</v>
      </c>
      <c r="CY98" s="17">
        <f t="shared" si="105"/>
        <v>0.25480071444280428</v>
      </c>
      <c r="CZ98" s="17">
        <f t="shared" si="106"/>
        <v>0.25480071444280428</v>
      </c>
      <c r="DA98" s="17">
        <f t="shared" si="107"/>
        <v>0.25480071444280428</v>
      </c>
      <c r="DB98" s="17">
        <f t="shared" si="108"/>
        <v>0.25480071444280428</v>
      </c>
    </row>
    <row r="99" spans="8:106" x14ac:dyDescent="0.15">
      <c r="H99" s="16">
        <v>6</v>
      </c>
      <c r="I99" s="29">
        <f>IF(基础状态预期!C109="","",基础状态预期!C109)</f>
        <v>4.1999999999999993</v>
      </c>
      <c r="J99" s="29">
        <f>IF(基础状态预期!D109="","",基础状态预期!D109)</f>
        <v>27.769105021676069</v>
      </c>
      <c r="K99" s="29" t="str">
        <f>IF(基础状态预期!F109="","",基础状态预期!F109)</f>
        <v/>
      </c>
      <c r="L99" s="29" t="str">
        <f>IF(基础状态预期!G109="","",基础状态预期!G109)</f>
        <v/>
      </c>
      <c r="M99" s="29" t="str">
        <f>IF(基础状态预期!H109="","",基础状态预期!H109)</f>
        <v/>
      </c>
      <c r="N99" s="29">
        <f>IF(基础状态预期!I109="","",基础状态预期!I109)</f>
        <v>6</v>
      </c>
      <c r="O99" s="29" t="str">
        <f>IF(基础状态预期!J109="","",基础状态预期!J109)</f>
        <v/>
      </c>
      <c r="P99" s="29">
        <f>武将进阶!O96</f>
        <v>0</v>
      </c>
      <c r="Q99" s="29">
        <f>武将进阶!P96</f>
        <v>0</v>
      </c>
      <c r="R99" s="29">
        <f>武将进阶!Q96</f>
        <v>21.987511231213535</v>
      </c>
      <c r="S99" s="29">
        <f>武将进阶!R96</f>
        <v>0</v>
      </c>
      <c r="T99" s="29">
        <f>武将进阶!S96</f>
        <v>0</v>
      </c>
      <c r="U99" s="29">
        <f>武将觉醒!T97</f>
        <v>0</v>
      </c>
      <c r="V99" s="29">
        <f>武将觉醒!U97</f>
        <v>0</v>
      </c>
      <c r="W99" s="29">
        <f>武将觉醒!V97</f>
        <v>0</v>
      </c>
      <c r="X99" s="29">
        <f>武将觉醒!W97</f>
        <v>0</v>
      </c>
      <c r="Y99" s="29">
        <f>武将觉醒!X97</f>
        <v>0</v>
      </c>
      <c r="Z99" s="29"/>
      <c r="AA99" s="29">
        <f>IF(L99="",0,同名需求(L99,武将升星!P96,B$6)+武将升星!U96)</f>
        <v>0</v>
      </c>
      <c r="AB99" s="29">
        <f>IF(M99="",0,同名需求(M99,武将升星!Q96,C$6)+武将升星!V96)</f>
        <v>0</v>
      </c>
      <c r="AC99" s="59">
        <f>IF(N99="",0,同名需求(N99,武将升星!R96,D$6*0.7)+武将升星!W96)</f>
        <v>14.295223098639479</v>
      </c>
      <c r="AD99" s="29">
        <f>IF(O99="",0,同名需求(O99,武将升星!S96,E$6)+武将升星!X96)</f>
        <v>0</v>
      </c>
      <c r="AE99" s="29">
        <f>MAX(U99+P99+IF(K99="",0,K99)*武将升星!O96,Z99)</f>
        <v>0</v>
      </c>
      <c r="AF99" s="29">
        <f>MAX(V99+Q99+IF(L99="",0,L99)*武将升星!P96,AA99)</f>
        <v>0</v>
      </c>
      <c r="AG99" s="29">
        <f>MAX(W99+R99+IF(M99="",0,M99)*武将升星!Q96,AB99)</f>
        <v>21.987511231213535</v>
      </c>
      <c r="AH99" s="29">
        <f>MAX(X99+S99+IF(N99="",0,N99)*武将升星!R96,AC99)</f>
        <v>14.295223098639479</v>
      </c>
      <c r="AI99" s="45">
        <f t="shared" si="110"/>
        <v>0</v>
      </c>
      <c r="AJ99" s="29">
        <f t="shared" si="111"/>
        <v>34308.535436734754</v>
      </c>
      <c r="AK99" s="14" t="e">
        <f>AJ99/求节点('[1]资源-钻石'!$K$4:$K$113,'[1]资源-钻石'!$N$4:$N$113,J99)</f>
        <v>#VALUE!</v>
      </c>
      <c r="AL99" s="16">
        <f t="shared" si="112"/>
        <v>0</v>
      </c>
      <c r="AM99" s="16"/>
      <c r="AN99" s="16"/>
      <c r="AO99" s="16"/>
      <c r="AP99" s="17">
        <v>6</v>
      </c>
      <c r="AR99" s="16">
        <f t="shared" si="128"/>
        <v>0</v>
      </c>
      <c r="AS99" s="29">
        <f>IF(基础状态预期!C109="","",基础状态预期!C109)</f>
        <v>4.1999999999999993</v>
      </c>
      <c r="AT99" s="29">
        <f>求节点(节奏总纲!$R$4:$R$163,其他调用!$E$4:$E$163,$AS99)*求节点($CP$5:$CP$36,$CS$5:$CS$36,AS9)</f>
        <v>56798.277039653462</v>
      </c>
      <c r="AU99" s="37">
        <f t="shared" si="113"/>
        <v>1</v>
      </c>
      <c r="AV99" s="37">
        <f t="shared" si="114"/>
        <v>0</v>
      </c>
      <c r="AW99" s="38">
        <f t="shared" si="115"/>
        <v>0.65833333333333333</v>
      </c>
      <c r="AX99" s="38">
        <f t="shared" si="116"/>
        <v>0.26666666666666666</v>
      </c>
      <c r="AY99" s="38">
        <f t="shared" si="117"/>
        <v>7.4999999999999997E-2</v>
      </c>
      <c r="AZ99" s="38">
        <f t="shared" si="118"/>
        <v>0</v>
      </c>
      <c r="BA99" s="29">
        <f t="shared" ref="BA99:BA112" si="133">AT99-AT98</f>
        <v>21567.596330934706</v>
      </c>
      <c r="BB99" s="29">
        <f t="shared" si="129"/>
        <v>59.16111493555006</v>
      </c>
      <c r="BC99" s="29">
        <f t="shared" si="119"/>
        <v>23.963995923260782</v>
      </c>
      <c r="BD99" s="29">
        <f t="shared" si="120"/>
        <v>6.7398738534170954</v>
      </c>
      <c r="BE99" s="29">
        <f t="shared" si="121"/>
        <v>0</v>
      </c>
      <c r="BF99" s="29">
        <f t="shared" si="130"/>
        <v>34.86</v>
      </c>
      <c r="BG99" s="29">
        <f t="shared" si="122"/>
        <v>6.2999999999999989</v>
      </c>
      <c r="BH99" s="29">
        <f t="shared" si="122"/>
        <v>0.83999999999999986</v>
      </c>
      <c r="BI99" s="29">
        <f t="shared" si="122"/>
        <v>0</v>
      </c>
      <c r="BJ99" s="29">
        <f>SUM(BB$97:BB99)+BF99</f>
        <v>190.66082937960499</v>
      </c>
      <c r="BK99" s="29">
        <f>SUM(BC$97:BC99)+BG99</f>
        <v>69.409196710726064</v>
      </c>
      <c r="BL99" s="29">
        <f>SUM(BD$97:BD99)+BH99</f>
        <v>18.589461574891708</v>
      </c>
      <c r="BM99" s="29">
        <f>SUM(BE$97:BE99)+BI99</f>
        <v>0</v>
      </c>
      <c r="BN99" s="29">
        <f>SUM(BT$97:BT99)</f>
        <v>5.7665864644580225</v>
      </c>
      <c r="BO99" s="17">
        <f t="shared" si="123"/>
        <v>3.1567554863686693</v>
      </c>
      <c r="BP99" s="17">
        <f t="shared" si="124"/>
        <v>1.3003967441865896</v>
      </c>
      <c r="BQ99" s="17" t="e">
        <f t="shared" si="125"/>
        <v>#DIV/0!</v>
      </c>
      <c r="BR99" s="17">
        <f t="shared" si="131"/>
        <v>44.653408552659855</v>
      </c>
      <c r="BS99" s="17">
        <f t="shared" si="126"/>
        <v>80</v>
      </c>
      <c r="BT99" s="17">
        <f t="shared" si="132"/>
        <v>2.344303949014642</v>
      </c>
      <c r="BV99" s="17">
        <f t="shared" si="127"/>
        <v>18.589461574891708</v>
      </c>
      <c r="BW99" s="17">
        <v>95</v>
      </c>
      <c r="BX99" s="17">
        <f>'[1]资源-钻石'!L98/$B$2*$B$12*10</f>
        <v>8371.3144087313358</v>
      </c>
      <c r="BY99" s="17">
        <f>'[1]资源-钻石'!M98/$B$2*$B$12*10</f>
        <v>11023.052910327389</v>
      </c>
      <c r="BZ99" s="17">
        <f>'[1]资源-钻石'!N98/$B$2*$B$12*10</f>
        <v>16321.992861532417</v>
      </c>
      <c r="CA99" s="17">
        <f>'[1]资源-钻石'!O98/$B$2*$B$12*10</f>
        <v>33717.901317477947</v>
      </c>
      <c r="CB99" s="17">
        <f>'[1]资源-钻石'!P98/$B$2*$B$12*10</f>
        <v>45044.043385823839</v>
      </c>
      <c r="CD99" s="17">
        <v>95</v>
      </c>
      <c r="CE99" s="17">
        <f>'[1]资源-钻石'!L98/$B$2*$C$12*10</f>
        <v>3390.9121655620602</v>
      </c>
      <c r="CF99" s="17">
        <f>'[1]资源-钻石'!M98/$B$2*$C$12*10</f>
        <v>4465.0340902591961</v>
      </c>
      <c r="CG99" s="17">
        <f>'[1]资源-钻石'!N98/$B$2*$C$12*10</f>
        <v>6611.4401464435105</v>
      </c>
      <c r="CH99" s="17">
        <f>'[1]资源-钻石'!O98/$B$2*$C$12*10</f>
        <v>13657.884077965751</v>
      </c>
      <c r="CI99" s="17">
        <f>'[1]资源-钻石'!P98/$B$2*$C$12*10</f>
        <v>18245.688460080542</v>
      </c>
      <c r="CW99" s="17">
        <v>96</v>
      </c>
      <c r="CX99" s="17">
        <f t="shared" si="104"/>
        <v>0.25182304334853151</v>
      </c>
      <c r="CY99" s="17">
        <f t="shared" si="105"/>
        <v>0.25182304334853151</v>
      </c>
      <c r="CZ99" s="17">
        <f t="shared" si="106"/>
        <v>0.25182304334853151</v>
      </c>
      <c r="DA99" s="17">
        <f t="shared" si="107"/>
        <v>0.25182304334853151</v>
      </c>
      <c r="DB99" s="17">
        <f t="shared" si="108"/>
        <v>0.25182304334853151</v>
      </c>
    </row>
    <row r="100" spans="8:106" x14ac:dyDescent="0.15">
      <c r="H100" s="17">
        <v>7</v>
      </c>
      <c r="I100" s="29">
        <f>IF(基础状态预期!C110="","",基础状态预期!C110)</f>
        <v>7</v>
      </c>
      <c r="J100" s="29">
        <f>IF(基础状态预期!D110="","",基础状态预期!D110)</f>
        <v>34.192155176139416</v>
      </c>
      <c r="K100" s="29" t="str">
        <f>IF(基础状态预期!F110="","",基础状态预期!F110)</f>
        <v/>
      </c>
      <c r="L100" s="29" t="str">
        <f>IF(基础状态预期!G110="","",基础状态预期!G110)</f>
        <v/>
      </c>
      <c r="M100" s="29" t="str">
        <f>IF(基础状态预期!H110="","",基础状态预期!H110)</f>
        <v/>
      </c>
      <c r="N100" s="29">
        <f>IF(基础状态预期!I110="","",基础状态预期!I110)</f>
        <v>6</v>
      </c>
      <c r="O100" s="29" t="str">
        <f>IF(基础状态预期!J110="","",基础状态预期!J110)</f>
        <v/>
      </c>
      <c r="P100" s="29">
        <f>武将进阶!O97</f>
        <v>0</v>
      </c>
      <c r="Q100" s="29">
        <f>武将进阶!P97</f>
        <v>0</v>
      </c>
      <c r="R100" s="29">
        <f>武将进阶!Q97</f>
        <v>31.236703453640757</v>
      </c>
      <c r="S100" s="29">
        <f>武将进阶!R97</f>
        <v>0</v>
      </c>
      <c r="T100" s="29">
        <f>武将进阶!S97</f>
        <v>0</v>
      </c>
      <c r="U100" s="29">
        <f>武将觉醒!T98</f>
        <v>0</v>
      </c>
      <c r="V100" s="29">
        <f>武将觉醒!U98</f>
        <v>0</v>
      </c>
      <c r="W100" s="29">
        <f>武将觉醒!V98</f>
        <v>0</v>
      </c>
      <c r="X100" s="29">
        <f>武将觉醒!W98</f>
        <v>4.8860445164979707</v>
      </c>
      <c r="Y100" s="29">
        <f>武将觉醒!X98</f>
        <v>0</v>
      </c>
      <c r="Z100" s="29"/>
      <c r="AA100" s="29">
        <f>IF(L100="",0,同名需求(L100,武将升星!P97,B$6)+武将升星!U97)</f>
        <v>0</v>
      </c>
      <c r="AB100" s="29">
        <f>IF(M100="",0,同名需求(M100,武将升星!Q97,C$6)+武将升星!V97)</f>
        <v>0</v>
      </c>
      <c r="AC100" s="59">
        <f>IF(N100="",0,同名需求(N100,武将升星!R97,D$6*0.7)+武将升星!W97)</f>
        <v>26.847680196748037</v>
      </c>
      <c r="AD100" s="29">
        <f>IF(O100="",0,同名需求(O100,武将升星!S97,E$6)+武将升星!X97)</f>
        <v>0</v>
      </c>
      <c r="AE100" s="29">
        <f>MAX(U100+P100+IF(K100="",0,K100)*武将升星!O97,Z100)</f>
        <v>0</v>
      </c>
      <c r="AF100" s="29">
        <f>MAX(V100+Q100+IF(L100="",0,L100)*武将升星!P97,AA100)</f>
        <v>0</v>
      </c>
      <c r="AG100" s="29">
        <f>MAX(W100+R100+IF(M100="",0,M100)*武将升星!Q97,AB100)</f>
        <v>31.236703453640757</v>
      </c>
      <c r="AH100" s="29">
        <f>MAX(X100+S100+IF(N100="",0,N100)*武将升星!R97,AC100)</f>
        <v>26.847680196748037</v>
      </c>
      <c r="AI100" s="45">
        <f t="shared" si="110"/>
        <v>0</v>
      </c>
      <c r="AJ100" s="29">
        <f t="shared" si="111"/>
        <v>64434.432472195287</v>
      </c>
      <c r="AK100" s="14" t="e">
        <f>AJ100/求节点('[1]资源-钻石'!$K$4:$K$113,'[1]资源-钻石'!$N$4:$N$113,J100)</f>
        <v>#VALUE!</v>
      </c>
      <c r="AL100" s="16">
        <f t="shared" si="112"/>
        <v>0.18199131100681837</v>
      </c>
      <c r="AM100" s="16"/>
      <c r="AN100" s="16"/>
      <c r="AO100" s="16"/>
      <c r="AP100" s="17">
        <v>7</v>
      </c>
      <c r="AR100" s="16">
        <f t="shared" si="128"/>
        <v>0</v>
      </c>
      <c r="AS100" s="29">
        <f>IF(基础状态预期!C110="","",基础状态预期!C110)</f>
        <v>7</v>
      </c>
      <c r="AT100" s="29">
        <f>求节点(节奏总纲!$R$4:$R$163,其他调用!$E$4:$E$163,$AS100)*求节点($CP$5:$CP$36,$CS$5:$CS$36,AS10)</f>
        <v>83251.764007755628</v>
      </c>
      <c r="AU100" s="37">
        <f t="shared" si="113"/>
        <v>1</v>
      </c>
      <c r="AV100" s="37">
        <f t="shared" si="114"/>
        <v>0</v>
      </c>
      <c r="AW100" s="38">
        <f t="shared" si="115"/>
        <v>0.65833333333333333</v>
      </c>
      <c r="AX100" s="38">
        <f t="shared" si="116"/>
        <v>0.26666666666666666</v>
      </c>
      <c r="AY100" s="38">
        <f t="shared" si="117"/>
        <v>7.4999999999999997E-2</v>
      </c>
      <c r="AZ100" s="38">
        <f t="shared" si="118"/>
        <v>0</v>
      </c>
      <c r="BA100" s="29">
        <f t="shared" si="133"/>
        <v>26453.486968102166</v>
      </c>
      <c r="BB100" s="29">
        <f t="shared" si="129"/>
        <v>72.563384391669132</v>
      </c>
      <c r="BC100" s="29">
        <f t="shared" si="119"/>
        <v>29.392763297891296</v>
      </c>
      <c r="BD100" s="29">
        <f t="shared" si="120"/>
        <v>8.266714677531926</v>
      </c>
      <c r="BE100" s="29">
        <f t="shared" si="121"/>
        <v>0</v>
      </c>
      <c r="BF100" s="29">
        <f t="shared" si="130"/>
        <v>58.100000000000009</v>
      </c>
      <c r="BG100" s="29">
        <f t="shared" si="122"/>
        <v>10.5</v>
      </c>
      <c r="BH100" s="29">
        <f t="shared" si="122"/>
        <v>1.4000000000000001</v>
      </c>
      <c r="BI100" s="29">
        <f t="shared" si="122"/>
        <v>0</v>
      </c>
      <c r="BJ100" s="29">
        <f>SUM(BB$97:BB100)+BF100</f>
        <v>286.4642137712741</v>
      </c>
      <c r="BK100" s="29">
        <f>SUM(BC$97:BC100)+BG100</f>
        <v>103.00196000861736</v>
      </c>
      <c r="BL100" s="29">
        <f>SUM(BD$97:BD100)+BH100</f>
        <v>27.416176252423632</v>
      </c>
      <c r="BM100" s="29">
        <f>SUM(BE$97:BE100)+BI100</f>
        <v>0</v>
      </c>
      <c r="BN100" s="29">
        <f>SUM(BT$97:BT100)</f>
        <v>8.6419654827299972</v>
      </c>
      <c r="BO100" s="17">
        <f t="shared" si="123"/>
        <v>3.2974657572776644</v>
      </c>
      <c r="BP100" s="17">
        <f t="shared" si="124"/>
        <v>1.0211748669348517</v>
      </c>
      <c r="BQ100" s="17" t="e">
        <f t="shared" si="125"/>
        <v>#DIV/0!</v>
      </c>
      <c r="BR100" s="17">
        <f t="shared" si="131"/>
        <v>41.076843118171055</v>
      </c>
      <c r="BS100" s="17">
        <f t="shared" si="126"/>
        <v>80</v>
      </c>
      <c r="BT100" s="17">
        <f t="shared" si="132"/>
        <v>2.8753790182719743</v>
      </c>
      <c r="BV100" s="17">
        <f t="shared" si="127"/>
        <v>27.416176252423632</v>
      </c>
      <c r="BW100" s="17">
        <v>96</v>
      </c>
      <c r="BX100" s="17">
        <f>'[1]资源-钻石'!L99/$B$2*$B$12*10</f>
        <v>8856.9733956997588</v>
      </c>
      <c r="BY100" s="17">
        <f>'[1]资源-钻石'!M99/$B$2*$B$12*10</f>
        <v>11706.490262251777</v>
      </c>
      <c r="BZ100" s="17">
        <f>'[1]资源-钻石'!N99/$B$2*$B$12*10</f>
        <v>17351.924267478455</v>
      </c>
      <c r="CA100" s="17">
        <f>'[1]资源-钻石'!O99/$B$2*$B$12*10</f>
        <v>36017.405655818198</v>
      </c>
      <c r="CB100" s="17">
        <f>'[1]资源-钻石'!P99/$B$2*$B$12*10</f>
        <v>48220.938545620884</v>
      </c>
      <c r="CD100" s="17">
        <v>96</v>
      </c>
      <c r="CE100" s="17">
        <f>'[1]资源-钻石'!L99/$B$2*$C$12*10</f>
        <v>3587.6347931948389</v>
      </c>
      <c r="CF100" s="17">
        <f>'[1]资源-钻石'!M99/$B$2*$C$12*10</f>
        <v>4741.869473317176</v>
      </c>
      <c r="CG100" s="17">
        <f>'[1]资源-钻石'!N99/$B$2*$C$12*10</f>
        <v>7028.6275513836772</v>
      </c>
      <c r="CH100" s="17">
        <f>'[1]资源-钻石'!O99/$B$2*$C$12*10</f>
        <v>14589.328873242814</v>
      </c>
      <c r="CI100" s="17">
        <f>'[1]资源-钻石'!P99/$B$2*$C$12*10</f>
        <v>19532.532069112254</v>
      </c>
      <c r="CW100" s="17">
        <v>97</v>
      </c>
      <c r="CX100" s="17">
        <f t="shared" si="104"/>
        <v>0.24884537225425873</v>
      </c>
      <c r="CY100" s="17">
        <f t="shared" si="105"/>
        <v>0.24884537225425873</v>
      </c>
      <c r="CZ100" s="17">
        <f t="shared" si="106"/>
        <v>0.24884537225425873</v>
      </c>
      <c r="DA100" s="17">
        <f t="shared" si="107"/>
        <v>0.24884537225425873</v>
      </c>
      <c r="DB100" s="17">
        <f t="shared" si="108"/>
        <v>0.24884537225425873</v>
      </c>
    </row>
    <row r="101" spans="8:106" x14ac:dyDescent="0.15">
      <c r="H101" s="16">
        <v>8</v>
      </c>
      <c r="I101" s="29">
        <f>IF(基础状态预期!C111="","",基础状态预期!C111)</f>
        <v>10.5</v>
      </c>
      <c r="J101" s="29">
        <f>IF(基础状态预期!D111="","",基础状态预期!D111)</f>
        <v>39.631851677253941</v>
      </c>
      <c r="K101" s="29" t="str">
        <f>IF(基础状态预期!F111="","",基础状态预期!F111)</f>
        <v/>
      </c>
      <c r="L101" s="29" t="str">
        <f>IF(基础状态预期!G111="","",基础状态预期!G111)</f>
        <v/>
      </c>
      <c r="M101" s="29" t="str">
        <f>IF(基础状态预期!H111="","",基础状态预期!H111)</f>
        <v/>
      </c>
      <c r="N101" s="29">
        <f>IF(基础状态预期!I111="","",基础状态预期!I111)</f>
        <v>6</v>
      </c>
      <c r="O101" s="29" t="str">
        <f>IF(基础状态预期!J111="","",基础状态预期!J111)</f>
        <v/>
      </c>
      <c r="P101" s="29">
        <f>武将进阶!O98</f>
        <v>0</v>
      </c>
      <c r="Q101" s="29">
        <f>武将进阶!P98</f>
        <v>0</v>
      </c>
      <c r="R101" s="29">
        <f>武将进阶!Q98</f>
        <v>39.06986641524567</v>
      </c>
      <c r="S101" s="29">
        <f>武将进阶!R98</f>
        <v>0</v>
      </c>
      <c r="T101" s="29">
        <f>武将进阶!S98</f>
        <v>0</v>
      </c>
      <c r="U101" s="29">
        <f>武将觉醒!T99</f>
        <v>0</v>
      </c>
      <c r="V101" s="29">
        <f>武将觉醒!U99</f>
        <v>0</v>
      </c>
      <c r="W101" s="29">
        <f>武将觉醒!V99</f>
        <v>0</v>
      </c>
      <c r="X101" s="29">
        <f>武将觉醒!W99</f>
        <v>6</v>
      </c>
      <c r="Y101" s="29">
        <f>武将觉醒!X99</f>
        <v>0</v>
      </c>
      <c r="Z101" s="29"/>
      <c r="AA101" s="29">
        <f>IF(L101="",0,同名需求(L101,武将升星!P98,B$6)+武将升星!U98)</f>
        <v>0</v>
      </c>
      <c r="AB101" s="29">
        <f>IF(M101="",0,同名需求(M101,武将升星!Q98,C$6)+武将升星!V98)</f>
        <v>0</v>
      </c>
      <c r="AC101" s="59">
        <f>IF(N101="",0,同名需求(N101,武将升星!R98,D$6*0.7)+武将升星!W98)</f>
        <v>38.266195688889823</v>
      </c>
      <c r="AD101" s="29">
        <f>IF(O101="",0,同名需求(O101,武将升星!S98,E$6)+武将升星!X98)</f>
        <v>0</v>
      </c>
      <c r="AE101" s="29">
        <f>MAX(U101+P101+IF(K101="",0,K101)*武将升星!O98,Z101)</f>
        <v>0</v>
      </c>
      <c r="AF101" s="29">
        <f>MAX(V101+Q101+IF(L101="",0,L101)*武将升星!P98,AA101)</f>
        <v>0</v>
      </c>
      <c r="AG101" s="29">
        <f>MAX(W101+R101+IF(M101="",0,M101)*武将升星!Q98,AB101)</f>
        <v>39.06986641524567</v>
      </c>
      <c r="AH101" s="29">
        <f>MAX(X101+S101+IF(N101="",0,N101)*武将升星!R98,AC101)</f>
        <v>38.266195688889823</v>
      </c>
      <c r="AI101" s="45">
        <f t="shared" si="110"/>
        <v>0</v>
      </c>
      <c r="AJ101" s="29">
        <f t="shared" si="111"/>
        <v>91838.869653335583</v>
      </c>
      <c r="AK101" s="14" t="e">
        <f>AJ101/求节点('[1]资源-钻石'!$K$4:$K$113,'[1]资源-钻石'!$N$4:$N$113,J101)</f>
        <v>#VALUE!</v>
      </c>
      <c r="AL101" s="16">
        <f t="shared" si="112"/>
        <v>0.15679635490240373</v>
      </c>
      <c r="AM101" s="16"/>
      <c r="AN101" s="16"/>
      <c r="AO101" s="16"/>
      <c r="AP101" s="17">
        <v>8</v>
      </c>
      <c r="AR101" s="16">
        <f t="shared" si="128"/>
        <v>0</v>
      </c>
      <c r="AS101" s="29">
        <f>IF(基础状态预期!C111="","",基础状态预期!C111)</f>
        <v>10.5</v>
      </c>
      <c r="AT101" s="29">
        <f>求节点(节奏总纲!$R$4:$R$163,其他调用!$E$4:$E$163,$AS101)*求节点($CP$5:$CP$36,$CS$5:$CS$36,AS11)</f>
        <v>107025.32283204042</v>
      </c>
      <c r="AU101" s="37">
        <f t="shared" si="113"/>
        <v>1</v>
      </c>
      <c r="AV101" s="37">
        <f t="shared" si="114"/>
        <v>0</v>
      </c>
      <c r="AW101" s="38">
        <f t="shared" si="115"/>
        <v>0.65833333333333333</v>
      </c>
      <c r="AX101" s="38">
        <f t="shared" si="116"/>
        <v>0.26666666666666666</v>
      </c>
      <c r="AY101" s="38">
        <f t="shared" si="117"/>
        <v>7.4999999999999997E-2</v>
      </c>
      <c r="AZ101" s="38">
        <f t="shared" si="118"/>
        <v>0</v>
      </c>
      <c r="BA101" s="29">
        <f t="shared" si="133"/>
        <v>23773.558824284788</v>
      </c>
      <c r="BB101" s="29">
        <f t="shared" si="129"/>
        <v>65.212192608281185</v>
      </c>
      <c r="BC101" s="29">
        <f t="shared" si="119"/>
        <v>26.415065360316429</v>
      </c>
      <c r="BD101" s="29">
        <f t="shared" si="120"/>
        <v>7.4292371325889954</v>
      </c>
      <c r="BE101" s="29">
        <f t="shared" si="121"/>
        <v>0</v>
      </c>
      <c r="BF101" s="29">
        <f t="shared" si="130"/>
        <v>87.15</v>
      </c>
      <c r="BG101" s="29">
        <f t="shared" si="122"/>
        <v>15.75</v>
      </c>
      <c r="BH101" s="29">
        <f t="shared" si="122"/>
        <v>2.1</v>
      </c>
      <c r="BI101" s="29">
        <f t="shared" si="122"/>
        <v>0</v>
      </c>
      <c r="BJ101" s="29">
        <f>SUM(BB$97:BB101)+BF101</f>
        <v>380.72640637955533</v>
      </c>
      <c r="BK101" s="29">
        <f>SUM(BC$97:BC101)+BG101</f>
        <v>134.66702536893379</v>
      </c>
      <c r="BL101" s="29">
        <f>SUM(BD$97:BD101)+BH101</f>
        <v>35.54541338501263</v>
      </c>
      <c r="BM101" s="29">
        <f>SUM(BE$97:BE101)+BI101</f>
        <v>0</v>
      </c>
      <c r="BN101" s="29">
        <f>SUM(BT$97:BT101)</f>
        <v>11.226047963630517</v>
      </c>
      <c r="BO101" s="17">
        <f t="shared" si="123"/>
        <v>3.4468258462328558</v>
      </c>
      <c r="BP101" s="17">
        <f t="shared" si="124"/>
        <v>0.92889854204484867</v>
      </c>
      <c r="BQ101" s="17" t="e">
        <f t="shared" si="125"/>
        <v>#DIV/0!</v>
      </c>
      <c r="BR101" s="17">
        <f t="shared" si="131"/>
        <v>29.532371210291661</v>
      </c>
      <c r="BS101" s="17">
        <f t="shared" si="126"/>
        <v>80</v>
      </c>
      <c r="BT101" s="17">
        <f t="shared" si="132"/>
        <v>2.5840824809005203</v>
      </c>
      <c r="BV101" s="17">
        <f t="shared" si="127"/>
        <v>35.54541338501263</v>
      </c>
      <c r="BW101" s="17">
        <v>97</v>
      </c>
      <c r="BX101" s="17">
        <f>'[1]资源-钻石'!L100/$B$2*$B$12*10</f>
        <v>9377.4898097747682</v>
      </c>
      <c r="BY101" s="17">
        <f>'[1]资源-钻石'!M100/$B$2*$B$12*10</f>
        <v>12450.44357287126</v>
      </c>
      <c r="BZ101" s="17">
        <f>'[1]资源-钻石'!N100/$B$2*$B$12*10</f>
        <v>18542.776962373027</v>
      </c>
      <c r="CA101" s="17">
        <f>'[1]资源-钻石'!O100/$B$2*$B$12*10</f>
        <v>38654.449675764896</v>
      </c>
      <c r="CB101" s="17">
        <f>'[1]资源-钻石'!P100/$B$2*$B$12*10</f>
        <v>51948.502942462284</v>
      </c>
      <c r="CD101" s="17">
        <v>97</v>
      </c>
      <c r="CE101" s="17">
        <f>'[1]资源-钻石'!L100/$B$2*$C$12*10</f>
        <v>3798.4768849720581</v>
      </c>
      <c r="CF101" s="17">
        <f>'[1]资源-钻石'!M100/$B$2*$C$12*10</f>
        <v>5043.2176497706369</v>
      </c>
      <c r="CG101" s="17">
        <f>'[1]资源-钻石'!N100/$B$2*$C$12*10</f>
        <v>7510.9982632397077</v>
      </c>
      <c r="CH101" s="17">
        <f>'[1]资源-钻石'!O100/$B$2*$C$12*10</f>
        <v>15657.498602841477</v>
      </c>
      <c r="CI101" s="17">
        <f>'[1]资源-钻石'!P100/$B$2*$C$12*10</f>
        <v>21042.431571630292</v>
      </c>
      <c r="CW101" s="17">
        <v>98</v>
      </c>
      <c r="CX101" s="17">
        <f t="shared" si="104"/>
        <v>0.24586770115998594</v>
      </c>
      <c r="CY101" s="17">
        <f t="shared" si="105"/>
        <v>0.24586770115998594</v>
      </c>
      <c r="CZ101" s="17">
        <f t="shared" si="106"/>
        <v>0.24586770115998594</v>
      </c>
      <c r="DA101" s="17">
        <f t="shared" si="107"/>
        <v>0.24586770115998594</v>
      </c>
      <c r="DB101" s="17">
        <f t="shared" si="108"/>
        <v>0.24586770115998594</v>
      </c>
    </row>
    <row r="102" spans="8:106" x14ac:dyDescent="0.15">
      <c r="H102" s="17">
        <v>9</v>
      </c>
      <c r="I102" s="29">
        <f>IF(基础状态预期!C112="","",基础状态预期!C112)</f>
        <v>14</v>
      </c>
      <c r="J102" s="29">
        <f>IF(基础状态预期!D112="","",基础状态预期!D112)</f>
        <v>43.484929789964411</v>
      </c>
      <c r="K102" s="29" t="str">
        <f>IF(基础状态预期!F112="","",基础状态预期!F112)</f>
        <v/>
      </c>
      <c r="L102" s="29" t="str">
        <f>IF(基础状态预期!G112="","",基础状态预期!G112)</f>
        <v/>
      </c>
      <c r="M102" s="29" t="str">
        <f>IF(基础状态预期!H112="","",基础状态预期!H112)</f>
        <v/>
      </c>
      <c r="N102" s="29">
        <f>IF(基础状态预期!I112="","",基础状态预期!I112)</f>
        <v>6</v>
      </c>
      <c r="O102" s="29" t="str">
        <f>IF(基础状态预期!J112="","",基础状态预期!J112)</f>
        <v/>
      </c>
      <c r="P102" s="29">
        <f>武将进阶!O99</f>
        <v>0</v>
      </c>
      <c r="Q102" s="29">
        <f>武将进阶!P99</f>
        <v>0</v>
      </c>
      <c r="R102" s="29">
        <f>武将进阶!Q99</f>
        <v>44.618298897548755</v>
      </c>
      <c r="S102" s="29">
        <f>武将进阶!R99</f>
        <v>0</v>
      </c>
      <c r="T102" s="29">
        <f>武将进阶!S99</f>
        <v>0</v>
      </c>
      <c r="U102" s="29">
        <f>武将觉醒!T100</f>
        <v>0</v>
      </c>
      <c r="V102" s="29">
        <f>武将觉醒!U100</f>
        <v>0</v>
      </c>
      <c r="W102" s="29">
        <f>武将觉醒!V100</f>
        <v>0</v>
      </c>
      <c r="X102" s="29">
        <f>武将觉醒!W100</f>
        <v>6</v>
      </c>
      <c r="Y102" s="29">
        <f>武将觉醒!X100</f>
        <v>0</v>
      </c>
      <c r="Z102" s="29"/>
      <c r="AA102" s="29">
        <f>IF(L102="",0,同名需求(L102,武将升星!P99,B$6)+武将升星!U99)</f>
        <v>0</v>
      </c>
      <c r="AB102" s="29">
        <f>IF(M102="",0,同名需求(M102,武将升星!Q99,C$6)+武将升星!V99)</f>
        <v>0</v>
      </c>
      <c r="AC102" s="59">
        <f>IF(N102="",0,同名需求(N102,武将升星!R99,D$6*0.7)+武将升星!W99)</f>
        <v>52.116176180691632</v>
      </c>
      <c r="AD102" s="29">
        <f>IF(O102="",0,同名需求(O102,武将升星!S99,E$6)+武将升星!X99)</f>
        <v>0</v>
      </c>
      <c r="AE102" s="29">
        <f>MAX(U102+P102+IF(K102="",0,K102)*武将升星!O99,Z102)</f>
        <v>0</v>
      </c>
      <c r="AF102" s="29">
        <f>MAX(V102+Q102+IF(L102="",0,L102)*武将升星!P99,AA102)</f>
        <v>0</v>
      </c>
      <c r="AG102" s="29">
        <f>MAX(W102+R102+IF(M102="",0,M102)*武将升星!Q99,AB102)</f>
        <v>44.618298897548755</v>
      </c>
      <c r="AH102" s="29">
        <f>MAX(X102+S102+IF(N102="",0,N102)*武将升星!R99,AC102)</f>
        <v>52.116176180691632</v>
      </c>
      <c r="AI102" s="45">
        <f t="shared" si="110"/>
        <v>0</v>
      </c>
      <c r="AJ102" s="29">
        <f t="shared" si="111"/>
        <v>125078.82283365993</v>
      </c>
      <c r="AK102" s="14" t="e">
        <f>AJ102/求节点('[1]资源-钻石'!$K$4:$K$113,'[1]资源-钻石'!$N$4:$N$113,J102)</f>
        <v>#VALUE!</v>
      </c>
      <c r="AL102" s="16">
        <f t="shared" si="112"/>
        <v>0.11512740265512654</v>
      </c>
      <c r="AM102" s="16"/>
      <c r="AN102" s="16"/>
      <c r="AO102" s="16"/>
      <c r="AP102" s="17">
        <v>9</v>
      </c>
      <c r="AR102" s="16">
        <f t="shared" si="128"/>
        <v>0</v>
      </c>
      <c r="AS102" s="29">
        <f>IF(基础状态预期!C112="","",基础状态预期!C112)</f>
        <v>14</v>
      </c>
      <c r="AT102" s="29">
        <f>求节点(节奏总纲!$R$4:$R$163,其他调用!$E$4:$E$163,$AS102)*求节点($CP$5:$CP$36,$CS$5:$CS$36,AS12)</f>
        <v>129914.1422730554</v>
      </c>
      <c r="AU102" s="37">
        <f t="shared" si="113"/>
        <v>1</v>
      </c>
      <c r="AV102" s="37">
        <f t="shared" si="114"/>
        <v>0</v>
      </c>
      <c r="AW102" s="38">
        <f t="shared" si="115"/>
        <v>0.65833333333333333</v>
      </c>
      <c r="AX102" s="38">
        <f t="shared" si="116"/>
        <v>0.26666666666666666</v>
      </c>
      <c r="AY102" s="38">
        <f t="shared" si="117"/>
        <v>7.4999999999999997E-2</v>
      </c>
      <c r="AZ102" s="38">
        <f t="shared" si="118"/>
        <v>0</v>
      </c>
      <c r="BA102" s="29">
        <f t="shared" si="133"/>
        <v>22888.819441014988</v>
      </c>
      <c r="BB102" s="29">
        <f t="shared" si="129"/>
        <v>62.78530332778417</v>
      </c>
      <c r="BC102" s="29">
        <f t="shared" si="119"/>
        <v>25.432021601127765</v>
      </c>
      <c r="BD102" s="29">
        <f t="shared" si="120"/>
        <v>7.1527560753171837</v>
      </c>
      <c r="BE102" s="29">
        <f t="shared" si="121"/>
        <v>0</v>
      </c>
      <c r="BF102" s="29">
        <f t="shared" si="130"/>
        <v>116.20000000000002</v>
      </c>
      <c r="BG102" s="29">
        <f t="shared" si="122"/>
        <v>21</v>
      </c>
      <c r="BH102" s="29">
        <f t="shared" si="122"/>
        <v>2.8000000000000003</v>
      </c>
      <c r="BI102" s="29">
        <f t="shared" si="122"/>
        <v>0</v>
      </c>
      <c r="BJ102" s="29">
        <f>SUM(BB$97:BB102)+BF102</f>
        <v>472.56170970733945</v>
      </c>
      <c r="BK102" s="29">
        <f>SUM(BC$97:BC102)+BG102</f>
        <v>165.34904697006155</v>
      </c>
      <c r="BL102" s="29">
        <f>SUM(BD$97:BD102)+BH102</f>
        <v>43.398169460329811</v>
      </c>
      <c r="BM102" s="29">
        <f>SUM(BE$97:BE102)+BI102</f>
        <v>0</v>
      </c>
      <c r="BN102" s="29">
        <f>SUM(BT$97:BT102)</f>
        <v>13.71396312026258</v>
      </c>
      <c r="BO102" s="17">
        <f t="shared" si="123"/>
        <v>3.7058572616076475</v>
      </c>
      <c r="BP102" s="17">
        <f t="shared" si="124"/>
        <v>0.83271975499246764</v>
      </c>
      <c r="BQ102" s="17" t="e">
        <f t="shared" si="125"/>
        <v>#DIV/0!</v>
      </c>
      <c r="BR102" s="17">
        <f t="shared" si="131"/>
        <v>28.433316075795013</v>
      </c>
      <c r="BS102" s="17">
        <f t="shared" si="126"/>
        <v>80</v>
      </c>
      <c r="BT102" s="17">
        <f t="shared" si="132"/>
        <v>2.4879151566320639</v>
      </c>
      <c r="BV102" s="17">
        <f t="shared" si="127"/>
        <v>43.398169460329811</v>
      </c>
      <c r="BW102" s="17">
        <v>98</v>
      </c>
      <c r="BX102" s="17">
        <f>'[1]资源-钻石'!L101/$B$2*$B$12*10</f>
        <v>9935.3654891949282</v>
      </c>
      <c r="BY102" s="17">
        <f>'[1]资源-钻石'!M101/$B$2*$B$12*10</f>
        <v>13255.096892497133</v>
      </c>
      <c r="BZ102" s="17">
        <f>'[1]资源-钻石'!N101/$B$2*$B$12*10</f>
        <v>19864.949847315118</v>
      </c>
      <c r="CA102" s="17">
        <f>'[1]资源-钻石'!O101/$B$2*$B$12*10</f>
        <v>41564.748418818526</v>
      </c>
      <c r="CB102" s="17">
        <f>'[1]资源-钻石'!P101/$B$2*$B$12*10</f>
        <v>55908.796858712492</v>
      </c>
      <c r="CD102" s="17">
        <v>98</v>
      </c>
      <c r="CE102" s="17">
        <f>'[1]资源-钻石'!L101/$B$2*$C$12*10</f>
        <v>4024.4518437245279</v>
      </c>
      <c r="CF102" s="17">
        <f>'[1]资源-钻石'!M101/$B$2*$C$12*10</f>
        <v>5369.1531716444078</v>
      </c>
      <c r="CG102" s="17">
        <f>'[1]资源-钻石'!N101/$B$2*$C$12*10</f>
        <v>8046.5619634694158</v>
      </c>
      <c r="CH102" s="17">
        <f>'[1]资源-钻石'!O101/$B$2*$C$12*10</f>
        <v>16836.353789901179</v>
      </c>
      <c r="CI102" s="17">
        <f>'[1]资源-钻石'!P101/$B$2*$C$12*10</f>
        <v>22646.601259225314</v>
      </c>
      <c r="CW102" s="17">
        <v>99</v>
      </c>
      <c r="CX102" s="17">
        <f t="shared" si="104"/>
        <v>0.24289003006571316</v>
      </c>
      <c r="CY102" s="17">
        <f t="shared" si="105"/>
        <v>0.24289003006571316</v>
      </c>
      <c r="CZ102" s="17">
        <f t="shared" si="106"/>
        <v>0.24289003006571316</v>
      </c>
      <c r="DA102" s="17">
        <f t="shared" si="107"/>
        <v>0.24289003006571316</v>
      </c>
      <c r="DB102" s="17">
        <f t="shared" si="108"/>
        <v>0.24289003006571316</v>
      </c>
    </row>
    <row r="103" spans="8:106" x14ac:dyDescent="0.15">
      <c r="H103" s="16">
        <v>10</v>
      </c>
      <c r="I103" s="29">
        <f>IF(基础状态预期!C113="","",基础状态预期!C113)</f>
        <v>21</v>
      </c>
      <c r="J103" s="29">
        <f>IF(基础状态预期!D113="","",基础状态预期!D113)</f>
        <v>49.18886033229559</v>
      </c>
      <c r="K103" s="29" t="str">
        <f>IF(基础状态预期!F113="","",基础状态预期!F113)</f>
        <v/>
      </c>
      <c r="L103" s="29" t="str">
        <f>IF(基础状态预期!G113="","",基础状态预期!G113)</f>
        <v/>
      </c>
      <c r="M103" s="29" t="str">
        <f>IF(基础状态预期!H113="","",基础状态预期!H113)</f>
        <v/>
      </c>
      <c r="N103" s="29">
        <f>IF(基础状态预期!I113="","",基础状态预期!I113)</f>
        <v>6</v>
      </c>
      <c r="O103" s="29" t="str">
        <f>IF(基础状态预期!J113="","",基础状态预期!J113)</f>
        <v/>
      </c>
      <c r="P103" s="29">
        <f>武将进阶!O100</f>
        <v>0</v>
      </c>
      <c r="Q103" s="29">
        <f>武将进阶!P100</f>
        <v>0</v>
      </c>
      <c r="R103" s="29">
        <f>武将进阶!Q100</f>
        <v>52.831958878505652</v>
      </c>
      <c r="S103" s="29">
        <f>武将进阶!R100</f>
        <v>0</v>
      </c>
      <c r="T103" s="29">
        <f>武将进阶!S100</f>
        <v>0</v>
      </c>
      <c r="U103" s="29">
        <f>武将觉醒!T101</f>
        <v>0</v>
      </c>
      <c r="V103" s="29">
        <f>武将觉醒!U101</f>
        <v>0</v>
      </c>
      <c r="W103" s="29">
        <f>武将觉醒!V101</f>
        <v>0</v>
      </c>
      <c r="X103" s="29">
        <f>武将觉醒!W101</f>
        <v>6</v>
      </c>
      <c r="Y103" s="29">
        <f>武将觉醒!X101</f>
        <v>0</v>
      </c>
      <c r="Z103" s="29"/>
      <c r="AA103" s="29">
        <f>IF(L103="",0,同名需求(L103,武将升星!P100,B$6)+武将升星!U100)</f>
        <v>0</v>
      </c>
      <c r="AB103" s="29">
        <f>IF(M103="",0,同名需求(M103,武将升星!Q100,C$6)+武将升星!V100)</f>
        <v>0</v>
      </c>
      <c r="AC103" s="59">
        <f>IF(N103="",0,同名需求(N103,武将升星!R100,D$6*0.7)+武将升星!W100)</f>
        <v>73.55418402185694</v>
      </c>
      <c r="AD103" s="29">
        <f>IF(O103="",0,同名需求(O103,武将升星!S100,E$6)+武将升星!X100)</f>
        <v>0</v>
      </c>
      <c r="AE103" s="29">
        <f>MAX(U103+P103+IF(K103="",0,K103)*武将升星!O100,Z103)</f>
        <v>0</v>
      </c>
      <c r="AF103" s="29">
        <f>MAX(V103+Q103+IF(L103="",0,L103)*武将升星!P100,AA103)</f>
        <v>0</v>
      </c>
      <c r="AG103" s="29">
        <f>MAX(W103+R103+IF(M103="",0,M103)*武将升星!Q100,AB103)</f>
        <v>52.831958878505652</v>
      </c>
      <c r="AH103" s="29">
        <f>MAX(X103+S103+IF(N103="",0,N103)*武将升星!R100,AC103)</f>
        <v>73.55418402185694</v>
      </c>
      <c r="AI103" s="45">
        <f t="shared" si="110"/>
        <v>0</v>
      </c>
      <c r="AJ103" s="29">
        <f t="shared" si="111"/>
        <v>176530.04165245665</v>
      </c>
      <c r="AK103" s="14" t="e">
        <f>AJ103/求节点('[1]资源-钻石'!$K$4:$K$113,'[1]资源-钻石'!$N$4:$N$113,J103)</f>
        <v>#VALUE!</v>
      </c>
      <c r="AL103" s="16">
        <f t="shared" si="112"/>
        <v>8.1572517998664412E-2</v>
      </c>
      <c r="AM103" s="16"/>
      <c r="AN103" s="16"/>
      <c r="AO103" s="16"/>
      <c r="AP103" s="17">
        <v>10</v>
      </c>
      <c r="AR103" s="16">
        <f t="shared" si="128"/>
        <v>2.5254430180175671</v>
      </c>
      <c r="AS103" s="29">
        <f>IF(基础状态预期!C113="","",基础状态预期!C113)</f>
        <v>21</v>
      </c>
      <c r="AT103" s="29">
        <f>求节点(节奏总纲!$R$4:$R$163,其他调用!$E$4:$E$163,$AS103)*求节点($CP$5:$CP$36,$CS$5:$CS$36,AS13)</f>
        <v>170573.77486313824</v>
      </c>
      <c r="AU103" s="37">
        <f t="shared" si="113"/>
        <v>0.9</v>
      </c>
      <c r="AV103" s="37">
        <f t="shared" si="114"/>
        <v>0.1</v>
      </c>
      <c r="AW103" s="38">
        <f t="shared" si="115"/>
        <v>0.64183333333333337</v>
      </c>
      <c r="AX103" s="38">
        <f t="shared" si="116"/>
        <v>0.26666666666666666</v>
      </c>
      <c r="AY103" s="38">
        <f t="shared" si="117"/>
        <v>7.1500000000000008E-2</v>
      </c>
      <c r="AZ103" s="38">
        <f t="shared" si="118"/>
        <v>2.4000000000000002E-3</v>
      </c>
      <c r="BA103" s="29">
        <f t="shared" si="133"/>
        <v>40659.632590082838</v>
      </c>
      <c r="BB103" s="29">
        <f t="shared" si="129"/>
        <v>108.73628132250626</v>
      </c>
      <c r="BC103" s="29">
        <f t="shared" si="119"/>
        <v>45.177369544536489</v>
      </c>
      <c r="BD103" s="29">
        <f t="shared" si="120"/>
        <v>12.113182209128846</v>
      </c>
      <c r="BE103" s="29">
        <f t="shared" si="121"/>
        <v>0.40659632590082839</v>
      </c>
      <c r="BF103" s="29">
        <f t="shared" si="130"/>
        <v>174.3</v>
      </c>
      <c r="BG103" s="29">
        <f t="shared" si="122"/>
        <v>31.5</v>
      </c>
      <c r="BH103" s="29">
        <f t="shared" si="122"/>
        <v>4.2</v>
      </c>
      <c r="BI103" s="29">
        <f t="shared" si="122"/>
        <v>0</v>
      </c>
      <c r="BJ103" s="29">
        <f>SUM(BB$97:BB103)+BF103</f>
        <v>639.3979910298458</v>
      </c>
      <c r="BK103" s="29">
        <f>SUM(BC$97:BC103)+BG103</f>
        <v>221.02641651459805</v>
      </c>
      <c r="BL103" s="29">
        <f>SUM(BD$97:BD103)+BH103</f>
        <v>56.911351669458661</v>
      </c>
      <c r="BM103" s="29">
        <f>SUM(BE$97:BE103)+BI103</f>
        <v>0.40659632590082839</v>
      </c>
      <c r="BN103" s="29">
        <f>SUM(BT$97:BT103)</f>
        <v>17.691535873640248</v>
      </c>
      <c r="BO103" s="17">
        <f t="shared" si="123"/>
        <v>4.1835741321437405</v>
      </c>
      <c r="BP103" s="17">
        <f t="shared" si="124"/>
        <v>0.77373370973087285</v>
      </c>
      <c r="BQ103" s="17" t="e">
        <f t="shared" si="125"/>
        <v>#DIV/0!</v>
      </c>
      <c r="BR103" s="17">
        <f t="shared" si="131"/>
        <v>22.728987162158109</v>
      </c>
      <c r="BS103" s="17">
        <f t="shared" si="126"/>
        <v>80</v>
      </c>
      <c r="BT103" s="17">
        <f t="shared" si="132"/>
        <v>3.977572753377669</v>
      </c>
      <c r="BV103" s="17">
        <f t="shared" si="127"/>
        <v>56.911351669458661</v>
      </c>
      <c r="BW103" s="17">
        <v>99</v>
      </c>
      <c r="BX103" s="17">
        <f>'[1]资源-钻石'!L102/$B$2*$B$12*10</f>
        <v>10533.281837791854</v>
      </c>
      <c r="BY103" s="17">
        <f>'[1]资源-钻石'!M102/$B$2*$B$12*10</f>
        <v>14102.474168445227</v>
      </c>
      <c r="BZ103" s="17">
        <f>'[1]资源-钻石'!N102/$B$2*$B$12*10</f>
        <v>21247.577021265526</v>
      </c>
      <c r="CA103" s="17">
        <f>'[1]资源-钻石'!O102/$B$2*$B$12*10</f>
        <v>44597.567353155348</v>
      </c>
      <c r="CB103" s="17">
        <f>'[1]资源-钻石'!P102/$B$2*$B$12*10</f>
        <v>59722.245092749785</v>
      </c>
      <c r="CD103" s="17">
        <v>99</v>
      </c>
      <c r="CE103" s="17">
        <f>'[1]资源-钻石'!L102/$B$2*$C$12*10</f>
        <v>4266.6458077131556</v>
      </c>
      <c r="CF103" s="17">
        <f>'[1]资源-钻石'!M102/$B$2*$C$12*10</f>
        <v>5712.3945998765485</v>
      </c>
      <c r="CG103" s="17">
        <f>'[1]资源-钻石'!N102/$B$2*$C$12*10</f>
        <v>8606.6134769683122</v>
      </c>
      <c r="CH103" s="17">
        <f>'[1]资源-钻石'!O102/$B$2*$C$12*10</f>
        <v>18064.837408873052</v>
      </c>
      <c r="CI103" s="17">
        <f>'[1]资源-钻石'!P102/$B$2*$C$12*10</f>
        <v>24191.28915149358</v>
      </c>
      <c r="CW103" s="17">
        <v>100</v>
      </c>
      <c r="CX103" s="17">
        <f t="shared" si="104"/>
        <v>0.23991235897144039</v>
      </c>
      <c r="CY103" s="17">
        <f t="shared" si="105"/>
        <v>0.23991235897144039</v>
      </c>
      <c r="CZ103" s="17">
        <f t="shared" si="106"/>
        <v>0.23991235897144039</v>
      </c>
      <c r="DA103" s="17">
        <f t="shared" si="107"/>
        <v>0.23991235897144039</v>
      </c>
      <c r="DB103" s="17">
        <f t="shared" si="108"/>
        <v>0.23991235897144039</v>
      </c>
    </row>
    <row r="104" spans="8:106" x14ac:dyDescent="0.15">
      <c r="H104" s="17">
        <v>11</v>
      </c>
      <c r="I104" s="29">
        <f>IF(基础状态预期!C114="","",基础状态预期!C114)</f>
        <v>28</v>
      </c>
      <c r="J104" s="29">
        <f>IF(基础状态预期!D114="","",基础状态预期!D114)</f>
        <v>53.212684955585161</v>
      </c>
      <c r="K104" s="29" t="str">
        <f>IF(基础状态预期!F114="","",基础状态预期!F114)</f>
        <v/>
      </c>
      <c r="L104" s="29" t="str">
        <f>IF(基础状态预期!G114="","",基础状态预期!G114)</f>
        <v/>
      </c>
      <c r="M104" s="29" t="str">
        <f>IF(基础状态预期!H114="","",基础状态预期!H114)</f>
        <v/>
      </c>
      <c r="N104" s="29">
        <f>IF(基础状态预期!I114="","",基础状态预期!I114)</f>
        <v>5</v>
      </c>
      <c r="O104" s="29">
        <f>IF(基础状态预期!J114="","",基础状态预期!J114)</f>
        <v>1</v>
      </c>
      <c r="P104" s="29">
        <f>武将进阶!O101</f>
        <v>0</v>
      </c>
      <c r="Q104" s="29">
        <f>武将进阶!P101</f>
        <v>0</v>
      </c>
      <c r="R104" s="29">
        <f>武将进阶!Q101</f>
        <v>52.710443893404396</v>
      </c>
      <c r="S104" s="29">
        <f>武将进阶!R101</f>
        <v>11.31313316802132</v>
      </c>
      <c r="T104" s="29">
        <f>武将进阶!S101</f>
        <v>0</v>
      </c>
      <c r="U104" s="29">
        <f>武将觉醒!T102</f>
        <v>0</v>
      </c>
      <c r="V104" s="29">
        <f>武将觉醒!U102</f>
        <v>0</v>
      </c>
      <c r="W104" s="29">
        <f>武将觉醒!V102</f>
        <v>0</v>
      </c>
      <c r="X104" s="29">
        <f>武将觉醒!W102</f>
        <v>8</v>
      </c>
      <c r="Y104" s="29">
        <f>武将觉醒!X102</f>
        <v>0</v>
      </c>
      <c r="Z104" s="29"/>
      <c r="AA104" s="29">
        <f>IF(L104="",0,同名需求(L104,武将升星!P101,B$6)+武将升星!U101)</f>
        <v>0</v>
      </c>
      <c r="AB104" s="29">
        <f>IF(M104="",0,同名需求(M104,武将升星!Q101,C$6)+武将升星!V101)</f>
        <v>0</v>
      </c>
      <c r="AC104" s="59">
        <f>IF(N104="",0,同名需求(N104,武将升星!R101,D$6*0.7)+武将升星!W101)</f>
        <v>87.890681155936022</v>
      </c>
      <c r="AD104" s="29">
        <f>IF(O104="",0,同名需求(O104,武将升星!S101,E$6)+武将升星!X101)</f>
        <v>1.1919202482661846</v>
      </c>
      <c r="AE104" s="29">
        <f>MAX(U104+P104+IF(K104="",0,K104)*武将升星!O101,Z104)</f>
        <v>0</v>
      </c>
      <c r="AF104" s="29">
        <f>MAX(V104+Q104+IF(L104="",0,L104)*武将升星!P101,AA104)</f>
        <v>0</v>
      </c>
      <c r="AG104" s="29">
        <f>MAX(W104+R104+IF(M104="",0,M104)*武将升星!Q101,AB104)</f>
        <v>52.710443893404396</v>
      </c>
      <c r="AH104" s="29">
        <f>MAX(X104+S104+IF(N104="",0,N104)*武将升星!R101,AC104)</f>
        <v>87.890681155936022</v>
      </c>
      <c r="AI104" s="45">
        <f t="shared" si="110"/>
        <v>1.1919202482661846</v>
      </c>
      <c r="AJ104" s="29">
        <f t="shared" si="111"/>
        <v>215109.3556431781</v>
      </c>
      <c r="AK104" s="14" t="e">
        <f>AJ104/求节点('[1]资源-钻石'!$K$4:$K$113,'[1]资源-钻石'!$N$4:$N$113,J104)</f>
        <v>#VALUE!</v>
      </c>
      <c r="AL104" s="16">
        <f t="shared" si="112"/>
        <v>9.1022164065452688E-2</v>
      </c>
      <c r="AM104" s="16"/>
      <c r="AN104" s="16"/>
      <c r="AO104" s="16"/>
      <c r="AP104" s="17">
        <v>11</v>
      </c>
      <c r="AR104" s="16">
        <f t="shared" si="128"/>
        <v>4.87778833767302</v>
      </c>
      <c r="AS104" s="29">
        <f>IF(基础状态预期!C114="","",基础状态预期!C114)</f>
        <v>28</v>
      </c>
      <c r="AT104" s="29">
        <f>求节点(节奏总纲!$R$4:$R$163,其他调用!$E$4:$E$163,$AS104)*求节点($CP$5:$CP$36,$CS$5:$CS$36,AS14)</f>
        <v>209839.97098140605</v>
      </c>
      <c r="AU104" s="37">
        <f>1-AV104</f>
        <v>0.8</v>
      </c>
      <c r="AV104" s="37">
        <f t="shared" si="114"/>
        <v>0.2</v>
      </c>
      <c r="AW104" s="38">
        <f t="shared" si="115"/>
        <v>0.62533333333333341</v>
      </c>
      <c r="AX104" s="38">
        <f t="shared" si="116"/>
        <v>0.26666666666666666</v>
      </c>
      <c r="AY104" s="38">
        <f t="shared" si="117"/>
        <v>6.8000000000000005E-2</v>
      </c>
      <c r="AZ104" s="38">
        <f t="shared" si="118"/>
        <v>4.8000000000000004E-3</v>
      </c>
      <c r="BA104" s="29">
        <f t="shared" si="133"/>
        <v>39266.196118267806</v>
      </c>
      <c r="BB104" s="29">
        <f t="shared" si="129"/>
        <v>102.31025544148669</v>
      </c>
      <c r="BC104" s="29">
        <f t="shared" si="119"/>
        <v>43.629106798075341</v>
      </c>
      <c r="BD104" s="29">
        <f t="shared" si="120"/>
        <v>11.125422233509212</v>
      </c>
      <c r="BE104" s="29">
        <f t="shared" si="121"/>
        <v>0.7853239223653562</v>
      </c>
      <c r="BF104" s="29">
        <f t="shared" si="130"/>
        <v>232.40000000000003</v>
      </c>
      <c r="BG104" s="29">
        <f t="shared" si="122"/>
        <v>42</v>
      </c>
      <c r="BH104" s="29">
        <f t="shared" si="122"/>
        <v>5.6000000000000005</v>
      </c>
      <c r="BI104" s="29">
        <f t="shared" si="122"/>
        <v>0</v>
      </c>
      <c r="BJ104" s="29">
        <f>SUM(BB$97:BB104)+BF104</f>
        <v>799.8082464713325</v>
      </c>
      <c r="BK104" s="29">
        <f>SUM(BC$97:BC104)+BG104</f>
        <v>275.15552331267338</v>
      </c>
      <c r="BL104" s="29">
        <f>SUM(BD$97:BD104)+BH104</f>
        <v>69.436773902967872</v>
      </c>
      <c r="BM104" s="29">
        <f>SUM(BE$97:BE104)+BI104</f>
        <v>1.1919202482661846</v>
      </c>
      <c r="BN104" s="29">
        <f>SUM(BT$97:BT104)</f>
        <v>21.105987710011362</v>
      </c>
      <c r="BO104" s="17">
        <f t="shared" si="123"/>
        <v>5.2201329184234648</v>
      </c>
      <c r="BP104" s="17">
        <f t="shared" si="124"/>
        <v>0.79003567829646071</v>
      </c>
      <c r="BQ104" s="17">
        <f t="shared" si="125"/>
        <v>1</v>
      </c>
      <c r="BR104" s="17">
        <f t="shared" si="131"/>
        <v>19.511153350692076</v>
      </c>
      <c r="BS104" s="17">
        <f t="shared" si="126"/>
        <v>80</v>
      </c>
      <c r="BT104" s="17">
        <f t="shared" si="132"/>
        <v>3.4144518363711134</v>
      </c>
      <c r="BV104" s="17">
        <f t="shared" si="127"/>
        <v>58.123640734946548</v>
      </c>
      <c r="BW104" s="17">
        <v>100</v>
      </c>
      <c r="BX104" s="17">
        <f>'[1]资源-钻石'!L103/$B$2*$B$12*10</f>
        <v>11174.112713034638</v>
      </c>
      <c r="BY104" s="17">
        <f>'[1]资源-钻石'!M103/$B$2*$B$12*10</f>
        <v>14990.718420104487</v>
      </c>
      <c r="BZ104" s="17">
        <f>'[1]资源-钻石'!N103/$B$2*$B$12*10</f>
        <v>22702.001124357266</v>
      </c>
      <c r="CA104" s="17">
        <f>'[1]资源-钻石'!O103/$B$2*$B$12*10</f>
        <v>47571.915875299805</v>
      </c>
      <c r="CB104" s="17">
        <f>'[1]资源-钻石'!P103/$B$2*$B$12*10</f>
        <v>63616.107919033901</v>
      </c>
      <c r="CD104" s="17">
        <v>100</v>
      </c>
      <c r="CE104" s="17">
        <f>'[1]资源-钻石'!L103/$B$2*$C$12*10</f>
        <v>4526.2228711026373</v>
      </c>
      <c r="CF104" s="17">
        <f>'[1]资源-钻石'!M103/$B$2*$C$12*10</f>
        <v>6072.1897397891598</v>
      </c>
      <c r="CG104" s="17">
        <f>'[1]资源-钻石'!N103/$B$2*$C$12*10</f>
        <v>9195.7472908788932</v>
      </c>
      <c r="CH104" s="17">
        <f>'[1]资源-钻石'!O103/$B$2*$C$12*10</f>
        <v>19269.636810248019</v>
      </c>
      <c r="CI104" s="17">
        <f>'[1]资源-钻石'!P103/$B$2*$C$12*10</f>
        <v>25768.550043152973</v>
      </c>
    </row>
    <row r="105" spans="8:106" x14ac:dyDescent="0.15">
      <c r="H105" s="16">
        <v>12</v>
      </c>
      <c r="I105" s="29">
        <f>IF(基础状态预期!C115="","",基础状态预期!C115)</f>
        <v>42</v>
      </c>
      <c r="J105" s="29">
        <f>IF(基础状态预期!D115="","",基础状态预期!D115)</f>
        <v>59.09095196730258</v>
      </c>
      <c r="K105" s="29" t="str">
        <f>IF(基础状态预期!F115="","",基础状态预期!F115)</f>
        <v/>
      </c>
      <c r="L105" s="29" t="str">
        <f>IF(基础状态预期!G115="","",基础状态预期!G115)</f>
        <v/>
      </c>
      <c r="M105" s="29" t="str">
        <f>IF(基础状态预期!H115="","",基础状态预期!H115)</f>
        <v/>
      </c>
      <c r="N105" s="29">
        <f>IF(基础状态预期!I115="","",基础状态预期!I115)</f>
        <v>4</v>
      </c>
      <c r="O105" s="29">
        <f>IF(基础状态预期!J115="","",基础状态预期!J115)</f>
        <v>2</v>
      </c>
      <c r="P105" s="29">
        <f>武将进阶!O102</f>
        <v>0</v>
      </c>
      <c r="Q105" s="29">
        <f>武将进阶!P102</f>
        <v>0</v>
      </c>
      <c r="R105" s="29">
        <f>武将进阶!Q102</f>
        <v>53.454627777220963</v>
      </c>
      <c r="S105" s="29">
        <f>武将进阶!R102</f>
        <v>31.090970832915723</v>
      </c>
      <c r="T105" s="29">
        <f>武将进阶!S102</f>
        <v>0</v>
      </c>
      <c r="U105" s="29">
        <f>武将觉醒!T103</f>
        <v>0</v>
      </c>
      <c r="V105" s="29">
        <f>武将觉醒!U103</f>
        <v>0</v>
      </c>
      <c r="W105" s="29">
        <f>武将觉醒!V103</f>
        <v>0</v>
      </c>
      <c r="X105" s="29">
        <f>武将觉醒!W103</f>
        <v>10</v>
      </c>
      <c r="Y105" s="29">
        <f>武将觉醒!X103</f>
        <v>0</v>
      </c>
      <c r="Z105" s="29"/>
      <c r="AA105" s="29">
        <f>IF(L105="",0,同名需求(L105,武将升星!P102,B$6)+武将升星!U102)</f>
        <v>0</v>
      </c>
      <c r="AB105" s="29">
        <f>IF(M105="",0,同名需求(M105,武将升星!Q102,C$6)+武将升星!V102)</f>
        <v>0</v>
      </c>
      <c r="AC105" s="59">
        <f>IF(N105="",0,同名需求(N105,武将升星!R102,D$6*0.7)+武将升星!W102)</f>
        <v>113.83514964157396</v>
      </c>
      <c r="AD105" s="29">
        <f>IF(O105="",0,同名需求(O105,武将升星!S102,E$6)+武将升星!X102)</f>
        <v>5.1084531339381591</v>
      </c>
      <c r="AE105" s="29">
        <f>MAX(U105+P105+IF(K105="",0,K105)*武将升星!O102,Z105)</f>
        <v>0</v>
      </c>
      <c r="AF105" s="29">
        <f>MAX(V105+Q105+IF(L105="",0,L105)*武将升星!P102,AA105)</f>
        <v>0</v>
      </c>
      <c r="AG105" s="29">
        <f>MAX(W105+R105+IF(M105="",0,M105)*武将升星!Q102,AB105)</f>
        <v>53.454627777220963</v>
      </c>
      <c r="AH105" s="29">
        <f>MAX(X105+S105+IF(N105="",0,N105)*武将升星!R102,AC105)</f>
        <v>113.83514964157396</v>
      </c>
      <c r="AI105" s="45">
        <f t="shared" si="110"/>
        <v>5.1084531339381591</v>
      </c>
      <c r="AJ105" s="29">
        <f t="shared" si="111"/>
        <v>291083.94510856114</v>
      </c>
      <c r="AK105" s="14" t="e">
        <f>AJ105/求节点('[1]资源-钻石'!$K$4:$K$113,'[1]资源-钻石'!$N$4:$N$113,J105)</f>
        <v>#VALUE!</v>
      </c>
      <c r="AL105" s="16">
        <f t="shared" si="112"/>
        <v>8.784632893694444E-2</v>
      </c>
      <c r="AM105" s="16"/>
      <c r="AN105" s="16"/>
      <c r="AO105" s="16"/>
      <c r="AP105" s="17">
        <v>12</v>
      </c>
      <c r="AR105" s="16">
        <f t="shared" si="128"/>
        <v>12.163145607676938</v>
      </c>
      <c r="AS105" s="29">
        <f>IF(基础状态预期!C115="","",基础状态预期!C115)</f>
        <v>42</v>
      </c>
      <c r="AT105" s="29">
        <f>求节点(节奏总纲!$R$4:$R$163,其他调用!$E$4:$E$163,$AS105)*求节点($CP$5:$CP$36,$CS$5:$CS$36,AS15)</f>
        <v>288170.62869484554</v>
      </c>
      <c r="AU105" s="37">
        <f t="shared" ref="AU105:AU112" si="134">1-AV105</f>
        <v>0.5</v>
      </c>
      <c r="AV105" s="37">
        <f t="shared" si="114"/>
        <v>0.5</v>
      </c>
      <c r="AW105" s="38">
        <f t="shared" si="115"/>
        <v>0.57583333333333342</v>
      </c>
      <c r="AX105" s="38">
        <f t="shared" si="116"/>
        <v>0.26666666666666666</v>
      </c>
      <c r="AY105" s="38">
        <f t="shared" si="117"/>
        <v>5.7499999999999996E-2</v>
      </c>
      <c r="AZ105" s="38">
        <f t="shared" si="118"/>
        <v>1.2E-2</v>
      </c>
      <c r="BA105" s="29">
        <f t="shared" si="133"/>
        <v>78330.65771343949</v>
      </c>
      <c r="BB105" s="29">
        <f t="shared" si="129"/>
        <v>187.93918222217602</v>
      </c>
      <c r="BC105" s="29">
        <f t="shared" si="119"/>
        <v>87.034064126043873</v>
      </c>
      <c r="BD105" s="29">
        <f t="shared" si="120"/>
        <v>18.76672007717821</v>
      </c>
      <c r="BE105" s="29">
        <f t="shared" si="121"/>
        <v>3.9165328856719746</v>
      </c>
      <c r="BF105" s="29">
        <f t="shared" si="130"/>
        <v>348.6</v>
      </c>
      <c r="BG105" s="29">
        <f t="shared" si="122"/>
        <v>63</v>
      </c>
      <c r="BH105" s="29">
        <f t="shared" si="122"/>
        <v>8.4</v>
      </c>
      <c r="BI105" s="29">
        <f t="shared" si="122"/>
        <v>0</v>
      </c>
      <c r="BJ105" s="29">
        <f>SUM(BB$97:BB105)+BF105</f>
        <v>1103.9474286935083</v>
      </c>
      <c r="BK105" s="29">
        <f>SUM(BC$97:BC105)+BG105</f>
        <v>383.18958743871724</v>
      </c>
      <c r="BL105" s="29">
        <f>SUM(BD$97:BD105)+BH105</f>
        <v>91.003493980146089</v>
      </c>
      <c r="BM105" s="29">
        <f>SUM(BE$97:BE105)+BI105</f>
        <v>5.1084531339381591</v>
      </c>
      <c r="BN105" s="29">
        <f>SUM(BT$97:BT105)</f>
        <v>25.363088672698289</v>
      </c>
      <c r="BO105" s="17">
        <f t="shared" si="123"/>
        <v>7.1685016503287446</v>
      </c>
      <c r="BP105" s="17">
        <f t="shared" si="124"/>
        <v>0.7994322866591157</v>
      </c>
      <c r="BQ105" s="17">
        <f t="shared" si="125"/>
        <v>1</v>
      </c>
      <c r="BR105" s="17">
        <f t="shared" si="131"/>
        <v>12.163145607676938</v>
      </c>
      <c r="BS105" s="17">
        <f t="shared" si="126"/>
        <v>80</v>
      </c>
      <c r="BT105" s="17">
        <f t="shared" si="132"/>
        <v>4.2571009626869278</v>
      </c>
      <c r="BV105" s="17">
        <f t="shared" si="127"/>
        <v>59.912523147230367</v>
      </c>
      <c r="BW105" s="17">
        <v>101</v>
      </c>
      <c r="BX105" s="17">
        <f>'[1]资源-钻石'!L104/$B$2*$B$12*10</f>
        <v>11860.938239093748</v>
      </c>
      <c r="BY105" s="17">
        <f>'[1]资源-钻石'!M104/$B$2*$B$12*10</f>
        <v>15952.863578302666</v>
      </c>
      <c r="BZ105" s="17">
        <f>'[1]资源-钻石'!N104/$B$2*$B$12*10</f>
        <v>24168.697728196217</v>
      </c>
      <c r="CA105" s="17">
        <f>'[1]资源-钻石'!O104/$B$2*$B$12*10</f>
        <v>50631.857945300464</v>
      </c>
      <c r="CB105" s="17">
        <f>'[1]资源-钻石'!P104/$B$2*$B$12*10</f>
        <v>67842.332132400334</v>
      </c>
      <c r="CD105" s="17">
        <v>101</v>
      </c>
      <c r="CE105" s="17">
        <f>'[1]资源-钻石'!L104/$B$2*$C$12*10</f>
        <v>4804.4306791265817</v>
      </c>
      <c r="CF105" s="17">
        <f>'[1]资源-钻石'!M104/$B$2*$C$12*10</f>
        <v>6461.9194241225978</v>
      </c>
      <c r="CG105" s="17">
        <f>'[1]资源-钻石'!N104/$B$2*$C$12*10</f>
        <v>9789.8522443326456</v>
      </c>
      <c r="CH105" s="17">
        <f>'[1]资源-钻石'!O104/$B$2*$C$12*10</f>
        <v>20509.107015817906</v>
      </c>
      <c r="CI105" s="17">
        <f>'[1]资源-钻石'!P104/$B$2*$C$12*10</f>
        <v>27480.438332111524</v>
      </c>
    </row>
    <row r="106" spans="8:106" x14ac:dyDescent="0.15">
      <c r="H106" s="17">
        <v>13</v>
      </c>
      <c r="I106" s="29">
        <f>IF(基础状态预期!C116="","",基础状态预期!C116)</f>
        <v>62.999999999999993</v>
      </c>
      <c r="J106" s="29">
        <f>IF(基础状态预期!D116="","",基础状态预期!D116)</f>
        <v>64.819145630244321</v>
      </c>
      <c r="K106" s="29" t="str">
        <f>IF(基础状态预期!F116="","",基础状态预期!F116)</f>
        <v/>
      </c>
      <c r="L106" s="29" t="str">
        <f>IF(基础状态预期!G116="","",基础状态预期!G116)</f>
        <v/>
      </c>
      <c r="M106" s="29" t="str">
        <f>IF(基础状态预期!H116="","",基础状态预期!H116)</f>
        <v/>
      </c>
      <c r="N106" s="29">
        <f>IF(基础状态预期!I116="","",基础状态预期!I116)</f>
        <v>3</v>
      </c>
      <c r="O106" s="29">
        <f>IF(基础状态预期!J116="","",基础状态预期!J116)</f>
        <v>3</v>
      </c>
      <c r="P106" s="29">
        <f>武将进阶!O103</f>
        <v>0</v>
      </c>
      <c r="Q106" s="29">
        <f>武将进阶!P103</f>
        <v>0</v>
      </c>
      <c r="R106" s="29">
        <f>武将进阶!Q103</f>
        <v>48.339569707551831</v>
      </c>
      <c r="S106" s="29">
        <f>武将进阶!R103</f>
        <v>59.00935456132774</v>
      </c>
      <c r="T106" s="29">
        <f>武将进阶!S103</f>
        <v>0</v>
      </c>
      <c r="U106" s="29">
        <f>武将觉醒!T104</f>
        <v>0</v>
      </c>
      <c r="V106" s="29">
        <f>武将觉醒!U104</f>
        <v>0</v>
      </c>
      <c r="W106" s="29">
        <f>武将觉醒!V104</f>
        <v>0</v>
      </c>
      <c r="X106" s="29">
        <f>武将觉醒!W104</f>
        <v>12</v>
      </c>
      <c r="Y106" s="29">
        <f>武将觉醒!X104</f>
        <v>0</v>
      </c>
      <c r="Z106" s="29"/>
      <c r="AA106" s="29">
        <f>IF(L106="",0,同名需求(L106,武将升星!P103,B$6)+武将升星!U103)</f>
        <v>0</v>
      </c>
      <c r="AB106" s="29">
        <f>IF(M106="",0,同名需求(M106,武将升星!Q103,C$6)+武将升星!V103)</f>
        <v>0</v>
      </c>
      <c r="AC106" s="59">
        <f>IF(N106="",0,同名需求(N106,武将升星!R103,D$6*0.7)+武将升星!W103)</f>
        <v>138.66155846054897</v>
      </c>
      <c r="AD106" s="29">
        <f>IF(O106="",0,同名需求(O106,武将升星!S103,E$6)+武将升星!X103)</f>
        <v>16.256165190076672</v>
      </c>
      <c r="AE106" s="29">
        <f>MAX(U106+P106+IF(K106="",0,K106)*武将升星!O103,Z106)</f>
        <v>0</v>
      </c>
      <c r="AF106" s="29">
        <f>MAX(V106+Q106+IF(L106="",0,L106)*武将升星!P103,AA106)</f>
        <v>0</v>
      </c>
      <c r="AG106" s="29">
        <f>MAX(W106+R106+IF(M106="",0,M106)*武将升星!Q103,AB106)</f>
        <v>48.339569707551831</v>
      </c>
      <c r="AH106" s="29">
        <f>MAX(X106+S106+IF(N106="",0,N106)*武将升星!R103,AC106)</f>
        <v>138.66155846054897</v>
      </c>
      <c r="AI106" s="45">
        <f t="shared" si="110"/>
        <v>16.256165190076672</v>
      </c>
      <c r="AJ106" s="29">
        <f t="shared" si="111"/>
        <v>389684.31847058597</v>
      </c>
      <c r="AK106" s="14" t="e">
        <f>AJ106/求节点('[1]资源-钻石'!$K$4:$K$113,'[1]资源-钻石'!$N$4:$N$113,J106)</f>
        <v>#VALUE!</v>
      </c>
      <c r="AL106" s="16">
        <f t="shared" si="112"/>
        <v>8.6541649561901884E-2</v>
      </c>
      <c r="AM106" s="16"/>
      <c r="AN106" s="16"/>
      <c r="AO106" s="16"/>
      <c r="AP106" s="17">
        <v>13</v>
      </c>
      <c r="AR106" s="16">
        <f t="shared" si="128"/>
        <v>23.080149184551793</v>
      </c>
      <c r="AS106" s="29">
        <f>IF(基础状态预期!C116="","",基础状态预期!C116)</f>
        <v>62.999999999999993</v>
      </c>
      <c r="AT106" s="29">
        <f>求节点(节奏总纲!$R$4:$R$163,其他调用!$E$4:$E$163,$AS106)*求节点($CP$5:$CP$36,$CS$5:$CS$36,AS16)</f>
        <v>399647.74925623066</v>
      </c>
      <c r="AU106" s="37">
        <f t="shared" si="134"/>
        <v>0</v>
      </c>
      <c r="AV106" s="37">
        <f t="shared" si="114"/>
        <v>1</v>
      </c>
      <c r="AW106" s="38">
        <f t="shared" si="115"/>
        <v>0.4933333333333334</v>
      </c>
      <c r="AX106" s="38">
        <f t="shared" si="116"/>
        <v>0.26666666666666666</v>
      </c>
      <c r="AY106" s="38">
        <f t="shared" si="117"/>
        <v>0.04</v>
      </c>
      <c r="AZ106" s="38">
        <f t="shared" si="118"/>
        <v>2.4E-2</v>
      </c>
      <c r="BA106" s="29">
        <f t="shared" si="133"/>
        <v>111477.12056138512</v>
      </c>
      <c r="BB106" s="29">
        <f t="shared" si="129"/>
        <v>229.14741448729166</v>
      </c>
      <c r="BC106" s="29">
        <f t="shared" si="119"/>
        <v>123.86346729042791</v>
      </c>
      <c r="BD106" s="29">
        <f t="shared" si="120"/>
        <v>18.579520093564184</v>
      </c>
      <c r="BE106" s="29">
        <f t="shared" si="121"/>
        <v>11.147712056138511</v>
      </c>
      <c r="BF106" s="29">
        <f t="shared" si="130"/>
        <v>522.9</v>
      </c>
      <c r="BG106" s="29">
        <f t="shared" si="122"/>
        <v>94.499999999999986</v>
      </c>
      <c r="BH106" s="29">
        <f t="shared" si="122"/>
        <v>12.6</v>
      </c>
      <c r="BI106" s="29">
        <f t="shared" si="122"/>
        <v>0</v>
      </c>
      <c r="BJ106" s="29">
        <f>SUM(BB$97:BB106)+BF106</f>
        <v>1507.3948431807999</v>
      </c>
      <c r="BK106" s="29">
        <f>SUM(BC$97:BC106)+BG106</f>
        <v>538.55305472914517</v>
      </c>
      <c r="BL106" s="29">
        <f>SUM(BD$97:BD106)+BH106</f>
        <v>113.78301407371026</v>
      </c>
      <c r="BM106" s="29">
        <f>SUM(BE$97:BE106)+BI106</f>
        <v>16.256165190076672</v>
      </c>
      <c r="BN106" s="29">
        <f>SUM(BT$97:BT106)</f>
        <v>25.363088672698289</v>
      </c>
      <c r="BO106" s="17">
        <f t="shared" si="123"/>
        <v>11.141039483539505</v>
      </c>
      <c r="BP106" s="17">
        <f t="shared" si="124"/>
        <v>0.8205808108386653</v>
      </c>
      <c r="BQ106" s="17">
        <f t="shared" si="125"/>
        <v>1</v>
      </c>
      <c r="BR106" s="17">
        <f t="shared" si="131"/>
        <v>0</v>
      </c>
      <c r="BS106" s="17">
        <f t="shared" si="126"/>
        <v>80</v>
      </c>
      <c r="BT106" s="17">
        <f t="shared" si="132"/>
        <v>0</v>
      </c>
      <c r="BV106" s="17">
        <f t="shared" si="127"/>
        <v>54.773659512382523</v>
      </c>
      <c r="BW106" s="17">
        <v>102</v>
      </c>
      <c r="BX106" s="17">
        <f>'[1]资源-钻石'!L105/$B$2*$B$12*10</f>
        <v>12597.059611316445</v>
      </c>
      <c r="BY106" s="17">
        <f>'[1]资源-钻石'!M105/$B$2*$B$12*10</f>
        <v>16935.365205112659</v>
      </c>
      <c r="BZ106" s="17">
        <f>'[1]资源-钻石'!N105/$B$2*$B$12*10</f>
        <v>25635.116128525842</v>
      </c>
      <c r="CA106" s="17">
        <f>'[1]资源-钻石'!O105/$B$2*$B$12*10</f>
        <v>53893.563364381946</v>
      </c>
      <c r="CB106" s="17">
        <f>'[1]资源-钻石'!P105/$B$2*$B$12*10</f>
        <v>72407.295901067249</v>
      </c>
      <c r="CD106" s="17">
        <v>102</v>
      </c>
      <c r="CE106" s="17">
        <f>'[1]资源-钻石'!L105/$B$2*$C$12*10</f>
        <v>5102.6064248370412</v>
      </c>
      <c r="CF106" s="17">
        <f>'[1]资源-钻石'!M105/$B$2*$C$12*10</f>
        <v>6859.8947666279128</v>
      </c>
      <c r="CG106" s="17">
        <f>'[1]资源-钻石'!N105/$B$2*$C$12*10</f>
        <v>10383.844507757303</v>
      </c>
      <c r="CH106" s="17">
        <f>'[1]资源-钻石'!O105/$B$2*$C$12*10</f>
        <v>21830.304147597748</v>
      </c>
      <c r="CI106" s="17">
        <f>'[1]资源-钻石'!P105/$B$2*$C$12*10</f>
        <v>29329.537580179138</v>
      </c>
    </row>
    <row r="107" spans="8:106" x14ac:dyDescent="0.15">
      <c r="H107" s="16">
        <v>14</v>
      </c>
      <c r="I107" s="29">
        <f>IF(基础状态预期!C117="","",基础状态预期!C117)</f>
        <v>84</v>
      </c>
      <c r="J107" s="29">
        <f>IF(基础状态预期!D117="","",基础状态预期!D117)</f>
        <v>69.01697485309198</v>
      </c>
      <c r="K107" s="29" t="str">
        <f>IF(基础状态预期!F117="","",基础状态预期!F117)</f>
        <v/>
      </c>
      <c r="L107" s="29" t="str">
        <f>IF(基础状态预期!G117="","",基础状态预期!G117)</f>
        <v/>
      </c>
      <c r="M107" s="29" t="str">
        <f>IF(基础状态预期!H117="","",基础状态预期!H117)</f>
        <v/>
      </c>
      <c r="N107" s="29">
        <f>IF(基础状态预期!I117="","",基础状态预期!I117)</f>
        <v>2</v>
      </c>
      <c r="O107" s="29">
        <f>IF(基础状态预期!J117="","",基础状态预期!J117)</f>
        <v>4</v>
      </c>
      <c r="P107" s="29">
        <f>武将进阶!O104</f>
        <v>0</v>
      </c>
      <c r="Q107" s="29">
        <f>武将进阶!P104</f>
        <v>0</v>
      </c>
      <c r="R107" s="29">
        <f>武将进阶!Q104</f>
        <v>36.256295858968301</v>
      </c>
      <c r="S107" s="29">
        <f>武将进阶!R104</f>
        <v>90.768887576904916</v>
      </c>
      <c r="T107" s="29">
        <f>武将进阶!S104</f>
        <v>0</v>
      </c>
      <c r="U107" s="29">
        <f>武将觉醒!T105</f>
        <v>0</v>
      </c>
      <c r="V107" s="29">
        <f>武将觉醒!U105</f>
        <v>0</v>
      </c>
      <c r="W107" s="29">
        <f>武将觉醒!V105</f>
        <v>0</v>
      </c>
      <c r="X107" s="29">
        <f>武将觉醒!W105</f>
        <v>14</v>
      </c>
      <c r="Y107" s="29">
        <f>武将觉醒!X105</f>
        <v>0</v>
      </c>
      <c r="Z107" s="29"/>
      <c r="AA107" s="29">
        <f>IF(L107="",0,同名需求(L107,武将升星!P104,B$6)+武将升星!U104)</f>
        <v>0</v>
      </c>
      <c r="AB107" s="29">
        <f>IF(M107="",0,同名需求(M107,武将升星!Q104,C$6)+武将升星!V104)</f>
        <v>0</v>
      </c>
      <c r="AC107" s="59">
        <f>IF(N107="",0,同名需求(N107,武将升星!R104,D$6*0.7)+武将升星!W104)</f>
        <v>158.16078182322477</v>
      </c>
      <c r="AD107" s="29">
        <f>IF(O107="",0,同名需求(O107,武将升星!S104,E$6)+武将升星!X104)</f>
        <v>26.931256800838426</v>
      </c>
      <c r="AE107" s="29">
        <f>MAX(U107+P107+IF(K107="",0,K107)*武将升星!O104,Z107)</f>
        <v>0</v>
      </c>
      <c r="AF107" s="29">
        <f>MAX(V107+Q107+IF(L107="",0,L107)*武将升星!P104,AA107)</f>
        <v>0</v>
      </c>
      <c r="AG107" s="29">
        <f>MAX(W107+R107+IF(M107="",0,M107)*武将升星!Q104,AB107)</f>
        <v>36.256295858968301</v>
      </c>
      <c r="AH107" s="29">
        <f>MAX(X107+S107+IF(N107="",0,N107)*武将升星!R104,AC107)</f>
        <v>158.16078182322477</v>
      </c>
      <c r="AI107" s="45">
        <f t="shared" si="110"/>
        <v>26.931256800838426</v>
      </c>
      <c r="AJ107" s="29">
        <f t="shared" si="111"/>
        <v>473845.27517867397</v>
      </c>
      <c r="AK107" s="14" t="e">
        <f>AJ107/求节点('[1]资源-钻石'!$K$4:$K$113,'[1]资源-钻石'!$N$4:$N$113,J107)</f>
        <v>#VALUE!</v>
      </c>
      <c r="AL107" s="16">
        <f t="shared" si="112"/>
        <v>8.8517518936190545E-2</v>
      </c>
      <c r="AM107" s="16"/>
      <c r="AN107" s="16"/>
      <c r="AO107" s="16"/>
      <c r="AP107" s="17">
        <v>14</v>
      </c>
      <c r="AR107" s="16">
        <f t="shared" si="128"/>
        <v>22.101638945676505</v>
      </c>
      <c r="AS107" s="29">
        <f>IF(基础状态预期!C117="","",基础状态预期!C117)</f>
        <v>84</v>
      </c>
      <c r="AT107" s="29">
        <f>求节点(节奏总纲!$R$4:$R$163,其他调用!$E$4:$E$163,$AS107)*求节点($CP$5:$CP$36,$CS$5:$CS$36,AS17)</f>
        <v>506398.66536384821</v>
      </c>
      <c r="AU107" s="37">
        <f t="shared" si="134"/>
        <v>0</v>
      </c>
      <c r="AV107" s="37">
        <f t="shared" si="114"/>
        <v>1</v>
      </c>
      <c r="AW107" s="38">
        <f t="shared" si="115"/>
        <v>0.4933333333333334</v>
      </c>
      <c r="AX107" s="38">
        <f t="shared" si="116"/>
        <v>0.26666666666666666</v>
      </c>
      <c r="AY107" s="38">
        <f t="shared" si="117"/>
        <v>0.04</v>
      </c>
      <c r="AZ107" s="38">
        <f t="shared" si="118"/>
        <v>2.4E-2</v>
      </c>
      <c r="BA107" s="29">
        <f t="shared" si="133"/>
        <v>106750.91610761755</v>
      </c>
      <c r="BB107" s="29">
        <f t="shared" si="129"/>
        <v>219.43243866565834</v>
      </c>
      <c r="BC107" s="29">
        <f t="shared" si="119"/>
        <v>118.61212900846394</v>
      </c>
      <c r="BD107" s="29">
        <f t="shared" si="120"/>
        <v>17.791819351269591</v>
      </c>
      <c r="BE107" s="29">
        <f t="shared" si="121"/>
        <v>10.675091610761756</v>
      </c>
      <c r="BF107" s="29">
        <f t="shared" si="130"/>
        <v>697.2</v>
      </c>
      <c r="BG107" s="29">
        <f t="shared" si="122"/>
        <v>126</v>
      </c>
      <c r="BH107" s="29">
        <f t="shared" si="122"/>
        <v>16.8</v>
      </c>
      <c r="BI107" s="29">
        <f t="shared" si="122"/>
        <v>0</v>
      </c>
      <c r="BJ107" s="29">
        <f>SUM(BB$97:BB107)+BF107</f>
        <v>1901.1272818464583</v>
      </c>
      <c r="BK107" s="29">
        <f>SUM(BC$97:BC107)+BG107</f>
        <v>688.66518373760914</v>
      </c>
      <c r="BL107" s="29">
        <f>SUM(BD$97:BD107)+BH107</f>
        <v>135.77483342497987</v>
      </c>
      <c r="BM107" s="29">
        <f>SUM(BE$97:BE107)+BI107</f>
        <v>26.931256800838426</v>
      </c>
      <c r="BN107" s="29">
        <f>SUM(BT$97:BT107)</f>
        <v>25.363088672698289</v>
      </c>
      <c r="BO107" s="17">
        <f t="shared" si="123"/>
        <v>18.994361321863</v>
      </c>
      <c r="BP107" s="17">
        <f t="shared" si="124"/>
        <v>0.85846081348241243</v>
      </c>
      <c r="BQ107" s="17">
        <f t="shared" si="125"/>
        <v>1</v>
      </c>
      <c r="BR107" s="17">
        <f t="shared" si="131"/>
        <v>0</v>
      </c>
      <c r="BS107" s="17">
        <f t="shared" si="126"/>
        <v>80</v>
      </c>
      <c r="BT107" s="17">
        <f t="shared" si="132"/>
        <v>0</v>
      </c>
      <c r="BV107" s="17">
        <f t="shared" si="127"/>
        <v>45.005945848074958</v>
      </c>
      <c r="BW107" s="17">
        <v>103</v>
      </c>
      <c r="BX107" s="17">
        <f>'[1]资源-钻石'!L106/$B$2*$B$12*10</f>
        <v>13386.014963270538</v>
      </c>
      <c r="BY107" s="17">
        <f>'[1]资源-钻石'!M106/$B$2*$B$12*10</f>
        <v>17978.231932011207</v>
      </c>
      <c r="BZ107" s="17">
        <f>'[1]资源-钻石'!N106/$B$2*$B$12*10</f>
        <v>27256.746900261896</v>
      </c>
      <c r="CA107" s="17">
        <f>'[1]资源-钻石'!O106/$B$2*$B$12*10</f>
        <v>57609.920227025323</v>
      </c>
      <c r="CB107" s="17">
        <f>'[1]资源-钻石'!P106/$B$2*$B$12*10</f>
        <v>77455.903754740342</v>
      </c>
      <c r="CD107" s="17">
        <v>103</v>
      </c>
      <c r="CE107" s="17">
        <f>'[1]资源-钻石'!L106/$B$2*$C$12*10</f>
        <v>5422.183276261484</v>
      </c>
      <c r="CF107" s="17">
        <f>'[1]资源-钻石'!M106/$B$2*$C$12*10</f>
        <v>7282.321795245045</v>
      </c>
      <c r="CG107" s="17">
        <f>'[1]资源-钻石'!N106/$B$2*$C$12*10</f>
        <v>11040.707605169375</v>
      </c>
      <c r="CH107" s="17">
        <f>'[1]资源-钻石'!O106/$B$2*$C$12*10</f>
        <v>23335.663889427979</v>
      </c>
      <c r="CI107" s="17">
        <f>'[1]资源-钻石'!P106/$B$2*$C$12*10</f>
        <v>31374.543293059378</v>
      </c>
    </row>
    <row r="108" spans="8:106" x14ac:dyDescent="0.15">
      <c r="H108" s="17">
        <v>15</v>
      </c>
      <c r="I108" s="29">
        <f>IF(基础状态预期!C118="","",基础状态预期!C118)</f>
        <v>105</v>
      </c>
      <c r="J108" s="29">
        <f>IF(基础状态预期!D118="","",基础状态预期!D118)</f>
        <v>72.23150684883845</v>
      </c>
      <c r="K108" s="29" t="str">
        <f>IF(基础状态预期!F118="","",基础状态预期!F118)</f>
        <v/>
      </c>
      <c r="L108" s="29" t="str">
        <f>IF(基础状态预期!G118="","",基础状态预期!G118)</f>
        <v/>
      </c>
      <c r="M108" s="29" t="str">
        <f>IF(基础状态预期!H118="","",基础状态预期!H118)</f>
        <v/>
      </c>
      <c r="N108" s="29">
        <f>IF(基础状态预期!I118="","",基础状态预期!I118)</f>
        <v>1</v>
      </c>
      <c r="O108" s="29">
        <f>IF(基础状态预期!J118="","",基础状态预期!J118)</f>
        <v>5</v>
      </c>
      <c r="P108" s="29">
        <f>武将进阶!O105</f>
        <v>0</v>
      </c>
      <c r="Q108" s="29">
        <f>武将进阶!P105</f>
        <v>0</v>
      </c>
      <c r="R108" s="29">
        <f>武将进阶!Q105</f>
        <v>19.671123287442459</v>
      </c>
      <c r="S108" s="29">
        <f>武将进阶!R105</f>
        <v>125.03342465581845</v>
      </c>
      <c r="T108" s="29">
        <f>武将进阶!S105</f>
        <v>0</v>
      </c>
      <c r="U108" s="29">
        <f>武将觉醒!T106</f>
        <v>0</v>
      </c>
      <c r="V108" s="29">
        <f>武将觉醒!U106</f>
        <v>0</v>
      </c>
      <c r="W108" s="29">
        <f>武将觉醒!V106</f>
        <v>0</v>
      </c>
      <c r="X108" s="29">
        <f>武将觉醒!W106</f>
        <v>16</v>
      </c>
      <c r="Y108" s="29">
        <f>武将觉醒!X106</f>
        <v>0</v>
      </c>
      <c r="Z108" s="29"/>
      <c r="AA108" s="29">
        <f>IF(L108="",0,同名需求(L108,武将升星!P105,B$6)+武将升星!U105)</f>
        <v>0</v>
      </c>
      <c r="AB108" s="29">
        <f>IF(M108="",0,同名需求(M108,武将升星!Q105,C$6)+武将升星!V105)</f>
        <v>0</v>
      </c>
      <c r="AC108" s="59">
        <f>IF(N108="",0,同名需求(N108,武将升星!R105,D$6*0.7)+武将升星!W105)</f>
        <v>175.25151832116518</v>
      </c>
      <c r="AD108" s="29">
        <f>IF(O108="",0,同名需求(O108,武将升星!S105,E$6)+武将升星!X105)</f>
        <v>35.987782987566078</v>
      </c>
      <c r="AE108" s="29">
        <f>MAX(U108+P108+IF(K108="",0,K108)*武将升星!O105,Z108)</f>
        <v>0</v>
      </c>
      <c r="AF108" s="29">
        <f>MAX(V108+Q108+IF(L108="",0,L108)*武将升星!P105,AA108)</f>
        <v>0</v>
      </c>
      <c r="AG108" s="29">
        <f>MAX(W108+R108+IF(M108="",0,M108)*武将升星!Q105,AB108)</f>
        <v>19.671123287442459</v>
      </c>
      <c r="AH108" s="29">
        <f>MAX(X108+S108+IF(N108="",0,N108)*武将升星!R105,AC108)</f>
        <v>175.25151832116518</v>
      </c>
      <c r="AI108" s="45">
        <f t="shared" si="110"/>
        <v>35.987782987566078</v>
      </c>
      <c r="AJ108" s="29">
        <f t="shared" si="111"/>
        <v>546560.88442727772</v>
      </c>
      <c r="AK108" s="14" t="e">
        <f>AJ108/求节点('[1]资源-钻石'!$K$4:$K$113,'[1]资源-钻石'!$N$4:$N$113,J108)</f>
        <v>#VALUE!</v>
      </c>
      <c r="AL108" s="16">
        <f t="shared" si="112"/>
        <v>9.129735452949668E-2</v>
      </c>
      <c r="AM108" s="16"/>
      <c r="AN108" s="16"/>
      <c r="AO108" s="16"/>
      <c r="AP108" s="17">
        <v>15</v>
      </c>
      <c r="AR108" s="16">
        <f t="shared" si="128"/>
        <v>18.750571815171117</v>
      </c>
      <c r="AS108" s="29">
        <f>IF(基础状态预期!C118="","",基础状态预期!C118)</f>
        <v>105</v>
      </c>
      <c r="AT108" s="29">
        <f>求节点(节奏总纲!$R$4:$R$163,其他调用!$E$4:$E$163,$AS108)*求节点($CP$5:$CP$36,$CS$5:$CS$36,AS18)</f>
        <v>596963.92723112472</v>
      </c>
      <c r="AU108" s="37">
        <f t="shared" si="134"/>
        <v>0</v>
      </c>
      <c r="AV108" s="37">
        <f t="shared" si="114"/>
        <v>1</v>
      </c>
      <c r="AW108" s="38">
        <f t="shared" si="115"/>
        <v>0.4933333333333334</v>
      </c>
      <c r="AX108" s="38">
        <f t="shared" si="116"/>
        <v>0.26666666666666666</v>
      </c>
      <c r="AY108" s="38">
        <f t="shared" si="117"/>
        <v>0.04</v>
      </c>
      <c r="AZ108" s="38">
        <f t="shared" si="118"/>
        <v>2.4E-2</v>
      </c>
      <c r="BA108" s="29">
        <f t="shared" si="133"/>
        <v>90565.261867276509</v>
      </c>
      <c r="BB108" s="29">
        <f t="shared" si="129"/>
        <v>186.16192717162394</v>
      </c>
      <c r="BC108" s="29">
        <f t="shared" si="119"/>
        <v>100.62806874141833</v>
      </c>
      <c r="BD108" s="29">
        <f t="shared" si="120"/>
        <v>15.09421031121275</v>
      </c>
      <c r="BE108" s="29">
        <f t="shared" si="121"/>
        <v>9.0565261867276501</v>
      </c>
      <c r="BF108" s="29">
        <f t="shared" si="130"/>
        <v>871.50000000000011</v>
      </c>
      <c r="BG108" s="29">
        <f t="shared" si="122"/>
        <v>157.5</v>
      </c>
      <c r="BH108" s="29">
        <f t="shared" si="122"/>
        <v>21</v>
      </c>
      <c r="BI108" s="29">
        <f t="shared" si="122"/>
        <v>0</v>
      </c>
      <c r="BJ108" s="29">
        <f>SUM(BB$97:BB108)+BF108</f>
        <v>2261.5892090180823</v>
      </c>
      <c r="BK108" s="29">
        <f>SUM(BC$97:BC108)+BG108</f>
        <v>820.7932524790275</v>
      </c>
      <c r="BL108" s="29">
        <f>SUM(BD$97:BD108)+BH108</f>
        <v>155.06904373619261</v>
      </c>
      <c r="BM108" s="29">
        <f>SUM(BE$97:BE108)+BI108</f>
        <v>35.987782987566078</v>
      </c>
      <c r="BN108" s="29">
        <f>SUM(BT$97:BT108)</f>
        <v>25.363088672698289</v>
      </c>
      <c r="BO108" s="17">
        <f t="shared" si="123"/>
        <v>41.725794733999805</v>
      </c>
      <c r="BP108" s="17">
        <f t="shared" si="124"/>
        <v>0.88483709140832523</v>
      </c>
      <c r="BQ108" s="17">
        <f t="shared" si="125"/>
        <v>1</v>
      </c>
      <c r="BR108" s="17">
        <f t="shared" si="131"/>
        <v>0</v>
      </c>
      <c r="BS108" s="17">
        <f t="shared" si="126"/>
        <v>80</v>
      </c>
      <c r="BT108" s="17">
        <f t="shared" si="132"/>
        <v>0</v>
      </c>
      <c r="BV108" s="17">
        <f t="shared" si="127"/>
        <v>30.035619080374161</v>
      </c>
      <c r="BW108" s="17">
        <v>104</v>
      </c>
      <c r="BX108" s="17">
        <f>'[1]资源-钻石'!L107/$B$2*$B$12*10</f>
        <v>14231.596372620908</v>
      </c>
      <c r="BY108" s="17">
        <f>'[1]资源-钻石'!M107/$B$2*$B$12*10</f>
        <v>19145.636360789322</v>
      </c>
      <c r="BZ108" s="17">
        <f>'[1]资源-钻石'!N107/$B$2*$B$12*10</f>
        <v>29131.799882226129</v>
      </c>
      <c r="CA108" s="17">
        <f>'[1]资源-钻石'!O107/$B$2*$B$12*10</f>
        <v>61785.467538010125</v>
      </c>
      <c r="CB108" s="17">
        <f>'[1]资源-钻石'!P107/$B$2*$B$12*10</f>
        <v>83045.656866622026</v>
      </c>
      <c r="CD108" s="17">
        <v>104</v>
      </c>
      <c r="CE108" s="17">
        <f>'[1]资源-钻石'!L107/$B$2*$C$12*10</f>
        <v>5764.6972648591018</v>
      </c>
      <c r="CF108" s="17">
        <f>'[1]资源-钻石'!M107/$B$2*$C$12*10</f>
        <v>7755.1944752564341</v>
      </c>
      <c r="CG108" s="17">
        <f>'[1]资源-钻石'!N107/$B$2*$C$12*10</f>
        <v>11800.222737104254</v>
      </c>
      <c r="CH108" s="17">
        <f>'[1]资源-钻石'!O107/$B$2*$C$12*10</f>
        <v>25027.024825523091</v>
      </c>
      <c r="CI108" s="17">
        <f>'[1]资源-钻石'!P107/$B$2*$C$12*10</f>
        <v>33638.747085213989</v>
      </c>
    </row>
    <row r="109" spans="8:106" x14ac:dyDescent="0.15">
      <c r="H109" s="16">
        <v>16</v>
      </c>
      <c r="I109" s="29">
        <f>IF(基础状态预期!C119="","",基础状态预期!C119)</f>
        <v>125.99999999999999</v>
      </c>
      <c r="J109" s="29">
        <f>IF(基础状态预期!D119="","",基础状态预期!D119)</f>
        <v>74.840792411391348</v>
      </c>
      <c r="K109" s="29" t="str">
        <f>IF(基础状态预期!F119="","",基础状态预期!F119)</f>
        <v/>
      </c>
      <c r="L109" s="29" t="str">
        <f>IF(基础状态预期!G119="","",基础状态预期!G119)</f>
        <v/>
      </c>
      <c r="M109" s="29" t="str">
        <f>IF(基础状态预期!H119="","",基础状态预期!H119)</f>
        <v/>
      </c>
      <c r="N109" s="29">
        <f>IF(基础状态预期!I119="","",基础状态预期!I119)</f>
        <v>0.5</v>
      </c>
      <c r="O109" s="29">
        <f>IF(基础状态预期!J119="","",基础状态预期!J119)</f>
        <v>5.5</v>
      </c>
      <c r="P109" s="29">
        <f>武将进阶!O106</f>
        <v>0</v>
      </c>
      <c r="Q109" s="29">
        <f>武将进阶!P106</f>
        <v>0</v>
      </c>
      <c r="R109" s="29">
        <f>武将进阶!Q106</f>
        <v>10.461790178733922</v>
      </c>
      <c r="S109" s="29">
        <f>武将进阶!R106</f>
        <v>147.86953794910974</v>
      </c>
      <c r="T109" s="29">
        <f>武将进阶!S106</f>
        <v>0</v>
      </c>
      <c r="U109" s="29">
        <f>武将觉醒!T107</f>
        <v>0</v>
      </c>
      <c r="V109" s="29">
        <f>武将觉醒!U107</f>
        <v>0</v>
      </c>
      <c r="W109" s="29">
        <f>武将觉醒!V107</f>
        <v>0</v>
      </c>
      <c r="X109" s="29">
        <f>武将觉醒!W107</f>
        <v>17</v>
      </c>
      <c r="Y109" s="29">
        <f>武将觉醒!X107</f>
        <v>0</v>
      </c>
      <c r="Z109" s="29"/>
      <c r="AA109" s="29">
        <f>IF(L109="",0,同名需求(L109,武将升星!P106,B$6)+武将升星!U106)</f>
        <v>0</v>
      </c>
      <c r="AB109" s="29">
        <f>IF(M109="",0,同名需求(M109,武将升星!Q106,C$6)+武将升星!V106)</f>
        <v>0</v>
      </c>
      <c r="AC109" s="59">
        <f>IF(N109="",0,同名需求(N109,武将升星!R106,D$6*0.7)+武将升星!W106)</f>
        <v>194.65683842078755</v>
      </c>
      <c r="AD109" s="29">
        <f>IF(O109="",0,同名需求(O109,武将升星!S106,E$6)+武将升星!X106)</f>
        <v>47.592952997214283</v>
      </c>
      <c r="AE109" s="29">
        <f>MAX(U109+P109+IF(K109="",0,K109)*武将升星!O106,Z109)</f>
        <v>0</v>
      </c>
      <c r="AF109" s="29">
        <f>MAX(V109+Q109+IF(L109="",0,L109)*武将升星!P106,AA109)</f>
        <v>0</v>
      </c>
      <c r="AG109" s="29">
        <f>MAX(W109+R109+IF(M109="",0,M109)*武将升星!Q106,AB109)</f>
        <v>10.461790178733922</v>
      </c>
      <c r="AH109" s="29">
        <f>MAX(X109+S109+IF(N109="",0,N109)*武将升星!R106,AC109)</f>
        <v>194.65683842078755</v>
      </c>
      <c r="AI109" s="45">
        <f t="shared" si="110"/>
        <v>47.592952997214283</v>
      </c>
      <c r="AJ109" s="29">
        <f t="shared" si="111"/>
        <v>633751.74770014011</v>
      </c>
      <c r="AK109" s="14" t="e">
        <f>AJ109/求节点('[1]资源-钻石'!$K$4:$K$113,'[1]资源-钻石'!$N$4:$N$113,J109)</f>
        <v>#VALUE!</v>
      </c>
      <c r="AL109" s="16">
        <f t="shared" si="112"/>
        <v>8.733317636265768E-2</v>
      </c>
      <c r="AM109" s="16"/>
      <c r="AN109" s="16"/>
      <c r="AO109" s="16"/>
      <c r="AP109" s="17">
        <v>16</v>
      </c>
      <c r="AR109" s="16">
        <f t="shared" si="128"/>
        <v>16.76485284999384</v>
      </c>
      <c r="AS109" s="29">
        <f>IF(基础状态预期!C119="","",基础状态预期!C119)</f>
        <v>125.99999999999999</v>
      </c>
      <c r="AT109" s="29">
        <f>求节点(节奏总纲!$R$4:$R$163,其他调用!$E$4:$E$163,$AS109)*求节点($CP$5:$CP$36,$CS$5:$CS$36,AS19)</f>
        <v>677938.1664965949</v>
      </c>
      <c r="AU109" s="37">
        <f t="shared" si="134"/>
        <v>0</v>
      </c>
      <c r="AV109" s="37">
        <f t="shared" si="114"/>
        <v>1</v>
      </c>
      <c r="AW109" s="38">
        <f t="shared" si="115"/>
        <v>0.4933333333333334</v>
      </c>
      <c r="AX109" s="38">
        <f t="shared" si="116"/>
        <v>0.26666666666666666</v>
      </c>
      <c r="AY109" s="38">
        <f t="shared" si="117"/>
        <v>0.04</v>
      </c>
      <c r="AZ109" s="38">
        <f t="shared" si="118"/>
        <v>2.4E-2</v>
      </c>
      <c r="BA109" s="29">
        <f t="shared" si="133"/>
        <v>80974.239265470183</v>
      </c>
      <c r="BB109" s="29">
        <f t="shared" si="129"/>
        <v>166.44704737902208</v>
      </c>
      <c r="BC109" s="29">
        <f t="shared" si="119"/>
        <v>89.971376961633538</v>
      </c>
      <c r="BD109" s="29">
        <f t="shared" si="120"/>
        <v>13.495706544245031</v>
      </c>
      <c r="BE109" s="29">
        <f t="shared" si="121"/>
        <v>8.0974239265470196</v>
      </c>
      <c r="BF109" s="29">
        <f t="shared" si="130"/>
        <v>1045.8</v>
      </c>
      <c r="BG109" s="29">
        <f t="shared" si="122"/>
        <v>188.99999999999997</v>
      </c>
      <c r="BH109" s="29">
        <f t="shared" si="122"/>
        <v>25.2</v>
      </c>
      <c r="BI109" s="29">
        <f t="shared" si="122"/>
        <v>0</v>
      </c>
      <c r="BJ109" s="29">
        <f>SUM(BB$97:BB109)+BF109</f>
        <v>2602.3362563971041</v>
      </c>
      <c r="BK109" s="29">
        <f>SUM(BC$97:BC109)+BG109</f>
        <v>942.264629440661</v>
      </c>
      <c r="BL109" s="29">
        <f>SUM(BD$97:BD109)+BH109</f>
        <v>172.76475028043762</v>
      </c>
      <c r="BM109" s="29">
        <f>SUM(BE$97:BE109)+BI109</f>
        <v>44.085206914113101</v>
      </c>
      <c r="BN109" s="29">
        <f>SUM(BT$97:BT109)</f>
        <v>25.363088672698289</v>
      </c>
      <c r="BO109" s="17">
        <f t="shared" si="123"/>
        <v>90.067245982053635</v>
      </c>
      <c r="BP109" s="17">
        <f t="shared" si="124"/>
        <v>0.88753496502893958</v>
      </c>
      <c r="BQ109" s="17">
        <f t="shared" si="125"/>
        <v>0.9262969439339791</v>
      </c>
      <c r="BR109" s="17">
        <f t="shared" si="131"/>
        <v>0</v>
      </c>
      <c r="BS109" s="17">
        <f t="shared" si="126"/>
        <v>80</v>
      </c>
      <c r="BT109" s="17">
        <f t="shared" si="132"/>
        <v>0</v>
      </c>
      <c r="BV109" s="17">
        <f t="shared" si="127"/>
        <v>24.895212331327883</v>
      </c>
      <c r="BW109" s="17">
        <v>105</v>
      </c>
      <c r="BX109" s="17">
        <f>'[1]资源-钻石'!L108/$B$2*$B$12*10</f>
        <v>15133.984207533442</v>
      </c>
      <c r="BY109" s="17">
        <f>'[1]资源-钻石'!M108/$B$2*$B$12*10</f>
        <v>20414.590364045394</v>
      </c>
      <c r="BZ109" s="17">
        <f>'[1]资源-钻石'!N108/$B$2*$B$12*10</f>
        <v>31120.227280500734</v>
      </c>
      <c r="CA109" s="17">
        <f>'[1]资源-钻石'!O108/$B$2*$B$12*10</f>
        <v>66179.47482589788</v>
      </c>
      <c r="CB109" s="17">
        <f>'[1]资源-钻石'!P108/$B$2*$B$12*10</f>
        <v>88876.68675067625</v>
      </c>
      <c r="CD109" s="17">
        <v>105</v>
      </c>
      <c r="CE109" s="17">
        <f>'[1]资源-钻石'!L108/$B$2*$C$12*10</f>
        <v>6130.2214511527873</v>
      </c>
      <c r="CF109" s="17">
        <f>'[1]资源-钻石'!M108/$B$2*$C$12*10</f>
        <v>8269.2011601196537</v>
      </c>
      <c r="CG109" s="17">
        <f>'[1]资源-钻石'!N108/$B$2*$C$12*10</f>
        <v>12605.661683240804</v>
      </c>
      <c r="CH109" s="17">
        <f>'[1]资源-钻石'!O108/$B$2*$C$12*10</f>
        <v>26806.875878844712</v>
      </c>
      <c r="CI109" s="17">
        <f>'[1]资源-钻石'!P108/$B$2*$C$12*10</f>
        <v>36000.683240780258</v>
      </c>
    </row>
    <row r="110" spans="8:106" x14ac:dyDescent="0.15">
      <c r="H110" s="17">
        <v>17</v>
      </c>
      <c r="I110" s="29">
        <f>IF(基础状态预期!C120="","",基础状态预期!C120)</f>
        <v>154</v>
      </c>
      <c r="J110" s="29">
        <f>IF(基础状态预期!D120="","",基础状态预期!D120)</f>
        <v>77.697893604818219</v>
      </c>
      <c r="K110" s="29" t="str">
        <f>IF(基础状态预期!F120="","",基础状态预期!F120)</f>
        <v/>
      </c>
      <c r="L110" s="29" t="str">
        <f>IF(基础状态预期!G120="","",基础状态预期!G120)</f>
        <v/>
      </c>
      <c r="M110" s="29" t="str">
        <f>IF(基础状态预期!H120="","",基础状态预期!H120)</f>
        <v/>
      </c>
      <c r="N110" s="29" t="str">
        <f>IF(基础状态预期!I120="","",基础状态预期!I120)</f>
        <v/>
      </c>
      <c r="O110" s="29">
        <f>IF(基础状态预期!J120="","",基础状态预期!J120)</f>
        <v>6</v>
      </c>
      <c r="P110" s="29">
        <f>武将进阶!O107</f>
        <v>0</v>
      </c>
      <c r="Q110" s="29">
        <f>武将进阶!P107</f>
        <v>0</v>
      </c>
      <c r="R110" s="29">
        <f>武将进阶!Q107</f>
        <v>0</v>
      </c>
      <c r="S110" s="29">
        <f>武将进阶!R107</f>
        <v>181.42483395469122</v>
      </c>
      <c r="T110" s="29">
        <f>武将进阶!S107</f>
        <v>0</v>
      </c>
      <c r="U110" s="29">
        <f>武将觉醒!T108</f>
        <v>0</v>
      </c>
      <c r="V110" s="29">
        <f>武将觉醒!U108</f>
        <v>0</v>
      </c>
      <c r="W110" s="29">
        <f>武将觉醒!V108</f>
        <v>0</v>
      </c>
      <c r="X110" s="29">
        <f>武将觉醒!W108</f>
        <v>0</v>
      </c>
      <c r="Y110" s="29">
        <f>武将觉醒!X108</f>
        <v>0</v>
      </c>
      <c r="Z110" s="29"/>
      <c r="AA110" s="29">
        <f>IF(L110="",0,同名需求(L110,武将升星!P107,B$6)+武将升星!U107)</f>
        <v>0</v>
      </c>
      <c r="AB110" s="29">
        <f>IF(M110="",0,同名需求(M110,武将升星!Q107,C$6)+武将升星!V107)</f>
        <v>0</v>
      </c>
      <c r="AC110" s="59">
        <f>IF(N110="",0,同名需求(N110,武将升星!R107,D$6*0.7)+武将升星!W107)</f>
        <v>0</v>
      </c>
      <c r="AD110" s="29">
        <f>IF(O110="",0,同名需求(O110,武将升星!S107,E$6)+武将升星!X107)</f>
        <v>54.983983529820208</v>
      </c>
      <c r="AE110" s="29">
        <f>MAX(U110+P110+IF(K110="",0,K110)*武将升星!O107,Z110)</f>
        <v>0</v>
      </c>
      <c r="AF110" s="29">
        <f>MAX(V110+Q110+IF(L110="",0,L110)*武将升星!P107,AA110)</f>
        <v>0</v>
      </c>
      <c r="AG110" s="29">
        <f>MAX(W110+R110+IF(M110="",0,M110)*武将升星!Q107,AB110)</f>
        <v>0</v>
      </c>
      <c r="AH110" s="29">
        <f>MAX(X110+S110+IF(N110="",0,N110)*武将升星!R107,AC110)</f>
        <v>181.42483395469122</v>
      </c>
      <c r="AI110" s="45">
        <f t="shared" si="110"/>
        <v>54.983983529820208</v>
      </c>
      <c r="AJ110" s="29">
        <f t="shared" si="111"/>
        <v>627863.54384562955</v>
      </c>
      <c r="AK110" s="14" t="e">
        <f>AJ110/求节点('[1]资源-钻石'!$K$4:$K$113,'[1]资源-钻石'!$N$4:$N$113,J110)</f>
        <v>#VALUE!</v>
      </c>
      <c r="AL110" s="16" t="e">
        <f t="shared" si="112"/>
        <v>#DIV/0!</v>
      </c>
      <c r="AM110" s="16"/>
      <c r="AN110" s="16"/>
      <c r="AO110" s="16"/>
      <c r="AP110" s="17">
        <v>17</v>
      </c>
      <c r="AR110" s="16">
        <f t="shared" si="128"/>
        <v>16.923566173458219</v>
      </c>
      <c r="AS110" s="29">
        <f>IF(基础状态预期!C120="","",基础状态预期!C120)</f>
        <v>154</v>
      </c>
      <c r="AT110" s="29">
        <f>求节点(节奏总纲!$R$4:$R$163,其他调用!$E$4:$E$163,$AS110)*求节点($CP$5:$CP$36,$CS$5:$CS$36,AS20)</f>
        <v>786925.93265366589</v>
      </c>
      <c r="AU110" s="37">
        <f t="shared" si="134"/>
        <v>0</v>
      </c>
      <c r="AV110" s="37">
        <f t="shared" si="114"/>
        <v>1</v>
      </c>
      <c r="AW110" s="38">
        <f t="shared" si="115"/>
        <v>0.4933333333333334</v>
      </c>
      <c r="AX110" s="38">
        <f t="shared" si="116"/>
        <v>0.26666666666666666</v>
      </c>
      <c r="AY110" s="38">
        <f t="shared" si="117"/>
        <v>0.04</v>
      </c>
      <c r="AZ110" s="38">
        <f t="shared" si="118"/>
        <v>2.4E-2</v>
      </c>
      <c r="BA110" s="29">
        <f t="shared" si="133"/>
        <v>108987.76615707099</v>
      </c>
      <c r="BB110" s="29">
        <f t="shared" si="129"/>
        <v>224.03040821175708</v>
      </c>
      <c r="BC110" s="29">
        <f t="shared" si="119"/>
        <v>121.0975179523011</v>
      </c>
      <c r="BD110" s="29">
        <f t="shared" si="120"/>
        <v>18.164627692845166</v>
      </c>
      <c r="BE110" s="29">
        <f t="shared" si="121"/>
        <v>10.898776615707099</v>
      </c>
      <c r="BF110" s="29">
        <f t="shared" si="130"/>
        <v>1278.2</v>
      </c>
      <c r="BG110" s="29">
        <f t="shared" si="122"/>
        <v>231</v>
      </c>
      <c r="BH110" s="29">
        <f t="shared" si="122"/>
        <v>30.8</v>
      </c>
      <c r="BI110" s="29">
        <f t="shared" si="122"/>
        <v>0</v>
      </c>
      <c r="BJ110" s="29">
        <f>SUM(BB$97:BB110)+BF110</f>
        <v>3058.7666646088614</v>
      </c>
      <c r="BK110" s="29">
        <f>SUM(BC$97:BC110)+BG110</f>
        <v>1105.362147392962</v>
      </c>
      <c r="BL110" s="29">
        <f>SUM(BD$97:BD110)+BH110</f>
        <v>196.52937797328281</v>
      </c>
      <c r="BM110" s="29">
        <f>SUM(BE$97:BE110)+BI110</f>
        <v>54.9839835298202</v>
      </c>
      <c r="BN110" s="29">
        <f>SUM(BT$97:BT110)</f>
        <v>25.363088672698289</v>
      </c>
      <c r="BO110" s="17" t="e">
        <f t="shared" si="123"/>
        <v>#DIV/0!</v>
      </c>
      <c r="BP110" s="17">
        <f t="shared" si="124"/>
        <v>1.0832551073044596</v>
      </c>
      <c r="BQ110" s="17">
        <f t="shared" si="125"/>
        <v>0.99999999999999989</v>
      </c>
      <c r="BR110" s="17">
        <f t="shared" si="131"/>
        <v>0</v>
      </c>
      <c r="BS110" s="17">
        <f t="shared" si="126"/>
        <v>80</v>
      </c>
      <c r="BT110" s="17">
        <f t="shared" si="132"/>
        <v>0</v>
      </c>
      <c r="BV110" s="17">
        <f t="shared" si="127"/>
        <v>15.104544018591582</v>
      </c>
      <c r="BW110" s="17">
        <v>106</v>
      </c>
      <c r="BX110" s="17">
        <f>'[1]资源-钻石'!L109/$B$2*$B$12*10</f>
        <v>16048.879467965553</v>
      </c>
      <c r="BY110" s="17">
        <f>'[1]资源-钻石'!M109/$B$2*$B$12*10</f>
        <v>21766.829603556525</v>
      </c>
      <c r="BZ110" s="17">
        <f>'[1]资源-钻石'!N109/$B$2*$B$12*10</f>
        <v>33217.710070893736</v>
      </c>
      <c r="CA110" s="17">
        <f>'[1]资源-钻石'!O109/$B$2*$B$12*10</f>
        <v>70735.459587705074</v>
      </c>
      <c r="CB110" s="17">
        <f>'[1]资源-钻石'!P109/$B$2*$B$12*10</f>
        <v>94776.931754753488</v>
      </c>
      <c r="CD110" s="17">
        <v>106</v>
      </c>
      <c r="CE110" s="17">
        <f>'[1]资源-钻石'!L109/$B$2*$C$12*10</f>
        <v>6500.8119363911101</v>
      </c>
      <c r="CF110" s="17">
        <f>'[1]资源-钻石'!M109/$B$2*$C$12*10</f>
        <v>8816.9436368836559</v>
      </c>
      <c r="CG110" s="17">
        <f>'[1]资源-钻石'!N109/$B$2*$C$12*10</f>
        <v>13455.274965425309</v>
      </c>
      <c r="CH110" s="17">
        <f>'[1]资源-钻石'!O109/$B$2*$C$12*10</f>
        <v>28652.338060842558</v>
      </c>
      <c r="CI110" s="17">
        <f>'[1]资源-钻石'!P109/$B$2*$C$12*10</f>
        <v>38390.655900659636</v>
      </c>
    </row>
    <row r="111" spans="8:106" x14ac:dyDescent="0.15">
      <c r="H111" s="16">
        <v>18</v>
      </c>
      <c r="I111" s="29">
        <f>IF(基础状态预期!C121="","",基础状态预期!C121)</f>
        <v>182</v>
      </c>
      <c r="J111" s="29">
        <f>IF(基础状态预期!D121="","",基础状态预期!D121)</f>
        <v>80.134867890916794</v>
      </c>
      <c r="K111" s="29" t="str">
        <f>IF(基础状态预期!F121="","",基础状态预期!F121)</f>
        <v/>
      </c>
      <c r="L111" s="29" t="str">
        <f>IF(基础状态预期!G121="","",基础状态预期!G121)</f>
        <v/>
      </c>
      <c r="M111" s="29" t="str">
        <f>IF(基础状态预期!H121="","",基础状态预期!H121)</f>
        <v/>
      </c>
      <c r="N111" s="29" t="str">
        <f>IF(基础状态预期!I121="","",基础状态预期!I121)</f>
        <v/>
      </c>
      <c r="O111" s="29">
        <f>IF(基础状态预期!J121="","",基础状态预期!J121)</f>
        <v>6</v>
      </c>
      <c r="P111" s="29">
        <f>武将进阶!O108</f>
        <v>0</v>
      </c>
      <c r="Q111" s="29">
        <f>武将进阶!P108</f>
        <v>0</v>
      </c>
      <c r="R111" s="29">
        <f>武将进阶!Q108</f>
        <v>0</v>
      </c>
      <c r="S111" s="29">
        <f>武将进阶!R108</f>
        <v>198.97104881460092</v>
      </c>
      <c r="T111" s="29">
        <f>武将进阶!S108</f>
        <v>0</v>
      </c>
      <c r="U111" s="29">
        <f>武将觉醒!T109</f>
        <v>0</v>
      </c>
      <c r="V111" s="29">
        <f>武将觉醒!U109</f>
        <v>0</v>
      </c>
      <c r="W111" s="29">
        <f>武将觉醒!V109</f>
        <v>0</v>
      </c>
      <c r="X111" s="29">
        <f>武将觉醒!W109</f>
        <v>0</v>
      </c>
      <c r="Y111" s="29">
        <f>武将觉醒!X109</f>
        <v>0</v>
      </c>
      <c r="Z111" s="29"/>
      <c r="AA111" s="29">
        <f>IF(L111="",0,同名需求(L111,武将升星!P108,B$6)+武将升星!U108)</f>
        <v>0</v>
      </c>
      <c r="AB111" s="29">
        <f>IF(M111="",0,同名需求(M111,武将升星!Q108,C$6)+武将升星!V108)</f>
        <v>0</v>
      </c>
      <c r="AC111" s="59">
        <f>IF(N111="",0,同名需求(N111,武将升星!R108,D$6*0.7)+武将升星!W108)</f>
        <v>0</v>
      </c>
      <c r="AD111" s="29">
        <f>IF(O111="",0,同名需求(O111,武将升星!S108,E$6)+武将升星!X108)</f>
        <v>65.197754986823384</v>
      </c>
      <c r="AE111" s="29">
        <f>MAX(U111+P111+IF(K111="",0,K111)*武将升星!O108,Z111)</f>
        <v>0</v>
      </c>
      <c r="AF111" s="29">
        <f>MAX(V111+Q111+IF(L111="",0,L111)*武将升星!P108,AA111)</f>
        <v>0</v>
      </c>
      <c r="AG111" s="29">
        <f>MAX(W111+R111+IF(M111="",0,M111)*武将升星!Q108,AB111)</f>
        <v>0</v>
      </c>
      <c r="AH111" s="29">
        <f>MAX(X111+S111+IF(N111="",0,N111)*武将升星!R108,AC111)</f>
        <v>198.97104881460092</v>
      </c>
      <c r="AI111" s="45">
        <f t="shared" si="110"/>
        <v>65.197754986823384</v>
      </c>
      <c r="AJ111" s="29">
        <f t="shared" si="111"/>
        <v>705722.65960892406</v>
      </c>
      <c r="AK111" s="14" t="e">
        <f>AJ111/求节点('[1]资源-钻石'!$K$4:$K$113,'[1]资源-钻石'!$N$4:$N$113,J111)</f>
        <v>#VALUE!</v>
      </c>
      <c r="AL111" s="16" t="e">
        <f t="shared" si="112"/>
        <v>#DIV/0!</v>
      </c>
      <c r="AM111" s="16"/>
      <c r="AN111" s="16"/>
      <c r="AO111" s="16"/>
      <c r="AP111" s="17">
        <v>18</v>
      </c>
      <c r="AR111" s="16">
        <f t="shared" si="128"/>
        <v>15.859893566775133</v>
      </c>
      <c r="AS111" s="29">
        <f>IF(基础状态预期!C121="","",基础状态预期!C121)</f>
        <v>182</v>
      </c>
      <c r="AT111" s="29">
        <f>求节点(节奏总纲!$R$4:$R$163,其他调用!$E$4:$E$163,$AS111)*求节点($CP$5:$CP$36,$CS$5:$CS$36,AS21)</f>
        <v>889063.64722369774</v>
      </c>
      <c r="AU111" s="37">
        <f t="shared" si="134"/>
        <v>0</v>
      </c>
      <c r="AV111" s="37">
        <f t="shared" si="114"/>
        <v>1</v>
      </c>
      <c r="AW111" s="38">
        <f t="shared" si="115"/>
        <v>0.4933333333333334</v>
      </c>
      <c r="AX111" s="38">
        <f t="shared" si="116"/>
        <v>0.26666666666666666</v>
      </c>
      <c r="AY111" s="38">
        <f t="shared" si="117"/>
        <v>0.04</v>
      </c>
      <c r="AZ111" s="38">
        <f t="shared" si="118"/>
        <v>2.4E-2</v>
      </c>
      <c r="BA111" s="29">
        <f t="shared" si="133"/>
        <v>102137.71457003185</v>
      </c>
      <c r="BB111" s="29">
        <f t="shared" si="129"/>
        <v>209.94974661617661</v>
      </c>
      <c r="BC111" s="29">
        <f t="shared" si="119"/>
        <v>113.48634952225761</v>
      </c>
      <c r="BD111" s="29">
        <f t="shared" si="120"/>
        <v>17.022952428338641</v>
      </c>
      <c r="BE111" s="29">
        <f t="shared" si="121"/>
        <v>10.213771457003185</v>
      </c>
      <c r="BF111" s="29">
        <f t="shared" si="130"/>
        <v>1510.6000000000001</v>
      </c>
      <c r="BG111" s="29">
        <f t="shared" si="122"/>
        <v>273</v>
      </c>
      <c r="BH111" s="29">
        <f t="shared" si="122"/>
        <v>36.4</v>
      </c>
      <c r="BI111" s="29">
        <f t="shared" si="122"/>
        <v>0</v>
      </c>
      <c r="BJ111" s="29">
        <f>SUM(BB$97:BB111)+BF111</f>
        <v>3501.1164112250381</v>
      </c>
      <c r="BK111" s="29">
        <f>SUM(BC$97:BC111)+BG111</f>
        <v>1260.8484969152196</v>
      </c>
      <c r="BL111" s="29">
        <f>SUM(BD$97:BD111)+BH111</f>
        <v>219.15233040162144</v>
      </c>
      <c r="BM111" s="29">
        <f>SUM(BE$97:BE111)+BI111</f>
        <v>65.197754986823384</v>
      </c>
      <c r="BN111" s="29">
        <f>SUM(BT$97:BT111)</f>
        <v>25.363088672698289</v>
      </c>
      <c r="BO111" s="17" t="e">
        <f t="shared" si="123"/>
        <v>#DIV/0!</v>
      </c>
      <c r="BP111" s="17">
        <f t="shared" si="124"/>
        <v>1.1014282314299164</v>
      </c>
      <c r="BQ111" s="17">
        <f t="shared" si="125"/>
        <v>1</v>
      </c>
      <c r="BR111" s="17">
        <f t="shared" si="131"/>
        <v>0</v>
      </c>
      <c r="BS111" s="17">
        <f t="shared" si="126"/>
        <v>80</v>
      </c>
      <c r="BT111" s="17">
        <f t="shared" si="132"/>
        <v>0</v>
      </c>
      <c r="BV111" s="17">
        <f t="shared" si="127"/>
        <v>20.181281587020521</v>
      </c>
      <c r="BW111" s="17">
        <v>107</v>
      </c>
      <c r="BX111" s="17">
        <f>'[1]资源-钻石'!L110/$B$2*$B$12*10</f>
        <v>17029.439929096934</v>
      </c>
      <c r="BY111" s="17">
        <f>'[1]资源-钻石'!M110/$B$2*$B$12*10</f>
        <v>23192.048730824907</v>
      </c>
      <c r="BZ111" s="17">
        <f>'[1]资源-钻石'!N110/$B$2*$B$12*10</f>
        <v>35475.819077217304</v>
      </c>
      <c r="CA111" s="17">
        <f>'[1]资源-钻石'!O110/$B$2*$B$12*10</f>
        <v>75370.103047112352</v>
      </c>
      <c r="CB111" s="17">
        <f>'[1]资源-钻石'!P110/$B$2*$B$12*10</f>
        <v>101000.67819738452</v>
      </c>
      <c r="CD111" s="17">
        <v>107</v>
      </c>
      <c r="CE111" s="17">
        <f>'[1]资源-钻石'!L110/$B$2*$C$12*10</f>
        <v>6898.0009839379991</v>
      </c>
      <c r="CF111" s="17">
        <f>'[1]资源-钻石'!M110/$B$2*$C$12*10</f>
        <v>9394.2475871695824</v>
      </c>
      <c r="CG111" s="17">
        <f>'[1]资源-钻石'!N110/$B$2*$C$12*10</f>
        <v>14369.952031277897</v>
      </c>
      <c r="CH111" s="17">
        <f>'[1]资源-钻石'!O110/$B$2*$C$12*10</f>
        <v>30529.661993767026</v>
      </c>
      <c r="CI111" s="17">
        <f>'[1]资源-钻石'!P110/$B$2*$C$12*10</f>
        <v>40911.6671179279</v>
      </c>
    </row>
    <row r="112" spans="8:106" x14ac:dyDescent="0.15">
      <c r="H112" s="17">
        <v>19</v>
      </c>
      <c r="I112" s="29">
        <f>IF(基础状态预期!C122="","",基础状态预期!C122)</f>
        <v>210</v>
      </c>
      <c r="J112" s="29">
        <f>IF(基础状态预期!D122="","",基础状态预期!D122)</f>
        <v>82.238672852681816</v>
      </c>
      <c r="K112" s="29" t="str">
        <f>IF(基础状态预期!F122="","",基础状态预期!F122)</f>
        <v/>
      </c>
      <c r="L112" s="29" t="str">
        <f>IF(基础状态预期!G122="","",基础状态预期!G122)</f>
        <v/>
      </c>
      <c r="M112" s="29" t="str">
        <f>IF(基础状态预期!H122="","",基础状态预期!H122)</f>
        <v/>
      </c>
      <c r="N112" s="29" t="str">
        <f>IF(基础状态预期!I122="","",基础状态预期!I122)</f>
        <v/>
      </c>
      <c r="O112" s="29">
        <f>IF(基础状态预期!J122="","",基础状态预期!J122)</f>
        <v>6</v>
      </c>
      <c r="P112" s="29">
        <f>武将进阶!O109</f>
        <v>0</v>
      </c>
      <c r="Q112" s="29">
        <f>武将进阶!P109</f>
        <v>0</v>
      </c>
      <c r="R112" s="29">
        <f>武将进阶!Q109</f>
        <v>0</v>
      </c>
      <c r="S112" s="29">
        <f>武将进阶!R109</f>
        <v>214.11844453930905</v>
      </c>
      <c r="T112" s="29">
        <f>武将进阶!S109</f>
        <v>0</v>
      </c>
      <c r="U112" s="29">
        <f>武将觉醒!T110</f>
        <v>0</v>
      </c>
      <c r="V112" s="29">
        <f>武将觉醒!U110</f>
        <v>0</v>
      </c>
      <c r="W112" s="29">
        <f>武将觉醒!V110</f>
        <v>0</v>
      </c>
      <c r="X112" s="29">
        <f>武将觉醒!W110</f>
        <v>0</v>
      </c>
      <c r="Y112" s="29">
        <f>武将觉醒!X110</f>
        <v>0</v>
      </c>
      <c r="Z112" s="29"/>
      <c r="AA112" s="29">
        <f>IF(L112="",0,同名需求(L112,武将升星!P109,B$6)+武将升星!U109)</f>
        <v>0</v>
      </c>
      <c r="AB112" s="29">
        <f>IF(M112="",0,同名需求(M112,武将升星!Q109,C$6)+武将升星!V109)</f>
        <v>0</v>
      </c>
      <c r="AC112" s="59">
        <f>IF(N112="",0,同名需求(N112,武将升星!R109,D$6*0.7)+武将升星!W109)</f>
        <v>0</v>
      </c>
      <c r="AD112" s="29">
        <f>IF(O112="",0,同名需求(O112,武将升星!S109,E$6)+武将升星!X109)</f>
        <v>75.006745377183748</v>
      </c>
      <c r="AE112" s="29">
        <f>MAX(U112+P112+IF(K112="",0,K112)*武将升星!O109,Z112)</f>
        <v>0</v>
      </c>
      <c r="AF112" s="29">
        <f>MAX(V112+Q112+IF(L112="",0,L112)*武将升星!P109,AA112)</f>
        <v>0</v>
      </c>
      <c r="AG112" s="29">
        <f>MAX(W112+R112+IF(M112="",0,M112)*武将升星!Q109,AB112)</f>
        <v>0</v>
      </c>
      <c r="AH112" s="29">
        <f>MAX(X112+S112+IF(N112="",0,N112)*武将升星!R109,AC112)</f>
        <v>214.11844453930905</v>
      </c>
      <c r="AI112" s="45">
        <f t="shared" si="110"/>
        <v>75.006745377183748</v>
      </c>
      <c r="AJ112" s="29">
        <f t="shared" si="111"/>
        <v>776407.87571448484</v>
      </c>
      <c r="AK112" s="14" t="e">
        <f>AJ112/求节点('[1]资源-钻石'!$K$4:$K$113,'[1]资源-钻石'!$N$4:$N$113,J112)</f>
        <v>#VALUE!</v>
      </c>
      <c r="AL112" s="16" t="e">
        <f t="shared" si="112"/>
        <v>#DIV/0!</v>
      </c>
      <c r="AM112" s="16"/>
      <c r="AN112" s="16"/>
      <c r="AO112" s="16"/>
      <c r="AP112" s="17">
        <v>19</v>
      </c>
      <c r="AR112" s="16">
        <f t="shared" si="128"/>
        <v>15.231351537826656</v>
      </c>
      <c r="AS112" s="29">
        <f>IF(基础状态预期!C122="","",基础状态预期!C122)</f>
        <v>210</v>
      </c>
      <c r="AT112" s="29">
        <f>求节点(节奏总纲!$R$4:$R$163,其他调用!$E$4:$E$163,$AS112)*求节点($CP$5:$CP$36,$CS$5:$CS$36,AS22)</f>
        <v>987153.55112730141</v>
      </c>
      <c r="AU112" s="37">
        <f t="shared" si="134"/>
        <v>0</v>
      </c>
      <c r="AV112" s="37">
        <f t="shared" si="114"/>
        <v>1</v>
      </c>
      <c r="AW112" s="38">
        <f t="shared" si="115"/>
        <v>0.4933333333333334</v>
      </c>
      <c r="AX112" s="38">
        <f t="shared" si="116"/>
        <v>0.26666666666666666</v>
      </c>
      <c r="AY112" s="38">
        <f t="shared" si="117"/>
        <v>0.04</v>
      </c>
      <c r="AZ112" s="38">
        <f t="shared" si="118"/>
        <v>2.4E-2</v>
      </c>
      <c r="BA112" s="29">
        <f t="shared" si="133"/>
        <v>98089.90390360367</v>
      </c>
      <c r="BB112" s="29">
        <f t="shared" si="129"/>
        <v>201.62924691296314</v>
      </c>
      <c r="BC112" s="29">
        <f t="shared" si="119"/>
        <v>108.98878211511519</v>
      </c>
      <c r="BD112" s="29">
        <f t="shared" si="120"/>
        <v>16.348317317267281</v>
      </c>
      <c r="BE112" s="29">
        <f t="shared" si="121"/>
        <v>9.8089903903603677</v>
      </c>
      <c r="BF112" s="29">
        <f t="shared" si="130"/>
        <v>1743.0000000000002</v>
      </c>
      <c r="BG112" s="29">
        <f t="shared" si="122"/>
        <v>315</v>
      </c>
      <c r="BH112" s="29">
        <f t="shared" si="122"/>
        <v>42</v>
      </c>
      <c r="BI112" s="29">
        <f t="shared" si="122"/>
        <v>0</v>
      </c>
      <c r="BJ112" s="29">
        <f>SUM(BB$97:BB112)+BF112</f>
        <v>3935.1456581380016</v>
      </c>
      <c r="BK112" s="29">
        <f>SUM(BC$97:BC112)+BG112</f>
        <v>1411.8372790303349</v>
      </c>
      <c r="BL112" s="29">
        <f>SUM(BD$97:BD112)+BH112</f>
        <v>241.10064771888872</v>
      </c>
      <c r="BM112" s="29">
        <f>SUM(BE$97:BE112)+BI112</f>
        <v>75.006745377183748</v>
      </c>
      <c r="BN112" s="29">
        <f>SUM(BT$97:BT112)</f>
        <v>25.363088672698289</v>
      </c>
      <c r="BO112" s="17" t="e">
        <f t="shared" si="123"/>
        <v>#DIV/0!</v>
      </c>
      <c r="BP112" s="17">
        <f t="shared" si="124"/>
        <v>1.1260153147368215</v>
      </c>
      <c r="BQ112" s="17">
        <f t="shared" si="125"/>
        <v>1</v>
      </c>
      <c r="BR112" s="17">
        <f t="shared" si="131"/>
        <v>0</v>
      </c>
      <c r="BS112" s="17">
        <f t="shared" si="126"/>
        <v>80</v>
      </c>
      <c r="BT112" s="17">
        <f t="shared" si="132"/>
        <v>0</v>
      </c>
      <c r="BV112" s="17">
        <f t="shared" si="127"/>
        <v>26.98220317957967</v>
      </c>
      <c r="BW112" s="17">
        <v>108</v>
      </c>
      <c r="BX112" s="17">
        <f>'[1]资源-钻石'!L111/$B$2*$B$12*10</f>
        <v>18080.378609749911</v>
      </c>
      <c r="BY112" s="17">
        <f>'[1]资源-钻石'!M111/$B$2*$B$12*10</f>
        <v>24681.321513943753</v>
      </c>
      <c r="BZ112" s="17">
        <f>'[1]资源-钻石'!N111/$B$2*$B$12*10</f>
        <v>37719.29708856353</v>
      </c>
      <c r="CA112" s="17">
        <f>'[1]资源-钻石'!O111/$B$2*$B$12*10</f>
        <v>80348.98150204806</v>
      </c>
      <c r="CB112" s="17">
        <f>'[1]资源-钻石'!P111/$B$2*$B$12*10</f>
        <v>107959.85792500711</v>
      </c>
      <c r="CD112" s="17">
        <v>108</v>
      </c>
      <c r="CE112" s="17">
        <f>'[1]资源-钻石'!L111/$B$2*$C$12*10</f>
        <v>7323.697664708825</v>
      </c>
      <c r="CF112" s="17">
        <f>'[1]资源-钻石'!M111/$B$2*$C$12*10</f>
        <v>9997.4973221037981</v>
      </c>
      <c r="CG112" s="17">
        <f>'[1]资源-钻石'!N111/$B$2*$C$12*10</f>
        <v>15278.702618152314</v>
      </c>
      <c r="CH112" s="17">
        <f>'[1]资源-钻石'!O111/$B$2*$C$12*10</f>
        <v>32546.422886905544</v>
      </c>
      <c r="CI112" s="17">
        <f>'[1]资源-钻石'!P111/$B$2*$C$12*10</f>
        <v>43730.57536202819</v>
      </c>
    </row>
    <row r="113" spans="8:87" x14ac:dyDescent="0.15">
      <c r="H113" s="17">
        <v>20</v>
      </c>
      <c r="I113" s="29">
        <f>IF(基础状态预期!C123="","",基础状态预期!C123)</f>
        <v>237.99999999999997</v>
      </c>
      <c r="J113" s="29">
        <f>IF(基础状态预期!D123="","",基础状态预期!D123)</f>
        <v>84.043767921022209</v>
      </c>
      <c r="K113" s="29" t="str">
        <f>IF(基础状态预期!F123="","",基础状态预期!F123)</f>
        <v/>
      </c>
      <c r="L113" s="29" t="str">
        <f>IF(基础状态预期!G123="","",基础状态预期!G123)</f>
        <v/>
      </c>
      <c r="M113" s="29" t="str">
        <f>IF(基础状态预期!H123="","",基础状态预期!H123)</f>
        <v/>
      </c>
      <c r="N113" s="29" t="str">
        <f>IF(基础状态预期!I123="","",基础状态预期!I123)</f>
        <v/>
      </c>
      <c r="O113" s="29">
        <f>IF(基础状态预期!J123="","",基础状态预期!J123)</f>
        <v>6</v>
      </c>
      <c r="P113" s="29">
        <f>武将进阶!O110</f>
        <v>0</v>
      </c>
      <c r="Q113" s="29">
        <f>武将进阶!P110</f>
        <v>0</v>
      </c>
      <c r="R113" s="29">
        <f>武将进阶!Q110</f>
        <v>0</v>
      </c>
      <c r="S113" s="29">
        <f>武将进阶!R110</f>
        <v>227.11512903135988</v>
      </c>
      <c r="T113" s="29">
        <f>武将进阶!S110</f>
        <v>0</v>
      </c>
      <c r="U113" s="29">
        <f>武将觉醒!T111</f>
        <v>0</v>
      </c>
      <c r="V113" s="29">
        <f>武将觉醒!U111</f>
        <v>0</v>
      </c>
      <c r="W113" s="29">
        <f>武将觉醒!V111</f>
        <v>0</v>
      </c>
      <c r="X113" s="29">
        <f>武将觉醒!W111</f>
        <v>0</v>
      </c>
      <c r="Y113" s="29">
        <f>武将觉醒!X111</f>
        <v>0</v>
      </c>
      <c r="Z113" s="29"/>
      <c r="AA113" s="29">
        <f>IF(L113="",0,同名需求(L113,武将升星!P110,B$6)+武将升星!U110)</f>
        <v>0</v>
      </c>
      <c r="AB113" s="29">
        <f>IF(M113="",0,同名需求(M113,武将升星!Q110,C$6)+武将升星!V110)</f>
        <v>0</v>
      </c>
      <c r="AC113" s="59">
        <f>IF(N113="",0,同名需求(N113,武将升星!R110,D$6*0.7)+武将升星!W110)</f>
        <v>0</v>
      </c>
      <c r="AD113" s="29">
        <f>IF(O113="",0,同名需求(O113,武将升星!S110,E$6)+武将升星!X110)</f>
        <v>84.32695010915333</v>
      </c>
      <c r="AE113" s="29">
        <f>MAX(U113+P113+IF(K113="",0,K113)*武将升星!O110,Z113)</f>
        <v>0</v>
      </c>
      <c r="AF113" s="29">
        <f>MAX(V113+Q113+IF(L113="",0,L113)*武将升星!P110,AA113)</f>
        <v>0</v>
      </c>
      <c r="AG113" s="29">
        <f>MAX(W113+R113+IF(M113="",0,M113)*武将升星!Q110,AB113)</f>
        <v>0</v>
      </c>
      <c r="AH113" s="29">
        <f>MAX(X113+S113+IF(N113="",0,N113)*武将升星!R110,AC113)</f>
        <v>227.11512903135988</v>
      </c>
      <c r="AI113" s="45">
        <f t="shared" ref="AI113:AI135" si="135">IFERROR(AD113+Y113,0)</f>
        <v>84.32695010915333</v>
      </c>
      <c r="AJ113" s="29">
        <f t="shared" si="111"/>
        <v>840220.63505730033</v>
      </c>
      <c r="AK113" s="14" t="e">
        <f>AJ113/求节点('[1]资源-钻石'!$K$4:$K$113,'[1]资源-钻石'!$N$4:$N$113,J113)</f>
        <v>#VALUE!</v>
      </c>
      <c r="AL113" s="16" t="e">
        <f t="shared" ref="AL113:AL135" si="136">X113/AC113</f>
        <v>#DIV/0!</v>
      </c>
      <c r="AM113" s="16"/>
      <c r="AN113" s="16"/>
      <c r="AO113" s="16"/>
      <c r="AP113" s="17">
        <v>20</v>
      </c>
      <c r="AR113" s="16">
        <f t="shared" si="128"/>
        <v>14.472367596226093</v>
      </c>
      <c r="AS113" s="29">
        <f>IF(基础状态预期!C123="","",基础状态预期!C123)</f>
        <v>237.99999999999997</v>
      </c>
      <c r="AT113" s="29">
        <f>求节点(节奏总纲!$R$4:$R$163,其他调用!$E$4:$E$163,$AS113)*求节点($CP$5:$CP$36,$CS$5:$CS$36,AS23)</f>
        <v>1080355.5984469973</v>
      </c>
      <c r="AU113" s="37">
        <f t="shared" ref="AU113:AU135" si="137">1-AV113</f>
        <v>0</v>
      </c>
      <c r="AV113" s="37">
        <f t="shared" ref="AV113:AV135" si="138">AV68</f>
        <v>1</v>
      </c>
      <c r="AW113" s="38">
        <f t="shared" si="115"/>
        <v>0.4933333333333334</v>
      </c>
      <c r="AX113" s="38">
        <f t="shared" si="116"/>
        <v>0.26666666666666666</v>
      </c>
      <c r="AY113" s="38">
        <f t="shared" si="117"/>
        <v>0.04</v>
      </c>
      <c r="AZ113" s="38">
        <f t="shared" si="118"/>
        <v>2.4E-2</v>
      </c>
      <c r="BA113" s="29">
        <f t="shared" ref="BA113:BA135" si="139">AT113-AT112</f>
        <v>93202.047319695936</v>
      </c>
      <c r="BB113" s="29">
        <f t="shared" si="129"/>
        <v>191.58198615715278</v>
      </c>
      <c r="BC113" s="29">
        <f t="shared" si="119"/>
        <v>103.5578303552177</v>
      </c>
      <c r="BD113" s="29">
        <f t="shared" si="120"/>
        <v>15.533674553282657</v>
      </c>
      <c r="BE113" s="29">
        <f t="shared" si="121"/>
        <v>9.3202047319695929</v>
      </c>
      <c r="BF113" s="29">
        <f t="shared" si="130"/>
        <v>1975.3999999999999</v>
      </c>
      <c r="BG113" s="29">
        <f t="shared" si="122"/>
        <v>356.99999999999994</v>
      </c>
      <c r="BH113" s="29">
        <f t="shared" si="122"/>
        <v>47.599999999999994</v>
      </c>
      <c r="BI113" s="29">
        <f t="shared" si="122"/>
        <v>0</v>
      </c>
      <c r="BJ113" s="29">
        <f>SUM(BB$97:BB113)+BF113</f>
        <v>4359.1276442951539</v>
      </c>
      <c r="BK113" s="29">
        <f>SUM(BC$97:BC113)+BG113</f>
        <v>1557.3951093855526</v>
      </c>
      <c r="BL113" s="29">
        <f>SUM(BD$97:BD113)+BH113</f>
        <v>262.23432227217137</v>
      </c>
      <c r="BM113" s="29">
        <f>SUM(BE$97:BE113)+BI113</f>
        <v>84.326950109153344</v>
      </c>
      <c r="BN113" s="29">
        <f>SUM(BT$97:BT113)</f>
        <v>25.363088672698289</v>
      </c>
      <c r="BO113" s="17" t="e">
        <f t="shared" ref="BO113:BO135" si="140">BK113/AG135</f>
        <v>#DIV/0!</v>
      </c>
      <c r="BP113" s="17">
        <f t="shared" ref="BP113:BP135" si="141">BL113/AH135</f>
        <v>0.408464676436404</v>
      </c>
      <c r="BQ113" s="17">
        <f t="shared" ref="BQ113:BQ135" si="142">BM113/AI135</f>
        <v>0.78080509360327166</v>
      </c>
      <c r="BR113" s="17">
        <f t="shared" si="131"/>
        <v>0</v>
      </c>
      <c r="BS113" s="17">
        <f t="shared" si="126"/>
        <v>80</v>
      </c>
      <c r="BT113" s="17">
        <f t="shared" si="132"/>
        <v>0</v>
      </c>
      <c r="BV113" s="17">
        <f t="shared" si="127"/>
        <v>35.119193240811484</v>
      </c>
      <c r="BW113" s="17">
        <v>109</v>
      </c>
      <c r="BX113" s="17">
        <f>'[1]资源-钻石'!L112/$B$2*$B$12*10</f>
        <v>19206.746798426662</v>
      </c>
      <c r="BY113" s="17">
        <f>'[1]资源-钻石'!M112/$B$2*$B$12*10</f>
        <v>26186.512354069637</v>
      </c>
      <c r="BZ113" s="17">
        <f>'[1]资源-钻石'!N112/$B$2*$B$12*10</f>
        <v>40168.187180439883</v>
      </c>
      <c r="CA113" s="17">
        <f>'[1]资源-钻石'!O112/$B$2*$B$12*10</f>
        <v>85734.145834774405</v>
      </c>
      <c r="CB113" s="17">
        <f>'[1]资源-钻石'!P112/$B$2*$B$12*10</f>
        <v>115493.00657387503</v>
      </c>
      <c r="CD113" s="17">
        <v>109</v>
      </c>
      <c r="CE113" s="17">
        <f>'[1]资源-钻石'!L112/$B$2*$C$12*10</f>
        <v>7779.9480702487745</v>
      </c>
      <c r="CF113" s="17">
        <f>'[1]资源-钻石'!M112/$B$2*$C$12*10</f>
        <v>10607.194877597829</v>
      </c>
      <c r="CG113" s="17">
        <f>'[1]资源-钻石'!N112/$B$2*$C$12*10</f>
        <v>16270.658098406027</v>
      </c>
      <c r="CH113" s="17">
        <f>'[1]资源-钻石'!O112/$B$2*$C$12*10</f>
        <v>34727.755274845331</v>
      </c>
      <c r="CI113" s="17">
        <f>'[1]资源-钻石'!P112/$B$2*$C$12*10</f>
        <v>46781.977346379754</v>
      </c>
    </row>
    <row r="114" spans="8:87" x14ac:dyDescent="0.15">
      <c r="H114" s="17">
        <v>21</v>
      </c>
      <c r="I114" s="29">
        <f>IF(基础状态预期!C124="","",基础状态预期!C124)</f>
        <v>280</v>
      </c>
      <c r="J114" s="29">
        <f>IF(基础状态预期!D124="","",基础状态预期!D124)</f>
        <v>86.385105215793828</v>
      </c>
      <c r="K114" s="29" t="str">
        <f>IF(基础状态预期!F124="","",基础状态预期!F124)</f>
        <v/>
      </c>
      <c r="L114" s="29" t="str">
        <f>IF(基础状态预期!G124="","",基础状态预期!G124)</f>
        <v/>
      </c>
      <c r="M114" s="29" t="str">
        <f>IF(基础状态预期!H124="","",基础状态预期!H124)</f>
        <v/>
      </c>
      <c r="N114" s="29" t="str">
        <f>IF(基础状态预期!I124="","",基础状态预期!I124)</f>
        <v/>
      </c>
      <c r="O114" s="29">
        <f>IF(基础状态预期!J124="","",基础状态预期!J124)</f>
        <v>6</v>
      </c>
      <c r="P114" s="29">
        <f>武将进阶!O111</f>
        <v>0</v>
      </c>
      <c r="Q114" s="29">
        <f>武将进阶!P111</f>
        <v>0</v>
      </c>
      <c r="R114" s="29">
        <f>武将进阶!Q111</f>
        <v>0</v>
      </c>
      <c r="S114" s="29">
        <f>武将进阶!R111</f>
        <v>243.97275755371558</v>
      </c>
      <c r="T114" s="29">
        <f>武将进阶!S111</f>
        <v>0</v>
      </c>
      <c r="U114" s="29">
        <f>武将觉醒!T112</f>
        <v>0</v>
      </c>
      <c r="V114" s="29">
        <f>武将觉醒!U112</f>
        <v>0</v>
      </c>
      <c r="W114" s="29">
        <f>武将觉醒!V112</f>
        <v>0</v>
      </c>
      <c r="X114" s="29">
        <f>武将觉醒!W112</f>
        <v>0</v>
      </c>
      <c r="Y114" s="29">
        <f>武将觉醒!X112</f>
        <v>0</v>
      </c>
      <c r="Z114" s="29"/>
      <c r="AA114" s="29">
        <f>IF(L114="",0,同名需求(L114,武将升星!P111,B$6)+武将升星!U111)</f>
        <v>0</v>
      </c>
      <c r="AB114" s="29">
        <f>IF(M114="",0,同名需求(M114,武将升星!Q111,C$6)+武将升星!V111)</f>
        <v>0</v>
      </c>
      <c r="AC114" s="59">
        <f>IF(N114="",0,同名需求(N114,武将升星!R111,D$6*0.7)+武将升星!W111)</f>
        <v>0</v>
      </c>
      <c r="AD114" s="29">
        <f>IF(O114="",0,同名需求(O114,武将升星!S111,E$6)+武将升星!X111)</f>
        <v>98.2168515674323</v>
      </c>
      <c r="AE114" s="29">
        <f>MAX(U114+P114+IF(K114="",0,K114)*武将升星!O111,Z114)</f>
        <v>0</v>
      </c>
      <c r="AF114" s="29">
        <f>MAX(V114+Q114+IF(L114="",0,L114)*武将升星!P111,AA114)</f>
        <v>0</v>
      </c>
      <c r="AG114" s="29">
        <f>MAX(W114+R114+IF(M114="",0,M114)*武将升星!Q111,AB114)</f>
        <v>0</v>
      </c>
      <c r="AH114" s="29">
        <f>MAX(X114+S114+IF(N114="",0,N114)*武将升星!R111,AC114)</f>
        <v>243.97275755371558</v>
      </c>
      <c r="AI114" s="45">
        <f t="shared" si="135"/>
        <v>98.2168515674323</v>
      </c>
      <c r="AJ114" s="29">
        <f t="shared" si="111"/>
        <v>929293.59861493041</v>
      </c>
      <c r="AK114" s="14" t="e">
        <f>AJ114/求节点('[1]资源-钻石'!$K$4:$K$113,'[1]资源-钻石'!$N$4:$N$113,J114)</f>
        <v>#VALUE!</v>
      </c>
      <c r="AL114" s="16" t="e">
        <f t="shared" si="136"/>
        <v>#DIV/0!</v>
      </c>
      <c r="AM114" s="16"/>
      <c r="AN114" s="16"/>
      <c r="AO114" s="16"/>
      <c r="AP114" s="17">
        <v>21</v>
      </c>
      <c r="AR114" s="16">
        <f t="shared" si="128"/>
        <v>14.378779977514432</v>
      </c>
      <c r="AS114" s="29">
        <f>IF(基础状态预期!C124="","",基础状态预期!C124)</f>
        <v>280</v>
      </c>
      <c r="AT114" s="29">
        <f>求节点(节奏总纲!$R$4:$R$163,其他调用!$E$4:$E$163,$AS114)*求节点($CP$5:$CP$36,$CS$5:$CS$36,AS24)</f>
        <v>1219254.6130297869</v>
      </c>
      <c r="AU114" s="37">
        <f t="shared" si="137"/>
        <v>0</v>
      </c>
      <c r="AV114" s="37">
        <f t="shared" si="138"/>
        <v>1</v>
      </c>
      <c r="AW114" s="38">
        <f t="shared" si="115"/>
        <v>0.4933333333333334</v>
      </c>
      <c r="AX114" s="38">
        <f t="shared" si="116"/>
        <v>0.26666666666666666</v>
      </c>
      <c r="AY114" s="38">
        <f t="shared" si="117"/>
        <v>0.04</v>
      </c>
      <c r="AZ114" s="38">
        <f t="shared" si="118"/>
        <v>2.4E-2</v>
      </c>
      <c r="BA114" s="29">
        <f t="shared" si="139"/>
        <v>138899.0145827895</v>
      </c>
      <c r="BB114" s="29">
        <f t="shared" si="129"/>
        <v>285.51464108684513</v>
      </c>
      <c r="BC114" s="29">
        <f t="shared" si="119"/>
        <v>154.33223842532166</v>
      </c>
      <c r="BD114" s="29">
        <f t="shared" si="120"/>
        <v>23.149835763798251</v>
      </c>
      <c r="BE114" s="29">
        <f t="shared" si="121"/>
        <v>13.889901458278951</v>
      </c>
      <c r="BF114" s="29">
        <f t="shared" si="130"/>
        <v>2324</v>
      </c>
      <c r="BG114" s="29">
        <f t="shared" si="130"/>
        <v>420</v>
      </c>
      <c r="BH114" s="29">
        <f t="shared" si="130"/>
        <v>56</v>
      </c>
      <c r="BI114" s="29">
        <f t="shared" si="130"/>
        <v>0</v>
      </c>
      <c r="BJ114" s="29">
        <f>SUM(BB$97:BB114)+BF114</f>
        <v>4993.242285381999</v>
      </c>
      <c r="BK114" s="29">
        <f>SUM(BC$97:BC114)+BG114</f>
        <v>1774.7273478108743</v>
      </c>
      <c r="BL114" s="29">
        <f>SUM(BD$97:BD114)+BH114</f>
        <v>293.78415803596965</v>
      </c>
      <c r="BM114" s="29">
        <f>SUM(BE$97:BE114)+BI114</f>
        <v>98.2168515674323</v>
      </c>
      <c r="BN114" s="29">
        <f>SUM(BT$97:BT114)</f>
        <v>25.363088672698289</v>
      </c>
      <c r="BO114" s="17" t="e">
        <f t="shared" si="140"/>
        <v>#DIV/0!</v>
      </c>
      <c r="BP114" s="17" t="e">
        <f t="shared" si="141"/>
        <v>#DIV/0!</v>
      </c>
      <c r="BQ114" s="17" t="e">
        <f t="shared" si="142"/>
        <v>#DIV/0!</v>
      </c>
      <c r="BR114" s="17">
        <f t="shared" si="131"/>
        <v>0</v>
      </c>
      <c r="BS114" s="17">
        <f t="shared" si="126"/>
        <v>80</v>
      </c>
      <c r="BT114" s="17">
        <f t="shared" si="132"/>
        <v>0</v>
      </c>
      <c r="BV114" s="17">
        <f t="shared" si="127"/>
        <v>49.811400482254072</v>
      </c>
      <c r="BW114" s="17">
        <v>110</v>
      </c>
      <c r="BX114" s="17">
        <f>'[1]资源-钻石'!L113/$B$2*$B$12*10</f>
        <v>20413.958332095473</v>
      </c>
      <c r="BY114" s="17">
        <f>'[1]资源-钻石'!M113/$B$2*$B$12*10</f>
        <v>27877.225658292122</v>
      </c>
      <c r="BZ114" s="17">
        <f>'[1]资源-钻石'!N113/$B$2*$B$12*10</f>
        <v>42976.577543980384</v>
      </c>
      <c r="CA114" s="17">
        <f>'[1]资源-钻石'!O113/$B$2*$B$12*10</f>
        <v>91966.593479536663</v>
      </c>
      <c r="CB114" s="17">
        <f>'[1]资源-钻石'!P113/$B$2*$B$12*10</f>
        <v>123929.43396278068</v>
      </c>
      <c r="CD114" s="17">
        <v>110</v>
      </c>
      <c r="CE114" s="17">
        <f>'[1]资源-钻石'!L113/$B$2*$C$12*10</f>
        <v>8268.9451471779139</v>
      </c>
      <c r="CF114" s="17">
        <f>'[1]资源-钻石'!M113/$B$2*$C$12*10</f>
        <v>11292.040772979088</v>
      </c>
      <c r="CG114" s="17">
        <f>'[1]资源-钻石'!N113/$B$2*$C$12*10</f>
        <v>17408.233941865474</v>
      </c>
      <c r="CH114" s="17">
        <f>'[1]资源-钻石'!O113/$B$2*$C$12*10</f>
        <v>37252.291029685737</v>
      </c>
      <c r="CI114" s="17">
        <f>'[1]资源-钻石'!P113/$B$2*$C$12*10</f>
        <v>50199.264389987111</v>
      </c>
    </row>
    <row r="115" spans="8:87" x14ac:dyDescent="0.15">
      <c r="H115" s="17">
        <v>22</v>
      </c>
      <c r="I115" s="29">
        <f>IF(基础状态预期!C125="","",基础状态预期!C125)</f>
        <v>364</v>
      </c>
      <c r="J115" s="29">
        <f>IF(基础状态预期!D125="","",基础状态预期!D125)</f>
        <v>90.406191748048585</v>
      </c>
      <c r="K115" s="29" t="str">
        <f>IF(基础状态预期!F125="","",基础状态预期!F125)</f>
        <v/>
      </c>
      <c r="L115" s="29" t="str">
        <f>IF(基础状态预期!G125="","",基础状态预期!G125)</f>
        <v/>
      </c>
      <c r="M115" s="29" t="str">
        <f>IF(基础状态预期!H125="","",基础状态预期!H125)</f>
        <v/>
      </c>
      <c r="N115" s="29" t="str">
        <f>IF(基础状态预期!I125="","",基础状态预期!I125)</f>
        <v/>
      </c>
      <c r="O115" s="29">
        <f>IF(基础状态预期!J125="","",基础状态预期!J125)</f>
        <v>6</v>
      </c>
      <c r="P115" s="29">
        <f>武将进阶!O112</f>
        <v>0</v>
      </c>
      <c r="Q115" s="29">
        <f>武将进阶!P112</f>
        <v>0</v>
      </c>
      <c r="R115" s="29">
        <f>武将进阶!Q112</f>
        <v>0</v>
      </c>
      <c r="S115" s="29">
        <f>武将进阶!R112</f>
        <v>272.9245805859498</v>
      </c>
      <c r="T115" s="29">
        <f>武将进阶!S112</f>
        <v>0</v>
      </c>
      <c r="U115" s="29">
        <f>武将觉醒!T113</f>
        <v>0</v>
      </c>
      <c r="V115" s="29">
        <f>武将觉醒!U113</f>
        <v>0</v>
      </c>
      <c r="W115" s="29">
        <f>武将觉醒!V113</f>
        <v>0</v>
      </c>
      <c r="X115" s="29">
        <f>武将觉醒!W113</f>
        <v>0</v>
      </c>
      <c r="Y115" s="29">
        <f>武将觉醒!X113</f>
        <v>0</v>
      </c>
      <c r="Z115" s="29"/>
      <c r="AA115" s="29">
        <f>IF(L115="",0,同名需求(L115,武将升星!P112,B$6)+武将升星!U112)</f>
        <v>0</v>
      </c>
      <c r="AB115" s="29">
        <f>IF(M115="",0,同名需求(M115,武将升星!Q112,C$6)+武将升星!V112)</f>
        <v>0</v>
      </c>
      <c r="AC115" s="59">
        <f>IF(N115="",0,同名需求(N115,武将升星!R112,D$6*0.7)+武将升星!W112)</f>
        <v>0</v>
      </c>
      <c r="AD115" s="29">
        <f>IF(O115="",0,同名需求(O115,武将升星!S112,E$6)+武将升星!X112)</f>
        <v>108</v>
      </c>
      <c r="AE115" s="29">
        <f>MAX(U115+P115+IF(K115="",0,K115)*武将升星!O112,Z115)</f>
        <v>0</v>
      </c>
      <c r="AF115" s="29">
        <f>MAX(V115+Q115+IF(L115="",0,L115)*武将升星!P112,AA115)</f>
        <v>0</v>
      </c>
      <c r="AG115" s="29">
        <f>MAX(W115+R115+IF(M115="",0,M115)*武将升星!Q112,AB115)</f>
        <v>0</v>
      </c>
      <c r="AH115" s="29">
        <f>MAX(X115+S115+IF(N115="",0,N115)*武将升星!R112,AC115)</f>
        <v>272.9245805859498</v>
      </c>
      <c r="AI115" s="45">
        <f t="shared" si="135"/>
        <v>108</v>
      </c>
      <c r="AJ115" s="29">
        <f t="shared" si="111"/>
        <v>1033018.9934062794</v>
      </c>
      <c r="AK115" s="14" t="e">
        <f>AJ115/求节点('[1]资源-钻石'!$K$4:$K$113,'[1]资源-钻石'!$N$4:$N$113,J115)</f>
        <v>#VALUE!</v>
      </c>
      <c r="AL115" s="16" t="e">
        <f t="shared" si="136"/>
        <v>#DIV/0!</v>
      </c>
      <c r="AM115" s="16"/>
      <c r="AO115" s="16"/>
      <c r="AP115" s="17">
        <v>22</v>
      </c>
      <c r="AR115" s="16">
        <f t="shared" si="128"/>
        <v>13.638394095968321</v>
      </c>
      <c r="AS115" s="29">
        <f>IF(基础状态预期!C125="","",基础状态预期!C125)</f>
        <v>364</v>
      </c>
      <c r="AT115" s="29">
        <f>求节点(节奏总纲!$R$4:$R$163,其他调用!$E$4:$E$163,$AS115)*求节点($CP$5:$CP$36,$CS$5:$CS$36,AS25)</f>
        <v>1482748.3869638948</v>
      </c>
      <c r="AU115" s="37">
        <f t="shared" si="137"/>
        <v>0</v>
      </c>
      <c r="AV115" s="37">
        <f t="shared" si="138"/>
        <v>1</v>
      </c>
      <c r="AW115" s="38">
        <f t="shared" si="115"/>
        <v>0.4933333333333334</v>
      </c>
      <c r="AX115" s="38">
        <f t="shared" si="116"/>
        <v>0.26666666666666666</v>
      </c>
      <c r="AY115" s="38">
        <f t="shared" si="117"/>
        <v>0.04</v>
      </c>
      <c r="AZ115" s="38">
        <f t="shared" si="118"/>
        <v>2.4E-2</v>
      </c>
      <c r="BA115" s="29">
        <f t="shared" si="139"/>
        <v>263493.77393410797</v>
      </c>
      <c r="BB115" s="29">
        <f t="shared" si="129"/>
        <v>541.62609086455541</v>
      </c>
      <c r="BC115" s="29">
        <f t="shared" si="119"/>
        <v>292.77085992678661</v>
      </c>
      <c r="BD115" s="29">
        <f t="shared" si="120"/>
        <v>43.915628989017996</v>
      </c>
      <c r="BE115" s="29">
        <f t="shared" si="121"/>
        <v>26.349377393410798</v>
      </c>
      <c r="BF115" s="29">
        <f t="shared" si="130"/>
        <v>3021.2000000000003</v>
      </c>
      <c r="BG115" s="29">
        <f t="shared" si="130"/>
        <v>546</v>
      </c>
      <c r="BH115" s="29">
        <f t="shared" si="130"/>
        <v>72.8</v>
      </c>
      <c r="BI115" s="29">
        <f t="shared" si="130"/>
        <v>0</v>
      </c>
      <c r="BJ115" s="29">
        <f>SUM(BB$97:BB115)+BF115</f>
        <v>6232.0683762465542</v>
      </c>
      <c r="BK115" s="29">
        <f>SUM(BC$97:BC115)+BG115</f>
        <v>2193.4982077376608</v>
      </c>
      <c r="BL115" s="29">
        <f>SUM(BD$97:BD115)+BH115</f>
        <v>354.49978702498765</v>
      </c>
      <c r="BM115" s="29">
        <f>SUM(BE$97:BE115)+BI115</f>
        <v>124.56622896084309</v>
      </c>
      <c r="BN115" s="29">
        <f>SUM(BT$97:BT115)</f>
        <v>25.363088672698289</v>
      </c>
      <c r="BO115" s="17" t="e">
        <f t="shared" si="140"/>
        <v>#DIV/0!</v>
      </c>
      <c r="BP115" s="17" t="e">
        <f t="shared" si="141"/>
        <v>#DIV/0!</v>
      </c>
      <c r="BQ115" s="17" t="e">
        <f t="shared" si="142"/>
        <v>#DIV/0!</v>
      </c>
      <c r="BR115" s="17">
        <f t="shared" si="131"/>
        <v>0</v>
      </c>
      <c r="BS115" s="17">
        <f t="shared" si="126"/>
        <v>80</v>
      </c>
      <c r="BT115" s="17">
        <f t="shared" si="132"/>
        <v>0</v>
      </c>
      <c r="BV115" s="17">
        <f t="shared" si="127"/>
        <v>81.575206439037856</v>
      </c>
      <c r="BW115" s="17">
        <v>111</v>
      </c>
      <c r="BX115" s="17">
        <f>'[1]资源-钻石'!L114/$B$2*$B$12*10</f>
        <v>21707.81561754943</v>
      </c>
      <c r="BY115" s="17">
        <f>'[1]资源-钻石'!M114/$B$2*$B$12*10</f>
        <v>29727.439457468336</v>
      </c>
      <c r="BZ115" s="17">
        <f>'[1]资源-钻石'!N114/$B$2*$B$12*10</f>
        <v>45964.436616616847</v>
      </c>
      <c r="CA115" s="17">
        <f>'[1]资源-钻石'!O114/$B$2*$B$12*10</f>
        <v>98702.797806347546</v>
      </c>
      <c r="CB115" s="17">
        <f>'[1]资源-钻石'!P114/$B$2*$B$12*10</f>
        <v>133188.87389966595</v>
      </c>
      <c r="CD115" s="17">
        <v>111</v>
      </c>
      <c r="CE115" s="17">
        <f>'[1]资源-钻石'!L114/$B$2*$C$12*10</f>
        <v>8793.0392374883777</v>
      </c>
      <c r="CF115" s="17">
        <f>'[1]资源-钻石'!M114/$B$2*$C$12*10</f>
        <v>12041.494463784642</v>
      </c>
      <c r="CG115" s="17">
        <f>'[1]资源-钻石'!N114/$B$2*$C$12*10</f>
        <v>18618.505971287839</v>
      </c>
      <c r="CH115" s="17">
        <f>'[1]资源-钻石'!O114/$B$2*$C$12*10</f>
        <v>39980.880124090152</v>
      </c>
      <c r="CI115" s="17">
        <f>'[1]资源-钻石'!P114/$B$2*$C$12*10</f>
        <v>53949.923604927972</v>
      </c>
    </row>
    <row r="116" spans="8:87" x14ac:dyDescent="0.15">
      <c r="H116" s="17">
        <v>23</v>
      </c>
      <c r="I116" s="29">
        <f>IF(基础状态预期!C126="","",基础状态预期!C126)</f>
        <v>448</v>
      </c>
      <c r="J116" s="29">
        <f>IF(基础状态预期!D126="","",基础状态预期!D126)</f>
        <v>93.471491811086082</v>
      </c>
      <c r="K116" s="29" t="str">
        <f>IF(基础状态预期!F126="","",基础状态预期!F126)</f>
        <v/>
      </c>
      <c r="L116" s="29" t="str">
        <f>IF(基础状态预期!G126="","",基础状态预期!G126)</f>
        <v/>
      </c>
      <c r="M116" s="29" t="str">
        <f>IF(基础状态预期!H126="","",基础状态预期!H126)</f>
        <v/>
      </c>
      <c r="N116" s="29" t="str">
        <f>IF(基础状态预期!I126="","",基础状态预期!I126)</f>
        <v/>
      </c>
      <c r="O116" s="29">
        <f>IF(基础状态预期!J126="","",基础状态预期!J126)</f>
        <v>6</v>
      </c>
      <c r="P116" s="29">
        <f>武将进阶!O113</f>
        <v>0</v>
      </c>
      <c r="Q116" s="29">
        <f>武将进阶!P113</f>
        <v>0</v>
      </c>
      <c r="R116" s="29">
        <f>武将进阶!Q113</f>
        <v>0</v>
      </c>
      <c r="S116" s="29">
        <f>武将进阶!R113</f>
        <v>294.99474103981981</v>
      </c>
      <c r="T116" s="29">
        <f>武将进阶!S113</f>
        <v>0</v>
      </c>
      <c r="U116" s="29">
        <f>武将觉醒!T114</f>
        <v>0</v>
      </c>
      <c r="V116" s="29">
        <f>武将觉醒!U114</f>
        <v>0</v>
      </c>
      <c r="W116" s="29">
        <f>武将觉醒!V114</f>
        <v>0</v>
      </c>
      <c r="X116" s="29">
        <f>武将觉醒!W114</f>
        <v>0</v>
      </c>
      <c r="Y116" s="29">
        <f>武将觉醒!X114</f>
        <v>0</v>
      </c>
      <c r="Z116" s="29"/>
      <c r="AA116" s="29">
        <f>IF(L116="",0,同名需求(L116,武将升星!P113,B$6)+武将升星!U113)</f>
        <v>0</v>
      </c>
      <c r="AB116" s="29">
        <f>IF(M116="",0,同名需求(M116,武将升星!Q113,C$6)+武将升星!V113)</f>
        <v>0</v>
      </c>
      <c r="AC116" s="59">
        <f>IF(N116="",0,同名需求(N116,武将升星!R113,D$6*0.7)+武将升星!W113)</f>
        <v>0</v>
      </c>
      <c r="AD116" s="29">
        <f>IF(O116="",0,同名需求(O116,武将升星!S113,E$6)+武将升星!X113)</f>
        <v>108</v>
      </c>
      <c r="AE116" s="29">
        <f>MAX(U116+P116+IF(K116="",0,K116)*武将升星!O113,Z116)</f>
        <v>0</v>
      </c>
      <c r="AF116" s="29">
        <f>MAX(V116+Q116+IF(L116="",0,L116)*武将升星!P113,AA116)</f>
        <v>0</v>
      </c>
      <c r="AG116" s="29">
        <f>MAX(W116+R116+IF(M116="",0,M116)*武将升星!Q113,AB116)</f>
        <v>0</v>
      </c>
      <c r="AH116" s="29">
        <f>MAX(X116+S116+IF(N116="",0,N116)*武将升星!R113,AC116)</f>
        <v>294.99474103981981</v>
      </c>
      <c r="AI116" s="45">
        <f t="shared" si="135"/>
        <v>108</v>
      </c>
      <c r="AJ116" s="29">
        <f t="shared" si="111"/>
        <v>1085987.3784955675</v>
      </c>
      <c r="AK116" s="14" t="e">
        <f>AJ116/求节点('[1]资源-钻石'!$K$4:$K$113,'[1]资源-钻石'!$N$4:$N$113,J116)</f>
        <v>#VALUE!</v>
      </c>
      <c r="AL116" s="16" t="e">
        <f t="shared" si="136"/>
        <v>#DIV/0!</v>
      </c>
      <c r="AM116" s="16"/>
      <c r="AP116" s="17">
        <v>23</v>
      </c>
      <c r="AR116" s="16">
        <f t="shared" si="128"/>
        <v>12.872562554826759</v>
      </c>
      <c r="AS116" s="29">
        <f>IF(基础状态预期!C126="","",基础状态预期!C126)</f>
        <v>448</v>
      </c>
      <c r="AT116" s="29">
        <f>求节点(节奏总纲!$R$4:$R$163,其他调用!$E$4:$E$163,$AS116)*求节点($CP$5:$CP$36,$CS$5:$CS$36,AS26)</f>
        <v>1731446.2955231478</v>
      </c>
      <c r="AU116" s="37">
        <f t="shared" si="137"/>
        <v>0</v>
      </c>
      <c r="AV116" s="37">
        <f t="shared" si="138"/>
        <v>1</v>
      </c>
      <c r="AW116" s="38">
        <f t="shared" si="115"/>
        <v>0.4933333333333334</v>
      </c>
      <c r="AX116" s="38">
        <f t="shared" si="116"/>
        <v>0.26666666666666666</v>
      </c>
      <c r="AY116" s="38">
        <f t="shared" si="117"/>
        <v>0.04</v>
      </c>
      <c r="AZ116" s="38">
        <f t="shared" si="118"/>
        <v>2.4E-2</v>
      </c>
      <c r="BA116" s="29">
        <f t="shared" si="139"/>
        <v>248697.90855925297</v>
      </c>
      <c r="BB116" s="29">
        <f t="shared" si="129"/>
        <v>511.21236759402001</v>
      </c>
      <c r="BC116" s="29">
        <f t="shared" si="119"/>
        <v>276.33100951028104</v>
      </c>
      <c r="BD116" s="29">
        <f t="shared" si="120"/>
        <v>41.449651426542161</v>
      </c>
      <c r="BE116" s="29">
        <f t="shared" si="121"/>
        <v>24.869790855925295</v>
      </c>
      <c r="BF116" s="29">
        <f t="shared" si="130"/>
        <v>3718.4000000000005</v>
      </c>
      <c r="BG116" s="29">
        <f t="shared" si="130"/>
        <v>672</v>
      </c>
      <c r="BH116" s="29">
        <f t="shared" si="130"/>
        <v>89.600000000000009</v>
      </c>
      <c r="BI116" s="29">
        <f t="shared" si="130"/>
        <v>0</v>
      </c>
      <c r="BJ116" s="29">
        <f>SUM(BB$97:BB116)+BF116</f>
        <v>7440.4807438405751</v>
      </c>
      <c r="BK116" s="29">
        <f>SUM(BC$97:BC116)+BG116</f>
        <v>2595.8292172479423</v>
      </c>
      <c r="BL116" s="29">
        <f>SUM(BD$97:BD116)+BH116</f>
        <v>412.74943845152984</v>
      </c>
      <c r="BM116" s="29">
        <f>SUM(BE$97:BE116)+BI116</f>
        <v>149.43601981676838</v>
      </c>
      <c r="BN116" s="29">
        <f>SUM(BT$97:BT116)</f>
        <v>25.363088672698289</v>
      </c>
      <c r="BO116" s="17" t="e">
        <f t="shared" si="140"/>
        <v>#DIV/0!</v>
      </c>
      <c r="BP116" s="17" t="e">
        <f t="shared" si="141"/>
        <v>#DIV/0!</v>
      </c>
      <c r="BQ116" s="17" t="e">
        <f t="shared" si="142"/>
        <v>#DIV/0!</v>
      </c>
      <c r="BR116" s="17">
        <f t="shared" si="131"/>
        <v>0</v>
      </c>
      <c r="BS116" s="17">
        <f t="shared" si="126"/>
        <v>80</v>
      </c>
      <c r="BT116" s="17">
        <f t="shared" si="132"/>
        <v>0</v>
      </c>
      <c r="BV116" s="17">
        <f t="shared" si="127"/>
        <v>117.75469741171003</v>
      </c>
      <c r="BW116" s="17">
        <v>112</v>
      </c>
      <c r="BX116" s="17">
        <f>'[1]资源-钻石'!L115/$B$2*$B$12*10</f>
        <v>23094.537520408248</v>
      </c>
      <c r="BY116" s="17">
        <f>'[1]资源-钻石'!M115/$B$2*$B$12*10</f>
        <v>31692.744461955448</v>
      </c>
      <c r="BZ116" s="17">
        <f>'[1]资源-钻石'!N115/$B$2*$B$12*10</f>
        <v>49088.589325804205</v>
      </c>
      <c r="CA116" s="17">
        <f>'[1]资源-钻石'!O115/$B$2*$B$12*10</f>
        <v>105754.08020719953</v>
      </c>
      <c r="CB116" s="17">
        <f>'[1]资源-钻石'!P115/$B$2*$B$12*10</f>
        <v>142195.19427282334</v>
      </c>
      <c r="CD116" s="17">
        <v>112</v>
      </c>
      <c r="CE116" s="17">
        <f>'[1]资源-钻石'!L115/$B$2*$C$12*10</f>
        <v>9354.749375355239</v>
      </c>
      <c r="CF116" s="17">
        <f>'[1]资源-钻石'!M115/$B$2*$C$12*10</f>
        <v>12837.567376994612</v>
      </c>
      <c r="CG116" s="17">
        <f>'[1]资源-钻石'!N115/$B$2*$C$12*10</f>
        <v>19883.985549692843</v>
      </c>
      <c r="CH116" s="17">
        <f>'[1]资源-钻石'!O115/$B$2*$C$12*10</f>
        <v>42837.095780131458</v>
      </c>
      <c r="CI116" s="17">
        <f>'[1]资源-钻石'!P115/$B$2*$C$12*10</f>
        <v>57598.053376333512</v>
      </c>
    </row>
    <row r="117" spans="8:87" x14ac:dyDescent="0.15">
      <c r="H117" s="17">
        <v>24</v>
      </c>
      <c r="I117" s="29">
        <f>IF(基础状态预期!C127="","",基础状态预期!C127)</f>
        <v>574</v>
      </c>
      <c r="J117" s="29">
        <f>IF(基础状态预期!D127="","",基础状态预期!D127)</f>
        <v>97.107381566993553</v>
      </c>
      <c r="K117" s="29" t="str">
        <f>IF(基础状态预期!F127="","",基础状态预期!F127)</f>
        <v/>
      </c>
      <c r="L117" s="29" t="str">
        <f>IF(基础状态预期!G127="","",基础状态预期!G127)</f>
        <v/>
      </c>
      <c r="M117" s="29" t="str">
        <f>IF(基础状态预期!H127="","",基础状态预期!H127)</f>
        <v/>
      </c>
      <c r="N117" s="29" t="str">
        <f>IF(基础状态预期!I127="","",基础状态预期!I127)</f>
        <v/>
      </c>
      <c r="O117" s="29">
        <f>IF(基础状态预期!J127="","",基础状态预期!J127)</f>
        <v>6</v>
      </c>
      <c r="P117" s="29">
        <f>武将进阶!O114</f>
        <v>0</v>
      </c>
      <c r="Q117" s="29">
        <f>武将进阶!P114</f>
        <v>0</v>
      </c>
      <c r="R117" s="29">
        <f>武将进阶!Q114</f>
        <v>0</v>
      </c>
      <c r="S117" s="29">
        <f>武将进阶!R114</f>
        <v>321.17314728235363</v>
      </c>
      <c r="T117" s="29">
        <f>武将进阶!S114</f>
        <v>0</v>
      </c>
      <c r="U117" s="29">
        <f>武将觉醒!T115</f>
        <v>0</v>
      </c>
      <c r="V117" s="29">
        <f>武将觉醒!U115</f>
        <v>0</v>
      </c>
      <c r="W117" s="29">
        <f>武将觉醒!V115</f>
        <v>0</v>
      </c>
      <c r="X117" s="29">
        <f>武将觉醒!W115</f>
        <v>0</v>
      </c>
      <c r="Y117" s="29">
        <f>武将觉醒!X115</f>
        <v>0</v>
      </c>
      <c r="Z117" s="29"/>
      <c r="AA117" s="29">
        <f>IF(L117="",0,同名需求(L117,武将升星!P114,B$6)+武将升星!U114)</f>
        <v>0</v>
      </c>
      <c r="AB117" s="29">
        <f>IF(M117="",0,同名需求(M117,武将升星!Q114,C$6)+武将升星!V114)</f>
        <v>0</v>
      </c>
      <c r="AC117" s="59">
        <f>IF(N117="",0,同名需求(N117,武将升星!R114,D$6*0.7)+武将升星!W114)</f>
        <v>0</v>
      </c>
      <c r="AD117" s="29">
        <f>IF(O117="",0,同名需求(O117,武将升星!S114,E$6)+武将升星!X114)</f>
        <v>108</v>
      </c>
      <c r="AE117" s="29">
        <f>MAX(U117+P117+IF(K117="",0,K117)*武将升星!O114,Z117)</f>
        <v>0</v>
      </c>
      <c r="AF117" s="29">
        <f>MAX(V117+Q117+IF(L117="",0,L117)*武将升星!P114,AA117)</f>
        <v>0</v>
      </c>
      <c r="AG117" s="29">
        <f>MAX(W117+R117+IF(M117="",0,M117)*武将升星!Q114,AB117)</f>
        <v>0</v>
      </c>
      <c r="AH117" s="29">
        <f>MAX(X117+S117+IF(N117="",0,N117)*武将升星!R114,AC117)</f>
        <v>321.17314728235363</v>
      </c>
      <c r="AI117" s="45">
        <f t="shared" si="135"/>
        <v>108</v>
      </c>
      <c r="AJ117" s="29">
        <f t="shared" si="111"/>
        <v>1148815.5534776486</v>
      </c>
      <c r="AK117" s="14" t="e">
        <f>AJ117/求节点('[1]资源-钻石'!$K$4:$K$113,'[1]资源-钻石'!$N$4:$N$113,J117)</f>
        <v>#VALUE!</v>
      </c>
      <c r="AL117" s="16" t="e">
        <f t="shared" si="136"/>
        <v>#DIV/0!</v>
      </c>
      <c r="AM117" s="16"/>
      <c r="AP117" s="17">
        <v>24</v>
      </c>
      <c r="AR117" s="16">
        <f t="shared" si="128"/>
        <v>12.206590462527837</v>
      </c>
      <c r="AS117" s="29">
        <f>IF(基础状态预期!C127="","",基础状态预期!C127)</f>
        <v>574</v>
      </c>
      <c r="AT117" s="29">
        <f>求节点(节奏总纲!$R$4:$R$163,其他调用!$E$4:$E$163,$AS117)*求节点($CP$5:$CP$36,$CS$5:$CS$36,AS27)</f>
        <v>2085193.2871272045</v>
      </c>
      <c r="AU117" s="37">
        <f t="shared" si="137"/>
        <v>0</v>
      </c>
      <c r="AV117" s="37">
        <f t="shared" si="138"/>
        <v>1</v>
      </c>
      <c r="AW117" s="38">
        <f t="shared" si="115"/>
        <v>0.4933333333333334</v>
      </c>
      <c r="AX117" s="38">
        <f t="shared" si="116"/>
        <v>0.26666666666666666</v>
      </c>
      <c r="AY117" s="38">
        <f t="shared" si="117"/>
        <v>0.04</v>
      </c>
      <c r="AZ117" s="38">
        <f t="shared" si="118"/>
        <v>2.4E-2</v>
      </c>
      <c r="BA117" s="29">
        <f t="shared" si="139"/>
        <v>353746.99160405667</v>
      </c>
      <c r="BB117" s="29">
        <f t="shared" si="129"/>
        <v>727.14659385278321</v>
      </c>
      <c r="BC117" s="29">
        <f t="shared" si="119"/>
        <v>393.0522128933963</v>
      </c>
      <c r="BD117" s="29">
        <f t="shared" si="120"/>
        <v>58.957831934009448</v>
      </c>
      <c r="BE117" s="29">
        <f t="shared" si="121"/>
        <v>35.374699160405669</v>
      </c>
      <c r="BF117" s="29">
        <f t="shared" si="130"/>
        <v>4764.2000000000007</v>
      </c>
      <c r="BG117" s="29">
        <f t="shared" si="130"/>
        <v>861</v>
      </c>
      <c r="BH117" s="29">
        <f t="shared" si="130"/>
        <v>114.80000000000001</v>
      </c>
      <c r="BI117" s="29">
        <f t="shared" si="130"/>
        <v>0</v>
      </c>
      <c r="BJ117" s="29">
        <f>SUM(BB$97:BB117)+BF117</f>
        <v>9213.4273376933597</v>
      </c>
      <c r="BK117" s="29">
        <f>SUM(BC$97:BC117)+BG117</f>
        <v>3177.8814301413386</v>
      </c>
      <c r="BL117" s="29">
        <f>SUM(BD$97:BD117)+BH117</f>
        <v>496.90727038553928</v>
      </c>
      <c r="BM117" s="29">
        <f>SUM(BE$97:BE117)+BI117</f>
        <v>184.81071897717405</v>
      </c>
      <c r="BN117" s="29">
        <f>SUM(BT$97:BT117)</f>
        <v>25.363088672698289</v>
      </c>
      <c r="BO117" s="17" t="e">
        <f t="shared" si="140"/>
        <v>#DIV/0!</v>
      </c>
      <c r="BP117" s="17" t="e">
        <f t="shared" si="141"/>
        <v>#DIV/0!</v>
      </c>
      <c r="BQ117" s="17" t="e">
        <f t="shared" si="142"/>
        <v>#DIV/0!</v>
      </c>
      <c r="BR117" s="17">
        <f t="shared" si="131"/>
        <v>0</v>
      </c>
      <c r="BS117" s="17">
        <f t="shared" si="126"/>
        <v>80</v>
      </c>
      <c r="BT117" s="17">
        <f t="shared" si="132"/>
        <v>0</v>
      </c>
      <c r="BV117" s="17">
        <f t="shared" si="127"/>
        <v>175.73412310318565</v>
      </c>
      <c r="BW117" s="17">
        <v>113</v>
      </c>
      <c r="BX117" s="17">
        <f>'[1]资源-钻石'!L116/$B$2*$B$12*10</f>
        <v>24580.789255810174</v>
      </c>
      <c r="BY117" s="17">
        <f>'[1]资源-钻石'!M116/$B$2*$B$12*10</f>
        <v>33793.27028030486</v>
      </c>
      <c r="BZ117" s="17">
        <f>'[1]资源-钻石'!N116/$B$2*$B$12*10</f>
        <v>52453.854488703932</v>
      </c>
      <c r="CA117" s="17">
        <f>'[1]资源-钻石'!O116/$B$2*$B$12*10</f>
        <v>112959.30390224318</v>
      </c>
      <c r="CB117" s="17">
        <f>'[1]资源-钻石'!P116/$B$2*$B$12*10</f>
        <v>151760.73959456943</v>
      </c>
      <c r="CD117" s="17">
        <v>113</v>
      </c>
      <c r="CE117" s="17">
        <f>'[1]资源-钻石'!L116/$B$2*$C$12*10</f>
        <v>9956.7753947585516</v>
      </c>
      <c r="CF117" s="17">
        <f>'[1]资源-钻石'!M116/$B$2*$C$12*10</f>
        <v>13688.413278098171</v>
      </c>
      <c r="CG117" s="17">
        <f>'[1]资源-钻石'!N116/$B$2*$C$12*10</f>
        <v>21247.130932133237</v>
      </c>
      <c r="CH117" s="17">
        <f>'[1]资源-钻石'!O116/$B$2*$C$12*10</f>
        <v>45755.667403440275</v>
      </c>
      <c r="CI117" s="17">
        <f>'[1]资源-钻石'!P116/$B$2*$C$12*10</f>
        <v>61472.704645901547</v>
      </c>
    </row>
    <row r="118" spans="8:87" x14ac:dyDescent="0.15">
      <c r="H118" s="17">
        <v>25</v>
      </c>
      <c r="I118" s="29">
        <f>IF(基础状态预期!C128="","",基础状态预期!C128)</f>
        <v>742</v>
      </c>
      <c r="J118" s="29">
        <f>IF(基础状态预期!D128="","",基础状态预期!D128)</f>
        <v>100.71243145193914</v>
      </c>
      <c r="K118" s="29" t="str">
        <f>IF(基础状态预期!F128="","",基础状态预期!F128)</f>
        <v/>
      </c>
      <c r="L118" s="29" t="str">
        <f>IF(基础状态预期!G128="","",基础状态预期!G128)</f>
        <v/>
      </c>
      <c r="M118" s="29" t="str">
        <f>IF(基础状态预期!H128="","",基础状态预期!H128)</f>
        <v/>
      </c>
      <c r="N118" s="29" t="str">
        <f>IF(基础状态预期!I128="","",基础状态预期!I128)</f>
        <v/>
      </c>
      <c r="O118" s="29">
        <f>IF(基础状态预期!J128="","",基础状态预期!J128)</f>
        <v>6</v>
      </c>
      <c r="P118" s="29">
        <f>武将进阶!O115</f>
        <v>0</v>
      </c>
      <c r="Q118" s="29">
        <f>武将进阶!P115</f>
        <v>0</v>
      </c>
      <c r="R118" s="29">
        <f>武将进阶!Q115</f>
        <v>0</v>
      </c>
      <c r="S118" s="29">
        <f>武将进阶!R115</f>
        <v>350.54917742326961</v>
      </c>
      <c r="T118" s="29">
        <f>武将进阶!S115</f>
        <v>0</v>
      </c>
      <c r="U118" s="29">
        <f>武将觉醒!T116</f>
        <v>0</v>
      </c>
      <c r="V118" s="29">
        <f>武将觉醒!U116</f>
        <v>0</v>
      </c>
      <c r="W118" s="29">
        <f>武将觉醒!V116</f>
        <v>0</v>
      </c>
      <c r="X118" s="29">
        <f>武将觉醒!W116</f>
        <v>0</v>
      </c>
      <c r="Y118" s="29">
        <f>武将觉醒!X116</f>
        <v>0</v>
      </c>
      <c r="Z118" s="29"/>
      <c r="AA118" s="29">
        <f>IF(L118="",0,同名需求(L118,武将升星!P115,B$6)+武将升星!U115)</f>
        <v>0</v>
      </c>
      <c r="AB118" s="29">
        <f>IF(M118="",0,同名需求(M118,武将升星!Q115,C$6)+武将升星!V115)</f>
        <v>0</v>
      </c>
      <c r="AC118" s="59">
        <f>IF(N118="",0,同名需求(N118,武将升星!R115,D$6*0.7)+武将升星!W115)</f>
        <v>0</v>
      </c>
      <c r="AD118" s="29">
        <f>IF(O118="",0,同名需求(O118,武将升星!S115,E$6)+武将升星!X115)</f>
        <v>108</v>
      </c>
      <c r="AE118" s="29">
        <f>MAX(U118+P118+IF(K118="",0,K118)*武将升星!O115,Z118)</f>
        <v>0</v>
      </c>
      <c r="AF118" s="29">
        <f>MAX(V118+Q118+IF(L118="",0,L118)*武将升星!P115,AA118)</f>
        <v>0</v>
      </c>
      <c r="AG118" s="29">
        <f>MAX(W118+R118+IF(M118="",0,M118)*武将升星!Q115,AB118)</f>
        <v>0</v>
      </c>
      <c r="AH118" s="29">
        <f>MAX(X118+S118+IF(N118="",0,N118)*武将升星!R115,AC118)</f>
        <v>350.54917742326961</v>
      </c>
      <c r="AI118" s="45">
        <f t="shared" si="135"/>
        <v>108</v>
      </c>
      <c r="AJ118" s="29">
        <f t="shared" si="111"/>
        <v>1219318.0258158471</v>
      </c>
      <c r="AK118" s="14" t="e">
        <f>AJ118/求节点('[1]资源-钻石'!$K$4:$K$113,'[1]资源-钻石'!$N$4:$N$113,J118)</f>
        <v>#VALUE!</v>
      </c>
      <c r="AL118" s="16" t="e">
        <f t="shared" si="136"/>
        <v>#DIV/0!</v>
      </c>
      <c r="AM118" s="16"/>
      <c r="AP118" s="17">
        <v>25</v>
      </c>
      <c r="AR118" s="16">
        <f t="shared" si="128"/>
        <v>11.740881397746623</v>
      </c>
      <c r="AS118" s="29">
        <f>IF(基础状态预期!C128="","",基础状态预期!C128)</f>
        <v>742</v>
      </c>
      <c r="AT118" s="29">
        <f>求节点(节奏总纲!$R$4:$R$163,其他调用!$E$4:$E$163,$AS118)*求节点($CP$5:$CP$36,$CS$5:$CS$36,AS28)</f>
        <v>2538860.944336134</v>
      </c>
      <c r="AU118" s="37">
        <f t="shared" si="137"/>
        <v>0</v>
      </c>
      <c r="AV118" s="37">
        <f t="shared" si="138"/>
        <v>1</v>
      </c>
      <c r="AW118" s="38">
        <f t="shared" si="115"/>
        <v>0.4933333333333334</v>
      </c>
      <c r="AX118" s="38">
        <f t="shared" si="116"/>
        <v>0.26666666666666666</v>
      </c>
      <c r="AY118" s="38">
        <f t="shared" si="117"/>
        <v>0.04</v>
      </c>
      <c r="AZ118" s="38">
        <f t="shared" si="118"/>
        <v>2.4E-2</v>
      </c>
      <c r="BA118" s="29">
        <f t="shared" si="139"/>
        <v>453667.65720892954</v>
      </c>
      <c r="BB118" s="29">
        <f t="shared" si="129"/>
        <v>932.53907315168863</v>
      </c>
      <c r="BC118" s="29">
        <f t="shared" si="119"/>
        <v>504.07517467658835</v>
      </c>
      <c r="BD118" s="29">
        <f t="shared" si="120"/>
        <v>75.611276201488252</v>
      </c>
      <c r="BE118" s="29">
        <f t="shared" si="121"/>
        <v>45.36676572089295</v>
      </c>
      <c r="BF118" s="29">
        <f t="shared" si="130"/>
        <v>6158.6</v>
      </c>
      <c r="BG118" s="29">
        <f t="shared" si="130"/>
        <v>1113</v>
      </c>
      <c r="BH118" s="29">
        <f t="shared" si="130"/>
        <v>148.4</v>
      </c>
      <c r="BI118" s="29">
        <f t="shared" si="130"/>
        <v>0</v>
      </c>
      <c r="BJ118" s="29">
        <f>SUM(BB$97:BB118)+BF118</f>
        <v>11540.366410845047</v>
      </c>
      <c r="BK118" s="29">
        <f>SUM(BC$97:BC118)+BG118</f>
        <v>3933.9566048179267</v>
      </c>
      <c r="BL118" s="29">
        <f>SUM(BD$97:BD118)+BH118</f>
        <v>606.11854658702748</v>
      </c>
      <c r="BM118" s="29">
        <f>SUM(BE$97:BE118)+BI118</f>
        <v>230.17748469806699</v>
      </c>
      <c r="BN118" s="29">
        <f>SUM(BT$97:BT118)</f>
        <v>25.363088672698289</v>
      </c>
      <c r="BO118" s="17" t="e">
        <f t="shared" si="140"/>
        <v>#DIV/0!</v>
      </c>
      <c r="BP118" s="17" t="e">
        <f t="shared" si="141"/>
        <v>#DIV/0!</v>
      </c>
      <c r="BQ118" s="17" t="e">
        <f t="shared" si="142"/>
        <v>#DIV/0!</v>
      </c>
      <c r="BR118" s="17">
        <f t="shared" si="131"/>
        <v>0</v>
      </c>
      <c r="BS118" s="17">
        <f t="shared" si="126"/>
        <v>80</v>
      </c>
      <c r="BT118" s="17">
        <f t="shared" si="132"/>
        <v>0</v>
      </c>
      <c r="BV118" s="17">
        <f t="shared" si="127"/>
        <v>255.56936916375787</v>
      </c>
      <c r="BW118" s="17">
        <v>114</v>
      </c>
      <c r="BX118" s="17">
        <f>'[1]资源-钻石'!L117/$B$2*$B$12*10</f>
        <v>26173.714424462454</v>
      </c>
      <c r="BY118" s="17">
        <f>'[1]资源-钻石'!M117/$B$2*$B$12*10</f>
        <v>36037.778364749713</v>
      </c>
      <c r="BZ118" s="17">
        <f>'[1]资源-钻石'!N117/$B$2*$B$12*10</f>
        <v>55886.078851793754</v>
      </c>
      <c r="CA118" s="17">
        <f>'[1]资源-钻石'!O117/$B$2*$B$12*10</f>
        <v>120447.67124626046</v>
      </c>
      <c r="CB118" s="17">
        <f>'[1]资源-钻石'!P117/$B$2*$B$12*10</f>
        <v>161976.14485869592</v>
      </c>
      <c r="CD118" s="17">
        <v>114</v>
      </c>
      <c r="CE118" s="17">
        <f>'[1]资源-钻石'!L117/$B$2*$C$12*10</f>
        <v>10602.010906111373</v>
      </c>
      <c r="CF118" s="17">
        <f>'[1]资源-钻石'!M117/$B$2*$C$12*10</f>
        <v>14597.581109772036</v>
      </c>
      <c r="CG118" s="17">
        <f>'[1]资源-钻石'!N117/$B$2*$C$12*10</f>
        <v>22637.399028574684</v>
      </c>
      <c r="CH118" s="17">
        <f>'[1]资源-钻石'!O117/$B$2*$C$12*10</f>
        <v>48788.930125067534</v>
      </c>
      <c r="CI118" s="17">
        <f>'[1]资源-钻石'!P117/$B$2*$C$12*10</f>
        <v>65610.590322509728</v>
      </c>
    </row>
    <row r="119" spans="8:87" x14ac:dyDescent="0.15">
      <c r="H119" s="17">
        <v>26</v>
      </c>
      <c r="I119" s="29">
        <f>IF(基础状态预期!C129="","",基础状态预期!C129)</f>
        <v>951.99999999999989</v>
      </c>
      <c r="J119" s="29">
        <f>IF(基础状态预期!D129="","",基础状态预期!D129)</f>
        <v>104.39233713204413</v>
      </c>
      <c r="K119" s="29" t="str">
        <f>IF(基础状态预期!F129="","",基础状态预期!F129)</f>
        <v/>
      </c>
      <c r="L119" s="29" t="str">
        <f>IF(基础状态预期!G129="","",基础状态预期!G129)</f>
        <v/>
      </c>
      <c r="M119" s="29" t="str">
        <f>IF(基础状态预期!H129="","",基础状态预期!H129)</f>
        <v/>
      </c>
      <c r="N119" s="29" t="str">
        <f>IF(基础状态预期!I129="","",基础状态预期!I129)</f>
        <v/>
      </c>
      <c r="O119" s="29">
        <f>IF(基础状态预期!J129="","",基础状态预期!J129)</f>
        <v>6</v>
      </c>
      <c r="P119" s="29">
        <f>武将进阶!O116</f>
        <v>0</v>
      </c>
      <c r="Q119" s="29">
        <f>武将进阶!P116</f>
        <v>0</v>
      </c>
      <c r="R119" s="29">
        <f>武将进阶!Q116</f>
        <v>0</v>
      </c>
      <c r="S119" s="29">
        <f>武将进阶!R116</f>
        <v>394.70804558452977</v>
      </c>
      <c r="T119" s="29">
        <f>武将进阶!S116</f>
        <v>0</v>
      </c>
      <c r="U119" s="29">
        <f>武将觉醒!T117</f>
        <v>0</v>
      </c>
      <c r="V119" s="29">
        <f>武将觉醒!U117</f>
        <v>0</v>
      </c>
      <c r="W119" s="29">
        <f>武将觉醒!V117</f>
        <v>0</v>
      </c>
      <c r="X119" s="29">
        <f>武将觉醒!W117</f>
        <v>0</v>
      </c>
      <c r="Y119" s="29">
        <f>武将觉醒!X117</f>
        <v>0</v>
      </c>
      <c r="Z119" s="29"/>
      <c r="AA119" s="29">
        <f>IF(L119="",0,同名需求(L119,武将升星!P116,B$6)+武将升星!U116)</f>
        <v>0</v>
      </c>
      <c r="AB119" s="29">
        <f>IF(M119="",0,同名需求(M119,武将升星!Q116,C$6)+武将升星!V116)</f>
        <v>0</v>
      </c>
      <c r="AC119" s="59">
        <f>IF(N119="",0,同名需求(N119,武将升星!R116,D$6*0.7)+武将升星!W116)</f>
        <v>0</v>
      </c>
      <c r="AD119" s="29">
        <f>IF(O119="",0,同名需求(O119,武将升星!S116,E$6)+武将升星!X116)</f>
        <v>108</v>
      </c>
      <c r="AE119" s="29">
        <f>MAX(U119+P119+IF(K119="",0,K119)*武将升星!O116,Z119)</f>
        <v>0</v>
      </c>
      <c r="AF119" s="29">
        <f>MAX(V119+Q119+IF(L119="",0,L119)*武将升星!P116,AA119)</f>
        <v>0</v>
      </c>
      <c r="AG119" s="29">
        <f>MAX(W119+R119+IF(M119="",0,M119)*武将升星!Q116,AB119)</f>
        <v>0</v>
      </c>
      <c r="AH119" s="29">
        <f>MAX(X119+S119+IF(N119="",0,N119)*武将升星!R116,AC119)</f>
        <v>394.70804558452977</v>
      </c>
      <c r="AI119" s="45">
        <f t="shared" si="135"/>
        <v>108</v>
      </c>
      <c r="AJ119" s="29">
        <f t="shared" si="111"/>
        <v>1325299.3094028714</v>
      </c>
      <c r="AK119" s="14" t="e">
        <f>AJ119/求节点('[1]资源-钻石'!$K$4:$K$113,'[1]资源-钻石'!$N$4:$N$113,J119)</f>
        <v>#VALUE!</v>
      </c>
      <c r="AL119" s="16" t="e">
        <f t="shared" si="136"/>
        <v>#DIV/0!</v>
      </c>
      <c r="AM119" s="16"/>
      <c r="AP119" s="17">
        <v>26</v>
      </c>
      <c r="AR119" s="16">
        <f t="shared" si="128"/>
        <v>12.708168065769819</v>
      </c>
      <c r="AS119" s="29">
        <f>IF(基础状态预期!C129="","",基础状态预期!C129)</f>
        <v>951.99999999999989</v>
      </c>
      <c r="AT119" s="29">
        <f>求节点(节奏总纲!$R$4:$R$163,其他调用!$E$4:$E$163,$AS119)*求节点($CP$5:$CP$36,$CS$5:$CS$36,AS29)</f>
        <v>3152665.4619128159</v>
      </c>
      <c r="AU119" s="37">
        <f t="shared" si="137"/>
        <v>0</v>
      </c>
      <c r="AV119" s="37">
        <f t="shared" si="138"/>
        <v>1</v>
      </c>
      <c r="AW119" s="38">
        <f t="shared" si="115"/>
        <v>0.4933333333333334</v>
      </c>
      <c r="AX119" s="38">
        <f t="shared" si="116"/>
        <v>0.26666666666666666</v>
      </c>
      <c r="AY119" s="38">
        <f t="shared" si="117"/>
        <v>0.04</v>
      </c>
      <c r="AZ119" s="38">
        <f t="shared" si="118"/>
        <v>2.4E-2</v>
      </c>
      <c r="BA119" s="29">
        <f t="shared" si="139"/>
        <v>613804.51757668192</v>
      </c>
      <c r="BB119" s="29">
        <f t="shared" si="129"/>
        <v>1261.7092861298463</v>
      </c>
      <c r="BC119" s="29">
        <f t="shared" si="119"/>
        <v>682.00501952964657</v>
      </c>
      <c r="BD119" s="29">
        <f t="shared" si="120"/>
        <v>102.30075292944699</v>
      </c>
      <c r="BE119" s="29">
        <f t="shared" si="121"/>
        <v>61.380451757668197</v>
      </c>
      <c r="BF119" s="29">
        <f t="shared" si="130"/>
        <v>7901.5999999999995</v>
      </c>
      <c r="BG119" s="29">
        <f t="shared" si="130"/>
        <v>1427.9999999999998</v>
      </c>
      <c r="BH119" s="29">
        <f t="shared" si="130"/>
        <v>190.39999999999998</v>
      </c>
      <c r="BI119" s="29">
        <f t="shared" si="130"/>
        <v>0</v>
      </c>
      <c r="BJ119" s="29">
        <f>SUM(BB$97:BB119)+BF119</f>
        <v>14545.075696974891</v>
      </c>
      <c r="BK119" s="29">
        <f>SUM(BC$97:BC119)+BG119</f>
        <v>4930.961624347573</v>
      </c>
      <c r="BL119" s="29">
        <f>SUM(BD$97:BD119)+BH119</f>
        <v>750.41929951647444</v>
      </c>
      <c r="BM119" s="29">
        <f>SUM(BE$97:BE119)+BI119</f>
        <v>291.55793645573522</v>
      </c>
      <c r="BN119" s="29">
        <f>SUM(BT$97:BT119)</f>
        <v>25.363088672698289</v>
      </c>
      <c r="BO119" s="17" t="e">
        <f t="shared" si="140"/>
        <v>#VALUE!</v>
      </c>
      <c r="BP119" s="17" t="e">
        <f t="shared" si="141"/>
        <v>#VALUE!</v>
      </c>
      <c r="BQ119" s="17" t="e">
        <f t="shared" si="142"/>
        <v>#VALUE!</v>
      </c>
      <c r="BR119" s="17">
        <f t="shared" si="131"/>
        <v>0</v>
      </c>
      <c r="BS119" s="17">
        <f t="shared" si="126"/>
        <v>80</v>
      </c>
      <c r="BT119" s="17">
        <f t="shared" si="132"/>
        <v>0</v>
      </c>
      <c r="BV119" s="17">
        <f t="shared" si="127"/>
        <v>355.71125393194467</v>
      </c>
      <c r="BW119" s="17">
        <v>115</v>
      </c>
      <c r="BX119" s="17">
        <f>'[1]资源-钻石'!L118/$B$2*$B$12*10</f>
        <v>27874.803354837499</v>
      </c>
      <c r="BY119" s="17">
        <f>'[1]资源-钻石'!M118/$B$2*$B$12*10</f>
        <v>38334.858405594867</v>
      </c>
      <c r="BZ119" s="17">
        <f>'[1]资源-钻石'!N118/$B$2*$B$12*10</f>
        <v>59431.170664484533</v>
      </c>
      <c r="CA119" s="17">
        <f>'[1]资源-钻石'!O118/$B$2*$B$12*10</f>
        <v>128310.80365117922</v>
      </c>
      <c r="CB119" s="17">
        <f>'[1]资源-钻石'!P118/$B$2*$B$12*10</f>
        <v>172711.02292921755</v>
      </c>
      <c r="CD119" s="17">
        <v>115</v>
      </c>
      <c r="CE119" s="17">
        <f>'[1]资源-钻石'!L118/$B$2*$C$12*10</f>
        <v>11291.059586769621</v>
      </c>
      <c r="CF119" s="17">
        <f>'[1]资源-钻石'!M118/$B$2*$C$12*10</f>
        <v>15528.043911127033</v>
      </c>
      <c r="CG119" s="17">
        <f>'[1]资源-钻石'!N118/$B$2*$C$12*10</f>
        <v>24073.385585613993</v>
      </c>
      <c r="CH119" s="17">
        <f>'[1]资源-钻石'!O118/$B$2*$C$12*10</f>
        <v>51973.996415667527</v>
      </c>
      <c r="CI119" s="17">
        <f>'[1]资源-钻石'!P118/$B$2*$C$12*10</f>
        <v>69958.895363733682</v>
      </c>
    </row>
    <row r="120" spans="8:87" x14ac:dyDescent="0.15">
      <c r="H120" s="17">
        <v>27</v>
      </c>
      <c r="I120" s="29">
        <f>IF(基础状态预期!C130="","",基础状态预期!C130)</f>
        <v>1204</v>
      </c>
      <c r="J120" s="29">
        <f>IF(基础状态预期!D130="","",基础状态预期!D130)</f>
        <v>107.81562240612369</v>
      </c>
      <c r="K120" s="29" t="str">
        <f>IF(基础状态预期!F130="","",基础状态预期!F130)</f>
        <v/>
      </c>
      <c r="L120" s="29" t="str">
        <f>IF(基础状态预期!G130="","",基础状态预期!G130)</f>
        <v/>
      </c>
      <c r="M120" s="29" t="str">
        <f>IF(基础状态预期!H130="","",基础状态预期!H130)</f>
        <v/>
      </c>
      <c r="N120" s="29" t="str">
        <f>IF(基础状态预期!I130="","",基础状态预期!I130)</f>
        <v/>
      </c>
      <c r="O120" s="29">
        <f>IF(基础状态预期!J130="","",基础状态预期!J130)</f>
        <v>6</v>
      </c>
      <c r="P120" s="29">
        <f>武将进阶!O117</f>
        <v>0</v>
      </c>
      <c r="Q120" s="29">
        <f>武将进阶!P117</f>
        <v>0</v>
      </c>
      <c r="R120" s="29">
        <f>武将进阶!Q117</f>
        <v>0</v>
      </c>
      <c r="S120" s="29">
        <f>武将进阶!R117</f>
        <v>435.78746887348439</v>
      </c>
      <c r="T120" s="29">
        <f>武将进阶!S117</f>
        <v>0</v>
      </c>
      <c r="U120" s="29">
        <f>武将觉醒!T118</f>
        <v>0</v>
      </c>
      <c r="V120" s="29">
        <f>武将觉醒!U118</f>
        <v>0</v>
      </c>
      <c r="W120" s="29">
        <f>武将觉醒!V118</f>
        <v>0</v>
      </c>
      <c r="X120" s="29">
        <f>武将觉醒!W118</f>
        <v>0</v>
      </c>
      <c r="Y120" s="29">
        <f>武将觉醒!X118</f>
        <v>0</v>
      </c>
      <c r="Z120" s="29"/>
      <c r="AA120" s="29">
        <f>IF(L120="",0,同名需求(L120,武将升星!P117,B$6)+武将升星!U117)</f>
        <v>0</v>
      </c>
      <c r="AB120" s="29">
        <f>IF(M120="",0,同名需求(M120,武将升星!Q117,C$6)+武将升星!V117)</f>
        <v>0</v>
      </c>
      <c r="AC120" s="59">
        <f>IF(N120="",0,同名需求(N120,武将升星!R117,D$6*0.7)+武将升星!W117)</f>
        <v>0</v>
      </c>
      <c r="AD120" s="29">
        <f>IF(O120="",0,同名需求(O120,武将升星!S117,E$6)+武将升星!X117)</f>
        <v>108</v>
      </c>
      <c r="AE120" s="29">
        <f>MAX(U120+P120+IF(K120="",0,K120)*武将升星!O117,Z120)</f>
        <v>0</v>
      </c>
      <c r="AF120" s="29">
        <f>MAX(V120+Q120+IF(L120="",0,L120)*武将升星!P117,AA120)</f>
        <v>0</v>
      </c>
      <c r="AG120" s="29">
        <f>MAX(W120+R120+IF(M120="",0,M120)*武将升星!Q117,AB120)</f>
        <v>0</v>
      </c>
      <c r="AH120" s="29">
        <f>MAX(X120+S120+IF(N120="",0,N120)*武将升星!R117,AC120)</f>
        <v>435.78746887348439</v>
      </c>
      <c r="AI120" s="45">
        <f t="shared" si="135"/>
        <v>108</v>
      </c>
      <c r="AJ120" s="29">
        <f t="shared" si="111"/>
        <v>1423889.9252963625</v>
      </c>
      <c r="AK120" s="14" t="e">
        <f>AJ120/求节点('[1]资源-钻石'!$K$4:$K$113,'[1]资源-钻石'!$N$4:$N$113,J120)</f>
        <v>#VALUE!</v>
      </c>
      <c r="AL120" s="16" t="e">
        <f t="shared" si="136"/>
        <v>#DIV/0!</v>
      </c>
      <c r="AM120" s="16"/>
      <c r="AN120" s="16"/>
      <c r="AP120" s="17">
        <v>27</v>
      </c>
      <c r="AR120" s="16">
        <f t="shared" si="128"/>
        <v>12.547358235397263</v>
      </c>
      <c r="AS120" s="29">
        <f>IF(基础状态预期!C130="","",基础状态预期!C130)</f>
        <v>1204</v>
      </c>
      <c r="AT120" s="29">
        <f>求节点(节奏总纲!$R$4:$R$163,其他调用!$E$4:$E$163,$AS120)*求节点($CP$5:$CP$36,$CS$5:$CS$36,AS30)</f>
        <v>3879910.3452364416</v>
      </c>
      <c r="AU120" s="37">
        <f t="shared" si="137"/>
        <v>0</v>
      </c>
      <c r="AV120" s="37">
        <f t="shared" si="138"/>
        <v>1</v>
      </c>
      <c r="AW120" s="38">
        <f t="shared" si="115"/>
        <v>0.4933333333333334</v>
      </c>
      <c r="AX120" s="38">
        <f t="shared" si="116"/>
        <v>0.26666666666666666</v>
      </c>
      <c r="AY120" s="38">
        <f t="shared" si="117"/>
        <v>0.04</v>
      </c>
      <c r="AZ120" s="38">
        <f t="shared" si="118"/>
        <v>2.4E-2</v>
      </c>
      <c r="BA120" s="29">
        <f t="shared" si="139"/>
        <v>727244.88332362566</v>
      </c>
      <c r="BB120" s="29">
        <f t="shared" si="129"/>
        <v>1494.8922601652307</v>
      </c>
      <c r="BC120" s="29">
        <f t="shared" si="119"/>
        <v>808.04987035958402</v>
      </c>
      <c r="BD120" s="29">
        <f t="shared" si="120"/>
        <v>121.2074805539376</v>
      </c>
      <c r="BE120" s="29">
        <f t="shared" si="121"/>
        <v>72.724488332362569</v>
      </c>
      <c r="BF120" s="29">
        <f t="shared" si="130"/>
        <v>9993.2000000000007</v>
      </c>
      <c r="BG120" s="29">
        <f t="shared" si="130"/>
        <v>1806</v>
      </c>
      <c r="BH120" s="29">
        <f t="shared" si="130"/>
        <v>240.8</v>
      </c>
      <c r="BI120" s="29">
        <f t="shared" si="130"/>
        <v>0</v>
      </c>
      <c r="BJ120" s="29">
        <f>SUM(BB$97:BB120)+BF120</f>
        <v>18131.567957140123</v>
      </c>
      <c r="BK120" s="29">
        <f>SUM(BC$97:BC120)+BG120</f>
        <v>6117.0114947071579</v>
      </c>
      <c r="BL120" s="29">
        <f>SUM(BD$97:BD120)+BH120</f>
        <v>922.02678007041209</v>
      </c>
      <c r="BM120" s="29">
        <f>SUM(BE$97:BE120)+BI120</f>
        <v>364.28242478809779</v>
      </c>
      <c r="BN120" s="29">
        <f>SUM(BT$97:BT120)</f>
        <v>25.363088672698289</v>
      </c>
      <c r="BO120" s="17">
        <f t="shared" si="140"/>
        <v>849.36134270864159</v>
      </c>
      <c r="BP120" s="17">
        <f t="shared" si="141"/>
        <v>153.67113001173536</v>
      </c>
      <c r="BQ120" s="17" t="e">
        <f t="shared" si="142"/>
        <v>#DIV/0!</v>
      </c>
      <c r="BR120" s="17">
        <f t="shared" si="131"/>
        <v>0</v>
      </c>
      <c r="BS120" s="17">
        <f t="shared" si="126"/>
        <v>80</v>
      </c>
      <c r="BT120" s="17">
        <f t="shared" si="132"/>
        <v>0</v>
      </c>
      <c r="BV120" s="17">
        <f t="shared" si="127"/>
        <v>486.2393111969277</v>
      </c>
      <c r="BW120" s="17">
        <v>116</v>
      </c>
      <c r="BX120" s="17">
        <f>'[1]资源-钻石'!L119/$B$2*$B$12*10</f>
        <v>29620.869020109814</v>
      </c>
      <c r="BY120" s="17">
        <f>'[1]资源-钻石'!M119/$B$2*$B$12*10</f>
        <v>40852.531831216358</v>
      </c>
      <c r="BZ120" s="17">
        <f>'[1]资源-钻石'!N119/$B$2*$B$12*10</f>
        <v>63416.937683138523</v>
      </c>
      <c r="CA120" s="17">
        <f>'[1]资源-钻石'!O119/$B$2*$B$12*10</f>
        <v>137394.21866797653</v>
      </c>
      <c r="CB120" s="17">
        <f>'[1]资源-钻石'!P119/$B$2*$B$12*10</f>
        <v>184919.04056044077</v>
      </c>
      <c r="CD120" s="17">
        <v>116</v>
      </c>
      <c r="CE120" s="17">
        <f>'[1]资源-钻石'!L119/$B$2*$C$12*10</f>
        <v>11998.326691690052</v>
      </c>
      <c r="CF120" s="17">
        <f>'[1]资源-钻石'!M119/$B$2*$C$12*10</f>
        <v>16547.860994923081</v>
      </c>
      <c r="CG120" s="17">
        <f>'[1]资源-钻石'!N119/$B$2*$C$12*10</f>
        <v>25687.873491904211</v>
      </c>
      <c r="CH120" s="17">
        <f>'[1]资源-钻石'!O119/$B$2*$C$12*10</f>
        <v>55653.354397155053</v>
      </c>
      <c r="CI120" s="17">
        <f>'[1]资源-钻石'!P119/$B$2*$C$12*10</f>
        <v>74903.91516372285</v>
      </c>
    </row>
    <row r="121" spans="8:87" x14ac:dyDescent="0.15">
      <c r="H121" s="17">
        <v>28</v>
      </c>
      <c r="I121" s="29">
        <f>IF(基础状态预期!C131="","",基础状态预期!C131)</f>
        <v>1540</v>
      </c>
      <c r="J121" s="29">
        <f>IF(基础状态预期!D131="","",基础状态预期!D131)</f>
        <v>111.36292001894914</v>
      </c>
      <c r="K121" s="29" t="str">
        <f>IF(基础状态预期!F131="","",基础状态预期!F131)</f>
        <v/>
      </c>
      <c r="L121" s="29" t="str">
        <f>IF(基础状态预期!G131="","",基础状态预期!G131)</f>
        <v/>
      </c>
      <c r="M121" s="29" t="str">
        <f>IF(基础状态预期!H131="","",基础状态预期!H131)</f>
        <v/>
      </c>
      <c r="N121" s="29" t="str">
        <f>IF(基础状态预期!I131="","",基础状态预期!I131)</f>
        <v/>
      </c>
      <c r="O121" s="29">
        <f>IF(基础状态预期!J131="","",基础状态预期!J131)</f>
        <v>6</v>
      </c>
      <c r="P121" s="29">
        <f>武将进阶!O118</f>
        <v>0</v>
      </c>
      <c r="Q121" s="29">
        <f>武将进阶!P118</f>
        <v>0</v>
      </c>
      <c r="R121" s="29">
        <f>武将进阶!Q118</f>
        <v>0</v>
      </c>
      <c r="S121" s="29">
        <f>武将进阶!R118</f>
        <v>478.35504022738968</v>
      </c>
      <c r="T121" s="29">
        <f>武将进阶!S118</f>
        <v>0</v>
      </c>
      <c r="U121" s="29">
        <f>武将觉醒!T119</f>
        <v>0</v>
      </c>
      <c r="V121" s="29">
        <f>武将觉醒!U119</f>
        <v>0</v>
      </c>
      <c r="W121" s="29">
        <f>武将觉醒!V119</f>
        <v>0</v>
      </c>
      <c r="X121" s="29">
        <f>武将觉醒!W119</f>
        <v>0</v>
      </c>
      <c r="Y121" s="29">
        <f>武将觉醒!X119</f>
        <v>0</v>
      </c>
      <c r="Z121" s="29"/>
      <c r="AA121" s="29">
        <f>IF(L121="",0,同名需求(L121,武将升星!P118,B$6)+武将升星!U118)</f>
        <v>0</v>
      </c>
      <c r="AB121" s="29">
        <f>IF(M121="",0,同名需求(M121,武将升星!Q118,C$6)+武将升星!V118)</f>
        <v>0</v>
      </c>
      <c r="AC121" s="59">
        <f>IF(N121="",0,同名需求(N121,武将升星!R118,D$6*0.7)+武将升星!W118)</f>
        <v>0</v>
      </c>
      <c r="AD121" s="29">
        <f>IF(O121="",0,同名需求(O121,武将升星!S118,E$6)+武将升星!X118)</f>
        <v>108</v>
      </c>
      <c r="AE121" s="29">
        <f>MAX(U121+P121+IF(K121="",0,K121)*武将升星!O118,Z121)</f>
        <v>0</v>
      </c>
      <c r="AF121" s="29">
        <f>MAX(V121+Q121+IF(L121="",0,L121)*武将升星!P118,AA121)</f>
        <v>0</v>
      </c>
      <c r="AG121" s="29">
        <f>MAX(W121+R121+IF(M121="",0,M121)*武将升星!Q118,AB121)</f>
        <v>0</v>
      </c>
      <c r="AH121" s="29">
        <f>MAX(X121+S121+IF(N121="",0,N121)*武将升星!R118,AC121)</f>
        <v>478.35504022738968</v>
      </c>
      <c r="AI121" s="45">
        <f t="shared" si="135"/>
        <v>108</v>
      </c>
      <c r="AJ121" s="29">
        <f t="shared" si="111"/>
        <v>1526052.0965457351</v>
      </c>
      <c r="AK121" s="14" t="e">
        <f>AJ121/求节点('[1]资源-钻石'!$K$4:$K$113,'[1]资源-钻石'!$N$4:$N$113,J121)</f>
        <v>#VALUE!</v>
      </c>
      <c r="AL121" s="16" t="e">
        <f t="shared" si="136"/>
        <v>#DIV/0!</v>
      </c>
      <c r="AM121" s="16"/>
      <c r="AN121" s="16"/>
      <c r="AP121" s="17">
        <v>28</v>
      </c>
      <c r="AR121" s="16">
        <f t="shared" si="128"/>
        <v>12.255329124384538</v>
      </c>
      <c r="AS121" s="29">
        <f>IF(基础状态预期!C131="","",基础状态预期!C131)</f>
        <v>1540</v>
      </c>
      <c r="AT121" s="29">
        <f>求节点(节奏总纲!$R$4:$R$163,其他调用!$E$4:$E$163,$AS121)*求节点($CP$5:$CP$36,$CS$5:$CS$36,AS31)</f>
        <v>4827002.1799688786</v>
      </c>
      <c r="AU121" s="37">
        <f t="shared" si="137"/>
        <v>0</v>
      </c>
      <c r="AV121" s="37">
        <f t="shared" si="138"/>
        <v>1</v>
      </c>
      <c r="AW121" s="38">
        <f t="shared" si="115"/>
        <v>0.4933333333333334</v>
      </c>
      <c r="AX121" s="38">
        <f t="shared" si="116"/>
        <v>0.26666666666666666</v>
      </c>
      <c r="AY121" s="38">
        <f t="shared" si="117"/>
        <v>0.04</v>
      </c>
      <c r="AZ121" s="38">
        <f t="shared" si="118"/>
        <v>2.4E-2</v>
      </c>
      <c r="BA121" s="29">
        <f t="shared" si="139"/>
        <v>947091.83473243704</v>
      </c>
      <c r="BB121" s="29">
        <f t="shared" si="129"/>
        <v>1946.7998825055652</v>
      </c>
      <c r="BC121" s="29">
        <f t="shared" si="119"/>
        <v>1052.3242608138189</v>
      </c>
      <c r="BD121" s="29">
        <f t="shared" si="120"/>
        <v>157.84863912207285</v>
      </c>
      <c r="BE121" s="29">
        <f t="shared" si="121"/>
        <v>94.709183473243698</v>
      </c>
      <c r="BF121" s="29">
        <f t="shared" si="130"/>
        <v>12782.000000000002</v>
      </c>
      <c r="BG121" s="29">
        <f t="shared" si="130"/>
        <v>2310</v>
      </c>
      <c r="BH121" s="29">
        <f t="shared" si="130"/>
        <v>308</v>
      </c>
      <c r="BI121" s="29">
        <f t="shared" si="130"/>
        <v>0</v>
      </c>
      <c r="BJ121" s="29">
        <f>SUM(BB$97:BB121)+BF121</f>
        <v>22867.167839645692</v>
      </c>
      <c r="BK121" s="29">
        <f>SUM(BC$97:BC121)+BG121</f>
        <v>7673.3357555209768</v>
      </c>
      <c r="BL121" s="29">
        <f>SUM(BD$97:BD121)+BH121</f>
        <v>1147.0754191924848</v>
      </c>
      <c r="BM121" s="29">
        <f>SUM(BE$97:BE121)+BI121</f>
        <v>458.99160826134147</v>
      </c>
      <c r="BN121" s="29">
        <f>SUM(BT$97:BT121)</f>
        <v>25.363088672698289</v>
      </c>
      <c r="BO121" s="17">
        <f t="shared" si="140"/>
        <v>548.50134175273104</v>
      </c>
      <c r="BP121" s="17">
        <f t="shared" si="141"/>
        <v>104.13121263121643</v>
      </c>
      <c r="BQ121" s="17" t="e">
        <f t="shared" si="142"/>
        <v>#DIV/0!</v>
      </c>
      <c r="BR121" s="17">
        <f t="shared" si="131"/>
        <v>0</v>
      </c>
      <c r="BS121" s="17">
        <f t="shared" si="126"/>
        <v>80</v>
      </c>
      <c r="BT121" s="17">
        <f t="shared" si="132"/>
        <v>0</v>
      </c>
      <c r="BV121" s="17">
        <f t="shared" si="127"/>
        <v>668.72037896509505</v>
      </c>
      <c r="BW121" s="17">
        <v>117</v>
      </c>
      <c r="BX121" s="17">
        <f>'[1]资源-钻石'!L120/$B$2*$B$12*10</f>
        <v>31492.25586399444</v>
      </c>
      <c r="BY121" s="17">
        <f>'[1]资源-钻石'!M120/$B$2*$B$12*10</f>
        <v>43605.514563054305</v>
      </c>
      <c r="BZ121" s="17">
        <f>'[1]资源-钻石'!N120/$B$2*$B$12*10</f>
        <v>67826.763267501112</v>
      </c>
      <c r="CA121" s="17">
        <f>'[1]资源-钻石'!O120/$B$2*$B$12*10</f>
        <v>147080.50819498225</v>
      </c>
      <c r="CB121" s="17">
        <f>'[1]资源-钻石'!P120/$B$2*$B$12*10</f>
        <v>198301.36143592364</v>
      </c>
      <c r="CD121" s="17">
        <v>117</v>
      </c>
      <c r="CE121" s="17">
        <f>'[1]资源-钻石'!L120/$B$2*$C$12*10</f>
        <v>12756.356805668634</v>
      </c>
      <c r="CF121" s="17">
        <f>'[1]资源-钻石'!M120/$B$2*$C$12*10</f>
        <v>17662.993240730859</v>
      </c>
      <c r="CG121" s="17">
        <f>'[1]资源-钻石'!N120/$B$2*$C$12*10</f>
        <v>27474.131956456145</v>
      </c>
      <c r="CH121" s="17">
        <f>'[1]资源-钻石'!O120/$B$2*$C$12*10</f>
        <v>59576.91471189155</v>
      </c>
      <c r="CI121" s="17">
        <f>'[1]资源-钻石'!P120/$B$2*$C$12*10</f>
        <v>80324.602100627293</v>
      </c>
    </row>
    <row r="122" spans="8:87" x14ac:dyDescent="0.15">
      <c r="H122" s="17">
        <v>29</v>
      </c>
      <c r="I122" s="29">
        <f>IF(基础状态预期!C132="","",基础状态预期!C132)</f>
        <v>1959.9999999999998</v>
      </c>
      <c r="J122" s="29">
        <f>IF(基础状态预期!D132="","",基础状态预期!D132)</f>
        <v>114.91934497223426</v>
      </c>
      <c r="K122" s="29" t="str">
        <f>IF(基础状态预期!F132="","",基础状态预期!F132)</f>
        <v/>
      </c>
      <c r="L122" s="29" t="str">
        <f>IF(基础状态预期!G132="","",基础状态预期!G132)</f>
        <v/>
      </c>
      <c r="M122" s="29" t="str">
        <f>IF(基础状态预期!H132="","",基础状态预期!H132)</f>
        <v/>
      </c>
      <c r="N122" s="29" t="str">
        <f>IF(基础状态预期!I132="","",基础状态预期!I132)</f>
        <v/>
      </c>
      <c r="O122" s="29">
        <f>IF(基础状态预期!J132="","",基础状态预期!J132)</f>
        <v>6</v>
      </c>
      <c r="P122" s="29">
        <f>武将进阶!O119</f>
        <v>0</v>
      </c>
      <c r="Q122" s="29">
        <f>武将进阶!P119</f>
        <v>0</v>
      </c>
      <c r="R122" s="29">
        <f>武将进阶!Q119</f>
        <v>0</v>
      </c>
      <c r="S122" s="29">
        <f>武将进阶!R119</f>
        <v>521.03213966681108</v>
      </c>
      <c r="T122" s="29">
        <f>武将进阶!S119</f>
        <v>0</v>
      </c>
      <c r="U122" s="29">
        <f>武将觉醒!T120</f>
        <v>0</v>
      </c>
      <c r="V122" s="29">
        <f>武将觉醒!U120</f>
        <v>0</v>
      </c>
      <c r="W122" s="29">
        <f>武将觉醒!V120</f>
        <v>0</v>
      </c>
      <c r="X122" s="29">
        <f>武将觉醒!W120</f>
        <v>0</v>
      </c>
      <c r="Y122" s="29">
        <f>武将觉醒!X120</f>
        <v>0</v>
      </c>
      <c r="Z122" s="29"/>
      <c r="AA122" s="29">
        <f>IF(L122="",0,同名需求(L122,武将升星!P119,B$6)+武将升星!U119)</f>
        <v>0</v>
      </c>
      <c r="AB122" s="29">
        <f>IF(M122="",0,同名需求(M122,武将升星!Q119,C$6)+武将升星!V119)</f>
        <v>0</v>
      </c>
      <c r="AC122" s="59">
        <f>IF(N122="",0,同名需求(N122,武将升星!R119,D$6*0.7)+武将升星!W119)</f>
        <v>0</v>
      </c>
      <c r="AD122" s="29">
        <f>IF(O122="",0,同名需求(O122,武将升星!S119,E$6)+武将升星!X119)</f>
        <v>108</v>
      </c>
      <c r="AE122" s="29">
        <f>MAX(U122+P122+IF(K122="",0,K122)*武将升星!O119,Z122)</f>
        <v>0</v>
      </c>
      <c r="AF122" s="29">
        <f>MAX(V122+Q122+IF(L122="",0,L122)*武将升星!P119,AA122)</f>
        <v>0</v>
      </c>
      <c r="AG122" s="29">
        <f>MAX(W122+R122+IF(M122="",0,M122)*武将升星!Q119,AB122)</f>
        <v>0</v>
      </c>
      <c r="AH122" s="29">
        <f>MAX(X122+S122+IF(N122="",0,N122)*武将升星!R119,AC122)</f>
        <v>521.03213966681108</v>
      </c>
      <c r="AI122" s="45">
        <f t="shared" si="135"/>
        <v>108</v>
      </c>
      <c r="AJ122" s="29">
        <f t="shared" si="111"/>
        <v>1628477.1352003464</v>
      </c>
      <c r="AK122" s="14" t="e">
        <f>AJ122/求节点('[1]资源-钻石'!$K$4:$K$113,'[1]资源-钻石'!$N$4:$N$113,J122)</f>
        <v>#VALUE!</v>
      </c>
      <c r="AL122" s="16" t="e">
        <f t="shared" si="136"/>
        <v>#DIV/0!</v>
      </c>
      <c r="AM122" s="16"/>
      <c r="AN122" s="16"/>
      <c r="AP122" s="17">
        <v>29</v>
      </c>
      <c r="AR122" s="16">
        <f t="shared" si="128"/>
        <v>11.890405062075322</v>
      </c>
      <c r="AS122" s="29">
        <f>IF(基础状态预期!C132="","",基础状态预期!C132)</f>
        <v>1959.9999999999998</v>
      </c>
      <c r="AT122" s="29">
        <f>求节点(节奏总纲!$R$4:$R$163,其他调用!$E$4:$E$163,$AS122)*求节点($CP$5:$CP$36,$CS$5:$CS$36,AS32)</f>
        <v>5975615.3089653542</v>
      </c>
      <c r="AU122" s="37">
        <f t="shared" si="137"/>
        <v>0</v>
      </c>
      <c r="AV122" s="37">
        <f t="shared" si="138"/>
        <v>1</v>
      </c>
      <c r="AW122" s="38">
        <f t="shared" si="115"/>
        <v>0.4933333333333334</v>
      </c>
      <c r="AX122" s="38">
        <f t="shared" si="116"/>
        <v>0.26666666666666666</v>
      </c>
      <c r="AY122" s="38">
        <f t="shared" si="117"/>
        <v>0.04</v>
      </c>
      <c r="AZ122" s="38">
        <f t="shared" si="118"/>
        <v>2.4E-2</v>
      </c>
      <c r="BA122" s="29">
        <f t="shared" si="139"/>
        <v>1148613.1289964756</v>
      </c>
      <c r="BB122" s="29">
        <f t="shared" si="129"/>
        <v>2361.038098492756</v>
      </c>
      <c r="BC122" s="29">
        <f t="shared" si="119"/>
        <v>1276.236809996084</v>
      </c>
      <c r="BD122" s="29">
        <f t="shared" si="120"/>
        <v>191.4355214994126</v>
      </c>
      <c r="BE122" s="29">
        <f t="shared" si="121"/>
        <v>114.86131289964757</v>
      </c>
      <c r="BF122" s="29">
        <f t="shared" si="130"/>
        <v>16268</v>
      </c>
      <c r="BG122" s="29">
        <f t="shared" si="130"/>
        <v>2939.9999999999995</v>
      </c>
      <c r="BH122" s="29">
        <f t="shared" si="130"/>
        <v>392</v>
      </c>
      <c r="BI122" s="29">
        <f t="shared" si="130"/>
        <v>0</v>
      </c>
      <c r="BJ122" s="29">
        <f>SUM(BB$97:BB122)+BF122</f>
        <v>28714.205938138446</v>
      </c>
      <c r="BK122" s="29">
        <f>SUM(BC$97:BC122)+BG122</f>
        <v>9579.5725655170609</v>
      </c>
      <c r="BL122" s="29">
        <f>SUM(BD$97:BD122)+BH122</f>
        <v>1422.5109406918975</v>
      </c>
      <c r="BM122" s="29">
        <f>SUM(BE$97:BE122)+BI122</f>
        <v>573.85292116098901</v>
      </c>
      <c r="BN122" s="29">
        <f>SUM(BT$97:BT122)</f>
        <v>25.363088672698289</v>
      </c>
      <c r="BO122" s="17">
        <f t="shared" si="140"/>
        <v>448.74574907966291</v>
      </c>
      <c r="BP122" s="17">
        <f t="shared" si="141"/>
        <v>50.837963306971105</v>
      </c>
      <c r="BQ122" s="17" t="e">
        <f t="shared" si="142"/>
        <v>#DIV/0!</v>
      </c>
      <c r="BR122" s="17">
        <f t="shared" si="131"/>
        <v>0</v>
      </c>
      <c r="BS122" s="17">
        <f t="shared" si="126"/>
        <v>80</v>
      </c>
      <c r="BT122" s="17">
        <f t="shared" si="132"/>
        <v>0</v>
      </c>
      <c r="BV122" s="17">
        <f t="shared" si="127"/>
        <v>901.47880102508645</v>
      </c>
      <c r="BW122" s="17">
        <v>118</v>
      </c>
      <c r="BX122" s="17">
        <f>'[1]资源-钻石'!L121/$B$2*$B$12*10</f>
        <v>33497.958621409642</v>
      </c>
      <c r="BY122" s="17">
        <f>'[1]资源-钻石'!M121/$B$2*$B$12*10</f>
        <v>46490.141389444427</v>
      </c>
      <c r="BZ122" s="17">
        <f>'[1]资源-钻石'!N121/$B$2*$B$12*10</f>
        <v>72516.993421192659</v>
      </c>
      <c r="CA122" s="17">
        <f>'[1]资源-钻石'!O121/$B$2*$B$12*10</f>
        <v>157687.98537557706</v>
      </c>
      <c r="CB122" s="17">
        <f>'[1]资源-钻石'!P121/$B$2*$B$12*10</f>
        <v>212425.9659628041</v>
      </c>
      <c r="CD122" s="17">
        <v>118</v>
      </c>
      <c r="CE122" s="17">
        <f>'[1]资源-钻石'!L121/$B$2*$C$12*10</f>
        <v>13568.793365634287</v>
      </c>
      <c r="CF122" s="17">
        <f>'[1]资源-钻石'!M121/$B$2*$C$12*10</f>
        <v>18831.449676736986</v>
      </c>
      <c r="CG122" s="17">
        <f>'[1]资源-钻石'!N121/$B$2*$C$12*10</f>
        <v>29373.972018710949</v>
      </c>
      <c r="CH122" s="17">
        <f>'[1]资源-钻石'!O121/$B$2*$C$12*10</f>
        <v>63873.614329347663</v>
      </c>
      <c r="CI122" s="17">
        <f>'[1]资源-钻石'!P121/$B$2*$C$12*10</f>
        <v>86045.960896325705</v>
      </c>
    </row>
    <row r="123" spans="8:87" x14ac:dyDescent="0.15">
      <c r="H123" s="17">
        <v>30</v>
      </c>
      <c r="I123" s="29">
        <f>IF(基础状态预期!C133="","",基础状态预期!C133)</f>
        <v>2506</v>
      </c>
      <c r="J123" s="29">
        <f>IF(基础状态预期!D133="","",基础状态预期!D133)</f>
        <v>118.44741987029688</v>
      </c>
      <c r="K123" s="29" t="str">
        <f>IF(基础状态预期!F133="","",基础状态预期!F133)</f>
        <v/>
      </c>
      <c r="L123" s="29" t="str">
        <f>IF(基础状态预期!G133="","",基础状态预期!G133)</f>
        <v/>
      </c>
      <c r="M123" s="29" t="str">
        <f>IF(基础状态预期!H133="","",基础状态预期!H133)</f>
        <v/>
      </c>
      <c r="N123" s="29" t="str">
        <f>IF(基础状态预期!I133="","",基础状态预期!I133)</f>
        <v/>
      </c>
      <c r="O123" s="29">
        <f>IF(基础状态预期!J133="","",基础状态预期!J133)</f>
        <v>6</v>
      </c>
      <c r="P123" s="29">
        <f>武将进阶!O120</f>
        <v>0</v>
      </c>
      <c r="Q123" s="29">
        <f>武将进阶!P120</f>
        <v>0</v>
      </c>
      <c r="R123" s="29">
        <f>武将进阶!Q120</f>
        <v>0</v>
      </c>
      <c r="S123" s="29">
        <f>武将进阶!R120</f>
        <v>563.36903844356254</v>
      </c>
      <c r="T123" s="29">
        <f>武将进阶!S120</f>
        <v>0</v>
      </c>
      <c r="U123" s="29">
        <f>武将觉醒!T121</f>
        <v>0</v>
      </c>
      <c r="V123" s="29">
        <f>武将觉醒!U121</f>
        <v>0</v>
      </c>
      <c r="W123" s="29">
        <f>武将觉醒!V121</f>
        <v>0</v>
      </c>
      <c r="X123" s="29">
        <f>武将觉醒!W121</f>
        <v>0</v>
      </c>
      <c r="Y123" s="29">
        <f>武将觉醒!X121</f>
        <v>0</v>
      </c>
      <c r="Z123" s="29"/>
      <c r="AA123" s="29">
        <f>IF(L123="",0,同名需求(L123,武将升星!P120,B$6)+武将升星!U120)</f>
        <v>0</v>
      </c>
      <c r="AB123" s="29">
        <f>IF(M123="",0,同名需求(M123,武将升星!Q120,C$6)+武将升星!V120)</f>
        <v>0</v>
      </c>
      <c r="AC123" s="59">
        <f>IF(N123="",0,同名需求(N123,武将升星!R120,D$6*0.7)+武将升星!W120)</f>
        <v>0</v>
      </c>
      <c r="AD123" s="29">
        <f>IF(O123="",0,同名需求(O123,武将升星!S120,E$6)+武将升星!X120)</f>
        <v>108</v>
      </c>
      <c r="AE123" s="29">
        <f>MAX(U123+P123+IF(K123="",0,K123)*武将升星!O120,Z123)</f>
        <v>0</v>
      </c>
      <c r="AF123" s="29">
        <f>MAX(V123+Q123+IF(L123="",0,L123)*武将升星!P120,AA123)</f>
        <v>0</v>
      </c>
      <c r="AG123" s="29">
        <f>MAX(W123+R123+IF(M123="",0,M123)*武将升星!Q120,AB123)</f>
        <v>0</v>
      </c>
      <c r="AH123" s="29">
        <f>MAX(X123+S123+IF(N123="",0,N123)*武将升星!R120,AC123)</f>
        <v>563.36903844356254</v>
      </c>
      <c r="AI123" s="45">
        <f t="shared" si="135"/>
        <v>108</v>
      </c>
      <c r="AJ123" s="29">
        <f t="shared" si="111"/>
        <v>1730085.6922645501</v>
      </c>
      <c r="AK123" s="14" t="e">
        <f>AJ123/求节点('[1]资源-钻石'!$K$4:$K$113,'[1]资源-钻石'!$N$4:$N$113,J123)</f>
        <v>#VALUE!</v>
      </c>
      <c r="AL123" s="16" t="e">
        <f t="shared" si="136"/>
        <v>#DIV/0!</v>
      </c>
      <c r="AM123" s="16"/>
      <c r="AN123" s="16"/>
      <c r="AP123" s="17">
        <v>30</v>
      </c>
      <c r="AR123" s="16">
        <f t="shared" si="128"/>
        <v>11.776738733307761</v>
      </c>
      <c r="AS123" s="29">
        <f>IF(基础状态预期!C133="","",基础状态预期!C133)</f>
        <v>2506</v>
      </c>
      <c r="AT123" s="29">
        <f>求节点(节奏总纲!$R$4:$R$163,其他调用!$E$4:$E$163,$AS123)*求节点($CP$5:$CP$36,$CS$5:$CS$36,AS33)</f>
        <v>7454538.1590941437</v>
      </c>
      <c r="AU123" s="37">
        <f t="shared" si="137"/>
        <v>0</v>
      </c>
      <c r="AV123" s="37">
        <f t="shared" si="138"/>
        <v>1</v>
      </c>
      <c r="AW123" s="38">
        <f t="shared" si="115"/>
        <v>0.4933333333333334</v>
      </c>
      <c r="AX123" s="38">
        <f t="shared" si="116"/>
        <v>0.26666666666666666</v>
      </c>
      <c r="AY123" s="38">
        <f t="shared" si="117"/>
        <v>0.04</v>
      </c>
      <c r="AZ123" s="38">
        <f t="shared" si="118"/>
        <v>2.4E-2</v>
      </c>
      <c r="BA123" s="29">
        <f t="shared" si="139"/>
        <v>1478922.8501287894</v>
      </c>
      <c r="BB123" s="29">
        <f t="shared" si="129"/>
        <v>3040.0080808202897</v>
      </c>
      <c r="BC123" s="29">
        <f t="shared" si="119"/>
        <v>1643.2476112542104</v>
      </c>
      <c r="BD123" s="29">
        <f t="shared" si="120"/>
        <v>246.48714168813157</v>
      </c>
      <c r="BE123" s="29">
        <f t="shared" si="121"/>
        <v>147.89228501287894</v>
      </c>
      <c r="BF123" s="29">
        <f t="shared" si="130"/>
        <v>20799.800000000003</v>
      </c>
      <c r="BG123" s="29">
        <f t="shared" si="130"/>
        <v>3759</v>
      </c>
      <c r="BH123" s="29">
        <f t="shared" si="130"/>
        <v>501.20000000000005</v>
      </c>
      <c r="BI123" s="29">
        <f t="shared" si="130"/>
        <v>0</v>
      </c>
      <c r="BJ123" s="29">
        <f>SUM(BB$97:BB123)+BF123</f>
        <v>36286.01401895874</v>
      </c>
      <c r="BK123" s="29">
        <f>SUM(BC$97:BC123)+BG123</f>
        <v>12041.820176771271</v>
      </c>
      <c r="BL123" s="29">
        <f>SUM(BD$97:BD123)+BH123</f>
        <v>1778.1980823800291</v>
      </c>
      <c r="BM123" s="29">
        <f>SUM(BE$97:BE123)+BI123</f>
        <v>721.74520617386793</v>
      </c>
      <c r="BN123" s="29">
        <f>SUM(BT$97:BT123)</f>
        <v>25.363088672698289</v>
      </c>
      <c r="BO123" s="17">
        <f t="shared" si="140"/>
        <v>394.97061147417071</v>
      </c>
      <c r="BP123" s="17">
        <f t="shared" si="141"/>
        <v>34.929966228203313</v>
      </c>
      <c r="BQ123" s="17" t="e">
        <f t="shared" si="142"/>
        <v>#DIV/0!</v>
      </c>
      <c r="BR123" s="17">
        <f t="shared" si="131"/>
        <v>0</v>
      </c>
      <c r="BS123" s="17">
        <f t="shared" si="126"/>
        <v>80</v>
      </c>
      <c r="BT123" s="17">
        <f t="shared" si="132"/>
        <v>0</v>
      </c>
      <c r="BV123" s="17">
        <f t="shared" si="127"/>
        <v>1214.8290439364664</v>
      </c>
      <c r="BW123" s="17">
        <v>119</v>
      </c>
      <c r="BX123" s="17">
        <f>'[1]资源-钻石'!L122/$B$2*$B$12*10</f>
        <v>35647.61761054302</v>
      </c>
      <c r="BY123" s="17">
        <f>'[1]资源-钻石'!M122/$B$2*$B$12*10</f>
        <v>49578.714256136722</v>
      </c>
      <c r="BZ123" s="17">
        <f>'[1]资源-钻石'!N122/$B$2*$B$12*10</f>
        <v>77633.732815695534</v>
      </c>
      <c r="CA123" s="17">
        <f>'[1]资源-钻石'!O122/$B$2*$B$12*10</f>
        <v>168873.57642449034</v>
      </c>
      <c r="CB123" s="17">
        <f>'[1]资源-钻石'!P122/$B$2*$B$12*10</f>
        <v>226799.60941463988</v>
      </c>
      <c r="CD123" s="17">
        <v>119</v>
      </c>
      <c r="CE123" s="17">
        <f>'[1]资源-钻石'!L122/$B$2*$C$12*10</f>
        <v>14439.541310599705</v>
      </c>
      <c r="CF123" s="17">
        <f>'[1]资源-钻石'!M122/$B$2*$C$12*10</f>
        <v>20082.517167042723</v>
      </c>
      <c r="CG123" s="17">
        <f>'[1]资源-钻石'!N122/$B$2*$C$12*10</f>
        <v>31446.575317750088</v>
      </c>
      <c r="CH123" s="17">
        <f>'[1]资源-钻石'!O122/$B$2*$C$12*10</f>
        <v>68404.48665295812</v>
      </c>
      <c r="CI123" s="17">
        <f>'[1]资源-钻石'!P122/$B$2*$C$12*10</f>
        <v>91868.196218588302</v>
      </c>
    </row>
    <row r="124" spans="8:87" x14ac:dyDescent="0.15">
      <c r="H124" s="17">
        <v>31</v>
      </c>
      <c r="I124" s="29">
        <f>IF(基础状态预期!C134="","",基础状态预期!C134)</f>
        <v>3178</v>
      </c>
      <c r="J124" s="29">
        <f>IF(基础状态预期!D134="","",基础状态预期!D134)</f>
        <v>121.97211685892326</v>
      </c>
      <c r="K124" s="29" t="str">
        <f>IF(基础状态预期!F134="","",基础状态预期!F134)</f>
        <v/>
      </c>
      <c r="L124" s="29" t="str">
        <f>IF(基础状态预期!G134="","",基础状态预期!G134)</f>
        <v/>
      </c>
      <c r="M124" s="29" t="str">
        <f>IF(基础状态预期!H134="","",基础状态预期!H134)</f>
        <v/>
      </c>
      <c r="N124" s="29" t="str">
        <f>IF(基础状态预期!I134="","",基础状态预期!I134)</f>
        <v/>
      </c>
      <c r="O124" s="29">
        <f>IF(基础状态预期!J134="","",基础状态预期!J134)</f>
        <v>6</v>
      </c>
      <c r="P124" s="29">
        <f>武将进阶!O121</f>
        <v>0</v>
      </c>
      <c r="Q124" s="29">
        <f>武将进阶!P121</f>
        <v>0</v>
      </c>
      <c r="R124" s="29">
        <f>武将进阶!Q121</f>
        <v>0</v>
      </c>
      <c r="S124" s="29">
        <f>武将进阶!R121</f>
        <v>605.66540230707915</v>
      </c>
      <c r="T124" s="29">
        <f>武将进阶!S121</f>
        <v>0</v>
      </c>
      <c r="U124" s="29">
        <f>武将觉醒!T122</f>
        <v>0</v>
      </c>
      <c r="V124" s="29">
        <f>武将觉醒!U122</f>
        <v>0</v>
      </c>
      <c r="W124" s="29">
        <f>武将觉醒!V122</f>
        <v>0</v>
      </c>
      <c r="X124" s="29">
        <f>武将觉醒!W122</f>
        <v>0</v>
      </c>
      <c r="Y124" s="29">
        <f>武将觉醒!X122</f>
        <v>0</v>
      </c>
      <c r="Z124" s="29"/>
      <c r="AA124" s="29">
        <f>IF(L124="",0,同名需求(L124,武将升星!P121,B$6)+武将升星!U121)</f>
        <v>0</v>
      </c>
      <c r="AB124" s="29">
        <f>IF(M124="",0,同名需求(M124,武将升星!Q121,C$6)+武将升星!V121)</f>
        <v>0</v>
      </c>
      <c r="AC124" s="59">
        <f>IF(N124="",0,同名需求(N124,武将升星!R121,D$6*0.7)+武将升星!W121)</f>
        <v>0</v>
      </c>
      <c r="AD124" s="29">
        <f>IF(O124="",0,同名需求(O124,武将升星!S121,E$6)+武将升星!X121)</f>
        <v>108</v>
      </c>
      <c r="AE124" s="29">
        <f>MAX(U124+P124+IF(K124="",0,K124)*武将升星!O121,Z124)</f>
        <v>0</v>
      </c>
      <c r="AF124" s="29">
        <f>MAX(V124+Q124+IF(L124="",0,L124)*武将升星!P121,AA124)</f>
        <v>0</v>
      </c>
      <c r="AG124" s="29">
        <f>MAX(W124+R124+IF(M124="",0,M124)*武将升星!Q121,AB124)</f>
        <v>0</v>
      </c>
      <c r="AH124" s="29">
        <f>MAX(X124+S124+IF(N124="",0,N124)*武将升星!R121,AC124)</f>
        <v>605.66540230707915</v>
      </c>
      <c r="AI124" s="45">
        <f t="shared" si="135"/>
        <v>108</v>
      </c>
      <c r="AJ124" s="29">
        <f t="shared" si="111"/>
        <v>1831596.96553699</v>
      </c>
      <c r="AK124" s="14" t="e">
        <f>AJ124/求节点('[1]资源-钻石'!$K$4:$K$113,'[1]资源-钻石'!$N$4:$N$113,J124)</f>
        <v>#VALUE!</v>
      </c>
      <c r="AL124" s="16" t="e">
        <f t="shared" si="136"/>
        <v>#DIV/0!</v>
      </c>
      <c r="AM124" s="16"/>
      <c r="AN124" s="16"/>
      <c r="AP124" s="17">
        <v>31</v>
      </c>
      <c r="AR124" s="16">
        <f t="shared" si="128"/>
        <v>11.492935497040669</v>
      </c>
      <c r="AS124" s="29">
        <f>IF(基础状态预期!C134="","",基础状态预期!C134)</f>
        <v>3178</v>
      </c>
      <c r="AT124" s="29">
        <f>求节点(节奏总纲!$R$4:$R$163,其他调用!$E$4:$E$163,$AS124)*求节点($CP$5:$CP$36,$CS$5:$CS$36,AS34)</f>
        <v>9230886.2695167493</v>
      </c>
      <c r="AU124" s="37">
        <f t="shared" si="137"/>
        <v>0</v>
      </c>
      <c r="AV124" s="37">
        <f t="shared" si="138"/>
        <v>1</v>
      </c>
      <c r="AW124" s="38">
        <f t="shared" si="115"/>
        <v>0.4933333333333334</v>
      </c>
      <c r="AX124" s="38">
        <f t="shared" si="116"/>
        <v>0.26666666666666666</v>
      </c>
      <c r="AY124" s="38">
        <f t="shared" si="117"/>
        <v>0.04</v>
      </c>
      <c r="AZ124" s="38">
        <f t="shared" si="118"/>
        <v>2.4E-2</v>
      </c>
      <c r="BA124" s="29">
        <f t="shared" si="139"/>
        <v>1776348.1104226056</v>
      </c>
      <c r="BB124" s="29">
        <f t="shared" si="129"/>
        <v>3651.3822269798011</v>
      </c>
      <c r="BC124" s="29">
        <f t="shared" si="119"/>
        <v>1973.7201226917839</v>
      </c>
      <c r="BD124" s="29">
        <f t="shared" si="120"/>
        <v>296.05801840376762</v>
      </c>
      <c r="BE124" s="29">
        <f t="shared" si="121"/>
        <v>177.63481104226057</v>
      </c>
      <c r="BF124" s="29">
        <f t="shared" si="130"/>
        <v>26377.4</v>
      </c>
      <c r="BG124" s="29">
        <f t="shared" si="130"/>
        <v>4767</v>
      </c>
      <c r="BH124" s="29">
        <f t="shared" si="130"/>
        <v>635.6</v>
      </c>
      <c r="BI124" s="29">
        <f t="shared" si="130"/>
        <v>0</v>
      </c>
      <c r="BJ124" s="29">
        <f>SUM(BB$97:BB124)+BF124</f>
        <v>45514.996245938535</v>
      </c>
      <c r="BK124" s="29">
        <f>SUM(BC$97:BC124)+BG124</f>
        <v>15023.540299463055</v>
      </c>
      <c r="BL124" s="29">
        <f>SUM(BD$97:BD124)+BH124</f>
        <v>2208.6561007837968</v>
      </c>
      <c r="BM124" s="29">
        <f>SUM(BE$97:BE124)+BI124</f>
        <v>899.38001721612852</v>
      </c>
      <c r="BN124" s="29">
        <f>SUM(BT$97:BT124)</f>
        <v>25.363088672698289</v>
      </c>
      <c r="BO124" s="17">
        <f t="shared" si="140"/>
        <v>391.65760759276156</v>
      </c>
      <c r="BP124" s="17">
        <f t="shared" si="141"/>
        <v>26.980208996390676</v>
      </c>
      <c r="BQ124" s="17" t="e">
        <f t="shared" si="142"/>
        <v>#DIV/0!</v>
      </c>
      <c r="BR124" s="17">
        <f t="shared" si="131"/>
        <v>0</v>
      </c>
      <c r="BS124" s="17">
        <f t="shared" si="126"/>
        <v>80</v>
      </c>
      <c r="BT124" s="17">
        <f t="shared" si="132"/>
        <v>0</v>
      </c>
      <c r="BV124" s="17">
        <f t="shared" si="127"/>
        <v>1602.9906984767176</v>
      </c>
      <c r="BW124" s="17">
        <v>120</v>
      </c>
      <c r="BX124" s="17">
        <f>'[1]资源-钻石'!L123/$B$2*$B$12*10</f>
        <v>37951.5650685988</v>
      </c>
      <c r="BY124" s="17">
        <f>'[1]资源-钻石'!M123/$B$2*$B$12*10</f>
        <v>52891.277308148463</v>
      </c>
      <c r="BZ124" s="17">
        <f>'[1]资源-钻石'!N123/$B$2*$B$12*10</f>
        <v>83008.916968643258</v>
      </c>
      <c r="CA124" s="17">
        <f>'[1]资源-钻石'!O123/$B$2*$B$12*10</f>
        <v>179996.04034790854</v>
      </c>
      <c r="CB124" s="17">
        <f>'[1]资源-钻石'!P123/$B$2*$B$12*10</f>
        <v>241972.21120582079</v>
      </c>
      <c r="CD124" s="17">
        <v>120</v>
      </c>
      <c r="CE124" s="17">
        <f>'[1]资源-钻石'!L123/$B$2*$C$12*10</f>
        <v>15372.785850571665</v>
      </c>
      <c r="CF124" s="17">
        <f>'[1]资源-钻石'!M123/$B$2*$C$12*10</f>
        <v>21424.314858996844</v>
      </c>
      <c r="CG124" s="17">
        <f>'[1]资源-钻石'!N123/$B$2*$C$12*10</f>
        <v>33623.865101222582</v>
      </c>
      <c r="CH124" s="17">
        <f>'[1]资源-钻石'!O123/$B$2*$C$12*10</f>
        <v>72909.788495355344</v>
      </c>
      <c r="CI124" s="17">
        <f>'[1]资源-钻石'!P123/$B$2*$C$12*10</f>
        <v>98014.060235269164</v>
      </c>
    </row>
    <row r="125" spans="8:87" x14ac:dyDescent="0.15">
      <c r="H125" s="17">
        <v>32</v>
      </c>
      <c r="I125" s="29">
        <f>IF(基础状态预期!C135="","",基础状态预期!C135)</f>
        <v>4059.9999999999995</v>
      </c>
      <c r="J125" s="29">
        <f>IF(基础状态预期!D135="","",基础状态预期!D135)</f>
        <v>125.41953077529134</v>
      </c>
      <c r="K125" s="29" t="str">
        <f>IF(基础状态预期!F135="","",基础状态预期!F135)</f>
        <v/>
      </c>
      <c r="L125" s="29" t="str">
        <f>IF(基础状态预期!G135="","",基础状态预期!G135)</f>
        <v/>
      </c>
      <c r="M125" s="29" t="str">
        <f>IF(基础状态预期!H135="","",基础状态预期!H135)</f>
        <v/>
      </c>
      <c r="N125" s="29" t="str">
        <f>IF(基础状态预期!I135="","",基础状态预期!I135)</f>
        <v/>
      </c>
      <c r="O125" s="29">
        <f>IF(基础状态预期!J135="","",基础状态预期!J135)</f>
        <v>6</v>
      </c>
      <c r="P125" s="29">
        <f>武将进阶!O122</f>
        <v>0</v>
      </c>
      <c r="Q125" s="29">
        <f>武将进阶!P122</f>
        <v>0</v>
      </c>
      <c r="R125" s="29">
        <f>武将进阶!Q122</f>
        <v>0</v>
      </c>
      <c r="S125" s="29">
        <f>武将进阶!R122</f>
        <v>642</v>
      </c>
      <c r="T125" s="29">
        <f>武将进阶!S122</f>
        <v>0</v>
      </c>
      <c r="U125" s="29">
        <f>武将觉醒!T123</f>
        <v>0</v>
      </c>
      <c r="V125" s="29">
        <f>武将觉醒!U123</f>
        <v>0</v>
      </c>
      <c r="W125" s="29">
        <f>武将觉醒!V123</f>
        <v>0</v>
      </c>
      <c r="X125" s="29">
        <f>武将觉醒!W123</f>
        <v>0</v>
      </c>
      <c r="Y125" s="29">
        <f>武将觉醒!X123</f>
        <v>0</v>
      </c>
      <c r="Z125" s="29"/>
      <c r="AA125" s="29">
        <f>IF(L125="",0,同名需求(L125,武将升星!P122,B$6)+武将升星!U122)</f>
        <v>0</v>
      </c>
      <c r="AB125" s="29">
        <f>IF(M125="",0,同名需求(M125,武将升星!Q122,C$6)+武将升星!V122)</f>
        <v>0</v>
      </c>
      <c r="AC125" s="59">
        <f>IF(N125="",0,同名需求(N125,武将升星!R122,D$6*0.7)+武将升星!W122)</f>
        <v>0</v>
      </c>
      <c r="AD125" s="29">
        <f>IF(O125="",0,同名需求(O125,武将升星!S122,E$6)+武将升星!X122)</f>
        <v>108</v>
      </c>
      <c r="AE125" s="29">
        <f>MAX(U125+P125+IF(K125="",0,K125)*武将升星!O122,Z125)</f>
        <v>0</v>
      </c>
      <c r="AF125" s="29">
        <f>MAX(V125+Q125+IF(L125="",0,L125)*武将升星!P122,AA125)</f>
        <v>0</v>
      </c>
      <c r="AG125" s="29">
        <f>MAX(W125+R125+IF(M125="",0,M125)*武将升星!Q122,AB125)</f>
        <v>0</v>
      </c>
      <c r="AH125" s="29">
        <f>MAX(X125+S125+IF(N125="",0,N125)*武将升星!R122,AC125)</f>
        <v>642</v>
      </c>
      <c r="AI125" s="45">
        <f t="shared" si="135"/>
        <v>108</v>
      </c>
      <c r="AJ125" s="29">
        <f t="shared" si="111"/>
        <v>1918800</v>
      </c>
      <c r="AK125" s="14" t="e">
        <f>AJ125/求节点('[1]资源-钻石'!$K$4:$K$113,'[1]资源-钻石'!$N$4:$N$113,J125)</f>
        <v>#VALUE!</v>
      </c>
      <c r="AL125" s="16" t="e">
        <f t="shared" si="136"/>
        <v>#DIV/0!</v>
      </c>
      <c r="AM125" s="16"/>
      <c r="AN125" s="16"/>
      <c r="AP125" s="17">
        <v>32</v>
      </c>
      <c r="AR125" s="16">
        <f t="shared" si="128"/>
        <v>11.189175888339019</v>
      </c>
      <c r="AS125" s="29">
        <f>IF(基础状态预期!C135="","",基础状态预期!C135)</f>
        <v>4059.9999999999995</v>
      </c>
      <c r="AT125" s="29">
        <f>求节点(节奏总纲!$R$4:$R$163,其他调用!$E$4:$E$163,$AS125)*求节点($CP$5:$CP$36,$CS$5:$CS$36,AS35)</f>
        <v>11500722.490225201</v>
      </c>
      <c r="AU125" s="37">
        <f t="shared" si="137"/>
        <v>0</v>
      </c>
      <c r="AV125" s="37">
        <f t="shared" si="138"/>
        <v>1</v>
      </c>
      <c r="AW125" s="38">
        <f t="shared" si="115"/>
        <v>0.4933333333333334</v>
      </c>
      <c r="AX125" s="38">
        <f t="shared" si="116"/>
        <v>0.26666666666666666</v>
      </c>
      <c r="AY125" s="38">
        <f t="shared" si="117"/>
        <v>0.04</v>
      </c>
      <c r="AZ125" s="38">
        <f t="shared" si="118"/>
        <v>2.4E-2</v>
      </c>
      <c r="BA125" s="29">
        <f t="shared" si="139"/>
        <v>2269836.2207084522</v>
      </c>
      <c r="BB125" s="29">
        <f t="shared" si="129"/>
        <v>4665.7744536784858</v>
      </c>
      <c r="BC125" s="29">
        <f t="shared" si="119"/>
        <v>2522.0402452316134</v>
      </c>
      <c r="BD125" s="29">
        <f t="shared" si="120"/>
        <v>378.30603678474205</v>
      </c>
      <c r="BE125" s="29">
        <f t="shared" si="121"/>
        <v>226.98362207084523</v>
      </c>
      <c r="BF125" s="29">
        <f t="shared" si="130"/>
        <v>33698</v>
      </c>
      <c r="BG125" s="29">
        <f t="shared" si="130"/>
        <v>6089.9999999999991</v>
      </c>
      <c r="BH125" s="29">
        <f t="shared" si="130"/>
        <v>812</v>
      </c>
      <c r="BI125" s="29">
        <f t="shared" si="130"/>
        <v>0</v>
      </c>
      <c r="BJ125" s="29">
        <f>SUM(BB$97:BB125)+BF125</f>
        <v>57501.370699617022</v>
      </c>
      <c r="BK125" s="29">
        <f>SUM(BC$97:BC125)+BG125</f>
        <v>18868.580544694669</v>
      </c>
      <c r="BL125" s="29">
        <f>SUM(BD$97:BD125)+BH125</f>
        <v>2763.3621375685389</v>
      </c>
      <c r="BM125" s="29">
        <f>SUM(BE$97:BE125)+BI125</f>
        <v>1126.3636392869737</v>
      </c>
      <c r="BN125" s="29">
        <f>SUM(BT$97:BT125)</f>
        <v>25.363088672698289</v>
      </c>
      <c r="BO125" s="17">
        <f t="shared" si="140"/>
        <v>430.02491597615017</v>
      </c>
      <c r="BP125" s="17">
        <f t="shared" si="141"/>
        <v>26.22407429919123</v>
      </c>
      <c r="BQ125" s="17" t="e">
        <f t="shared" si="142"/>
        <v>#DIV/0!</v>
      </c>
      <c r="BR125" s="17">
        <f t="shared" si="131"/>
        <v>0</v>
      </c>
      <c r="BS125" s="17">
        <f t="shared" si="126"/>
        <v>80</v>
      </c>
      <c r="BT125" s="17">
        <f t="shared" si="132"/>
        <v>0</v>
      </c>
      <c r="BV125" s="17">
        <f t="shared" si="127"/>
        <v>2121.3621375685389</v>
      </c>
      <c r="BW125" s="17">
        <v>121</v>
      </c>
      <c r="BX125" s="17">
        <f>'[1]资源-钻石'!L124/$B$2*$B$12*10</f>
        <v>40420.874813220929</v>
      </c>
      <c r="BY125" s="17">
        <f>'[1]资源-钻石'!M124/$B$2*$B$12*10</f>
        <v>56339.256259718175</v>
      </c>
      <c r="BZ125" s="17">
        <f>'[1]资源-钻石'!N124/$B$2*$B$12*10</f>
        <v>88319.739585486415</v>
      </c>
      <c r="CA125" s="17">
        <f>'[1]资源-钻石'!O124/$B$2*$B$12*10</f>
        <v>191861.93235785337</v>
      </c>
      <c r="CB125" s="17">
        <f>'[1]资源-钻石'!P124/$B$2*$B$12*10</f>
        <v>258856.30113888677</v>
      </c>
      <c r="CD125" s="17">
        <v>121</v>
      </c>
      <c r="CE125" s="17">
        <f>'[1]资源-钻石'!L124/$B$2*$C$12*10</f>
        <v>16373.0125825705</v>
      </c>
      <c r="CF125" s="17">
        <f>'[1]资源-钻石'!M124/$B$2*$C$12*10</f>
        <v>22820.964560898501</v>
      </c>
      <c r="CG125" s="17">
        <f>'[1]资源-钻石'!N124/$B$2*$C$12*10</f>
        <v>35775.084389057796</v>
      </c>
      <c r="CH125" s="17">
        <f>'[1]资源-钻石'!O124/$B$2*$C$12*10</f>
        <v>77716.225765206444</v>
      </c>
      <c r="CI125" s="17">
        <f>'[1]资源-钻石'!P124/$B$2*$C$12*10</f>
        <v>104853.18527144782</v>
      </c>
    </row>
    <row r="126" spans="8:87" x14ac:dyDescent="0.15">
      <c r="H126" s="17">
        <v>33</v>
      </c>
      <c r="I126" s="29">
        <f>IF(基础状态预期!C136="","",基础状态预期!C136)</f>
        <v>5194</v>
      </c>
      <c r="J126" s="29">
        <f>IF(基础状态预期!D136="","",基础状态预期!D136)</f>
        <v>129.09045404756728</v>
      </c>
      <c r="K126" s="29" t="str">
        <f>IF(基础状态预期!F136="","",基础状态预期!F136)</f>
        <v/>
      </c>
      <c r="L126" s="29" t="str">
        <f>IF(基础状态预期!G136="","",基础状态预期!G136)</f>
        <v/>
      </c>
      <c r="M126" s="29" t="str">
        <f>IF(基础状态预期!H136="","",基础状态预期!H136)</f>
        <v/>
      </c>
      <c r="N126" s="29" t="str">
        <f>IF(基础状态预期!I136="","",基础状态预期!I136)</f>
        <v/>
      </c>
      <c r="O126" s="29">
        <f>IF(基础状态预期!J136="","",基础状态预期!J136)</f>
        <v>6</v>
      </c>
      <c r="P126" s="29">
        <f>武将进阶!O123</f>
        <v>0</v>
      </c>
      <c r="Q126" s="29">
        <f>武将进阶!P123</f>
        <v>0</v>
      </c>
      <c r="R126" s="29">
        <f>武将进阶!Q123</f>
        <v>0</v>
      </c>
      <c r="S126" s="29">
        <f>武将进阶!R123</f>
        <v>642</v>
      </c>
      <c r="T126" s="29">
        <f>武将进阶!S123</f>
        <v>0</v>
      </c>
      <c r="U126" s="29">
        <f>武将觉醒!T124</f>
        <v>0</v>
      </c>
      <c r="V126" s="29">
        <f>武将觉醒!U124</f>
        <v>0</v>
      </c>
      <c r="W126" s="29">
        <f>武将觉醒!V124</f>
        <v>0</v>
      </c>
      <c r="X126" s="29">
        <f>武将觉醒!W124</f>
        <v>0</v>
      </c>
      <c r="Y126" s="29">
        <f>武将觉醒!X124</f>
        <v>0</v>
      </c>
      <c r="Z126" s="29"/>
      <c r="AA126" s="29">
        <f>IF(L126="",0,同名需求(L126,武将升星!P123,B$6)+武将升星!U123)</f>
        <v>0</v>
      </c>
      <c r="AB126" s="29">
        <f>IF(M126="",0,同名需求(M126,武将升星!Q123,C$6)+武将升星!V123)</f>
        <v>0</v>
      </c>
      <c r="AC126" s="59">
        <f>IF(N126="",0,同名需求(N126,武将升星!R123,D$6*0.7)+武将升星!W123)</f>
        <v>0</v>
      </c>
      <c r="AD126" s="29">
        <f>IF(O126="",0,同名需求(O126,武将升星!S123,E$6)+武将升星!X123)</f>
        <v>108</v>
      </c>
      <c r="AE126" s="29">
        <f>MAX(U126+P126+IF(K126="",0,K126)*武将升星!O123,Z126)</f>
        <v>0</v>
      </c>
      <c r="AF126" s="29">
        <f>MAX(V126+Q126+IF(L126="",0,L126)*武将升星!P123,AA126)</f>
        <v>0</v>
      </c>
      <c r="AG126" s="29">
        <f>MAX(W126+R126+IF(M126="",0,M126)*武将升星!Q123,AB126)</f>
        <v>0</v>
      </c>
      <c r="AH126" s="29">
        <f>MAX(X126+S126+IF(N126="",0,N126)*武将升星!R123,AC126)</f>
        <v>642</v>
      </c>
      <c r="AI126" s="45">
        <f t="shared" si="135"/>
        <v>108</v>
      </c>
      <c r="AJ126" s="29">
        <f t="shared" si="111"/>
        <v>1918800</v>
      </c>
      <c r="AK126" s="14" t="e">
        <f>AJ126/求节点('[1]资源-钻石'!$K$4:$K$113,'[1]资源-钻石'!$N$4:$N$113,J126)</f>
        <v>#VALUE!</v>
      </c>
      <c r="AL126" s="16" t="e">
        <f t="shared" si="136"/>
        <v>#DIV/0!</v>
      </c>
      <c r="AM126" s="16"/>
      <c r="AN126" s="16"/>
      <c r="AP126" s="17">
        <v>33</v>
      </c>
      <c r="AR126" s="16">
        <f t="shared" si="128"/>
        <v>11.111491905022032</v>
      </c>
      <c r="AS126" s="29">
        <f>IF(基础状态预期!C136="","",基础状态预期!C136)</f>
        <v>5194</v>
      </c>
      <c r="AT126" s="29">
        <f>求节点(节奏总纲!$R$4:$R$163,其他调用!$E$4:$E$163,$AS126)*求节点($CP$5:$CP$36,$CS$5:$CS$36,AS36)</f>
        <v>14398821.808893049</v>
      </c>
      <c r="AU126" s="37">
        <f t="shared" si="137"/>
        <v>0</v>
      </c>
      <c r="AV126" s="37">
        <f t="shared" si="138"/>
        <v>1</v>
      </c>
      <c r="AW126" s="38">
        <f t="shared" si="115"/>
        <v>0.4933333333333334</v>
      </c>
      <c r="AX126" s="38">
        <f t="shared" si="116"/>
        <v>0.26666666666666666</v>
      </c>
      <c r="AY126" s="38">
        <f t="shared" si="117"/>
        <v>0.04</v>
      </c>
      <c r="AZ126" s="38">
        <f t="shared" si="118"/>
        <v>2.4E-2</v>
      </c>
      <c r="BA126" s="29">
        <f t="shared" si="139"/>
        <v>2898099.3186678477</v>
      </c>
      <c r="BB126" s="29">
        <f t="shared" si="129"/>
        <v>5957.2041550394651</v>
      </c>
      <c r="BC126" s="29">
        <f t="shared" si="119"/>
        <v>3220.1103540753861</v>
      </c>
      <c r="BD126" s="29">
        <f t="shared" si="120"/>
        <v>483.01655311130799</v>
      </c>
      <c r="BE126" s="29">
        <f t="shared" si="121"/>
        <v>289.80993186678478</v>
      </c>
      <c r="BF126" s="29">
        <f t="shared" si="130"/>
        <v>43110.200000000004</v>
      </c>
      <c r="BG126" s="29">
        <f t="shared" si="130"/>
        <v>7791</v>
      </c>
      <c r="BH126" s="29">
        <f t="shared" si="130"/>
        <v>1038.8</v>
      </c>
      <c r="BI126" s="29">
        <f t="shared" si="130"/>
        <v>0</v>
      </c>
      <c r="BJ126" s="29">
        <f>SUM(BB$97:BB126)+BF126</f>
        <v>72870.774854656484</v>
      </c>
      <c r="BK126" s="29">
        <f>SUM(BC$97:BC126)+BG126</f>
        <v>23789.690898770055</v>
      </c>
      <c r="BL126" s="29">
        <f>SUM(BD$97:BD126)+BH126</f>
        <v>3473.178690679847</v>
      </c>
      <c r="BM126" s="29">
        <f>SUM(BE$97:BE126)+BI126</f>
        <v>1416.1735711537585</v>
      </c>
      <c r="BN126" s="29">
        <f>SUM(BT$97:BT126)</f>
        <v>25.363088672698289</v>
      </c>
      <c r="BO126" s="17">
        <f t="shared" si="140"/>
        <v>455.97499453361974</v>
      </c>
      <c r="BP126" s="17">
        <f t="shared" si="141"/>
        <v>22.26657593536078</v>
      </c>
      <c r="BQ126" s="17" t="e">
        <f t="shared" si="142"/>
        <v>#DIV/0!</v>
      </c>
      <c r="BR126" s="17">
        <f t="shared" si="131"/>
        <v>0</v>
      </c>
      <c r="BS126" s="17">
        <f t="shared" si="126"/>
        <v>80</v>
      </c>
      <c r="BT126" s="17">
        <f t="shared" si="132"/>
        <v>0</v>
      </c>
      <c r="BV126" s="17">
        <f t="shared" si="127"/>
        <v>2831.178690679847</v>
      </c>
      <c r="BW126" s="17">
        <v>122</v>
      </c>
      <c r="BX126" s="17">
        <f>'[1]资源-钻石'!L125/$B$2*$B$12*10</f>
        <v>43067.415468289168</v>
      </c>
      <c r="BY126" s="17">
        <f>'[1]资源-钻石'!M125/$B$2*$B$12*10</f>
        <v>59963.75524907752</v>
      </c>
      <c r="BZ126" s="17">
        <f>'[1]资源-钻石'!N125/$B$2*$B$12*10</f>
        <v>94097.375198311871</v>
      </c>
      <c r="CA126" s="17">
        <f>'[1]资源-钻石'!O125/$B$2*$B$12*10</f>
        <v>205105.84732720471</v>
      </c>
      <c r="CB126" s="17">
        <f>'[1]资源-钻石'!P125/$B$2*$B$12*10</f>
        <v>276931.03626197315</v>
      </c>
      <c r="CD126" s="17">
        <v>122</v>
      </c>
      <c r="CE126" s="17">
        <f>'[1]资源-钻石'!L125/$B$2*$C$12*10</f>
        <v>17445.029050446243</v>
      </c>
      <c r="CF126" s="17">
        <f>'[1]资源-钻石'!M125/$B$2*$C$12*10</f>
        <v>24289.11605025925</v>
      </c>
      <c r="CG126" s="17">
        <f>'[1]资源-钻石'!N125/$B$2*$C$12*10</f>
        <v>38115.392485392156</v>
      </c>
      <c r="CH126" s="17">
        <f>'[1]资源-钻石'!O125/$B$2*$C$12*10</f>
        <v>83080.849550260144</v>
      </c>
      <c r="CI126" s="17">
        <f>'[1]资源-钻石'!P125/$B$2*$C$12*10</f>
        <v>112174.59696687522</v>
      </c>
    </row>
    <row r="127" spans="8:87" x14ac:dyDescent="0.15">
      <c r="H127" s="17">
        <v>34</v>
      </c>
      <c r="I127" s="29">
        <f>IF(基础状态预期!C137="","",基础状态预期!C137)</f>
        <v>6622</v>
      </c>
      <c r="J127" s="29">
        <f>IF(基础状态预期!D137="","",基础状态预期!D137)</f>
        <v>132.53488795708068</v>
      </c>
      <c r="K127" s="29" t="str">
        <f>IF(基础状态预期!F137="","",基础状态预期!F137)</f>
        <v/>
      </c>
      <c r="L127" s="29" t="str">
        <f>IF(基础状态预期!G137="","",基础状态预期!G137)</f>
        <v/>
      </c>
      <c r="M127" s="29" t="str">
        <f>IF(基础状态预期!H137="","",基础状态预期!H137)</f>
        <v/>
      </c>
      <c r="N127" s="29" t="str">
        <f>IF(基础状态预期!I137="","",基础状态预期!I137)</f>
        <v/>
      </c>
      <c r="O127" s="29">
        <f>IF(基础状态预期!J137="","",基础状态预期!J137)</f>
        <v>6</v>
      </c>
      <c r="P127" s="29">
        <f>武将进阶!O124</f>
        <v>0</v>
      </c>
      <c r="Q127" s="29">
        <f>武将进阶!P124</f>
        <v>0</v>
      </c>
      <c r="R127" s="29">
        <f>武将进阶!Q124</f>
        <v>0</v>
      </c>
      <c r="S127" s="29">
        <f>武将进阶!R124</f>
        <v>642</v>
      </c>
      <c r="T127" s="29">
        <f>武将进阶!S124</f>
        <v>0</v>
      </c>
      <c r="U127" s="29">
        <f>武将觉醒!T125</f>
        <v>0</v>
      </c>
      <c r="V127" s="29">
        <f>武将觉醒!U125</f>
        <v>0</v>
      </c>
      <c r="W127" s="29">
        <f>武将觉醒!V125</f>
        <v>0</v>
      </c>
      <c r="X127" s="29">
        <f>武将觉醒!W125</f>
        <v>0</v>
      </c>
      <c r="Y127" s="29">
        <f>武将觉醒!X125</f>
        <v>0</v>
      </c>
      <c r="Z127" s="29"/>
      <c r="AA127" s="29">
        <f>IF(L127="",0,同名需求(L127,武将升星!P124,B$6)+武将升星!U124)</f>
        <v>0</v>
      </c>
      <c r="AB127" s="29">
        <f>IF(M127="",0,同名需求(M127,武将升星!Q124,C$6)+武将升星!V124)</f>
        <v>0</v>
      </c>
      <c r="AC127" s="59">
        <f>IF(N127="",0,同名需求(N127,武将升星!R124,D$6*0.7)+武将升星!W124)</f>
        <v>0</v>
      </c>
      <c r="AD127" s="29">
        <f>IF(O127="",0,同名需求(O127,武将升星!S124,E$6)+武将升星!X124)</f>
        <v>108</v>
      </c>
      <c r="AE127" s="29">
        <f>MAX(U127+P127+IF(K127="",0,K127)*武将升星!O124,Z127)</f>
        <v>0</v>
      </c>
      <c r="AF127" s="29">
        <f>MAX(V127+Q127+IF(L127="",0,L127)*武将升星!P124,AA127)</f>
        <v>0</v>
      </c>
      <c r="AG127" s="29">
        <f>MAX(W127+R127+IF(M127="",0,M127)*武将升星!Q124,AB127)</f>
        <v>0</v>
      </c>
      <c r="AH127" s="29">
        <f>MAX(X127+S127+IF(N127="",0,N127)*武将升星!R124,AC127)</f>
        <v>642</v>
      </c>
      <c r="AI127" s="45">
        <f t="shared" si="135"/>
        <v>108</v>
      </c>
      <c r="AJ127" s="29">
        <f t="shared" si="111"/>
        <v>1918800</v>
      </c>
      <c r="AK127" s="14" t="e">
        <f>AJ127/求节点('[1]资源-钻石'!$K$4:$K$113,'[1]资源-钻石'!$N$4:$N$113,J127)</f>
        <v>#VALUE!</v>
      </c>
      <c r="AL127" s="16" t="e">
        <f t="shared" si="136"/>
        <v>#DIV/0!</v>
      </c>
      <c r="AM127" s="16"/>
      <c r="AN127" s="16"/>
      <c r="AP127" s="17">
        <v>34</v>
      </c>
      <c r="AR127" s="16">
        <f t="shared" si="128"/>
        <v>10.841750994474875</v>
      </c>
      <c r="AS127" s="29">
        <f>IF(基础状态预期!C137="","",基础状态预期!C137)</f>
        <v>6622</v>
      </c>
      <c r="AT127" s="29">
        <f>求节点(节奏总纲!$R$4:$R$163,其他调用!$E$4:$E$163,$AS127)*求节点($CP$5:$CP$36,$CS$5:$CS$36,AS37)</f>
        <v>17959686.505518377</v>
      </c>
      <c r="AU127" s="37">
        <f t="shared" si="137"/>
        <v>0</v>
      </c>
      <c r="AV127" s="37">
        <f t="shared" si="138"/>
        <v>1</v>
      </c>
      <c r="AW127" s="38">
        <f t="shared" si="115"/>
        <v>0.4933333333333334</v>
      </c>
      <c r="AX127" s="38">
        <f t="shared" si="116"/>
        <v>0.26666666666666666</v>
      </c>
      <c r="AY127" s="38">
        <f t="shared" si="117"/>
        <v>0.04</v>
      </c>
      <c r="AZ127" s="38">
        <f t="shared" si="118"/>
        <v>2.4E-2</v>
      </c>
      <c r="BA127" s="29">
        <f t="shared" si="139"/>
        <v>3560864.6966253277</v>
      </c>
      <c r="BB127" s="29">
        <f t="shared" si="129"/>
        <v>7319.5552097298414</v>
      </c>
      <c r="BC127" s="29">
        <f t="shared" si="119"/>
        <v>3956.5163295836974</v>
      </c>
      <c r="BD127" s="29">
        <f t="shared" si="120"/>
        <v>593.47744943755458</v>
      </c>
      <c r="BE127" s="29">
        <f t="shared" si="121"/>
        <v>356.08646966253275</v>
      </c>
      <c r="BF127" s="29">
        <f t="shared" si="130"/>
        <v>54962.600000000006</v>
      </c>
      <c r="BG127" s="29">
        <f t="shared" si="130"/>
        <v>9933</v>
      </c>
      <c r="BH127" s="29">
        <f t="shared" si="130"/>
        <v>1324.4</v>
      </c>
      <c r="BI127" s="29">
        <f t="shared" si="130"/>
        <v>0</v>
      </c>
      <c r="BJ127" s="29">
        <f>SUM(BB$97:BB127)+BF127</f>
        <v>92042.730064386327</v>
      </c>
      <c r="BK127" s="29">
        <f>SUM(BC$97:BC127)+BG127</f>
        <v>29888.207228353753</v>
      </c>
      <c r="BL127" s="29">
        <f>SUM(BD$97:BD127)+BH127</f>
        <v>4352.2561401174016</v>
      </c>
      <c r="BM127" s="29">
        <f>SUM(BE$97:BE127)+BI127</f>
        <v>1772.2600408162912</v>
      </c>
      <c r="BN127" s="29">
        <f>SUM(BT$97:BT127)</f>
        <v>25.363088672698289</v>
      </c>
      <c r="BO127" s="17">
        <f t="shared" si="140"/>
        <v>578.69082871915509</v>
      </c>
      <c r="BP127" s="17">
        <f t="shared" si="141"/>
        <v>23.32958196753944</v>
      </c>
      <c r="BQ127" s="17">
        <f t="shared" si="142"/>
        <v>947.65229524766926</v>
      </c>
      <c r="BR127" s="17">
        <f t="shared" si="131"/>
        <v>0</v>
      </c>
      <c r="BS127" s="17">
        <f t="shared" si="126"/>
        <v>80</v>
      </c>
      <c r="BT127" s="17">
        <f t="shared" si="132"/>
        <v>0</v>
      </c>
      <c r="BV127" s="17">
        <f t="shared" si="127"/>
        <v>3710.2561401174016</v>
      </c>
      <c r="BW127" s="17">
        <v>123</v>
      </c>
      <c r="BX127" s="17">
        <f>'[1]资源-钻石'!L126/$B$2*$B$12*10</f>
        <v>45903.907509914789</v>
      </c>
      <c r="BY127" s="17">
        <f>'[1]资源-钻石'!M126/$B$2*$B$12*10</f>
        <v>63987.169825737816</v>
      </c>
      <c r="BZ127" s="17">
        <f>'[1]资源-钻石'!N126/$B$2*$B$12*10</f>
        <v>100754.93203245495</v>
      </c>
      <c r="CA127" s="17">
        <f>'[1]资源-钻石'!O126/$B$2*$B$12*10</f>
        <v>220354.48513424202</v>
      </c>
      <c r="CB127" s="17">
        <f>'[1]资源-钻石'!P126/$B$2*$B$12*10</f>
        <v>297635.95872808993</v>
      </c>
      <c r="CD127" s="17">
        <v>123</v>
      </c>
      <c r="CE127" s="17">
        <f>'[1]资源-钻石'!L126/$B$2*$C$12*10</f>
        <v>18593.987852117381</v>
      </c>
      <c r="CF127" s="17">
        <f>'[1]资源-钻石'!M126/$B$2*$C$12*10</f>
        <v>25918.853600298862</v>
      </c>
      <c r="CG127" s="17">
        <f>'[1]资源-钻石'!N126/$B$2*$C$12*10</f>
        <v>40812.124367576682</v>
      </c>
      <c r="CH127" s="17">
        <f>'[1]资源-钻石'!O126/$B$2*$C$12*10</f>
        <v>89257.512965768925</v>
      </c>
      <c r="CI127" s="17">
        <f>'[1]资源-钻石'!P126/$B$2*$C$12*10</f>
        <v>120561.40100378325</v>
      </c>
    </row>
    <row r="128" spans="8:87" x14ac:dyDescent="0.15">
      <c r="H128" s="17">
        <v>35</v>
      </c>
      <c r="I128" s="29">
        <f>IF(基础状态预期!C138="","",基础状态预期!C138)</f>
        <v>8428</v>
      </c>
      <c r="J128" s="29">
        <f>IF(基础状态预期!D138="","",基础状态预期!D138)</f>
        <v>136.07141427598387</v>
      </c>
      <c r="K128" s="29" t="str">
        <f>IF(基础状态预期!F138="","",基础状态预期!F138)</f>
        <v/>
      </c>
      <c r="L128" s="29" t="str">
        <f>IF(基础状态预期!G138="","",基础状态预期!G138)</f>
        <v/>
      </c>
      <c r="M128" s="29" t="str">
        <f>IF(基础状态预期!H138="","",基础状态预期!H138)</f>
        <v/>
      </c>
      <c r="N128" s="29" t="str">
        <f>IF(基础状态预期!I138="","",基础状态预期!I138)</f>
        <v/>
      </c>
      <c r="O128" s="29">
        <f>IF(基础状态预期!J138="","",基础状态预期!J138)</f>
        <v>6</v>
      </c>
      <c r="P128" s="29">
        <f>武将进阶!O125</f>
        <v>0</v>
      </c>
      <c r="Q128" s="29">
        <f>武将进阶!P125</f>
        <v>0</v>
      </c>
      <c r="R128" s="29">
        <f>武将进阶!Q125</f>
        <v>0</v>
      </c>
      <c r="S128" s="29">
        <f>武将进阶!R125</f>
        <v>642</v>
      </c>
      <c r="T128" s="29">
        <f>武将进阶!S125</f>
        <v>0</v>
      </c>
      <c r="U128" s="29">
        <f>武将觉醒!T126</f>
        <v>0</v>
      </c>
      <c r="V128" s="29">
        <f>武将觉醒!U126</f>
        <v>0</v>
      </c>
      <c r="W128" s="29">
        <f>武将觉醒!V126</f>
        <v>0</v>
      </c>
      <c r="X128" s="29">
        <f>武将觉醒!W126</f>
        <v>0</v>
      </c>
      <c r="Y128" s="29">
        <f>武将觉醒!X126</f>
        <v>0</v>
      </c>
      <c r="Z128" s="29"/>
      <c r="AA128" s="29">
        <f>IF(L128="",0,同名需求(L128,武将升星!P125,B$6)+武将升星!U125)</f>
        <v>0</v>
      </c>
      <c r="AB128" s="29">
        <f>IF(M128="",0,同名需求(M128,武将升星!Q125,C$6)+武将升星!V125)</f>
        <v>0</v>
      </c>
      <c r="AC128" s="59">
        <f>IF(N128="",0,同名需求(N128,武将升星!R125,D$6*0.7)+武将升星!W125)</f>
        <v>0</v>
      </c>
      <c r="AD128" s="29">
        <f>IF(O128="",0,同名需求(O128,武将升星!S125,E$6)+武将升星!X125)</f>
        <v>108</v>
      </c>
      <c r="AE128" s="29">
        <f>MAX(U128+P128+IF(K128="",0,K128)*武将升星!O125,Z128)</f>
        <v>0</v>
      </c>
      <c r="AF128" s="29">
        <f>MAX(V128+Q128+IF(L128="",0,L128)*武将升星!P125,AA128)</f>
        <v>0</v>
      </c>
      <c r="AG128" s="29">
        <f>MAX(W128+R128+IF(M128="",0,M128)*武将升星!Q125,AB128)</f>
        <v>0</v>
      </c>
      <c r="AH128" s="29">
        <f>MAX(X128+S128+IF(N128="",0,N128)*武将升星!R125,AC128)</f>
        <v>642</v>
      </c>
      <c r="AI128" s="45">
        <f t="shared" si="135"/>
        <v>108</v>
      </c>
      <c r="AJ128" s="29">
        <f t="shared" si="111"/>
        <v>1918800</v>
      </c>
      <c r="AK128" s="14" t="e">
        <f>AJ128/求节点('[1]资源-钻石'!$K$4:$K$113,'[1]资源-钻石'!$N$4:$N$113,J128)</f>
        <v>#VALUE!</v>
      </c>
      <c r="AL128" s="16" t="e">
        <f t="shared" si="136"/>
        <v>#DIV/0!</v>
      </c>
      <c r="AM128" s="16"/>
      <c r="AN128" s="16"/>
      <c r="AP128" s="17">
        <v>35</v>
      </c>
      <c r="AR128" s="16">
        <f t="shared" si="128"/>
        <v>10.602069114926715</v>
      </c>
      <c r="AS128" s="29">
        <f>IF(基础状态预期!C138="","",基础状态预期!C138)</f>
        <v>8428</v>
      </c>
      <c r="AT128" s="29">
        <f>求节点(节奏总纲!$R$4:$R$163,其他调用!$E$4:$E$163,$AS128)*求节点($CP$5:$CP$36,$CS$5:$CS$36,AS38)</f>
        <v>22363573.974476635</v>
      </c>
      <c r="AU128" s="37">
        <f t="shared" si="137"/>
        <v>0</v>
      </c>
      <c r="AV128" s="37">
        <f t="shared" si="138"/>
        <v>1</v>
      </c>
      <c r="AW128" s="38">
        <f t="shared" si="115"/>
        <v>0.4933333333333334</v>
      </c>
      <c r="AX128" s="38">
        <f t="shared" si="116"/>
        <v>0.26666666666666666</v>
      </c>
      <c r="AY128" s="38">
        <f t="shared" si="117"/>
        <v>0.04</v>
      </c>
      <c r="AZ128" s="38">
        <f t="shared" si="118"/>
        <v>2.4E-2</v>
      </c>
      <c r="BA128" s="29">
        <f t="shared" si="139"/>
        <v>4403887.4689582586</v>
      </c>
      <c r="BB128" s="29">
        <f t="shared" si="129"/>
        <v>9052.4353528586453</v>
      </c>
      <c r="BC128" s="29">
        <f t="shared" si="119"/>
        <v>4893.20829884251</v>
      </c>
      <c r="BD128" s="29">
        <f t="shared" si="120"/>
        <v>733.9812448263765</v>
      </c>
      <c r="BE128" s="29">
        <f t="shared" si="121"/>
        <v>440.38874689582593</v>
      </c>
      <c r="BF128" s="29">
        <f t="shared" si="130"/>
        <v>69952.400000000009</v>
      </c>
      <c r="BG128" s="29">
        <f t="shared" si="130"/>
        <v>12642</v>
      </c>
      <c r="BH128" s="29">
        <f t="shared" si="130"/>
        <v>1685.6000000000001</v>
      </c>
      <c r="BI128" s="29">
        <f t="shared" si="130"/>
        <v>0</v>
      </c>
      <c r="BJ128" s="29">
        <f>SUM(BB$97:BB128)+BF128</f>
        <v>116084.96541724497</v>
      </c>
      <c r="BK128" s="29">
        <f>SUM(BC$97:BC128)+BG128</f>
        <v>37490.415527196266</v>
      </c>
      <c r="BL128" s="29">
        <f>SUM(BD$97:BD128)+BH128</f>
        <v>5447.4373849437779</v>
      </c>
      <c r="BM128" s="29">
        <f>SUM(BE$97:BE128)+BI128</f>
        <v>2212.6487877121172</v>
      </c>
      <c r="BN128" s="29">
        <f>SUM(BT$97:BT128)</f>
        <v>25.363088672698289</v>
      </c>
      <c r="BO128" s="17">
        <f t="shared" si="140"/>
        <v>711.3016028696187</v>
      </c>
      <c r="BP128" s="17">
        <f t="shared" si="141"/>
        <v>23.068747749791605</v>
      </c>
      <c r="BQ128" s="17">
        <f t="shared" si="142"/>
        <v>293.60042746649987</v>
      </c>
      <c r="BR128" s="17">
        <f t="shared" si="131"/>
        <v>0</v>
      </c>
      <c r="BS128" s="17">
        <f t="shared" si="126"/>
        <v>80</v>
      </c>
      <c r="BT128" s="17">
        <f t="shared" si="132"/>
        <v>0</v>
      </c>
      <c r="BV128" s="17">
        <f t="shared" si="127"/>
        <v>4805.4373849437779</v>
      </c>
      <c r="BW128" s="17">
        <v>124</v>
      </c>
      <c r="BX128" s="17">
        <f>'[1]资源-钻石'!L127/$B$2*$B$12*10</f>
        <v>48943.984406824442</v>
      </c>
      <c r="BY128" s="17">
        <f>'[1]资源-钻石'!M127/$B$2*$B$12*10</f>
        <v>68420.817725597051</v>
      </c>
      <c r="BZ128" s="17">
        <f>'[1]资源-钻石'!N127/$B$2*$B$12*10</f>
        <v>107844.69048590276</v>
      </c>
      <c r="CA128" s="17">
        <f>'[1]资源-钻石'!O127/$B$2*$B$12*10</f>
        <v>236464.16478578327</v>
      </c>
      <c r="CB128" s="17">
        <f>'[1]资源-钻石'!P127/$B$2*$B$12*10</f>
        <v>319899.94649677974</v>
      </c>
      <c r="CD128" s="17">
        <v>124</v>
      </c>
      <c r="CE128" s="17">
        <f>'[1]资源-钻石'!L127/$B$2*$C$12*10</f>
        <v>19825.411405295974</v>
      </c>
      <c r="CF128" s="17">
        <f>'[1]资源-钻石'!M127/$B$2*$C$12*10</f>
        <v>27714.761610368427</v>
      </c>
      <c r="CG128" s="17">
        <f>'[1]资源-钻石'!N127/$B$2*$C$12*10</f>
        <v>43683.925260112512</v>
      </c>
      <c r="CH128" s="17">
        <f>'[1]资源-钻石'!O127/$B$2*$C$12*10</f>
        <v>95782.952824621083</v>
      </c>
      <c r="CI128" s="17">
        <f>'[1]资源-钻石'!P127/$B$2*$C$12*10</f>
        <v>129579.72516325256</v>
      </c>
    </row>
    <row r="129" spans="8:87" x14ac:dyDescent="0.15">
      <c r="H129" s="17">
        <v>36</v>
      </c>
      <c r="I129" s="29">
        <f>IF(基础状态预期!C139="","",基础状态预期!C139)</f>
        <v>10738</v>
      </c>
      <c r="J129" s="29">
        <f>IF(基础状态预期!D139="","",基础状态预期!D139)</f>
        <v>139.56936219880694</v>
      </c>
      <c r="K129" s="29" t="str">
        <f>IF(基础状态预期!F139="","",基础状态预期!F139)</f>
        <v/>
      </c>
      <c r="L129" s="29" t="str">
        <f>IF(基础状态预期!G139="","",基础状态预期!G139)</f>
        <v/>
      </c>
      <c r="M129" s="29" t="str">
        <f>IF(基础状态预期!H139="","",基础状态预期!H139)</f>
        <v/>
      </c>
      <c r="N129" s="29" t="str">
        <f>IF(基础状态预期!I139="","",基础状态预期!I139)</f>
        <v/>
      </c>
      <c r="O129" s="29">
        <f>IF(基础状态预期!J139="","",基础状态预期!J139)</f>
        <v>6</v>
      </c>
      <c r="P129" s="29">
        <f>武将进阶!O126</f>
        <v>0</v>
      </c>
      <c r="Q129" s="29">
        <f>武将进阶!P126</f>
        <v>0</v>
      </c>
      <c r="R129" s="29">
        <f>武将进阶!Q126</f>
        <v>0</v>
      </c>
      <c r="S129" s="29">
        <f>武将进阶!R126</f>
        <v>642</v>
      </c>
      <c r="T129" s="29">
        <f>武将进阶!S126</f>
        <v>0</v>
      </c>
      <c r="U129" s="29">
        <f>武将觉醒!T127</f>
        <v>0</v>
      </c>
      <c r="V129" s="29">
        <f>武将觉醒!U127</f>
        <v>0</v>
      </c>
      <c r="W129" s="29">
        <f>武将觉醒!V127</f>
        <v>0</v>
      </c>
      <c r="X129" s="29">
        <f>武将觉醒!W127</f>
        <v>0</v>
      </c>
      <c r="Y129" s="29">
        <f>武将觉醒!X127</f>
        <v>0</v>
      </c>
      <c r="Z129" s="29"/>
      <c r="AA129" s="29">
        <f>IF(L129="",0,同名需求(L129,武将升星!P126,B$6)+武将升星!U126)</f>
        <v>0</v>
      </c>
      <c r="AB129" s="29">
        <f>IF(M129="",0,同名需求(M129,武将升星!Q126,C$6)+武将升星!V126)</f>
        <v>0</v>
      </c>
      <c r="AC129" s="59">
        <f>IF(N129="",0,同名需求(N129,武将升星!R126,D$6*0.7)+武将升星!W126)</f>
        <v>0</v>
      </c>
      <c r="AD129" s="29">
        <f>IF(O129="",0,同名需求(O129,武将升星!S126,E$6)+武将升星!X126)</f>
        <v>108</v>
      </c>
      <c r="AE129" s="29">
        <f>MAX(U129+P129+IF(K129="",0,K129)*武将升星!O126,Z129)</f>
        <v>0</v>
      </c>
      <c r="AF129" s="29">
        <f>MAX(V129+Q129+IF(L129="",0,L129)*武将升星!P126,AA129)</f>
        <v>0</v>
      </c>
      <c r="AG129" s="29">
        <f>MAX(W129+R129+IF(M129="",0,M129)*武将升星!Q126,AB129)</f>
        <v>0</v>
      </c>
      <c r="AH129" s="29">
        <f>MAX(X129+S129+IF(N129="",0,N129)*武将升星!R126,AC129)</f>
        <v>642</v>
      </c>
      <c r="AI129" s="45">
        <f t="shared" si="135"/>
        <v>108</v>
      </c>
      <c r="AJ129" s="29">
        <f t="shared" si="111"/>
        <v>1918800</v>
      </c>
      <c r="AK129" s="14" t="e">
        <f>AJ129/求节点('[1]资源-钻石'!$K$4:$K$113,'[1]资源-钻石'!$N$4:$N$113,J129)</f>
        <v>#VALUE!</v>
      </c>
      <c r="AL129" s="16" t="e">
        <f t="shared" si="136"/>
        <v>#DIV/0!</v>
      </c>
      <c r="AM129" s="16"/>
      <c r="AN129" s="16"/>
      <c r="AP129" s="17">
        <v>36</v>
      </c>
      <c r="AR129" s="16">
        <f t="shared" si="128"/>
        <v>10.49383799199984</v>
      </c>
      <c r="AS129" s="29">
        <f>IF(基础状态预期!C139="","",基础状态预期!C139)</f>
        <v>10738</v>
      </c>
      <c r="AT129" s="29">
        <f>求节点(节奏总纲!$R$4:$R$163,其他调用!$E$4:$E$163,$AS129)*求节点($CP$5:$CP$36,$CS$5:$CS$36,AS39)</f>
        <v>27938950.09962615</v>
      </c>
      <c r="AU129" s="37">
        <f t="shared" si="137"/>
        <v>0</v>
      </c>
      <c r="AV129" s="37">
        <f t="shared" si="138"/>
        <v>1</v>
      </c>
      <c r="AW129" s="38">
        <f t="shared" si="115"/>
        <v>0.4933333333333334</v>
      </c>
      <c r="AX129" s="38">
        <f t="shared" si="116"/>
        <v>0.26666666666666666</v>
      </c>
      <c r="AY129" s="38">
        <f t="shared" si="117"/>
        <v>0.04</v>
      </c>
      <c r="AZ129" s="38">
        <f t="shared" si="118"/>
        <v>2.4E-2</v>
      </c>
      <c r="BA129" s="29">
        <f t="shared" si="139"/>
        <v>5575376.1251495145</v>
      </c>
      <c r="BB129" s="29">
        <f t="shared" si="129"/>
        <v>11460.495368362892</v>
      </c>
      <c r="BC129" s="29">
        <f t="shared" si="119"/>
        <v>6194.8623612772381</v>
      </c>
      <c r="BD129" s="29">
        <f t="shared" si="120"/>
        <v>929.2293541915858</v>
      </c>
      <c r="BE129" s="29">
        <f t="shared" si="121"/>
        <v>557.53761251495143</v>
      </c>
      <c r="BF129" s="29">
        <f t="shared" si="130"/>
        <v>89125.400000000009</v>
      </c>
      <c r="BG129" s="29">
        <f t="shared" si="130"/>
        <v>16107</v>
      </c>
      <c r="BH129" s="29">
        <f t="shared" si="130"/>
        <v>2147.6</v>
      </c>
      <c r="BI129" s="29">
        <f t="shared" si="130"/>
        <v>0</v>
      </c>
      <c r="BJ129" s="29">
        <f>SUM(BB$97:BB129)+BF129</f>
        <v>146718.46078560787</v>
      </c>
      <c r="BK129" s="29">
        <f>SUM(BC$97:BC129)+BG129</f>
        <v>47150.277888473502</v>
      </c>
      <c r="BL129" s="29">
        <f>SUM(BD$97:BD129)+BH129</f>
        <v>6838.666739135364</v>
      </c>
      <c r="BM129" s="29">
        <f>SUM(BE$97:BE129)+BI129</f>
        <v>2770.1864002270686</v>
      </c>
      <c r="BN129" s="29">
        <f>SUM(BT$97:BT129)</f>
        <v>25.363088672698289</v>
      </c>
      <c r="BO129" s="17">
        <f t="shared" si="140"/>
        <v>987.75939442733727</v>
      </c>
      <c r="BP129" s="17">
        <f t="shared" si="141"/>
        <v>24.50011426152021</v>
      </c>
      <c r="BQ129" s="17">
        <f t="shared" si="142"/>
        <v>112.39249901037861</v>
      </c>
      <c r="BR129" s="17">
        <f t="shared" si="131"/>
        <v>0</v>
      </c>
      <c r="BS129" s="17">
        <f t="shared" si="126"/>
        <v>80</v>
      </c>
      <c r="BT129" s="17">
        <f t="shared" si="132"/>
        <v>0</v>
      </c>
      <c r="BV129" s="17">
        <f t="shared" si="127"/>
        <v>6196.666739135364</v>
      </c>
      <c r="BW129" s="17">
        <v>125</v>
      </c>
      <c r="BX129" s="17">
        <f>'[1]资源-钻石'!L128/$B$2*$B$12*10</f>
        <v>52192.683096825771</v>
      </c>
      <c r="BY129" s="17">
        <f>'[1]资源-钻石'!M128/$B$2*$B$12*10</f>
        <v>73018.682055116107</v>
      </c>
      <c r="BZ129" s="17">
        <f>'[1]资源-钻石'!N128/$B$2*$B$12*10</f>
        <v>115422.67900459263</v>
      </c>
      <c r="CA129" s="17">
        <f>'[1]资源-钻石'!O128/$B$2*$B$12*10</f>
        <v>253562.16768671467</v>
      </c>
      <c r="CB129" s="17">
        <f>'[1]资源-钻石'!P128/$B$2*$B$12*10</f>
        <v>340929.69574675814</v>
      </c>
      <c r="CD129" s="17">
        <v>125</v>
      </c>
      <c r="CE129" s="17">
        <f>'[1]资源-钻石'!L128/$B$2*$C$12*10</f>
        <v>21141.339988587657</v>
      </c>
      <c r="CF129" s="17">
        <f>'[1]资源-钻石'!M128/$B$2*$C$12*10</f>
        <v>29577.18766789513</v>
      </c>
      <c r="CG129" s="17">
        <f>'[1]资源-钻石'!N128/$B$2*$C$12*10</f>
        <v>46753.490229708405</v>
      </c>
      <c r="CH129" s="17">
        <f>'[1]资源-钻石'!O128/$B$2*$C$12*10</f>
        <v>102708.72615158063</v>
      </c>
      <c r="CI129" s="17">
        <f>'[1]资源-钻石'!P128/$B$2*$C$12*10</f>
        <v>138098.10460628179</v>
      </c>
    </row>
    <row r="130" spans="8:87" x14ac:dyDescent="0.15">
      <c r="H130" s="17">
        <v>37</v>
      </c>
      <c r="I130" s="29">
        <f>IF(基础状态预期!C140="","",基础状态预期!C140)</f>
        <v>13678</v>
      </c>
      <c r="J130" s="29">
        <f>IF(基础状态预期!D140="","",基础状态预期!D140)</f>
        <v>143.08413721822018</v>
      </c>
      <c r="K130" s="29" t="str">
        <f>IF(基础状态预期!F140="","",基础状态预期!F140)</f>
        <v/>
      </c>
      <c r="L130" s="29" t="str">
        <f>IF(基础状态预期!G140="","",基础状态预期!G140)</f>
        <v/>
      </c>
      <c r="M130" s="29" t="str">
        <f>IF(基础状态预期!H140="","",基础状态预期!H140)</f>
        <v/>
      </c>
      <c r="N130" s="29" t="str">
        <f>IF(基础状态预期!I140="","",基础状态预期!I140)</f>
        <v/>
      </c>
      <c r="O130" s="29">
        <f>IF(基础状态预期!J140="","",基础状态预期!J140)</f>
        <v>6</v>
      </c>
      <c r="P130" s="29">
        <f>武将进阶!O127</f>
        <v>0</v>
      </c>
      <c r="Q130" s="29">
        <f>武将进阶!P127</f>
        <v>0</v>
      </c>
      <c r="R130" s="29">
        <f>武将进阶!Q127</f>
        <v>0</v>
      </c>
      <c r="S130" s="29">
        <f>武将进阶!R127</f>
        <v>642</v>
      </c>
      <c r="T130" s="29">
        <f>武将进阶!S127</f>
        <v>0</v>
      </c>
      <c r="U130" s="29">
        <f>武将觉醒!T128</f>
        <v>0</v>
      </c>
      <c r="V130" s="29">
        <f>武将觉醒!U128</f>
        <v>0</v>
      </c>
      <c r="W130" s="29">
        <f>武将觉醒!V128</f>
        <v>0</v>
      </c>
      <c r="X130" s="29">
        <f>武将觉醒!W128</f>
        <v>0</v>
      </c>
      <c r="Y130" s="29">
        <f>武将觉醒!X128</f>
        <v>0</v>
      </c>
      <c r="Z130" s="29"/>
      <c r="AA130" s="29">
        <f>IF(L130="",0,同名需求(L130,武将升星!P127,B$6)+武将升星!U127)</f>
        <v>0</v>
      </c>
      <c r="AB130" s="29">
        <f>IF(M130="",0,同名需求(M130,武将升星!Q127,C$6)+武将升星!V127)</f>
        <v>0</v>
      </c>
      <c r="AC130" s="59">
        <f>IF(N130="",0,同名需求(N130,武将升星!R127,D$6*0.7)+武将升星!W127)</f>
        <v>0</v>
      </c>
      <c r="AD130" s="29">
        <f>IF(O130="",0,同名需求(O130,武将升星!S127,E$6)+武将升星!X127)</f>
        <v>108</v>
      </c>
      <c r="AE130" s="29">
        <f>MAX(U130+P130+IF(K130="",0,K130)*武将升星!O127,Z130)</f>
        <v>0</v>
      </c>
      <c r="AF130" s="29">
        <f>MAX(V130+Q130+IF(L130="",0,L130)*武将升星!P127,AA130)</f>
        <v>0</v>
      </c>
      <c r="AG130" s="29">
        <f>MAX(W130+R130+IF(M130="",0,M130)*武将升星!Q127,AB130)</f>
        <v>0</v>
      </c>
      <c r="AH130" s="29">
        <f>MAX(X130+S130+IF(N130="",0,N130)*武将升星!R127,AC130)</f>
        <v>642</v>
      </c>
      <c r="AI130" s="45">
        <f t="shared" si="135"/>
        <v>108</v>
      </c>
      <c r="AJ130" s="29">
        <f t="shared" si="111"/>
        <v>1918800</v>
      </c>
      <c r="AK130" s="14" t="e">
        <f>AJ130/求节点('[1]资源-钻石'!$K$4:$K$113,'[1]资源-钻石'!$N$4:$N$113,J130)</f>
        <v>#VALUE!</v>
      </c>
      <c r="AL130" s="16" t="e">
        <f t="shared" si="136"/>
        <v>#DIV/0!</v>
      </c>
      <c r="AM130" s="16"/>
      <c r="AN130" s="16"/>
      <c r="AP130" s="17">
        <v>37</v>
      </c>
      <c r="AR130" s="16">
        <f t="shared" si="128"/>
        <v>10.278041729409736</v>
      </c>
      <c r="AS130" s="29">
        <f>IF(基础状态预期!C140="","",基础状态预期!C140)</f>
        <v>13678</v>
      </c>
      <c r="AT130" s="29">
        <f>求节点(节奏总纲!$R$4:$R$163,其他调用!$E$4:$E$163,$AS130)*求节点($CP$5:$CP$36,$CS$5:$CS$36,AS40)</f>
        <v>34888961.917053014</v>
      </c>
      <c r="AU130" s="37">
        <f t="shared" si="137"/>
        <v>0</v>
      </c>
      <c r="AV130" s="37">
        <f t="shared" si="138"/>
        <v>1</v>
      </c>
      <c r="AW130" s="38">
        <f t="shared" si="115"/>
        <v>0.4933333333333334</v>
      </c>
      <c r="AX130" s="38">
        <f t="shared" si="116"/>
        <v>0.26666666666666666</v>
      </c>
      <c r="AY130" s="38">
        <f t="shared" si="117"/>
        <v>0.04</v>
      </c>
      <c r="AZ130" s="38">
        <f t="shared" si="118"/>
        <v>2.4E-2</v>
      </c>
      <c r="BA130" s="29">
        <f t="shared" si="139"/>
        <v>6950011.8174268641</v>
      </c>
      <c r="BB130" s="29">
        <f t="shared" si="129"/>
        <v>14286.135402488555</v>
      </c>
      <c r="BC130" s="29">
        <f t="shared" si="119"/>
        <v>7722.2353526965153</v>
      </c>
      <c r="BD130" s="29">
        <f t="shared" si="120"/>
        <v>1158.3353029044772</v>
      </c>
      <c r="BE130" s="29">
        <f t="shared" si="121"/>
        <v>695.00118174268641</v>
      </c>
      <c r="BF130" s="29">
        <f t="shared" si="130"/>
        <v>113527.40000000001</v>
      </c>
      <c r="BG130" s="29">
        <f t="shared" si="130"/>
        <v>20517</v>
      </c>
      <c r="BH130" s="29">
        <f t="shared" si="130"/>
        <v>2735.6000000000004</v>
      </c>
      <c r="BI130" s="29">
        <f t="shared" si="130"/>
        <v>0</v>
      </c>
      <c r="BJ130" s="29">
        <f>SUM(BB$97:BB130)+BF130</f>
        <v>185406.59618809642</v>
      </c>
      <c r="BK130" s="29">
        <f>SUM(BC$97:BC130)+BG130</f>
        <v>59282.513241170018</v>
      </c>
      <c r="BL130" s="29">
        <f>SUM(BD$97:BD130)+BH130</f>
        <v>8585.0020420398414</v>
      </c>
      <c r="BM130" s="29">
        <f>SUM(BE$97:BE130)+BI130</f>
        <v>3465.1875819697552</v>
      </c>
      <c r="BN130" s="29">
        <f>SUM(BT$97:BT130)</f>
        <v>25.363088672698289</v>
      </c>
      <c r="BO130" s="17">
        <f t="shared" si="140"/>
        <v>1652.129937447703</v>
      </c>
      <c r="BP130" s="17">
        <f t="shared" si="141"/>
        <v>27.747544710141351</v>
      </c>
      <c r="BQ130" s="17">
        <f t="shared" si="142"/>
        <v>84.371757444027452</v>
      </c>
      <c r="BR130" s="17">
        <f t="shared" si="131"/>
        <v>0</v>
      </c>
      <c r="BS130" s="17">
        <f t="shared" si="126"/>
        <v>80</v>
      </c>
      <c r="BT130" s="17">
        <f t="shared" si="132"/>
        <v>0</v>
      </c>
      <c r="BV130" s="17">
        <f t="shared" si="127"/>
        <v>7943.0020420398414</v>
      </c>
      <c r="BW130" s="17">
        <v>126</v>
      </c>
      <c r="BX130" s="17">
        <f>'[1]资源-钻石'!L129/$B$2*$B$12*10</f>
        <v>55558.911659990641</v>
      </c>
      <c r="BY130" s="17">
        <f>'[1]资源-钻石'!M129/$B$2*$B$12*10</f>
        <v>78083.737401392151</v>
      </c>
      <c r="BZ130" s="17">
        <f>'[1]资源-钻石'!N129/$B$2*$B$12*10</f>
        <v>123485.10903575088</v>
      </c>
      <c r="CA130" s="17">
        <f>'[1]资源-钻石'!O129/$B$2*$B$12*10</f>
        <v>270411.16474092659</v>
      </c>
      <c r="CB130" s="17">
        <f>'[1]资源-钻石'!P129/$B$2*$B$12*10</f>
        <v>363327.49042853853</v>
      </c>
      <c r="CD130" s="17">
        <v>126</v>
      </c>
      <c r="CE130" s="17">
        <f>'[1]资源-钻石'!L129/$B$2*$C$12*10</f>
        <v>22504.875609110131</v>
      </c>
      <c r="CF130" s="17">
        <f>'[1]资源-钻石'!M129/$B$2*$C$12*10</f>
        <v>31628.855656260115</v>
      </c>
      <c r="CG130" s="17">
        <f>'[1]资源-钻石'!N129/$B$2*$C$12*10</f>
        <v>50019.284672709218</v>
      </c>
      <c r="CH130" s="17">
        <f>'[1]资源-钻石'!O129/$B$2*$C$12*10</f>
        <v>109533.63635075509</v>
      </c>
      <c r="CI130" s="17">
        <f>'[1]资源-钻石'!P129/$B$2*$C$12*10</f>
        <v>147170.62903434472</v>
      </c>
    </row>
    <row r="131" spans="8:87" x14ac:dyDescent="0.15">
      <c r="H131" s="17">
        <v>38</v>
      </c>
      <c r="I131" s="29">
        <f>IF(基础状态预期!C141="","",基础状态预期!C141)</f>
        <v>17416</v>
      </c>
      <c r="J131" s="29">
        <f>IF(基础状态预期!D141="","",基础状态预期!D141)</f>
        <v>146.62302564097175</v>
      </c>
      <c r="K131" s="29" t="str">
        <f>IF(基础状态预期!F141="","",基础状态预期!F141)</f>
        <v/>
      </c>
      <c r="L131" s="29" t="str">
        <f>IF(基础状态预期!G141="","",基础状态预期!G141)</f>
        <v/>
      </c>
      <c r="M131" s="29" t="str">
        <f>IF(基础状态预期!H141="","",基础状态预期!H141)</f>
        <v/>
      </c>
      <c r="N131" s="29" t="str">
        <f>IF(基础状态预期!I141="","",基础状态预期!I141)</f>
        <v/>
      </c>
      <c r="O131" s="29">
        <f>IF(基础状态预期!J141="","",基础状态预期!J141)</f>
        <v>6</v>
      </c>
      <c r="P131" s="29">
        <f>武将进阶!O128</f>
        <v>0</v>
      </c>
      <c r="Q131" s="29">
        <f>武将进阶!P128</f>
        <v>0</v>
      </c>
      <c r="R131" s="29">
        <f>武将进阶!Q128</f>
        <v>0</v>
      </c>
      <c r="S131" s="29">
        <f>武将进阶!R128</f>
        <v>642</v>
      </c>
      <c r="T131" s="29">
        <f>武将进阶!S128</f>
        <v>0</v>
      </c>
      <c r="U131" s="29">
        <f>武将觉醒!T129</f>
        <v>0</v>
      </c>
      <c r="V131" s="29">
        <f>武将觉醒!U129</f>
        <v>0</v>
      </c>
      <c r="W131" s="29">
        <f>武将觉醒!V129</f>
        <v>0</v>
      </c>
      <c r="X131" s="29">
        <f>武将觉醒!W129</f>
        <v>0</v>
      </c>
      <c r="Y131" s="29">
        <f>武将觉醒!X129</f>
        <v>0</v>
      </c>
      <c r="Z131" s="29"/>
      <c r="AA131" s="29">
        <f>IF(L131="",0,同名需求(L131,武将升星!P128,B$6)+武将升星!U128)</f>
        <v>0</v>
      </c>
      <c r="AB131" s="29">
        <f>IF(M131="",0,同名需求(M131,武将升星!Q128,C$6)+武将升星!V128)</f>
        <v>0</v>
      </c>
      <c r="AC131" s="59">
        <f>IF(N131="",0,同名需求(N131,武将升星!R128,D$6*0.7)+武将升星!W128)</f>
        <v>0</v>
      </c>
      <c r="AD131" s="29">
        <f>IF(O131="",0,同名需求(O131,武将升星!S128,E$6)+武将升星!X128)</f>
        <v>108</v>
      </c>
      <c r="AE131" s="29">
        <f>MAX(U131+P131+IF(K131="",0,K131)*武将升星!O128,Z131)</f>
        <v>0</v>
      </c>
      <c r="AF131" s="29">
        <f>MAX(V131+Q131+IF(L131="",0,L131)*武将升星!P128,AA131)</f>
        <v>0</v>
      </c>
      <c r="AG131" s="29">
        <f>MAX(W131+R131+IF(M131="",0,M131)*武将升星!Q128,AB131)</f>
        <v>0</v>
      </c>
      <c r="AH131" s="29">
        <f>MAX(X131+S131+IF(N131="",0,N131)*武将升星!R128,AC131)</f>
        <v>642</v>
      </c>
      <c r="AI131" s="45">
        <f t="shared" si="135"/>
        <v>108</v>
      </c>
      <c r="AJ131" s="29">
        <f t="shared" si="111"/>
        <v>1918800</v>
      </c>
      <c r="AK131" s="14" t="e">
        <f>AJ131/求节点('[1]资源-钻石'!$K$4:$K$113,'[1]资源-钻石'!$N$4:$N$113,J131)</f>
        <v>#VALUE!</v>
      </c>
      <c r="AL131" s="16" t="e">
        <f t="shared" si="136"/>
        <v>#DIV/0!</v>
      </c>
      <c r="AM131" s="16"/>
      <c r="AN131" s="16"/>
      <c r="AP131" s="17">
        <v>38</v>
      </c>
      <c r="AR131" s="16">
        <f t="shared" si="128"/>
        <v>10.078410614096507</v>
      </c>
      <c r="AS131" s="29">
        <f>IF(基础状态预期!C141="","",基础状态预期!C141)</f>
        <v>17416</v>
      </c>
      <c r="AT131" s="29">
        <f>求节点(节奏总纲!$R$4:$R$163,其他调用!$E$4:$E$163,$AS131)*求节点($CP$5:$CP$36,$CS$5:$CS$36,AS41)</f>
        <v>43553774.658416346</v>
      </c>
      <c r="AU131" s="37">
        <f t="shared" si="137"/>
        <v>0</v>
      </c>
      <c r="AV131" s="37">
        <f t="shared" si="138"/>
        <v>1</v>
      </c>
      <c r="AW131" s="38">
        <f t="shared" si="115"/>
        <v>0.4933333333333334</v>
      </c>
      <c r="AX131" s="38">
        <f t="shared" si="116"/>
        <v>0.26666666666666666</v>
      </c>
      <c r="AY131" s="38">
        <f t="shared" si="117"/>
        <v>0.04</v>
      </c>
      <c r="AZ131" s="38">
        <f t="shared" si="118"/>
        <v>2.4E-2</v>
      </c>
      <c r="BA131" s="29">
        <f t="shared" si="139"/>
        <v>8664812.7413633317</v>
      </c>
      <c r="BB131" s="29">
        <f t="shared" si="129"/>
        <v>17811.00396835796</v>
      </c>
      <c r="BC131" s="29">
        <f t="shared" si="119"/>
        <v>9627.5697126259238</v>
      </c>
      <c r="BD131" s="29">
        <f t="shared" si="120"/>
        <v>1444.1354568938884</v>
      </c>
      <c r="BE131" s="29">
        <f t="shared" si="121"/>
        <v>866.48127413633313</v>
      </c>
      <c r="BF131" s="29">
        <f t="shared" si="130"/>
        <v>144552.80000000002</v>
      </c>
      <c r="BG131" s="29">
        <f t="shared" si="130"/>
        <v>26124</v>
      </c>
      <c r="BH131" s="29">
        <f t="shared" si="130"/>
        <v>3483.2000000000003</v>
      </c>
      <c r="BI131" s="29">
        <f t="shared" si="130"/>
        <v>0</v>
      </c>
      <c r="BJ131" s="29">
        <f>SUM(BB$97:BB131)+BF131</f>
        <v>234243.00015645439</v>
      </c>
      <c r="BK131" s="29">
        <f>SUM(BC$97:BC131)+BG131</f>
        <v>74517.082953795936</v>
      </c>
      <c r="BL131" s="29">
        <f>SUM(BD$97:BD131)+BH131</f>
        <v>10776.73749893373</v>
      </c>
      <c r="BM131" s="29">
        <f>SUM(BE$97:BE131)+BI131</f>
        <v>4331.6688561060882</v>
      </c>
      <c r="BN131" s="29">
        <f>SUM(BT$97:BT131)</f>
        <v>25.363088672698289</v>
      </c>
      <c r="BO131" s="17">
        <f t="shared" si="140"/>
        <v>3820.7297657389436</v>
      </c>
      <c r="BP131" s="17">
        <f t="shared" si="141"/>
        <v>31.886694780010281</v>
      </c>
      <c r="BQ131" s="17">
        <f t="shared" si="142"/>
        <v>76.155722232928639</v>
      </c>
      <c r="BR131" s="17">
        <f t="shared" si="131"/>
        <v>0</v>
      </c>
      <c r="BS131" s="17">
        <f t="shared" si="126"/>
        <v>80</v>
      </c>
      <c r="BT131" s="17">
        <f t="shared" si="132"/>
        <v>0</v>
      </c>
      <c r="BV131" s="17">
        <f t="shared" si="127"/>
        <v>10134.73749893373</v>
      </c>
      <c r="BW131" s="17">
        <v>127</v>
      </c>
      <c r="BX131" s="17">
        <f>'[1]资源-钻石'!L130/$B$2*$B$12*10</f>
        <v>59166.746102822421</v>
      </c>
      <c r="BY131" s="17">
        <f>'[1]资源-钻石'!M130/$B$2*$B$12*10</f>
        <v>83407.688258095266</v>
      </c>
      <c r="BZ131" s="17">
        <f>'[1]资源-钻石'!N130/$B$2*$B$12*10</f>
        <v>131457.17760392456</v>
      </c>
      <c r="CA131" s="17">
        <f>'[1]资源-钻石'!O130/$B$2*$B$12*10</f>
        <v>287770.59721858311</v>
      </c>
      <c r="CB131" s="17">
        <f>'[1]资源-钻石'!P130/$B$2*$B$12*10</f>
        <v>387797.65566077037</v>
      </c>
      <c r="CD131" s="17">
        <v>127</v>
      </c>
      <c r="CE131" s="17">
        <f>'[1]资源-钻石'!L130/$B$2*$C$12*10</f>
        <v>23966.276902409081</v>
      </c>
      <c r="CF131" s="17">
        <f>'[1]资源-钻石'!M130/$B$2*$C$12*10</f>
        <v>33785.392712139852</v>
      </c>
      <c r="CG131" s="17">
        <f>'[1]资源-钻石'!N130/$B$2*$C$12*10</f>
        <v>53248.477004121341</v>
      </c>
      <c r="CH131" s="17">
        <f>'[1]资源-钻石'!O130/$B$2*$C$12*10</f>
        <v>116565.30520246405</v>
      </c>
      <c r="CI131" s="17">
        <f>'[1]资源-钻石'!P130/$B$2*$C$12*10</f>
        <v>157082.59469803359</v>
      </c>
    </row>
    <row r="132" spans="8:87" x14ac:dyDescent="0.15">
      <c r="H132" s="17">
        <v>39</v>
      </c>
      <c r="I132" s="29">
        <f>IF(基础状态预期!C142="","",基础状态预期!C142)</f>
        <v>22204</v>
      </c>
      <c r="J132" s="29">
        <f>IF(基础状态预期!D142="","",基础状态预期!D142)</f>
        <v>150.12999034316616</v>
      </c>
      <c r="K132" s="29" t="str">
        <f>IF(基础状态预期!F142="","",基础状态预期!F142)</f>
        <v/>
      </c>
      <c r="L132" s="29" t="str">
        <f>IF(基础状态预期!G142="","",基础状态预期!G142)</f>
        <v/>
      </c>
      <c r="M132" s="29" t="str">
        <f>IF(基础状态预期!H142="","",基础状态预期!H142)</f>
        <v/>
      </c>
      <c r="N132" s="29" t="str">
        <f>IF(基础状态预期!I142="","",基础状态预期!I142)</f>
        <v/>
      </c>
      <c r="O132" s="29">
        <f>IF(基础状态预期!J142="","",基础状态预期!J142)</f>
        <v>6</v>
      </c>
      <c r="P132" s="29">
        <f>武将进阶!O129</f>
        <v>0</v>
      </c>
      <c r="Q132" s="29">
        <f>武将进阶!P129</f>
        <v>0</v>
      </c>
      <c r="R132" s="29">
        <f>武将进阶!Q129</f>
        <v>0</v>
      </c>
      <c r="S132" s="29">
        <f>武将进阶!R129</f>
        <v>642</v>
      </c>
      <c r="T132" s="29">
        <f>武将进阶!S129</f>
        <v>0</v>
      </c>
      <c r="U132" s="29">
        <f>武将觉醒!T130</f>
        <v>0</v>
      </c>
      <c r="V132" s="29">
        <f>武将觉醒!U130</f>
        <v>0</v>
      </c>
      <c r="W132" s="29">
        <f>武将觉醒!V130</f>
        <v>0</v>
      </c>
      <c r="X132" s="29">
        <f>武将觉醒!W130</f>
        <v>0</v>
      </c>
      <c r="Y132" s="29">
        <f>武将觉醒!X130</f>
        <v>0</v>
      </c>
      <c r="Z132" s="29"/>
      <c r="AA132" s="29">
        <f>IF(L132="",0,同名需求(L132,武将升星!P129,B$6)+武将升星!U129)</f>
        <v>0</v>
      </c>
      <c r="AB132" s="29">
        <f>IF(M132="",0,同名需求(M132,武将升星!Q129,C$6)+武将升星!V129)</f>
        <v>0</v>
      </c>
      <c r="AC132" s="59">
        <f>IF(N132="",0,同名需求(N132,武将升星!R129,D$6*0.7)+武将升星!W129)</f>
        <v>0</v>
      </c>
      <c r="AD132" s="29">
        <f>IF(O132="",0,同名需求(O132,武将升星!S129,E$6)+武将升星!X129)</f>
        <v>108</v>
      </c>
      <c r="AE132" s="29">
        <f>MAX(U132+P132+IF(K132="",0,K132)*武将升星!O129,Z132)</f>
        <v>0</v>
      </c>
      <c r="AF132" s="29">
        <f>MAX(V132+Q132+IF(L132="",0,L132)*武将升星!P129,AA132)</f>
        <v>0</v>
      </c>
      <c r="AG132" s="29">
        <f>MAX(W132+R132+IF(M132="",0,M132)*武将升星!Q129,AB132)</f>
        <v>0</v>
      </c>
      <c r="AH132" s="29">
        <f>MAX(X132+S132+IF(N132="",0,N132)*武将升星!R129,AC132)</f>
        <v>642</v>
      </c>
      <c r="AI132" s="45">
        <f t="shared" si="135"/>
        <v>108</v>
      </c>
      <c r="AJ132" s="29">
        <f t="shared" si="111"/>
        <v>1918800</v>
      </c>
      <c r="AK132" s="14" t="e">
        <f>AJ132/求节点('[1]资源-钻石'!$K$4:$K$113,'[1]资源-钻石'!$N$4:$N$113,J132)</f>
        <v>#VALUE!</v>
      </c>
      <c r="AL132" s="16" t="e">
        <f t="shared" si="136"/>
        <v>#DIV/0!</v>
      </c>
      <c r="AM132" s="16"/>
      <c r="AN132" s="16"/>
      <c r="AP132" s="17">
        <v>39</v>
      </c>
      <c r="AR132" s="16">
        <f t="shared" si="128"/>
        <v>9.9402287236188709</v>
      </c>
      <c r="AS132" s="29">
        <f>IF(基础状态预期!C142="","",基础状态预期!C142)</f>
        <v>22204</v>
      </c>
      <c r="AT132" s="29">
        <f>求节点(节奏总纲!$R$4:$R$163,其他调用!$E$4:$E$163,$AS132)*求节点($CP$5:$CP$36,$CS$5:$CS$36,AS42)</f>
        <v>54500352.138014391</v>
      </c>
      <c r="AU132" s="37">
        <f t="shared" si="137"/>
        <v>0</v>
      </c>
      <c r="AV132" s="37">
        <f t="shared" si="138"/>
        <v>1</v>
      </c>
      <c r="AW132" s="38">
        <f t="shared" si="115"/>
        <v>0.4933333333333334</v>
      </c>
      <c r="AX132" s="38">
        <f t="shared" si="116"/>
        <v>0.26666666666666666</v>
      </c>
      <c r="AY132" s="38">
        <f t="shared" si="117"/>
        <v>0.04</v>
      </c>
      <c r="AZ132" s="38">
        <f t="shared" si="118"/>
        <v>2.4E-2</v>
      </c>
      <c r="BA132" s="29">
        <f t="shared" si="139"/>
        <v>10946577.479598045</v>
      </c>
      <c r="BB132" s="29">
        <f t="shared" si="129"/>
        <v>22501.298152507094</v>
      </c>
      <c r="BC132" s="29">
        <f t="shared" si="119"/>
        <v>12162.86386622005</v>
      </c>
      <c r="BD132" s="29">
        <f t="shared" si="120"/>
        <v>1824.4295799330075</v>
      </c>
      <c r="BE132" s="29">
        <f t="shared" si="121"/>
        <v>1094.6577479598045</v>
      </c>
      <c r="BF132" s="29">
        <f t="shared" si="130"/>
        <v>184293.2</v>
      </c>
      <c r="BG132" s="29">
        <f t="shared" si="130"/>
        <v>33306</v>
      </c>
      <c r="BH132" s="29">
        <f t="shared" si="130"/>
        <v>4440.8</v>
      </c>
      <c r="BI132" s="29">
        <f t="shared" si="130"/>
        <v>0</v>
      </c>
      <c r="BJ132" s="29">
        <f>SUM(BB$97:BB132)+BF132</f>
        <v>296484.69830896147</v>
      </c>
      <c r="BK132" s="29">
        <f>SUM(BC$97:BC132)+BG132</f>
        <v>93861.94682001599</v>
      </c>
      <c r="BL132" s="29">
        <f>SUM(BD$97:BD132)+BH132</f>
        <v>13558.767078866738</v>
      </c>
      <c r="BM132" s="29">
        <f>SUM(BE$97:BE132)+BI132</f>
        <v>5426.3266040658928</v>
      </c>
      <c r="BN132" s="29">
        <f>SUM(BT$97:BT132)</f>
        <v>25.363088672698289</v>
      </c>
      <c r="BO132" s="17">
        <f t="shared" si="140"/>
        <v>9043.9599225111961</v>
      </c>
      <c r="BP132" s="17">
        <f t="shared" si="141"/>
        <v>36.356869615590426</v>
      </c>
      <c r="BQ132" s="17">
        <f t="shared" si="142"/>
        <v>69.808712276666014</v>
      </c>
      <c r="BR132" s="17">
        <f t="shared" si="131"/>
        <v>0</v>
      </c>
      <c r="BS132" s="17">
        <f t="shared" si="126"/>
        <v>80</v>
      </c>
      <c r="BT132" s="17">
        <f t="shared" si="132"/>
        <v>0</v>
      </c>
      <c r="BV132" s="17">
        <f t="shared" si="127"/>
        <v>12916.767078866738</v>
      </c>
      <c r="BW132" s="17">
        <v>128</v>
      </c>
      <c r="BX132" s="17">
        <f>'[1]资源-钻石'!L131/$B$2*$B$12*10</f>
        <v>63033.527315874046</v>
      </c>
      <c r="BY132" s="17">
        <f>'[1]资源-钻石'!M131/$B$2*$B$12*10</f>
        <v>88621.132258594502</v>
      </c>
      <c r="BZ132" s="17">
        <f>'[1]资源-钻石'!N131/$B$2*$B$12*10</f>
        <v>139839.04727838299</v>
      </c>
      <c r="CA132" s="17">
        <f>'[1]资源-钻石'!O131/$B$2*$B$12*10</f>
        <v>306820.42570736946</v>
      </c>
      <c r="CB132" s="17">
        <f>'[1]资源-钻石'!P131/$B$2*$B$12*10</f>
        <v>414405.75646421022</v>
      </c>
      <c r="CD132" s="17">
        <v>128</v>
      </c>
      <c r="CE132" s="17">
        <f>'[1]资源-钻石'!L131/$B$2*$C$12*10</f>
        <v>25532.568026683155</v>
      </c>
      <c r="CF132" s="17">
        <f>'[1]资源-钻石'!M131/$B$2*$C$12*10</f>
        <v>35897.167497152201</v>
      </c>
      <c r="CG132" s="17">
        <f>'[1]资源-钻石'!N131/$B$2*$C$12*10</f>
        <v>56643.664720357672</v>
      </c>
      <c r="CH132" s="17">
        <f>'[1]资源-钻石'!O131/$B$2*$C$12*10</f>
        <v>124281.6914257699</v>
      </c>
      <c r="CI132" s="17">
        <f>'[1]资源-钻石'!P131/$B$2*$C$12*10</f>
        <v>167860.55958043959</v>
      </c>
    </row>
    <row r="133" spans="8:87" x14ac:dyDescent="0.15">
      <c r="H133" s="17">
        <v>40</v>
      </c>
      <c r="I133" s="29">
        <f>IF(基础状态预期!C143="","",基础状态预期!C143)</f>
        <v>28294</v>
      </c>
      <c r="J133" s="29">
        <f>IF(基础状态预期!D143="","",基础状态预期!D143)</f>
        <v>153.11600330857166</v>
      </c>
      <c r="K133" s="29" t="str">
        <f>IF(基础状态预期!F143="","",基础状态预期!F143)</f>
        <v/>
      </c>
      <c r="L133" s="29" t="str">
        <f>IF(基础状态预期!G143="","",基础状态预期!G143)</f>
        <v/>
      </c>
      <c r="M133" s="29" t="str">
        <f>IF(基础状态预期!H143="","",基础状态预期!H143)</f>
        <v/>
      </c>
      <c r="N133" s="29" t="str">
        <f>IF(基础状态预期!I143="","",基础状态预期!I143)</f>
        <v/>
      </c>
      <c r="O133" s="29">
        <f>IF(基础状态预期!J143="","",基础状态预期!J143)</f>
        <v>6</v>
      </c>
      <c r="P133" s="29">
        <f>武将进阶!O130</f>
        <v>0</v>
      </c>
      <c r="Q133" s="29">
        <f>武将进阶!P130</f>
        <v>0</v>
      </c>
      <c r="R133" s="29">
        <f>武将进阶!Q130</f>
        <v>0</v>
      </c>
      <c r="S133" s="29">
        <f>武将进阶!R130</f>
        <v>642</v>
      </c>
      <c r="T133" s="29">
        <f>武将进阶!S130</f>
        <v>0</v>
      </c>
      <c r="U133" s="29">
        <f>武将觉醒!T131</f>
        <v>0</v>
      </c>
      <c r="V133" s="29">
        <f>武将觉醒!U131</f>
        <v>0</v>
      </c>
      <c r="W133" s="29">
        <f>武将觉醒!V131</f>
        <v>0</v>
      </c>
      <c r="X133" s="29">
        <f>武将觉醒!W131</f>
        <v>0</v>
      </c>
      <c r="Y133" s="29">
        <f>武将觉醒!X131</f>
        <v>0</v>
      </c>
      <c r="Z133" s="29"/>
      <c r="AA133" s="29">
        <f>IF(L133="",0,同名需求(L133,武将升星!P130,B$6)+武将升星!U130)</f>
        <v>0</v>
      </c>
      <c r="AB133" s="29">
        <f>IF(M133="",0,同名需求(M133,武将升星!Q130,C$6)+武将升星!V130)</f>
        <v>0</v>
      </c>
      <c r="AC133" s="59">
        <f>IF(N133="",0,同名需求(N133,武将升星!R130,D$6*0.7)+武将升星!W130)</f>
        <v>0</v>
      </c>
      <c r="AD133" s="29">
        <f>IF(O133="",0,同名需求(O133,武将升星!S130,E$6)+武将升星!X130)</f>
        <v>108</v>
      </c>
      <c r="AE133" s="29">
        <f>MAX(U133+P133+IF(K133="",0,K133)*武将升星!O130,Z133)</f>
        <v>0</v>
      </c>
      <c r="AF133" s="29">
        <f>MAX(V133+Q133+IF(L133="",0,L133)*武将升星!P130,AA133)</f>
        <v>0</v>
      </c>
      <c r="AG133" s="29">
        <f>MAX(W133+R133+IF(M133="",0,M133)*武将升星!Q130,AB133)</f>
        <v>0</v>
      </c>
      <c r="AH133" s="29">
        <f>MAX(X133+S133+IF(N133="",0,N133)*武将升星!R130,AC133)</f>
        <v>642</v>
      </c>
      <c r="AI133" s="45">
        <f t="shared" si="135"/>
        <v>108</v>
      </c>
      <c r="AJ133" s="29">
        <f t="shared" si="111"/>
        <v>1918800</v>
      </c>
      <c r="AK133" s="14" t="e">
        <f>AJ133/求节点('[1]资源-钻石'!$K$4:$K$113,'[1]资源-钻石'!$N$4:$N$113,J133)</f>
        <v>#VALUE!</v>
      </c>
      <c r="AL133" s="16" t="e">
        <f t="shared" si="136"/>
        <v>#DIV/0!</v>
      </c>
      <c r="AM133" s="16"/>
      <c r="AN133" s="16"/>
      <c r="AP133" s="17">
        <v>40</v>
      </c>
      <c r="AR133" s="16">
        <f t="shared" si="128"/>
        <v>9.7753861083950095</v>
      </c>
      <c r="AS133" s="29">
        <f>IF(基础状态预期!C143="","",基础状态预期!C143)</f>
        <v>28294</v>
      </c>
      <c r="AT133" s="29">
        <f>求节点(节奏总纲!$R$4:$R$163,其他调用!$E$4:$E$163,$AS133)*求节点($CP$5:$CP$36,$CS$5:$CS$36,AS43)</f>
        <v>68192735.460043281</v>
      </c>
      <c r="AU133" s="37">
        <f t="shared" si="137"/>
        <v>0</v>
      </c>
      <c r="AV133" s="37">
        <f t="shared" si="138"/>
        <v>1</v>
      </c>
      <c r="AW133" s="38">
        <f t="shared" si="115"/>
        <v>0.4933333333333334</v>
      </c>
      <c r="AX133" s="38">
        <f t="shared" si="116"/>
        <v>0.26666666666666666</v>
      </c>
      <c r="AY133" s="38">
        <f t="shared" si="117"/>
        <v>0.04</v>
      </c>
      <c r="AZ133" s="38">
        <f t="shared" si="118"/>
        <v>2.4E-2</v>
      </c>
      <c r="BA133" s="29">
        <f t="shared" si="139"/>
        <v>13692383.32202889</v>
      </c>
      <c r="BB133" s="29">
        <f t="shared" si="129"/>
        <v>28145.454606392723</v>
      </c>
      <c r="BC133" s="29">
        <f t="shared" si="119"/>
        <v>15213.759246698766</v>
      </c>
      <c r="BD133" s="29">
        <f t="shared" si="120"/>
        <v>2282.0638870048151</v>
      </c>
      <c r="BE133" s="29">
        <f t="shared" si="121"/>
        <v>1369.2383322028891</v>
      </c>
      <c r="BF133" s="29">
        <f t="shared" si="130"/>
        <v>234840.2</v>
      </c>
      <c r="BG133" s="29">
        <f t="shared" si="130"/>
        <v>42441</v>
      </c>
      <c r="BH133" s="29">
        <f t="shared" si="130"/>
        <v>5658.8</v>
      </c>
      <c r="BI133" s="29">
        <f t="shared" si="130"/>
        <v>0</v>
      </c>
      <c r="BJ133" s="29">
        <f>SUM(BB$97:BB133)+BF133</f>
        <v>375177.15291535424</v>
      </c>
      <c r="BK133" s="29">
        <f>SUM(BC$97:BC133)+BG133</f>
        <v>118210.70606671476</v>
      </c>
      <c r="BL133" s="29">
        <f>SUM(BD$97:BD133)+BH133</f>
        <v>17058.830965871552</v>
      </c>
      <c r="BM133" s="29">
        <f>SUM(BE$97:BE133)+BI133</f>
        <v>6795.5649362687818</v>
      </c>
      <c r="BN133" s="29">
        <f>SUM(BT$97:BT133)</f>
        <v>25.363088672698289</v>
      </c>
      <c r="BO133" s="17" t="e">
        <f t="shared" si="140"/>
        <v>#DIV/0!</v>
      </c>
      <c r="BP133" s="17">
        <f t="shared" si="141"/>
        <v>95.408920316662801</v>
      </c>
      <c r="BQ133" s="17">
        <f t="shared" si="142"/>
        <v>75.198244770089644</v>
      </c>
      <c r="BR133" s="17">
        <f t="shared" si="131"/>
        <v>0</v>
      </c>
      <c r="BS133" s="17">
        <f t="shared" si="126"/>
        <v>80</v>
      </c>
      <c r="BT133" s="17">
        <f t="shared" si="132"/>
        <v>0</v>
      </c>
      <c r="BV133" s="17">
        <f t="shared" si="127"/>
        <v>16416.830965871552</v>
      </c>
      <c r="BW133" s="17">
        <v>129</v>
      </c>
      <c r="BX133" s="17">
        <f>'[1]资源-钻石'!L132/$B$2*$B$12*10</f>
        <v>67177.840805456668</v>
      </c>
      <c r="BY133" s="17">
        <f>'[1]资源-钻石'!M132/$B$2*$B$12*10</f>
        <v>94563.650981141851</v>
      </c>
      <c r="BZ133" s="17">
        <f>'[1]资源-钻石'!N132/$B$2*$B$12*10</f>
        <v>149803.43390326656</v>
      </c>
      <c r="CA133" s="17">
        <f>'[1]资源-钻石'!O132/$B$2*$B$12*10</f>
        <v>329576.99613831582</v>
      </c>
      <c r="CB133" s="17">
        <f>'[1]资源-钻石'!P132/$B$2*$B$12*10</f>
        <v>444902.59824586299</v>
      </c>
      <c r="CD133" s="17">
        <v>129</v>
      </c>
      <c r="CE133" s="17">
        <f>'[1]资源-钻石'!L132/$B$2*$C$12*10</f>
        <v>27211.277288286241</v>
      </c>
      <c r="CF133" s="17">
        <f>'[1]资源-钻石'!M132/$B$2*$C$12*10</f>
        <v>38304.263688563791</v>
      </c>
      <c r="CG133" s="17">
        <f>'[1]资源-钻石'!N132/$B$2*$C$12*10</f>
        <v>60679.871960816832</v>
      </c>
      <c r="CH133" s="17">
        <f>'[1]资源-钻石'!O132/$B$2*$C$12*10</f>
        <v>133499.54273957096</v>
      </c>
      <c r="CI133" s="17">
        <f>'[1]资源-钻石'!P132/$B$2*$C$12*10</f>
        <v>180213.71068186854</v>
      </c>
    </row>
    <row r="134" spans="8:87" x14ac:dyDescent="0.15">
      <c r="H134" s="17">
        <v>41</v>
      </c>
      <c r="I134" s="29">
        <f>IF(基础状态预期!C144="","",基础状态预期!C144)</f>
        <v>36064</v>
      </c>
      <c r="J134" s="29">
        <f>IF(基础状态预期!D144="","",基础状态预期!D144)</f>
        <v>154.20294442048996</v>
      </c>
      <c r="K134" s="29" t="str">
        <f>IF(基础状态预期!F144="","",基础状态预期!F144)</f>
        <v/>
      </c>
      <c r="L134" s="29" t="str">
        <f>IF(基础状态预期!G144="","",基础状态预期!G144)</f>
        <v/>
      </c>
      <c r="M134" s="29" t="str">
        <f>IF(基础状态预期!H144="","",基础状态预期!H144)</f>
        <v/>
      </c>
      <c r="N134" s="29" t="str">
        <f>IF(基础状态预期!I144="","",基础状态预期!I144)</f>
        <v/>
      </c>
      <c r="O134" s="29">
        <f>IF(基础状态预期!J144="","",基础状态预期!J144)</f>
        <v>6</v>
      </c>
      <c r="P134" s="29">
        <f>武将进阶!O131</f>
        <v>0</v>
      </c>
      <c r="Q134" s="29">
        <f>武将进阶!P131</f>
        <v>0</v>
      </c>
      <c r="R134" s="29">
        <f>武将进阶!Q131</f>
        <v>0</v>
      </c>
      <c r="S134" s="29">
        <f>武将进阶!R131</f>
        <v>642</v>
      </c>
      <c r="T134" s="29">
        <f>武将进阶!S131</f>
        <v>0</v>
      </c>
      <c r="U134" s="29">
        <f>武将觉醒!T132</f>
        <v>0</v>
      </c>
      <c r="V134" s="29">
        <f>武将觉醒!U132</f>
        <v>0</v>
      </c>
      <c r="W134" s="29">
        <f>武将觉醒!V132</f>
        <v>0</v>
      </c>
      <c r="X134" s="29">
        <f>武将觉醒!W132</f>
        <v>0</v>
      </c>
      <c r="Y134" s="29">
        <f>武将觉醒!X132</f>
        <v>0</v>
      </c>
      <c r="Z134" s="29"/>
      <c r="AA134" s="29">
        <f>IF(L134="",0,同名需求(L134,武将升星!P131,B$6)+武将升星!U131)</f>
        <v>0</v>
      </c>
      <c r="AB134" s="29">
        <f>IF(M134="",0,同名需求(M134,武将升星!Q131,C$6)+武将升星!V131)</f>
        <v>0</v>
      </c>
      <c r="AC134" s="59">
        <f>IF(N134="",0,同名需求(N134,武将升星!R131,D$6*0.7)+武将升星!W131)</f>
        <v>0</v>
      </c>
      <c r="AD134" s="29">
        <f>IF(O134="",0,同名需求(O134,武将升星!S131,E$6)+武将升星!X131)</f>
        <v>108</v>
      </c>
      <c r="AE134" s="29">
        <f>MAX(U134+P134+IF(K134="",0,K134)*武将升星!O131,Z134)</f>
        <v>0</v>
      </c>
      <c r="AF134" s="29">
        <f>MAX(V134+Q134+IF(L134="",0,L134)*武将升星!P131,AA134)</f>
        <v>0</v>
      </c>
      <c r="AG134" s="29">
        <f>MAX(W134+R134+IF(M134="",0,M134)*武将升星!Q131,AB134)</f>
        <v>0</v>
      </c>
      <c r="AH134" s="29">
        <f>MAX(X134+S134+IF(N134="",0,N134)*武将升星!R131,AC134)</f>
        <v>642</v>
      </c>
      <c r="AI134" s="45">
        <f t="shared" si="135"/>
        <v>108</v>
      </c>
      <c r="AJ134" s="29">
        <f t="shared" si="111"/>
        <v>1918800</v>
      </c>
      <c r="AK134" s="14" t="e">
        <f>AJ134/求节点('[1]资源-钻石'!$K$4:$K$113,'[1]资源-钻石'!$N$4:$N$113,J134)</f>
        <v>#VALUE!</v>
      </c>
      <c r="AL134" s="16" t="e">
        <f t="shared" si="136"/>
        <v>#DIV/0!</v>
      </c>
      <c r="AM134" s="16"/>
      <c r="AN134" s="16"/>
      <c r="AP134" s="17">
        <v>41</v>
      </c>
      <c r="AR134" s="16">
        <f t="shared" si="128"/>
        <v>9.6014646585326346</v>
      </c>
      <c r="AS134" s="29">
        <f>IF(基础状态预期!C144="","",基础状态预期!C144)</f>
        <v>36064</v>
      </c>
      <c r="AT134" s="29">
        <f>求节点(节奏总纲!$R$4:$R$163,其他调用!$E$4:$E$163,$AS134)*求节点($CP$5:$CP$36,$CS$5:$CS$36,AS44)</f>
        <v>85351512.951306954</v>
      </c>
      <c r="AU134" s="37">
        <f t="shared" si="137"/>
        <v>0</v>
      </c>
      <c r="AV134" s="37">
        <f t="shared" si="138"/>
        <v>1</v>
      </c>
      <c r="AW134" s="38">
        <f t="shared" si="115"/>
        <v>0.4933333333333334</v>
      </c>
      <c r="AX134" s="38">
        <f t="shared" si="116"/>
        <v>0.26666666666666666</v>
      </c>
      <c r="AY134" s="38">
        <f t="shared" si="117"/>
        <v>0.04</v>
      </c>
      <c r="AZ134" s="38">
        <f t="shared" si="118"/>
        <v>2.4E-2</v>
      </c>
      <c r="BA134" s="29">
        <f t="shared" si="139"/>
        <v>17158777.491263673</v>
      </c>
      <c r="BB134" s="29">
        <f t="shared" si="129"/>
        <v>35270.82039870866</v>
      </c>
      <c r="BC134" s="29">
        <f t="shared" si="119"/>
        <v>19065.308323626301</v>
      </c>
      <c r="BD134" s="29">
        <f t="shared" si="120"/>
        <v>2859.7962485439452</v>
      </c>
      <c r="BE134" s="29">
        <f t="shared" si="121"/>
        <v>1715.8777491263672</v>
      </c>
      <c r="BF134" s="29">
        <f t="shared" si="130"/>
        <v>299331.20000000001</v>
      </c>
      <c r="BG134" s="29">
        <f t="shared" si="130"/>
        <v>54096</v>
      </c>
      <c r="BH134" s="29">
        <f t="shared" si="130"/>
        <v>7212.8</v>
      </c>
      <c r="BI134" s="29">
        <f t="shared" si="130"/>
        <v>0</v>
      </c>
      <c r="BJ134" s="29">
        <f>SUM(BB$97:BB134)+BF134</f>
        <v>474938.97331406287</v>
      </c>
      <c r="BK134" s="29">
        <f>SUM(BC$97:BC134)+BG134</f>
        <v>148931.01439034106</v>
      </c>
      <c r="BL134" s="29">
        <f>SUM(BD$97:BD134)+BH134</f>
        <v>21472.627214415497</v>
      </c>
      <c r="BM134" s="29">
        <f>SUM(BE$97:BE134)+BI134</f>
        <v>8511.4426853951481</v>
      </c>
      <c r="BN134" s="29">
        <f>SUM(BT$97:BT134)</f>
        <v>25.363088672698289</v>
      </c>
      <c r="BO134" s="17" t="e">
        <f t="shared" si="140"/>
        <v>#DIV/0!</v>
      </c>
      <c r="BP134" s="17">
        <f t="shared" si="141"/>
        <v>109.18866498720182</v>
      </c>
      <c r="BQ134" s="17">
        <f t="shared" si="142"/>
        <v>78.941907920503169</v>
      </c>
      <c r="BR134" s="17">
        <f t="shared" si="131"/>
        <v>0</v>
      </c>
      <c r="BS134" s="17">
        <f t="shared" si="126"/>
        <v>80</v>
      </c>
      <c r="BT134" s="17">
        <f t="shared" si="132"/>
        <v>0</v>
      </c>
      <c r="BV134" s="17">
        <f t="shared" si="127"/>
        <v>20830.627214415497</v>
      </c>
      <c r="BW134" s="17">
        <v>130</v>
      </c>
      <c r="BX134" s="17">
        <f>'[1]资源-钻石'!L133/$B$2*$B$12*10</f>
        <v>71619.606024022447</v>
      </c>
      <c r="BY134" s="17">
        <f>'[1]资源-钻石'!M133/$B$2*$B$12*10</f>
        <v>101045.02439848408</v>
      </c>
      <c r="BZ134" s="17">
        <f>'[1]资源-钻石'!N133/$B$2*$B$12*10</f>
        <v>160592.39748160238</v>
      </c>
      <c r="CA134" s="17">
        <f>'[1]资源-钻石'!O133/$B$2*$B$12*10</f>
        <v>353827.3899986805</v>
      </c>
      <c r="CB134" s="17">
        <f>'[1]资源-钻石'!P133/$B$2*$B$12*10</f>
        <v>478210.43945594603</v>
      </c>
      <c r="CD134" s="17">
        <v>130</v>
      </c>
      <c r="CE134" s="17">
        <f>'[1]资源-钻石'!L133/$B$2*$C$12*10</f>
        <v>29010.473326186308</v>
      </c>
      <c r="CF134" s="17">
        <f>'[1]资源-钻石'!M133/$B$2*$C$12*10</f>
        <v>40929.630136094813</v>
      </c>
      <c r="CG134" s="17">
        <f>'[1]资源-钻石'!N133/$B$2*$C$12*10</f>
        <v>65050.085055838936</v>
      </c>
      <c r="CH134" s="17">
        <f>'[1]资源-钻石'!O133/$B$2*$C$12*10</f>
        <v>143322.48708807313</v>
      </c>
      <c r="CI134" s="17">
        <f>'[1]资源-钻石'!P133/$B$2*$C$12*10</f>
        <v>193705.494463168</v>
      </c>
    </row>
    <row r="135" spans="8:87" x14ac:dyDescent="0.15">
      <c r="H135" s="17">
        <v>42</v>
      </c>
      <c r="I135" s="29">
        <f>IF(基础状态预期!C145="","",基础状态预期!C145)</f>
        <v>45850</v>
      </c>
      <c r="J135" s="29">
        <f>IF(基础状态预期!D145="","",基础状态预期!D145)</f>
        <v>155.2512378743358</v>
      </c>
      <c r="K135" s="29" t="str">
        <f>IF(基础状态预期!F145="","",基础状态预期!F145)</f>
        <v/>
      </c>
      <c r="L135" s="29" t="str">
        <f>IF(基础状态预期!G145="","",基础状态预期!G145)</f>
        <v/>
      </c>
      <c r="M135" s="29" t="str">
        <f>IF(基础状态预期!H145="","",基础状态预期!H145)</f>
        <v/>
      </c>
      <c r="N135" s="29" t="str">
        <f>IF(基础状态预期!I145="","",基础状态预期!I145)</f>
        <v/>
      </c>
      <c r="O135" s="29">
        <f>IF(基础状态预期!J145="","",基础状态预期!J145)</f>
        <v>6</v>
      </c>
      <c r="P135" s="29">
        <f>武将进阶!O132</f>
        <v>0</v>
      </c>
      <c r="Q135" s="29">
        <f>武将进阶!P132</f>
        <v>0</v>
      </c>
      <c r="R135" s="29">
        <f>武将进阶!Q132</f>
        <v>0</v>
      </c>
      <c r="S135" s="29">
        <f>武将进阶!R132</f>
        <v>642</v>
      </c>
      <c r="T135" s="29">
        <f>武将进阶!S132</f>
        <v>0</v>
      </c>
      <c r="U135" s="29">
        <f>武将觉醒!T133</f>
        <v>0</v>
      </c>
      <c r="V135" s="29">
        <f>武将觉醒!U133</f>
        <v>0</v>
      </c>
      <c r="W135" s="29">
        <f>武将觉醒!V133</f>
        <v>0</v>
      </c>
      <c r="X135" s="29">
        <f>武将觉醒!W133</f>
        <v>0</v>
      </c>
      <c r="Y135" s="29">
        <f>武将觉醒!X133</f>
        <v>0</v>
      </c>
      <c r="Z135" s="29"/>
      <c r="AA135" s="29">
        <f>IF(L135="",0,同名需求(L135,武将升星!P132,B$6)+武将升星!U132)</f>
        <v>0</v>
      </c>
      <c r="AB135" s="29">
        <f>IF(M135="",0,同名需求(M135,武将升星!Q132,C$6)+武将升星!V132)</f>
        <v>0</v>
      </c>
      <c r="AC135" s="59">
        <f>IF(N135="",0,同名需求(N135,武将升星!R132,D$6*0.7)+武将升星!W132)</f>
        <v>0</v>
      </c>
      <c r="AD135" s="29">
        <f>IF(O135="",0,同名需求(O135,武将升星!S132,E$6)+武将升星!X132)</f>
        <v>108</v>
      </c>
      <c r="AE135" s="29">
        <f>MAX(U135+P135+IF(K135="",0,K135)*武将升星!O132,Z135)</f>
        <v>0</v>
      </c>
      <c r="AF135" s="29">
        <f>MAX(V135+Q135+IF(L135="",0,L135)*武将升星!P132,AA135)</f>
        <v>0</v>
      </c>
      <c r="AG135" s="29">
        <f>MAX(W135+R135+IF(M135="",0,M135)*武将升星!Q132,AB135)</f>
        <v>0</v>
      </c>
      <c r="AH135" s="29">
        <f>MAX(X135+S135+IF(N135="",0,N135)*武将升星!R132,AC135)</f>
        <v>642</v>
      </c>
      <c r="AI135" s="45">
        <f t="shared" si="135"/>
        <v>108</v>
      </c>
      <c r="AJ135" s="29">
        <f t="shared" si="111"/>
        <v>1918800</v>
      </c>
      <c r="AK135" s="14" t="e">
        <f>AJ135/求节点('[1]资源-钻石'!$K$4:$K$113,'[1]资源-钻石'!$N$4:$N$113,J135)</f>
        <v>#VALUE!</v>
      </c>
      <c r="AL135" s="16" t="e">
        <f t="shared" si="136"/>
        <v>#DIV/0!</v>
      </c>
      <c r="AM135" s="16"/>
      <c r="AN135" s="16"/>
      <c r="AP135" s="17">
        <v>42</v>
      </c>
      <c r="AR135" s="16">
        <f t="shared" si="128"/>
        <v>9.4315401597976649</v>
      </c>
      <c r="AS135" s="29">
        <f>IF(基础状态预期!C145="","",基础状态预期!C145)</f>
        <v>45850</v>
      </c>
      <c r="AT135" s="29">
        <f>求节点(节奏总纲!$R$4:$R$163,其他调用!$E$4:$E$163,$AS135)*求节点($CP$5:$CP$36,$CS$5:$CS$36,AS45)</f>
        <v>106579834.91217634</v>
      </c>
      <c r="AU135" s="37">
        <f t="shared" si="137"/>
        <v>0</v>
      </c>
      <c r="AV135" s="37">
        <f t="shared" si="138"/>
        <v>1</v>
      </c>
      <c r="AW135" s="38">
        <f t="shared" si="115"/>
        <v>0.4933333333333334</v>
      </c>
      <c r="AX135" s="38">
        <f t="shared" si="116"/>
        <v>0.26666666666666666</v>
      </c>
      <c r="AY135" s="38">
        <f t="shared" si="117"/>
        <v>0.04</v>
      </c>
      <c r="AZ135" s="38">
        <f t="shared" si="118"/>
        <v>2.4E-2</v>
      </c>
      <c r="BA135" s="29">
        <f t="shared" si="139"/>
        <v>21228321.960869387</v>
      </c>
      <c r="BB135" s="29">
        <f t="shared" si="129"/>
        <v>43635.995141787083</v>
      </c>
      <c r="BC135" s="29">
        <f t="shared" si="119"/>
        <v>23587.024400965987</v>
      </c>
      <c r="BD135" s="29">
        <f t="shared" si="120"/>
        <v>3538.053660144898</v>
      </c>
      <c r="BE135" s="29">
        <f t="shared" si="121"/>
        <v>2122.8321960869389</v>
      </c>
      <c r="BF135" s="29">
        <f t="shared" si="130"/>
        <v>380555.00000000006</v>
      </c>
      <c r="BG135" s="29">
        <f t="shared" si="130"/>
        <v>68775</v>
      </c>
      <c r="BH135" s="29">
        <f t="shared" si="130"/>
        <v>9170</v>
      </c>
      <c r="BI135" s="29">
        <f t="shared" si="130"/>
        <v>0</v>
      </c>
      <c r="BJ135" s="29">
        <f>SUM(BB$97:BB135)+BF135</f>
        <v>599798.76845584996</v>
      </c>
      <c r="BK135" s="29">
        <f>SUM(BC$97:BC135)+BG135</f>
        <v>187197.03879130704</v>
      </c>
      <c r="BL135" s="29">
        <f>SUM(BD$97:BD135)+BH135</f>
        <v>26967.880874560396</v>
      </c>
      <c r="BM135" s="29">
        <f>SUM(BE$97:BE135)+BI135</f>
        <v>10634.274881482088</v>
      </c>
      <c r="BN135" s="29">
        <f>SUM(BT$97:BT135)</f>
        <v>25.363088672698289</v>
      </c>
      <c r="BO135" s="17" t="e">
        <f t="shared" si="140"/>
        <v>#DIV/0!</v>
      </c>
      <c r="BP135" s="17">
        <f t="shared" si="141"/>
        <v>127.31612869912193</v>
      </c>
      <c r="BQ135" s="17">
        <f t="shared" si="142"/>
        <v>98.465508161871185</v>
      </c>
      <c r="BR135" s="17">
        <f t="shared" si="131"/>
        <v>0</v>
      </c>
      <c r="BS135" s="17">
        <f t="shared" si="126"/>
        <v>80</v>
      </c>
      <c r="BT135" s="17">
        <f t="shared" si="132"/>
        <v>0</v>
      </c>
      <c r="BV135" s="17">
        <f t="shared" si="127"/>
        <v>26325.880874560396</v>
      </c>
      <c r="BW135" s="17">
        <v>131</v>
      </c>
      <c r="BX135" s="17">
        <f>'[1]资源-钻石'!L134/$B$2*$B$12*10</f>
        <v>76380.172112097964</v>
      </c>
      <c r="BY135" s="17">
        <f>'[1]资源-钻石'!M134/$B$2*$B$12*10</f>
        <v>107927.41127555733</v>
      </c>
      <c r="BZ135" s="17">
        <f>'[1]资源-钻石'!N134/$B$2*$B$12*10</f>
        <v>171889.98346161691</v>
      </c>
      <c r="CA135" s="17">
        <f>'[1]资源-钻石'!O134/$B$2*$B$12*10</f>
        <v>379730.76410777878</v>
      </c>
      <c r="CB135" s="17">
        <f>'[1]资源-钻石'!P134/$B$2*$B$12*10</f>
        <v>511870.99433900492</v>
      </c>
      <c r="CD135" s="17">
        <v>131</v>
      </c>
      <c r="CE135" s="17">
        <f>'[1]资源-钻石'!L134/$B$2*$C$12*10</f>
        <v>30938.80389350804</v>
      </c>
      <c r="CF135" s="17">
        <f>'[1]资源-钻石'!M134/$B$2*$C$12*10</f>
        <v>43717.432415415635</v>
      </c>
      <c r="CG135" s="17">
        <f>'[1]资源-钻石'!N134/$B$2*$C$12*10</f>
        <v>69626.322414832161</v>
      </c>
      <c r="CH135" s="17">
        <f>'[1]资源-钻石'!O134/$B$2*$C$12*10</f>
        <v>153814.99305631549</v>
      </c>
      <c r="CI135" s="17">
        <f>'[1]资源-钻石'!P134/$B$2*$C$12*10</f>
        <v>207340.14960567289</v>
      </c>
    </row>
    <row r="136" spans="8:87" x14ac:dyDescent="0.15">
      <c r="H136" s="16">
        <v>43</v>
      </c>
      <c r="AN136" s="16"/>
      <c r="AP136" s="17">
        <v>43</v>
      </c>
      <c r="BW136" s="17">
        <v>132</v>
      </c>
      <c r="BX136" s="17">
        <f>'[1]资源-钻石'!L135/$B$2*$B$12*10</f>
        <v>81482.420511947479</v>
      </c>
      <c r="BY136" s="17">
        <f>'[1]资源-钻石'!M135/$B$2*$B$12*10</f>
        <v>115333.03764730094</v>
      </c>
      <c r="BZ136" s="17">
        <f>'[1]资源-钻石'!N135/$B$2*$B$12*10</f>
        <v>184159.02536330684</v>
      </c>
      <c r="CA136" s="17">
        <f>'[1]资源-钻石'!O135/$B$2*$B$12*10</f>
        <v>406224.92996535462</v>
      </c>
      <c r="CB136" s="17">
        <f>'[1]资源-钻石'!P135/$B$2*$B$12*10</f>
        <v>546658.88708379073</v>
      </c>
      <c r="CD136" s="17">
        <v>132</v>
      </c>
      <c r="CE136" s="17">
        <f>'[1]资源-钻石'!L135/$B$2*$C$12*10</f>
        <v>33005.537422561007</v>
      </c>
      <c r="CF136" s="17">
        <f>'[1]资源-钻石'!M135/$B$2*$C$12*10</f>
        <v>46717.179806501648</v>
      </c>
      <c r="CG136" s="17">
        <f>'[1]资源-钻石'!N135/$B$2*$C$12*10</f>
        <v>74596.060906655926</v>
      </c>
      <c r="CH136" s="17">
        <f>'[1]资源-钻石'!O135/$B$2*$C$12*10</f>
        <v>164546.80707457403</v>
      </c>
      <c r="CI136" s="17">
        <f>'[1]资源-钻石'!P135/$B$2*$C$12*10</f>
        <v>221431.44793267472</v>
      </c>
    </row>
    <row r="137" spans="8:87" x14ac:dyDescent="0.15">
      <c r="H137" s="16">
        <v>44</v>
      </c>
      <c r="AN137" s="16"/>
      <c r="AP137" s="17">
        <v>44</v>
      </c>
      <c r="BW137" s="17">
        <v>133</v>
      </c>
      <c r="BX137" s="17">
        <f>'[1]资源-钻石'!L136/$B$2*$B$12*10</f>
        <v>86950.874946174561</v>
      </c>
      <c r="BY137" s="17">
        <f>'[1]资源-钻石'!M136/$B$2*$B$12*10</f>
        <v>123275.74990691812</v>
      </c>
      <c r="BZ137" s="17">
        <f>'[1]资源-钻石'!N136/$B$2*$B$12*10</f>
        <v>196438.78235563289</v>
      </c>
      <c r="CA137" s="17">
        <f>'[1]资源-钻石'!O136/$B$2*$B$12*10</f>
        <v>432987.66115398309</v>
      </c>
      <c r="CB137" s="17">
        <f>'[1]资源-钻石'!P136/$B$2*$B$12*10</f>
        <v>583372.66848117986</v>
      </c>
      <c r="CD137" s="17">
        <v>133</v>
      </c>
      <c r="CE137" s="17">
        <f>'[1]资源-钻石'!L136/$B$2*$C$12*10</f>
        <v>35220.607573133995</v>
      </c>
      <c r="CF137" s="17">
        <f>'[1]资源-钻石'!M136/$B$2*$C$12*10</f>
        <v>49934.480974954175</v>
      </c>
      <c r="CG137" s="17">
        <f>'[1]资源-钻石'!N136/$B$2*$C$12*10</f>
        <v>79570.139688357624</v>
      </c>
      <c r="CH137" s="17">
        <f>'[1]资源-钻石'!O136/$B$2*$C$12*10</f>
        <v>175387.40704971467</v>
      </c>
      <c r="CI137" s="17">
        <f>'[1]资源-钻石'!P136/$B$2*$C$12*10</f>
        <v>236302.8530556678</v>
      </c>
    </row>
    <row r="138" spans="8:87" x14ac:dyDescent="0.15">
      <c r="H138" s="16">
        <v>45</v>
      </c>
      <c r="AP138" s="17">
        <v>45</v>
      </c>
      <c r="BW138" s="17">
        <v>134</v>
      </c>
      <c r="BX138" s="17">
        <f>'[1]资源-钻石'!L137/$B$2*$B$12*10</f>
        <v>92811.819289867941</v>
      </c>
      <c r="BY138" s="17">
        <f>'[1]资源-钻石'!M137/$B$2*$B$12*10</f>
        <v>131349.78355394825</v>
      </c>
      <c r="BZ138" s="17">
        <f>'[1]资源-钻石'!N137/$B$2*$B$12*10</f>
        <v>209144.53971791689</v>
      </c>
      <c r="CA138" s="17">
        <f>'[1]资源-钻石'!O137/$B$2*$B$12*10</f>
        <v>461906.02411988302</v>
      </c>
      <c r="CB138" s="17">
        <f>'[1]资源-钻石'!P137/$B$2*$B$12*10</f>
        <v>623525.15913242218</v>
      </c>
      <c r="CD138" s="17">
        <v>134</v>
      </c>
      <c r="CE138" s="17">
        <f>'[1]资源-钻石'!L137/$B$2*$C$12*10</f>
        <v>37594.660978174354</v>
      </c>
      <c r="CF138" s="17">
        <f>'[1]资源-钻石'!M137/$B$2*$C$12*10</f>
        <v>53204.975616789168</v>
      </c>
      <c r="CG138" s="17">
        <f>'[1]资源-钻石'!N137/$B$2*$C$12*10</f>
        <v>84716.775581941023</v>
      </c>
      <c r="CH138" s="17">
        <f>'[1]资源-钻石'!O137/$B$2*$C$12*10</f>
        <v>187101.17432704123</v>
      </c>
      <c r="CI138" s="17">
        <f>'[1]资源-钻石'!P137/$B$2*$C$12*10</f>
        <v>252567.15306629761</v>
      </c>
    </row>
    <row r="139" spans="8:87" x14ac:dyDescent="0.15">
      <c r="H139" s="16">
        <v>1</v>
      </c>
      <c r="I139" s="160" t="s">
        <v>172</v>
      </c>
      <c r="J139" s="160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P139" s="17">
        <v>1</v>
      </c>
      <c r="AS139" s="160" t="s">
        <v>172</v>
      </c>
      <c r="AT139" s="160"/>
      <c r="BF139" s="160" t="s">
        <v>373</v>
      </c>
      <c r="BG139" s="160"/>
      <c r="BH139" s="160"/>
      <c r="BI139" s="160"/>
      <c r="BW139" s="17">
        <v>135</v>
      </c>
      <c r="BX139" s="17">
        <f>'[1]资源-钻石'!L138/$B$2*$B$12*10</f>
        <v>99078.835399897522</v>
      </c>
      <c r="BY139" s="17">
        <f>'[1]资源-钻石'!M138/$B$2*$B$12*10</f>
        <v>140200.20793035865</v>
      </c>
      <c r="BZ139" s="17">
        <f>'[1]资源-钻石'!N138/$B$2*$B$12*10</f>
        <v>223404.53996086158</v>
      </c>
      <c r="CA139" s="17">
        <f>'[1]资源-钻石'!O138/$B$2*$B$12*10</f>
        <v>494918.28885307978</v>
      </c>
      <c r="CB139" s="17">
        <f>'[1]资源-钻石'!P138/$B$2*$B$12*10</f>
        <v>668983.32681696571</v>
      </c>
      <c r="CD139" s="17">
        <v>135</v>
      </c>
      <c r="CE139" s="17">
        <f>'[1]资源-钻石'!L138/$B$2*$C$12*10</f>
        <v>40133.199149325577</v>
      </c>
      <c r="CF139" s="17">
        <f>'[1]资源-钻石'!M138/$B$2*$C$12*10</f>
        <v>56789.957642676927</v>
      </c>
      <c r="CG139" s="17">
        <f>'[1]资源-钻石'!N138/$B$2*$C$12*10</f>
        <v>90492.978211994574</v>
      </c>
      <c r="CH139" s="17">
        <f>'[1]资源-钻石'!O138/$B$2*$C$12*10</f>
        <v>200473.23092782981</v>
      </c>
      <c r="CI139" s="17">
        <f>'[1]资源-钻石'!P138/$B$2*$C$12*10</f>
        <v>270980.58807775832</v>
      </c>
    </row>
    <row r="140" spans="8:87" x14ac:dyDescent="0.15">
      <c r="H140" s="16">
        <v>2</v>
      </c>
      <c r="I140" s="160"/>
      <c r="J140" s="160"/>
      <c r="K140" s="160" t="s">
        <v>376</v>
      </c>
      <c r="L140" s="160"/>
      <c r="M140" s="160"/>
      <c r="N140" s="160"/>
      <c r="O140" s="160"/>
      <c r="P140" s="160" t="s">
        <v>407</v>
      </c>
      <c r="Q140" s="160"/>
      <c r="R140" s="160"/>
      <c r="S140" s="160"/>
      <c r="T140" s="160"/>
      <c r="U140" s="160" t="s">
        <v>409</v>
      </c>
      <c r="V140" s="160"/>
      <c r="W140" s="160"/>
      <c r="X140" s="160"/>
      <c r="Y140" s="160"/>
      <c r="Z140" s="160" t="s">
        <v>377</v>
      </c>
      <c r="AA140" s="160"/>
      <c r="AB140" s="160"/>
      <c r="AC140" s="160"/>
      <c r="AD140" s="160"/>
      <c r="AE140" s="160" t="s">
        <v>378</v>
      </c>
      <c r="AF140" s="160"/>
      <c r="AG140" s="160"/>
      <c r="AH140" s="160"/>
      <c r="AI140" s="160"/>
      <c r="AP140" s="17">
        <v>2</v>
      </c>
      <c r="AS140" s="160"/>
      <c r="AT140" s="160"/>
      <c r="AU140" s="160" t="s">
        <v>323</v>
      </c>
      <c r="AV140" s="160"/>
      <c r="AW140" s="160" t="s">
        <v>325</v>
      </c>
      <c r="AX140" s="160"/>
      <c r="AY140" s="160"/>
      <c r="AZ140" s="160"/>
      <c r="BA140" s="169" t="s">
        <v>327</v>
      </c>
      <c r="BB140" s="160" t="s">
        <v>328</v>
      </c>
      <c r="BC140" s="160"/>
      <c r="BD140" s="160"/>
      <c r="BE140" s="160"/>
      <c r="BF140" s="160"/>
      <c r="BG140" s="160"/>
      <c r="BH140" s="160"/>
      <c r="BI140" s="160"/>
      <c r="BJ140" s="160" t="s">
        <v>329</v>
      </c>
      <c r="BK140" s="160"/>
      <c r="BL140" s="160"/>
      <c r="BM140" s="160"/>
      <c r="BW140" s="17">
        <v>136</v>
      </c>
      <c r="BX140" s="17">
        <f>'[1]资源-钻石'!L139/$B$2*$B$12*10</f>
        <v>105622.45386348668</v>
      </c>
      <c r="BY140" s="17">
        <f>'[1]资源-钻石'!M139/$B$2*$B$12*10</f>
        <v>149946.90391472899</v>
      </c>
      <c r="BZ140" s="17">
        <f>'[1]资源-钻石'!N139/$B$2*$B$12*10</f>
        <v>239772.88026979586</v>
      </c>
      <c r="CA140" s="17">
        <f>'[1]资源-钻石'!O139/$B$2*$B$12*10</f>
        <v>531766.3774053076</v>
      </c>
      <c r="CB140" s="17">
        <f>'[1]资源-钻石'!P139/$B$2*$B$12*10</f>
        <v>719094.63110579667</v>
      </c>
      <c r="CD140" s="17">
        <v>136</v>
      </c>
      <c r="CE140" s="17">
        <f>'[1]资源-钻石'!L139/$B$2*$C$12*10</f>
        <v>42783.778780146502</v>
      </c>
      <c r="CF140" s="17">
        <f>'[1]资源-钻石'!M139/$B$2*$C$12*10</f>
        <v>60737.986395839587</v>
      </c>
      <c r="CG140" s="17">
        <f>'[1]资源-钻石'!N139/$B$2*$C$12*10</f>
        <v>97123.192008018581</v>
      </c>
      <c r="CH140" s="17">
        <f>'[1]资源-钻石'!O139/$B$2*$C$12*10</f>
        <v>215399.03894898537</v>
      </c>
      <c r="CI140" s="17">
        <f>'[1]资源-钻石'!P139/$B$2*$C$12*10</f>
        <v>291278.83791627205</v>
      </c>
    </row>
    <row r="141" spans="8:87" x14ac:dyDescent="0.15">
      <c r="H141" s="17">
        <v>3</v>
      </c>
      <c r="I141" s="29" t="s">
        <v>170</v>
      </c>
      <c r="J141" s="29" t="s">
        <v>484</v>
      </c>
      <c r="K141" s="29" t="s">
        <v>3</v>
      </c>
      <c r="L141" s="29" t="s">
        <v>1</v>
      </c>
      <c r="M141" s="29" t="s">
        <v>2</v>
      </c>
      <c r="N141" s="29" t="s">
        <v>0</v>
      </c>
      <c r="O141" s="29" t="s">
        <v>545</v>
      </c>
      <c r="P141" s="29" t="s">
        <v>3</v>
      </c>
      <c r="Q141" s="29" t="s">
        <v>1</v>
      </c>
      <c r="R141" s="29" t="s">
        <v>2</v>
      </c>
      <c r="S141" s="29" t="s">
        <v>0</v>
      </c>
      <c r="T141" s="29" t="s">
        <v>545</v>
      </c>
      <c r="U141" s="29" t="s">
        <v>3</v>
      </c>
      <c r="V141" s="29" t="s">
        <v>1</v>
      </c>
      <c r="W141" s="29" t="s">
        <v>2</v>
      </c>
      <c r="X141" s="29" t="s">
        <v>0</v>
      </c>
      <c r="Y141" s="29" t="s">
        <v>545</v>
      </c>
      <c r="Z141" s="29" t="s">
        <v>3</v>
      </c>
      <c r="AA141" s="29" t="s">
        <v>1</v>
      </c>
      <c r="AB141" s="29" t="s">
        <v>2</v>
      </c>
      <c r="AC141" s="29" t="s">
        <v>0</v>
      </c>
      <c r="AD141" s="29" t="s">
        <v>545</v>
      </c>
      <c r="AE141" s="29" t="s">
        <v>3</v>
      </c>
      <c r="AF141" s="29" t="s">
        <v>1</v>
      </c>
      <c r="AG141" s="29" t="s">
        <v>2</v>
      </c>
      <c r="AH141" s="29" t="s">
        <v>0</v>
      </c>
      <c r="AI141" s="29" t="s">
        <v>545</v>
      </c>
      <c r="AJ141" s="29" t="s">
        <v>353</v>
      </c>
      <c r="AK141" s="14" t="s">
        <v>324</v>
      </c>
      <c r="AL141" s="16"/>
      <c r="AM141" s="16"/>
      <c r="AP141" s="17">
        <v>3</v>
      </c>
      <c r="AR141" s="16"/>
      <c r="AS141" s="29" t="s">
        <v>170</v>
      </c>
      <c r="AT141" s="29" t="s">
        <v>374</v>
      </c>
      <c r="AU141" s="29" t="s">
        <v>314</v>
      </c>
      <c r="AV141" s="29" t="s">
        <v>317</v>
      </c>
      <c r="AW141" s="29" t="s">
        <v>1</v>
      </c>
      <c r="AX141" s="29" t="s">
        <v>28</v>
      </c>
      <c r="AY141" s="29" t="s">
        <v>29</v>
      </c>
      <c r="AZ141" s="29" t="s">
        <v>545</v>
      </c>
      <c r="BA141" s="171"/>
      <c r="BB141" s="29" t="s">
        <v>1</v>
      </c>
      <c r="BC141" s="29" t="s">
        <v>2</v>
      </c>
      <c r="BD141" s="29" t="s">
        <v>0</v>
      </c>
      <c r="BE141" s="29" t="s">
        <v>545</v>
      </c>
      <c r="BF141" s="29" t="s">
        <v>1</v>
      </c>
      <c r="BG141" s="29" t="s">
        <v>2</v>
      </c>
      <c r="BH141" s="29" t="s">
        <v>0</v>
      </c>
      <c r="BI141" s="29" t="s">
        <v>545</v>
      </c>
      <c r="BJ141" s="29" t="s">
        <v>1</v>
      </c>
      <c r="BK141" s="29" t="s">
        <v>2</v>
      </c>
      <c r="BL141" s="29" t="s">
        <v>0</v>
      </c>
      <c r="BM141" s="29" t="s">
        <v>545</v>
      </c>
      <c r="BN141" s="29" t="s">
        <v>490</v>
      </c>
      <c r="BR141" s="17" t="s">
        <v>503</v>
      </c>
      <c r="BS141" s="17" t="s">
        <v>502</v>
      </c>
      <c r="BW141" s="17">
        <v>137</v>
      </c>
      <c r="BX141" s="17">
        <f>'[1]资源-钻石'!L140/$B$2*$B$12*10</f>
        <v>112635.73048172402</v>
      </c>
      <c r="BY141" s="17">
        <f>'[1]资源-钻石'!M140/$B$2*$B$12*10</f>
        <v>160473.49011716354</v>
      </c>
      <c r="BZ141" s="17">
        <f>'[1]资源-钻石'!N140/$B$2*$B$12*10</f>
        <v>256780.55926860101</v>
      </c>
      <c r="CA141" s="17">
        <f>'[1]资源-钻石'!O140/$B$2*$B$12*10</f>
        <v>570474.40939488029</v>
      </c>
      <c r="CB141" s="17">
        <f>'[1]资源-钻石'!P140/$B$2*$B$12*10</f>
        <v>771203.31701274018</v>
      </c>
      <c r="CD141" s="17">
        <v>137</v>
      </c>
      <c r="CE141" s="17">
        <f>'[1]资源-钻石'!L140/$B$2*$C$12*10</f>
        <v>45624.599688799608</v>
      </c>
      <c r="CF141" s="17">
        <f>'[1]资源-钻石'!M140/$B$2*$C$12*10</f>
        <v>65001.920047458654</v>
      </c>
      <c r="CG141" s="17">
        <f>'[1]资源-钻石'!N140/$B$2*$C$12*10</f>
        <v>104012.37843791432</v>
      </c>
      <c r="CH141" s="17">
        <f>'[1]资源-钻石'!O140/$B$2*$C$12*10</f>
        <v>231078.24178020467</v>
      </c>
      <c r="CI141" s="17">
        <f>'[1]资源-钻石'!P140/$B$2*$C$12*10</f>
        <v>312386.15372667956</v>
      </c>
    </row>
    <row r="142" spans="8:87" x14ac:dyDescent="0.15">
      <c r="H142" s="16">
        <v>4</v>
      </c>
      <c r="I142" s="29">
        <f>IF(基础状态预期!C152="","",基础状态预期!C152)</f>
        <v>0.5</v>
      </c>
      <c r="J142" s="29">
        <f>IF(基础状态预期!D152="","",基础状态预期!D152)</f>
        <v>10.00263241450434</v>
      </c>
      <c r="K142" s="29" t="str">
        <f>IF(基础状态预期!F152="","",基础状态预期!F152)</f>
        <v/>
      </c>
      <c r="L142" s="29" t="str">
        <f>IF(基础状态预期!G152="","",基础状态预期!G152)</f>
        <v/>
      </c>
      <c r="M142" s="29" t="str">
        <f>IF(基础状态预期!H152="","",基础状态预期!H152)</f>
        <v/>
      </c>
      <c r="N142" s="29">
        <f>IF(基础状态预期!I152="","",基础状态预期!I152)</f>
        <v>6</v>
      </c>
      <c r="O142" s="29" t="str">
        <f>IF(基础状态预期!J152="","",基础状态预期!J152)</f>
        <v/>
      </c>
      <c r="P142" s="29">
        <f>武将进阶!O139</f>
        <v>0</v>
      </c>
      <c r="Q142" s="29">
        <f>武将进阶!P139</f>
        <v>0</v>
      </c>
      <c r="R142" s="29">
        <f>武将进阶!Q139</f>
        <v>7.2018953384431237</v>
      </c>
      <c r="S142" s="29">
        <f>武将进阶!R139</f>
        <v>0</v>
      </c>
      <c r="T142" s="29">
        <f>武将进阶!S139</f>
        <v>0</v>
      </c>
      <c r="U142" s="29">
        <f>武将觉醒!T140</f>
        <v>0</v>
      </c>
      <c r="V142" s="29">
        <f>武将觉醒!U140</f>
        <v>0</v>
      </c>
      <c r="W142" s="29">
        <f>武将觉醒!V140</f>
        <v>0</v>
      </c>
      <c r="X142" s="29">
        <f>武将觉醒!W140</f>
        <v>0</v>
      </c>
      <c r="Y142" s="29">
        <f>武将觉醒!X140</f>
        <v>0</v>
      </c>
      <c r="Z142" s="29"/>
      <c r="AA142" s="29">
        <f>IF(L142="",0,同名需求(L142,武将升星!P139,B$6)+武将升星!U139)</f>
        <v>0</v>
      </c>
      <c r="AB142" s="29">
        <f>IF(M142="",0,同名需求(M142,武将升星!Q139,C$6)+武将升星!V139)</f>
        <v>0</v>
      </c>
      <c r="AC142" s="59">
        <f>IF(N142="",0,同名需求(N142,武将升星!R139,D$6*0.8)+武将升星!W139)</f>
        <v>6</v>
      </c>
      <c r="AD142" s="29">
        <f>IF(O142="",0,同名需求(O142,武将升星!S139,E$6)+武将升星!X139)</f>
        <v>0</v>
      </c>
      <c r="AE142" s="29">
        <f>MAX(U142+P142+IF(K142="",0,K142)*武将升星!O139,Z142)</f>
        <v>0</v>
      </c>
      <c r="AF142" s="29">
        <f>MAX(V142+Q142+IF(L142="",0,L142)*武将升星!P139,AA142)</f>
        <v>0</v>
      </c>
      <c r="AG142" s="29">
        <f>MAX(W142+R142+IF(M142="",0,M142)*武将升星!Q139,AB142)</f>
        <v>7.2018953384431237</v>
      </c>
      <c r="AH142" s="29">
        <f>MAX(X142+S142+IF(N142="",0,N142)*武将升星!R139,AC142)</f>
        <v>6</v>
      </c>
      <c r="AI142" s="45">
        <f t="shared" ref="AI142:AI157" si="143">IFERROR(AD142+Y142,0)</f>
        <v>0</v>
      </c>
      <c r="AJ142" s="29">
        <f t="shared" ref="AJ142:AJ180" si="144">(MAX(AF142/$B$12*$B$2/10,AG142/$C$12*$B$2/10,(AH142-$AI142/($E$16*$E$17+$E$21)*$D$16)/$D$12*$B$2/10)+$AI142/($E$16*$E$17+$E$21)*$B$2/10)*($B$2-500)/$B$2</f>
        <v>14400</v>
      </c>
      <c r="AK142" s="14" t="e">
        <f>AJ142/求节点('[1]资源-钻石'!$K$4:$K$113,'[1]资源-钻石'!$O$4:$O$113,J142)</f>
        <v>#VALUE!</v>
      </c>
      <c r="AL142" s="16">
        <f t="shared" ref="AL142:AL157" si="145">X142/AC142</f>
        <v>0</v>
      </c>
      <c r="AM142" s="16"/>
      <c r="AP142" s="17">
        <v>4</v>
      </c>
      <c r="AR142" s="16">
        <f>$BA142/$B$2*10/AS142*AV142</f>
        <v>0</v>
      </c>
      <c r="AS142" s="29">
        <f>IF(基础状态预期!C152="","",基础状态预期!C152)</f>
        <v>0.5</v>
      </c>
      <c r="AT142" s="29">
        <f>求节点(节奏总纲!$S$4:$S$163,其他调用!$F$4:$F$163,$AS142)*求节点($CP$5:$CP$36,$CT$5:$CT$36,AS7)</f>
        <v>29472.285516645439</v>
      </c>
      <c r="AU142" s="37">
        <f t="shared" ref="AU142:AU148" si="146">1-AV142</f>
        <v>1</v>
      </c>
      <c r="AV142" s="37">
        <f t="shared" ref="AV142:AV157" si="147">AV97</f>
        <v>0</v>
      </c>
      <c r="AW142" s="38">
        <f t="shared" ref="AW142:AW180" si="148">(B$16*B$17+B$21)*$AV142+B$12*B$13*$AU142</f>
        <v>0.65833333333333333</v>
      </c>
      <c r="AX142" s="38">
        <f t="shared" ref="AX142:AX180" si="149">(C$16*C$17+C$21)*$AV142+C$12*C$13*$AU142</f>
        <v>0.26666666666666666</v>
      </c>
      <c r="AY142" s="38">
        <f t="shared" ref="AY142:AY180" si="150">(D$16*D$17+D$21)*$AV142+D$12*D$13*$AU142</f>
        <v>7.4999999999999997E-2</v>
      </c>
      <c r="AZ142" s="38">
        <f t="shared" ref="AZ142:AZ180" si="151">(E$16*E$17+E$21)*$AV142+E$12*E$13*$AU142</f>
        <v>0</v>
      </c>
      <c r="BA142" s="121">
        <f>AT142</f>
        <v>29472.285516645439</v>
      </c>
      <c r="BB142" s="29">
        <f>$BA142/240*AW142</f>
        <v>80.844116521353811</v>
      </c>
      <c r="BC142" s="29">
        <f t="shared" ref="BC142:BC180" si="152">$BA142/240*AX142</f>
        <v>32.746983907383822</v>
      </c>
      <c r="BD142" s="29">
        <f t="shared" ref="BD142:BD180" si="153">$BA142/240*AY142</f>
        <v>9.2100892239516998</v>
      </c>
      <c r="BE142" s="29">
        <f t="shared" ref="BE142:BE180" si="154">$BA142/240*AZ142</f>
        <v>0</v>
      </c>
      <c r="BF142" s="29">
        <f>BF$3*$AS142</f>
        <v>4.1500000000000004</v>
      </c>
      <c r="BG142" s="29">
        <f t="shared" ref="BG142:BI158" si="155">BG$3*$AS142</f>
        <v>0.75</v>
      </c>
      <c r="BH142" s="29">
        <f t="shared" si="155"/>
        <v>0.1</v>
      </c>
      <c r="BI142" s="29">
        <f>BI$3*$AS142</f>
        <v>0</v>
      </c>
      <c r="BJ142" s="29">
        <f>SUM(BB$142:BB142)+BF142</f>
        <v>84.994116521353817</v>
      </c>
      <c r="BK142" s="29">
        <f>SUM(BC$142:BC142)+BG142</f>
        <v>33.496983907383822</v>
      </c>
      <c r="BL142" s="29">
        <f>SUM(BD$142:BD142)+BH142</f>
        <v>9.3100892239516995</v>
      </c>
      <c r="BM142" s="29">
        <f>SUM(BE$142:BE142)+BI142</f>
        <v>0</v>
      </c>
      <c r="BN142" s="29">
        <f>SUM(BT$142:BT142)</f>
        <v>1</v>
      </c>
      <c r="BO142" s="17">
        <f t="shared" ref="BO142:BO157" si="156">BK142/AG142</f>
        <v>4.6511345046323687</v>
      </c>
      <c r="BP142" s="17">
        <f t="shared" ref="BP142:BP157" si="157">BL142/AH142</f>
        <v>1.5516815373252832</v>
      </c>
      <c r="BQ142" s="17" t="e">
        <f t="shared" ref="BQ142:BQ157" si="158">BM142/AI142</f>
        <v>#DIV/0!</v>
      </c>
      <c r="BR142" s="17">
        <f>BA142/$B$2*10*AU142/AS142</f>
        <v>256.28074362300379</v>
      </c>
      <c r="BS142" s="17">
        <f t="shared" ref="BS142:BS180" si="159">1/($B$49*$C$49)/$D$12+1/(1*$C$49)/$D$12</f>
        <v>80</v>
      </c>
      <c r="BT142" s="17">
        <f>MIN(BR142/BS142,1)*$B$49*AS142</f>
        <v>1</v>
      </c>
      <c r="BV142" s="17">
        <f t="shared" ref="BV142:BV180" si="160">BL142-S142</f>
        <v>9.3100892239516995</v>
      </c>
      <c r="BW142" s="17">
        <v>138</v>
      </c>
      <c r="BX142" s="17">
        <f>'[1]资源-钻石'!L141/$B$2*$B$12*10</f>
        <v>120152.37424657732</v>
      </c>
      <c r="BY142" s="17">
        <f>'[1]资源-钻石'!M141/$B$2*$B$12*10</f>
        <v>171432.13832728972</v>
      </c>
      <c r="BZ142" s="17">
        <f>'[1]资源-钻石'!N141/$B$2*$B$12*10</f>
        <v>274948.1652442253</v>
      </c>
      <c r="CA142" s="17">
        <f>'[1]资源-钻石'!O141/$B$2*$B$12*10</f>
        <v>611283.91177797224</v>
      </c>
      <c r="CB142" s="17">
        <f>'[1]资源-钻石'!P141/$B$2*$B$12*10</f>
        <v>822987.22175591881</v>
      </c>
      <c r="CD142" s="17">
        <v>138</v>
      </c>
      <c r="CE142" s="17">
        <f>'[1]资源-钻石'!L141/$B$2*$C$12*10</f>
        <v>48669.316150512328</v>
      </c>
      <c r="CF142" s="17">
        <f>'[1]资源-钻石'!M141/$B$2*$C$12*10</f>
        <v>69440.866157889512</v>
      </c>
      <c r="CG142" s="17">
        <f>'[1]资源-钻石'!N141/$B$2*$C$12*10</f>
        <v>111371.40870652163</v>
      </c>
      <c r="CH142" s="17">
        <f>'[1]资源-钻石'!O141/$B$2*$C$12*10</f>
        <v>247608.67312525457</v>
      </c>
      <c r="CI142" s="17">
        <f>'[1]资源-钻石'!P141/$B$2*$C$12*10</f>
        <v>333361.91260999243</v>
      </c>
    </row>
    <row r="143" spans="8:87" x14ac:dyDescent="0.15">
      <c r="H143" s="17">
        <v>5</v>
      </c>
      <c r="I143" s="29">
        <f>IF(基础状态预期!C153="","",基础状态预期!C153)</f>
        <v>1.5</v>
      </c>
      <c r="J143" s="29">
        <f>IF(基础状态预期!D153="","",基础状态预期!D153)</f>
        <v>19.43005414991557</v>
      </c>
      <c r="K143" s="29" t="str">
        <f>IF(基础状态预期!F153="","",基础状态预期!F153)</f>
        <v/>
      </c>
      <c r="L143" s="29" t="str">
        <f>IF(基础状态预期!G153="","",基础状态预期!G153)</f>
        <v/>
      </c>
      <c r="M143" s="29" t="str">
        <f>IF(基础状态预期!H153="","",基础状态预期!H153)</f>
        <v/>
      </c>
      <c r="N143" s="29">
        <f>IF(基础状态预期!I153="","",基础状态预期!I153)</f>
        <v>6</v>
      </c>
      <c r="O143" s="29" t="str">
        <f>IF(基础状态预期!J153="","",基础状态预期!J153)</f>
        <v/>
      </c>
      <c r="P143" s="29">
        <f>武将进阶!O140</f>
        <v>0</v>
      </c>
      <c r="Q143" s="29">
        <f>武将进阶!P140</f>
        <v>0</v>
      </c>
      <c r="R143" s="29">
        <f>武将进阶!Q140</f>
        <v>13.989638987939212</v>
      </c>
      <c r="S143" s="29">
        <f>武将进阶!R140</f>
        <v>0</v>
      </c>
      <c r="T143" s="29">
        <f>武将进阶!S140</f>
        <v>0</v>
      </c>
      <c r="U143" s="29">
        <f>武将觉醒!T141</f>
        <v>0</v>
      </c>
      <c r="V143" s="29">
        <f>武将觉醒!U141</f>
        <v>0</v>
      </c>
      <c r="W143" s="29">
        <f>武将觉醒!V141</f>
        <v>0</v>
      </c>
      <c r="X143" s="29">
        <f>武将觉醒!W141</f>
        <v>0</v>
      </c>
      <c r="Y143" s="29">
        <f>武将觉醒!X141</f>
        <v>0</v>
      </c>
      <c r="Z143" s="29"/>
      <c r="AA143" s="29">
        <f>IF(L143="",0,同名需求(L143,武将升星!P140,B$6)+武将升星!U140)</f>
        <v>0</v>
      </c>
      <c r="AB143" s="29">
        <f>IF(M143="",0,同名需求(M143,武将升星!Q140,C$6)+武将升星!V140)</f>
        <v>0</v>
      </c>
      <c r="AC143" s="59">
        <f>IF(N143="",0,同名需求(N143,武将升星!R140,D$6*0.8)+武将升星!W140)</f>
        <v>11.015673304937724</v>
      </c>
      <c r="AD143" s="29">
        <f>IF(O143="",0,同名需求(O143,武将升星!S140,E$6)+武将升星!X140)</f>
        <v>0</v>
      </c>
      <c r="AE143" s="29">
        <f>MAX(U143+P143+IF(K143="",0,K143)*武将升星!O140,Z143)</f>
        <v>0</v>
      </c>
      <c r="AF143" s="29">
        <f>MAX(V143+Q143+IF(L143="",0,L143)*武将升星!P140,AA143)</f>
        <v>0</v>
      </c>
      <c r="AG143" s="29">
        <f>MAX(W143+R143+IF(M143="",0,M143)*武将升星!Q140,AB143)</f>
        <v>13.989638987939212</v>
      </c>
      <c r="AH143" s="29">
        <f>MAX(X143+S143+IF(N143="",0,N143)*武将升星!R140,AC143)</f>
        <v>11.015673304937724</v>
      </c>
      <c r="AI143" s="45">
        <f t="shared" si="143"/>
        <v>0</v>
      </c>
      <c r="AJ143" s="29">
        <f t="shared" si="144"/>
        <v>26437.615931850538</v>
      </c>
      <c r="AK143" s="14" t="e">
        <f>AJ143/求节点('[1]资源-钻石'!$K$4:$K$113,'[1]资源-钻石'!$O$4:$O$113,J143)</f>
        <v>#VALUE!</v>
      </c>
      <c r="AL143" s="16">
        <f t="shared" si="145"/>
        <v>0</v>
      </c>
      <c r="AM143" s="16"/>
      <c r="AP143" s="17">
        <v>5</v>
      </c>
      <c r="AR143" s="16">
        <f t="shared" ref="AR143:AR180" si="161">$BA143/$B$2*10/(AS143-AS142)*AV143</f>
        <v>0</v>
      </c>
      <c r="AS143" s="29">
        <f>IF(基础状态预期!C153="","",基础状态预期!C153)</f>
        <v>1.5</v>
      </c>
      <c r="AT143" s="29">
        <f>求节点(节奏总纲!$S$4:$S$163,其他调用!$F$4:$F$163,$AS143)*求节点($CP$5:$CP$36,$CT$5:$CT$36,AS8)</f>
        <v>68702.693219750901</v>
      </c>
      <c r="AU143" s="37">
        <f t="shared" si="146"/>
        <v>1</v>
      </c>
      <c r="AV143" s="37">
        <f t="shared" si="147"/>
        <v>0</v>
      </c>
      <c r="AW143" s="38">
        <f t="shared" si="148"/>
        <v>0.65833333333333333</v>
      </c>
      <c r="AX143" s="38">
        <f t="shared" si="149"/>
        <v>0.26666666666666666</v>
      </c>
      <c r="AY143" s="38">
        <f t="shared" si="150"/>
        <v>7.4999999999999997E-2</v>
      </c>
      <c r="AZ143" s="38">
        <f t="shared" si="151"/>
        <v>0</v>
      </c>
      <c r="BA143" s="29">
        <f>AT143-AT142</f>
        <v>39230.407703105462</v>
      </c>
      <c r="BB143" s="29">
        <f t="shared" ref="BB143:BB180" si="162">$BA143/240*AW143</f>
        <v>107.6111877967129</v>
      </c>
      <c r="BC143" s="29">
        <f t="shared" si="152"/>
        <v>43.589341892339398</v>
      </c>
      <c r="BD143" s="29">
        <f t="shared" si="153"/>
        <v>12.259502407220456</v>
      </c>
      <c r="BE143" s="29">
        <f t="shared" si="154"/>
        <v>0</v>
      </c>
      <c r="BF143" s="29">
        <f t="shared" ref="BF143:BI180" si="163">BF$3*$AS143</f>
        <v>12.450000000000001</v>
      </c>
      <c r="BG143" s="29">
        <f t="shared" si="155"/>
        <v>2.25</v>
      </c>
      <c r="BH143" s="29">
        <f t="shared" si="155"/>
        <v>0.30000000000000004</v>
      </c>
      <c r="BI143" s="29">
        <f t="shared" si="155"/>
        <v>0</v>
      </c>
      <c r="BJ143" s="29">
        <f>SUM(BB$142:BB143)+BF143</f>
        <v>200.9053043180667</v>
      </c>
      <c r="BK143" s="29">
        <f>SUM(BC$142:BC143)+BG143</f>
        <v>78.586325799723227</v>
      </c>
      <c r="BL143" s="29">
        <f>SUM(BD$142:BD143)+BH143</f>
        <v>21.769591631172158</v>
      </c>
      <c r="BM143" s="29">
        <f>SUM(BE$142:BE143)+BI143</f>
        <v>0</v>
      </c>
      <c r="BN143" s="29">
        <f>SUM(BT$142:BT143)</f>
        <v>3</v>
      </c>
      <c r="BO143" s="17">
        <f t="shared" si="156"/>
        <v>5.6174663168559453</v>
      </c>
      <c r="BP143" s="17">
        <f t="shared" si="157"/>
        <v>1.9762379501046059</v>
      </c>
      <c r="BQ143" s="17" t="e">
        <f t="shared" si="158"/>
        <v>#DIV/0!</v>
      </c>
      <c r="BR143" s="17">
        <f t="shared" ref="BR143:BR180" si="164">BA143/$B$2*10*AU143/(AS143-AS142)</f>
        <v>170.56699001350199</v>
      </c>
      <c r="BS143" s="17">
        <f t="shared" si="159"/>
        <v>80</v>
      </c>
      <c r="BT143" s="17">
        <f t="shared" ref="BT143:BT180" si="165">MIN(BR143/BS143,1)*$B$49*(AS143-AS142)</f>
        <v>2</v>
      </c>
      <c r="BV143" s="17">
        <f t="shared" si="160"/>
        <v>21.769591631172158</v>
      </c>
      <c r="BW143" s="17">
        <v>139</v>
      </c>
      <c r="BX143" s="17">
        <f>'[1]资源-钻石'!L142/$B$2*$B$12*10</f>
        <v>128208.51356108593</v>
      </c>
      <c r="BY143" s="17">
        <f>'[1]资源-钻石'!M142/$B$2*$B$12*10</f>
        <v>183194.05298135744</v>
      </c>
      <c r="BZ143" s="17">
        <f>'[1]资源-钻石'!N142/$B$2*$B$12*10</f>
        <v>294263.81006325316</v>
      </c>
      <c r="CA143" s="17">
        <f>'[1]资源-钻石'!O142/$B$2*$B$12*10</f>
        <v>652092.9431001721</v>
      </c>
      <c r="CB143" s="17">
        <f>'[1]资源-钻石'!P142/$B$2*$B$12*10</f>
        <v>878600.24396376673</v>
      </c>
      <c r="CD143" s="17">
        <v>139</v>
      </c>
      <c r="CE143" s="17">
        <f>'[1]资源-钻石'!L142/$B$2*$C$12*10</f>
        <v>51932.562455123414</v>
      </c>
      <c r="CF143" s="17">
        <f>'[1]资源-钻石'!M142/$B$2*$C$12*10</f>
        <v>74205.186017765052</v>
      </c>
      <c r="CG143" s="17">
        <f>'[1]资源-钻石'!N142/$B$2*$C$12*10</f>
        <v>119195.46736739371</v>
      </c>
      <c r="CH143" s="17">
        <f>'[1]资源-钻石'!O142/$B$2*$C$12*10</f>
        <v>264138.91366082919</v>
      </c>
      <c r="CI143" s="17">
        <f>'[1]资源-钻石'!P142/$B$2*$C$12*10</f>
        <v>355888.706415703</v>
      </c>
    </row>
    <row r="144" spans="8:87" x14ac:dyDescent="0.15">
      <c r="H144" s="16">
        <v>6</v>
      </c>
      <c r="I144" s="29">
        <f>IF(基础状态预期!C154="","",基础状态预期!C154)</f>
        <v>3</v>
      </c>
      <c r="J144" s="29">
        <f>IF(基础状态预期!D154="","",基础状态预期!D154)</f>
        <v>27.324610510337703</v>
      </c>
      <c r="K144" s="29" t="str">
        <f>IF(基础状态预期!F154="","",基础状态预期!F154)</f>
        <v/>
      </c>
      <c r="L144" s="29" t="str">
        <f>IF(基础状态预期!G154="","",基础状态预期!G154)</f>
        <v/>
      </c>
      <c r="M144" s="29" t="str">
        <f>IF(基础状态预期!H154="","",基础状态预期!H154)</f>
        <v/>
      </c>
      <c r="N144" s="29">
        <f>IF(基础状态预期!I154="","",基础状态预期!I154)</f>
        <v>6</v>
      </c>
      <c r="O144" s="29" t="str">
        <f>IF(基础状态预期!J154="","",基础状态预期!J154)</f>
        <v/>
      </c>
      <c r="P144" s="29">
        <f>武将进阶!O141</f>
        <v>0</v>
      </c>
      <c r="Q144" s="29">
        <f>武将进阶!P141</f>
        <v>0</v>
      </c>
      <c r="R144" s="29">
        <f>武将进阶!Q141</f>
        <v>21.347439134886294</v>
      </c>
      <c r="S144" s="29">
        <f>武将进阶!R141</f>
        <v>0</v>
      </c>
      <c r="T144" s="29">
        <f>武将进阶!S141</f>
        <v>0</v>
      </c>
      <c r="U144" s="29">
        <f>武将觉醒!T142</f>
        <v>0</v>
      </c>
      <c r="V144" s="29">
        <f>武将觉醒!U142</f>
        <v>0</v>
      </c>
      <c r="W144" s="29">
        <f>武将觉醒!V142</f>
        <v>0</v>
      </c>
      <c r="X144" s="29">
        <f>武将觉醒!W142</f>
        <v>0</v>
      </c>
      <c r="Y144" s="29">
        <f>武将觉醒!X142</f>
        <v>0</v>
      </c>
      <c r="Z144" s="29"/>
      <c r="AA144" s="29">
        <f>IF(L144="",0,同名需求(L144,武将升星!P141,B$6)+武将升星!U141)</f>
        <v>0</v>
      </c>
      <c r="AB144" s="29">
        <f>IF(M144="",0,同名需求(M144,武将升星!Q141,C$6)+武将升星!V141)</f>
        <v>0</v>
      </c>
      <c r="AC144" s="59">
        <f>IF(N144="",0,同名需求(N144,武将升星!R141,D$6*0.8)+武将升星!W141)</f>
        <v>27.981273209205003</v>
      </c>
      <c r="AD144" s="29">
        <f>IF(O144="",0,同名需求(O144,武将升星!S141,E$6)+武将升星!X141)</f>
        <v>0</v>
      </c>
      <c r="AE144" s="29">
        <f>MAX(U144+P144+IF(K144="",0,K144)*武将升星!O141,Z144)</f>
        <v>0</v>
      </c>
      <c r="AF144" s="29">
        <f>MAX(V144+Q144+IF(L144="",0,L144)*武将升星!P141,AA144)</f>
        <v>0</v>
      </c>
      <c r="AG144" s="29">
        <f>MAX(W144+R144+IF(M144="",0,M144)*武将升星!Q141,AB144)</f>
        <v>21.347439134886294</v>
      </c>
      <c r="AH144" s="29">
        <f>MAX(X144+S144+IF(N144="",0,N144)*武将升星!R141,AC144)</f>
        <v>27.981273209205003</v>
      </c>
      <c r="AI144" s="45">
        <f t="shared" si="143"/>
        <v>0</v>
      </c>
      <c r="AJ144" s="29">
        <f t="shared" si="144"/>
        <v>67155.05570209201</v>
      </c>
      <c r="AK144" s="14" t="e">
        <f>AJ144/求节点('[1]资源-钻石'!$K$4:$K$113,'[1]资源-钻石'!$O$4:$O$113,J144)</f>
        <v>#VALUE!</v>
      </c>
      <c r="AL144" s="16">
        <f t="shared" si="145"/>
        <v>0</v>
      </c>
      <c r="AM144" s="16"/>
      <c r="AP144" s="17">
        <v>6</v>
      </c>
      <c r="AR144" s="16">
        <f t="shared" si="161"/>
        <v>0</v>
      </c>
      <c r="AS144" s="29">
        <f>IF(基础状态预期!C154="","",基础状态预期!C154)</f>
        <v>3</v>
      </c>
      <c r="AT144" s="29">
        <f>求节点(节奏总纲!$S$4:$S$163,其他调用!$F$4:$F$163,$AS144)*求节点($CP$5:$CP$36,$CT$5:$CT$36,AS9)</f>
        <v>105205.09283681998</v>
      </c>
      <c r="AU144" s="37">
        <f t="shared" si="146"/>
        <v>1</v>
      </c>
      <c r="AV144" s="37">
        <f t="shared" si="147"/>
        <v>0</v>
      </c>
      <c r="AW144" s="38">
        <f t="shared" si="148"/>
        <v>0.65833333333333333</v>
      </c>
      <c r="AX144" s="38">
        <f t="shared" si="149"/>
        <v>0.26666666666666666</v>
      </c>
      <c r="AY144" s="38">
        <f t="shared" si="150"/>
        <v>7.4999999999999997E-2</v>
      </c>
      <c r="AZ144" s="38">
        <f t="shared" si="151"/>
        <v>0</v>
      </c>
      <c r="BA144" s="29">
        <f t="shared" ref="BA144:BA157" si="166">AT144-AT143</f>
        <v>36502.399617069081</v>
      </c>
      <c r="BB144" s="29">
        <f t="shared" si="162"/>
        <v>100.12811006071033</v>
      </c>
      <c r="BC144" s="29">
        <f t="shared" si="152"/>
        <v>40.558221796743425</v>
      </c>
      <c r="BD144" s="29">
        <f t="shared" si="153"/>
        <v>11.406999880334089</v>
      </c>
      <c r="BE144" s="29">
        <f t="shared" si="154"/>
        <v>0</v>
      </c>
      <c r="BF144" s="29">
        <f t="shared" si="163"/>
        <v>24.900000000000002</v>
      </c>
      <c r="BG144" s="29">
        <f t="shared" si="155"/>
        <v>4.5</v>
      </c>
      <c r="BH144" s="29">
        <f t="shared" si="155"/>
        <v>0.60000000000000009</v>
      </c>
      <c r="BI144" s="29">
        <f t="shared" si="155"/>
        <v>0</v>
      </c>
      <c r="BJ144" s="29">
        <f>SUM(BB$142:BB144)+BF144</f>
        <v>313.48341437877701</v>
      </c>
      <c r="BK144" s="29">
        <f>SUM(BC$142:BC144)+BG144</f>
        <v>121.39454759646665</v>
      </c>
      <c r="BL144" s="29">
        <f>SUM(BD$142:BD144)+BH144</f>
        <v>33.47659151150625</v>
      </c>
      <c r="BM144" s="29">
        <f>SUM(BE$142:BE144)+BI144</f>
        <v>0</v>
      </c>
      <c r="BN144" s="29">
        <f>SUM(BT$142:BT144)</f>
        <v>6</v>
      </c>
      <c r="BO144" s="17">
        <f t="shared" si="156"/>
        <v>5.6866093787372334</v>
      </c>
      <c r="BP144" s="17">
        <f t="shared" si="157"/>
        <v>1.1963927181302618</v>
      </c>
      <c r="BQ144" s="17" t="e">
        <f t="shared" si="158"/>
        <v>#DIV/0!</v>
      </c>
      <c r="BR144" s="17">
        <f t="shared" si="164"/>
        <v>105.8040568610698</v>
      </c>
      <c r="BS144" s="17">
        <f t="shared" si="159"/>
        <v>80</v>
      </c>
      <c r="BT144" s="17">
        <f t="shared" si="165"/>
        <v>3</v>
      </c>
      <c r="BV144" s="17">
        <f t="shared" si="160"/>
        <v>33.47659151150625</v>
      </c>
      <c r="BW144" s="17">
        <v>140</v>
      </c>
      <c r="BX144" s="17">
        <f>'[1]资源-钻石'!L143/$B$2*$B$12*10</f>
        <v>136842.86988887147</v>
      </c>
      <c r="BY144" s="17">
        <f>'[1]资源-钻石'!M143/$B$2*$B$12*10</f>
        <v>195629.59079102601</v>
      </c>
      <c r="BZ144" s="17">
        <f>'[1]资源-钻石'!N143/$B$2*$B$12*10</f>
        <v>313601.06508152647</v>
      </c>
      <c r="CA144" s="17">
        <f>'[1]资源-钻石'!O143/$B$2*$B$12*10</f>
        <v>695359.62707830372</v>
      </c>
      <c r="CB144" s="17">
        <f>'[1]资源-钻石'!P143/$B$2*$B$12*10</f>
        <v>939079.34386636992</v>
      </c>
      <c r="CD144" s="17">
        <v>140</v>
      </c>
      <c r="CE144" s="17">
        <f>'[1]资源-钻石'!L143/$B$2*$C$12*10</f>
        <v>55430.023246125158</v>
      </c>
      <c r="CF144" s="17">
        <f>'[1]资源-钻石'!M143/$B$2*$C$12*10</f>
        <v>79242.365890035857</v>
      </c>
      <c r="CG144" s="17">
        <f>'[1]资源-钻石'!N143/$B$2*$C$12*10</f>
        <v>127028.27952669427</v>
      </c>
      <c r="CH144" s="17">
        <f>'[1]资源-钻石'!O143/$B$2*$C$12*10</f>
        <v>281664.65906969266</v>
      </c>
      <c r="CI144" s="17">
        <f>'[1]资源-钻石'!P143/$B$2*$C$12*10</f>
        <v>380386.56966739031</v>
      </c>
    </row>
    <row r="145" spans="8:87" x14ac:dyDescent="0.15">
      <c r="H145" s="17">
        <v>7</v>
      </c>
      <c r="I145" s="29">
        <f>IF(基础状态预期!C155="","",基础状态预期!C155)</f>
        <v>5</v>
      </c>
      <c r="J145" s="29">
        <f>IF(基础状态预期!D155="","",基础状态预期!D155)</f>
        <v>33.672145166817529</v>
      </c>
      <c r="K145" s="29" t="str">
        <f>IF(基础状态预期!F155="","",基础状态预期!F155)</f>
        <v/>
      </c>
      <c r="L145" s="29" t="str">
        <f>IF(基础状态预期!G155="","",基础状态预期!G155)</f>
        <v/>
      </c>
      <c r="M145" s="29" t="str">
        <f>IF(基础状态预期!H155="","",基础状态预期!H155)</f>
        <v/>
      </c>
      <c r="N145" s="29">
        <f>IF(基础状态预期!I155="","",基础状态预期!I155)</f>
        <v>6</v>
      </c>
      <c r="O145" s="29" t="str">
        <f>IF(基础状态预期!J155="","",基础状态预期!J155)</f>
        <v/>
      </c>
      <c r="P145" s="29">
        <f>武将进阶!O142</f>
        <v>0</v>
      </c>
      <c r="Q145" s="29">
        <f>武将进阶!P142</f>
        <v>0</v>
      </c>
      <c r="R145" s="29">
        <f>武将进阶!Q142</f>
        <v>30.48788904021724</v>
      </c>
      <c r="S145" s="29">
        <f>武将进阶!R142</f>
        <v>0</v>
      </c>
      <c r="T145" s="29">
        <f>武将进阶!S142</f>
        <v>0</v>
      </c>
      <c r="U145" s="29">
        <f>武将觉醒!T143</f>
        <v>0</v>
      </c>
      <c r="V145" s="29">
        <f>武将觉醒!U143</f>
        <v>0</v>
      </c>
      <c r="W145" s="29">
        <f>武将觉醒!V143</f>
        <v>0</v>
      </c>
      <c r="X145" s="29">
        <f>武将觉醒!W143</f>
        <v>6</v>
      </c>
      <c r="Y145" s="29">
        <f>武将觉醒!X143</f>
        <v>0</v>
      </c>
      <c r="Z145" s="29"/>
      <c r="AA145" s="29">
        <f>IF(L145="",0,同名需求(L145,武将升星!P142,B$6)+武将升星!U142)</f>
        <v>0</v>
      </c>
      <c r="AB145" s="29">
        <f>IF(M145="",0,同名需求(M145,武将升星!Q142,C$6)+武将升星!V142)</f>
        <v>0</v>
      </c>
      <c r="AC145" s="59">
        <f>IF(N145="",0,同名需求(N145,武将升星!R142,D$6*0.8)+武将升星!W142)</f>
        <v>50.907523665003382</v>
      </c>
      <c r="AD145" s="29">
        <f>IF(O145="",0,同名需求(O145,武将升星!S142,E$6)+武将升星!X142)</f>
        <v>0</v>
      </c>
      <c r="AE145" s="29">
        <f>MAX(U145+P145+IF(K145="",0,K145)*武将升星!O142,Z145)</f>
        <v>0</v>
      </c>
      <c r="AF145" s="29">
        <f>MAX(V145+Q145+IF(L145="",0,L145)*武将升星!P142,AA145)</f>
        <v>0</v>
      </c>
      <c r="AG145" s="29">
        <f>MAX(W145+R145+IF(M145="",0,M145)*武将升星!Q142,AB145)</f>
        <v>30.48788904021724</v>
      </c>
      <c r="AH145" s="29">
        <f>MAX(X145+S145+IF(N145="",0,N145)*武将升星!R142,AC145)</f>
        <v>50.907523665003382</v>
      </c>
      <c r="AI145" s="45">
        <f t="shared" si="143"/>
        <v>0</v>
      </c>
      <c r="AJ145" s="29">
        <f t="shared" si="144"/>
        <v>122178.05679600814</v>
      </c>
      <c r="AK145" s="14" t="e">
        <f>AJ145/求节点('[1]资源-钻石'!$K$4:$K$113,'[1]资源-钻石'!$O$4:$O$113,J145)</f>
        <v>#VALUE!</v>
      </c>
      <c r="AL145" s="16">
        <f t="shared" si="145"/>
        <v>0.11786077121886658</v>
      </c>
      <c r="AM145" s="16"/>
      <c r="AP145" s="17">
        <v>7</v>
      </c>
      <c r="AR145" s="16">
        <f t="shared" si="161"/>
        <v>0</v>
      </c>
      <c r="AS145" s="29">
        <f>IF(基础状态预期!C155="","",基础状态预期!C155)</f>
        <v>5</v>
      </c>
      <c r="AT145" s="29">
        <f>求节点(节奏总纲!$S$4:$S$163,其他调用!$F$4:$F$163,$AS145)*求节点($CP$5:$CP$36,$CT$5:$CT$36,AS10)</f>
        <v>150566.73948206165</v>
      </c>
      <c r="AU145" s="37">
        <f t="shared" si="146"/>
        <v>1</v>
      </c>
      <c r="AV145" s="37">
        <f t="shared" si="147"/>
        <v>0</v>
      </c>
      <c r="AW145" s="38">
        <f t="shared" si="148"/>
        <v>0.65833333333333333</v>
      </c>
      <c r="AX145" s="38">
        <f t="shared" si="149"/>
        <v>0.26666666666666666</v>
      </c>
      <c r="AY145" s="38">
        <f t="shared" si="150"/>
        <v>7.4999999999999997E-2</v>
      </c>
      <c r="AZ145" s="38">
        <f t="shared" si="151"/>
        <v>0</v>
      </c>
      <c r="BA145" s="29">
        <f t="shared" si="166"/>
        <v>45361.646645241664</v>
      </c>
      <c r="BB145" s="29">
        <f t="shared" si="162"/>
        <v>124.42951683937818</v>
      </c>
      <c r="BC145" s="29">
        <f t="shared" si="152"/>
        <v>50.401829605824076</v>
      </c>
      <c r="BD145" s="29">
        <f t="shared" si="153"/>
        <v>14.175514576638021</v>
      </c>
      <c r="BE145" s="29">
        <f t="shared" si="154"/>
        <v>0</v>
      </c>
      <c r="BF145" s="29">
        <f t="shared" si="163"/>
        <v>41.5</v>
      </c>
      <c r="BG145" s="29">
        <f t="shared" si="155"/>
        <v>7.5</v>
      </c>
      <c r="BH145" s="29">
        <f t="shared" si="155"/>
        <v>1</v>
      </c>
      <c r="BI145" s="29">
        <f t="shared" si="155"/>
        <v>0</v>
      </c>
      <c r="BJ145" s="29">
        <f>SUM(BB$142:BB145)+BF145</f>
        <v>454.51293121815525</v>
      </c>
      <c r="BK145" s="29">
        <f>SUM(BC$142:BC145)+BG145</f>
        <v>174.79637720229073</v>
      </c>
      <c r="BL145" s="29">
        <f>SUM(BD$142:BD145)+BH145</f>
        <v>48.052106088144271</v>
      </c>
      <c r="BM145" s="29">
        <f>SUM(BE$142:BE145)+BI145</f>
        <v>0</v>
      </c>
      <c r="BN145" s="29">
        <f>SUM(BT$142:BT145)</f>
        <v>10</v>
      </c>
      <c r="BO145" s="17">
        <f t="shared" si="156"/>
        <v>5.7333053453360776</v>
      </c>
      <c r="BP145" s="17">
        <f t="shared" si="157"/>
        <v>0.94390971370657961</v>
      </c>
      <c r="BQ145" s="17" t="e">
        <f t="shared" si="158"/>
        <v>#DIV/0!</v>
      </c>
      <c r="BR145" s="17">
        <f t="shared" si="164"/>
        <v>98.61227531574275</v>
      </c>
      <c r="BS145" s="17">
        <f t="shared" si="159"/>
        <v>80</v>
      </c>
      <c r="BT145" s="17">
        <f t="shared" si="165"/>
        <v>4</v>
      </c>
      <c r="BV145" s="17">
        <f t="shared" si="160"/>
        <v>48.052106088144271</v>
      </c>
      <c r="BW145" s="17">
        <v>141</v>
      </c>
      <c r="BX145" s="17">
        <f>'[1]资源-钻石'!L144/$B$2*$B$12*10</f>
        <v>146096.94386707418</v>
      </c>
      <c r="BY145" s="17">
        <f>'[1]资源-钻石'!M144/$B$2*$B$12*10</f>
        <v>208525.7543417706</v>
      </c>
      <c r="BZ145" s="17">
        <f>'[1]资源-钻石'!N144/$B$2*$B$12*10</f>
        <v>334450.56677903177</v>
      </c>
      <c r="CA145" s="17">
        <f>'[1]资源-钻石'!O144/$B$2*$B$12*10</f>
        <v>743984.53328277869</v>
      </c>
      <c r="CB145" s="17">
        <f>'[1]资源-钻石'!P144/$B$2*$B$12*10</f>
        <v>1005306.1116224412</v>
      </c>
      <c r="CD145" s="17">
        <v>141</v>
      </c>
      <c r="CE145" s="17">
        <f>'[1]资源-钻石'!L144/$B$2*$C$12*10</f>
        <v>59178.508908181946</v>
      </c>
      <c r="CF145" s="17">
        <f>'[1]资源-钻石'!M144/$B$2*$C$12*10</f>
        <v>84466.128340970376</v>
      </c>
      <c r="CG145" s="17">
        <f>'[1]资源-钻石'!N144/$B$2*$C$12*10</f>
        <v>135473.64730289896</v>
      </c>
      <c r="CH145" s="17">
        <f>'[1]资源-钻石'!O144/$B$2*$C$12*10</f>
        <v>301360.82360821421</v>
      </c>
      <c r="CI145" s="17">
        <f>'[1]资源-钻石'!P144/$B$2*$C$12*10</f>
        <v>407212.60217617871</v>
      </c>
    </row>
    <row r="146" spans="8:87" x14ac:dyDescent="0.15">
      <c r="H146" s="16">
        <v>8</v>
      </c>
      <c r="I146" s="29">
        <f>IF(基础状态预期!C156="","",基础状态预期!C156)</f>
        <v>7.5</v>
      </c>
      <c r="J146" s="29">
        <f>IF(基础状态预期!D156="","",基础状态预期!D156)</f>
        <v>39.138098927718012</v>
      </c>
      <c r="K146" s="29" t="str">
        <f>IF(基础状态预期!F156="","",基础状态预期!F156)</f>
        <v/>
      </c>
      <c r="L146" s="29" t="str">
        <f>IF(基础状态预期!G156="","",基础状态预期!G156)</f>
        <v/>
      </c>
      <c r="M146" s="29" t="str">
        <f>IF(基础状态预期!H156="","",基础状态预期!H156)</f>
        <v/>
      </c>
      <c r="N146" s="29">
        <f>IF(基础状态预期!I156="","",基础状态预期!I156)</f>
        <v>6</v>
      </c>
      <c r="O146" s="29" t="str">
        <f>IF(基础状态预期!J156="","",基础状态预期!J156)</f>
        <v/>
      </c>
      <c r="P146" s="29">
        <f>武将进阶!O143</f>
        <v>0</v>
      </c>
      <c r="Q146" s="29">
        <f>武将进阶!P143</f>
        <v>0</v>
      </c>
      <c r="R146" s="29">
        <f>武将进阶!Q143</f>
        <v>38.358862455913936</v>
      </c>
      <c r="S146" s="29">
        <f>武将进阶!R143</f>
        <v>0</v>
      </c>
      <c r="T146" s="29">
        <f>武将进阶!S143</f>
        <v>0</v>
      </c>
      <c r="U146" s="29">
        <f>武将觉醒!T144</f>
        <v>0</v>
      </c>
      <c r="V146" s="29">
        <f>武将觉醒!U144</f>
        <v>0</v>
      </c>
      <c r="W146" s="29">
        <f>武将觉醒!V144</f>
        <v>0</v>
      </c>
      <c r="X146" s="29">
        <f>武将觉醒!W144</f>
        <v>6</v>
      </c>
      <c r="Y146" s="29">
        <f>武将觉醒!X144</f>
        <v>0</v>
      </c>
      <c r="Z146" s="29"/>
      <c r="AA146" s="29">
        <f>IF(L146="",0,同名需求(L146,武将升星!P143,B$6)+武将升星!U143)</f>
        <v>0</v>
      </c>
      <c r="AB146" s="29">
        <f>IF(M146="",0,同名需求(M146,武将升星!Q143,C$6)+武将升星!V143)</f>
        <v>0</v>
      </c>
      <c r="AC146" s="59">
        <f>IF(N146="",0,同名需求(N146,武将升星!R143,D$6*0.8)+武将升星!W143)</f>
        <v>81.862082724387477</v>
      </c>
      <c r="AD146" s="29">
        <f>IF(O146="",0,同名需求(O146,武将升星!S143,E$6)+武将升星!X143)</f>
        <v>0</v>
      </c>
      <c r="AE146" s="29">
        <f>MAX(U146+P146+IF(K146="",0,K146)*武将升星!O143,Z146)</f>
        <v>0</v>
      </c>
      <c r="AF146" s="29">
        <f>MAX(V146+Q146+IF(L146="",0,L146)*武将升星!P143,AA146)</f>
        <v>0</v>
      </c>
      <c r="AG146" s="29">
        <f>MAX(W146+R146+IF(M146="",0,M146)*武将升星!Q143,AB146)</f>
        <v>38.358862455913936</v>
      </c>
      <c r="AH146" s="29">
        <f>MAX(X146+S146+IF(N146="",0,N146)*武将升星!R143,AC146)</f>
        <v>81.862082724387477</v>
      </c>
      <c r="AI146" s="45">
        <f t="shared" si="143"/>
        <v>0</v>
      </c>
      <c r="AJ146" s="29">
        <f t="shared" si="144"/>
        <v>196468.99853852997</v>
      </c>
      <c r="AK146" s="14" t="e">
        <f>AJ146/求节点('[1]资源-钻石'!$K$4:$K$113,'[1]资源-钻石'!$O$4:$O$113,J146)</f>
        <v>#VALUE!</v>
      </c>
      <c r="AL146" s="16">
        <f t="shared" si="145"/>
        <v>7.3294006215316385E-2</v>
      </c>
      <c r="AM146" s="16"/>
      <c r="AP146" s="17">
        <v>8</v>
      </c>
      <c r="AR146" s="16">
        <f t="shared" si="161"/>
        <v>0</v>
      </c>
      <c r="AS146" s="29">
        <f>IF(基础状态预期!C156="","",基础状态预期!C156)</f>
        <v>7.5</v>
      </c>
      <c r="AT146" s="29">
        <f>求节点(节奏总纲!$S$4:$S$163,其他调用!$F$4:$F$163,$AS146)*求节点($CP$5:$CP$36,$CT$5:$CT$36,AS11)</f>
        <v>202648.33089754995</v>
      </c>
      <c r="AU146" s="37">
        <f t="shared" si="146"/>
        <v>1</v>
      </c>
      <c r="AV146" s="37">
        <f t="shared" si="147"/>
        <v>0</v>
      </c>
      <c r="AW146" s="38">
        <f t="shared" si="148"/>
        <v>0.65833333333333333</v>
      </c>
      <c r="AX146" s="38">
        <f t="shared" si="149"/>
        <v>0.26666666666666666</v>
      </c>
      <c r="AY146" s="38">
        <f t="shared" si="150"/>
        <v>7.4999999999999997E-2</v>
      </c>
      <c r="AZ146" s="38">
        <f t="shared" si="151"/>
        <v>0</v>
      </c>
      <c r="BA146" s="29">
        <f t="shared" si="166"/>
        <v>52081.591415488307</v>
      </c>
      <c r="BB146" s="29">
        <f t="shared" si="162"/>
        <v>142.86269867442974</v>
      </c>
      <c r="BC146" s="29">
        <f t="shared" si="152"/>
        <v>57.868434906098116</v>
      </c>
      <c r="BD146" s="29">
        <f t="shared" si="153"/>
        <v>16.275497317340097</v>
      </c>
      <c r="BE146" s="29">
        <f t="shared" si="154"/>
        <v>0</v>
      </c>
      <c r="BF146" s="29">
        <f t="shared" si="163"/>
        <v>62.250000000000007</v>
      </c>
      <c r="BG146" s="29">
        <f t="shared" si="155"/>
        <v>11.25</v>
      </c>
      <c r="BH146" s="29">
        <f t="shared" si="155"/>
        <v>1.5</v>
      </c>
      <c r="BI146" s="29">
        <f t="shared" si="155"/>
        <v>0</v>
      </c>
      <c r="BJ146" s="29">
        <f>SUM(BB$142:BB146)+BF146</f>
        <v>618.12562989258504</v>
      </c>
      <c r="BK146" s="29">
        <f>SUM(BC$142:BC146)+BG146</f>
        <v>236.41481210838884</v>
      </c>
      <c r="BL146" s="29">
        <f>SUM(BD$142:BD146)+BH146</f>
        <v>64.827603405484368</v>
      </c>
      <c r="BM146" s="29">
        <f>SUM(BE$142:BE146)+BI146</f>
        <v>0</v>
      </c>
      <c r="BN146" s="29">
        <f>SUM(BT$142:BT146)</f>
        <v>15</v>
      </c>
      <c r="BO146" s="17">
        <f t="shared" si="156"/>
        <v>6.163238348897905</v>
      </c>
      <c r="BP146" s="17">
        <f t="shared" si="157"/>
        <v>0.79191246115427283</v>
      </c>
      <c r="BQ146" s="17" t="e">
        <f t="shared" si="158"/>
        <v>#DIV/0!</v>
      </c>
      <c r="BR146" s="17">
        <f t="shared" si="164"/>
        <v>90.576680722588364</v>
      </c>
      <c r="BS146" s="17">
        <f t="shared" si="159"/>
        <v>80</v>
      </c>
      <c r="BT146" s="17">
        <f t="shared" si="165"/>
        <v>5</v>
      </c>
      <c r="BV146" s="17">
        <f t="shared" si="160"/>
        <v>64.827603405484368</v>
      </c>
      <c r="BW146" s="17">
        <v>142</v>
      </c>
      <c r="BX146" s="17">
        <f>'[1]资源-钻石'!L145/$B$2*$B$12*10</f>
        <v>156015.21477725983</v>
      </c>
      <c r="BY146" s="17">
        <f>'[1]资源-钻石'!M145/$B$2*$B$12*10</f>
        <v>222867.67360964959</v>
      </c>
      <c r="BZ146" s="17">
        <f>'[1]资源-钻石'!N145/$B$2*$B$12*10</f>
        <v>358648.68630443187</v>
      </c>
      <c r="CA146" s="17">
        <f>'[1]资源-钻石'!O145/$B$2*$B$12*10</f>
        <v>798691.24025214883</v>
      </c>
      <c r="CB146" s="17">
        <f>'[1]资源-钻石'!P145/$B$2*$B$12*10</f>
        <v>1079582.5827380389</v>
      </c>
      <c r="CD146" s="17">
        <v>142</v>
      </c>
      <c r="CE146" s="17">
        <f>'[1]资源-钻石'!L145/$B$2*$C$12*10</f>
        <v>63196.036365472333</v>
      </c>
      <c r="CF146" s="17">
        <f>'[1]资源-钻石'!M145/$B$2*$C$12*10</f>
        <v>90275.513360870711</v>
      </c>
      <c r="CG146" s="17">
        <f>'[1]资源-钻石'!N145/$B$2*$C$12*10</f>
        <v>145275.41723723823</v>
      </c>
      <c r="CH146" s="17">
        <f>'[1]资源-钻石'!O145/$B$2*$C$12*10</f>
        <v>323520.5023806172</v>
      </c>
      <c r="CI146" s="17">
        <f>'[1]资源-钻石'!P145/$B$2*$C$12*10</f>
        <v>437299.27402047144</v>
      </c>
    </row>
    <row r="147" spans="8:87" x14ac:dyDescent="0.15">
      <c r="H147" s="17">
        <v>9</v>
      </c>
      <c r="I147" s="29">
        <f>IF(基础状态预期!C157="","",基础状态预期!C157)</f>
        <v>10</v>
      </c>
      <c r="J147" s="29">
        <f>IF(基础状态预期!D157="","",基础状态预期!D157)</f>
        <v>42.970748198558951</v>
      </c>
      <c r="K147" s="29" t="str">
        <f>IF(基础状态预期!F157="","",基础状态预期!F157)</f>
        <v/>
      </c>
      <c r="L147" s="29" t="str">
        <f>IF(基础状态预期!G157="","",基础状态预期!G157)</f>
        <v/>
      </c>
      <c r="M147" s="29" t="str">
        <f>IF(基础状态预期!H157="","",基础状态预期!H157)</f>
        <v/>
      </c>
      <c r="N147" s="29">
        <f>IF(基础状态预期!I157="","",基础状态预期!I157)</f>
        <v>6</v>
      </c>
      <c r="O147" s="29" t="str">
        <f>IF(基础状态预期!J157="","",基础状态预期!J157)</f>
        <v/>
      </c>
      <c r="P147" s="29">
        <f>武将进阶!O144</f>
        <v>0</v>
      </c>
      <c r="Q147" s="29">
        <f>武将进阶!P144</f>
        <v>0</v>
      </c>
      <c r="R147" s="29">
        <f>武将进阶!Q144</f>
        <v>43.877877405924892</v>
      </c>
      <c r="S147" s="29">
        <f>武将进阶!R144</f>
        <v>0</v>
      </c>
      <c r="T147" s="29">
        <f>武将进阶!S144</f>
        <v>0</v>
      </c>
      <c r="U147" s="29">
        <f>武将觉醒!T145</f>
        <v>0</v>
      </c>
      <c r="V147" s="29">
        <f>武将觉醒!U145</f>
        <v>0</v>
      </c>
      <c r="W147" s="29">
        <f>武将觉醒!V145</f>
        <v>0</v>
      </c>
      <c r="X147" s="29">
        <f>武将觉醒!W145</f>
        <v>6</v>
      </c>
      <c r="Y147" s="29">
        <f>武将觉醒!X145</f>
        <v>0</v>
      </c>
      <c r="Z147" s="29"/>
      <c r="AA147" s="29">
        <f>IF(L147="",0,同名需求(L147,武将升星!P144,B$6)+武将升星!U144)</f>
        <v>0</v>
      </c>
      <c r="AB147" s="29">
        <f>IF(M147="",0,同名需求(M147,武将升星!Q144,C$6)+武将升星!V144)</f>
        <v>0</v>
      </c>
      <c r="AC147" s="59">
        <f>IF(N147="",0,同名需求(N147,武将升星!R144,D$6*0.8)+武将升星!W144)</f>
        <v>105.37501175603987</v>
      </c>
      <c r="AD147" s="29">
        <f>IF(O147="",0,同名需求(O147,武将升星!S144,E$6)+武将升星!X144)</f>
        <v>0</v>
      </c>
      <c r="AE147" s="29">
        <f>MAX(U147+P147+IF(K147="",0,K147)*武将升星!O144,Z147)</f>
        <v>0</v>
      </c>
      <c r="AF147" s="29">
        <f>MAX(V147+Q147+IF(L147="",0,L147)*武将升星!P144,AA147)</f>
        <v>0</v>
      </c>
      <c r="AG147" s="29">
        <f>MAX(W147+R147+IF(M147="",0,M147)*武将升星!Q144,AB147)</f>
        <v>43.877877405924892</v>
      </c>
      <c r="AH147" s="29">
        <f>MAX(X147+S147+IF(N147="",0,N147)*武将升星!R144,AC147)</f>
        <v>105.37501175603987</v>
      </c>
      <c r="AI147" s="45">
        <f t="shared" si="143"/>
        <v>0</v>
      </c>
      <c r="AJ147" s="29">
        <f t="shared" si="144"/>
        <v>252900.02821449569</v>
      </c>
      <c r="AK147" s="14" t="e">
        <f>AJ147/求节点('[1]资源-钻石'!$K$4:$K$113,'[1]资源-钻石'!$O$4:$O$113,J147)</f>
        <v>#VALUE!</v>
      </c>
      <c r="AL147" s="16">
        <f t="shared" si="145"/>
        <v>5.6939495426970549E-2</v>
      </c>
      <c r="AM147" s="16"/>
      <c r="AP147" s="17">
        <v>9</v>
      </c>
      <c r="AR147" s="16">
        <f t="shared" si="161"/>
        <v>0</v>
      </c>
      <c r="AS147" s="29">
        <f>IF(基础状态预期!C157="","",基础状态预期!C157)</f>
        <v>10</v>
      </c>
      <c r="AT147" s="29">
        <f>求节点(节奏总纲!$S$4:$S$163,其他调用!$F$4:$F$163,$AS147)*求节点($CP$5:$CP$36,$CT$5:$CT$36,AS12)</f>
        <v>246642.59581297101</v>
      </c>
      <c r="AU147" s="37">
        <f t="shared" si="146"/>
        <v>1</v>
      </c>
      <c r="AV147" s="37">
        <f t="shared" si="147"/>
        <v>0</v>
      </c>
      <c r="AW147" s="38">
        <f t="shared" si="148"/>
        <v>0.65833333333333333</v>
      </c>
      <c r="AX147" s="38">
        <f t="shared" si="149"/>
        <v>0.26666666666666666</v>
      </c>
      <c r="AY147" s="38">
        <f t="shared" si="150"/>
        <v>7.4999999999999997E-2</v>
      </c>
      <c r="AZ147" s="38">
        <f t="shared" si="151"/>
        <v>0</v>
      </c>
      <c r="BA147" s="29">
        <f t="shared" si="166"/>
        <v>43994.264915421052</v>
      </c>
      <c r="BB147" s="29">
        <f t="shared" si="162"/>
        <v>120.67871278882858</v>
      </c>
      <c r="BC147" s="29">
        <f t="shared" si="152"/>
        <v>48.882516572690058</v>
      </c>
      <c r="BD147" s="29">
        <f t="shared" si="153"/>
        <v>13.748207786069079</v>
      </c>
      <c r="BE147" s="29">
        <f t="shared" si="154"/>
        <v>0</v>
      </c>
      <c r="BF147" s="29">
        <f t="shared" si="163"/>
        <v>83</v>
      </c>
      <c r="BG147" s="29">
        <f t="shared" si="155"/>
        <v>15</v>
      </c>
      <c r="BH147" s="29">
        <f t="shared" si="155"/>
        <v>2</v>
      </c>
      <c r="BI147" s="29">
        <f t="shared" si="155"/>
        <v>0</v>
      </c>
      <c r="BJ147" s="29">
        <f>SUM(BB$142:BB147)+BF147</f>
        <v>759.55434268141357</v>
      </c>
      <c r="BK147" s="29">
        <f>SUM(BC$142:BC147)+BG147</f>
        <v>289.04732868107891</v>
      </c>
      <c r="BL147" s="29">
        <f>SUM(BD$142:BD147)+BH147</f>
        <v>79.075811191553441</v>
      </c>
      <c r="BM147" s="29">
        <f>SUM(BE$142:BE147)+BI147</f>
        <v>0</v>
      </c>
      <c r="BN147" s="29">
        <f>SUM(BT$142:BT147)</f>
        <v>19.781985316893593</v>
      </c>
      <c r="BO147" s="17">
        <f t="shared" si="156"/>
        <v>6.5875412797896287</v>
      </c>
      <c r="BP147" s="17">
        <f t="shared" si="157"/>
        <v>0.75042279828757397</v>
      </c>
      <c r="BQ147" s="17" t="e">
        <f t="shared" si="158"/>
        <v>#DIV/0!</v>
      </c>
      <c r="BR147" s="17">
        <f t="shared" si="164"/>
        <v>76.511765070297486</v>
      </c>
      <c r="BS147" s="17">
        <f t="shared" si="159"/>
        <v>80</v>
      </c>
      <c r="BT147" s="17">
        <f t="shared" si="165"/>
        <v>4.7819853168935929</v>
      </c>
      <c r="BV147" s="17">
        <f t="shared" si="160"/>
        <v>79.075811191553441</v>
      </c>
      <c r="BW147" s="17">
        <v>143</v>
      </c>
      <c r="BX147" s="17">
        <f>'[1]资源-钻石'!L146/$B$2*$B$12*10</f>
        <v>166645.35433304249</v>
      </c>
      <c r="BY147" s="17">
        <f>'[1]资源-钻石'!M146/$B$2*$B$12*10</f>
        <v>238510.55581403465</v>
      </c>
      <c r="BZ147" s="17">
        <f>'[1]资源-钻石'!N146/$B$2*$B$12*10</f>
        <v>384202.24251226085</v>
      </c>
      <c r="CA147" s="17">
        <f>'[1]资源-钻石'!O146/$B$2*$B$12*10</f>
        <v>857277.74895513884</v>
      </c>
      <c r="CB147" s="17">
        <f>'[1]资源-钻石'!P146/$B$2*$B$12*10</f>
        <v>1160268.9051497832</v>
      </c>
      <c r="CD147" s="17">
        <v>143</v>
      </c>
      <c r="CE147" s="17">
        <f>'[1]资源-钻石'!L146/$B$2*$C$12*10</f>
        <v>67501.915679207086</v>
      </c>
      <c r="CF147" s="17">
        <f>'[1]资源-钻石'!M146/$B$2*$C$12*10</f>
        <v>96611.870709482406</v>
      </c>
      <c r="CG147" s="17">
        <f>'[1]资源-钻石'!N146/$B$2*$C$12*10</f>
        <v>155626.22481509301</v>
      </c>
      <c r="CH147" s="17">
        <f>'[1]资源-钻石'!O146/$B$2*$C$12*10</f>
        <v>347251.74641220807</v>
      </c>
      <c r="CI147" s="17">
        <f>'[1]资源-钻石'!P146/$B$2*$C$12*10</f>
        <v>469982.34132649447</v>
      </c>
    </row>
    <row r="148" spans="8:87" x14ac:dyDescent="0.15">
      <c r="H148" s="16">
        <v>10</v>
      </c>
      <c r="I148" s="29">
        <f>IF(基础状态预期!C158="","",基础状态预期!C158)</f>
        <v>15</v>
      </c>
      <c r="J148" s="29">
        <f>IF(基础状态预期!D158="","",基础状态预期!D158)</f>
        <v>48.731413734867289</v>
      </c>
      <c r="K148" s="29" t="str">
        <f>IF(基础状态预期!F158="","",基础状态预期!F158)</f>
        <v/>
      </c>
      <c r="L148" s="29" t="str">
        <f>IF(基础状态预期!G158="","",基础状态预期!G158)</f>
        <v/>
      </c>
      <c r="M148" s="29" t="str">
        <f>IF(基础状态预期!H158="","",基础状态预期!H158)</f>
        <v/>
      </c>
      <c r="N148" s="29">
        <f>IF(基础状态预期!I158="","",基础状态预期!I158)</f>
        <v>6</v>
      </c>
      <c r="O148" s="29" t="str">
        <f>IF(基础状态预期!J158="","",基础状态预期!J158)</f>
        <v/>
      </c>
      <c r="P148" s="29">
        <f>武将进阶!O145</f>
        <v>0</v>
      </c>
      <c r="Q148" s="29">
        <f>武将进阶!P145</f>
        <v>0</v>
      </c>
      <c r="R148" s="29">
        <f>武将进阶!Q145</f>
        <v>52.173235778208898</v>
      </c>
      <c r="S148" s="29">
        <f>武将进阶!R145</f>
        <v>0</v>
      </c>
      <c r="T148" s="29">
        <f>武将进阶!S145</f>
        <v>0</v>
      </c>
      <c r="U148" s="29">
        <f>武将觉醒!T146</f>
        <v>0</v>
      </c>
      <c r="V148" s="29">
        <f>武将觉醒!U146</f>
        <v>0</v>
      </c>
      <c r="W148" s="29">
        <f>武将觉醒!V146</f>
        <v>0</v>
      </c>
      <c r="X148" s="29">
        <f>武将觉醒!W146</f>
        <v>6</v>
      </c>
      <c r="Y148" s="29">
        <f>武将觉醒!X146</f>
        <v>0</v>
      </c>
      <c r="Z148" s="29"/>
      <c r="AA148" s="29">
        <f>IF(L148="",0,同名需求(L148,武将升星!P145,B$6)+武将升星!U145)</f>
        <v>0</v>
      </c>
      <c r="AB148" s="29">
        <f>IF(M148="",0,同名需求(M148,武将升星!Q145,C$6)+武将升星!V145)</f>
        <v>0</v>
      </c>
      <c r="AC148" s="59">
        <f>IF(N148="",0,同名需求(N148,武将升星!R145,D$6*0.8)+武将升星!W145)</f>
        <v>155.98171451068109</v>
      </c>
      <c r="AD148" s="29">
        <f>IF(O148="",0,同名需求(O148,武将升星!S145,E$6)+武将升星!X145)</f>
        <v>0</v>
      </c>
      <c r="AE148" s="29">
        <f>MAX(U148+P148+IF(K148="",0,K148)*武将升星!O145,Z148)</f>
        <v>0</v>
      </c>
      <c r="AF148" s="29">
        <f>MAX(V148+Q148+IF(L148="",0,L148)*武将升星!P145,AA148)</f>
        <v>0</v>
      </c>
      <c r="AG148" s="29">
        <f>MAX(W148+R148+IF(M148="",0,M148)*武将升星!Q145,AB148)</f>
        <v>52.173235778208898</v>
      </c>
      <c r="AH148" s="29">
        <f>MAX(X148+S148+IF(N148="",0,N148)*武将升星!R145,AC148)</f>
        <v>155.98171451068109</v>
      </c>
      <c r="AI148" s="45">
        <f t="shared" si="143"/>
        <v>0</v>
      </c>
      <c r="AJ148" s="29">
        <f t="shared" si="144"/>
        <v>374356.11482563458</v>
      </c>
      <c r="AK148" s="14" t="e">
        <f>AJ148/求节点('[1]资源-钻石'!$K$4:$K$113,'[1]资源-钻石'!$O$4:$O$113,J148)</f>
        <v>#VALUE!</v>
      </c>
      <c r="AL148" s="16">
        <f t="shared" si="145"/>
        <v>3.8466047246769691E-2</v>
      </c>
      <c r="AM148" s="16"/>
      <c r="AP148" s="17">
        <v>10</v>
      </c>
      <c r="AR148" s="16">
        <f t="shared" si="161"/>
        <v>7.0932317178296849</v>
      </c>
      <c r="AS148" s="29">
        <f>IF(基础状态预期!C158="","",基础状态预期!C158)</f>
        <v>15</v>
      </c>
      <c r="AT148" s="29">
        <f>求节点(节奏总纲!$S$4:$S$163,其他调用!$F$4:$F$163,$AS148)*求节点($CP$5:$CP$36,$CT$5:$CT$36,AS13)</f>
        <v>328214.76056801237</v>
      </c>
      <c r="AU148" s="37">
        <f t="shared" si="146"/>
        <v>0.9</v>
      </c>
      <c r="AV148" s="37">
        <f t="shared" si="147"/>
        <v>0.1</v>
      </c>
      <c r="AW148" s="38">
        <f t="shared" si="148"/>
        <v>0.64183333333333337</v>
      </c>
      <c r="AX148" s="38">
        <f t="shared" si="149"/>
        <v>0.26666666666666666</v>
      </c>
      <c r="AY148" s="38">
        <f t="shared" si="150"/>
        <v>7.1500000000000008E-2</v>
      </c>
      <c r="AZ148" s="38">
        <f t="shared" si="151"/>
        <v>2E-3</v>
      </c>
      <c r="BA148" s="29">
        <f t="shared" si="166"/>
        <v>81572.164755041362</v>
      </c>
      <c r="BB148" s="29">
        <f t="shared" si="162"/>
        <v>218.14889338310022</v>
      </c>
      <c r="BC148" s="29">
        <f t="shared" si="152"/>
        <v>90.635738616712629</v>
      </c>
      <c r="BD148" s="29">
        <f t="shared" si="153"/>
        <v>24.301707416606078</v>
      </c>
      <c r="BE148" s="29">
        <f t="shared" si="154"/>
        <v>0.67976803962534471</v>
      </c>
      <c r="BF148" s="29">
        <f t="shared" si="163"/>
        <v>124.50000000000001</v>
      </c>
      <c r="BG148" s="29">
        <f t="shared" si="155"/>
        <v>22.5</v>
      </c>
      <c r="BH148" s="29">
        <f t="shared" si="155"/>
        <v>3</v>
      </c>
      <c r="BI148" s="29">
        <f t="shared" si="155"/>
        <v>0</v>
      </c>
      <c r="BJ148" s="29">
        <f>SUM(BB$142:BB148)+BF148</f>
        <v>1019.2032360645138</v>
      </c>
      <c r="BK148" s="29">
        <f>SUM(BC$142:BC148)+BG148</f>
        <v>387.18306729779152</v>
      </c>
      <c r="BL148" s="29">
        <f>SUM(BD$142:BD148)+BH148</f>
        <v>104.37751860815952</v>
      </c>
      <c r="BM148" s="29">
        <f>SUM(BE$142:BE148)+BI148</f>
        <v>0.67976803962534471</v>
      </c>
      <c r="BN148" s="29">
        <f>SUM(BT$142:BT148)</f>
        <v>27.761870999451986</v>
      </c>
      <c r="BO148" s="17">
        <f t="shared" si="156"/>
        <v>7.4211051226289015</v>
      </c>
      <c r="BP148" s="17">
        <f t="shared" si="157"/>
        <v>0.66916509371367439</v>
      </c>
      <c r="BQ148" s="17" t="e">
        <f t="shared" si="158"/>
        <v>#DIV/0!</v>
      </c>
      <c r="BR148" s="17">
        <f t="shared" si="164"/>
        <v>63.83908546046716</v>
      </c>
      <c r="BS148" s="17">
        <f t="shared" si="159"/>
        <v>80</v>
      </c>
      <c r="BT148" s="17">
        <f t="shared" si="165"/>
        <v>7.979885682558395</v>
      </c>
      <c r="BV148" s="17">
        <f t="shared" si="160"/>
        <v>104.37751860815952</v>
      </c>
      <c r="BW148" s="17">
        <v>144</v>
      </c>
      <c r="BX148" s="17">
        <f>'[1]资源-钻石'!L147/$B$2*$B$12*10</f>
        <v>178038.45581198737</v>
      </c>
      <c r="BY148" s="17">
        <f>'[1]资源-钻石'!M147/$B$2*$B$12*10</f>
        <v>255004.58907348398</v>
      </c>
      <c r="BZ148" s="17">
        <f>'[1]资源-钻石'!N147/$B$2*$B$12*10</f>
        <v>411506.63609472249</v>
      </c>
      <c r="CA148" s="17">
        <f>'[1]资源-钻石'!O147/$B$2*$B$12*10</f>
        <v>919816.38997638936</v>
      </c>
      <c r="CB148" s="17">
        <f>'[1]资源-钻石'!P147/$B$2*$B$12*10</f>
        <v>1240746.3236602719</v>
      </c>
      <c r="CD148" s="17">
        <v>144</v>
      </c>
      <c r="CE148" s="17">
        <f>'[1]资源-钻石'!L147/$B$2*$C$12*10</f>
        <v>72116.842860551857</v>
      </c>
      <c r="CF148" s="17">
        <f>'[1]资源-钻石'!M147/$B$2*$C$12*10</f>
        <v>103292.99810571503</v>
      </c>
      <c r="CG148" s="17">
        <f>'[1]资源-钻石'!N147/$B$2*$C$12*10</f>
        <v>166686.23234216607</v>
      </c>
      <c r="CH148" s="17">
        <f>'[1]资源-钻石'!O147/$B$2*$C$12*10</f>
        <v>372583.85416765139</v>
      </c>
      <c r="CI148" s="17">
        <f>'[1]资源-钻石'!P147/$B$2*$C$12*10</f>
        <v>502580.78933074302</v>
      </c>
    </row>
    <row r="149" spans="8:87" x14ac:dyDescent="0.15">
      <c r="H149" s="17">
        <v>11</v>
      </c>
      <c r="I149" s="29">
        <f>IF(基础状态预期!C159="","",基础状态预期!C159)</f>
        <v>20</v>
      </c>
      <c r="J149" s="29">
        <f>IF(基础状态预期!D159="","",基础状态预期!D159)</f>
        <v>52.769987980532711</v>
      </c>
      <c r="K149" s="29" t="str">
        <f>IF(基础状态预期!F159="","",基础状态预期!F159)</f>
        <v/>
      </c>
      <c r="L149" s="29" t="str">
        <f>IF(基础状态预期!G159="","",基础状态预期!G159)</f>
        <v/>
      </c>
      <c r="M149" s="29" t="str">
        <f>IF(基础状态预期!H159="","",基础状态预期!H159)</f>
        <v/>
      </c>
      <c r="N149" s="29">
        <f>IF(基础状态预期!I159="","",基础状态预期!I159)</f>
        <v>5</v>
      </c>
      <c r="O149" s="29">
        <f>IF(基础状态预期!J159="","",基础状态预期!J159)</f>
        <v>1</v>
      </c>
      <c r="P149" s="29">
        <f>武将进阶!O146</f>
        <v>0</v>
      </c>
      <c r="Q149" s="29">
        <f>武将进阶!P146</f>
        <v>0</v>
      </c>
      <c r="R149" s="29">
        <f>武将进阶!Q146</f>
        <v>51.647971153278498</v>
      </c>
      <c r="S149" s="29">
        <f>武将进阶!R146</f>
        <v>10.994391345983548</v>
      </c>
      <c r="T149" s="29">
        <f>武将进阶!S146</f>
        <v>0</v>
      </c>
      <c r="U149" s="29">
        <f>武将觉醒!T147</f>
        <v>0</v>
      </c>
      <c r="V149" s="29">
        <f>武将觉醒!U147</f>
        <v>0</v>
      </c>
      <c r="W149" s="29">
        <f>武将觉醒!V147</f>
        <v>0</v>
      </c>
      <c r="X149" s="29">
        <f>武将觉醒!W147</f>
        <v>8</v>
      </c>
      <c r="Y149" s="29">
        <f>武将觉醒!X147</f>
        <v>0</v>
      </c>
      <c r="Z149" s="29"/>
      <c r="AA149" s="29">
        <f>IF(L149="",0,同名需求(L149,武将升星!P146,B$6)+武将升星!U146)</f>
        <v>0</v>
      </c>
      <c r="AB149" s="29">
        <f>IF(M149="",0,同名需求(M149,武将升星!Q146,C$6)+武将升星!V146)</f>
        <v>0</v>
      </c>
      <c r="AC149" s="59">
        <f>IF(N149="",0,同名需求(N149,武将升星!R146,D$6*0.8)+武将升星!W146)</f>
        <v>186.55525616245887</v>
      </c>
      <c r="AD149" s="29">
        <f>IF(O149="",0,同名需求(O149,武将升星!S146,E$6)+武将升星!X146)</f>
        <v>1.8701585483451084</v>
      </c>
      <c r="AE149" s="29">
        <f>MAX(U149+P149+IF(K149="",0,K149)*武将升星!O146,Z149)</f>
        <v>0</v>
      </c>
      <c r="AF149" s="29">
        <f>MAX(V149+Q149+IF(L149="",0,L149)*武将升星!P146,AA149)</f>
        <v>0</v>
      </c>
      <c r="AG149" s="29">
        <f>MAX(W149+R149+IF(M149="",0,M149)*武将升星!Q146,AB149)</f>
        <v>51.647971153278498</v>
      </c>
      <c r="AH149" s="29">
        <f>MAX(X149+S149+IF(N149="",0,N149)*武将升星!R146,AC149)</f>
        <v>186.55525616245887</v>
      </c>
      <c r="AI149" s="45">
        <f t="shared" si="143"/>
        <v>1.8701585483451084</v>
      </c>
      <c r="AJ149" s="29">
        <f t="shared" si="144"/>
        <v>455587.28069295082</v>
      </c>
      <c r="AK149" s="14" t="e">
        <f>AJ149/求节点('[1]资源-钻石'!$K$4:$K$113,'[1]资源-钻石'!$O$4:$O$113,J149)</f>
        <v>#VALUE!</v>
      </c>
      <c r="AL149" s="16">
        <f t="shared" si="145"/>
        <v>4.2882737075139385E-2</v>
      </c>
      <c r="AM149" s="16"/>
      <c r="AP149" s="17">
        <v>11</v>
      </c>
      <c r="AR149" s="16">
        <f t="shared" si="161"/>
        <v>12.421466177945359</v>
      </c>
      <c r="AS149" s="29">
        <f>IF(基础状态预期!C159="","",基础状态预期!C159)</f>
        <v>20</v>
      </c>
      <c r="AT149" s="29">
        <f>求节点(节奏总纲!$S$4:$S$163,其他调用!$F$4:$F$163,$AS149)*求节点($CP$5:$CP$36,$CT$5:$CT$36,AS14)</f>
        <v>399638.19109119818</v>
      </c>
      <c r="AU149" s="37">
        <f>1-AV149</f>
        <v>0.8</v>
      </c>
      <c r="AV149" s="37">
        <f t="shared" si="147"/>
        <v>0.2</v>
      </c>
      <c r="AW149" s="38">
        <f t="shared" si="148"/>
        <v>0.62533333333333341</v>
      </c>
      <c r="AX149" s="38">
        <f t="shared" si="149"/>
        <v>0.26666666666666666</v>
      </c>
      <c r="AY149" s="38">
        <f t="shared" si="150"/>
        <v>6.8000000000000005E-2</v>
      </c>
      <c r="AZ149" s="38">
        <f t="shared" si="151"/>
        <v>4.0000000000000001E-3</v>
      </c>
      <c r="BA149" s="29">
        <f t="shared" si="166"/>
        <v>71423.430523185816</v>
      </c>
      <c r="BB149" s="29">
        <f t="shared" si="162"/>
        <v>186.09771619652307</v>
      </c>
      <c r="BC149" s="29">
        <f t="shared" si="152"/>
        <v>79.359367247984238</v>
      </c>
      <c r="BD149" s="29">
        <f t="shared" si="153"/>
        <v>20.236638648235981</v>
      </c>
      <c r="BE149" s="29">
        <f t="shared" si="154"/>
        <v>1.1903905087197637</v>
      </c>
      <c r="BF149" s="29">
        <f t="shared" si="163"/>
        <v>166</v>
      </c>
      <c r="BG149" s="29">
        <f t="shared" si="155"/>
        <v>30</v>
      </c>
      <c r="BH149" s="29">
        <f t="shared" si="155"/>
        <v>4</v>
      </c>
      <c r="BI149" s="29">
        <f t="shared" si="155"/>
        <v>0</v>
      </c>
      <c r="BJ149" s="29">
        <f>SUM(BB$142:BB149)+BF149</f>
        <v>1246.8009522610369</v>
      </c>
      <c r="BK149" s="29">
        <f>SUM(BC$142:BC149)+BG149</f>
        <v>474.04243454577579</v>
      </c>
      <c r="BL149" s="29">
        <f>SUM(BD$142:BD149)+BH149</f>
        <v>125.6141572563955</v>
      </c>
      <c r="BM149" s="29">
        <f>SUM(BE$142:BE149)+BI149</f>
        <v>1.8701585483451084</v>
      </c>
      <c r="BN149" s="29">
        <f>SUM(BT$142:BT149)</f>
        <v>33.972604088424667</v>
      </c>
      <c r="BO149" s="17">
        <f t="shared" si="156"/>
        <v>9.1783360306435711</v>
      </c>
      <c r="BP149" s="17">
        <f t="shared" si="157"/>
        <v>0.67333485981765251</v>
      </c>
      <c r="BQ149" s="17">
        <f t="shared" si="158"/>
        <v>1</v>
      </c>
      <c r="BR149" s="17">
        <f t="shared" si="164"/>
        <v>49.685864711781434</v>
      </c>
      <c r="BS149" s="17">
        <f t="shared" si="159"/>
        <v>80</v>
      </c>
      <c r="BT149" s="17">
        <f t="shared" si="165"/>
        <v>6.2107330889726793</v>
      </c>
      <c r="BV149" s="17">
        <f t="shared" si="160"/>
        <v>114.61976591041196</v>
      </c>
      <c r="BW149" s="17">
        <v>145</v>
      </c>
      <c r="BX149" s="17">
        <f>'[1]资源-钻石'!L148/$B$2*$B$12*10</f>
        <v>190227.22703784291</v>
      </c>
      <c r="BY149" s="17">
        <f>'[1]资源-钻石'!M148/$B$2*$B$12*10</f>
        <v>273056.83374061016</v>
      </c>
      <c r="BZ149" s="17">
        <f>'[1]资源-钻石'!N148/$B$2*$B$12*10</f>
        <v>440864.53370360914</v>
      </c>
      <c r="CA149" s="17">
        <f>'[1]资源-钻石'!O148/$B$2*$B$12*10</f>
        <v>983489.9338723484</v>
      </c>
      <c r="CB149" s="17">
        <f>'[1]资源-钻石'!P148/$B$2*$B$12*10</f>
        <v>1325205.3838919802</v>
      </c>
      <c r="CD149" s="17">
        <v>145</v>
      </c>
      <c r="CE149" s="17">
        <f>'[1]资源-钻石'!L148/$B$2*$C$12*10</f>
        <v>77054.066648240158</v>
      </c>
      <c r="CF149" s="17">
        <f>'[1]资源-钻石'!M148/$B$2*$C$12*10</f>
        <v>110605.29974303197</v>
      </c>
      <c r="CG149" s="17">
        <f>'[1]资源-钻石'!N148/$B$2*$C$12*10</f>
        <v>178578.03896855054</v>
      </c>
      <c r="CH149" s="17">
        <f>'[1]资源-钻石'!O148/$B$2*$C$12*10</f>
        <v>398375.6694166474</v>
      </c>
      <c r="CI149" s="17">
        <f>'[1]资源-钻石'!P148/$B$2*$C$12*10</f>
        <v>536792.05423472612</v>
      </c>
    </row>
    <row r="150" spans="8:87" x14ac:dyDescent="0.15">
      <c r="H150" s="16">
        <v>12</v>
      </c>
      <c r="I150" s="29">
        <f>IF(基础状态预期!C160="","",基础状态预期!C160)</f>
        <v>30</v>
      </c>
      <c r="J150" s="29">
        <f>IF(基础状态预期!D160="","",基础状态预期!D160)</f>
        <v>58.701446767877648</v>
      </c>
      <c r="K150" s="29" t="str">
        <f>IF(基础状态预期!F160="","",基础状态预期!F160)</f>
        <v/>
      </c>
      <c r="L150" s="29" t="str">
        <f>IF(基础状态预期!G160="","",基础状态预期!G160)</f>
        <v/>
      </c>
      <c r="M150" s="29" t="str">
        <f>IF(基础状态预期!H160="","",基础状态预期!H160)</f>
        <v/>
      </c>
      <c r="N150" s="29">
        <f>IF(基础状态预期!I160="","",基础状态预期!I160)</f>
        <v>4</v>
      </c>
      <c r="O150" s="29">
        <f>IF(基础状态预期!J160="","",基础状态预期!J160)</f>
        <v>2</v>
      </c>
      <c r="P150" s="29">
        <f>武将进阶!O147</f>
        <v>0</v>
      </c>
      <c r="Q150" s="29">
        <f>武将进阶!P147</f>
        <v>0</v>
      </c>
      <c r="R150" s="29">
        <f>武将进阶!Q147</f>
        <v>52.706777794325092</v>
      </c>
      <c r="S150" s="29">
        <f>武将进阶!R147</f>
        <v>30.530083345743819</v>
      </c>
      <c r="T150" s="29">
        <f>武将进阶!S147</f>
        <v>0</v>
      </c>
      <c r="U150" s="29">
        <f>武将觉醒!T148</f>
        <v>0</v>
      </c>
      <c r="V150" s="29">
        <f>武将觉醒!U148</f>
        <v>0</v>
      </c>
      <c r="W150" s="29">
        <f>武将觉醒!V148</f>
        <v>0</v>
      </c>
      <c r="X150" s="29">
        <f>武将觉醒!W148</f>
        <v>10</v>
      </c>
      <c r="Y150" s="29">
        <f>武将觉醒!X148</f>
        <v>0</v>
      </c>
      <c r="Z150" s="29"/>
      <c r="AA150" s="29">
        <f>IF(L150="",0,同名需求(L150,武将升星!P147,B$6)+武将升星!U147)</f>
        <v>0</v>
      </c>
      <c r="AB150" s="29">
        <f>IF(M150="",0,同名需求(M150,武将升星!Q147,C$6)+武将升星!V147)</f>
        <v>0</v>
      </c>
      <c r="AC150" s="59">
        <f>IF(N150="",0,同名需求(N150,武将升星!R147,D$6*0.8)+武将升星!W147)</f>
        <v>236.13927570008599</v>
      </c>
      <c r="AD150" s="29">
        <f>IF(O150="",0,同名需求(O150,武将升星!S147,E$6)+武将升星!X147)</f>
        <v>7.5362587405108012</v>
      </c>
      <c r="AE150" s="29">
        <f>MAX(U150+P150+IF(K150="",0,K150)*武将升星!O147,Z150)</f>
        <v>0</v>
      </c>
      <c r="AF150" s="29">
        <f>MAX(V150+Q150+IF(L150="",0,L150)*武将升星!P147,AA150)</f>
        <v>0</v>
      </c>
      <c r="AG150" s="29">
        <f>MAX(W150+R150+IF(M150="",0,M150)*武将升星!Q147,AB150)</f>
        <v>52.706777794325092</v>
      </c>
      <c r="AH150" s="29">
        <f>MAX(X150+S150+IF(N150="",0,N150)*武将升星!R147,AC150)</f>
        <v>236.13927570008599</v>
      </c>
      <c r="AI150" s="45">
        <f t="shared" si="143"/>
        <v>7.5362587405108012</v>
      </c>
      <c r="AJ150" s="29">
        <f t="shared" si="144"/>
        <v>598386.54839035182</v>
      </c>
      <c r="AK150" s="14" t="e">
        <f>AJ150/求节点('[1]资源-钻石'!$K$4:$K$113,'[1]资源-钻石'!$O$4:$O$113,J150)</f>
        <v>#VALUE!</v>
      </c>
      <c r="AL150" s="16">
        <f t="shared" si="145"/>
        <v>4.2347889694981218E-2</v>
      </c>
      <c r="AM150" s="16"/>
      <c r="AP150" s="17">
        <v>12</v>
      </c>
      <c r="AR150" s="16">
        <f t="shared" si="161"/>
        <v>29.562261872168836</v>
      </c>
      <c r="AS150" s="29">
        <f>IF(基础状态预期!C160="","",基础状态预期!C160)</f>
        <v>30</v>
      </c>
      <c r="AT150" s="29">
        <f>求节点(节奏总纲!$S$4:$S$163,其他调用!$F$4:$F$163,$AS150)*求节点($CP$5:$CP$36,$CT$5:$CT$36,AS15)</f>
        <v>535624.59570317483</v>
      </c>
      <c r="AU150" s="37">
        <f t="shared" ref="AU150:AU157" si="167">1-AV150</f>
        <v>0.5</v>
      </c>
      <c r="AV150" s="37">
        <f t="shared" si="147"/>
        <v>0.5</v>
      </c>
      <c r="AW150" s="38">
        <f t="shared" si="148"/>
        <v>0.57583333333333342</v>
      </c>
      <c r="AX150" s="38">
        <f t="shared" si="149"/>
        <v>0.26666666666666666</v>
      </c>
      <c r="AY150" s="38">
        <f t="shared" si="150"/>
        <v>5.7499999999999996E-2</v>
      </c>
      <c r="AZ150" s="38">
        <f t="shared" si="151"/>
        <v>0.01</v>
      </c>
      <c r="BA150" s="29">
        <f t="shared" si="166"/>
        <v>135986.40461197664</v>
      </c>
      <c r="BB150" s="29">
        <f t="shared" si="162"/>
        <v>326.27293606554122</v>
      </c>
      <c r="BC150" s="29">
        <f t="shared" si="152"/>
        <v>151.09600512441847</v>
      </c>
      <c r="BD150" s="29">
        <f t="shared" si="153"/>
        <v>32.580076104952731</v>
      </c>
      <c r="BE150" s="29">
        <f t="shared" si="154"/>
        <v>5.6661001921656933</v>
      </c>
      <c r="BF150" s="29">
        <f t="shared" si="163"/>
        <v>249.00000000000003</v>
      </c>
      <c r="BG150" s="29">
        <f t="shared" si="155"/>
        <v>45</v>
      </c>
      <c r="BH150" s="29">
        <f t="shared" si="155"/>
        <v>6</v>
      </c>
      <c r="BI150" s="29">
        <f t="shared" si="155"/>
        <v>0</v>
      </c>
      <c r="BJ150" s="29">
        <f>SUM(BB$142:BB150)+BF150</f>
        <v>1656.0738883265781</v>
      </c>
      <c r="BK150" s="29">
        <f>SUM(BC$142:BC150)+BG150</f>
        <v>640.1384396701942</v>
      </c>
      <c r="BL150" s="29">
        <f>SUM(BD$142:BD150)+BH150</f>
        <v>160.19423336134824</v>
      </c>
      <c r="BM150" s="29">
        <f>SUM(BE$142:BE150)+BI150</f>
        <v>7.5362587405108012</v>
      </c>
      <c r="BN150" s="29">
        <f>SUM(BT$142:BT150)</f>
        <v>41.363169556466879</v>
      </c>
      <c r="BO150" s="17">
        <f t="shared" si="156"/>
        <v>12.145277447393445</v>
      </c>
      <c r="BP150" s="17">
        <f t="shared" si="157"/>
        <v>0.6783887724158455</v>
      </c>
      <c r="BQ150" s="17">
        <f t="shared" si="158"/>
        <v>1</v>
      </c>
      <c r="BR150" s="17">
        <f t="shared" si="164"/>
        <v>29.562261872168836</v>
      </c>
      <c r="BS150" s="17">
        <f t="shared" si="159"/>
        <v>80</v>
      </c>
      <c r="BT150" s="17">
        <f t="shared" si="165"/>
        <v>7.3905654680422099</v>
      </c>
      <c r="BV150" s="17">
        <f t="shared" si="160"/>
        <v>129.66415001560443</v>
      </c>
      <c r="BW150" s="17">
        <v>146</v>
      </c>
      <c r="BX150" s="17">
        <f>'[1]资源-钻石'!L149/$B$2*$B$12*10</f>
        <v>203031.21221446199</v>
      </c>
      <c r="BY150" s="17">
        <f>'[1]资源-钻石'!M149/$B$2*$B$12*10</f>
        <v>291963.49930086016</v>
      </c>
      <c r="BZ150" s="17">
        <f>'[1]资源-钻石'!N149/$B$2*$B$12*10</f>
        <v>470313.4504433301</v>
      </c>
      <c r="CA150" s="17">
        <f>'[1]资源-钻石'!O149/$B$2*$B$12*10</f>
        <v>1048664.8060679457</v>
      </c>
      <c r="CB150" s="17">
        <f>'[1]资源-钻石'!P149/$B$2*$B$12*10</f>
        <v>1413673.9384368097</v>
      </c>
      <c r="CD150" s="17">
        <v>146</v>
      </c>
      <c r="CE150" s="17">
        <f>'[1]资源-钻石'!L149/$B$2*$C$12*10</f>
        <v>82240.49102357954</v>
      </c>
      <c r="CF150" s="17">
        <f>'[1]资源-钻石'!M149/$B$2*$C$12*10</f>
        <v>118263.69591933576</v>
      </c>
      <c r="CG150" s="17">
        <f>'[1]资源-钻石'!N149/$B$2*$C$12*10</f>
        <v>190506.71410362737</v>
      </c>
      <c r="CH150" s="17">
        <f>'[1]资源-钻石'!O149/$B$2*$C$12*10</f>
        <v>424775.61764777551</v>
      </c>
      <c r="CI150" s="17">
        <f>'[1]资源-钻石'!P149/$B$2*$C$12*10</f>
        <v>572627.41810098628</v>
      </c>
    </row>
    <row r="151" spans="8:87" x14ac:dyDescent="0.15">
      <c r="H151" s="17">
        <v>13</v>
      </c>
      <c r="I151" s="29">
        <f>IF(基础状态预期!C161="","",基础状态预期!C161)</f>
        <v>45</v>
      </c>
      <c r="J151" s="29">
        <f>IF(基础状态预期!D161="","",基础状态预期!D161)</f>
        <v>64.399012521055653</v>
      </c>
      <c r="K151" s="29" t="str">
        <f>IF(基础状态预期!F161="","",基础状态预期!F161)</f>
        <v/>
      </c>
      <c r="L151" s="29" t="str">
        <f>IF(基础状态预期!G161="","",基础状态预期!G161)</f>
        <v/>
      </c>
      <c r="M151" s="29" t="str">
        <f>IF(基础状态预期!H161="","",基础状态预期!H161)</f>
        <v/>
      </c>
      <c r="N151" s="29">
        <f>IF(基础状态预期!I161="","",基础状态预期!I161)</f>
        <v>3</v>
      </c>
      <c r="O151" s="29">
        <f>IF(基础状态预期!J161="","",基础状态预期!J161)</f>
        <v>3</v>
      </c>
      <c r="P151" s="29">
        <f>武将进阶!O148</f>
        <v>0</v>
      </c>
      <c r="Q151" s="29">
        <f>武将进阶!P148</f>
        <v>0</v>
      </c>
      <c r="R151" s="29">
        <f>武将进阶!Q148</f>
        <v>47.734578030320144</v>
      </c>
      <c r="S151" s="29">
        <f>武将进阶!R148</f>
        <v>58.101867045480219</v>
      </c>
      <c r="T151" s="29">
        <f>武将进阶!S148</f>
        <v>0</v>
      </c>
      <c r="U151" s="29">
        <f>武将觉醒!T149</f>
        <v>0</v>
      </c>
      <c r="V151" s="29">
        <f>武将觉醒!U149</f>
        <v>0</v>
      </c>
      <c r="W151" s="29">
        <f>武将觉醒!V149</f>
        <v>0</v>
      </c>
      <c r="X151" s="29">
        <f>武将觉醒!W149</f>
        <v>12</v>
      </c>
      <c r="Y151" s="29">
        <f>武将觉醒!X149</f>
        <v>0</v>
      </c>
      <c r="Z151" s="29"/>
      <c r="AA151" s="29">
        <f>IF(L151="",0,同名需求(L151,武将升星!P148,B$6)+武将升星!U148)</f>
        <v>0</v>
      </c>
      <c r="AB151" s="29">
        <f>IF(M151="",0,同名需求(M151,武将升星!Q148,C$6)+武将升星!V148)</f>
        <v>0</v>
      </c>
      <c r="AC151" s="59">
        <f>IF(N151="",0,同名需求(N151,武将升星!R148,D$6*0.8)+武将升星!W148)</f>
        <v>279.12795287963814</v>
      </c>
      <c r="AD151" s="29">
        <f>IF(O151="",0,同名需求(O151,武将升星!S148,E$6)+武将升星!X148)</f>
        <v>24.647431319871821</v>
      </c>
      <c r="AE151" s="29">
        <f>MAX(U151+P151+IF(K151="",0,K151)*武将升星!O148,Z151)</f>
        <v>0</v>
      </c>
      <c r="AF151" s="29">
        <f>MAX(V151+Q151+IF(L151="",0,L151)*武将升星!P148,AA151)</f>
        <v>0</v>
      </c>
      <c r="AG151" s="29">
        <f>MAX(W151+R151+IF(M151="",0,M151)*武将升星!Q148,AB151)</f>
        <v>47.734578030320144</v>
      </c>
      <c r="AH151" s="29">
        <f>MAX(X151+S151+IF(N151="",0,N151)*武将升星!R148,AC151)</f>
        <v>279.12795287963814</v>
      </c>
      <c r="AI151" s="45">
        <f t="shared" si="143"/>
        <v>24.647431319871821</v>
      </c>
      <c r="AJ151" s="29">
        <f t="shared" si="144"/>
        <v>773426.29845459328</v>
      </c>
      <c r="AK151" s="14" t="e">
        <f>AJ151/求节点('[1]资源-钻石'!$K$4:$K$113,'[1]资源-钻石'!$O$4:$O$113,J151)</f>
        <v>#VALUE!</v>
      </c>
      <c r="AL151" s="16">
        <f t="shared" si="145"/>
        <v>4.2991036462673736E-2</v>
      </c>
      <c r="AM151" s="16"/>
      <c r="AP151" s="17">
        <v>13</v>
      </c>
      <c r="AR151" s="16">
        <f t="shared" si="161"/>
        <v>59.517122015168759</v>
      </c>
      <c r="AS151" s="29">
        <f>IF(基础状态预期!C161="","",基础状态预期!C161)</f>
        <v>45</v>
      </c>
      <c r="AT151" s="29">
        <f>求节点(节奏总纲!$S$4:$S$163,其他调用!$F$4:$F$163,$AS151)*求节点($CP$5:$CP$36,$CT$5:$CT$36,AS16)</f>
        <v>740958.66665550706</v>
      </c>
      <c r="AU151" s="37">
        <f t="shared" si="167"/>
        <v>0</v>
      </c>
      <c r="AV151" s="37">
        <f t="shared" si="147"/>
        <v>1</v>
      </c>
      <c r="AW151" s="38">
        <f t="shared" si="148"/>
        <v>0.4933333333333334</v>
      </c>
      <c r="AX151" s="38">
        <f t="shared" si="149"/>
        <v>0.26666666666666666</v>
      </c>
      <c r="AY151" s="38">
        <f t="shared" si="150"/>
        <v>0.04</v>
      </c>
      <c r="AZ151" s="38">
        <f t="shared" si="151"/>
        <v>0.02</v>
      </c>
      <c r="BA151" s="29">
        <f t="shared" si="166"/>
        <v>205334.07095233223</v>
      </c>
      <c r="BB151" s="29">
        <f t="shared" si="162"/>
        <v>422.07559029090515</v>
      </c>
      <c r="BC151" s="29">
        <f t="shared" si="152"/>
        <v>228.14896772481359</v>
      </c>
      <c r="BD151" s="29">
        <f t="shared" si="153"/>
        <v>34.222345158722035</v>
      </c>
      <c r="BE151" s="29">
        <f t="shared" si="154"/>
        <v>17.111172579361018</v>
      </c>
      <c r="BF151" s="29">
        <f t="shared" si="163"/>
        <v>373.50000000000006</v>
      </c>
      <c r="BG151" s="29">
        <f t="shared" si="155"/>
        <v>67.5</v>
      </c>
      <c r="BH151" s="29">
        <f t="shared" si="155"/>
        <v>9</v>
      </c>
      <c r="BI151" s="29">
        <f t="shared" si="155"/>
        <v>0</v>
      </c>
      <c r="BJ151" s="29">
        <f>SUM(BB$142:BB151)+BF151</f>
        <v>2202.6494786174835</v>
      </c>
      <c r="BK151" s="29">
        <f>SUM(BC$142:BC151)+BG151</f>
        <v>890.78740739500779</v>
      </c>
      <c r="BL151" s="29">
        <f>SUM(BD$142:BD151)+BH151</f>
        <v>197.41657852007029</v>
      </c>
      <c r="BM151" s="29">
        <f>SUM(BE$142:BE151)+BI151</f>
        <v>24.647431319871821</v>
      </c>
      <c r="BN151" s="29">
        <f>SUM(BT$142:BT151)</f>
        <v>41.363169556466879</v>
      </c>
      <c r="BO151" s="17">
        <f t="shared" si="156"/>
        <v>18.661260749580642</v>
      </c>
      <c r="BP151" s="17">
        <f t="shared" si="157"/>
        <v>0.70726194379105289</v>
      </c>
      <c r="BQ151" s="17">
        <f t="shared" si="158"/>
        <v>1</v>
      </c>
      <c r="BR151" s="17">
        <f t="shared" si="164"/>
        <v>0</v>
      </c>
      <c r="BS151" s="17">
        <f t="shared" si="159"/>
        <v>80</v>
      </c>
      <c r="BT151" s="17">
        <f t="shared" si="165"/>
        <v>0</v>
      </c>
      <c r="BV151" s="17">
        <f t="shared" si="160"/>
        <v>139.31471147459007</v>
      </c>
      <c r="BW151" s="17">
        <v>147</v>
      </c>
      <c r="BX151" s="17">
        <f>'[1]资源-钻石'!L150/$B$2*$B$12*10</f>
        <v>216754.18374147039</v>
      </c>
      <c r="BY151" s="17">
        <f>'[1]资源-钻石'!M150/$B$2*$B$12*10</f>
        <v>311290.5881020407</v>
      </c>
      <c r="BZ151" s="17">
        <f>'[1]资源-钻石'!N150/$B$2*$B$12*10</f>
        <v>501107.93467965123</v>
      </c>
      <c r="CA151" s="17">
        <f>'[1]资源-钻石'!O150/$B$2*$B$12*10</f>
        <v>1117339.9800114257</v>
      </c>
      <c r="CB151" s="17">
        <f>'[1]资源-钻石'!P150/$B$2*$B$12*10</f>
        <v>1509239.4013717843</v>
      </c>
      <c r="CD151" s="17">
        <v>147</v>
      </c>
      <c r="CE151" s="17">
        <f>'[1]资源-钻石'!L150/$B$2*$C$12*10</f>
        <v>87799.163034519661</v>
      </c>
      <c r="CF151" s="17">
        <f>'[1]资源-钻石'!M150/$B$2*$C$12*10</f>
        <v>126092.39011728232</v>
      </c>
      <c r="CG151" s="17">
        <f>'[1]资源-钻石'!N150/$B$2*$C$12*10</f>
        <v>202980.42923732707</v>
      </c>
      <c r="CH151" s="17">
        <f>'[1]资源-钻石'!O150/$B$2*$C$12*10</f>
        <v>452593.40962488123</v>
      </c>
      <c r="CI151" s="17">
        <f>'[1]资源-钻石'!P150/$B$2*$C$12*10</f>
        <v>611337.47903667204</v>
      </c>
    </row>
    <row r="152" spans="8:87" x14ac:dyDescent="0.15">
      <c r="H152" s="16">
        <v>14</v>
      </c>
      <c r="I152" s="29">
        <f>IF(基础状态预期!C162="","",基础状态预期!C162)</f>
        <v>60</v>
      </c>
      <c r="J152" s="29">
        <f>IF(基础状态预期!D162="","",基础状态预期!D162)</f>
        <v>68.627579426319684</v>
      </c>
      <c r="K152" s="29" t="str">
        <f>IF(基础状态预期!F162="","",基础状态预期!F162)</f>
        <v/>
      </c>
      <c r="L152" s="29" t="str">
        <f>IF(基础状态预期!G162="","",基础状态预期!G162)</f>
        <v/>
      </c>
      <c r="M152" s="29" t="str">
        <f>IF(基础状态预期!H162="","",基础状态预期!H162)</f>
        <v/>
      </c>
      <c r="N152" s="29">
        <f>IF(基础状态预期!I162="","",基础状态预期!I162)</f>
        <v>2</v>
      </c>
      <c r="O152" s="29">
        <f>IF(基础状态预期!J162="","",基础状态预期!J162)</f>
        <v>4</v>
      </c>
      <c r="P152" s="29">
        <f>武将进阶!O149</f>
        <v>0</v>
      </c>
      <c r="Q152" s="29">
        <f>武将进阶!P149</f>
        <v>0</v>
      </c>
      <c r="R152" s="29">
        <f>武将进阶!Q149</f>
        <v>35.882476249266901</v>
      </c>
      <c r="S152" s="29">
        <f>武将进阶!R149</f>
        <v>89.647428747800689</v>
      </c>
      <c r="T152" s="29">
        <f>武将进阶!S149</f>
        <v>0</v>
      </c>
      <c r="U152" s="29">
        <f>武将觉醒!T150</f>
        <v>0</v>
      </c>
      <c r="V152" s="29">
        <f>武将觉醒!U150</f>
        <v>0</v>
      </c>
      <c r="W152" s="29">
        <f>武将觉醒!V150</f>
        <v>0</v>
      </c>
      <c r="X152" s="29">
        <f>武将觉醒!W150</f>
        <v>14</v>
      </c>
      <c r="Y152" s="29">
        <f>武将觉醒!X150</f>
        <v>0</v>
      </c>
      <c r="Z152" s="29"/>
      <c r="AA152" s="29">
        <f>IF(L152="",0,同名需求(L152,武将升星!P149,B$6)+武将升星!U149)</f>
        <v>0</v>
      </c>
      <c r="AB152" s="29">
        <f>IF(M152="",0,同名需求(M152,武将升星!Q149,C$6)+武将升星!V149)</f>
        <v>0</v>
      </c>
      <c r="AC152" s="59">
        <f>IF(N152="",0,同名需求(N152,武将升星!R149,D$6*0.8)+武将升星!W149)</f>
        <v>309.39681805079277</v>
      </c>
      <c r="AD152" s="29">
        <f>IF(O152="",0,同名需求(O152,武将升星!S149,E$6)+武将升星!X149)</f>
        <v>41.070468210509588</v>
      </c>
      <c r="AE152" s="29">
        <f>MAX(U152+P152+IF(K152="",0,K152)*武将升星!O149,Z152)</f>
        <v>0</v>
      </c>
      <c r="AF152" s="29">
        <f>MAX(V152+Q152+IF(L152="",0,L152)*武将升星!P149,AA152)</f>
        <v>0</v>
      </c>
      <c r="AG152" s="29">
        <f>MAX(W152+R152+IF(M152="",0,M152)*武将升星!Q149,AB152)</f>
        <v>35.882476249266901</v>
      </c>
      <c r="AH152" s="29">
        <f>MAX(X152+S152+IF(N152="",0,N152)*武将升星!R149,AC152)</f>
        <v>309.39681805079277</v>
      </c>
      <c r="AI152" s="45">
        <f t="shared" si="143"/>
        <v>41.070468210509588</v>
      </c>
      <c r="AJ152" s="29">
        <f t="shared" si="144"/>
        <v>915048.32980604295</v>
      </c>
      <c r="AK152" s="14" t="e">
        <f>AJ152/求节点('[1]资源-钻石'!$K$4:$K$113,'[1]资源-钻石'!$O$4:$O$113,J152)</f>
        <v>#VALUE!</v>
      </c>
      <c r="AL152" s="16">
        <f t="shared" si="145"/>
        <v>4.5249334134075225E-2</v>
      </c>
      <c r="AM152" s="16"/>
      <c r="AP152" s="17">
        <v>14</v>
      </c>
      <c r="AR152" s="16">
        <f t="shared" si="161"/>
        <v>57.123606576131365</v>
      </c>
      <c r="AS152" s="29">
        <f>IF(基础状态预期!C162="","",基础状态预期!C162)</f>
        <v>60</v>
      </c>
      <c r="AT152" s="29">
        <f>求节点(节奏总纲!$S$4:$S$163,其他调用!$F$4:$F$163,$AS152)*求节点($CP$5:$CP$36,$CT$5:$CT$36,AS17)</f>
        <v>938035.10934316029</v>
      </c>
      <c r="AU152" s="37">
        <f t="shared" si="167"/>
        <v>0</v>
      </c>
      <c r="AV152" s="37">
        <f t="shared" si="147"/>
        <v>1</v>
      </c>
      <c r="AW152" s="38">
        <f t="shared" si="148"/>
        <v>0.4933333333333334</v>
      </c>
      <c r="AX152" s="38">
        <f t="shared" si="149"/>
        <v>0.26666666666666666</v>
      </c>
      <c r="AY152" s="38">
        <f t="shared" si="150"/>
        <v>0.04</v>
      </c>
      <c r="AZ152" s="38">
        <f t="shared" si="151"/>
        <v>0.02</v>
      </c>
      <c r="BA152" s="29">
        <f t="shared" si="166"/>
        <v>197076.44268765324</v>
      </c>
      <c r="BB152" s="29">
        <f t="shared" si="162"/>
        <v>405.1015766357317</v>
      </c>
      <c r="BC152" s="29">
        <f t="shared" si="152"/>
        <v>218.9738252085036</v>
      </c>
      <c r="BD152" s="29">
        <f t="shared" si="153"/>
        <v>32.846073781275543</v>
      </c>
      <c r="BE152" s="29">
        <f t="shared" si="154"/>
        <v>16.423036890637771</v>
      </c>
      <c r="BF152" s="29">
        <f t="shared" si="163"/>
        <v>498.00000000000006</v>
      </c>
      <c r="BG152" s="29">
        <f t="shared" si="155"/>
        <v>90</v>
      </c>
      <c r="BH152" s="29">
        <f t="shared" si="155"/>
        <v>12</v>
      </c>
      <c r="BI152" s="29">
        <f t="shared" si="155"/>
        <v>0</v>
      </c>
      <c r="BJ152" s="29">
        <f>SUM(BB$142:BB152)+BF152</f>
        <v>2732.2510552532149</v>
      </c>
      <c r="BK152" s="29">
        <f>SUM(BC$142:BC152)+BG152</f>
        <v>1132.2612326035114</v>
      </c>
      <c r="BL152" s="29">
        <f>SUM(BD$142:BD152)+BH152</f>
        <v>233.26265230134584</v>
      </c>
      <c r="BM152" s="29">
        <f>SUM(BE$142:BE152)+BI152</f>
        <v>41.070468210509588</v>
      </c>
      <c r="BN152" s="29">
        <f>SUM(BT$142:BT152)</f>
        <v>41.363169556466879</v>
      </c>
      <c r="BO152" s="17">
        <f t="shared" si="156"/>
        <v>31.554712800141381</v>
      </c>
      <c r="BP152" s="17">
        <f t="shared" si="157"/>
        <v>0.75392712107030069</v>
      </c>
      <c r="BQ152" s="17">
        <f t="shared" si="158"/>
        <v>1</v>
      </c>
      <c r="BR152" s="17">
        <f t="shared" si="164"/>
        <v>0</v>
      </c>
      <c r="BS152" s="17">
        <f t="shared" si="159"/>
        <v>80</v>
      </c>
      <c r="BT152" s="17">
        <f t="shared" si="165"/>
        <v>0</v>
      </c>
      <c r="BV152" s="17">
        <f t="shared" si="160"/>
        <v>143.61522355354515</v>
      </c>
      <c r="BW152" s="17">
        <v>148</v>
      </c>
      <c r="BX152" s="17">
        <f>'[1]资源-钻石'!L151/$B$2*$B$12*10</f>
        <v>231462.10045125958</v>
      </c>
      <c r="BY152" s="17">
        <f>'[1]资源-钻石'!M151/$B$2*$B$12*10</f>
        <v>332812.72779483791</v>
      </c>
      <c r="BZ152" s="17">
        <f>'[1]资源-钻石'!N151/$B$2*$B$12*10</f>
        <v>536700.47749336285</v>
      </c>
      <c r="CA152" s="17">
        <f>'[1]资源-钻石'!O151/$B$2*$B$12*10</f>
        <v>1199272.9771643486</v>
      </c>
      <c r="CB152" s="17">
        <f>'[1]资源-钻石'!P151/$B$2*$B$12*10</f>
        <v>1617621.1198880828</v>
      </c>
      <c r="CD152" s="17">
        <v>148</v>
      </c>
      <c r="CE152" s="17">
        <f>'[1]资源-钻石'!L151/$B$2*$C$12*10</f>
        <v>93756.800182788691</v>
      </c>
      <c r="CF152" s="17">
        <f>'[1]资源-钻石'!M151/$B$2*$C$12*10</f>
        <v>134810.21885360524</v>
      </c>
      <c r="CG152" s="17">
        <f>'[1]资源-钻石'!N151/$B$2*$C$12*10</f>
        <v>217397.66176946345</v>
      </c>
      <c r="CH152" s="17">
        <f>'[1]资源-钻石'!O151/$B$2*$C$12*10</f>
        <v>485781.45910454623</v>
      </c>
      <c r="CI152" s="17">
        <f>'[1]资源-钻石'!P151/$B$2*$C$12*10</f>
        <v>655238.93463821081</v>
      </c>
    </row>
    <row r="153" spans="8:87" x14ac:dyDescent="0.15">
      <c r="H153" s="17">
        <v>15</v>
      </c>
      <c r="I153" s="29">
        <f>IF(基础状态预期!C163="","",基础状态预期!C163)</f>
        <v>75</v>
      </c>
      <c r="J153" s="29">
        <f>IF(基础状态预期!D163="","",基础状态预期!D163)</f>
        <v>71.882008108111634</v>
      </c>
      <c r="K153" s="29" t="str">
        <f>IF(基础状态预期!F163="","",基础状态预期!F163)</f>
        <v/>
      </c>
      <c r="L153" s="29" t="str">
        <f>IF(基础状态预期!G163="","",基础状态预期!G163)</f>
        <v/>
      </c>
      <c r="M153" s="29" t="str">
        <f>IF(基础状态预期!H163="","",基础状态预期!H163)</f>
        <v/>
      </c>
      <c r="N153" s="29">
        <f>IF(基础状态预期!I163="","",基础状态预期!I163)</f>
        <v>1</v>
      </c>
      <c r="O153" s="29">
        <f>IF(基础状态预期!J163="","",基础状态预期!J163)</f>
        <v>5</v>
      </c>
      <c r="P153" s="29">
        <f>武将进阶!O150</f>
        <v>0</v>
      </c>
      <c r="Q153" s="29">
        <f>武将进阶!P150</f>
        <v>0</v>
      </c>
      <c r="R153" s="29">
        <f>武将进阶!Q150</f>
        <v>19.503363891893581</v>
      </c>
      <c r="S153" s="29">
        <f>武将进阶!R150</f>
        <v>123.77522918920185</v>
      </c>
      <c r="T153" s="29">
        <f>武将进阶!S150</f>
        <v>0</v>
      </c>
      <c r="U153" s="29">
        <f>武将觉醒!T151</f>
        <v>0</v>
      </c>
      <c r="V153" s="29">
        <f>武将觉醒!U151</f>
        <v>0</v>
      </c>
      <c r="W153" s="29">
        <f>武将觉醒!V151</f>
        <v>0</v>
      </c>
      <c r="X153" s="29">
        <f>武将觉醒!W151</f>
        <v>16</v>
      </c>
      <c r="Y153" s="29">
        <f>武将觉醒!X151</f>
        <v>0</v>
      </c>
      <c r="Z153" s="29"/>
      <c r="AA153" s="29">
        <f>IF(L153="",0,同名需求(L153,武将升星!P150,B$6)+武将升星!U150)</f>
        <v>0</v>
      </c>
      <c r="AB153" s="29">
        <f>IF(M153="",0,同名需求(M153,武将升星!Q150,C$6)+武将升星!V150)</f>
        <v>0</v>
      </c>
      <c r="AC153" s="59">
        <f>IF(N153="",0,同名需求(N153,武将升星!R150,D$6*0.8)+武将升星!W150)</f>
        <v>337.96972603412161</v>
      </c>
      <c r="AD153" s="29">
        <f>IF(O153="",0,同名需求(O153,武将升星!S150,E$6)+武将升星!X150)</f>
        <v>56.87909889236316</v>
      </c>
      <c r="AE153" s="29">
        <f>MAX(U153+P153+IF(K153="",0,K153)*武将升星!O150,Z153)</f>
        <v>0</v>
      </c>
      <c r="AF153" s="29">
        <f>MAX(V153+Q153+IF(L153="",0,L153)*武将升星!P150,AA153)</f>
        <v>0</v>
      </c>
      <c r="AG153" s="29">
        <f>MAX(W153+R153+IF(M153="",0,M153)*武将升星!Q150,AB153)</f>
        <v>19.503363891893581</v>
      </c>
      <c r="AH153" s="29">
        <f>MAX(X153+S153+IF(N153="",0,N153)*武将升星!R150,AC153)</f>
        <v>337.96972603412161</v>
      </c>
      <c r="AI153" s="45">
        <f t="shared" si="143"/>
        <v>56.87909889236316</v>
      </c>
      <c r="AJ153" s="29">
        <f t="shared" si="144"/>
        <v>1050019.5578298171</v>
      </c>
      <c r="AK153" s="14" t="e">
        <f>AJ153/求节点('[1]资源-钻石'!$K$4:$K$113,'[1]资源-钻石'!$O$4:$O$113,J153)</f>
        <v>#VALUE!</v>
      </c>
      <c r="AL153" s="16">
        <f t="shared" si="145"/>
        <v>4.7341518389089773E-2</v>
      </c>
      <c r="AM153" s="16"/>
      <c r="AP153" s="17">
        <v>15</v>
      </c>
      <c r="AR153" s="16">
        <f t="shared" si="161"/>
        <v>54.986541502099392</v>
      </c>
      <c r="AS153" s="29">
        <f>IF(基础状态预期!C163="","",基础状态预期!C163)</f>
        <v>75</v>
      </c>
      <c r="AT153" s="29">
        <f>求节点(节奏总纲!$S$4:$S$163,其他调用!$F$4:$F$163,$AS153)*求节点($CP$5:$CP$36,$CT$5:$CT$36,AS18)</f>
        <v>1127738.6775254032</v>
      </c>
      <c r="AU153" s="37">
        <f t="shared" si="167"/>
        <v>0</v>
      </c>
      <c r="AV153" s="37">
        <f t="shared" si="147"/>
        <v>1</v>
      </c>
      <c r="AW153" s="38">
        <f t="shared" si="148"/>
        <v>0.4933333333333334</v>
      </c>
      <c r="AX153" s="38">
        <f t="shared" si="149"/>
        <v>0.26666666666666666</v>
      </c>
      <c r="AY153" s="38">
        <f t="shared" si="150"/>
        <v>0.04</v>
      </c>
      <c r="AZ153" s="38">
        <f t="shared" si="151"/>
        <v>0.02</v>
      </c>
      <c r="BA153" s="29">
        <f t="shared" si="166"/>
        <v>189703.56818224292</v>
      </c>
      <c r="BB153" s="29">
        <f t="shared" si="162"/>
        <v>389.94622348572159</v>
      </c>
      <c r="BC153" s="29">
        <f t="shared" si="152"/>
        <v>210.78174242471434</v>
      </c>
      <c r="BD153" s="29">
        <f t="shared" si="153"/>
        <v>31.617261363707154</v>
      </c>
      <c r="BE153" s="29">
        <f t="shared" si="154"/>
        <v>15.808630681853577</v>
      </c>
      <c r="BF153" s="29">
        <f t="shared" si="163"/>
        <v>622.5</v>
      </c>
      <c r="BG153" s="29">
        <f t="shared" si="155"/>
        <v>112.5</v>
      </c>
      <c r="BH153" s="29">
        <f t="shared" si="155"/>
        <v>15</v>
      </c>
      <c r="BI153" s="29">
        <f t="shared" si="155"/>
        <v>0</v>
      </c>
      <c r="BJ153" s="29">
        <f>SUM(BB$142:BB153)+BF153</f>
        <v>3246.6972787389363</v>
      </c>
      <c r="BK153" s="29">
        <f>SUM(BC$142:BC153)+BG153</f>
        <v>1365.5429750282258</v>
      </c>
      <c r="BL153" s="29">
        <f>SUM(BD$142:BD153)+BH153</f>
        <v>267.87991366505298</v>
      </c>
      <c r="BM153" s="29">
        <f>SUM(BE$142:BE153)+BI153</f>
        <v>56.879098892363167</v>
      </c>
      <c r="BN153" s="29">
        <f>SUM(BT$142:BT153)</f>
        <v>41.363169556466879</v>
      </c>
      <c r="BO153" s="17">
        <f t="shared" si="156"/>
        <v>70.015766644019948</v>
      </c>
      <c r="BP153" s="17">
        <f t="shared" si="157"/>
        <v>0.79261511617761793</v>
      </c>
      <c r="BQ153" s="17">
        <f t="shared" si="158"/>
        <v>1.0000000000000002</v>
      </c>
      <c r="BR153" s="17">
        <f t="shared" si="164"/>
        <v>0</v>
      </c>
      <c r="BS153" s="17">
        <f t="shared" si="159"/>
        <v>80</v>
      </c>
      <c r="BT153" s="17">
        <f t="shared" si="165"/>
        <v>0</v>
      </c>
      <c r="BV153" s="17">
        <f t="shared" si="160"/>
        <v>144.10468447585112</v>
      </c>
      <c r="BW153" s="17">
        <v>149</v>
      </c>
      <c r="BX153" s="17">
        <f>'[1]资源-钻石'!L152/$B$2*$B$12*10</f>
        <v>247225.65527000569</v>
      </c>
      <c r="BY153" s="17">
        <f>'[1]资源-钻石'!M152/$B$2*$B$12*10</f>
        <v>355846.50658328028</v>
      </c>
      <c r="BZ153" s="17">
        <f>'[1]资源-钻石'!N152/$B$2*$B$12*10</f>
        <v>575038.67183079338</v>
      </c>
      <c r="CA153" s="17">
        <f>'[1]资源-钻石'!O152/$B$2*$B$12*10</f>
        <v>1285390.9685461435</v>
      </c>
      <c r="CB153" s="17">
        <f>'[1]资源-钻石'!P152/$B$2*$B$12*10</f>
        <v>1734506.7019758313</v>
      </c>
      <c r="CD153" s="17">
        <v>149</v>
      </c>
      <c r="CE153" s="17">
        <f>'[1]资源-钻石'!L152/$B$2*$C$12*10</f>
        <v>100142.03757772382</v>
      </c>
      <c r="CF153" s="17">
        <f>'[1]资源-钻石'!M152/$B$2*$C$12*10</f>
        <v>144140.35709702494</v>
      </c>
      <c r="CG153" s="17">
        <f>'[1]资源-钻石'!N152/$B$2*$C$12*10</f>
        <v>232927.05694411881</v>
      </c>
      <c r="CH153" s="17">
        <f>'[1]资源-钻石'!O152/$B$2*$C$12*10</f>
        <v>520664.69611995679</v>
      </c>
      <c r="CI153" s="17">
        <f>'[1]资源-钻石'!P152/$B$2*$C$12*10</f>
        <v>702584.99320539995</v>
      </c>
    </row>
    <row r="154" spans="8:87" x14ac:dyDescent="0.15">
      <c r="H154" s="16">
        <v>16</v>
      </c>
      <c r="I154" s="29">
        <f>IF(基础状态预期!C164="","",基础状态预期!C164)</f>
        <v>90</v>
      </c>
      <c r="J154" s="29">
        <f>IF(基础状态预期!D164="","",基础状态预期!D164)</f>
        <v>74.493385467679886</v>
      </c>
      <c r="K154" s="29" t="str">
        <f>IF(基础状态预期!F164="","",基础状态预期!F164)</f>
        <v/>
      </c>
      <c r="L154" s="29" t="str">
        <f>IF(基础状态预期!G164="","",基础状态预期!G164)</f>
        <v/>
      </c>
      <c r="M154" s="29" t="str">
        <f>IF(基础状态预期!H164="","",基础状态预期!H164)</f>
        <v/>
      </c>
      <c r="N154" s="29">
        <f>IF(基础状态预期!I164="","",基础状态预期!I164)</f>
        <v>0.5</v>
      </c>
      <c r="O154" s="29">
        <f>IF(基础状态预期!J164="","",基础状态预期!J164)</f>
        <v>5.5</v>
      </c>
      <c r="P154" s="29">
        <f>武将进阶!O151</f>
        <v>0</v>
      </c>
      <c r="Q154" s="29">
        <f>武将进阶!P151</f>
        <v>0</v>
      </c>
      <c r="R154" s="29">
        <f>武将进阶!Q151</f>
        <v>10.378412512243173</v>
      </c>
      <c r="S154" s="29">
        <f>武将进阶!R151</f>
        <v>146.49380645201234</v>
      </c>
      <c r="T154" s="29">
        <f>武将进阶!S151</f>
        <v>0</v>
      </c>
      <c r="U154" s="29">
        <f>武将觉醒!T152</f>
        <v>0</v>
      </c>
      <c r="V154" s="29">
        <f>武将觉醒!U152</f>
        <v>0</v>
      </c>
      <c r="W154" s="29">
        <f>武将觉醒!V152</f>
        <v>0</v>
      </c>
      <c r="X154" s="29">
        <f>武将觉醒!W152</f>
        <v>17</v>
      </c>
      <c r="Y154" s="29">
        <f>武将觉醒!X152</f>
        <v>0</v>
      </c>
      <c r="Z154" s="29"/>
      <c r="AA154" s="29">
        <f>IF(L154="",0,同名需求(L154,武将升星!P151,B$6)+武将升星!U151)</f>
        <v>0</v>
      </c>
      <c r="AB154" s="29">
        <f>IF(M154="",0,同名需求(M154,武将升星!Q151,C$6)+武将升星!V151)</f>
        <v>0</v>
      </c>
      <c r="AC154" s="59">
        <f>IF(N154="",0,同名需求(N154,武将升星!R151,D$6*0.8)+武将升星!W151)</f>
        <v>372.93549258301698</v>
      </c>
      <c r="AD154" s="29">
        <f>IF(O154="",0,同名需求(O154,武将升星!S151,E$6)+武将升星!X151)</f>
        <v>77.731366574422196</v>
      </c>
      <c r="AE154" s="29">
        <f>MAX(U154+P154+IF(K154="",0,K154)*武将升星!O151,Z154)</f>
        <v>0</v>
      </c>
      <c r="AF154" s="29">
        <f>MAX(V154+Q154+IF(L154="",0,L154)*武将升星!P151,AA154)</f>
        <v>0</v>
      </c>
      <c r="AG154" s="29">
        <f>MAX(W154+R154+IF(M154="",0,M154)*武将升星!Q151,AB154)</f>
        <v>10.378412512243173</v>
      </c>
      <c r="AH154" s="29">
        <f>MAX(X154+S154+IF(N154="",0,N154)*武将升星!R151,AC154)</f>
        <v>372.93549258301698</v>
      </c>
      <c r="AI154" s="45">
        <f t="shared" si="143"/>
        <v>77.731366574422196</v>
      </c>
      <c r="AJ154" s="29">
        <f t="shared" si="144"/>
        <v>1221516.9218118142</v>
      </c>
      <c r="AK154" s="14" t="e">
        <f>AJ154/求节点('[1]资源-钻石'!$K$4:$K$113,'[1]资源-钻石'!$O$4:$O$113,J154)</f>
        <v>#VALUE!</v>
      </c>
      <c r="AL154" s="16">
        <f t="shared" si="145"/>
        <v>4.5584290951378753E-2</v>
      </c>
      <c r="AM154" s="16"/>
      <c r="AP154" s="17">
        <v>16</v>
      </c>
      <c r="AR154" s="16">
        <f t="shared" si="161"/>
        <v>51.592998727619168</v>
      </c>
      <c r="AS154" s="29">
        <f>IF(基础状态预期!C164="","",基础状态预期!C164)</f>
        <v>90</v>
      </c>
      <c r="AT154" s="29">
        <f>求节点(节奏总纲!$S$4:$S$163,其他调用!$F$4:$F$163,$AS154)*求节点($CP$5:$CP$36,$CT$5:$CT$36,AS19)</f>
        <v>1305734.5231356893</v>
      </c>
      <c r="AU154" s="37">
        <f t="shared" si="167"/>
        <v>0</v>
      </c>
      <c r="AV154" s="37">
        <f t="shared" si="147"/>
        <v>1</v>
      </c>
      <c r="AW154" s="38">
        <f t="shared" si="148"/>
        <v>0.4933333333333334</v>
      </c>
      <c r="AX154" s="38">
        <f t="shared" si="149"/>
        <v>0.26666666666666666</v>
      </c>
      <c r="AY154" s="38">
        <f t="shared" si="150"/>
        <v>0.04</v>
      </c>
      <c r="AZ154" s="38">
        <f t="shared" si="151"/>
        <v>0.02</v>
      </c>
      <c r="BA154" s="29">
        <f t="shared" si="166"/>
        <v>177995.84561028611</v>
      </c>
      <c r="BB154" s="29">
        <f t="shared" si="162"/>
        <v>365.88034931003261</v>
      </c>
      <c r="BC154" s="29">
        <f t="shared" si="152"/>
        <v>197.7731617892068</v>
      </c>
      <c r="BD154" s="29">
        <f t="shared" si="153"/>
        <v>29.665974268381021</v>
      </c>
      <c r="BE154" s="29">
        <f t="shared" si="154"/>
        <v>14.83298713419051</v>
      </c>
      <c r="BF154" s="29">
        <f t="shared" si="163"/>
        <v>747.00000000000011</v>
      </c>
      <c r="BG154" s="29">
        <f t="shared" si="155"/>
        <v>135</v>
      </c>
      <c r="BH154" s="29">
        <f t="shared" si="155"/>
        <v>18</v>
      </c>
      <c r="BI154" s="29">
        <f t="shared" si="155"/>
        <v>0</v>
      </c>
      <c r="BJ154" s="29">
        <f>SUM(BB$142:BB154)+BF154</f>
        <v>3737.077628048969</v>
      </c>
      <c r="BK154" s="29">
        <f>SUM(BC$142:BC154)+BG154</f>
        <v>1585.8161368174326</v>
      </c>
      <c r="BL154" s="29">
        <f>SUM(BD$142:BD154)+BH154</f>
        <v>300.54588793343402</v>
      </c>
      <c r="BM154" s="29">
        <f>SUM(BE$142:BE154)+BI154</f>
        <v>71.712086026553678</v>
      </c>
      <c r="BN154" s="29">
        <f>SUM(BT$142:BT154)</f>
        <v>41.363169556466879</v>
      </c>
      <c r="BO154" s="17">
        <f t="shared" si="156"/>
        <v>152.79948980122751</v>
      </c>
      <c r="BP154" s="17">
        <f t="shared" si="157"/>
        <v>0.80589242351753709</v>
      </c>
      <c r="BQ154" s="17">
        <f t="shared" si="158"/>
        <v>0.92256304226807218</v>
      </c>
      <c r="BR154" s="17">
        <f t="shared" si="164"/>
        <v>0</v>
      </c>
      <c r="BS154" s="17">
        <f t="shared" si="159"/>
        <v>80</v>
      </c>
      <c r="BT154" s="17">
        <f t="shared" si="165"/>
        <v>0</v>
      </c>
      <c r="BV154" s="17">
        <f t="shared" si="160"/>
        <v>154.05208148142168</v>
      </c>
      <c r="BW154" s="17">
        <v>150</v>
      </c>
      <c r="BX154" s="17">
        <f>'[1]资源-钻石'!L153/$B$2*$B$12*10</f>
        <v>264120.61499997356</v>
      </c>
      <c r="BY154" s="17">
        <f>'[1]资源-钻石'!M153/$B$2*$B$12*10</f>
        <v>380452.31199876661</v>
      </c>
      <c r="BZ154" s="17">
        <f>'[1]资源-钻石'!N153/$B$2*$B$12*10</f>
        <v>615713.36837517016</v>
      </c>
      <c r="CA154" s="17">
        <f>'[1]资源-钻石'!O153/$B$2*$B$12*10</f>
        <v>1377747.6255303272</v>
      </c>
      <c r="CB154" s="17">
        <f>'[1]资源-钻石'!P153/$B$2*$B$12*10</f>
        <v>1864976.4790894554</v>
      </c>
      <c r="CD154" s="17">
        <v>150</v>
      </c>
      <c r="CE154" s="17">
        <f>'[1]资源-钻石'!L153/$B$2*$C$12*10</f>
        <v>106985.56556960955</v>
      </c>
      <c r="CF154" s="17">
        <f>'[1]资源-钻石'!M153/$B$2*$C$12*10</f>
        <v>154107.26561975354</v>
      </c>
      <c r="CG154" s="17">
        <f>'[1]资源-钻石'!N153/$B$2*$C$12*10</f>
        <v>249402.883392474</v>
      </c>
      <c r="CH154" s="17">
        <f>'[1]资源-钻石'!O153/$B$2*$C$12*10</f>
        <v>558074.98755658825</v>
      </c>
      <c r="CI154" s="17">
        <f>'[1]资源-钻石'!P153/$B$2*$C$12*10</f>
        <v>755433.51051724772</v>
      </c>
    </row>
    <row r="155" spans="8:87" x14ac:dyDescent="0.15">
      <c r="H155" s="17">
        <v>17</v>
      </c>
      <c r="I155" s="29">
        <f>IF(基础状态预期!C165="","",基础状态预期!C165)</f>
        <v>110</v>
      </c>
      <c r="J155" s="29">
        <f>IF(基础状态预期!D165="","",基础状态预期!D165)</f>
        <v>77.332919927503724</v>
      </c>
      <c r="K155" s="29" t="str">
        <f>IF(基础状态预期!F165="","",基础状态预期!F165)</f>
        <v/>
      </c>
      <c r="L155" s="29" t="str">
        <f>IF(基础状态预期!G165="","",基础状态预期!G165)</f>
        <v/>
      </c>
      <c r="M155" s="29" t="str">
        <f>IF(基础状态预期!H165="","",基础状态预期!H165)</f>
        <v/>
      </c>
      <c r="N155" s="29" t="str">
        <f>IF(基础状态预期!I165="","",基础状态预期!I165)</f>
        <v/>
      </c>
      <c r="O155" s="29">
        <f>IF(基础状态预期!J165="","",基础状态预期!J165)</f>
        <v>6</v>
      </c>
      <c r="P155" s="29">
        <f>武将进阶!O152</f>
        <v>0</v>
      </c>
      <c r="Q155" s="29">
        <f>武将进阶!P152</f>
        <v>0</v>
      </c>
      <c r="R155" s="29">
        <f>武将进阶!Q152</f>
        <v>0</v>
      </c>
      <c r="S155" s="29">
        <f>武将进阶!R152</f>
        <v>178.79702347802686</v>
      </c>
      <c r="T155" s="29">
        <f>武将进阶!S152</f>
        <v>0</v>
      </c>
      <c r="U155" s="29">
        <f>武将觉醒!T153</f>
        <v>0</v>
      </c>
      <c r="V155" s="29">
        <f>武将觉醒!U153</f>
        <v>0</v>
      </c>
      <c r="W155" s="29">
        <f>武将觉醒!V153</f>
        <v>0</v>
      </c>
      <c r="X155" s="29">
        <f>武将觉醒!W153</f>
        <v>0</v>
      </c>
      <c r="Y155" s="29">
        <f>武将觉醒!X153</f>
        <v>0</v>
      </c>
      <c r="Z155" s="29"/>
      <c r="AA155" s="29">
        <f>IF(L155="",0,同名需求(L155,武将升星!P152,B$6)+武将升星!U152)</f>
        <v>0</v>
      </c>
      <c r="AB155" s="29">
        <f>IF(M155="",0,同名需求(M155,武将升星!Q152,C$6)+武将升星!V152)</f>
        <v>0</v>
      </c>
      <c r="AC155" s="59">
        <f>IF(N155="",0,同名需求(N155,武将升星!R152,D$6*0.8)+武将升星!W152)</f>
        <v>0</v>
      </c>
      <c r="AD155" s="29">
        <f>IF(O155="",0,同名需求(O155,武将升星!S152,E$6)+武将升星!X152)</f>
        <v>90.368664282596939</v>
      </c>
      <c r="AE155" s="29">
        <f>MAX(U155+P155+IF(K155="",0,K155)*武将升星!O152,Z155)</f>
        <v>0</v>
      </c>
      <c r="AF155" s="29">
        <f>MAX(V155+Q155+IF(L155="",0,L155)*武将升星!P152,AA155)</f>
        <v>0</v>
      </c>
      <c r="AG155" s="29">
        <f>MAX(W155+R155+IF(M155="",0,M155)*武将升星!Q152,AB155)</f>
        <v>0</v>
      </c>
      <c r="AH155" s="29">
        <f>MAX(X155+S155+IF(N155="",0,N155)*武将升星!R152,AC155)</f>
        <v>178.79702347802686</v>
      </c>
      <c r="AI155" s="45">
        <f t="shared" si="143"/>
        <v>90.368664282596939</v>
      </c>
      <c r="AJ155" s="29">
        <f t="shared" si="144"/>
        <v>813317.97854337224</v>
      </c>
      <c r="AK155" s="14" t="e">
        <f>AJ155/求节点('[1]资源-钻石'!$K$4:$K$113,'[1]资源-钻石'!$O$4:$O$113,J155)</f>
        <v>#VALUE!</v>
      </c>
      <c r="AL155" s="16" t="e">
        <f t="shared" si="145"/>
        <v>#DIV/0!</v>
      </c>
      <c r="AM155" s="16"/>
      <c r="AP155" s="17">
        <v>17</v>
      </c>
      <c r="AR155" s="16">
        <f t="shared" si="161"/>
        <v>48.669334580982458</v>
      </c>
      <c r="AS155" s="29">
        <f>IF(基础状态预期!C165="","",基础状态预期!C165)</f>
        <v>110</v>
      </c>
      <c r="AT155" s="29">
        <f>求节点(节奏总纲!$S$4:$S$163,其他调用!$F$4:$F$163,$AS155)*求节点($CP$5:$CP$36,$CT$5:$CT$36,AS20)</f>
        <v>1529613.4622082086</v>
      </c>
      <c r="AU155" s="37">
        <f t="shared" si="167"/>
        <v>0</v>
      </c>
      <c r="AV155" s="37">
        <f t="shared" si="147"/>
        <v>1</v>
      </c>
      <c r="AW155" s="38">
        <f t="shared" si="148"/>
        <v>0.4933333333333334</v>
      </c>
      <c r="AX155" s="38">
        <f t="shared" si="149"/>
        <v>0.26666666666666666</v>
      </c>
      <c r="AY155" s="38">
        <f t="shared" si="150"/>
        <v>0.04</v>
      </c>
      <c r="AZ155" s="38">
        <f t="shared" si="151"/>
        <v>0.02</v>
      </c>
      <c r="BA155" s="29">
        <f t="shared" si="166"/>
        <v>223878.93907251931</v>
      </c>
      <c r="BB155" s="29">
        <f t="shared" si="162"/>
        <v>460.1955969824009</v>
      </c>
      <c r="BC155" s="29">
        <f t="shared" si="152"/>
        <v>248.75437674724367</v>
      </c>
      <c r="BD155" s="29">
        <f t="shared" si="153"/>
        <v>37.31315651208655</v>
      </c>
      <c r="BE155" s="29">
        <f t="shared" si="154"/>
        <v>18.656578256043275</v>
      </c>
      <c r="BF155" s="29">
        <f t="shared" si="163"/>
        <v>913.00000000000011</v>
      </c>
      <c r="BG155" s="29">
        <f t="shared" si="155"/>
        <v>165</v>
      </c>
      <c r="BH155" s="29">
        <f t="shared" si="155"/>
        <v>22</v>
      </c>
      <c r="BI155" s="29">
        <f t="shared" si="155"/>
        <v>0</v>
      </c>
      <c r="BJ155" s="29">
        <f>SUM(BB$142:BB155)+BF155</f>
        <v>4363.2732250313702</v>
      </c>
      <c r="BK155" s="29">
        <f>SUM(BC$142:BC155)+BG155</f>
        <v>1864.5705135646763</v>
      </c>
      <c r="BL155" s="29">
        <f>SUM(BD$142:BD155)+BH155</f>
        <v>341.85904444552057</v>
      </c>
      <c r="BM155" s="29">
        <f>SUM(BE$142:BE155)+BI155</f>
        <v>90.368664282596953</v>
      </c>
      <c r="BN155" s="29">
        <f>SUM(BT$142:BT155)</f>
        <v>41.363169556466879</v>
      </c>
      <c r="BO155" s="17" t="e">
        <f t="shared" si="156"/>
        <v>#DIV/0!</v>
      </c>
      <c r="BP155" s="17">
        <f t="shared" si="157"/>
        <v>1.9119951652189171</v>
      </c>
      <c r="BQ155" s="17">
        <f t="shared" si="158"/>
        <v>1.0000000000000002</v>
      </c>
      <c r="BR155" s="17">
        <f t="shared" si="164"/>
        <v>0</v>
      </c>
      <c r="BS155" s="17">
        <f t="shared" si="159"/>
        <v>80</v>
      </c>
      <c r="BT155" s="17">
        <f t="shared" si="165"/>
        <v>0</v>
      </c>
      <c r="BV155" s="17">
        <f t="shared" si="160"/>
        <v>163.06202096749371</v>
      </c>
      <c r="BW155" s="17">
        <v>151</v>
      </c>
      <c r="BX155" s="17">
        <f>'[1]资源-钻石'!L154/$B$2*$B$12*10</f>
        <v>282228.1844891723</v>
      </c>
      <c r="BY155" s="17">
        <f>'[1]资源-钻石'!M154/$B$2*$B$12*10</f>
        <v>407010.68223398813</v>
      </c>
      <c r="BZ155" s="17">
        <f>'[1]资源-钻石'!N154/$B$2*$B$12*10</f>
        <v>659587.04687478591</v>
      </c>
      <c r="CA155" s="17">
        <f>'[1]资源-钻石'!O154/$B$2*$B$12*10</f>
        <v>1482948.6574241999</v>
      </c>
      <c r="CB155" s="17">
        <f>'[1]资源-钻石'!P154/$B$2*$B$12*10</f>
        <v>2029475.3015059137</v>
      </c>
      <c r="CD155" s="17">
        <v>151</v>
      </c>
      <c r="CE155" s="17">
        <f>'[1]资源-钻石'!L154/$B$2*$C$12*10</f>
        <v>114320.27726143687</v>
      </c>
      <c r="CF155" s="17">
        <f>'[1]资源-钻石'!M154/$B$2*$C$12*10</f>
        <v>164865.08647452685</v>
      </c>
      <c r="CG155" s="17">
        <f>'[1]资源-钻石'!N154/$B$2*$C$12*10</f>
        <v>267174.49999991327</v>
      </c>
      <c r="CH155" s="17">
        <f>'[1]资源-钻石'!O154/$B$2*$C$12*10</f>
        <v>600688.06376676448</v>
      </c>
      <c r="CI155" s="17">
        <f>'[1]资源-钻石'!P154/$B$2*$C$12*10</f>
        <v>822065.94491378777</v>
      </c>
    </row>
    <row r="156" spans="8:87" x14ac:dyDescent="0.15">
      <c r="H156" s="16">
        <v>18</v>
      </c>
      <c r="I156" s="29">
        <f>IF(基础状态预期!C166="","",基础状态预期!C166)</f>
        <v>130</v>
      </c>
      <c r="J156" s="29">
        <f>IF(基础状态预期!D166="","",基础状态预期!D166)</f>
        <v>79.813360188853366</v>
      </c>
      <c r="K156" s="29" t="str">
        <f>IF(基础状态预期!F166="","",基础状态预期!F166)</f>
        <v/>
      </c>
      <c r="L156" s="29" t="str">
        <f>IF(基础状态预期!G166="","",基础状态预期!G166)</f>
        <v/>
      </c>
      <c r="M156" s="29" t="str">
        <f>IF(基础状态预期!H166="","",基础状态预期!H166)</f>
        <v/>
      </c>
      <c r="N156" s="29" t="str">
        <f>IF(基础状态预期!I166="","",基础状态预期!I166)</f>
        <v/>
      </c>
      <c r="O156" s="29">
        <f>IF(基础状态预期!J166="","",基础状态预期!J166)</f>
        <v>6</v>
      </c>
      <c r="P156" s="29">
        <f>武将进阶!O153</f>
        <v>0</v>
      </c>
      <c r="Q156" s="29">
        <f>武将进阶!P153</f>
        <v>0</v>
      </c>
      <c r="R156" s="29">
        <f>武将进阶!Q153</f>
        <v>0</v>
      </c>
      <c r="S156" s="29">
        <f>武将进阶!R153</f>
        <v>196.65619335974424</v>
      </c>
      <c r="T156" s="29">
        <f>武将进阶!S153</f>
        <v>0</v>
      </c>
      <c r="U156" s="29">
        <f>武将觉醒!T154</f>
        <v>0</v>
      </c>
      <c r="V156" s="29">
        <f>武将觉醒!U154</f>
        <v>0</v>
      </c>
      <c r="W156" s="29">
        <f>武将觉醒!V154</f>
        <v>0</v>
      </c>
      <c r="X156" s="29">
        <f>武将觉醒!W154</f>
        <v>0</v>
      </c>
      <c r="Y156" s="29">
        <f>武将觉醒!X154</f>
        <v>0</v>
      </c>
      <c r="Z156" s="29"/>
      <c r="AA156" s="29">
        <f>IF(L156="",0,同名需求(L156,武将升星!P153,B$6)+武将升星!U153)</f>
        <v>0</v>
      </c>
      <c r="AB156" s="29">
        <f>IF(M156="",0,同名需求(M156,武将升星!Q153,C$6)+武将升星!V153)</f>
        <v>0</v>
      </c>
      <c r="AC156" s="59">
        <f>IF(N156="",0,同名需求(N156,武将升星!R153,D$6*0.8)+武将升星!W153)</f>
        <v>0</v>
      </c>
      <c r="AD156" s="29">
        <f>IF(O156="",0,同名需求(O156,武将升星!S153,E$6)+武将升星!X153)</f>
        <v>107.8190647984645</v>
      </c>
      <c r="AE156" s="29">
        <f>MAX(U156+P156+IF(K156="",0,K156)*武将升星!O153,Z156)</f>
        <v>0</v>
      </c>
      <c r="AF156" s="29">
        <f>MAX(V156+Q156+IF(L156="",0,L156)*武将升星!P153,AA156)</f>
        <v>0</v>
      </c>
      <c r="AG156" s="29">
        <f>MAX(W156+R156+IF(M156="",0,M156)*武将升星!Q153,AB156)</f>
        <v>0</v>
      </c>
      <c r="AH156" s="29">
        <f>MAX(X156+S156+IF(N156="",0,N156)*武将升星!R153,AC156)</f>
        <v>196.65619335974424</v>
      </c>
      <c r="AI156" s="45">
        <f t="shared" si="143"/>
        <v>107.8190647984645</v>
      </c>
      <c r="AJ156" s="29">
        <f t="shared" si="144"/>
        <v>970371.58318618045</v>
      </c>
      <c r="AK156" s="14" t="e">
        <f>AJ156/求节点('[1]资源-钻石'!$K$4:$K$113,'[1]资源-钻石'!$O$4:$O$113,J156)</f>
        <v>#VALUE!</v>
      </c>
      <c r="AL156" s="16" t="e">
        <f t="shared" si="145"/>
        <v>#DIV/0!</v>
      </c>
      <c r="AM156" s="16"/>
      <c r="AP156" s="17">
        <v>18</v>
      </c>
      <c r="AR156" s="16">
        <f t="shared" si="161"/>
        <v>45.522783954437045</v>
      </c>
      <c r="AS156" s="29">
        <f>IF(基础状态预期!C166="","",基础状态预期!C166)</f>
        <v>130</v>
      </c>
      <c r="AT156" s="29">
        <f>求节点(节奏总纲!$S$4:$S$163,其他调用!$F$4:$F$163,$AS156)*求节点($CP$5:$CP$36,$CT$5:$CT$36,AS21)</f>
        <v>1739018.268398619</v>
      </c>
      <c r="AU156" s="37">
        <f t="shared" si="167"/>
        <v>0</v>
      </c>
      <c r="AV156" s="37">
        <f t="shared" si="147"/>
        <v>1</v>
      </c>
      <c r="AW156" s="38">
        <f t="shared" si="148"/>
        <v>0.4933333333333334</v>
      </c>
      <c r="AX156" s="38">
        <f t="shared" si="149"/>
        <v>0.26666666666666666</v>
      </c>
      <c r="AY156" s="38">
        <f t="shared" si="150"/>
        <v>0.04</v>
      </c>
      <c r="AZ156" s="38">
        <f t="shared" si="151"/>
        <v>0.02</v>
      </c>
      <c r="BA156" s="29">
        <f t="shared" si="166"/>
        <v>209404.8061904104</v>
      </c>
      <c r="BB156" s="29">
        <f t="shared" si="162"/>
        <v>430.44321272473258</v>
      </c>
      <c r="BC156" s="29">
        <f t="shared" si="152"/>
        <v>232.67200687823379</v>
      </c>
      <c r="BD156" s="29">
        <f t="shared" si="153"/>
        <v>34.900801031735071</v>
      </c>
      <c r="BE156" s="29">
        <f t="shared" si="154"/>
        <v>17.450400515867535</v>
      </c>
      <c r="BF156" s="29">
        <f t="shared" si="163"/>
        <v>1079</v>
      </c>
      <c r="BG156" s="29">
        <f t="shared" si="155"/>
        <v>195</v>
      </c>
      <c r="BH156" s="29">
        <f t="shared" si="155"/>
        <v>26</v>
      </c>
      <c r="BI156" s="29">
        <f t="shared" si="155"/>
        <v>0</v>
      </c>
      <c r="BJ156" s="29">
        <f>SUM(BB$142:BB156)+BF156</f>
        <v>4959.7164377561021</v>
      </c>
      <c r="BK156" s="29">
        <f>SUM(BC$142:BC156)+BG156</f>
        <v>2127.2425204429101</v>
      </c>
      <c r="BL156" s="29">
        <f>SUM(BD$142:BD156)+BH156</f>
        <v>380.75984547725562</v>
      </c>
      <c r="BM156" s="29">
        <f>SUM(BE$142:BE156)+BI156</f>
        <v>107.8190647984645</v>
      </c>
      <c r="BN156" s="29">
        <f>SUM(BT$142:BT156)</f>
        <v>41.363169556466879</v>
      </c>
      <c r="BO156" s="17" t="e">
        <f t="shared" si="156"/>
        <v>#DIV/0!</v>
      </c>
      <c r="BP156" s="17">
        <f t="shared" si="157"/>
        <v>1.9361701199042818</v>
      </c>
      <c r="BQ156" s="17">
        <f t="shared" si="158"/>
        <v>1</v>
      </c>
      <c r="BR156" s="17">
        <f t="shared" si="164"/>
        <v>0</v>
      </c>
      <c r="BS156" s="17">
        <f t="shared" si="159"/>
        <v>80</v>
      </c>
      <c r="BT156" s="17">
        <f t="shared" si="165"/>
        <v>0</v>
      </c>
      <c r="BV156" s="17">
        <f t="shared" si="160"/>
        <v>184.10365211751139</v>
      </c>
      <c r="BW156" s="17">
        <v>152</v>
      </c>
      <c r="BX156" s="17">
        <f>'[1]资源-钻石'!L155/$B$2*$B$12*10</f>
        <v>301635.39693872788</v>
      </c>
      <c r="BY156" s="17">
        <f>'[1]资源-钻石'!M155/$B$2*$B$12*10</f>
        <v>435188.76377325132</v>
      </c>
      <c r="BZ156" s="17">
        <f>'[1]资源-钻石'!N155/$B$2*$B$12*10</f>
        <v>709707.71790044173</v>
      </c>
      <c r="CA156" s="17">
        <f>'[1]资源-钻石'!O155/$B$2*$B$12*10</f>
        <v>1610058.8230741781</v>
      </c>
      <c r="CB156" s="17">
        <f>'[1]资源-钻石'!P155/$B$2*$B$12*10</f>
        <v>3144018.0011451193</v>
      </c>
      <c r="CD156" s="17">
        <v>152</v>
      </c>
      <c r="CE156" s="17">
        <f>'[1]资源-钻石'!L155/$B$2*$C$12*10</f>
        <v>122181.4266080923</v>
      </c>
      <c r="CF156" s="17">
        <f>'[1]资源-钻石'!M155/$B$2*$C$12*10</f>
        <v>176278.99292081068</v>
      </c>
      <c r="CG156" s="17">
        <f>'[1]资源-钻石'!N155/$B$2*$C$12*10</f>
        <v>287476.54395967262</v>
      </c>
      <c r="CH156" s="17">
        <f>'[1]资源-钻石'!O155/$B$2*$C$12*10</f>
        <v>652175.72580219875</v>
      </c>
      <c r="CI156" s="17">
        <f>'[1]资源-钻石'!P155/$B$2*$C$12*10</f>
        <v>1273526.2789448583</v>
      </c>
    </row>
    <row r="157" spans="8:87" x14ac:dyDescent="0.15">
      <c r="H157" s="17">
        <v>19</v>
      </c>
      <c r="I157" s="29">
        <f>IF(基础状态预期!C167="","",基础状态预期!C167)</f>
        <v>150</v>
      </c>
      <c r="J157" s="29">
        <f>IF(基础状态预期!D167="","",基础状态预期!D167)</f>
        <v>81.919202803497143</v>
      </c>
      <c r="K157" s="29" t="str">
        <f>IF(基础状态预期!F167="","",基础状态预期!F167)</f>
        <v/>
      </c>
      <c r="L157" s="29" t="str">
        <f>IF(基础状态预期!G167="","",基础状态预期!G167)</f>
        <v/>
      </c>
      <c r="M157" s="29" t="str">
        <f>IF(基础状态预期!H167="","",基础状态预期!H167)</f>
        <v/>
      </c>
      <c r="N157" s="29" t="str">
        <f>IF(基础状态预期!I167="","",基础状态预期!I167)</f>
        <v/>
      </c>
      <c r="O157" s="29">
        <f>IF(基础状态预期!J167="","",基础状态预期!J167)</f>
        <v>6</v>
      </c>
      <c r="P157" s="29">
        <f>武将进阶!O154</f>
        <v>0</v>
      </c>
      <c r="Q157" s="29">
        <f>武将进阶!P154</f>
        <v>0</v>
      </c>
      <c r="R157" s="29">
        <f>武将进阶!Q154</f>
        <v>0</v>
      </c>
      <c r="S157" s="29">
        <f>武将进阶!R154</f>
        <v>211.81826018517941</v>
      </c>
      <c r="T157" s="29">
        <f>武将进阶!S154</f>
        <v>0</v>
      </c>
      <c r="U157" s="29">
        <f>武将觉醒!T155</f>
        <v>0</v>
      </c>
      <c r="V157" s="29">
        <f>武将觉醒!U155</f>
        <v>0</v>
      </c>
      <c r="W157" s="29">
        <f>武将觉醒!V155</f>
        <v>0</v>
      </c>
      <c r="X157" s="29">
        <f>武将觉醒!W155</f>
        <v>0</v>
      </c>
      <c r="Y157" s="29">
        <f>武将觉醒!X155</f>
        <v>0</v>
      </c>
      <c r="Z157" s="29"/>
      <c r="AA157" s="29">
        <f>IF(L157="",0,同名需求(L157,武将升星!P154,B$6)+武将升星!U154)</f>
        <v>0</v>
      </c>
      <c r="AB157" s="29">
        <f>IF(M157="",0,同名需求(M157,武将升星!Q154,C$6)+武将升星!V154)</f>
        <v>0</v>
      </c>
      <c r="AC157" s="59">
        <f>IF(N157="",0,同名需求(N157,武将升星!R154,D$6*0.8)+武将升星!W154)</f>
        <v>0</v>
      </c>
      <c r="AD157" s="29">
        <f>IF(O157="",0,同名需求(O157,武将升星!S154,E$6)+武将升星!X154)</f>
        <v>108</v>
      </c>
      <c r="AE157" s="29">
        <f>MAX(U157+P157+IF(K157="",0,K157)*武将升星!O154,Z157)</f>
        <v>0</v>
      </c>
      <c r="AF157" s="29">
        <f>MAX(V157+Q157+IF(L157="",0,L157)*武将升星!P154,AA157)</f>
        <v>0</v>
      </c>
      <c r="AG157" s="29">
        <f>MAX(W157+R157+IF(M157="",0,M157)*武将升星!Q154,AB157)</f>
        <v>0</v>
      </c>
      <c r="AH157" s="29">
        <f>MAX(X157+S157+IF(N157="",0,N157)*武将升星!R154,AC157)</f>
        <v>211.81826018517941</v>
      </c>
      <c r="AI157" s="45">
        <f t="shared" si="143"/>
        <v>108</v>
      </c>
      <c r="AJ157" s="29">
        <f t="shared" si="144"/>
        <v>972000</v>
      </c>
      <c r="AK157" s="14" t="e">
        <f>AJ157/求节点('[1]资源-钻石'!$K$4:$K$113,'[1]资源-钻石'!$O$4:$O$113,J157)</f>
        <v>#VALUE!</v>
      </c>
      <c r="AL157" s="16" t="e">
        <f t="shared" si="145"/>
        <v>#DIV/0!</v>
      </c>
      <c r="AM157" s="16"/>
      <c r="AP157" s="17">
        <v>19</v>
      </c>
      <c r="AR157" s="16">
        <f t="shared" si="161"/>
        <v>45.951685631780322</v>
      </c>
      <c r="AS157" s="29">
        <f>IF(基础状态预期!C167="","",基础状态预期!C167)</f>
        <v>150</v>
      </c>
      <c r="AT157" s="29">
        <f>求节点(节奏总纲!$S$4:$S$163,其他调用!$F$4:$F$163,$AS157)*求节点($CP$5:$CP$36,$CT$5:$CT$36,AS22)</f>
        <v>1950396.0223048085</v>
      </c>
      <c r="AU157" s="37">
        <f t="shared" si="167"/>
        <v>0</v>
      </c>
      <c r="AV157" s="37">
        <f t="shared" si="147"/>
        <v>1</v>
      </c>
      <c r="AW157" s="38">
        <f t="shared" si="148"/>
        <v>0.4933333333333334</v>
      </c>
      <c r="AX157" s="38">
        <f t="shared" si="149"/>
        <v>0.26666666666666666</v>
      </c>
      <c r="AY157" s="38">
        <f t="shared" si="150"/>
        <v>0.04</v>
      </c>
      <c r="AZ157" s="38">
        <f t="shared" si="151"/>
        <v>0.02</v>
      </c>
      <c r="BA157" s="29">
        <f t="shared" si="166"/>
        <v>211377.75390618946</v>
      </c>
      <c r="BB157" s="29">
        <f t="shared" si="162"/>
        <v>434.49871636272286</v>
      </c>
      <c r="BC157" s="29">
        <f t="shared" si="152"/>
        <v>234.8641710068772</v>
      </c>
      <c r="BD157" s="29">
        <f t="shared" si="153"/>
        <v>35.229625651031583</v>
      </c>
      <c r="BE157" s="29">
        <f t="shared" si="154"/>
        <v>17.614812825515791</v>
      </c>
      <c r="BF157" s="29">
        <f t="shared" si="163"/>
        <v>1245</v>
      </c>
      <c r="BG157" s="29">
        <f t="shared" si="155"/>
        <v>225</v>
      </c>
      <c r="BH157" s="29">
        <f t="shared" si="155"/>
        <v>30</v>
      </c>
      <c r="BI157" s="29">
        <f t="shared" si="155"/>
        <v>0</v>
      </c>
      <c r="BJ157" s="29">
        <f>SUM(BB$142:BB157)+BF157</f>
        <v>5560.215154118825</v>
      </c>
      <c r="BK157" s="29">
        <f>SUM(BC$142:BC157)+BG157</f>
        <v>2392.1066914497874</v>
      </c>
      <c r="BL157" s="29">
        <f>SUM(BD$142:BD157)+BH157</f>
        <v>419.98947112828722</v>
      </c>
      <c r="BM157" s="29">
        <f>SUM(BE$142:BE157)+BI157</f>
        <v>125.43387762398029</v>
      </c>
      <c r="BN157" s="29">
        <f>SUM(BT$142:BT157)</f>
        <v>41.363169556466879</v>
      </c>
      <c r="BO157" s="17" t="e">
        <f t="shared" si="156"/>
        <v>#DIV/0!</v>
      </c>
      <c r="BP157" s="17">
        <f t="shared" si="157"/>
        <v>1.9827821773303056</v>
      </c>
      <c r="BQ157" s="17">
        <f t="shared" si="158"/>
        <v>1.1614247928146324</v>
      </c>
      <c r="BR157" s="17">
        <f t="shared" si="164"/>
        <v>0</v>
      </c>
      <c r="BS157" s="17">
        <f t="shared" si="159"/>
        <v>80</v>
      </c>
      <c r="BT157" s="17">
        <f t="shared" si="165"/>
        <v>0</v>
      </c>
      <c r="BV157" s="17">
        <f t="shared" si="160"/>
        <v>208.17121094310781</v>
      </c>
      <c r="BW157" s="17">
        <v>153</v>
      </c>
      <c r="BX157" s="17">
        <f>'[1]资源-钻石'!L156/$B$2*$B$12*10</f>
        <v>322435.53222396557</v>
      </c>
      <c r="BY157" s="17">
        <f>'[1]资源-钻石'!M156/$B$2*$B$12*10</f>
        <v>468863.78749968088</v>
      </c>
      <c r="BZ157" s="17">
        <f>'[1]资源-钻石'!N156/$B$2*$B$12*10</f>
        <v>767891.55321358109</v>
      </c>
      <c r="CA157" s="17">
        <f>'[1]资源-钻石'!O156/$B$2*$B$12*10</f>
        <v>2131053.6634657918</v>
      </c>
      <c r="CB157" s="17">
        <f>'[1]资源-钻石'!P156/$B$2*$B$12*10</f>
        <v>5382688.5236528646</v>
      </c>
      <c r="CD157" s="17">
        <v>153</v>
      </c>
      <c r="CE157" s="17">
        <f>'[1]资源-钻石'!L156/$B$2*$C$12*10</f>
        <v>130606.79786287213</v>
      </c>
      <c r="CF157" s="17">
        <f>'[1]资源-钻石'!M156/$B$2*$C$12*10</f>
        <v>189919.50886063027</v>
      </c>
      <c r="CG157" s="17">
        <f>'[1]资源-钻石'!N156/$B$2*$C$12*10</f>
        <v>311044.67978271644</v>
      </c>
      <c r="CH157" s="17">
        <f>'[1]资源-钻石'!O156/$B$2*$C$12*10</f>
        <v>863211.61051778914</v>
      </c>
      <c r="CI157" s="17">
        <f>'[1]资源-钻石'!P156/$B$2*$C$12*10</f>
        <v>2180329.5285682487</v>
      </c>
    </row>
    <row r="158" spans="8:87" x14ac:dyDescent="0.15">
      <c r="H158" s="17">
        <v>20</v>
      </c>
      <c r="I158" s="29">
        <f>IF(基础状态预期!C168="","",基础状态预期!C168)</f>
        <v>170</v>
      </c>
      <c r="J158" s="29">
        <f>IF(基础状态预期!D168="","",基础状态预期!D168)</f>
        <v>83.738783536778797</v>
      </c>
      <c r="K158" s="29" t="str">
        <f>IF(基础状态预期!F168="","",基础状态预期!F168)</f>
        <v/>
      </c>
      <c r="L158" s="29" t="str">
        <f>IF(基础状态预期!G168="","",基础状态预期!G168)</f>
        <v/>
      </c>
      <c r="M158" s="29" t="str">
        <f>IF(基础状态预期!H168="","",基础状态预期!H168)</f>
        <v/>
      </c>
      <c r="N158" s="29" t="str">
        <f>IF(基础状态预期!I168="","",基础状态预期!I168)</f>
        <v/>
      </c>
      <c r="O158" s="29">
        <f>IF(基础状态预期!J168="","",基础状态预期!J168)</f>
        <v>6</v>
      </c>
      <c r="P158" s="29">
        <f>武将进阶!O155</f>
        <v>0</v>
      </c>
      <c r="Q158" s="29">
        <f>武将进阶!P155</f>
        <v>0</v>
      </c>
      <c r="R158" s="29">
        <f>武将进阶!Q155</f>
        <v>0</v>
      </c>
      <c r="S158" s="29">
        <f>武将进阶!R155</f>
        <v>224.91924146480733</v>
      </c>
      <c r="T158" s="29">
        <f>武将进阶!S155</f>
        <v>0</v>
      </c>
      <c r="U158" s="29">
        <f>武将觉醒!T156</f>
        <v>0</v>
      </c>
      <c r="V158" s="29">
        <f>武将觉醒!U156</f>
        <v>0</v>
      </c>
      <c r="W158" s="29">
        <f>武将觉醒!V156</f>
        <v>0</v>
      </c>
      <c r="X158" s="29">
        <f>武将觉醒!W156</f>
        <v>0</v>
      </c>
      <c r="Y158" s="29">
        <f>武将觉醒!X156</f>
        <v>0</v>
      </c>
      <c r="Z158" s="29"/>
      <c r="AA158" s="29">
        <f>IF(L158="",0,同名需求(L158,武将升星!P155,B$6)+武将升星!U155)</f>
        <v>0</v>
      </c>
      <c r="AB158" s="29">
        <f>IF(M158="",0,同名需求(M158,武将升星!Q155,C$6)+武将升星!V155)</f>
        <v>0</v>
      </c>
      <c r="AC158" s="59">
        <f>IF(N158="",0,同名需求(N158,武将升星!R155,D$6*0.8)+武将升星!W155)</f>
        <v>0</v>
      </c>
      <c r="AD158" s="29">
        <f>IF(O158="",0,同名需求(O158,武将升星!S155,E$6)+武将升星!X155)</f>
        <v>108</v>
      </c>
      <c r="AE158" s="29">
        <f>MAX(U158+P158+IF(K158="",0,K158)*武将升星!O155,Z158)</f>
        <v>0</v>
      </c>
      <c r="AF158" s="29">
        <f>MAX(V158+Q158+IF(L158="",0,L158)*武将升星!P155,AA158)</f>
        <v>0</v>
      </c>
      <c r="AG158" s="29">
        <f>MAX(W158+R158+IF(M158="",0,M158)*武将升星!Q155,AB158)</f>
        <v>0</v>
      </c>
      <c r="AH158" s="29">
        <f>MAX(X158+S158+IF(N158="",0,N158)*武将升星!R155,AC158)</f>
        <v>224.91924146480733</v>
      </c>
      <c r="AI158" s="45">
        <f t="shared" ref="AI158:AI180" si="168">IFERROR(AD158+Y158,0)</f>
        <v>108</v>
      </c>
      <c r="AJ158" s="29">
        <f t="shared" si="144"/>
        <v>993406.17951553757</v>
      </c>
      <c r="AK158" s="14" t="e">
        <f>AJ158/求节点('[1]资源-钻石'!$K$4:$K$113,'[1]资源-钻石'!$O$4:$O$113,J158)</f>
        <v>#VALUE!</v>
      </c>
      <c r="AL158" s="16" t="e">
        <f t="shared" ref="AL158:AL180" si="169">X158/AC158</f>
        <v>#DIV/0!</v>
      </c>
      <c r="AM158" s="16"/>
      <c r="AP158" s="17">
        <v>20</v>
      </c>
      <c r="AR158" s="16">
        <f t="shared" si="161"/>
        <v>43.695110023968354</v>
      </c>
      <c r="AS158" s="29">
        <f>IF(基础状态预期!C168="","",基础状态预期!C168)</f>
        <v>170</v>
      </c>
      <c r="AT158" s="29">
        <f>求节点(节奏总纲!$S$4:$S$163,其他调用!$F$4:$F$163,$AS158)*求节点($CP$5:$CP$36,$CT$5:$CT$36,AS23)</f>
        <v>2151393.5284150629</v>
      </c>
      <c r="AU158" s="37">
        <f t="shared" ref="AU158:AU180" si="170">1-AV158</f>
        <v>0</v>
      </c>
      <c r="AV158" s="37">
        <f t="shared" ref="AV158:AV180" si="171">AV113</f>
        <v>1</v>
      </c>
      <c r="AW158" s="38">
        <f t="shared" si="148"/>
        <v>0.4933333333333334</v>
      </c>
      <c r="AX158" s="38">
        <f t="shared" si="149"/>
        <v>0.26666666666666666</v>
      </c>
      <c r="AY158" s="38">
        <f t="shared" si="150"/>
        <v>0.04</v>
      </c>
      <c r="AZ158" s="38">
        <f t="shared" si="151"/>
        <v>0.02</v>
      </c>
      <c r="BA158" s="29">
        <f t="shared" ref="BA158:BA180" si="172">AT158-AT157</f>
        <v>200997.50611025444</v>
      </c>
      <c r="BB158" s="29">
        <f t="shared" si="162"/>
        <v>413.16154033774529</v>
      </c>
      <c r="BC158" s="29">
        <f t="shared" si="152"/>
        <v>223.33056234472716</v>
      </c>
      <c r="BD158" s="29">
        <f t="shared" si="153"/>
        <v>33.499584351709075</v>
      </c>
      <c r="BE158" s="29">
        <f t="shared" si="154"/>
        <v>16.749792175854537</v>
      </c>
      <c r="BF158" s="29">
        <f t="shared" si="163"/>
        <v>1411.0000000000002</v>
      </c>
      <c r="BG158" s="29">
        <f t="shared" si="155"/>
        <v>255</v>
      </c>
      <c r="BH158" s="29">
        <f t="shared" si="155"/>
        <v>34</v>
      </c>
      <c r="BI158" s="29">
        <f t="shared" si="155"/>
        <v>0</v>
      </c>
      <c r="BJ158" s="29">
        <f>SUM(BB$142:BB158)+BF158</f>
        <v>6139.3766944565705</v>
      </c>
      <c r="BK158" s="29">
        <f>SUM(BC$142:BC158)+BG158</f>
        <v>2645.4372537945146</v>
      </c>
      <c r="BL158" s="29">
        <f>SUM(BD$142:BD158)+BH158</f>
        <v>457.4890554799963</v>
      </c>
      <c r="BM158" s="29">
        <f>SUM(BE$142:BE158)+BI158</f>
        <v>142.18366979983483</v>
      </c>
      <c r="BN158" s="29">
        <f>SUM(BT$142:BT158)</f>
        <v>41.363169556466879</v>
      </c>
      <c r="BO158" s="17" t="e">
        <f t="shared" ref="BO158:BO180" si="173">BK158/AG180</f>
        <v>#DIV/0!</v>
      </c>
      <c r="BP158" s="17">
        <f t="shared" ref="BP158:BP180" si="174">BL158/AH180</f>
        <v>0.71259977489095994</v>
      </c>
      <c r="BQ158" s="17">
        <f t="shared" ref="BQ158:BQ180" si="175">BM158/AI180</f>
        <v>1.3165154611095817</v>
      </c>
      <c r="BR158" s="17">
        <f t="shared" si="164"/>
        <v>0</v>
      </c>
      <c r="BS158" s="17">
        <f t="shared" si="159"/>
        <v>80</v>
      </c>
      <c r="BT158" s="17">
        <f t="shared" si="165"/>
        <v>0</v>
      </c>
      <c r="BV158" s="17">
        <f t="shared" si="160"/>
        <v>232.56981401518897</v>
      </c>
      <c r="BW158" s="17">
        <v>154</v>
      </c>
      <c r="BX158" s="17">
        <f>'[1]资源-钻石'!L157/$B$2*$B$12*10</f>
        <v>344728.56523984752</v>
      </c>
      <c r="BY158" s="17">
        <f>'[1]资源-钻石'!M157/$B$2*$B$12*10</f>
        <v>503877.5954234979</v>
      </c>
      <c r="BZ158" s="17">
        <f>'[1]资源-钻石'!N157/$B$2*$B$12*10</f>
        <v>942588.2039969461</v>
      </c>
      <c r="CA158" s="17">
        <f>'[1]资源-钻石'!O157/$B$2*$B$12*10</f>
        <v>3000753.0546919247</v>
      </c>
      <c r="CB158" s="17">
        <f>'[1]资源-钻石'!P157/$B$2*$B$12*10</f>
        <v>7588634.8394727632</v>
      </c>
      <c r="CD158" s="17">
        <v>154</v>
      </c>
      <c r="CE158" s="17">
        <f>'[1]资源-钻石'!L157/$B$2*$C$12*10</f>
        <v>139636.88718576104</v>
      </c>
      <c r="CF158" s="17">
        <f>'[1]资源-钻石'!M157/$B$2*$C$12*10</f>
        <v>204102.31713356875</v>
      </c>
      <c r="CG158" s="17">
        <f>'[1]资源-钻石'!N157/$B$2*$C$12*10</f>
        <v>381807.88010002882</v>
      </c>
      <c r="CH158" s="17">
        <f>'[1]资源-钻石'!O157/$B$2*$C$12*10</f>
        <v>1215494.9082296402</v>
      </c>
      <c r="CI158" s="17">
        <f>'[1]资源-钻石'!P157/$B$2*$C$12*10</f>
        <v>3073877.4033307396</v>
      </c>
    </row>
    <row r="159" spans="8:87" x14ac:dyDescent="0.15">
      <c r="H159" s="17">
        <v>21</v>
      </c>
      <c r="I159" s="29">
        <f>IF(基础状态预期!C169="","",基础状态预期!C169)</f>
        <v>200</v>
      </c>
      <c r="J159" s="29">
        <f>IF(基础状态预期!D169="","",基础状态预期!D169)</f>
        <v>86.045919706798657</v>
      </c>
      <c r="K159" s="29" t="str">
        <f>IF(基础状态预期!F169="","",基础状态预期!F169)</f>
        <v/>
      </c>
      <c r="L159" s="29" t="str">
        <f>IF(基础状态预期!G169="","",基础状态预期!G169)</f>
        <v/>
      </c>
      <c r="M159" s="29" t="str">
        <f>IF(基础状态预期!H169="","",基础状态预期!H169)</f>
        <v/>
      </c>
      <c r="N159" s="29" t="str">
        <f>IF(基础状态预期!I169="","",基础状态预期!I169)</f>
        <v/>
      </c>
      <c r="O159" s="29">
        <f>IF(基础状态预期!J169="","",基础状态预期!J169)</f>
        <v>6</v>
      </c>
      <c r="P159" s="29">
        <f>武将进阶!O156</f>
        <v>0</v>
      </c>
      <c r="Q159" s="29">
        <f>武将进阶!P156</f>
        <v>0</v>
      </c>
      <c r="R159" s="29">
        <f>武将进阶!Q156</f>
        <v>0</v>
      </c>
      <c r="S159" s="29">
        <f>武将进阶!R156</f>
        <v>241.53062188895035</v>
      </c>
      <c r="T159" s="29">
        <f>武将进阶!S156</f>
        <v>0</v>
      </c>
      <c r="U159" s="29">
        <f>武将觉醒!T157</f>
        <v>0</v>
      </c>
      <c r="V159" s="29">
        <f>武将觉醒!U157</f>
        <v>0</v>
      </c>
      <c r="W159" s="29">
        <f>武将觉醒!V157</f>
        <v>0</v>
      </c>
      <c r="X159" s="29">
        <f>武将觉醒!W157</f>
        <v>0</v>
      </c>
      <c r="Y159" s="29">
        <f>武将觉醒!X157</f>
        <v>0</v>
      </c>
      <c r="Z159" s="29"/>
      <c r="AA159" s="29">
        <f>IF(L159="",0,同名需求(L159,武将升星!P156,B$6)+武将升星!U156)</f>
        <v>0</v>
      </c>
      <c r="AB159" s="29">
        <f>IF(M159="",0,同名需求(M159,武将升星!Q156,C$6)+武将升星!V156)</f>
        <v>0</v>
      </c>
      <c r="AC159" s="59">
        <f>IF(N159="",0,同名需求(N159,武将升星!R156,D$6*0.8)+武将升星!W156)</f>
        <v>0</v>
      </c>
      <c r="AD159" s="29">
        <f>IF(O159="",0,同名需求(O159,武将升星!S156,E$6)+武将升星!X156)</f>
        <v>108</v>
      </c>
      <c r="AE159" s="29">
        <f>MAX(U159+P159+IF(K159="",0,K159)*武将升星!O156,Z159)</f>
        <v>0</v>
      </c>
      <c r="AF159" s="29">
        <f>MAX(V159+Q159+IF(L159="",0,L159)*武将升星!P156,AA159)</f>
        <v>0</v>
      </c>
      <c r="AG159" s="29">
        <f>MAX(W159+R159+IF(M159="",0,M159)*武将升星!Q156,AB159)</f>
        <v>0</v>
      </c>
      <c r="AH159" s="29">
        <f>MAX(X159+S159+IF(N159="",0,N159)*武将升星!R156,AC159)</f>
        <v>241.53062188895035</v>
      </c>
      <c r="AI159" s="45">
        <f t="shared" si="168"/>
        <v>108</v>
      </c>
      <c r="AJ159" s="29">
        <f t="shared" si="144"/>
        <v>1033273.4925334809</v>
      </c>
      <c r="AK159" s="14" t="e">
        <f>AJ159/求节点('[1]资源-钻石'!$K$4:$K$113,'[1]资源-钻石'!$O$4:$O$113,J159)</f>
        <v>#VALUE!</v>
      </c>
      <c r="AL159" s="16" t="e">
        <f t="shared" si="169"/>
        <v>#DIV/0!</v>
      </c>
      <c r="AP159" s="17">
        <v>21</v>
      </c>
      <c r="AR159" s="16">
        <f t="shared" si="161"/>
        <v>42.660907496411923</v>
      </c>
      <c r="AS159" s="29">
        <f>IF(基础状态预期!C169="","",基础状态预期!C169)</f>
        <v>200</v>
      </c>
      <c r="AT159" s="29">
        <f>求节点(节奏总纲!$S$4:$S$163,其他调用!$F$4:$F$163,$AS159)*求节点($CP$5:$CP$36,$CT$5:$CT$36,AS24)</f>
        <v>2445753.7901403052</v>
      </c>
      <c r="AU159" s="37">
        <f t="shared" si="170"/>
        <v>0</v>
      </c>
      <c r="AV159" s="37">
        <f t="shared" si="171"/>
        <v>1</v>
      </c>
      <c r="AW159" s="38">
        <f t="shared" si="148"/>
        <v>0.4933333333333334</v>
      </c>
      <c r="AX159" s="38">
        <f t="shared" si="149"/>
        <v>0.26666666666666666</v>
      </c>
      <c r="AY159" s="38">
        <f t="shared" si="150"/>
        <v>0.04</v>
      </c>
      <c r="AZ159" s="38">
        <f t="shared" si="151"/>
        <v>0.02</v>
      </c>
      <c r="BA159" s="29">
        <f t="shared" si="172"/>
        <v>294360.26172524225</v>
      </c>
      <c r="BB159" s="29">
        <f t="shared" si="162"/>
        <v>605.07387132410918</v>
      </c>
      <c r="BC159" s="29">
        <f t="shared" si="152"/>
        <v>327.06695747249142</v>
      </c>
      <c r="BD159" s="29">
        <f t="shared" si="153"/>
        <v>49.060043620873714</v>
      </c>
      <c r="BE159" s="29">
        <f t="shared" si="154"/>
        <v>24.530021810436857</v>
      </c>
      <c r="BF159" s="29">
        <f t="shared" si="163"/>
        <v>1660.0000000000002</v>
      </c>
      <c r="BG159" s="29">
        <f t="shared" si="163"/>
        <v>300</v>
      </c>
      <c r="BH159" s="29">
        <f t="shared" si="163"/>
        <v>40</v>
      </c>
      <c r="BI159" s="29">
        <f t="shared" si="163"/>
        <v>0</v>
      </c>
      <c r="BJ159" s="29">
        <f>SUM(BB$142:BB159)+BF159</f>
        <v>6993.4505657806794</v>
      </c>
      <c r="BK159" s="29">
        <f>SUM(BC$142:BC159)+BG159</f>
        <v>3017.5042112670062</v>
      </c>
      <c r="BL159" s="29">
        <f>SUM(BD$142:BD159)+BH159</f>
        <v>512.54909910087008</v>
      </c>
      <c r="BM159" s="29">
        <f>SUM(BE$142:BE159)+BI159</f>
        <v>166.7136916102717</v>
      </c>
      <c r="BN159" s="29">
        <f>SUM(BT$142:BT159)</f>
        <v>41.363169556466879</v>
      </c>
      <c r="BO159" s="17" t="e">
        <f t="shared" si="173"/>
        <v>#DIV/0!</v>
      </c>
      <c r="BP159" s="17" t="e">
        <f t="shared" si="174"/>
        <v>#DIV/0!</v>
      </c>
      <c r="BQ159" s="17" t="e">
        <f t="shared" si="175"/>
        <v>#DIV/0!</v>
      </c>
      <c r="BR159" s="17">
        <f t="shared" si="164"/>
        <v>0</v>
      </c>
      <c r="BS159" s="17">
        <f t="shared" si="159"/>
        <v>80</v>
      </c>
      <c r="BT159" s="17">
        <f t="shared" si="165"/>
        <v>0</v>
      </c>
      <c r="BV159" s="17">
        <f t="shared" si="160"/>
        <v>271.01847721191973</v>
      </c>
      <c r="BW159" s="17">
        <v>155</v>
      </c>
      <c r="BX159" s="17">
        <f>'[1]资源-钻石'!L158/$B$2*$B$12*10</f>
        <v>368583.40798540204</v>
      </c>
      <c r="BY159" s="17">
        <f>'[1]资源-钻石'!M158/$B$2*$B$12*10</f>
        <v>598299.39453610755</v>
      </c>
      <c r="BZ159" s="17">
        <f>'[1]资源-钻石'!N158/$B$2*$B$12*10</f>
        <v>1228714.8083954144</v>
      </c>
      <c r="CA159" s="17">
        <f>'[1]资源-钻石'!O158/$B$2*$B$12*10</f>
        <v>3896121.5926946588</v>
      </c>
      <c r="CB159" s="17">
        <f>'[1]资源-钻石'!P158/$B$2*$B$12*10</f>
        <v>9890503.7290877458</v>
      </c>
      <c r="CD159" s="17">
        <v>155</v>
      </c>
      <c r="CE159" s="17">
        <f>'[1]资源-钻石'!L158/$B$2*$C$12*10</f>
        <v>149299.60829788438</v>
      </c>
      <c r="CF159" s="17">
        <f>'[1]资源-钻石'!M158/$B$2*$C$12*10</f>
        <v>242349.12183741064</v>
      </c>
      <c r="CG159" s="17">
        <f>'[1]资源-钻石'!N158/$B$2*$C$12*10</f>
        <v>497707.26416016789</v>
      </c>
      <c r="CH159" s="17">
        <f>'[1]资源-钻石'!O158/$B$2*$C$12*10</f>
        <v>1578175.8350155582</v>
      </c>
      <c r="CI159" s="17">
        <f>'[1]资源-钻石'!P158/$B$2*$C$12*10</f>
        <v>4006279.9915292133</v>
      </c>
    </row>
    <row r="160" spans="8:87" x14ac:dyDescent="0.15">
      <c r="H160" s="17">
        <v>22</v>
      </c>
      <c r="I160" s="29">
        <f>IF(基础状态预期!C170="","",基础状态预期!C170)</f>
        <v>260</v>
      </c>
      <c r="J160" s="29">
        <f>IF(基础状态预期!D170="","",基础状态预期!D170)</f>
        <v>90.288435080379244</v>
      </c>
      <c r="K160" s="29" t="str">
        <f>IF(基础状态预期!F170="","",基础状态预期!F170)</f>
        <v/>
      </c>
      <c r="L160" s="29" t="str">
        <f>IF(基础状态预期!G170="","",基础状态预期!G170)</f>
        <v/>
      </c>
      <c r="M160" s="29" t="str">
        <f>IF(基础状态预期!H170="","",基础状态预期!H170)</f>
        <v/>
      </c>
      <c r="N160" s="29" t="str">
        <f>IF(基础状态预期!I170="","",基础状态预期!I170)</f>
        <v/>
      </c>
      <c r="O160" s="29">
        <f>IF(基础状态预期!J170="","",基础状态预期!J170)</f>
        <v>6</v>
      </c>
      <c r="P160" s="29">
        <f>武将进阶!O157</f>
        <v>0</v>
      </c>
      <c r="Q160" s="29">
        <f>武将进阶!P157</f>
        <v>0</v>
      </c>
      <c r="R160" s="29">
        <f>武将进阶!Q157</f>
        <v>0</v>
      </c>
      <c r="S160" s="29">
        <f>武将进阶!R157</f>
        <v>272.07673257873057</v>
      </c>
      <c r="T160" s="29">
        <f>武将进阶!S157</f>
        <v>0</v>
      </c>
      <c r="U160" s="29">
        <f>武将觉醒!T158</f>
        <v>0</v>
      </c>
      <c r="V160" s="29">
        <f>武将觉醒!U158</f>
        <v>0</v>
      </c>
      <c r="W160" s="29">
        <f>武将觉醒!V158</f>
        <v>0</v>
      </c>
      <c r="X160" s="29">
        <f>武将觉醒!W158</f>
        <v>0</v>
      </c>
      <c r="Y160" s="29">
        <f>武将觉醒!X158</f>
        <v>0</v>
      </c>
      <c r="Z160" s="29"/>
      <c r="AA160" s="29">
        <f>IF(L160="",0,同名需求(L160,武将升星!P157,B$6)+武将升星!U157)</f>
        <v>0</v>
      </c>
      <c r="AB160" s="29">
        <f>IF(M160="",0,同名需求(M160,武将升星!Q157,C$6)+武将升星!V157)</f>
        <v>0</v>
      </c>
      <c r="AC160" s="59">
        <f>IF(N160="",0,同名需求(N160,武将升星!R157,D$6*0.8)+武将升星!W157)</f>
        <v>0</v>
      </c>
      <c r="AD160" s="29">
        <f>IF(O160="",0,同名需求(O160,武将升星!S157,E$6)+武将升星!X157)</f>
        <v>108</v>
      </c>
      <c r="AE160" s="29">
        <f>MAX(U160+P160+IF(K160="",0,K160)*武将升星!O157,Z160)</f>
        <v>0</v>
      </c>
      <c r="AF160" s="29">
        <f>MAX(V160+Q160+IF(L160="",0,L160)*武将升星!P157,AA160)</f>
        <v>0</v>
      </c>
      <c r="AG160" s="29">
        <f>MAX(W160+R160+IF(M160="",0,M160)*武将升星!Q157,AB160)</f>
        <v>0</v>
      </c>
      <c r="AH160" s="29">
        <f>MAX(X160+S160+IF(N160="",0,N160)*武将升星!R157,AC160)</f>
        <v>272.07673257873057</v>
      </c>
      <c r="AI160" s="45">
        <f t="shared" si="168"/>
        <v>108</v>
      </c>
      <c r="AJ160" s="29">
        <f t="shared" si="144"/>
        <v>1106584.1581889533</v>
      </c>
      <c r="AK160" s="14" t="e">
        <f>AJ160/求节点('[1]资源-钻石'!$K$4:$K$113,'[1]资源-钻石'!$O$4:$O$113,J160)</f>
        <v>#VALUE!</v>
      </c>
      <c r="AL160" s="16" t="e">
        <f t="shared" si="169"/>
        <v>#DIV/0!</v>
      </c>
      <c r="AP160" s="17">
        <v>22</v>
      </c>
      <c r="AR160" s="16">
        <f t="shared" si="161"/>
        <v>40.289501688584778</v>
      </c>
      <c r="AS160" s="29">
        <f>IF(基础状态预期!C170="","",基础状态预期!C170)</f>
        <v>260</v>
      </c>
      <c r="AT160" s="29">
        <f>求节点(节奏总纲!$S$4:$S$163,其他调用!$F$4:$F$163,$AS160)*求节点($CP$5:$CP$36,$CT$5:$CT$36,AS25)</f>
        <v>3001748.9134427751</v>
      </c>
      <c r="AU160" s="37">
        <f t="shared" si="170"/>
        <v>0</v>
      </c>
      <c r="AV160" s="37">
        <f t="shared" si="171"/>
        <v>1</v>
      </c>
      <c r="AW160" s="38">
        <f t="shared" si="148"/>
        <v>0.4933333333333334</v>
      </c>
      <c r="AX160" s="38">
        <f t="shared" si="149"/>
        <v>0.26666666666666666</v>
      </c>
      <c r="AY160" s="38">
        <f t="shared" si="150"/>
        <v>0.04</v>
      </c>
      <c r="AZ160" s="38">
        <f t="shared" si="151"/>
        <v>0.02</v>
      </c>
      <c r="BA160" s="29">
        <f t="shared" si="172"/>
        <v>555995.12330246996</v>
      </c>
      <c r="BB160" s="29">
        <f t="shared" si="162"/>
        <v>1142.8788645661882</v>
      </c>
      <c r="BC160" s="29">
        <f t="shared" si="152"/>
        <v>617.77235922496652</v>
      </c>
      <c r="BD160" s="29">
        <f t="shared" si="153"/>
        <v>92.665853883744987</v>
      </c>
      <c r="BE160" s="29">
        <f t="shared" si="154"/>
        <v>46.332926941872493</v>
      </c>
      <c r="BF160" s="29">
        <f t="shared" si="163"/>
        <v>2158</v>
      </c>
      <c r="BG160" s="29">
        <f t="shared" si="163"/>
        <v>390</v>
      </c>
      <c r="BH160" s="29">
        <f t="shared" si="163"/>
        <v>52</v>
      </c>
      <c r="BI160" s="29">
        <f t="shared" si="163"/>
        <v>0</v>
      </c>
      <c r="BJ160" s="29">
        <f>SUM(BB$142:BB160)+BF160</f>
        <v>8634.3294303468683</v>
      </c>
      <c r="BK160" s="29">
        <f>SUM(BC$142:BC160)+BG160</f>
        <v>3725.276570491973</v>
      </c>
      <c r="BL160" s="29">
        <f>SUM(BD$142:BD160)+BH160</f>
        <v>617.21495298461502</v>
      </c>
      <c r="BM160" s="29">
        <f>SUM(BE$142:BE160)+BI160</f>
        <v>213.0466185521442</v>
      </c>
      <c r="BN160" s="29">
        <f>SUM(BT$142:BT160)</f>
        <v>41.363169556466879</v>
      </c>
      <c r="BO160" s="17" t="e">
        <f t="shared" si="173"/>
        <v>#DIV/0!</v>
      </c>
      <c r="BP160" s="17" t="e">
        <f t="shared" si="174"/>
        <v>#DIV/0!</v>
      </c>
      <c r="BQ160" s="17" t="e">
        <f t="shared" si="175"/>
        <v>#DIV/0!</v>
      </c>
      <c r="BR160" s="17">
        <f t="shared" si="164"/>
        <v>0</v>
      </c>
      <c r="BS160" s="17">
        <f t="shared" si="159"/>
        <v>80</v>
      </c>
      <c r="BT160" s="17">
        <f t="shared" si="165"/>
        <v>0</v>
      </c>
      <c r="BV160" s="17">
        <f t="shared" si="160"/>
        <v>345.13822040588445</v>
      </c>
      <c r="BW160" s="17">
        <v>156</v>
      </c>
      <c r="BX160" s="17">
        <f>'[1]资源-钻石'!L159/$B$2*$B$12*10</f>
        <v>393702.11896021769</v>
      </c>
      <c r="BY160" s="17">
        <f>'[1]资源-钻石'!M159/$B$2*$B$12*10</f>
        <v>671908.2243312936</v>
      </c>
      <c r="BZ160" s="17">
        <f>'[1]资源-钻石'!N159/$B$2*$B$12*10</f>
        <v>1385508.7476858473</v>
      </c>
      <c r="CA160" s="17">
        <f>'[1]资源-钻石'!O159/$B$2*$B$12*10</f>
        <v>4398647.7707835892</v>
      </c>
      <c r="CB160" s="17">
        <f>'[1]资源-钻石'!P159/$B$2*$B$12*10</f>
        <v>11168462.496505084</v>
      </c>
      <c r="CD160" s="17">
        <v>156</v>
      </c>
      <c r="CE160" s="17">
        <f>'[1]资源-钻石'!L159/$B$2*$C$12*10</f>
        <v>159474.27603451858</v>
      </c>
      <c r="CF160" s="17">
        <f>'[1]资源-钻石'!M159/$B$2*$C$12*10</f>
        <v>272165.35669115686</v>
      </c>
      <c r="CG160" s="17">
        <f>'[1]资源-钻石'!N159/$B$2*$C$12*10</f>
        <v>561218.73323983687</v>
      </c>
      <c r="CH160" s="17">
        <f>'[1]资源-钻石'!O159/$B$2*$C$12*10</f>
        <v>1781730.7425958845</v>
      </c>
      <c r="CI160" s="17">
        <f>'[1]资源-钻石'!P159/$B$2*$C$12*10</f>
        <v>4523934.1757995272</v>
      </c>
    </row>
    <row r="161" spans="8:87" x14ac:dyDescent="0.15">
      <c r="H161" s="17">
        <v>23</v>
      </c>
      <c r="I161" s="29">
        <f>IF(基础状态预期!C171="","",基础状态预期!C171)</f>
        <v>320</v>
      </c>
      <c r="J161" s="29">
        <f>IF(基础状态预期!D171="","",基础状态预期!D171)</f>
        <v>93.400072017025948</v>
      </c>
      <c r="K161" s="29" t="str">
        <f>IF(基础状态预期!F171="","",基础状态预期!F171)</f>
        <v/>
      </c>
      <c r="L161" s="29" t="str">
        <f>IF(基础状态预期!G171="","",基础状态预期!G171)</f>
        <v/>
      </c>
      <c r="M161" s="29" t="str">
        <f>IF(基础状态预期!H171="","",基础状态预期!H171)</f>
        <v/>
      </c>
      <c r="N161" s="29" t="str">
        <f>IF(基础状态预期!I171="","",基础状态预期!I171)</f>
        <v/>
      </c>
      <c r="O161" s="29">
        <f>IF(基础状态预期!J171="","",基础状态预期!J171)</f>
        <v>6</v>
      </c>
      <c r="P161" s="29">
        <f>武将进阶!O158</f>
        <v>0</v>
      </c>
      <c r="Q161" s="29">
        <f>武将进阶!P158</f>
        <v>0</v>
      </c>
      <c r="R161" s="29">
        <f>武将进阶!Q158</f>
        <v>0</v>
      </c>
      <c r="S161" s="29">
        <f>武将进阶!R158</f>
        <v>294.48051852258681</v>
      </c>
      <c r="T161" s="29">
        <f>武将进阶!S158</f>
        <v>0</v>
      </c>
      <c r="U161" s="29">
        <f>武将觉醒!T159</f>
        <v>0</v>
      </c>
      <c r="V161" s="29">
        <f>武将觉醒!U159</f>
        <v>0</v>
      </c>
      <c r="W161" s="29">
        <f>武将觉醒!V159</f>
        <v>0</v>
      </c>
      <c r="X161" s="29">
        <f>武将觉醒!W159</f>
        <v>0</v>
      </c>
      <c r="Y161" s="29">
        <f>武将觉醒!X159</f>
        <v>0</v>
      </c>
      <c r="Z161" s="29"/>
      <c r="AA161" s="29">
        <f>IF(L161="",0,同名需求(L161,武将升星!P158,B$6)+武将升星!U158)</f>
        <v>0</v>
      </c>
      <c r="AB161" s="29">
        <f>IF(M161="",0,同名需求(M161,武将升星!Q158,C$6)+武将升星!V158)</f>
        <v>0</v>
      </c>
      <c r="AC161" s="59">
        <f>IF(N161="",0,同名需求(N161,武将升星!R158,D$6*0.8)+武将升星!W158)</f>
        <v>0</v>
      </c>
      <c r="AD161" s="29">
        <f>IF(O161="",0,同名需求(O161,武将升星!S158,E$6)+武将升星!X158)</f>
        <v>108</v>
      </c>
      <c r="AE161" s="29">
        <f>MAX(U161+P161+IF(K161="",0,K161)*武将升星!O158,Z161)</f>
        <v>0</v>
      </c>
      <c r="AF161" s="29">
        <f>MAX(V161+Q161+IF(L161="",0,L161)*武将升星!P158,AA161)</f>
        <v>0</v>
      </c>
      <c r="AG161" s="29">
        <f>MAX(W161+R161+IF(M161="",0,M161)*武将升星!Q158,AB161)</f>
        <v>0</v>
      </c>
      <c r="AH161" s="29">
        <f>MAX(X161+S161+IF(N161="",0,N161)*武将升星!R158,AC161)</f>
        <v>294.48051852258681</v>
      </c>
      <c r="AI161" s="45">
        <f t="shared" si="168"/>
        <v>108</v>
      </c>
      <c r="AJ161" s="29">
        <f t="shared" si="144"/>
        <v>1160353.2444542085</v>
      </c>
      <c r="AK161" s="14" t="e">
        <f>AJ161/求节点('[1]资源-钻石'!$K$4:$K$113,'[1]资源-钻石'!$O$4:$O$113,J161)</f>
        <v>#VALUE!</v>
      </c>
      <c r="AL161" s="16" t="e">
        <f t="shared" si="169"/>
        <v>#DIV/0!</v>
      </c>
      <c r="AP161" s="17">
        <v>23</v>
      </c>
      <c r="AR161" s="16">
        <f t="shared" si="161"/>
        <v>39.520819602721787</v>
      </c>
      <c r="AS161" s="29">
        <f>IF(基础状态预期!C171="","",基础状态预期!C171)</f>
        <v>320</v>
      </c>
      <c r="AT161" s="29">
        <f>求节点(节奏总纲!$S$4:$S$163,其他调用!$F$4:$F$163,$AS161)*求节点($CP$5:$CP$36,$CT$5:$CT$36,AS26)</f>
        <v>3547136.2239603358</v>
      </c>
      <c r="AU161" s="37">
        <f t="shared" si="170"/>
        <v>0</v>
      </c>
      <c r="AV161" s="37">
        <f t="shared" si="171"/>
        <v>1</v>
      </c>
      <c r="AW161" s="38">
        <f t="shared" si="148"/>
        <v>0.4933333333333334</v>
      </c>
      <c r="AX161" s="38">
        <f t="shared" si="149"/>
        <v>0.26666666666666666</v>
      </c>
      <c r="AY161" s="38">
        <f t="shared" si="150"/>
        <v>0.04</v>
      </c>
      <c r="AZ161" s="38">
        <f t="shared" si="151"/>
        <v>0.02</v>
      </c>
      <c r="BA161" s="29">
        <f t="shared" si="172"/>
        <v>545387.31051756069</v>
      </c>
      <c r="BB161" s="29">
        <f t="shared" si="162"/>
        <v>1121.073916063875</v>
      </c>
      <c r="BC161" s="29">
        <f t="shared" si="152"/>
        <v>605.98590057506749</v>
      </c>
      <c r="BD161" s="29">
        <f t="shared" si="153"/>
        <v>90.897885086260118</v>
      </c>
      <c r="BE161" s="29">
        <f t="shared" si="154"/>
        <v>45.448942543130059</v>
      </c>
      <c r="BF161" s="29">
        <f t="shared" si="163"/>
        <v>2656</v>
      </c>
      <c r="BG161" s="29">
        <f t="shared" si="163"/>
        <v>480</v>
      </c>
      <c r="BH161" s="29">
        <f t="shared" si="163"/>
        <v>64</v>
      </c>
      <c r="BI161" s="29">
        <f t="shared" si="163"/>
        <v>0</v>
      </c>
      <c r="BJ161" s="29">
        <f>SUM(BB$142:BB161)+BF161</f>
        <v>10253.403346410742</v>
      </c>
      <c r="BK161" s="29">
        <f>SUM(BC$142:BC161)+BG161</f>
        <v>4421.2624710670407</v>
      </c>
      <c r="BL161" s="29">
        <f>SUM(BD$142:BD161)+BH161</f>
        <v>720.11283807087511</v>
      </c>
      <c r="BM161" s="29">
        <f>SUM(BE$142:BE161)+BI161</f>
        <v>258.49556109527424</v>
      </c>
      <c r="BN161" s="29">
        <f>SUM(BT$142:BT161)</f>
        <v>41.363169556466879</v>
      </c>
      <c r="BO161" s="17" t="e">
        <f t="shared" si="173"/>
        <v>#DIV/0!</v>
      </c>
      <c r="BP161" s="17" t="e">
        <f t="shared" si="174"/>
        <v>#DIV/0!</v>
      </c>
      <c r="BQ161" s="17" t="e">
        <f t="shared" si="175"/>
        <v>#DIV/0!</v>
      </c>
      <c r="BR161" s="17">
        <f t="shared" si="164"/>
        <v>0</v>
      </c>
      <c r="BS161" s="17">
        <f t="shared" si="159"/>
        <v>80</v>
      </c>
      <c r="BT161" s="17">
        <f t="shared" si="165"/>
        <v>0</v>
      </c>
      <c r="BV161" s="17">
        <f t="shared" si="160"/>
        <v>425.63231954828831</v>
      </c>
      <c r="BW161" s="17">
        <v>157</v>
      </c>
      <c r="BX161" s="17">
        <f>'[1]资源-钻石'!L160/$B$2*$B$12*10</f>
        <v>420623.68679614435</v>
      </c>
      <c r="BY161" s="17">
        <f>'[1]资源-钻石'!M160/$B$2*$B$12*10</f>
        <v>718663.85543509794</v>
      </c>
      <c r="BZ161" s="17">
        <f>'[1]资源-钻石'!N160/$B$2*$B$12*10</f>
        <v>1483334.5665473628</v>
      </c>
      <c r="CA161" s="17">
        <f>'[1]资源-钻石'!O160/$B$2*$B$12*10</f>
        <v>4712573.3009916972</v>
      </c>
      <c r="CB161" s="17">
        <f>'[1]资源-钻石'!P160/$B$2*$B$12*10</f>
        <v>11932736.772822279</v>
      </c>
      <c r="CD161" s="17">
        <v>157</v>
      </c>
      <c r="CE161" s="17">
        <f>'[1]资源-钻石'!L160/$B$2*$C$12*10</f>
        <v>170379.21490476732</v>
      </c>
      <c r="CF161" s="17">
        <f>'[1]资源-钻石'!M160/$B$2*$C$12*10</f>
        <v>291104.34650535614</v>
      </c>
      <c r="CG161" s="17">
        <f>'[1]资源-钻石'!N160/$B$2*$C$12*10</f>
        <v>600844.38138627354</v>
      </c>
      <c r="CH161" s="17">
        <f>'[1]资源-钻石'!O160/$B$2*$C$12*10</f>
        <v>1908890.4510346116</v>
      </c>
      <c r="CI161" s="17">
        <f>'[1]资源-钻石'!P160/$B$2*$C$12*10</f>
        <v>4833513.6294976324</v>
      </c>
    </row>
    <row r="162" spans="8:87" x14ac:dyDescent="0.15">
      <c r="H162" s="17">
        <v>24</v>
      </c>
      <c r="I162" s="29">
        <f>IF(基础状态预期!C172="","",基础状态预期!C172)</f>
        <v>410</v>
      </c>
      <c r="J162" s="29">
        <f>IF(基础状态预期!D172="","",基础状态预期!D172)</f>
        <v>97.006001686863456</v>
      </c>
      <c r="K162" s="29" t="str">
        <f>IF(基础状态预期!F172="","",基础状态预期!F172)</f>
        <v/>
      </c>
      <c r="L162" s="29" t="str">
        <f>IF(基础状态预期!G172="","",基础状态预期!G172)</f>
        <v/>
      </c>
      <c r="M162" s="29" t="str">
        <f>IF(基础状态预期!H172="","",基础状态预期!H172)</f>
        <v/>
      </c>
      <c r="N162" s="29" t="str">
        <f>IF(基础状态预期!I172="","",基础状态预期!I172)</f>
        <v/>
      </c>
      <c r="O162" s="29">
        <f>IF(基础状态预期!J172="","",基础状态预期!J172)</f>
        <v>6</v>
      </c>
      <c r="P162" s="29">
        <f>武将进阶!O159</f>
        <v>0</v>
      </c>
      <c r="Q162" s="29">
        <f>武将进阶!P159</f>
        <v>0</v>
      </c>
      <c r="R162" s="29">
        <f>武将进阶!Q159</f>
        <v>0</v>
      </c>
      <c r="S162" s="29">
        <f>武将进阶!R159</f>
        <v>320.44321214541696</v>
      </c>
      <c r="T162" s="29">
        <f>武将进阶!S159</f>
        <v>0</v>
      </c>
      <c r="U162" s="29">
        <f>武将觉醒!T160</f>
        <v>0</v>
      </c>
      <c r="V162" s="29">
        <f>武将觉醒!U160</f>
        <v>0</v>
      </c>
      <c r="W162" s="29">
        <f>武将觉醒!V160</f>
        <v>0</v>
      </c>
      <c r="X162" s="29">
        <f>武将觉醒!W160</f>
        <v>0</v>
      </c>
      <c r="Y162" s="29">
        <f>武将觉醒!X160</f>
        <v>0</v>
      </c>
      <c r="Z162" s="29"/>
      <c r="AA162" s="29">
        <f>IF(L162="",0,同名需求(L162,武将升星!P159,B$6)+武将升星!U159)</f>
        <v>0</v>
      </c>
      <c r="AB162" s="29">
        <f>IF(M162="",0,同名需求(M162,武将升星!Q159,C$6)+武将升星!V159)</f>
        <v>0</v>
      </c>
      <c r="AC162" s="59">
        <f>IF(N162="",0,同名需求(N162,武将升星!R159,D$6*0.8)+武将升星!W159)</f>
        <v>0</v>
      </c>
      <c r="AD162" s="29">
        <f>IF(O162="",0,同名需求(O162,武将升星!S159,E$6)+武将升星!X159)</f>
        <v>108</v>
      </c>
      <c r="AE162" s="29">
        <f>MAX(U162+P162+IF(K162="",0,K162)*武将升星!O159,Z162)</f>
        <v>0</v>
      </c>
      <c r="AF162" s="29">
        <f>MAX(V162+Q162+IF(L162="",0,L162)*武将升星!P159,AA162)</f>
        <v>0</v>
      </c>
      <c r="AG162" s="29">
        <f>MAX(W162+R162+IF(M162="",0,M162)*武将升星!Q159,AB162)</f>
        <v>0</v>
      </c>
      <c r="AH162" s="29">
        <f>MAX(X162+S162+IF(N162="",0,N162)*武将升星!R159,AC162)</f>
        <v>320.44321214541696</v>
      </c>
      <c r="AI162" s="45">
        <f t="shared" si="168"/>
        <v>108</v>
      </c>
      <c r="AJ162" s="29">
        <f t="shared" si="144"/>
        <v>1222663.7091490007</v>
      </c>
      <c r="AK162" s="14" t="e">
        <f>AJ162/求节点('[1]资源-钻石'!$K$4:$K$113,'[1]资源-钻石'!$O$4:$O$113,J162)</f>
        <v>#VALUE!</v>
      </c>
      <c r="AL162" s="16" t="e">
        <f t="shared" si="169"/>
        <v>#DIV/0!</v>
      </c>
      <c r="AP162" s="17">
        <v>24</v>
      </c>
      <c r="AR162" s="16">
        <f t="shared" si="161"/>
        <v>37.130307927820724</v>
      </c>
      <c r="AS162" s="29">
        <f>IF(基础状态预期!C172="","",基础状态预期!C172)</f>
        <v>410</v>
      </c>
      <c r="AT162" s="29">
        <f>求节点(节奏总纲!$S$4:$S$163,其他调用!$F$4:$F$163,$AS162)*求节点($CP$5:$CP$36,$CT$5:$CT$36,AS27)</f>
        <v>4315733.5980662247</v>
      </c>
      <c r="AU162" s="37">
        <f t="shared" si="170"/>
        <v>0</v>
      </c>
      <c r="AV162" s="37">
        <f t="shared" si="171"/>
        <v>1</v>
      </c>
      <c r="AW162" s="38">
        <f t="shared" si="148"/>
        <v>0.4933333333333334</v>
      </c>
      <c r="AX162" s="38">
        <f t="shared" si="149"/>
        <v>0.26666666666666666</v>
      </c>
      <c r="AY162" s="38">
        <f t="shared" si="150"/>
        <v>0.04</v>
      </c>
      <c r="AZ162" s="38">
        <f t="shared" si="151"/>
        <v>0.02</v>
      </c>
      <c r="BA162" s="29">
        <f t="shared" si="172"/>
        <v>768597.37410588888</v>
      </c>
      <c r="BB162" s="29">
        <f t="shared" si="162"/>
        <v>1579.894602328772</v>
      </c>
      <c r="BC162" s="29">
        <f t="shared" si="152"/>
        <v>853.99708233987656</v>
      </c>
      <c r="BD162" s="29">
        <f t="shared" si="153"/>
        <v>128.0995623509815</v>
      </c>
      <c r="BE162" s="29">
        <f t="shared" si="154"/>
        <v>64.04978117549075</v>
      </c>
      <c r="BF162" s="29">
        <f t="shared" si="163"/>
        <v>3403.0000000000005</v>
      </c>
      <c r="BG162" s="29">
        <f t="shared" si="163"/>
        <v>615</v>
      </c>
      <c r="BH162" s="29">
        <f t="shared" si="163"/>
        <v>82</v>
      </c>
      <c r="BI162" s="29">
        <f t="shared" si="163"/>
        <v>0</v>
      </c>
      <c r="BJ162" s="29">
        <f>SUM(BB$142:BB162)+BF162</f>
        <v>12580.297948739515</v>
      </c>
      <c r="BK162" s="29">
        <f>SUM(BC$142:BC162)+BG162</f>
        <v>5410.2595534069169</v>
      </c>
      <c r="BL162" s="29">
        <f>SUM(BD$142:BD162)+BH162</f>
        <v>866.21240042185661</v>
      </c>
      <c r="BM162" s="29">
        <f>SUM(BE$142:BE162)+BI162</f>
        <v>322.54534227076499</v>
      </c>
      <c r="BN162" s="29">
        <f>SUM(BT$142:BT162)</f>
        <v>41.363169556466879</v>
      </c>
      <c r="BO162" s="17" t="e">
        <f t="shared" si="173"/>
        <v>#DIV/0!</v>
      </c>
      <c r="BP162" s="17" t="e">
        <f t="shared" si="174"/>
        <v>#DIV/0!</v>
      </c>
      <c r="BQ162" s="17" t="e">
        <f t="shared" si="175"/>
        <v>#DIV/0!</v>
      </c>
      <c r="BR162" s="17">
        <f t="shared" si="164"/>
        <v>0</v>
      </c>
      <c r="BS162" s="17">
        <f t="shared" si="159"/>
        <v>80</v>
      </c>
      <c r="BT162" s="17">
        <f t="shared" si="165"/>
        <v>0</v>
      </c>
      <c r="BV162" s="17">
        <f t="shared" si="160"/>
        <v>545.76918827643965</v>
      </c>
      <c r="BW162" s="17">
        <v>158</v>
      </c>
      <c r="BX162" s="17">
        <f>'[1]资源-钻石'!L161/$B$2*$B$12*10</f>
        <v>449477.50877256185</v>
      </c>
      <c r="BY162" s="17">
        <f>'[1]资源-钻石'!M161/$B$2*$B$12*10</f>
        <v>768775.30007629318</v>
      </c>
      <c r="BZ162" s="17">
        <f>'[1]资源-钻石'!N161/$B$2*$B$12*10</f>
        <v>1588181.6831540202</v>
      </c>
      <c r="CA162" s="17">
        <f>'[1]资源-钻石'!O161/$B$2*$B$12*10</f>
        <v>5049030.3534813914</v>
      </c>
      <c r="CB162" s="17">
        <f>'[1]资源-钻石'!P161/$B$2*$B$12*10</f>
        <v>12787227.478027079</v>
      </c>
      <c r="CD162" s="17">
        <v>158</v>
      </c>
      <c r="CE162" s="17">
        <f>'[1]资源-钻石'!L161/$B$2*$C$12*10</f>
        <v>182066.83899648077</v>
      </c>
      <c r="CF162" s="17">
        <f>'[1]资源-钻石'!M161/$B$2*$C$12*10</f>
        <v>311402.65319546056</v>
      </c>
      <c r="CG162" s="17">
        <f>'[1]资源-钻石'!N161/$B$2*$C$12*10</f>
        <v>643314.0995054259</v>
      </c>
      <c r="CH162" s="17">
        <f>'[1]资源-钻石'!O161/$B$2*$C$12*10</f>
        <v>2045176.8520430953</v>
      </c>
      <c r="CI162" s="17">
        <f>'[1]资源-钻石'!P161/$B$2*$C$12*10</f>
        <v>5179636.4467957783</v>
      </c>
    </row>
    <row r="163" spans="8:87" x14ac:dyDescent="0.15">
      <c r="H163" s="17">
        <v>25</v>
      </c>
      <c r="I163" s="29">
        <f>IF(基础状态预期!C173="","",基础状态预期!C173)</f>
        <v>530</v>
      </c>
      <c r="J163" s="29">
        <f>IF(基础状态预期!D173="","",基础状态预期!D173)</f>
        <v>100.64473135315967</v>
      </c>
      <c r="K163" s="29" t="str">
        <f>IF(基础状态预期!F173="","",基础状态预期!F173)</f>
        <v/>
      </c>
      <c r="L163" s="29" t="str">
        <f>IF(基础状态预期!G173="","",基础状态预期!G173)</f>
        <v/>
      </c>
      <c r="M163" s="29" t="str">
        <f>IF(基础状态预期!H173="","",基础状态预期!H173)</f>
        <v/>
      </c>
      <c r="N163" s="29" t="str">
        <f>IF(基础状态预期!I173="","",基础状态预期!I173)</f>
        <v/>
      </c>
      <c r="O163" s="29">
        <f>IF(基础状态预期!J173="","",基础状态预期!J173)</f>
        <v>6</v>
      </c>
      <c r="P163" s="29">
        <f>武将进阶!O160</f>
        <v>0</v>
      </c>
      <c r="Q163" s="29">
        <f>武将进阶!P160</f>
        <v>0</v>
      </c>
      <c r="R163" s="29">
        <f>武将进阶!Q160</f>
        <v>0</v>
      </c>
      <c r="S163" s="29">
        <f>武将进阶!R160</f>
        <v>349.73677623791616</v>
      </c>
      <c r="T163" s="29">
        <f>武将进阶!S160</f>
        <v>0</v>
      </c>
      <c r="U163" s="29">
        <f>武将觉醒!T161</f>
        <v>0</v>
      </c>
      <c r="V163" s="29">
        <f>武将觉醒!U161</f>
        <v>0</v>
      </c>
      <c r="W163" s="29">
        <f>武将觉醒!V161</f>
        <v>0</v>
      </c>
      <c r="X163" s="29">
        <f>武将觉醒!W161</f>
        <v>0</v>
      </c>
      <c r="Y163" s="29">
        <f>武将觉醒!X161</f>
        <v>0</v>
      </c>
      <c r="Z163" s="29"/>
      <c r="AA163" s="29">
        <f>IF(L163="",0,同名需求(L163,武将升星!P160,B$6)+武将升星!U160)</f>
        <v>0</v>
      </c>
      <c r="AB163" s="29">
        <f>IF(M163="",0,同名需求(M163,武将升星!Q160,C$6)+武将升星!V160)</f>
        <v>0</v>
      </c>
      <c r="AC163" s="59">
        <f>IF(N163="",0,同名需求(N163,武将升星!R160,D$6*0.8)+武将升星!W160)</f>
        <v>0</v>
      </c>
      <c r="AD163" s="29">
        <f>IF(O163="",0,同名需求(O163,武将升星!S160,E$6)+武将升星!X160)</f>
        <v>108</v>
      </c>
      <c r="AE163" s="29">
        <f>MAX(U163+P163+IF(K163="",0,K163)*武将升星!O160,Z163)</f>
        <v>0</v>
      </c>
      <c r="AF163" s="29">
        <f>MAX(V163+Q163+IF(L163="",0,L163)*武将升星!P160,AA163)</f>
        <v>0</v>
      </c>
      <c r="AG163" s="29">
        <f>MAX(W163+R163+IF(M163="",0,M163)*武将升星!Q160,AB163)</f>
        <v>0</v>
      </c>
      <c r="AH163" s="29">
        <f>MAX(X163+S163+IF(N163="",0,N163)*武将升星!R160,AC163)</f>
        <v>349.73677623791616</v>
      </c>
      <c r="AI163" s="45">
        <f t="shared" si="168"/>
        <v>108</v>
      </c>
      <c r="AJ163" s="29">
        <f t="shared" si="144"/>
        <v>1292968.2629709989</v>
      </c>
      <c r="AK163" s="14" t="e">
        <f>AJ163/求节点('[1]资源-钻石'!$K$4:$K$113,'[1]资源-钻石'!$O$4:$O$113,J163)</f>
        <v>#VALUE!</v>
      </c>
      <c r="AL163" s="16" t="e">
        <f t="shared" si="169"/>
        <v>#DIV/0!</v>
      </c>
      <c r="AP163" s="17">
        <v>25</v>
      </c>
      <c r="AR163" s="16">
        <f t="shared" si="161"/>
        <v>35.552828107320074</v>
      </c>
      <c r="AS163" s="29">
        <f>IF(基础状态预期!C173="","",基础状态预期!C173)</f>
        <v>530</v>
      </c>
      <c r="AT163" s="29">
        <f>求节点(节奏总纲!$S$4:$S$163,其他调用!$F$4:$F$163,$AS163)*求节点($CP$5:$CP$36,$CT$5:$CT$36,AS28)</f>
        <v>5296991.6538282586</v>
      </c>
      <c r="AU163" s="37">
        <f t="shared" si="170"/>
        <v>0</v>
      </c>
      <c r="AV163" s="37">
        <f t="shared" si="171"/>
        <v>1</v>
      </c>
      <c r="AW163" s="38">
        <f t="shared" si="148"/>
        <v>0.4933333333333334</v>
      </c>
      <c r="AX163" s="38">
        <f t="shared" si="149"/>
        <v>0.26666666666666666</v>
      </c>
      <c r="AY163" s="38">
        <f t="shared" si="150"/>
        <v>0.04</v>
      </c>
      <c r="AZ163" s="38">
        <f t="shared" si="151"/>
        <v>0.02</v>
      </c>
      <c r="BA163" s="29">
        <f t="shared" si="172"/>
        <v>981258.05576203391</v>
      </c>
      <c r="BB163" s="29">
        <f t="shared" si="162"/>
        <v>2017.0304479552922</v>
      </c>
      <c r="BC163" s="29">
        <f t="shared" si="152"/>
        <v>1090.2867286244821</v>
      </c>
      <c r="BD163" s="29">
        <f t="shared" si="153"/>
        <v>163.54300929367233</v>
      </c>
      <c r="BE163" s="29">
        <f t="shared" si="154"/>
        <v>81.771504646836163</v>
      </c>
      <c r="BF163" s="29">
        <f t="shared" si="163"/>
        <v>4399</v>
      </c>
      <c r="BG163" s="29">
        <f t="shared" si="163"/>
        <v>795</v>
      </c>
      <c r="BH163" s="29">
        <f t="shared" si="163"/>
        <v>106</v>
      </c>
      <c r="BI163" s="29">
        <f t="shared" si="163"/>
        <v>0</v>
      </c>
      <c r="BJ163" s="29">
        <f>SUM(BB$142:BB163)+BF163</f>
        <v>15593.328396694807</v>
      </c>
      <c r="BK163" s="29">
        <f>SUM(BC$142:BC163)+BG163</f>
        <v>6680.5462820313987</v>
      </c>
      <c r="BL163" s="29">
        <f>SUM(BD$142:BD163)+BH163</f>
        <v>1053.7554097155289</v>
      </c>
      <c r="BM163" s="29">
        <f>SUM(BE$142:BE163)+BI163</f>
        <v>404.31684691760114</v>
      </c>
      <c r="BN163" s="29">
        <f>SUM(BT$142:BT163)</f>
        <v>41.363169556466879</v>
      </c>
      <c r="BO163" s="17" t="e">
        <f t="shared" si="173"/>
        <v>#DIV/0!</v>
      </c>
      <c r="BP163" s="17" t="e">
        <f t="shared" si="174"/>
        <v>#DIV/0!</v>
      </c>
      <c r="BQ163" s="17" t="e">
        <f t="shared" si="175"/>
        <v>#DIV/0!</v>
      </c>
      <c r="BR163" s="17">
        <f t="shared" si="164"/>
        <v>0</v>
      </c>
      <c r="BS163" s="17">
        <f t="shared" si="159"/>
        <v>80</v>
      </c>
      <c r="BT163" s="17">
        <f t="shared" si="165"/>
        <v>0</v>
      </c>
      <c r="BV163" s="17">
        <f t="shared" si="160"/>
        <v>704.01863347761275</v>
      </c>
      <c r="BW163" s="17">
        <v>159</v>
      </c>
      <c r="BX163" s="17">
        <f>'[1]资源-钻石'!L162/$B$2*$B$12*10</f>
        <v>480402.26945963269</v>
      </c>
      <c r="BY163" s="17">
        <f>'[1]资源-钻石'!M162/$B$2*$B$12*10</f>
        <v>822483.41661208309</v>
      </c>
      <c r="BZ163" s="17">
        <f>'[1]资源-钻石'!N162/$B$2*$B$12*10</f>
        <v>1700554.0403564845</v>
      </c>
      <c r="CA163" s="17">
        <f>'[1]资源-钻石'!O162/$B$2*$B$12*10</f>
        <v>5409636.0936230272</v>
      </c>
      <c r="CB163" s="17">
        <f>'[1]资源-钻石'!P162/$B$2*$B$12*10</f>
        <v>13703047.939849507</v>
      </c>
      <c r="CD163" s="17">
        <v>159</v>
      </c>
      <c r="CE163" s="17">
        <f>'[1]资源-钻石'!L162/$B$2*$C$12*10</f>
        <v>194593.32433807902</v>
      </c>
      <c r="CF163" s="17">
        <f>'[1]资源-钻石'!M162/$B$2*$C$12*10</f>
        <v>333157.83964033739</v>
      </c>
      <c r="CG163" s="17">
        <f>'[1]资源-钻石'!N162/$B$2*$C$12*10</f>
        <v>688832.01634693029</v>
      </c>
      <c r="CH163" s="17">
        <f>'[1]资源-钻石'!O162/$B$2*$C$12*10</f>
        <v>2191244.9999485682</v>
      </c>
      <c r="CI163" s="17">
        <f>'[1]资源-钻石'!P162/$B$2*$C$12*10</f>
        <v>5550601.6971542314</v>
      </c>
    </row>
    <row r="164" spans="8:87" x14ac:dyDescent="0.15">
      <c r="H164" s="17">
        <v>26</v>
      </c>
      <c r="I164" s="29">
        <f>IF(基础状态预期!C174="","",基础状态预期!C174)</f>
        <v>680</v>
      </c>
      <c r="J164" s="29">
        <f>IF(基础状态预期!D174="","",基础状态预期!D174)</f>
        <v>104.30731379164318</v>
      </c>
      <c r="K164" s="29" t="str">
        <f>IF(基础状态预期!F174="","",基础状态预期!F174)</f>
        <v/>
      </c>
      <c r="L164" s="29" t="str">
        <f>IF(基础状态预期!G174="","",基础状态预期!G174)</f>
        <v/>
      </c>
      <c r="M164" s="29" t="str">
        <f>IF(基础状态预期!H174="","",基础状态预期!H174)</f>
        <v/>
      </c>
      <c r="N164" s="29" t="str">
        <f>IF(基础状态预期!I174="","",基础状态预期!I174)</f>
        <v/>
      </c>
      <c r="O164" s="29">
        <f>IF(基础状态预期!J174="","",基础状态预期!J174)</f>
        <v>6</v>
      </c>
      <c r="P164" s="29">
        <f>武将进阶!O161</f>
        <v>0</v>
      </c>
      <c r="Q164" s="29">
        <f>武将进阶!P161</f>
        <v>0</v>
      </c>
      <c r="R164" s="29">
        <f>武将进阶!Q161</f>
        <v>0</v>
      </c>
      <c r="S164" s="29">
        <f>武将进阶!R161</f>
        <v>393.68776549971813</v>
      </c>
      <c r="T164" s="29">
        <f>武将进阶!S161</f>
        <v>0</v>
      </c>
      <c r="U164" s="29">
        <f>武将觉醒!T162</f>
        <v>0</v>
      </c>
      <c r="V164" s="29">
        <f>武将觉醒!U162</f>
        <v>0</v>
      </c>
      <c r="W164" s="29">
        <f>武将觉醒!V162</f>
        <v>0</v>
      </c>
      <c r="X164" s="29">
        <f>武将觉醒!W162</f>
        <v>0</v>
      </c>
      <c r="Y164" s="29">
        <f>武将觉醒!X162</f>
        <v>0</v>
      </c>
      <c r="Z164" s="29"/>
      <c r="AA164" s="29">
        <f>IF(L164="",0,同名需求(L164,武将升星!P161,B$6)+武将升星!U161)</f>
        <v>0</v>
      </c>
      <c r="AB164" s="29">
        <f>IF(M164="",0,同名需求(M164,武将升星!Q161,C$6)+武将升星!V161)</f>
        <v>0</v>
      </c>
      <c r="AC164" s="59">
        <f>IF(N164="",0,同名需求(N164,武将升星!R161,D$6*0.8)+武将升星!W161)</f>
        <v>0</v>
      </c>
      <c r="AD164" s="29">
        <f>IF(O164="",0,同名需求(O164,武将升星!S161,E$6)+武将升星!X161)</f>
        <v>108</v>
      </c>
      <c r="AE164" s="29">
        <f>MAX(U164+P164+IF(K164="",0,K164)*武将升星!O161,Z164)</f>
        <v>0</v>
      </c>
      <c r="AF164" s="29">
        <f>MAX(V164+Q164+IF(L164="",0,L164)*武将升星!P161,AA164)</f>
        <v>0</v>
      </c>
      <c r="AG164" s="29">
        <f>MAX(W164+R164+IF(M164="",0,M164)*武将升星!Q161,AB164)</f>
        <v>0</v>
      </c>
      <c r="AH164" s="29">
        <f>MAX(X164+S164+IF(N164="",0,N164)*武将升星!R161,AC164)</f>
        <v>393.68776549971813</v>
      </c>
      <c r="AI164" s="45">
        <f t="shared" si="168"/>
        <v>108</v>
      </c>
      <c r="AJ164" s="29">
        <f t="shared" si="144"/>
        <v>1398450.6371993234</v>
      </c>
      <c r="AK164" s="14" t="e">
        <f>AJ164/求节点('[1]资源-钻石'!$K$4:$K$113,'[1]资源-钻石'!$O$4:$O$113,J164)</f>
        <v>#VALUE!</v>
      </c>
      <c r="AL164" s="16" t="e">
        <f t="shared" si="169"/>
        <v>#DIV/0!</v>
      </c>
      <c r="AM164" s="16"/>
      <c r="AP164" s="17">
        <v>26</v>
      </c>
      <c r="AR164" s="16">
        <f t="shared" si="161"/>
        <v>39.345270844102984</v>
      </c>
      <c r="AS164" s="29">
        <f>IF(基础状态预期!C174="","",基础状态预期!C174)</f>
        <v>680</v>
      </c>
      <c r="AT164" s="29">
        <f>求节点(节奏总纲!$S$4:$S$163,其他调用!$F$4:$F$163,$AS164)*求节点($CP$5:$CP$36,$CT$5:$CT$36,AS29)</f>
        <v>6654403.4979498116</v>
      </c>
      <c r="AU164" s="37">
        <f t="shared" si="170"/>
        <v>0</v>
      </c>
      <c r="AV164" s="37">
        <f t="shared" si="171"/>
        <v>1</v>
      </c>
      <c r="AW164" s="38">
        <f t="shared" si="148"/>
        <v>0.4933333333333334</v>
      </c>
      <c r="AX164" s="38">
        <f t="shared" si="149"/>
        <v>0.26666666666666666</v>
      </c>
      <c r="AY164" s="38">
        <f t="shared" si="150"/>
        <v>0.04</v>
      </c>
      <c r="AZ164" s="38">
        <f t="shared" si="151"/>
        <v>0.02</v>
      </c>
      <c r="BA164" s="29">
        <f t="shared" si="172"/>
        <v>1357411.844121553</v>
      </c>
      <c r="BB164" s="29">
        <f t="shared" si="162"/>
        <v>2790.2354573609705</v>
      </c>
      <c r="BC164" s="29">
        <f t="shared" si="152"/>
        <v>1508.2353823572812</v>
      </c>
      <c r="BD164" s="29">
        <f t="shared" si="153"/>
        <v>226.23530735359219</v>
      </c>
      <c r="BE164" s="29">
        <f t="shared" si="154"/>
        <v>113.1176536767961</v>
      </c>
      <c r="BF164" s="29">
        <f t="shared" si="163"/>
        <v>5644.0000000000009</v>
      </c>
      <c r="BG164" s="29">
        <f t="shared" si="163"/>
        <v>1020</v>
      </c>
      <c r="BH164" s="29">
        <f t="shared" si="163"/>
        <v>136</v>
      </c>
      <c r="BI164" s="29">
        <f t="shared" si="163"/>
        <v>0</v>
      </c>
      <c r="BJ164" s="29">
        <f>SUM(BB$142:BB164)+BF164</f>
        <v>19628.563854055777</v>
      </c>
      <c r="BK164" s="29">
        <f>SUM(BC$142:BC164)+BG164</f>
        <v>8413.7816643886799</v>
      </c>
      <c r="BL164" s="29">
        <f>SUM(BD$142:BD164)+BH164</f>
        <v>1309.990717069121</v>
      </c>
      <c r="BM164" s="29">
        <f>SUM(BE$142:BE164)+BI164</f>
        <v>517.43450059439726</v>
      </c>
      <c r="BN164" s="29">
        <f>SUM(BT$142:BT164)</f>
        <v>41.363169556466879</v>
      </c>
      <c r="BO164" s="17" t="e">
        <f t="shared" si="173"/>
        <v>#VALUE!</v>
      </c>
      <c r="BP164" s="17" t="e">
        <f t="shared" si="174"/>
        <v>#VALUE!</v>
      </c>
      <c r="BQ164" s="17" t="e">
        <f t="shared" si="175"/>
        <v>#VALUE!</v>
      </c>
      <c r="BR164" s="17">
        <f t="shared" si="164"/>
        <v>0</v>
      </c>
      <c r="BS164" s="17">
        <f t="shared" si="159"/>
        <v>80</v>
      </c>
      <c r="BT164" s="17">
        <f t="shared" si="165"/>
        <v>0</v>
      </c>
      <c r="BV164" s="17">
        <f t="shared" si="160"/>
        <v>916.30295156940292</v>
      </c>
      <c r="BW164" s="17">
        <v>160</v>
      </c>
      <c r="BX164" s="17">
        <f>'[1]资源-钻石'!L163/$B$2*$B$12*10</f>
        <v>513546.60729932011</v>
      </c>
      <c r="BY164" s="17">
        <f>'[1]资源-钻石'!M163/$B$2*$B$12*10</f>
        <v>880046.35063794791</v>
      </c>
      <c r="BZ164" s="17">
        <f>'[1]资源-钻石'!N163/$B$2*$B$12*10</f>
        <v>1820991.750728732</v>
      </c>
      <c r="CA164" s="17">
        <f>'[1]资源-钻石'!O163/$B$2*$B$12*10</f>
        <v>5796123.756345083</v>
      </c>
      <c r="CB164" s="17">
        <f>'[1]资源-钻石'!P163/$B$2*$B$12*10</f>
        <v>14684600.007278502</v>
      </c>
      <c r="CD164" s="17">
        <v>160</v>
      </c>
      <c r="CE164" s="17">
        <f>'[1]资源-钻石'!L163/$B$2*$C$12*10</f>
        <v>208018.87890605372</v>
      </c>
      <c r="CF164" s="17">
        <f>'[1]资源-钻石'!M163/$B$2*$C$12*10</f>
        <v>356474.47114448523</v>
      </c>
      <c r="CG164" s="17">
        <f>'[1]资源-钻石'!N163/$B$2*$C$12*10</f>
        <v>737616.91168758762</v>
      </c>
      <c r="CH164" s="17">
        <f>'[1]资源-钻石'!O163/$B$2*$C$12*10</f>
        <v>2347796.9645954766</v>
      </c>
      <c r="CI164" s="17">
        <f>'[1]资源-钻石'!P163/$B$2*$C$12*10</f>
        <v>5948192.4080115454</v>
      </c>
    </row>
    <row r="165" spans="8:87" x14ac:dyDescent="0.15">
      <c r="H165" s="17">
        <v>27</v>
      </c>
      <c r="I165" s="29">
        <f>IF(基础状态预期!C175="","",基础状态预期!C175)</f>
        <v>860</v>
      </c>
      <c r="J165" s="29">
        <f>IF(基础状态预期!D175="","",基础状态预期!D175)</f>
        <v>107.78950972208385</v>
      </c>
      <c r="K165" s="29" t="str">
        <f>IF(基础状态预期!F175="","",基础状态预期!F175)</f>
        <v/>
      </c>
      <c r="L165" s="29" t="str">
        <f>IF(基础状态预期!G175="","",基础状态预期!G175)</f>
        <v/>
      </c>
      <c r="M165" s="29" t="str">
        <f>IF(基础状态预期!H175="","",基础状态预期!H175)</f>
        <v/>
      </c>
      <c r="N165" s="29" t="str">
        <f>IF(基础状态预期!I175="","",基础状态预期!I175)</f>
        <v/>
      </c>
      <c r="O165" s="29">
        <f>IF(基础状态预期!J175="","",基础状态预期!J175)</f>
        <v>6</v>
      </c>
      <c r="P165" s="29">
        <f>武将进阶!O162</f>
        <v>0</v>
      </c>
      <c r="Q165" s="29">
        <f>武将进阶!P162</f>
        <v>0</v>
      </c>
      <c r="R165" s="29">
        <f>武将进阶!Q162</f>
        <v>0</v>
      </c>
      <c r="S165" s="29">
        <f>武将进阶!R162</f>
        <v>435.47411666500625</v>
      </c>
      <c r="T165" s="29">
        <f>武将进阶!S162</f>
        <v>0</v>
      </c>
      <c r="U165" s="29">
        <f>武将觉醒!T163</f>
        <v>0</v>
      </c>
      <c r="V165" s="29">
        <f>武将觉醒!U163</f>
        <v>0</v>
      </c>
      <c r="W165" s="29">
        <f>武将觉醒!V163</f>
        <v>0</v>
      </c>
      <c r="X165" s="29">
        <f>武将觉醒!W163</f>
        <v>0</v>
      </c>
      <c r="Y165" s="29">
        <f>武将觉醒!X163</f>
        <v>0</v>
      </c>
      <c r="Z165" s="29"/>
      <c r="AA165" s="29">
        <f>IF(L165="",0,同名需求(L165,武将升星!P162,B$6)+武将升星!U162)</f>
        <v>0</v>
      </c>
      <c r="AB165" s="29">
        <f>IF(M165="",0,同名需求(M165,武将升星!Q162,C$6)+武将升星!V162)</f>
        <v>0</v>
      </c>
      <c r="AC165" s="59">
        <f>IF(N165="",0,同名需求(N165,武将升星!R162,D$6*0.8)+武将升星!W162)</f>
        <v>0</v>
      </c>
      <c r="AD165" s="29">
        <f>IF(O165="",0,同名需求(O165,武将升星!S162,E$6)+武将升星!X162)</f>
        <v>108</v>
      </c>
      <c r="AE165" s="29">
        <f>MAX(U165+P165+IF(K165="",0,K165)*武将升星!O162,Z165)</f>
        <v>0</v>
      </c>
      <c r="AF165" s="29">
        <f>MAX(V165+Q165+IF(L165="",0,L165)*武将升星!P162,AA165)</f>
        <v>0</v>
      </c>
      <c r="AG165" s="29">
        <f>MAX(W165+R165+IF(M165="",0,M165)*武将升星!Q162,AB165)</f>
        <v>0</v>
      </c>
      <c r="AH165" s="29">
        <f>MAX(X165+S165+IF(N165="",0,N165)*武将升星!R162,AC165)</f>
        <v>435.47411666500625</v>
      </c>
      <c r="AI165" s="45">
        <f t="shared" si="168"/>
        <v>108</v>
      </c>
      <c r="AJ165" s="29">
        <f t="shared" si="144"/>
        <v>1498737.879996015</v>
      </c>
      <c r="AK165" s="14" t="e">
        <f>AJ165/求节点('[1]资源-钻石'!$K$4:$K$113,'[1]资源-钻石'!$O$4:$O$113,J165)</f>
        <v>#VALUE!</v>
      </c>
      <c r="AL165" s="16" t="e">
        <f t="shared" si="169"/>
        <v>#DIV/0!</v>
      </c>
      <c r="AM165" s="16"/>
      <c r="AP165" s="17">
        <v>27</v>
      </c>
      <c r="AR165" s="16">
        <f t="shared" si="161"/>
        <v>38.482099602936842</v>
      </c>
      <c r="AS165" s="29">
        <f>IF(基础状态预期!C175="","",基础状态预期!C175)</f>
        <v>860</v>
      </c>
      <c r="AT165" s="29">
        <f>求节点(节奏总纲!$S$4:$S$163,其他调用!$F$4:$F$163,$AS165)*求节点($CP$5:$CP$36,$CT$5:$CT$36,AS30)</f>
        <v>8247562.4215113968</v>
      </c>
      <c r="AU165" s="37">
        <f t="shared" si="170"/>
        <v>0</v>
      </c>
      <c r="AV165" s="37">
        <f t="shared" si="171"/>
        <v>1</v>
      </c>
      <c r="AW165" s="38">
        <f t="shared" si="148"/>
        <v>0.4933333333333334</v>
      </c>
      <c r="AX165" s="38">
        <f t="shared" si="149"/>
        <v>0.26666666666666666</v>
      </c>
      <c r="AY165" s="38">
        <f t="shared" si="150"/>
        <v>0.04</v>
      </c>
      <c r="AZ165" s="38">
        <f t="shared" si="151"/>
        <v>0.02</v>
      </c>
      <c r="BA165" s="29">
        <f t="shared" si="172"/>
        <v>1593158.9235615851</v>
      </c>
      <c r="BB165" s="29">
        <f t="shared" si="162"/>
        <v>3274.8266762099256</v>
      </c>
      <c r="BC165" s="29">
        <f t="shared" si="152"/>
        <v>1770.1765817350945</v>
      </c>
      <c r="BD165" s="29">
        <f t="shared" si="153"/>
        <v>265.52648726026416</v>
      </c>
      <c r="BE165" s="29">
        <f t="shared" si="154"/>
        <v>132.76324363013208</v>
      </c>
      <c r="BF165" s="29">
        <f t="shared" si="163"/>
        <v>7138.0000000000009</v>
      </c>
      <c r="BG165" s="29">
        <f t="shared" si="163"/>
        <v>1290</v>
      </c>
      <c r="BH165" s="29">
        <f t="shared" si="163"/>
        <v>172</v>
      </c>
      <c r="BI165" s="29">
        <f t="shared" si="163"/>
        <v>0</v>
      </c>
      <c r="BJ165" s="29">
        <f>SUM(BB$142:BB165)+BF165</f>
        <v>24397.390530265704</v>
      </c>
      <c r="BK165" s="29">
        <f>SUM(BC$142:BC165)+BG165</f>
        <v>10453.958246123775</v>
      </c>
      <c r="BL165" s="29">
        <f>SUM(BD$142:BD165)+BH165</f>
        <v>1611.5172043293851</v>
      </c>
      <c r="BM165" s="29">
        <f>SUM(BE$142:BE165)+BI165</f>
        <v>650.19774422452929</v>
      </c>
      <c r="BN165" s="29">
        <f>SUM(BT$142:BT165)</f>
        <v>41.363169556466879</v>
      </c>
      <c r="BO165" s="17">
        <f t="shared" si="173"/>
        <v>1446.0863267103946</v>
      </c>
      <c r="BP165" s="17">
        <f t="shared" si="174"/>
        <v>268.58620072156418</v>
      </c>
      <c r="BQ165" s="17" t="e">
        <f t="shared" si="175"/>
        <v>#DIV/0!</v>
      </c>
      <c r="BR165" s="17">
        <f t="shared" si="164"/>
        <v>0</v>
      </c>
      <c r="BS165" s="17">
        <f t="shared" si="159"/>
        <v>80</v>
      </c>
      <c r="BT165" s="17">
        <f t="shared" si="165"/>
        <v>0</v>
      </c>
      <c r="BV165" s="17">
        <f t="shared" si="160"/>
        <v>1176.0430876643788</v>
      </c>
    </row>
    <row r="166" spans="8:87" x14ac:dyDescent="0.15">
      <c r="H166" s="17">
        <v>28</v>
      </c>
      <c r="I166" s="29">
        <f>IF(基础状态预期!C176="","",基础状态预期!C176)</f>
        <v>1100</v>
      </c>
      <c r="J166" s="29">
        <f>IF(基础状态预期!D176="","",基础状态预期!D176)</f>
        <v>111.29737083030383</v>
      </c>
      <c r="K166" s="29" t="str">
        <f>IF(基础状态预期!F176="","",基础状态预期!F176)</f>
        <v/>
      </c>
      <c r="L166" s="29" t="str">
        <f>IF(基础状态预期!G176="","",基础状态预期!G176)</f>
        <v/>
      </c>
      <c r="M166" s="29" t="str">
        <f>IF(基础状态预期!H176="","",基础状态预期!H176)</f>
        <v/>
      </c>
      <c r="N166" s="29" t="str">
        <f>IF(基础状态预期!I176="","",基础状态预期!I176)</f>
        <v/>
      </c>
      <c r="O166" s="29">
        <f>IF(基础状态预期!J176="","",基础状态预期!J176)</f>
        <v>6</v>
      </c>
      <c r="P166" s="29">
        <f>武将进阶!O163</f>
        <v>0</v>
      </c>
      <c r="Q166" s="29">
        <f>武将进阶!P163</f>
        <v>0</v>
      </c>
      <c r="R166" s="29">
        <f>武将进阶!Q163</f>
        <v>0</v>
      </c>
      <c r="S166" s="29">
        <f>武将进阶!R163</f>
        <v>477.56844996364617</v>
      </c>
      <c r="T166" s="29">
        <f>武将进阶!S163</f>
        <v>0</v>
      </c>
      <c r="U166" s="29">
        <f>武将觉醒!T164</f>
        <v>0</v>
      </c>
      <c r="V166" s="29">
        <f>武将觉醒!U164</f>
        <v>0</v>
      </c>
      <c r="W166" s="29">
        <f>武将觉醒!V164</f>
        <v>0</v>
      </c>
      <c r="X166" s="29">
        <f>武将觉醒!W164</f>
        <v>0</v>
      </c>
      <c r="Y166" s="29">
        <f>武将觉醒!X164</f>
        <v>0</v>
      </c>
      <c r="Z166" s="29"/>
      <c r="AA166" s="29">
        <f>IF(L166="",0,同名需求(L166,武将升星!P163,B$6)+武将升星!U163)</f>
        <v>0</v>
      </c>
      <c r="AB166" s="29">
        <f>IF(M166="",0,同名需求(M166,武将升星!Q163,C$6)+武将升星!V163)</f>
        <v>0</v>
      </c>
      <c r="AC166" s="59">
        <f>IF(N166="",0,同名需求(N166,武将升星!R163,D$6*0.8)+武将升星!W163)</f>
        <v>0</v>
      </c>
      <c r="AD166" s="29">
        <f>IF(O166="",0,同名需求(O166,武将升星!S163,E$6)+武将升星!X163)</f>
        <v>108</v>
      </c>
      <c r="AE166" s="29">
        <f>MAX(U166+P166+IF(K166="",0,K166)*武将升星!O163,Z166)</f>
        <v>0</v>
      </c>
      <c r="AF166" s="29">
        <f>MAX(V166+Q166+IF(L166="",0,L166)*武将升星!P163,AA166)</f>
        <v>0</v>
      </c>
      <c r="AG166" s="29">
        <f>MAX(W166+R166+IF(M166="",0,M166)*武将升星!Q163,AB166)</f>
        <v>0</v>
      </c>
      <c r="AH166" s="29">
        <f>MAX(X166+S166+IF(N166="",0,N166)*武将升星!R163,AC166)</f>
        <v>477.56844996364617</v>
      </c>
      <c r="AI166" s="45">
        <f t="shared" si="168"/>
        <v>108</v>
      </c>
      <c r="AJ166" s="29">
        <f t="shared" si="144"/>
        <v>1599764.2799127509</v>
      </c>
      <c r="AK166" s="14" t="e">
        <f>AJ166/求节点('[1]资源-钻石'!$K$4:$K$113,'[1]资源-钻石'!$O$4:$O$113,J166)</f>
        <v>#VALUE!</v>
      </c>
      <c r="AL166" s="16" t="e">
        <f t="shared" si="169"/>
        <v>#DIV/0!</v>
      </c>
      <c r="AM166" s="16"/>
      <c r="AP166" s="17">
        <v>28</v>
      </c>
      <c r="AR166" s="16">
        <f t="shared" si="161"/>
        <v>37.738832178077615</v>
      </c>
      <c r="AS166" s="29">
        <f>IF(基础状态预期!C176="","",基础状态预期!C176)</f>
        <v>1100</v>
      </c>
      <c r="AT166" s="29">
        <f>求节点(节奏总纲!$S$4:$S$163,其他调用!$F$4:$F$163,$AS166)*求节点($CP$5:$CP$36,$CT$5:$CT$36,AS31)</f>
        <v>10330745.957741281</v>
      </c>
      <c r="AU166" s="37">
        <f t="shared" si="170"/>
        <v>0</v>
      </c>
      <c r="AV166" s="37">
        <f t="shared" si="171"/>
        <v>1</v>
      </c>
      <c r="AW166" s="38">
        <f t="shared" si="148"/>
        <v>0.4933333333333334</v>
      </c>
      <c r="AX166" s="38">
        <f t="shared" si="149"/>
        <v>0.26666666666666666</v>
      </c>
      <c r="AY166" s="38">
        <f t="shared" si="150"/>
        <v>0.04</v>
      </c>
      <c r="AZ166" s="38">
        <f t="shared" si="151"/>
        <v>0.02</v>
      </c>
      <c r="BA166" s="29">
        <f t="shared" si="172"/>
        <v>2083183.5362298843</v>
      </c>
      <c r="BB166" s="29">
        <f t="shared" si="162"/>
        <v>4282.0994911392063</v>
      </c>
      <c r="BC166" s="29">
        <f t="shared" si="152"/>
        <v>2314.64837358876</v>
      </c>
      <c r="BD166" s="29">
        <f t="shared" si="153"/>
        <v>347.19725603831404</v>
      </c>
      <c r="BE166" s="29">
        <f t="shared" si="154"/>
        <v>173.59862801915702</v>
      </c>
      <c r="BF166" s="29">
        <f t="shared" si="163"/>
        <v>9130</v>
      </c>
      <c r="BG166" s="29">
        <f t="shared" si="163"/>
        <v>1650</v>
      </c>
      <c r="BH166" s="29">
        <f t="shared" si="163"/>
        <v>220</v>
      </c>
      <c r="BI166" s="29">
        <f t="shared" si="163"/>
        <v>0</v>
      </c>
      <c r="BJ166" s="29">
        <f>SUM(BB$142:BB166)+BF166</f>
        <v>30671.490021404912</v>
      </c>
      <c r="BK166" s="29">
        <f>SUM(BC$142:BC166)+BG166</f>
        <v>13128.606619712535</v>
      </c>
      <c r="BL166" s="29">
        <f>SUM(BD$142:BD166)+BH166</f>
        <v>2006.7144603676991</v>
      </c>
      <c r="BM166" s="29">
        <f>SUM(BE$142:BE166)+BI166</f>
        <v>823.79637224368628</v>
      </c>
      <c r="BN166" s="29">
        <f>SUM(BT$142:BT166)</f>
        <v>41.363169556466879</v>
      </c>
      <c r="BO166" s="17">
        <f t="shared" si="173"/>
        <v>945.32175562073235</v>
      </c>
      <c r="BP166" s="17">
        <f t="shared" si="174"/>
        <v>115.41844446132082</v>
      </c>
      <c r="BQ166" s="17" t="e">
        <f t="shared" si="175"/>
        <v>#DIV/0!</v>
      </c>
      <c r="BR166" s="17">
        <f t="shared" si="164"/>
        <v>0</v>
      </c>
      <c r="BS166" s="17">
        <f t="shared" si="159"/>
        <v>80</v>
      </c>
      <c r="BT166" s="17">
        <f t="shared" si="165"/>
        <v>0</v>
      </c>
      <c r="BV166" s="17">
        <f t="shared" si="160"/>
        <v>1529.146010404053</v>
      </c>
    </row>
    <row r="167" spans="8:87" x14ac:dyDescent="0.15">
      <c r="H167" s="17">
        <v>29</v>
      </c>
      <c r="I167" s="29">
        <f>IF(基础状态预期!C177="","",基础状态预期!C177)</f>
        <v>1400</v>
      </c>
      <c r="J167" s="29">
        <f>IF(基础状态预期!D177="","",基础状态预期!D177)</f>
        <v>114.91888401282834</v>
      </c>
      <c r="K167" s="29" t="str">
        <f>IF(基础状态预期!F177="","",基础状态预期!F177)</f>
        <v/>
      </c>
      <c r="L167" s="29" t="str">
        <f>IF(基础状态预期!G177="","",基础状态预期!G177)</f>
        <v/>
      </c>
      <c r="M167" s="29" t="str">
        <f>IF(基础状态预期!H177="","",基础状态预期!H177)</f>
        <v/>
      </c>
      <c r="N167" s="29" t="str">
        <f>IF(基础状态预期!I177="","",基础状态预期!I177)</f>
        <v/>
      </c>
      <c r="O167" s="29">
        <f>IF(基础状态预期!J177="","",基础状态预期!J177)</f>
        <v>6</v>
      </c>
      <c r="P167" s="29">
        <f>武将进阶!O164</f>
        <v>0</v>
      </c>
      <c r="Q167" s="29">
        <f>武将进阶!P164</f>
        <v>0</v>
      </c>
      <c r="R167" s="29">
        <f>武将进阶!Q164</f>
        <v>0</v>
      </c>
      <c r="S167" s="29">
        <f>武将进阶!R164</f>
        <v>521.02660815394017</v>
      </c>
      <c r="T167" s="29">
        <f>武将进阶!S164</f>
        <v>0</v>
      </c>
      <c r="U167" s="29">
        <f>武将觉醒!T165</f>
        <v>0</v>
      </c>
      <c r="V167" s="29">
        <f>武将觉醒!U165</f>
        <v>0</v>
      </c>
      <c r="W167" s="29">
        <f>武将觉醒!V165</f>
        <v>0</v>
      </c>
      <c r="X167" s="29">
        <f>武将觉醒!W165</f>
        <v>0</v>
      </c>
      <c r="Y167" s="29">
        <f>武将觉醒!X165</f>
        <v>0</v>
      </c>
      <c r="Z167" s="29"/>
      <c r="AA167" s="29">
        <f>IF(L167="",0,同名需求(L167,武将升星!P164,B$6)+武将升星!U164)</f>
        <v>0</v>
      </c>
      <c r="AB167" s="29">
        <f>IF(M167="",0,同名需求(M167,武将升星!Q164,C$6)+武将升星!V164)</f>
        <v>0</v>
      </c>
      <c r="AC167" s="59">
        <f>IF(N167="",0,同名需求(N167,武将升星!R164,D$6*0.8)+武将升星!W164)</f>
        <v>0</v>
      </c>
      <c r="AD167" s="29">
        <f>IF(O167="",0,同名需求(O167,武将升星!S164,E$6)+武将升星!X164)</f>
        <v>108</v>
      </c>
      <c r="AE167" s="29">
        <f>MAX(U167+P167+IF(K167="",0,K167)*武将升星!O164,Z167)</f>
        <v>0</v>
      </c>
      <c r="AF167" s="29">
        <f>MAX(V167+Q167+IF(L167="",0,L167)*武将升星!P164,AA167)</f>
        <v>0</v>
      </c>
      <c r="AG167" s="29">
        <f>MAX(W167+R167+IF(M167="",0,M167)*武将升星!Q164,AB167)</f>
        <v>0</v>
      </c>
      <c r="AH167" s="29">
        <f>MAX(X167+S167+IF(N167="",0,N167)*武将升星!R164,AC167)</f>
        <v>521.02660815394017</v>
      </c>
      <c r="AI167" s="45">
        <f t="shared" si="168"/>
        <v>108</v>
      </c>
      <c r="AJ167" s="29">
        <f t="shared" si="144"/>
        <v>1704063.8595694564</v>
      </c>
      <c r="AK167" s="14" t="e">
        <f>AJ167/求节点('[1]资源-钻石'!$K$4:$K$113,'[1]资源-钻石'!$O$4:$O$113,J167)</f>
        <v>#VALUE!</v>
      </c>
      <c r="AL167" s="16" t="e">
        <f t="shared" si="169"/>
        <v>#DIV/0!</v>
      </c>
      <c r="AM167" s="16"/>
      <c r="AP167" s="17">
        <v>29</v>
      </c>
      <c r="AR167" s="16">
        <f t="shared" si="161"/>
        <v>37.22355658344862</v>
      </c>
      <c r="AS167" s="29">
        <f>IF(基础状态预期!C177="","",基础状态预期!C177)</f>
        <v>1400</v>
      </c>
      <c r="AT167" s="29">
        <f>求节点(节奏总纲!$S$4:$S$163,其他调用!$F$4:$F$163,$AS167)*求节点($CP$5:$CP$36,$CT$5:$CT$36,AS32)</f>
        <v>12899171.361999236</v>
      </c>
      <c r="AU167" s="37">
        <f t="shared" si="170"/>
        <v>0</v>
      </c>
      <c r="AV167" s="37">
        <f t="shared" si="171"/>
        <v>1</v>
      </c>
      <c r="AW167" s="38">
        <f t="shared" si="148"/>
        <v>0.4933333333333334</v>
      </c>
      <c r="AX167" s="38">
        <f t="shared" si="149"/>
        <v>0.26666666666666666</v>
      </c>
      <c r="AY167" s="38">
        <f t="shared" si="150"/>
        <v>0.04</v>
      </c>
      <c r="AZ167" s="38">
        <f t="shared" si="151"/>
        <v>0.02</v>
      </c>
      <c r="BA167" s="29">
        <f t="shared" si="172"/>
        <v>2568425.404257955</v>
      </c>
      <c r="BB167" s="29">
        <f t="shared" si="162"/>
        <v>5279.5411087524635</v>
      </c>
      <c r="BC167" s="29">
        <f t="shared" si="152"/>
        <v>2853.806004731061</v>
      </c>
      <c r="BD167" s="29">
        <f t="shared" si="153"/>
        <v>428.07090070965921</v>
      </c>
      <c r="BE167" s="29">
        <f t="shared" si="154"/>
        <v>214.03545035482961</v>
      </c>
      <c r="BF167" s="29">
        <f t="shared" si="163"/>
        <v>11620.000000000002</v>
      </c>
      <c r="BG167" s="29">
        <f t="shared" si="163"/>
        <v>2100</v>
      </c>
      <c r="BH167" s="29">
        <f t="shared" si="163"/>
        <v>280</v>
      </c>
      <c r="BI167" s="29">
        <f t="shared" si="163"/>
        <v>0</v>
      </c>
      <c r="BJ167" s="29">
        <f>SUM(BB$142:BB167)+BF167</f>
        <v>38441.031130157375</v>
      </c>
      <c r="BK167" s="29">
        <f>SUM(BC$142:BC167)+BG167</f>
        <v>16432.412624443597</v>
      </c>
      <c r="BL167" s="29">
        <f>SUM(BD$142:BD167)+BH167</f>
        <v>2494.7853610773582</v>
      </c>
      <c r="BM167" s="29">
        <f>SUM(BE$142:BE167)+BI167</f>
        <v>1037.8318225985158</v>
      </c>
      <c r="BN167" s="29">
        <f>SUM(BT$142:BT167)</f>
        <v>41.363169556466879</v>
      </c>
      <c r="BO167" s="17">
        <f t="shared" si="173"/>
        <v>779.22002785192797</v>
      </c>
      <c r="BP167" s="17">
        <f t="shared" si="174"/>
        <v>66.567232987630646</v>
      </c>
      <c r="BQ167" s="17" t="e">
        <f t="shared" si="175"/>
        <v>#DIV/0!</v>
      </c>
      <c r="BR167" s="17">
        <f t="shared" si="164"/>
        <v>0</v>
      </c>
      <c r="BS167" s="17">
        <f t="shared" si="159"/>
        <v>80</v>
      </c>
      <c r="BT167" s="17">
        <f t="shared" si="165"/>
        <v>0</v>
      </c>
      <c r="BV167" s="17">
        <f t="shared" si="160"/>
        <v>1973.7587529234179</v>
      </c>
    </row>
    <row r="168" spans="8:87" x14ac:dyDescent="0.15">
      <c r="H168" s="17">
        <v>30</v>
      </c>
      <c r="I168" s="29">
        <f>IF(基础状态预期!C178="","",基础状态预期!C178)</f>
        <v>1790</v>
      </c>
      <c r="J168" s="29">
        <f>IF(基础状态预期!D178="","",基础状态预期!D178)</f>
        <v>118.4172728380062</v>
      </c>
      <c r="K168" s="29" t="str">
        <f>IF(基础状态预期!F178="","",基础状态预期!F178)</f>
        <v/>
      </c>
      <c r="L168" s="29" t="str">
        <f>IF(基础状态预期!G178="","",基础状态预期!G178)</f>
        <v/>
      </c>
      <c r="M168" s="29" t="str">
        <f>IF(基础状态预期!H178="","",基础状态预期!H178)</f>
        <v/>
      </c>
      <c r="N168" s="29" t="str">
        <f>IF(基础状态预期!I178="","",基础状态预期!I178)</f>
        <v/>
      </c>
      <c r="O168" s="29">
        <f>IF(基础状态预期!J178="","",基础状态预期!J178)</f>
        <v>6</v>
      </c>
      <c r="P168" s="29">
        <f>武将进阶!O165</f>
        <v>0</v>
      </c>
      <c r="Q168" s="29">
        <f>武将进阶!P165</f>
        <v>0</v>
      </c>
      <c r="R168" s="29">
        <f>武将进阶!Q165</f>
        <v>0</v>
      </c>
      <c r="S168" s="29">
        <f>武将进阶!R165</f>
        <v>563.00727405607449</v>
      </c>
      <c r="T168" s="29">
        <f>武将进阶!S165</f>
        <v>0</v>
      </c>
      <c r="U168" s="29">
        <f>武将觉醒!T166</f>
        <v>0</v>
      </c>
      <c r="V168" s="29">
        <f>武将觉醒!U166</f>
        <v>0</v>
      </c>
      <c r="W168" s="29">
        <f>武将觉醒!V166</f>
        <v>0</v>
      </c>
      <c r="X168" s="29">
        <f>武将觉醒!W166</f>
        <v>0</v>
      </c>
      <c r="Y168" s="29">
        <f>武将觉醒!X166</f>
        <v>0</v>
      </c>
      <c r="Z168" s="29"/>
      <c r="AA168" s="29">
        <f>IF(L168="",0,同名需求(L168,武将升星!P165,B$6)+武将升星!U165)</f>
        <v>0</v>
      </c>
      <c r="AB168" s="29">
        <f>IF(M168="",0,同名需求(M168,武将升星!Q165,C$6)+武将升星!V165)</f>
        <v>0</v>
      </c>
      <c r="AC168" s="59">
        <f>IF(N168="",0,同名需求(N168,武将升星!R165,D$6*0.8)+武将升星!W165)</f>
        <v>0</v>
      </c>
      <c r="AD168" s="29">
        <f>IF(O168="",0,同名需求(O168,武将升星!S165,E$6)+武将升星!X165)</f>
        <v>108</v>
      </c>
      <c r="AE168" s="29">
        <f>MAX(U168+P168+IF(K168="",0,K168)*武将升星!O165,Z168)</f>
        <v>0</v>
      </c>
      <c r="AF168" s="29">
        <f>MAX(V168+Q168+IF(L168="",0,L168)*武将升星!P165,AA168)</f>
        <v>0</v>
      </c>
      <c r="AG168" s="29">
        <f>MAX(W168+R168+IF(M168="",0,M168)*武将升星!Q165,AB168)</f>
        <v>0</v>
      </c>
      <c r="AH168" s="29">
        <f>MAX(X168+S168+IF(N168="",0,N168)*武将升星!R165,AC168)</f>
        <v>563.00727405607449</v>
      </c>
      <c r="AI168" s="45">
        <f t="shared" si="168"/>
        <v>108</v>
      </c>
      <c r="AJ168" s="29">
        <f t="shared" si="144"/>
        <v>1804817.4577345788</v>
      </c>
      <c r="AK168" s="14" t="e">
        <f>AJ168/求节点('[1]资源-钻石'!$K$4:$K$113,'[1]资源-钻石'!$O$4:$O$113,J168)</f>
        <v>#VALUE!</v>
      </c>
      <c r="AL168" s="16" t="e">
        <f t="shared" si="169"/>
        <v>#DIV/0!</v>
      </c>
      <c r="AM168" s="16"/>
      <c r="AP168" s="17">
        <v>30</v>
      </c>
      <c r="AR168" s="16">
        <f t="shared" si="161"/>
        <v>36.563411080336614</v>
      </c>
      <c r="AS168" s="29">
        <f>IF(基础状态预期!C178="","",基础状态预期!C178)</f>
        <v>1790</v>
      </c>
      <c r="AT168" s="29">
        <f>求节点(节奏总纲!$S$4:$S$163,其他调用!$F$4:$F$163,$AS168)*求节点($CP$5:$CP$36,$CT$5:$CT$36,AS33)</f>
        <v>16178909.335905431</v>
      </c>
      <c r="AU168" s="37">
        <f t="shared" si="170"/>
        <v>0</v>
      </c>
      <c r="AV168" s="37">
        <f t="shared" si="171"/>
        <v>1</v>
      </c>
      <c r="AW168" s="38">
        <f t="shared" si="148"/>
        <v>0.4933333333333334</v>
      </c>
      <c r="AX168" s="38">
        <f t="shared" si="149"/>
        <v>0.26666666666666666</v>
      </c>
      <c r="AY168" s="38">
        <f t="shared" si="150"/>
        <v>0.04</v>
      </c>
      <c r="AZ168" s="38">
        <f t="shared" si="151"/>
        <v>0.02</v>
      </c>
      <c r="BA168" s="29">
        <f t="shared" si="172"/>
        <v>3279737.9739061948</v>
      </c>
      <c r="BB168" s="29">
        <f t="shared" si="162"/>
        <v>6741.6836130294014</v>
      </c>
      <c r="BC168" s="29">
        <f t="shared" si="152"/>
        <v>3644.1533043402164</v>
      </c>
      <c r="BD168" s="29">
        <f t="shared" si="153"/>
        <v>546.62299565103251</v>
      </c>
      <c r="BE168" s="29">
        <f t="shared" si="154"/>
        <v>273.31149782551626</v>
      </c>
      <c r="BF168" s="29">
        <f t="shared" si="163"/>
        <v>14857.000000000002</v>
      </c>
      <c r="BG168" s="29">
        <f t="shared" si="163"/>
        <v>2685</v>
      </c>
      <c r="BH168" s="29">
        <f t="shared" si="163"/>
        <v>358</v>
      </c>
      <c r="BI168" s="29">
        <f t="shared" si="163"/>
        <v>0</v>
      </c>
      <c r="BJ168" s="29">
        <f>SUM(BB$142:BB168)+BF168</f>
        <v>48419.714743186778</v>
      </c>
      <c r="BK168" s="29">
        <f>SUM(BC$142:BC168)+BG168</f>
        <v>20661.565928783813</v>
      </c>
      <c r="BL168" s="29">
        <f>SUM(BD$142:BD168)+BH168</f>
        <v>3119.4083567283906</v>
      </c>
      <c r="BM168" s="29">
        <f>SUM(BE$142:BE168)+BI168</f>
        <v>1311.143320424032</v>
      </c>
      <c r="BN168" s="29">
        <f>SUM(BT$142:BT168)</f>
        <v>41.363169556466879</v>
      </c>
      <c r="BO168" s="17">
        <f t="shared" si="173"/>
        <v>686.53518664960359</v>
      </c>
      <c r="BP168" s="17">
        <f t="shared" si="174"/>
        <v>50.414154867932417</v>
      </c>
      <c r="BQ168" s="17" t="e">
        <f t="shared" si="175"/>
        <v>#DIV/0!</v>
      </c>
      <c r="BR168" s="17">
        <f t="shared" si="164"/>
        <v>0</v>
      </c>
      <c r="BS168" s="17">
        <f t="shared" si="159"/>
        <v>80</v>
      </c>
      <c r="BT168" s="17">
        <f t="shared" si="165"/>
        <v>0</v>
      </c>
      <c r="BV168" s="17">
        <f t="shared" si="160"/>
        <v>2556.4010826723161</v>
      </c>
    </row>
    <row r="169" spans="8:87" x14ac:dyDescent="0.15">
      <c r="H169" s="17">
        <v>31</v>
      </c>
      <c r="I169" s="29">
        <f>IF(基础状态预期!C179="","",基础状态预期!C179)</f>
        <v>2270</v>
      </c>
      <c r="J169" s="29">
        <f>IF(基础状态预期!D179="","",基础状态预期!D179)</f>
        <v>121.99245722798884</v>
      </c>
      <c r="K169" s="29" t="str">
        <f>IF(基础状态预期!F179="","",基础状态预期!F179)</f>
        <v/>
      </c>
      <c r="L169" s="29" t="str">
        <f>IF(基础状态预期!G179="","",基础状态预期!G179)</f>
        <v/>
      </c>
      <c r="M169" s="29" t="str">
        <f>IF(基础状态预期!H179="","",基础状态预期!H179)</f>
        <v/>
      </c>
      <c r="N169" s="29" t="str">
        <f>IF(基础状态预期!I179="","",基础状态预期!I179)</f>
        <v/>
      </c>
      <c r="O169" s="29">
        <f>IF(基础状态预期!J179="","",基础状态预期!J179)</f>
        <v>6</v>
      </c>
      <c r="P169" s="29">
        <f>武将进阶!O166</f>
        <v>0</v>
      </c>
      <c r="Q169" s="29">
        <f>武将进阶!P166</f>
        <v>0</v>
      </c>
      <c r="R169" s="29">
        <f>武将进阶!Q166</f>
        <v>0</v>
      </c>
      <c r="S169" s="29">
        <f>武将进阶!R166</f>
        <v>605.90948673586604</v>
      </c>
      <c r="T169" s="29">
        <f>武将进阶!S166</f>
        <v>0</v>
      </c>
      <c r="U169" s="29">
        <f>武将觉醒!T167</f>
        <v>0</v>
      </c>
      <c r="V169" s="29">
        <f>武将觉醒!U167</f>
        <v>0</v>
      </c>
      <c r="W169" s="29">
        <f>武将觉醒!V167</f>
        <v>0</v>
      </c>
      <c r="X169" s="29">
        <f>武将觉醒!W167</f>
        <v>0</v>
      </c>
      <c r="Y169" s="29">
        <f>武将觉醒!X167</f>
        <v>0</v>
      </c>
      <c r="Z169" s="29"/>
      <c r="AA169" s="29">
        <f>IF(L169="",0,同名需求(L169,武将升星!P166,B$6)+武将升星!U166)</f>
        <v>0</v>
      </c>
      <c r="AB169" s="29">
        <f>IF(M169="",0,同名需求(M169,武将升星!Q166,C$6)+武将升星!V166)</f>
        <v>0</v>
      </c>
      <c r="AC169" s="59">
        <f>IF(N169="",0,同名需求(N169,武将升星!R166,D$6*0.8)+武将升星!W166)</f>
        <v>0</v>
      </c>
      <c r="AD169" s="29">
        <f>IF(O169="",0,同名需求(O169,武将升星!S166,E$6)+武将升星!X166)</f>
        <v>108</v>
      </c>
      <c r="AE169" s="29">
        <f>MAX(U169+P169+IF(K169="",0,K169)*武将升星!O166,Z169)</f>
        <v>0</v>
      </c>
      <c r="AF169" s="29">
        <f>MAX(V169+Q169+IF(L169="",0,L169)*武将升星!P166,AA169)</f>
        <v>0</v>
      </c>
      <c r="AG169" s="29">
        <f>MAX(W169+R169+IF(M169="",0,M169)*武将升星!Q166,AB169)</f>
        <v>0</v>
      </c>
      <c r="AH169" s="29">
        <f>MAX(X169+S169+IF(N169="",0,N169)*武将升星!R166,AC169)</f>
        <v>605.90948673586604</v>
      </c>
      <c r="AI169" s="45">
        <f t="shared" si="168"/>
        <v>108</v>
      </c>
      <c r="AJ169" s="29">
        <f t="shared" si="144"/>
        <v>1907782.7681660785</v>
      </c>
      <c r="AK169" s="14" t="e">
        <f>AJ169/求节点('[1]资源-钻石'!$K$4:$K$113,'[1]资源-钻石'!$O$4:$O$113,J169)</f>
        <v>#VALUE!</v>
      </c>
      <c r="AL169" s="16" t="e">
        <f t="shared" si="169"/>
        <v>#DIV/0!</v>
      </c>
      <c r="AM169" s="16"/>
      <c r="AP169" s="17">
        <v>31</v>
      </c>
      <c r="AR169" s="16">
        <f t="shared" si="161"/>
        <v>35.92862329704473</v>
      </c>
      <c r="AS169" s="29">
        <f>IF(基础状态预期!C179="","",基础状态预期!C179)</f>
        <v>2270</v>
      </c>
      <c r="AT169" s="29">
        <f>求节点(节奏总纲!$S$4:$S$163,其他调用!$F$4:$F$163,$AS169)*求节点($CP$5:$CP$36,$CT$5:$CT$36,AS34)</f>
        <v>20145429.347899169</v>
      </c>
      <c r="AU169" s="37">
        <f t="shared" si="170"/>
        <v>0</v>
      </c>
      <c r="AV169" s="37">
        <f t="shared" si="171"/>
        <v>1</v>
      </c>
      <c r="AW169" s="38">
        <f t="shared" si="148"/>
        <v>0.4933333333333334</v>
      </c>
      <c r="AX169" s="38">
        <f t="shared" si="149"/>
        <v>0.26666666666666666</v>
      </c>
      <c r="AY169" s="38">
        <f t="shared" si="150"/>
        <v>0.04</v>
      </c>
      <c r="AZ169" s="38">
        <f t="shared" si="151"/>
        <v>0.02</v>
      </c>
      <c r="BA169" s="29">
        <f t="shared" si="172"/>
        <v>3966520.0119937379</v>
      </c>
      <c r="BB169" s="29">
        <f t="shared" si="162"/>
        <v>8153.4022468760186</v>
      </c>
      <c r="BC169" s="29">
        <f t="shared" si="152"/>
        <v>4407.2444577708202</v>
      </c>
      <c r="BD169" s="29">
        <f t="shared" si="153"/>
        <v>661.08666866562305</v>
      </c>
      <c r="BE169" s="29">
        <f t="shared" si="154"/>
        <v>330.54333433281153</v>
      </c>
      <c r="BF169" s="29">
        <f t="shared" si="163"/>
        <v>18841</v>
      </c>
      <c r="BG169" s="29">
        <f t="shared" si="163"/>
        <v>3405</v>
      </c>
      <c r="BH169" s="29">
        <f t="shared" si="163"/>
        <v>454</v>
      </c>
      <c r="BI169" s="29">
        <f t="shared" si="163"/>
        <v>0</v>
      </c>
      <c r="BJ169" s="29">
        <f>SUM(BB$142:BB169)+BF169</f>
        <v>60557.116990062794</v>
      </c>
      <c r="BK169" s="29">
        <f>SUM(BC$142:BC169)+BG169</f>
        <v>25788.810386554633</v>
      </c>
      <c r="BL169" s="29">
        <f>SUM(BD$142:BD169)+BH169</f>
        <v>3876.4950253940137</v>
      </c>
      <c r="BM169" s="29">
        <f>SUM(BE$142:BE169)+BI169</f>
        <v>1641.6866547568436</v>
      </c>
      <c r="BN169" s="29">
        <f>SUM(BT$142:BT169)</f>
        <v>41.363169556466879</v>
      </c>
      <c r="BO169" s="17">
        <f t="shared" si="173"/>
        <v>679.68068773340246</v>
      </c>
      <c r="BP169" s="17">
        <f t="shared" si="174"/>
        <v>41.968385394079696</v>
      </c>
      <c r="BQ169" s="17" t="e">
        <f t="shared" si="175"/>
        <v>#DIV/0!</v>
      </c>
      <c r="BR169" s="17">
        <f t="shared" si="164"/>
        <v>0</v>
      </c>
      <c r="BS169" s="17">
        <f t="shared" si="159"/>
        <v>80</v>
      </c>
      <c r="BT169" s="17">
        <f t="shared" si="165"/>
        <v>0</v>
      </c>
      <c r="BV169" s="17">
        <f t="shared" si="160"/>
        <v>3270.5855386581479</v>
      </c>
    </row>
    <row r="170" spans="8:87" x14ac:dyDescent="0.15">
      <c r="H170" s="17">
        <v>32</v>
      </c>
      <c r="I170" s="29">
        <f>IF(基础状态预期!C180="","",基础状态预期!C180)</f>
        <v>2900</v>
      </c>
      <c r="J170" s="29">
        <f>IF(基础状态预期!D180="","",基础状态预期!D180)</f>
        <v>125.43876546297123</v>
      </c>
      <c r="K170" s="29" t="str">
        <f>IF(基础状态预期!F180="","",基础状态预期!F180)</f>
        <v/>
      </c>
      <c r="L170" s="29" t="str">
        <f>IF(基础状态预期!G180="","",基础状态预期!G180)</f>
        <v/>
      </c>
      <c r="M170" s="29" t="str">
        <f>IF(基础状态预期!H180="","",基础状态预期!H180)</f>
        <v/>
      </c>
      <c r="N170" s="29" t="str">
        <f>IF(基础状态预期!I180="","",基础状态预期!I180)</f>
        <v/>
      </c>
      <c r="O170" s="29">
        <f>IF(基础状态预期!J180="","",基础状态预期!J180)</f>
        <v>6</v>
      </c>
      <c r="P170" s="29">
        <f>武将进阶!O167</f>
        <v>0</v>
      </c>
      <c r="Q170" s="29">
        <f>武将进阶!P167</f>
        <v>0</v>
      </c>
      <c r="R170" s="29">
        <f>武将进阶!Q167</f>
        <v>0</v>
      </c>
      <c r="S170" s="29">
        <f>武将进阶!R167</f>
        <v>642</v>
      </c>
      <c r="T170" s="29">
        <f>武将进阶!S167</f>
        <v>0</v>
      </c>
      <c r="U170" s="29">
        <f>武将觉醒!T168</f>
        <v>0</v>
      </c>
      <c r="V170" s="29">
        <f>武将觉醒!U168</f>
        <v>0</v>
      </c>
      <c r="W170" s="29">
        <f>武将觉醒!V168</f>
        <v>0</v>
      </c>
      <c r="X170" s="29">
        <f>武将觉醒!W168</f>
        <v>0</v>
      </c>
      <c r="Y170" s="29">
        <f>武将觉醒!X168</f>
        <v>0</v>
      </c>
      <c r="Z170" s="29"/>
      <c r="AA170" s="29">
        <f>IF(L170="",0,同名需求(L170,武将升星!P167,B$6)+武将升星!U167)</f>
        <v>0</v>
      </c>
      <c r="AB170" s="29">
        <f>IF(M170="",0,同名需求(M170,武将升星!Q167,C$6)+武将升星!V167)</f>
        <v>0</v>
      </c>
      <c r="AC170" s="59">
        <f>IF(N170="",0,同名需求(N170,武将升星!R167,D$6*0.8)+武将升星!W167)</f>
        <v>0</v>
      </c>
      <c r="AD170" s="29">
        <f>IF(O170="",0,同名需求(O170,武将升星!S167,E$6)+武将升星!X167)</f>
        <v>108</v>
      </c>
      <c r="AE170" s="29">
        <f>MAX(U170+P170+IF(K170="",0,K170)*武将升星!O167,Z170)</f>
        <v>0</v>
      </c>
      <c r="AF170" s="29">
        <f>MAX(V170+Q170+IF(L170="",0,L170)*武将升星!P167,AA170)</f>
        <v>0</v>
      </c>
      <c r="AG170" s="29">
        <f>MAX(W170+R170+IF(M170="",0,M170)*武将升星!Q167,AB170)</f>
        <v>0</v>
      </c>
      <c r="AH170" s="29">
        <f>MAX(X170+S170+IF(N170="",0,N170)*武将升星!R167,AC170)</f>
        <v>642</v>
      </c>
      <c r="AI170" s="45">
        <f t="shared" si="168"/>
        <v>108</v>
      </c>
      <c r="AJ170" s="29">
        <f t="shared" si="144"/>
        <v>1994400</v>
      </c>
      <c r="AK170" s="14" t="e">
        <f>AJ170/求节点('[1]资源-钻石'!$K$4:$K$113,'[1]资源-钻石'!$O$4:$O$113,J170)</f>
        <v>#VALUE!</v>
      </c>
      <c r="AL170" s="16" t="e">
        <f t="shared" si="169"/>
        <v>#DIV/0!</v>
      </c>
      <c r="AM170" s="16"/>
      <c r="AP170" s="17">
        <v>32</v>
      </c>
      <c r="AR170" s="16">
        <f t="shared" si="161"/>
        <v>35.306128116311733</v>
      </c>
      <c r="AS170" s="29">
        <f>IF(基础状态预期!C180="","",基础状态预期!C180)</f>
        <v>2900</v>
      </c>
      <c r="AT170" s="29">
        <f>求节点(节奏总纲!$S$4:$S$163,其他调用!$F$4:$F$163,$AS170)*求节点($CP$5:$CP$36,$CT$5:$CT$36,AS35)</f>
        <v>25261287.31195274</v>
      </c>
      <c r="AU170" s="37">
        <f t="shared" si="170"/>
        <v>0</v>
      </c>
      <c r="AV170" s="37">
        <f t="shared" si="171"/>
        <v>1</v>
      </c>
      <c r="AW170" s="38">
        <f t="shared" si="148"/>
        <v>0.4933333333333334</v>
      </c>
      <c r="AX170" s="38">
        <f t="shared" si="149"/>
        <v>0.26666666666666666</v>
      </c>
      <c r="AY170" s="38">
        <f t="shared" si="150"/>
        <v>0.04</v>
      </c>
      <c r="AZ170" s="38">
        <f t="shared" si="151"/>
        <v>0.02</v>
      </c>
      <c r="BA170" s="29">
        <f t="shared" si="172"/>
        <v>5115857.9640535712</v>
      </c>
      <c r="BB170" s="29">
        <f t="shared" si="162"/>
        <v>10515.930259443454</v>
      </c>
      <c r="BC170" s="29">
        <f t="shared" si="152"/>
        <v>5684.2866267261898</v>
      </c>
      <c r="BD170" s="29">
        <f t="shared" si="153"/>
        <v>852.64299400892855</v>
      </c>
      <c r="BE170" s="29">
        <f t="shared" si="154"/>
        <v>426.32149700446428</v>
      </c>
      <c r="BF170" s="29">
        <f t="shared" si="163"/>
        <v>24070.000000000004</v>
      </c>
      <c r="BG170" s="29">
        <f t="shared" si="163"/>
        <v>4350</v>
      </c>
      <c r="BH170" s="29">
        <f t="shared" si="163"/>
        <v>580</v>
      </c>
      <c r="BI170" s="29">
        <f t="shared" si="163"/>
        <v>0</v>
      </c>
      <c r="BJ170" s="29">
        <f>SUM(BB$142:BB170)+BF170</f>
        <v>76302.047249506257</v>
      </c>
      <c r="BK170" s="29">
        <f>SUM(BC$142:BC170)+BG170</f>
        <v>32418.097013280822</v>
      </c>
      <c r="BL170" s="29">
        <f>SUM(BD$142:BD170)+BH170</f>
        <v>4855.1380194029425</v>
      </c>
      <c r="BM170" s="29">
        <f>SUM(BE$142:BE170)+BI170</f>
        <v>2068.008151761308</v>
      </c>
      <c r="BN170" s="29">
        <f>SUM(BT$142:BT170)</f>
        <v>41.363169556466879</v>
      </c>
      <c r="BO170" s="17">
        <f t="shared" si="173"/>
        <v>746.84995861998448</v>
      </c>
      <c r="BP170" s="17">
        <f t="shared" si="174"/>
        <v>40.929313529993564</v>
      </c>
      <c r="BQ170" s="17" t="e">
        <f t="shared" si="175"/>
        <v>#DIV/0!</v>
      </c>
      <c r="BR170" s="17">
        <f t="shared" si="164"/>
        <v>0</v>
      </c>
      <c r="BS170" s="17">
        <f t="shared" si="159"/>
        <v>80</v>
      </c>
      <c r="BT170" s="17">
        <f t="shared" si="165"/>
        <v>0</v>
      </c>
      <c r="BV170" s="17">
        <f t="shared" si="160"/>
        <v>4213.1380194029425</v>
      </c>
    </row>
    <row r="171" spans="8:87" x14ac:dyDescent="0.15">
      <c r="H171" s="17">
        <v>33</v>
      </c>
      <c r="I171" s="29">
        <f>IF(基础状态预期!C181="","",基础状态预期!C181)</f>
        <v>3710</v>
      </c>
      <c r="J171" s="29">
        <f>IF(基础状态预期!D181="","",基础状态预期!D181)</f>
        <v>129.12105302323599</v>
      </c>
      <c r="K171" s="29" t="str">
        <f>IF(基础状态预期!F181="","",基础状态预期!F181)</f>
        <v/>
      </c>
      <c r="L171" s="29" t="str">
        <f>IF(基础状态预期!G181="","",基础状态预期!G181)</f>
        <v/>
      </c>
      <c r="M171" s="29" t="str">
        <f>IF(基础状态预期!H181="","",基础状态预期!H181)</f>
        <v/>
      </c>
      <c r="N171" s="29" t="str">
        <f>IF(基础状态预期!I181="","",基础状态预期!I181)</f>
        <v/>
      </c>
      <c r="O171" s="29">
        <f>IF(基础状态预期!J181="","",基础状态预期!J181)</f>
        <v>6</v>
      </c>
      <c r="P171" s="29">
        <f>武将进阶!O168</f>
        <v>0</v>
      </c>
      <c r="Q171" s="29">
        <f>武将进阶!P168</f>
        <v>0</v>
      </c>
      <c r="R171" s="29">
        <f>武将进阶!Q168</f>
        <v>0</v>
      </c>
      <c r="S171" s="29">
        <f>武将进阶!R168</f>
        <v>642</v>
      </c>
      <c r="T171" s="29">
        <f>武将进阶!S168</f>
        <v>0</v>
      </c>
      <c r="U171" s="29">
        <f>武将觉醒!T169</f>
        <v>0</v>
      </c>
      <c r="V171" s="29">
        <f>武将觉醒!U169</f>
        <v>0</v>
      </c>
      <c r="W171" s="29">
        <f>武将觉醒!V169</f>
        <v>0</v>
      </c>
      <c r="X171" s="29">
        <f>武将觉醒!W169</f>
        <v>0</v>
      </c>
      <c r="Y171" s="29">
        <f>武将觉醒!X169</f>
        <v>0</v>
      </c>
      <c r="Z171" s="29"/>
      <c r="AA171" s="29">
        <f>IF(L171="",0,同名需求(L171,武将升星!P168,B$6)+武将升星!U168)</f>
        <v>0</v>
      </c>
      <c r="AB171" s="29">
        <f>IF(M171="",0,同名需求(M171,武将升星!Q168,C$6)+武将升星!V168)</f>
        <v>0</v>
      </c>
      <c r="AC171" s="59">
        <f>IF(N171="",0,同名需求(N171,武将升星!R168,D$6*0.8)+武将升星!W168)</f>
        <v>0</v>
      </c>
      <c r="AD171" s="29">
        <f>IF(O171="",0,同名需求(O171,武将升星!S168,E$6)+武将升星!X168)</f>
        <v>108</v>
      </c>
      <c r="AE171" s="29">
        <f>MAX(U171+P171+IF(K171="",0,K171)*武将升星!O168,Z171)</f>
        <v>0</v>
      </c>
      <c r="AF171" s="29">
        <f>MAX(V171+Q171+IF(L171="",0,L171)*武将升星!P168,AA171)</f>
        <v>0</v>
      </c>
      <c r="AG171" s="29">
        <f>MAX(W171+R171+IF(M171="",0,M171)*武将升星!Q168,AB171)</f>
        <v>0</v>
      </c>
      <c r="AH171" s="29">
        <f>MAX(X171+S171+IF(N171="",0,N171)*武将升星!R168,AC171)</f>
        <v>642</v>
      </c>
      <c r="AI171" s="45">
        <f t="shared" si="168"/>
        <v>108</v>
      </c>
      <c r="AJ171" s="29">
        <f t="shared" si="144"/>
        <v>1994400</v>
      </c>
      <c r="AK171" s="14" t="e">
        <f>AJ171/求节点('[1]资源-钻石'!$K$4:$K$113,'[1]资源-钻石'!$O$4:$O$113,J171)</f>
        <v>#VALUE!</v>
      </c>
      <c r="AL171" s="16" t="e">
        <f t="shared" si="169"/>
        <v>#DIV/0!</v>
      </c>
      <c r="AM171" s="16"/>
      <c r="AP171" s="17">
        <v>33</v>
      </c>
      <c r="AR171" s="16">
        <f t="shared" si="161"/>
        <v>34.848790267507454</v>
      </c>
      <c r="AS171" s="29">
        <f>IF(基础状态预期!C181="","",基础状态预期!C181)</f>
        <v>3710</v>
      </c>
      <c r="AT171" s="29">
        <f>求节点(节奏总纲!$S$4:$S$163,其他调用!$F$4:$F$163,$AS171)*求节点($CP$5:$CP$36,$CT$5:$CT$36,AS36)</f>
        <v>31753616.938789379</v>
      </c>
      <c r="AU171" s="37">
        <f t="shared" si="170"/>
        <v>0</v>
      </c>
      <c r="AV171" s="37">
        <f t="shared" si="171"/>
        <v>1</v>
      </c>
      <c r="AW171" s="38">
        <f t="shared" si="148"/>
        <v>0.4933333333333334</v>
      </c>
      <c r="AX171" s="38">
        <f t="shared" si="149"/>
        <v>0.26666666666666666</v>
      </c>
      <c r="AY171" s="38">
        <f t="shared" si="150"/>
        <v>0.04</v>
      </c>
      <c r="AZ171" s="38">
        <f t="shared" si="151"/>
        <v>0.02</v>
      </c>
      <c r="BA171" s="29">
        <f t="shared" si="172"/>
        <v>6492329.6268366389</v>
      </c>
      <c r="BB171" s="29">
        <f t="shared" si="162"/>
        <v>13345.344232941981</v>
      </c>
      <c r="BC171" s="29">
        <f t="shared" si="152"/>
        <v>7213.6995853740427</v>
      </c>
      <c r="BD171" s="29">
        <f t="shared" si="153"/>
        <v>1082.0549378061064</v>
      </c>
      <c r="BE171" s="29">
        <f t="shared" si="154"/>
        <v>541.0274689030532</v>
      </c>
      <c r="BF171" s="29">
        <f t="shared" si="163"/>
        <v>30793.000000000004</v>
      </c>
      <c r="BG171" s="29">
        <f t="shared" si="163"/>
        <v>5565</v>
      </c>
      <c r="BH171" s="29">
        <f t="shared" si="163"/>
        <v>742</v>
      </c>
      <c r="BI171" s="29">
        <f t="shared" si="163"/>
        <v>0</v>
      </c>
      <c r="BJ171" s="29">
        <f>SUM(BB$142:BB171)+BF171</f>
        <v>96370.391482448234</v>
      </c>
      <c r="BK171" s="29">
        <f>SUM(BC$142:BC171)+BG171</f>
        <v>40846.796598654866</v>
      </c>
      <c r="BL171" s="29">
        <f>SUM(BD$142:BD171)+BH171</f>
        <v>6099.1929572090485</v>
      </c>
      <c r="BM171" s="29">
        <f>SUM(BE$142:BE171)+BI171</f>
        <v>2609.035620664361</v>
      </c>
      <c r="BN171" s="29">
        <f>SUM(BT$142:BT171)</f>
        <v>41.363169556466879</v>
      </c>
      <c r="BO171" s="17">
        <f t="shared" si="173"/>
        <v>788.09003873322706</v>
      </c>
      <c r="BP171" s="17">
        <f t="shared" si="174"/>
        <v>34.463371511444002</v>
      </c>
      <c r="BQ171" s="17" t="e">
        <f t="shared" si="175"/>
        <v>#DIV/0!</v>
      </c>
      <c r="BR171" s="17">
        <f t="shared" si="164"/>
        <v>0</v>
      </c>
      <c r="BS171" s="17">
        <f t="shared" si="159"/>
        <v>80</v>
      </c>
      <c r="BT171" s="17">
        <f t="shared" si="165"/>
        <v>0</v>
      </c>
      <c r="BV171" s="17">
        <f t="shared" si="160"/>
        <v>5457.1929572090485</v>
      </c>
    </row>
    <row r="172" spans="8:87" x14ac:dyDescent="0.15">
      <c r="H172" s="17">
        <v>34</v>
      </c>
      <c r="I172" s="29">
        <f>IF(基础状态预期!C182="","",基础状态预期!C182)</f>
        <v>4730</v>
      </c>
      <c r="J172" s="29">
        <f>IF(基础状态预期!D182="","",基础状态预期!D182)</f>
        <v>132.61179169042359</v>
      </c>
      <c r="K172" s="29" t="str">
        <f>IF(基础状态预期!F182="","",基础状态预期!F182)</f>
        <v/>
      </c>
      <c r="L172" s="29" t="str">
        <f>IF(基础状态预期!G182="","",基础状态预期!G182)</f>
        <v/>
      </c>
      <c r="M172" s="29" t="str">
        <f>IF(基础状态预期!H182="","",基础状态预期!H182)</f>
        <v/>
      </c>
      <c r="N172" s="29" t="str">
        <f>IF(基础状态预期!I182="","",基础状态预期!I182)</f>
        <v/>
      </c>
      <c r="O172" s="29">
        <f>IF(基础状态预期!J182="","",基础状态预期!J182)</f>
        <v>6</v>
      </c>
      <c r="P172" s="29">
        <f>武将进阶!O169</f>
        <v>0</v>
      </c>
      <c r="Q172" s="29">
        <f>武将进阶!P169</f>
        <v>0</v>
      </c>
      <c r="R172" s="29">
        <f>武将进阶!Q169</f>
        <v>0</v>
      </c>
      <c r="S172" s="29">
        <f>武将进阶!R169</f>
        <v>642</v>
      </c>
      <c r="T172" s="29">
        <f>武将进阶!S169</f>
        <v>0</v>
      </c>
      <c r="U172" s="29">
        <f>武将觉醒!T170</f>
        <v>0</v>
      </c>
      <c r="V172" s="29">
        <f>武将觉醒!U170</f>
        <v>0</v>
      </c>
      <c r="W172" s="29">
        <f>武将觉醒!V170</f>
        <v>0</v>
      </c>
      <c r="X172" s="29">
        <f>武将觉醒!W170</f>
        <v>0</v>
      </c>
      <c r="Y172" s="29">
        <f>武将觉醒!X170</f>
        <v>0</v>
      </c>
      <c r="Z172" s="29"/>
      <c r="AA172" s="29">
        <f>IF(L172="",0,同名需求(L172,武将升星!P169,B$6)+武将升星!U169)</f>
        <v>0</v>
      </c>
      <c r="AB172" s="29">
        <f>IF(M172="",0,同名需求(M172,武将升星!Q169,C$6)+武将升星!V169)</f>
        <v>0</v>
      </c>
      <c r="AC172" s="59">
        <f>IF(N172="",0,同名需求(N172,武将升星!R169,D$6*0.8)+武将升星!W169)</f>
        <v>0</v>
      </c>
      <c r="AD172" s="29">
        <f>IF(O172="",0,同名需求(O172,武将升星!S169,E$6)+武将升星!X169)</f>
        <v>108</v>
      </c>
      <c r="AE172" s="29">
        <f>MAX(U172+P172+IF(K172="",0,K172)*武将升星!O169,Z172)</f>
        <v>0</v>
      </c>
      <c r="AF172" s="29">
        <f>MAX(V172+Q172+IF(L172="",0,L172)*武将升星!P169,AA172)</f>
        <v>0</v>
      </c>
      <c r="AG172" s="29">
        <f>MAX(W172+R172+IF(M172="",0,M172)*武将升星!Q169,AB172)</f>
        <v>0</v>
      </c>
      <c r="AH172" s="29">
        <f>MAX(X172+S172+IF(N172="",0,N172)*武将升星!R169,AC172)</f>
        <v>642</v>
      </c>
      <c r="AI172" s="45">
        <f t="shared" si="168"/>
        <v>108</v>
      </c>
      <c r="AJ172" s="29">
        <f t="shared" si="144"/>
        <v>1994400</v>
      </c>
      <c r="AK172" s="14" t="e">
        <f>AJ172/求节点('[1]资源-钻石'!$K$4:$K$113,'[1]资源-钻石'!$O$4:$O$113,J172)</f>
        <v>#VALUE!</v>
      </c>
      <c r="AL172" s="16" t="e">
        <f t="shared" si="169"/>
        <v>#DIV/0!</v>
      </c>
      <c r="AM172" s="16"/>
      <c r="AP172" s="17">
        <v>34</v>
      </c>
      <c r="AR172" s="16">
        <f t="shared" si="161"/>
        <v>34.271107288919978</v>
      </c>
      <c r="AS172" s="29">
        <f>IF(基础状态预期!C182="","",基础状态预期!C182)</f>
        <v>4730</v>
      </c>
      <c r="AT172" s="29">
        <f>求节点(节奏总纲!$S$4:$S$163,其他调用!$F$4:$F$163,$AS172)*求节点($CP$5:$CP$36,$CT$5:$CT$36,AS37)</f>
        <v>39793618.708770007</v>
      </c>
      <c r="AU172" s="37">
        <f t="shared" si="170"/>
        <v>0</v>
      </c>
      <c r="AV172" s="37">
        <f t="shared" si="171"/>
        <v>1</v>
      </c>
      <c r="AW172" s="38">
        <f t="shared" si="148"/>
        <v>0.4933333333333334</v>
      </c>
      <c r="AX172" s="38">
        <f t="shared" si="149"/>
        <v>0.26666666666666666</v>
      </c>
      <c r="AY172" s="38">
        <f t="shared" si="150"/>
        <v>0.04</v>
      </c>
      <c r="AZ172" s="38">
        <f t="shared" si="151"/>
        <v>0.02</v>
      </c>
      <c r="BA172" s="29">
        <f t="shared" si="172"/>
        <v>8040001.769980628</v>
      </c>
      <c r="BB172" s="29">
        <f t="shared" si="162"/>
        <v>16526.670304960182</v>
      </c>
      <c r="BC172" s="29">
        <f t="shared" si="152"/>
        <v>8933.3352999784747</v>
      </c>
      <c r="BD172" s="29">
        <f t="shared" si="153"/>
        <v>1340.0002949967713</v>
      </c>
      <c r="BE172" s="29">
        <f t="shared" si="154"/>
        <v>670.00014749838567</v>
      </c>
      <c r="BF172" s="29">
        <f t="shared" si="163"/>
        <v>39259</v>
      </c>
      <c r="BG172" s="29">
        <f t="shared" si="163"/>
        <v>7095</v>
      </c>
      <c r="BH172" s="29">
        <f t="shared" si="163"/>
        <v>946</v>
      </c>
      <c r="BI172" s="29">
        <f t="shared" si="163"/>
        <v>0</v>
      </c>
      <c r="BJ172" s="29">
        <f>SUM(BB$142:BB172)+BF172</f>
        <v>121363.06178740841</v>
      </c>
      <c r="BK172" s="29">
        <f>SUM(BC$142:BC172)+BG172</f>
        <v>51310.131898633343</v>
      </c>
      <c r="BL172" s="29">
        <f>SUM(BD$142:BD172)+BH172</f>
        <v>7643.1932522058196</v>
      </c>
      <c r="BM172" s="29">
        <f>SUM(BE$142:BE172)+BI172</f>
        <v>3279.0357681627465</v>
      </c>
      <c r="BN172" s="29">
        <f>SUM(BT$142:BT172)</f>
        <v>41.363169556466879</v>
      </c>
      <c r="BO172" s="17">
        <f t="shared" si="173"/>
        <v>1003.2756538165409</v>
      </c>
      <c r="BP172" s="17">
        <f t="shared" si="174"/>
        <v>35.247971735190021</v>
      </c>
      <c r="BQ172" s="17">
        <f t="shared" si="175"/>
        <v>1509.3732241895696</v>
      </c>
      <c r="BR172" s="17">
        <f t="shared" si="164"/>
        <v>0</v>
      </c>
      <c r="BS172" s="17">
        <f t="shared" si="159"/>
        <v>80</v>
      </c>
      <c r="BT172" s="17">
        <f t="shared" si="165"/>
        <v>0</v>
      </c>
      <c r="BV172" s="17">
        <f t="shared" si="160"/>
        <v>7001.1932522058196</v>
      </c>
    </row>
    <row r="173" spans="8:87" x14ac:dyDescent="0.15">
      <c r="H173" s="17">
        <v>35</v>
      </c>
      <c r="I173" s="29">
        <f>IF(基础状态预期!C183="","",基础状态预期!C183)</f>
        <v>6020</v>
      </c>
      <c r="J173" s="29">
        <f>IF(基础状态预期!D183="","",基础状态预期!D183)</f>
        <v>136.12035534953262</v>
      </c>
      <c r="K173" s="29" t="str">
        <f>IF(基础状态预期!F183="","",基础状态预期!F183)</f>
        <v/>
      </c>
      <c r="L173" s="29" t="str">
        <f>IF(基础状态预期!G183="","",基础状态预期!G183)</f>
        <v/>
      </c>
      <c r="M173" s="29" t="str">
        <f>IF(基础状态预期!H183="","",基础状态预期!H183)</f>
        <v/>
      </c>
      <c r="N173" s="29" t="str">
        <f>IF(基础状态预期!I183="","",基础状态预期!I183)</f>
        <v/>
      </c>
      <c r="O173" s="29">
        <f>IF(基础状态预期!J183="","",基础状态预期!J183)</f>
        <v>6</v>
      </c>
      <c r="P173" s="29">
        <f>武将进阶!O170</f>
        <v>0</v>
      </c>
      <c r="Q173" s="29">
        <f>武将进阶!P170</f>
        <v>0</v>
      </c>
      <c r="R173" s="29">
        <f>武将进阶!Q170</f>
        <v>0</v>
      </c>
      <c r="S173" s="29">
        <f>武将进阶!R170</f>
        <v>642</v>
      </c>
      <c r="T173" s="29">
        <f>武将进阶!S170</f>
        <v>0</v>
      </c>
      <c r="U173" s="29">
        <f>武将觉醒!T171</f>
        <v>0</v>
      </c>
      <c r="V173" s="29">
        <f>武将觉醒!U171</f>
        <v>0</v>
      </c>
      <c r="W173" s="29">
        <f>武将觉醒!V171</f>
        <v>0</v>
      </c>
      <c r="X173" s="29">
        <f>武将觉醒!W171</f>
        <v>0</v>
      </c>
      <c r="Y173" s="29">
        <f>武将觉醒!X171</f>
        <v>0</v>
      </c>
      <c r="Z173" s="29"/>
      <c r="AA173" s="29">
        <f>IF(L173="",0,同名需求(L173,武将升星!P170,B$6)+武将升星!U170)</f>
        <v>0</v>
      </c>
      <c r="AB173" s="29">
        <f>IF(M173="",0,同名需求(M173,武将升星!Q170,C$6)+武将升星!V170)</f>
        <v>0</v>
      </c>
      <c r="AC173" s="59">
        <f>IF(N173="",0,同名需求(N173,武将升星!R170,D$6*0.8)+武将升星!W170)</f>
        <v>0</v>
      </c>
      <c r="AD173" s="29">
        <f>IF(O173="",0,同名需求(O173,武将升星!S170,E$6)+武将升星!X170)</f>
        <v>108</v>
      </c>
      <c r="AE173" s="29">
        <f>MAX(U173+P173+IF(K173="",0,K173)*武将升星!O170,Z173)</f>
        <v>0</v>
      </c>
      <c r="AF173" s="29">
        <f>MAX(V173+Q173+IF(L173="",0,L173)*武将升星!P170,AA173)</f>
        <v>0</v>
      </c>
      <c r="AG173" s="29">
        <f>MAX(W173+R173+IF(M173="",0,M173)*武将升星!Q170,AB173)</f>
        <v>0</v>
      </c>
      <c r="AH173" s="29">
        <f>MAX(X173+S173+IF(N173="",0,N173)*武将升星!R170,AC173)</f>
        <v>642</v>
      </c>
      <c r="AI173" s="45">
        <f t="shared" si="168"/>
        <v>108</v>
      </c>
      <c r="AJ173" s="29">
        <f t="shared" si="144"/>
        <v>1994400</v>
      </c>
      <c r="AK173" s="14" t="e">
        <f>AJ173/求节点('[1]资源-钻石'!$K$4:$K$113,'[1]资源-钻石'!$O$4:$O$113,J173)</f>
        <v>#VALUE!</v>
      </c>
      <c r="AL173" s="16" t="e">
        <f t="shared" si="169"/>
        <v>#DIV/0!</v>
      </c>
      <c r="AM173" s="16"/>
      <c r="AP173" s="17">
        <v>35</v>
      </c>
      <c r="AR173" s="16">
        <f t="shared" si="161"/>
        <v>33.658541153411079</v>
      </c>
      <c r="AS173" s="29">
        <f>IF(基础状态预期!C183="","",基础状态预期!C183)</f>
        <v>6020</v>
      </c>
      <c r="AT173" s="29">
        <f>求节点(节奏总纲!$S$4:$S$163,其他调用!$F$4:$F$163,$AS173)*求节点($CP$5:$CP$36,$CT$5:$CT$36,AS38)</f>
        <v>49780107.868987076</v>
      </c>
      <c r="AU173" s="37">
        <f t="shared" si="170"/>
        <v>0</v>
      </c>
      <c r="AV173" s="37">
        <f t="shared" si="171"/>
        <v>1</v>
      </c>
      <c r="AW173" s="38">
        <f t="shared" si="148"/>
        <v>0.4933333333333334</v>
      </c>
      <c r="AX173" s="38">
        <f t="shared" si="149"/>
        <v>0.26666666666666666</v>
      </c>
      <c r="AY173" s="38">
        <f t="shared" si="150"/>
        <v>0.04</v>
      </c>
      <c r="AZ173" s="38">
        <f t="shared" si="151"/>
        <v>0.02</v>
      </c>
      <c r="BA173" s="29">
        <f t="shared" si="172"/>
        <v>9986489.1602170691</v>
      </c>
      <c r="BB173" s="29">
        <f t="shared" si="162"/>
        <v>20527.783273779532</v>
      </c>
      <c r="BC173" s="29">
        <f t="shared" si="152"/>
        <v>11096.099066907855</v>
      </c>
      <c r="BD173" s="29">
        <f t="shared" si="153"/>
        <v>1664.4148600361782</v>
      </c>
      <c r="BE173" s="29">
        <f t="shared" si="154"/>
        <v>832.2074300180891</v>
      </c>
      <c r="BF173" s="29">
        <f t="shared" si="163"/>
        <v>49966.000000000007</v>
      </c>
      <c r="BG173" s="29">
        <f t="shared" si="163"/>
        <v>9030</v>
      </c>
      <c r="BH173" s="29">
        <f t="shared" si="163"/>
        <v>1204</v>
      </c>
      <c r="BI173" s="29">
        <f t="shared" si="163"/>
        <v>0</v>
      </c>
      <c r="BJ173" s="29">
        <f>SUM(BB$142:BB173)+BF173</f>
        <v>152597.84506118795</v>
      </c>
      <c r="BK173" s="29">
        <f>SUM(BC$142:BC173)+BG173</f>
        <v>64341.230965541195</v>
      </c>
      <c r="BL173" s="29">
        <f>SUM(BD$142:BD173)+BH173</f>
        <v>9565.6081122419982</v>
      </c>
      <c r="BM173" s="29">
        <f>SUM(BE$142:BE173)+BI173</f>
        <v>4111.2431981808359</v>
      </c>
      <c r="BN173" s="29">
        <f>SUM(BT$142:BT173)</f>
        <v>41.363169556466879</v>
      </c>
      <c r="BO173" s="17">
        <f t="shared" si="173"/>
        <v>1227.01750074247</v>
      </c>
      <c r="BP173" s="17">
        <f t="shared" si="174"/>
        <v>32.255973639787989</v>
      </c>
      <c r="BQ173" s="17">
        <f t="shared" si="175"/>
        <v>489.32664591051588</v>
      </c>
      <c r="BR173" s="17">
        <f t="shared" si="164"/>
        <v>0</v>
      </c>
      <c r="BS173" s="17">
        <f t="shared" si="159"/>
        <v>80</v>
      </c>
      <c r="BT173" s="17">
        <f t="shared" si="165"/>
        <v>0</v>
      </c>
      <c r="BV173" s="17">
        <f t="shared" si="160"/>
        <v>8923.6081122419982</v>
      </c>
    </row>
    <row r="174" spans="8:87" x14ac:dyDescent="0.15">
      <c r="H174" s="17">
        <v>36</v>
      </c>
      <c r="I174" s="29">
        <f>IF(基础状态预期!C184="","",基础状态预期!C184)</f>
        <v>7670</v>
      </c>
      <c r="J174" s="29">
        <f>IF(基础状态预期!D184="","",基础状态预期!D184)</f>
        <v>139.6793621861803</v>
      </c>
      <c r="K174" s="29" t="str">
        <f>IF(基础状态预期!F184="","",基础状态预期!F184)</f>
        <v/>
      </c>
      <c r="L174" s="29" t="str">
        <f>IF(基础状态预期!G184="","",基础状态预期!G184)</f>
        <v/>
      </c>
      <c r="M174" s="29" t="str">
        <f>IF(基础状态预期!H184="","",基础状态预期!H184)</f>
        <v/>
      </c>
      <c r="N174" s="29" t="str">
        <f>IF(基础状态预期!I184="","",基础状态预期!I184)</f>
        <v/>
      </c>
      <c r="O174" s="29">
        <f>IF(基础状态预期!J184="","",基础状态预期!J184)</f>
        <v>6</v>
      </c>
      <c r="P174" s="29">
        <f>武将进阶!O171</f>
        <v>0</v>
      </c>
      <c r="Q174" s="29">
        <f>武将进阶!P171</f>
        <v>0</v>
      </c>
      <c r="R174" s="29">
        <f>武将进阶!Q171</f>
        <v>0</v>
      </c>
      <c r="S174" s="29">
        <f>武将进阶!R171</f>
        <v>642</v>
      </c>
      <c r="T174" s="29">
        <f>武将进阶!S171</f>
        <v>0</v>
      </c>
      <c r="U174" s="29">
        <f>武将觉醒!T172</f>
        <v>0</v>
      </c>
      <c r="V174" s="29">
        <f>武将觉醒!U172</f>
        <v>0</v>
      </c>
      <c r="W174" s="29">
        <f>武将觉醒!V172</f>
        <v>0</v>
      </c>
      <c r="X174" s="29">
        <f>武将觉醒!W172</f>
        <v>0</v>
      </c>
      <c r="Y174" s="29">
        <f>武将觉醒!X172</f>
        <v>0</v>
      </c>
      <c r="Z174" s="29"/>
      <c r="AA174" s="29">
        <f>IF(L174="",0,同名需求(L174,武将升星!P171,B$6)+武将升星!U171)</f>
        <v>0</v>
      </c>
      <c r="AB174" s="29">
        <f>IF(M174="",0,同名需求(M174,武将升星!Q171,C$6)+武将升星!V171)</f>
        <v>0</v>
      </c>
      <c r="AC174" s="59">
        <f>IF(N174="",0,同名需求(N174,武将升星!R171,D$6*0.8)+武将升星!W171)</f>
        <v>0</v>
      </c>
      <c r="AD174" s="29">
        <f>IF(O174="",0,同名需求(O174,武将升星!S171,E$6)+武将升星!X171)</f>
        <v>108</v>
      </c>
      <c r="AE174" s="29">
        <f>MAX(U174+P174+IF(K174="",0,K174)*武将升星!O171,Z174)</f>
        <v>0</v>
      </c>
      <c r="AF174" s="29">
        <f>MAX(V174+Q174+IF(L174="",0,L174)*武将升星!P171,AA174)</f>
        <v>0</v>
      </c>
      <c r="AG174" s="29">
        <f>MAX(W174+R174+IF(M174="",0,M174)*武将升星!Q171,AB174)</f>
        <v>0</v>
      </c>
      <c r="AH174" s="29">
        <f>MAX(X174+S174+IF(N174="",0,N174)*武将升星!R171,AC174)</f>
        <v>642</v>
      </c>
      <c r="AI174" s="45">
        <f t="shared" si="168"/>
        <v>108</v>
      </c>
      <c r="AJ174" s="29">
        <f t="shared" si="144"/>
        <v>1994400</v>
      </c>
      <c r="AK174" s="14" t="e">
        <f>AJ174/求节点('[1]资源-钻石'!$K$4:$K$113,'[1]资源-钻石'!$O$4:$O$113,J174)</f>
        <v>#VALUE!</v>
      </c>
      <c r="AL174" s="16" t="e">
        <f t="shared" si="169"/>
        <v>#DIV/0!</v>
      </c>
      <c r="AM174" s="16"/>
      <c r="AP174" s="17">
        <v>36</v>
      </c>
      <c r="AR174" s="16">
        <f t="shared" si="161"/>
        <v>33.175820385996765</v>
      </c>
      <c r="AS174" s="29">
        <f>IF(基础状态预期!C184="","",基础状态预期!C184)</f>
        <v>7670</v>
      </c>
      <c r="AT174" s="29">
        <f>求节点(节奏总纲!$S$4:$S$163,其他调用!$F$4:$F$163,$AS174)*求节点($CP$5:$CP$36,$CT$5:$CT$36,AS39)</f>
        <v>62370331.705472849</v>
      </c>
      <c r="AU174" s="37">
        <f t="shared" si="170"/>
        <v>0</v>
      </c>
      <c r="AV174" s="37">
        <f t="shared" si="171"/>
        <v>1</v>
      </c>
      <c r="AW174" s="38">
        <f t="shared" si="148"/>
        <v>0.4933333333333334</v>
      </c>
      <c r="AX174" s="38">
        <f t="shared" si="149"/>
        <v>0.26666666666666666</v>
      </c>
      <c r="AY174" s="38">
        <f t="shared" si="150"/>
        <v>0.04</v>
      </c>
      <c r="AZ174" s="38">
        <f t="shared" si="151"/>
        <v>0.02</v>
      </c>
      <c r="BA174" s="29">
        <f t="shared" si="172"/>
        <v>12590223.836485773</v>
      </c>
      <c r="BB174" s="29">
        <f t="shared" si="162"/>
        <v>25879.904552776316</v>
      </c>
      <c r="BC174" s="29">
        <f t="shared" si="152"/>
        <v>13989.137596095303</v>
      </c>
      <c r="BD174" s="29">
        <f t="shared" si="153"/>
        <v>2098.3706394142955</v>
      </c>
      <c r="BE174" s="29">
        <f t="shared" si="154"/>
        <v>1049.1853197071478</v>
      </c>
      <c r="BF174" s="29">
        <f t="shared" si="163"/>
        <v>63661.000000000007</v>
      </c>
      <c r="BG174" s="29">
        <f t="shared" si="163"/>
        <v>11505</v>
      </c>
      <c r="BH174" s="29">
        <f t="shared" si="163"/>
        <v>1534</v>
      </c>
      <c r="BI174" s="29">
        <f t="shared" si="163"/>
        <v>0</v>
      </c>
      <c r="BJ174" s="29">
        <f>SUM(BB$142:BB174)+BF174</f>
        <v>192172.74961396426</v>
      </c>
      <c r="BK174" s="29">
        <f>SUM(BC$142:BC174)+BG174</f>
        <v>80805.368561636496</v>
      </c>
      <c r="BL174" s="29">
        <f>SUM(BD$142:BD174)+BH174</f>
        <v>11993.978751656294</v>
      </c>
      <c r="BM174" s="29">
        <f>SUM(BE$142:BE174)+BI174</f>
        <v>5160.4285178879836</v>
      </c>
      <c r="BN174" s="29">
        <f>SUM(BT$142:BT174)</f>
        <v>41.363169556466879</v>
      </c>
      <c r="BO174" s="17">
        <f t="shared" si="173"/>
        <v>1700.6009624752271</v>
      </c>
      <c r="BP174" s="17">
        <f t="shared" si="174"/>
        <v>34.834362334199298</v>
      </c>
      <c r="BQ174" s="17">
        <f t="shared" si="175"/>
        <v>208.6038693686684</v>
      </c>
      <c r="BR174" s="17">
        <f t="shared" si="164"/>
        <v>0</v>
      </c>
      <c r="BS174" s="17">
        <f t="shared" si="159"/>
        <v>80</v>
      </c>
      <c r="BT174" s="17">
        <f t="shared" si="165"/>
        <v>0</v>
      </c>
      <c r="BV174" s="17">
        <f t="shared" si="160"/>
        <v>11351.978751656294</v>
      </c>
    </row>
    <row r="175" spans="8:87" x14ac:dyDescent="0.15">
      <c r="H175" s="17">
        <v>37</v>
      </c>
      <c r="I175" s="29">
        <f>IF(基础状态预期!C185="","",基础状态预期!C185)</f>
        <v>9770</v>
      </c>
      <c r="J175" s="29">
        <f>IF(基础状态预期!D185="","",基础状态预期!D185)</f>
        <v>143.14123736077869</v>
      </c>
      <c r="K175" s="29" t="str">
        <f>IF(基础状态预期!F185="","",基础状态预期!F185)</f>
        <v/>
      </c>
      <c r="L175" s="29" t="str">
        <f>IF(基础状态预期!G185="","",基础状态预期!G185)</f>
        <v/>
      </c>
      <c r="M175" s="29" t="str">
        <f>IF(基础状态预期!H185="","",基础状态预期!H185)</f>
        <v/>
      </c>
      <c r="N175" s="29" t="str">
        <f>IF(基础状态预期!I185="","",基础状态预期!I185)</f>
        <v/>
      </c>
      <c r="O175" s="29">
        <f>IF(基础状态预期!J185="","",基础状态预期!J185)</f>
        <v>6</v>
      </c>
      <c r="P175" s="29">
        <f>武将进阶!O172</f>
        <v>0</v>
      </c>
      <c r="Q175" s="29">
        <f>武将进阶!P172</f>
        <v>0</v>
      </c>
      <c r="R175" s="29">
        <f>武将进阶!Q172</f>
        <v>0</v>
      </c>
      <c r="S175" s="29">
        <f>武将进阶!R172</f>
        <v>642</v>
      </c>
      <c r="T175" s="29">
        <f>武将进阶!S172</f>
        <v>0</v>
      </c>
      <c r="U175" s="29">
        <f>武将觉醒!T173</f>
        <v>0</v>
      </c>
      <c r="V175" s="29">
        <f>武将觉醒!U173</f>
        <v>0</v>
      </c>
      <c r="W175" s="29">
        <f>武将觉醒!V173</f>
        <v>0</v>
      </c>
      <c r="X175" s="29">
        <f>武将觉醒!W173</f>
        <v>0</v>
      </c>
      <c r="Y175" s="29">
        <f>武将觉醒!X173</f>
        <v>0</v>
      </c>
      <c r="Z175" s="29"/>
      <c r="AA175" s="29">
        <f>IF(L175="",0,同名需求(L175,武将升星!P172,B$6)+武将升星!U172)</f>
        <v>0</v>
      </c>
      <c r="AB175" s="29">
        <f>IF(M175="",0,同名需求(M175,武将升星!Q172,C$6)+武将升星!V172)</f>
        <v>0</v>
      </c>
      <c r="AC175" s="59">
        <f>IF(N175="",0,同名需求(N175,武将升星!R172,D$6*0.8)+武将升星!W172)</f>
        <v>0</v>
      </c>
      <c r="AD175" s="29">
        <f>IF(O175="",0,同名需求(O175,武将升星!S172,E$6)+武将升星!X172)</f>
        <v>108</v>
      </c>
      <c r="AE175" s="29">
        <f>MAX(U175+P175+IF(K175="",0,K175)*武将升星!O172,Z175)</f>
        <v>0</v>
      </c>
      <c r="AF175" s="29">
        <f>MAX(V175+Q175+IF(L175="",0,L175)*武将升星!P172,AA175)</f>
        <v>0</v>
      </c>
      <c r="AG175" s="29">
        <f>MAX(W175+R175+IF(M175="",0,M175)*武将升星!Q172,AB175)</f>
        <v>0</v>
      </c>
      <c r="AH175" s="29">
        <f>MAX(X175+S175+IF(N175="",0,N175)*武将升星!R172,AC175)</f>
        <v>642</v>
      </c>
      <c r="AI175" s="45">
        <f t="shared" si="168"/>
        <v>108</v>
      </c>
      <c r="AJ175" s="29">
        <f t="shared" si="144"/>
        <v>1994400</v>
      </c>
      <c r="AK175" s="14" t="e">
        <f>AJ175/求节点('[1]资源-钻石'!$K$4:$K$113,'[1]资源-钻石'!$O$4:$O$113,J175)</f>
        <v>#VALUE!</v>
      </c>
      <c r="AL175" s="16" t="e">
        <f t="shared" si="169"/>
        <v>#DIV/0!</v>
      </c>
      <c r="AM175" s="16"/>
      <c r="AP175" s="17">
        <v>37</v>
      </c>
      <c r="AR175" s="16">
        <f t="shared" si="161"/>
        <v>32.73845834654167</v>
      </c>
      <c r="AS175" s="29">
        <f>IF(基础状态预期!C185="","",基础状态预期!C185)</f>
        <v>9770</v>
      </c>
      <c r="AT175" s="29">
        <f>求节点(节奏总纲!$S$4:$S$163,其他调用!$F$4:$F$163,$AS175)*求节点($CP$5:$CP$36,$CT$5:$CT$36,AS40)</f>
        <v>78183007.086852476</v>
      </c>
      <c r="AU175" s="37">
        <f t="shared" si="170"/>
        <v>0</v>
      </c>
      <c r="AV175" s="37">
        <f t="shared" si="171"/>
        <v>1</v>
      </c>
      <c r="AW175" s="38">
        <f t="shared" si="148"/>
        <v>0.4933333333333334</v>
      </c>
      <c r="AX175" s="38">
        <f t="shared" si="149"/>
        <v>0.26666666666666666</v>
      </c>
      <c r="AY175" s="38">
        <f t="shared" si="150"/>
        <v>0.04</v>
      </c>
      <c r="AZ175" s="38">
        <f t="shared" si="151"/>
        <v>0.02</v>
      </c>
      <c r="BA175" s="29">
        <f t="shared" si="172"/>
        <v>15812675.381379627</v>
      </c>
      <c r="BB175" s="29">
        <f t="shared" si="162"/>
        <v>32503.832728391462</v>
      </c>
      <c r="BC175" s="29">
        <f t="shared" si="152"/>
        <v>17569.639312644031</v>
      </c>
      <c r="BD175" s="29">
        <f t="shared" si="153"/>
        <v>2635.4458968966046</v>
      </c>
      <c r="BE175" s="29">
        <f t="shared" si="154"/>
        <v>1317.7229484483023</v>
      </c>
      <c r="BF175" s="29">
        <f t="shared" si="163"/>
        <v>81091</v>
      </c>
      <c r="BG175" s="29">
        <f t="shared" si="163"/>
        <v>14655</v>
      </c>
      <c r="BH175" s="29">
        <f t="shared" si="163"/>
        <v>1954</v>
      </c>
      <c r="BI175" s="29">
        <f t="shared" si="163"/>
        <v>0</v>
      </c>
      <c r="BJ175" s="29">
        <f>SUM(BB$142:BB175)+BF175</f>
        <v>242106.58234235572</v>
      </c>
      <c r="BK175" s="29">
        <f>SUM(BC$142:BC175)+BG175</f>
        <v>101525.00787428053</v>
      </c>
      <c r="BL175" s="29">
        <f>SUM(BD$142:BD175)+BH175</f>
        <v>15049.424648552898</v>
      </c>
      <c r="BM175" s="29">
        <f>SUM(BE$142:BE175)+BI175</f>
        <v>6478.1514663362859</v>
      </c>
      <c r="BN175" s="29">
        <f>SUM(BT$142:BT175)</f>
        <v>41.363169556466879</v>
      </c>
      <c r="BO175" s="17">
        <f t="shared" si="173"/>
        <v>2837.6668813817164</v>
      </c>
      <c r="BP175" s="17">
        <f t="shared" si="174"/>
        <v>39.475218597986427</v>
      </c>
      <c r="BQ175" s="17">
        <f t="shared" si="175"/>
        <v>158.26439156725181</v>
      </c>
      <c r="BR175" s="17">
        <f t="shared" si="164"/>
        <v>0</v>
      </c>
      <c r="BS175" s="17">
        <f t="shared" si="159"/>
        <v>80</v>
      </c>
      <c r="BT175" s="17">
        <f t="shared" si="165"/>
        <v>0</v>
      </c>
      <c r="BV175" s="17">
        <f t="shared" si="160"/>
        <v>14407.424648552898</v>
      </c>
    </row>
    <row r="176" spans="8:87" x14ac:dyDescent="0.15">
      <c r="H176" s="17">
        <v>38</v>
      </c>
      <c r="I176" s="29">
        <f>IF(基础状态预期!C186="","",基础状态预期!C186)</f>
        <v>12440</v>
      </c>
      <c r="J176" s="29">
        <f>IF(基础状态预期!D186="","",基础状态预期!D186)</f>
        <v>146.75578521325724</v>
      </c>
      <c r="K176" s="29" t="str">
        <f>IF(基础状态预期!F186="","",基础状态预期!F186)</f>
        <v/>
      </c>
      <c r="L176" s="29" t="str">
        <f>IF(基础状态预期!G186="","",基础状态预期!G186)</f>
        <v/>
      </c>
      <c r="M176" s="29" t="str">
        <f>IF(基础状态预期!H186="","",基础状态预期!H186)</f>
        <v/>
      </c>
      <c r="N176" s="29" t="str">
        <f>IF(基础状态预期!I186="","",基础状态预期!I186)</f>
        <v/>
      </c>
      <c r="O176" s="29">
        <f>IF(基础状态预期!J186="","",基础状态预期!J186)</f>
        <v>6</v>
      </c>
      <c r="P176" s="29">
        <f>武将进阶!O173</f>
        <v>0</v>
      </c>
      <c r="Q176" s="29">
        <f>武将进阶!P173</f>
        <v>0</v>
      </c>
      <c r="R176" s="29">
        <f>武将进阶!Q173</f>
        <v>0</v>
      </c>
      <c r="S176" s="29">
        <f>武将进阶!R173</f>
        <v>642</v>
      </c>
      <c r="T176" s="29">
        <f>武将进阶!S173</f>
        <v>0</v>
      </c>
      <c r="U176" s="29">
        <f>武将觉醒!T174</f>
        <v>0</v>
      </c>
      <c r="V176" s="29">
        <f>武将觉醒!U174</f>
        <v>0</v>
      </c>
      <c r="W176" s="29">
        <f>武将觉醒!V174</f>
        <v>0</v>
      </c>
      <c r="X176" s="29">
        <f>武将觉醒!W174</f>
        <v>0</v>
      </c>
      <c r="Y176" s="29">
        <f>武将觉醒!X174</f>
        <v>0</v>
      </c>
      <c r="Z176" s="29"/>
      <c r="AA176" s="29">
        <f>IF(L176="",0,同名需求(L176,武将升星!P173,B$6)+武将升星!U173)</f>
        <v>0</v>
      </c>
      <c r="AB176" s="29">
        <f>IF(M176="",0,同名需求(M176,武将升星!Q173,C$6)+武将升星!V173)</f>
        <v>0</v>
      </c>
      <c r="AC176" s="59">
        <f>IF(N176="",0,同名需求(N176,武将升星!R173,D$6*0.8)+武将升星!W173)</f>
        <v>0</v>
      </c>
      <c r="AD176" s="29">
        <f>IF(O176="",0,同名需求(O176,武将升星!S173,E$6)+武将升星!X173)</f>
        <v>108</v>
      </c>
      <c r="AE176" s="29">
        <f>MAX(U176+P176+IF(K176="",0,K176)*武将升星!O173,Z176)</f>
        <v>0</v>
      </c>
      <c r="AF176" s="29">
        <f>MAX(V176+Q176+IF(L176="",0,L176)*武将升星!P173,AA176)</f>
        <v>0</v>
      </c>
      <c r="AG176" s="29">
        <f>MAX(W176+R176+IF(M176="",0,M176)*武将升星!Q173,AB176)</f>
        <v>0</v>
      </c>
      <c r="AH176" s="29">
        <f>MAX(X176+S176+IF(N176="",0,N176)*武将升星!R173,AC176)</f>
        <v>642</v>
      </c>
      <c r="AI176" s="45">
        <f t="shared" si="168"/>
        <v>108</v>
      </c>
      <c r="AJ176" s="29">
        <f t="shared" si="144"/>
        <v>1994400</v>
      </c>
      <c r="AK176" s="14" t="e">
        <f>AJ176/求节点('[1]资源-钻石'!$K$4:$K$113,'[1]资源-钻石'!$O$4:$O$113,J176)</f>
        <v>#VALUE!</v>
      </c>
      <c r="AL176" s="16" t="e">
        <f t="shared" si="169"/>
        <v>#DIV/0!</v>
      </c>
      <c r="AM176" s="16"/>
      <c r="AP176" s="17">
        <v>38</v>
      </c>
      <c r="AR176" s="16">
        <f t="shared" si="161"/>
        <v>32.146856955355823</v>
      </c>
      <c r="AS176" s="29">
        <f>IF(基础状态预期!C186="","",基础状态预期!C186)</f>
        <v>12440</v>
      </c>
      <c r="AT176" s="29">
        <f>求节点(节奏总纲!$S$4:$S$163,其他调用!$F$4:$F$163,$AS176)*求节点($CP$5:$CP$36,$CT$5:$CT$36,AS41)</f>
        <v>97924391.943136483</v>
      </c>
      <c r="AU176" s="37">
        <f t="shared" si="170"/>
        <v>0</v>
      </c>
      <c r="AV176" s="37">
        <f t="shared" si="171"/>
        <v>1</v>
      </c>
      <c r="AW176" s="38">
        <f t="shared" si="148"/>
        <v>0.4933333333333334</v>
      </c>
      <c r="AX176" s="38">
        <f t="shared" si="149"/>
        <v>0.26666666666666666</v>
      </c>
      <c r="AY176" s="38">
        <f t="shared" si="150"/>
        <v>0.04</v>
      </c>
      <c r="AZ176" s="38">
        <f t="shared" si="151"/>
        <v>0.02</v>
      </c>
      <c r="BA176" s="29">
        <f t="shared" si="172"/>
        <v>19741384.856284007</v>
      </c>
      <c r="BB176" s="29">
        <f t="shared" si="162"/>
        <v>40579.513315694909</v>
      </c>
      <c r="BC176" s="29">
        <f t="shared" si="152"/>
        <v>21934.872062537783</v>
      </c>
      <c r="BD176" s="29">
        <f t="shared" si="153"/>
        <v>3290.2308093806678</v>
      </c>
      <c r="BE176" s="29">
        <f t="shared" si="154"/>
        <v>1645.1154046903339</v>
      </c>
      <c r="BF176" s="29">
        <f t="shared" si="163"/>
        <v>103252.00000000001</v>
      </c>
      <c r="BG176" s="29">
        <f t="shared" si="163"/>
        <v>18660</v>
      </c>
      <c r="BH176" s="29">
        <f t="shared" si="163"/>
        <v>2488</v>
      </c>
      <c r="BI176" s="29">
        <f t="shared" si="163"/>
        <v>0</v>
      </c>
      <c r="BJ176" s="29">
        <f>SUM(BB$142:BB176)+BF176</f>
        <v>304847.09565805062</v>
      </c>
      <c r="BK176" s="29">
        <f>SUM(BC$142:BC176)+BG176</f>
        <v>127464.87993681832</v>
      </c>
      <c r="BL176" s="29">
        <f>SUM(BD$142:BD176)+BH176</f>
        <v>18873.655457933564</v>
      </c>
      <c r="BM176" s="29">
        <f>SUM(BE$142:BE176)+BI176</f>
        <v>8123.2668710266198</v>
      </c>
      <c r="BN176" s="29">
        <f>SUM(BT$142:BT176)</f>
        <v>41.363169556466879</v>
      </c>
      <c r="BO176" s="17">
        <f t="shared" si="173"/>
        <v>6554.1697592841638</v>
      </c>
      <c r="BP176" s="17">
        <f t="shared" si="174"/>
        <v>44.850060507513618</v>
      </c>
      <c r="BQ176" s="17">
        <f t="shared" si="175"/>
        <v>141.79206048688442</v>
      </c>
      <c r="BR176" s="17">
        <f t="shared" si="164"/>
        <v>0</v>
      </c>
      <c r="BS176" s="17">
        <f t="shared" si="159"/>
        <v>80</v>
      </c>
      <c r="BT176" s="17">
        <f t="shared" si="165"/>
        <v>0</v>
      </c>
      <c r="BV176" s="17">
        <f t="shared" si="160"/>
        <v>18231.655457933564</v>
      </c>
    </row>
    <row r="177" spans="8:74" x14ac:dyDescent="0.15">
      <c r="H177" s="17">
        <v>39</v>
      </c>
      <c r="I177" s="29">
        <f>IF(基础状态预期!C187="","",基础状态预期!C187)</f>
        <v>15860</v>
      </c>
      <c r="J177" s="29">
        <f>IF(基础状态预期!D187="","",基础状态预期!D187)</f>
        <v>150.21349802228445</v>
      </c>
      <c r="K177" s="29" t="str">
        <f>IF(基础状态预期!F187="","",基础状态预期!F187)</f>
        <v/>
      </c>
      <c r="L177" s="29" t="str">
        <f>IF(基础状态预期!G187="","",基础状态预期!G187)</f>
        <v/>
      </c>
      <c r="M177" s="29" t="str">
        <f>IF(基础状态预期!H187="","",基础状态预期!H187)</f>
        <v/>
      </c>
      <c r="N177" s="29" t="str">
        <f>IF(基础状态预期!I187="","",基础状态预期!I187)</f>
        <v/>
      </c>
      <c r="O177" s="29">
        <f>IF(基础状态预期!J187="","",基础状态预期!J187)</f>
        <v>6</v>
      </c>
      <c r="P177" s="29">
        <f>武将进阶!O174</f>
        <v>0</v>
      </c>
      <c r="Q177" s="29">
        <f>武将进阶!P174</f>
        <v>0</v>
      </c>
      <c r="R177" s="29">
        <f>武将进阶!Q174</f>
        <v>0</v>
      </c>
      <c r="S177" s="29">
        <f>武将进阶!R174</f>
        <v>642</v>
      </c>
      <c r="T177" s="29">
        <f>武将进阶!S174</f>
        <v>0</v>
      </c>
      <c r="U177" s="29">
        <f>武将觉醒!T175</f>
        <v>0</v>
      </c>
      <c r="V177" s="29">
        <f>武将觉醒!U175</f>
        <v>0</v>
      </c>
      <c r="W177" s="29">
        <f>武将觉醒!V175</f>
        <v>0</v>
      </c>
      <c r="X177" s="29">
        <f>武将觉醒!W175</f>
        <v>0</v>
      </c>
      <c r="Y177" s="29">
        <f>武将觉醒!X175</f>
        <v>0</v>
      </c>
      <c r="Z177" s="29"/>
      <c r="AA177" s="29">
        <f>IF(L177="",0,同名需求(L177,武将升星!P174,B$6)+武将升星!U174)</f>
        <v>0</v>
      </c>
      <c r="AB177" s="29">
        <f>IF(M177="",0,同名需求(M177,武将升星!Q174,C$6)+武将升星!V174)</f>
        <v>0</v>
      </c>
      <c r="AC177" s="59">
        <f>IF(N177="",0,同名需求(N177,武将升星!R174,D$6*0.8)+武将升星!W174)</f>
        <v>0</v>
      </c>
      <c r="AD177" s="29">
        <f>IF(O177="",0,同名需求(O177,武将升星!S174,E$6)+武将升星!X174)</f>
        <v>108</v>
      </c>
      <c r="AE177" s="29">
        <f>MAX(U177+P177+IF(K177="",0,K177)*武将升星!O174,Z177)</f>
        <v>0</v>
      </c>
      <c r="AF177" s="29">
        <f>MAX(V177+Q177+IF(L177="",0,L177)*武将升星!P174,AA177)</f>
        <v>0</v>
      </c>
      <c r="AG177" s="29">
        <f>MAX(W177+R177+IF(M177="",0,M177)*武将升星!Q174,AB177)</f>
        <v>0</v>
      </c>
      <c r="AH177" s="29">
        <f>MAX(X177+S177+IF(N177="",0,N177)*武将升星!R174,AC177)</f>
        <v>642</v>
      </c>
      <c r="AI177" s="45">
        <f t="shared" si="168"/>
        <v>108</v>
      </c>
      <c r="AJ177" s="29">
        <f t="shared" si="144"/>
        <v>1994400</v>
      </c>
      <c r="AK177" s="14" t="e">
        <f>AJ177/求节点('[1]资源-钻石'!$K$4:$K$113,'[1]资源-钻石'!$O$4:$O$113,J177)</f>
        <v>#VALUE!</v>
      </c>
      <c r="AL177" s="16" t="e">
        <f t="shared" si="169"/>
        <v>#DIV/0!</v>
      </c>
      <c r="AM177" s="16"/>
      <c r="AP177" s="17">
        <v>39</v>
      </c>
      <c r="AR177" s="16">
        <f t="shared" si="161"/>
        <v>31.628043813109205</v>
      </c>
      <c r="AS177" s="29">
        <f>IF(基础状态预期!C187="","",基础状态预期!C187)</f>
        <v>15860</v>
      </c>
      <c r="AT177" s="29">
        <f>求节点(节奏总纲!$S$4:$S$163,其他调用!$F$4:$F$163,$AS177)*求节点($CP$5:$CP$36,$CT$5:$CT$36,AS42)</f>
        <v>122803011.20652819</v>
      </c>
      <c r="AU177" s="37">
        <f t="shared" si="170"/>
        <v>0</v>
      </c>
      <c r="AV177" s="37">
        <f t="shared" si="171"/>
        <v>1</v>
      </c>
      <c r="AW177" s="38">
        <f t="shared" si="148"/>
        <v>0.4933333333333334</v>
      </c>
      <c r="AX177" s="38">
        <f t="shared" si="149"/>
        <v>0.26666666666666666</v>
      </c>
      <c r="AY177" s="38">
        <f t="shared" si="150"/>
        <v>0.04</v>
      </c>
      <c r="AZ177" s="38">
        <f t="shared" si="151"/>
        <v>0.02</v>
      </c>
      <c r="BA177" s="29">
        <f t="shared" si="172"/>
        <v>24878619.263391703</v>
      </c>
      <c r="BB177" s="29">
        <f t="shared" si="162"/>
        <v>51139.384041416291</v>
      </c>
      <c r="BC177" s="29">
        <f t="shared" si="152"/>
        <v>27642.910292657449</v>
      </c>
      <c r="BD177" s="29">
        <f t="shared" si="153"/>
        <v>4146.4365438986179</v>
      </c>
      <c r="BE177" s="29">
        <f t="shared" si="154"/>
        <v>2073.2182719493089</v>
      </c>
      <c r="BF177" s="29">
        <f t="shared" si="163"/>
        <v>131638</v>
      </c>
      <c r="BG177" s="29">
        <f t="shared" si="163"/>
        <v>23790</v>
      </c>
      <c r="BH177" s="29">
        <f t="shared" si="163"/>
        <v>3172</v>
      </c>
      <c r="BI177" s="29">
        <f t="shared" si="163"/>
        <v>0</v>
      </c>
      <c r="BJ177" s="29">
        <f>SUM(BB$142:BB177)+BF177</f>
        <v>384372.4796994669</v>
      </c>
      <c r="BK177" s="29">
        <f>SUM(BC$142:BC177)+BG177</f>
        <v>160237.79022947577</v>
      </c>
      <c r="BL177" s="29">
        <f>SUM(BD$142:BD177)+BH177</f>
        <v>23704.092001832181</v>
      </c>
      <c r="BM177" s="29">
        <f>SUM(BE$142:BE177)+BI177</f>
        <v>10196.485142975929</v>
      </c>
      <c r="BN177" s="29">
        <f>SUM(BT$142:BT177)</f>
        <v>41.363169556466879</v>
      </c>
      <c r="BO177" s="17">
        <f t="shared" si="173"/>
        <v>15483.350649726186</v>
      </c>
      <c r="BP177" s="17">
        <f t="shared" si="174"/>
        <v>54.964914243641644</v>
      </c>
      <c r="BQ177" s="17">
        <f t="shared" si="175"/>
        <v>129.27722668230712</v>
      </c>
      <c r="BR177" s="17">
        <f t="shared" si="164"/>
        <v>0</v>
      </c>
      <c r="BS177" s="17">
        <f t="shared" si="159"/>
        <v>80</v>
      </c>
      <c r="BT177" s="17">
        <f t="shared" si="165"/>
        <v>0</v>
      </c>
      <c r="BV177" s="17">
        <f t="shared" si="160"/>
        <v>23062.092001832181</v>
      </c>
    </row>
    <row r="178" spans="8:74" x14ac:dyDescent="0.15">
      <c r="H178" s="17">
        <v>40</v>
      </c>
      <c r="I178" s="29">
        <f>IF(基础状态预期!C188="","",基础状态预期!C188)</f>
        <v>20210</v>
      </c>
      <c r="J178" s="29">
        <f>IF(基础状态预期!D188="","",基础状态预期!D188)</f>
        <v>152.32856849044819</v>
      </c>
      <c r="K178" s="29" t="str">
        <f>IF(基础状态预期!F188="","",基础状态预期!F188)</f>
        <v/>
      </c>
      <c r="L178" s="29" t="str">
        <f>IF(基础状态预期!G188="","",基础状态预期!G188)</f>
        <v/>
      </c>
      <c r="M178" s="29" t="str">
        <f>IF(基础状态预期!H188="","",基础状态预期!H188)</f>
        <v/>
      </c>
      <c r="N178" s="29" t="str">
        <f>IF(基础状态预期!I188="","",基础状态预期!I188)</f>
        <v/>
      </c>
      <c r="O178" s="29">
        <f>IF(基础状态预期!J188="","",基础状态预期!J188)</f>
        <v>6</v>
      </c>
      <c r="P178" s="29">
        <f>武将进阶!O175</f>
        <v>0</v>
      </c>
      <c r="Q178" s="29">
        <f>武将进阶!P175</f>
        <v>0</v>
      </c>
      <c r="R178" s="29">
        <f>武将进阶!Q175</f>
        <v>0</v>
      </c>
      <c r="S178" s="29">
        <f>武将进阶!R175</f>
        <v>642</v>
      </c>
      <c r="T178" s="29">
        <f>武将进阶!S175</f>
        <v>0</v>
      </c>
      <c r="U178" s="29">
        <f>武将觉醒!T176</f>
        <v>0</v>
      </c>
      <c r="V178" s="29">
        <f>武将觉醒!U176</f>
        <v>0</v>
      </c>
      <c r="W178" s="29">
        <f>武将觉醒!V176</f>
        <v>0</v>
      </c>
      <c r="X178" s="29">
        <f>武将觉醒!W176</f>
        <v>0</v>
      </c>
      <c r="Y178" s="29">
        <f>武将觉醒!X176</f>
        <v>0</v>
      </c>
      <c r="Z178" s="29"/>
      <c r="AA178" s="29">
        <f>IF(L178="",0,同名需求(L178,武将升星!P175,B$6)+武将升星!U175)</f>
        <v>0</v>
      </c>
      <c r="AB178" s="29">
        <f>IF(M178="",0,同名需求(M178,武将升星!Q175,C$6)+武将升星!V175)</f>
        <v>0</v>
      </c>
      <c r="AC178" s="59">
        <f>IF(N178="",0,同名需求(N178,武将升星!R175,D$6*0.8)+武将升星!W175)</f>
        <v>0</v>
      </c>
      <c r="AD178" s="29">
        <f>IF(O178="",0,同名需求(O178,武将升星!S175,E$6)+武将升星!X175)</f>
        <v>108</v>
      </c>
      <c r="AE178" s="29">
        <f>MAX(U178+P178+IF(K178="",0,K178)*武将升星!O175,Z178)</f>
        <v>0</v>
      </c>
      <c r="AF178" s="29">
        <f>MAX(V178+Q178+IF(L178="",0,L178)*武将升星!P175,AA178)</f>
        <v>0</v>
      </c>
      <c r="AG178" s="29">
        <f>MAX(W178+R178+IF(M178="",0,M178)*武将升星!Q175,AB178)</f>
        <v>0</v>
      </c>
      <c r="AH178" s="29">
        <f>MAX(X178+S178+IF(N178="",0,N178)*武将升星!R175,AC178)</f>
        <v>642</v>
      </c>
      <c r="AI178" s="45">
        <f t="shared" si="168"/>
        <v>108</v>
      </c>
      <c r="AJ178" s="29">
        <f t="shared" si="144"/>
        <v>1994400</v>
      </c>
      <c r="AK178" s="14" t="e">
        <f>AJ178/求节点('[1]资源-钻石'!$K$4:$K$113,'[1]资源-钻石'!$O$4:$O$113,J178)</f>
        <v>#VALUE!</v>
      </c>
      <c r="AL178" s="16" t="e">
        <f t="shared" si="169"/>
        <v>#DIV/0!</v>
      </c>
      <c r="AM178" s="16"/>
      <c r="AP178" s="17">
        <v>40</v>
      </c>
      <c r="AR178" s="16">
        <f t="shared" si="161"/>
        <v>31.297495029787374</v>
      </c>
      <c r="AS178" s="29">
        <f>IF(基础状态预期!C188="","",基础状态预期!C188)</f>
        <v>20210</v>
      </c>
      <c r="AT178" s="29">
        <f>求节点(节奏总纲!$S$4:$S$163,其他调用!$F$4:$F$163,$AS178)*求节点($CP$5:$CP$36,$CT$5:$CT$36,AS43)</f>
        <v>154116154.98383045</v>
      </c>
      <c r="AU178" s="37">
        <f t="shared" si="170"/>
        <v>0</v>
      </c>
      <c r="AV178" s="37">
        <f t="shared" si="171"/>
        <v>1</v>
      </c>
      <c r="AW178" s="38">
        <f t="shared" si="148"/>
        <v>0.4933333333333334</v>
      </c>
      <c r="AX178" s="38">
        <f t="shared" si="149"/>
        <v>0.26666666666666666</v>
      </c>
      <c r="AY178" s="38">
        <f t="shared" si="150"/>
        <v>0.04</v>
      </c>
      <c r="AZ178" s="38">
        <f t="shared" si="151"/>
        <v>0.02</v>
      </c>
      <c r="BA178" s="29">
        <f t="shared" si="172"/>
        <v>31313143.777302265</v>
      </c>
      <c r="BB178" s="29">
        <f t="shared" si="162"/>
        <v>64365.906653343554</v>
      </c>
      <c r="BC178" s="29">
        <f t="shared" si="152"/>
        <v>34792.381974780292</v>
      </c>
      <c r="BD178" s="29">
        <f t="shared" si="153"/>
        <v>5218.8572962170447</v>
      </c>
      <c r="BE178" s="29">
        <f t="shared" si="154"/>
        <v>2609.4286481085223</v>
      </c>
      <c r="BF178" s="29">
        <f t="shared" si="163"/>
        <v>167743</v>
      </c>
      <c r="BG178" s="29">
        <f t="shared" si="163"/>
        <v>30315</v>
      </c>
      <c r="BH178" s="29">
        <f t="shared" si="163"/>
        <v>4042</v>
      </c>
      <c r="BI178" s="29">
        <f t="shared" si="163"/>
        <v>0</v>
      </c>
      <c r="BJ178" s="29">
        <f>SUM(BB$142:BB178)+BF178</f>
        <v>484843.38635281043</v>
      </c>
      <c r="BK178" s="29">
        <f>SUM(BC$142:BC178)+BG178</f>
        <v>201555.17220425606</v>
      </c>
      <c r="BL178" s="29">
        <f>SUM(BD$142:BD178)+BH178</f>
        <v>29792.949298049225</v>
      </c>
      <c r="BM178" s="29">
        <f>SUM(BE$142:BE178)+BI178</f>
        <v>12805.913791084451</v>
      </c>
      <c r="BN178" s="29">
        <f>SUM(BT$142:BT178)</f>
        <v>41.363169556466879</v>
      </c>
      <c r="BO178" s="17" t="e">
        <f t="shared" si="173"/>
        <v>#DIV/0!</v>
      </c>
      <c r="BP178" s="17">
        <f t="shared" si="174"/>
        <v>167.29455244864141</v>
      </c>
      <c r="BQ178" s="17">
        <f t="shared" si="175"/>
        <v>137.08190838604651</v>
      </c>
      <c r="BR178" s="17">
        <f t="shared" si="164"/>
        <v>0</v>
      </c>
      <c r="BS178" s="17">
        <f t="shared" si="159"/>
        <v>80</v>
      </c>
      <c r="BT178" s="17">
        <f t="shared" si="165"/>
        <v>0</v>
      </c>
      <c r="BV178" s="17">
        <f t="shared" si="160"/>
        <v>29150.949298049225</v>
      </c>
    </row>
    <row r="179" spans="8:74" x14ac:dyDescent="0.15">
      <c r="H179" s="17">
        <v>41</v>
      </c>
      <c r="I179" s="29">
        <f>IF(基础状态预期!C189="","",基础状态预期!C189)</f>
        <v>25760</v>
      </c>
      <c r="J179" s="29">
        <f>IF(基础状态预期!D189="","",基础状态预期!D189)</f>
        <v>153.15627769682186</v>
      </c>
      <c r="K179" s="29" t="str">
        <f>IF(基础状态预期!F189="","",基础状态预期!F189)</f>
        <v/>
      </c>
      <c r="L179" s="29" t="str">
        <f>IF(基础状态预期!G189="","",基础状态预期!G189)</f>
        <v/>
      </c>
      <c r="M179" s="29" t="str">
        <f>IF(基础状态预期!H189="","",基础状态预期!H189)</f>
        <v/>
      </c>
      <c r="N179" s="29" t="str">
        <f>IF(基础状态预期!I189="","",基础状态预期!I189)</f>
        <v/>
      </c>
      <c r="O179" s="29">
        <f>IF(基础状态预期!J189="","",基础状态预期!J189)</f>
        <v>6</v>
      </c>
      <c r="P179" s="29">
        <f>武将进阶!O176</f>
        <v>0</v>
      </c>
      <c r="Q179" s="29">
        <f>武将进阶!P176</f>
        <v>0</v>
      </c>
      <c r="R179" s="29">
        <f>武将进阶!Q176</f>
        <v>0</v>
      </c>
      <c r="S179" s="29">
        <f>武将进阶!R176</f>
        <v>642</v>
      </c>
      <c r="T179" s="29">
        <f>武将进阶!S176</f>
        <v>0</v>
      </c>
      <c r="U179" s="29">
        <f>武将觉醒!T177</f>
        <v>0</v>
      </c>
      <c r="V179" s="29">
        <f>武将觉醒!U177</f>
        <v>0</v>
      </c>
      <c r="W179" s="29">
        <f>武将觉醒!V177</f>
        <v>0</v>
      </c>
      <c r="X179" s="29">
        <f>武将觉醒!W177</f>
        <v>0</v>
      </c>
      <c r="Y179" s="29">
        <f>武将觉醒!X177</f>
        <v>0</v>
      </c>
      <c r="Z179" s="29"/>
      <c r="AA179" s="29">
        <f>IF(L179="",0,同名需求(L179,武将升星!P176,B$6)+武将升星!U176)</f>
        <v>0</v>
      </c>
      <c r="AB179" s="29">
        <f>IF(M179="",0,同名需求(M179,武将升星!Q176,C$6)+武将升星!V176)</f>
        <v>0</v>
      </c>
      <c r="AC179" s="59">
        <f>IF(N179="",0,同名需求(N179,武将升星!R176,D$6*0.8)+武将升星!W176)</f>
        <v>0</v>
      </c>
      <c r="AD179" s="29">
        <f>IF(O179="",0,同名需求(O179,武将升星!S176,E$6)+武将升星!X176)</f>
        <v>108</v>
      </c>
      <c r="AE179" s="29">
        <f>MAX(U179+P179+IF(K179="",0,K179)*武将升星!O176,Z179)</f>
        <v>0</v>
      </c>
      <c r="AF179" s="29">
        <f>MAX(V179+Q179+IF(L179="",0,L179)*武将升星!P176,AA179)</f>
        <v>0</v>
      </c>
      <c r="AG179" s="29">
        <f>MAX(W179+R179+IF(M179="",0,M179)*武将升星!Q176,AB179)</f>
        <v>0</v>
      </c>
      <c r="AH179" s="29">
        <f>MAX(X179+S179+IF(N179="",0,N179)*武将升星!R176,AC179)</f>
        <v>642</v>
      </c>
      <c r="AI179" s="45">
        <f t="shared" si="168"/>
        <v>108</v>
      </c>
      <c r="AJ179" s="29">
        <f t="shared" si="144"/>
        <v>1994400</v>
      </c>
      <c r="AK179" s="14" t="e">
        <f>AJ179/求节点('[1]资源-钻石'!$K$4:$K$113,'[1]资源-钻石'!$O$4:$O$113,J179)</f>
        <v>#VALUE!</v>
      </c>
      <c r="AL179" s="16" t="e">
        <f t="shared" si="169"/>
        <v>#DIV/0!</v>
      </c>
      <c r="AM179" s="16"/>
      <c r="AP179" s="17">
        <v>41</v>
      </c>
      <c r="AR179" s="16">
        <f t="shared" si="161"/>
        <v>30.745140287995333</v>
      </c>
      <c r="AS179" s="29">
        <f>IF(基础状态预期!C189="","",基础状态预期!C189)</f>
        <v>25760</v>
      </c>
      <c r="AT179" s="29">
        <f>求节点(节奏总纲!$S$4:$S$163,其他调用!$F$4:$F$163,$AS179)*求节点($CP$5:$CP$36,$CT$5:$CT$36,AS44)</f>
        <v>193362326.5614565</v>
      </c>
      <c r="AU179" s="37">
        <f t="shared" si="170"/>
        <v>0</v>
      </c>
      <c r="AV179" s="37">
        <f t="shared" si="171"/>
        <v>1</v>
      </c>
      <c r="AW179" s="38">
        <f t="shared" si="148"/>
        <v>0.4933333333333334</v>
      </c>
      <c r="AX179" s="38">
        <f t="shared" si="149"/>
        <v>0.26666666666666666</v>
      </c>
      <c r="AY179" s="38">
        <f t="shared" si="150"/>
        <v>0.04</v>
      </c>
      <c r="AZ179" s="38">
        <f t="shared" si="151"/>
        <v>0.02</v>
      </c>
      <c r="BA179" s="29">
        <f t="shared" si="172"/>
        <v>39246171.57762605</v>
      </c>
      <c r="BB179" s="29">
        <f t="shared" si="162"/>
        <v>80672.686020675785</v>
      </c>
      <c r="BC179" s="29">
        <f t="shared" si="152"/>
        <v>43606.857308473394</v>
      </c>
      <c r="BD179" s="29">
        <f t="shared" si="153"/>
        <v>6541.0285962710086</v>
      </c>
      <c r="BE179" s="29">
        <f t="shared" si="154"/>
        <v>3270.5142981355043</v>
      </c>
      <c r="BF179" s="29">
        <f t="shared" si="163"/>
        <v>213808.00000000003</v>
      </c>
      <c r="BG179" s="29">
        <f t="shared" si="163"/>
        <v>38640</v>
      </c>
      <c r="BH179" s="29">
        <f t="shared" si="163"/>
        <v>5152</v>
      </c>
      <c r="BI179" s="29">
        <f t="shared" si="163"/>
        <v>0</v>
      </c>
      <c r="BJ179" s="29">
        <f>SUM(BB$142:BB179)+BF179</f>
        <v>611581.07237348624</v>
      </c>
      <c r="BK179" s="29">
        <f>SUM(BC$142:BC179)+BG179</f>
        <v>253487.02951272944</v>
      </c>
      <c r="BL179" s="29">
        <f>SUM(BD$142:BD179)+BH179</f>
        <v>37443.977894320233</v>
      </c>
      <c r="BM179" s="29">
        <f>SUM(BE$142:BE179)+BI179</f>
        <v>16076.428089219955</v>
      </c>
      <c r="BN179" s="29">
        <f>SUM(BT$142:BT179)</f>
        <v>41.363169556466879</v>
      </c>
      <c r="BO179" s="17" t="e">
        <f t="shared" si="173"/>
        <v>#DIV/0!</v>
      </c>
      <c r="BP179" s="17">
        <f t="shared" si="174"/>
        <v>191.01653704222045</v>
      </c>
      <c r="BQ179" s="17">
        <f t="shared" si="175"/>
        <v>148.8558156409255</v>
      </c>
      <c r="BR179" s="17">
        <f t="shared" si="164"/>
        <v>0</v>
      </c>
      <c r="BS179" s="17">
        <f t="shared" si="159"/>
        <v>80</v>
      </c>
      <c r="BT179" s="17">
        <f t="shared" si="165"/>
        <v>0</v>
      </c>
      <c r="BV179" s="17">
        <f t="shared" si="160"/>
        <v>36801.977894320233</v>
      </c>
    </row>
    <row r="180" spans="8:74" x14ac:dyDescent="0.15">
      <c r="H180" s="17">
        <v>42</v>
      </c>
      <c r="I180" s="29">
        <f>IF(基础状态预期!C190="","",基础状态预期!C190)</f>
        <v>32750</v>
      </c>
      <c r="J180" s="29">
        <f>IF(基础状态预期!D190="","",基础状态预期!D190)</f>
        <v>153.85863088955028</v>
      </c>
      <c r="K180" s="29" t="str">
        <f>IF(基础状态预期!F190="","",基础状态预期!F190)</f>
        <v/>
      </c>
      <c r="L180" s="29" t="str">
        <f>IF(基础状态预期!G190="","",基础状态预期!G190)</f>
        <v/>
      </c>
      <c r="M180" s="29" t="str">
        <f>IF(基础状态预期!H190="","",基础状态预期!H190)</f>
        <v/>
      </c>
      <c r="N180" s="29" t="str">
        <f>IF(基础状态预期!I190="","",基础状态预期!I190)</f>
        <v/>
      </c>
      <c r="O180" s="29">
        <f>IF(基础状态预期!J190="","",基础状态预期!J190)</f>
        <v>6</v>
      </c>
      <c r="P180" s="29">
        <f>武将进阶!O177</f>
        <v>0</v>
      </c>
      <c r="Q180" s="29">
        <f>武将进阶!P177</f>
        <v>0</v>
      </c>
      <c r="R180" s="29">
        <f>武将进阶!Q177</f>
        <v>0</v>
      </c>
      <c r="S180" s="29">
        <f>武将进阶!R177</f>
        <v>642</v>
      </c>
      <c r="T180" s="29">
        <f>武将进阶!S177</f>
        <v>0</v>
      </c>
      <c r="U180" s="29">
        <f>武将觉醒!T178</f>
        <v>0</v>
      </c>
      <c r="V180" s="29">
        <f>武将觉醒!U178</f>
        <v>0</v>
      </c>
      <c r="W180" s="29">
        <f>武将觉醒!V178</f>
        <v>0</v>
      </c>
      <c r="X180" s="29">
        <f>武将觉醒!W178</f>
        <v>0</v>
      </c>
      <c r="Y180" s="29">
        <f>武将觉醒!X178</f>
        <v>0</v>
      </c>
      <c r="Z180" s="29"/>
      <c r="AA180" s="29">
        <f>IF(L180="",0,同名需求(L180,武将升星!P177,B$6)+武将升星!U177)</f>
        <v>0</v>
      </c>
      <c r="AB180" s="29">
        <f>IF(M180="",0,同名需求(M180,武将升星!Q177,C$6)+武将升星!V177)</f>
        <v>0</v>
      </c>
      <c r="AC180" s="59">
        <f>IF(N180="",0,同名需求(N180,武将升星!R177,D$6*0.8)+武将升星!W177)</f>
        <v>0</v>
      </c>
      <c r="AD180" s="29">
        <f>IF(O180="",0,同名需求(O180,武将升星!S177,E$6)+武将升星!X177)</f>
        <v>108</v>
      </c>
      <c r="AE180" s="29">
        <f>MAX(U180+P180+IF(K180="",0,K180)*武将升星!O177,Z180)</f>
        <v>0</v>
      </c>
      <c r="AF180" s="29">
        <f>MAX(V180+Q180+IF(L180="",0,L180)*武将升星!P177,AA180)</f>
        <v>0</v>
      </c>
      <c r="AG180" s="29">
        <f>MAX(W180+R180+IF(M180="",0,M180)*武将升星!Q177,AB180)</f>
        <v>0</v>
      </c>
      <c r="AH180" s="29">
        <f>MAX(X180+S180+IF(N180="",0,N180)*武将升星!R177,AC180)</f>
        <v>642</v>
      </c>
      <c r="AI180" s="45">
        <f t="shared" si="168"/>
        <v>108</v>
      </c>
      <c r="AJ180" s="29">
        <f t="shared" si="144"/>
        <v>1994400</v>
      </c>
      <c r="AK180" s="14" t="e">
        <f>AJ180/求节点('[1]资源-钻石'!$K$4:$K$113,'[1]资源-钻石'!$O$4:$O$113,J180)</f>
        <v>#VALUE!</v>
      </c>
      <c r="AL180" s="16" t="e">
        <f t="shared" si="169"/>
        <v>#DIV/0!</v>
      </c>
      <c r="AM180" s="16"/>
      <c r="AP180" s="17">
        <v>42</v>
      </c>
      <c r="AR180" s="16">
        <f t="shared" si="161"/>
        <v>30.171497972072387</v>
      </c>
      <c r="AS180" s="29">
        <f>IF(基础状态预期!C190="","",基础状态预期!C190)</f>
        <v>32750</v>
      </c>
      <c r="AT180" s="29">
        <f>求节点(节奏总纲!$S$4:$S$163,其他调用!$F$4:$F$163,$AS180)*求节点($CP$5:$CP$36,$CT$5:$CT$36,AS45)</f>
        <v>241869043.85115728</v>
      </c>
      <c r="AU180" s="37">
        <f t="shared" si="170"/>
        <v>0</v>
      </c>
      <c r="AV180" s="37">
        <f t="shared" si="171"/>
        <v>1</v>
      </c>
      <c r="AW180" s="38">
        <f t="shared" si="148"/>
        <v>0.4933333333333334</v>
      </c>
      <c r="AX180" s="38">
        <f t="shared" si="149"/>
        <v>0.26666666666666666</v>
      </c>
      <c r="AY180" s="38">
        <f t="shared" si="150"/>
        <v>0.04</v>
      </c>
      <c r="AZ180" s="38">
        <f t="shared" si="151"/>
        <v>0.02</v>
      </c>
      <c r="BA180" s="29">
        <f t="shared" si="172"/>
        <v>48506717.289700776</v>
      </c>
      <c r="BB180" s="29">
        <f t="shared" si="162"/>
        <v>99708.252206607169</v>
      </c>
      <c r="BC180" s="29">
        <f t="shared" si="152"/>
        <v>53896.352544111978</v>
      </c>
      <c r="BD180" s="29">
        <f t="shared" si="153"/>
        <v>8084.4528816167967</v>
      </c>
      <c r="BE180" s="29">
        <f t="shared" si="154"/>
        <v>4042.2264408083984</v>
      </c>
      <c r="BF180" s="29">
        <f t="shared" si="163"/>
        <v>271825</v>
      </c>
      <c r="BG180" s="29">
        <f t="shared" si="163"/>
        <v>49125</v>
      </c>
      <c r="BH180" s="29">
        <f t="shared" si="163"/>
        <v>6550</v>
      </c>
      <c r="BI180" s="29">
        <f t="shared" si="163"/>
        <v>0</v>
      </c>
      <c r="BJ180" s="29">
        <f>SUM(BB$142:BB180)+BF180</f>
        <v>769306.32458009338</v>
      </c>
      <c r="BK180" s="29">
        <f>SUM(BC$142:BC180)+BG180</f>
        <v>317868.38205684139</v>
      </c>
      <c r="BL180" s="29">
        <f>SUM(BD$142:BD180)+BH180</f>
        <v>46926.430775937028</v>
      </c>
      <c r="BM180" s="29">
        <f>SUM(BE$142:BE180)+BI180</f>
        <v>20118.654530028354</v>
      </c>
      <c r="BN180" s="29">
        <f>SUM(BT$142:BT180)</f>
        <v>41.363169556466879</v>
      </c>
      <c r="BO180" s="17" t="e">
        <f t="shared" si="173"/>
        <v>#DIV/0!</v>
      </c>
      <c r="BP180" s="17">
        <f t="shared" si="174"/>
        <v>221.95762631763344</v>
      </c>
      <c r="BQ180" s="17">
        <f t="shared" si="175"/>
        <v>186.28383824100328</v>
      </c>
      <c r="BR180" s="17">
        <f t="shared" si="164"/>
        <v>0</v>
      </c>
      <c r="BS180" s="17">
        <f t="shared" si="159"/>
        <v>80</v>
      </c>
      <c r="BT180" s="17">
        <f t="shared" si="165"/>
        <v>0</v>
      </c>
      <c r="BV180" s="17">
        <f t="shared" si="160"/>
        <v>46284.430775937028</v>
      </c>
    </row>
    <row r="181" spans="8:74" x14ac:dyDescent="0.15">
      <c r="H181" s="16">
        <v>43</v>
      </c>
      <c r="AM181" s="16"/>
      <c r="AP181" s="17">
        <v>43</v>
      </c>
    </row>
    <row r="182" spans="8:74" x14ac:dyDescent="0.15">
      <c r="H182" s="16">
        <v>44</v>
      </c>
      <c r="AP182" s="17">
        <v>44</v>
      </c>
    </row>
    <row r="183" spans="8:74" x14ac:dyDescent="0.15">
      <c r="H183" s="16">
        <v>45</v>
      </c>
      <c r="AP183" s="17">
        <v>45</v>
      </c>
    </row>
    <row r="184" spans="8:74" x14ac:dyDescent="0.15">
      <c r="H184" s="16">
        <v>1</v>
      </c>
      <c r="I184" s="160" t="s">
        <v>173</v>
      </c>
      <c r="J184" s="160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  <c r="AF184" s="16"/>
      <c r="AG184" s="16"/>
      <c r="AH184" s="16"/>
      <c r="AI184" s="16"/>
      <c r="AP184" s="17">
        <v>1</v>
      </c>
      <c r="AS184" s="160" t="s">
        <v>173</v>
      </c>
      <c r="AT184" s="160"/>
      <c r="BF184" s="160" t="s">
        <v>373</v>
      </c>
      <c r="BG184" s="160"/>
      <c r="BH184" s="160"/>
      <c r="BI184" s="160"/>
    </row>
    <row r="185" spans="8:74" x14ac:dyDescent="0.15">
      <c r="H185" s="16">
        <v>2</v>
      </c>
      <c r="I185" s="160"/>
      <c r="J185" s="160"/>
      <c r="K185" s="160" t="s">
        <v>376</v>
      </c>
      <c r="L185" s="160"/>
      <c r="M185" s="160"/>
      <c r="N185" s="160"/>
      <c r="O185" s="160"/>
      <c r="P185" s="160" t="s">
        <v>407</v>
      </c>
      <c r="Q185" s="160"/>
      <c r="R185" s="160"/>
      <c r="S185" s="160"/>
      <c r="T185" s="160"/>
      <c r="U185" s="160" t="s">
        <v>409</v>
      </c>
      <c r="V185" s="160"/>
      <c r="W185" s="160"/>
      <c r="X185" s="160"/>
      <c r="Y185" s="160"/>
      <c r="Z185" s="160" t="s">
        <v>377</v>
      </c>
      <c r="AA185" s="160"/>
      <c r="AB185" s="160"/>
      <c r="AC185" s="160"/>
      <c r="AD185" s="160"/>
      <c r="AE185" s="160" t="s">
        <v>378</v>
      </c>
      <c r="AF185" s="160"/>
      <c r="AG185" s="160"/>
      <c r="AH185" s="160"/>
      <c r="AI185" s="160"/>
      <c r="AP185" s="17">
        <v>2</v>
      </c>
      <c r="AS185" s="160"/>
      <c r="AT185" s="160"/>
      <c r="AU185" s="160" t="s">
        <v>323</v>
      </c>
      <c r="AV185" s="160"/>
      <c r="AW185" s="160" t="s">
        <v>325</v>
      </c>
      <c r="AX185" s="160"/>
      <c r="AY185" s="160"/>
      <c r="AZ185" s="160"/>
      <c r="BA185" s="169" t="s">
        <v>327</v>
      </c>
      <c r="BB185" s="160" t="s">
        <v>328</v>
      </c>
      <c r="BC185" s="160"/>
      <c r="BD185" s="160"/>
      <c r="BE185" s="160"/>
      <c r="BF185" s="160"/>
      <c r="BG185" s="160"/>
      <c r="BH185" s="160"/>
      <c r="BI185" s="160"/>
      <c r="BJ185" s="160" t="s">
        <v>329</v>
      </c>
      <c r="BK185" s="160"/>
      <c r="BL185" s="160"/>
      <c r="BM185" s="160"/>
    </row>
    <row r="186" spans="8:74" x14ac:dyDescent="0.15">
      <c r="H186" s="17">
        <v>3</v>
      </c>
      <c r="I186" s="29" t="s">
        <v>170</v>
      </c>
      <c r="J186" s="29" t="s">
        <v>484</v>
      </c>
      <c r="K186" s="29" t="s">
        <v>3</v>
      </c>
      <c r="L186" s="29" t="s">
        <v>1</v>
      </c>
      <c r="M186" s="29" t="s">
        <v>2</v>
      </c>
      <c r="N186" s="29" t="s">
        <v>0</v>
      </c>
      <c r="O186" s="29" t="s">
        <v>545</v>
      </c>
      <c r="P186" s="29" t="s">
        <v>3</v>
      </c>
      <c r="Q186" s="29" t="s">
        <v>1</v>
      </c>
      <c r="R186" s="29" t="s">
        <v>2</v>
      </c>
      <c r="S186" s="29" t="s">
        <v>0</v>
      </c>
      <c r="T186" s="29" t="s">
        <v>545</v>
      </c>
      <c r="U186" s="29" t="s">
        <v>3</v>
      </c>
      <c r="V186" s="29" t="s">
        <v>1</v>
      </c>
      <c r="W186" s="29" t="s">
        <v>2</v>
      </c>
      <c r="X186" s="29" t="s">
        <v>0</v>
      </c>
      <c r="Y186" s="29" t="s">
        <v>545</v>
      </c>
      <c r="Z186" s="29" t="s">
        <v>3</v>
      </c>
      <c r="AA186" s="29" t="s">
        <v>1</v>
      </c>
      <c r="AB186" s="29" t="s">
        <v>2</v>
      </c>
      <c r="AC186" s="29" t="s">
        <v>0</v>
      </c>
      <c r="AD186" s="29" t="s">
        <v>545</v>
      </c>
      <c r="AE186" s="29" t="s">
        <v>3</v>
      </c>
      <c r="AF186" s="29" t="s">
        <v>1</v>
      </c>
      <c r="AG186" s="29" t="s">
        <v>2</v>
      </c>
      <c r="AH186" s="29" t="s">
        <v>0</v>
      </c>
      <c r="AI186" s="29" t="s">
        <v>545</v>
      </c>
      <c r="AJ186" s="29" t="s">
        <v>353</v>
      </c>
      <c r="AK186" s="14" t="s">
        <v>324</v>
      </c>
      <c r="AL186" s="16"/>
      <c r="AP186" s="17">
        <v>3</v>
      </c>
      <c r="AR186" s="16"/>
      <c r="AS186" s="29" t="s">
        <v>170</v>
      </c>
      <c r="AT186" s="29" t="s">
        <v>374</v>
      </c>
      <c r="AU186" s="29" t="s">
        <v>314</v>
      </c>
      <c r="AV186" s="29" t="s">
        <v>317</v>
      </c>
      <c r="AW186" s="29" t="s">
        <v>1</v>
      </c>
      <c r="AX186" s="29" t="s">
        <v>28</v>
      </c>
      <c r="AY186" s="29" t="s">
        <v>29</v>
      </c>
      <c r="AZ186" s="29" t="s">
        <v>545</v>
      </c>
      <c r="BA186" s="171"/>
      <c r="BB186" s="29" t="s">
        <v>1</v>
      </c>
      <c r="BC186" s="29" t="s">
        <v>2</v>
      </c>
      <c r="BD186" s="29" t="s">
        <v>0</v>
      </c>
      <c r="BE186" s="29" t="s">
        <v>545</v>
      </c>
      <c r="BF186" s="29" t="s">
        <v>1</v>
      </c>
      <c r="BG186" s="29" t="s">
        <v>2</v>
      </c>
      <c r="BH186" s="29" t="s">
        <v>0</v>
      </c>
      <c r="BI186" s="29" t="s">
        <v>545</v>
      </c>
      <c r="BJ186" s="29" t="s">
        <v>1</v>
      </c>
      <c r="BK186" s="29" t="s">
        <v>2</v>
      </c>
      <c r="BL186" s="29" t="s">
        <v>0</v>
      </c>
      <c r="BM186" s="29" t="s">
        <v>545</v>
      </c>
      <c r="BN186" s="29" t="s">
        <v>490</v>
      </c>
      <c r="BR186" s="17" t="s">
        <v>503</v>
      </c>
      <c r="BS186" s="17" t="s">
        <v>502</v>
      </c>
    </row>
    <row r="187" spans="8:74" x14ac:dyDescent="0.15">
      <c r="H187" s="16">
        <v>4</v>
      </c>
      <c r="I187" s="29">
        <f>IF(基础状态预期!C197="","",基础状态预期!C197)</f>
        <v>0.27500000000000002</v>
      </c>
      <c r="J187" s="29">
        <f>IF(基础状态预期!D197="","",基础状态预期!D197)</f>
        <v>10.040470049930473</v>
      </c>
      <c r="K187" s="29" t="str">
        <f>IF(基础状态预期!F197="","",基础状态预期!F197)</f>
        <v/>
      </c>
      <c r="L187" s="29" t="str">
        <f>IF(基础状态预期!G197="","",基础状态预期!G197)</f>
        <v/>
      </c>
      <c r="M187" s="29" t="str">
        <f>IF(基础状态预期!H197="","",基础状态预期!H197)</f>
        <v/>
      </c>
      <c r="N187" s="29">
        <f>IF(基础状态预期!I197="","",基础状态预期!I197)</f>
        <v>6</v>
      </c>
      <c r="O187" s="29" t="str">
        <f>IF(基础状态预期!J197="","",基础状态预期!J197)</f>
        <v/>
      </c>
      <c r="P187" s="29">
        <f>武将进阶!O184</f>
        <v>0</v>
      </c>
      <c r="Q187" s="29">
        <f>武将进阶!P184</f>
        <v>0</v>
      </c>
      <c r="R187" s="29">
        <f>武将进阶!Q184</f>
        <v>7.22913843594994</v>
      </c>
      <c r="S187" s="29">
        <f>武将进阶!R184</f>
        <v>0</v>
      </c>
      <c r="T187" s="29">
        <f>武将进阶!S184</f>
        <v>0</v>
      </c>
      <c r="U187" s="29">
        <f>武将觉醒!T185</f>
        <v>0</v>
      </c>
      <c r="V187" s="29">
        <f>武将觉醒!U185</f>
        <v>0</v>
      </c>
      <c r="W187" s="29">
        <f>武将觉醒!V185</f>
        <v>0</v>
      </c>
      <c r="X187" s="29">
        <f>武将觉醒!W185</f>
        <v>0</v>
      </c>
      <c r="Y187" s="29">
        <f>武将觉醒!X185</f>
        <v>0</v>
      </c>
      <c r="Z187" s="29"/>
      <c r="AA187" s="29">
        <f>IF(L187="",0,同名需求(L187,武将升星!P184,B$6)+武将升星!U184)</f>
        <v>0</v>
      </c>
      <c r="AB187" s="29">
        <f>IF(M187="",0,同名需求(M187,武将升星!Q184,C$6)+武将升星!V184)</f>
        <v>0</v>
      </c>
      <c r="AC187" s="59">
        <f>IF(N187="",0,同名需求(N187,武将升星!R184,D$6*0.9)+武将升星!W184)</f>
        <v>6</v>
      </c>
      <c r="AD187" s="29">
        <f>IF(O187="",0,同名需求(O187,武将升星!S184,E$6)+武将升星!X184)</f>
        <v>0</v>
      </c>
      <c r="AE187" s="29">
        <f t="shared" ref="AE187:AE202" si="176">MAX(U187+P187,Z187)</f>
        <v>0</v>
      </c>
      <c r="AF187" s="29">
        <f t="shared" ref="AF187:AF202" si="177">MAX(V187+Q187,AA187)</f>
        <v>0</v>
      </c>
      <c r="AG187" s="29">
        <f t="shared" ref="AG187:AG202" si="178">MAX(W187+R187,AB187)</f>
        <v>7.22913843594994</v>
      </c>
      <c r="AH187" s="29">
        <f t="shared" ref="AH187:AH202" si="179">MAX(X187+S187,AC187)</f>
        <v>6</v>
      </c>
      <c r="AI187" s="45">
        <f t="shared" ref="AI187:AI202" si="180">IFERROR(AD187+Y187,0)</f>
        <v>0</v>
      </c>
      <c r="AJ187" s="29">
        <f t="shared" ref="AJ187:AJ225" si="181">(MAX(AF187/$B$12*$B$2/10,AG187/$C$12*$B$2/10,(AH187-$AI187/($E$16*$E$17+$E$22)*$D$16)/$D$12*$B$2/10)+$AI187/($E$16*$E$17+$E$22)*$B$2/10)*($B$2-500)/$B$2</f>
        <v>14400</v>
      </c>
      <c r="AK187" s="14" t="e">
        <f>AJ187/求节点('[1]资源-钻石'!$K$4:$K$113,'[1]资源-钻石'!$P$4:$P$113,J187)</f>
        <v>#VALUE!</v>
      </c>
      <c r="AL187" s="16">
        <f t="shared" ref="AL187:AL202" si="182">X187/AC187</f>
        <v>0</v>
      </c>
      <c r="AP187" s="17">
        <v>4</v>
      </c>
      <c r="AR187" s="16">
        <f>$BA187/$B$2*10/AS187*AV187</f>
        <v>0</v>
      </c>
      <c r="AS187" s="29">
        <f>IF(基础状态预期!C197="","",基础状态预期!C197)</f>
        <v>0.27500000000000002</v>
      </c>
      <c r="AT187" s="29">
        <f>求节点(节奏总纲!$T$4:$T$163,其他调用!$G$4:$G$163,$AS187)*求节点($CP$5:$CP$36,$CU$5:$CU$36,AS7)</f>
        <v>37600.723362570505</v>
      </c>
      <c r="AU187" s="37">
        <f t="shared" ref="AU187:AU193" si="183">1-AV187</f>
        <v>1</v>
      </c>
      <c r="AV187" s="37">
        <f t="shared" ref="AV187:AV202" si="184">AV142</f>
        <v>0</v>
      </c>
      <c r="AW187" s="38">
        <f t="shared" ref="AW187:AW225" si="185">(B$16*B$17+B$22)*$AV187+B$12*B$13*$AU187</f>
        <v>0.65833333333333333</v>
      </c>
      <c r="AX187" s="38">
        <f t="shared" ref="AX187:AX225" si="186">(C$16*C$17+C$22)*$AV187+C$12*C$13*$AU187</f>
        <v>0.26666666666666666</v>
      </c>
      <c r="AY187" s="38">
        <f t="shared" ref="AY187:AY225" si="187">(D$16*D$17+D$22)*$AV187+D$12*D$13*$AU187</f>
        <v>7.4999999999999997E-2</v>
      </c>
      <c r="AZ187" s="38">
        <f t="shared" ref="AZ187:AZ225" si="188">(E$16*E$17+E$22)*$AV187+E$12*E$13*$AU187</f>
        <v>0</v>
      </c>
      <c r="BA187" s="121">
        <f>AT187</f>
        <v>37600.723362570505</v>
      </c>
      <c r="BB187" s="29">
        <f>$BA187/240*AW187</f>
        <v>103.14087311260658</v>
      </c>
      <c r="BC187" s="29">
        <f t="shared" ref="BC187:BC225" si="189">$BA187/240*AX187</f>
        <v>41.778581513967225</v>
      </c>
      <c r="BD187" s="29">
        <f t="shared" ref="BD187:BD225" si="190">$BA187/240*AY187</f>
        <v>11.750226050803283</v>
      </c>
      <c r="BE187" s="29">
        <f t="shared" ref="BE187:BE225" si="191">$BA187/240*AZ187</f>
        <v>0</v>
      </c>
      <c r="BF187" s="29">
        <f>BF$3*$AS187</f>
        <v>2.2825000000000002</v>
      </c>
      <c r="BG187" s="29">
        <f t="shared" ref="BG187:BI203" si="192">BG$3*$AS187</f>
        <v>0.41250000000000003</v>
      </c>
      <c r="BH187" s="29">
        <f t="shared" si="192"/>
        <v>5.5000000000000007E-2</v>
      </c>
      <c r="BI187" s="29">
        <f>BI$3*$AS187</f>
        <v>0</v>
      </c>
      <c r="BJ187" s="29">
        <f>SUM(BB$187:BB187)+BF187</f>
        <v>105.42337311260658</v>
      </c>
      <c r="BK187" s="29">
        <f>SUM(BC$187:BC187)+BG187</f>
        <v>42.191081513967227</v>
      </c>
      <c r="BL187" s="29">
        <f>SUM(BD$187:BD187)+BH187</f>
        <v>11.805226050803283</v>
      </c>
      <c r="BM187" s="29">
        <f>SUM(BE$187:BE187)+BI187</f>
        <v>0</v>
      </c>
      <c r="BN187" s="29">
        <f>SUM(BT$187:BT187)</f>
        <v>0.55000000000000004</v>
      </c>
      <c r="BO187" s="17">
        <f t="shared" ref="BO187:BO202" si="193">BK187/AG187</f>
        <v>5.8362530871112215</v>
      </c>
      <c r="BP187" s="17">
        <f t="shared" ref="BP187:BP202" si="194">BL187/AH187</f>
        <v>1.9675376751338804</v>
      </c>
      <c r="BQ187" s="17" t="e">
        <f t="shared" ref="BQ187:BQ202" si="195">BM187/AI187</f>
        <v>#DIV/0!</v>
      </c>
      <c r="BR187" s="17">
        <f>BA187/$B$2*10*AU187/AS187</f>
        <v>594.47783972443483</v>
      </c>
      <c r="BS187" s="17">
        <f t="shared" ref="BS187:BS225" si="196">1/($B$49*$C$49)/$D$12+1/(1*$C$49)/$D$12</f>
        <v>80</v>
      </c>
      <c r="BT187" s="17">
        <f>MIN(BR187/BS187,1)*$B$49*AS187</f>
        <v>0.55000000000000004</v>
      </c>
      <c r="BV187" s="17">
        <f>BL187-S187</f>
        <v>11.805226050803283</v>
      </c>
    </row>
    <row r="188" spans="8:74" x14ac:dyDescent="0.15">
      <c r="H188" s="17">
        <v>5</v>
      </c>
      <c r="I188" s="29">
        <f>IF(基础状态预期!C198="","",基础状态预期!C198)</f>
        <v>0.82500000000000007</v>
      </c>
      <c r="J188" s="29">
        <f>IF(基础状态预期!D198="","",基础状态预期!D198)</f>
        <v>19.288856680060892</v>
      </c>
      <c r="K188" s="29" t="str">
        <f>IF(基础状态预期!F198="","",基础状态预期!F198)</f>
        <v/>
      </c>
      <c r="L188" s="29" t="str">
        <f>IF(基础状态预期!G198="","",基础状态预期!G198)</f>
        <v/>
      </c>
      <c r="M188" s="29" t="str">
        <f>IF(基础状态预期!H198="","",基础状态预期!H198)</f>
        <v/>
      </c>
      <c r="N188" s="29">
        <f>IF(基础状态预期!I198="","",基础状态预期!I198)</f>
        <v>6</v>
      </c>
      <c r="O188" s="29" t="str">
        <f>IF(基础状态预期!J198="","",基础状态预期!J198)</f>
        <v/>
      </c>
      <c r="P188" s="29">
        <f>武将进阶!O185</f>
        <v>0</v>
      </c>
      <c r="Q188" s="29">
        <f>武将进阶!P185</f>
        <v>0</v>
      </c>
      <c r="R188" s="29">
        <f>武将进阶!Q185</f>
        <v>13.887976809643842</v>
      </c>
      <c r="S188" s="29">
        <f>武将进阶!R185</f>
        <v>0</v>
      </c>
      <c r="T188" s="29">
        <f>武将进阶!S185</f>
        <v>0</v>
      </c>
      <c r="U188" s="29">
        <f>武将觉醒!T186</f>
        <v>0</v>
      </c>
      <c r="V188" s="29">
        <f>武将觉醒!U186</f>
        <v>0</v>
      </c>
      <c r="W188" s="29">
        <f>武将觉醒!V186</f>
        <v>0</v>
      </c>
      <c r="X188" s="29">
        <f>武将觉醒!W186</f>
        <v>0</v>
      </c>
      <c r="Y188" s="29">
        <f>武将觉醒!X186</f>
        <v>0</v>
      </c>
      <c r="Z188" s="29"/>
      <c r="AA188" s="29">
        <f>IF(L188="",0,同名需求(L188,武将升星!P185,B$6)+武将升星!U185)</f>
        <v>0</v>
      </c>
      <c r="AB188" s="29">
        <f>IF(M188="",0,同名需求(M188,武将升星!Q185,C$6)+武将升星!V185)</f>
        <v>0</v>
      </c>
      <c r="AC188" s="59">
        <f>IF(N188="",0,同名需求(N188,武将升星!R185,D$6*0.9)+武将升星!W185)</f>
        <v>17.38642787756676</v>
      </c>
      <c r="AD188" s="29">
        <f>IF(O188="",0,同名需求(O188,武将升星!S185,E$6)+武将升星!X185)</f>
        <v>0</v>
      </c>
      <c r="AE188" s="29">
        <f t="shared" si="176"/>
        <v>0</v>
      </c>
      <c r="AF188" s="29">
        <f t="shared" si="177"/>
        <v>0</v>
      </c>
      <c r="AG188" s="29">
        <f t="shared" si="178"/>
        <v>13.887976809643842</v>
      </c>
      <c r="AH188" s="29">
        <f t="shared" si="179"/>
        <v>17.38642787756676</v>
      </c>
      <c r="AI188" s="45">
        <f t="shared" si="180"/>
        <v>0</v>
      </c>
      <c r="AJ188" s="29">
        <f t="shared" si="181"/>
        <v>41727.426906160224</v>
      </c>
      <c r="AK188" s="14" t="e">
        <f>AJ188/求节点('[1]资源-钻石'!$K$4:$K$113,'[1]资源-钻石'!$P$4:$P$113,J188)</f>
        <v>#VALUE!</v>
      </c>
      <c r="AL188" s="16">
        <f t="shared" si="182"/>
        <v>0</v>
      </c>
      <c r="AP188" s="17">
        <v>5</v>
      </c>
      <c r="AR188" s="16">
        <f t="shared" ref="AR188:AR225" si="197">$BA188/$B$2*10/(AS188-AS187)*AV188</f>
        <v>0</v>
      </c>
      <c r="AS188" s="29">
        <f>IF(基础状态预期!C198="","",基础状态预期!C198)</f>
        <v>0.82500000000000007</v>
      </c>
      <c r="AT188" s="29">
        <f>求节点(节奏总纲!$T$4:$T$163,其他调用!$G$4:$G$163,$AS188)*求节点($CP$5:$CP$36,$CU$5:$CU$36,AS8)</f>
        <v>103237.07689801516</v>
      </c>
      <c r="AU188" s="37">
        <f t="shared" si="183"/>
        <v>1</v>
      </c>
      <c r="AV188" s="37">
        <f t="shared" si="184"/>
        <v>0</v>
      </c>
      <c r="AW188" s="38">
        <f t="shared" si="185"/>
        <v>0.65833333333333333</v>
      </c>
      <c r="AX188" s="38">
        <f t="shared" si="186"/>
        <v>0.26666666666666666</v>
      </c>
      <c r="AY188" s="38">
        <f t="shared" si="187"/>
        <v>7.4999999999999997E-2</v>
      </c>
      <c r="AZ188" s="38">
        <f t="shared" si="188"/>
        <v>0</v>
      </c>
      <c r="BA188" s="29">
        <f>AT188-AT187</f>
        <v>65636.35353544465</v>
      </c>
      <c r="BB188" s="29">
        <f t="shared" ref="BB188:BB225" si="198">$BA188/240*AW188</f>
        <v>180.04416421180997</v>
      </c>
      <c r="BC188" s="29">
        <f t="shared" si="189"/>
        <v>72.929281706049608</v>
      </c>
      <c r="BD188" s="29">
        <f t="shared" si="190"/>
        <v>20.511360479826454</v>
      </c>
      <c r="BE188" s="29">
        <f t="shared" si="191"/>
        <v>0</v>
      </c>
      <c r="BF188" s="29">
        <f t="shared" ref="BF188:BI225" si="199">BF$3*$AS188</f>
        <v>6.847500000000001</v>
      </c>
      <c r="BG188" s="29">
        <f t="shared" si="192"/>
        <v>1.2375</v>
      </c>
      <c r="BH188" s="29">
        <f t="shared" si="192"/>
        <v>0.16500000000000004</v>
      </c>
      <c r="BI188" s="29">
        <f t="shared" si="192"/>
        <v>0</v>
      </c>
      <c r="BJ188" s="29">
        <f>SUM(BB$187:BB188)+BF188</f>
        <v>290.03253732441658</v>
      </c>
      <c r="BK188" s="29">
        <f>SUM(BC$187:BC188)+BG188</f>
        <v>115.94536322001683</v>
      </c>
      <c r="BL188" s="29">
        <f>SUM(BD$187:BD188)+BH188</f>
        <v>32.426586530629734</v>
      </c>
      <c r="BM188" s="29">
        <f>SUM(BE$187:BE188)+BI188</f>
        <v>0</v>
      </c>
      <c r="BN188" s="29">
        <f>SUM(BT$187:BT188)</f>
        <v>1.6500000000000001</v>
      </c>
      <c r="BO188" s="17">
        <f t="shared" si="193"/>
        <v>8.3486144028915792</v>
      </c>
      <c r="BP188" s="17">
        <f t="shared" si="194"/>
        <v>1.8650516804816983</v>
      </c>
      <c r="BQ188" s="17" t="e">
        <f t="shared" si="195"/>
        <v>#DIV/0!</v>
      </c>
      <c r="BR188" s="17">
        <f t="shared" ref="BR188:BR202" si="200">BA188/$B$2*10*AU188/(AS188-AS187)</f>
        <v>518.86445482564932</v>
      </c>
      <c r="BS188" s="17">
        <f t="shared" si="196"/>
        <v>80</v>
      </c>
      <c r="BT188" s="17">
        <f t="shared" ref="BT188:BT202" si="201">MIN(BR188/BS188,1)*$B$49*(AS188-AS187)</f>
        <v>1.1000000000000001</v>
      </c>
      <c r="BV188" s="17">
        <f t="shared" ref="BV188:BV225" si="202">BL188-S188</f>
        <v>32.426586530629734</v>
      </c>
    </row>
    <row r="189" spans="8:74" x14ac:dyDescent="0.15">
      <c r="H189" s="16">
        <v>6</v>
      </c>
      <c r="I189" s="29">
        <f>IF(基础状态预期!C199="","",基础状态预期!C199)</f>
        <v>1.6500000000000001</v>
      </c>
      <c r="J189" s="29">
        <f>IF(基础状态预期!D199="","",基础状态预期!D199)</f>
        <v>27.144641112884834</v>
      </c>
      <c r="K189" s="29" t="str">
        <f>IF(基础状态预期!F199="","",基础状态预期!F199)</f>
        <v/>
      </c>
      <c r="L189" s="29" t="str">
        <f>IF(基础状态预期!G199="","",基础状态预期!G199)</f>
        <v/>
      </c>
      <c r="M189" s="29" t="str">
        <f>IF(基础状态预期!H199="","",基础状态预期!H199)</f>
        <v/>
      </c>
      <c r="N189" s="29">
        <f>IF(基础状态预期!I199="","",基础状态预期!I199)</f>
        <v>6</v>
      </c>
      <c r="O189" s="29" t="str">
        <f>IF(基础状态预期!J199="","",基础状态预期!J199)</f>
        <v/>
      </c>
      <c r="P189" s="29">
        <f>武将进阶!O186</f>
        <v>0</v>
      </c>
      <c r="Q189" s="29">
        <f>武将进阶!P186</f>
        <v>0</v>
      </c>
      <c r="R189" s="29">
        <f>武将进阶!Q186</f>
        <v>21.088283202554159</v>
      </c>
      <c r="S189" s="29">
        <f>武将进阶!R186</f>
        <v>0</v>
      </c>
      <c r="T189" s="29">
        <f>武将进阶!S186</f>
        <v>0</v>
      </c>
      <c r="U189" s="29">
        <f>武将觉醒!T187</f>
        <v>0</v>
      </c>
      <c r="V189" s="29">
        <f>武将觉醒!U187</f>
        <v>0</v>
      </c>
      <c r="W189" s="29">
        <f>武将觉醒!V187</f>
        <v>0</v>
      </c>
      <c r="X189" s="29">
        <f>武将觉醒!W187</f>
        <v>0.32649824710963316</v>
      </c>
      <c r="Y189" s="29">
        <f>武将觉醒!X187</f>
        <v>0</v>
      </c>
      <c r="Z189" s="29"/>
      <c r="AA189" s="29">
        <f>IF(L189="",0,同名需求(L189,武将升星!P186,B$6)+武将升星!U186)</f>
        <v>0</v>
      </c>
      <c r="AB189" s="29">
        <f>IF(M189="",0,同名需求(M189,武将升星!Q186,C$6)+武将升星!V186)</f>
        <v>0</v>
      </c>
      <c r="AC189" s="59">
        <f>IF(N189="",0,同名需求(N189,武将升星!R186,D$6*0.9)+武将升星!W186)</f>
        <v>37.477678568086688</v>
      </c>
      <c r="AD189" s="29">
        <f>IF(O189="",0,同名需求(O189,武将升星!S186,E$6)+武将升星!X186)</f>
        <v>0</v>
      </c>
      <c r="AE189" s="29">
        <f t="shared" si="176"/>
        <v>0</v>
      </c>
      <c r="AF189" s="29">
        <f t="shared" si="177"/>
        <v>0</v>
      </c>
      <c r="AG189" s="29">
        <f t="shared" si="178"/>
        <v>21.088283202554159</v>
      </c>
      <c r="AH189" s="29">
        <f t="shared" si="179"/>
        <v>37.477678568086688</v>
      </c>
      <c r="AI189" s="45">
        <f t="shared" si="180"/>
        <v>0</v>
      </c>
      <c r="AJ189" s="29">
        <f t="shared" si="181"/>
        <v>89946.428563408059</v>
      </c>
      <c r="AK189" s="14" t="e">
        <f>AJ189/求节点('[1]资源-钻石'!$K$4:$K$113,'[1]资源-钻石'!$P$4:$P$113,J189)</f>
        <v>#VALUE!</v>
      </c>
      <c r="AL189" s="16">
        <f t="shared" si="182"/>
        <v>8.7118055222250544E-3</v>
      </c>
      <c r="AP189" s="17">
        <v>6</v>
      </c>
      <c r="AR189" s="16">
        <f t="shared" si="197"/>
        <v>0</v>
      </c>
      <c r="AS189" s="29">
        <f>IF(基础状态预期!C199="","",基础状态预期!C199)</f>
        <v>1.6500000000000001</v>
      </c>
      <c r="AT189" s="29">
        <f>求节点(节奏总纲!$T$4:$T$163,其他调用!$G$4:$G$163,$AS189)*求节点($CP$5:$CP$36,$CU$5:$CU$36,AS9)</f>
        <v>157424.63490875266</v>
      </c>
      <c r="AU189" s="37">
        <f t="shared" si="183"/>
        <v>1</v>
      </c>
      <c r="AV189" s="37">
        <f t="shared" si="184"/>
        <v>0</v>
      </c>
      <c r="AW189" s="38">
        <f t="shared" si="185"/>
        <v>0.65833333333333333</v>
      </c>
      <c r="AX189" s="38">
        <f t="shared" si="186"/>
        <v>0.26666666666666666</v>
      </c>
      <c r="AY189" s="38">
        <f t="shared" si="187"/>
        <v>7.4999999999999997E-2</v>
      </c>
      <c r="AZ189" s="38">
        <f t="shared" si="188"/>
        <v>0</v>
      </c>
      <c r="BA189" s="29">
        <f t="shared" ref="BA189:BA202" si="203">AT189-AT188</f>
        <v>54187.558010737499</v>
      </c>
      <c r="BB189" s="29">
        <f t="shared" si="198"/>
        <v>148.63948204334244</v>
      </c>
      <c r="BC189" s="29">
        <f t="shared" si="189"/>
        <v>60.208397789708329</v>
      </c>
      <c r="BD189" s="29">
        <f t="shared" si="190"/>
        <v>16.933611878355467</v>
      </c>
      <c r="BE189" s="29">
        <f t="shared" si="191"/>
        <v>0</v>
      </c>
      <c r="BF189" s="29">
        <f t="shared" si="199"/>
        <v>13.695000000000002</v>
      </c>
      <c r="BG189" s="29">
        <f t="shared" si="192"/>
        <v>2.4750000000000001</v>
      </c>
      <c r="BH189" s="29">
        <f t="shared" si="192"/>
        <v>0.33000000000000007</v>
      </c>
      <c r="BI189" s="29">
        <f t="shared" si="192"/>
        <v>0</v>
      </c>
      <c r="BJ189" s="29">
        <f>SUM(BB$187:BB189)+BF189</f>
        <v>445.51951936775896</v>
      </c>
      <c r="BK189" s="29">
        <f>SUM(BC$187:BC189)+BG189</f>
        <v>177.39126100972516</v>
      </c>
      <c r="BL189" s="29">
        <f>SUM(BD$187:BD189)+BH189</f>
        <v>49.525198408985204</v>
      </c>
      <c r="BM189" s="29">
        <f>SUM(BE$187:BE189)+BI189</f>
        <v>0</v>
      </c>
      <c r="BN189" s="29">
        <f>SUM(BT$187:BT189)</f>
        <v>3.3000000000000003</v>
      </c>
      <c r="BO189" s="17">
        <f t="shared" si="193"/>
        <v>8.4118398499238651</v>
      </c>
      <c r="BP189" s="17">
        <f t="shared" si="194"/>
        <v>1.3214585401550811</v>
      </c>
      <c r="BQ189" s="17" t="e">
        <f t="shared" si="195"/>
        <v>#DIV/0!</v>
      </c>
      <c r="BR189" s="17">
        <f t="shared" si="200"/>
        <v>285.57342825158099</v>
      </c>
      <c r="BS189" s="17">
        <f t="shared" si="196"/>
        <v>80</v>
      </c>
      <c r="BT189" s="17">
        <f t="shared" si="201"/>
        <v>1.6500000000000001</v>
      </c>
      <c r="BV189" s="17">
        <f t="shared" si="202"/>
        <v>49.525198408985204</v>
      </c>
    </row>
    <row r="190" spans="8:74" x14ac:dyDescent="0.15">
      <c r="H190" s="17">
        <v>7</v>
      </c>
      <c r="I190" s="29">
        <f>IF(基础状态预期!C200="","",基础状态预期!C200)</f>
        <v>2.75</v>
      </c>
      <c r="J190" s="29">
        <f>IF(基础状态预期!D200="","",基础状态预期!D200)</f>
        <v>33.399598377161809</v>
      </c>
      <c r="K190" s="29" t="str">
        <f>IF(基础状态预期!F200="","",基础状态预期!F200)</f>
        <v/>
      </c>
      <c r="L190" s="29" t="str">
        <f>IF(基础状态预期!G200="","",基础状态预期!G200)</f>
        <v/>
      </c>
      <c r="M190" s="29" t="str">
        <f>IF(基础状态预期!H200="","",基础状态预期!H200)</f>
        <v/>
      </c>
      <c r="N190" s="29">
        <f>IF(基础状态预期!I200="","",基础状态预期!I200)</f>
        <v>6</v>
      </c>
      <c r="O190" s="29" t="str">
        <f>IF(基础状态预期!J200="","",基础状态预期!J200)</f>
        <v/>
      </c>
      <c r="P190" s="29">
        <f>武将进阶!O187</f>
        <v>0</v>
      </c>
      <c r="Q190" s="29">
        <f>武将进阶!P187</f>
        <v>0</v>
      </c>
      <c r="R190" s="29">
        <f>武将进阶!Q187</f>
        <v>30.095421663113008</v>
      </c>
      <c r="S190" s="29">
        <f>武将进阶!R187</f>
        <v>0</v>
      </c>
      <c r="T190" s="29">
        <f>武将进阶!S187</f>
        <v>0</v>
      </c>
      <c r="U190" s="29">
        <f>武将觉醒!T188</f>
        <v>0</v>
      </c>
      <c r="V190" s="29">
        <f>武将觉醒!U188</f>
        <v>0</v>
      </c>
      <c r="W190" s="29">
        <f>武将觉醒!V188</f>
        <v>0</v>
      </c>
      <c r="X190" s="29">
        <f>武将觉醒!W188</f>
        <v>6</v>
      </c>
      <c r="Y190" s="29">
        <f>武将觉醒!X188</f>
        <v>0</v>
      </c>
      <c r="Z190" s="29"/>
      <c r="AA190" s="29">
        <f>IF(L190="",0,同名需求(L190,武将升星!P187,B$6)+武将升星!U187)</f>
        <v>0</v>
      </c>
      <c r="AB190" s="29">
        <f>IF(M190="",0,同名需求(M190,武将升星!Q187,C$6)+武将升星!V187)</f>
        <v>0</v>
      </c>
      <c r="AC190" s="59">
        <f>IF(N190="",0,同名需求(N190,武将升星!R187,D$6*0.9)+武将升星!W187)</f>
        <v>61.875645141729684</v>
      </c>
      <c r="AD190" s="29">
        <f>IF(O190="",0,同名需求(O190,武将升星!S187,E$6)+武将升星!X187)</f>
        <v>0</v>
      </c>
      <c r="AE190" s="29">
        <f t="shared" si="176"/>
        <v>0</v>
      </c>
      <c r="AF190" s="29">
        <f t="shared" si="177"/>
        <v>0</v>
      </c>
      <c r="AG190" s="29">
        <f t="shared" si="178"/>
        <v>30.095421663113008</v>
      </c>
      <c r="AH190" s="29">
        <f t="shared" si="179"/>
        <v>61.875645141729684</v>
      </c>
      <c r="AI190" s="45">
        <f t="shared" si="180"/>
        <v>0</v>
      </c>
      <c r="AJ190" s="29">
        <f t="shared" si="181"/>
        <v>148501.54834015126</v>
      </c>
      <c r="AK190" s="14" t="e">
        <f>AJ190/求节点('[1]资源-钻石'!$K$4:$K$113,'[1]资源-钻石'!$P$4:$P$113,J190)</f>
        <v>#VALUE!</v>
      </c>
      <c r="AL190" s="16">
        <f t="shared" si="182"/>
        <v>9.6968685922492748E-2</v>
      </c>
      <c r="AP190" s="17">
        <v>7</v>
      </c>
      <c r="AR190" s="16">
        <f t="shared" si="197"/>
        <v>0</v>
      </c>
      <c r="AS190" s="29">
        <f>IF(基础状态预期!C200="","",基础状态预期!C200)</f>
        <v>2.75</v>
      </c>
      <c r="AT190" s="29">
        <f>求节点(节奏总纲!$T$4:$T$163,其他调用!$G$4:$G$163,$AS190)*求节点($CP$5:$CP$36,$CU$5:$CU$36,AS10)</f>
        <v>213034.79338029388</v>
      </c>
      <c r="AU190" s="37">
        <f t="shared" si="183"/>
        <v>1</v>
      </c>
      <c r="AV190" s="37">
        <f t="shared" si="184"/>
        <v>0</v>
      </c>
      <c r="AW190" s="38">
        <f t="shared" si="185"/>
        <v>0.65833333333333333</v>
      </c>
      <c r="AX190" s="38">
        <f t="shared" si="186"/>
        <v>0.26666666666666666</v>
      </c>
      <c r="AY190" s="38">
        <f t="shared" si="187"/>
        <v>7.4999999999999997E-2</v>
      </c>
      <c r="AZ190" s="38">
        <f t="shared" si="188"/>
        <v>0</v>
      </c>
      <c r="BA190" s="29">
        <f t="shared" si="203"/>
        <v>55610.158471541217</v>
      </c>
      <c r="BB190" s="29">
        <f t="shared" si="198"/>
        <v>152.54175414068598</v>
      </c>
      <c r="BC190" s="29">
        <f t="shared" si="189"/>
        <v>61.78906496837913</v>
      </c>
      <c r="BD190" s="29">
        <f t="shared" si="190"/>
        <v>17.37817452235663</v>
      </c>
      <c r="BE190" s="29">
        <f t="shared" si="191"/>
        <v>0</v>
      </c>
      <c r="BF190" s="29">
        <f t="shared" si="199"/>
        <v>22.825000000000003</v>
      </c>
      <c r="BG190" s="29">
        <f t="shared" si="192"/>
        <v>4.125</v>
      </c>
      <c r="BH190" s="29">
        <f t="shared" si="192"/>
        <v>0.55000000000000004</v>
      </c>
      <c r="BI190" s="29">
        <f t="shared" si="192"/>
        <v>0</v>
      </c>
      <c r="BJ190" s="29">
        <f>SUM(BB$187:BB190)+BF190</f>
        <v>607.19127350844497</v>
      </c>
      <c r="BK190" s="29">
        <f>SUM(BC$187:BC190)+BG190</f>
        <v>240.8303259781043</v>
      </c>
      <c r="BL190" s="29">
        <f>SUM(BD$187:BD190)+BH190</f>
        <v>67.123372931341834</v>
      </c>
      <c r="BM190" s="29">
        <f>SUM(BE$187:BE190)+BI190</f>
        <v>0</v>
      </c>
      <c r="BN190" s="29">
        <f>SUM(BT$187:BT190)</f>
        <v>5.5</v>
      </c>
      <c r="BO190" s="17">
        <f t="shared" si="193"/>
        <v>8.0022246796854919</v>
      </c>
      <c r="BP190" s="17">
        <f t="shared" si="194"/>
        <v>1.0848108779729395</v>
      </c>
      <c r="BQ190" s="17" t="e">
        <f t="shared" si="195"/>
        <v>#DIV/0!</v>
      </c>
      <c r="BR190" s="17">
        <f t="shared" si="200"/>
        <v>219.80299791123014</v>
      </c>
      <c r="BS190" s="17">
        <f t="shared" si="196"/>
        <v>80</v>
      </c>
      <c r="BT190" s="17">
        <f t="shared" si="201"/>
        <v>2.1999999999999997</v>
      </c>
      <c r="BV190" s="17">
        <f t="shared" si="202"/>
        <v>67.123372931341834</v>
      </c>
    </row>
    <row r="191" spans="8:74" x14ac:dyDescent="0.15">
      <c r="H191" s="16">
        <v>8</v>
      </c>
      <c r="I191" s="29">
        <f>IF(基础状态预期!C201="","",基础状态预期!C201)</f>
        <v>4.125</v>
      </c>
      <c r="J191" s="29">
        <f>IF(基础状态预期!D201="","",基础状态预期!D201)</f>
        <v>38.848984787984186</v>
      </c>
      <c r="K191" s="29" t="str">
        <f>IF(基础状态预期!F201="","",基础状态预期!F201)</f>
        <v/>
      </c>
      <c r="L191" s="29" t="str">
        <f>IF(基础状态预期!G201="","",基础状态预期!G201)</f>
        <v/>
      </c>
      <c r="M191" s="29" t="str">
        <f>IF(基础状态预期!H201="","",基础状态预期!H201)</f>
        <v/>
      </c>
      <c r="N191" s="29">
        <f>IF(基础状态预期!I201="","",基础状态预期!I201)</f>
        <v>6</v>
      </c>
      <c r="O191" s="29" t="str">
        <f>IF(基础状态预期!J201="","",基础状态预期!J201)</f>
        <v/>
      </c>
      <c r="P191" s="29">
        <f>武将进阶!O188</f>
        <v>0</v>
      </c>
      <c r="Q191" s="29">
        <f>武将进阶!P188</f>
        <v>0</v>
      </c>
      <c r="R191" s="29">
        <f>武将进阶!Q188</f>
        <v>37.942538094697227</v>
      </c>
      <c r="S191" s="29">
        <f>武将进阶!R188</f>
        <v>0</v>
      </c>
      <c r="T191" s="29">
        <f>武将进阶!S188</f>
        <v>0</v>
      </c>
      <c r="U191" s="29">
        <f>武将觉醒!T189</f>
        <v>0</v>
      </c>
      <c r="V191" s="29">
        <f>武将觉醒!U189</f>
        <v>0</v>
      </c>
      <c r="W191" s="29">
        <f>武将觉醒!V189</f>
        <v>0</v>
      </c>
      <c r="X191" s="29">
        <f>武将觉醒!W189</f>
        <v>6</v>
      </c>
      <c r="Y191" s="29">
        <f>武将觉醒!X189</f>
        <v>0</v>
      </c>
      <c r="Z191" s="29"/>
      <c r="AA191" s="29">
        <f>IF(L191="",0,同名需求(L191,武将升星!P188,B$6)+武将升星!U188)</f>
        <v>0</v>
      </c>
      <c r="AB191" s="29">
        <f>IF(M191="",0,同名需求(M191,武将升星!Q188,C$6)+武将升星!V188)</f>
        <v>0</v>
      </c>
      <c r="AC191" s="59">
        <f>IF(N191="",0,同名需求(N191,武将升星!R188,D$6*0.9)+武将升星!W188)</f>
        <v>92.367027918611669</v>
      </c>
      <c r="AD191" s="29">
        <f>IF(O191="",0,同名需求(O191,武将升星!S188,E$6)+武将升星!X188)</f>
        <v>0</v>
      </c>
      <c r="AE191" s="29">
        <f t="shared" si="176"/>
        <v>0</v>
      </c>
      <c r="AF191" s="29">
        <f t="shared" si="177"/>
        <v>0</v>
      </c>
      <c r="AG191" s="29">
        <f t="shared" si="178"/>
        <v>37.942538094697227</v>
      </c>
      <c r="AH191" s="29">
        <f t="shared" si="179"/>
        <v>92.367027918611669</v>
      </c>
      <c r="AI191" s="45">
        <f t="shared" si="180"/>
        <v>0</v>
      </c>
      <c r="AJ191" s="29">
        <f t="shared" si="181"/>
        <v>221680.86700466802</v>
      </c>
      <c r="AK191" s="14" t="e">
        <f>AJ191/求节点('[1]资源-钻石'!$K$4:$K$113,'[1]资源-钻石'!$P$4:$P$113,J191)</f>
        <v>#VALUE!</v>
      </c>
      <c r="AL191" s="16">
        <f t="shared" si="182"/>
        <v>6.4958244681065661E-2</v>
      </c>
      <c r="AP191" s="17">
        <v>8</v>
      </c>
      <c r="AR191" s="16">
        <f t="shared" si="197"/>
        <v>0</v>
      </c>
      <c r="AS191" s="29">
        <f>IF(基础状态预期!C201="","",基础状态预期!C201)</f>
        <v>4.125</v>
      </c>
      <c r="AT191" s="29">
        <f>求节点(节奏总纲!$T$4:$T$163,其他调用!$G$4:$G$163,$AS191)*求节点($CP$5:$CP$36,$CU$5:$CU$36,AS11)</f>
        <v>279509.43259950809</v>
      </c>
      <c r="AU191" s="37">
        <f t="shared" si="183"/>
        <v>1</v>
      </c>
      <c r="AV191" s="37">
        <f t="shared" si="184"/>
        <v>0</v>
      </c>
      <c r="AW191" s="38">
        <f t="shared" si="185"/>
        <v>0.65833333333333333</v>
      </c>
      <c r="AX191" s="38">
        <f t="shared" si="186"/>
        <v>0.26666666666666666</v>
      </c>
      <c r="AY191" s="38">
        <f t="shared" si="187"/>
        <v>7.4999999999999997E-2</v>
      </c>
      <c r="AZ191" s="38">
        <f t="shared" si="188"/>
        <v>0</v>
      </c>
      <c r="BA191" s="29">
        <f t="shared" si="203"/>
        <v>66474.639219214208</v>
      </c>
      <c r="BB191" s="29">
        <f t="shared" si="198"/>
        <v>182.34362841381673</v>
      </c>
      <c r="BC191" s="29">
        <f t="shared" si="189"/>
        <v>73.860710243571333</v>
      </c>
      <c r="BD191" s="29">
        <f t="shared" si="190"/>
        <v>20.773324756004438</v>
      </c>
      <c r="BE191" s="29">
        <f t="shared" si="191"/>
        <v>0</v>
      </c>
      <c r="BF191" s="29">
        <f t="shared" si="199"/>
        <v>34.237500000000004</v>
      </c>
      <c r="BG191" s="29">
        <f t="shared" si="192"/>
        <v>6.1875</v>
      </c>
      <c r="BH191" s="29">
        <f t="shared" si="192"/>
        <v>0.82500000000000007</v>
      </c>
      <c r="BI191" s="29">
        <f t="shared" si="192"/>
        <v>0</v>
      </c>
      <c r="BJ191" s="29">
        <f>SUM(BB$187:BB191)+BF191</f>
        <v>800.94740192226163</v>
      </c>
      <c r="BK191" s="29">
        <f>SUM(BC$187:BC191)+BG191</f>
        <v>316.75353622167563</v>
      </c>
      <c r="BL191" s="29">
        <f>SUM(BD$187:BD191)+BH191</f>
        <v>88.171697687346281</v>
      </c>
      <c r="BM191" s="29">
        <f>SUM(BE$187:BE191)+BI191</f>
        <v>0</v>
      </c>
      <c r="BN191" s="29">
        <f>SUM(BT$187:BT191)</f>
        <v>8.25</v>
      </c>
      <c r="BO191" s="17">
        <f t="shared" si="193"/>
        <v>8.3482432153357831</v>
      </c>
      <c r="BP191" s="17">
        <f t="shared" si="194"/>
        <v>0.95457978538659849</v>
      </c>
      <c r="BQ191" s="17" t="e">
        <f t="shared" si="195"/>
        <v>#DIV/0!</v>
      </c>
      <c r="BR191" s="17">
        <f t="shared" si="200"/>
        <v>210.19648764968917</v>
      </c>
      <c r="BS191" s="17">
        <f t="shared" si="196"/>
        <v>80</v>
      </c>
      <c r="BT191" s="17">
        <f t="shared" si="201"/>
        <v>2.75</v>
      </c>
      <c r="BV191" s="17">
        <f t="shared" si="202"/>
        <v>88.171697687346281</v>
      </c>
    </row>
    <row r="192" spans="8:74" x14ac:dyDescent="0.15">
      <c r="H192" s="17">
        <v>9</v>
      </c>
      <c r="I192" s="29">
        <f>IF(基础状态预期!C202="","",基础状态预期!C202)</f>
        <v>5.5</v>
      </c>
      <c r="J192" s="29">
        <f>IF(基础状态预期!D202="","",基础状态预期!D202)</f>
        <v>42.643360270022924</v>
      </c>
      <c r="K192" s="29" t="str">
        <f>IF(基础状态预期!F202="","",基础状态预期!F202)</f>
        <v/>
      </c>
      <c r="L192" s="29" t="str">
        <f>IF(基础状态预期!G202="","",基础状态预期!G202)</f>
        <v/>
      </c>
      <c r="M192" s="29" t="str">
        <f>IF(基础状态预期!H202="","",基础状态预期!H202)</f>
        <v/>
      </c>
      <c r="N192" s="29">
        <f>IF(基础状态预期!I202="","",基础状态预期!I202)</f>
        <v>6</v>
      </c>
      <c r="O192" s="29" t="str">
        <f>IF(基础状态预期!J202="","",基础状态预期!J202)</f>
        <v/>
      </c>
      <c r="P192" s="29">
        <f>武将进阶!O189</f>
        <v>0</v>
      </c>
      <c r="Q192" s="29">
        <f>武将进阶!P189</f>
        <v>0</v>
      </c>
      <c r="R192" s="29">
        <f>武将进阶!Q189</f>
        <v>43.406438788833007</v>
      </c>
      <c r="S192" s="29">
        <f>武将进阶!R189</f>
        <v>0</v>
      </c>
      <c r="T192" s="29">
        <f>武将进阶!S189</f>
        <v>0</v>
      </c>
      <c r="U192" s="29">
        <f>武将觉醒!T190</f>
        <v>0</v>
      </c>
      <c r="V192" s="29">
        <f>武将觉醒!U190</f>
        <v>0</v>
      </c>
      <c r="W192" s="29">
        <f>武将觉醒!V190</f>
        <v>0</v>
      </c>
      <c r="X192" s="29">
        <f>武将觉醒!W190</f>
        <v>6</v>
      </c>
      <c r="Y192" s="29">
        <f>武将觉醒!X190</f>
        <v>0</v>
      </c>
      <c r="Z192" s="29"/>
      <c r="AA192" s="29">
        <f>IF(L192="",0,同名需求(L192,武将升星!P189,B$6)+武将升星!U189)</f>
        <v>0</v>
      </c>
      <c r="AB192" s="29">
        <f>IF(M192="",0,同名需求(M192,武将升星!Q189,C$6)+武将升星!V189)</f>
        <v>0</v>
      </c>
      <c r="AC192" s="59">
        <f>IF(N192="",0,同名需求(N192,武将升星!R189,D$6*0.9)+武将升星!W189)</f>
        <v>118.622512831666</v>
      </c>
      <c r="AD192" s="29">
        <f>IF(O192="",0,同名需求(O192,武将升星!S189,E$6)+武将升星!X189)</f>
        <v>0</v>
      </c>
      <c r="AE192" s="29">
        <f t="shared" si="176"/>
        <v>0</v>
      </c>
      <c r="AF192" s="29">
        <f t="shared" si="177"/>
        <v>0</v>
      </c>
      <c r="AG192" s="29">
        <f t="shared" si="178"/>
        <v>43.406438788833007</v>
      </c>
      <c r="AH192" s="29">
        <f t="shared" si="179"/>
        <v>118.622512831666</v>
      </c>
      <c r="AI192" s="45">
        <f t="shared" si="180"/>
        <v>0</v>
      </c>
      <c r="AJ192" s="29">
        <f t="shared" si="181"/>
        <v>284694.03079599841</v>
      </c>
      <c r="AK192" s="14" t="e">
        <f>AJ192/求节点('[1]资源-钻石'!$K$4:$K$113,'[1]资源-钻石'!$P$4:$P$113,J192)</f>
        <v>#VALUE!</v>
      </c>
      <c r="AL192" s="16">
        <f t="shared" si="182"/>
        <v>5.0580617934762838E-2</v>
      </c>
      <c r="AP192" s="17">
        <v>9</v>
      </c>
      <c r="AR192" s="16">
        <f t="shared" si="197"/>
        <v>0</v>
      </c>
      <c r="AS192" s="29">
        <f>IF(基础状态预期!C202="","",基础状态预期!C202)</f>
        <v>5.5</v>
      </c>
      <c r="AT192" s="29">
        <f>求节点(节奏总纲!$T$4:$T$163,其他调用!$G$4:$G$163,$AS192)*求节点($CP$5:$CP$36,$CU$5:$CU$36,AS12)</f>
        <v>344115.60117925686</v>
      </c>
      <c r="AU192" s="37">
        <f t="shared" si="183"/>
        <v>1</v>
      </c>
      <c r="AV192" s="37">
        <f t="shared" si="184"/>
        <v>0</v>
      </c>
      <c r="AW192" s="38">
        <f t="shared" si="185"/>
        <v>0.65833333333333333</v>
      </c>
      <c r="AX192" s="38">
        <f t="shared" si="186"/>
        <v>0.26666666666666666</v>
      </c>
      <c r="AY192" s="38">
        <f t="shared" si="187"/>
        <v>7.4999999999999997E-2</v>
      </c>
      <c r="AZ192" s="38">
        <f t="shared" si="188"/>
        <v>0</v>
      </c>
      <c r="BA192" s="29">
        <f t="shared" si="203"/>
        <v>64606.168579748773</v>
      </c>
      <c r="BB192" s="29">
        <f t="shared" si="198"/>
        <v>177.21830964583867</v>
      </c>
      <c r="BC192" s="29">
        <f t="shared" si="189"/>
        <v>71.784631755276422</v>
      </c>
      <c r="BD192" s="29">
        <f t="shared" si="190"/>
        <v>20.189427681171491</v>
      </c>
      <c r="BE192" s="29">
        <f t="shared" si="191"/>
        <v>0</v>
      </c>
      <c r="BF192" s="29">
        <f t="shared" si="199"/>
        <v>45.650000000000006</v>
      </c>
      <c r="BG192" s="29">
        <f t="shared" si="192"/>
        <v>8.25</v>
      </c>
      <c r="BH192" s="29">
        <f t="shared" si="192"/>
        <v>1.1000000000000001</v>
      </c>
      <c r="BI192" s="29">
        <f t="shared" si="192"/>
        <v>0</v>
      </c>
      <c r="BJ192" s="29">
        <f>SUM(BB$187:BB192)+BF192</f>
        <v>989.5782115681003</v>
      </c>
      <c r="BK192" s="29">
        <f>SUM(BC$187:BC192)+BG192</f>
        <v>390.60066797695208</v>
      </c>
      <c r="BL192" s="29">
        <f>SUM(BD$187:BD192)+BH192</f>
        <v>108.63612536851777</v>
      </c>
      <c r="BM192" s="29">
        <f>SUM(BE$187:BE192)+BI192</f>
        <v>0</v>
      </c>
      <c r="BN192" s="29">
        <f>SUM(BT$187:BT192)</f>
        <v>11</v>
      </c>
      <c r="BO192" s="17">
        <f t="shared" si="193"/>
        <v>8.9986803542482789</v>
      </c>
      <c r="BP192" s="17">
        <f t="shared" si="194"/>
        <v>0.91581372519633231</v>
      </c>
      <c r="BQ192" s="17" t="e">
        <f t="shared" si="195"/>
        <v>#DIV/0!</v>
      </c>
      <c r="BR192" s="17">
        <f t="shared" si="200"/>
        <v>204.28828009406726</v>
      </c>
      <c r="BS192" s="17">
        <f t="shared" si="196"/>
        <v>80</v>
      </c>
      <c r="BT192" s="17">
        <f t="shared" si="201"/>
        <v>2.75</v>
      </c>
      <c r="BV192" s="17">
        <f t="shared" si="202"/>
        <v>108.63612536851777</v>
      </c>
    </row>
    <row r="193" spans="8:74" x14ac:dyDescent="0.15">
      <c r="H193" s="16">
        <v>10</v>
      </c>
      <c r="I193" s="29">
        <f>IF(基础状态预期!C203="","",基础状态预期!C203)</f>
        <v>8.25</v>
      </c>
      <c r="J193" s="29">
        <f>IF(基础状态预期!D203="","",基础状态预期!D203)</f>
        <v>48.493134765265182</v>
      </c>
      <c r="K193" s="29" t="str">
        <f>IF(基础状态预期!F203="","",基础状态预期!F203)</f>
        <v/>
      </c>
      <c r="L193" s="29" t="str">
        <f>IF(基础状态预期!G203="","",基础状态预期!G203)</f>
        <v/>
      </c>
      <c r="M193" s="29" t="str">
        <f>IF(基础状态预期!H203="","",基础状态预期!H203)</f>
        <v/>
      </c>
      <c r="N193" s="29">
        <f>IF(基础状态预期!I203="","",基础状态预期!I203)</f>
        <v>6</v>
      </c>
      <c r="O193" s="29" t="str">
        <f>IF(基础状态预期!J203="","",基础状态预期!J203)</f>
        <v/>
      </c>
      <c r="P193" s="29">
        <f>武将进阶!O190</f>
        <v>0</v>
      </c>
      <c r="Q193" s="29">
        <f>武将进阶!P190</f>
        <v>0</v>
      </c>
      <c r="R193" s="29">
        <f>武将进阶!Q190</f>
        <v>51.830114061981867</v>
      </c>
      <c r="S193" s="29">
        <f>武将进阶!R190</f>
        <v>0</v>
      </c>
      <c r="T193" s="29">
        <f>武将进阶!S190</f>
        <v>0</v>
      </c>
      <c r="U193" s="29">
        <f>武将觉醒!T191</f>
        <v>0</v>
      </c>
      <c r="V193" s="29">
        <f>武将觉醒!U191</f>
        <v>0</v>
      </c>
      <c r="W193" s="29">
        <f>武将觉醒!V191</f>
        <v>0</v>
      </c>
      <c r="X193" s="29">
        <f>武将觉醒!W191</f>
        <v>6</v>
      </c>
      <c r="Y193" s="29">
        <f>武将觉醒!X191</f>
        <v>0</v>
      </c>
      <c r="Z193" s="29"/>
      <c r="AA193" s="29">
        <f>IF(L193="",0,同名需求(L193,武将升星!P190,B$6)+武将升星!U190)</f>
        <v>0</v>
      </c>
      <c r="AB193" s="29">
        <f>IF(M193="",0,同名需求(M193,武将升星!Q190,C$6)+武将升星!V190)</f>
        <v>0</v>
      </c>
      <c r="AC193" s="59">
        <f>IF(N193="",0,同名需求(N193,武将升星!R190,D$6*0.9)+武将升星!W190)</f>
        <v>176.97609635156368</v>
      </c>
      <c r="AD193" s="29">
        <f>IF(O193="",0,同名需求(O193,武将升星!S190,E$6)+武将升星!X190)</f>
        <v>0</v>
      </c>
      <c r="AE193" s="29">
        <f t="shared" si="176"/>
        <v>0</v>
      </c>
      <c r="AF193" s="29">
        <f t="shared" si="177"/>
        <v>0</v>
      </c>
      <c r="AG193" s="29">
        <f t="shared" si="178"/>
        <v>51.830114061981867</v>
      </c>
      <c r="AH193" s="29">
        <f t="shared" si="179"/>
        <v>176.97609635156368</v>
      </c>
      <c r="AI193" s="45">
        <f t="shared" si="180"/>
        <v>0</v>
      </c>
      <c r="AJ193" s="29">
        <f t="shared" si="181"/>
        <v>424742.63124375284</v>
      </c>
      <c r="AK193" s="14" t="e">
        <f>AJ193/求节点('[1]资源-钻石'!$K$4:$K$113,'[1]资源-钻石'!$P$4:$P$113,J193)</f>
        <v>#VALUE!</v>
      </c>
      <c r="AL193" s="16">
        <f t="shared" si="182"/>
        <v>3.3902883630572221E-2</v>
      </c>
      <c r="AP193" s="17">
        <v>10</v>
      </c>
      <c r="AR193" s="16">
        <f t="shared" si="197"/>
        <v>18.359665316263833</v>
      </c>
      <c r="AS193" s="29">
        <f>IF(基础状态预期!C203="","",基础状态预期!C203)</f>
        <v>8.25</v>
      </c>
      <c r="AT193" s="29">
        <f>求节点(节奏总纲!$T$4:$T$163,其他调用!$G$4:$G$163,$AS193)*求节点($CP$5:$CP$36,$CU$5:$CU$36,AS13)</f>
        <v>460240.4843046256</v>
      </c>
      <c r="AU193" s="37">
        <f t="shared" si="183"/>
        <v>0.9</v>
      </c>
      <c r="AV193" s="37">
        <f t="shared" si="184"/>
        <v>0.1</v>
      </c>
      <c r="AW193" s="38">
        <f t="shared" si="185"/>
        <v>0.64183333333333337</v>
      </c>
      <c r="AX193" s="38">
        <f t="shared" si="186"/>
        <v>0.26666666666666666</v>
      </c>
      <c r="AY193" s="38">
        <f t="shared" si="187"/>
        <v>7.1500000000000008E-2</v>
      </c>
      <c r="AZ193" s="38">
        <f t="shared" si="188"/>
        <v>1.6000000000000001E-3</v>
      </c>
      <c r="BA193" s="29">
        <f t="shared" si="203"/>
        <v>116124.88312536874</v>
      </c>
      <c r="BB193" s="29">
        <f t="shared" si="198"/>
        <v>310.55342008041322</v>
      </c>
      <c r="BC193" s="29">
        <f t="shared" si="189"/>
        <v>129.02764791707637</v>
      </c>
      <c r="BD193" s="29">
        <f t="shared" si="190"/>
        <v>34.595538097766109</v>
      </c>
      <c r="BE193" s="29">
        <f t="shared" si="191"/>
        <v>0.77416588750245829</v>
      </c>
      <c r="BF193" s="29">
        <f t="shared" si="199"/>
        <v>68.475000000000009</v>
      </c>
      <c r="BG193" s="29">
        <f t="shared" si="192"/>
        <v>12.375</v>
      </c>
      <c r="BH193" s="29">
        <f t="shared" si="192"/>
        <v>1.6500000000000001</v>
      </c>
      <c r="BI193" s="29">
        <f t="shared" si="192"/>
        <v>0</v>
      </c>
      <c r="BJ193" s="29">
        <f>SUM(BB$187:BB193)+BF193</f>
        <v>1322.9566316485134</v>
      </c>
      <c r="BK193" s="29">
        <f>SUM(BC$187:BC193)+BG193</f>
        <v>523.75331589402845</v>
      </c>
      <c r="BL193" s="29">
        <f>SUM(BD$187:BD193)+BH193</f>
        <v>143.7816634662839</v>
      </c>
      <c r="BM193" s="29">
        <f>SUM(BE$187:BE193)+BI193</f>
        <v>0.77416588750245829</v>
      </c>
      <c r="BN193" s="29">
        <f>SUM(BT$187:BT193)</f>
        <v>16.5</v>
      </c>
      <c r="BO193" s="17">
        <f t="shared" si="193"/>
        <v>10.105193194591269</v>
      </c>
      <c r="BP193" s="17">
        <f t="shared" si="194"/>
        <v>0.81243550078458671</v>
      </c>
      <c r="BQ193" s="17" t="e">
        <f t="shared" si="195"/>
        <v>#DIV/0!</v>
      </c>
      <c r="BR193" s="17">
        <f t="shared" si="200"/>
        <v>165.23698784637449</v>
      </c>
      <c r="BS193" s="17">
        <f t="shared" si="196"/>
        <v>80</v>
      </c>
      <c r="BT193" s="17">
        <f t="shared" si="201"/>
        <v>5.5</v>
      </c>
      <c r="BV193" s="17">
        <f t="shared" si="202"/>
        <v>143.7816634662839</v>
      </c>
    </row>
    <row r="194" spans="8:74" x14ac:dyDescent="0.15">
      <c r="H194" s="17">
        <v>11</v>
      </c>
      <c r="I194" s="29">
        <f>IF(基础状态预期!C204="","",基础状态预期!C204)</f>
        <v>11</v>
      </c>
      <c r="J194" s="29">
        <f>IF(基础状态预期!D204="","",基础状态预期!D204)</f>
        <v>52.559419343629337</v>
      </c>
      <c r="K194" s="29" t="str">
        <f>IF(基础状态预期!F204="","",基础状态预期!F204)</f>
        <v/>
      </c>
      <c r="L194" s="29" t="str">
        <f>IF(基础状态预期!G204="","",基础状态预期!G204)</f>
        <v/>
      </c>
      <c r="M194" s="29" t="str">
        <f>IF(基础状态预期!H204="","",基础状态预期!H204)</f>
        <v/>
      </c>
      <c r="N194" s="29">
        <f>IF(基础状态预期!I204="","",基础状态预期!I204)</f>
        <v>5</v>
      </c>
      <c r="O194" s="29">
        <f>IF(基础状态预期!J204="","",基础状态预期!J204)</f>
        <v>1</v>
      </c>
      <c r="P194" s="29">
        <f>武将进阶!O191</f>
        <v>0</v>
      </c>
      <c r="Q194" s="29">
        <f>武将进阶!P191</f>
        <v>0</v>
      </c>
      <c r="R194" s="29">
        <f>武将进阶!Q191</f>
        <v>51.142606424710394</v>
      </c>
      <c r="S194" s="29">
        <f>武将进阶!R191</f>
        <v>10.842781927413119</v>
      </c>
      <c r="T194" s="29">
        <f>武将进阶!S191</f>
        <v>0</v>
      </c>
      <c r="U194" s="29">
        <f>武将觉醒!T192</f>
        <v>0</v>
      </c>
      <c r="V194" s="29">
        <f>武将觉醒!U192</f>
        <v>0</v>
      </c>
      <c r="W194" s="29">
        <f>武将觉醒!V192</f>
        <v>0</v>
      </c>
      <c r="X194" s="29">
        <f>武将觉醒!W192</f>
        <v>8</v>
      </c>
      <c r="Y194" s="29">
        <f>武将觉醒!X192</f>
        <v>0</v>
      </c>
      <c r="Z194" s="29"/>
      <c r="AA194" s="29">
        <f>IF(L194="",0,同名需求(L194,武将升星!P191,B$6)+武将升星!U191)</f>
        <v>0</v>
      </c>
      <c r="AB194" s="29">
        <f>IF(M194="",0,同名需求(M194,武将升星!Q191,C$6)+武将升星!V191)</f>
        <v>0</v>
      </c>
      <c r="AC194" s="59">
        <f>IF(N194="",0,同名需求(N194,武将升星!R191,D$6*0.9)+武将升星!W191)</f>
        <v>216.84065425458772</v>
      </c>
      <c r="AD194" s="29">
        <f>IF(O194="",0,同名需求(O194,武将升星!S191,E$6)+武将升星!X191)</f>
        <v>2.1724486135119863</v>
      </c>
      <c r="AE194" s="29">
        <f t="shared" si="176"/>
        <v>0</v>
      </c>
      <c r="AF194" s="29">
        <f t="shared" si="177"/>
        <v>0</v>
      </c>
      <c r="AG194" s="29">
        <f t="shared" si="178"/>
        <v>51.142606424710394</v>
      </c>
      <c r="AH194" s="29">
        <f t="shared" si="179"/>
        <v>216.84065425458772</v>
      </c>
      <c r="AI194" s="45">
        <f t="shared" si="180"/>
        <v>2.1724486135119863</v>
      </c>
      <c r="AJ194" s="29">
        <f t="shared" si="181"/>
        <v>531822.92543194839</v>
      </c>
      <c r="AK194" s="14" t="e">
        <f>AJ194/求节点('[1]资源-钻石'!$K$4:$K$113,'[1]资源-钻石'!$P$4:$P$113,J194)</f>
        <v>#VALUE!</v>
      </c>
      <c r="AL194" s="16">
        <f t="shared" si="182"/>
        <v>3.6893450757658111E-2</v>
      </c>
      <c r="AP194" s="17">
        <v>11</v>
      </c>
      <c r="AR194" s="16">
        <f t="shared" si="197"/>
        <v>33.160855162281294</v>
      </c>
      <c r="AS194" s="29">
        <f>IF(基础状态预期!C204="","",基础状态预期!C204)</f>
        <v>11</v>
      </c>
      <c r="AT194" s="29">
        <f>求节点(节奏总纲!$T$4:$T$163,其他调用!$G$4:$G$163,$AS194)*求节点($CP$5:$CP$36,$CU$5:$CU$36,AS14)</f>
        <v>565111.68875534018</v>
      </c>
      <c r="AU194" s="37">
        <f>1-AV194</f>
        <v>0.8</v>
      </c>
      <c r="AV194" s="37">
        <f t="shared" si="184"/>
        <v>0.2</v>
      </c>
      <c r="AW194" s="38">
        <f t="shared" si="185"/>
        <v>0.62533333333333341</v>
      </c>
      <c r="AX194" s="38">
        <f t="shared" si="186"/>
        <v>0.26666666666666666</v>
      </c>
      <c r="AY194" s="38">
        <f t="shared" si="187"/>
        <v>6.8000000000000005E-2</v>
      </c>
      <c r="AZ194" s="38">
        <f t="shared" si="188"/>
        <v>3.2000000000000002E-3</v>
      </c>
      <c r="BA194" s="29">
        <f t="shared" si="203"/>
        <v>104871.20445071458</v>
      </c>
      <c r="BB194" s="29">
        <f t="shared" si="198"/>
        <v>273.24774937436189</v>
      </c>
      <c r="BC194" s="29">
        <f t="shared" si="189"/>
        <v>116.52356050079398</v>
      </c>
      <c r="BD194" s="29">
        <f t="shared" si="190"/>
        <v>29.713507927702466</v>
      </c>
      <c r="BE194" s="29">
        <f t="shared" si="191"/>
        <v>1.3982827260095279</v>
      </c>
      <c r="BF194" s="29">
        <f t="shared" si="199"/>
        <v>91.300000000000011</v>
      </c>
      <c r="BG194" s="29">
        <f t="shared" si="192"/>
        <v>16.5</v>
      </c>
      <c r="BH194" s="29">
        <f t="shared" si="192"/>
        <v>2.2000000000000002</v>
      </c>
      <c r="BI194" s="29">
        <f t="shared" si="192"/>
        <v>0</v>
      </c>
      <c r="BJ194" s="29">
        <f>SUM(BB$187:BB194)+BF194</f>
        <v>1619.0293810228752</v>
      </c>
      <c r="BK194" s="29">
        <f>SUM(BC$187:BC194)+BG194</f>
        <v>644.40187639482247</v>
      </c>
      <c r="BL194" s="29">
        <f>SUM(BD$187:BD194)+BH194</f>
        <v>174.04517139398635</v>
      </c>
      <c r="BM194" s="29">
        <f>SUM(BE$187:BE194)+BI194</f>
        <v>2.1724486135119863</v>
      </c>
      <c r="BN194" s="29">
        <f>SUM(BT$187:BT194)</f>
        <v>22</v>
      </c>
      <c r="BO194" s="17">
        <f t="shared" si="193"/>
        <v>12.600098458874577</v>
      </c>
      <c r="BP194" s="17">
        <f t="shared" si="194"/>
        <v>0.80264087005402518</v>
      </c>
      <c r="BQ194" s="17">
        <f t="shared" si="195"/>
        <v>1</v>
      </c>
      <c r="BR194" s="17">
        <f t="shared" si="200"/>
        <v>132.64342064912515</v>
      </c>
      <c r="BS194" s="17">
        <f t="shared" si="196"/>
        <v>80</v>
      </c>
      <c r="BT194" s="17">
        <f t="shared" si="201"/>
        <v>5.5</v>
      </c>
      <c r="BV194" s="17">
        <f t="shared" si="202"/>
        <v>163.20238946657324</v>
      </c>
    </row>
    <row r="195" spans="8:74" x14ac:dyDescent="0.15">
      <c r="H195" s="16">
        <v>12</v>
      </c>
      <c r="I195" s="29">
        <f>IF(基础状态预期!C205="","",基础状态预期!C205)</f>
        <v>16.5</v>
      </c>
      <c r="J195" s="29">
        <f>IF(基础状态预期!D205="","",基础状态预期!D205)</f>
        <v>58.560986008166232</v>
      </c>
      <c r="K195" s="29" t="str">
        <f>IF(基础状态预期!F205="","",基础状态预期!F205)</f>
        <v/>
      </c>
      <c r="L195" s="29" t="str">
        <f>IF(基础状态预期!G205="","",基础状态预期!G205)</f>
        <v/>
      </c>
      <c r="M195" s="29" t="str">
        <f>IF(基础状态预期!H205="","",基础状态预期!H205)</f>
        <v/>
      </c>
      <c r="N195" s="29">
        <f>IF(基础状态预期!I205="","",基础状态预期!I205)</f>
        <v>4</v>
      </c>
      <c r="O195" s="29">
        <f>IF(基础状态预期!J205="","",基础状态预期!J205)</f>
        <v>2</v>
      </c>
      <c r="P195" s="29">
        <f>武将进阶!O192</f>
        <v>0</v>
      </c>
      <c r="Q195" s="29">
        <f>武将进阶!P192</f>
        <v>0</v>
      </c>
      <c r="R195" s="29">
        <f>武将进阶!Q192</f>
        <v>52.437093135679177</v>
      </c>
      <c r="S195" s="29">
        <f>武将进阶!R192</f>
        <v>30.327819851759383</v>
      </c>
      <c r="T195" s="29">
        <f>武将进阶!S192</f>
        <v>0</v>
      </c>
      <c r="U195" s="29">
        <f>武将觉醒!T193</f>
        <v>0</v>
      </c>
      <c r="V195" s="29">
        <f>武将觉醒!U193</f>
        <v>0</v>
      </c>
      <c r="W195" s="29">
        <f>武将觉醒!V193</f>
        <v>0</v>
      </c>
      <c r="X195" s="29">
        <f>武将觉醒!W193</f>
        <v>10</v>
      </c>
      <c r="Y195" s="29">
        <f>武将觉醒!X193</f>
        <v>0</v>
      </c>
      <c r="Z195" s="29"/>
      <c r="AA195" s="29">
        <f>IF(L195="",0,同名需求(L195,武将升星!P192,B$6)+武将升星!U192)</f>
        <v>0</v>
      </c>
      <c r="AB195" s="29">
        <f>IF(M195="",0,同名需求(M195,武将升星!Q192,C$6)+武将升星!V192)</f>
        <v>0</v>
      </c>
      <c r="AC195" s="59">
        <f>IF(N195="",0,同名需求(N195,武将升星!R192,D$6*0.9)+武将升星!W192)</f>
        <v>296.5530732094457</v>
      </c>
      <c r="AD195" s="29">
        <f>IF(O195="",0,同名需求(O195,武将升星!S192,E$6)+武将升星!X192)</f>
        <v>8.4018379798852543</v>
      </c>
      <c r="AE195" s="29">
        <f t="shared" si="176"/>
        <v>0</v>
      </c>
      <c r="AF195" s="29">
        <f t="shared" si="177"/>
        <v>0</v>
      </c>
      <c r="AG195" s="29">
        <f t="shared" si="178"/>
        <v>52.437093135679177</v>
      </c>
      <c r="AH195" s="29">
        <f t="shared" si="179"/>
        <v>296.5530732094457</v>
      </c>
      <c r="AI195" s="45">
        <f t="shared" si="180"/>
        <v>8.4018379798852543</v>
      </c>
      <c r="AJ195" s="29">
        <f t="shared" si="181"/>
        <v>755837.02509706724</v>
      </c>
      <c r="AK195" s="14" t="e">
        <f>AJ195/求节点('[1]资源-钻石'!$K$4:$K$113,'[1]资源-钻石'!$P$4:$P$113,J195)</f>
        <v>#VALUE!</v>
      </c>
      <c r="AL195" s="16">
        <f t="shared" si="182"/>
        <v>3.3720776830180842E-2</v>
      </c>
      <c r="AP195" s="17">
        <v>12</v>
      </c>
      <c r="AR195" s="16">
        <f t="shared" si="197"/>
        <v>73.866277071619791</v>
      </c>
      <c r="AS195" s="29">
        <f>IF(基础状态预期!C205="","",基础状态预期!C205)</f>
        <v>16.5</v>
      </c>
      <c r="AT195" s="29">
        <f>求节点(节奏总纲!$T$4:$T$163,其他调用!$G$4:$G$163,$AS195)*求节点($CP$5:$CP$36,$CU$5:$CU$36,AS15)</f>
        <v>751993.36974653823</v>
      </c>
      <c r="AU195" s="37">
        <f t="shared" ref="AU195:AU202" si="204">1-AV195</f>
        <v>0.5</v>
      </c>
      <c r="AV195" s="37">
        <f t="shared" si="184"/>
        <v>0.5</v>
      </c>
      <c r="AW195" s="38">
        <f t="shared" si="185"/>
        <v>0.57583333333333342</v>
      </c>
      <c r="AX195" s="38">
        <f t="shared" si="186"/>
        <v>0.26666666666666666</v>
      </c>
      <c r="AY195" s="38">
        <f t="shared" si="187"/>
        <v>5.7499999999999996E-2</v>
      </c>
      <c r="AZ195" s="38">
        <f t="shared" si="188"/>
        <v>8.0000000000000002E-3</v>
      </c>
      <c r="BA195" s="29">
        <f t="shared" si="203"/>
        <v>186881.68099119805</v>
      </c>
      <c r="BB195" s="29">
        <f t="shared" si="198"/>
        <v>448.38625543374263</v>
      </c>
      <c r="BC195" s="29">
        <f t="shared" si="189"/>
        <v>207.6463122124423</v>
      </c>
      <c r="BD195" s="29">
        <f t="shared" si="190"/>
        <v>44.773736070807864</v>
      </c>
      <c r="BE195" s="29">
        <f t="shared" si="191"/>
        <v>6.2293893663732689</v>
      </c>
      <c r="BF195" s="29">
        <f t="shared" si="199"/>
        <v>136.95000000000002</v>
      </c>
      <c r="BG195" s="29">
        <f t="shared" si="192"/>
        <v>24.75</v>
      </c>
      <c r="BH195" s="29">
        <f t="shared" si="192"/>
        <v>3.3000000000000003</v>
      </c>
      <c r="BI195" s="29">
        <f t="shared" si="192"/>
        <v>0</v>
      </c>
      <c r="BJ195" s="29">
        <f>SUM(BB$187:BB195)+BF195</f>
        <v>2113.065636456618</v>
      </c>
      <c r="BK195" s="29">
        <f>SUM(BC$187:BC195)+BG195</f>
        <v>860.29818860726482</v>
      </c>
      <c r="BL195" s="29">
        <f>SUM(BD$187:BD195)+BH195</f>
        <v>219.91890746479424</v>
      </c>
      <c r="BM195" s="29">
        <f>SUM(BE$187:BE195)+BI195</f>
        <v>8.4018379798852543</v>
      </c>
      <c r="BN195" s="29">
        <f>SUM(BT$187:BT195)</f>
        <v>32.156613097347723</v>
      </c>
      <c r="BO195" s="17">
        <f t="shared" si="193"/>
        <v>16.406290607705365</v>
      </c>
      <c r="BP195" s="17">
        <f t="shared" si="194"/>
        <v>0.74158363993575183</v>
      </c>
      <c r="BQ195" s="17">
        <f t="shared" si="195"/>
        <v>1</v>
      </c>
      <c r="BR195" s="17">
        <f t="shared" si="200"/>
        <v>73.866277071619791</v>
      </c>
      <c r="BS195" s="17">
        <f t="shared" si="196"/>
        <v>80</v>
      </c>
      <c r="BT195" s="17">
        <f t="shared" si="201"/>
        <v>10.156613097347721</v>
      </c>
      <c r="BV195" s="17">
        <f t="shared" si="202"/>
        <v>189.59108761303486</v>
      </c>
    </row>
    <row r="196" spans="8:74" x14ac:dyDescent="0.15">
      <c r="H196" s="17">
        <v>13</v>
      </c>
      <c r="I196" s="29">
        <f>IF(基础状态预期!C206="","",基础状态预期!C206)</f>
        <v>24.750000000000004</v>
      </c>
      <c r="J196" s="29">
        <f>IF(基础状态预期!D206="","",基础状态预期!D206)</f>
        <v>64.247064283227857</v>
      </c>
      <c r="K196" s="29" t="str">
        <f>IF(基础状态预期!F206="","",基础状态预期!F206)</f>
        <v/>
      </c>
      <c r="L196" s="29" t="str">
        <f>IF(基础状态预期!G206="","",基础状态预期!G206)</f>
        <v/>
      </c>
      <c r="M196" s="29" t="str">
        <f>IF(基础状态预期!H206="","",基础状态预期!H206)</f>
        <v/>
      </c>
      <c r="N196" s="29">
        <f>IF(基础状态预期!I206="","",基础状态预期!I206)</f>
        <v>3</v>
      </c>
      <c r="O196" s="29">
        <f>IF(基础状态预期!J206="","",基础状态预期!J206)</f>
        <v>3</v>
      </c>
      <c r="P196" s="29">
        <f>武将进阶!O193</f>
        <v>0</v>
      </c>
      <c r="Q196" s="29">
        <f>武将进阶!P193</f>
        <v>0</v>
      </c>
      <c r="R196" s="29">
        <f>武将进阶!Q193</f>
        <v>47.515772567848117</v>
      </c>
      <c r="S196" s="29">
        <f>武将进阶!R193</f>
        <v>57.773658851772176</v>
      </c>
      <c r="T196" s="29">
        <f>武将进阶!S193</f>
        <v>0</v>
      </c>
      <c r="U196" s="29">
        <f>武将觉醒!T194</f>
        <v>0</v>
      </c>
      <c r="V196" s="29">
        <f>武将觉醒!U194</f>
        <v>0</v>
      </c>
      <c r="W196" s="29">
        <f>武将觉醒!V194</f>
        <v>0</v>
      </c>
      <c r="X196" s="29">
        <f>武将觉醒!W194</f>
        <v>12</v>
      </c>
      <c r="Y196" s="29">
        <f>武将觉醒!X194</f>
        <v>0</v>
      </c>
      <c r="Z196" s="29"/>
      <c r="AA196" s="29">
        <f>IF(L196="",0,同名需求(L196,武将升星!P193,B$6)+武将升星!U193)</f>
        <v>0</v>
      </c>
      <c r="AB196" s="29">
        <f>IF(M196="",0,同名需求(M196,武将升星!Q193,C$6)+武将升星!V193)</f>
        <v>0</v>
      </c>
      <c r="AC196" s="59">
        <f>IF(N196="",0,同名需求(N196,武将升星!R193,D$6*0.9)+武将升星!W193)</f>
        <v>344.31457755955466</v>
      </c>
      <c r="AD196" s="29">
        <f>IF(O196="",0,同名需求(O196,武将升星!S193,E$6)+武将升星!X193)</f>
        <v>24.737932874906981</v>
      </c>
      <c r="AE196" s="29">
        <f t="shared" si="176"/>
        <v>0</v>
      </c>
      <c r="AF196" s="29">
        <f t="shared" si="177"/>
        <v>0</v>
      </c>
      <c r="AG196" s="29">
        <f t="shared" si="178"/>
        <v>47.515772567848117</v>
      </c>
      <c r="AH196" s="29">
        <f t="shared" si="179"/>
        <v>344.31457755955466</v>
      </c>
      <c r="AI196" s="45">
        <f t="shared" si="180"/>
        <v>24.737932874906981</v>
      </c>
      <c r="AJ196" s="29">
        <f t="shared" si="181"/>
        <v>956229.13373619283</v>
      </c>
      <c r="AK196" s="14" t="e">
        <f>AJ196/求节点('[1]资源-钻石'!$K$4:$K$113,'[1]资源-钻石'!$P$4:$P$113,J196)</f>
        <v>#VALUE!</v>
      </c>
      <c r="AL196" s="16">
        <f t="shared" si="182"/>
        <v>3.4851849971192145E-2</v>
      </c>
      <c r="AP196" s="17">
        <v>13</v>
      </c>
      <c r="AR196" s="16">
        <f t="shared" si="197"/>
        <v>129.13909007922308</v>
      </c>
      <c r="AS196" s="29">
        <f>IF(基础状态预期!C206="","",基础状态预期!C206)</f>
        <v>24.750000000000004</v>
      </c>
      <c r="AT196" s="29">
        <f>求节点(节奏总纲!$T$4:$T$163,其他调用!$G$4:$G$163,$AS196)*求节点($CP$5:$CP$36,$CU$5:$CU$36,AS16)</f>
        <v>997034.79317186412</v>
      </c>
      <c r="AU196" s="37">
        <f t="shared" si="204"/>
        <v>0</v>
      </c>
      <c r="AV196" s="37">
        <f t="shared" si="184"/>
        <v>1</v>
      </c>
      <c r="AW196" s="38">
        <f t="shared" si="185"/>
        <v>0.4933333333333334</v>
      </c>
      <c r="AX196" s="38">
        <f t="shared" si="186"/>
        <v>0.26666666666666666</v>
      </c>
      <c r="AY196" s="38">
        <f t="shared" si="187"/>
        <v>0.04</v>
      </c>
      <c r="AZ196" s="38">
        <f t="shared" si="188"/>
        <v>1.6E-2</v>
      </c>
      <c r="BA196" s="29">
        <f t="shared" si="203"/>
        <v>245041.42342532589</v>
      </c>
      <c r="BB196" s="29">
        <f t="shared" si="198"/>
        <v>503.69625926316996</v>
      </c>
      <c r="BC196" s="29">
        <f t="shared" si="189"/>
        <v>272.26824825036209</v>
      </c>
      <c r="BD196" s="29">
        <f t="shared" si="190"/>
        <v>40.840237237554319</v>
      </c>
      <c r="BE196" s="29">
        <f t="shared" si="191"/>
        <v>16.336094895021727</v>
      </c>
      <c r="BF196" s="29">
        <f t="shared" si="199"/>
        <v>205.42500000000004</v>
      </c>
      <c r="BG196" s="29">
        <f t="shared" si="192"/>
        <v>37.125000000000007</v>
      </c>
      <c r="BH196" s="29">
        <f t="shared" si="192"/>
        <v>4.9500000000000011</v>
      </c>
      <c r="BI196" s="29">
        <f t="shared" si="192"/>
        <v>0</v>
      </c>
      <c r="BJ196" s="29">
        <f>SUM(BB$187:BB196)+BF196</f>
        <v>2685.2368957197882</v>
      </c>
      <c r="BK196" s="29">
        <f>SUM(BC$187:BC196)+BG196</f>
        <v>1144.941436857627</v>
      </c>
      <c r="BL196" s="29">
        <f>SUM(BD$187:BD196)+BH196</f>
        <v>262.40914470234856</v>
      </c>
      <c r="BM196" s="29">
        <f>SUM(BE$187:BE196)+BI196</f>
        <v>24.737932874906981</v>
      </c>
      <c r="BN196" s="29">
        <f>SUM(BT$187:BT196)</f>
        <v>32.156613097347723</v>
      </c>
      <c r="BO196" s="17">
        <f t="shared" si="193"/>
        <v>24.096029065354177</v>
      </c>
      <c r="BP196" s="17">
        <f t="shared" si="194"/>
        <v>0.76212034518625849</v>
      </c>
      <c r="BQ196" s="17">
        <f t="shared" si="195"/>
        <v>1</v>
      </c>
      <c r="BR196" s="17">
        <f t="shared" si="200"/>
        <v>0</v>
      </c>
      <c r="BS196" s="17">
        <f t="shared" si="196"/>
        <v>80</v>
      </c>
      <c r="BT196" s="17">
        <f t="shared" si="201"/>
        <v>0</v>
      </c>
      <c r="BV196" s="17">
        <f t="shared" si="202"/>
        <v>204.63548585057637</v>
      </c>
    </row>
    <row r="197" spans="8:74" x14ac:dyDescent="0.15">
      <c r="H197" s="16">
        <v>14</v>
      </c>
      <c r="I197" s="29">
        <f>IF(基础状态预期!C207="","",基础状态预期!C207)</f>
        <v>33</v>
      </c>
      <c r="J197" s="29">
        <f>IF(基础状态预期!D207="","",基础状态预期!D207)</f>
        <v>68.518369035696878</v>
      </c>
      <c r="K197" s="29" t="str">
        <f>IF(基础状态预期!F207="","",基础状态预期!F207)</f>
        <v/>
      </c>
      <c r="L197" s="29" t="str">
        <f>IF(基础状态预期!G207="","",基础状态预期!G207)</f>
        <v/>
      </c>
      <c r="M197" s="29" t="str">
        <f>IF(基础状态预期!H207="","",基础状态预期!H207)</f>
        <v/>
      </c>
      <c r="N197" s="29">
        <f>IF(基础状态预期!I207="","",基础状态预期!I207)</f>
        <v>2</v>
      </c>
      <c r="O197" s="29">
        <f>IF(基础状态预期!J207="","",基础状态预期!J207)</f>
        <v>4</v>
      </c>
      <c r="P197" s="29">
        <f>武将进阶!O194</f>
        <v>0</v>
      </c>
      <c r="Q197" s="29">
        <f>武将进阶!P194</f>
        <v>0</v>
      </c>
      <c r="R197" s="29">
        <f>武将进阶!Q194</f>
        <v>35.777634274269005</v>
      </c>
      <c r="S197" s="29">
        <f>武将进阶!R194</f>
        <v>89.332902822807014</v>
      </c>
      <c r="T197" s="29">
        <f>武将进阶!S194</f>
        <v>0</v>
      </c>
      <c r="U197" s="29">
        <f>武将觉醒!T195</f>
        <v>0</v>
      </c>
      <c r="V197" s="29">
        <f>武将觉醒!U195</f>
        <v>0</v>
      </c>
      <c r="W197" s="29">
        <f>武将觉醒!V195</f>
        <v>0</v>
      </c>
      <c r="X197" s="29">
        <f>武将觉醒!W195</f>
        <v>14</v>
      </c>
      <c r="Y197" s="29">
        <f>武将觉醒!X195</f>
        <v>0</v>
      </c>
      <c r="Z197" s="29"/>
      <c r="AA197" s="29">
        <f>IF(L197="",0,同名需求(L197,武将升星!P194,B$6)+武将升星!U194)</f>
        <v>0</v>
      </c>
      <c r="AB197" s="29">
        <f>IF(M197="",0,同名需求(M197,武将升星!Q194,C$6)+武将升星!V194)</f>
        <v>0</v>
      </c>
      <c r="AC197" s="59">
        <f>IF(N197="",0,同名需求(N197,武将升星!R194,D$6*0.9)+武将升星!W194)</f>
        <v>381.23727196587447</v>
      </c>
      <c r="AD197" s="29">
        <f>IF(O197="",0,同名需求(O197,武将升星!S194,E$6)+武将升星!X194)</f>
        <v>40.932463722160165</v>
      </c>
      <c r="AE197" s="29">
        <f t="shared" si="176"/>
        <v>0</v>
      </c>
      <c r="AF197" s="29">
        <f t="shared" si="177"/>
        <v>0</v>
      </c>
      <c r="AG197" s="29">
        <f t="shared" si="178"/>
        <v>35.777634274269005</v>
      </c>
      <c r="AH197" s="29">
        <f t="shared" si="179"/>
        <v>381.23727196587447</v>
      </c>
      <c r="AI197" s="45">
        <f t="shared" si="180"/>
        <v>40.932463722160165</v>
      </c>
      <c r="AJ197" s="29">
        <f t="shared" si="181"/>
        <v>1129864.8872594396</v>
      </c>
      <c r="AK197" s="14" t="e">
        <f>AJ197/求节点('[1]资源-钻石'!$K$4:$K$113,'[1]资源-钻石'!$P$4:$P$113,J197)</f>
        <v>#VALUE!</v>
      </c>
      <c r="AL197" s="16">
        <f t="shared" si="182"/>
        <v>3.6722537457599833E-2</v>
      </c>
      <c r="AP197" s="17">
        <v>14</v>
      </c>
      <c r="AR197" s="16">
        <f t="shared" si="197"/>
        <v>128.0200066976536</v>
      </c>
      <c r="AS197" s="29">
        <f>IF(基础状态预期!C207="","",基础状态预期!C207)</f>
        <v>33</v>
      </c>
      <c r="AT197" s="29">
        <f>求节点(节奏总纲!$T$4:$T$163,其他调用!$G$4:$G$163,$AS197)*求节点($CP$5:$CP$36,$CU$5:$CU$36,AS17)</f>
        <v>1239952.7558806618</v>
      </c>
      <c r="AU197" s="37">
        <f t="shared" si="204"/>
        <v>0</v>
      </c>
      <c r="AV197" s="37">
        <f t="shared" si="184"/>
        <v>1</v>
      </c>
      <c r="AW197" s="38">
        <f t="shared" si="185"/>
        <v>0.4933333333333334</v>
      </c>
      <c r="AX197" s="38">
        <f t="shared" si="186"/>
        <v>0.26666666666666666</v>
      </c>
      <c r="AY197" s="38">
        <f t="shared" si="187"/>
        <v>0.04</v>
      </c>
      <c r="AZ197" s="38">
        <f t="shared" si="188"/>
        <v>1.6E-2</v>
      </c>
      <c r="BA197" s="29">
        <f t="shared" si="203"/>
        <v>242917.96270879766</v>
      </c>
      <c r="BB197" s="29">
        <f t="shared" si="198"/>
        <v>499.33136779030639</v>
      </c>
      <c r="BC197" s="29">
        <f t="shared" si="189"/>
        <v>269.90884745421965</v>
      </c>
      <c r="BD197" s="29">
        <f t="shared" si="190"/>
        <v>40.486327118132948</v>
      </c>
      <c r="BE197" s="29">
        <f t="shared" si="191"/>
        <v>16.19453084725318</v>
      </c>
      <c r="BF197" s="29">
        <f t="shared" si="199"/>
        <v>273.90000000000003</v>
      </c>
      <c r="BG197" s="29">
        <f t="shared" si="192"/>
        <v>49.5</v>
      </c>
      <c r="BH197" s="29">
        <f t="shared" si="192"/>
        <v>6.6000000000000005</v>
      </c>
      <c r="BI197" s="29">
        <f t="shared" si="192"/>
        <v>0</v>
      </c>
      <c r="BJ197" s="29">
        <f>SUM(BB$187:BB197)+BF197</f>
        <v>3253.0432635100947</v>
      </c>
      <c r="BK197" s="29">
        <f>SUM(BC$187:BC197)+BG197</f>
        <v>1427.2252843118467</v>
      </c>
      <c r="BL197" s="29">
        <f>SUM(BD$187:BD197)+BH197</f>
        <v>304.54547182048157</v>
      </c>
      <c r="BM197" s="29">
        <f>SUM(BE$187:BE197)+BI197</f>
        <v>40.932463722160165</v>
      </c>
      <c r="BN197" s="29">
        <f>SUM(BT$187:BT197)</f>
        <v>32.156613097347723</v>
      </c>
      <c r="BO197" s="17">
        <f t="shared" si="193"/>
        <v>39.891549937897821</v>
      </c>
      <c r="BP197" s="17">
        <f t="shared" si="194"/>
        <v>0.79883446403357494</v>
      </c>
      <c r="BQ197" s="17">
        <f t="shared" si="195"/>
        <v>1</v>
      </c>
      <c r="BR197" s="17">
        <f t="shared" si="200"/>
        <v>0</v>
      </c>
      <c r="BS197" s="17">
        <f t="shared" si="196"/>
        <v>80</v>
      </c>
      <c r="BT197" s="17">
        <f t="shared" si="201"/>
        <v>0</v>
      </c>
      <c r="BV197" s="17">
        <f t="shared" si="202"/>
        <v>215.21256899767457</v>
      </c>
    </row>
    <row r="198" spans="8:74" x14ac:dyDescent="0.15">
      <c r="H198" s="17">
        <v>15</v>
      </c>
      <c r="I198" s="29">
        <f>IF(基础状态预期!C208="","",基础状态预期!C208)</f>
        <v>41.25</v>
      </c>
      <c r="J198" s="29">
        <f>IF(基础状态预期!D208="","",基础状态预期!D208)</f>
        <v>71.7664716439551</v>
      </c>
      <c r="K198" s="29" t="str">
        <f>IF(基础状态预期!F208="","",基础状态预期!F208)</f>
        <v/>
      </c>
      <c r="L198" s="29" t="str">
        <f>IF(基础状态预期!G208="","",基础状态预期!G208)</f>
        <v/>
      </c>
      <c r="M198" s="29" t="str">
        <f>IF(基础状态预期!H208="","",基础状态预期!H208)</f>
        <v/>
      </c>
      <c r="N198" s="29">
        <f>IF(基础状态预期!I208="","",基础状态预期!I208)</f>
        <v>1</v>
      </c>
      <c r="O198" s="29">
        <f>IF(基础状态预期!J208="","",基础状态预期!J208)</f>
        <v>5</v>
      </c>
      <c r="P198" s="29">
        <f>武将进阶!O195</f>
        <v>0</v>
      </c>
      <c r="Q198" s="29">
        <f>武将进阶!P195</f>
        <v>0</v>
      </c>
      <c r="R198" s="29">
        <f>武将进阶!Q195</f>
        <v>19.447906389098449</v>
      </c>
      <c r="S198" s="29">
        <f>武将进阶!R195</f>
        <v>123.35929791823835</v>
      </c>
      <c r="T198" s="29">
        <f>武将进阶!S195</f>
        <v>0</v>
      </c>
      <c r="U198" s="29">
        <f>武将觉醒!T196</f>
        <v>0</v>
      </c>
      <c r="V198" s="29">
        <f>武将觉醒!U196</f>
        <v>0</v>
      </c>
      <c r="W198" s="29">
        <f>武将觉醒!V196</f>
        <v>0</v>
      </c>
      <c r="X198" s="29">
        <f>武将觉醒!W196</f>
        <v>16</v>
      </c>
      <c r="Y198" s="29">
        <f>武将觉醒!X196</f>
        <v>0</v>
      </c>
      <c r="Z198" s="29"/>
      <c r="AA198" s="29">
        <f>IF(L198="",0,同名需求(L198,武将升星!P195,B$6)+武将升星!U195)</f>
        <v>0</v>
      </c>
      <c r="AB198" s="29">
        <f>IF(M198="",0,同名需求(M198,武将升星!Q195,C$6)+武将升星!V195)</f>
        <v>0</v>
      </c>
      <c r="AC198" s="59">
        <f>IF(N198="",0,同名需求(N198,武将升星!R195,D$6*0.9)+武将升星!W195)</f>
        <v>420.81672230457099</v>
      </c>
      <c r="AD198" s="29">
        <f>IF(O198="",0,同名需求(O198,武将升星!S195,E$6)+武将升星!X195)</f>
        <v>57.289998065709824</v>
      </c>
      <c r="AE198" s="29">
        <f t="shared" si="176"/>
        <v>0</v>
      </c>
      <c r="AF198" s="29">
        <f t="shared" si="177"/>
        <v>0</v>
      </c>
      <c r="AG198" s="29">
        <f t="shared" si="178"/>
        <v>19.447906389098449</v>
      </c>
      <c r="AH198" s="29">
        <f t="shared" si="179"/>
        <v>420.81672230457099</v>
      </c>
      <c r="AI198" s="45">
        <f t="shared" si="180"/>
        <v>57.289998065709824</v>
      </c>
      <c r="AJ198" s="29">
        <f t="shared" si="181"/>
        <v>1310732.6233759469</v>
      </c>
      <c r="AK198" s="14" t="e">
        <f>AJ198/求节点('[1]资源-钻石'!$K$4:$K$113,'[1]资源-钻石'!$P$4:$P$113,J198)</f>
        <v>#VALUE!</v>
      </c>
      <c r="AL198" s="16">
        <f t="shared" si="182"/>
        <v>3.8021302747612333E-2</v>
      </c>
      <c r="AP198" s="17">
        <v>15</v>
      </c>
      <c r="AR198" s="16">
        <f t="shared" si="197"/>
        <v>129.30857188576803</v>
      </c>
      <c r="AS198" s="29">
        <f>IF(基础状态预期!C208="","",基础状态预期!C208)</f>
        <v>41.25</v>
      </c>
      <c r="AT198" s="29">
        <f>求节点(节奏总纲!$T$4:$T$163,其他调用!$G$4:$G$163,$AS198)*求节点($CP$5:$CP$36,$CU$5:$CU$36,AS18)</f>
        <v>1485315.7710339066</v>
      </c>
      <c r="AU198" s="37">
        <f t="shared" si="204"/>
        <v>0</v>
      </c>
      <c r="AV198" s="37">
        <f t="shared" si="184"/>
        <v>1</v>
      </c>
      <c r="AW198" s="38">
        <f t="shared" si="185"/>
        <v>0.4933333333333334</v>
      </c>
      <c r="AX198" s="38">
        <f t="shared" si="186"/>
        <v>0.26666666666666666</v>
      </c>
      <c r="AY198" s="38">
        <f t="shared" si="187"/>
        <v>0.04</v>
      </c>
      <c r="AZ198" s="38">
        <f t="shared" si="188"/>
        <v>1.6E-2</v>
      </c>
      <c r="BA198" s="29">
        <f t="shared" si="203"/>
        <v>245363.01515324484</v>
      </c>
      <c r="BB198" s="29">
        <f t="shared" si="198"/>
        <v>504.35730892611446</v>
      </c>
      <c r="BC198" s="29">
        <f t="shared" si="189"/>
        <v>272.62557239249429</v>
      </c>
      <c r="BD198" s="29">
        <f t="shared" si="190"/>
        <v>40.893835858874141</v>
      </c>
      <c r="BE198" s="29">
        <f t="shared" si="191"/>
        <v>16.357534343549656</v>
      </c>
      <c r="BF198" s="29">
        <f t="shared" si="199"/>
        <v>342.37500000000006</v>
      </c>
      <c r="BG198" s="29">
        <f t="shared" si="192"/>
        <v>61.875</v>
      </c>
      <c r="BH198" s="29">
        <f t="shared" si="192"/>
        <v>8.25</v>
      </c>
      <c r="BI198" s="29">
        <f t="shared" si="192"/>
        <v>0</v>
      </c>
      <c r="BJ198" s="29">
        <f>SUM(BB$187:BB198)+BF198</f>
        <v>3825.875572436209</v>
      </c>
      <c r="BK198" s="29">
        <f>SUM(BC$187:BC198)+BG198</f>
        <v>1712.2258567043409</v>
      </c>
      <c r="BL198" s="29">
        <f>SUM(BD$187:BD198)+BH198</f>
        <v>347.08930767935567</v>
      </c>
      <c r="BM198" s="29">
        <f>SUM(BE$187:BE198)+BI198</f>
        <v>57.289998065709824</v>
      </c>
      <c r="BN198" s="29">
        <f>SUM(BT$187:BT198)</f>
        <v>32.156613097347723</v>
      </c>
      <c r="BO198" s="17">
        <f t="shared" si="193"/>
        <v>88.041654584687407</v>
      </c>
      <c r="BP198" s="17">
        <f t="shared" si="194"/>
        <v>0.8247992279834967</v>
      </c>
      <c r="BQ198" s="17">
        <f t="shared" si="195"/>
        <v>1</v>
      </c>
      <c r="BR198" s="17">
        <f t="shared" si="200"/>
        <v>0</v>
      </c>
      <c r="BS198" s="17">
        <f t="shared" si="196"/>
        <v>80</v>
      </c>
      <c r="BT198" s="17">
        <f t="shared" si="201"/>
        <v>0</v>
      </c>
      <c r="BV198" s="17">
        <f t="shared" si="202"/>
        <v>223.73000976111732</v>
      </c>
    </row>
    <row r="199" spans="8:74" x14ac:dyDescent="0.15">
      <c r="H199" s="16">
        <v>16</v>
      </c>
      <c r="I199" s="29">
        <f>IF(基础状态预期!C209="","",基础状态预期!C209)</f>
        <v>49.500000000000007</v>
      </c>
      <c r="J199" s="29">
        <f>IF(基础状态预期!D209="","",基础状态预期!D209)</f>
        <v>74.370993278111257</v>
      </c>
      <c r="K199" s="29" t="str">
        <f>IF(基础状态预期!F209="","",基础状态预期!F209)</f>
        <v/>
      </c>
      <c r="L199" s="29" t="str">
        <f>IF(基础状态预期!G209="","",基础状态预期!G209)</f>
        <v/>
      </c>
      <c r="M199" s="29" t="str">
        <f>IF(基础状态预期!H209="","",基础状态预期!H209)</f>
        <v/>
      </c>
      <c r="N199" s="29">
        <f>IF(基础状态预期!I209="","",基础状态预期!I209)</f>
        <v>0.5</v>
      </c>
      <c r="O199" s="29">
        <f>IF(基础状态预期!J209="","",基础状态预期!J209)</f>
        <v>5.5</v>
      </c>
      <c r="P199" s="29">
        <f>武将进阶!O196</f>
        <v>0</v>
      </c>
      <c r="Q199" s="29">
        <f>武将进阶!P196</f>
        <v>0</v>
      </c>
      <c r="R199" s="29">
        <f>武将进阶!Q196</f>
        <v>10.349038386746701</v>
      </c>
      <c r="S199" s="29">
        <f>武将进阶!R196</f>
        <v>146.00913338132057</v>
      </c>
      <c r="T199" s="29">
        <f>武将进阶!S196</f>
        <v>0</v>
      </c>
      <c r="U199" s="29">
        <f>武将觉醒!T197</f>
        <v>0</v>
      </c>
      <c r="V199" s="29">
        <f>武将觉醒!U197</f>
        <v>0</v>
      </c>
      <c r="W199" s="29">
        <f>武将觉醒!V197</f>
        <v>0</v>
      </c>
      <c r="X199" s="29">
        <f>武将觉醒!W197</f>
        <v>17</v>
      </c>
      <c r="Y199" s="29">
        <f>武将觉醒!X197</f>
        <v>0</v>
      </c>
      <c r="Z199" s="29"/>
      <c r="AA199" s="29">
        <f>IF(L199="",0,同名需求(L199,武将升星!P196,B$6)+武将升星!U196)</f>
        <v>0</v>
      </c>
      <c r="AB199" s="29">
        <f>IF(M199="",0,同名需求(M199,武将升星!Q196,C$6)+武将升星!V196)</f>
        <v>0</v>
      </c>
      <c r="AC199" s="59">
        <f>IF(N199="",0,同名需求(N199,武将升星!R196,D$6*0.9)+武将升星!W196)</f>
        <v>431.25860065494919</v>
      </c>
      <c r="AD199" s="29">
        <f>IF(O199="",0,同名需求(O199,武将升星!S196,E$6)+武将升星!X196)</f>
        <v>78.87301889630821</v>
      </c>
      <c r="AE199" s="29">
        <f t="shared" si="176"/>
        <v>0</v>
      </c>
      <c r="AF199" s="29">
        <f t="shared" si="177"/>
        <v>0</v>
      </c>
      <c r="AG199" s="29">
        <f t="shared" si="178"/>
        <v>10.349038386746701</v>
      </c>
      <c r="AH199" s="29">
        <f t="shared" si="179"/>
        <v>431.25860065494919</v>
      </c>
      <c r="AI199" s="45">
        <f t="shared" si="180"/>
        <v>78.87301889630821</v>
      </c>
      <c r="AJ199" s="29">
        <f t="shared" si="181"/>
        <v>1449103.9907774962</v>
      </c>
      <c r="AK199" s="14" t="e">
        <f>AJ199/求节点('[1]资源-钻石'!$K$4:$K$113,'[1]资源-钻石'!$P$4:$P$113,J199)</f>
        <v>#VALUE!</v>
      </c>
      <c r="AL199" s="16">
        <f t="shared" si="182"/>
        <v>3.9419503690319976E-2</v>
      </c>
      <c r="AP199" s="17">
        <v>16</v>
      </c>
      <c r="AR199" s="16">
        <f t="shared" si="197"/>
        <v>122.28144339319647</v>
      </c>
      <c r="AS199" s="29">
        <f>IF(基础状态预期!C209="","",基础状态预期!C209)</f>
        <v>49.500000000000007</v>
      </c>
      <c r="AT199" s="29">
        <f>求节点(节奏总纲!$T$4:$T$163,其他调用!$G$4:$G$163,$AS199)*求节点($CP$5:$CP$36,$CU$5:$CU$36,AS19)</f>
        <v>1717344.8098724971</v>
      </c>
      <c r="AU199" s="37">
        <f t="shared" si="204"/>
        <v>0</v>
      </c>
      <c r="AV199" s="37">
        <f t="shared" si="184"/>
        <v>1</v>
      </c>
      <c r="AW199" s="38">
        <f t="shared" si="185"/>
        <v>0.4933333333333334</v>
      </c>
      <c r="AX199" s="38">
        <f t="shared" si="186"/>
        <v>0.26666666666666666</v>
      </c>
      <c r="AY199" s="38">
        <f t="shared" si="187"/>
        <v>0.04</v>
      </c>
      <c r="AZ199" s="38">
        <f t="shared" si="188"/>
        <v>1.6E-2</v>
      </c>
      <c r="BA199" s="29">
        <f t="shared" si="203"/>
        <v>232029.0388385905</v>
      </c>
      <c r="BB199" s="29">
        <f t="shared" si="198"/>
        <v>476.94857983488055</v>
      </c>
      <c r="BC199" s="29">
        <f t="shared" si="189"/>
        <v>257.81004315398945</v>
      </c>
      <c r="BD199" s="29">
        <f t="shared" si="190"/>
        <v>38.671506473098418</v>
      </c>
      <c r="BE199" s="29">
        <f t="shared" si="191"/>
        <v>15.468602589239367</v>
      </c>
      <c r="BF199" s="29">
        <f t="shared" si="199"/>
        <v>410.85000000000008</v>
      </c>
      <c r="BG199" s="29">
        <f t="shared" si="192"/>
        <v>74.250000000000014</v>
      </c>
      <c r="BH199" s="29">
        <f t="shared" si="192"/>
        <v>9.9000000000000021</v>
      </c>
      <c r="BI199" s="29">
        <f t="shared" si="192"/>
        <v>0</v>
      </c>
      <c r="BJ199" s="29">
        <f>SUM(BB$187:BB199)+BF199</f>
        <v>4371.29915227109</v>
      </c>
      <c r="BK199" s="29">
        <f>SUM(BC$187:BC199)+BG199</f>
        <v>1982.4108998583304</v>
      </c>
      <c r="BL199" s="29">
        <f>SUM(BD$187:BD199)+BH199</f>
        <v>387.41081415245407</v>
      </c>
      <c r="BM199" s="29">
        <f>SUM(BE$187:BE199)+BI199</f>
        <v>72.758600654949191</v>
      </c>
      <c r="BN199" s="29">
        <f>SUM(BT$187:BT199)</f>
        <v>32.156613097347723</v>
      </c>
      <c r="BO199" s="17">
        <f t="shared" si="193"/>
        <v>191.55508229605826</v>
      </c>
      <c r="BP199" s="17">
        <f t="shared" si="194"/>
        <v>0.89832600106779592</v>
      </c>
      <c r="BQ199" s="17">
        <f t="shared" si="195"/>
        <v>0.92247769481985409</v>
      </c>
      <c r="BR199" s="17">
        <f t="shared" si="200"/>
        <v>0</v>
      </c>
      <c r="BS199" s="17">
        <f t="shared" si="196"/>
        <v>80</v>
      </c>
      <c r="BT199" s="17">
        <f t="shared" si="201"/>
        <v>0</v>
      </c>
      <c r="BV199" s="17">
        <f t="shared" si="202"/>
        <v>241.4016807711335</v>
      </c>
    </row>
    <row r="200" spans="8:74" x14ac:dyDescent="0.15">
      <c r="H200" s="17">
        <v>17</v>
      </c>
      <c r="I200" s="29">
        <f>IF(基础状态预期!C210="","",基础状态预期!C210)</f>
        <v>60.500000000000007</v>
      </c>
      <c r="J200" s="29">
        <f>IF(基础状态预期!D210="","",基础状态预期!D210)</f>
        <v>77.234275947206214</v>
      </c>
      <c r="K200" s="29" t="str">
        <f>IF(基础状态预期!F210="","",基础状态预期!F210)</f>
        <v/>
      </c>
      <c r="L200" s="29" t="str">
        <f>IF(基础状态预期!G210="","",基础状态预期!G210)</f>
        <v/>
      </c>
      <c r="M200" s="29" t="str">
        <f>IF(基础状态预期!H210="","",基础状态预期!H210)</f>
        <v/>
      </c>
      <c r="N200" s="29" t="str">
        <f>IF(基础状态预期!I210="","",基础状态预期!I210)</f>
        <v/>
      </c>
      <c r="O200" s="29">
        <f>IF(基础状态预期!J210="","",基础状态预期!J210)</f>
        <v>6</v>
      </c>
      <c r="P200" s="29">
        <f>武将进阶!O197</f>
        <v>0</v>
      </c>
      <c r="Q200" s="29">
        <f>武将进阶!P197</f>
        <v>0</v>
      </c>
      <c r="R200" s="29">
        <f>武将进阶!Q197</f>
        <v>0</v>
      </c>
      <c r="S200" s="29">
        <f>武将进阶!R197</f>
        <v>178.08678681988471</v>
      </c>
      <c r="T200" s="29">
        <f>武将进阶!S197</f>
        <v>0</v>
      </c>
      <c r="U200" s="29">
        <f>武将觉醒!T198</f>
        <v>0</v>
      </c>
      <c r="V200" s="29">
        <f>武将觉醒!U198</f>
        <v>0</v>
      </c>
      <c r="W200" s="29">
        <f>武将觉醒!V198</f>
        <v>0</v>
      </c>
      <c r="X200" s="29">
        <f>武将觉醒!W198</f>
        <v>0</v>
      </c>
      <c r="Y200" s="29">
        <f>武将觉醒!X198</f>
        <v>0</v>
      </c>
      <c r="Z200" s="29"/>
      <c r="AA200" s="29">
        <f>IF(L200="",0,同名需求(L200,武将升星!P197,B$6)+武将升星!U197)</f>
        <v>0</v>
      </c>
      <c r="AB200" s="29">
        <f>IF(M200="",0,同名需求(M200,武将升星!Q197,C$6)+武将升星!V197)</f>
        <v>0</v>
      </c>
      <c r="AC200" s="59">
        <f>IF(N200="",0,同名需求(N200,武将升星!R197,D$6*0.9)+武将升星!W197)</f>
        <v>0</v>
      </c>
      <c r="AD200" s="29">
        <f>IF(O200="",0,同名需求(O200,武将升星!S197,E$6)+武将升星!X197)</f>
        <v>93.417971356371623</v>
      </c>
      <c r="AE200" s="29">
        <f t="shared" si="176"/>
        <v>0</v>
      </c>
      <c r="AF200" s="29">
        <f t="shared" si="177"/>
        <v>0</v>
      </c>
      <c r="AG200" s="29">
        <f t="shared" si="178"/>
        <v>0</v>
      </c>
      <c r="AH200" s="29">
        <f t="shared" si="179"/>
        <v>178.08678681988471</v>
      </c>
      <c r="AI200" s="45">
        <f t="shared" si="180"/>
        <v>93.417971356371623</v>
      </c>
      <c r="AJ200" s="29">
        <f t="shared" si="181"/>
        <v>1050952.1777591808</v>
      </c>
      <c r="AK200" s="14" t="e">
        <f>AJ200/求节点('[1]资源-钻石'!$K$4:$K$113,'[1]资源-钻石'!$P$4:$P$113,J200)</f>
        <v>#VALUE!</v>
      </c>
      <c r="AL200" s="16" t="e">
        <f t="shared" si="182"/>
        <v>#DIV/0!</v>
      </c>
      <c r="AP200" s="17">
        <v>17</v>
      </c>
      <c r="AR200" s="16">
        <f t="shared" si="197"/>
        <v>122.4863875578405</v>
      </c>
      <c r="AS200" s="29">
        <f>IF(基础状态预期!C210="","",基础状态预期!C210)</f>
        <v>60.500000000000007</v>
      </c>
      <c r="AT200" s="29">
        <f>求节点(节奏总纲!$T$4:$T$163,其他调用!$G$4:$G$163,$AS200)*求节点($CP$5:$CP$36,$CU$5:$CU$36,AS20)</f>
        <v>2027235.3703938336</v>
      </c>
      <c r="AU200" s="37">
        <f t="shared" si="204"/>
        <v>0</v>
      </c>
      <c r="AV200" s="37">
        <f t="shared" si="184"/>
        <v>1</v>
      </c>
      <c r="AW200" s="38">
        <f t="shared" si="185"/>
        <v>0.4933333333333334</v>
      </c>
      <c r="AX200" s="38">
        <f t="shared" si="186"/>
        <v>0.26666666666666666</v>
      </c>
      <c r="AY200" s="38">
        <f t="shared" si="187"/>
        <v>0.04</v>
      </c>
      <c r="AZ200" s="38">
        <f t="shared" si="188"/>
        <v>1.6E-2</v>
      </c>
      <c r="BA200" s="29">
        <f t="shared" si="203"/>
        <v>309890.56052133651</v>
      </c>
      <c r="BB200" s="29">
        <f t="shared" si="198"/>
        <v>636.99726329385851</v>
      </c>
      <c r="BC200" s="29">
        <f t="shared" si="189"/>
        <v>344.32284502370726</v>
      </c>
      <c r="BD200" s="29">
        <f t="shared" si="190"/>
        <v>51.648426753556087</v>
      </c>
      <c r="BE200" s="29">
        <f t="shared" si="191"/>
        <v>20.659370701422436</v>
      </c>
      <c r="BF200" s="29">
        <f t="shared" si="199"/>
        <v>502.15000000000009</v>
      </c>
      <c r="BG200" s="29">
        <f t="shared" si="192"/>
        <v>90.750000000000014</v>
      </c>
      <c r="BH200" s="29">
        <f t="shared" si="192"/>
        <v>12.100000000000001</v>
      </c>
      <c r="BI200" s="29">
        <f t="shared" si="192"/>
        <v>0</v>
      </c>
      <c r="BJ200" s="29">
        <f>SUM(BB$187:BB200)+BF200</f>
        <v>5099.596415564949</v>
      </c>
      <c r="BK200" s="29">
        <f>SUM(BC$187:BC200)+BG200</f>
        <v>2343.2337448820376</v>
      </c>
      <c r="BL200" s="29">
        <f>SUM(BD$187:BD200)+BH200</f>
        <v>441.25924090601018</v>
      </c>
      <c r="BM200" s="29">
        <f>SUM(BE$187:BE200)+BI200</f>
        <v>93.417971356371623</v>
      </c>
      <c r="BN200" s="29">
        <f>SUM(BT$187:BT200)</f>
        <v>32.156613097347723</v>
      </c>
      <c r="BO200" s="17" t="e">
        <f t="shared" si="193"/>
        <v>#DIV/0!</v>
      </c>
      <c r="BP200" s="17">
        <f t="shared" si="194"/>
        <v>2.4777764189338516</v>
      </c>
      <c r="BQ200" s="17">
        <f t="shared" si="195"/>
        <v>1</v>
      </c>
      <c r="BR200" s="17">
        <f t="shared" si="200"/>
        <v>0</v>
      </c>
      <c r="BS200" s="17">
        <f t="shared" si="196"/>
        <v>80</v>
      </c>
      <c r="BT200" s="17">
        <f t="shared" si="201"/>
        <v>0</v>
      </c>
      <c r="BV200" s="17">
        <f t="shared" si="202"/>
        <v>263.17245408612547</v>
      </c>
    </row>
    <row r="201" spans="8:74" x14ac:dyDescent="0.15">
      <c r="H201" s="16">
        <v>18</v>
      </c>
      <c r="I201" s="29">
        <f>IF(基础状态预期!C211="","",基础状态预期!C211)</f>
        <v>71.5</v>
      </c>
      <c r="J201" s="29">
        <f>IF(基础状态预期!D211="","",基础状态预期!D211)</f>
        <v>79.725666247801229</v>
      </c>
      <c r="K201" s="29" t="str">
        <f>IF(基础状态预期!F211="","",基础状态预期!F211)</f>
        <v/>
      </c>
      <c r="L201" s="29" t="str">
        <f>IF(基础状态预期!G211="","",基础状态预期!G211)</f>
        <v/>
      </c>
      <c r="M201" s="29" t="str">
        <f>IF(基础状态预期!H211="","",基础状态预期!H211)</f>
        <v/>
      </c>
      <c r="N201" s="29" t="str">
        <f>IF(基础状态预期!I211="","",基础状态预期!I211)</f>
        <v/>
      </c>
      <c r="O201" s="29">
        <f>IF(基础状态预期!J211="","",基础状态预期!J211)</f>
        <v>6</v>
      </c>
      <c r="P201" s="29">
        <f>武将进阶!O198</f>
        <v>0</v>
      </c>
      <c r="Q201" s="29">
        <f>武将进阶!P198</f>
        <v>0</v>
      </c>
      <c r="R201" s="29">
        <f>武将进阶!Q198</f>
        <v>0</v>
      </c>
      <c r="S201" s="29">
        <f>武将进阶!R198</f>
        <v>196.02479698416886</v>
      </c>
      <c r="T201" s="29">
        <f>武将进阶!S198</f>
        <v>0</v>
      </c>
      <c r="U201" s="29">
        <f>武将觉醒!T199</f>
        <v>0</v>
      </c>
      <c r="V201" s="29">
        <f>武将觉醒!U199</f>
        <v>0</v>
      </c>
      <c r="W201" s="29">
        <f>武将觉醒!V199</f>
        <v>0</v>
      </c>
      <c r="X201" s="29">
        <f>武将觉醒!W199</f>
        <v>0</v>
      </c>
      <c r="Y201" s="29">
        <f>武将觉醒!X199</f>
        <v>0</v>
      </c>
      <c r="Z201" s="29"/>
      <c r="AA201" s="29">
        <f>IF(L201="",0,同名需求(L201,武将升星!P198,B$6)+武将升星!U198)</f>
        <v>0</v>
      </c>
      <c r="AB201" s="29">
        <f>IF(M201="",0,同名需求(M201,武将升星!Q198,C$6)+武将升星!V198)</f>
        <v>0</v>
      </c>
      <c r="AC201" s="59">
        <f>IF(N201="",0,同名需求(N201,武将升星!R198,D$6*0.9)+武将升星!W198)</f>
        <v>0</v>
      </c>
      <c r="AD201" s="29">
        <f>IF(O201="",0,同名需求(O201,武将升星!S198,E$6)+武将升星!X198)</f>
        <v>108</v>
      </c>
      <c r="AE201" s="29">
        <f t="shared" si="176"/>
        <v>0</v>
      </c>
      <c r="AF201" s="29">
        <f t="shared" si="177"/>
        <v>0</v>
      </c>
      <c r="AG201" s="29">
        <f t="shared" si="178"/>
        <v>0</v>
      </c>
      <c r="AH201" s="29">
        <f t="shared" si="179"/>
        <v>196.02479698416886</v>
      </c>
      <c r="AI201" s="45">
        <f t="shared" si="180"/>
        <v>108</v>
      </c>
      <c r="AJ201" s="29">
        <f t="shared" si="181"/>
        <v>1215000</v>
      </c>
      <c r="AK201" s="14" t="e">
        <f>AJ201/求节点('[1]资源-钻石'!$K$4:$K$113,'[1]资源-钻石'!$P$4:$P$113,J201)</f>
        <v>#VALUE!</v>
      </c>
      <c r="AL201" s="16" t="e">
        <f t="shared" si="182"/>
        <v>#DIV/0!</v>
      </c>
      <c r="AP201" s="17">
        <v>18</v>
      </c>
      <c r="AR201" s="16">
        <f t="shared" si="197"/>
        <v>115.29390060833474</v>
      </c>
      <c r="AS201" s="29">
        <f>IF(基础状态预期!C211="","",基础状态预期!C211)</f>
        <v>71.5</v>
      </c>
      <c r="AT201" s="29">
        <f>求节点(节奏总纲!$T$4:$T$163,其他调用!$G$4:$G$163,$AS201)*求节点($CP$5:$CP$36,$CU$5:$CU$36,AS21)</f>
        <v>2318928.9389329203</v>
      </c>
      <c r="AU201" s="37">
        <f t="shared" si="204"/>
        <v>0</v>
      </c>
      <c r="AV201" s="37">
        <f t="shared" si="184"/>
        <v>1</v>
      </c>
      <c r="AW201" s="38">
        <f t="shared" si="185"/>
        <v>0.4933333333333334</v>
      </c>
      <c r="AX201" s="38">
        <f t="shared" si="186"/>
        <v>0.26666666666666666</v>
      </c>
      <c r="AY201" s="38">
        <f t="shared" si="187"/>
        <v>0.04</v>
      </c>
      <c r="AZ201" s="38">
        <f t="shared" si="188"/>
        <v>1.6E-2</v>
      </c>
      <c r="BA201" s="29">
        <f t="shared" si="203"/>
        <v>291693.56853908673</v>
      </c>
      <c r="BB201" s="29">
        <f t="shared" si="198"/>
        <v>599.59233533034501</v>
      </c>
      <c r="BC201" s="29">
        <f t="shared" si="189"/>
        <v>324.1039650434297</v>
      </c>
      <c r="BD201" s="29">
        <f t="shared" si="190"/>
        <v>48.615594756514454</v>
      </c>
      <c r="BE201" s="29">
        <f t="shared" si="191"/>
        <v>19.446237902605784</v>
      </c>
      <c r="BF201" s="29">
        <f t="shared" si="199"/>
        <v>593.45000000000005</v>
      </c>
      <c r="BG201" s="29">
        <f t="shared" si="192"/>
        <v>107.25</v>
      </c>
      <c r="BH201" s="29">
        <f t="shared" si="192"/>
        <v>14.3</v>
      </c>
      <c r="BI201" s="29">
        <f t="shared" si="192"/>
        <v>0</v>
      </c>
      <c r="BJ201" s="29">
        <f>SUM(BB$187:BB201)+BF201</f>
        <v>5790.4887508952934</v>
      </c>
      <c r="BK201" s="29">
        <f>SUM(BC$187:BC201)+BG201</f>
        <v>2683.8377099254672</v>
      </c>
      <c r="BL201" s="29">
        <f>SUM(BD$187:BD201)+BH201</f>
        <v>492.07483566252461</v>
      </c>
      <c r="BM201" s="29">
        <f>SUM(BE$187:BE201)+BI201</f>
        <v>112.86420925897741</v>
      </c>
      <c r="BN201" s="29">
        <f>SUM(BT$187:BT201)</f>
        <v>32.156613097347723</v>
      </c>
      <c r="BO201" s="17" t="e">
        <f t="shared" si="193"/>
        <v>#DIV/0!</v>
      </c>
      <c r="BP201" s="17">
        <f t="shared" si="194"/>
        <v>2.5102683090765554</v>
      </c>
      <c r="BQ201" s="17">
        <f t="shared" si="195"/>
        <v>1.0450389746201612</v>
      </c>
      <c r="BR201" s="17">
        <f t="shared" si="200"/>
        <v>0</v>
      </c>
      <c r="BS201" s="17">
        <f t="shared" si="196"/>
        <v>80</v>
      </c>
      <c r="BT201" s="17">
        <f t="shared" si="201"/>
        <v>0</v>
      </c>
      <c r="BV201" s="17">
        <f t="shared" si="202"/>
        <v>296.05003867835575</v>
      </c>
    </row>
    <row r="202" spans="8:74" x14ac:dyDescent="0.15">
      <c r="H202" s="17">
        <v>19</v>
      </c>
      <c r="I202" s="29">
        <f>IF(基础状态预期!C212="","",基础状态预期!C212)</f>
        <v>82.5</v>
      </c>
      <c r="J202" s="29">
        <f>IF(基础状态预期!D212="","",基础状态预期!D212)</f>
        <v>81.863982387630472</v>
      </c>
      <c r="K202" s="29" t="str">
        <f>IF(基础状态预期!F212="","",基础状态预期!F212)</f>
        <v/>
      </c>
      <c r="L202" s="29" t="str">
        <f>IF(基础状态预期!G212="","",基础状态预期!G212)</f>
        <v/>
      </c>
      <c r="M202" s="29" t="str">
        <f>IF(基础状态预期!H212="","",基础状态预期!H212)</f>
        <v/>
      </c>
      <c r="N202" s="29" t="str">
        <f>IF(基础状态预期!I212="","",基础状态预期!I212)</f>
        <v/>
      </c>
      <c r="O202" s="29">
        <f>IF(基础状态预期!J212="","",基础状态预期!J212)</f>
        <v>6</v>
      </c>
      <c r="P202" s="29">
        <f>武将进阶!O199</f>
        <v>0</v>
      </c>
      <c r="Q202" s="29">
        <f>武将进阶!P199</f>
        <v>0</v>
      </c>
      <c r="R202" s="29">
        <f>武将进阶!Q199</f>
        <v>0</v>
      </c>
      <c r="S202" s="29">
        <f>武将进阶!R199</f>
        <v>211.4206731909394</v>
      </c>
      <c r="T202" s="29">
        <f>武将进阶!S199</f>
        <v>0</v>
      </c>
      <c r="U202" s="29">
        <f>武将觉醒!T200</f>
        <v>0</v>
      </c>
      <c r="V202" s="29">
        <f>武将觉醒!U200</f>
        <v>0</v>
      </c>
      <c r="W202" s="29">
        <f>武将觉醒!V200</f>
        <v>0</v>
      </c>
      <c r="X202" s="29">
        <f>武将觉醒!W200</f>
        <v>0</v>
      </c>
      <c r="Y202" s="29">
        <f>武将觉醒!X200</f>
        <v>0</v>
      </c>
      <c r="Z202" s="29"/>
      <c r="AA202" s="29">
        <f>IF(L202="",0,同名需求(L202,武将升星!P199,B$6)+武将升星!U199)</f>
        <v>0</v>
      </c>
      <c r="AB202" s="29">
        <f>IF(M202="",0,同名需求(M202,武将升星!Q199,C$6)+武将升星!V199)</f>
        <v>0</v>
      </c>
      <c r="AC202" s="59">
        <f>IF(N202="",0,同名需求(N202,武将升星!R199,D$6*0.9)+武将升星!W199)</f>
        <v>0</v>
      </c>
      <c r="AD202" s="29">
        <f>IF(O202="",0,同名需求(O202,武将升星!S199,E$6)+武将升星!X199)</f>
        <v>108</v>
      </c>
      <c r="AE202" s="29">
        <f t="shared" si="176"/>
        <v>0</v>
      </c>
      <c r="AF202" s="29">
        <f t="shared" si="177"/>
        <v>0</v>
      </c>
      <c r="AG202" s="29">
        <f t="shared" si="178"/>
        <v>0</v>
      </c>
      <c r="AH202" s="29">
        <f t="shared" si="179"/>
        <v>211.4206731909394</v>
      </c>
      <c r="AI202" s="45">
        <f t="shared" si="180"/>
        <v>108</v>
      </c>
      <c r="AJ202" s="29">
        <f t="shared" si="181"/>
        <v>1215000</v>
      </c>
      <c r="AK202" s="14" t="e">
        <f>AJ202/求节点('[1]资源-钻石'!$K$4:$K$113,'[1]资源-钻石'!$P$4:$P$113,J202)</f>
        <v>#VALUE!</v>
      </c>
      <c r="AL202" s="16" t="e">
        <f t="shared" si="182"/>
        <v>#DIV/0!</v>
      </c>
      <c r="AP202" s="17">
        <v>19</v>
      </c>
      <c r="AR202" s="16">
        <f t="shared" si="197"/>
        <v>116.0971164092532</v>
      </c>
      <c r="AS202" s="29">
        <f>IF(基础状态预期!C212="","",基础状态预期!C212)</f>
        <v>82.5</v>
      </c>
      <c r="AT202" s="29">
        <f>求节点(节奏总纲!$T$4:$T$163,其他调用!$G$4:$G$163,$AS202)*求节点($CP$5:$CP$36,$CU$5:$CU$36,AS22)</f>
        <v>2612654.6434483309</v>
      </c>
      <c r="AU202" s="37">
        <f t="shared" si="204"/>
        <v>0</v>
      </c>
      <c r="AV202" s="37">
        <f t="shared" si="184"/>
        <v>1</v>
      </c>
      <c r="AW202" s="38">
        <f t="shared" si="185"/>
        <v>0.4933333333333334</v>
      </c>
      <c r="AX202" s="38">
        <f t="shared" si="186"/>
        <v>0.26666666666666666</v>
      </c>
      <c r="AY202" s="38">
        <f t="shared" si="187"/>
        <v>0.04</v>
      </c>
      <c r="AZ202" s="38">
        <f t="shared" si="188"/>
        <v>1.6E-2</v>
      </c>
      <c r="BA202" s="29">
        <f t="shared" si="203"/>
        <v>293725.70451541059</v>
      </c>
      <c r="BB202" s="29">
        <f t="shared" si="198"/>
        <v>603.7695037261218</v>
      </c>
      <c r="BC202" s="29">
        <f t="shared" si="189"/>
        <v>326.36189390601174</v>
      </c>
      <c r="BD202" s="29">
        <f t="shared" si="190"/>
        <v>48.954284085901762</v>
      </c>
      <c r="BE202" s="29">
        <f t="shared" si="191"/>
        <v>19.581713634360707</v>
      </c>
      <c r="BF202" s="29">
        <f t="shared" si="199"/>
        <v>684.75000000000011</v>
      </c>
      <c r="BG202" s="29">
        <f t="shared" si="192"/>
        <v>123.75</v>
      </c>
      <c r="BH202" s="29">
        <f t="shared" si="192"/>
        <v>16.5</v>
      </c>
      <c r="BI202" s="29">
        <f t="shared" si="192"/>
        <v>0</v>
      </c>
      <c r="BJ202" s="29">
        <f>SUM(BB$187:BB202)+BF202</f>
        <v>6485.5582546214155</v>
      </c>
      <c r="BK202" s="29">
        <f>SUM(BC$187:BC202)+BG202</f>
        <v>3026.6996038314787</v>
      </c>
      <c r="BL202" s="29">
        <f>SUM(BD$187:BD202)+BH202</f>
        <v>543.22911974842634</v>
      </c>
      <c r="BM202" s="29">
        <f>SUM(BE$187:BE202)+BI202</f>
        <v>132.44592289333812</v>
      </c>
      <c r="BN202" s="29">
        <f>SUM(BT$187:BT202)</f>
        <v>32.156613097347723</v>
      </c>
      <c r="BO202" s="17" t="e">
        <f t="shared" si="193"/>
        <v>#DIV/0!</v>
      </c>
      <c r="BP202" s="17">
        <f t="shared" si="194"/>
        <v>2.5694229024510875</v>
      </c>
      <c r="BQ202" s="17">
        <f t="shared" si="195"/>
        <v>1.2263511379012788</v>
      </c>
      <c r="BR202" s="17">
        <f t="shared" si="200"/>
        <v>0</v>
      </c>
      <c r="BS202" s="17">
        <f t="shared" si="196"/>
        <v>80</v>
      </c>
      <c r="BT202" s="17">
        <f t="shared" si="201"/>
        <v>0</v>
      </c>
      <c r="BV202" s="17">
        <f t="shared" si="202"/>
        <v>331.80844655748695</v>
      </c>
    </row>
    <row r="203" spans="8:74" x14ac:dyDescent="0.15">
      <c r="H203" s="17">
        <v>20</v>
      </c>
      <c r="I203" s="29">
        <f>IF(基础状态预期!C213="","",基础状态预期!C213)</f>
        <v>93.500000000000014</v>
      </c>
      <c r="J203" s="29">
        <f>IF(基础状态预期!D213="","",基础状态预期!D213)</f>
        <v>83.667042947574714</v>
      </c>
      <c r="K203" s="29" t="str">
        <f>IF(基础状态预期!F213="","",基础状态预期!F213)</f>
        <v/>
      </c>
      <c r="L203" s="29" t="str">
        <f>IF(基础状态预期!G213="","",基础状态预期!G213)</f>
        <v/>
      </c>
      <c r="M203" s="29" t="str">
        <f>IF(基础状态预期!H213="","",基础状态预期!H213)</f>
        <v/>
      </c>
      <c r="N203" s="29" t="str">
        <f>IF(基础状态预期!I213="","",基础状态预期!I213)</f>
        <v/>
      </c>
      <c r="O203" s="29">
        <f>IF(基础状态预期!J213="","",基础状态预期!J213)</f>
        <v>6</v>
      </c>
      <c r="P203" s="29">
        <f>武将进阶!O200</f>
        <v>0</v>
      </c>
      <c r="Q203" s="29">
        <f>武将进阶!P200</f>
        <v>0</v>
      </c>
      <c r="R203" s="29">
        <f>武将进阶!Q200</f>
        <v>0</v>
      </c>
      <c r="S203" s="29">
        <f>武将进阶!R200</f>
        <v>224.40270922253791</v>
      </c>
      <c r="T203" s="29">
        <f>武将进阶!S200</f>
        <v>0</v>
      </c>
      <c r="U203" s="29">
        <f>武将觉醒!T201</f>
        <v>0</v>
      </c>
      <c r="V203" s="29">
        <f>武将觉醒!U201</f>
        <v>0</v>
      </c>
      <c r="W203" s="29">
        <f>武将觉醒!V201</f>
        <v>0</v>
      </c>
      <c r="X203" s="29">
        <f>武将觉醒!W201</f>
        <v>0</v>
      </c>
      <c r="Y203" s="29">
        <f>武将觉醒!X201</f>
        <v>0</v>
      </c>
      <c r="Z203" s="29"/>
      <c r="AA203" s="29">
        <f>IF(L203="",0,同名需求(L203,武将升星!P200,B$6)+武将升星!U200)</f>
        <v>0</v>
      </c>
      <c r="AB203" s="29">
        <f>IF(M203="",0,同名需求(M203,武将升星!Q200,C$6)+武将升星!V200)</f>
        <v>0</v>
      </c>
      <c r="AC203" s="59">
        <f>IF(N203="",0,同名需求(N203,武将升星!R200,D$6*0.9)+武将升星!W200)</f>
        <v>0</v>
      </c>
      <c r="AD203" s="29">
        <f>IF(O203="",0,同名需求(O203,武将升星!S200,E$6)+武将升星!X200)</f>
        <v>108</v>
      </c>
      <c r="AE203" s="29">
        <f t="shared" ref="AE203:AE225" si="205">MAX(U203+P203,Z203)</f>
        <v>0</v>
      </c>
      <c r="AF203" s="29">
        <f t="shared" ref="AF203:AF225" si="206">MAX(V203+Q203,AA203)</f>
        <v>0</v>
      </c>
      <c r="AG203" s="29">
        <f t="shared" ref="AG203:AG225" si="207">MAX(W203+R203,AB203)</f>
        <v>0</v>
      </c>
      <c r="AH203" s="29">
        <f t="shared" ref="AH203:AH225" si="208">MAX(X203+S203,AC203)</f>
        <v>224.40270922253791</v>
      </c>
      <c r="AI203" s="45">
        <f t="shared" ref="AI203:AI225" si="209">IFERROR(AD203+Y203,0)</f>
        <v>108</v>
      </c>
      <c r="AJ203" s="29">
        <f t="shared" si="181"/>
        <v>1215000</v>
      </c>
      <c r="AK203" s="14" t="e">
        <f>AJ203/求节点('[1]资源-钻石'!$K$4:$K$113,'[1]资源-钻石'!$P$4:$P$113,J203)</f>
        <v>#VALUE!</v>
      </c>
      <c r="AL203" s="16" t="e">
        <f t="shared" ref="AL203:AL225" si="210">X203/AC203</f>
        <v>#DIV/0!</v>
      </c>
      <c r="AP203" s="17">
        <v>20</v>
      </c>
      <c r="AR203" s="16">
        <f t="shared" si="197"/>
        <v>109.14375886428506</v>
      </c>
      <c r="AS203" s="29">
        <f>IF(基础状态预期!C213="","",基础状态预期!C213)</f>
        <v>93.500000000000014</v>
      </c>
      <c r="AT203" s="29">
        <f>求节点(节奏总纲!$T$4:$T$163,其他调用!$G$4:$G$163,$AS203)*求节点($CP$5:$CP$36,$CU$5:$CU$36,AS23)</f>
        <v>2888788.3533749725</v>
      </c>
      <c r="AU203" s="37">
        <f t="shared" ref="AU203:AU225" si="211">1-AV203</f>
        <v>0</v>
      </c>
      <c r="AV203" s="37">
        <f t="shared" ref="AV203:AV225" si="212">AV158</f>
        <v>1</v>
      </c>
      <c r="AW203" s="38">
        <f t="shared" si="185"/>
        <v>0.4933333333333334</v>
      </c>
      <c r="AX203" s="38">
        <f t="shared" si="186"/>
        <v>0.26666666666666666</v>
      </c>
      <c r="AY203" s="38">
        <f t="shared" si="187"/>
        <v>0.04</v>
      </c>
      <c r="AZ203" s="38">
        <f t="shared" si="188"/>
        <v>1.6E-2</v>
      </c>
      <c r="BA203" s="29">
        <f t="shared" ref="BA203:BA225" si="213">AT203-AT202</f>
        <v>276133.70992664155</v>
      </c>
      <c r="BB203" s="29">
        <f t="shared" si="198"/>
        <v>567.60818151587432</v>
      </c>
      <c r="BC203" s="29">
        <f t="shared" si="189"/>
        <v>306.81523325182394</v>
      </c>
      <c r="BD203" s="29">
        <f t="shared" si="190"/>
        <v>46.022284987773595</v>
      </c>
      <c r="BE203" s="29">
        <f t="shared" si="191"/>
        <v>18.408913995109437</v>
      </c>
      <c r="BF203" s="29">
        <f t="shared" si="199"/>
        <v>776.05000000000018</v>
      </c>
      <c r="BG203" s="29">
        <f t="shared" si="192"/>
        <v>140.25000000000003</v>
      </c>
      <c r="BH203" s="29">
        <f t="shared" si="192"/>
        <v>18.700000000000003</v>
      </c>
      <c r="BI203" s="29">
        <f t="shared" si="192"/>
        <v>0</v>
      </c>
      <c r="BJ203" s="29">
        <f>SUM(BB$187:BB203)+BF203</f>
        <v>7144.4664361372897</v>
      </c>
      <c r="BK203" s="29">
        <f>SUM(BC$187:BC203)+BG203</f>
        <v>3350.0148370833026</v>
      </c>
      <c r="BL203" s="29">
        <f>SUM(BD$187:BD203)+BH203</f>
        <v>591.45140473619995</v>
      </c>
      <c r="BM203" s="29">
        <f>SUM(BE$187:BE203)+BI203</f>
        <v>150.85483688844755</v>
      </c>
      <c r="BN203" s="29">
        <f>SUM(BT$187:BT203)</f>
        <v>32.156613097347723</v>
      </c>
      <c r="BO203" s="17" t="e">
        <f t="shared" ref="BO203:BO225" si="214">BK203/AG225</f>
        <v>#DIV/0!</v>
      </c>
      <c r="BP203" s="17">
        <f t="shared" ref="BP203:BP225" si="215">BL203/AH225</f>
        <v>0.92126387030560741</v>
      </c>
      <c r="BQ203" s="17">
        <f t="shared" ref="BQ203:BQ225" si="216">BM203/AI225</f>
        <v>1.3968040452634032</v>
      </c>
      <c r="BR203" s="17">
        <f t="shared" ref="BR203:BR225" si="217">BA203/$B$2*10*AU203/(AS203-AS202)</f>
        <v>0</v>
      </c>
      <c r="BS203" s="17">
        <f t="shared" si="196"/>
        <v>80</v>
      </c>
      <c r="BT203" s="17">
        <f t="shared" ref="BT203:BT225" si="218">MIN(BR203/BS203,1)*$B$49*(AS203-AS202)</f>
        <v>0</v>
      </c>
      <c r="BV203" s="17">
        <f t="shared" si="202"/>
        <v>367.04869551366204</v>
      </c>
    </row>
    <row r="204" spans="8:74" x14ac:dyDescent="0.15">
      <c r="H204" s="17">
        <v>21</v>
      </c>
      <c r="I204" s="29">
        <f>IF(基础状态预期!C214="","",基础状态预期!C214)</f>
        <v>110.00000000000001</v>
      </c>
      <c r="J204" s="29">
        <f>IF(基础状态预期!D214="","",基础状态预期!D214)</f>
        <v>86.154780808490059</v>
      </c>
      <c r="K204" s="29" t="str">
        <f>IF(基础状态预期!F214="","",基础状态预期!F214)</f>
        <v/>
      </c>
      <c r="L204" s="29" t="str">
        <f>IF(基础状态预期!G214="","",基础状态预期!G214)</f>
        <v/>
      </c>
      <c r="M204" s="29" t="str">
        <f>IF(基础状态预期!H214="","",基础状态预期!H214)</f>
        <v/>
      </c>
      <c r="N204" s="29" t="str">
        <f>IF(基础状态预期!I214="","",基础状态预期!I214)</f>
        <v/>
      </c>
      <c r="O204" s="29">
        <f>IF(基础状态预期!J214="","",基础状态预期!J214)</f>
        <v>6</v>
      </c>
      <c r="P204" s="29">
        <f>武将进阶!O201</f>
        <v>0</v>
      </c>
      <c r="Q204" s="29">
        <f>武将进阶!P201</f>
        <v>0</v>
      </c>
      <c r="R204" s="29">
        <f>武将进阶!Q201</f>
        <v>0</v>
      </c>
      <c r="S204" s="29">
        <f>武将进阶!R201</f>
        <v>242.31442182112846</v>
      </c>
      <c r="T204" s="29">
        <f>武将进阶!S201</f>
        <v>0</v>
      </c>
      <c r="U204" s="29">
        <f>武将觉醒!T202</f>
        <v>0</v>
      </c>
      <c r="V204" s="29">
        <f>武将觉醒!U202</f>
        <v>0</v>
      </c>
      <c r="W204" s="29">
        <f>武将觉醒!V202</f>
        <v>0</v>
      </c>
      <c r="X204" s="29">
        <f>武将觉醒!W202</f>
        <v>0</v>
      </c>
      <c r="Y204" s="29">
        <f>武将觉醒!X202</f>
        <v>0</v>
      </c>
      <c r="Z204" s="29"/>
      <c r="AA204" s="29">
        <f>IF(L204="",0,同名需求(L204,武将升星!P201,B$6)+武将升星!U201)</f>
        <v>0</v>
      </c>
      <c r="AB204" s="29">
        <f>IF(M204="",0,同名需求(M204,武将升星!Q201,C$6)+武将升星!V201)</f>
        <v>0</v>
      </c>
      <c r="AC204" s="59">
        <f>IF(N204="",0,同名需求(N204,武将升星!R201,D$6*0.9)+武将升星!W201)</f>
        <v>0</v>
      </c>
      <c r="AD204" s="29">
        <f>IF(O204="",0,同名需求(O204,武将升星!S201,E$6)+武将升星!X201)</f>
        <v>108</v>
      </c>
      <c r="AE204" s="29">
        <f t="shared" si="205"/>
        <v>0</v>
      </c>
      <c r="AF204" s="29">
        <f t="shared" si="206"/>
        <v>0</v>
      </c>
      <c r="AG204" s="29">
        <f t="shared" si="207"/>
        <v>0</v>
      </c>
      <c r="AH204" s="29">
        <f t="shared" si="208"/>
        <v>242.31442182112846</v>
      </c>
      <c r="AI204" s="45">
        <f t="shared" si="209"/>
        <v>108</v>
      </c>
      <c r="AJ204" s="29">
        <f t="shared" si="181"/>
        <v>1215000</v>
      </c>
      <c r="AK204" s="14" t="e">
        <f>AJ204/求节点('[1]资源-钻石'!$K$4:$K$113,'[1]资源-钻石'!$P$4:$P$113,J204)</f>
        <v>#VALUE!</v>
      </c>
      <c r="AL204" s="16" t="e">
        <f t="shared" si="210"/>
        <v>#DIV/0!</v>
      </c>
      <c r="AP204" s="17">
        <v>21</v>
      </c>
      <c r="AR204" s="16">
        <f t="shared" si="197"/>
        <v>105.67282869740511</v>
      </c>
      <c r="AS204" s="29">
        <f>IF(基础状态预期!C214="","",基础状态预期!C214)</f>
        <v>110.00000000000001</v>
      </c>
      <c r="AT204" s="29">
        <f>求节点(节奏总纲!$T$4:$T$163,其他调用!$G$4:$G$163,$AS204)*求节点($CP$5:$CP$36,$CU$5:$CU$36,AS24)</f>
        <v>3289816.7382816249</v>
      </c>
      <c r="AU204" s="37">
        <f t="shared" si="211"/>
        <v>0</v>
      </c>
      <c r="AV204" s="37">
        <f t="shared" si="212"/>
        <v>1</v>
      </c>
      <c r="AW204" s="38">
        <f t="shared" si="185"/>
        <v>0.4933333333333334</v>
      </c>
      <c r="AX204" s="38">
        <f t="shared" si="186"/>
        <v>0.26666666666666666</v>
      </c>
      <c r="AY204" s="38">
        <f t="shared" si="187"/>
        <v>0.04</v>
      </c>
      <c r="AZ204" s="38">
        <f t="shared" si="188"/>
        <v>1.6E-2</v>
      </c>
      <c r="BA204" s="29">
        <f t="shared" si="213"/>
        <v>401028.38490665238</v>
      </c>
      <c r="BB204" s="29">
        <f t="shared" si="198"/>
        <v>824.33612453034107</v>
      </c>
      <c r="BC204" s="29">
        <f t="shared" si="189"/>
        <v>445.58709434072483</v>
      </c>
      <c r="BD204" s="29">
        <f t="shared" si="190"/>
        <v>66.838064151108725</v>
      </c>
      <c r="BE204" s="29">
        <f t="shared" si="191"/>
        <v>26.735225660443493</v>
      </c>
      <c r="BF204" s="29">
        <f t="shared" si="199"/>
        <v>913.00000000000023</v>
      </c>
      <c r="BG204" s="29">
        <f t="shared" si="199"/>
        <v>165.00000000000003</v>
      </c>
      <c r="BH204" s="29">
        <f t="shared" si="199"/>
        <v>22.000000000000004</v>
      </c>
      <c r="BI204" s="29">
        <f t="shared" si="199"/>
        <v>0</v>
      </c>
      <c r="BJ204" s="29">
        <f>SUM(BB$187:BB204)+BF204</f>
        <v>8105.7525606676309</v>
      </c>
      <c r="BK204" s="29">
        <f>SUM(BC$187:BC204)+BG204</f>
        <v>3820.3519314240275</v>
      </c>
      <c r="BL204" s="29">
        <f>SUM(BD$187:BD204)+BH204</f>
        <v>661.58946888730861</v>
      </c>
      <c r="BM204" s="29">
        <f>SUM(BE$187:BE204)+BI204</f>
        <v>177.59006254889104</v>
      </c>
      <c r="BN204" s="29">
        <f>SUM(BT$187:BT204)</f>
        <v>32.156613097347723</v>
      </c>
      <c r="BO204" s="17" t="e">
        <f t="shared" si="214"/>
        <v>#DIV/0!</v>
      </c>
      <c r="BP204" s="17" t="e">
        <f t="shared" si="215"/>
        <v>#DIV/0!</v>
      </c>
      <c r="BQ204" s="17" t="e">
        <f t="shared" si="216"/>
        <v>#DIV/0!</v>
      </c>
      <c r="BR204" s="17">
        <f t="shared" si="217"/>
        <v>0</v>
      </c>
      <c r="BS204" s="17">
        <f t="shared" si="196"/>
        <v>80</v>
      </c>
      <c r="BT204" s="17">
        <f t="shared" si="218"/>
        <v>0</v>
      </c>
      <c r="BV204" s="17">
        <f t="shared" si="202"/>
        <v>419.27504706618015</v>
      </c>
    </row>
    <row r="205" spans="8:74" x14ac:dyDescent="0.15">
      <c r="H205" s="17">
        <v>22</v>
      </c>
      <c r="I205" s="29">
        <f>IF(基础状态预期!C215="","",基础状态预期!C215)</f>
        <v>143</v>
      </c>
      <c r="J205" s="29">
        <f>IF(基础状态预期!D215="","",基础状态预期!D215)</f>
        <v>90.480184629206022</v>
      </c>
      <c r="K205" s="29" t="str">
        <f>IF(基础状态预期!F215="","",基础状态预期!F215)</f>
        <v/>
      </c>
      <c r="L205" s="29" t="str">
        <f>IF(基础状态预期!G215="","",基础状态预期!G215)</f>
        <v/>
      </c>
      <c r="M205" s="29" t="str">
        <f>IF(基础状态预期!H215="","",基础状态预期!H215)</f>
        <v/>
      </c>
      <c r="N205" s="29" t="str">
        <f>IF(基础状态预期!I215="","",基础状态预期!I215)</f>
        <v/>
      </c>
      <c r="O205" s="29">
        <f>IF(基础状态预期!J215="","",基础状态预期!J215)</f>
        <v>6</v>
      </c>
      <c r="P205" s="29">
        <f>武将进阶!O202</f>
        <v>0</v>
      </c>
      <c r="Q205" s="29">
        <f>武将进阶!P202</f>
        <v>0</v>
      </c>
      <c r="R205" s="29">
        <f>武将进阶!Q202</f>
        <v>0</v>
      </c>
      <c r="S205" s="29">
        <f>武将进阶!R202</f>
        <v>273.4573293302833</v>
      </c>
      <c r="T205" s="29">
        <f>武将进阶!S202</f>
        <v>0</v>
      </c>
      <c r="U205" s="29">
        <f>武将觉醒!T203</f>
        <v>0</v>
      </c>
      <c r="V205" s="29">
        <f>武将觉醒!U203</f>
        <v>0</v>
      </c>
      <c r="W205" s="29">
        <f>武将觉醒!V203</f>
        <v>0</v>
      </c>
      <c r="X205" s="29">
        <f>武将觉醒!W203</f>
        <v>0</v>
      </c>
      <c r="Y205" s="29">
        <f>武将觉醒!X203</f>
        <v>0</v>
      </c>
      <c r="Z205" s="29"/>
      <c r="AA205" s="29">
        <f>IF(L205="",0,同名需求(L205,武将升星!P202,B$6)+武将升星!U202)</f>
        <v>0</v>
      </c>
      <c r="AB205" s="29">
        <f>IF(M205="",0,同名需求(M205,武将升星!Q202,C$6)+武将升星!V202)</f>
        <v>0</v>
      </c>
      <c r="AC205" s="59">
        <f>IF(N205="",0,同名需求(N205,武将升星!R202,D$6*0.9)+武将升星!W202)</f>
        <v>0</v>
      </c>
      <c r="AD205" s="29">
        <f>IF(O205="",0,同名需求(O205,武将升星!S202,E$6)+武将升星!X202)</f>
        <v>108</v>
      </c>
      <c r="AE205" s="29">
        <f t="shared" si="205"/>
        <v>0</v>
      </c>
      <c r="AF205" s="29">
        <f t="shared" si="206"/>
        <v>0</v>
      </c>
      <c r="AG205" s="29">
        <f t="shared" si="207"/>
        <v>0</v>
      </c>
      <c r="AH205" s="29">
        <f t="shared" si="208"/>
        <v>273.4573293302833</v>
      </c>
      <c r="AI205" s="45">
        <f t="shared" si="209"/>
        <v>108</v>
      </c>
      <c r="AJ205" s="29">
        <f t="shared" si="181"/>
        <v>1223297.5903926799</v>
      </c>
      <c r="AK205" s="14" t="e">
        <f>AJ205/求节点('[1]资源-钻石'!$K$4:$K$113,'[1]资源-钻石'!$P$4:$P$113,J205)</f>
        <v>#VALUE!</v>
      </c>
      <c r="AL205" s="16" t="e">
        <f t="shared" si="210"/>
        <v>#DIV/0!</v>
      </c>
      <c r="AP205" s="17">
        <v>22</v>
      </c>
      <c r="AR205" s="16">
        <f t="shared" si="197"/>
        <v>100.4483151810954</v>
      </c>
      <c r="AS205" s="29">
        <f>IF(基础状态预期!C215="","",基础状态预期!C215)</f>
        <v>143</v>
      </c>
      <c r="AT205" s="29">
        <f>求节点(节奏总纲!$T$4:$T$163,其他调用!$G$4:$G$163,$AS205)*求节点($CP$5:$CP$36,$CU$5:$CU$36,AS25)</f>
        <v>4052219.4505061386</v>
      </c>
      <c r="AU205" s="37">
        <f t="shared" si="211"/>
        <v>0</v>
      </c>
      <c r="AV205" s="37">
        <f t="shared" si="212"/>
        <v>1</v>
      </c>
      <c r="AW205" s="38">
        <f t="shared" si="185"/>
        <v>0.4933333333333334</v>
      </c>
      <c r="AX205" s="38">
        <f t="shared" si="186"/>
        <v>0.26666666666666666</v>
      </c>
      <c r="AY205" s="38">
        <f t="shared" si="187"/>
        <v>0.04</v>
      </c>
      <c r="AZ205" s="38">
        <f t="shared" si="188"/>
        <v>1.6E-2</v>
      </c>
      <c r="BA205" s="29">
        <f t="shared" si="213"/>
        <v>762402.71222451376</v>
      </c>
      <c r="BB205" s="29">
        <f t="shared" si="198"/>
        <v>1567.1611306837228</v>
      </c>
      <c r="BC205" s="29">
        <f t="shared" si="189"/>
        <v>847.11412469390416</v>
      </c>
      <c r="BD205" s="29">
        <f t="shared" si="190"/>
        <v>127.06711870408563</v>
      </c>
      <c r="BE205" s="29">
        <f t="shared" si="191"/>
        <v>50.826847481634253</v>
      </c>
      <c r="BF205" s="29">
        <f t="shared" si="199"/>
        <v>1186.9000000000001</v>
      </c>
      <c r="BG205" s="29">
        <f t="shared" si="199"/>
        <v>214.5</v>
      </c>
      <c r="BH205" s="29">
        <f t="shared" si="199"/>
        <v>28.6</v>
      </c>
      <c r="BI205" s="29">
        <f t="shared" si="199"/>
        <v>0</v>
      </c>
      <c r="BJ205" s="29">
        <f>SUM(BB$187:BB205)+BF205</f>
        <v>9946.8136913513536</v>
      </c>
      <c r="BK205" s="29">
        <f>SUM(BC$187:BC205)+BG205</f>
        <v>4716.9660561179317</v>
      </c>
      <c r="BL205" s="29">
        <f>SUM(BD$187:BD205)+BH205</f>
        <v>795.25658759139424</v>
      </c>
      <c r="BM205" s="29">
        <f>SUM(BE$187:BE205)+BI205</f>
        <v>228.41691003052529</v>
      </c>
      <c r="BN205" s="29">
        <f>SUM(BT$187:BT205)</f>
        <v>32.156613097347723</v>
      </c>
      <c r="BO205" s="17" t="e">
        <f t="shared" si="214"/>
        <v>#DIV/0!</v>
      </c>
      <c r="BP205" s="17" t="e">
        <f t="shared" si="215"/>
        <v>#DIV/0!</v>
      </c>
      <c r="BQ205" s="17" t="e">
        <f t="shared" si="216"/>
        <v>#DIV/0!</v>
      </c>
      <c r="BR205" s="17">
        <f t="shared" si="217"/>
        <v>0</v>
      </c>
      <c r="BS205" s="17">
        <f t="shared" si="196"/>
        <v>80</v>
      </c>
      <c r="BT205" s="17">
        <f t="shared" si="218"/>
        <v>0</v>
      </c>
      <c r="BV205" s="17">
        <f t="shared" si="202"/>
        <v>521.79925826111094</v>
      </c>
    </row>
    <row r="206" spans="8:74" x14ac:dyDescent="0.15">
      <c r="H206" s="17">
        <v>23</v>
      </c>
      <c r="I206" s="29">
        <f>IF(基础状态预期!C216="","",基础状态预期!C216)</f>
        <v>176</v>
      </c>
      <c r="J206" s="29">
        <f>IF(基础状态预期!D216="","",基础状态预期!D216)</f>
        <v>93.6774218048877</v>
      </c>
      <c r="K206" s="29" t="str">
        <f>IF(基础状态预期!F216="","",基础状态预期!F216)</f>
        <v/>
      </c>
      <c r="L206" s="29" t="str">
        <f>IF(基础状态预期!G216="","",基础状态预期!G216)</f>
        <v/>
      </c>
      <c r="M206" s="29" t="str">
        <f>IF(基础状态预期!H216="","",基础状态预期!H216)</f>
        <v/>
      </c>
      <c r="N206" s="29" t="str">
        <f>IF(基础状态预期!I216="","",基础状态预期!I216)</f>
        <v/>
      </c>
      <c r="O206" s="29">
        <f>IF(基础状态预期!J216="","",基础状态预期!J216)</f>
        <v>6</v>
      </c>
      <c r="P206" s="29">
        <f>武将进阶!O203</f>
        <v>0</v>
      </c>
      <c r="Q206" s="29">
        <f>武将进阶!P203</f>
        <v>0</v>
      </c>
      <c r="R206" s="29">
        <f>武将进阶!Q203</f>
        <v>0</v>
      </c>
      <c r="S206" s="29">
        <f>武将进阶!R203</f>
        <v>296.4774369951914</v>
      </c>
      <c r="T206" s="29">
        <f>武将进阶!S203</f>
        <v>0</v>
      </c>
      <c r="U206" s="29">
        <f>武将觉醒!T204</f>
        <v>0</v>
      </c>
      <c r="V206" s="29">
        <f>武将觉醒!U204</f>
        <v>0</v>
      </c>
      <c r="W206" s="29">
        <f>武将觉醒!V204</f>
        <v>0</v>
      </c>
      <c r="X206" s="29">
        <f>武将觉醒!W204</f>
        <v>0</v>
      </c>
      <c r="Y206" s="29">
        <f>武将觉醒!X204</f>
        <v>0</v>
      </c>
      <c r="Z206" s="29"/>
      <c r="AA206" s="29">
        <f>IF(L206="",0,同名需求(L206,武将升星!P203,B$6)+武将升星!U203)</f>
        <v>0</v>
      </c>
      <c r="AB206" s="29">
        <f>IF(M206="",0,同名需求(M206,武将升星!Q203,C$6)+武将升星!V203)</f>
        <v>0</v>
      </c>
      <c r="AC206" s="59">
        <f>IF(N206="",0,同名需求(N206,武将升星!R203,D$6*0.9)+武将升星!W203)</f>
        <v>0</v>
      </c>
      <c r="AD206" s="29">
        <f>IF(O206="",0,同名需求(O206,武将升星!S203,E$6)+武将升星!X203)</f>
        <v>108</v>
      </c>
      <c r="AE206" s="29">
        <f t="shared" si="205"/>
        <v>0</v>
      </c>
      <c r="AF206" s="29">
        <f t="shared" si="206"/>
        <v>0</v>
      </c>
      <c r="AG206" s="29">
        <f t="shared" si="207"/>
        <v>0</v>
      </c>
      <c r="AH206" s="29">
        <f t="shared" si="208"/>
        <v>296.4774369951914</v>
      </c>
      <c r="AI206" s="45">
        <f t="shared" si="209"/>
        <v>108</v>
      </c>
      <c r="AJ206" s="29">
        <f t="shared" si="181"/>
        <v>1278545.8487884593</v>
      </c>
      <c r="AK206" s="14" t="e">
        <f>AJ206/求节点('[1]资源-钻石'!$K$4:$K$113,'[1]资源-钻石'!$P$4:$P$113,J206)</f>
        <v>#VALUE!</v>
      </c>
      <c r="AL206" s="16" t="e">
        <f t="shared" si="210"/>
        <v>#DIV/0!</v>
      </c>
      <c r="AP206" s="17">
        <v>23</v>
      </c>
      <c r="AR206" s="16">
        <f t="shared" si="197"/>
        <v>98.444668744631699</v>
      </c>
      <c r="AS206" s="29">
        <f>IF(基础状态预期!C216="","",基础状态预期!C216)</f>
        <v>176</v>
      </c>
      <c r="AT206" s="29">
        <f>求节点(节奏总纲!$T$4:$T$163,其他调用!$G$4:$G$163,$AS206)*求节点($CP$5:$CP$36,$CU$5:$CU$36,AS26)</f>
        <v>4799414.4862778932</v>
      </c>
      <c r="AU206" s="37">
        <f t="shared" si="211"/>
        <v>0</v>
      </c>
      <c r="AV206" s="37">
        <f t="shared" si="212"/>
        <v>1</v>
      </c>
      <c r="AW206" s="38">
        <f t="shared" si="185"/>
        <v>0.4933333333333334</v>
      </c>
      <c r="AX206" s="38">
        <f t="shared" si="186"/>
        <v>0.26666666666666666</v>
      </c>
      <c r="AY206" s="38">
        <f t="shared" si="187"/>
        <v>0.04</v>
      </c>
      <c r="AZ206" s="38">
        <f t="shared" si="188"/>
        <v>1.6E-2</v>
      </c>
      <c r="BA206" s="29">
        <f t="shared" si="213"/>
        <v>747195.03577175457</v>
      </c>
      <c r="BB206" s="29">
        <f t="shared" si="198"/>
        <v>1535.9009068641624</v>
      </c>
      <c r="BC206" s="29">
        <f t="shared" si="189"/>
        <v>830.21670641306059</v>
      </c>
      <c r="BD206" s="29">
        <f t="shared" si="190"/>
        <v>124.53250596195909</v>
      </c>
      <c r="BE206" s="29">
        <f t="shared" si="191"/>
        <v>49.813002384783637</v>
      </c>
      <c r="BF206" s="29">
        <f t="shared" si="199"/>
        <v>1460.8000000000002</v>
      </c>
      <c r="BG206" s="29">
        <f t="shared" si="199"/>
        <v>264</v>
      </c>
      <c r="BH206" s="29">
        <f t="shared" si="199"/>
        <v>35.200000000000003</v>
      </c>
      <c r="BI206" s="29">
        <f t="shared" si="199"/>
        <v>0</v>
      </c>
      <c r="BJ206" s="29">
        <f>SUM(BB$187:BB206)+BF206</f>
        <v>11756.614598215518</v>
      </c>
      <c r="BK206" s="29">
        <f>SUM(BC$187:BC206)+BG206</f>
        <v>5596.6827625309925</v>
      </c>
      <c r="BL206" s="29">
        <f>SUM(BD$187:BD206)+BH206</f>
        <v>926.3890935533534</v>
      </c>
      <c r="BM206" s="29">
        <f>SUM(BE$187:BE206)+BI206</f>
        <v>278.22991241530895</v>
      </c>
      <c r="BN206" s="29">
        <f>SUM(BT$187:BT206)</f>
        <v>32.156613097347723</v>
      </c>
      <c r="BO206" s="17" t="e">
        <f t="shared" si="214"/>
        <v>#DIV/0!</v>
      </c>
      <c r="BP206" s="17" t="e">
        <f t="shared" si="215"/>
        <v>#DIV/0!</v>
      </c>
      <c r="BQ206" s="17" t="e">
        <f t="shared" si="216"/>
        <v>#DIV/0!</v>
      </c>
      <c r="BR206" s="17">
        <f t="shared" si="217"/>
        <v>0</v>
      </c>
      <c r="BS206" s="17">
        <f t="shared" si="196"/>
        <v>80</v>
      </c>
      <c r="BT206" s="17">
        <f t="shared" si="218"/>
        <v>0</v>
      </c>
      <c r="BV206" s="17">
        <f t="shared" si="202"/>
        <v>629.91165655816201</v>
      </c>
    </row>
    <row r="207" spans="8:74" x14ac:dyDescent="0.15">
      <c r="H207" s="17">
        <v>24</v>
      </c>
      <c r="I207" s="29">
        <f>IF(基础状态预期!C217="","",基础状态预期!C217)</f>
        <v>225.50000000000003</v>
      </c>
      <c r="J207" s="29">
        <f>IF(基础状态预期!D217="","",基础状态预期!D217)</f>
        <v>97.125654465362558</v>
      </c>
      <c r="K207" s="29" t="str">
        <f>IF(基础状态预期!F217="","",基础状态预期!F217)</f>
        <v/>
      </c>
      <c r="L207" s="29" t="str">
        <f>IF(基础状态预期!G217="","",基础状态预期!G217)</f>
        <v/>
      </c>
      <c r="M207" s="29" t="str">
        <f>IF(基础状态预期!H217="","",基础状态预期!H217)</f>
        <v/>
      </c>
      <c r="N207" s="29" t="str">
        <f>IF(基础状态预期!I217="","",基础状态预期!I217)</f>
        <v/>
      </c>
      <c r="O207" s="29">
        <f>IF(基础状态预期!J217="","",基础状态预期!J217)</f>
        <v>6</v>
      </c>
      <c r="P207" s="29">
        <f>武将进阶!O204</f>
        <v>0</v>
      </c>
      <c r="Q207" s="29">
        <f>武将进阶!P204</f>
        <v>0</v>
      </c>
      <c r="R207" s="29">
        <f>武将进阶!Q204</f>
        <v>0</v>
      </c>
      <c r="S207" s="29">
        <f>武将进阶!R204</f>
        <v>321.3047121506105</v>
      </c>
      <c r="T207" s="29">
        <f>武将进阶!S204</f>
        <v>0</v>
      </c>
      <c r="U207" s="29">
        <f>武将觉醒!T205</f>
        <v>0</v>
      </c>
      <c r="V207" s="29">
        <f>武将觉醒!U205</f>
        <v>0</v>
      </c>
      <c r="W207" s="29">
        <f>武将觉醒!V205</f>
        <v>0</v>
      </c>
      <c r="X207" s="29">
        <f>武将觉醒!W205</f>
        <v>0</v>
      </c>
      <c r="Y207" s="29">
        <f>武将觉醒!X205</f>
        <v>0</v>
      </c>
      <c r="Z207" s="29"/>
      <c r="AA207" s="29">
        <f>IF(L207="",0,同名需求(L207,武将升星!P204,B$6)+武将升星!U204)</f>
        <v>0</v>
      </c>
      <c r="AB207" s="29">
        <f>IF(M207="",0,同名需求(M207,武将升星!Q204,C$6)+武将升星!V204)</f>
        <v>0</v>
      </c>
      <c r="AC207" s="59">
        <f>IF(N207="",0,同名需求(N207,武将升星!R204,D$6*0.9)+武将升星!W204)</f>
        <v>0</v>
      </c>
      <c r="AD207" s="29">
        <f>IF(O207="",0,同名需求(O207,武将升星!S204,E$6)+武将升星!X204)</f>
        <v>108</v>
      </c>
      <c r="AE207" s="29">
        <f t="shared" si="205"/>
        <v>0</v>
      </c>
      <c r="AF207" s="29">
        <f t="shared" si="206"/>
        <v>0</v>
      </c>
      <c r="AG207" s="29">
        <f t="shared" si="207"/>
        <v>0</v>
      </c>
      <c r="AH207" s="29">
        <f t="shared" si="208"/>
        <v>321.3047121506105</v>
      </c>
      <c r="AI207" s="45">
        <f t="shared" si="209"/>
        <v>108</v>
      </c>
      <c r="AJ207" s="29">
        <f t="shared" si="181"/>
        <v>1338131.3091614654</v>
      </c>
      <c r="AK207" s="14" t="e">
        <f>AJ207/求节点('[1]资源-钻石'!$K$4:$K$113,'[1]资源-钻石'!$P$4:$P$113,J207)</f>
        <v>#VALUE!</v>
      </c>
      <c r="AL207" s="16" t="e">
        <f t="shared" si="210"/>
        <v>#DIV/0!</v>
      </c>
      <c r="AP207" s="17">
        <v>24</v>
      </c>
      <c r="AR207" s="16">
        <f t="shared" si="197"/>
        <v>92.534291467956365</v>
      </c>
      <c r="AS207" s="29">
        <f>IF(基础状态预期!C217="","",基础状态预期!C217)</f>
        <v>225.50000000000003</v>
      </c>
      <c r="AT207" s="29">
        <f>求节点(节奏总纲!$T$4:$T$163,其他调用!$G$4:$G$163,$AS207)*求节点($CP$5:$CP$36,$CU$5:$CU$36,AS27)</f>
        <v>5852917.394640577</v>
      </c>
      <c r="AU207" s="37">
        <f t="shared" si="211"/>
        <v>0</v>
      </c>
      <c r="AV207" s="37">
        <f t="shared" si="212"/>
        <v>1</v>
      </c>
      <c r="AW207" s="38">
        <f t="shared" si="185"/>
        <v>0.4933333333333334</v>
      </c>
      <c r="AX207" s="38">
        <f t="shared" si="186"/>
        <v>0.26666666666666666</v>
      </c>
      <c r="AY207" s="38">
        <f t="shared" si="187"/>
        <v>0.04</v>
      </c>
      <c r="AZ207" s="38">
        <f t="shared" si="188"/>
        <v>1.6E-2</v>
      </c>
      <c r="BA207" s="29">
        <f t="shared" si="213"/>
        <v>1053502.9083626838</v>
      </c>
      <c r="BB207" s="29">
        <f t="shared" si="198"/>
        <v>2165.5337560788503</v>
      </c>
      <c r="BC207" s="29">
        <f t="shared" si="189"/>
        <v>1170.5587870696486</v>
      </c>
      <c r="BD207" s="29">
        <f t="shared" si="190"/>
        <v>175.5838180604473</v>
      </c>
      <c r="BE207" s="29">
        <f t="shared" si="191"/>
        <v>70.233527224178928</v>
      </c>
      <c r="BF207" s="29">
        <f t="shared" si="199"/>
        <v>1871.6500000000003</v>
      </c>
      <c r="BG207" s="29">
        <f t="shared" si="199"/>
        <v>338.25000000000006</v>
      </c>
      <c r="BH207" s="29">
        <f t="shared" si="199"/>
        <v>45.100000000000009</v>
      </c>
      <c r="BI207" s="29">
        <f t="shared" si="199"/>
        <v>0</v>
      </c>
      <c r="BJ207" s="29">
        <f>SUM(BB$187:BB207)+BF207</f>
        <v>14332.998354294366</v>
      </c>
      <c r="BK207" s="29">
        <f>SUM(BC$187:BC207)+BG207</f>
        <v>6841.4915496006415</v>
      </c>
      <c r="BL207" s="29">
        <f>SUM(BD$187:BD207)+BH207</f>
        <v>1111.8729116138006</v>
      </c>
      <c r="BM207" s="29">
        <f>SUM(BE$187:BE207)+BI207</f>
        <v>348.46343963948789</v>
      </c>
      <c r="BN207" s="29">
        <f>SUM(BT$187:BT207)</f>
        <v>32.156613097347723</v>
      </c>
      <c r="BO207" s="17" t="e">
        <f t="shared" si="214"/>
        <v>#DIV/0!</v>
      </c>
      <c r="BP207" s="17" t="e">
        <f t="shared" si="215"/>
        <v>#DIV/0!</v>
      </c>
      <c r="BQ207" s="17" t="e">
        <f t="shared" si="216"/>
        <v>#DIV/0!</v>
      </c>
      <c r="BR207" s="17">
        <f t="shared" si="217"/>
        <v>0</v>
      </c>
      <c r="BS207" s="17">
        <f t="shared" si="196"/>
        <v>80</v>
      </c>
      <c r="BT207" s="17">
        <f t="shared" si="218"/>
        <v>0</v>
      </c>
      <c r="BV207" s="17">
        <f t="shared" si="202"/>
        <v>790.56819946319013</v>
      </c>
    </row>
    <row r="208" spans="8:74" x14ac:dyDescent="0.15">
      <c r="H208" s="17">
        <v>25</v>
      </c>
      <c r="I208" s="29">
        <f>IF(基础状态预期!C218="","",基础状态预期!C218)</f>
        <v>291.5</v>
      </c>
      <c r="J208" s="29">
        <f>IF(基础状态预期!D218="","",基础状态预期!D218)</f>
        <v>100.89689545435591</v>
      </c>
      <c r="K208" s="29" t="str">
        <f>IF(基础状态预期!F218="","",基础状态预期!F218)</f>
        <v/>
      </c>
      <c r="L208" s="29" t="str">
        <f>IF(基础状态预期!G218="","",基础状态预期!G218)</f>
        <v/>
      </c>
      <c r="M208" s="29" t="str">
        <f>IF(基础状态预期!H218="","",基础状态预期!H218)</f>
        <v/>
      </c>
      <c r="N208" s="29" t="str">
        <f>IF(基础状态预期!I218="","",基础状态预期!I218)</f>
        <v/>
      </c>
      <c r="O208" s="29">
        <f>IF(基础状态预期!J218="","",基础状态预期!J218)</f>
        <v>6</v>
      </c>
      <c r="P208" s="29">
        <f>武将进阶!O205</f>
        <v>0</v>
      </c>
      <c r="Q208" s="29">
        <f>武将进阶!P205</f>
        <v>0</v>
      </c>
      <c r="R208" s="29">
        <f>武将进阶!Q205</f>
        <v>0</v>
      </c>
      <c r="S208" s="29">
        <f>武将进阶!R205</f>
        <v>352.76274545227102</v>
      </c>
      <c r="T208" s="29">
        <f>武将进阶!S205</f>
        <v>0</v>
      </c>
      <c r="U208" s="29">
        <f>武将觉醒!T206</f>
        <v>0</v>
      </c>
      <c r="V208" s="29">
        <f>武将觉醒!U206</f>
        <v>0</v>
      </c>
      <c r="W208" s="29">
        <f>武将觉醒!V206</f>
        <v>0</v>
      </c>
      <c r="X208" s="29">
        <f>武将觉醒!W206</f>
        <v>0</v>
      </c>
      <c r="Y208" s="29">
        <f>武将觉醒!X206</f>
        <v>0</v>
      </c>
      <c r="Z208" s="29"/>
      <c r="AA208" s="29">
        <f>IF(L208="",0,同名需求(L208,武将升星!P205,B$6)+武将升星!U205)</f>
        <v>0</v>
      </c>
      <c r="AB208" s="29">
        <f>IF(M208="",0,同名需求(M208,武将升星!Q205,C$6)+武将升星!V205)</f>
        <v>0</v>
      </c>
      <c r="AC208" s="59">
        <f>IF(N208="",0,同名需求(N208,武将升星!R205,D$6*0.9)+武将升星!W205)</f>
        <v>0</v>
      </c>
      <c r="AD208" s="29">
        <f>IF(O208="",0,同名需求(O208,武将升星!S205,E$6)+武将升星!X205)</f>
        <v>108</v>
      </c>
      <c r="AE208" s="29">
        <f t="shared" si="205"/>
        <v>0</v>
      </c>
      <c r="AF208" s="29">
        <f t="shared" si="206"/>
        <v>0</v>
      </c>
      <c r="AG208" s="29">
        <f t="shared" si="207"/>
        <v>0</v>
      </c>
      <c r="AH208" s="29">
        <f t="shared" si="208"/>
        <v>352.76274545227102</v>
      </c>
      <c r="AI208" s="45">
        <f t="shared" si="209"/>
        <v>108</v>
      </c>
      <c r="AJ208" s="29">
        <f t="shared" si="181"/>
        <v>1413630.5890854504</v>
      </c>
      <c r="AK208" s="14" t="e">
        <f>AJ208/求节点('[1]资源-钻石'!$K$4:$K$113,'[1]资源-钻石'!$P$4:$P$113,J208)</f>
        <v>#VALUE!</v>
      </c>
      <c r="AL208" s="16" t="e">
        <f t="shared" si="210"/>
        <v>#DIV/0!</v>
      </c>
      <c r="AP208" s="17">
        <v>25</v>
      </c>
      <c r="AR208" s="16">
        <f t="shared" si="197"/>
        <v>89.179256100595353</v>
      </c>
      <c r="AS208" s="29">
        <f>IF(基础状态预期!C218="","",基础状态预期!C218)</f>
        <v>291.5</v>
      </c>
      <c r="AT208" s="29">
        <f>求节点(节奏总纲!$T$4:$T$163,其他调用!$G$4:$G$163,$AS208)*求节点($CP$5:$CP$36,$CU$5:$CU$36,AS28)</f>
        <v>7206658.5022476139</v>
      </c>
      <c r="AU208" s="37">
        <f t="shared" si="211"/>
        <v>0</v>
      </c>
      <c r="AV208" s="37">
        <f t="shared" si="212"/>
        <v>1</v>
      </c>
      <c r="AW208" s="38">
        <f t="shared" si="185"/>
        <v>0.4933333333333334</v>
      </c>
      <c r="AX208" s="38">
        <f t="shared" si="186"/>
        <v>0.26666666666666666</v>
      </c>
      <c r="AY208" s="38">
        <f t="shared" si="187"/>
        <v>0.04</v>
      </c>
      <c r="AZ208" s="38">
        <f t="shared" si="188"/>
        <v>1.6E-2</v>
      </c>
      <c r="BA208" s="29">
        <f t="shared" si="213"/>
        <v>1353741.1076070368</v>
      </c>
      <c r="BB208" s="29">
        <f t="shared" si="198"/>
        <v>2782.6900545255758</v>
      </c>
      <c r="BC208" s="29">
        <f t="shared" si="189"/>
        <v>1504.1567862300408</v>
      </c>
      <c r="BD208" s="29">
        <f t="shared" si="190"/>
        <v>225.62351793450614</v>
      </c>
      <c r="BE208" s="29">
        <f t="shared" si="191"/>
        <v>90.249407173802453</v>
      </c>
      <c r="BF208" s="29">
        <f t="shared" si="199"/>
        <v>2419.4500000000003</v>
      </c>
      <c r="BG208" s="29">
        <f t="shared" si="199"/>
        <v>437.25</v>
      </c>
      <c r="BH208" s="29">
        <f t="shared" si="199"/>
        <v>58.300000000000004</v>
      </c>
      <c r="BI208" s="29">
        <f t="shared" si="199"/>
        <v>0</v>
      </c>
      <c r="BJ208" s="29">
        <f>SUM(BB$187:BB208)+BF208</f>
        <v>17663.488408819943</v>
      </c>
      <c r="BK208" s="29">
        <f>SUM(BC$187:BC208)+BG208</f>
        <v>8444.6483358306832</v>
      </c>
      <c r="BL208" s="29">
        <f>SUM(BD$187:BD208)+BH208</f>
        <v>1350.6964295483069</v>
      </c>
      <c r="BM208" s="29">
        <f>SUM(BE$187:BE208)+BI208</f>
        <v>438.71284681329035</v>
      </c>
      <c r="BN208" s="29">
        <f>SUM(BT$187:BT208)</f>
        <v>32.156613097347723</v>
      </c>
      <c r="BO208" s="17" t="e">
        <f t="shared" si="214"/>
        <v>#DIV/0!</v>
      </c>
      <c r="BP208" s="17" t="e">
        <f t="shared" si="215"/>
        <v>#DIV/0!</v>
      </c>
      <c r="BQ208" s="17" t="e">
        <f t="shared" si="216"/>
        <v>#DIV/0!</v>
      </c>
      <c r="BR208" s="17">
        <f t="shared" si="217"/>
        <v>0</v>
      </c>
      <c r="BS208" s="17">
        <f t="shared" si="196"/>
        <v>80</v>
      </c>
      <c r="BT208" s="17">
        <f t="shared" si="218"/>
        <v>0</v>
      </c>
      <c r="BV208" s="17">
        <f t="shared" si="202"/>
        <v>997.9336840960359</v>
      </c>
    </row>
    <row r="209" spans="8:74" x14ac:dyDescent="0.15">
      <c r="H209" s="17">
        <v>26</v>
      </c>
      <c r="I209" s="29">
        <f>IF(基础状态预期!C219="","",基础状态预期!C219)</f>
        <v>374.00000000000006</v>
      </c>
      <c r="J209" s="29">
        <f>IF(基础状态预期!D219="","",基础状态预期!D219)</f>
        <v>104.52148587104635</v>
      </c>
      <c r="K209" s="29" t="str">
        <f>IF(基础状态预期!F219="","",基础状态预期!F219)</f>
        <v/>
      </c>
      <c r="L209" s="29" t="str">
        <f>IF(基础状态预期!G219="","",基础状态预期!G219)</f>
        <v/>
      </c>
      <c r="M209" s="29" t="str">
        <f>IF(基础状态预期!H219="","",基础状态预期!H219)</f>
        <v/>
      </c>
      <c r="N209" s="29" t="str">
        <f>IF(基础状态预期!I219="","",基础状态预期!I219)</f>
        <v/>
      </c>
      <c r="O209" s="29">
        <f>IF(基础状态预期!J219="","",基础状态预期!J219)</f>
        <v>6</v>
      </c>
      <c r="P209" s="29">
        <f>武将进阶!O206</f>
        <v>0</v>
      </c>
      <c r="Q209" s="29">
        <f>武将进阶!P206</f>
        <v>0</v>
      </c>
      <c r="R209" s="29">
        <f>武将进阶!Q206</f>
        <v>0</v>
      </c>
      <c r="S209" s="29">
        <f>武将进阶!R206</f>
        <v>396.25783045255622</v>
      </c>
      <c r="T209" s="29">
        <f>武将进阶!S206</f>
        <v>0</v>
      </c>
      <c r="U209" s="29">
        <f>武将觉醒!T207</f>
        <v>0</v>
      </c>
      <c r="V209" s="29">
        <f>武将觉醒!U207</f>
        <v>0</v>
      </c>
      <c r="W209" s="29">
        <f>武将觉醒!V207</f>
        <v>0</v>
      </c>
      <c r="X209" s="29">
        <f>武将觉醒!W207</f>
        <v>0</v>
      </c>
      <c r="Y209" s="29">
        <f>武将觉醒!X207</f>
        <v>0</v>
      </c>
      <c r="Z209" s="29"/>
      <c r="AA209" s="29">
        <f>IF(L209="",0,同名需求(L209,武将升星!P206,B$6)+武将升星!U206)</f>
        <v>0</v>
      </c>
      <c r="AB209" s="29">
        <f>IF(M209="",0,同名需求(M209,武将升星!Q206,C$6)+武将升星!V206)</f>
        <v>0</v>
      </c>
      <c r="AC209" s="59">
        <f>IF(N209="",0,同名需求(N209,武将升星!R206,D$6*0.9)+武将升星!W206)</f>
        <v>0</v>
      </c>
      <c r="AD209" s="29">
        <f>IF(O209="",0,同名需求(O209,武将升星!S206,E$6)+武将升星!X206)</f>
        <v>108</v>
      </c>
      <c r="AE209" s="29">
        <f t="shared" si="205"/>
        <v>0</v>
      </c>
      <c r="AF209" s="29">
        <f t="shared" si="206"/>
        <v>0</v>
      </c>
      <c r="AG209" s="29">
        <f t="shared" si="207"/>
        <v>0</v>
      </c>
      <c r="AH209" s="29">
        <f t="shared" si="208"/>
        <v>396.25783045255622</v>
      </c>
      <c r="AI209" s="45">
        <f t="shared" si="209"/>
        <v>108</v>
      </c>
      <c r="AJ209" s="29">
        <f t="shared" si="181"/>
        <v>1518018.7930861351</v>
      </c>
      <c r="AK209" s="14" t="e">
        <f>AJ209/求节点('[1]资源-钻石'!$K$4:$K$113,'[1]资源-钻石'!$P$4:$P$113,J209)</f>
        <v>#VALUE!</v>
      </c>
      <c r="AL209" s="16" t="e">
        <f t="shared" si="210"/>
        <v>#DIV/0!</v>
      </c>
      <c r="AP209" s="17">
        <v>26</v>
      </c>
      <c r="AR209" s="16">
        <f t="shared" si="197"/>
        <v>98.3769871187516</v>
      </c>
      <c r="AS209" s="29">
        <f>IF(基础状态预期!C219="","",基础状态预期!C219)</f>
        <v>374.00000000000006</v>
      </c>
      <c r="AT209" s="29">
        <f>求节点(节奏总纲!$T$4:$T$163,其他调用!$G$4:$G$163,$AS209)*求节点($CP$5:$CP$36,$CU$5:$CU$36,AS29)</f>
        <v>9073361.8328259271</v>
      </c>
      <c r="AU209" s="37">
        <f t="shared" si="211"/>
        <v>0</v>
      </c>
      <c r="AV209" s="37">
        <f t="shared" si="212"/>
        <v>1</v>
      </c>
      <c r="AW209" s="38">
        <f t="shared" si="185"/>
        <v>0.4933333333333334</v>
      </c>
      <c r="AX209" s="38">
        <f t="shared" si="186"/>
        <v>0.26666666666666666</v>
      </c>
      <c r="AY209" s="38">
        <f t="shared" si="187"/>
        <v>0.04</v>
      </c>
      <c r="AZ209" s="38">
        <f t="shared" si="188"/>
        <v>1.6E-2</v>
      </c>
      <c r="BA209" s="29">
        <f t="shared" si="213"/>
        <v>1866703.3305783132</v>
      </c>
      <c r="BB209" s="29">
        <f t="shared" si="198"/>
        <v>3837.1124017443108</v>
      </c>
      <c r="BC209" s="29">
        <f t="shared" si="189"/>
        <v>2074.1148117536814</v>
      </c>
      <c r="BD209" s="29">
        <f t="shared" si="190"/>
        <v>311.11722176305221</v>
      </c>
      <c r="BE209" s="29">
        <f t="shared" si="191"/>
        <v>124.44688870522087</v>
      </c>
      <c r="BF209" s="29">
        <f t="shared" si="199"/>
        <v>3104.2000000000007</v>
      </c>
      <c r="BG209" s="29">
        <f t="shared" si="199"/>
        <v>561.00000000000011</v>
      </c>
      <c r="BH209" s="29">
        <f t="shared" si="199"/>
        <v>74.800000000000011</v>
      </c>
      <c r="BI209" s="29">
        <f t="shared" si="199"/>
        <v>0</v>
      </c>
      <c r="BJ209" s="29">
        <f>SUM(BB$187:BB209)+BF209</f>
        <v>22185.350810564254</v>
      </c>
      <c r="BK209" s="29">
        <f>SUM(BC$187:BC209)+BG209</f>
        <v>10642.513147584363</v>
      </c>
      <c r="BL209" s="29">
        <f>SUM(BD$187:BD209)+BH209</f>
        <v>1678.3136513113591</v>
      </c>
      <c r="BM209" s="29">
        <f>SUM(BE$187:BE209)+BI209</f>
        <v>563.15973551851118</v>
      </c>
      <c r="BN209" s="29">
        <f>SUM(BT$187:BT209)</f>
        <v>32.156613097347723</v>
      </c>
      <c r="BO209" s="17" t="e">
        <f t="shared" si="214"/>
        <v>#DIV/0!</v>
      </c>
      <c r="BP209" s="17" t="e">
        <f t="shared" si="215"/>
        <v>#DIV/0!</v>
      </c>
      <c r="BQ209" s="17" t="e">
        <f t="shared" si="216"/>
        <v>#DIV/0!</v>
      </c>
      <c r="BR209" s="17">
        <f t="shared" si="217"/>
        <v>0</v>
      </c>
      <c r="BS209" s="17">
        <f t="shared" si="196"/>
        <v>80</v>
      </c>
      <c r="BT209" s="17">
        <f t="shared" si="218"/>
        <v>0</v>
      </c>
      <c r="BV209" s="17">
        <f t="shared" si="202"/>
        <v>1282.0558208588029</v>
      </c>
    </row>
    <row r="210" spans="8:74" x14ac:dyDescent="0.15">
      <c r="H210" s="17">
        <v>27</v>
      </c>
      <c r="I210" s="29">
        <f>IF(基础状态预期!C220="","",基础状态预期!C220)</f>
        <v>473.00000000000006</v>
      </c>
      <c r="J210" s="29">
        <f>IF(基础状态预期!D220="","",基础状态预期!D220)</f>
        <v>108.05586950728798</v>
      </c>
      <c r="K210" s="29" t="str">
        <f>IF(基础状态预期!F220="","",基础状态预期!F220)</f>
        <v/>
      </c>
      <c r="L210" s="29" t="str">
        <f>IF(基础状态预期!G220="","",基础状态预期!G220)</f>
        <v/>
      </c>
      <c r="M210" s="29" t="str">
        <f>IF(基础状态预期!H220="","",基础状态预期!H220)</f>
        <v/>
      </c>
      <c r="N210" s="29" t="str">
        <f>IF(基础状态预期!I220="","",基础状态预期!I220)</f>
        <v/>
      </c>
      <c r="O210" s="29">
        <f>IF(基础状态预期!J220="","",基础状态预期!J220)</f>
        <v>6</v>
      </c>
      <c r="P210" s="29">
        <f>武将进阶!O207</f>
        <v>0</v>
      </c>
      <c r="Q210" s="29">
        <f>武将进阶!P207</f>
        <v>0</v>
      </c>
      <c r="R210" s="29">
        <f>武将进阶!Q207</f>
        <v>0</v>
      </c>
      <c r="S210" s="29">
        <f>武将进阶!R207</f>
        <v>438.67043408745576</v>
      </c>
      <c r="T210" s="29">
        <f>武将进阶!S207</f>
        <v>0</v>
      </c>
      <c r="U210" s="29">
        <f>武将觉醒!T208</f>
        <v>0</v>
      </c>
      <c r="V210" s="29">
        <f>武将觉醒!U208</f>
        <v>0</v>
      </c>
      <c r="W210" s="29">
        <f>武将觉醒!V208</f>
        <v>0</v>
      </c>
      <c r="X210" s="29">
        <f>武将觉醒!W208</f>
        <v>0</v>
      </c>
      <c r="Y210" s="29">
        <f>武将觉醒!X208</f>
        <v>0</v>
      </c>
      <c r="Z210" s="29"/>
      <c r="AA210" s="29">
        <f>IF(L210="",0,同名需求(L210,武将升星!P207,B$6)+武将升星!U207)</f>
        <v>0</v>
      </c>
      <c r="AB210" s="29">
        <f>IF(M210="",0,同名需求(M210,武将升星!Q207,C$6)+武将升星!V207)</f>
        <v>0</v>
      </c>
      <c r="AC210" s="59">
        <f>IF(N210="",0,同名需求(N210,武将升星!R207,D$6*0.9)+武将升星!W207)</f>
        <v>0</v>
      </c>
      <c r="AD210" s="29">
        <f>IF(O210="",0,同名需求(O210,武将升星!S207,E$6)+武将升星!X207)</f>
        <v>108</v>
      </c>
      <c r="AE210" s="29">
        <f t="shared" si="205"/>
        <v>0</v>
      </c>
      <c r="AF210" s="29">
        <f t="shared" si="206"/>
        <v>0</v>
      </c>
      <c r="AG210" s="29">
        <f t="shared" si="207"/>
        <v>0</v>
      </c>
      <c r="AH210" s="29">
        <f t="shared" si="208"/>
        <v>438.67043408745576</v>
      </c>
      <c r="AI210" s="45">
        <f t="shared" si="209"/>
        <v>108</v>
      </c>
      <c r="AJ210" s="29">
        <f t="shared" si="181"/>
        <v>1619809.0418098939</v>
      </c>
      <c r="AK210" s="14" t="e">
        <f>AJ210/求节点('[1]资源-钻石'!$K$4:$K$113,'[1]资源-钻石'!$P$4:$P$113,J210)</f>
        <v>#VALUE!</v>
      </c>
      <c r="AL210" s="16" t="e">
        <f t="shared" si="210"/>
        <v>#DIV/0!</v>
      </c>
      <c r="AP210" s="17">
        <v>27</v>
      </c>
      <c r="AR210" s="16">
        <f t="shared" si="197"/>
        <v>96.556469576570649</v>
      </c>
      <c r="AS210" s="29">
        <f>IF(基础状态预期!C220="","",基础状态预期!C220)</f>
        <v>473.00000000000006</v>
      </c>
      <c r="AT210" s="29">
        <f>求节点(节奏总纲!$T$4:$T$163,其他调用!$G$4:$G$163,$AS210)*求节点($CP$5:$CP$36,$CU$5:$CU$36,AS30)</f>
        <v>11271952.645084441</v>
      </c>
      <c r="AU210" s="37">
        <f t="shared" si="211"/>
        <v>0</v>
      </c>
      <c r="AV210" s="37">
        <f t="shared" si="212"/>
        <v>1</v>
      </c>
      <c r="AW210" s="38">
        <f t="shared" si="185"/>
        <v>0.4933333333333334</v>
      </c>
      <c r="AX210" s="38">
        <f t="shared" si="186"/>
        <v>0.26666666666666666</v>
      </c>
      <c r="AY210" s="38">
        <f t="shared" si="187"/>
        <v>0.04</v>
      </c>
      <c r="AZ210" s="38">
        <f t="shared" si="188"/>
        <v>1.6E-2</v>
      </c>
      <c r="BA210" s="29">
        <f t="shared" si="213"/>
        <v>2198590.8122585136</v>
      </c>
      <c r="BB210" s="29">
        <f t="shared" si="198"/>
        <v>4519.32555853139</v>
      </c>
      <c r="BC210" s="29">
        <f t="shared" si="189"/>
        <v>2442.8786802872373</v>
      </c>
      <c r="BD210" s="29">
        <f t="shared" si="190"/>
        <v>366.43180204308561</v>
      </c>
      <c r="BE210" s="29">
        <f t="shared" si="191"/>
        <v>146.57272081723426</v>
      </c>
      <c r="BF210" s="29">
        <f t="shared" si="199"/>
        <v>3925.900000000001</v>
      </c>
      <c r="BG210" s="29">
        <f t="shared" si="199"/>
        <v>709.50000000000011</v>
      </c>
      <c r="BH210" s="29">
        <f t="shared" si="199"/>
        <v>94.600000000000023</v>
      </c>
      <c r="BI210" s="29">
        <f t="shared" si="199"/>
        <v>0</v>
      </c>
      <c r="BJ210" s="29">
        <f>SUM(BB$187:BB210)+BF210</f>
        <v>27526.376369095644</v>
      </c>
      <c r="BK210" s="29">
        <f>SUM(BC$187:BC210)+BG210</f>
        <v>13233.891827871601</v>
      </c>
      <c r="BL210" s="29">
        <f>SUM(BD$187:BD210)+BH210</f>
        <v>2064.5454533544448</v>
      </c>
      <c r="BM210" s="29">
        <f>SUM(BE$187:BE210)+BI210</f>
        <v>709.73245633574538</v>
      </c>
      <c r="BN210" s="29">
        <f>SUM(BT$187:BT210)</f>
        <v>32.156613097347723</v>
      </c>
      <c r="BO210" s="17" t="e">
        <f t="shared" si="214"/>
        <v>#DIV/0!</v>
      </c>
      <c r="BP210" s="17" t="e">
        <f t="shared" si="215"/>
        <v>#DIV/0!</v>
      </c>
      <c r="BQ210" s="17" t="e">
        <f t="shared" si="216"/>
        <v>#DIV/0!</v>
      </c>
      <c r="BR210" s="17">
        <f t="shared" si="217"/>
        <v>0</v>
      </c>
      <c r="BS210" s="17">
        <f t="shared" si="196"/>
        <v>80</v>
      </c>
      <c r="BT210" s="17">
        <f t="shared" si="218"/>
        <v>0</v>
      </c>
      <c r="BV210" s="17">
        <f t="shared" si="202"/>
        <v>1625.8750192669891</v>
      </c>
    </row>
    <row r="211" spans="8:74" x14ac:dyDescent="0.15">
      <c r="H211" s="17">
        <v>28</v>
      </c>
      <c r="I211" s="29">
        <f>IF(基础状态预期!C221="","",基础状态预期!C221)</f>
        <v>605</v>
      </c>
      <c r="J211" s="29">
        <f>IF(基础状态预期!D221="","",基础状态预期!D221)</f>
        <v>111.54601176466306</v>
      </c>
      <c r="K211" s="29" t="str">
        <f>IF(基础状态预期!F221="","",基础状态预期!F221)</f>
        <v/>
      </c>
      <c r="L211" s="29" t="str">
        <f>IF(基础状态预期!G221="","",基础状态预期!G221)</f>
        <v/>
      </c>
      <c r="M211" s="29" t="str">
        <f>IF(基础状态预期!H221="","",基础状态预期!H221)</f>
        <v/>
      </c>
      <c r="N211" s="29" t="str">
        <f>IF(基础状态预期!I221="","",基础状态预期!I221)</f>
        <v/>
      </c>
      <c r="O211" s="29">
        <f>IF(基础状态预期!J221="","",基础状态预期!J221)</f>
        <v>6</v>
      </c>
      <c r="P211" s="29">
        <f>武将进阶!O208</f>
        <v>0</v>
      </c>
      <c r="Q211" s="29">
        <f>武将进阶!P208</f>
        <v>0</v>
      </c>
      <c r="R211" s="29">
        <f>武将进阶!Q208</f>
        <v>0</v>
      </c>
      <c r="S211" s="29">
        <f>武将进阶!R208</f>
        <v>480.55214117595665</v>
      </c>
      <c r="T211" s="29">
        <f>武将进阶!S208</f>
        <v>0</v>
      </c>
      <c r="U211" s="29">
        <f>武将觉醒!T209</f>
        <v>0</v>
      </c>
      <c r="V211" s="29">
        <f>武将觉醒!U209</f>
        <v>0</v>
      </c>
      <c r="W211" s="29">
        <f>武将觉醒!V209</f>
        <v>0</v>
      </c>
      <c r="X211" s="29">
        <f>武将觉醒!W209</f>
        <v>0</v>
      </c>
      <c r="Y211" s="29">
        <f>武将觉醒!X209</f>
        <v>0</v>
      </c>
      <c r="Z211" s="29"/>
      <c r="AA211" s="29">
        <f>IF(L211="",0,同名需求(L211,武将升星!P208,B$6)+武将升星!U208)</f>
        <v>0</v>
      </c>
      <c r="AB211" s="29">
        <f>IF(M211="",0,同名需求(M211,武将升星!Q208,C$6)+武将升星!V208)</f>
        <v>0</v>
      </c>
      <c r="AC211" s="59">
        <f>IF(N211="",0,同名需求(N211,武将升星!R208,D$6*0.9)+武将升星!W208)</f>
        <v>0</v>
      </c>
      <c r="AD211" s="29">
        <f>IF(O211="",0,同名需求(O211,武将升星!S208,E$6)+武将升星!X208)</f>
        <v>108</v>
      </c>
      <c r="AE211" s="29">
        <f t="shared" si="205"/>
        <v>0</v>
      </c>
      <c r="AF211" s="29">
        <f t="shared" si="206"/>
        <v>0</v>
      </c>
      <c r="AG211" s="29">
        <f t="shared" si="207"/>
        <v>0</v>
      </c>
      <c r="AH211" s="29">
        <f t="shared" si="208"/>
        <v>480.55214117595665</v>
      </c>
      <c r="AI211" s="45">
        <f t="shared" si="209"/>
        <v>108</v>
      </c>
      <c r="AJ211" s="29">
        <f t="shared" si="181"/>
        <v>1720325.1388222959</v>
      </c>
      <c r="AK211" s="14" t="e">
        <f>AJ211/求节点('[1]资源-钻石'!$K$4:$K$113,'[1]资源-钻石'!$P$4:$P$113,J211)</f>
        <v>#VALUE!</v>
      </c>
      <c r="AL211" s="16" t="e">
        <f t="shared" si="210"/>
        <v>#DIV/0!</v>
      </c>
      <c r="AP211" s="17">
        <v>28</v>
      </c>
      <c r="AR211" s="16">
        <f t="shared" si="197"/>
        <v>94.937035585074</v>
      </c>
      <c r="AS211" s="29">
        <f>IF(基础状态预期!C221="","",基础状态预期!C221)</f>
        <v>605</v>
      </c>
      <c r="AT211" s="29">
        <f>求节点(节奏总纲!$T$4:$T$163,其他调用!$G$4:$G$163,$AS211)*求节点($CP$5:$CP$36,$CU$5:$CU$36,AS31)</f>
        <v>14154241.045447286</v>
      </c>
      <c r="AU211" s="37">
        <f t="shared" si="211"/>
        <v>0</v>
      </c>
      <c r="AV211" s="37">
        <f t="shared" si="212"/>
        <v>1</v>
      </c>
      <c r="AW211" s="38">
        <f t="shared" si="185"/>
        <v>0.4933333333333334</v>
      </c>
      <c r="AX211" s="38">
        <f t="shared" si="186"/>
        <v>0.26666666666666666</v>
      </c>
      <c r="AY211" s="38">
        <f t="shared" si="187"/>
        <v>0.04</v>
      </c>
      <c r="AZ211" s="38">
        <f t="shared" si="188"/>
        <v>1.6E-2</v>
      </c>
      <c r="BA211" s="29">
        <f t="shared" si="213"/>
        <v>2882288.4003628455</v>
      </c>
      <c r="BB211" s="29">
        <f t="shared" si="198"/>
        <v>5924.7039340791835</v>
      </c>
      <c r="BC211" s="29">
        <f t="shared" si="189"/>
        <v>3202.5426670698284</v>
      </c>
      <c r="BD211" s="29">
        <f t="shared" si="190"/>
        <v>480.38140006047428</v>
      </c>
      <c r="BE211" s="29">
        <f t="shared" si="191"/>
        <v>192.15256002418971</v>
      </c>
      <c r="BF211" s="29">
        <f t="shared" si="199"/>
        <v>5021.5</v>
      </c>
      <c r="BG211" s="29">
        <f t="shared" si="199"/>
        <v>907.5</v>
      </c>
      <c r="BH211" s="29">
        <f t="shared" si="199"/>
        <v>121</v>
      </c>
      <c r="BI211" s="29">
        <f t="shared" si="199"/>
        <v>0</v>
      </c>
      <c r="BJ211" s="29">
        <f>SUM(BB$187:BB211)+BF211</f>
        <v>34546.680303174828</v>
      </c>
      <c r="BK211" s="29">
        <f>SUM(BC$187:BC211)+BG211</f>
        <v>16634.43449494143</v>
      </c>
      <c r="BL211" s="29">
        <f>SUM(BD$187:BD211)+BH211</f>
        <v>2571.3268534149188</v>
      </c>
      <c r="BM211" s="29">
        <f>SUM(BE$187:BE211)+BI211</f>
        <v>901.88501635993509</v>
      </c>
      <c r="BN211" s="29">
        <f>SUM(BT$187:BT211)</f>
        <v>32.156613097347723</v>
      </c>
      <c r="BO211" s="17" t="e">
        <f t="shared" si="214"/>
        <v>#DIV/0!</v>
      </c>
      <c r="BP211" s="17" t="e">
        <f t="shared" si="215"/>
        <v>#DIV/0!</v>
      </c>
      <c r="BQ211" s="17" t="e">
        <f t="shared" si="216"/>
        <v>#DIV/0!</v>
      </c>
      <c r="BR211" s="17">
        <f t="shared" si="217"/>
        <v>0</v>
      </c>
      <c r="BS211" s="17">
        <f t="shared" si="196"/>
        <v>80</v>
      </c>
      <c r="BT211" s="17">
        <f t="shared" si="218"/>
        <v>0</v>
      </c>
      <c r="BV211" s="17">
        <f t="shared" si="202"/>
        <v>2090.7747122389619</v>
      </c>
    </row>
    <row r="212" spans="8:74" x14ac:dyDescent="0.15">
      <c r="H212" s="17">
        <v>29</v>
      </c>
      <c r="I212" s="29">
        <f>IF(基础状态预期!C222="","",基础状态预期!C222)</f>
        <v>770.00000000000011</v>
      </c>
      <c r="J212" s="29">
        <f>IF(基础状态预期!D222="","",基础状态预期!D222)</f>
        <v>115.20444967370992</v>
      </c>
      <c r="K212" s="29" t="str">
        <f>IF(基础状态预期!F222="","",基础状态预期!F222)</f>
        <v/>
      </c>
      <c r="L212" s="29" t="str">
        <f>IF(基础状态预期!G222="","",基础状态预期!G222)</f>
        <v/>
      </c>
      <c r="M212" s="29" t="str">
        <f>IF(基础状态预期!H222="","",基础状态预期!H222)</f>
        <v/>
      </c>
      <c r="N212" s="29" t="str">
        <f>IF(基础状态预期!I222="","",基础状态预期!I222)</f>
        <v/>
      </c>
      <c r="O212" s="29">
        <f>IF(基础状态预期!J222="","",基础状态预期!J222)</f>
        <v>6</v>
      </c>
      <c r="P212" s="29">
        <f>武将进阶!O209</f>
        <v>0</v>
      </c>
      <c r="Q212" s="29">
        <f>武将进阶!P209</f>
        <v>0</v>
      </c>
      <c r="R212" s="29">
        <f>武将进阶!Q209</f>
        <v>0</v>
      </c>
      <c r="S212" s="29">
        <f>武将进阶!R209</f>
        <v>524.45339608451889</v>
      </c>
      <c r="T212" s="29">
        <f>武将进阶!S209</f>
        <v>0</v>
      </c>
      <c r="U212" s="29">
        <f>武将觉醒!T210</f>
        <v>0</v>
      </c>
      <c r="V212" s="29">
        <f>武将觉醒!U210</f>
        <v>0</v>
      </c>
      <c r="W212" s="29">
        <f>武将觉醒!V210</f>
        <v>0</v>
      </c>
      <c r="X212" s="29">
        <f>武将觉醒!W210</f>
        <v>0</v>
      </c>
      <c r="Y212" s="29">
        <f>武将觉醒!X210</f>
        <v>0</v>
      </c>
      <c r="Z212" s="29"/>
      <c r="AA212" s="29">
        <f>IF(L212="",0,同名需求(L212,武将升星!P209,B$6)+武将升星!U209)</f>
        <v>0</v>
      </c>
      <c r="AB212" s="29">
        <f>IF(M212="",0,同名需求(M212,武将升星!Q209,C$6)+武将升星!V209)</f>
        <v>0</v>
      </c>
      <c r="AC212" s="59">
        <f>IF(N212="",0,同名需求(N212,武将升星!R209,D$6*0.9)+武将升星!W209)</f>
        <v>0</v>
      </c>
      <c r="AD212" s="29">
        <f>IF(O212="",0,同名需求(O212,武将升星!S209,E$6)+武将升星!X209)</f>
        <v>108</v>
      </c>
      <c r="AE212" s="29">
        <f t="shared" si="205"/>
        <v>0</v>
      </c>
      <c r="AF212" s="29">
        <f t="shared" si="206"/>
        <v>0</v>
      </c>
      <c r="AG212" s="29">
        <f t="shared" si="207"/>
        <v>0</v>
      </c>
      <c r="AH212" s="29">
        <f t="shared" si="208"/>
        <v>524.45339608451889</v>
      </c>
      <c r="AI212" s="45">
        <f t="shared" si="209"/>
        <v>108</v>
      </c>
      <c r="AJ212" s="29">
        <f t="shared" si="181"/>
        <v>1825688.1506028455</v>
      </c>
      <c r="AK212" s="14" t="e">
        <f>AJ212/求节点('[1]资源-钻石'!$K$4:$K$113,'[1]资源-钻石'!$P$4:$P$113,J212)</f>
        <v>#VALUE!</v>
      </c>
      <c r="AL212" s="16" t="e">
        <f t="shared" si="210"/>
        <v>#DIV/0!</v>
      </c>
      <c r="AP212" s="17">
        <v>29</v>
      </c>
      <c r="AR212" s="16">
        <f t="shared" si="197"/>
        <v>93.476290802401437</v>
      </c>
      <c r="AS212" s="29">
        <f>IF(基础状态预期!C222="","",基础状态预期!C222)</f>
        <v>770.00000000000011</v>
      </c>
      <c r="AT212" s="29">
        <f>求节点(节奏总纲!$T$4:$T$163,其他调用!$G$4:$G$163,$AS212)*求节点($CP$5:$CP$36,$CU$5:$CU$36,AS32)</f>
        <v>17701666.281398423</v>
      </c>
      <c r="AU212" s="37">
        <f t="shared" si="211"/>
        <v>0</v>
      </c>
      <c r="AV212" s="37">
        <f t="shared" si="212"/>
        <v>1</v>
      </c>
      <c r="AW212" s="38">
        <f t="shared" si="185"/>
        <v>0.4933333333333334</v>
      </c>
      <c r="AX212" s="38">
        <f t="shared" si="186"/>
        <v>0.26666666666666666</v>
      </c>
      <c r="AY212" s="38">
        <f t="shared" si="187"/>
        <v>0.04</v>
      </c>
      <c r="AZ212" s="38">
        <f t="shared" si="188"/>
        <v>1.6E-2</v>
      </c>
      <c r="BA212" s="29">
        <f t="shared" si="213"/>
        <v>3547425.2359511368</v>
      </c>
      <c r="BB212" s="29">
        <f t="shared" si="198"/>
        <v>7291.9296516773384</v>
      </c>
      <c r="BC212" s="29">
        <f t="shared" si="189"/>
        <v>3941.5835955012631</v>
      </c>
      <c r="BD212" s="29">
        <f t="shared" si="190"/>
        <v>591.23753932518946</v>
      </c>
      <c r="BE212" s="29">
        <f t="shared" si="191"/>
        <v>236.49501573007581</v>
      </c>
      <c r="BF212" s="29">
        <f t="shared" si="199"/>
        <v>6391.0000000000018</v>
      </c>
      <c r="BG212" s="29">
        <f t="shared" si="199"/>
        <v>1155.0000000000002</v>
      </c>
      <c r="BH212" s="29">
        <f t="shared" si="199"/>
        <v>154.00000000000003</v>
      </c>
      <c r="BI212" s="29">
        <f t="shared" si="199"/>
        <v>0</v>
      </c>
      <c r="BJ212" s="29">
        <f>SUM(BB$187:BB212)+BF212</f>
        <v>43208.109954852167</v>
      </c>
      <c r="BK212" s="29">
        <f>SUM(BC$187:BC212)+BG212</f>
        <v>20823.518090442692</v>
      </c>
      <c r="BL212" s="29">
        <f>SUM(BD$187:BD212)+BH212</f>
        <v>3195.5643927401084</v>
      </c>
      <c r="BM212" s="29">
        <f>SUM(BE$187:BE212)+BI212</f>
        <v>1138.3800320900109</v>
      </c>
      <c r="BN212" s="29">
        <f>SUM(BT$187:BT212)</f>
        <v>32.156613097347723</v>
      </c>
      <c r="BO212" s="17" t="e">
        <f t="shared" si="214"/>
        <v>#DIV/0!</v>
      </c>
      <c r="BP212" s="17" t="e">
        <f t="shared" si="215"/>
        <v>#DIV/0!</v>
      </c>
      <c r="BQ212" s="17" t="e">
        <f t="shared" si="216"/>
        <v>#DIV/0!</v>
      </c>
      <c r="BR212" s="17">
        <f t="shared" si="217"/>
        <v>0</v>
      </c>
      <c r="BS212" s="17">
        <f t="shared" si="196"/>
        <v>80</v>
      </c>
      <c r="BT212" s="17">
        <f t="shared" si="218"/>
        <v>0</v>
      </c>
      <c r="BV212" s="17">
        <f t="shared" si="202"/>
        <v>2671.1109966555896</v>
      </c>
    </row>
    <row r="213" spans="8:74" x14ac:dyDescent="0.15">
      <c r="H213" s="17">
        <v>30</v>
      </c>
      <c r="I213" s="29">
        <f>IF(基础状态预期!C223="","",基础状态预期!C223)</f>
        <v>984.50000000000011</v>
      </c>
      <c r="J213" s="29">
        <f>IF(基础状态预期!D223="","",基础状态预期!D223)</f>
        <v>118.75432507225094</v>
      </c>
      <c r="K213" s="29" t="str">
        <f>IF(基础状态预期!F223="","",基础状态预期!F223)</f>
        <v/>
      </c>
      <c r="L213" s="29" t="str">
        <f>IF(基础状态预期!G223="","",基础状态预期!G223)</f>
        <v/>
      </c>
      <c r="M213" s="29" t="str">
        <f>IF(基础状态预期!H223="","",基础状态预期!H223)</f>
        <v/>
      </c>
      <c r="N213" s="29" t="str">
        <f>IF(基础状态预期!I223="","",基础状态预期!I223)</f>
        <v/>
      </c>
      <c r="O213" s="29">
        <f>IF(基础状态预期!J223="","",基础状态预期!J223)</f>
        <v>6</v>
      </c>
      <c r="P213" s="29">
        <f>武将进阶!O210</f>
        <v>0</v>
      </c>
      <c r="Q213" s="29">
        <f>武将进阶!P210</f>
        <v>0</v>
      </c>
      <c r="R213" s="29">
        <f>武将进阶!Q210</f>
        <v>0</v>
      </c>
      <c r="S213" s="29">
        <f>武将进阶!R210</f>
        <v>567.05190086701134</v>
      </c>
      <c r="T213" s="29">
        <f>武将进阶!S210</f>
        <v>0</v>
      </c>
      <c r="U213" s="29">
        <f>武将觉醒!T211</f>
        <v>0</v>
      </c>
      <c r="V213" s="29">
        <f>武将觉醒!U211</f>
        <v>0</v>
      </c>
      <c r="W213" s="29">
        <f>武将觉醒!V211</f>
        <v>0</v>
      </c>
      <c r="X213" s="29">
        <f>武将觉醒!W211</f>
        <v>0</v>
      </c>
      <c r="Y213" s="29">
        <f>武将觉醒!X211</f>
        <v>0</v>
      </c>
      <c r="Z213" s="29"/>
      <c r="AA213" s="29">
        <f>IF(L213="",0,同名需求(L213,武将升星!P210,B$6)+武将升星!U210)</f>
        <v>0</v>
      </c>
      <c r="AB213" s="29">
        <f>IF(M213="",0,同名需求(M213,武将升星!Q210,C$6)+武将升星!V210)</f>
        <v>0</v>
      </c>
      <c r="AC213" s="59">
        <f>IF(N213="",0,同名需求(N213,武将升星!R210,D$6*0.9)+武将升星!W210)</f>
        <v>0</v>
      </c>
      <c r="AD213" s="29">
        <f>IF(O213="",0,同名需求(O213,武将升星!S210,E$6)+武将升星!X210)</f>
        <v>108</v>
      </c>
      <c r="AE213" s="29">
        <f t="shared" si="205"/>
        <v>0</v>
      </c>
      <c r="AF213" s="29">
        <f t="shared" si="206"/>
        <v>0</v>
      </c>
      <c r="AG213" s="29">
        <f t="shared" si="207"/>
        <v>0</v>
      </c>
      <c r="AH213" s="29">
        <f t="shared" si="208"/>
        <v>567.05190086701134</v>
      </c>
      <c r="AI213" s="45">
        <f t="shared" si="209"/>
        <v>108</v>
      </c>
      <c r="AJ213" s="29">
        <f t="shared" si="181"/>
        <v>1927924.5620808273</v>
      </c>
      <c r="AK213" s="14" t="e">
        <f>AJ213/求节点('[1]资源-钻石'!$K$4:$K$113,'[1]资源-钻石'!$P$4:$P$113,J213)</f>
        <v>#VALUE!</v>
      </c>
      <c r="AL213" s="16" t="e">
        <f t="shared" si="210"/>
        <v>#DIV/0!</v>
      </c>
      <c r="AP213" s="17">
        <v>30</v>
      </c>
      <c r="AR213" s="16">
        <f t="shared" si="197"/>
        <v>92.171659599866729</v>
      </c>
      <c r="AS213" s="29">
        <f>IF(基础状态预期!C223="","",基础状态预期!C223)</f>
        <v>984.50000000000011</v>
      </c>
      <c r="AT213" s="29">
        <f>求节点(节奏总纲!$T$4:$T$163,其他调用!$G$4:$G$163,$AS213)*求节点($CP$5:$CP$36,$CU$5:$CU$36,AS33)</f>
        <v>22248955.107757848</v>
      </c>
      <c r="AU213" s="37">
        <f t="shared" si="211"/>
        <v>0</v>
      </c>
      <c r="AV213" s="37">
        <f t="shared" si="212"/>
        <v>1</v>
      </c>
      <c r="AW213" s="38">
        <f t="shared" si="185"/>
        <v>0.4933333333333334</v>
      </c>
      <c r="AX213" s="38">
        <f t="shared" si="186"/>
        <v>0.26666666666666666</v>
      </c>
      <c r="AY213" s="38">
        <f t="shared" si="187"/>
        <v>0.04</v>
      </c>
      <c r="AZ213" s="38">
        <f t="shared" si="188"/>
        <v>1.6E-2</v>
      </c>
      <c r="BA213" s="29">
        <f t="shared" si="213"/>
        <v>4547288.8263594247</v>
      </c>
      <c r="BB213" s="29">
        <f t="shared" si="198"/>
        <v>9347.2048097388197</v>
      </c>
      <c r="BC213" s="29">
        <f t="shared" si="189"/>
        <v>5052.5431403993607</v>
      </c>
      <c r="BD213" s="29">
        <f t="shared" si="190"/>
        <v>757.88147105990413</v>
      </c>
      <c r="BE213" s="29">
        <f t="shared" si="191"/>
        <v>303.15258842396167</v>
      </c>
      <c r="BF213" s="29">
        <f t="shared" si="199"/>
        <v>8171.3500000000013</v>
      </c>
      <c r="BG213" s="29">
        <f t="shared" si="199"/>
        <v>1476.7500000000002</v>
      </c>
      <c r="BH213" s="29">
        <f t="shared" si="199"/>
        <v>196.90000000000003</v>
      </c>
      <c r="BI213" s="29">
        <f t="shared" si="199"/>
        <v>0</v>
      </c>
      <c r="BJ213" s="29">
        <f>SUM(BB$187:BB213)+BF213</f>
        <v>54335.664764590983</v>
      </c>
      <c r="BK213" s="29">
        <f>SUM(BC$187:BC213)+BG213</f>
        <v>26197.811230842053</v>
      </c>
      <c r="BL213" s="29">
        <f>SUM(BD$187:BD213)+BH213</f>
        <v>3996.3458638000125</v>
      </c>
      <c r="BM213" s="29">
        <f>SUM(BE$187:BE213)+BI213</f>
        <v>1441.5326205139727</v>
      </c>
      <c r="BN213" s="29">
        <f>SUM(BT$187:BT213)</f>
        <v>32.156613097347723</v>
      </c>
      <c r="BO213" s="17" t="e">
        <f t="shared" si="214"/>
        <v>#DIV/0!</v>
      </c>
      <c r="BP213" s="17" t="e">
        <f t="shared" si="215"/>
        <v>#DIV/0!</v>
      </c>
      <c r="BQ213" s="17" t="e">
        <f t="shared" si="216"/>
        <v>#DIV/0!</v>
      </c>
      <c r="BR213" s="17">
        <f t="shared" si="217"/>
        <v>0</v>
      </c>
      <c r="BS213" s="17">
        <f t="shared" si="196"/>
        <v>80</v>
      </c>
      <c r="BT213" s="17">
        <f t="shared" si="218"/>
        <v>0</v>
      </c>
      <c r="BV213" s="17">
        <f t="shared" si="202"/>
        <v>3429.2939629330012</v>
      </c>
    </row>
    <row r="214" spans="8:74" x14ac:dyDescent="0.15">
      <c r="H214" s="17">
        <v>31</v>
      </c>
      <c r="I214" s="29">
        <f>IF(基础状态预期!C224="","",基础状态预期!C224)</f>
        <v>1248.5</v>
      </c>
      <c r="J214" s="29">
        <f>IF(基础状态预期!D224="","",基础状态预期!D224)</f>
        <v>122.26514676047371</v>
      </c>
      <c r="K214" s="29" t="str">
        <f>IF(基础状态预期!F224="","",基础状态预期!F224)</f>
        <v/>
      </c>
      <c r="L214" s="29" t="str">
        <f>IF(基础状态预期!G224="","",基础状态预期!G224)</f>
        <v/>
      </c>
      <c r="M214" s="29" t="str">
        <f>IF(基础状态预期!H224="","",基础状态预期!H224)</f>
        <v/>
      </c>
      <c r="N214" s="29" t="str">
        <f>IF(基础状态预期!I224="","",基础状态预期!I224)</f>
        <v/>
      </c>
      <c r="O214" s="29">
        <f>IF(基础状态预期!J224="","",基础状态预期!J224)</f>
        <v>6</v>
      </c>
      <c r="P214" s="29">
        <f>武将进阶!O211</f>
        <v>0</v>
      </c>
      <c r="Q214" s="29">
        <f>武将进阶!P211</f>
        <v>0</v>
      </c>
      <c r="R214" s="29">
        <f>武将进阶!Q211</f>
        <v>0</v>
      </c>
      <c r="S214" s="29">
        <f>武将进阶!R211</f>
        <v>609.18176112568449</v>
      </c>
      <c r="T214" s="29">
        <f>武将进阶!S211</f>
        <v>0</v>
      </c>
      <c r="U214" s="29">
        <f>武将觉醒!T212</f>
        <v>0</v>
      </c>
      <c r="V214" s="29">
        <f>武将觉醒!U212</f>
        <v>0</v>
      </c>
      <c r="W214" s="29">
        <f>武将觉醒!V212</f>
        <v>0</v>
      </c>
      <c r="X214" s="29">
        <f>武将觉醒!W212</f>
        <v>0</v>
      </c>
      <c r="Y214" s="29">
        <f>武将觉醒!X212</f>
        <v>0</v>
      </c>
      <c r="Z214" s="29"/>
      <c r="AA214" s="29">
        <f>IF(L214="",0,同名需求(L214,武将升星!P211,B$6)+武将升星!U211)</f>
        <v>0</v>
      </c>
      <c r="AB214" s="29">
        <f>IF(M214="",0,同名需求(M214,武将升星!Q211,C$6)+武将升星!V211)</f>
        <v>0</v>
      </c>
      <c r="AC214" s="59">
        <f>IF(N214="",0,同名需求(N214,武将升星!R211,D$6*0.9)+武将升星!W211)</f>
        <v>0</v>
      </c>
      <c r="AD214" s="29">
        <f>IF(O214="",0,同名需求(O214,武将升星!S211,E$6)+武将升星!X211)</f>
        <v>108</v>
      </c>
      <c r="AE214" s="29">
        <f t="shared" si="205"/>
        <v>0</v>
      </c>
      <c r="AF214" s="29">
        <f t="shared" si="206"/>
        <v>0</v>
      </c>
      <c r="AG214" s="29">
        <f t="shared" si="207"/>
        <v>0</v>
      </c>
      <c r="AH214" s="29">
        <f t="shared" si="208"/>
        <v>609.18176112568449</v>
      </c>
      <c r="AI214" s="45">
        <f t="shared" si="209"/>
        <v>108</v>
      </c>
      <c r="AJ214" s="29">
        <f t="shared" si="181"/>
        <v>2029036.2267016431</v>
      </c>
      <c r="AK214" s="14" t="e">
        <f>AJ214/求节点('[1]资源-钻石'!$K$4:$K$113,'[1]资源-钻石'!$P$4:$P$113,J214)</f>
        <v>#VALUE!</v>
      </c>
      <c r="AL214" s="16" t="e">
        <f t="shared" si="210"/>
        <v>#DIV/0!</v>
      </c>
      <c r="AP214" s="17">
        <v>31</v>
      </c>
      <c r="AR214" s="16">
        <f t="shared" si="197"/>
        <v>90.643088155573849</v>
      </c>
      <c r="AS214" s="29">
        <f>IF(基础状态预期!C224="","",基础状态预期!C224)</f>
        <v>1248.5</v>
      </c>
      <c r="AT214" s="29">
        <f>求节点(节奏总纲!$T$4:$T$163,其他调用!$G$4:$G$163,$AS214)*求节点($CP$5:$CP$36,$CU$5:$CU$36,AS34)</f>
        <v>27752803.42056429</v>
      </c>
      <c r="AU214" s="37">
        <f t="shared" si="211"/>
        <v>0</v>
      </c>
      <c r="AV214" s="37">
        <f t="shared" si="212"/>
        <v>1</v>
      </c>
      <c r="AW214" s="38">
        <f t="shared" si="185"/>
        <v>0.4933333333333334</v>
      </c>
      <c r="AX214" s="38">
        <f t="shared" si="186"/>
        <v>0.26666666666666666</v>
      </c>
      <c r="AY214" s="38">
        <f t="shared" si="187"/>
        <v>0.04</v>
      </c>
      <c r="AZ214" s="38">
        <f t="shared" si="188"/>
        <v>1.6E-2</v>
      </c>
      <c r="BA214" s="29">
        <f t="shared" si="213"/>
        <v>5503848.3128064424</v>
      </c>
      <c r="BB214" s="29">
        <f t="shared" si="198"/>
        <v>11313.465976324354</v>
      </c>
      <c r="BC214" s="29">
        <f t="shared" si="189"/>
        <v>6115.3870142293799</v>
      </c>
      <c r="BD214" s="29">
        <f t="shared" si="190"/>
        <v>917.30805213440703</v>
      </c>
      <c r="BE214" s="29">
        <f t="shared" si="191"/>
        <v>366.92322085376281</v>
      </c>
      <c r="BF214" s="29">
        <f t="shared" si="199"/>
        <v>10362.550000000001</v>
      </c>
      <c r="BG214" s="29">
        <f t="shared" si="199"/>
        <v>1872.75</v>
      </c>
      <c r="BH214" s="29">
        <f t="shared" si="199"/>
        <v>249.70000000000002</v>
      </c>
      <c r="BI214" s="29">
        <f t="shared" si="199"/>
        <v>0</v>
      </c>
      <c r="BJ214" s="29">
        <f>SUM(BB$187:BB214)+BF214</f>
        <v>67840.330740915335</v>
      </c>
      <c r="BK214" s="29">
        <f>SUM(BC$187:BC214)+BG214</f>
        <v>32709.198245071435</v>
      </c>
      <c r="BL214" s="29">
        <f>SUM(BD$187:BD214)+BH214</f>
        <v>4966.4539159344195</v>
      </c>
      <c r="BM214" s="29">
        <f>SUM(BE$187:BE214)+BI214</f>
        <v>1808.4558413677355</v>
      </c>
      <c r="BN214" s="29">
        <f>SUM(BT$187:BT214)</f>
        <v>32.156613097347723</v>
      </c>
      <c r="BO214" s="17" t="e">
        <f t="shared" si="214"/>
        <v>#DIV/0!</v>
      </c>
      <c r="BP214" s="17" t="e">
        <f t="shared" si="215"/>
        <v>#DIV/0!</v>
      </c>
      <c r="BQ214" s="17" t="e">
        <f t="shared" si="216"/>
        <v>#DIV/0!</v>
      </c>
      <c r="BR214" s="17">
        <f t="shared" si="217"/>
        <v>0</v>
      </c>
      <c r="BS214" s="17">
        <f t="shared" si="196"/>
        <v>80</v>
      </c>
      <c r="BT214" s="17">
        <f t="shared" si="218"/>
        <v>0</v>
      </c>
      <c r="BV214" s="17">
        <f t="shared" si="202"/>
        <v>4357.2721548087347</v>
      </c>
    </row>
    <row r="215" spans="8:74" x14ac:dyDescent="0.15">
      <c r="H215" s="17">
        <v>32</v>
      </c>
      <c r="I215" s="29">
        <f>IF(基础状态预期!C225="","",基础状态预期!C225)</f>
        <v>1595.0000000000002</v>
      </c>
      <c r="J215" s="29">
        <f>IF(基础状态预期!D225="","",基础状态预期!D225)</f>
        <v>125.84855083483956</v>
      </c>
      <c r="K215" s="29" t="str">
        <f>IF(基础状态预期!F225="","",基础状态预期!F225)</f>
        <v/>
      </c>
      <c r="L215" s="29" t="str">
        <f>IF(基础状态预期!G225="","",基础状态预期!G225)</f>
        <v/>
      </c>
      <c r="M215" s="29" t="str">
        <f>IF(基础状态预期!H225="","",基础状态预期!H225)</f>
        <v/>
      </c>
      <c r="N215" s="29" t="str">
        <f>IF(基础状态预期!I225="","",基础状态预期!I225)</f>
        <v/>
      </c>
      <c r="O215" s="29">
        <f>IF(基础状态预期!J225="","",基础状态预期!J225)</f>
        <v>6</v>
      </c>
      <c r="P215" s="29">
        <f>武将进阶!O212</f>
        <v>0</v>
      </c>
      <c r="Q215" s="29">
        <f>武将进阶!P212</f>
        <v>0</v>
      </c>
      <c r="R215" s="29">
        <f>武将进阶!Q212</f>
        <v>0</v>
      </c>
      <c r="S215" s="29">
        <f>武将进阶!R212</f>
        <v>642</v>
      </c>
      <c r="T215" s="29">
        <f>武将进阶!S212</f>
        <v>0</v>
      </c>
      <c r="U215" s="29">
        <f>武将觉醒!T213</f>
        <v>0</v>
      </c>
      <c r="V215" s="29">
        <f>武将觉醒!U213</f>
        <v>0</v>
      </c>
      <c r="W215" s="29">
        <f>武将觉醒!V213</f>
        <v>0</v>
      </c>
      <c r="X215" s="29">
        <f>武将觉醒!W213</f>
        <v>0</v>
      </c>
      <c r="Y215" s="29">
        <f>武将觉醒!X213</f>
        <v>0</v>
      </c>
      <c r="Z215" s="29"/>
      <c r="AA215" s="29">
        <f>IF(L215="",0,同名需求(L215,武将升星!P212,B$6)+武将升星!U212)</f>
        <v>0</v>
      </c>
      <c r="AB215" s="29">
        <f>IF(M215="",0,同名需求(M215,武将升星!Q212,C$6)+武将升星!V212)</f>
        <v>0</v>
      </c>
      <c r="AC215" s="59">
        <f>IF(N215="",0,同名需求(N215,武将升星!R212,D$6*0.9)+武将升星!W212)</f>
        <v>0</v>
      </c>
      <c r="AD215" s="29">
        <f>IF(O215="",0,同名需求(O215,武将升星!S212,E$6)+武将升星!X212)</f>
        <v>108</v>
      </c>
      <c r="AE215" s="29">
        <f t="shared" si="205"/>
        <v>0</v>
      </c>
      <c r="AF215" s="29">
        <f t="shared" si="206"/>
        <v>0</v>
      </c>
      <c r="AG215" s="29">
        <f t="shared" si="207"/>
        <v>0</v>
      </c>
      <c r="AH215" s="29">
        <f t="shared" si="208"/>
        <v>642</v>
      </c>
      <c r="AI215" s="45">
        <f t="shared" si="209"/>
        <v>108</v>
      </c>
      <c r="AJ215" s="29">
        <f t="shared" si="181"/>
        <v>2107800</v>
      </c>
      <c r="AK215" s="14" t="e">
        <f>AJ215/求节点('[1]资源-钻石'!$K$4:$K$113,'[1]资源-钻石'!$P$4:$P$113,J215)</f>
        <v>#VALUE!</v>
      </c>
      <c r="AL215" s="16" t="e">
        <f t="shared" si="210"/>
        <v>#DIV/0!</v>
      </c>
      <c r="AP215" s="17">
        <v>32</v>
      </c>
      <c r="AR215" s="16">
        <f t="shared" si="197"/>
        <v>88.965591738384674</v>
      </c>
      <c r="AS215" s="29">
        <f>IF(基础状态预期!C225="","",基础状态预期!C225)</f>
        <v>1595.0000000000002</v>
      </c>
      <c r="AT215" s="29">
        <f>求节点(节奏总纲!$T$4:$T$163,其他调用!$G$4:$G$163,$AS215)*求节点($CP$5:$CP$36,$CU$5:$CU$36,AS35)</f>
        <v>34842916.254154861</v>
      </c>
      <c r="AU215" s="37">
        <f t="shared" si="211"/>
        <v>0</v>
      </c>
      <c r="AV215" s="37">
        <f t="shared" si="212"/>
        <v>1</v>
      </c>
      <c r="AW215" s="38">
        <f t="shared" si="185"/>
        <v>0.4933333333333334</v>
      </c>
      <c r="AX215" s="38">
        <f t="shared" si="186"/>
        <v>0.26666666666666666</v>
      </c>
      <c r="AY215" s="38">
        <f t="shared" si="187"/>
        <v>0.04</v>
      </c>
      <c r="AZ215" s="38">
        <f t="shared" si="188"/>
        <v>1.6E-2</v>
      </c>
      <c r="BA215" s="29">
        <f t="shared" si="213"/>
        <v>7090112.8335905708</v>
      </c>
      <c r="BB215" s="29">
        <f t="shared" si="198"/>
        <v>14574.120824602842</v>
      </c>
      <c r="BC215" s="29">
        <f t="shared" si="189"/>
        <v>7877.9031484339675</v>
      </c>
      <c r="BD215" s="29">
        <f t="shared" si="190"/>
        <v>1181.6854722650951</v>
      </c>
      <c r="BE215" s="29">
        <f t="shared" si="191"/>
        <v>472.67418890603807</v>
      </c>
      <c r="BF215" s="29">
        <f t="shared" si="199"/>
        <v>13238.500000000004</v>
      </c>
      <c r="BG215" s="29">
        <f t="shared" si="199"/>
        <v>2392.5000000000005</v>
      </c>
      <c r="BH215" s="29">
        <f t="shared" si="199"/>
        <v>319.00000000000006</v>
      </c>
      <c r="BI215" s="29">
        <f t="shared" si="199"/>
        <v>0</v>
      </c>
      <c r="BJ215" s="29">
        <f>SUM(BB$187:BB215)+BF215</f>
        <v>85290.401565518187</v>
      </c>
      <c r="BK215" s="29">
        <f>SUM(BC$187:BC215)+BG215</f>
        <v>41106.8513935054</v>
      </c>
      <c r="BL215" s="29">
        <f>SUM(BD$187:BD215)+BH215</f>
        <v>6217.4393881995147</v>
      </c>
      <c r="BM215" s="29">
        <f>SUM(BE$187:BE215)+BI215</f>
        <v>2281.1300302737736</v>
      </c>
      <c r="BN215" s="29">
        <f>SUM(BT$187:BT215)</f>
        <v>32.156613097347723</v>
      </c>
      <c r="BO215" s="17" t="e">
        <f t="shared" si="214"/>
        <v>#DIV/0!</v>
      </c>
      <c r="BP215" s="17" t="e">
        <f t="shared" si="215"/>
        <v>#DIV/0!</v>
      </c>
      <c r="BQ215" s="17" t="e">
        <f t="shared" si="216"/>
        <v>#DIV/0!</v>
      </c>
      <c r="BR215" s="17">
        <f t="shared" si="217"/>
        <v>0</v>
      </c>
      <c r="BS215" s="17">
        <f t="shared" si="196"/>
        <v>80</v>
      </c>
      <c r="BT215" s="17">
        <f t="shared" si="218"/>
        <v>0</v>
      </c>
      <c r="BV215" s="17">
        <f t="shared" si="202"/>
        <v>5575.4393881995147</v>
      </c>
    </row>
    <row r="216" spans="8:74" x14ac:dyDescent="0.15">
      <c r="H216" s="17">
        <v>33</v>
      </c>
      <c r="I216" s="29">
        <f>IF(基础状态预期!C226="","",基础状态预期!C226)</f>
        <v>2040.5000000000002</v>
      </c>
      <c r="J216" s="29">
        <f>IF(基础状态预期!D226="","",基础状态预期!D226)</f>
        <v>129.43528964176323</v>
      </c>
      <c r="K216" s="29" t="str">
        <f>IF(基础状态预期!F226="","",基础状态预期!F226)</f>
        <v/>
      </c>
      <c r="L216" s="29" t="str">
        <f>IF(基础状态预期!G226="","",基础状态预期!G226)</f>
        <v/>
      </c>
      <c r="M216" s="29" t="str">
        <f>IF(基础状态预期!H226="","",基础状态预期!H226)</f>
        <v/>
      </c>
      <c r="N216" s="29" t="str">
        <f>IF(基础状态预期!I226="","",基础状态预期!I226)</f>
        <v/>
      </c>
      <c r="O216" s="29">
        <f>IF(基础状态预期!J226="","",基础状态预期!J226)</f>
        <v>6</v>
      </c>
      <c r="P216" s="29">
        <f>武将进阶!O213</f>
        <v>0</v>
      </c>
      <c r="Q216" s="29">
        <f>武将进阶!P213</f>
        <v>0</v>
      </c>
      <c r="R216" s="29">
        <f>武将进阶!Q213</f>
        <v>0</v>
      </c>
      <c r="S216" s="29">
        <f>武将进阶!R213</f>
        <v>642</v>
      </c>
      <c r="T216" s="29">
        <f>武将进阶!S213</f>
        <v>0</v>
      </c>
      <c r="U216" s="29">
        <f>武将觉醒!T214</f>
        <v>0</v>
      </c>
      <c r="V216" s="29">
        <f>武将觉醒!U214</f>
        <v>0</v>
      </c>
      <c r="W216" s="29">
        <f>武将觉醒!V214</f>
        <v>0</v>
      </c>
      <c r="X216" s="29">
        <f>武将觉醒!W214</f>
        <v>0</v>
      </c>
      <c r="Y216" s="29">
        <f>武将觉醒!X214</f>
        <v>0</v>
      </c>
      <c r="Z216" s="29"/>
      <c r="AA216" s="29">
        <f>IF(L216="",0,同名需求(L216,武将升星!P213,B$6)+武将升星!U213)</f>
        <v>0</v>
      </c>
      <c r="AB216" s="29">
        <f>IF(M216="",0,同名需求(M216,武将升星!Q213,C$6)+武将升星!V213)</f>
        <v>0</v>
      </c>
      <c r="AC216" s="59">
        <f>IF(N216="",0,同名需求(N216,武将升星!R213,D$6*0.9)+武将升星!W213)</f>
        <v>0</v>
      </c>
      <c r="AD216" s="29">
        <f>IF(O216="",0,同名需求(O216,武将升星!S213,E$6)+武将升星!X213)</f>
        <v>108</v>
      </c>
      <c r="AE216" s="29">
        <f t="shared" si="205"/>
        <v>0</v>
      </c>
      <c r="AF216" s="29">
        <f t="shared" si="206"/>
        <v>0</v>
      </c>
      <c r="AG216" s="29">
        <f t="shared" si="207"/>
        <v>0</v>
      </c>
      <c r="AH216" s="29">
        <f t="shared" si="208"/>
        <v>642</v>
      </c>
      <c r="AI216" s="45">
        <f t="shared" si="209"/>
        <v>108</v>
      </c>
      <c r="AJ216" s="29">
        <f t="shared" si="181"/>
        <v>2107800</v>
      </c>
      <c r="AK216" s="14" t="e">
        <f>AJ216/求节点('[1]资源-钻石'!$K$4:$K$113,'[1]资源-钻石'!$P$4:$P$113,J216)</f>
        <v>#VALUE!</v>
      </c>
      <c r="AL216" s="16" t="e">
        <f t="shared" si="210"/>
        <v>#DIV/0!</v>
      </c>
      <c r="AP216" s="17">
        <v>33</v>
      </c>
      <c r="AR216" s="16">
        <f t="shared" si="197"/>
        <v>88.10862789117084</v>
      </c>
      <c r="AS216" s="29">
        <f>IF(基础状态预期!C226="","",基础状态预期!C226)</f>
        <v>2040.5000000000002</v>
      </c>
      <c r="AT216" s="29">
        <f>求节点(节奏总纲!$T$4:$T$163,其他调用!$G$4:$G$163,$AS216)*求节点($CP$5:$CP$36,$CU$5:$CU$36,AS36)</f>
        <v>43870966.811023682</v>
      </c>
      <c r="AU216" s="37">
        <f t="shared" si="211"/>
        <v>0</v>
      </c>
      <c r="AV216" s="37">
        <f t="shared" si="212"/>
        <v>1</v>
      </c>
      <c r="AW216" s="38">
        <f t="shared" si="185"/>
        <v>0.4933333333333334</v>
      </c>
      <c r="AX216" s="38">
        <f t="shared" si="186"/>
        <v>0.26666666666666666</v>
      </c>
      <c r="AY216" s="38">
        <f t="shared" si="187"/>
        <v>0.04</v>
      </c>
      <c r="AZ216" s="38">
        <f t="shared" si="188"/>
        <v>1.6E-2</v>
      </c>
      <c r="BA216" s="29">
        <f t="shared" si="213"/>
        <v>9028050.5568688214</v>
      </c>
      <c r="BB216" s="29">
        <f t="shared" si="198"/>
        <v>18557.659478008132</v>
      </c>
      <c r="BC216" s="29">
        <f t="shared" si="189"/>
        <v>10031.1672854098</v>
      </c>
      <c r="BD216" s="29">
        <f t="shared" si="190"/>
        <v>1504.6750928114702</v>
      </c>
      <c r="BE216" s="29">
        <f t="shared" si="191"/>
        <v>601.87003712458807</v>
      </c>
      <c r="BF216" s="29">
        <f t="shared" si="199"/>
        <v>16936.150000000005</v>
      </c>
      <c r="BG216" s="29">
        <f t="shared" si="199"/>
        <v>3060.7500000000005</v>
      </c>
      <c r="BH216" s="29">
        <f t="shared" si="199"/>
        <v>408.10000000000008</v>
      </c>
      <c r="BI216" s="29">
        <f t="shared" si="199"/>
        <v>0</v>
      </c>
      <c r="BJ216" s="29">
        <f>SUM(BB$187:BB216)+BF216</f>
        <v>107545.71104352633</v>
      </c>
      <c r="BK216" s="29">
        <f>SUM(BC$187:BC216)+BG216</f>
        <v>51806.268678915199</v>
      </c>
      <c r="BL216" s="29">
        <f>SUM(BD$187:BD216)+BH216</f>
        <v>7811.2144810109858</v>
      </c>
      <c r="BM216" s="29">
        <f>SUM(BE$187:BE216)+BI216</f>
        <v>2883.0000673983618</v>
      </c>
      <c r="BN216" s="29">
        <f>SUM(BT$187:BT216)</f>
        <v>32.156613097347723</v>
      </c>
      <c r="BO216" s="17" t="e">
        <f t="shared" si="214"/>
        <v>#DIV/0!</v>
      </c>
      <c r="BP216" s="17" t="e">
        <f t="shared" si="215"/>
        <v>#DIV/0!</v>
      </c>
      <c r="BQ216" s="17" t="e">
        <f t="shared" si="216"/>
        <v>#DIV/0!</v>
      </c>
      <c r="BR216" s="17">
        <f t="shared" si="217"/>
        <v>0</v>
      </c>
      <c r="BS216" s="17">
        <f t="shared" si="196"/>
        <v>80</v>
      </c>
      <c r="BT216" s="17">
        <f t="shared" si="218"/>
        <v>0</v>
      </c>
      <c r="BV216" s="17">
        <f t="shared" si="202"/>
        <v>7169.2144810109858</v>
      </c>
    </row>
    <row r="217" spans="8:74" x14ac:dyDescent="0.15">
      <c r="H217" s="17">
        <v>34</v>
      </c>
      <c r="I217" s="29">
        <f>IF(基础状态预期!C227="","",基础状态预期!C227)</f>
        <v>2601.5</v>
      </c>
      <c r="J217" s="29">
        <f>IF(基础状态预期!D227="","",基础状态预期!D227)</f>
        <v>133.03192104200832</v>
      </c>
      <c r="K217" s="29" t="str">
        <f>IF(基础状态预期!F227="","",基础状态预期!F227)</f>
        <v/>
      </c>
      <c r="L217" s="29" t="str">
        <f>IF(基础状态预期!G227="","",基础状态预期!G227)</f>
        <v/>
      </c>
      <c r="M217" s="29" t="str">
        <f>IF(基础状态预期!H227="","",基础状态预期!H227)</f>
        <v/>
      </c>
      <c r="N217" s="29" t="str">
        <f>IF(基础状态预期!I227="","",基础状态预期!I227)</f>
        <v/>
      </c>
      <c r="O217" s="29">
        <f>IF(基础状态预期!J227="","",基础状态预期!J227)</f>
        <v>6</v>
      </c>
      <c r="P217" s="29">
        <f>武将进阶!O214</f>
        <v>0</v>
      </c>
      <c r="Q217" s="29">
        <f>武将进阶!P214</f>
        <v>0</v>
      </c>
      <c r="R217" s="29">
        <f>武将进阶!Q214</f>
        <v>0</v>
      </c>
      <c r="S217" s="29">
        <f>武将进阶!R214</f>
        <v>642</v>
      </c>
      <c r="T217" s="29">
        <f>武将进阶!S214</f>
        <v>0</v>
      </c>
      <c r="U217" s="29">
        <f>武将觉醒!T215</f>
        <v>0</v>
      </c>
      <c r="V217" s="29">
        <f>武将觉醒!U215</f>
        <v>0</v>
      </c>
      <c r="W217" s="29">
        <f>武将觉醒!V215</f>
        <v>0</v>
      </c>
      <c r="X217" s="29">
        <f>武将觉醒!W215</f>
        <v>0</v>
      </c>
      <c r="Y217" s="29">
        <f>武将觉醒!X215</f>
        <v>0</v>
      </c>
      <c r="Z217" s="29"/>
      <c r="AA217" s="29">
        <f>IF(L217="",0,同名需求(L217,武将升星!P214,B$6)+武将升星!U214)</f>
        <v>0</v>
      </c>
      <c r="AB217" s="29">
        <f>IF(M217="",0,同名需求(M217,武将升星!Q214,C$6)+武将升星!V214)</f>
        <v>0</v>
      </c>
      <c r="AC217" s="59">
        <f>IF(N217="",0,同名需求(N217,武将升星!R214,D$6*0.9)+武将升星!W214)</f>
        <v>0</v>
      </c>
      <c r="AD217" s="29">
        <f>IF(O217="",0,同名需求(O217,武将升星!S214,E$6)+武将升星!X214)</f>
        <v>108</v>
      </c>
      <c r="AE217" s="29">
        <f t="shared" si="205"/>
        <v>0</v>
      </c>
      <c r="AF217" s="29">
        <f t="shared" si="206"/>
        <v>0</v>
      </c>
      <c r="AG217" s="29">
        <f t="shared" si="207"/>
        <v>0</v>
      </c>
      <c r="AH217" s="29">
        <f t="shared" si="208"/>
        <v>642</v>
      </c>
      <c r="AI217" s="45">
        <f t="shared" si="209"/>
        <v>108</v>
      </c>
      <c r="AJ217" s="29">
        <f t="shared" si="181"/>
        <v>2107800</v>
      </c>
      <c r="AK217" s="14" t="e">
        <f>AJ217/求节点('[1]资源-钻石'!$K$4:$K$113,'[1]资源-钻石'!$P$4:$P$113,J217)</f>
        <v>#VALUE!</v>
      </c>
      <c r="AL217" s="16" t="e">
        <f t="shared" si="210"/>
        <v>#DIV/0!</v>
      </c>
      <c r="AP217" s="17">
        <v>34</v>
      </c>
      <c r="AR217" s="16">
        <f t="shared" si="197"/>
        <v>86.666264923810147</v>
      </c>
      <c r="AS217" s="29">
        <f>IF(基础状态预期!C227="","",基础状态预期!C227)</f>
        <v>2601.5</v>
      </c>
      <c r="AT217" s="29">
        <f>求节点(节奏总纲!$T$4:$T$163,其他调用!$G$4:$G$163,$AS217)*求节点($CP$5:$CP$36,$CU$5:$CU$36,AS37)</f>
        <v>55053514.974142902</v>
      </c>
      <c r="AU217" s="37">
        <f t="shared" si="211"/>
        <v>0</v>
      </c>
      <c r="AV217" s="37">
        <f t="shared" si="212"/>
        <v>1</v>
      </c>
      <c r="AW217" s="38">
        <f t="shared" si="185"/>
        <v>0.4933333333333334</v>
      </c>
      <c r="AX217" s="38">
        <f t="shared" si="186"/>
        <v>0.26666666666666666</v>
      </c>
      <c r="AY217" s="38">
        <f t="shared" si="187"/>
        <v>0.04</v>
      </c>
      <c r="AZ217" s="38">
        <f t="shared" si="188"/>
        <v>1.6E-2</v>
      </c>
      <c r="BA217" s="29">
        <f t="shared" si="213"/>
        <v>11182548.163119219</v>
      </c>
      <c r="BB217" s="29">
        <f t="shared" si="198"/>
        <v>22986.34900196729</v>
      </c>
      <c r="BC217" s="29">
        <f t="shared" si="189"/>
        <v>12425.05351457691</v>
      </c>
      <c r="BD217" s="29">
        <f t="shared" si="190"/>
        <v>1863.7580271865368</v>
      </c>
      <c r="BE217" s="29">
        <f t="shared" si="191"/>
        <v>745.50321087461464</v>
      </c>
      <c r="BF217" s="29">
        <f t="shared" si="199"/>
        <v>21592.45</v>
      </c>
      <c r="BG217" s="29">
        <f t="shared" si="199"/>
        <v>3902.25</v>
      </c>
      <c r="BH217" s="29">
        <f t="shared" si="199"/>
        <v>520.30000000000007</v>
      </c>
      <c r="BI217" s="29">
        <f t="shared" si="199"/>
        <v>0</v>
      </c>
      <c r="BJ217" s="29">
        <f>SUM(BB$187:BB217)+BF217</f>
        <v>135188.36004549361</v>
      </c>
      <c r="BK217" s="29">
        <f>SUM(BC$187:BC217)+BG217</f>
        <v>65072.822193492109</v>
      </c>
      <c r="BL217" s="29">
        <f>SUM(BD$187:BD217)+BH217</f>
        <v>9787.1725081975219</v>
      </c>
      <c r="BM217" s="29">
        <f>SUM(BE$187:BE217)+BI217</f>
        <v>3628.5032782729763</v>
      </c>
      <c r="BN217" s="29">
        <f>SUM(BT$187:BT217)</f>
        <v>32.156613097347723</v>
      </c>
      <c r="BO217" s="17" t="e">
        <f t="shared" si="214"/>
        <v>#DIV/0!</v>
      </c>
      <c r="BP217" s="17" t="e">
        <f t="shared" si="215"/>
        <v>#DIV/0!</v>
      </c>
      <c r="BQ217" s="17" t="e">
        <f t="shared" si="216"/>
        <v>#DIV/0!</v>
      </c>
      <c r="BR217" s="17">
        <f t="shared" si="217"/>
        <v>0</v>
      </c>
      <c r="BS217" s="17">
        <f t="shared" si="196"/>
        <v>80</v>
      </c>
      <c r="BT217" s="17">
        <f t="shared" si="218"/>
        <v>0</v>
      </c>
      <c r="BV217" s="17">
        <f t="shared" si="202"/>
        <v>9145.1725081975219</v>
      </c>
    </row>
    <row r="218" spans="8:74" x14ac:dyDescent="0.15">
      <c r="H218" s="17">
        <v>35</v>
      </c>
      <c r="I218" s="29">
        <f>IF(基础状态预期!C228="","",基础状态预期!C228)</f>
        <v>3311.0000000000005</v>
      </c>
      <c r="J218" s="29">
        <f>IF(基础状态预期!D228="","",基础状态预期!D228)</f>
        <v>136.45508882162355</v>
      </c>
      <c r="K218" s="29" t="str">
        <f>IF(基础状态预期!F228="","",基础状态预期!F228)</f>
        <v/>
      </c>
      <c r="L218" s="29" t="str">
        <f>IF(基础状态预期!G228="","",基础状态预期!G228)</f>
        <v/>
      </c>
      <c r="M218" s="29" t="str">
        <f>IF(基础状态预期!H228="","",基础状态预期!H228)</f>
        <v/>
      </c>
      <c r="N218" s="29" t="str">
        <f>IF(基础状态预期!I228="","",基础状态预期!I228)</f>
        <v/>
      </c>
      <c r="O218" s="29">
        <f>IF(基础状态预期!J228="","",基础状态预期!J228)</f>
        <v>6</v>
      </c>
      <c r="P218" s="29">
        <f>武将进阶!O215</f>
        <v>0</v>
      </c>
      <c r="Q218" s="29">
        <f>武将进阶!P215</f>
        <v>0</v>
      </c>
      <c r="R218" s="29">
        <f>武将进阶!Q215</f>
        <v>0</v>
      </c>
      <c r="S218" s="29">
        <f>武将进阶!R215</f>
        <v>642</v>
      </c>
      <c r="T218" s="29">
        <f>武将进阶!S215</f>
        <v>0</v>
      </c>
      <c r="U218" s="29">
        <f>武将觉醒!T216</f>
        <v>0</v>
      </c>
      <c r="V218" s="29">
        <f>武将觉醒!U216</f>
        <v>0</v>
      </c>
      <c r="W218" s="29">
        <f>武将觉醒!V216</f>
        <v>0</v>
      </c>
      <c r="X218" s="29">
        <f>武将觉醒!W216</f>
        <v>0</v>
      </c>
      <c r="Y218" s="29">
        <f>武将觉醒!X216</f>
        <v>0</v>
      </c>
      <c r="Z218" s="29"/>
      <c r="AA218" s="29">
        <f>IF(L218="",0,同名需求(L218,武将升星!P215,B$6)+武将升星!U215)</f>
        <v>0</v>
      </c>
      <c r="AB218" s="29">
        <f>IF(M218="",0,同名需求(M218,武将升星!Q215,C$6)+武将升星!V215)</f>
        <v>0</v>
      </c>
      <c r="AC218" s="59">
        <f>IF(N218="",0,同名需求(N218,武将升星!R215,D$6*0.9)+武将升星!W215)</f>
        <v>0</v>
      </c>
      <c r="AD218" s="29">
        <f>IF(O218="",0,同名需求(O218,武将升星!S215,E$6)+武将升星!X215)</f>
        <v>108</v>
      </c>
      <c r="AE218" s="29">
        <f t="shared" si="205"/>
        <v>0</v>
      </c>
      <c r="AF218" s="29">
        <f t="shared" si="206"/>
        <v>0</v>
      </c>
      <c r="AG218" s="29">
        <f t="shared" si="207"/>
        <v>0</v>
      </c>
      <c r="AH218" s="29">
        <f t="shared" si="208"/>
        <v>642</v>
      </c>
      <c r="AI218" s="45">
        <f t="shared" si="209"/>
        <v>108</v>
      </c>
      <c r="AJ218" s="29">
        <f t="shared" si="181"/>
        <v>2107800</v>
      </c>
      <c r="AK218" s="14" t="e">
        <f>AJ218/求节点('[1]资源-钻石'!$K$4:$K$113,'[1]资源-钻石'!$P$4:$P$113,J218)</f>
        <v>#VALUE!</v>
      </c>
      <c r="AL218" s="16" t="e">
        <f t="shared" si="210"/>
        <v>#DIV/0!</v>
      </c>
      <c r="AP218" s="17">
        <v>35</v>
      </c>
      <c r="AR218" s="16">
        <f t="shared" si="197"/>
        <v>85.050330240505318</v>
      </c>
      <c r="AS218" s="29">
        <f>IF(基础状态预期!C228="","",基础状态预期!C228)</f>
        <v>3311.0000000000005</v>
      </c>
      <c r="AT218" s="29">
        <f>求节点(节奏总纲!$T$4:$T$163,其他调用!$G$4:$G$163,$AS218)*求节点($CP$5:$CP$36,$CU$5:$CU$36,AS38)</f>
        <v>68932453.114439771</v>
      </c>
      <c r="AU218" s="37">
        <f t="shared" si="211"/>
        <v>0</v>
      </c>
      <c r="AV218" s="37">
        <f t="shared" si="212"/>
        <v>1</v>
      </c>
      <c r="AW218" s="38">
        <f t="shared" si="185"/>
        <v>0.4933333333333334</v>
      </c>
      <c r="AX218" s="38">
        <f t="shared" si="186"/>
        <v>0.26666666666666666</v>
      </c>
      <c r="AY218" s="38">
        <f t="shared" si="187"/>
        <v>0.04</v>
      </c>
      <c r="AZ218" s="38">
        <f t="shared" si="188"/>
        <v>1.6E-2</v>
      </c>
      <c r="BA218" s="29">
        <f t="shared" si="213"/>
        <v>13878938.140296869</v>
      </c>
      <c r="BB218" s="29">
        <f t="shared" si="198"/>
        <v>28528.928399499124</v>
      </c>
      <c r="BC218" s="29">
        <f t="shared" si="189"/>
        <v>15421.042378107633</v>
      </c>
      <c r="BD218" s="29">
        <f t="shared" si="190"/>
        <v>2313.1563567161452</v>
      </c>
      <c r="BE218" s="29">
        <f t="shared" si="191"/>
        <v>925.262542686458</v>
      </c>
      <c r="BF218" s="29">
        <f t="shared" si="199"/>
        <v>27481.300000000007</v>
      </c>
      <c r="BG218" s="29">
        <f t="shared" si="199"/>
        <v>4966.5000000000009</v>
      </c>
      <c r="BH218" s="29">
        <f t="shared" si="199"/>
        <v>662.20000000000016</v>
      </c>
      <c r="BI218" s="29">
        <f t="shared" si="199"/>
        <v>0</v>
      </c>
      <c r="BJ218" s="29">
        <f>SUM(BB$187:BB218)+BF218</f>
        <v>169606.13844499274</v>
      </c>
      <c r="BK218" s="29">
        <f>SUM(BC$187:BC218)+BG218</f>
        <v>81558.114571599741</v>
      </c>
      <c r="BL218" s="29">
        <f>SUM(BD$187:BD218)+BH218</f>
        <v>12242.228864913668</v>
      </c>
      <c r="BM218" s="29">
        <f>SUM(BE$187:BE218)+BI218</f>
        <v>4553.7658209594347</v>
      </c>
      <c r="BN218" s="29">
        <f>SUM(BT$187:BT218)</f>
        <v>32.156613097347723</v>
      </c>
      <c r="BO218" s="17" t="e">
        <f t="shared" si="214"/>
        <v>#DIV/0!</v>
      </c>
      <c r="BP218" s="17" t="e">
        <f t="shared" si="215"/>
        <v>#DIV/0!</v>
      </c>
      <c r="BQ218" s="17" t="e">
        <f t="shared" si="216"/>
        <v>#DIV/0!</v>
      </c>
      <c r="BR218" s="17">
        <f t="shared" si="217"/>
        <v>0</v>
      </c>
      <c r="BS218" s="17">
        <f t="shared" si="196"/>
        <v>80</v>
      </c>
      <c r="BT218" s="17">
        <f t="shared" si="218"/>
        <v>0</v>
      </c>
      <c r="BV218" s="17">
        <f t="shared" si="202"/>
        <v>11600.228864913668</v>
      </c>
    </row>
    <row r="219" spans="8:74" x14ac:dyDescent="0.15">
      <c r="H219" s="17">
        <v>36</v>
      </c>
      <c r="I219" s="29">
        <f>IF(基础状态预期!C229="","",基础状态预期!C229)</f>
        <v>4218.5</v>
      </c>
      <c r="J219" s="29">
        <f>IF(基础状态预期!D229="","",基础状态预期!D229)</f>
        <v>140.08772492574531</v>
      </c>
      <c r="K219" s="29" t="str">
        <f>IF(基础状态预期!F229="","",基础状态预期!F229)</f>
        <v/>
      </c>
      <c r="L219" s="29" t="str">
        <f>IF(基础状态预期!G229="","",基础状态预期!G229)</f>
        <v/>
      </c>
      <c r="M219" s="29" t="str">
        <f>IF(基础状态预期!H229="","",基础状态预期!H229)</f>
        <v/>
      </c>
      <c r="N219" s="29" t="str">
        <f>IF(基础状态预期!I229="","",基础状态预期!I229)</f>
        <v/>
      </c>
      <c r="O219" s="29">
        <f>IF(基础状态预期!J229="","",基础状态预期!J229)</f>
        <v>6</v>
      </c>
      <c r="P219" s="29">
        <f>武将进阶!O216</f>
        <v>0</v>
      </c>
      <c r="Q219" s="29">
        <f>武将进阶!P216</f>
        <v>0</v>
      </c>
      <c r="R219" s="29">
        <f>武将进阶!Q216</f>
        <v>0</v>
      </c>
      <c r="S219" s="29">
        <f>武将进阶!R216</f>
        <v>642</v>
      </c>
      <c r="T219" s="29">
        <f>武将进阶!S216</f>
        <v>0</v>
      </c>
      <c r="U219" s="29">
        <f>武将觉醒!T217</f>
        <v>0</v>
      </c>
      <c r="V219" s="29">
        <f>武将觉醒!U217</f>
        <v>0</v>
      </c>
      <c r="W219" s="29">
        <f>武将觉醒!V217</f>
        <v>0</v>
      </c>
      <c r="X219" s="29">
        <f>武将觉醒!W217</f>
        <v>0</v>
      </c>
      <c r="Y219" s="29">
        <f>武将觉醒!X217</f>
        <v>0</v>
      </c>
      <c r="Z219" s="29"/>
      <c r="AA219" s="29">
        <f>IF(L219="",0,同名需求(L219,武将升星!P216,B$6)+武将升星!U216)</f>
        <v>0</v>
      </c>
      <c r="AB219" s="29">
        <f>IF(M219="",0,同名需求(M219,武将升星!Q216,C$6)+武将升星!V216)</f>
        <v>0</v>
      </c>
      <c r="AC219" s="59">
        <f>IF(N219="",0,同名需求(N219,武将升星!R216,D$6*0.9)+武将升星!W216)</f>
        <v>0</v>
      </c>
      <c r="AD219" s="29">
        <f>IF(O219="",0,同名需求(O219,武将升星!S216,E$6)+武将升星!X216)</f>
        <v>108</v>
      </c>
      <c r="AE219" s="29">
        <f t="shared" si="205"/>
        <v>0</v>
      </c>
      <c r="AF219" s="29">
        <f t="shared" si="206"/>
        <v>0</v>
      </c>
      <c r="AG219" s="29">
        <f t="shared" si="207"/>
        <v>0</v>
      </c>
      <c r="AH219" s="29">
        <f t="shared" si="208"/>
        <v>642</v>
      </c>
      <c r="AI219" s="45">
        <f t="shared" si="209"/>
        <v>108</v>
      </c>
      <c r="AJ219" s="29">
        <f t="shared" si="181"/>
        <v>2107800</v>
      </c>
      <c r="AK219" s="14" t="e">
        <f>AJ219/求节点('[1]资源-钻石'!$K$4:$K$113,'[1]资源-钻石'!$P$4:$P$113,J219)</f>
        <v>#VALUE!</v>
      </c>
      <c r="AL219" s="16" t="e">
        <f t="shared" si="210"/>
        <v>#DIV/0!</v>
      </c>
      <c r="AP219" s="17">
        <v>36</v>
      </c>
      <c r="AR219" s="16">
        <f t="shared" si="197"/>
        <v>84.056649426703416</v>
      </c>
      <c r="AS219" s="29">
        <f>IF(基础状态预期!C229="","",基础状态预期!C229)</f>
        <v>4218.5</v>
      </c>
      <c r="AT219" s="29">
        <f>求节点(节奏总纲!$T$4:$T$163,其他调用!$G$4:$G$163,$AS219)*求节点($CP$5:$CP$36,$CU$5:$CU$36,AS39)</f>
        <v>86477177.266028434</v>
      </c>
      <c r="AU219" s="37">
        <f t="shared" si="211"/>
        <v>0</v>
      </c>
      <c r="AV219" s="37">
        <f t="shared" si="212"/>
        <v>1</v>
      </c>
      <c r="AW219" s="38">
        <f t="shared" si="185"/>
        <v>0.4933333333333334</v>
      </c>
      <c r="AX219" s="38">
        <f t="shared" si="186"/>
        <v>0.26666666666666666</v>
      </c>
      <c r="AY219" s="38">
        <f t="shared" si="187"/>
        <v>0.04</v>
      </c>
      <c r="AZ219" s="38">
        <f t="shared" si="188"/>
        <v>1.6E-2</v>
      </c>
      <c r="BA219" s="29">
        <f t="shared" si="213"/>
        <v>17544724.151588663</v>
      </c>
      <c r="BB219" s="29">
        <f t="shared" si="198"/>
        <v>36064.15520048781</v>
      </c>
      <c r="BC219" s="29">
        <f t="shared" si="189"/>
        <v>19494.137946209627</v>
      </c>
      <c r="BD219" s="29">
        <f t="shared" si="190"/>
        <v>2924.1206919314441</v>
      </c>
      <c r="BE219" s="29">
        <f t="shared" si="191"/>
        <v>1169.6482767725777</v>
      </c>
      <c r="BF219" s="29">
        <f t="shared" si="199"/>
        <v>35013.550000000003</v>
      </c>
      <c r="BG219" s="29">
        <f t="shared" si="199"/>
        <v>6327.75</v>
      </c>
      <c r="BH219" s="29">
        <f t="shared" si="199"/>
        <v>843.7</v>
      </c>
      <c r="BI219" s="29">
        <f t="shared" si="199"/>
        <v>0</v>
      </c>
      <c r="BJ219" s="29">
        <f>SUM(BB$187:BB219)+BF219</f>
        <v>213202.54364548053</v>
      </c>
      <c r="BK219" s="29">
        <f>SUM(BC$187:BC219)+BG219</f>
        <v>102413.50251780936</v>
      </c>
      <c r="BL219" s="29">
        <f>SUM(BD$187:BD219)+BH219</f>
        <v>15347.849556845113</v>
      </c>
      <c r="BM219" s="29">
        <f>SUM(BE$187:BE219)+BI219</f>
        <v>5723.4140977320121</v>
      </c>
      <c r="BN219" s="29">
        <f>SUM(BT$187:BT219)</f>
        <v>32.156613097347723</v>
      </c>
      <c r="BO219" s="17" t="e">
        <f t="shared" si="214"/>
        <v>#DIV/0!</v>
      </c>
      <c r="BP219" s="17" t="e">
        <f t="shared" si="215"/>
        <v>#DIV/0!</v>
      </c>
      <c r="BQ219" s="17" t="e">
        <f t="shared" si="216"/>
        <v>#DIV/0!</v>
      </c>
      <c r="BR219" s="17">
        <f t="shared" si="217"/>
        <v>0</v>
      </c>
      <c r="BS219" s="17">
        <f t="shared" si="196"/>
        <v>80</v>
      </c>
      <c r="BT219" s="17">
        <f t="shared" si="218"/>
        <v>0</v>
      </c>
      <c r="BV219" s="17">
        <f t="shared" si="202"/>
        <v>14705.849556845113</v>
      </c>
    </row>
    <row r="220" spans="8:74" x14ac:dyDescent="0.15">
      <c r="H220" s="17">
        <v>37</v>
      </c>
      <c r="I220" s="29">
        <f>IF(基础状态预期!C230="","",基础状态预期!C230)</f>
        <v>5373.5</v>
      </c>
      <c r="J220" s="29">
        <f>IF(基础状态预期!D230="","",基础状态预期!D230)</f>
        <v>143.51956656528549</v>
      </c>
      <c r="K220" s="29" t="str">
        <f>IF(基础状态预期!F230="","",基础状态预期!F230)</f>
        <v/>
      </c>
      <c r="L220" s="29" t="str">
        <f>IF(基础状态预期!G230="","",基础状态预期!G230)</f>
        <v/>
      </c>
      <c r="M220" s="29" t="str">
        <f>IF(基础状态预期!H230="","",基础状态预期!H230)</f>
        <v/>
      </c>
      <c r="N220" s="29" t="str">
        <f>IF(基础状态预期!I230="","",基础状态预期!I230)</f>
        <v/>
      </c>
      <c r="O220" s="29">
        <f>IF(基础状态预期!J230="","",基础状态预期!J230)</f>
        <v>6</v>
      </c>
      <c r="P220" s="29">
        <f>武将进阶!O217</f>
        <v>0</v>
      </c>
      <c r="Q220" s="29">
        <f>武将进阶!P217</f>
        <v>0</v>
      </c>
      <c r="R220" s="29">
        <f>武将进阶!Q217</f>
        <v>0</v>
      </c>
      <c r="S220" s="29">
        <f>武将进阶!R217</f>
        <v>642</v>
      </c>
      <c r="T220" s="29">
        <f>武将进阶!S217</f>
        <v>0</v>
      </c>
      <c r="U220" s="29">
        <f>武将觉醒!T218</f>
        <v>0</v>
      </c>
      <c r="V220" s="29">
        <f>武将觉醒!U218</f>
        <v>0</v>
      </c>
      <c r="W220" s="29">
        <f>武将觉醒!V218</f>
        <v>0</v>
      </c>
      <c r="X220" s="29">
        <f>武将觉醒!W218</f>
        <v>0</v>
      </c>
      <c r="Y220" s="29">
        <f>武将觉醒!X218</f>
        <v>0</v>
      </c>
      <c r="Z220" s="29"/>
      <c r="AA220" s="29">
        <f>IF(L220="",0,同名需求(L220,武将升星!P217,B$6)+武将升星!U217)</f>
        <v>0</v>
      </c>
      <c r="AB220" s="29">
        <f>IF(M220="",0,同名需求(M220,武将升星!Q217,C$6)+武将升星!V217)</f>
        <v>0</v>
      </c>
      <c r="AC220" s="59">
        <f>IF(N220="",0,同名需求(N220,武将升星!R217,D$6*0.9)+武将升星!W217)</f>
        <v>0</v>
      </c>
      <c r="AD220" s="29">
        <f>IF(O220="",0,同名需求(O220,武将升星!S217,E$6)+武将升星!X217)</f>
        <v>108</v>
      </c>
      <c r="AE220" s="29">
        <f t="shared" si="205"/>
        <v>0</v>
      </c>
      <c r="AF220" s="29">
        <f t="shared" si="206"/>
        <v>0</v>
      </c>
      <c r="AG220" s="29">
        <f t="shared" si="207"/>
        <v>0</v>
      </c>
      <c r="AH220" s="29">
        <f t="shared" si="208"/>
        <v>642</v>
      </c>
      <c r="AI220" s="45">
        <f t="shared" si="209"/>
        <v>108</v>
      </c>
      <c r="AJ220" s="29">
        <f t="shared" si="181"/>
        <v>2107800</v>
      </c>
      <c r="AK220" s="14" t="e">
        <f>AJ220/求节点('[1]资源-钻石'!$K$4:$K$113,'[1]资源-钻石'!$P$4:$P$113,J220)</f>
        <v>#VALUE!</v>
      </c>
      <c r="AL220" s="16" t="e">
        <f t="shared" si="210"/>
        <v>#DIV/0!</v>
      </c>
      <c r="AP220" s="17">
        <v>37</v>
      </c>
      <c r="AR220" s="16">
        <f t="shared" si="197"/>
        <v>82.942562457007099</v>
      </c>
      <c r="AS220" s="29">
        <f>IF(基础状态预期!C230="","",基础状态预期!C230)</f>
        <v>5373.5</v>
      </c>
      <c r="AT220" s="29">
        <f>求节点(节奏总纲!$T$4:$T$163,其他调用!$G$4:$G$163,$AS220)*求节点($CP$5:$CP$36,$CU$5:$CU$36,AS40)</f>
        <v>108510868.98273237</v>
      </c>
      <c r="AU220" s="37">
        <f t="shared" si="211"/>
        <v>0</v>
      </c>
      <c r="AV220" s="37">
        <f t="shared" si="212"/>
        <v>1</v>
      </c>
      <c r="AW220" s="38">
        <f t="shared" si="185"/>
        <v>0.4933333333333334</v>
      </c>
      <c r="AX220" s="38">
        <f t="shared" si="186"/>
        <v>0.26666666666666666</v>
      </c>
      <c r="AY220" s="38">
        <f t="shared" si="187"/>
        <v>0.04</v>
      </c>
      <c r="AZ220" s="38">
        <f t="shared" si="188"/>
        <v>1.6E-2</v>
      </c>
      <c r="BA220" s="29">
        <f t="shared" si="213"/>
        <v>22033691.716703936</v>
      </c>
      <c r="BB220" s="29">
        <f t="shared" si="198"/>
        <v>45291.477417669208</v>
      </c>
      <c r="BC220" s="29">
        <f t="shared" si="189"/>
        <v>24481.879685226595</v>
      </c>
      <c r="BD220" s="29">
        <f t="shared" si="190"/>
        <v>3672.2819527839893</v>
      </c>
      <c r="BE220" s="29">
        <f t="shared" si="191"/>
        <v>1468.9127811135957</v>
      </c>
      <c r="BF220" s="29">
        <f t="shared" si="199"/>
        <v>44600.05</v>
      </c>
      <c r="BG220" s="29">
        <f t="shared" si="199"/>
        <v>8060.25</v>
      </c>
      <c r="BH220" s="29">
        <f t="shared" si="199"/>
        <v>1074.7</v>
      </c>
      <c r="BI220" s="29">
        <f t="shared" si="199"/>
        <v>0</v>
      </c>
      <c r="BJ220" s="29">
        <f>SUM(BB$187:BB220)+BF220</f>
        <v>268080.52106314973</v>
      </c>
      <c r="BK220" s="29">
        <f>SUM(BC$187:BC220)+BG220</f>
        <v>128627.88220303596</v>
      </c>
      <c r="BL220" s="29">
        <f>SUM(BD$187:BD220)+BH220</f>
        <v>19251.131509629104</v>
      </c>
      <c r="BM220" s="29">
        <f>SUM(BE$187:BE220)+BI220</f>
        <v>7192.326878845608</v>
      </c>
      <c r="BN220" s="29">
        <f>SUM(BT$187:BT220)</f>
        <v>32.156613097347723</v>
      </c>
      <c r="BO220" s="17" t="e">
        <f t="shared" si="214"/>
        <v>#DIV/0!</v>
      </c>
      <c r="BP220" s="17" t="e">
        <f t="shared" si="215"/>
        <v>#DIV/0!</v>
      </c>
      <c r="BQ220" s="17" t="e">
        <f t="shared" si="216"/>
        <v>#DIV/0!</v>
      </c>
      <c r="BR220" s="17">
        <f t="shared" si="217"/>
        <v>0</v>
      </c>
      <c r="BS220" s="17">
        <f t="shared" si="196"/>
        <v>80</v>
      </c>
      <c r="BT220" s="17">
        <f t="shared" si="218"/>
        <v>0</v>
      </c>
      <c r="BV220" s="17">
        <f t="shared" si="202"/>
        <v>18609.131509629104</v>
      </c>
    </row>
    <row r="221" spans="8:74" x14ac:dyDescent="0.15">
      <c r="H221" s="17">
        <v>38</v>
      </c>
      <c r="I221" s="29">
        <f>IF(基础状态预期!C231="","",基础状态预期!C231)</f>
        <v>6842.0000000000009</v>
      </c>
      <c r="J221" s="29">
        <f>IF(基础状态预期!D231="","",基础状态预期!D231)</f>
        <v>147.17868266109423</v>
      </c>
      <c r="K221" s="29" t="str">
        <f>IF(基础状态预期!F231="","",基础状态预期!F231)</f>
        <v/>
      </c>
      <c r="L221" s="29" t="str">
        <f>IF(基础状态预期!G231="","",基础状态预期!G231)</f>
        <v/>
      </c>
      <c r="M221" s="29" t="str">
        <f>IF(基础状态预期!H231="","",基础状态预期!H231)</f>
        <v/>
      </c>
      <c r="N221" s="29" t="str">
        <f>IF(基础状态预期!I231="","",基础状态预期!I231)</f>
        <v/>
      </c>
      <c r="O221" s="29">
        <f>IF(基础状态预期!J231="","",基础状态预期!J231)</f>
        <v>6</v>
      </c>
      <c r="P221" s="29">
        <f>武将进阶!O218</f>
        <v>0</v>
      </c>
      <c r="Q221" s="29">
        <f>武将进阶!P218</f>
        <v>0</v>
      </c>
      <c r="R221" s="29">
        <f>武将进阶!Q218</f>
        <v>0</v>
      </c>
      <c r="S221" s="29">
        <f>武将进阶!R218</f>
        <v>642</v>
      </c>
      <c r="T221" s="29">
        <f>武将进阶!S218</f>
        <v>0</v>
      </c>
      <c r="U221" s="29">
        <f>武将觉醒!T219</f>
        <v>0</v>
      </c>
      <c r="V221" s="29">
        <f>武将觉醒!U219</f>
        <v>0</v>
      </c>
      <c r="W221" s="29">
        <f>武将觉醒!V219</f>
        <v>0</v>
      </c>
      <c r="X221" s="29">
        <f>武将觉醒!W219</f>
        <v>0</v>
      </c>
      <c r="Y221" s="29">
        <f>武将觉醒!X219</f>
        <v>0</v>
      </c>
      <c r="Z221" s="29"/>
      <c r="AA221" s="29">
        <f>IF(L221="",0,同名需求(L221,武将升星!P218,B$6)+武将升星!U218)</f>
        <v>0</v>
      </c>
      <c r="AB221" s="29">
        <f>IF(M221="",0,同名需求(M221,武将升星!Q218,C$6)+武将升星!V218)</f>
        <v>0</v>
      </c>
      <c r="AC221" s="59">
        <f>IF(N221="",0,同名需求(N221,武将升星!R218,D$6*0.9)+武将升星!W218)</f>
        <v>0</v>
      </c>
      <c r="AD221" s="29">
        <f>IF(O221="",0,同名需求(O221,武将升星!S218,E$6)+武将升星!X218)</f>
        <v>108</v>
      </c>
      <c r="AE221" s="29">
        <f t="shared" si="205"/>
        <v>0</v>
      </c>
      <c r="AF221" s="29">
        <f t="shared" si="206"/>
        <v>0</v>
      </c>
      <c r="AG221" s="29">
        <f t="shared" si="207"/>
        <v>0</v>
      </c>
      <c r="AH221" s="29">
        <f t="shared" si="208"/>
        <v>642</v>
      </c>
      <c r="AI221" s="45">
        <f t="shared" si="209"/>
        <v>108</v>
      </c>
      <c r="AJ221" s="29">
        <f t="shared" si="181"/>
        <v>2107800</v>
      </c>
      <c r="AK221" s="14" t="e">
        <f>AJ221/求节点('[1]资源-钻石'!$K$4:$K$113,'[1]资源-钻石'!$P$4:$P$113,J221)</f>
        <v>#VALUE!</v>
      </c>
      <c r="AL221" s="16" t="e">
        <f t="shared" si="210"/>
        <v>#DIV/0!</v>
      </c>
      <c r="AP221" s="17">
        <v>38</v>
      </c>
      <c r="AR221" s="16">
        <f t="shared" si="197"/>
        <v>81.415852711579717</v>
      </c>
      <c r="AS221" s="29">
        <f>IF(基础状态预期!C231="","",基础状态预期!C231)</f>
        <v>6842.0000000000009</v>
      </c>
      <c r="AT221" s="29">
        <f>求节点(节奏总纲!$T$4:$T$163,其他调用!$G$4:$G$163,$AS221)*求节点($CP$5:$CP$36,$CU$5:$CU$36,AS41)</f>
        <v>136009480.315332</v>
      </c>
      <c r="AU221" s="37">
        <f t="shared" si="211"/>
        <v>0</v>
      </c>
      <c r="AV221" s="37">
        <f t="shared" si="212"/>
        <v>1</v>
      </c>
      <c r="AW221" s="38">
        <f t="shared" si="185"/>
        <v>0.4933333333333334</v>
      </c>
      <c r="AX221" s="38">
        <f t="shared" si="186"/>
        <v>0.26666666666666666</v>
      </c>
      <c r="AY221" s="38">
        <f t="shared" si="187"/>
        <v>0.04</v>
      </c>
      <c r="AZ221" s="38">
        <f t="shared" si="188"/>
        <v>1.6E-2</v>
      </c>
      <c r="BA221" s="29">
        <f t="shared" si="213"/>
        <v>27498611.332599625</v>
      </c>
      <c r="BB221" s="29">
        <f t="shared" si="198"/>
        <v>56524.923294788125</v>
      </c>
      <c r="BC221" s="29">
        <f t="shared" si="189"/>
        <v>30554.012591777362</v>
      </c>
      <c r="BD221" s="29">
        <f t="shared" si="190"/>
        <v>4583.1018887666041</v>
      </c>
      <c r="BE221" s="29">
        <f t="shared" si="191"/>
        <v>1833.2407555066418</v>
      </c>
      <c r="BF221" s="29">
        <f t="shared" si="199"/>
        <v>56788.600000000013</v>
      </c>
      <c r="BG221" s="29">
        <f t="shared" si="199"/>
        <v>10263.000000000002</v>
      </c>
      <c r="BH221" s="29">
        <f t="shared" si="199"/>
        <v>1368.4000000000003</v>
      </c>
      <c r="BI221" s="29">
        <f t="shared" si="199"/>
        <v>0</v>
      </c>
      <c r="BJ221" s="29">
        <f>SUM(BB$187:BB221)+BF221</f>
        <v>336793.99435793789</v>
      </c>
      <c r="BK221" s="29">
        <f>SUM(BC$187:BC221)+BG221</f>
        <v>161384.64479481333</v>
      </c>
      <c r="BL221" s="29">
        <f>SUM(BD$187:BD221)+BH221</f>
        <v>24127.933398395708</v>
      </c>
      <c r="BM221" s="29">
        <f>SUM(BE$187:BE221)+BI221</f>
        <v>9025.56763435225</v>
      </c>
      <c r="BN221" s="29">
        <f>SUM(BT$187:BT221)</f>
        <v>32.156613097347723</v>
      </c>
      <c r="BO221" s="17" t="e">
        <f t="shared" si="214"/>
        <v>#DIV/0!</v>
      </c>
      <c r="BP221" s="17" t="e">
        <f t="shared" si="215"/>
        <v>#DIV/0!</v>
      </c>
      <c r="BQ221" s="17" t="e">
        <f t="shared" si="216"/>
        <v>#DIV/0!</v>
      </c>
      <c r="BR221" s="17">
        <f t="shared" si="217"/>
        <v>0</v>
      </c>
      <c r="BS221" s="17">
        <f t="shared" si="196"/>
        <v>80</v>
      </c>
      <c r="BT221" s="17">
        <f t="shared" si="218"/>
        <v>0</v>
      </c>
      <c r="BV221" s="17">
        <f t="shared" si="202"/>
        <v>23485.933398395708</v>
      </c>
    </row>
    <row r="222" spans="8:74" x14ac:dyDescent="0.15">
      <c r="H222" s="17">
        <v>39</v>
      </c>
      <c r="I222" s="29">
        <f>IF(基础状态预期!C232="","",基础状态预期!C232)</f>
        <v>8723</v>
      </c>
      <c r="J222" s="29">
        <f>IF(基础状态预期!D232="","",基础状态预期!D232)</f>
        <v>150.49637054967232</v>
      </c>
      <c r="K222" s="29" t="str">
        <f>IF(基础状态预期!F232="","",基础状态预期!F232)</f>
        <v/>
      </c>
      <c r="L222" s="29" t="str">
        <f>IF(基础状态预期!G232="","",基础状态预期!G232)</f>
        <v/>
      </c>
      <c r="M222" s="29" t="str">
        <f>IF(基础状态预期!H232="","",基础状态预期!H232)</f>
        <v/>
      </c>
      <c r="N222" s="29" t="str">
        <f>IF(基础状态预期!I232="","",基础状态预期!I232)</f>
        <v/>
      </c>
      <c r="O222" s="29">
        <f>IF(基础状态预期!J232="","",基础状态预期!J232)</f>
        <v>6</v>
      </c>
      <c r="P222" s="29">
        <f>武将进阶!O219</f>
        <v>0</v>
      </c>
      <c r="Q222" s="29">
        <f>武将进阶!P219</f>
        <v>0</v>
      </c>
      <c r="R222" s="29">
        <f>武将进阶!Q219</f>
        <v>0</v>
      </c>
      <c r="S222" s="29">
        <f>武将进阶!R219</f>
        <v>642</v>
      </c>
      <c r="T222" s="29">
        <f>武将进阶!S219</f>
        <v>0</v>
      </c>
      <c r="U222" s="29">
        <f>武将觉醒!T220</f>
        <v>0</v>
      </c>
      <c r="V222" s="29">
        <f>武将觉醒!U220</f>
        <v>0</v>
      </c>
      <c r="W222" s="29">
        <f>武将觉醒!V220</f>
        <v>0</v>
      </c>
      <c r="X222" s="29">
        <f>武将觉醒!W220</f>
        <v>0</v>
      </c>
      <c r="Y222" s="29">
        <f>武将觉醒!X220</f>
        <v>0</v>
      </c>
      <c r="Z222" s="29"/>
      <c r="AA222" s="29">
        <f>IF(L222="",0,同名需求(L222,武将升星!P219,B$6)+武将升星!U219)</f>
        <v>0</v>
      </c>
      <c r="AB222" s="29">
        <f>IF(M222="",0,同名需求(M222,武将升星!Q219,C$6)+武将升星!V219)</f>
        <v>0</v>
      </c>
      <c r="AC222" s="59">
        <f>IF(N222="",0,同名需求(N222,武将升星!R219,D$6*0.9)+武将升星!W219)</f>
        <v>0</v>
      </c>
      <c r="AD222" s="29">
        <f>IF(O222="",0,同名需求(O222,武将升星!S219,E$6)+武将升星!X219)</f>
        <v>108</v>
      </c>
      <c r="AE222" s="29">
        <f t="shared" si="205"/>
        <v>0</v>
      </c>
      <c r="AF222" s="29">
        <f t="shared" si="206"/>
        <v>0</v>
      </c>
      <c r="AG222" s="29">
        <f t="shared" si="207"/>
        <v>0</v>
      </c>
      <c r="AH222" s="29">
        <f t="shared" si="208"/>
        <v>642</v>
      </c>
      <c r="AI222" s="45">
        <f t="shared" si="209"/>
        <v>108</v>
      </c>
      <c r="AJ222" s="29">
        <f t="shared" si="181"/>
        <v>2107800</v>
      </c>
      <c r="AK222" s="14" t="e">
        <f>AJ222/求节点('[1]资源-钻石'!$K$4:$K$113,'[1]资源-钻石'!$P$4:$P$113,J222)</f>
        <v>#VALUE!</v>
      </c>
      <c r="AL222" s="16" t="e">
        <f t="shared" si="210"/>
        <v>#DIV/0!</v>
      </c>
      <c r="AP222" s="17">
        <v>39</v>
      </c>
      <c r="AR222" s="16">
        <f t="shared" si="197"/>
        <v>80.245291631273076</v>
      </c>
      <c r="AS222" s="29">
        <f>IF(基础状态预期!C232="","",基础状态预期!C232)</f>
        <v>8723</v>
      </c>
      <c r="AT222" s="29">
        <f>求节点(节奏总纲!$T$4:$T$163,其他调用!$G$4:$G$163,$AS222)*求节点($CP$5:$CP$36,$CU$5:$CU$36,AS42)</f>
        <v>170726000.83376965</v>
      </c>
      <c r="AU222" s="37">
        <f t="shared" si="211"/>
        <v>0</v>
      </c>
      <c r="AV222" s="37">
        <f t="shared" si="212"/>
        <v>1</v>
      </c>
      <c r="AW222" s="38">
        <f t="shared" si="185"/>
        <v>0.4933333333333334</v>
      </c>
      <c r="AX222" s="38">
        <f t="shared" si="186"/>
        <v>0.26666666666666666</v>
      </c>
      <c r="AY222" s="38">
        <f t="shared" si="187"/>
        <v>0.04</v>
      </c>
      <c r="AZ222" s="38">
        <f t="shared" si="188"/>
        <v>1.6E-2</v>
      </c>
      <c r="BA222" s="29">
        <f t="shared" si="213"/>
        <v>34716520.518437654</v>
      </c>
      <c r="BB222" s="29">
        <f t="shared" si="198"/>
        <v>71361.736621232965</v>
      </c>
      <c r="BC222" s="29">
        <f t="shared" si="189"/>
        <v>38573.911687152948</v>
      </c>
      <c r="BD222" s="29">
        <f t="shared" si="190"/>
        <v>5786.0867530729429</v>
      </c>
      <c r="BE222" s="29">
        <f t="shared" si="191"/>
        <v>2314.4347012291769</v>
      </c>
      <c r="BF222" s="29">
        <f t="shared" si="199"/>
        <v>72400.900000000009</v>
      </c>
      <c r="BG222" s="29">
        <f t="shared" si="199"/>
        <v>13084.5</v>
      </c>
      <c r="BH222" s="29">
        <f t="shared" si="199"/>
        <v>1744.6000000000001</v>
      </c>
      <c r="BI222" s="29">
        <f t="shared" si="199"/>
        <v>0</v>
      </c>
      <c r="BJ222" s="29">
        <f>SUM(BB$187:BB222)+BF222</f>
        <v>423768.03097917081</v>
      </c>
      <c r="BK222" s="29">
        <f>SUM(BC$187:BC222)+BG222</f>
        <v>202780.05648196628</v>
      </c>
      <c r="BL222" s="29">
        <f>SUM(BD$187:BD222)+BH222</f>
        <v>30290.220151468646</v>
      </c>
      <c r="BM222" s="29">
        <f>SUM(BE$187:BE222)+BI222</f>
        <v>11340.002335581426</v>
      </c>
      <c r="BN222" s="29">
        <f>SUM(BT$187:BT222)</f>
        <v>32.156613097347723</v>
      </c>
      <c r="BO222" s="17" t="e">
        <f t="shared" si="214"/>
        <v>#DIV/0!</v>
      </c>
      <c r="BP222" s="17" t="e">
        <f t="shared" si="215"/>
        <v>#DIV/0!</v>
      </c>
      <c r="BQ222" s="17" t="e">
        <f t="shared" si="216"/>
        <v>#DIV/0!</v>
      </c>
      <c r="BR222" s="17">
        <f t="shared" si="217"/>
        <v>0</v>
      </c>
      <c r="BS222" s="17">
        <f t="shared" si="196"/>
        <v>80</v>
      </c>
      <c r="BT222" s="17">
        <f t="shared" si="218"/>
        <v>0</v>
      </c>
      <c r="BV222" s="17">
        <f t="shared" si="202"/>
        <v>29648.220151468646</v>
      </c>
    </row>
    <row r="223" spans="8:74" x14ac:dyDescent="0.15">
      <c r="H223" s="17">
        <v>40</v>
      </c>
      <c r="I223" s="29">
        <f>IF(基础状态预期!C233="","",基础状态预期!C233)</f>
        <v>11115.5</v>
      </c>
      <c r="J223" s="29">
        <f>IF(基础状态预期!D233="","",基础状态预期!D233)</f>
        <v>151.40240982411487</v>
      </c>
      <c r="K223" s="29" t="str">
        <f>IF(基础状态预期!F233="","",基础状态预期!F233)</f>
        <v/>
      </c>
      <c r="L223" s="29" t="str">
        <f>IF(基础状态预期!G233="","",基础状态预期!G233)</f>
        <v/>
      </c>
      <c r="M223" s="29" t="str">
        <f>IF(基础状态预期!H233="","",基础状态预期!H233)</f>
        <v/>
      </c>
      <c r="N223" s="29" t="str">
        <f>IF(基础状态预期!I233="","",基础状态预期!I233)</f>
        <v/>
      </c>
      <c r="O223" s="29">
        <f>IF(基础状态预期!J233="","",基础状态预期!J233)</f>
        <v>6</v>
      </c>
      <c r="P223" s="29">
        <f>武将进阶!O220</f>
        <v>0</v>
      </c>
      <c r="Q223" s="29">
        <f>武将进阶!P220</f>
        <v>0</v>
      </c>
      <c r="R223" s="29">
        <f>武将进阶!Q220</f>
        <v>0</v>
      </c>
      <c r="S223" s="29">
        <f>武将进阶!R220</f>
        <v>642</v>
      </c>
      <c r="T223" s="29">
        <f>武将进阶!S220</f>
        <v>0</v>
      </c>
      <c r="U223" s="29">
        <f>武将觉醒!T221</f>
        <v>0</v>
      </c>
      <c r="V223" s="29">
        <f>武将觉醒!U221</f>
        <v>0</v>
      </c>
      <c r="W223" s="29">
        <f>武将觉醒!V221</f>
        <v>0</v>
      </c>
      <c r="X223" s="29">
        <f>武将觉醒!W221</f>
        <v>0</v>
      </c>
      <c r="Y223" s="29">
        <f>武将觉醒!X221</f>
        <v>0</v>
      </c>
      <c r="Z223" s="29"/>
      <c r="AA223" s="29">
        <f>IF(L223="",0,同名需求(L223,武将升星!P220,B$6)+武将升星!U220)</f>
        <v>0</v>
      </c>
      <c r="AB223" s="29">
        <f>IF(M223="",0,同名需求(M223,武将升星!Q220,C$6)+武将升星!V220)</f>
        <v>0</v>
      </c>
      <c r="AC223" s="59">
        <f>IF(N223="",0,同名需求(N223,武将升星!R220,D$6*0.9)+武将升星!W220)</f>
        <v>0</v>
      </c>
      <c r="AD223" s="29">
        <f>IF(O223="",0,同名需求(O223,武将升星!S220,E$6)+武将升星!X220)</f>
        <v>108</v>
      </c>
      <c r="AE223" s="29">
        <f t="shared" si="205"/>
        <v>0</v>
      </c>
      <c r="AF223" s="29">
        <f t="shared" si="206"/>
        <v>0</v>
      </c>
      <c r="AG223" s="29">
        <f t="shared" si="207"/>
        <v>0</v>
      </c>
      <c r="AH223" s="29">
        <f t="shared" si="208"/>
        <v>642</v>
      </c>
      <c r="AI223" s="45">
        <f t="shared" si="209"/>
        <v>108</v>
      </c>
      <c r="AJ223" s="29">
        <f t="shared" si="181"/>
        <v>2107800</v>
      </c>
      <c r="AK223" s="14" t="e">
        <f>AJ223/求节点('[1]资源-钻石'!$K$4:$K$113,'[1]资源-钻石'!$P$4:$P$113,J223)</f>
        <v>#VALUE!</v>
      </c>
      <c r="AL223" s="16" t="e">
        <f t="shared" si="210"/>
        <v>#DIV/0!</v>
      </c>
      <c r="AP223" s="17">
        <v>40</v>
      </c>
      <c r="AR223" s="16">
        <f t="shared" si="197"/>
        <v>79.365894138737204</v>
      </c>
      <c r="AS223" s="29">
        <f>IF(基础状态预期!C233="","",基础状态预期!C233)</f>
        <v>11115.5</v>
      </c>
      <c r="AT223" s="29">
        <f>求节点(节奏总纲!$T$4:$T$163,其他调用!$G$4:$G$163,$AS223)*求节点($CP$5:$CP$36,$CU$5:$CU$36,AS43)</f>
        <v>214399068.23096326</v>
      </c>
      <c r="AU223" s="37">
        <f t="shared" si="211"/>
        <v>0</v>
      </c>
      <c r="AV223" s="37">
        <f t="shared" si="212"/>
        <v>1</v>
      </c>
      <c r="AW223" s="38">
        <f t="shared" si="185"/>
        <v>0.4933333333333334</v>
      </c>
      <c r="AX223" s="38">
        <f t="shared" si="186"/>
        <v>0.26666666666666666</v>
      </c>
      <c r="AY223" s="38">
        <f t="shared" si="187"/>
        <v>0.04</v>
      </c>
      <c r="AZ223" s="38">
        <f t="shared" si="188"/>
        <v>1.6E-2</v>
      </c>
      <c r="BA223" s="29">
        <f t="shared" si="213"/>
        <v>43673067.397193611</v>
      </c>
      <c r="BB223" s="29">
        <f t="shared" si="198"/>
        <v>89772.416316453557</v>
      </c>
      <c r="BC223" s="29">
        <f t="shared" si="189"/>
        <v>48525.630441326233</v>
      </c>
      <c r="BD223" s="29">
        <f t="shared" si="190"/>
        <v>7278.8445661989354</v>
      </c>
      <c r="BE223" s="29">
        <f t="shared" si="191"/>
        <v>2911.5378264795741</v>
      </c>
      <c r="BF223" s="29">
        <f t="shared" si="199"/>
        <v>92258.650000000009</v>
      </c>
      <c r="BG223" s="29">
        <f t="shared" si="199"/>
        <v>16673.25</v>
      </c>
      <c r="BH223" s="29">
        <f t="shared" si="199"/>
        <v>2223.1</v>
      </c>
      <c r="BI223" s="29">
        <f t="shared" si="199"/>
        <v>0</v>
      </c>
      <c r="BJ223" s="29">
        <f>SUM(BB$187:BB223)+BF223</f>
        <v>533398.1972956243</v>
      </c>
      <c r="BK223" s="29">
        <f>SUM(BC$187:BC223)+BG223</f>
        <v>254894.43692329252</v>
      </c>
      <c r="BL223" s="29">
        <f>SUM(BD$187:BD223)+BH223</f>
        <v>38047.564717667577</v>
      </c>
      <c r="BM223" s="29">
        <f>SUM(BE$187:BE223)+BI223</f>
        <v>14251.540162061001</v>
      </c>
      <c r="BN223" s="29">
        <f>SUM(BT$187:BT223)</f>
        <v>32.156613097347723</v>
      </c>
      <c r="BO223" s="17" t="e">
        <f t="shared" si="214"/>
        <v>#DIV/0!</v>
      </c>
      <c r="BP223" s="17" t="e">
        <f t="shared" si="215"/>
        <v>#DIV/0!</v>
      </c>
      <c r="BQ223" s="17" t="e">
        <f t="shared" si="216"/>
        <v>#DIV/0!</v>
      </c>
      <c r="BR223" s="17">
        <f t="shared" si="217"/>
        <v>0</v>
      </c>
      <c r="BS223" s="17">
        <f t="shared" si="196"/>
        <v>80</v>
      </c>
      <c r="BT223" s="17">
        <f t="shared" si="218"/>
        <v>0</v>
      </c>
      <c r="BV223" s="17">
        <f t="shared" si="202"/>
        <v>37405.564717667577</v>
      </c>
    </row>
    <row r="224" spans="8:74" x14ac:dyDescent="0.15">
      <c r="H224" s="17">
        <v>41</v>
      </c>
      <c r="I224" s="29">
        <f>IF(基础状态预期!C234="","",基础状态预期!C234)</f>
        <v>14168.000000000002</v>
      </c>
      <c r="J224" s="29">
        <f>IF(基础状态预期!D234="","",基础状态预期!D234)</f>
        <v>152.00526961196863</v>
      </c>
      <c r="K224" s="29" t="str">
        <f>IF(基础状态预期!F234="","",基础状态预期!F234)</f>
        <v/>
      </c>
      <c r="L224" s="29" t="str">
        <f>IF(基础状态预期!G234="","",基础状态预期!G234)</f>
        <v/>
      </c>
      <c r="M224" s="29" t="str">
        <f>IF(基础状态预期!H234="","",基础状态预期!H234)</f>
        <v/>
      </c>
      <c r="N224" s="29" t="str">
        <f>IF(基础状态预期!I234="","",基础状态预期!I234)</f>
        <v/>
      </c>
      <c r="O224" s="29">
        <f>IF(基础状态预期!J234="","",基础状态预期!J234)</f>
        <v>6</v>
      </c>
      <c r="P224" s="29">
        <f>武将进阶!O221</f>
        <v>0</v>
      </c>
      <c r="Q224" s="29">
        <f>武将进阶!P221</f>
        <v>0</v>
      </c>
      <c r="R224" s="29">
        <f>武将进阶!Q221</f>
        <v>0</v>
      </c>
      <c r="S224" s="29">
        <f>武将进阶!R221</f>
        <v>642</v>
      </c>
      <c r="T224" s="29">
        <f>武将进阶!S221</f>
        <v>0</v>
      </c>
      <c r="U224" s="29">
        <f>武将觉醒!T222</f>
        <v>0</v>
      </c>
      <c r="V224" s="29">
        <f>武将觉醒!U222</f>
        <v>0</v>
      </c>
      <c r="W224" s="29">
        <f>武将觉醒!V222</f>
        <v>0</v>
      </c>
      <c r="X224" s="29">
        <f>武将觉醒!W222</f>
        <v>0</v>
      </c>
      <c r="Y224" s="29">
        <f>武将觉醒!X222</f>
        <v>0</v>
      </c>
      <c r="Z224" s="29"/>
      <c r="AA224" s="29">
        <f>IF(L224="",0,同名需求(L224,武将升星!P221,B$6)+武将升星!U221)</f>
        <v>0</v>
      </c>
      <c r="AB224" s="29">
        <f>IF(M224="",0,同名需求(M224,武将升星!Q221,C$6)+武将升星!V221)</f>
        <v>0</v>
      </c>
      <c r="AC224" s="59">
        <f>IF(N224="",0,同名需求(N224,武将升星!R221,D$6*0.9)+武将升星!W221)</f>
        <v>0</v>
      </c>
      <c r="AD224" s="29">
        <f>IF(O224="",0,同名需求(O224,武将升星!S221,E$6)+武将升星!X221)</f>
        <v>108</v>
      </c>
      <c r="AE224" s="29">
        <f t="shared" si="205"/>
        <v>0</v>
      </c>
      <c r="AF224" s="29">
        <f t="shared" si="206"/>
        <v>0</v>
      </c>
      <c r="AG224" s="29">
        <f t="shared" si="207"/>
        <v>0</v>
      </c>
      <c r="AH224" s="29">
        <f t="shared" si="208"/>
        <v>642</v>
      </c>
      <c r="AI224" s="45">
        <f t="shared" si="209"/>
        <v>108</v>
      </c>
      <c r="AJ224" s="29">
        <f t="shared" si="181"/>
        <v>2107800</v>
      </c>
      <c r="AK224" s="14" t="e">
        <f>AJ224/求节点('[1]资源-钻石'!$K$4:$K$113,'[1]资源-钻石'!$P$4:$P$113,J224)</f>
        <v>#VALUE!</v>
      </c>
      <c r="AL224" s="16" t="e">
        <f t="shared" si="210"/>
        <v>#DIV/0!</v>
      </c>
      <c r="AP224" s="17">
        <v>41</v>
      </c>
      <c r="AR224" s="16">
        <f t="shared" si="197"/>
        <v>78.022903083579536</v>
      </c>
      <c r="AS224" s="29">
        <f>IF(基础状态预期!C234="","",基础状态预期!C234)</f>
        <v>14168.000000000002</v>
      </c>
      <c r="AT224" s="29">
        <f>求节点(节奏总纲!$T$4:$T$163,其他调用!$G$4:$G$163,$AS224)*求节点($CP$5:$CP$36,$CU$5:$CU$36,AS44)</f>
        <v>269176997.91336739</v>
      </c>
      <c r="AU224" s="37">
        <f t="shared" si="211"/>
        <v>0</v>
      </c>
      <c r="AV224" s="37">
        <f t="shared" si="212"/>
        <v>1</v>
      </c>
      <c r="AW224" s="38">
        <f t="shared" si="185"/>
        <v>0.4933333333333334</v>
      </c>
      <c r="AX224" s="38">
        <f t="shared" si="186"/>
        <v>0.26666666666666666</v>
      </c>
      <c r="AY224" s="38">
        <f t="shared" si="187"/>
        <v>0.04</v>
      </c>
      <c r="AZ224" s="38">
        <f t="shared" si="188"/>
        <v>1.6E-2</v>
      </c>
      <c r="BA224" s="29">
        <f t="shared" si="213"/>
        <v>54777929.682404131</v>
      </c>
      <c r="BB224" s="29">
        <f t="shared" si="198"/>
        <v>112599.07768049739</v>
      </c>
      <c r="BC224" s="29">
        <f t="shared" si="189"/>
        <v>60864.366313782368</v>
      </c>
      <c r="BD224" s="29">
        <f t="shared" si="190"/>
        <v>9129.6549470673544</v>
      </c>
      <c r="BE224" s="29">
        <f t="shared" si="191"/>
        <v>3651.861978826942</v>
      </c>
      <c r="BF224" s="29">
        <f t="shared" si="199"/>
        <v>117594.40000000002</v>
      </c>
      <c r="BG224" s="29">
        <f t="shared" si="199"/>
        <v>21252.000000000004</v>
      </c>
      <c r="BH224" s="29">
        <f t="shared" si="199"/>
        <v>2833.6000000000004</v>
      </c>
      <c r="BI224" s="29">
        <f t="shared" si="199"/>
        <v>0</v>
      </c>
      <c r="BJ224" s="29">
        <f>SUM(BB$187:BB224)+BF224</f>
        <v>671333.02497612173</v>
      </c>
      <c r="BK224" s="29">
        <f>SUM(BC$187:BC224)+BG224</f>
        <v>320337.55323707487</v>
      </c>
      <c r="BL224" s="29">
        <f>SUM(BD$187:BD224)+BH224</f>
        <v>47787.719664734934</v>
      </c>
      <c r="BM224" s="29">
        <f>SUM(BE$187:BE224)+BI224</f>
        <v>17903.402140887942</v>
      </c>
      <c r="BN224" s="29">
        <f>SUM(BT$187:BT224)</f>
        <v>32.156613097347723</v>
      </c>
      <c r="BO224" s="17" t="e">
        <f t="shared" si="214"/>
        <v>#DIV/0!</v>
      </c>
      <c r="BP224" s="17" t="e">
        <f t="shared" si="215"/>
        <v>#DIV/0!</v>
      </c>
      <c r="BQ224" s="17" t="e">
        <f t="shared" si="216"/>
        <v>#DIV/0!</v>
      </c>
      <c r="BR224" s="17">
        <f t="shared" si="217"/>
        <v>0</v>
      </c>
      <c r="BS224" s="17">
        <f t="shared" si="196"/>
        <v>80</v>
      </c>
      <c r="BT224" s="17">
        <f t="shared" si="218"/>
        <v>0</v>
      </c>
      <c r="BV224" s="17">
        <f t="shared" si="202"/>
        <v>47145.719664734934</v>
      </c>
    </row>
    <row r="225" spans="8:74" x14ac:dyDescent="0.15">
      <c r="H225" s="17">
        <v>42</v>
      </c>
      <c r="I225" s="29">
        <f>IF(基础状态预期!C235="","",基础状态预期!C235)</f>
        <v>18012.5</v>
      </c>
      <c r="J225" s="29">
        <f>IF(基础状态预期!D235="","",基础状态预期!D235)</f>
        <v>152.38629594951036</v>
      </c>
      <c r="K225" s="29" t="str">
        <f>IF(基础状态预期!F235="","",基础状态预期!F235)</f>
        <v/>
      </c>
      <c r="L225" s="29" t="str">
        <f>IF(基础状态预期!G235="","",基础状态预期!G235)</f>
        <v/>
      </c>
      <c r="M225" s="29" t="str">
        <f>IF(基础状态预期!H235="","",基础状态预期!H235)</f>
        <v/>
      </c>
      <c r="N225" s="29" t="str">
        <f>IF(基础状态预期!I235="","",基础状态预期!I235)</f>
        <v/>
      </c>
      <c r="O225" s="29">
        <f>IF(基础状态预期!J235="","",基础状态预期!J235)</f>
        <v>6</v>
      </c>
      <c r="P225" s="29">
        <f>武将进阶!O222</f>
        <v>0</v>
      </c>
      <c r="Q225" s="29">
        <f>武将进阶!P222</f>
        <v>0</v>
      </c>
      <c r="R225" s="29">
        <f>武将进阶!Q222</f>
        <v>0</v>
      </c>
      <c r="S225" s="29">
        <f>武将进阶!R222</f>
        <v>642</v>
      </c>
      <c r="T225" s="29">
        <f>武将进阶!S222</f>
        <v>0</v>
      </c>
      <c r="U225" s="29">
        <f>武将觉醒!T223</f>
        <v>0</v>
      </c>
      <c r="V225" s="29">
        <f>武将觉醒!U223</f>
        <v>0</v>
      </c>
      <c r="W225" s="29">
        <f>武将觉醒!V223</f>
        <v>0</v>
      </c>
      <c r="X225" s="29">
        <f>武将觉醒!W223</f>
        <v>0</v>
      </c>
      <c r="Y225" s="29">
        <f>武将觉醒!X223</f>
        <v>0</v>
      </c>
      <c r="Z225" s="29"/>
      <c r="AA225" s="29">
        <f>IF(L225="",0,同名需求(L225,武将升星!P222,B$6)+武将升星!U222)</f>
        <v>0</v>
      </c>
      <c r="AB225" s="29">
        <f>IF(M225="",0,同名需求(M225,武将升星!Q222,C$6)+武将升星!V222)</f>
        <v>0</v>
      </c>
      <c r="AC225" s="59">
        <f>IF(N225="",0,同名需求(N225,武将升星!R222,D$6*0.9)+武将升星!W222)</f>
        <v>0</v>
      </c>
      <c r="AD225" s="29">
        <f>IF(O225="",0,同名需求(O225,武将升星!S222,E$6)+武将升星!X222)</f>
        <v>108</v>
      </c>
      <c r="AE225" s="29">
        <f t="shared" si="205"/>
        <v>0</v>
      </c>
      <c r="AF225" s="29">
        <f t="shared" si="206"/>
        <v>0</v>
      </c>
      <c r="AG225" s="29">
        <f t="shared" si="207"/>
        <v>0</v>
      </c>
      <c r="AH225" s="29">
        <f t="shared" si="208"/>
        <v>642</v>
      </c>
      <c r="AI225" s="45">
        <f t="shared" si="209"/>
        <v>108</v>
      </c>
      <c r="AJ225" s="29">
        <f t="shared" si="181"/>
        <v>2107800</v>
      </c>
      <c r="AK225" s="14" t="e">
        <f>AJ225/求节点('[1]资源-钻石'!$K$4:$K$113,'[1]资源-钻石'!$P$4:$P$113,J225)</f>
        <v>#VALUE!</v>
      </c>
      <c r="AL225" s="16" t="e">
        <f t="shared" si="210"/>
        <v>#DIV/0!</v>
      </c>
      <c r="AP225" s="17">
        <v>42</v>
      </c>
      <c r="AR225" s="16">
        <f t="shared" si="197"/>
        <v>76.618487020392223</v>
      </c>
      <c r="AS225" s="29">
        <f>IF(基础状态预期!C235="","",基础状态预期!C235)</f>
        <v>18012.5</v>
      </c>
      <c r="AT225" s="29">
        <f>求节点(节奏总纲!$T$4:$T$163,其他调用!$G$4:$G$163,$AS225)*求节点($CP$5:$CP$36,$CU$5:$CU$36,AS45)</f>
        <v>336925745.78384387</v>
      </c>
      <c r="AU225" s="37">
        <f t="shared" si="211"/>
        <v>0</v>
      </c>
      <c r="AV225" s="37">
        <f t="shared" si="212"/>
        <v>1</v>
      </c>
      <c r="AW225" s="38">
        <f t="shared" si="185"/>
        <v>0.4933333333333334</v>
      </c>
      <c r="AX225" s="38">
        <f t="shared" si="186"/>
        <v>0.26666666666666666</v>
      </c>
      <c r="AY225" s="38">
        <f t="shared" si="187"/>
        <v>0.04</v>
      </c>
      <c r="AZ225" s="38">
        <f t="shared" si="188"/>
        <v>1.6E-2</v>
      </c>
      <c r="BA225" s="29">
        <f t="shared" si="213"/>
        <v>67748747.870476484</v>
      </c>
      <c r="BB225" s="29">
        <f t="shared" si="198"/>
        <v>139261.31506709056</v>
      </c>
      <c r="BC225" s="29">
        <f t="shared" si="189"/>
        <v>75276.386522751636</v>
      </c>
      <c r="BD225" s="29">
        <f t="shared" si="190"/>
        <v>11291.457978412747</v>
      </c>
      <c r="BE225" s="29">
        <f t="shared" si="191"/>
        <v>4516.5831913650991</v>
      </c>
      <c r="BF225" s="29">
        <f t="shared" si="199"/>
        <v>149503.75</v>
      </c>
      <c r="BG225" s="29">
        <f t="shared" si="199"/>
        <v>27018.75</v>
      </c>
      <c r="BH225" s="29">
        <f t="shared" si="199"/>
        <v>3602.5</v>
      </c>
      <c r="BI225" s="29">
        <f t="shared" si="199"/>
        <v>0</v>
      </c>
      <c r="BJ225" s="29">
        <f>SUM(BB$187:BB225)+BF225</f>
        <v>842503.69004321226</v>
      </c>
      <c r="BK225" s="29">
        <f>SUM(BC$187:BC225)+BG225</f>
        <v>401380.68975982652</v>
      </c>
      <c r="BL225" s="29">
        <f>SUM(BD$187:BD225)+BH225</f>
        <v>59848.077643147684</v>
      </c>
      <c r="BM225" s="29">
        <f>SUM(BE$187:BE225)+BI225</f>
        <v>22419.98533225304</v>
      </c>
      <c r="BN225" s="29">
        <f>SUM(BT$187:BT225)</f>
        <v>32.156613097347723</v>
      </c>
      <c r="BO225" s="17" t="e">
        <f t="shared" si="214"/>
        <v>#DIV/0!</v>
      </c>
      <c r="BP225" s="17" t="e">
        <f t="shared" si="215"/>
        <v>#DIV/0!</v>
      </c>
      <c r="BQ225" s="17" t="e">
        <f t="shared" si="216"/>
        <v>#DIV/0!</v>
      </c>
      <c r="BR225" s="17">
        <f t="shared" si="217"/>
        <v>0</v>
      </c>
      <c r="BS225" s="17">
        <f t="shared" si="196"/>
        <v>80</v>
      </c>
      <c r="BT225" s="17">
        <f t="shared" si="218"/>
        <v>0</v>
      </c>
      <c r="BV225" s="17">
        <f t="shared" si="202"/>
        <v>59206.077643147684</v>
      </c>
    </row>
    <row r="226" spans="8:74" x14ac:dyDescent="0.15">
      <c r="H226" s="16">
        <v>43</v>
      </c>
      <c r="AP226" s="17">
        <v>43</v>
      </c>
    </row>
    <row r="227" spans="8:74" x14ac:dyDescent="0.15">
      <c r="H227" s="16">
        <v>44</v>
      </c>
      <c r="AP227" s="17">
        <v>44</v>
      </c>
    </row>
    <row r="228" spans="8:74" x14ac:dyDescent="0.15">
      <c r="H228" s="16">
        <v>45</v>
      </c>
      <c r="AP228" s="17">
        <v>45</v>
      </c>
    </row>
  </sheetData>
  <mergeCells count="72">
    <mergeCell ref="CX2:DC2"/>
    <mergeCell ref="CP39:CU39"/>
    <mergeCell ref="CP3:CU3"/>
    <mergeCell ref="I4:J5"/>
    <mergeCell ref="I49:J50"/>
    <mergeCell ref="I94:J95"/>
    <mergeCell ref="BW3:CB3"/>
    <mergeCell ref="CD3:CI3"/>
    <mergeCell ref="I139:J140"/>
    <mergeCell ref="BF94:BI95"/>
    <mergeCell ref="AE140:AI140"/>
    <mergeCell ref="AU5:AV5"/>
    <mergeCell ref="AU50:AV50"/>
    <mergeCell ref="AU95:AV95"/>
    <mergeCell ref="P95:T95"/>
    <mergeCell ref="P140:T140"/>
    <mergeCell ref="BF4:BI5"/>
    <mergeCell ref="I184:J185"/>
    <mergeCell ref="BJ140:BM140"/>
    <mergeCell ref="BB185:BE185"/>
    <mergeCell ref="BJ185:BM185"/>
    <mergeCell ref="AW5:AZ5"/>
    <mergeCell ref="AW50:AZ50"/>
    <mergeCell ref="AW95:AZ95"/>
    <mergeCell ref="AW140:AZ140"/>
    <mergeCell ref="BJ5:BM5"/>
    <mergeCell ref="BB50:BE50"/>
    <mergeCell ref="BJ50:BM50"/>
    <mergeCell ref="BB95:BE95"/>
    <mergeCell ref="BJ95:BM95"/>
    <mergeCell ref="BF139:BI140"/>
    <mergeCell ref="BF184:BI185"/>
    <mergeCell ref="BB5:BE5"/>
    <mergeCell ref="AS184:AT185"/>
    <mergeCell ref="K185:O185"/>
    <mergeCell ref="AE185:AI185"/>
    <mergeCell ref="AS4:AT5"/>
    <mergeCell ref="K5:O5"/>
    <mergeCell ref="AE5:AI5"/>
    <mergeCell ref="AS49:AT50"/>
    <mergeCell ref="K50:O50"/>
    <mergeCell ref="AE50:AI50"/>
    <mergeCell ref="AS94:AT95"/>
    <mergeCell ref="K95:O95"/>
    <mergeCell ref="AE95:AI95"/>
    <mergeCell ref="AS139:AT140"/>
    <mergeCell ref="K140:O140"/>
    <mergeCell ref="P5:T5"/>
    <mergeCell ref="P50:T50"/>
    <mergeCell ref="P185:T185"/>
    <mergeCell ref="Z140:AD140"/>
    <mergeCell ref="Z185:AD185"/>
    <mergeCell ref="U5:Y5"/>
    <mergeCell ref="U50:Y50"/>
    <mergeCell ref="U95:Y95"/>
    <mergeCell ref="U140:Y140"/>
    <mergeCell ref="U185:Y185"/>
    <mergeCell ref="Z5:AD5"/>
    <mergeCell ref="Z50:AD50"/>
    <mergeCell ref="Z95:AD95"/>
    <mergeCell ref="AU185:AV185"/>
    <mergeCell ref="AW185:AZ185"/>
    <mergeCell ref="BB140:BE140"/>
    <mergeCell ref="BF2:BI2"/>
    <mergeCell ref="BF49:BI50"/>
    <mergeCell ref="AU4:BE4"/>
    <mergeCell ref="BA5:BA6"/>
    <mergeCell ref="BA50:BA51"/>
    <mergeCell ref="BA95:BA96"/>
    <mergeCell ref="BA140:BA141"/>
    <mergeCell ref="BA185:BA186"/>
    <mergeCell ref="AU140:AV140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8D773-5617-4A3B-A13A-B9EF5ACBE309}">
  <dimension ref="B1:AM225"/>
  <sheetViews>
    <sheetView workbookViewId="0">
      <selection activeCell="L23" sqref="L23"/>
    </sheetView>
  </sheetViews>
  <sheetFormatPr defaultColWidth="6.625" defaultRowHeight="11.25" x14ac:dyDescent="0.15"/>
  <cols>
    <col min="1" max="1" width="6.625" style="17"/>
    <col min="2" max="2" width="6.75" style="17" bestFit="1" customWidth="1"/>
    <col min="3" max="3" width="7.5" style="17" bestFit="1" customWidth="1"/>
    <col min="4" max="7" width="8.25" style="17" bestFit="1" customWidth="1"/>
    <col min="8" max="9" width="6.625" style="17"/>
    <col min="10" max="10" width="6.75" style="17" bestFit="1" customWidth="1"/>
    <col min="11" max="11" width="10.625" style="17" bestFit="1" customWidth="1"/>
    <col min="12" max="12" width="9.875" style="17" bestFit="1" customWidth="1"/>
    <col min="13" max="13" width="10.625" style="17" bestFit="1" customWidth="1"/>
    <col min="14" max="14" width="6.75" style="17" bestFit="1" customWidth="1"/>
    <col min="15" max="16" width="6.625" style="17"/>
    <col min="17" max="27" width="6.75" style="17" bestFit="1" customWidth="1"/>
    <col min="28" max="30" width="6.625" style="17"/>
    <col min="31" max="32" width="6.75" style="82" bestFit="1" customWidth="1"/>
    <col min="33" max="35" width="6.625" style="82"/>
    <col min="36" max="38" width="6.75" style="82" bestFit="1" customWidth="1"/>
    <col min="39" max="16384" width="6.625" style="17"/>
  </cols>
  <sheetData>
    <row r="1" spans="2:39" x14ac:dyDescent="0.15">
      <c r="AE1" s="17"/>
      <c r="AF1" s="17"/>
      <c r="AG1" s="17"/>
      <c r="AH1" s="17"/>
      <c r="AI1" s="17"/>
    </row>
    <row r="2" spans="2:39" x14ac:dyDescent="0.15">
      <c r="AE2" s="17"/>
      <c r="AF2" s="17"/>
      <c r="AG2" s="17"/>
      <c r="AH2" s="17"/>
      <c r="AI2" s="17"/>
      <c r="AJ2" s="17"/>
      <c r="AK2" s="17"/>
      <c r="AL2" s="17"/>
    </row>
    <row r="3" spans="2:39" x14ac:dyDescent="0.15">
      <c r="C3" s="187" t="s">
        <v>805</v>
      </c>
      <c r="D3" s="187"/>
      <c r="E3" s="187"/>
      <c r="F3" s="187"/>
      <c r="G3" s="187"/>
      <c r="J3" s="17" t="s">
        <v>806</v>
      </c>
      <c r="R3" s="187" t="s">
        <v>810</v>
      </c>
      <c r="S3" s="187"/>
      <c r="T3" s="187"/>
      <c r="U3" s="187"/>
      <c r="V3" s="187"/>
      <c r="W3" s="187" t="s">
        <v>822</v>
      </c>
      <c r="X3" s="187"/>
      <c r="Y3" s="187"/>
      <c r="Z3" s="187"/>
      <c r="AA3" s="187"/>
      <c r="AE3" s="17"/>
      <c r="AF3" s="17"/>
      <c r="AG3" s="17"/>
      <c r="AH3" s="17"/>
      <c r="AI3" s="17"/>
      <c r="AJ3" s="17"/>
      <c r="AK3" s="17"/>
      <c r="AL3" s="17"/>
    </row>
    <row r="4" spans="2:39" x14ac:dyDescent="0.15">
      <c r="B4" s="17" t="s">
        <v>478</v>
      </c>
      <c r="C4" s="17" t="s">
        <v>283</v>
      </c>
      <c r="D4" s="17" t="s">
        <v>282</v>
      </c>
      <c r="E4" s="17" t="s">
        <v>281</v>
      </c>
      <c r="F4" s="17" t="s">
        <v>280</v>
      </c>
      <c r="G4" s="17" t="s">
        <v>279</v>
      </c>
      <c r="J4" s="17" t="s">
        <v>783</v>
      </c>
      <c r="K4" s="17" t="s">
        <v>782</v>
      </c>
      <c r="L4" s="17" t="s">
        <v>808</v>
      </c>
      <c r="M4" s="17" t="s">
        <v>809</v>
      </c>
      <c r="Q4" s="17" t="s">
        <v>489</v>
      </c>
      <c r="R4" s="17" t="s">
        <v>283</v>
      </c>
      <c r="S4" s="17" t="s">
        <v>282</v>
      </c>
      <c r="T4" s="17" t="s">
        <v>281</v>
      </c>
      <c r="U4" s="17" t="s">
        <v>280</v>
      </c>
      <c r="V4" s="17" t="s">
        <v>279</v>
      </c>
      <c r="W4" s="17" t="s">
        <v>283</v>
      </c>
      <c r="X4" s="17" t="s">
        <v>282</v>
      </c>
      <c r="Y4" s="17" t="s">
        <v>281</v>
      </c>
      <c r="Z4" s="17" t="s">
        <v>280</v>
      </c>
      <c r="AA4" s="17" t="s">
        <v>279</v>
      </c>
      <c r="AE4" s="155" t="s">
        <v>169</v>
      </c>
      <c r="AF4" s="155"/>
      <c r="AH4" s="17" t="s">
        <v>178</v>
      </c>
      <c r="AI4" s="17"/>
      <c r="AJ4" s="17"/>
      <c r="AK4" s="17"/>
      <c r="AL4" s="17"/>
    </row>
    <row r="5" spans="2:39" x14ac:dyDescent="0.15">
      <c r="B5" s="17">
        <v>1</v>
      </c>
      <c r="C5" s="144">
        <f>'[1]功能-实力'!BF5</f>
        <v>22716</v>
      </c>
      <c r="D5" s="144">
        <f>'[1]功能-实力'!BG5</f>
        <v>22782</v>
      </c>
      <c r="E5" s="144">
        <f>'[1]功能-实力'!BH5</f>
        <v>22866</v>
      </c>
      <c r="F5" s="144">
        <f>'[1]功能-实力'!BI5</f>
        <v>22956</v>
      </c>
      <c r="G5" s="144">
        <f>'[1]功能-实力'!BJ5</f>
        <v>23034</v>
      </c>
      <c r="J5" s="17">
        <v>1</v>
      </c>
      <c r="K5" s="142">
        <f>武将天赋!BJ18</f>
        <v>70</v>
      </c>
      <c r="L5" s="142">
        <f>INDEX($C$5:$C$164,MATCH($K5,$B$5:$B$164,0))</f>
        <v>5602770</v>
      </c>
      <c r="M5" s="83">
        <v>5000000</v>
      </c>
      <c r="N5" s="17">
        <f>M5/L5</f>
        <v>0.8924157157977215</v>
      </c>
      <c r="Q5" s="17">
        <v>1</v>
      </c>
      <c r="R5" s="17">
        <f t="shared" ref="R5:R36" si="0">IF(求节点($L$5:$L$8,$J$5:$J$8,C5)&lt;1,0,求节点($L$5:$L$8,$J$5:$J$8,C5))</f>
        <v>0</v>
      </c>
      <c r="S5" s="17">
        <f t="shared" ref="S5:S36" si="1">IF(求节点($L$5:$L$8,$J$5:$J$8,D5)&lt;1,0,求节点($L$5:$L$8,$J$5:$J$8,D5))</f>
        <v>0</v>
      </c>
      <c r="T5" s="17">
        <f t="shared" ref="T5:T36" si="2">IF(求节点($L$5:$L$8,$J$5:$J$8,E5)&lt;1,0,求节点($L$5:$L$8,$J$5:$J$8,E5))</f>
        <v>0</v>
      </c>
      <c r="U5" s="17">
        <f t="shared" ref="U5:U36" si="3">IF(求节点($L$5:$L$8,$J$5:$J$8,F5)&lt;1,0,求节点($L$5:$L$8,$J$5:$J$8,F5))</f>
        <v>0</v>
      </c>
      <c r="V5" s="17">
        <f t="shared" ref="V5:V36" si="4">IF(求节点($L$5:$L$8,$J$5:$J$8,G5)&lt;1,0,求节点($L$5:$L$8,$J$5:$J$8,G5))</f>
        <v>0</v>
      </c>
      <c r="W5" s="17">
        <f>求节点(武将天赋!$AB$19:$AB$25,武将天赋!$Y$7:$Y$13,求节点(武将天赋!$BI$6:$BI$9,武将天赋!$BL$6:$BL$9,R5))</f>
        <v>0.1</v>
      </c>
      <c r="X5" s="17">
        <f>求节点(武将天赋!$AB$19:$AB$25,武将天赋!$Y$7:$Y$13,求节点(武将天赋!$BI$6:$BI$9,武将天赋!$BL$6:$BL$9,S5))</f>
        <v>0.1</v>
      </c>
      <c r="Y5" s="17">
        <f>求节点(武将天赋!$AB$19:$AB$25,武将天赋!$Y$7:$Y$13,求节点(武将天赋!$BI$6:$BI$9,武将天赋!$BL$6:$BL$9,T5))</f>
        <v>0.1</v>
      </c>
      <c r="Z5" s="17">
        <f>求节点(武将天赋!$AB$19:$AB$25,武将天赋!$Y$7:$Y$13,求节点(武将天赋!$BI$6:$BI$9,武将天赋!$BL$6:$BL$9,U5))</f>
        <v>0.1</v>
      </c>
      <c r="AA5" s="17">
        <f>求节点(武将天赋!$AB$19:$AB$25,武将天赋!$Y$7:$Y$13,求节点(武将天赋!$BI$6:$BI$9,武将天赋!$BL$6:$BL$9,V5))</f>
        <v>0.1</v>
      </c>
      <c r="AE5" s="155"/>
      <c r="AF5" s="155"/>
      <c r="AH5" s="155" t="s">
        <v>821</v>
      </c>
      <c r="AI5" s="155"/>
      <c r="AJ5" s="155"/>
      <c r="AK5" s="155"/>
      <c r="AL5" s="155"/>
    </row>
    <row r="6" spans="2:39" x14ac:dyDescent="0.15">
      <c r="B6" s="17">
        <v>2</v>
      </c>
      <c r="C6" s="144">
        <f>'[1]功能-实力'!BF6</f>
        <v>27276</v>
      </c>
      <c r="D6" s="144">
        <f>'[1]功能-实力'!BG6</f>
        <v>27450</v>
      </c>
      <c r="E6" s="144">
        <f>'[1]功能-实力'!BH6</f>
        <v>27714</v>
      </c>
      <c r="F6" s="144">
        <f>'[1]功能-实力'!BI6</f>
        <v>28086</v>
      </c>
      <c r="G6" s="144">
        <f>'[1]功能-实力'!BJ6</f>
        <v>28314</v>
      </c>
      <c r="J6" s="17">
        <v>2</v>
      </c>
      <c r="K6" s="142">
        <f>武将天赋!BJ19</f>
        <v>80</v>
      </c>
      <c r="L6" s="142">
        <f t="shared" ref="L6:L8" si="5">INDEX($C$5:$C$164,MATCH($K6,$B$5:$B$164,0))</f>
        <v>10377846</v>
      </c>
      <c r="M6" s="83">
        <v>10000000</v>
      </c>
      <c r="N6" s="17">
        <f t="shared" ref="N6:N8" si="6">M6/L6</f>
        <v>0.9635910958786631</v>
      </c>
      <c r="Q6" s="17">
        <v>2</v>
      </c>
      <c r="R6" s="17">
        <f t="shared" si="0"/>
        <v>0</v>
      </c>
      <c r="S6" s="17">
        <f t="shared" si="1"/>
        <v>0</v>
      </c>
      <c r="T6" s="17">
        <f t="shared" si="2"/>
        <v>0</v>
      </c>
      <c r="U6" s="17">
        <f t="shared" si="3"/>
        <v>0</v>
      </c>
      <c r="V6" s="17">
        <f t="shared" si="4"/>
        <v>0</v>
      </c>
      <c r="W6" s="17">
        <f>求节点(武将天赋!$AB$19:$AB$25,武将天赋!$Y$7:$Y$13,求节点(武将天赋!$BI$6:$BI$9,武将天赋!$BL$6:$BL$9,R6))</f>
        <v>0.1</v>
      </c>
      <c r="X6" s="17">
        <f>求节点(武将天赋!$AB$19:$AB$25,武将天赋!$Y$7:$Y$13,求节点(武将天赋!$BI$6:$BI$9,武将天赋!$BL$6:$BL$9,S6))</f>
        <v>0.1</v>
      </c>
      <c r="Y6" s="17">
        <f>求节点(武将天赋!$AB$19:$AB$25,武将天赋!$Y$7:$Y$13,求节点(武将天赋!$BI$6:$BI$9,武将天赋!$BL$6:$BL$9,T6))</f>
        <v>0.1</v>
      </c>
      <c r="Z6" s="17">
        <f>求节点(武将天赋!$AB$19:$AB$25,武将天赋!$Y$7:$Y$13,求节点(武将天赋!$BI$6:$BI$9,武将天赋!$BL$6:$BL$9,U6))</f>
        <v>0.1</v>
      </c>
      <c r="AA6" s="17">
        <f>求节点(武将天赋!$AB$19:$AB$25,武将天赋!$Y$7:$Y$13,求节点(武将天赋!$BI$6:$BI$9,武将天赋!$BL$6:$BL$9,V6))</f>
        <v>0.1</v>
      </c>
      <c r="AE6" s="56" t="s">
        <v>170</v>
      </c>
      <c r="AF6" s="56" t="s">
        <v>484</v>
      </c>
      <c r="AH6" s="56" t="s">
        <v>3</v>
      </c>
      <c r="AI6" s="56" t="s">
        <v>1</v>
      </c>
      <c r="AJ6" s="56" t="s">
        <v>2</v>
      </c>
      <c r="AK6" s="56" t="s">
        <v>0</v>
      </c>
      <c r="AL6" s="56" t="s">
        <v>545</v>
      </c>
    </row>
    <row r="7" spans="2:39" x14ac:dyDescent="0.15">
      <c r="B7" s="17">
        <v>3</v>
      </c>
      <c r="C7" s="144">
        <f>'[1]功能-实力'!BF7</f>
        <v>31857</v>
      </c>
      <c r="D7" s="144">
        <f>'[1]功能-实力'!BG7</f>
        <v>32166</v>
      </c>
      <c r="E7" s="144">
        <f>'[1]功能-实力'!BH7</f>
        <v>32676</v>
      </c>
      <c r="F7" s="144">
        <f>'[1]功能-实力'!BI7</f>
        <v>33426</v>
      </c>
      <c r="G7" s="144">
        <f>'[1]功能-实力'!BJ7</f>
        <v>33876</v>
      </c>
      <c r="J7" s="17">
        <v>3</v>
      </c>
      <c r="K7" s="142">
        <f>武将天赋!BJ20</f>
        <v>90</v>
      </c>
      <c r="L7" s="142">
        <f t="shared" si="5"/>
        <v>17291256</v>
      </c>
      <c r="M7" s="83">
        <v>15000000</v>
      </c>
      <c r="N7" s="17">
        <f t="shared" si="6"/>
        <v>0.86749048189443267</v>
      </c>
      <c r="Q7" s="17">
        <v>3</v>
      </c>
      <c r="R7" s="17">
        <f t="shared" si="0"/>
        <v>0</v>
      </c>
      <c r="S7" s="17">
        <f t="shared" si="1"/>
        <v>0</v>
      </c>
      <c r="T7" s="17">
        <f t="shared" si="2"/>
        <v>0</v>
      </c>
      <c r="U7" s="17">
        <f t="shared" si="3"/>
        <v>0</v>
      </c>
      <c r="V7" s="17">
        <f t="shared" si="4"/>
        <v>0</v>
      </c>
      <c r="W7" s="17">
        <f>求节点(武将天赋!$AB$19:$AB$25,武将天赋!$Y$7:$Y$13,求节点(武将天赋!$BI$6:$BI$9,武将天赋!$BL$6:$BL$9,R7))</f>
        <v>0.1</v>
      </c>
      <c r="X7" s="17">
        <f>求节点(武将天赋!$AB$19:$AB$25,武将天赋!$Y$7:$Y$13,求节点(武将天赋!$BI$6:$BI$9,武将天赋!$BL$6:$BL$9,S7))</f>
        <v>0.1</v>
      </c>
      <c r="Y7" s="17">
        <f>求节点(武将天赋!$AB$19:$AB$25,武将天赋!$Y$7:$Y$13,求节点(武将天赋!$BI$6:$BI$9,武将天赋!$BL$6:$BL$9,T7))</f>
        <v>0.1</v>
      </c>
      <c r="Z7" s="17">
        <f>求节点(武将天赋!$AB$19:$AB$25,武将天赋!$Y$7:$Y$13,求节点(武将天赋!$BI$6:$BI$9,武将天赋!$BL$6:$BL$9,U7))</f>
        <v>0.1</v>
      </c>
      <c r="AA7" s="17">
        <f>求节点(武将天赋!$AB$19:$AB$25,武将天赋!$Y$7:$Y$13,求节点(武将天赋!$BI$6:$BI$9,武将天赋!$BL$6:$BL$9,V7))</f>
        <v>0.1</v>
      </c>
      <c r="AE7" s="56">
        <v>1</v>
      </c>
      <c r="AF7" s="56">
        <v>10</v>
      </c>
      <c r="AH7" s="56"/>
      <c r="AI7" s="56"/>
      <c r="AJ7" s="56"/>
      <c r="AK7" s="56"/>
      <c r="AL7" s="56">
        <f>IFERROR(求节点(武将天赋!$AC$31:$AC$37,武将天赋!$Y$7:$Y$13,武将数量星级阶位验证!BM7/基础状态预期!J17),0)</f>
        <v>0</v>
      </c>
      <c r="AM7" s="17">
        <f>求节点(武将天赋进度验证!$Q$5:$Q$164,武将天赋进度验证!$W$5:$W$164,$AF7)</f>
        <v>0.1</v>
      </c>
    </row>
    <row r="8" spans="2:39" x14ac:dyDescent="0.15">
      <c r="B8" s="17">
        <v>4</v>
      </c>
      <c r="C8" s="144">
        <f>'[1]功能-实力'!BF8</f>
        <v>42955.5</v>
      </c>
      <c r="D8" s="144">
        <f>'[1]功能-实力'!BG8</f>
        <v>43515.5</v>
      </c>
      <c r="E8" s="144">
        <f>'[1]功能-实力'!BH8</f>
        <v>44464</v>
      </c>
      <c r="F8" s="144">
        <f>'[1]功能-实力'!BI8</f>
        <v>45860.5</v>
      </c>
      <c r="G8" s="144">
        <f>'[1]功能-实力'!BJ8</f>
        <v>46704</v>
      </c>
      <c r="J8" s="17">
        <v>4</v>
      </c>
      <c r="K8" s="142">
        <f>武将天赋!BJ21</f>
        <v>100</v>
      </c>
      <c r="L8" s="142">
        <f t="shared" si="5"/>
        <v>28032600</v>
      </c>
      <c r="M8" s="83">
        <v>20000000</v>
      </c>
      <c r="N8" s="17">
        <f t="shared" si="6"/>
        <v>0.7134550487646526</v>
      </c>
      <c r="Q8" s="17">
        <v>4</v>
      </c>
      <c r="R8" s="17">
        <f t="shared" si="0"/>
        <v>0</v>
      </c>
      <c r="S8" s="17">
        <f t="shared" si="1"/>
        <v>0</v>
      </c>
      <c r="T8" s="17">
        <f t="shared" si="2"/>
        <v>0</v>
      </c>
      <c r="U8" s="17">
        <f t="shared" si="3"/>
        <v>0</v>
      </c>
      <c r="V8" s="17">
        <f t="shared" si="4"/>
        <v>0</v>
      </c>
      <c r="W8" s="17">
        <f>求节点(武将天赋!$AB$19:$AB$25,武将天赋!$Y$7:$Y$13,求节点(武将天赋!$BI$6:$BI$9,武将天赋!$BL$6:$BL$9,R8))</f>
        <v>0.1</v>
      </c>
      <c r="X8" s="17">
        <f>求节点(武将天赋!$AB$19:$AB$25,武将天赋!$Y$7:$Y$13,求节点(武将天赋!$BI$6:$BI$9,武将天赋!$BL$6:$BL$9,S8))</f>
        <v>0.1</v>
      </c>
      <c r="Y8" s="17">
        <f>求节点(武将天赋!$AB$19:$AB$25,武将天赋!$Y$7:$Y$13,求节点(武将天赋!$BI$6:$BI$9,武将天赋!$BL$6:$BL$9,T8))</f>
        <v>0.1</v>
      </c>
      <c r="Z8" s="17">
        <f>求节点(武将天赋!$AB$19:$AB$25,武将天赋!$Y$7:$Y$13,求节点(武将天赋!$BI$6:$BI$9,武将天赋!$BL$6:$BL$9,U8))</f>
        <v>0.1</v>
      </c>
      <c r="AA8" s="17">
        <f>求节点(武将天赋!$AB$19:$AB$25,武将天赋!$Y$7:$Y$13,求节点(武将天赋!$BI$6:$BI$9,武将天赋!$BL$6:$BL$9,V8))</f>
        <v>0.1</v>
      </c>
      <c r="AE8" s="56">
        <v>3</v>
      </c>
      <c r="AF8" s="56">
        <v>20</v>
      </c>
      <c r="AH8" s="56"/>
      <c r="AI8" s="56"/>
      <c r="AJ8" s="56"/>
      <c r="AK8" s="56"/>
      <c r="AL8" s="56">
        <f>IFERROR(求节点(武将天赋!$AC$31:$AC$37,武将天赋!$Y$7:$Y$13,武将数量星级阶位验证!BM8/基础状态预期!J18),0)</f>
        <v>0</v>
      </c>
      <c r="AM8" s="17">
        <f>求节点(武将天赋进度验证!$Q$5:$Q$164,武将天赋进度验证!$W$5:$W$164,$AF8)</f>
        <v>0.1</v>
      </c>
    </row>
    <row r="9" spans="2:39" x14ac:dyDescent="0.15">
      <c r="B9" s="17">
        <v>5</v>
      </c>
      <c r="C9" s="144">
        <f>'[1]功能-实力'!BF9</f>
        <v>56256</v>
      </c>
      <c r="D9" s="144">
        <f>'[1]功能-实力'!BG9</f>
        <v>57168</v>
      </c>
      <c r="E9" s="144">
        <f>'[1]功能-实力'!BH9</f>
        <v>58724</v>
      </c>
      <c r="F9" s="144">
        <f>'[1]功能-实力'!BI9</f>
        <v>61028</v>
      </c>
      <c r="G9" s="144">
        <f>'[1]功能-实力'!BJ9</f>
        <v>62428</v>
      </c>
      <c r="Q9" s="17">
        <v>5</v>
      </c>
      <c r="R9" s="17">
        <f t="shared" si="0"/>
        <v>0</v>
      </c>
      <c r="S9" s="17">
        <f t="shared" si="1"/>
        <v>0</v>
      </c>
      <c r="T9" s="17">
        <f t="shared" si="2"/>
        <v>0</v>
      </c>
      <c r="U9" s="17">
        <f t="shared" si="3"/>
        <v>0</v>
      </c>
      <c r="V9" s="17">
        <f t="shared" si="4"/>
        <v>0</v>
      </c>
      <c r="W9" s="17">
        <f>求节点(武将天赋!$AB$19:$AB$25,武将天赋!$Y$7:$Y$13,求节点(武将天赋!$BI$6:$BI$9,武将天赋!$BL$6:$BL$9,R9))</f>
        <v>0.1</v>
      </c>
      <c r="X9" s="17">
        <f>求节点(武将天赋!$AB$19:$AB$25,武将天赋!$Y$7:$Y$13,求节点(武将天赋!$BI$6:$BI$9,武将天赋!$BL$6:$BL$9,S9))</f>
        <v>0.1</v>
      </c>
      <c r="Y9" s="17">
        <f>求节点(武将天赋!$AB$19:$AB$25,武将天赋!$Y$7:$Y$13,求节点(武将天赋!$BI$6:$BI$9,武将天赋!$BL$6:$BL$9,T9))</f>
        <v>0.1</v>
      </c>
      <c r="Z9" s="17">
        <f>求节点(武将天赋!$AB$19:$AB$25,武将天赋!$Y$7:$Y$13,求节点(武将天赋!$BI$6:$BI$9,武将天赋!$BL$6:$BL$9,U9))</f>
        <v>0.1</v>
      </c>
      <c r="AA9" s="17">
        <f>求节点(武将天赋!$AB$19:$AB$25,武将天赋!$Y$7:$Y$13,求节点(武将天赋!$BI$6:$BI$9,武将天赋!$BL$6:$BL$9,V9))</f>
        <v>0.1</v>
      </c>
      <c r="AE9" s="56">
        <v>6</v>
      </c>
      <c r="AF9" s="56">
        <v>28.071211008105138</v>
      </c>
      <c r="AH9" s="56"/>
      <c r="AI9" s="56"/>
      <c r="AJ9" s="56"/>
      <c r="AK9" s="56"/>
      <c r="AL9" s="56">
        <f>IFERROR(求节点(武将天赋!$AC$31:$AC$37,武将天赋!$Y$7:$Y$13,武将数量星级阶位验证!BM9/基础状态预期!J19),0)</f>
        <v>0</v>
      </c>
      <c r="AM9" s="17">
        <f>求节点(武将天赋进度验证!$Q$5:$Q$164,武将天赋进度验证!$W$5:$W$164,$AF9)</f>
        <v>0.1</v>
      </c>
    </row>
    <row r="10" spans="2:39" x14ac:dyDescent="0.15">
      <c r="B10" s="17">
        <v>6</v>
      </c>
      <c r="C10" s="144">
        <f>'[1]功能-实力'!BF10</f>
        <v>63984</v>
      </c>
      <c r="D10" s="144">
        <f>'[1]功能-实力'!BG10</f>
        <v>65212</v>
      </c>
      <c r="E10" s="144">
        <f>'[1]功能-实力'!BH10</f>
        <v>67324</v>
      </c>
      <c r="F10" s="144">
        <f>'[1]功能-实力'!BI10</f>
        <v>70456</v>
      </c>
      <c r="G10" s="144">
        <f>'[1]功能-实力'!BJ10</f>
        <v>72368</v>
      </c>
      <c r="Q10" s="17">
        <v>6</v>
      </c>
      <c r="R10" s="17">
        <f t="shared" si="0"/>
        <v>0</v>
      </c>
      <c r="S10" s="17">
        <f t="shared" si="1"/>
        <v>0</v>
      </c>
      <c r="T10" s="17">
        <f t="shared" si="2"/>
        <v>0</v>
      </c>
      <c r="U10" s="17">
        <f t="shared" si="3"/>
        <v>0</v>
      </c>
      <c r="V10" s="17">
        <f t="shared" si="4"/>
        <v>0</v>
      </c>
      <c r="W10" s="17">
        <f>求节点(武将天赋!$AB$19:$AB$25,武将天赋!$Y$7:$Y$13,求节点(武将天赋!$BI$6:$BI$9,武将天赋!$BL$6:$BL$9,R10))</f>
        <v>0.1</v>
      </c>
      <c r="X10" s="17">
        <f>求节点(武将天赋!$AB$19:$AB$25,武将天赋!$Y$7:$Y$13,求节点(武将天赋!$BI$6:$BI$9,武将天赋!$BL$6:$BL$9,S10))</f>
        <v>0.1</v>
      </c>
      <c r="Y10" s="17">
        <f>求节点(武将天赋!$AB$19:$AB$25,武将天赋!$Y$7:$Y$13,求节点(武将天赋!$BI$6:$BI$9,武将天赋!$BL$6:$BL$9,T10))</f>
        <v>0.1</v>
      </c>
      <c r="Z10" s="17">
        <f>求节点(武将天赋!$AB$19:$AB$25,武将天赋!$Y$7:$Y$13,求节点(武将天赋!$BI$6:$BI$9,武将天赋!$BL$6:$BL$9,U10))</f>
        <v>0.1</v>
      </c>
      <c r="AA10" s="17">
        <f>求节点(武将天赋!$AB$19:$AB$25,武将天赋!$Y$7:$Y$13,求节点(武将天赋!$BI$6:$BI$9,武将天赋!$BL$6:$BL$9,V10))</f>
        <v>0.1</v>
      </c>
      <c r="AE10" s="56">
        <v>10</v>
      </c>
      <c r="AF10" s="56">
        <v>34.585942742481357</v>
      </c>
      <c r="AH10" s="56"/>
      <c r="AI10" s="56"/>
      <c r="AJ10" s="56"/>
      <c r="AK10" s="56"/>
      <c r="AL10" s="56">
        <f>IFERROR(求节点(武将天赋!$AC$31:$AC$37,武将天赋!$Y$7:$Y$13,武将数量星级阶位验证!BM10/基础状态预期!J20),0)</f>
        <v>0</v>
      </c>
      <c r="AM10" s="17">
        <f>求节点(武将天赋进度验证!$Q$5:$Q$164,武将天赋进度验证!$W$5:$W$164,$AF10)</f>
        <v>0.1</v>
      </c>
    </row>
    <row r="11" spans="2:39" x14ac:dyDescent="0.15">
      <c r="B11" s="17">
        <v>7</v>
      </c>
      <c r="C11" s="144">
        <f>'[1]功能-实力'!BF11</f>
        <v>72304</v>
      </c>
      <c r="D11" s="144">
        <f>'[1]功能-实力'!BG11</f>
        <v>73888</v>
      </c>
      <c r="E11" s="144">
        <f>'[1]功能-实力'!BH11</f>
        <v>76652</v>
      </c>
      <c r="F11" s="144">
        <f>'[1]功能-实力'!BI11</f>
        <v>80644</v>
      </c>
      <c r="G11" s="144">
        <f>'[1]功能-实力'!BJ11</f>
        <v>82920</v>
      </c>
      <c r="Q11" s="17">
        <v>7</v>
      </c>
      <c r="R11" s="17">
        <f t="shared" si="0"/>
        <v>0</v>
      </c>
      <c r="S11" s="17">
        <f t="shared" si="1"/>
        <v>0</v>
      </c>
      <c r="T11" s="17">
        <f t="shared" si="2"/>
        <v>0</v>
      </c>
      <c r="U11" s="17">
        <f t="shared" si="3"/>
        <v>0</v>
      </c>
      <c r="V11" s="17">
        <f t="shared" si="4"/>
        <v>0</v>
      </c>
      <c r="W11" s="17">
        <f>求节点(武将天赋!$AB$19:$AB$25,武将天赋!$Y$7:$Y$13,求节点(武将天赋!$BI$6:$BI$9,武将天赋!$BL$6:$BL$9,R11))</f>
        <v>0.1</v>
      </c>
      <c r="X11" s="17">
        <f>求节点(武将天赋!$AB$19:$AB$25,武将天赋!$Y$7:$Y$13,求节点(武将天赋!$BI$6:$BI$9,武将天赋!$BL$6:$BL$9,S11))</f>
        <v>0.1</v>
      </c>
      <c r="Y11" s="17">
        <f>求节点(武将天赋!$AB$19:$AB$25,武将天赋!$Y$7:$Y$13,求节点(武将天赋!$BI$6:$BI$9,武将天赋!$BL$6:$BL$9,T11))</f>
        <v>0.1</v>
      </c>
      <c r="Z11" s="17">
        <f>求节点(武将天赋!$AB$19:$AB$25,武将天赋!$Y$7:$Y$13,求节点(武将天赋!$BI$6:$BI$9,武将天赋!$BL$6:$BL$9,U11))</f>
        <v>0.1</v>
      </c>
      <c r="AA11" s="17">
        <f>求节点(武将天赋!$AB$19:$AB$25,武将天赋!$Y$7:$Y$13,求节点(武将天赋!$BI$6:$BI$9,武将天赋!$BL$6:$BL$9,V11))</f>
        <v>0.1</v>
      </c>
      <c r="AE11" s="56">
        <v>15</v>
      </c>
      <c r="AF11" s="56">
        <v>40</v>
      </c>
      <c r="AH11" s="56"/>
      <c r="AI11" s="56"/>
      <c r="AJ11" s="56"/>
      <c r="AK11" s="56"/>
      <c r="AL11" s="56">
        <f>IFERROR(求节点(武将天赋!$AC$31:$AC$37,武将天赋!$Y$7:$Y$13,武将数量星级阶位验证!BM11/基础状态预期!J21),0)</f>
        <v>0</v>
      </c>
      <c r="AM11" s="17">
        <f>求节点(武将天赋进度验证!$Q$5:$Q$164,武将天赋进度验证!$W$5:$W$164,$AF11)</f>
        <v>0.1</v>
      </c>
    </row>
    <row r="12" spans="2:39" x14ac:dyDescent="0.15">
      <c r="B12" s="17">
        <v>8</v>
      </c>
      <c r="C12" s="144">
        <f>'[1]功能-实力'!BF12</f>
        <v>81240</v>
      </c>
      <c r="D12" s="144">
        <f>'[1]功能-实力'!BG12</f>
        <v>83092</v>
      </c>
      <c r="E12" s="144">
        <f>'[1]功能-实力'!BH12</f>
        <v>86368</v>
      </c>
      <c r="F12" s="144">
        <f>'[1]功能-实力'!BI12</f>
        <v>91236</v>
      </c>
      <c r="G12" s="144">
        <f>'[1]功能-实力'!BJ12</f>
        <v>94124</v>
      </c>
      <c r="Q12" s="17">
        <v>8</v>
      </c>
      <c r="R12" s="17">
        <f t="shared" si="0"/>
        <v>0</v>
      </c>
      <c r="S12" s="17">
        <f t="shared" si="1"/>
        <v>0</v>
      </c>
      <c r="T12" s="17">
        <f t="shared" si="2"/>
        <v>0</v>
      </c>
      <c r="U12" s="17">
        <f t="shared" si="3"/>
        <v>0</v>
      </c>
      <c r="V12" s="17">
        <f t="shared" si="4"/>
        <v>0</v>
      </c>
      <c r="W12" s="17">
        <f>求节点(武将天赋!$AB$19:$AB$25,武将天赋!$Y$7:$Y$13,求节点(武将天赋!$BI$6:$BI$9,武将天赋!$BL$6:$BL$9,R12))</f>
        <v>0.1</v>
      </c>
      <c r="X12" s="17">
        <f>求节点(武将天赋!$AB$19:$AB$25,武将天赋!$Y$7:$Y$13,求节点(武将天赋!$BI$6:$BI$9,武将天赋!$BL$6:$BL$9,S12))</f>
        <v>0.1</v>
      </c>
      <c r="Y12" s="17">
        <f>求节点(武将天赋!$AB$19:$AB$25,武将天赋!$Y$7:$Y$13,求节点(武将天赋!$BI$6:$BI$9,武将天赋!$BL$6:$BL$9,T12))</f>
        <v>0.1</v>
      </c>
      <c r="Z12" s="17">
        <f>求节点(武将天赋!$AB$19:$AB$25,武将天赋!$Y$7:$Y$13,求节点(武将天赋!$BI$6:$BI$9,武将天赋!$BL$6:$BL$9,U12))</f>
        <v>0.1</v>
      </c>
      <c r="AA12" s="17">
        <f>求节点(武将天赋!$AB$19:$AB$25,武将天赋!$Y$7:$Y$13,求节点(武将天赋!$BI$6:$BI$9,武将天赋!$BL$6:$BL$9,V12))</f>
        <v>0.1</v>
      </c>
      <c r="AE12" s="56">
        <v>20</v>
      </c>
      <c r="AF12" s="56">
        <v>43.920692243099523</v>
      </c>
      <c r="AH12" s="56"/>
      <c r="AI12" s="56"/>
      <c r="AJ12" s="56"/>
      <c r="AK12" s="56"/>
      <c r="AL12" s="56">
        <f>IFERROR(求节点(武将天赋!$AC$31:$AC$37,武将天赋!$Y$7:$Y$13,武将数量星级阶位验证!BM12/基础状态预期!J22),0)</f>
        <v>0</v>
      </c>
      <c r="AM12" s="17">
        <f>求节点(武将天赋进度验证!$Q$5:$Q$164,武将天赋进度验证!$W$5:$W$164,$AF12)</f>
        <v>0.1</v>
      </c>
    </row>
    <row r="13" spans="2:39" x14ac:dyDescent="0.15">
      <c r="B13" s="17">
        <v>9</v>
      </c>
      <c r="C13" s="144">
        <f>'[1]功能-实力'!BF13</f>
        <v>99413.6</v>
      </c>
      <c r="D13" s="144">
        <f>'[1]功能-实力'!BG13</f>
        <v>101864.40000000001</v>
      </c>
      <c r="E13" s="144">
        <f>'[1]功能-实力'!BH13</f>
        <v>106304</v>
      </c>
      <c r="F13" s="144">
        <f>'[1]功能-实力'!BI13</f>
        <v>112882.00000000001</v>
      </c>
      <c r="G13" s="144">
        <f>'[1]功能-实力'!BJ13</f>
        <v>116820</v>
      </c>
      <c r="Q13" s="17">
        <v>9</v>
      </c>
      <c r="R13" s="17">
        <f t="shared" si="0"/>
        <v>0</v>
      </c>
      <c r="S13" s="17">
        <f t="shared" si="1"/>
        <v>0</v>
      </c>
      <c r="T13" s="17">
        <f t="shared" si="2"/>
        <v>0</v>
      </c>
      <c r="U13" s="17">
        <f t="shared" si="3"/>
        <v>0</v>
      </c>
      <c r="V13" s="17">
        <f t="shared" si="4"/>
        <v>0</v>
      </c>
      <c r="W13" s="17">
        <f>求节点(武将天赋!$AB$19:$AB$25,武将天赋!$Y$7:$Y$13,求节点(武将天赋!$BI$6:$BI$9,武将天赋!$BL$6:$BL$9,R13))</f>
        <v>0.1</v>
      </c>
      <c r="X13" s="17">
        <f>求节点(武将天赋!$AB$19:$AB$25,武将天赋!$Y$7:$Y$13,求节点(武将天赋!$BI$6:$BI$9,武将天赋!$BL$6:$BL$9,S13))</f>
        <v>0.1</v>
      </c>
      <c r="Y13" s="17">
        <f>求节点(武将天赋!$AB$19:$AB$25,武将天赋!$Y$7:$Y$13,求节点(武将天赋!$BI$6:$BI$9,武将天赋!$BL$6:$BL$9,T13))</f>
        <v>0.1</v>
      </c>
      <c r="Z13" s="17">
        <f>求节点(武将天赋!$AB$19:$AB$25,武将天赋!$Y$7:$Y$13,求节点(武将天赋!$BI$6:$BI$9,武将天赋!$BL$6:$BL$9,U13))</f>
        <v>0.1</v>
      </c>
      <c r="AA13" s="17">
        <f>求节点(武将天赋!$AB$19:$AB$25,武将天赋!$Y$7:$Y$13,求节点(武将天赋!$BI$6:$BI$9,武将天赋!$BL$6:$BL$9,V13))</f>
        <v>0.1</v>
      </c>
      <c r="AE13" s="56">
        <v>30</v>
      </c>
      <c r="AF13" s="56">
        <v>49.533352307096472</v>
      </c>
      <c r="AH13" s="56"/>
      <c r="AI13" s="56"/>
      <c r="AJ13" s="56"/>
      <c r="AK13" s="56"/>
      <c r="AL13" s="56">
        <f>IFERROR(求节点(武将天赋!$AC$31:$AC$37,武将天赋!$Y$7:$Y$13,武将数量星级阶位验证!BM13/基础状态预期!J23),0)</f>
        <v>0</v>
      </c>
      <c r="AM13" s="17">
        <f>求节点(武将天赋进度验证!$Q$5:$Q$164,武将天赋进度验证!$W$5:$W$164,$AF13)</f>
        <v>0.1</v>
      </c>
    </row>
    <row r="14" spans="2:39" x14ac:dyDescent="0.15">
      <c r="B14" s="17">
        <v>10</v>
      </c>
      <c r="C14" s="144">
        <f>'[1]功能-实力'!BF14</f>
        <v>120374.39999999999</v>
      </c>
      <c r="D14" s="144">
        <f>'[1]功能-实力'!BG14</f>
        <v>123321.59999999999</v>
      </c>
      <c r="E14" s="144">
        <f>'[1]功能-实力'!BH14</f>
        <v>129148.79999999999</v>
      </c>
      <c r="F14" s="144">
        <f>'[1]功能-实力'!BI14</f>
        <v>137803.20000000001</v>
      </c>
      <c r="G14" s="144">
        <f>'[1]功能-实力'!BJ14</f>
        <v>143035.20000000001</v>
      </c>
      <c r="Q14" s="17">
        <v>10</v>
      </c>
      <c r="R14" s="17">
        <f t="shared" si="0"/>
        <v>0</v>
      </c>
      <c r="S14" s="17">
        <f t="shared" si="1"/>
        <v>0</v>
      </c>
      <c r="T14" s="17">
        <f t="shared" si="2"/>
        <v>0</v>
      </c>
      <c r="U14" s="17">
        <f t="shared" si="3"/>
        <v>0</v>
      </c>
      <c r="V14" s="17">
        <f t="shared" si="4"/>
        <v>0</v>
      </c>
      <c r="W14" s="17">
        <f>求节点(武将天赋!$AB$19:$AB$25,武将天赋!$Y$7:$Y$13,求节点(武将天赋!$BI$6:$BI$9,武将天赋!$BL$6:$BL$9,R14))</f>
        <v>0.1</v>
      </c>
      <c r="X14" s="17">
        <f>求节点(武将天赋!$AB$19:$AB$25,武将天赋!$Y$7:$Y$13,求节点(武将天赋!$BI$6:$BI$9,武将天赋!$BL$6:$BL$9,S14))</f>
        <v>0.1</v>
      </c>
      <c r="Y14" s="17">
        <f>求节点(武将天赋!$AB$19:$AB$25,武将天赋!$Y$7:$Y$13,求节点(武将天赋!$BI$6:$BI$9,武将天赋!$BL$6:$BL$9,T14))</f>
        <v>0.1</v>
      </c>
      <c r="Z14" s="17">
        <f>求节点(武将天赋!$AB$19:$AB$25,武将天赋!$Y$7:$Y$13,求节点(武将天赋!$BI$6:$BI$9,武将天赋!$BL$6:$BL$9,U14))</f>
        <v>0.1</v>
      </c>
      <c r="AA14" s="17">
        <f>求节点(武将天赋!$AB$19:$AB$25,武将天赋!$Y$7:$Y$13,求节点(武将天赋!$BI$6:$BI$9,武将天赋!$BL$6:$BL$9,V14))</f>
        <v>0.1</v>
      </c>
      <c r="AE14" s="56">
        <v>40</v>
      </c>
      <c r="AF14" s="56">
        <v>53.567039423670657</v>
      </c>
      <c r="AH14" s="56"/>
      <c r="AI14" s="56"/>
      <c r="AJ14" s="56"/>
      <c r="AK14" s="56"/>
      <c r="AL14" s="56">
        <f>IFERROR(求节点(武将天赋!$AC$31:$AC$37,武将天赋!$Y$7:$Y$13,武将数量星级阶位验证!BM14/基础状态预期!J24),0)</f>
        <v>3.7602533358452456E-3</v>
      </c>
      <c r="AM14" s="17">
        <f>求节点(武将天赋进度验证!$Q$5:$Q$164,武将天赋进度验证!$W$5:$W$164,$AF14)</f>
        <v>0.1</v>
      </c>
    </row>
    <row r="15" spans="2:39" x14ac:dyDescent="0.15">
      <c r="B15" s="17">
        <v>11</v>
      </c>
      <c r="C15" s="144">
        <f>'[1]功能-实力'!BF15</f>
        <v>139575</v>
      </c>
      <c r="D15" s="144">
        <f>'[1]功能-实力'!BG15</f>
        <v>143025</v>
      </c>
      <c r="E15" s="144">
        <f>'[1]功能-实力'!BH15</f>
        <v>149780</v>
      </c>
      <c r="F15" s="144">
        <f>'[1]功能-实力'!BI15</f>
        <v>160330</v>
      </c>
      <c r="G15" s="144">
        <f>'[1]功能-实力'!BJ15</f>
        <v>166520</v>
      </c>
      <c r="Q15" s="17">
        <v>11</v>
      </c>
      <c r="R15" s="17">
        <f t="shared" si="0"/>
        <v>0</v>
      </c>
      <c r="S15" s="17">
        <f t="shared" si="1"/>
        <v>0</v>
      </c>
      <c r="T15" s="17">
        <f t="shared" si="2"/>
        <v>0</v>
      </c>
      <c r="U15" s="17">
        <f t="shared" si="3"/>
        <v>0</v>
      </c>
      <c r="V15" s="17">
        <f t="shared" si="4"/>
        <v>0</v>
      </c>
      <c r="W15" s="17">
        <f>求节点(武将天赋!$AB$19:$AB$25,武将天赋!$Y$7:$Y$13,求节点(武将天赋!$BI$6:$BI$9,武将天赋!$BL$6:$BL$9,R15))</f>
        <v>0.1</v>
      </c>
      <c r="X15" s="17">
        <f>求节点(武将天赋!$AB$19:$AB$25,武将天赋!$Y$7:$Y$13,求节点(武将天赋!$BI$6:$BI$9,武将天赋!$BL$6:$BL$9,S15))</f>
        <v>0.1</v>
      </c>
      <c r="Y15" s="17">
        <f>求节点(武将天赋!$AB$19:$AB$25,武将天赋!$Y$7:$Y$13,求节点(武将天赋!$BI$6:$BI$9,武将天赋!$BL$6:$BL$9,T15))</f>
        <v>0.1</v>
      </c>
      <c r="Z15" s="17">
        <f>求节点(武将天赋!$AB$19:$AB$25,武将天赋!$Y$7:$Y$13,求节点(武将天赋!$BI$6:$BI$9,武将天赋!$BL$6:$BL$9,U15))</f>
        <v>0.1</v>
      </c>
      <c r="AA15" s="17">
        <f>求节点(武将天赋!$AB$19:$AB$25,武将天赋!$Y$7:$Y$13,求节点(武将天赋!$BI$6:$BI$9,武将天赋!$BL$6:$BL$9,V15))</f>
        <v>0.1</v>
      </c>
      <c r="AE15" s="56">
        <v>60</v>
      </c>
      <c r="AF15" s="56">
        <v>59.300028460644697</v>
      </c>
      <c r="AH15" s="56"/>
      <c r="AI15" s="56"/>
      <c r="AJ15" s="56"/>
      <c r="AK15" s="56"/>
      <c r="AL15" s="56">
        <f>IFERROR(求节点(武将天赋!$AC$31:$AC$37,武将天赋!$Y$7:$Y$13,武将数量星级阶位验证!BM15/基础状态预期!J25),0)</f>
        <v>7.8287955190034786E-3</v>
      </c>
      <c r="AM15" s="17">
        <f>求节点(武将天赋进度验证!$Q$5:$Q$164,武将天赋进度验证!$W$5:$W$164,$AF15)</f>
        <v>0.1</v>
      </c>
    </row>
    <row r="16" spans="2:39" x14ac:dyDescent="0.15">
      <c r="B16" s="17">
        <v>12</v>
      </c>
      <c r="C16" s="144">
        <f>'[1]功能-实力'!BF16</f>
        <v>151330</v>
      </c>
      <c r="D16" s="144">
        <f>'[1]功能-实力'!BG16</f>
        <v>155545</v>
      </c>
      <c r="E16" s="144">
        <f>'[1]功能-实力'!BH16</f>
        <v>162445</v>
      </c>
      <c r="F16" s="144">
        <f>'[1]功能-实力'!BI16</f>
        <v>174130</v>
      </c>
      <c r="G16" s="144">
        <f>'[1]功能-实力'!BJ16</f>
        <v>181420</v>
      </c>
      <c r="Q16" s="17">
        <v>12</v>
      </c>
      <c r="R16" s="17">
        <f t="shared" si="0"/>
        <v>0</v>
      </c>
      <c r="S16" s="17">
        <f t="shared" si="1"/>
        <v>0</v>
      </c>
      <c r="T16" s="17">
        <f t="shared" si="2"/>
        <v>0</v>
      </c>
      <c r="U16" s="17">
        <f t="shared" si="3"/>
        <v>0</v>
      </c>
      <c r="V16" s="17">
        <f t="shared" si="4"/>
        <v>0</v>
      </c>
      <c r="W16" s="17">
        <f>求节点(武将天赋!$AB$19:$AB$25,武将天赋!$Y$7:$Y$13,求节点(武将天赋!$BI$6:$BI$9,武将天赋!$BL$6:$BL$9,R16))</f>
        <v>0.1</v>
      </c>
      <c r="X16" s="17">
        <f>求节点(武将天赋!$AB$19:$AB$25,武将天赋!$Y$7:$Y$13,求节点(武将天赋!$BI$6:$BI$9,武将天赋!$BL$6:$BL$9,S16))</f>
        <v>0.1</v>
      </c>
      <c r="Y16" s="17">
        <f>求节点(武将天赋!$AB$19:$AB$25,武将天赋!$Y$7:$Y$13,求节点(武将天赋!$BI$6:$BI$9,武将天赋!$BL$6:$BL$9,T16))</f>
        <v>0.1</v>
      </c>
      <c r="Z16" s="17">
        <f>求节点(武将天赋!$AB$19:$AB$25,武将天赋!$Y$7:$Y$13,求节点(武将天赋!$BI$6:$BI$9,武将天赋!$BL$6:$BL$9,U16))</f>
        <v>0.1</v>
      </c>
      <c r="AA16" s="17">
        <f>求节点(武将天赋!$AB$19:$AB$25,武将天赋!$Y$7:$Y$13,求节点(武将天赋!$BI$6:$BI$9,武将天赋!$BL$6:$BL$9,V16))</f>
        <v>0.1</v>
      </c>
      <c r="AE16" s="56">
        <v>90</v>
      </c>
      <c r="AF16" s="56">
        <v>65.075479910097457</v>
      </c>
      <c r="AH16" s="56"/>
      <c r="AI16" s="56"/>
      <c r="AJ16" s="56"/>
      <c r="AK16" s="56"/>
      <c r="AL16" s="56">
        <f>IFERROR(求节点(武将天赋!$AC$31:$AC$37,武将天赋!$Y$7:$Y$13,武将数量星级阶位验证!BM16/基础状态预期!J26),0)</f>
        <v>1.6352303585195113E-2</v>
      </c>
      <c r="AM16" s="17">
        <f>求节点(武将天赋进度验证!$Q$5:$Q$164,武将天赋进度验证!$W$5:$W$164,$AF16)</f>
        <v>0.1</v>
      </c>
    </row>
    <row r="17" spans="2:39" x14ac:dyDescent="0.15">
      <c r="B17" s="17">
        <v>13</v>
      </c>
      <c r="C17" s="144">
        <f>'[1]功能-实力'!BF17</f>
        <v>163705</v>
      </c>
      <c r="D17" s="144">
        <f>'[1]功能-实力'!BG17</f>
        <v>168275</v>
      </c>
      <c r="E17" s="144">
        <f>'[1]功能-实力'!BH17</f>
        <v>176240</v>
      </c>
      <c r="F17" s="144">
        <f>'[1]功能-实力'!BI17</f>
        <v>188405</v>
      </c>
      <c r="G17" s="144">
        <f>'[1]功能-实力'!BJ17</f>
        <v>196955</v>
      </c>
      <c r="Q17" s="17">
        <v>13</v>
      </c>
      <c r="R17" s="17">
        <f t="shared" si="0"/>
        <v>0</v>
      </c>
      <c r="S17" s="17">
        <f t="shared" si="1"/>
        <v>0</v>
      </c>
      <c r="T17" s="17">
        <f t="shared" si="2"/>
        <v>0</v>
      </c>
      <c r="U17" s="17">
        <f t="shared" si="3"/>
        <v>0</v>
      </c>
      <c r="V17" s="17">
        <f t="shared" si="4"/>
        <v>0</v>
      </c>
      <c r="W17" s="17">
        <f>求节点(武将天赋!$AB$19:$AB$25,武将天赋!$Y$7:$Y$13,求节点(武将天赋!$BI$6:$BI$9,武将天赋!$BL$6:$BL$9,R17))</f>
        <v>0.1</v>
      </c>
      <c r="X17" s="17">
        <f>求节点(武将天赋!$AB$19:$AB$25,武将天赋!$Y$7:$Y$13,求节点(武将天赋!$BI$6:$BI$9,武将天赋!$BL$6:$BL$9,S17))</f>
        <v>0.1</v>
      </c>
      <c r="Y17" s="17">
        <f>求节点(武将天赋!$AB$19:$AB$25,武将天赋!$Y$7:$Y$13,求节点(武将天赋!$BI$6:$BI$9,武将天赋!$BL$6:$BL$9,T17))</f>
        <v>0.1</v>
      </c>
      <c r="Z17" s="17">
        <f>求节点(武将天赋!$AB$19:$AB$25,武将天赋!$Y$7:$Y$13,求节点(武将天赋!$BI$6:$BI$9,武将天赋!$BL$6:$BL$9,U17))</f>
        <v>0.1</v>
      </c>
      <c r="AA17" s="17">
        <f>求节点(武将天赋!$AB$19:$AB$25,武将天赋!$Y$7:$Y$13,求节点(武将天赋!$BI$6:$BI$9,武将天赋!$BL$6:$BL$9,V17))</f>
        <v>0.1</v>
      </c>
      <c r="AE17" s="56">
        <v>120</v>
      </c>
      <c r="AF17" s="56">
        <v>69.18336653741882</v>
      </c>
      <c r="AH17" s="56"/>
      <c r="AI17" s="56"/>
      <c r="AJ17" s="56"/>
      <c r="AK17" s="56"/>
      <c r="AL17" s="56">
        <f>IFERROR(求节点(武将天赋!$AC$31:$AC$37,武将天赋!$Y$7:$Y$13,武将数量星级阶位验证!BM17/基础状态预期!J27),0)</f>
        <v>1.7845468484617766E-2</v>
      </c>
      <c r="AM17" s="17">
        <f>求节点(武将天赋进度验证!$Q$5:$Q$164,武将天赋进度验证!$W$5:$W$164,$AF17)</f>
        <v>0.13056108956980333</v>
      </c>
    </row>
    <row r="18" spans="2:39" x14ac:dyDescent="0.15">
      <c r="B18" s="17">
        <v>14</v>
      </c>
      <c r="C18" s="144">
        <f>'[1]功能-实力'!BF18</f>
        <v>176565</v>
      </c>
      <c r="D18" s="144">
        <f>'[1]功能-实力'!BG18</f>
        <v>181520</v>
      </c>
      <c r="E18" s="144">
        <f>'[1]功能-实力'!BH18</f>
        <v>189810</v>
      </c>
      <c r="F18" s="144">
        <f>'[1]功能-实力'!BI18</f>
        <v>203045</v>
      </c>
      <c r="G18" s="144">
        <f>'[1]功能-实力'!BJ18</f>
        <v>212530</v>
      </c>
      <c r="Q18" s="17">
        <v>14</v>
      </c>
      <c r="R18" s="17">
        <f t="shared" si="0"/>
        <v>0</v>
      </c>
      <c r="S18" s="17">
        <f t="shared" si="1"/>
        <v>0</v>
      </c>
      <c r="T18" s="17">
        <f t="shared" si="2"/>
        <v>0</v>
      </c>
      <c r="U18" s="17">
        <f t="shared" si="3"/>
        <v>0</v>
      </c>
      <c r="V18" s="17">
        <f t="shared" si="4"/>
        <v>0</v>
      </c>
      <c r="W18" s="17">
        <f>求节点(武将天赋!$AB$19:$AB$25,武将天赋!$Y$7:$Y$13,求节点(武将天赋!$BI$6:$BI$9,武将天赋!$BL$6:$BL$9,R18))</f>
        <v>0.1</v>
      </c>
      <c r="X18" s="17">
        <f>求节点(武将天赋!$AB$19:$AB$25,武将天赋!$Y$7:$Y$13,求节点(武将天赋!$BI$6:$BI$9,武将天赋!$BL$6:$BL$9,S18))</f>
        <v>0.1</v>
      </c>
      <c r="Y18" s="17">
        <f>求节点(武将天赋!$AB$19:$AB$25,武将天赋!$Y$7:$Y$13,求节点(武将天赋!$BI$6:$BI$9,武将天赋!$BL$6:$BL$9,T18))</f>
        <v>0.1</v>
      </c>
      <c r="Z18" s="17">
        <f>求节点(武将天赋!$AB$19:$AB$25,武将天赋!$Y$7:$Y$13,求节点(武将天赋!$BI$6:$BI$9,武将天赋!$BL$6:$BL$9,U18))</f>
        <v>0.1</v>
      </c>
      <c r="AA18" s="17">
        <f>求节点(武将天赋!$AB$19:$AB$25,武将天赋!$Y$7:$Y$13,求节点(武将天赋!$BI$6:$BI$9,武将天赋!$BL$6:$BL$9,V18))</f>
        <v>0.1</v>
      </c>
      <c r="AE18" s="56">
        <v>150</v>
      </c>
      <c r="AF18" s="56">
        <v>72.375871759353331</v>
      </c>
      <c r="AH18" s="56"/>
      <c r="AI18" s="56"/>
      <c r="AJ18" s="56"/>
      <c r="AK18" s="56"/>
      <c r="AL18" s="56">
        <f>IFERROR(求节点(武将天赋!$AC$31:$AC$37,武将天赋!$Y$7:$Y$13,武将数量星级阶位验证!BM18/基础状态预期!J28),0)</f>
        <v>1.8597182507516588E-2</v>
      </c>
      <c r="AM18" s="17">
        <f>求节点(武将天赋进度验证!$Q$5:$Q$164,武将天赋进度验证!$W$5:$W$164,$AF18)</f>
        <v>0.37105253079505585</v>
      </c>
    </row>
    <row r="19" spans="2:39" x14ac:dyDescent="0.15">
      <c r="B19" s="17">
        <v>15</v>
      </c>
      <c r="C19" s="144">
        <f>'[1]功能-实力'!BF19</f>
        <v>189950</v>
      </c>
      <c r="D19" s="144">
        <f>'[1]功能-实力'!BG19</f>
        <v>195240</v>
      </c>
      <c r="E19" s="144">
        <f>'[1]功能-实力'!BH19</f>
        <v>204085</v>
      </c>
      <c r="F19" s="144">
        <f>'[1]功能-实力'!BI19</f>
        <v>218170</v>
      </c>
      <c r="G19" s="144">
        <f>'[1]功能-实力'!BJ19</f>
        <v>231020</v>
      </c>
      <c r="Q19" s="17">
        <v>15</v>
      </c>
      <c r="R19" s="17">
        <f t="shared" si="0"/>
        <v>0</v>
      </c>
      <c r="S19" s="17">
        <f t="shared" si="1"/>
        <v>0</v>
      </c>
      <c r="T19" s="17">
        <f t="shared" si="2"/>
        <v>0</v>
      </c>
      <c r="U19" s="17">
        <f t="shared" si="3"/>
        <v>0</v>
      </c>
      <c r="V19" s="17">
        <f t="shared" si="4"/>
        <v>0</v>
      </c>
      <c r="W19" s="17">
        <f>求节点(武将天赋!$AB$19:$AB$25,武将天赋!$Y$7:$Y$13,求节点(武将天赋!$BI$6:$BI$9,武将天赋!$BL$6:$BL$9,R19))</f>
        <v>0.1</v>
      </c>
      <c r="X19" s="17">
        <f>求节点(武将天赋!$AB$19:$AB$25,武将天赋!$Y$7:$Y$13,求节点(武将天赋!$BI$6:$BI$9,武将天赋!$BL$6:$BL$9,S19))</f>
        <v>0.1</v>
      </c>
      <c r="Y19" s="17">
        <f>求节点(武将天赋!$AB$19:$AB$25,武将天赋!$Y$7:$Y$13,求节点(武将天赋!$BI$6:$BI$9,武将天赋!$BL$6:$BL$9,T19))</f>
        <v>0.1</v>
      </c>
      <c r="Z19" s="17">
        <f>求节点(武将天赋!$AB$19:$AB$25,武将天赋!$Y$7:$Y$13,求节点(武将天赋!$BI$6:$BI$9,武将天赋!$BL$6:$BL$9,U19))</f>
        <v>0.1</v>
      </c>
      <c r="AA19" s="17">
        <f>求节点(武将天赋!$AB$19:$AB$25,武将天赋!$Y$7:$Y$13,求节点(武将天赋!$BI$6:$BI$9,武将天赋!$BL$6:$BL$9,V19))</f>
        <v>0.1</v>
      </c>
      <c r="AE19" s="56">
        <v>180</v>
      </c>
      <c r="AF19" s="56">
        <v>74.998404927577795</v>
      </c>
      <c r="AH19" s="56"/>
      <c r="AI19" s="56"/>
      <c r="AJ19" s="56"/>
      <c r="AK19" s="56"/>
      <c r="AL19" s="56">
        <f>IFERROR(求节点(武将天赋!$AC$31:$AC$37,武将天赋!$Y$7:$Y$13,武将数量星级阶位验证!BM19/基础状态预期!J29),0)</f>
        <v>2.0627889723256895E-2</v>
      </c>
      <c r="AM19" s="17">
        <f>求节点(武将天赋进度验证!$Q$5:$Q$164,武将天赋进度验证!$W$5:$W$164,$AF19)</f>
        <v>0.5</v>
      </c>
    </row>
    <row r="20" spans="2:39" x14ac:dyDescent="0.15">
      <c r="B20" s="17">
        <v>16</v>
      </c>
      <c r="C20" s="144">
        <f>'[1]功能-实力'!BF20</f>
        <v>216102.2</v>
      </c>
      <c r="D20" s="144">
        <f>'[1]功能-实力'!BG20</f>
        <v>222075.3</v>
      </c>
      <c r="E20" s="144">
        <f>'[1]功能-实力'!BH20</f>
        <v>231890.9</v>
      </c>
      <c r="F20" s="144">
        <f>'[1]功能-实力'!BI20</f>
        <v>250811.9</v>
      </c>
      <c r="G20" s="144">
        <f>'[1]功能-实力'!BJ20</f>
        <v>263913.5</v>
      </c>
      <c r="Q20" s="17">
        <v>16</v>
      </c>
      <c r="R20" s="17">
        <f t="shared" si="0"/>
        <v>0</v>
      </c>
      <c r="S20" s="17">
        <f t="shared" si="1"/>
        <v>0</v>
      </c>
      <c r="T20" s="17">
        <f t="shared" si="2"/>
        <v>0</v>
      </c>
      <c r="U20" s="17">
        <f t="shared" si="3"/>
        <v>0</v>
      </c>
      <c r="V20" s="17">
        <f t="shared" si="4"/>
        <v>0</v>
      </c>
      <c r="W20" s="17">
        <f>求节点(武将天赋!$AB$19:$AB$25,武将天赋!$Y$7:$Y$13,求节点(武将天赋!$BI$6:$BI$9,武将天赋!$BL$6:$BL$9,R20))</f>
        <v>0.1</v>
      </c>
      <c r="X20" s="17">
        <f>求节点(武将天赋!$AB$19:$AB$25,武将天赋!$Y$7:$Y$13,求节点(武将天赋!$BI$6:$BI$9,武将天赋!$BL$6:$BL$9,S20))</f>
        <v>0.1</v>
      </c>
      <c r="Y20" s="17">
        <f>求节点(武将天赋!$AB$19:$AB$25,武将天赋!$Y$7:$Y$13,求节点(武将天赋!$BI$6:$BI$9,武将天赋!$BL$6:$BL$9,T20))</f>
        <v>0.1</v>
      </c>
      <c r="Z20" s="17">
        <f>求节点(武将天赋!$AB$19:$AB$25,武将天赋!$Y$7:$Y$13,求节点(武将天赋!$BI$6:$BI$9,武将天赋!$BL$6:$BL$9,U20))</f>
        <v>0.1</v>
      </c>
      <c r="AA20" s="17">
        <f>求节点(武将天赋!$AB$19:$AB$25,武将天赋!$Y$7:$Y$13,求节点(武将天赋!$BI$6:$BI$9,武将天赋!$BL$6:$BL$9,V20))</f>
        <v>0.1</v>
      </c>
      <c r="AE20" s="56">
        <v>220</v>
      </c>
      <c r="AF20" s="56">
        <v>77.875308029777003</v>
      </c>
      <c r="AH20" s="56"/>
      <c r="AI20" s="56"/>
      <c r="AJ20" s="56"/>
      <c r="AK20" s="56"/>
      <c r="AL20" s="56">
        <f>IFERROR(求节点(武将天赋!$AC$31:$AC$37,武将天赋!$Y$7:$Y$13,武将数量星级阶位验证!BM20/基础状态预期!J30),0)</f>
        <v>2.2959794436140324E-2</v>
      </c>
      <c r="AM20" s="17">
        <f>求节点(武将天赋进度验证!$Q$5:$Q$164,武将天赋进度验证!$W$5:$W$164,$AF20)</f>
        <v>0.5</v>
      </c>
    </row>
    <row r="21" spans="2:39" x14ac:dyDescent="0.15">
      <c r="B21" s="17">
        <v>17</v>
      </c>
      <c r="C21" s="144">
        <f>'[1]功能-实力'!BF21</f>
        <v>244456.8</v>
      </c>
      <c r="D21" s="144">
        <f>'[1]功能-实力'!BG21</f>
        <v>251115.19999999998</v>
      </c>
      <c r="E21" s="144">
        <f>'[1]功能-实力'!BH21</f>
        <v>263855.19999999995</v>
      </c>
      <c r="F21" s="144">
        <f>'[1]功能-实力'!BI21</f>
        <v>283981.59999999998</v>
      </c>
      <c r="G21" s="144">
        <f>'[1]功能-实力'!BJ21</f>
        <v>299112.8</v>
      </c>
      <c r="Q21" s="17">
        <v>17</v>
      </c>
      <c r="R21" s="17">
        <f t="shared" si="0"/>
        <v>0</v>
      </c>
      <c r="S21" s="17">
        <f t="shared" si="1"/>
        <v>0</v>
      </c>
      <c r="T21" s="17">
        <f t="shared" si="2"/>
        <v>0</v>
      </c>
      <c r="U21" s="17">
        <f t="shared" si="3"/>
        <v>0</v>
      </c>
      <c r="V21" s="17">
        <f t="shared" si="4"/>
        <v>0</v>
      </c>
      <c r="W21" s="17">
        <f>求节点(武将天赋!$AB$19:$AB$25,武将天赋!$Y$7:$Y$13,求节点(武将天赋!$BI$6:$BI$9,武将天赋!$BL$6:$BL$9,R21))</f>
        <v>0.1</v>
      </c>
      <c r="X21" s="17">
        <f>求节点(武将天赋!$AB$19:$AB$25,武将天赋!$Y$7:$Y$13,求节点(武将天赋!$BI$6:$BI$9,武将天赋!$BL$6:$BL$9,S21))</f>
        <v>0.1</v>
      </c>
      <c r="Y21" s="17">
        <f>求节点(武将天赋!$AB$19:$AB$25,武将天赋!$Y$7:$Y$13,求节点(武将天赋!$BI$6:$BI$9,武将天赋!$BL$6:$BL$9,T21))</f>
        <v>0.1</v>
      </c>
      <c r="Z21" s="17">
        <f>求节点(武将天赋!$AB$19:$AB$25,武将天赋!$Y$7:$Y$13,求节点(武将天赋!$BI$6:$BI$9,武将天赋!$BL$6:$BL$9,U21))</f>
        <v>0.1</v>
      </c>
      <c r="AA21" s="17">
        <f>求节点(武将天赋!$AB$19:$AB$25,武将天赋!$Y$7:$Y$13,求节点(武将天赋!$BI$6:$BI$9,武将天赋!$BL$6:$BL$9,V21))</f>
        <v>0.1</v>
      </c>
      <c r="AE21" s="56">
        <v>260</v>
      </c>
      <c r="AF21" s="56">
        <v>80.272123558064706</v>
      </c>
      <c r="AH21" s="56"/>
      <c r="AI21" s="56"/>
      <c r="AJ21" s="56"/>
      <c r="AK21" s="56"/>
      <c r="AL21" s="56">
        <f>IFERROR(求节点(武将天赋!$AC$31:$AC$37,武将天赋!$Y$7:$Y$13,武将数量星级阶位验证!BM21/基础状态预期!J31),0)</f>
        <v>2.6768706527082964E-2</v>
      </c>
      <c r="AM21" s="17">
        <f>求节点(武将天赋进度验证!$Q$5:$Q$164,武将天赋进度验证!$W$5:$W$164,$AF21)</f>
        <v>0.5</v>
      </c>
    </row>
    <row r="22" spans="2:39" x14ac:dyDescent="0.15">
      <c r="B22" s="17">
        <v>18</v>
      </c>
      <c r="C22" s="144">
        <f>'[1]功能-实力'!BF22</f>
        <v>275282.2</v>
      </c>
      <c r="D22" s="144">
        <f>'[1]功能-实力'!BG22</f>
        <v>284138.09999999998</v>
      </c>
      <c r="E22" s="144">
        <f>'[1]功能-实力'!BH22</f>
        <v>297596</v>
      </c>
      <c r="F22" s="144">
        <f>'[1]功能-实力'!BI22</f>
        <v>320216.59999999998</v>
      </c>
      <c r="G22" s="144">
        <f>'[1]功能-实力'!BJ22</f>
        <v>337627.5</v>
      </c>
      <c r="Q22" s="17">
        <v>18</v>
      </c>
      <c r="R22" s="17">
        <f t="shared" si="0"/>
        <v>0</v>
      </c>
      <c r="S22" s="17">
        <f t="shared" si="1"/>
        <v>0</v>
      </c>
      <c r="T22" s="17">
        <f t="shared" si="2"/>
        <v>0</v>
      </c>
      <c r="U22" s="17">
        <f t="shared" si="3"/>
        <v>0</v>
      </c>
      <c r="V22" s="17">
        <f t="shared" si="4"/>
        <v>0</v>
      </c>
      <c r="W22" s="17">
        <f>求节点(武将天赋!$AB$19:$AB$25,武将天赋!$Y$7:$Y$13,求节点(武将天赋!$BI$6:$BI$9,武将天赋!$BL$6:$BL$9,R22))</f>
        <v>0.1</v>
      </c>
      <c r="X22" s="17">
        <f>求节点(武将天赋!$AB$19:$AB$25,武将天赋!$Y$7:$Y$13,求节点(武将天赋!$BI$6:$BI$9,武将天赋!$BL$6:$BL$9,S22))</f>
        <v>0.1</v>
      </c>
      <c r="Y22" s="17">
        <f>求节点(武将天赋!$AB$19:$AB$25,武将天赋!$Y$7:$Y$13,求节点(武将天赋!$BI$6:$BI$9,武将天赋!$BL$6:$BL$9,T22))</f>
        <v>0.1</v>
      </c>
      <c r="Z22" s="17">
        <f>求节点(武将天赋!$AB$19:$AB$25,武将天赋!$Y$7:$Y$13,求节点(武将天赋!$BI$6:$BI$9,武将天赋!$BL$6:$BL$9,U22))</f>
        <v>0.1</v>
      </c>
      <c r="AA22" s="17">
        <f>求节点(武将天赋!$AB$19:$AB$25,武将天赋!$Y$7:$Y$13,求节点(武将天赋!$BI$6:$BI$9,武将天赋!$BL$6:$BL$9,V22))</f>
        <v>0.1</v>
      </c>
      <c r="AE22" s="56">
        <v>300</v>
      </c>
      <c r="AF22" s="56">
        <v>82.328492296001457</v>
      </c>
      <c r="AH22" s="56"/>
      <c r="AI22" s="56"/>
      <c r="AJ22" s="56"/>
      <c r="AK22" s="56"/>
      <c r="AL22" s="56">
        <f>IFERROR(求节点(武将天赋!$AC$31:$AC$37,武将天赋!$Y$7:$Y$13,武将数量星级阶位验证!BM22/基础状态预期!J32),0)</f>
        <v>3.0661404265235878E-2</v>
      </c>
      <c r="AM22" s="17">
        <f>求节点(武将天赋进度验证!$Q$5:$Q$164,武将天赋进度验证!$W$5:$W$164,$AF22)</f>
        <v>0.7106311244588096</v>
      </c>
    </row>
    <row r="23" spans="2:39" x14ac:dyDescent="0.15">
      <c r="B23" s="17">
        <v>19</v>
      </c>
      <c r="C23" s="144">
        <f>'[1]功能-实力'!BF23</f>
        <v>300102</v>
      </c>
      <c r="D23" s="144">
        <f>'[1]功能-实力'!BG23</f>
        <v>308550</v>
      </c>
      <c r="E23" s="144">
        <f>'[1]功能-实力'!BH23</f>
        <v>323226</v>
      </c>
      <c r="F23" s="144">
        <f>'[1]功能-实力'!BI23</f>
        <v>347550</v>
      </c>
      <c r="G23" s="144">
        <f>'[1]功能-实力'!BJ23</f>
        <v>366954</v>
      </c>
      <c r="Q23" s="17">
        <v>19</v>
      </c>
      <c r="R23" s="17">
        <f t="shared" si="0"/>
        <v>0</v>
      </c>
      <c r="S23" s="17">
        <f t="shared" si="1"/>
        <v>0</v>
      </c>
      <c r="T23" s="17">
        <f t="shared" si="2"/>
        <v>0</v>
      </c>
      <c r="U23" s="17">
        <f t="shared" si="3"/>
        <v>0</v>
      </c>
      <c r="V23" s="17">
        <f t="shared" si="4"/>
        <v>0</v>
      </c>
      <c r="W23" s="17">
        <f>求节点(武将天赋!$AB$19:$AB$25,武将天赋!$Y$7:$Y$13,求节点(武将天赋!$BI$6:$BI$9,武将天赋!$BL$6:$BL$9,R23))</f>
        <v>0.1</v>
      </c>
      <c r="X23" s="17">
        <f>求节点(武将天赋!$AB$19:$AB$25,武将天赋!$Y$7:$Y$13,求节点(武将天赋!$BI$6:$BI$9,武将天赋!$BL$6:$BL$9,S23))</f>
        <v>0.1</v>
      </c>
      <c r="Y23" s="17">
        <f>求节点(武将天赋!$AB$19:$AB$25,武将天赋!$Y$7:$Y$13,求节点(武将天赋!$BI$6:$BI$9,武将天赋!$BL$6:$BL$9,T23))</f>
        <v>0.1</v>
      </c>
      <c r="Z23" s="17">
        <f>求节点(武将天赋!$AB$19:$AB$25,武将天赋!$Y$7:$Y$13,求节点(武将天赋!$BI$6:$BI$9,武将天赋!$BL$6:$BL$9,U23))</f>
        <v>0.1</v>
      </c>
      <c r="AA23" s="17">
        <f>求节点(武将天赋!$AB$19:$AB$25,武将天赋!$Y$7:$Y$13,求节点(武将天赋!$BI$6:$BI$9,武将天赋!$BL$6:$BL$9,V23))</f>
        <v>0.1</v>
      </c>
      <c r="AE23" s="56">
        <v>340</v>
      </c>
      <c r="AF23" s="56">
        <v>84.132234338875293</v>
      </c>
      <c r="AH23" s="56"/>
      <c r="AI23" s="56"/>
      <c r="AJ23" s="56"/>
      <c r="AK23" s="56"/>
      <c r="AL23" s="56">
        <f>IFERROR(求节点(武将天赋!$AC$31:$AC$37,武将天赋!$Y$7:$Y$13,武将数量星级阶位验证!BM23/基础状态预期!J33),0)</f>
        <v>3.4355873414369881E-2</v>
      </c>
      <c r="AM23" s="17">
        <f>求节点(武将天赋进度验证!$Q$5:$Q$164,武将天赋进度验证!$W$5:$W$164,$AF23)</f>
        <v>0.74767396766916194</v>
      </c>
    </row>
    <row r="24" spans="2:39" x14ac:dyDescent="0.15">
      <c r="B24" s="17">
        <v>20</v>
      </c>
      <c r="C24" s="144">
        <f>'[1]功能-实力'!BF24</f>
        <v>320136</v>
      </c>
      <c r="D24" s="144">
        <f>'[1]功能-实力'!BG24</f>
        <v>328038</v>
      </c>
      <c r="E24" s="144">
        <f>'[1]功能-实力'!BH24</f>
        <v>343860</v>
      </c>
      <c r="F24" s="144">
        <f>'[1]功能-实力'!BI24</f>
        <v>368832</v>
      </c>
      <c r="G24" s="144">
        <f>'[1]功能-实力'!BJ24</f>
        <v>389466</v>
      </c>
      <c r="Q24" s="17">
        <v>20</v>
      </c>
      <c r="R24" s="17">
        <f t="shared" si="0"/>
        <v>0</v>
      </c>
      <c r="S24" s="17">
        <f t="shared" si="1"/>
        <v>0</v>
      </c>
      <c r="T24" s="17">
        <f t="shared" si="2"/>
        <v>0</v>
      </c>
      <c r="U24" s="17">
        <f t="shared" si="3"/>
        <v>0</v>
      </c>
      <c r="V24" s="17">
        <f t="shared" si="4"/>
        <v>0</v>
      </c>
      <c r="W24" s="17">
        <f>求节点(武将天赋!$AB$19:$AB$25,武将天赋!$Y$7:$Y$13,求节点(武将天赋!$BI$6:$BI$9,武将天赋!$BL$6:$BL$9,R24))</f>
        <v>0.1</v>
      </c>
      <c r="X24" s="17">
        <f>求节点(武将天赋!$AB$19:$AB$25,武将天赋!$Y$7:$Y$13,求节点(武将天赋!$BI$6:$BI$9,武将天赋!$BL$6:$BL$9,S24))</f>
        <v>0.1</v>
      </c>
      <c r="Y24" s="17">
        <f>求节点(武将天赋!$AB$19:$AB$25,武将天赋!$Y$7:$Y$13,求节点(武将天赋!$BI$6:$BI$9,武将天赋!$BL$6:$BL$9,T24))</f>
        <v>0.1</v>
      </c>
      <c r="Z24" s="17">
        <f>求节点(武将天赋!$AB$19:$AB$25,武将天赋!$Y$7:$Y$13,求节点(武将天赋!$BI$6:$BI$9,武将天赋!$BL$6:$BL$9,U24))</f>
        <v>0.1</v>
      </c>
      <c r="AA24" s="17">
        <f>求节点(武将天赋!$AB$19:$AB$25,武将天赋!$Y$7:$Y$13,求节点(武将天赋!$BI$6:$BI$9,武将天赋!$BL$6:$BL$9,V24))</f>
        <v>0.1</v>
      </c>
      <c r="AE24" s="56">
        <v>400</v>
      </c>
      <c r="AF24" s="56">
        <v>86.465948248806328</v>
      </c>
      <c r="AH24" s="56"/>
      <c r="AI24" s="56"/>
      <c r="AJ24" s="56"/>
      <c r="AK24" s="56"/>
      <c r="AL24" s="56">
        <f>IFERROR(求节点(武将天赋!$AC$31:$AC$37,武将天赋!$Y$7:$Y$13,武将数量星级阶位验证!BM24/基础状态预期!J34),0)</f>
        <v>3.9476466601250343E-2</v>
      </c>
      <c r="AM24" s="17">
        <f>求节点(武将天赋进度验证!$Q$5:$Q$164,武将天赋进度验证!$W$5:$W$164,$AF24)</f>
        <v>0.80402265467916001</v>
      </c>
    </row>
    <row r="25" spans="2:39" x14ac:dyDescent="0.15">
      <c r="B25" s="17">
        <v>21</v>
      </c>
      <c r="C25" s="144">
        <f>'[1]功能-实力'!BF25</f>
        <v>340218</v>
      </c>
      <c r="D25" s="144">
        <f>'[1]功能-实力'!BG25</f>
        <v>348960</v>
      </c>
      <c r="E25" s="144">
        <f>'[1]功能-实力'!BH25</f>
        <v>366348</v>
      </c>
      <c r="F25" s="144">
        <f>'[1]功能-实力'!BI25</f>
        <v>393216</v>
      </c>
      <c r="G25" s="144">
        <f>'[1]功能-实力'!BJ25</f>
        <v>415788</v>
      </c>
      <c r="Q25" s="17">
        <v>21</v>
      </c>
      <c r="R25" s="17">
        <f t="shared" si="0"/>
        <v>0</v>
      </c>
      <c r="S25" s="17">
        <f t="shared" si="1"/>
        <v>0</v>
      </c>
      <c r="T25" s="17">
        <f t="shared" si="2"/>
        <v>0</v>
      </c>
      <c r="U25" s="17">
        <f t="shared" si="3"/>
        <v>0</v>
      </c>
      <c r="V25" s="17">
        <f t="shared" si="4"/>
        <v>0</v>
      </c>
      <c r="W25" s="17">
        <f>求节点(武将天赋!$AB$19:$AB$25,武将天赋!$Y$7:$Y$13,求节点(武将天赋!$BI$6:$BI$9,武将天赋!$BL$6:$BL$9,R25))</f>
        <v>0.1</v>
      </c>
      <c r="X25" s="17">
        <f>求节点(武将天赋!$AB$19:$AB$25,武将天赋!$Y$7:$Y$13,求节点(武将天赋!$BI$6:$BI$9,武将天赋!$BL$6:$BL$9,S25))</f>
        <v>0.1</v>
      </c>
      <c r="Y25" s="17">
        <f>求节点(武将天赋!$AB$19:$AB$25,武将天赋!$Y$7:$Y$13,求节点(武将天赋!$BI$6:$BI$9,武将天赋!$BL$6:$BL$9,T25))</f>
        <v>0.1</v>
      </c>
      <c r="Z25" s="17">
        <f>求节点(武将天赋!$AB$19:$AB$25,武将天赋!$Y$7:$Y$13,求节点(武将天赋!$BI$6:$BI$9,武将天赋!$BL$6:$BL$9,U25))</f>
        <v>0.1</v>
      </c>
      <c r="AA25" s="17">
        <f>求节点(武将天赋!$AB$19:$AB$25,武将天赋!$Y$7:$Y$13,求节点(武将天赋!$BI$6:$BI$9,武将天赋!$BL$6:$BL$9,V25))</f>
        <v>0.1</v>
      </c>
      <c r="AE25" s="56">
        <v>520</v>
      </c>
      <c r="AF25" s="56">
        <v>90.244911202258237</v>
      </c>
      <c r="AH25" s="56"/>
      <c r="AI25" s="56"/>
      <c r="AJ25" s="56"/>
      <c r="AK25" s="56"/>
      <c r="AL25" s="56">
        <f>IFERROR(求节点(武将天赋!$AC$31:$AC$37,武将天赋!$Y$7:$Y$13,武将数量星级阶位验证!BM25/基础状态预期!J35),0)</f>
        <v>4.8870656516750488E-2</v>
      </c>
      <c r="AM25" s="17">
        <f>求节点(武将天赋进度验证!$Q$5:$Q$164,武将天赋进度验证!$W$5:$W$164,$AF25)</f>
        <v>0.89400211958401954</v>
      </c>
    </row>
    <row r="26" spans="2:39" x14ac:dyDescent="0.15">
      <c r="B26" s="17">
        <v>22</v>
      </c>
      <c r="C26" s="144">
        <f>'[1]功能-实力'!BF26</f>
        <v>360942</v>
      </c>
      <c r="D26" s="144">
        <f>'[1]功能-实力'!BG26</f>
        <v>370518</v>
      </c>
      <c r="E26" s="144">
        <f>'[1]功能-实力'!BH26</f>
        <v>389370</v>
      </c>
      <c r="F26" s="144">
        <f>'[1]功能-实力'!BI26</f>
        <v>418140</v>
      </c>
      <c r="G26" s="144">
        <f>'[1]功能-实力'!BJ26</f>
        <v>444690</v>
      </c>
      <c r="Q26" s="17">
        <v>22</v>
      </c>
      <c r="R26" s="17">
        <f t="shared" si="0"/>
        <v>0</v>
      </c>
      <c r="S26" s="17">
        <f t="shared" si="1"/>
        <v>0</v>
      </c>
      <c r="T26" s="17">
        <f t="shared" si="2"/>
        <v>0</v>
      </c>
      <c r="U26" s="17">
        <f t="shared" si="3"/>
        <v>0</v>
      </c>
      <c r="V26" s="17">
        <f t="shared" si="4"/>
        <v>0</v>
      </c>
      <c r="W26" s="17">
        <f>求节点(武将天赋!$AB$19:$AB$25,武将天赋!$Y$7:$Y$13,求节点(武将天赋!$BI$6:$BI$9,武将天赋!$BL$6:$BL$9,R26))</f>
        <v>0.1</v>
      </c>
      <c r="X26" s="17">
        <f>求节点(武将天赋!$AB$19:$AB$25,武将天赋!$Y$7:$Y$13,求节点(武将天赋!$BI$6:$BI$9,武将天赋!$BL$6:$BL$9,S26))</f>
        <v>0.1</v>
      </c>
      <c r="Y26" s="17">
        <f>求节点(武将天赋!$AB$19:$AB$25,武将天赋!$Y$7:$Y$13,求节点(武将天赋!$BI$6:$BI$9,武将天赋!$BL$6:$BL$9,T26))</f>
        <v>0.1</v>
      </c>
      <c r="Z26" s="17">
        <f>求节点(武将天赋!$AB$19:$AB$25,武将天赋!$Y$7:$Y$13,求节点(武将天赋!$BI$6:$BI$9,武将天赋!$BL$6:$BL$9,U26))</f>
        <v>0.1</v>
      </c>
      <c r="AA26" s="17">
        <f>求节点(武将天赋!$AB$19:$AB$25,武将天赋!$Y$7:$Y$13,求节点(武将天赋!$BI$6:$BI$9,武将天赋!$BL$6:$BL$9,V26))</f>
        <v>0.1</v>
      </c>
      <c r="AE26" s="56">
        <v>640</v>
      </c>
      <c r="AF26" s="56">
        <v>93.235489905456092</v>
      </c>
      <c r="AH26" s="56"/>
      <c r="AI26" s="56"/>
      <c r="AJ26" s="56"/>
      <c r="AK26" s="56"/>
      <c r="AL26" s="56">
        <f>IFERROR(求节点(武将天赋!$AC$31:$AC$37,武将天赋!$Y$7:$Y$13,武将数量星级阶位验证!BM26/基础状态预期!J36),0)</f>
        <v>5.8188522576685393E-2</v>
      </c>
      <c r="AM26" s="17">
        <f>求节点(武将天赋进度验证!$Q$5:$Q$164,武将天赋进度验证!$W$5:$W$164,$AF26)</f>
        <v>0.9620106105225118</v>
      </c>
    </row>
    <row r="27" spans="2:39" x14ac:dyDescent="0.15">
      <c r="B27" s="17">
        <v>23</v>
      </c>
      <c r="C27" s="144">
        <f>'[1]功能-实力'!BF27</f>
        <v>382134</v>
      </c>
      <c r="D27" s="144">
        <f>'[1]功能-实力'!BG27</f>
        <v>392688</v>
      </c>
      <c r="E27" s="144">
        <f>'[1]功能-实力'!BH27</f>
        <v>412656</v>
      </c>
      <c r="F27" s="144">
        <f>'[1]功能-实力'!BI27</f>
        <v>443994</v>
      </c>
      <c r="G27" s="144">
        <f>'[1]功能-实力'!BJ27</f>
        <v>473790</v>
      </c>
      <c r="Q27" s="17">
        <v>23</v>
      </c>
      <c r="R27" s="17">
        <f t="shared" si="0"/>
        <v>0</v>
      </c>
      <c r="S27" s="17">
        <f t="shared" si="1"/>
        <v>0</v>
      </c>
      <c r="T27" s="17">
        <f t="shared" si="2"/>
        <v>0</v>
      </c>
      <c r="U27" s="17">
        <f t="shared" si="3"/>
        <v>0</v>
      </c>
      <c r="V27" s="17">
        <f t="shared" si="4"/>
        <v>0</v>
      </c>
      <c r="W27" s="17">
        <f>求节点(武将天赋!$AB$19:$AB$25,武将天赋!$Y$7:$Y$13,求节点(武将天赋!$BI$6:$BI$9,武将天赋!$BL$6:$BL$9,R27))</f>
        <v>0.1</v>
      </c>
      <c r="X27" s="17">
        <f>求节点(武将天赋!$AB$19:$AB$25,武将天赋!$Y$7:$Y$13,求节点(武将天赋!$BI$6:$BI$9,武将天赋!$BL$6:$BL$9,S27))</f>
        <v>0.1</v>
      </c>
      <c r="Y27" s="17">
        <f>求节点(武将天赋!$AB$19:$AB$25,武将天赋!$Y$7:$Y$13,求节点(武将天赋!$BI$6:$BI$9,武将天赋!$BL$6:$BL$9,T27))</f>
        <v>0.1</v>
      </c>
      <c r="Z27" s="17">
        <f>求节点(武将天赋!$AB$19:$AB$25,武将天赋!$Y$7:$Y$13,求节点(武将天赋!$BI$6:$BI$9,武将天赋!$BL$6:$BL$9,U27))</f>
        <v>0.1</v>
      </c>
      <c r="AA27" s="17">
        <f>求节点(武将天赋!$AB$19:$AB$25,武将天赋!$Y$7:$Y$13,求节点(武将天赋!$BI$6:$BI$9,武将天赋!$BL$6:$BL$9,V27))</f>
        <v>0.1</v>
      </c>
      <c r="AE27" s="56">
        <v>820</v>
      </c>
      <c r="AF27" s="56">
        <v>96.807063977001675</v>
      </c>
      <c r="AH27" s="56"/>
      <c r="AI27" s="56"/>
      <c r="AJ27" s="56"/>
      <c r="AK27" s="56"/>
      <c r="AL27" s="56">
        <f>IFERROR(求节点(武将天赋!$AC$31:$AC$37,武将天赋!$Y$7:$Y$13,武将数量星级阶位验证!BM27/基础状态预期!J37),0)</f>
        <v>7.0805544285920827E-2</v>
      </c>
      <c r="AM27" s="17">
        <f>求节点(武将天赋进度验证!$Q$5:$Q$164,武将天赋进度验证!$W$5:$W$164,$AF27)</f>
        <v>1</v>
      </c>
    </row>
    <row r="28" spans="2:39" x14ac:dyDescent="0.15">
      <c r="B28" s="17">
        <v>24</v>
      </c>
      <c r="C28" s="144">
        <f>'[1]功能-实力'!BF28</f>
        <v>403752</v>
      </c>
      <c r="D28" s="144">
        <f>'[1]功能-实力'!BG28</f>
        <v>415230</v>
      </c>
      <c r="E28" s="144">
        <f>'[1]功能-实力'!BH28</f>
        <v>436914</v>
      </c>
      <c r="F28" s="144">
        <f>'[1]功能-实力'!BI28</f>
        <v>471630</v>
      </c>
      <c r="G28" s="144">
        <f>'[1]功能-实力'!BJ28</f>
        <v>504396</v>
      </c>
      <c r="Q28" s="17">
        <v>24</v>
      </c>
      <c r="R28" s="17">
        <f t="shared" si="0"/>
        <v>0</v>
      </c>
      <c r="S28" s="17">
        <f t="shared" si="1"/>
        <v>0</v>
      </c>
      <c r="T28" s="17">
        <f t="shared" si="2"/>
        <v>0</v>
      </c>
      <c r="U28" s="17">
        <f t="shared" si="3"/>
        <v>0</v>
      </c>
      <c r="V28" s="17">
        <f t="shared" si="4"/>
        <v>0</v>
      </c>
      <c r="W28" s="17">
        <f>求节点(武将天赋!$AB$19:$AB$25,武将天赋!$Y$7:$Y$13,求节点(武将天赋!$BI$6:$BI$9,武将天赋!$BL$6:$BL$9,R28))</f>
        <v>0.1</v>
      </c>
      <c r="X28" s="17">
        <f>求节点(武将天赋!$AB$19:$AB$25,武将天赋!$Y$7:$Y$13,求节点(武将天赋!$BI$6:$BI$9,武将天赋!$BL$6:$BL$9,S28))</f>
        <v>0.1</v>
      </c>
      <c r="Y28" s="17">
        <f>求节点(武将天赋!$AB$19:$AB$25,武将天赋!$Y$7:$Y$13,求节点(武将天赋!$BI$6:$BI$9,武将天赋!$BL$6:$BL$9,T28))</f>
        <v>0.1</v>
      </c>
      <c r="Z28" s="17">
        <f>求节点(武将天赋!$AB$19:$AB$25,武将天赋!$Y$7:$Y$13,求节点(武将天赋!$BI$6:$BI$9,武将天赋!$BL$6:$BL$9,U28))</f>
        <v>0.1</v>
      </c>
      <c r="AA28" s="17">
        <f>求节点(武将天赋!$AB$19:$AB$25,武将天赋!$Y$7:$Y$13,求节点(武将天赋!$BI$6:$BI$9,武将天赋!$BL$6:$BL$9,V28))</f>
        <v>0.1</v>
      </c>
      <c r="AE28" s="56">
        <v>1060</v>
      </c>
      <c r="AF28" s="56">
        <v>100.50342858241972</v>
      </c>
      <c r="AH28" s="56"/>
      <c r="AI28" s="56"/>
      <c r="AJ28" s="56"/>
      <c r="AK28" s="56"/>
      <c r="AL28" s="56">
        <f>IFERROR(求节点(武将天赋!$AC$31:$AC$37,武将天赋!$Y$7:$Y$13,武将数量星级阶位验证!BM28/基础状态预期!J38),0)</f>
        <v>8.6466420532643168E-2</v>
      </c>
      <c r="AM28" s="17">
        <f>求节点(武将天赋进度验证!$Q$5:$Q$164,武将天赋进度验证!$W$5:$W$164,$AF28)</f>
        <v>1</v>
      </c>
    </row>
    <row r="29" spans="2:39" x14ac:dyDescent="0.15">
      <c r="B29" s="17">
        <v>25</v>
      </c>
      <c r="C29" s="144">
        <f>'[1]功能-实力'!BF29</f>
        <v>425748</v>
      </c>
      <c r="D29" s="144">
        <f>'[1]功能-实力'!BG29</f>
        <v>438384</v>
      </c>
      <c r="E29" s="144">
        <f>'[1]功能-实力'!BH29</f>
        <v>462456</v>
      </c>
      <c r="F29" s="144">
        <f>'[1]功能-实力'!BI29</f>
        <v>500430</v>
      </c>
      <c r="G29" s="144">
        <f>'[1]功能-实力'!BJ29</f>
        <v>535614</v>
      </c>
      <c r="Q29" s="17">
        <v>25</v>
      </c>
      <c r="R29" s="17">
        <f t="shared" si="0"/>
        <v>0</v>
      </c>
      <c r="S29" s="17">
        <f t="shared" si="1"/>
        <v>0</v>
      </c>
      <c r="T29" s="17">
        <f t="shared" si="2"/>
        <v>0</v>
      </c>
      <c r="U29" s="17">
        <f t="shared" si="3"/>
        <v>0</v>
      </c>
      <c r="V29" s="17">
        <f t="shared" si="4"/>
        <v>0</v>
      </c>
      <c r="W29" s="17">
        <f>求节点(武将天赋!$AB$19:$AB$25,武将天赋!$Y$7:$Y$13,求节点(武将天赋!$BI$6:$BI$9,武将天赋!$BL$6:$BL$9,R29))</f>
        <v>0.1</v>
      </c>
      <c r="X29" s="17">
        <f>求节点(武将天赋!$AB$19:$AB$25,武将天赋!$Y$7:$Y$13,求节点(武将天赋!$BI$6:$BI$9,武将天赋!$BL$6:$BL$9,S29))</f>
        <v>0.1</v>
      </c>
      <c r="Y29" s="17">
        <f>求节点(武将天赋!$AB$19:$AB$25,武将天赋!$Y$7:$Y$13,求节点(武将天赋!$BI$6:$BI$9,武将天赋!$BL$6:$BL$9,T29))</f>
        <v>0.1</v>
      </c>
      <c r="Z29" s="17">
        <f>求节点(武将天赋!$AB$19:$AB$25,武将天赋!$Y$7:$Y$13,求节点(武将天赋!$BI$6:$BI$9,武将天赋!$BL$6:$BL$9,U29))</f>
        <v>0.1</v>
      </c>
      <c r="AA29" s="17">
        <f>求节点(武将天赋!$AB$19:$AB$25,武将天赋!$Y$7:$Y$13,求节点(武将天赋!$BI$6:$BI$9,武将天赋!$BL$6:$BL$9,V29))</f>
        <v>0.1</v>
      </c>
      <c r="AE29" s="56">
        <v>1360</v>
      </c>
      <c r="AF29" s="56">
        <v>104.10129967499306</v>
      </c>
      <c r="AH29" s="56"/>
      <c r="AI29" s="56"/>
      <c r="AJ29" s="56"/>
      <c r="AK29" s="56"/>
      <c r="AL29" s="56">
        <f>IFERROR(求节点(武将天赋!$AC$31:$AC$37,武将天赋!$Y$7:$Y$13,武将数量星级阶位验证!BM29/基础状态预期!J39),0)</f>
        <v>0.21235142221947073</v>
      </c>
      <c r="AM29" s="17">
        <f>求节点(武将天赋进度验证!$Q$5:$Q$164,武将天赋进度验证!$W$5:$W$164,$AF29)</f>
        <v>1</v>
      </c>
    </row>
    <row r="30" spans="2:39" x14ac:dyDescent="0.15">
      <c r="B30" s="17">
        <v>26</v>
      </c>
      <c r="C30" s="144">
        <f>'[1]功能-实力'!BF30</f>
        <v>448344</v>
      </c>
      <c r="D30" s="144">
        <f>'[1]功能-实力'!BG30</f>
        <v>462828</v>
      </c>
      <c r="E30" s="144">
        <f>'[1]功能-实力'!BH30</f>
        <v>489168</v>
      </c>
      <c r="F30" s="144">
        <f>'[1]功能-实力'!BI30</f>
        <v>529776</v>
      </c>
      <c r="G30" s="144">
        <f>'[1]功能-实力'!BJ30</f>
        <v>568140</v>
      </c>
      <c r="Q30" s="17">
        <v>26</v>
      </c>
      <c r="R30" s="17">
        <f t="shared" si="0"/>
        <v>0</v>
      </c>
      <c r="S30" s="17">
        <f t="shared" si="1"/>
        <v>0</v>
      </c>
      <c r="T30" s="17">
        <f t="shared" si="2"/>
        <v>0</v>
      </c>
      <c r="U30" s="17">
        <f t="shared" si="3"/>
        <v>0</v>
      </c>
      <c r="V30" s="17">
        <f t="shared" si="4"/>
        <v>0</v>
      </c>
      <c r="W30" s="17">
        <f>求节点(武将天赋!$AB$19:$AB$25,武将天赋!$Y$7:$Y$13,求节点(武将天赋!$BI$6:$BI$9,武将天赋!$BL$6:$BL$9,R30))</f>
        <v>0.1</v>
      </c>
      <c r="X30" s="17">
        <f>求节点(武将天赋!$AB$19:$AB$25,武将天赋!$Y$7:$Y$13,求节点(武将天赋!$BI$6:$BI$9,武将天赋!$BL$6:$BL$9,S30))</f>
        <v>0.1</v>
      </c>
      <c r="Y30" s="17">
        <f>求节点(武将天赋!$AB$19:$AB$25,武将天赋!$Y$7:$Y$13,求节点(武将天赋!$BI$6:$BI$9,武将天赋!$BL$6:$BL$9,T30))</f>
        <v>0.1</v>
      </c>
      <c r="Z30" s="17">
        <f>求节点(武将天赋!$AB$19:$AB$25,武将天赋!$Y$7:$Y$13,求节点(武将天赋!$BI$6:$BI$9,武将天赋!$BL$6:$BL$9,U30))</f>
        <v>0.1</v>
      </c>
      <c r="AA30" s="17">
        <f>求节点(武将天赋!$AB$19:$AB$25,武将天赋!$Y$7:$Y$13,求节点(武将天赋!$BI$6:$BI$9,武将天赋!$BL$6:$BL$9,V30))</f>
        <v>0.1</v>
      </c>
      <c r="AE30" s="56">
        <v>1720</v>
      </c>
      <c r="AF30" s="56">
        <v>107.48165553683219</v>
      </c>
      <c r="AH30" s="56"/>
      <c r="AI30" s="56"/>
      <c r="AJ30" s="56"/>
      <c r="AK30" s="56"/>
      <c r="AL30" s="56">
        <f>IFERROR(求节点(武将天赋!$AC$31:$AC$37,武将天赋!$Y$7:$Y$13,武将数量星级阶位验证!BM30/基础状态预期!J40),0)</f>
        <v>0.5</v>
      </c>
      <c r="AM30" s="17">
        <f>求节点(武将天赋进度验证!$Q$5:$Q$164,武将天赋进度验证!$W$5:$W$164,$AF30)</f>
        <v>1</v>
      </c>
    </row>
    <row r="31" spans="2:39" x14ac:dyDescent="0.15">
      <c r="B31" s="17">
        <v>27</v>
      </c>
      <c r="C31" s="144">
        <f>'[1]功能-实力'!BF31</f>
        <v>472098</v>
      </c>
      <c r="D31" s="144">
        <f>'[1]功能-实力'!BG31</f>
        <v>488496</v>
      </c>
      <c r="E31" s="144">
        <f>'[1]功能-实力'!BH31</f>
        <v>516582</v>
      </c>
      <c r="F31" s="144">
        <f>'[1]功能-实力'!BI31</f>
        <v>560268</v>
      </c>
      <c r="G31" s="144">
        <f>'[1]功能-实力'!BJ31</f>
        <v>601572</v>
      </c>
      <c r="Q31" s="17">
        <v>27</v>
      </c>
      <c r="R31" s="17">
        <f t="shared" si="0"/>
        <v>0</v>
      </c>
      <c r="S31" s="17">
        <f t="shared" si="1"/>
        <v>0</v>
      </c>
      <c r="T31" s="17">
        <f t="shared" si="2"/>
        <v>0</v>
      </c>
      <c r="U31" s="17">
        <f t="shared" si="3"/>
        <v>0</v>
      </c>
      <c r="V31" s="17">
        <f t="shared" si="4"/>
        <v>0</v>
      </c>
      <c r="W31" s="17">
        <f>求节点(武将天赋!$AB$19:$AB$25,武将天赋!$Y$7:$Y$13,求节点(武将天赋!$BI$6:$BI$9,武将天赋!$BL$6:$BL$9,R31))</f>
        <v>0.1</v>
      </c>
      <c r="X31" s="17">
        <f>求节点(武将天赋!$AB$19:$AB$25,武将天赋!$Y$7:$Y$13,求节点(武将天赋!$BI$6:$BI$9,武将天赋!$BL$6:$BL$9,S31))</f>
        <v>0.1</v>
      </c>
      <c r="Y31" s="17">
        <f>求节点(武将天赋!$AB$19:$AB$25,武将天赋!$Y$7:$Y$13,求节点(武将天赋!$BI$6:$BI$9,武将天赋!$BL$6:$BL$9,T31))</f>
        <v>0.1</v>
      </c>
      <c r="Z31" s="17">
        <f>求节点(武将天赋!$AB$19:$AB$25,武将天赋!$Y$7:$Y$13,求节点(武将天赋!$BI$6:$BI$9,武将天赋!$BL$6:$BL$9,U31))</f>
        <v>0.1</v>
      </c>
      <c r="AA31" s="17">
        <f>求节点(武将天赋!$AB$19:$AB$25,武将天赋!$Y$7:$Y$13,求节点(武将天赋!$BI$6:$BI$9,武将天赋!$BL$6:$BL$9,V31))</f>
        <v>0.1</v>
      </c>
      <c r="AE31" s="56">
        <v>2200</v>
      </c>
      <c r="AF31" s="56">
        <v>111.03813549320469</v>
      </c>
      <c r="AH31" s="56"/>
      <c r="AI31" s="56"/>
      <c r="AJ31" s="56"/>
      <c r="AK31" s="56"/>
      <c r="AL31" s="56">
        <f>IFERROR(求节点(武将天赋!$AC$31:$AC$37,武将天赋!$Y$7:$Y$13,武将数量星级阶位验证!BM31/基础状态预期!J41),0)</f>
        <v>0.75962873583845381</v>
      </c>
      <c r="AM31" s="17">
        <f>求节点(武将天赋进度验证!$Q$5:$Q$164,武将天赋进度验证!$W$5:$W$164,$AF31)</f>
        <v>1</v>
      </c>
    </row>
    <row r="32" spans="2:39" x14ac:dyDescent="0.15">
      <c r="B32" s="17">
        <v>28</v>
      </c>
      <c r="C32" s="144">
        <f>'[1]功能-实力'!BF32</f>
        <v>497016</v>
      </c>
      <c r="D32" s="144">
        <f>'[1]功能-实力'!BG32</f>
        <v>516204</v>
      </c>
      <c r="E32" s="144">
        <f>'[1]功能-实力'!BH32</f>
        <v>547308</v>
      </c>
      <c r="F32" s="144">
        <f>'[1]功能-实力'!BI32</f>
        <v>602190</v>
      </c>
      <c r="G32" s="144">
        <f>'[1]功能-实力'!BJ32</f>
        <v>651012</v>
      </c>
      <c r="Q32" s="17">
        <v>28</v>
      </c>
      <c r="R32" s="17">
        <f t="shared" si="0"/>
        <v>0</v>
      </c>
      <c r="S32" s="17">
        <f t="shared" si="1"/>
        <v>0</v>
      </c>
      <c r="T32" s="17">
        <f t="shared" si="2"/>
        <v>0</v>
      </c>
      <c r="U32" s="17">
        <f t="shared" si="3"/>
        <v>0</v>
      </c>
      <c r="V32" s="17">
        <f t="shared" si="4"/>
        <v>0</v>
      </c>
      <c r="W32" s="17">
        <f>求节点(武将天赋!$AB$19:$AB$25,武将天赋!$Y$7:$Y$13,求节点(武将天赋!$BI$6:$BI$9,武将天赋!$BL$6:$BL$9,R32))</f>
        <v>0.1</v>
      </c>
      <c r="X32" s="17">
        <f>求节点(武将天赋!$AB$19:$AB$25,武将天赋!$Y$7:$Y$13,求节点(武将天赋!$BI$6:$BI$9,武将天赋!$BL$6:$BL$9,S32))</f>
        <v>0.1</v>
      </c>
      <c r="Y32" s="17">
        <f>求节点(武将天赋!$AB$19:$AB$25,武将天赋!$Y$7:$Y$13,求节点(武将天赋!$BI$6:$BI$9,武将天赋!$BL$6:$BL$9,T32))</f>
        <v>0.1</v>
      </c>
      <c r="Z32" s="17">
        <f>求节点(武将天赋!$AB$19:$AB$25,武将天赋!$Y$7:$Y$13,求节点(武将天赋!$BI$6:$BI$9,武将天赋!$BL$6:$BL$9,U32))</f>
        <v>0.1</v>
      </c>
      <c r="AA32" s="17">
        <f>求节点(武将天赋!$AB$19:$AB$25,武将天赋!$Y$7:$Y$13,求节点(武将天赋!$BI$6:$BI$9,武将天赋!$BL$6:$BL$9,V32))</f>
        <v>0.1</v>
      </c>
      <c r="AE32" s="56">
        <v>2800</v>
      </c>
      <c r="AF32" s="56">
        <v>114.50860608277577</v>
      </c>
      <c r="AH32" s="56"/>
      <c r="AI32" s="56"/>
      <c r="AJ32" s="56"/>
      <c r="AK32" s="56"/>
      <c r="AL32" s="56">
        <f>IFERROR(求节点(武将天赋!$AC$31:$AC$37,武将天赋!$Y$7:$Y$13,武将数量星级阶位验证!BM32/基础状态预期!J42),0)</f>
        <v>1</v>
      </c>
      <c r="AM32" s="17">
        <f>求节点(武将天赋进度验证!$Q$5:$Q$164,武将天赋进度验证!$W$5:$W$164,$AF32)</f>
        <v>1</v>
      </c>
    </row>
    <row r="33" spans="2:39" x14ac:dyDescent="0.15">
      <c r="B33" s="17">
        <v>29</v>
      </c>
      <c r="C33" s="144">
        <f>'[1]功能-实力'!BF33</f>
        <v>526374</v>
      </c>
      <c r="D33" s="144">
        <f>'[1]功能-实力'!BG33</f>
        <v>549714</v>
      </c>
      <c r="E33" s="144">
        <f>'[1]功能-实力'!BH33</f>
        <v>588126</v>
      </c>
      <c r="F33" s="144">
        <f>'[1]功能-实力'!BI33</f>
        <v>651858</v>
      </c>
      <c r="G33" s="144">
        <f>'[1]功能-实力'!BJ33</f>
        <v>705498</v>
      </c>
      <c r="Q33" s="17">
        <v>29</v>
      </c>
      <c r="R33" s="17">
        <f t="shared" si="0"/>
        <v>0</v>
      </c>
      <c r="S33" s="17">
        <f t="shared" si="1"/>
        <v>0</v>
      </c>
      <c r="T33" s="17">
        <f t="shared" si="2"/>
        <v>0</v>
      </c>
      <c r="U33" s="17">
        <f t="shared" si="3"/>
        <v>0</v>
      </c>
      <c r="V33" s="17">
        <f t="shared" si="4"/>
        <v>0</v>
      </c>
      <c r="W33" s="17">
        <f>求节点(武将天赋!$AB$19:$AB$25,武将天赋!$Y$7:$Y$13,求节点(武将天赋!$BI$6:$BI$9,武将天赋!$BL$6:$BL$9,R33))</f>
        <v>0.1</v>
      </c>
      <c r="X33" s="17">
        <f>求节点(武将天赋!$AB$19:$AB$25,武将天赋!$Y$7:$Y$13,求节点(武将天赋!$BI$6:$BI$9,武将天赋!$BL$6:$BL$9,S33))</f>
        <v>0.1</v>
      </c>
      <c r="Y33" s="17">
        <f>求节点(武将天赋!$AB$19:$AB$25,武将天赋!$Y$7:$Y$13,求节点(武将天赋!$BI$6:$BI$9,武将天赋!$BL$6:$BL$9,T33))</f>
        <v>0.1</v>
      </c>
      <c r="Z33" s="17">
        <f>求节点(武将天赋!$AB$19:$AB$25,武将天赋!$Y$7:$Y$13,求节点(武将天赋!$BI$6:$BI$9,武将天赋!$BL$6:$BL$9,U33))</f>
        <v>0.1</v>
      </c>
      <c r="AA33" s="17">
        <f>求节点(武将天赋!$AB$19:$AB$25,武将天赋!$Y$7:$Y$13,求节点(武将天赋!$BI$6:$BI$9,武将天赋!$BL$6:$BL$9,V33))</f>
        <v>0.1</v>
      </c>
      <c r="AE33" s="56">
        <v>3580</v>
      </c>
      <c r="AF33" s="56">
        <v>118.05948896247369</v>
      </c>
      <c r="AH33" s="56"/>
      <c r="AI33" s="56"/>
      <c r="AJ33" s="56"/>
      <c r="AK33" s="56"/>
      <c r="AL33" s="56">
        <f>IFERROR(求节点(武将天赋!$AC$31:$AC$37,武将天赋!$Y$7:$Y$13,武将数量星级阶位验证!BM33/基础状态预期!J43),0)</f>
        <v>1</v>
      </c>
      <c r="AM33" s="17">
        <f>求节点(武将天赋进度验证!$Q$5:$Q$164,武将天赋进度验证!$W$5:$W$164,$AF33)</f>
        <v>1</v>
      </c>
    </row>
    <row r="34" spans="2:39" x14ac:dyDescent="0.15">
      <c r="B34" s="17">
        <v>30</v>
      </c>
      <c r="C34" s="144">
        <f>'[1]功能-实力'!BF34</f>
        <v>556782</v>
      </c>
      <c r="D34" s="144">
        <f>'[1]功能-实力'!BG34</f>
        <v>584490</v>
      </c>
      <c r="E34" s="144">
        <f>'[1]功能-实力'!BH34</f>
        <v>630630</v>
      </c>
      <c r="F34" s="144">
        <f>'[1]功能-实力'!BI34</f>
        <v>703770</v>
      </c>
      <c r="G34" s="144">
        <f>'[1]功能-实力'!BJ34</f>
        <v>763236</v>
      </c>
      <c r="Q34" s="17">
        <v>30</v>
      </c>
      <c r="R34" s="17">
        <f t="shared" si="0"/>
        <v>0</v>
      </c>
      <c r="S34" s="17">
        <f t="shared" si="1"/>
        <v>0</v>
      </c>
      <c r="T34" s="17">
        <f t="shared" si="2"/>
        <v>0</v>
      </c>
      <c r="U34" s="17">
        <f t="shared" si="3"/>
        <v>0</v>
      </c>
      <c r="V34" s="17">
        <f t="shared" si="4"/>
        <v>0</v>
      </c>
      <c r="W34" s="17">
        <f>求节点(武将天赋!$AB$19:$AB$25,武将天赋!$Y$7:$Y$13,求节点(武将天赋!$BI$6:$BI$9,武将天赋!$BL$6:$BL$9,R34))</f>
        <v>0.1</v>
      </c>
      <c r="X34" s="17">
        <f>求节点(武将天赋!$AB$19:$AB$25,武将天赋!$Y$7:$Y$13,求节点(武将天赋!$BI$6:$BI$9,武将天赋!$BL$6:$BL$9,S34))</f>
        <v>0.1</v>
      </c>
      <c r="Y34" s="17">
        <f>求节点(武将天赋!$AB$19:$AB$25,武将天赋!$Y$7:$Y$13,求节点(武将天赋!$BI$6:$BI$9,武将天赋!$BL$6:$BL$9,T34))</f>
        <v>0.1</v>
      </c>
      <c r="Z34" s="17">
        <f>求节点(武将天赋!$AB$19:$AB$25,武将天赋!$Y$7:$Y$13,求节点(武将天赋!$BI$6:$BI$9,武将天赋!$BL$6:$BL$9,U34))</f>
        <v>0.1</v>
      </c>
      <c r="AA34" s="17">
        <f>求节点(武将天赋!$AB$19:$AB$25,武将天赋!$Y$7:$Y$13,求节点(武将天赋!$BI$6:$BI$9,武将天赋!$BL$6:$BL$9,V34))</f>
        <v>0.1</v>
      </c>
      <c r="AE34" s="56">
        <v>4540</v>
      </c>
      <c r="AF34" s="56">
        <v>121.47928719052189</v>
      </c>
      <c r="AH34" s="56"/>
      <c r="AI34" s="56"/>
      <c r="AJ34" s="56"/>
      <c r="AK34" s="56"/>
      <c r="AL34" s="56">
        <f>IFERROR(求节点(武将天赋!$AC$31:$AC$37,武将天赋!$Y$7:$Y$13,武将数量星级阶位验证!BM34/基础状态预期!J44),0)</f>
        <v>1</v>
      </c>
      <c r="AM34" s="17">
        <f>求节点(武将天赋进度验证!$Q$5:$Q$164,武将天赋进度验证!$W$5:$W$164,$AF34)</f>
        <v>1</v>
      </c>
    </row>
    <row r="35" spans="2:39" x14ac:dyDescent="0.15">
      <c r="B35" s="17">
        <v>31</v>
      </c>
      <c r="C35" s="144">
        <f>'[1]功能-实力'!BF35</f>
        <v>593082</v>
      </c>
      <c r="D35" s="144">
        <f>'[1]功能-实力'!BG35</f>
        <v>625512</v>
      </c>
      <c r="E35" s="144">
        <f>'[1]功能-实力'!BH35</f>
        <v>680424</v>
      </c>
      <c r="F35" s="144">
        <f>'[1]功能-实力'!BI35</f>
        <v>764400</v>
      </c>
      <c r="G35" s="144">
        <f>'[1]功能-实力'!BJ35</f>
        <v>829824</v>
      </c>
      <c r="Q35" s="17">
        <v>31</v>
      </c>
      <c r="R35" s="17">
        <f t="shared" si="0"/>
        <v>0</v>
      </c>
      <c r="S35" s="17">
        <f t="shared" si="1"/>
        <v>0</v>
      </c>
      <c r="T35" s="17">
        <f t="shared" si="2"/>
        <v>0</v>
      </c>
      <c r="U35" s="17">
        <f t="shared" si="3"/>
        <v>0</v>
      </c>
      <c r="V35" s="17">
        <f t="shared" si="4"/>
        <v>0</v>
      </c>
      <c r="W35" s="17">
        <f>求节点(武将天赋!$AB$19:$AB$25,武将天赋!$Y$7:$Y$13,求节点(武将天赋!$BI$6:$BI$9,武将天赋!$BL$6:$BL$9,R35))</f>
        <v>0.1</v>
      </c>
      <c r="X35" s="17">
        <f>求节点(武将天赋!$AB$19:$AB$25,武将天赋!$Y$7:$Y$13,求节点(武将天赋!$BI$6:$BI$9,武将天赋!$BL$6:$BL$9,S35))</f>
        <v>0.1</v>
      </c>
      <c r="Y35" s="17">
        <f>求节点(武将天赋!$AB$19:$AB$25,武将天赋!$Y$7:$Y$13,求节点(武将天赋!$BI$6:$BI$9,武将天赋!$BL$6:$BL$9,T35))</f>
        <v>0.1</v>
      </c>
      <c r="Z35" s="17">
        <f>求节点(武将天赋!$AB$19:$AB$25,武将天赋!$Y$7:$Y$13,求节点(武将天赋!$BI$6:$BI$9,武将天赋!$BL$6:$BL$9,U35))</f>
        <v>0.1</v>
      </c>
      <c r="AA35" s="17">
        <f>求节点(武将天赋!$AB$19:$AB$25,武将天赋!$Y$7:$Y$13,求节点(武将天赋!$BI$6:$BI$9,武将天赋!$BL$6:$BL$9,V35))</f>
        <v>0.1</v>
      </c>
      <c r="AE35" s="56">
        <v>5800</v>
      </c>
      <c r="AF35" s="56">
        <v>125.02015904129435</v>
      </c>
      <c r="AH35" s="56"/>
      <c r="AI35" s="56"/>
      <c r="AJ35" s="56"/>
      <c r="AK35" s="56"/>
      <c r="AL35" s="56">
        <f>IFERROR(求节点(武将天赋!$AC$31:$AC$37,武将天赋!$Y$7:$Y$13,武将数量星级阶位验证!BM35/基础状态预期!J45),0)</f>
        <v>1</v>
      </c>
      <c r="AM35" s="17">
        <f>求节点(武将天赋进度验证!$Q$5:$Q$164,武将天赋进度验证!$W$5:$W$164,$AF35)</f>
        <v>1</v>
      </c>
    </row>
    <row r="36" spans="2:39" x14ac:dyDescent="0.15">
      <c r="B36" s="17">
        <v>32</v>
      </c>
      <c r="C36" s="144">
        <f>'[1]功能-实力'!BF36</f>
        <v>630618</v>
      </c>
      <c r="D36" s="144">
        <f>'[1]功能-实力'!BG36</f>
        <v>668484</v>
      </c>
      <c r="E36" s="144">
        <f>'[1]功能-实力'!BH36</f>
        <v>732672</v>
      </c>
      <c r="F36" s="144">
        <f>'[1]功能-实力'!BI36</f>
        <v>828552</v>
      </c>
      <c r="G36" s="144">
        <f>'[1]功能-实力'!BJ36</f>
        <v>900492</v>
      </c>
      <c r="Q36" s="17">
        <v>32</v>
      </c>
      <c r="R36" s="17">
        <f t="shared" si="0"/>
        <v>0</v>
      </c>
      <c r="S36" s="17">
        <f t="shared" si="1"/>
        <v>0</v>
      </c>
      <c r="T36" s="17">
        <f t="shared" si="2"/>
        <v>0</v>
      </c>
      <c r="U36" s="17">
        <f t="shared" si="3"/>
        <v>0</v>
      </c>
      <c r="V36" s="17">
        <f t="shared" si="4"/>
        <v>0</v>
      </c>
      <c r="W36" s="17">
        <f>求节点(武将天赋!$AB$19:$AB$25,武将天赋!$Y$7:$Y$13,求节点(武将天赋!$BI$6:$BI$9,武将天赋!$BL$6:$BL$9,R36))</f>
        <v>0.1</v>
      </c>
      <c r="X36" s="17">
        <f>求节点(武将天赋!$AB$19:$AB$25,武将天赋!$Y$7:$Y$13,求节点(武将天赋!$BI$6:$BI$9,武将天赋!$BL$6:$BL$9,S36))</f>
        <v>0.1</v>
      </c>
      <c r="Y36" s="17">
        <f>求节点(武将天赋!$AB$19:$AB$25,武将天赋!$Y$7:$Y$13,求节点(武将天赋!$BI$6:$BI$9,武将天赋!$BL$6:$BL$9,T36))</f>
        <v>0.1</v>
      </c>
      <c r="Z36" s="17">
        <f>求节点(武将天赋!$AB$19:$AB$25,武将天赋!$Y$7:$Y$13,求节点(武将天赋!$BI$6:$BI$9,武将天赋!$BL$6:$BL$9,U36))</f>
        <v>0.1</v>
      </c>
      <c r="AA36" s="17">
        <f>求节点(武将天赋!$AB$19:$AB$25,武将天赋!$Y$7:$Y$13,求节点(武将天赋!$BI$6:$BI$9,武将天赋!$BL$6:$BL$9,V36))</f>
        <v>0.1</v>
      </c>
      <c r="AE36" s="56">
        <v>7420</v>
      </c>
      <c r="AF36" s="56">
        <v>128.56549059889721</v>
      </c>
      <c r="AH36" s="56"/>
      <c r="AI36" s="56"/>
      <c r="AJ36" s="56"/>
      <c r="AK36" s="56"/>
      <c r="AL36" s="56">
        <f>IFERROR(求节点(武将天赋!$AC$31:$AC$37,武将天赋!$Y$7:$Y$13,武将数量星级阶位验证!BM36/基础状态预期!J46),0)</f>
        <v>1</v>
      </c>
      <c r="AM36" s="17">
        <f>求节点(武将天赋进度验证!$Q$5:$Q$164,武将天赋进度验证!$W$5:$W$164,$AF36)</f>
        <v>1</v>
      </c>
    </row>
    <row r="37" spans="2:39" x14ac:dyDescent="0.15">
      <c r="B37" s="17">
        <v>33</v>
      </c>
      <c r="C37" s="144">
        <f>'[1]功能-实力'!BF37</f>
        <v>669864</v>
      </c>
      <c r="D37" s="144">
        <f>'[1]功能-实力'!BG37</f>
        <v>712956</v>
      </c>
      <c r="E37" s="144">
        <f>'[1]功能-实力'!BH37</f>
        <v>787848</v>
      </c>
      <c r="F37" s="144">
        <f>'[1]功能-实力'!BI37</f>
        <v>896214</v>
      </c>
      <c r="G37" s="144">
        <f>'[1]功能-实力'!BJ37</f>
        <v>974514</v>
      </c>
      <c r="Q37" s="17">
        <v>33</v>
      </c>
      <c r="R37" s="17">
        <f t="shared" ref="R37:R68" si="7">IF(求节点($L$5:$L$8,$J$5:$J$8,C37)&lt;1,0,求节点($L$5:$L$8,$J$5:$J$8,C37))</f>
        <v>0</v>
      </c>
      <c r="S37" s="17">
        <f t="shared" ref="S37:S68" si="8">IF(求节点($L$5:$L$8,$J$5:$J$8,D37)&lt;1,0,求节点($L$5:$L$8,$J$5:$J$8,D37))</f>
        <v>0</v>
      </c>
      <c r="T37" s="17">
        <f t="shared" ref="T37:T68" si="9">IF(求节点($L$5:$L$8,$J$5:$J$8,E37)&lt;1,0,求节点($L$5:$L$8,$J$5:$J$8,E37))</f>
        <v>0</v>
      </c>
      <c r="U37" s="17">
        <f t="shared" ref="U37:U68" si="10">IF(求节点($L$5:$L$8,$J$5:$J$8,F37)&lt;1,0,求节点($L$5:$L$8,$J$5:$J$8,F37))</f>
        <v>0</v>
      </c>
      <c r="V37" s="17">
        <f t="shared" ref="V37:V68" si="11">IF(求节点($L$5:$L$8,$J$5:$J$8,G37)&lt;1,0,求节点($L$5:$L$8,$J$5:$J$8,G37))</f>
        <v>0</v>
      </c>
      <c r="W37" s="17">
        <f>求节点(武将天赋!$AB$19:$AB$25,武将天赋!$Y$7:$Y$13,求节点(武将天赋!$BI$6:$BI$9,武将天赋!$BL$6:$BL$9,R37))</f>
        <v>0.1</v>
      </c>
      <c r="X37" s="17">
        <f>求节点(武将天赋!$AB$19:$AB$25,武将天赋!$Y$7:$Y$13,求节点(武将天赋!$BI$6:$BI$9,武将天赋!$BL$6:$BL$9,S37))</f>
        <v>0.1</v>
      </c>
      <c r="Y37" s="17">
        <f>求节点(武将天赋!$AB$19:$AB$25,武将天赋!$Y$7:$Y$13,求节点(武将天赋!$BI$6:$BI$9,武将天赋!$BL$6:$BL$9,T37))</f>
        <v>0.1</v>
      </c>
      <c r="Z37" s="17">
        <f>求节点(武将天赋!$AB$19:$AB$25,武将天赋!$Y$7:$Y$13,求节点(武将天赋!$BI$6:$BI$9,武将天赋!$BL$6:$BL$9,U37))</f>
        <v>0.1</v>
      </c>
      <c r="AA37" s="17">
        <f>求节点(武将天赋!$AB$19:$AB$25,武将天赋!$Y$7:$Y$13,求节点(武将天赋!$BI$6:$BI$9,武将天赋!$BL$6:$BL$9,V37))</f>
        <v>0.1</v>
      </c>
      <c r="AE37" s="56">
        <v>9460</v>
      </c>
      <c r="AF37" s="56">
        <v>132.07530828871487</v>
      </c>
      <c r="AH37" s="56"/>
      <c r="AI37" s="56"/>
      <c r="AJ37" s="56"/>
      <c r="AK37" s="56"/>
      <c r="AL37" s="56">
        <f>IFERROR(求节点(武将天赋!$AC$31:$AC$37,武将天赋!$Y$7:$Y$13,武将数量星级阶位验证!BM37/基础状态预期!J47),0)</f>
        <v>1</v>
      </c>
      <c r="AM37" s="17">
        <f>求节点(武将天赋进度验证!$Q$5:$Q$164,武将天赋进度验证!$W$5:$W$164,$AF37)</f>
        <v>1</v>
      </c>
    </row>
    <row r="38" spans="2:39" x14ac:dyDescent="0.15">
      <c r="B38" s="17">
        <v>34</v>
      </c>
      <c r="C38" s="144">
        <f>'[1]功能-实力'!BF38</f>
        <v>710406</v>
      </c>
      <c r="D38" s="144">
        <f>'[1]功能-实力'!BG38</f>
        <v>760146</v>
      </c>
      <c r="E38" s="144">
        <f>'[1]功能-实力'!BH38</f>
        <v>845724</v>
      </c>
      <c r="F38" s="144">
        <f>'[1]功能-实力'!BI38</f>
        <v>963042</v>
      </c>
      <c r="G38" s="144">
        <f>'[1]功能-实力'!BJ38</f>
        <v>1043610</v>
      </c>
      <c r="Q38" s="17">
        <v>34</v>
      </c>
      <c r="R38" s="17">
        <f t="shared" si="7"/>
        <v>0</v>
      </c>
      <c r="S38" s="17">
        <f t="shared" si="8"/>
        <v>0</v>
      </c>
      <c r="T38" s="17">
        <f t="shared" si="9"/>
        <v>0</v>
      </c>
      <c r="U38" s="17">
        <f t="shared" si="10"/>
        <v>0</v>
      </c>
      <c r="V38" s="17">
        <f t="shared" si="11"/>
        <v>0</v>
      </c>
      <c r="W38" s="17">
        <f>求节点(武将天赋!$AB$19:$AB$25,武将天赋!$Y$7:$Y$13,求节点(武将天赋!$BI$6:$BI$9,武将天赋!$BL$6:$BL$9,R38))</f>
        <v>0.1</v>
      </c>
      <c r="X38" s="17">
        <f>求节点(武将天赋!$AB$19:$AB$25,武将天赋!$Y$7:$Y$13,求节点(武将天赋!$BI$6:$BI$9,武将天赋!$BL$6:$BL$9,S38))</f>
        <v>0.1</v>
      </c>
      <c r="Y38" s="17">
        <f>求节点(武将天赋!$AB$19:$AB$25,武将天赋!$Y$7:$Y$13,求节点(武将天赋!$BI$6:$BI$9,武将天赋!$BL$6:$BL$9,T38))</f>
        <v>0.1</v>
      </c>
      <c r="Z38" s="17">
        <f>求节点(武将天赋!$AB$19:$AB$25,武将天赋!$Y$7:$Y$13,求节点(武将天赋!$BI$6:$BI$9,武将天赋!$BL$6:$BL$9,U38))</f>
        <v>0.1</v>
      </c>
      <c r="AA38" s="17">
        <f>求节点(武将天赋!$AB$19:$AB$25,武将天赋!$Y$7:$Y$13,求节点(武将天赋!$BI$6:$BI$9,武将天赋!$BL$6:$BL$9,V38))</f>
        <v>0.1</v>
      </c>
      <c r="AE38" s="56">
        <v>12040</v>
      </c>
      <c r="AF38" s="56">
        <v>135.54811255008914</v>
      </c>
      <c r="AH38" s="56"/>
      <c r="AI38" s="56"/>
      <c r="AJ38" s="56"/>
      <c r="AK38" s="56"/>
      <c r="AL38" s="56">
        <f>IFERROR(求节点(武将天赋!$AC$31:$AC$37,武将天赋!$Y$7:$Y$13,武将数量星级阶位验证!BM38/基础状态预期!J48),0)</f>
        <v>1</v>
      </c>
      <c r="AM38" s="17">
        <f>求节点(武将天赋进度验证!$Q$5:$Q$164,武将天赋进度验证!$W$5:$W$164,$AF38)</f>
        <v>1</v>
      </c>
    </row>
    <row r="39" spans="2:39" x14ac:dyDescent="0.15">
      <c r="B39" s="17">
        <v>35</v>
      </c>
      <c r="C39" s="144">
        <f>'[1]功能-实力'!BF39</f>
        <v>756708</v>
      </c>
      <c r="D39" s="144">
        <f>'[1]功能-实力'!BG39</f>
        <v>810648</v>
      </c>
      <c r="E39" s="144">
        <f>'[1]功能-实力'!BH39</f>
        <v>898578</v>
      </c>
      <c r="F39" s="144">
        <f>'[1]功能-实力'!BI39</f>
        <v>1023120</v>
      </c>
      <c r="G39" s="144">
        <f>'[1]功能-实力'!BJ39</f>
        <v>1108788</v>
      </c>
      <c r="Q39" s="17">
        <v>35</v>
      </c>
      <c r="R39" s="17">
        <f t="shared" si="7"/>
        <v>0</v>
      </c>
      <c r="S39" s="17">
        <f t="shared" si="8"/>
        <v>0</v>
      </c>
      <c r="T39" s="17">
        <f t="shared" si="9"/>
        <v>0</v>
      </c>
      <c r="U39" s="17">
        <f t="shared" si="10"/>
        <v>0</v>
      </c>
      <c r="V39" s="17">
        <f t="shared" si="11"/>
        <v>0</v>
      </c>
      <c r="W39" s="17">
        <f>求节点(武将天赋!$AB$19:$AB$25,武将天赋!$Y$7:$Y$13,求节点(武将天赋!$BI$6:$BI$9,武将天赋!$BL$6:$BL$9,R39))</f>
        <v>0.1</v>
      </c>
      <c r="X39" s="17">
        <f>求节点(武将天赋!$AB$19:$AB$25,武将天赋!$Y$7:$Y$13,求节点(武将天赋!$BI$6:$BI$9,武将天赋!$BL$6:$BL$9,S39))</f>
        <v>0.1</v>
      </c>
      <c r="Y39" s="17">
        <f>求节点(武将天赋!$AB$19:$AB$25,武将天赋!$Y$7:$Y$13,求节点(武将天赋!$BI$6:$BI$9,武将天赋!$BL$6:$BL$9,T39))</f>
        <v>0.1</v>
      </c>
      <c r="Z39" s="17">
        <f>求节点(武将天赋!$AB$19:$AB$25,武将天赋!$Y$7:$Y$13,求节点(武将天赋!$BI$6:$BI$9,武将天赋!$BL$6:$BL$9,U39))</f>
        <v>0.1</v>
      </c>
      <c r="AA39" s="17">
        <f>求节点(武将天赋!$AB$19:$AB$25,武将天赋!$Y$7:$Y$13,求节点(武将天赋!$BI$6:$BI$9,武将天赋!$BL$6:$BL$9,V39))</f>
        <v>0.1</v>
      </c>
      <c r="AE39" s="56">
        <v>15340</v>
      </c>
      <c r="AF39" s="56">
        <v>139.0493876099641</v>
      </c>
      <c r="AH39" s="56"/>
      <c r="AI39" s="56"/>
      <c r="AJ39" s="56"/>
      <c r="AK39" s="56"/>
      <c r="AL39" s="56">
        <f>IFERROR(求节点(武将天赋!$AC$31:$AC$37,武将天赋!$Y$7:$Y$13,武将数量星级阶位验证!BM39/基础状态预期!J49),0)</f>
        <v>1</v>
      </c>
      <c r="AM39" s="17">
        <f>求节点(武将天赋进度验证!$Q$5:$Q$164,武将天赋进度验证!$W$5:$W$164,$AF39)</f>
        <v>1</v>
      </c>
    </row>
    <row r="40" spans="2:39" x14ac:dyDescent="0.15">
      <c r="B40" s="17">
        <v>36</v>
      </c>
      <c r="C40" s="144">
        <f>'[1]功能-实力'!BF40</f>
        <v>810294</v>
      </c>
      <c r="D40" s="144">
        <f>'[1]功能-实力'!BG40</f>
        <v>864180</v>
      </c>
      <c r="E40" s="144">
        <f>'[1]功能-实力'!BH40</f>
        <v>950784</v>
      </c>
      <c r="F40" s="144">
        <f>'[1]功能-实力'!BI40</f>
        <v>1085424</v>
      </c>
      <c r="G40" s="144">
        <f>'[1]功能-实力'!BJ40</f>
        <v>1175982</v>
      </c>
      <c r="Q40" s="17">
        <v>36</v>
      </c>
      <c r="R40" s="17">
        <f t="shared" si="7"/>
        <v>0</v>
      </c>
      <c r="S40" s="17">
        <f t="shared" si="8"/>
        <v>0</v>
      </c>
      <c r="T40" s="17">
        <f t="shared" si="9"/>
        <v>0</v>
      </c>
      <c r="U40" s="17">
        <f t="shared" si="10"/>
        <v>0</v>
      </c>
      <c r="V40" s="17">
        <f t="shared" si="11"/>
        <v>0</v>
      </c>
      <c r="W40" s="17">
        <f>求节点(武将天赋!$AB$19:$AB$25,武将天赋!$Y$7:$Y$13,求节点(武将天赋!$BI$6:$BI$9,武将天赋!$BL$6:$BL$9,R40))</f>
        <v>0.1</v>
      </c>
      <c r="X40" s="17">
        <f>求节点(武将天赋!$AB$19:$AB$25,武将天赋!$Y$7:$Y$13,求节点(武将天赋!$BI$6:$BI$9,武将天赋!$BL$6:$BL$9,S40))</f>
        <v>0.1</v>
      </c>
      <c r="Y40" s="17">
        <f>求节点(武将天赋!$AB$19:$AB$25,武将天赋!$Y$7:$Y$13,求节点(武将天赋!$BI$6:$BI$9,武将天赋!$BL$6:$BL$9,T40))</f>
        <v>0.1</v>
      </c>
      <c r="Z40" s="17">
        <f>求节点(武将天赋!$AB$19:$AB$25,武将天赋!$Y$7:$Y$13,求节点(武将天赋!$BI$6:$BI$9,武将天赋!$BL$6:$BL$9,U40))</f>
        <v>0.1</v>
      </c>
      <c r="AA40" s="17">
        <f>求节点(武将天赋!$AB$19:$AB$25,武将天赋!$Y$7:$Y$13,求节点(武将天赋!$BI$6:$BI$9,武将天赋!$BL$6:$BL$9,V40))</f>
        <v>0.1</v>
      </c>
      <c r="AE40" s="56">
        <v>19540</v>
      </c>
      <c r="AF40" s="56">
        <v>142.53355653582128</v>
      </c>
      <c r="AH40" s="56"/>
      <c r="AI40" s="56"/>
      <c r="AJ40" s="56"/>
      <c r="AK40" s="56"/>
      <c r="AL40" s="56">
        <f>IFERROR(求节点(武将天赋!$AC$31:$AC$37,武将天赋!$Y$7:$Y$13,武将数量星级阶位验证!BM40/基础状态预期!J50),0)</f>
        <v>1</v>
      </c>
      <c r="AM40" s="17">
        <f>求节点(武将天赋进度验证!$Q$5:$Q$164,武将天赋进度验证!$W$5:$W$164,$AF40)</f>
        <v>1</v>
      </c>
    </row>
    <row r="41" spans="2:39" x14ac:dyDescent="0.15">
      <c r="B41" s="17">
        <v>37</v>
      </c>
      <c r="C41" s="144">
        <f>'[1]功能-实力'!BF41</f>
        <v>866298</v>
      </c>
      <c r="D41" s="144">
        <f>'[1]功能-实力'!BG41</f>
        <v>919602</v>
      </c>
      <c r="E41" s="144">
        <f>'[1]功能-实力'!BH41</f>
        <v>1004988</v>
      </c>
      <c r="F41" s="144">
        <f>'[1]功能-实力'!BI41</f>
        <v>1149348</v>
      </c>
      <c r="G41" s="144">
        <f>'[1]功能-实力'!BJ41</f>
        <v>1245846</v>
      </c>
      <c r="Q41" s="17">
        <v>37</v>
      </c>
      <c r="R41" s="17">
        <f t="shared" si="7"/>
        <v>0</v>
      </c>
      <c r="S41" s="17">
        <f t="shared" si="8"/>
        <v>0</v>
      </c>
      <c r="T41" s="17">
        <f t="shared" si="9"/>
        <v>0</v>
      </c>
      <c r="U41" s="17">
        <f t="shared" si="10"/>
        <v>0</v>
      </c>
      <c r="V41" s="17">
        <f t="shared" si="11"/>
        <v>0</v>
      </c>
      <c r="W41" s="17">
        <f>求节点(武将天赋!$AB$19:$AB$25,武将天赋!$Y$7:$Y$13,求节点(武将天赋!$BI$6:$BI$9,武将天赋!$BL$6:$BL$9,R41))</f>
        <v>0.1</v>
      </c>
      <c r="X41" s="17">
        <f>求节点(武将天赋!$AB$19:$AB$25,武将天赋!$Y$7:$Y$13,求节点(武将天赋!$BI$6:$BI$9,武将天赋!$BL$6:$BL$9,S41))</f>
        <v>0.1</v>
      </c>
      <c r="Y41" s="17">
        <f>求节点(武将天赋!$AB$19:$AB$25,武将天赋!$Y$7:$Y$13,求节点(武将天赋!$BI$6:$BI$9,武将天赋!$BL$6:$BL$9,T41))</f>
        <v>0.1</v>
      </c>
      <c r="Z41" s="17">
        <f>求节点(武将天赋!$AB$19:$AB$25,武将天赋!$Y$7:$Y$13,求节点(武将天赋!$BI$6:$BI$9,武将天赋!$BL$6:$BL$9,U41))</f>
        <v>0.1</v>
      </c>
      <c r="AA41" s="17">
        <f>求节点(武将天赋!$AB$19:$AB$25,武将天赋!$Y$7:$Y$13,求节点(武将天赋!$BI$6:$BI$9,武将天赋!$BL$6:$BL$9,V41))</f>
        <v>0.1</v>
      </c>
      <c r="AE41" s="56">
        <v>24880</v>
      </c>
      <c r="AF41" s="56">
        <v>146.02664953963369</v>
      </c>
      <c r="AH41" s="56"/>
      <c r="AI41" s="56"/>
      <c r="AJ41" s="56"/>
      <c r="AK41" s="56"/>
      <c r="AL41" s="56">
        <f>IFERROR(求节点(武将天赋!$AC$31:$AC$37,武将天赋!$Y$7:$Y$13,武将数量星级阶位验证!BM41/基础状态预期!J51),0)</f>
        <v>1</v>
      </c>
      <c r="AM41" s="17">
        <f>求节点(武将天赋进度验证!$Q$5:$Q$164,武将天赋进度验证!$W$5:$W$164,$AF41)</f>
        <v>1</v>
      </c>
    </row>
    <row r="42" spans="2:39" x14ac:dyDescent="0.15">
      <c r="B42" s="17">
        <v>38</v>
      </c>
      <c r="C42" s="144">
        <f>'[1]功能-实力'!BF42</f>
        <v>924600</v>
      </c>
      <c r="D42" s="144">
        <f>'[1]功能-实力'!BG42</f>
        <v>977262</v>
      </c>
      <c r="E42" s="144">
        <f>'[1]功能-实力'!BH42</f>
        <v>1060746</v>
      </c>
      <c r="F42" s="144">
        <f>'[1]功能-实力'!BI42</f>
        <v>1215882</v>
      </c>
      <c r="G42" s="144">
        <f>'[1]功能-实力'!BJ42</f>
        <v>1318008</v>
      </c>
      <c r="Q42" s="17">
        <v>38</v>
      </c>
      <c r="R42" s="17">
        <f t="shared" si="7"/>
        <v>0</v>
      </c>
      <c r="S42" s="17">
        <f t="shared" si="8"/>
        <v>0</v>
      </c>
      <c r="T42" s="17">
        <f t="shared" si="9"/>
        <v>0</v>
      </c>
      <c r="U42" s="17">
        <f t="shared" si="10"/>
        <v>0</v>
      </c>
      <c r="V42" s="17">
        <f t="shared" si="11"/>
        <v>0</v>
      </c>
      <c r="W42" s="17">
        <f>求节点(武将天赋!$AB$19:$AB$25,武将天赋!$Y$7:$Y$13,求节点(武将天赋!$BI$6:$BI$9,武将天赋!$BL$6:$BL$9,R42))</f>
        <v>0.1</v>
      </c>
      <c r="X42" s="17">
        <f>求节点(武将天赋!$AB$19:$AB$25,武将天赋!$Y$7:$Y$13,求节点(武将天赋!$BI$6:$BI$9,武将天赋!$BL$6:$BL$9,S42))</f>
        <v>0.1</v>
      </c>
      <c r="Y42" s="17">
        <f>求节点(武将天赋!$AB$19:$AB$25,武将天赋!$Y$7:$Y$13,求节点(武将天赋!$BI$6:$BI$9,武将天赋!$BL$6:$BL$9,T42))</f>
        <v>0.1</v>
      </c>
      <c r="Z42" s="17">
        <f>求节点(武将天赋!$AB$19:$AB$25,武将天赋!$Y$7:$Y$13,求节点(武将天赋!$BI$6:$BI$9,武将天赋!$BL$6:$BL$9,U42))</f>
        <v>0.1</v>
      </c>
      <c r="AA42" s="17">
        <f>求节点(武将天赋!$AB$19:$AB$25,武将天赋!$Y$7:$Y$13,求节点(武将天赋!$BI$6:$BI$9,武将天赋!$BL$6:$BL$9,V42))</f>
        <v>0.1</v>
      </c>
      <c r="AE42" s="56">
        <v>31720</v>
      </c>
      <c r="AF42" s="56">
        <v>149.52287096243165</v>
      </c>
      <c r="AH42" s="56"/>
      <c r="AI42" s="56"/>
      <c r="AJ42" s="56"/>
      <c r="AK42" s="56"/>
      <c r="AL42" s="56">
        <f>IFERROR(求节点(武将天赋!$AC$31:$AC$37,武将天赋!$Y$7:$Y$13,武将数量星级阶位验证!BM42/基础状态预期!J52),0)</f>
        <v>1</v>
      </c>
      <c r="AM42" s="17">
        <f>求节点(武将天赋进度验证!$Q$5:$Q$164,武将天赋进度验证!$W$5:$W$164,$AF42)</f>
        <v>1</v>
      </c>
    </row>
    <row r="43" spans="2:39" x14ac:dyDescent="0.15">
      <c r="B43" s="17">
        <v>39</v>
      </c>
      <c r="C43" s="144">
        <f>'[1]功能-实力'!BF43</f>
        <v>985470</v>
      </c>
      <c r="D43" s="144">
        <f>'[1]功能-实力'!BG43</f>
        <v>1036968</v>
      </c>
      <c r="E43" s="144">
        <f>'[1]功能-实力'!BH43</f>
        <v>1118580</v>
      </c>
      <c r="F43" s="144">
        <f>'[1]功能-实力'!BI43</f>
        <v>1284486</v>
      </c>
      <c r="G43" s="144">
        <f>'[1]功能-实力'!BJ43</f>
        <v>1393284</v>
      </c>
      <c r="Q43" s="17">
        <v>39</v>
      </c>
      <c r="R43" s="17">
        <f t="shared" si="7"/>
        <v>0</v>
      </c>
      <c r="S43" s="17">
        <f t="shared" si="8"/>
        <v>0</v>
      </c>
      <c r="T43" s="17">
        <f t="shared" si="9"/>
        <v>0</v>
      </c>
      <c r="U43" s="17">
        <f t="shared" si="10"/>
        <v>0</v>
      </c>
      <c r="V43" s="17">
        <f t="shared" si="11"/>
        <v>0</v>
      </c>
      <c r="W43" s="17">
        <f>求节点(武将天赋!$AB$19:$AB$25,武将天赋!$Y$7:$Y$13,求节点(武将天赋!$BI$6:$BI$9,武将天赋!$BL$6:$BL$9,R43))</f>
        <v>0.1</v>
      </c>
      <c r="X43" s="17">
        <f>求节点(武将天赋!$AB$19:$AB$25,武将天赋!$Y$7:$Y$13,求节点(武将天赋!$BI$6:$BI$9,武将天赋!$BL$6:$BL$9,S43))</f>
        <v>0.1</v>
      </c>
      <c r="Y43" s="17">
        <f>求节点(武将天赋!$AB$19:$AB$25,武将天赋!$Y$7:$Y$13,求节点(武将天赋!$BI$6:$BI$9,武将天赋!$BL$6:$BL$9,T43))</f>
        <v>0.1</v>
      </c>
      <c r="Z43" s="17">
        <f>求节点(武将天赋!$AB$19:$AB$25,武将天赋!$Y$7:$Y$13,求节点(武将天赋!$BI$6:$BI$9,武将天赋!$BL$6:$BL$9,U43))</f>
        <v>0.1</v>
      </c>
      <c r="AA43" s="17">
        <f>求节点(武将天赋!$AB$19:$AB$25,武将天赋!$Y$7:$Y$13,求节点(武将天赋!$BI$6:$BI$9,武将天赋!$BL$6:$BL$9,V43))</f>
        <v>0.1</v>
      </c>
      <c r="AE43" s="56">
        <v>40420</v>
      </c>
      <c r="AF43" s="56">
        <v>153.02723536432757</v>
      </c>
      <c r="AH43" s="56"/>
      <c r="AI43" s="56"/>
      <c r="AJ43" s="56"/>
      <c r="AK43" s="56"/>
      <c r="AL43" s="56">
        <f>IFERROR(求节点(武将天赋!$AC$31:$AC$37,武将天赋!$Y$7:$Y$13,武将数量星级阶位验证!BM43/基础状态预期!J53),0)</f>
        <v>1</v>
      </c>
      <c r="AM43" s="17">
        <f>求节点(武将天赋进度验证!$Q$5:$Q$164,武将天赋进度验证!$W$5:$W$164,$AF43)</f>
        <v>1</v>
      </c>
    </row>
    <row r="44" spans="2:39" x14ac:dyDescent="0.15">
      <c r="B44" s="17">
        <v>40</v>
      </c>
      <c r="C44" s="144">
        <f>'[1]功能-实力'!BF44</f>
        <v>1049100</v>
      </c>
      <c r="D44" s="144">
        <f>'[1]功能-实力'!BG44</f>
        <v>1095396</v>
      </c>
      <c r="E44" s="144">
        <f>'[1]功能-实力'!BH44</f>
        <v>1177734</v>
      </c>
      <c r="F44" s="144">
        <f>'[1]功能-实力'!BI44</f>
        <v>1357020</v>
      </c>
      <c r="G44" s="144">
        <f>'[1]功能-实力'!BJ44</f>
        <v>1472544</v>
      </c>
      <c r="Q44" s="17">
        <v>40</v>
      </c>
      <c r="R44" s="17">
        <f t="shared" si="7"/>
        <v>0</v>
      </c>
      <c r="S44" s="17">
        <f t="shared" si="8"/>
        <v>0</v>
      </c>
      <c r="T44" s="17">
        <f t="shared" si="9"/>
        <v>0</v>
      </c>
      <c r="U44" s="17">
        <f t="shared" si="10"/>
        <v>0</v>
      </c>
      <c r="V44" s="17">
        <f t="shared" si="11"/>
        <v>0</v>
      </c>
      <c r="W44" s="17">
        <f>求节点(武将天赋!$AB$19:$AB$25,武将天赋!$Y$7:$Y$13,求节点(武将天赋!$BI$6:$BI$9,武将天赋!$BL$6:$BL$9,R44))</f>
        <v>0.1</v>
      </c>
      <c r="X44" s="17">
        <f>求节点(武将天赋!$AB$19:$AB$25,武将天赋!$Y$7:$Y$13,求节点(武将天赋!$BI$6:$BI$9,武将天赋!$BL$6:$BL$9,S44))</f>
        <v>0.1</v>
      </c>
      <c r="Y44" s="17">
        <f>求节点(武将天赋!$AB$19:$AB$25,武将天赋!$Y$7:$Y$13,求节点(武将天赋!$BI$6:$BI$9,武将天赋!$BL$6:$BL$9,T44))</f>
        <v>0.1</v>
      </c>
      <c r="Z44" s="17">
        <f>求节点(武将天赋!$AB$19:$AB$25,武将天赋!$Y$7:$Y$13,求节点(武将天赋!$BI$6:$BI$9,武将天赋!$BL$6:$BL$9,U44))</f>
        <v>0.1</v>
      </c>
      <c r="AA44" s="17">
        <f>求节点(武将天赋!$AB$19:$AB$25,武将天赋!$Y$7:$Y$13,求节点(武将天赋!$BI$6:$BI$9,武将天赋!$BL$6:$BL$9,V44))</f>
        <v>0.1</v>
      </c>
      <c r="AE44" s="56">
        <v>51520</v>
      </c>
      <c r="AF44" s="56">
        <v>156.52008914974525</v>
      </c>
      <c r="AH44" s="56"/>
      <c r="AI44" s="56"/>
      <c r="AJ44" s="56"/>
      <c r="AK44" s="56"/>
      <c r="AL44" s="56">
        <f>IFERROR(求节点(武将天赋!$AC$31:$AC$37,武将天赋!$Y$7:$Y$13,武将数量星级阶位验证!BM44/基础状态预期!J54),0)</f>
        <v>1</v>
      </c>
      <c r="AM44" s="17">
        <f>求节点(武将天赋进度验证!$Q$5:$Q$164,武将天赋进度验证!$W$5:$W$164,$AF44)</f>
        <v>1</v>
      </c>
    </row>
    <row r="45" spans="2:39" x14ac:dyDescent="0.15">
      <c r="B45" s="17">
        <v>41</v>
      </c>
      <c r="C45" s="144">
        <f>'[1]功能-实力'!BF45</f>
        <v>1094052</v>
      </c>
      <c r="D45" s="144">
        <f>'[1]功能-实力'!BG45</f>
        <v>1140186</v>
      </c>
      <c r="E45" s="144">
        <f>'[1]功能-实力'!BH45</f>
        <v>1228284</v>
      </c>
      <c r="F45" s="144">
        <f>'[1]功能-实力'!BI45</f>
        <v>1421778</v>
      </c>
      <c r="G45" s="144">
        <f>'[1]功能-实力'!BJ45</f>
        <v>1544616</v>
      </c>
      <c r="Q45" s="17">
        <v>41</v>
      </c>
      <c r="R45" s="17">
        <f t="shared" si="7"/>
        <v>0</v>
      </c>
      <c r="S45" s="17">
        <f t="shared" si="8"/>
        <v>0</v>
      </c>
      <c r="T45" s="17">
        <f t="shared" si="9"/>
        <v>0</v>
      </c>
      <c r="U45" s="17">
        <f t="shared" si="10"/>
        <v>0</v>
      </c>
      <c r="V45" s="17">
        <f t="shared" si="11"/>
        <v>0</v>
      </c>
      <c r="W45" s="17">
        <f>求节点(武将天赋!$AB$19:$AB$25,武将天赋!$Y$7:$Y$13,求节点(武将天赋!$BI$6:$BI$9,武将天赋!$BL$6:$BL$9,R45))</f>
        <v>0.1</v>
      </c>
      <c r="X45" s="17">
        <f>求节点(武将天赋!$AB$19:$AB$25,武将天赋!$Y$7:$Y$13,求节点(武将天赋!$BI$6:$BI$9,武将天赋!$BL$6:$BL$9,S45))</f>
        <v>0.1</v>
      </c>
      <c r="Y45" s="17">
        <f>求节点(武将天赋!$AB$19:$AB$25,武将天赋!$Y$7:$Y$13,求节点(武将天赋!$BI$6:$BI$9,武将天赋!$BL$6:$BL$9,T45))</f>
        <v>0.1</v>
      </c>
      <c r="Z45" s="17">
        <f>求节点(武将天赋!$AB$19:$AB$25,武将天赋!$Y$7:$Y$13,求节点(武将天赋!$BI$6:$BI$9,武将天赋!$BL$6:$BL$9,U45))</f>
        <v>0.1</v>
      </c>
      <c r="AA45" s="17">
        <f>求节点(武将天赋!$AB$19:$AB$25,武将天赋!$Y$7:$Y$13,求节点(武将天赋!$BI$6:$BI$9,武将天赋!$BL$6:$BL$9,V45))</f>
        <v>0.1</v>
      </c>
      <c r="AE45" s="56">
        <v>65500</v>
      </c>
      <c r="AF45" s="56">
        <v>159.99202506384199</v>
      </c>
      <c r="AH45" s="56"/>
      <c r="AI45" s="56"/>
      <c r="AJ45" s="56"/>
      <c r="AK45" s="56"/>
      <c r="AL45" s="56">
        <f>IFERROR(求节点(武将天赋!$AC$31:$AC$37,武将天赋!$Y$7:$Y$13,武将数量星级阶位验证!BM45/基础状态预期!J55),0)</f>
        <v>1</v>
      </c>
      <c r="AM45" s="17">
        <f>求节点(武将天赋进度验证!$Q$5:$Q$164,武将天赋进度验证!$W$5:$W$164,$AF45)</f>
        <v>1</v>
      </c>
    </row>
    <row r="46" spans="2:39" x14ac:dyDescent="0.15">
      <c r="B46" s="17">
        <v>42</v>
      </c>
      <c r="C46" s="144">
        <f>'[1]功能-实力'!BF46</f>
        <v>1140696</v>
      </c>
      <c r="D46" s="144">
        <f>'[1]功能-实力'!BG46</f>
        <v>1186374</v>
      </c>
      <c r="E46" s="144">
        <f>'[1]功能-实力'!BH46</f>
        <v>1280298</v>
      </c>
      <c r="F46" s="144">
        <f>'[1]功能-实力'!BI46</f>
        <v>1489464</v>
      </c>
      <c r="G46" s="144">
        <f>'[1]功能-实力'!BJ46</f>
        <v>1618332</v>
      </c>
      <c r="Q46" s="17">
        <v>42</v>
      </c>
      <c r="R46" s="17">
        <f t="shared" si="7"/>
        <v>0</v>
      </c>
      <c r="S46" s="17">
        <f t="shared" si="8"/>
        <v>0</v>
      </c>
      <c r="T46" s="17">
        <f t="shared" si="9"/>
        <v>0</v>
      </c>
      <c r="U46" s="17">
        <f t="shared" si="10"/>
        <v>0</v>
      </c>
      <c r="V46" s="17">
        <f t="shared" si="11"/>
        <v>0</v>
      </c>
      <c r="W46" s="17">
        <f>求节点(武将天赋!$AB$19:$AB$25,武将天赋!$Y$7:$Y$13,求节点(武将天赋!$BI$6:$BI$9,武将天赋!$BL$6:$BL$9,R46))</f>
        <v>0.1</v>
      </c>
      <c r="X46" s="17">
        <f>求节点(武将天赋!$AB$19:$AB$25,武将天赋!$Y$7:$Y$13,求节点(武将天赋!$BI$6:$BI$9,武将天赋!$BL$6:$BL$9,S46))</f>
        <v>0.1</v>
      </c>
      <c r="Y46" s="17">
        <f>求节点(武将天赋!$AB$19:$AB$25,武将天赋!$Y$7:$Y$13,求节点(武将天赋!$BI$6:$BI$9,武将天赋!$BL$6:$BL$9,T46))</f>
        <v>0.1</v>
      </c>
      <c r="Z46" s="17">
        <f>求节点(武将天赋!$AB$19:$AB$25,武将天赋!$Y$7:$Y$13,求节点(武将天赋!$BI$6:$BI$9,武将天赋!$BL$6:$BL$9,U46))</f>
        <v>0.1</v>
      </c>
      <c r="AA46" s="17">
        <f>求节点(武将天赋!$AB$19:$AB$25,武将天赋!$Y$7:$Y$13,求节点(武将天赋!$BI$6:$BI$9,武将天赋!$BL$6:$BL$9,V46))</f>
        <v>0.1</v>
      </c>
    </row>
    <row r="47" spans="2:39" x14ac:dyDescent="0.15">
      <c r="B47" s="17">
        <v>43</v>
      </c>
      <c r="C47" s="144">
        <f>'[1]功能-实力'!BF47</f>
        <v>1188312</v>
      </c>
      <c r="D47" s="144">
        <f>'[1]功能-实力'!BG47</f>
        <v>1236078</v>
      </c>
      <c r="E47" s="144">
        <f>'[1]功能-实力'!BH47</f>
        <v>1333440</v>
      </c>
      <c r="F47" s="144">
        <f>'[1]功能-实力'!BI47</f>
        <v>1559238</v>
      </c>
      <c r="G47" s="144">
        <f>'[1]功能-实力'!BJ47</f>
        <v>1695978</v>
      </c>
      <c r="Q47" s="17">
        <v>43</v>
      </c>
      <c r="R47" s="17">
        <f t="shared" si="7"/>
        <v>0</v>
      </c>
      <c r="S47" s="17">
        <f t="shared" si="8"/>
        <v>0</v>
      </c>
      <c r="T47" s="17">
        <f t="shared" si="9"/>
        <v>0</v>
      </c>
      <c r="U47" s="17">
        <f t="shared" si="10"/>
        <v>0</v>
      </c>
      <c r="V47" s="17">
        <f t="shared" si="11"/>
        <v>0</v>
      </c>
      <c r="W47" s="17">
        <f>求节点(武将天赋!$AB$19:$AB$25,武将天赋!$Y$7:$Y$13,求节点(武将天赋!$BI$6:$BI$9,武将天赋!$BL$6:$BL$9,R47))</f>
        <v>0.1</v>
      </c>
      <c r="X47" s="17">
        <f>求节点(武将天赋!$AB$19:$AB$25,武将天赋!$Y$7:$Y$13,求节点(武将天赋!$BI$6:$BI$9,武将天赋!$BL$6:$BL$9,S47))</f>
        <v>0.1</v>
      </c>
      <c r="Y47" s="17">
        <f>求节点(武将天赋!$AB$19:$AB$25,武将天赋!$Y$7:$Y$13,求节点(武将天赋!$BI$6:$BI$9,武将天赋!$BL$6:$BL$9,T47))</f>
        <v>0.1</v>
      </c>
      <c r="Z47" s="17">
        <f>求节点(武将天赋!$AB$19:$AB$25,武将天赋!$Y$7:$Y$13,求节点(武将天赋!$BI$6:$BI$9,武将天赋!$BL$6:$BL$9,U47))</f>
        <v>0.1</v>
      </c>
      <c r="AA47" s="17">
        <f>求节点(武将天赋!$AB$19:$AB$25,武将天赋!$Y$7:$Y$13,求节点(武将天赋!$BI$6:$BI$9,武将天赋!$BL$6:$BL$9,V47))</f>
        <v>0.1</v>
      </c>
    </row>
    <row r="48" spans="2:39" x14ac:dyDescent="0.15">
      <c r="B48" s="17">
        <v>44</v>
      </c>
      <c r="C48" s="144">
        <f>'[1]功能-实力'!BF48</f>
        <v>1238298</v>
      </c>
      <c r="D48" s="144">
        <f>'[1]功能-实力'!BG48</f>
        <v>1287846</v>
      </c>
      <c r="E48" s="144">
        <f>'[1]功能-实力'!BH48</f>
        <v>1390134</v>
      </c>
      <c r="F48" s="144">
        <f>'[1]功能-实力'!BI48</f>
        <v>1633878</v>
      </c>
      <c r="G48" s="144">
        <f>'[1]功能-实力'!BJ48</f>
        <v>1774320</v>
      </c>
      <c r="Q48" s="17">
        <v>44</v>
      </c>
      <c r="R48" s="17">
        <f t="shared" si="7"/>
        <v>0</v>
      </c>
      <c r="S48" s="17">
        <f t="shared" si="8"/>
        <v>0</v>
      </c>
      <c r="T48" s="17">
        <f t="shared" si="9"/>
        <v>0</v>
      </c>
      <c r="U48" s="17">
        <f t="shared" si="10"/>
        <v>0</v>
      </c>
      <c r="V48" s="17">
        <f t="shared" si="11"/>
        <v>0</v>
      </c>
      <c r="W48" s="17">
        <f>求节点(武将天赋!$AB$19:$AB$25,武将天赋!$Y$7:$Y$13,求节点(武将天赋!$BI$6:$BI$9,武将天赋!$BL$6:$BL$9,R48))</f>
        <v>0.1</v>
      </c>
      <c r="X48" s="17">
        <f>求节点(武将天赋!$AB$19:$AB$25,武将天赋!$Y$7:$Y$13,求节点(武将天赋!$BI$6:$BI$9,武将天赋!$BL$6:$BL$9,S48))</f>
        <v>0.1</v>
      </c>
      <c r="Y48" s="17">
        <f>求节点(武将天赋!$AB$19:$AB$25,武将天赋!$Y$7:$Y$13,求节点(武将天赋!$BI$6:$BI$9,武将天赋!$BL$6:$BL$9,T48))</f>
        <v>0.1</v>
      </c>
      <c r="Z48" s="17">
        <f>求节点(武将天赋!$AB$19:$AB$25,武将天赋!$Y$7:$Y$13,求节点(武将天赋!$BI$6:$BI$9,武将天赋!$BL$6:$BL$9,U48))</f>
        <v>0.1</v>
      </c>
      <c r="AA48" s="17">
        <f>求节点(武将天赋!$AB$19:$AB$25,武将天赋!$Y$7:$Y$13,求节点(武将天赋!$BI$6:$BI$9,武将天赋!$BL$6:$BL$9,V48))</f>
        <v>0.1</v>
      </c>
    </row>
    <row r="49" spans="2:39" x14ac:dyDescent="0.15">
      <c r="B49" s="17">
        <v>45</v>
      </c>
      <c r="C49" s="144">
        <f>'[1]功能-实力'!BF49</f>
        <v>1289202</v>
      </c>
      <c r="D49" s="144">
        <f>'[1]功能-实力'!BG49</f>
        <v>1342668</v>
      </c>
      <c r="E49" s="144">
        <f>'[1]功能-实力'!BH49</f>
        <v>1451298</v>
      </c>
      <c r="F49" s="144">
        <f>'[1]功能-实力'!BI49</f>
        <v>1709832</v>
      </c>
      <c r="G49" s="144">
        <f>'[1]功能-实力'!BJ49</f>
        <v>1854648</v>
      </c>
      <c r="Q49" s="17">
        <v>45</v>
      </c>
      <c r="R49" s="17">
        <f t="shared" si="7"/>
        <v>0</v>
      </c>
      <c r="S49" s="17">
        <f t="shared" si="8"/>
        <v>0</v>
      </c>
      <c r="T49" s="17">
        <f t="shared" si="9"/>
        <v>0</v>
      </c>
      <c r="U49" s="17">
        <f t="shared" si="10"/>
        <v>0</v>
      </c>
      <c r="V49" s="17">
        <f t="shared" si="11"/>
        <v>0</v>
      </c>
      <c r="W49" s="17">
        <f>求节点(武将天赋!$AB$19:$AB$25,武将天赋!$Y$7:$Y$13,求节点(武将天赋!$BI$6:$BI$9,武将天赋!$BL$6:$BL$9,R49))</f>
        <v>0.1</v>
      </c>
      <c r="X49" s="17">
        <f>求节点(武将天赋!$AB$19:$AB$25,武将天赋!$Y$7:$Y$13,求节点(武将天赋!$BI$6:$BI$9,武将天赋!$BL$6:$BL$9,S49))</f>
        <v>0.1</v>
      </c>
      <c r="Y49" s="17">
        <f>求节点(武将天赋!$AB$19:$AB$25,武将天赋!$Y$7:$Y$13,求节点(武将天赋!$BI$6:$BI$9,武将天赋!$BL$6:$BL$9,T49))</f>
        <v>0.1</v>
      </c>
      <c r="Z49" s="17">
        <f>求节点(武将天赋!$AB$19:$AB$25,武将天赋!$Y$7:$Y$13,求节点(武将天赋!$BI$6:$BI$9,武将天赋!$BL$6:$BL$9,U49))</f>
        <v>0.1</v>
      </c>
      <c r="AA49" s="17">
        <f>求节点(武将天赋!$AB$19:$AB$25,武将天赋!$Y$7:$Y$13,求节点(武将天赋!$BI$6:$BI$9,武将天赋!$BL$6:$BL$9,V49))</f>
        <v>0.1</v>
      </c>
      <c r="AE49" s="155" t="s">
        <v>174</v>
      </c>
      <c r="AF49" s="155"/>
      <c r="AH49" s="17" t="s">
        <v>178</v>
      </c>
      <c r="AI49" s="17"/>
      <c r="AJ49" s="17"/>
      <c r="AK49" s="17"/>
      <c r="AL49" s="17"/>
    </row>
    <row r="50" spans="2:39" x14ac:dyDescent="0.15">
      <c r="B50" s="17">
        <v>46</v>
      </c>
      <c r="C50" s="144">
        <f>'[1]功能-实力'!BF50</f>
        <v>1342164</v>
      </c>
      <c r="D50" s="144">
        <f>'[1]功能-实力'!BG50</f>
        <v>1399230</v>
      </c>
      <c r="E50" s="144">
        <f>'[1]功能-实力'!BH50</f>
        <v>1516614</v>
      </c>
      <c r="F50" s="144">
        <f>'[1]功能-实力'!BI50</f>
        <v>1784754</v>
      </c>
      <c r="G50" s="144">
        <f>'[1]功能-实力'!BJ50</f>
        <v>1936656</v>
      </c>
      <c r="Q50" s="17">
        <v>46</v>
      </c>
      <c r="R50" s="17">
        <f t="shared" si="7"/>
        <v>0</v>
      </c>
      <c r="S50" s="17">
        <f t="shared" si="8"/>
        <v>0</v>
      </c>
      <c r="T50" s="17">
        <f t="shared" si="9"/>
        <v>0</v>
      </c>
      <c r="U50" s="17">
        <f t="shared" si="10"/>
        <v>0</v>
      </c>
      <c r="V50" s="17">
        <f t="shared" si="11"/>
        <v>0</v>
      </c>
      <c r="W50" s="17">
        <f>求节点(武将天赋!$AB$19:$AB$25,武将天赋!$Y$7:$Y$13,求节点(武将天赋!$BI$6:$BI$9,武将天赋!$BL$6:$BL$9,R50))</f>
        <v>0.1</v>
      </c>
      <c r="X50" s="17">
        <f>求节点(武将天赋!$AB$19:$AB$25,武将天赋!$Y$7:$Y$13,求节点(武将天赋!$BI$6:$BI$9,武将天赋!$BL$6:$BL$9,S50))</f>
        <v>0.1</v>
      </c>
      <c r="Y50" s="17">
        <f>求节点(武将天赋!$AB$19:$AB$25,武将天赋!$Y$7:$Y$13,求节点(武将天赋!$BI$6:$BI$9,武将天赋!$BL$6:$BL$9,T50))</f>
        <v>0.1</v>
      </c>
      <c r="Z50" s="17">
        <f>求节点(武将天赋!$AB$19:$AB$25,武将天赋!$Y$7:$Y$13,求节点(武将天赋!$BI$6:$BI$9,武将天赋!$BL$6:$BL$9,U50))</f>
        <v>0.1</v>
      </c>
      <c r="AA50" s="17">
        <f>求节点(武将天赋!$AB$19:$AB$25,武将天赋!$Y$7:$Y$13,求节点(武将天赋!$BI$6:$BI$9,武将天赋!$BL$6:$BL$9,V50))</f>
        <v>0.1</v>
      </c>
      <c r="AE50" s="155"/>
      <c r="AF50" s="155"/>
      <c r="AH50" s="155" t="s">
        <v>821</v>
      </c>
      <c r="AI50" s="155"/>
      <c r="AJ50" s="155"/>
      <c r="AK50" s="155"/>
      <c r="AL50" s="155"/>
    </row>
    <row r="51" spans="2:39" x14ac:dyDescent="0.15">
      <c r="B51" s="17">
        <v>47</v>
      </c>
      <c r="C51" s="144">
        <f>'[1]功能-实力'!BF51</f>
        <v>1396848</v>
      </c>
      <c r="D51" s="144">
        <f>'[1]功能-实力'!BG51</f>
        <v>1457616</v>
      </c>
      <c r="E51" s="144">
        <f>'[1]功能-实力'!BH51</f>
        <v>1581354</v>
      </c>
      <c r="F51" s="144">
        <f>'[1]功能-实力'!BI51</f>
        <v>1862010</v>
      </c>
      <c r="G51" s="144">
        <f>'[1]功能-实力'!BJ51</f>
        <v>2021106</v>
      </c>
      <c r="Q51" s="17">
        <v>47</v>
      </c>
      <c r="R51" s="17">
        <f t="shared" si="7"/>
        <v>0</v>
      </c>
      <c r="S51" s="17">
        <f t="shared" si="8"/>
        <v>0</v>
      </c>
      <c r="T51" s="17">
        <f t="shared" si="9"/>
        <v>0</v>
      </c>
      <c r="U51" s="17">
        <f t="shared" si="10"/>
        <v>0</v>
      </c>
      <c r="V51" s="17">
        <f t="shared" si="11"/>
        <v>0</v>
      </c>
      <c r="W51" s="17">
        <f>求节点(武将天赋!$AB$19:$AB$25,武将天赋!$Y$7:$Y$13,求节点(武将天赋!$BI$6:$BI$9,武将天赋!$BL$6:$BL$9,R51))</f>
        <v>0.1</v>
      </c>
      <c r="X51" s="17">
        <f>求节点(武将天赋!$AB$19:$AB$25,武将天赋!$Y$7:$Y$13,求节点(武将天赋!$BI$6:$BI$9,武将天赋!$BL$6:$BL$9,S51))</f>
        <v>0.1</v>
      </c>
      <c r="Y51" s="17">
        <f>求节点(武将天赋!$AB$19:$AB$25,武将天赋!$Y$7:$Y$13,求节点(武将天赋!$BI$6:$BI$9,武将天赋!$BL$6:$BL$9,T51))</f>
        <v>0.1</v>
      </c>
      <c r="Z51" s="17">
        <f>求节点(武将天赋!$AB$19:$AB$25,武将天赋!$Y$7:$Y$13,求节点(武将天赋!$BI$6:$BI$9,武将天赋!$BL$6:$BL$9,U51))</f>
        <v>0.1</v>
      </c>
      <c r="AA51" s="17">
        <f>求节点(武将天赋!$AB$19:$AB$25,武将天赋!$Y$7:$Y$13,求节点(武将天赋!$BI$6:$BI$9,武将天赋!$BL$6:$BL$9,V51))</f>
        <v>0.1</v>
      </c>
      <c r="AE51" s="56" t="s">
        <v>170</v>
      </c>
      <c r="AF51" s="56" t="s">
        <v>484</v>
      </c>
      <c r="AH51" s="56" t="s">
        <v>3</v>
      </c>
      <c r="AI51" s="56" t="s">
        <v>1</v>
      </c>
      <c r="AJ51" s="56" t="s">
        <v>2</v>
      </c>
      <c r="AK51" s="56" t="s">
        <v>0</v>
      </c>
      <c r="AL51" s="56" t="s">
        <v>545</v>
      </c>
    </row>
    <row r="52" spans="2:39" x14ac:dyDescent="0.15">
      <c r="B52" s="17">
        <v>48</v>
      </c>
      <c r="C52" s="144">
        <f>'[1]功能-实力'!BF52</f>
        <v>1453716</v>
      </c>
      <c r="D52" s="144">
        <f>'[1]功能-实力'!BG52</f>
        <v>1516644</v>
      </c>
      <c r="E52" s="144">
        <f>'[1]功能-实力'!BH52</f>
        <v>1647492</v>
      </c>
      <c r="F52" s="144">
        <f>'[1]功能-实力'!BI52</f>
        <v>1940562</v>
      </c>
      <c r="G52" s="144">
        <f>'[1]功能-实力'!BJ52</f>
        <v>2108280</v>
      </c>
      <c r="Q52" s="17">
        <v>48</v>
      </c>
      <c r="R52" s="17">
        <f t="shared" si="7"/>
        <v>0</v>
      </c>
      <c r="S52" s="17">
        <f t="shared" si="8"/>
        <v>0</v>
      </c>
      <c r="T52" s="17">
        <f t="shared" si="9"/>
        <v>0</v>
      </c>
      <c r="U52" s="17">
        <f t="shared" si="10"/>
        <v>0</v>
      </c>
      <c r="V52" s="17">
        <f t="shared" si="11"/>
        <v>0</v>
      </c>
      <c r="W52" s="17">
        <f>求节点(武将天赋!$AB$19:$AB$25,武将天赋!$Y$7:$Y$13,求节点(武将天赋!$BI$6:$BI$9,武将天赋!$BL$6:$BL$9,R52))</f>
        <v>0.1</v>
      </c>
      <c r="X52" s="17">
        <f>求节点(武将天赋!$AB$19:$AB$25,武将天赋!$Y$7:$Y$13,求节点(武将天赋!$BI$6:$BI$9,武将天赋!$BL$6:$BL$9,S52))</f>
        <v>0.1</v>
      </c>
      <c r="Y52" s="17">
        <f>求节点(武将天赋!$AB$19:$AB$25,武将天赋!$Y$7:$Y$13,求节点(武将天赋!$BI$6:$BI$9,武将天赋!$BL$6:$BL$9,T52))</f>
        <v>0.1</v>
      </c>
      <c r="Z52" s="17">
        <f>求节点(武将天赋!$AB$19:$AB$25,武将天赋!$Y$7:$Y$13,求节点(武将天赋!$BI$6:$BI$9,武将天赋!$BL$6:$BL$9,U52))</f>
        <v>0.1</v>
      </c>
      <c r="AA52" s="17">
        <f>求节点(武将天赋!$AB$19:$AB$25,武将天赋!$Y$7:$Y$13,求节点(武将天赋!$BI$6:$BI$9,武将天赋!$BL$6:$BL$9,V52))</f>
        <v>0.1</v>
      </c>
      <c r="AE52" s="56">
        <v>0.85</v>
      </c>
      <c r="AF52" s="56">
        <v>9.9592453074578113</v>
      </c>
      <c r="AH52" s="56"/>
      <c r="AI52" s="56"/>
      <c r="AJ52" s="56"/>
      <c r="AK52" s="56"/>
      <c r="AL52" s="56">
        <f>IFERROR(求节点(武将天赋!$AC$31:$AC$37,武将天赋!$Y$7:$Y$13,武将数量星级阶位验证!BM52/基础状态预期!J62),0)</f>
        <v>0</v>
      </c>
      <c r="AM52" s="17">
        <f>求节点(武将天赋进度验证!$Q$5:$Q$164,武将天赋进度验证!$X$5:$X$164,$AF52)</f>
        <v>0.1</v>
      </c>
    </row>
    <row r="53" spans="2:39" x14ac:dyDescent="0.15">
      <c r="B53" s="17">
        <v>49</v>
      </c>
      <c r="C53" s="144">
        <f>'[1]功能-实力'!BF53</f>
        <v>1512072</v>
      </c>
      <c r="D53" s="144">
        <f>'[1]功能-实力'!BG53</f>
        <v>1575648</v>
      </c>
      <c r="E53" s="144">
        <f>'[1]功能-实力'!BH53</f>
        <v>1714980</v>
      </c>
      <c r="F53" s="144">
        <f>'[1]功能-实力'!BI53</f>
        <v>2047788</v>
      </c>
      <c r="G53" s="144">
        <f>'[1]功能-实力'!BJ53</f>
        <v>2197350</v>
      </c>
      <c r="Q53" s="17">
        <v>49</v>
      </c>
      <c r="R53" s="17">
        <f t="shared" si="7"/>
        <v>0</v>
      </c>
      <c r="S53" s="17">
        <f t="shared" si="8"/>
        <v>0</v>
      </c>
      <c r="T53" s="17">
        <f t="shared" si="9"/>
        <v>0</v>
      </c>
      <c r="U53" s="17">
        <f t="shared" si="10"/>
        <v>0</v>
      </c>
      <c r="V53" s="17">
        <f t="shared" si="11"/>
        <v>0</v>
      </c>
      <c r="W53" s="17">
        <f>求节点(武将天赋!$AB$19:$AB$25,武将天赋!$Y$7:$Y$13,求节点(武将天赋!$BI$6:$BI$9,武将天赋!$BL$6:$BL$9,R53))</f>
        <v>0.1</v>
      </c>
      <c r="X53" s="17">
        <f>求节点(武将天赋!$AB$19:$AB$25,武将天赋!$Y$7:$Y$13,求节点(武将天赋!$BI$6:$BI$9,武将天赋!$BL$6:$BL$9,S53))</f>
        <v>0.1</v>
      </c>
      <c r="Y53" s="17">
        <f>求节点(武将天赋!$AB$19:$AB$25,武将天赋!$Y$7:$Y$13,求节点(武将天赋!$BI$6:$BI$9,武将天赋!$BL$6:$BL$9,T53))</f>
        <v>0.1</v>
      </c>
      <c r="Z53" s="17">
        <f>求节点(武将天赋!$AB$19:$AB$25,武将天赋!$Y$7:$Y$13,求节点(武将天赋!$BI$6:$BI$9,武将天赋!$BL$6:$BL$9,U53))</f>
        <v>0.1</v>
      </c>
      <c r="AA53" s="17">
        <f>求节点(武将天赋!$AB$19:$AB$25,武将天赋!$Y$7:$Y$13,求节点(武将天赋!$BI$6:$BI$9,武将天赋!$BL$6:$BL$9,V53))</f>
        <v>0.1</v>
      </c>
      <c r="AE53" s="56">
        <v>2.5499999999999998</v>
      </c>
      <c r="AF53" s="56">
        <v>19.766822802328868</v>
      </c>
      <c r="AH53" s="56"/>
      <c r="AI53" s="56"/>
      <c r="AJ53" s="56"/>
      <c r="AK53" s="56"/>
      <c r="AL53" s="56">
        <f>IFERROR(求节点(武将天赋!$AC$31:$AC$37,武将天赋!$Y$7:$Y$13,武将数量星级阶位验证!BM53/基础状态预期!J63),0)</f>
        <v>0</v>
      </c>
      <c r="AM53" s="17">
        <f>求节点(武将天赋进度验证!$Q$5:$Q$164,武将天赋进度验证!$X$5:$X$164,$AF53)</f>
        <v>0.1</v>
      </c>
    </row>
    <row r="54" spans="2:39" x14ac:dyDescent="0.15">
      <c r="B54" s="17">
        <v>50</v>
      </c>
      <c r="C54" s="144">
        <f>'[1]功能-实力'!BF54</f>
        <v>1572492</v>
      </c>
      <c r="D54" s="144">
        <f>'[1]功能-实力'!BG54</f>
        <v>1642182</v>
      </c>
      <c r="E54" s="144">
        <f>'[1]功能-实力'!BH54</f>
        <v>1827534</v>
      </c>
      <c r="F54" s="144">
        <f>'[1]功能-实力'!BI54</f>
        <v>2132826</v>
      </c>
      <c r="G54" s="144">
        <f>'[1]功能-实力'!BJ54</f>
        <v>2289162</v>
      </c>
      <c r="Q54" s="17">
        <v>50</v>
      </c>
      <c r="R54" s="17">
        <f t="shared" si="7"/>
        <v>0</v>
      </c>
      <c r="S54" s="17">
        <f t="shared" si="8"/>
        <v>0</v>
      </c>
      <c r="T54" s="17">
        <f t="shared" si="9"/>
        <v>0</v>
      </c>
      <c r="U54" s="17">
        <f t="shared" si="10"/>
        <v>0</v>
      </c>
      <c r="V54" s="17">
        <f t="shared" si="11"/>
        <v>0</v>
      </c>
      <c r="W54" s="17">
        <f>求节点(武将天赋!$AB$19:$AB$25,武将天赋!$Y$7:$Y$13,求节点(武将天赋!$BI$6:$BI$9,武将天赋!$BL$6:$BL$9,R54))</f>
        <v>0.1</v>
      </c>
      <c r="X54" s="17">
        <f>求节点(武将天赋!$AB$19:$AB$25,武将天赋!$Y$7:$Y$13,求节点(武将天赋!$BI$6:$BI$9,武将天赋!$BL$6:$BL$9,S54))</f>
        <v>0.1</v>
      </c>
      <c r="Y54" s="17">
        <f>求节点(武将天赋!$AB$19:$AB$25,武将天赋!$Y$7:$Y$13,求节点(武将天赋!$BI$6:$BI$9,武将天赋!$BL$6:$BL$9,T54))</f>
        <v>0.1</v>
      </c>
      <c r="Z54" s="17">
        <f>求节点(武将天赋!$AB$19:$AB$25,武将天赋!$Y$7:$Y$13,求节点(武将天赋!$BI$6:$BI$9,武将天赋!$BL$6:$BL$9,U54))</f>
        <v>0.1</v>
      </c>
      <c r="AA54" s="17">
        <f>求节点(武将天赋!$AB$19:$AB$25,武将天赋!$Y$7:$Y$13,求节点(武将天赋!$BI$6:$BI$9,武将天赋!$BL$6:$BL$9,V54))</f>
        <v>0.1</v>
      </c>
      <c r="AE54" s="56">
        <v>5.0999999999999996</v>
      </c>
      <c r="AF54" s="56">
        <v>27.773265580596355</v>
      </c>
      <c r="AH54" s="56"/>
      <c r="AI54" s="56"/>
      <c r="AJ54" s="56"/>
      <c r="AK54" s="56"/>
      <c r="AL54" s="56">
        <f>IFERROR(求节点(武将天赋!$AC$31:$AC$37,武将天赋!$Y$7:$Y$13,武将数量星级阶位验证!BM54/基础状态预期!J64),0)</f>
        <v>0</v>
      </c>
      <c r="AM54" s="17">
        <f>求节点(武将天赋进度验证!$Q$5:$Q$164,武将天赋进度验证!$X$5:$X$164,$AF54)</f>
        <v>0.1</v>
      </c>
    </row>
    <row r="55" spans="2:39" x14ac:dyDescent="0.15">
      <c r="B55" s="17">
        <v>51</v>
      </c>
      <c r="C55" s="144">
        <f>'[1]功能-实力'!BF55</f>
        <v>1657446</v>
      </c>
      <c r="D55" s="144">
        <f>'[1]功能-实力'!BG55</f>
        <v>1730064</v>
      </c>
      <c r="E55" s="144">
        <f>'[1]功能-实力'!BH55</f>
        <v>1975692</v>
      </c>
      <c r="F55" s="144">
        <f>'[1]功能-实力'!BI55</f>
        <v>2253024</v>
      </c>
      <c r="G55" s="144">
        <f>'[1]功能-实力'!BJ55</f>
        <v>2425980</v>
      </c>
      <c r="Q55" s="17">
        <v>51</v>
      </c>
      <c r="R55" s="17">
        <f t="shared" si="7"/>
        <v>0</v>
      </c>
      <c r="S55" s="17">
        <f t="shared" si="8"/>
        <v>0</v>
      </c>
      <c r="T55" s="17">
        <f t="shared" si="9"/>
        <v>0</v>
      </c>
      <c r="U55" s="17">
        <f t="shared" si="10"/>
        <v>0</v>
      </c>
      <c r="V55" s="17">
        <f t="shared" si="11"/>
        <v>0</v>
      </c>
      <c r="W55" s="17">
        <f>求节点(武将天赋!$AB$19:$AB$25,武将天赋!$Y$7:$Y$13,求节点(武将天赋!$BI$6:$BI$9,武将天赋!$BL$6:$BL$9,R55))</f>
        <v>0.1</v>
      </c>
      <c r="X55" s="17">
        <f>求节点(武将天赋!$AB$19:$AB$25,武将天赋!$Y$7:$Y$13,求节点(武将天赋!$BI$6:$BI$9,武将天赋!$BL$6:$BL$9,S55))</f>
        <v>0.1</v>
      </c>
      <c r="Y55" s="17">
        <f>求节点(武将天赋!$AB$19:$AB$25,武将天赋!$Y$7:$Y$13,求节点(武将天赋!$BI$6:$BI$9,武将天赋!$BL$6:$BL$9,T55))</f>
        <v>0.1</v>
      </c>
      <c r="Z55" s="17">
        <f>求节点(武将天赋!$AB$19:$AB$25,武将天赋!$Y$7:$Y$13,求节点(武将天赋!$BI$6:$BI$9,武将天赋!$BL$6:$BL$9,U55))</f>
        <v>0.1</v>
      </c>
      <c r="AA55" s="17">
        <f>求节点(武将天赋!$AB$19:$AB$25,武将天赋!$Y$7:$Y$13,求节点(武将天赋!$BI$6:$BI$9,武将天赋!$BL$6:$BL$9,V55))</f>
        <v>0.1</v>
      </c>
      <c r="AE55" s="56">
        <v>8.5</v>
      </c>
      <c r="AF55" s="56">
        <v>34.250806171891597</v>
      </c>
      <c r="AH55" s="56"/>
      <c r="AI55" s="56"/>
      <c r="AJ55" s="56"/>
      <c r="AK55" s="56"/>
      <c r="AL55" s="56">
        <f>IFERROR(求节点(武将天赋!$AC$31:$AC$37,武将天赋!$Y$7:$Y$13,武将数量星级阶位验证!BM55/基础状态预期!J65),0)</f>
        <v>0</v>
      </c>
      <c r="AM55" s="17">
        <f>求节点(武将天赋进度验证!$Q$5:$Q$164,武将天赋进度验证!$X$5:$X$164,$AF55)</f>
        <v>0.1</v>
      </c>
    </row>
    <row r="56" spans="2:39" x14ac:dyDescent="0.15">
      <c r="B56" s="17">
        <v>52</v>
      </c>
      <c r="C56" s="144">
        <f>'[1]功能-实力'!BF56</f>
        <v>1744656</v>
      </c>
      <c r="D56" s="144">
        <f>'[1]功能-实力'!BG56</f>
        <v>1823052</v>
      </c>
      <c r="E56" s="144">
        <f>'[1]功能-实力'!BH56</f>
        <v>2129112</v>
      </c>
      <c r="F56" s="144">
        <f>'[1]功能-实力'!BI56</f>
        <v>2377938</v>
      </c>
      <c r="G56" s="144">
        <f>'[1]功能-实力'!BJ56</f>
        <v>2568096</v>
      </c>
      <c r="Q56" s="17">
        <v>52</v>
      </c>
      <c r="R56" s="17">
        <f t="shared" si="7"/>
        <v>0</v>
      </c>
      <c r="S56" s="17">
        <f t="shared" si="8"/>
        <v>0</v>
      </c>
      <c r="T56" s="17">
        <f t="shared" si="9"/>
        <v>0</v>
      </c>
      <c r="U56" s="17">
        <f t="shared" si="10"/>
        <v>0</v>
      </c>
      <c r="V56" s="17">
        <f t="shared" si="11"/>
        <v>0</v>
      </c>
      <c r="W56" s="17">
        <f>求节点(武将天赋!$AB$19:$AB$25,武将天赋!$Y$7:$Y$13,求节点(武将天赋!$BI$6:$BI$9,武将天赋!$BL$6:$BL$9,R56))</f>
        <v>0.1</v>
      </c>
      <c r="X56" s="17">
        <f>求节点(武将天赋!$AB$19:$AB$25,武将天赋!$Y$7:$Y$13,求节点(武将天赋!$BI$6:$BI$9,武将天赋!$BL$6:$BL$9,S56))</f>
        <v>0.1</v>
      </c>
      <c r="Y56" s="17">
        <f>求节点(武将天赋!$AB$19:$AB$25,武将天赋!$Y$7:$Y$13,求节点(武将天赋!$BI$6:$BI$9,武将天赋!$BL$6:$BL$9,T56))</f>
        <v>0.1</v>
      </c>
      <c r="Z56" s="17">
        <f>求节点(武将天赋!$AB$19:$AB$25,武将天赋!$Y$7:$Y$13,求节点(武将天赋!$BI$6:$BI$9,武将天赋!$BL$6:$BL$9,U56))</f>
        <v>0.1</v>
      </c>
      <c r="AA56" s="17">
        <f>求节点(武将天赋!$AB$19:$AB$25,武将天赋!$Y$7:$Y$13,求节点(武将天赋!$BI$6:$BI$9,武将天赋!$BL$6:$BL$9,V56))</f>
        <v>0.1</v>
      </c>
      <c r="AE56" s="56">
        <v>12.75</v>
      </c>
      <c r="AF56" s="56">
        <v>39.661158518499626</v>
      </c>
      <c r="AH56" s="56"/>
      <c r="AI56" s="56"/>
      <c r="AJ56" s="56"/>
      <c r="AK56" s="56"/>
      <c r="AL56" s="56">
        <f>IFERROR(求节点(武将天赋!$AC$31:$AC$37,武将天赋!$Y$7:$Y$13,武将数量星级阶位验证!BM56/基础状态预期!J66),0)</f>
        <v>0</v>
      </c>
      <c r="AM56" s="17">
        <f>求节点(武将天赋进度验证!$Q$5:$Q$164,武将天赋进度验证!$X$5:$X$164,$AF56)</f>
        <v>0.1</v>
      </c>
    </row>
    <row r="57" spans="2:39" x14ac:dyDescent="0.15">
      <c r="B57" s="17">
        <v>53</v>
      </c>
      <c r="C57" s="144">
        <f>'[1]功能-实力'!BF57</f>
        <v>1835064</v>
      </c>
      <c r="D57" s="144">
        <f>'[1]功能-实力'!BG57</f>
        <v>1919556</v>
      </c>
      <c r="E57" s="144">
        <f>'[1]功能-实力'!BH57</f>
        <v>2288376</v>
      </c>
      <c r="F57" s="144">
        <f>'[1]功能-实力'!BI57</f>
        <v>2509338</v>
      </c>
      <c r="G57" s="144">
        <f>'[1]功能-实力'!BJ57</f>
        <v>2714076</v>
      </c>
      <c r="Q57" s="17">
        <v>53</v>
      </c>
      <c r="R57" s="17">
        <f t="shared" si="7"/>
        <v>0</v>
      </c>
      <c r="S57" s="17">
        <f t="shared" si="8"/>
        <v>0</v>
      </c>
      <c r="T57" s="17">
        <f t="shared" si="9"/>
        <v>0</v>
      </c>
      <c r="U57" s="17">
        <f t="shared" si="10"/>
        <v>0</v>
      </c>
      <c r="V57" s="17">
        <f t="shared" si="11"/>
        <v>0</v>
      </c>
      <c r="W57" s="17">
        <f>求节点(武将天赋!$AB$19:$AB$25,武将天赋!$Y$7:$Y$13,求节点(武将天赋!$BI$6:$BI$9,武将天赋!$BL$6:$BL$9,R57))</f>
        <v>0.1</v>
      </c>
      <c r="X57" s="17">
        <f>求节点(武将天赋!$AB$19:$AB$25,武将天赋!$Y$7:$Y$13,求节点(武将天赋!$BI$6:$BI$9,武将天赋!$BL$6:$BL$9,S57))</f>
        <v>0.1</v>
      </c>
      <c r="Y57" s="17">
        <f>求节点(武将天赋!$AB$19:$AB$25,武将天赋!$Y$7:$Y$13,求节点(武将天赋!$BI$6:$BI$9,武将天赋!$BL$6:$BL$9,T57))</f>
        <v>0.1</v>
      </c>
      <c r="Z57" s="17">
        <f>求节点(武将天赋!$AB$19:$AB$25,武将天赋!$Y$7:$Y$13,求节点(武将天赋!$BI$6:$BI$9,武将天赋!$BL$6:$BL$9,U57))</f>
        <v>0.1</v>
      </c>
      <c r="AA57" s="17">
        <f>求节点(武将天赋!$AB$19:$AB$25,武将天赋!$Y$7:$Y$13,求节点(武将天赋!$BI$6:$BI$9,武将天赋!$BL$6:$BL$9,V57))</f>
        <v>0.1</v>
      </c>
      <c r="AE57" s="56">
        <v>17</v>
      </c>
      <c r="AF57" s="56">
        <v>43.535389560453282</v>
      </c>
      <c r="AH57" s="56"/>
      <c r="AI57" s="56"/>
      <c r="AJ57" s="56"/>
      <c r="AK57" s="56"/>
      <c r="AL57" s="56">
        <f>IFERROR(求节点(武将天赋!$AC$31:$AC$37,武将天赋!$Y$7:$Y$13,武将数量星级阶位验证!BM57/基础状态预期!J67),0)</f>
        <v>0</v>
      </c>
      <c r="AM57" s="17">
        <f>求节点(武将天赋进度验证!$Q$5:$Q$164,武将天赋进度验证!$X$5:$X$164,$AF57)</f>
        <v>0.1</v>
      </c>
    </row>
    <row r="58" spans="2:39" x14ac:dyDescent="0.15">
      <c r="B58" s="17">
        <v>54</v>
      </c>
      <c r="C58" s="144">
        <f>'[1]功能-实力'!BF58</f>
        <v>1930578</v>
      </c>
      <c r="D58" s="144">
        <f>'[1]功能-实力'!BG58</f>
        <v>2023896</v>
      </c>
      <c r="E58" s="144">
        <f>'[1]功能-实力'!BH58</f>
        <v>2387496</v>
      </c>
      <c r="F58" s="144">
        <f>'[1]功能-实力'!BI58</f>
        <v>2655384</v>
      </c>
      <c r="G58" s="144">
        <f>'[1]功能-实力'!BJ58</f>
        <v>2863866</v>
      </c>
      <c r="Q58" s="17">
        <v>54</v>
      </c>
      <c r="R58" s="17">
        <f t="shared" si="7"/>
        <v>0</v>
      </c>
      <c r="S58" s="17">
        <f t="shared" si="8"/>
        <v>0</v>
      </c>
      <c r="T58" s="17">
        <f t="shared" si="9"/>
        <v>0</v>
      </c>
      <c r="U58" s="17">
        <f t="shared" si="10"/>
        <v>0</v>
      </c>
      <c r="V58" s="17">
        <f t="shared" si="11"/>
        <v>0</v>
      </c>
      <c r="W58" s="17">
        <f>求节点(武将天赋!$AB$19:$AB$25,武将天赋!$Y$7:$Y$13,求节点(武将天赋!$BI$6:$BI$9,武将天赋!$BL$6:$BL$9,R58))</f>
        <v>0.1</v>
      </c>
      <c r="X58" s="17">
        <f>求节点(武将天赋!$AB$19:$AB$25,武将天赋!$Y$7:$Y$13,求节点(武将天赋!$BI$6:$BI$9,武将天赋!$BL$6:$BL$9,S58))</f>
        <v>0.1</v>
      </c>
      <c r="Y58" s="17">
        <f>求节点(武将天赋!$AB$19:$AB$25,武将天赋!$Y$7:$Y$13,求节点(武将天赋!$BI$6:$BI$9,武将天赋!$BL$6:$BL$9,T58))</f>
        <v>0.1</v>
      </c>
      <c r="Z58" s="17">
        <f>求节点(武将天赋!$AB$19:$AB$25,武将天赋!$Y$7:$Y$13,求节点(武将天赋!$BI$6:$BI$9,武将天赋!$BL$6:$BL$9,U58))</f>
        <v>0.1</v>
      </c>
      <c r="AA58" s="17">
        <f>求节点(武将天赋!$AB$19:$AB$25,武将天赋!$Y$7:$Y$13,求节点(武将天赋!$BI$6:$BI$9,武将天赋!$BL$6:$BL$9,V58))</f>
        <v>0.1</v>
      </c>
      <c r="AE58" s="56">
        <v>25.5</v>
      </c>
      <c r="AF58" s="56">
        <v>49.178590903134719</v>
      </c>
      <c r="AH58" s="56"/>
      <c r="AI58" s="56"/>
      <c r="AJ58" s="56"/>
      <c r="AK58" s="56"/>
      <c r="AL58" s="56">
        <f>IFERROR(求节点(武将天赋!$AC$31:$AC$37,武将天赋!$Y$7:$Y$13,武将数量星级阶位验证!BM58/基础状态预期!J68),0)</f>
        <v>0</v>
      </c>
      <c r="AM58" s="17">
        <f>求节点(武将天赋进度验证!$Q$5:$Q$164,武将天赋进度验证!$X$5:$X$164,$AF58)</f>
        <v>0.1</v>
      </c>
    </row>
    <row r="59" spans="2:39" x14ac:dyDescent="0.15">
      <c r="B59" s="17">
        <v>55</v>
      </c>
      <c r="C59" s="144">
        <f>'[1]功能-实力'!BF59</f>
        <v>2032668</v>
      </c>
      <c r="D59" s="144">
        <f>'[1]功能-实力'!BG59</f>
        <v>2132664</v>
      </c>
      <c r="E59" s="144">
        <f>'[1]功能-实力'!BH59</f>
        <v>2474268</v>
      </c>
      <c r="F59" s="144">
        <f>'[1]功能-实力'!BI59</f>
        <v>2806188</v>
      </c>
      <c r="G59" s="144">
        <f>'[1]功能-实力'!BJ59</f>
        <v>3019692</v>
      </c>
      <c r="Q59" s="17">
        <v>55</v>
      </c>
      <c r="R59" s="17">
        <f t="shared" si="7"/>
        <v>0</v>
      </c>
      <c r="S59" s="17">
        <f t="shared" si="8"/>
        <v>0</v>
      </c>
      <c r="T59" s="17">
        <f t="shared" si="9"/>
        <v>0</v>
      </c>
      <c r="U59" s="17">
        <f t="shared" si="10"/>
        <v>0</v>
      </c>
      <c r="V59" s="17">
        <f t="shared" si="11"/>
        <v>0</v>
      </c>
      <c r="W59" s="17">
        <f>求节点(武将天赋!$AB$19:$AB$25,武将天赋!$Y$7:$Y$13,求节点(武将天赋!$BI$6:$BI$9,武将天赋!$BL$6:$BL$9,R59))</f>
        <v>0.1</v>
      </c>
      <c r="X59" s="17">
        <f>求节点(武将天赋!$AB$19:$AB$25,武将天赋!$Y$7:$Y$13,求节点(武将天赋!$BI$6:$BI$9,武将天赋!$BL$6:$BL$9,S59))</f>
        <v>0.1</v>
      </c>
      <c r="Y59" s="17">
        <f>求节点(武将天赋!$AB$19:$AB$25,武将天赋!$Y$7:$Y$13,求节点(武将天赋!$BI$6:$BI$9,武将天赋!$BL$6:$BL$9,T59))</f>
        <v>0.1</v>
      </c>
      <c r="Z59" s="17">
        <f>求节点(武将天赋!$AB$19:$AB$25,武将天赋!$Y$7:$Y$13,求节点(武将天赋!$BI$6:$BI$9,武将天赋!$BL$6:$BL$9,U59))</f>
        <v>0.1</v>
      </c>
      <c r="AA59" s="17">
        <f>求节点(武将天赋!$AB$19:$AB$25,武将天赋!$Y$7:$Y$13,求节点(武将天赋!$BI$6:$BI$9,武将天赋!$BL$6:$BL$9,V59))</f>
        <v>0.1</v>
      </c>
      <c r="AE59" s="56">
        <v>34</v>
      </c>
      <c r="AF59" s="56">
        <v>53.226994578658328</v>
      </c>
      <c r="AH59" s="56"/>
      <c r="AI59" s="56"/>
      <c r="AJ59" s="56"/>
      <c r="AK59" s="56"/>
      <c r="AL59" s="56">
        <f>IFERROR(求节点(武将天赋!$AC$31:$AC$37,武将天赋!$Y$7:$Y$13,武将数量星级阶位验证!BM59/基础状态预期!J69),0)</f>
        <v>5.4086384744604227E-3</v>
      </c>
      <c r="AM59" s="17">
        <f>求节点(武将天赋进度验证!$Q$5:$Q$164,武将天赋进度验证!$X$5:$X$164,$AF59)</f>
        <v>0.1</v>
      </c>
    </row>
    <row r="60" spans="2:39" x14ac:dyDescent="0.15">
      <c r="B60" s="17">
        <v>56</v>
      </c>
      <c r="C60" s="144">
        <f>'[1]功能-实力'!BF60</f>
        <v>2140152</v>
      </c>
      <c r="D60" s="144">
        <f>'[1]功能-实力'!BG60</f>
        <v>2244600</v>
      </c>
      <c r="E60" s="144">
        <f>'[1]功能-实力'!BH60</f>
        <v>2563104</v>
      </c>
      <c r="F60" s="144">
        <f>'[1]功能-实力'!BI60</f>
        <v>2962128</v>
      </c>
      <c r="G60" s="144">
        <f>'[1]功能-实力'!BJ60</f>
        <v>3180276</v>
      </c>
      <c r="Q60" s="17">
        <v>56</v>
      </c>
      <c r="R60" s="17">
        <f t="shared" si="7"/>
        <v>0</v>
      </c>
      <c r="S60" s="17">
        <f t="shared" si="8"/>
        <v>0</v>
      </c>
      <c r="T60" s="17">
        <f t="shared" si="9"/>
        <v>0</v>
      </c>
      <c r="U60" s="17">
        <f t="shared" si="10"/>
        <v>0</v>
      </c>
      <c r="V60" s="17">
        <f t="shared" si="11"/>
        <v>0</v>
      </c>
      <c r="W60" s="17">
        <f>求节点(武将天赋!$AB$19:$AB$25,武将天赋!$Y$7:$Y$13,求节点(武将天赋!$BI$6:$BI$9,武将天赋!$BL$6:$BL$9,R60))</f>
        <v>0.1</v>
      </c>
      <c r="X60" s="17">
        <f>求节点(武将天赋!$AB$19:$AB$25,武将天赋!$Y$7:$Y$13,求节点(武将天赋!$BI$6:$BI$9,武将天赋!$BL$6:$BL$9,S60))</f>
        <v>0.1</v>
      </c>
      <c r="Y60" s="17">
        <f>求节点(武将天赋!$AB$19:$AB$25,武将天赋!$Y$7:$Y$13,求节点(武将天赋!$BI$6:$BI$9,武将天赋!$BL$6:$BL$9,T60))</f>
        <v>0.1</v>
      </c>
      <c r="Z60" s="17">
        <f>求节点(武将天赋!$AB$19:$AB$25,武将天赋!$Y$7:$Y$13,求节点(武将天赋!$BI$6:$BI$9,武将天赋!$BL$6:$BL$9,U60))</f>
        <v>0.1</v>
      </c>
      <c r="AA60" s="17">
        <f>求节点(武将天赋!$AB$19:$AB$25,武将天赋!$Y$7:$Y$13,求节点(武将天赋!$BI$6:$BI$9,武将天赋!$BL$6:$BL$9,V60))</f>
        <v>0.1</v>
      </c>
      <c r="AE60" s="56">
        <v>51</v>
      </c>
      <c r="AF60" s="56">
        <v>59.016342740868758</v>
      </c>
      <c r="AH60" s="56"/>
      <c r="AI60" s="56"/>
      <c r="AJ60" s="56"/>
      <c r="AK60" s="56"/>
      <c r="AL60" s="56">
        <f>IFERROR(求节点(武将天赋!$AC$31:$AC$37,武将天赋!$Y$7:$Y$13,武将数量星级阶位验证!BM60/基础状态预期!J70),0)</f>
        <v>1.1443450841148825E-2</v>
      </c>
      <c r="AM60" s="17">
        <f>求节点(武将天赋进度验证!$Q$5:$Q$164,武将天赋进度验证!$X$5:$X$164,$AF60)</f>
        <v>0.1</v>
      </c>
    </row>
    <row r="61" spans="2:39" x14ac:dyDescent="0.15">
      <c r="B61" s="17">
        <v>57</v>
      </c>
      <c r="C61" s="144">
        <f>'[1]功能-实力'!BF61</f>
        <v>2251128</v>
      </c>
      <c r="D61" s="144">
        <f>'[1]功能-实力'!BG61</f>
        <v>2360580</v>
      </c>
      <c r="E61" s="144">
        <f>'[1]功能-实力'!BH61</f>
        <v>2654628</v>
      </c>
      <c r="F61" s="144">
        <f>'[1]功能-实力'!BI61</f>
        <v>3123636</v>
      </c>
      <c r="G61" s="144">
        <f>'[1]功能-实力'!BJ61</f>
        <v>3677058</v>
      </c>
      <c r="Q61" s="17">
        <v>57</v>
      </c>
      <c r="R61" s="17">
        <f t="shared" si="7"/>
        <v>0</v>
      </c>
      <c r="S61" s="17">
        <f t="shared" si="8"/>
        <v>0</v>
      </c>
      <c r="T61" s="17">
        <f t="shared" si="9"/>
        <v>0</v>
      </c>
      <c r="U61" s="17">
        <f t="shared" si="10"/>
        <v>0</v>
      </c>
      <c r="V61" s="17">
        <f t="shared" si="11"/>
        <v>0</v>
      </c>
      <c r="W61" s="17">
        <f>求节点(武将天赋!$AB$19:$AB$25,武将天赋!$Y$7:$Y$13,求节点(武将天赋!$BI$6:$BI$9,武将天赋!$BL$6:$BL$9,R61))</f>
        <v>0.1</v>
      </c>
      <c r="X61" s="17">
        <f>求节点(武将天赋!$AB$19:$AB$25,武将天赋!$Y$7:$Y$13,求节点(武将天赋!$BI$6:$BI$9,武将天赋!$BL$6:$BL$9,S61))</f>
        <v>0.1</v>
      </c>
      <c r="Y61" s="17">
        <f>求节点(武将天赋!$AB$19:$AB$25,武将天赋!$Y$7:$Y$13,求节点(武将天赋!$BI$6:$BI$9,武将天赋!$BL$6:$BL$9,T61))</f>
        <v>0.1</v>
      </c>
      <c r="Z61" s="17">
        <f>求节点(武将天赋!$AB$19:$AB$25,武将天赋!$Y$7:$Y$13,求节点(武将天赋!$BI$6:$BI$9,武将天赋!$BL$6:$BL$9,U61))</f>
        <v>0.1</v>
      </c>
      <c r="AA61" s="17">
        <f>求节点(武将天赋!$AB$19:$AB$25,武将天赋!$Y$7:$Y$13,求节点(武将天赋!$BI$6:$BI$9,武将天赋!$BL$6:$BL$9,V61))</f>
        <v>0.1</v>
      </c>
      <c r="AE61" s="56">
        <v>76.5</v>
      </c>
      <c r="AF61" s="56">
        <v>64.781009552500748</v>
      </c>
      <c r="AH61" s="56"/>
      <c r="AI61" s="56"/>
      <c r="AJ61" s="56"/>
      <c r="AK61" s="56"/>
      <c r="AL61" s="56">
        <f>IFERROR(求节点(武将天赋!$AC$31:$AC$37,武将天赋!$Y$7:$Y$13,武将数量星级阶位验证!BM61/基础状态预期!J71),0)</f>
        <v>2.4064130279686263E-2</v>
      </c>
      <c r="AM61" s="17">
        <f>求节点(武将天赋进度验证!$Q$5:$Q$164,武将天赋进度验证!$X$5:$X$164,$AF61)</f>
        <v>0.1</v>
      </c>
    </row>
    <row r="62" spans="2:39" x14ac:dyDescent="0.15">
      <c r="B62" s="17">
        <v>58</v>
      </c>
      <c r="C62" s="144">
        <f>'[1]功能-实力'!BF62</f>
        <v>2366166</v>
      </c>
      <c r="D62" s="144">
        <f>'[1]功能-实力'!BG62</f>
        <v>2479410</v>
      </c>
      <c r="E62" s="144">
        <f>'[1]功能-实力'!BH62</f>
        <v>2749380</v>
      </c>
      <c r="F62" s="144">
        <f>'[1]功能-实力'!BI62</f>
        <v>3292596</v>
      </c>
      <c r="G62" s="144">
        <f>'[1]功能-实力'!BJ62</f>
        <v>4019490</v>
      </c>
      <c r="Q62" s="17">
        <v>58</v>
      </c>
      <c r="R62" s="17">
        <f t="shared" si="7"/>
        <v>0</v>
      </c>
      <c r="S62" s="17">
        <f t="shared" si="8"/>
        <v>0</v>
      </c>
      <c r="T62" s="17">
        <f t="shared" si="9"/>
        <v>0</v>
      </c>
      <c r="U62" s="17">
        <f t="shared" si="10"/>
        <v>0</v>
      </c>
      <c r="V62" s="17">
        <f t="shared" si="11"/>
        <v>0</v>
      </c>
      <c r="W62" s="17">
        <f>求节点(武将天赋!$AB$19:$AB$25,武将天赋!$Y$7:$Y$13,求节点(武将天赋!$BI$6:$BI$9,武将天赋!$BL$6:$BL$9,R62))</f>
        <v>0.1</v>
      </c>
      <c r="X62" s="17">
        <f>求节点(武将天赋!$AB$19:$AB$25,武将天赋!$Y$7:$Y$13,求节点(武将天赋!$BI$6:$BI$9,武将天赋!$BL$6:$BL$9,S62))</f>
        <v>0.1</v>
      </c>
      <c r="Y62" s="17">
        <f>求节点(武将天赋!$AB$19:$AB$25,武将天赋!$Y$7:$Y$13,求节点(武将天赋!$BI$6:$BI$9,武将天赋!$BL$6:$BL$9,T62))</f>
        <v>0.1</v>
      </c>
      <c r="Z62" s="17">
        <f>求节点(武将天赋!$AB$19:$AB$25,武将天赋!$Y$7:$Y$13,求节点(武将天赋!$BI$6:$BI$9,武将天赋!$BL$6:$BL$9,U62))</f>
        <v>0.1</v>
      </c>
      <c r="AA62" s="17">
        <f>求节点(武将天赋!$AB$19:$AB$25,武将天赋!$Y$7:$Y$13,求节点(武将天赋!$BI$6:$BI$9,武将天赋!$BL$6:$BL$9,V62))</f>
        <v>0.1</v>
      </c>
      <c r="AE62" s="56">
        <v>102</v>
      </c>
      <c r="AF62" s="56">
        <v>68.923431594456531</v>
      </c>
      <c r="AH62" s="56"/>
      <c r="AI62" s="56"/>
      <c r="AJ62" s="56"/>
      <c r="AK62" s="56"/>
      <c r="AL62" s="56">
        <f>IFERROR(求节点(武将天赋!$AC$31:$AC$37,武将天赋!$Y$7:$Y$13,武将数量星级阶位验证!BM62/基础状态预期!J72),0)</f>
        <v>2.8481753461576748E-2</v>
      </c>
      <c r="AM62" s="17">
        <f>求节点(武将天赋进度验证!$Q$5:$Q$164,武将天赋进度验证!$X$5:$X$164,$AF62)</f>
        <v>0.28336555596292329</v>
      </c>
    </row>
    <row r="63" spans="2:39" x14ac:dyDescent="0.15">
      <c r="B63" s="17">
        <v>59</v>
      </c>
      <c r="C63" s="144">
        <f>'[1]功能-实力'!BF63</f>
        <v>2484480</v>
      </c>
      <c r="D63" s="144">
        <f>'[1]功能-实力'!BG63</f>
        <v>2602194</v>
      </c>
      <c r="E63" s="144">
        <f>'[1]功能-实力'!BH63</f>
        <v>2847624</v>
      </c>
      <c r="F63" s="144">
        <f>'[1]功能-实力'!BI63</f>
        <v>3833340</v>
      </c>
      <c r="G63" s="144">
        <f>'[1]功能-实力'!BJ63</f>
        <v>4279656</v>
      </c>
      <c r="Q63" s="17">
        <v>59</v>
      </c>
      <c r="R63" s="17">
        <f t="shared" si="7"/>
        <v>0</v>
      </c>
      <c r="S63" s="17">
        <f t="shared" si="8"/>
        <v>0</v>
      </c>
      <c r="T63" s="17">
        <f t="shared" si="9"/>
        <v>0</v>
      </c>
      <c r="U63" s="17">
        <f t="shared" si="10"/>
        <v>0</v>
      </c>
      <c r="V63" s="17">
        <f t="shared" si="11"/>
        <v>0</v>
      </c>
      <c r="W63" s="17">
        <f>求节点(武将天赋!$AB$19:$AB$25,武将天赋!$Y$7:$Y$13,求节点(武将天赋!$BI$6:$BI$9,武将天赋!$BL$6:$BL$9,R63))</f>
        <v>0.1</v>
      </c>
      <c r="X63" s="17">
        <f>求节点(武将天赋!$AB$19:$AB$25,武将天赋!$Y$7:$Y$13,求节点(武将天赋!$BI$6:$BI$9,武将天赋!$BL$6:$BL$9,S63))</f>
        <v>0.1</v>
      </c>
      <c r="Y63" s="17">
        <f>求节点(武将天赋!$AB$19:$AB$25,武将天赋!$Y$7:$Y$13,求节点(武将天赋!$BI$6:$BI$9,武将天赋!$BL$6:$BL$9,T63))</f>
        <v>0.1</v>
      </c>
      <c r="Z63" s="17">
        <f>求节点(武将天赋!$AB$19:$AB$25,武将天赋!$Y$7:$Y$13,求节点(武将天赋!$BI$6:$BI$9,武将天赋!$BL$6:$BL$9,U63))</f>
        <v>0.1</v>
      </c>
      <c r="AA63" s="17">
        <f>求节点(武将天赋!$AB$19:$AB$25,武将天赋!$Y$7:$Y$13,求节点(武将天赋!$BI$6:$BI$9,武将天赋!$BL$6:$BL$9,V63))</f>
        <v>0.1</v>
      </c>
      <c r="AE63" s="56">
        <v>127.5</v>
      </c>
      <c r="AF63" s="56">
        <v>72.103942950990486</v>
      </c>
      <c r="AH63" s="56"/>
      <c r="AI63" s="56"/>
      <c r="AJ63" s="56"/>
      <c r="AK63" s="56"/>
      <c r="AL63" s="56">
        <f>IFERROR(求节点(武将天赋!$AC$31:$AC$37,武将天赋!$Y$7:$Y$13,武将数量星级阶位验证!BM63/基础状态预期!J73),0)</f>
        <v>2.96558760219537E-2</v>
      </c>
      <c r="AM63" s="17">
        <f>求节点(武将天赋进度验证!$Q$5:$Q$164,武将天赋进度验证!$X$5:$X$164,$AF63)</f>
        <v>0.5</v>
      </c>
    </row>
    <row r="64" spans="2:39" x14ac:dyDescent="0.15">
      <c r="B64" s="17">
        <v>60</v>
      </c>
      <c r="C64" s="144">
        <f>'[1]功能-实力'!BF64</f>
        <v>2627670</v>
      </c>
      <c r="D64" s="144">
        <f>'[1]功能-实力'!BG64</f>
        <v>2783250</v>
      </c>
      <c r="E64" s="144">
        <f>'[1]功能-实力'!BH64</f>
        <v>3381930</v>
      </c>
      <c r="F64" s="144">
        <f>'[1]功能-实力'!BI64</f>
        <v>4215522</v>
      </c>
      <c r="G64" s="144">
        <f>'[1]功能-实力'!BJ64</f>
        <v>4740816</v>
      </c>
      <c r="Q64" s="17">
        <v>60</v>
      </c>
      <c r="R64" s="17">
        <f t="shared" si="7"/>
        <v>0</v>
      </c>
      <c r="S64" s="17">
        <f t="shared" si="8"/>
        <v>0</v>
      </c>
      <c r="T64" s="17">
        <f t="shared" si="9"/>
        <v>0</v>
      </c>
      <c r="U64" s="17">
        <f t="shared" si="10"/>
        <v>0</v>
      </c>
      <c r="V64" s="17">
        <f t="shared" si="11"/>
        <v>0</v>
      </c>
      <c r="W64" s="17">
        <f>求节点(武将天赋!$AB$19:$AB$25,武将天赋!$Y$7:$Y$13,求节点(武将天赋!$BI$6:$BI$9,武将天赋!$BL$6:$BL$9,R64))</f>
        <v>0.1</v>
      </c>
      <c r="X64" s="17">
        <f>求节点(武将天赋!$AB$19:$AB$25,武将天赋!$Y$7:$Y$13,求节点(武将天赋!$BI$6:$BI$9,武将天赋!$BL$6:$BL$9,S64))</f>
        <v>0.1</v>
      </c>
      <c r="Y64" s="17">
        <f>求节点(武将天赋!$AB$19:$AB$25,武将天赋!$Y$7:$Y$13,求节点(武将天赋!$BI$6:$BI$9,武将天赋!$BL$6:$BL$9,T64))</f>
        <v>0.1</v>
      </c>
      <c r="Z64" s="17">
        <f>求节点(武将天赋!$AB$19:$AB$25,武将天赋!$Y$7:$Y$13,求节点(武将天赋!$BI$6:$BI$9,武将天赋!$BL$6:$BL$9,U64))</f>
        <v>0.1</v>
      </c>
      <c r="AA64" s="17">
        <f>求节点(武将天赋!$AB$19:$AB$25,武将天赋!$Y$7:$Y$13,求节点(武将天赋!$BI$6:$BI$9,武将天赋!$BL$6:$BL$9,V64))</f>
        <v>0.1</v>
      </c>
      <c r="AE64" s="56">
        <v>153</v>
      </c>
      <c r="AF64" s="56">
        <v>74.74003809013405</v>
      </c>
      <c r="AH64" s="56"/>
      <c r="AI64" s="56"/>
      <c r="AJ64" s="56"/>
      <c r="AK64" s="56"/>
      <c r="AL64" s="56">
        <f>IFERROR(求节点(武将天赋!$AC$31:$AC$37,武将天赋!$Y$7:$Y$13,武将数量星级阶位验证!BM64/基础状态预期!J74),0)</f>
        <v>3.287601955667499E-2</v>
      </c>
      <c r="AM64" s="17">
        <f>求节点(武将天赋进度验证!$Q$5:$Q$164,武将天赋进度验证!$X$5:$X$164,$AF64)</f>
        <v>0.5</v>
      </c>
    </row>
    <row r="65" spans="2:39" x14ac:dyDescent="0.15">
      <c r="B65" s="17">
        <v>61</v>
      </c>
      <c r="C65" s="144">
        <f>'[1]功能-实力'!BF65</f>
        <v>2805408</v>
      </c>
      <c r="D65" s="144">
        <f>'[1]功能-实力'!BG65</f>
        <v>3006762</v>
      </c>
      <c r="E65" s="144">
        <f>'[1]功能-实力'!BH65</f>
        <v>3701694</v>
      </c>
      <c r="F65" s="144">
        <f>'[1]功能-实力'!BI65</f>
        <v>4602228</v>
      </c>
      <c r="G65" s="144">
        <f>'[1]功能-实力'!BJ65</f>
        <v>5147544</v>
      </c>
      <c r="Q65" s="17">
        <v>61</v>
      </c>
      <c r="R65" s="17">
        <f t="shared" si="7"/>
        <v>0</v>
      </c>
      <c r="S65" s="17">
        <f t="shared" si="8"/>
        <v>0</v>
      </c>
      <c r="T65" s="17">
        <f t="shared" si="9"/>
        <v>0</v>
      </c>
      <c r="U65" s="17">
        <f t="shared" si="10"/>
        <v>0</v>
      </c>
      <c r="V65" s="17">
        <f t="shared" si="11"/>
        <v>0</v>
      </c>
      <c r="W65" s="17">
        <f>求节点(武将天赋!$AB$19:$AB$25,武将天赋!$Y$7:$Y$13,求节点(武将天赋!$BI$6:$BI$9,武将天赋!$BL$6:$BL$9,R65))</f>
        <v>0.1</v>
      </c>
      <c r="X65" s="17">
        <f>求节点(武将天赋!$AB$19:$AB$25,武将天赋!$Y$7:$Y$13,求节点(武将天赋!$BI$6:$BI$9,武将天赋!$BL$6:$BL$9,S65))</f>
        <v>0.1</v>
      </c>
      <c r="Y65" s="17">
        <f>求节点(武将天赋!$AB$19:$AB$25,武将天赋!$Y$7:$Y$13,求节点(武将天赋!$BI$6:$BI$9,武将天赋!$BL$6:$BL$9,T65))</f>
        <v>0.1</v>
      </c>
      <c r="Z65" s="17">
        <f>求节点(武将天赋!$AB$19:$AB$25,武将天赋!$Y$7:$Y$13,求节点(武将天赋!$BI$6:$BI$9,武将天赋!$BL$6:$BL$9,U65))</f>
        <v>0.1</v>
      </c>
      <c r="AA65" s="17">
        <f>求节点(武将天赋!$AB$19:$AB$25,武将天赋!$Y$7:$Y$13,求节点(武将天赋!$BI$6:$BI$9,武将天赋!$BL$6:$BL$9,V65))</f>
        <v>0.1</v>
      </c>
      <c r="AE65" s="56">
        <v>187</v>
      </c>
      <c r="AF65" s="56">
        <v>77.609642525433856</v>
      </c>
      <c r="AH65" s="56"/>
      <c r="AI65" s="56"/>
      <c r="AJ65" s="56"/>
      <c r="AK65" s="56"/>
      <c r="AL65" s="56">
        <f>IFERROR(求节点(武将天赋!$AC$31:$AC$37,武将天赋!$Y$7:$Y$13,武将数量星级阶位验证!BM65/基础状态预期!J75),0)</f>
        <v>3.7316063663817664E-2</v>
      </c>
      <c r="AM65" s="17">
        <f>求节点(武将天赋进度验证!$Q$5:$Q$164,武将天赋进度验证!$X$5:$X$164,$AF65)</f>
        <v>0.5</v>
      </c>
    </row>
    <row r="66" spans="2:39" x14ac:dyDescent="0.15">
      <c r="B66" s="17">
        <v>62</v>
      </c>
      <c r="C66" s="144">
        <f>'[1]功能-实力'!BF66</f>
        <v>2993460</v>
      </c>
      <c r="D66" s="144">
        <f>'[1]功能-实力'!BG66</f>
        <v>3467118</v>
      </c>
      <c r="E66" s="144">
        <f>'[1]功能-实力'!BH66</f>
        <v>4042200</v>
      </c>
      <c r="F66" s="144">
        <f>'[1]功能-实力'!BI66</f>
        <v>5012946</v>
      </c>
      <c r="G66" s="144">
        <f>'[1]功能-实力'!BJ66</f>
        <v>5579226</v>
      </c>
      <c r="Q66" s="17">
        <v>62</v>
      </c>
      <c r="R66" s="17">
        <f t="shared" si="7"/>
        <v>0</v>
      </c>
      <c r="S66" s="17">
        <f t="shared" si="8"/>
        <v>0</v>
      </c>
      <c r="T66" s="17">
        <f t="shared" si="9"/>
        <v>0</v>
      </c>
      <c r="U66" s="17">
        <f t="shared" si="10"/>
        <v>0</v>
      </c>
      <c r="V66" s="17">
        <f t="shared" si="11"/>
        <v>0</v>
      </c>
      <c r="W66" s="17">
        <f>求节点(武将天赋!$AB$19:$AB$25,武将天赋!$Y$7:$Y$13,求节点(武将天赋!$BI$6:$BI$9,武将天赋!$BL$6:$BL$9,R66))</f>
        <v>0.1</v>
      </c>
      <c r="X66" s="17">
        <f>求节点(武将天赋!$AB$19:$AB$25,武将天赋!$Y$7:$Y$13,求节点(武将天赋!$BI$6:$BI$9,武将天赋!$BL$6:$BL$9,S66))</f>
        <v>0.1</v>
      </c>
      <c r="Y66" s="17">
        <f>求节点(武将天赋!$AB$19:$AB$25,武将天赋!$Y$7:$Y$13,求节点(武将天赋!$BI$6:$BI$9,武将天赋!$BL$6:$BL$9,T66))</f>
        <v>0.1</v>
      </c>
      <c r="Z66" s="17">
        <f>求节点(武将天赋!$AB$19:$AB$25,武将天赋!$Y$7:$Y$13,求节点(武将天赋!$BI$6:$BI$9,武将天赋!$BL$6:$BL$9,U66))</f>
        <v>0.1</v>
      </c>
      <c r="AA66" s="17">
        <f>求节点(武将天赋!$AB$19:$AB$25,武将天赋!$Y$7:$Y$13,求节点(武将天赋!$BI$6:$BI$9,武将天赋!$BL$6:$BL$9,V66))</f>
        <v>0.1</v>
      </c>
      <c r="AE66" s="56">
        <v>221</v>
      </c>
      <c r="AF66" s="56">
        <v>79.994335665275713</v>
      </c>
      <c r="AH66" s="56"/>
      <c r="AI66" s="56"/>
      <c r="AJ66" s="56"/>
      <c r="AK66" s="56"/>
      <c r="AL66" s="56">
        <f>IFERROR(求节点(武将天赋!$AC$31:$AC$37,武将天赋!$Y$7:$Y$13,武将数量星级阶位验证!BM66/基础状态预期!J76),0)</f>
        <v>4.3574727750847926E-2</v>
      </c>
      <c r="AM66" s="17">
        <f>求节点(武将天赋进度验证!$Q$5:$Q$164,武将天赋进度验证!$X$5:$X$164,$AF66)</f>
        <v>0.71998895673036345</v>
      </c>
    </row>
    <row r="67" spans="2:39" x14ac:dyDescent="0.15">
      <c r="B67" s="17">
        <v>63</v>
      </c>
      <c r="C67" s="144">
        <f>'[1]功能-实力'!BF67</f>
        <v>3534324</v>
      </c>
      <c r="D67" s="144">
        <f>'[1]功能-实力'!BG67</f>
        <v>3894132</v>
      </c>
      <c r="E67" s="144">
        <f>'[1]功能-实力'!BH67</f>
        <v>4403154</v>
      </c>
      <c r="F67" s="144">
        <f>'[1]功能-实力'!BI67</f>
        <v>5449938</v>
      </c>
      <c r="G67" s="144">
        <f>'[1]功能-实力'!BJ67</f>
        <v>6034878</v>
      </c>
      <c r="Q67" s="17">
        <v>63</v>
      </c>
      <c r="R67" s="17">
        <f t="shared" si="7"/>
        <v>0</v>
      </c>
      <c r="S67" s="17">
        <f t="shared" si="8"/>
        <v>0</v>
      </c>
      <c r="T67" s="17">
        <f t="shared" si="9"/>
        <v>0</v>
      </c>
      <c r="U67" s="17">
        <f t="shared" si="10"/>
        <v>0</v>
      </c>
      <c r="V67" s="17">
        <f t="shared" si="11"/>
        <v>1.0904923816919354</v>
      </c>
      <c r="W67" s="17">
        <f>求节点(武将天赋!$AB$19:$AB$25,武将天赋!$Y$7:$Y$13,求节点(武将天赋!$BI$6:$BI$9,武将天赋!$BL$6:$BL$9,R67))</f>
        <v>0.1</v>
      </c>
      <c r="X67" s="17">
        <f>求节点(武将天赋!$AB$19:$AB$25,武将天赋!$Y$7:$Y$13,求节点(武将天赋!$BI$6:$BI$9,武将天赋!$BL$6:$BL$9,S67))</f>
        <v>0.1</v>
      </c>
      <c r="Y67" s="17">
        <f>求节点(武将天赋!$AB$19:$AB$25,武将天赋!$Y$7:$Y$13,求节点(武将天赋!$BI$6:$BI$9,武将天赋!$BL$6:$BL$9,T67))</f>
        <v>0.1</v>
      </c>
      <c r="Z67" s="17">
        <f>求节点(武将天赋!$AB$19:$AB$25,武将天赋!$Y$7:$Y$13,求节点(武将天赋!$BI$6:$BI$9,武将天赋!$BL$6:$BL$9,U67))</f>
        <v>0.1</v>
      </c>
      <c r="AA67" s="17">
        <f>求节点(武将天赋!$AB$19:$AB$25,武将天赋!$Y$7:$Y$13,求节点(武将天赋!$BI$6:$BI$9,武将天赋!$BL$6:$BL$9,V67))</f>
        <v>0.28174873028198921</v>
      </c>
      <c r="AE67" s="56">
        <v>255</v>
      </c>
      <c r="AF67" s="56">
        <v>82.100546804797787</v>
      </c>
      <c r="AH67" s="56"/>
      <c r="AI67" s="56"/>
      <c r="AJ67" s="56"/>
      <c r="AK67" s="56"/>
      <c r="AL67" s="56">
        <f>IFERROR(求节点(武将天赋!$AC$31:$AC$37,武将天赋!$Y$7:$Y$13,武将数量星级阶位验证!BM67/基础状态预期!J77),0)</f>
        <v>4.9948297356360138E-2</v>
      </c>
      <c r="AM67" s="17">
        <f>求节点(武将天赋进度验证!$Q$5:$Q$164,武将天赋进度验证!$X$5:$X$164,$AF67)</f>
        <v>0.77708789883357776</v>
      </c>
    </row>
    <row r="68" spans="2:39" x14ac:dyDescent="0.15">
      <c r="B68" s="17">
        <v>64</v>
      </c>
      <c r="C68" s="144">
        <f>'[1]功能-实力'!BF68</f>
        <v>3805836</v>
      </c>
      <c r="D68" s="144">
        <f>'[1]功能-实力'!BG68</f>
        <v>4225758</v>
      </c>
      <c r="E68" s="144">
        <f>'[1]功能-实力'!BH68</f>
        <v>4788342</v>
      </c>
      <c r="F68" s="144">
        <f>'[1]功能-实力'!BI68</f>
        <v>5913024</v>
      </c>
      <c r="G68" s="144">
        <f>'[1]功能-实力'!BJ68</f>
        <v>6512496</v>
      </c>
      <c r="Q68" s="17">
        <v>64</v>
      </c>
      <c r="R68" s="17">
        <f t="shared" si="7"/>
        <v>0</v>
      </c>
      <c r="S68" s="17">
        <f t="shared" si="8"/>
        <v>0</v>
      </c>
      <c r="T68" s="17">
        <f t="shared" si="9"/>
        <v>0</v>
      </c>
      <c r="U68" s="17">
        <f t="shared" si="10"/>
        <v>1.0649736255506719</v>
      </c>
      <c r="V68" s="17">
        <f t="shared" si="11"/>
        <v>1.1905155017427995</v>
      </c>
      <c r="W68" s="17">
        <f>求节点(武将天赋!$AB$19:$AB$25,武将天赋!$Y$7:$Y$13,求节点(武将天赋!$BI$6:$BI$9,武将天赋!$BL$6:$BL$9,R68))</f>
        <v>0.1</v>
      </c>
      <c r="X68" s="17">
        <f>求节点(武将天赋!$AB$19:$AB$25,武将天赋!$Y$7:$Y$13,求节点(武将天赋!$BI$6:$BI$9,武将天赋!$BL$6:$BL$9,S68))</f>
        <v>0.1</v>
      </c>
      <c r="Y68" s="17">
        <f>求节点(武将天赋!$AB$19:$AB$25,武将天赋!$Y$7:$Y$13,求节点(武将天赋!$BI$6:$BI$9,武将天赋!$BL$6:$BL$9,T68))</f>
        <v>0.1</v>
      </c>
      <c r="Z68" s="17">
        <f>求节点(武将天赋!$AB$19:$AB$25,武将天赋!$Y$7:$Y$13,求节点(武将天赋!$BI$6:$BI$9,武将天赋!$BL$6:$BL$9,U68))</f>
        <v>0.27749560425844533</v>
      </c>
      <c r="AA68" s="17">
        <f>求节点(武将天赋!$AB$19:$AB$25,武将天赋!$Y$7:$Y$13,求节点(武将天赋!$BI$6:$BI$9,武将天赋!$BL$6:$BL$9,V68))</f>
        <v>0.29841925029046656</v>
      </c>
      <c r="AE68" s="56">
        <v>289</v>
      </c>
      <c r="AF68" s="56">
        <v>83.885420957389968</v>
      </c>
      <c r="AH68" s="56"/>
      <c r="AI68" s="56"/>
      <c r="AJ68" s="56"/>
      <c r="AK68" s="56"/>
      <c r="AL68" s="56">
        <f>IFERROR(求节点(武将天赋!$AC$31:$AC$37,武将天赋!$Y$7:$Y$13,武将数量星级阶位验证!BM68/基础状态预期!J78),0)</f>
        <v>5.600150496289099E-2</v>
      </c>
      <c r="AM68" s="17">
        <f>求节点(武将天赋进度验证!$Q$5:$Q$164,武将天赋进度验证!$X$5:$X$164,$AF68)</f>
        <v>0.82421270069321539</v>
      </c>
    </row>
    <row r="69" spans="2:39" x14ac:dyDescent="0.15">
      <c r="B69" s="17">
        <v>65</v>
      </c>
      <c r="C69" s="144">
        <f>'[1]功能-实力'!BF69</f>
        <v>4092432</v>
      </c>
      <c r="D69" s="144">
        <f>'[1]功能-实力'!BG69</f>
        <v>4580088</v>
      </c>
      <c r="E69" s="144">
        <f>'[1]功能-实力'!BH69</f>
        <v>5201664</v>
      </c>
      <c r="F69" s="144">
        <f>'[1]功能-实力'!BI69</f>
        <v>6396246</v>
      </c>
      <c r="G69" s="144">
        <f>'[1]功能-实力'!BJ69</f>
        <v>7004832</v>
      </c>
      <c r="Q69" s="17">
        <v>65</v>
      </c>
      <c r="R69" s="17">
        <f t="shared" ref="R69:R100" si="12">IF(求节点($L$5:$L$8,$J$5:$J$8,C69)&lt;1,0,求节点($L$5:$L$8,$J$5:$J$8,C69))</f>
        <v>0</v>
      </c>
      <c r="S69" s="17">
        <f t="shared" ref="S69:S100" si="13">IF(求节点($L$5:$L$8,$J$5:$J$8,D69)&lt;1,0,求节点($L$5:$L$8,$J$5:$J$8,D69))</f>
        <v>0</v>
      </c>
      <c r="T69" s="17">
        <f t="shared" ref="T69:T100" si="14">IF(求节点($L$5:$L$8,$J$5:$J$8,E69)&lt;1,0,求节点($L$5:$L$8,$J$5:$J$8,E69))</f>
        <v>0</v>
      </c>
      <c r="U69" s="17">
        <f t="shared" ref="U69:U100" si="15">IF(求节点($L$5:$L$8,$J$5:$J$8,F69)&lt;1,0,求节点($L$5:$L$8,$J$5:$J$8,F69))</f>
        <v>1.1661703394877905</v>
      </c>
      <c r="V69" s="17">
        <f t="shared" ref="V69:V100" si="16">IF(求节点($L$5:$L$8,$J$5:$J$8,G69)&lt;1,0,求节点($L$5:$L$8,$J$5:$J$8,G69))</f>
        <v>1.2936208764007107</v>
      </c>
      <c r="W69" s="17">
        <f>求节点(武将天赋!$AB$19:$AB$25,武将天赋!$Y$7:$Y$13,求节点(武将天赋!$BI$6:$BI$9,武将天赋!$BL$6:$BL$9,R69))</f>
        <v>0.1</v>
      </c>
      <c r="X69" s="17">
        <f>求节点(武将天赋!$AB$19:$AB$25,武将天赋!$Y$7:$Y$13,求节点(武将天赋!$BI$6:$BI$9,武将天赋!$BL$6:$BL$9,S69))</f>
        <v>0.1</v>
      </c>
      <c r="Y69" s="17">
        <f>求节点(武将天赋!$AB$19:$AB$25,武将天赋!$Y$7:$Y$13,求节点(武将天赋!$BI$6:$BI$9,武将天赋!$BL$6:$BL$9,T69))</f>
        <v>0.1</v>
      </c>
      <c r="Z69" s="17">
        <f>求节点(武将天赋!$AB$19:$AB$25,武将天赋!$Y$7:$Y$13,求节点(武将天赋!$BI$6:$BI$9,武将天赋!$BL$6:$BL$9,U69))</f>
        <v>0.29436172324796506</v>
      </c>
      <c r="AA69" s="17">
        <f>求节点(武将天赋!$AB$19:$AB$25,武将天赋!$Y$7:$Y$13,求节点(武将天赋!$BI$6:$BI$9,武将天赋!$BL$6:$BL$9,V69))</f>
        <v>0.5</v>
      </c>
      <c r="AE69" s="56">
        <v>340</v>
      </c>
      <c r="AF69" s="56">
        <v>86.247032860782397</v>
      </c>
      <c r="AH69" s="56"/>
      <c r="AI69" s="56"/>
      <c r="AJ69" s="56"/>
      <c r="AK69" s="56"/>
      <c r="AL69" s="56">
        <f>IFERROR(求节点(武将天赋!$AC$31:$AC$37,武将天赋!$Y$7:$Y$13,武将数量星级阶位验证!BM69/基础状态预期!J79),0)</f>
        <v>6.5039137836594263E-2</v>
      </c>
      <c r="AM69" s="17">
        <f>求节点(武将天赋进度验证!$Q$5:$Q$164,武将天赋进度验证!$X$5:$X$164,$AF69)</f>
        <v>0.89374163650660121</v>
      </c>
    </row>
    <row r="70" spans="2:39" x14ac:dyDescent="0.15">
      <c r="B70" s="17">
        <v>66</v>
      </c>
      <c r="C70" s="144">
        <f>'[1]功能-实力'!BF70</f>
        <v>4369608</v>
      </c>
      <c r="D70" s="144">
        <f>'[1]功能-实力'!BG70</f>
        <v>4935402</v>
      </c>
      <c r="E70" s="144">
        <f>'[1]功能-实力'!BH70</f>
        <v>5628414</v>
      </c>
      <c r="F70" s="144">
        <f>'[1]功能-实力'!BI70</f>
        <v>6888342</v>
      </c>
      <c r="G70" s="144">
        <f>'[1]功能-实力'!BJ70</f>
        <v>7527522</v>
      </c>
      <c r="Q70" s="17">
        <v>66</v>
      </c>
      <c r="R70" s="17">
        <f t="shared" si="12"/>
        <v>0</v>
      </c>
      <c r="S70" s="17">
        <f t="shared" si="13"/>
        <v>0</v>
      </c>
      <c r="T70" s="17">
        <f t="shared" si="14"/>
        <v>1.0053703857278922</v>
      </c>
      <c r="U70" s="17">
        <f t="shared" si="15"/>
        <v>1.2692254531655622</v>
      </c>
      <c r="V70" s="17">
        <f t="shared" si="16"/>
        <v>1.4030830085217492</v>
      </c>
      <c r="W70" s="17">
        <f>求节点(武将天赋!$AB$19:$AB$25,武将天赋!$Y$7:$Y$13,求节点(武将天赋!$BI$6:$BI$9,武将天赋!$BL$6:$BL$9,R70))</f>
        <v>0.1</v>
      </c>
      <c r="X70" s="17">
        <f>求节点(武将天赋!$AB$19:$AB$25,武将天赋!$Y$7:$Y$13,求节点(武将天赋!$BI$6:$BI$9,武将天赋!$BL$6:$BL$9,S70))</f>
        <v>0.1</v>
      </c>
      <c r="Y70" s="17">
        <f>求节点(武将天赋!$AB$19:$AB$25,武将天赋!$Y$7:$Y$13,求节点(武将天赋!$BI$6:$BI$9,武将天赋!$BL$6:$BL$9,T70))</f>
        <v>0.26756173095464869</v>
      </c>
      <c r="Z70" s="17">
        <f>求节点(武将天赋!$AB$19:$AB$25,武将天赋!$Y$7:$Y$13,求节点(武将天赋!$BI$6:$BI$9,武将天赋!$BL$6:$BL$9,U70))</f>
        <v>0.5</v>
      </c>
      <c r="AA70" s="17">
        <f>求节点(武将天赋!$AB$19:$AB$25,武将天赋!$Y$7:$Y$13,求节点(武将天赋!$BI$6:$BI$9,武将天赋!$BL$6:$BL$9,V70))</f>
        <v>0.5</v>
      </c>
      <c r="AE70" s="56">
        <v>442</v>
      </c>
      <c r="AF70" s="56">
        <v>90.122782504866933</v>
      </c>
      <c r="AH70" s="56"/>
      <c r="AI70" s="56"/>
      <c r="AJ70" s="56"/>
      <c r="AK70" s="56"/>
      <c r="AL70" s="56">
        <f>IFERROR(求节点(武将天赋!$AC$31:$AC$37,武将天赋!$Y$7:$Y$13,武将数量星级阶位验证!BM70/基础状态预期!J80),0)</f>
        <v>8.1176994069607822E-2</v>
      </c>
      <c r="AM70" s="17">
        <f>求节点(武将天赋进度验证!$Q$5:$Q$164,武将天赋进度验证!$X$5:$X$164,$AF70)</f>
        <v>0.99185277982606557</v>
      </c>
    </row>
    <row r="71" spans="2:39" x14ac:dyDescent="0.15">
      <c r="B71" s="17">
        <v>67</v>
      </c>
      <c r="C71" s="144">
        <f>'[1]功能-实力'!BF71</f>
        <v>4657770</v>
      </c>
      <c r="D71" s="144">
        <f>'[1]功能-实力'!BG71</f>
        <v>5309232</v>
      </c>
      <c r="E71" s="144">
        <f>'[1]功能-实力'!BH71</f>
        <v>6071502</v>
      </c>
      <c r="F71" s="144">
        <f>'[1]功能-实力'!BI71</f>
        <v>7413366</v>
      </c>
      <c r="G71" s="144">
        <f>'[1]功能-实力'!BJ71</f>
        <v>8088714</v>
      </c>
      <c r="Q71" s="17">
        <v>67</v>
      </c>
      <c r="R71" s="17">
        <f t="shared" si="12"/>
        <v>0</v>
      </c>
      <c r="S71" s="17">
        <f t="shared" si="13"/>
        <v>0</v>
      </c>
      <c r="T71" s="17">
        <f t="shared" si="14"/>
        <v>1.0981622072612038</v>
      </c>
      <c r="U71" s="17">
        <f t="shared" si="15"/>
        <v>1.3791763733184561</v>
      </c>
      <c r="V71" s="17">
        <f t="shared" si="16"/>
        <v>1.5206082583816467</v>
      </c>
      <c r="W71" s="17">
        <f>求节点(武将天赋!$AB$19:$AB$25,武将天赋!$Y$7:$Y$13,求节点(武将天赋!$BI$6:$BI$9,武将天赋!$BL$6:$BL$9,R71))</f>
        <v>0.1</v>
      </c>
      <c r="X71" s="17">
        <f>求节点(武将天赋!$AB$19:$AB$25,武将天赋!$Y$7:$Y$13,求节点(武将天赋!$BI$6:$BI$9,武将天赋!$BL$6:$BL$9,S71))</f>
        <v>0.1</v>
      </c>
      <c r="Y71" s="17">
        <f>求节点(武将天赋!$AB$19:$AB$25,武将天赋!$Y$7:$Y$13,求节点(武将天赋!$BI$6:$BI$9,武将天赋!$BL$6:$BL$9,T71))</f>
        <v>0.28302703454353395</v>
      </c>
      <c r="Z71" s="17">
        <f>求节点(武将天赋!$AB$19:$AB$25,武将天赋!$Y$7:$Y$13,求节点(武将天赋!$BI$6:$BI$9,武将天赋!$BL$6:$BL$9,U71))</f>
        <v>0.5</v>
      </c>
      <c r="AA71" s="17">
        <f>求节点(武将天赋!$AB$19:$AB$25,武将天赋!$Y$7:$Y$13,求节点(武将天赋!$BI$6:$BI$9,武将天赋!$BL$6:$BL$9,V71))</f>
        <v>0.5</v>
      </c>
      <c r="AE71" s="56">
        <v>544</v>
      </c>
      <c r="AF71" s="56">
        <v>93.149045658279036</v>
      </c>
      <c r="AH71" s="56"/>
      <c r="AI71" s="56"/>
      <c r="AJ71" s="56"/>
      <c r="AK71" s="56"/>
      <c r="AL71" s="56">
        <f>IFERROR(求节点(武将天赋!$AC$31:$AC$37,武将天赋!$Y$7:$Y$13,武将数量星级阶位验证!BM71/基础状态预期!J81),0)</f>
        <v>9.6867475371688369E-2</v>
      </c>
      <c r="AM71" s="17">
        <f>求节点(武将天赋进度验证!$Q$5:$Q$164,武将天赋进度验证!$X$5:$X$164,$AF71)</f>
        <v>1</v>
      </c>
    </row>
    <row r="72" spans="2:39" x14ac:dyDescent="0.15">
      <c r="B72" s="17">
        <v>68</v>
      </c>
      <c r="C72" s="144">
        <f>'[1]功能-实力'!BF72</f>
        <v>4956642</v>
      </c>
      <c r="D72" s="144">
        <f>'[1]功能-实力'!BG72</f>
        <v>5701410</v>
      </c>
      <c r="E72" s="144">
        <f>'[1]功能-实力'!BH72</f>
        <v>6536208</v>
      </c>
      <c r="F72" s="144">
        <f>'[1]功能-实力'!BI72</f>
        <v>7987770</v>
      </c>
      <c r="G72" s="144">
        <f>'[1]功能-实力'!BJ72</f>
        <v>8693394</v>
      </c>
      <c r="Q72" s="17">
        <v>68</v>
      </c>
      <c r="R72" s="17">
        <f t="shared" si="12"/>
        <v>0</v>
      </c>
      <c r="S72" s="17">
        <f t="shared" si="13"/>
        <v>1.0206572628372825</v>
      </c>
      <c r="T72" s="17">
        <f t="shared" si="14"/>
        <v>1.1954812865805695</v>
      </c>
      <c r="U72" s="17">
        <f t="shared" si="15"/>
        <v>1.4994684901350261</v>
      </c>
      <c r="V72" s="17">
        <f t="shared" si="16"/>
        <v>1.6472407978427988</v>
      </c>
      <c r="W72" s="17">
        <f>求节点(武将天赋!$AB$19:$AB$25,武将天赋!$Y$7:$Y$13,求节点(武将天赋!$BI$6:$BI$9,武将天赋!$BL$6:$BL$9,R72))</f>
        <v>0.1</v>
      </c>
      <c r="X72" s="17">
        <f>求节点(武将天赋!$AB$19:$AB$25,武将天赋!$Y$7:$Y$13,求节点(武将天赋!$BI$6:$BI$9,武将天赋!$BL$6:$BL$9,S72))</f>
        <v>0.27010954380621377</v>
      </c>
      <c r="Y72" s="17">
        <f>求节点(武将天赋!$AB$19:$AB$25,武将天赋!$Y$7:$Y$13,求节点(武将天赋!$BI$6:$BI$9,武将天赋!$BL$6:$BL$9,T72))</f>
        <v>0.29924688109676156</v>
      </c>
      <c r="Z72" s="17">
        <f>求节点(武将天赋!$AB$19:$AB$25,武将天赋!$Y$7:$Y$13,求节点(武将天赋!$BI$6:$BI$9,武将天赋!$BL$6:$BL$9,U72))</f>
        <v>0.5</v>
      </c>
      <c r="AA72" s="17">
        <f>求节点(武将天赋!$AB$19:$AB$25,武将天赋!$Y$7:$Y$13,求节点(武将天赋!$BI$6:$BI$9,武将天赋!$BL$6:$BL$9,V72))</f>
        <v>0.5</v>
      </c>
      <c r="AE72" s="56">
        <v>697</v>
      </c>
      <c r="AF72" s="56">
        <v>96.770480813454071</v>
      </c>
      <c r="AH72" s="56"/>
      <c r="AI72" s="56"/>
      <c r="AJ72" s="56"/>
      <c r="AK72" s="56"/>
      <c r="AL72" s="56">
        <f>IFERROR(求节点(武将天赋!$AC$31:$AC$37,武将天赋!$Y$7:$Y$13,武将数量星级阶位验证!BM72/基础状态预期!J82),0)</f>
        <v>0.35031761440804321</v>
      </c>
      <c r="AM72" s="17">
        <f>求节点(武将天赋进度验证!$Q$5:$Q$164,武将天赋进度验证!$X$5:$X$164,$AF72)</f>
        <v>1</v>
      </c>
    </row>
    <row r="73" spans="2:39" x14ac:dyDescent="0.15">
      <c r="B73" s="17">
        <v>69</v>
      </c>
      <c r="C73" s="144">
        <f>'[1]功能-实力'!BF73</f>
        <v>5268684</v>
      </c>
      <c r="D73" s="144">
        <f>'[1]功能-实力'!BG73</f>
        <v>6112692</v>
      </c>
      <c r="E73" s="144">
        <f>'[1]功能-实力'!BH73</f>
        <v>7040916</v>
      </c>
      <c r="F73" s="144">
        <f>'[1]功能-实力'!BI73</f>
        <v>8587782</v>
      </c>
      <c r="G73" s="144">
        <f>'[1]功能-实力'!BJ73</f>
        <v>9333948</v>
      </c>
      <c r="Q73" s="17">
        <v>69</v>
      </c>
      <c r="R73" s="17">
        <f t="shared" si="12"/>
        <v>0</v>
      </c>
      <c r="S73" s="17">
        <f t="shared" si="13"/>
        <v>1.1067882479776239</v>
      </c>
      <c r="T73" s="17">
        <f t="shared" si="14"/>
        <v>1.3011776147646654</v>
      </c>
      <c r="U73" s="17">
        <f t="shared" si="15"/>
        <v>1.6251234535324675</v>
      </c>
      <c r="V73" s="17">
        <f t="shared" si="16"/>
        <v>1.7813860973102837</v>
      </c>
      <c r="W73" s="17">
        <f>求节点(武将天赋!$AB$19:$AB$25,武将天赋!$Y$7:$Y$13,求节点(武将天赋!$BI$6:$BI$9,武将天赋!$BL$6:$BL$9,R73))</f>
        <v>0.1</v>
      </c>
      <c r="X73" s="17">
        <f>求节点(武将天赋!$AB$19:$AB$25,武将天赋!$Y$7:$Y$13,求节点(武将天赋!$BI$6:$BI$9,武将天赋!$BL$6:$BL$9,S73))</f>
        <v>0.28446470799627066</v>
      </c>
      <c r="Y73" s="17">
        <f>求节点(武将天赋!$AB$19:$AB$25,武将天赋!$Y$7:$Y$13,求节点(武将天赋!$BI$6:$BI$9,武将天赋!$BL$6:$BL$9,T73))</f>
        <v>0.5</v>
      </c>
      <c r="Z73" s="17">
        <f>求节点(武将天赋!$AB$19:$AB$25,武将天赋!$Y$7:$Y$13,求节点(武将天赋!$BI$6:$BI$9,武将天赋!$BL$6:$BL$9,U73))</f>
        <v>0.5</v>
      </c>
      <c r="AA73" s="17">
        <f>求节点(武将天赋!$AB$19:$AB$25,武将天赋!$Y$7:$Y$13,求节点(武将天赋!$BI$6:$BI$9,武将天赋!$BL$6:$BL$9,V73))</f>
        <v>0.5</v>
      </c>
      <c r="AE73" s="56">
        <v>901</v>
      </c>
      <c r="AF73" s="56">
        <v>100.40175326279811</v>
      </c>
      <c r="AH73" s="56"/>
      <c r="AI73" s="56"/>
      <c r="AJ73" s="56"/>
      <c r="AK73" s="56"/>
      <c r="AL73" s="56">
        <f>IFERROR(求节点(武将天赋!$AC$31:$AC$37,武将天赋!$Y$7:$Y$13,武将数量星级阶位验证!BM73/基础状态预期!J83),0)</f>
        <v>0.50503146068118387</v>
      </c>
      <c r="AM73" s="17">
        <f>求节点(武将天赋进度验证!$Q$5:$Q$164,武将天赋进度验证!$X$5:$X$164,$AF73)</f>
        <v>1</v>
      </c>
    </row>
    <row r="74" spans="2:39" x14ac:dyDescent="0.15">
      <c r="B74" s="17">
        <v>70</v>
      </c>
      <c r="C74" s="144">
        <f>'[1]功能-实力'!BF74</f>
        <v>5602770</v>
      </c>
      <c r="D74" s="144">
        <f>'[1]功能-实力'!BG74</f>
        <v>6559248</v>
      </c>
      <c r="E74" s="144">
        <f>'[1]功能-实力'!BH74</f>
        <v>7552314</v>
      </c>
      <c r="F74" s="144">
        <f>'[1]功能-实力'!BI74</f>
        <v>9199062</v>
      </c>
      <c r="G74" s="144">
        <f>'[1]功能-实力'!BJ74</f>
        <v>10017786</v>
      </c>
      <c r="Q74" s="17">
        <v>70</v>
      </c>
      <c r="R74" s="17">
        <f t="shared" si="12"/>
        <v>1</v>
      </c>
      <c r="S74" s="17">
        <f t="shared" si="13"/>
        <v>1.2003063406739494</v>
      </c>
      <c r="T74" s="17">
        <f t="shared" si="14"/>
        <v>1.4082749677701465</v>
      </c>
      <c r="U74" s="17">
        <f t="shared" si="15"/>
        <v>1.7531381699474522</v>
      </c>
      <c r="V74" s="17">
        <f t="shared" si="16"/>
        <v>1.9245959645459045</v>
      </c>
      <c r="W74" s="17">
        <f>求节点(武将天赋!$AB$19:$AB$25,武将天赋!$Y$7:$Y$13,求节点(武将天赋!$BI$6:$BI$9,武将天赋!$BL$6:$BL$9,R74))</f>
        <v>0.26666666666666666</v>
      </c>
      <c r="X74" s="17">
        <f>求节点(武将天赋!$AB$19:$AB$25,武将天赋!$Y$7:$Y$13,求节点(武将天赋!$BI$6:$BI$9,武将天赋!$BL$6:$BL$9,S74))</f>
        <v>0.5</v>
      </c>
      <c r="Y74" s="17">
        <f>求节点(武将天赋!$AB$19:$AB$25,武将天赋!$Y$7:$Y$13,求节点(武将天赋!$BI$6:$BI$9,武将天赋!$BL$6:$BL$9,T74))</f>
        <v>0.5</v>
      </c>
      <c r="Z74" s="17">
        <f>求节点(武将天赋!$AB$19:$AB$25,武将天赋!$Y$7:$Y$13,求节点(武将天赋!$BI$6:$BI$9,武将天赋!$BL$6:$BL$9,U74))</f>
        <v>0.5</v>
      </c>
      <c r="AA74" s="17">
        <f>求节点(武将天赋!$AB$19:$AB$25,武将天赋!$Y$7:$Y$13,求节点(武将天赋!$BI$6:$BI$9,武将天赋!$BL$6:$BL$9,V74))</f>
        <v>0.5</v>
      </c>
      <c r="AE74" s="56">
        <v>1156</v>
      </c>
      <c r="AF74" s="56">
        <v>104.06236366727887</v>
      </c>
      <c r="AH74" s="56"/>
      <c r="AI74" s="56"/>
      <c r="AJ74" s="56"/>
      <c r="AK74" s="56"/>
      <c r="AL74" s="56">
        <f>IFERROR(求节点(武将天赋!$AC$31:$AC$37,武将天赋!$Y$7:$Y$13,武将数量星级阶位验证!BM74/基础状态预期!J84),0)</f>
        <v>1</v>
      </c>
      <c r="AM74" s="17">
        <f>求节点(武将天赋进度验证!$Q$5:$Q$164,武将天赋进度验证!$X$5:$X$164,$AF74)</f>
        <v>1</v>
      </c>
    </row>
    <row r="75" spans="2:39" x14ac:dyDescent="0.15">
      <c r="B75" s="17">
        <v>71</v>
      </c>
      <c r="C75" s="144">
        <f>'[1]功能-实力'!BF75</f>
        <v>5970864</v>
      </c>
      <c r="D75" s="144">
        <f>'[1]功能-实力'!BG75</f>
        <v>6985362</v>
      </c>
      <c r="E75" s="144">
        <f>'[1]功能-实力'!BH75</f>
        <v>8007984</v>
      </c>
      <c r="F75" s="144">
        <f>'[1]功能-实力'!BI75</f>
        <v>9790638</v>
      </c>
      <c r="G75" s="144">
        <f>'[1]功能-实力'!BJ75</f>
        <v>10695138</v>
      </c>
      <c r="Q75" s="17">
        <v>71</v>
      </c>
      <c r="R75" s="17">
        <f t="shared" si="12"/>
        <v>1.0770865217642609</v>
      </c>
      <c r="S75" s="17">
        <f t="shared" si="13"/>
        <v>1.289543454386904</v>
      </c>
      <c r="T75" s="17">
        <f t="shared" si="14"/>
        <v>1.503701721187265</v>
      </c>
      <c r="U75" s="17">
        <f t="shared" si="15"/>
        <v>1.8770264598929944</v>
      </c>
      <c r="V75" s="17">
        <f t="shared" si="16"/>
        <v>2.0458951515966795</v>
      </c>
      <c r="W75" s="17">
        <f>求节点(武将天赋!$AB$19:$AB$25,武将天赋!$Y$7:$Y$13,求节点(武将天赋!$BI$6:$BI$9,武将天赋!$BL$6:$BL$9,R75))</f>
        <v>0.2795144202940435</v>
      </c>
      <c r="X75" s="17">
        <f>求节点(武将天赋!$AB$19:$AB$25,武将天赋!$Y$7:$Y$13,求节点(武将天赋!$BI$6:$BI$9,武将天赋!$BL$6:$BL$9,S75))</f>
        <v>0.5</v>
      </c>
      <c r="Y75" s="17">
        <f>求节点(武将天赋!$AB$19:$AB$25,武将天赋!$Y$7:$Y$13,求节点(武将天赋!$BI$6:$BI$9,武将天赋!$BL$6:$BL$9,T75))</f>
        <v>0.5</v>
      </c>
      <c r="Z75" s="17">
        <f>求节点(武将天赋!$AB$19:$AB$25,武将天赋!$Y$7:$Y$13,求节点(武将天赋!$BI$6:$BI$9,武将天赋!$BL$6:$BL$9,U75))</f>
        <v>0.5</v>
      </c>
      <c r="AA75" s="17">
        <f>求节点(武将天赋!$AB$19:$AB$25,武将天赋!$Y$7:$Y$13,求节点(武将天赋!$BI$6:$BI$9,武将天赋!$BL$6:$BL$9,V75))</f>
        <v>0.5</v>
      </c>
      <c r="AE75" s="56">
        <v>1462</v>
      </c>
      <c r="AF75" s="56">
        <v>107.42257994053838</v>
      </c>
      <c r="AH75" s="56"/>
      <c r="AI75" s="56"/>
      <c r="AJ75" s="56"/>
      <c r="AK75" s="56"/>
      <c r="AL75" s="56">
        <f>IFERROR(求节点(武将天赋!$AC$31:$AC$37,武将天赋!$Y$7:$Y$13,武将数量星级阶位验证!BM75/基础状态预期!J85),0)</f>
        <v>1</v>
      </c>
      <c r="AM75" s="17">
        <f>求节点(武将天赋进度验证!$Q$5:$Q$164,武将天赋进度验证!$X$5:$X$164,$AF75)</f>
        <v>1</v>
      </c>
    </row>
    <row r="76" spans="2:39" x14ac:dyDescent="0.15">
      <c r="B76" s="17">
        <v>72</v>
      </c>
      <c r="C76" s="144">
        <f>'[1]功能-实力'!BF76</f>
        <v>6368574</v>
      </c>
      <c r="D76" s="144">
        <f>'[1]功能-实力'!BG76</f>
        <v>7434516</v>
      </c>
      <c r="E76" s="144">
        <f>'[1]功能-实力'!BH76</f>
        <v>8483466</v>
      </c>
      <c r="F76" s="144">
        <f>'[1]功能-实力'!BI76</f>
        <v>10421238</v>
      </c>
      <c r="G76" s="144">
        <f>'[1]功能-实力'!BJ76</f>
        <v>11428950</v>
      </c>
      <c r="Q76" s="17">
        <v>72</v>
      </c>
      <c r="R76" s="17">
        <f t="shared" si="12"/>
        <v>1.1603752484777206</v>
      </c>
      <c r="S76" s="17">
        <f t="shared" si="13"/>
        <v>1.3836056221932385</v>
      </c>
      <c r="T76" s="17">
        <f t="shared" si="14"/>
        <v>1.6032775185148886</v>
      </c>
      <c r="U76" s="17">
        <f t="shared" si="15"/>
        <v>2.0062764974158918</v>
      </c>
      <c r="V76" s="17">
        <f t="shared" si="16"/>
        <v>2.1520384296606161</v>
      </c>
      <c r="W76" s="17">
        <f>求节点(武将天赋!$AB$19:$AB$25,武将天赋!$Y$7:$Y$13,求节点(武将天赋!$BI$6:$BI$9,武将天赋!$BL$6:$BL$9,R76))</f>
        <v>0.29339587474628676</v>
      </c>
      <c r="X76" s="17">
        <f>求节点(武将天赋!$AB$19:$AB$25,武将天赋!$Y$7:$Y$13,求节点(武将天赋!$BI$6:$BI$9,武将天赋!$BL$6:$BL$9,S76))</f>
        <v>0.5</v>
      </c>
      <c r="Y76" s="17">
        <f>求节点(武将天赋!$AB$19:$AB$25,武将天赋!$Y$7:$Y$13,求节点(武将天赋!$BI$6:$BI$9,武将天赋!$BL$6:$BL$9,T76))</f>
        <v>0.5</v>
      </c>
      <c r="Z76" s="17">
        <f>求节点(武将天赋!$AB$19:$AB$25,武将天赋!$Y$7:$Y$13,求节点(武将天赋!$BI$6:$BI$9,武将天赋!$BL$6:$BL$9,U76))</f>
        <v>0.5</v>
      </c>
      <c r="AA76" s="17">
        <f>求节点(武将天赋!$AB$19:$AB$25,武将天赋!$Y$7:$Y$13,求节点(武将天赋!$BI$6:$BI$9,武将天赋!$BL$6:$BL$9,V76))</f>
        <v>0.7004529843690257</v>
      </c>
      <c r="AE76" s="56">
        <v>1870</v>
      </c>
      <c r="AF76" s="56">
        <v>111.00691759243479</v>
      </c>
      <c r="AH76" s="56"/>
      <c r="AI76" s="56"/>
      <c r="AJ76" s="56"/>
      <c r="AK76" s="56"/>
      <c r="AL76" s="56">
        <f>IFERROR(求节点(武将天赋!$AC$31:$AC$37,武将天赋!$Y$7:$Y$13,武将数量星级阶位验证!BM76/基础状态预期!J86),0)</f>
        <v>1</v>
      </c>
      <c r="AM76" s="17">
        <f>求节点(武将天赋进度验证!$Q$5:$Q$164,武将天赋进度验证!$X$5:$X$164,$AF76)</f>
        <v>1</v>
      </c>
    </row>
    <row r="77" spans="2:39" x14ac:dyDescent="0.15">
      <c r="B77" s="17">
        <v>73</v>
      </c>
      <c r="C77" s="144">
        <f>'[1]功能-实力'!BF77</f>
        <v>6796284</v>
      </c>
      <c r="D77" s="144">
        <f>'[1]功能-实力'!BG77</f>
        <v>7899996</v>
      </c>
      <c r="E77" s="144">
        <f>'[1]功能-实力'!BH77</f>
        <v>8998134</v>
      </c>
      <c r="F77" s="144">
        <f>'[1]功能-实力'!BI77</f>
        <v>11178198</v>
      </c>
      <c r="G77" s="144">
        <f>'[1]功能-实力'!BJ77</f>
        <v>12259176</v>
      </c>
      <c r="Q77" s="17">
        <v>73</v>
      </c>
      <c r="R77" s="17">
        <f t="shared" si="12"/>
        <v>1.2499465977086019</v>
      </c>
      <c r="S77" s="17">
        <f t="shared" si="13"/>
        <v>1.4810867931735536</v>
      </c>
      <c r="T77" s="17">
        <f t="shared" si="14"/>
        <v>1.7110596773747684</v>
      </c>
      <c r="U77" s="17">
        <f t="shared" si="15"/>
        <v>2.1157680507882506</v>
      </c>
      <c r="V77" s="17">
        <f t="shared" si="16"/>
        <v>2.2721276475718928</v>
      </c>
      <c r="W77" s="17">
        <f>求节点(武将天赋!$AB$19:$AB$25,武将天赋!$Y$7:$Y$13,求节点(武将天赋!$BI$6:$BI$9,武将天赋!$BL$6:$BL$9,R77))</f>
        <v>0.5</v>
      </c>
      <c r="X77" s="17">
        <f>求节点(武将天赋!$AB$19:$AB$25,武将天赋!$Y$7:$Y$13,求节点(武将天赋!$BI$6:$BI$9,武将天赋!$BL$6:$BL$9,S77))</f>
        <v>0.5</v>
      </c>
      <c r="Y77" s="17">
        <f>求节点(武将天赋!$AB$19:$AB$25,武将天赋!$Y$7:$Y$13,求节点(武将天赋!$BI$6:$BI$9,武将天赋!$BL$6:$BL$9,T77))</f>
        <v>0.5</v>
      </c>
      <c r="Z77" s="17">
        <f>求节点(武将天赋!$AB$19:$AB$25,武将天赋!$Y$7:$Y$13,求节点(武将天赋!$BI$6:$BI$9,武将天赋!$BL$6:$BL$9,U77))</f>
        <v>0.5</v>
      </c>
      <c r="AA77" s="17">
        <f>求节点(武将天赋!$AB$19:$AB$25,武将天赋!$Y$7:$Y$13,求节点(武将天赋!$BI$6:$BI$9,武将天赋!$BL$6:$BL$9,V77))</f>
        <v>0.72713947723819838</v>
      </c>
      <c r="AE77" s="56">
        <v>2380</v>
      </c>
      <c r="AF77" s="56">
        <v>114.47614359759058</v>
      </c>
      <c r="AH77" s="56"/>
      <c r="AI77" s="56"/>
      <c r="AJ77" s="56"/>
      <c r="AK77" s="56"/>
      <c r="AL77" s="56">
        <f>IFERROR(求节点(武将天赋!$AC$31:$AC$37,武将天赋!$Y$7:$Y$13,武将数量星级阶位验证!BM77/基础状态预期!J87),0)</f>
        <v>1</v>
      </c>
      <c r="AM77" s="17">
        <f>求节点(武将天赋进度验证!$Q$5:$Q$164,武将天赋进度验证!$X$5:$X$164,$AF77)</f>
        <v>1</v>
      </c>
    </row>
    <row r="78" spans="2:39" x14ac:dyDescent="0.15">
      <c r="B78" s="17">
        <v>74</v>
      </c>
      <c r="C78" s="144">
        <f>'[1]功能-实力'!BF78</f>
        <v>7250856</v>
      </c>
      <c r="D78" s="144">
        <f>'[1]功能-实力'!BG78</f>
        <v>8391630</v>
      </c>
      <c r="E78" s="144">
        <f>'[1]功能-实力'!BH78</f>
        <v>9549504</v>
      </c>
      <c r="F78" s="144">
        <f>'[1]功能-实力'!BI78</f>
        <v>11985168</v>
      </c>
      <c r="G78" s="144">
        <f>'[1]功能-实力'!BJ78</f>
        <v>13188354</v>
      </c>
      <c r="Q78" s="17">
        <v>74</v>
      </c>
      <c r="R78" s="17">
        <f t="shared" si="12"/>
        <v>1.3451434071415826</v>
      </c>
      <c r="S78" s="17">
        <f t="shared" si="13"/>
        <v>1.5840451544645573</v>
      </c>
      <c r="T78" s="17">
        <f t="shared" si="14"/>
        <v>1.8265279966224621</v>
      </c>
      <c r="U78" s="17">
        <f t="shared" si="15"/>
        <v>2.2324933715778466</v>
      </c>
      <c r="V78" s="17">
        <f t="shared" si="16"/>
        <v>2.4065299179420867</v>
      </c>
      <c r="W78" s="17">
        <f>求节点(武将天赋!$AB$19:$AB$25,武将天赋!$Y$7:$Y$13,求节点(武将天赋!$BI$6:$BI$9,武将天赋!$BL$6:$BL$9,R78))</f>
        <v>0.5</v>
      </c>
      <c r="X78" s="17">
        <f>求节点(武将天赋!$AB$19:$AB$25,武将天赋!$Y$7:$Y$13,求节点(武将天赋!$BI$6:$BI$9,武将天赋!$BL$6:$BL$9,S78))</f>
        <v>0.5</v>
      </c>
      <c r="Y78" s="17">
        <f>求节点(武将天赋!$AB$19:$AB$25,武将天赋!$Y$7:$Y$13,求节点(武将天赋!$BI$6:$BI$9,武将天赋!$BL$6:$BL$9,T78))</f>
        <v>0.5</v>
      </c>
      <c r="Z78" s="17">
        <f>求节点(武将天赋!$AB$19:$AB$25,武将天赋!$Y$7:$Y$13,求节点(武将天赋!$BI$6:$BI$9,武将天赋!$BL$6:$BL$9,U78))</f>
        <v>0.71833186035063246</v>
      </c>
      <c r="AA78" s="17">
        <f>求节点(武将天赋!$AB$19:$AB$25,武将天赋!$Y$7:$Y$13,求节点(武将天赋!$BI$6:$BI$9,武将天赋!$BL$6:$BL$9,V78))</f>
        <v>0.75700664843157484</v>
      </c>
      <c r="AE78" s="56">
        <v>3043</v>
      </c>
      <c r="AF78" s="56">
        <v>118.05724034557241</v>
      </c>
      <c r="AH78" s="56"/>
      <c r="AI78" s="56"/>
      <c r="AJ78" s="56"/>
      <c r="AK78" s="56"/>
      <c r="AL78" s="56">
        <f>IFERROR(求节点(武将天赋!$AC$31:$AC$37,武将天赋!$Y$7:$Y$13,武将数量星级阶位验证!BM78/基础状态预期!J88),0)</f>
        <v>1</v>
      </c>
      <c r="AM78" s="17">
        <f>求节点(武将天赋进度验证!$Q$5:$Q$164,武将天赋进度验证!$X$5:$X$164,$AF78)</f>
        <v>1</v>
      </c>
    </row>
    <row r="79" spans="2:39" x14ac:dyDescent="0.15">
      <c r="B79" s="17">
        <v>75</v>
      </c>
      <c r="C79" s="144">
        <f>'[1]功能-实力'!BF79</f>
        <v>7733088</v>
      </c>
      <c r="D79" s="144">
        <f>'[1]功能-实力'!BG79</f>
        <v>8935428</v>
      </c>
      <c r="E79" s="144">
        <f>'[1]功能-实力'!BH79</f>
        <v>10147566</v>
      </c>
      <c r="F79" s="144">
        <f>'[1]功能-实力'!BI79</f>
        <v>12838602</v>
      </c>
      <c r="G79" s="144">
        <f>'[1]功能-实力'!BJ79</f>
        <v>14169498</v>
      </c>
      <c r="Q79" s="17">
        <v>75</v>
      </c>
      <c r="R79" s="17">
        <f t="shared" si="12"/>
        <v>1.4461327945356262</v>
      </c>
      <c r="S79" s="17">
        <f t="shared" si="13"/>
        <v>1.6979277397888537</v>
      </c>
      <c r="T79" s="17">
        <f t="shared" si="14"/>
        <v>1.9517745895562708</v>
      </c>
      <c r="U79" s="17">
        <f t="shared" si="15"/>
        <v>2.3559395435826893</v>
      </c>
      <c r="V79" s="17">
        <f t="shared" si="16"/>
        <v>2.5484488841252002</v>
      </c>
      <c r="W79" s="17">
        <f>求节点(武将天赋!$AB$19:$AB$25,武将天赋!$Y$7:$Y$13,求节点(武将天赋!$BI$6:$BI$9,武将天赋!$BL$6:$BL$9,R79))</f>
        <v>0.5</v>
      </c>
      <c r="X79" s="17">
        <f>求节点(武将天赋!$AB$19:$AB$25,武将天赋!$Y$7:$Y$13,求节点(武将天赋!$BI$6:$BI$9,武将天赋!$BL$6:$BL$9,S79))</f>
        <v>0.5</v>
      </c>
      <c r="Y79" s="17">
        <f>求节点(武将天赋!$AB$19:$AB$25,武将天赋!$Y$7:$Y$13,求节点(武将天赋!$BI$6:$BI$9,武将天赋!$BL$6:$BL$9,T79))</f>
        <v>0.5</v>
      </c>
      <c r="Z79" s="17">
        <f>求节点(武将天赋!$AB$19:$AB$25,武将天赋!$Y$7:$Y$13,求节点(武将天赋!$BI$6:$BI$9,武将天赋!$BL$6:$BL$9,U79))</f>
        <v>0.74576434301837535</v>
      </c>
      <c r="AA79" s="17">
        <f>求节点(武将天赋!$AB$19:$AB$25,武将天赋!$Y$7:$Y$13,求节点(武将天赋!$BI$6:$BI$9,武将天赋!$BL$6:$BL$9,V79))</f>
        <v>0.7885441964722667</v>
      </c>
      <c r="AE79" s="56">
        <v>3859</v>
      </c>
      <c r="AF79" s="56">
        <v>121.49411884885473</v>
      </c>
      <c r="AH79" s="56"/>
      <c r="AI79" s="56"/>
      <c r="AJ79" s="56"/>
      <c r="AK79" s="56"/>
      <c r="AL79" s="56">
        <f>IFERROR(求节点(武将天赋!$AC$31:$AC$37,武将天赋!$Y$7:$Y$13,武将数量星级阶位验证!BM79/基础状态预期!J89),0)</f>
        <v>1</v>
      </c>
      <c r="AM79" s="17">
        <f>求节点(武将天赋进度验证!$Q$5:$Q$164,武将天赋进度验证!$X$5:$X$164,$AF79)</f>
        <v>1</v>
      </c>
    </row>
    <row r="80" spans="2:39" x14ac:dyDescent="0.15">
      <c r="B80" s="17">
        <v>76</v>
      </c>
      <c r="C80" s="144">
        <f>'[1]功能-实力'!BF80</f>
        <v>8255886</v>
      </c>
      <c r="D80" s="144">
        <f>'[1]功能-实力'!BG80</f>
        <v>9518898</v>
      </c>
      <c r="E80" s="144">
        <f>'[1]功能-实力'!BH80</f>
        <v>10826880</v>
      </c>
      <c r="F80" s="144">
        <f>'[1]功能-实力'!BI80</f>
        <v>13757484</v>
      </c>
      <c r="G80" s="144">
        <f>'[1]功能-实力'!BJ80</f>
        <v>15275772</v>
      </c>
      <c r="Q80" s="17">
        <v>76</v>
      </c>
      <c r="R80" s="17">
        <f t="shared" si="12"/>
        <v>1.5556175440977276</v>
      </c>
      <c r="S80" s="17">
        <f t="shared" si="13"/>
        <v>1.8201184651301885</v>
      </c>
      <c r="T80" s="17">
        <f t="shared" si="14"/>
        <v>2.0649511601366042</v>
      </c>
      <c r="U80" s="17">
        <f t="shared" si="15"/>
        <v>2.4888525344222314</v>
      </c>
      <c r="V80" s="17">
        <f t="shared" si="16"/>
        <v>2.7084674567254075</v>
      </c>
      <c r="W80" s="17">
        <f>求节点(武将天赋!$AB$19:$AB$25,武将天赋!$Y$7:$Y$13,求节点(武将天赋!$BI$6:$BI$9,武将天赋!$BL$6:$BL$9,R80))</f>
        <v>0.5</v>
      </c>
      <c r="X80" s="17">
        <f>求节点(武将天赋!$AB$19:$AB$25,武将天赋!$Y$7:$Y$13,求节点(武将天赋!$BI$6:$BI$9,武将天赋!$BL$6:$BL$9,S80))</f>
        <v>0.5</v>
      </c>
      <c r="Y80" s="17">
        <f>求节点(武将天赋!$AB$19:$AB$25,武将天赋!$Y$7:$Y$13,求节点(武将天赋!$BI$6:$BI$9,武将天赋!$BL$6:$BL$9,T80))</f>
        <v>0.5</v>
      </c>
      <c r="Z80" s="17">
        <f>求节点(武将天赋!$AB$19:$AB$25,武将天赋!$Y$7:$Y$13,求节点(武将天赋!$BI$6:$BI$9,武将天赋!$BL$6:$BL$9,U80))</f>
        <v>0.77530056320494034</v>
      </c>
      <c r="AA80" s="17">
        <f>求节点(武将天赋!$AB$19:$AB$25,武将天赋!$Y$7:$Y$13,求节点(武将天赋!$BI$6:$BI$9,武将天赋!$BL$6:$BL$9,V80))</f>
        <v>0.82410387927231277</v>
      </c>
      <c r="AE80" s="56">
        <v>4930</v>
      </c>
      <c r="AF80" s="56">
        <v>125.03100311549058</v>
      </c>
      <c r="AH80" s="56"/>
      <c r="AI80" s="56"/>
      <c r="AJ80" s="56"/>
      <c r="AK80" s="56"/>
      <c r="AL80" s="56">
        <f>IFERROR(求节点(武将天赋!$AC$31:$AC$37,武将天赋!$Y$7:$Y$13,武将数量星级阶位验证!BM80/基础状态预期!J90),0)</f>
        <v>1</v>
      </c>
      <c r="AM80" s="17">
        <f>求节点(武将天赋进度验证!$Q$5:$Q$164,武将天赋进度验证!$X$5:$X$164,$AF80)</f>
        <v>1</v>
      </c>
    </row>
    <row r="81" spans="2:39" x14ac:dyDescent="0.15">
      <c r="B81" s="17">
        <v>77</v>
      </c>
      <c r="C81" s="144">
        <f>'[1]功能-实力'!BF81</f>
        <v>8810046</v>
      </c>
      <c r="D81" s="144">
        <f>'[1]功能-实力'!BG81</f>
        <v>10132434</v>
      </c>
      <c r="E81" s="144">
        <f>'[1]功能-实力'!BH81</f>
        <v>11553960</v>
      </c>
      <c r="F81" s="144">
        <f>'[1]功能-实力'!BI81</f>
        <v>14710278</v>
      </c>
      <c r="G81" s="144">
        <f>'[1]功能-实力'!BJ81</f>
        <v>16425684</v>
      </c>
      <c r="Q81" s="17">
        <v>77</v>
      </c>
      <c r="R81" s="17">
        <f t="shared" si="12"/>
        <v>1.6716701472395412</v>
      </c>
      <c r="S81" s="17">
        <f t="shared" si="13"/>
        <v>1.9486056347584835</v>
      </c>
      <c r="T81" s="17">
        <f t="shared" si="14"/>
        <v>2.1701206785074225</v>
      </c>
      <c r="U81" s="17">
        <f t="shared" si="15"/>
        <v>2.626670774624968</v>
      </c>
      <c r="V81" s="17">
        <f t="shared" si="16"/>
        <v>2.8747981097605955</v>
      </c>
      <c r="W81" s="17">
        <f>求节点(武将天赋!$AB$19:$AB$25,武将天赋!$Y$7:$Y$13,求节点(武将天赋!$BI$6:$BI$9,武将天赋!$BL$6:$BL$9,R81))</f>
        <v>0.5</v>
      </c>
      <c r="X81" s="17">
        <f>求节点(武将天赋!$AB$19:$AB$25,武将天赋!$Y$7:$Y$13,求节点(武将天赋!$BI$6:$BI$9,武将天赋!$BL$6:$BL$9,S81))</f>
        <v>0.5</v>
      </c>
      <c r="Y81" s="17">
        <f>求节点(武将天赋!$AB$19:$AB$25,武将天赋!$Y$7:$Y$13,求节点(武将天赋!$BI$6:$BI$9,武将天赋!$BL$6:$BL$9,T81))</f>
        <v>0.70447126189053833</v>
      </c>
      <c r="Z81" s="17">
        <f>求节点(武将天赋!$AB$19:$AB$25,武将天赋!$Y$7:$Y$13,求节点(武将天赋!$BI$6:$BI$9,武将天赋!$BL$6:$BL$9,U81))</f>
        <v>0.80592683880554838</v>
      </c>
      <c r="AA81" s="17">
        <f>求节点(武将天赋!$AB$19:$AB$25,武将天赋!$Y$7:$Y$13,求节点(武将天赋!$BI$6:$BI$9,武将天赋!$BL$6:$BL$9,V81))</f>
        <v>0.86106624661346565</v>
      </c>
      <c r="AE81" s="56">
        <v>6307</v>
      </c>
      <c r="AF81" s="56">
        <v>128.62542789463421</v>
      </c>
      <c r="AH81" s="56"/>
      <c r="AI81" s="56"/>
      <c r="AJ81" s="56"/>
      <c r="AK81" s="56"/>
      <c r="AL81" s="56">
        <f>IFERROR(求节点(武将天赋!$AC$31:$AC$37,武将天赋!$Y$7:$Y$13,武将数量星级阶位验证!BM81/基础状态预期!J91),0)</f>
        <v>1</v>
      </c>
      <c r="AM81" s="17">
        <f>求节点(武将天赋进度验证!$Q$5:$Q$164,武将天赋进度验证!$X$5:$X$164,$AF81)</f>
        <v>1</v>
      </c>
    </row>
    <row r="82" spans="2:39" x14ac:dyDescent="0.15">
      <c r="B82" s="17">
        <v>78</v>
      </c>
      <c r="C82" s="144">
        <f>'[1]功能-实力'!BF82</f>
        <v>9319722</v>
      </c>
      <c r="D82" s="144">
        <f>'[1]功能-实力'!BG82</f>
        <v>10719852</v>
      </c>
      <c r="E82" s="144">
        <f>'[1]功能-实力'!BH82</f>
        <v>12291678</v>
      </c>
      <c r="F82" s="144">
        <f>'[1]功能-实力'!BI82</f>
        <v>15722964</v>
      </c>
      <c r="G82" s="144">
        <f>'[1]功能-实力'!BJ82</f>
        <v>17581740</v>
      </c>
      <c r="Q82" s="17">
        <v>78</v>
      </c>
      <c r="R82" s="17">
        <f t="shared" si="12"/>
        <v>1.7784068777125221</v>
      </c>
      <c r="S82" s="17">
        <f t="shared" si="13"/>
        <v>2.0494699431973511</v>
      </c>
      <c r="T82" s="17">
        <f t="shared" si="14"/>
        <v>2.276828945484211</v>
      </c>
      <c r="U82" s="17">
        <f t="shared" si="15"/>
        <v>2.7731521781581012</v>
      </c>
      <c r="V82" s="17">
        <f t="shared" si="16"/>
        <v>3.0270435431543761</v>
      </c>
      <c r="W82" s="17">
        <f>求节点(武将天赋!$AB$19:$AB$25,武将天赋!$Y$7:$Y$13,求节点(武将天赋!$BI$6:$BI$9,武将天赋!$BL$6:$BL$9,R82))</f>
        <v>0.5</v>
      </c>
      <c r="X82" s="17">
        <f>求节点(武将天赋!$AB$19:$AB$25,武将天赋!$Y$7:$Y$13,求节点(武将天赋!$BI$6:$BI$9,武将天赋!$BL$6:$BL$9,S82))</f>
        <v>0.5</v>
      </c>
      <c r="Y82" s="17">
        <f>求节点(武将天赋!$AB$19:$AB$25,武将天赋!$Y$7:$Y$13,求节点(武将天赋!$BI$6:$BI$9,武将天赋!$BL$6:$BL$9,T82))</f>
        <v>0.72818421010760248</v>
      </c>
      <c r="Z82" s="17">
        <f>求节点(武将天赋!$AB$19:$AB$25,武将天赋!$Y$7:$Y$13,求节点(武将天赋!$BI$6:$BI$9,武将天赋!$BL$6:$BL$9,U82))</f>
        <v>0.83847826181291141</v>
      </c>
      <c r="AA82" s="17">
        <f>求节点(武将天赋!$AB$19:$AB$25,武将天赋!$Y$7:$Y$13,求节点(武将天赋!$BI$6:$BI$9,武将天赋!$BL$6:$BL$9,V82))</f>
        <v>0.89640098420954883</v>
      </c>
      <c r="AE82" s="56">
        <v>8041</v>
      </c>
      <c r="AF82" s="56">
        <v>132.09902390525281</v>
      </c>
      <c r="AH82" s="56"/>
      <c r="AI82" s="56"/>
      <c r="AJ82" s="56"/>
      <c r="AK82" s="56"/>
      <c r="AL82" s="56">
        <f>IFERROR(求节点(武将天赋!$AC$31:$AC$37,武将天赋!$Y$7:$Y$13,武将数量星级阶位验证!BM82/基础状态预期!J92),0)</f>
        <v>1</v>
      </c>
      <c r="AM82" s="17">
        <f>求节点(武将天赋进度验证!$Q$5:$Q$164,武将天赋进度验证!$X$5:$X$164,$AF82)</f>
        <v>1</v>
      </c>
    </row>
    <row r="83" spans="2:39" x14ac:dyDescent="0.15">
      <c r="B83" s="17">
        <v>79</v>
      </c>
      <c r="C83" s="144">
        <f>'[1]功能-实力'!BF83</f>
        <v>9837834</v>
      </c>
      <c r="D83" s="144">
        <f>'[1]功能-实力'!BG83</f>
        <v>11369448</v>
      </c>
      <c r="E83" s="144">
        <f>'[1]功能-实力'!BH83</f>
        <v>13054872</v>
      </c>
      <c r="F83" s="144">
        <f>'[1]功能-实力'!BI83</f>
        <v>16761750</v>
      </c>
      <c r="G83" s="144">
        <f>'[1]功能-实力'!BJ83</f>
        <v>18803538</v>
      </c>
      <c r="Q83" s="17">
        <v>79</v>
      </c>
      <c r="R83" s="17">
        <f t="shared" si="12"/>
        <v>1.8869102816374022</v>
      </c>
      <c r="S83" s="17">
        <f t="shared" si="13"/>
        <v>2.1434316784336529</v>
      </c>
      <c r="T83" s="17">
        <f t="shared" si="14"/>
        <v>2.3872222246329957</v>
      </c>
      <c r="U83" s="17">
        <f t="shared" si="15"/>
        <v>2.9234088532287252</v>
      </c>
      <c r="V83" s="17">
        <f t="shared" si="16"/>
        <v>3.1407907613795816</v>
      </c>
      <c r="W83" s="17">
        <f>求节点(武将天赋!$AB$19:$AB$25,武将天赋!$Y$7:$Y$13,求节点(武将天赋!$BI$6:$BI$9,武将天赋!$BL$6:$BL$9,R83))</f>
        <v>0.5</v>
      </c>
      <c r="X83" s="17">
        <f>求节点(武将天赋!$AB$19:$AB$25,武将天赋!$Y$7:$Y$13,求节点(武将天赋!$BI$6:$BI$9,武将天赋!$BL$6:$BL$9,S83))</f>
        <v>0.5</v>
      </c>
      <c r="Y83" s="17">
        <f>求节点(武将天赋!$AB$19:$AB$25,武将天赋!$Y$7:$Y$13,求节点(武将天赋!$BI$6:$BI$9,武将天赋!$BL$6:$BL$9,T83))</f>
        <v>0.75271604991844343</v>
      </c>
      <c r="Z83" s="17">
        <f>求节点(武将天赋!$AB$19:$AB$25,武将天赋!$Y$7:$Y$13,求节点(武将天赋!$BI$6:$BI$9,武将天赋!$BL$6:$BL$9,U83))</f>
        <v>0.87186863405082782</v>
      </c>
      <c r="AA83" s="17">
        <f>求节点(武将天赋!$AB$19:$AB$25,武将天赋!$Y$7:$Y$13,求节点(武将天赋!$BI$6:$BI$9,武将天赋!$BL$6:$BL$9,V83))</f>
        <v>0.92799743371655041</v>
      </c>
      <c r="AE83" s="56">
        <v>10234</v>
      </c>
      <c r="AF83" s="56">
        <v>135.61521761503846</v>
      </c>
      <c r="AH83" s="56"/>
      <c r="AI83" s="56"/>
      <c r="AJ83" s="56"/>
      <c r="AK83" s="56"/>
      <c r="AL83" s="56">
        <f>IFERROR(求节点(武将天赋!$AC$31:$AC$37,武将天赋!$Y$7:$Y$13,武将数量星级阶位验证!BM83/基础状态预期!J93),0)</f>
        <v>1</v>
      </c>
      <c r="AM83" s="17">
        <f>求节点(武将天赋进度验证!$Q$5:$Q$164,武将天赋进度验证!$X$5:$X$164,$AF83)</f>
        <v>1</v>
      </c>
    </row>
    <row r="84" spans="2:39" x14ac:dyDescent="0.15">
      <c r="B84" s="17">
        <v>80</v>
      </c>
      <c r="C84" s="144">
        <f>'[1]功能-实力'!BF84</f>
        <v>10377846</v>
      </c>
      <c r="D84" s="144">
        <f>'[1]功能-实力'!BG84</f>
        <v>12075708</v>
      </c>
      <c r="E84" s="144">
        <f>'[1]功能-实力'!BH84</f>
        <v>13840038</v>
      </c>
      <c r="F84" s="144">
        <f>'[1]功能-实力'!BI84</f>
        <v>17822838</v>
      </c>
      <c r="G84" s="144">
        <f>'[1]功能-实力'!BJ84</f>
        <v>20116668</v>
      </c>
      <c r="Q84" s="17">
        <v>80</v>
      </c>
      <c r="R84" s="17">
        <f t="shared" si="12"/>
        <v>2</v>
      </c>
      <c r="S84" s="17">
        <f t="shared" si="13"/>
        <v>2.2455896583596227</v>
      </c>
      <c r="T84" s="17">
        <f t="shared" si="14"/>
        <v>2.500793674901387</v>
      </c>
      <c r="U84" s="17">
        <f t="shared" si="15"/>
        <v>3.0494893376471324</v>
      </c>
      <c r="V84" s="17">
        <f t="shared" si="16"/>
        <v>3.263040826175942</v>
      </c>
      <c r="W84" s="17">
        <f>求节点(武将天赋!$AB$19:$AB$25,武将天赋!$Y$7:$Y$13,求节点(武将天赋!$BI$6:$BI$9,武将天赋!$BL$6:$BL$9,R84))</f>
        <v>0.5</v>
      </c>
      <c r="X84" s="17">
        <f>求节点(武将天赋!$AB$19:$AB$25,武将天赋!$Y$7:$Y$13,求节点(武将天赋!$BI$6:$BI$9,武将天赋!$BL$6:$BL$9,S84))</f>
        <v>0.72124214630213834</v>
      </c>
      <c r="Y84" s="17">
        <f>求节点(武将天赋!$AB$19:$AB$25,武将天赋!$Y$7:$Y$13,求节点(武将天赋!$BI$6:$BI$9,武将天赋!$BL$6:$BL$9,T84))</f>
        <v>0.77795414997808598</v>
      </c>
      <c r="Z84" s="17">
        <f>求节点(武将天赋!$AB$19:$AB$25,武将天赋!$Y$7:$Y$13,求节点(武将天赋!$BI$6:$BI$9,武将天赋!$BL$6:$BL$9,U84))</f>
        <v>0.90263592712420349</v>
      </c>
      <c r="AA84" s="17">
        <f>求节点(武将天赋!$AB$19:$AB$25,武将天赋!$Y$7:$Y$13,求节点(武将天赋!$BI$6:$BI$9,武将天赋!$BL$6:$BL$9,V84))</f>
        <v>0.96195578504887269</v>
      </c>
      <c r="AE84" s="56">
        <v>13039</v>
      </c>
      <c r="AF84" s="56">
        <v>139.08794136138388</v>
      </c>
      <c r="AH84" s="56"/>
      <c r="AI84" s="56"/>
      <c r="AJ84" s="56"/>
      <c r="AK84" s="56"/>
      <c r="AL84" s="56">
        <f>IFERROR(求节点(武将天赋!$AC$31:$AC$37,武将天赋!$Y$7:$Y$13,武将数量星级阶位验证!BM84/基础状态预期!J94),0)</f>
        <v>1</v>
      </c>
      <c r="AM84" s="17">
        <f>求节点(武将天赋进度验证!$Q$5:$Q$164,武将天赋进度验证!$X$5:$X$164,$AF84)</f>
        <v>1</v>
      </c>
    </row>
    <row r="85" spans="2:39" x14ac:dyDescent="0.15">
      <c r="B85" s="17">
        <v>81</v>
      </c>
      <c r="C85" s="144">
        <f>'[1]功能-实力'!BF85</f>
        <v>10921032</v>
      </c>
      <c r="D85" s="144">
        <f>'[1]功能-实力'!BG85</f>
        <v>12914160</v>
      </c>
      <c r="E85" s="144">
        <f>'[1]功能-实力'!BH85</f>
        <v>14675118</v>
      </c>
      <c r="F85" s="144">
        <f>'[1]功能-实力'!BI85</f>
        <v>19204578</v>
      </c>
      <c r="G85" s="144">
        <f>'[1]功能-实力'!BJ85</f>
        <v>21716766</v>
      </c>
      <c r="Q85" s="17">
        <v>81</v>
      </c>
      <c r="R85" s="17">
        <f t="shared" si="12"/>
        <v>2.0785699097840284</v>
      </c>
      <c r="S85" s="17">
        <f t="shared" si="13"/>
        <v>2.3668687377140949</v>
      </c>
      <c r="T85" s="17">
        <f t="shared" si="14"/>
        <v>2.6215850065307857</v>
      </c>
      <c r="U85" s="17">
        <f t="shared" si="15"/>
        <v>3.1781268712742095</v>
      </c>
      <c r="V85" s="17">
        <f t="shared" si="16"/>
        <v>3.4120071007873873</v>
      </c>
      <c r="W85" s="17">
        <f>求节点(武将天赋!$AB$19:$AB$25,武将天赋!$Y$7:$Y$13,求节点(武将天赋!$BI$6:$BI$9,武将天赋!$BL$6:$BL$9,R85))</f>
        <v>0.5</v>
      </c>
      <c r="X85" s="17">
        <f>求节点(武将天赋!$AB$19:$AB$25,武将天赋!$Y$7:$Y$13,求节点(武将天赋!$BI$6:$BI$9,武将天赋!$BL$6:$BL$9,S85))</f>
        <v>0.74819305282535442</v>
      </c>
      <c r="Y85" s="17">
        <f>求节点(武将天赋!$AB$19:$AB$25,武将天赋!$Y$7:$Y$13,求节点(武将天赋!$BI$6:$BI$9,武将天赋!$BL$6:$BL$9,T85))</f>
        <v>0.80479666811795236</v>
      </c>
      <c r="Z85" s="17">
        <f>求节点(武将天赋!$AB$19:$AB$25,武将天赋!$Y$7:$Y$13,求节点(武将天赋!$BI$6:$BI$9,武将天赋!$BL$6:$BL$9,U85))</f>
        <v>0.93836857535394702</v>
      </c>
      <c r="AA85" s="17">
        <f>求节点(武将天赋!$AB$19:$AB$25,武将天赋!$Y$7:$Y$13,求节点(武将天赋!$BI$6:$BI$9,武将天赋!$BL$6:$BL$9,V85))</f>
        <v>1</v>
      </c>
      <c r="AE85" s="56">
        <v>16609</v>
      </c>
      <c r="AF85" s="56">
        <v>142.60670974426387</v>
      </c>
      <c r="AH85" s="56"/>
      <c r="AI85" s="56"/>
      <c r="AJ85" s="56"/>
      <c r="AK85" s="56"/>
      <c r="AL85" s="56">
        <f>IFERROR(求节点(武将天赋!$AC$31:$AC$37,武将天赋!$Y$7:$Y$13,武将数量星级阶位验证!BM85/基础状态预期!J95),0)</f>
        <v>1</v>
      </c>
      <c r="AM85" s="17">
        <f>求节点(武将天赋进度验证!$Q$5:$Q$164,武将天赋进度验证!$X$5:$X$164,$AF85)</f>
        <v>1</v>
      </c>
    </row>
    <row r="86" spans="2:39" x14ac:dyDescent="0.15">
      <c r="B86" s="17">
        <v>82</v>
      </c>
      <c r="C86" s="144">
        <f>'[1]功能-实力'!BF86</f>
        <v>11539548</v>
      </c>
      <c r="D86" s="144">
        <f>'[1]功能-实力'!BG86</f>
        <v>13732176</v>
      </c>
      <c r="E86" s="144">
        <f>'[1]功能-实力'!BH86</f>
        <v>15548166</v>
      </c>
      <c r="F86" s="144">
        <f>'[1]功能-实力'!BI86</f>
        <v>20661156</v>
      </c>
      <c r="G86" s="144">
        <f>'[1]功能-实力'!BJ86</f>
        <v>23367870</v>
      </c>
      <c r="Q86" s="17">
        <v>82</v>
      </c>
      <c r="R86" s="17">
        <f t="shared" si="12"/>
        <v>2.1680360343159166</v>
      </c>
      <c r="S86" s="17">
        <f t="shared" si="13"/>
        <v>2.4851918228486376</v>
      </c>
      <c r="T86" s="17">
        <f t="shared" si="14"/>
        <v>2.7478682733990896</v>
      </c>
      <c r="U86" s="17">
        <f t="shared" si="15"/>
        <v>3.3137316894422151</v>
      </c>
      <c r="V86" s="17">
        <f t="shared" si="16"/>
        <v>3.5657219431758262</v>
      </c>
      <c r="W86" s="17">
        <f>求节点(武将天赋!$AB$19:$AB$25,武将天赋!$Y$7:$Y$13,求节点(武将天赋!$BI$6:$BI$9,武将天赋!$BL$6:$BL$9,R86))</f>
        <v>0.70400800762575921</v>
      </c>
      <c r="X86" s="17">
        <f>求节点(武将天赋!$AB$19:$AB$25,武将天赋!$Y$7:$Y$13,求节点(武将天赋!$BI$6:$BI$9,武将天赋!$BL$6:$BL$9,S86))</f>
        <v>0.77448707174414166</v>
      </c>
      <c r="Y86" s="17">
        <f>求节点(武将天赋!$AB$19:$AB$25,武将天赋!$Y$7:$Y$13,求节点(武将天赋!$BI$6:$BI$9,武将天赋!$BL$6:$BL$9,T86))</f>
        <v>0.83285961631090877</v>
      </c>
      <c r="Z86" s="17">
        <f>求节点(武将天赋!$AB$19:$AB$25,武将天赋!$Y$7:$Y$13,求节点(武将天赋!$BI$6:$BI$9,武将天赋!$BL$6:$BL$9,U86))</f>
        <v>0.97603658040061525</v>
      </c>
      <c r="AA86" s="17">
        <f>求节点(武将天赋!$AB$19:$AB$25,武将天赋!$Y$7:$Y$13,求节点(武将天赋!$BI$6:$BI$9,武将天赋!$BL$6:$BL$9,V86))</f>
        <v>1</v>
      </c>
      <c r="AE86" s="56">
        <v>21148</v>
      </c>
      <c r="AF86" s="56">
        <v>146.07830147206653</v>
      </c>
      <c r="AH86" s="56"/>
      <c r="AI86" s="56"/>
      <c r="AJ86" s="56"/>
      <c r="AK86" s="56"/>
      <c r="AL86" s="56">
        <f>IFERROR(求节点(武将天赋!$AC$31:$AC$37,武将天赋!$Y$7:$Y$13,武将数量星级阶位验证!BM86/基础状态预期!J96),0)</f>
        <v>1</v>
      </c>
      <c r="AM86" s="17">
        <f>求节点(武将天赋进度验证!$Q$5:$Q$164,武将天赋进度验证!$X$5:$X$164,$AF86)</f>
        <v>1</v>
      </c>
    </row>
    <row r="87" spans="2:39" x14ac:dyDescent="0.15">
      <c r="B87" s="17">
        <v>83</v>
      </c>
      <c r="C87" s="144">
        <f>'[1]功能-实力'!BF87</f>
        <v>12166800</v>
      </c>
      <c r="D87" s="144">
        <f>'[1]功能-实力'!BG87</f>
        <v>14536902</v>
      </c>
      <c r="E87" s="144">
        <f>'[1]功能-实力'!BH87</f>
        <v>16499406</v>
      </c>
      <c r="F87" s="144">
        <f>'[1]功能-实力'!BI87</f>
        <v>22101444</v>
      </c>
      <c r="G87" s="144">
        <f>'[1]功能-实力'!BJ87</f>
        <v>24853368</v>
      </c>
      <c r="Q87" s="17">
        <v>83</v>
      </c>
      <c r="R87" s="17">
        <f t="shared" si="12"/>
        <v>2.2587657899647207</v>
      </c>
      <c r="S87" s="17">
        <f t="shared" si="13"/>
        <v>2.6015925570738609</v>
      </c>
      <c r="T87" s="17">
        <f t="shared" si="14"/>
        <v>2.8854617330666055</v>
      </c>
      <c r="U87" s="17">
        <f t="shared" si="15"/>
        <v>3.4478199376167451</v>
      </c>
      <c r="V87" s="17">
        <f t="shared" si="16"/>
        <v>3.7040191618479028</v>
      </c>
      <c r="W87" s="17">
        <f>求节点(武将天赋!$AB$19:$AB$25,武将天赋!$Y$7:$Y$13,求节点(武将天赋!$BI$6:$BI$9,武将天赋!$BL$6:$BL$9,R87))</f>
        <v>0.72417017554771568</v>
      </c>
      <c r="X87" s="17">
        <f>求节点(武将天赋!$AB$19:$AB$25,武将天赋!$Y$7:$Y$13,求节点(武将天赋!$BI$6:$BI$9,武将天赋!$BL$6:$BL$9,S87))</f>
        <v>0.80035390157196906</v>
      </c>
      <c r="Y87" s="17">
        <f>求节点(武将天赋!$AB$19:$AB$25,武将天赋!$Y$7:$Y$13,求节点(武将天赋!$BI$6:$BI$9,武将天赋!$BL$6:$BL$9,T87))</f>
        <v>0.86343594068146789</v>
      </c>
      <c r="Z87" s="17">
        <f>求节点(武将天赋!$AB$19:$AB$25,武将天赋!$Y$7:$Y$13,求节点(武将天赋!$BI$6:$BI$9,武将天赋!$BL$6:$BL$9,U87))</f>
        <v>1</v>
      </c>
      <c r="AA87" s="17">
        <f>求节点(武将天赋!$AB$19:$AB$25,武将天赋!$Y$7:$Y$13,求节点(武将天赋!$BI$6:$BI$9,武将天赋!$BL$6:$BL$9,V87))</f>
        <v>1</v>
      </c>
      <c r="AE87" s="56">
        <v>26962</v>
      </c>
      <c r="AF87" s="56">
        <v>149.61701338734093</v>
      </c>
      <c r="AH87" s="56"/>
      <c r="AI87" s="56"/>
      <c r="AJ87" s="56"/>
      <c r="AK87" s="56"/>
      <c r="AL87" s="56">
        <f>IFERROR(求节点(武将天赋!$AC$31:$AC$37,武将天赋!$Y$7:$Y$13,武将数量星级阶位验证!BM87/基础状态预期!J97),0)</f>
        <v>1</v>
      </c>
      <c r="AM87" s="17">
        <f>求节点(武将天赋进度验证!$Q$5:$Q$164,武将天赋进度验证!$X$5:$X$164,$AF87)</f>
        <v>1</v>
      </c>
    </row>
    <row r="88" spans="2:39" x14ac:dyDescent="0.15">
      <c r="B88" s="17">
        <v>84</v>
      </c>
      <c r="C88" s="144">
        <f>'[1]功能-实力'!BF88</f>
        <v>12808284</v>
      </c>
      <c r="D88" s="144">
        <f>'[1]功能-实力'!BG88</f>
        <v>15375210</v>
      </c>
      <c r="E88" s="144">
        <f>'[1]功能-实力'!BH88</f>
        <v>17502642</v>
      </c>
      <c r="F88" s="144">
        <f>'[1]功能-实力'!BI88</f>
        <v>23575740</v>
      </c>
      <c r="G88" s="144">
        <f>'[1]功能-实力'!BJ88</f>
        <v>26399580</v>
      </c>
      <c r="Q88" s="17">
        <v>84</v>
      </c>
      <c r="R88" s="17">
        <f t="shared" si="12"/>
        <v>2.3515541534496003</v>
      </c>
      <c r="S88" s="17">
        <f t="shared" si="13"/>
        <v>2.7228508073439879</v>
      </c>
      <c r="T88" s="17">
        <f t="shared" si="14"/>
        <v>3.0196796601989471</v>
      </c>
      <c r="U88" s="17">
        <f t="shared" si="15"/>
        <v>3.5850742700354816</v>
      </c>
      <c r="V88" s="17">
        <f t="shared" si="16"/>
        <v>3.8479687458105802</v>
      </c>
      <c r="W88" s="17">
        <f>求节点(武将天赋!$AB$19:$AB$25,武将天赋!$Y$7:$Y$13,求节点(武将天赋!$BI$6:$BI$9,武将天赋!$BL$6:$BL$9,R88))</f>
        <v>0.74478981187768889</v>
      </c>
      <c r="X88" s="17">
        <f>求节点(武将天赋!$AB$19:$AB$25,武将天赋!$Y$7:$Y$13,求节点(武将天赋!$BI$6:$BI$9,武将天赋!$BL$6:$BL$9,S88))</f>
        <v>0.82730017940977507</v>
      </c>
      <c r="Y88" s="17">
        <f>求节点(武将天赋!$AB$19:$AB$25,武将天赋!$Y$7:$Y$13,求节点(武将天赋!$BI$6:$BI$9,武将天赋!$BL$6:$BL$9,T88))</f>
        <v>0.89435546116637421</v>
      </c>
      <c r="Z88" s="17">
        <f>求节点(武将天赋!$AB$19:$AB$25,武将天赋!$Y$7:$Y$13,求节点(武将天赋!$BI$6:$BI$9,武将天赋!$BL$6:$BL$9,U88))</f>
        <v>1</v>
      </c>
      <c r="AA88" s="17">
        <f>求节点(武将天赋!$AB$19:$AB$25,武将天赋!$Y$7:$Y$13,求节点(武将天赋!$BI$6:$BI$9,武将天赋!$BL$6:$BL$9,V88))</f>
        <v>1</v>
      </c>
      <c r="AE88" s="56">
        <v>34357</v>
      </c>
      <c r="AF88" s="56">
        <v>153.01012120353457</v>
      </c>
      <c r="AH88" s="56"/>
      <c r="AI88" s="56"/>
      <c r="AJ88" s="56"/>
      <c r="AK88" s="56"/>
      <c r="AL88" s="56">
        <f>IFERROR(求节点(武将天赋!$AC$31:$AC$37,武将天赋!$Y$7:$Y$13,武将数量星级阶位验证!BM88/基础状态预期!J98),0)</f>
        <v>1</v>
      </c>
      <c r="AM88" s="17">
        <f>求节点(武将天赋进度验证!$Q$5:$Q$164,武将天赋进度验证!$X$5:$X$164,$AF88)</f>
        <v>1</v>
      </c>
    </row>
    <row r="89" spans="2:39" x14ac:dyDescent="0.15">
      <c r="B89" s="17">
        <v>85</v>
      </c>
      <c r="C89" s="144">
        <f>'[1]功能-实力'!BF89</f>
        <v>13486830</v>
      </c>
      <c r="D89" s="144">
        <f>'[1]功能-实力'!BG89</f>
        <v>16266216</v>
      </c>
      <c r="E89" s="144">
        <f>'[1]功能-实力'!BH89</f>
        <v>18574098</v>
      </c>
      <c r="F89" s="144">
        <f>'[1]功能-实力'!BI89</f>
        <v>24980514</v>
      </c>
      <c r="G89" s="144">
        <f>'[1]功能-实力'!BJ89</f>
        <v>27979920</v>
      </c>
      <c r="Q89" s="17">
        <v>85</v>
      </c>
      <c r="R89" s="17">
        <f t="shared" si="12"/>
        <v>2.4497034025177156</v>
      </c>
      <c r="S89" s="17">
        <f t="shared" si="13"/>
        <v>2.8517316346057879</v>
      </c>
      <c r="T89" s="17">
        <f t="shared" si="14"/>
        <v>3.1194303059281965</v>
      </c>
      <c r="U89" s="17">
        <f t="shared" si="15"/>
        <v>3.7158562280474401</v>
      </c>
      <c r="V89" s="17">
        <f t="shared" si="16"/>
        <v>3.9950955858037878</v>
      </c>
      <c r="W89" s="17">
        <f>求节点(武将天赋!$AB$19:$AB$25,武将天赋!$Y$7:$Y$13,求节点(武将天赋!$BI$6:$BI$9,武将天赋!$BL$6:$BL$9,R89))</f>
        <v>0.76660075611504785</v>
      </c>
      <c r="X89" s="17">
        <f>求节点(武将天赋!$AB$19:$AB$25,武将天赋!$Y$7:$Y$13,求节点(武将天赋!$BI$6:$BI$9,武将天赋!$BL$6:$BL$9,S89))</f>
        <v>0.85594036324573064</v>
      </c>
      <c r="Y89" s="17">
        <f>求节点(武将天赋!$AB$19:$AB$25,武将天赋!$Y$7:$Y$13,求节点(武将天赋!$BI$6:$BI$9,武将天赋!$BL$6:$BL$9,T89))</f>
        <v>0.92206397386894345</v>
      </c>
      <c r="Z89" s="17">
        <f>求节点(武将天赋!$AB$19:$AB$25,武将天赋!$Y$7:$Y$13,求节点(武将天赋!$BI$6:$BI$9,武将天赋!$BL$6:$BL$9,U89))</f>
        <v>1</v>
      </c>
      <c r="AA89" s="17">
        <f>求节点(武将天赋!$AB$19:$AB$25,武将天赋!$Y$7:$Y$13,求节点(武将天赋!$BI$6:$BI$9,武将天赋!$BL$6:$BL$9,V89))</f>
        <v>1</v>
      </c>
      <c r="AE89" s="56">
        <v>43792</v>
      </c>
      <c r="AF89" s="56">
        <v>154.95970315183646</v>
      </c>
      <c r="AH89" s="56"/>
      <c r="AI89" s="56"/>
      <c r="AJ89" s="56"/>
      <c r="AK89" s="56"/>
      <c r="AL89" s="56">
        <f>IFERROR(求节点(武将天赋!$AC$31:$AC$37,武将天赋!$Y$7:$Y$13,武将数量星级阶位验证!BM89/基础状态预期!J99),0)</f>
        <v>1</v>
      </c>
      <c r="AM89" s="17">
        <f>求节点(武将天赋进度验证!$Q$5:$Q$164,武将天赋进度验证!$X$5:$X$164,$AF89)</f>
        <v>1</v>
      </c>
    </row>
    <row r="90" spans="2:39" x14ac:dyDescent="0.15">
      <c r="B90" s="17">
        <v>86</v>
      </c>
      <c r="C90" s="144">
        <f>'[1]功能-实力'!BF90</f>
        <v>14263044</v>
      </c>
      <c r="D90" s="144">
        <f>'[1]功能-实力'!BG90</f>
        <v>17245998</v>
      </c>
      <c r="E90" s="144">
        <f>'[1]功能-实力'!BH90</f>
        <v>19704816</v>
      </c>
      <c r="F90" s="144">
        <f>'[1]功能-实力'!BI90</f>
        <v>26446188</v>
      </c>
      <c r="G90" s="144">
        <f>'[1]功能-实力'!BJ90</f>
        <v>29414394</v>
      </c>
      <c r="Q90" s="17">
        <v>86</v>
      </c>
      <c r="R90" s="17">
        <f t="shared" si="12"/>
        <v>2.5619799780426735</v>
      </c>
      <c r="S90" s="17">
        <f t="shared" si="13"/>
        <v>2.9934535923661407</v>
      </c>
      <c r="T90" s="17">
        <f t="shared" si="14"/>
        <v>3.2246981383335269</v>
      </c>
      <c r="U90" s="17">
        <f t="shared" si="15"/>
        <v>3.8523078676188005</v>
      </c>
      <c r="V90" s="17">
        <f t="shared" si="16"/>
        <v>4</v>
      </c>
      <c r="W90" s="17">
        <f>求节点(武将天赋!$AB$19:$AB$25,武将天赋!$Y$7:$Y$13,求节点(武将天赋!$BI$6:$BI$9,武将天赋!$BL$6:$BL$9,R90))</f>
        <v>0.79155110623170521</v>
      </c>
      <c r="X90" s="17">
        <f>求节点(武将天赋!$AB$19:$AB$25,武将天赋!$Y$7:$Y$13,求节点(武将天赋!$BI$6:$BI$9,武将天赋!$BL$6:$BL$9,S90))</f>
        <v>0.88743413163692009</v>
      </c>
      <c r="Y90" s="17">
        <f>求节点(武将天赋!$AB$19:$AB$25,武将天赋!$Y$7:$Y$13,求节点(武将天赋!$BI$6:$BI$9,武将天赋!$BL$6:$BL$9,T90))</f>
        <v>0.9513050384259798</v>
      </c>
      <c r="Z90" s="17">
        <f>求节点(武将天赋!$AB$19:$AB$25,武将天赋!$Y$7:$Y$13,求节点(武将天赋!$BI$6:$BI$9,武将天赋!$BL$6:$BL$9,U90))</f>
        <v>1</v>
      </c>
      <c r="AA90" s="17">
        <f>求节点(武将天赋!$AB$19:$AB$25,武将天赋!$Y$7:$Y$13,求节点(武将天赋!$BI$6:$BI$9,武将天赋!$BL$6:$BL$9,V90))</f>
        <v>1</v>
      </c>
      <c r="AE90" s="56">
        <v>55675</v>
      </c>
      <c r="AF90" s="56">
        <v>157.63974470288184</v>
      </c>
      <c r="AH90" s="56"/>
      <c r="AI90" s="56"/>
      <c r="AJ90" s="56"/>
      <c r="AK90" s="56"/>
      <c r="AL90" s="56">
        <f>IFERROR(求节点(武将天赋!$AC$31:$AC$37,武将天赋!$Y$7:$Y$13,武将数量星级阶位验证!BM90/基础状态预期!J100),0)</f>
        <v>1</v>
      </c>
      <c r="AM90" s="17">
        <f>求节点(武将天赋进度验证!$Q$5:$Q$164,武将天赋进度验证!$X$5:$X$164,$AF90)</f>
        <v>1</v>
      </c>
    </row>
    <row r="91" spans="2:39" x14ac:dyDescent="0.15">
      <c r="B91" s="17">
        <v>87</v>
      </c>
      <c r="C91" s="144">
        <f>'[1]功能-实力'!BF91</f>
        <v>15095742</v>
      </c>
      <c r="D91" s="144">
        <f>'[1]功能-实力'!BG91</f>
        <v>18222336</v>
      </c>
      <c r="E91" s="144">
        <f>'[1]功能-实力'!BH91</f>
        <v>20950584</v>
      </c>
      <c r="F91" s="144">
        <f>'[1]功能-实力'!BI91</f>
        <v>27938652</v>
      </c>
      <c r="G91" s="144">
        <f>'[1]功能-实力'!BJ91</f>
        <v>30931314</v>
      </c>
      <c r="Q91" s="17">
        <v>87</v>
      </c>
      <c r="R91" s="17">
        <f t="shared" si="12"/>
        <v>2.6824267619018691</v>
      </c>
      <c r="S91" s="17">
        <f t="shared" si="13"/>
        <v>3.0866818900874975</v>
      </c>
      <c r="T91" s="17">
        <f t="shared" si="14"/>
        <v>3.3406769208769407</v>
      </c>
      <c r="U91" s="17">
        <f t="shared" si="15"/>
        <v>3.9912536084869825</v>
      </c>
      <c r="V91" s="17">
        <f t="shared" si="16"/>
        <v>4</v>
      </c>
      <c r="W91" s="17">
        <f>求节点(武将天赋!$AB$19:$AB$25,武将天赋!$Y$7:$Y$13,求节点(武将天赋!$BI$6:$BI$9,武将天赋!$BL$6:$BL$9,R91))</f>
        <v>0.81831705820041534</v>
      </c>
      <c r="X91" s="17">
        <f>求节点(武将天赋!$AB$19:$AB$25,武将天赋!$Y$7:$Y$13,求节点(武将天赋!$BI$6:$BI$9,武将天赋!$BL$6:$BL$9,S91))</f>
        <v>0.91296719169097151</v>
      </c>
      <c r="Y91" s="17">
        <f>求节点(武将天赋!$AB$19:$AB$25,武将天赋!$Y$7:$Y$13,求节点(武将天赋!$BI$6:$BI$9,武将天赋!$BL$6:$BL$9,T91))</f>
        <v>0.98352136691026137</v>
      </c>
      <c r="Z91" s="17">
        <f>求节点(武将天赋!$AB$19:$AB$25,武将天赋!$Y$7:$Y$13,求节点(武将天赋!$BI$6:$BI$9,武将天赋!$BL$6:$BL$9,U91))</f>
        <v>1</v>
      </c>
      <c r="AA91" s="17">
        <f>求节点(武将天赋!$AB$19:$AB$25,武将天赋!$Y$7:$Y$13,求节点(武将天赋!$BI$6:$BI$9,武将天赋!$BL$6:$BL$9,V91))</f>
        <v>1</v>
      </c>
    </row>
    <row r="92" spans="2:39" x14ac:dyDescent="0.15">
      <c r="B92" s="17">
        <v>88</v>
      </c>
      <c r="C92" s="144">
        <f>'[1]功能-实力'!BF92</f>
        <v>15817002</v>
      </c>
      <c r="D92" s="144">
        <f>'[1]功能-实力'!BG92</f>
        <v>19186452</v>
      </c>
      <c r="E92" s="144">
        <f>'[1]功能-实力'!BH92</f>
        <v>22276332</v>
      </c>
      <c r="F92" s="144">
        <f>'[1]功能-实力'!BI92</f>
        <v>29472528</v>
      </c>
      <c r="G92" s="144">
        <f>'[1]功能-实力'!BJ92</f>
        <v>32437440</v>
      </c>
      <c r="Q92" s="17">
        <v>88</v>
      </c>
      <c r="R92" s="17">
        <f t="shared" si="12"/>
        <v>2.786754438113753</v>
      </c>
      <c r="S92" s="17">
        <f t="shared" si="13"/>
        <v>3.1764393729499774</v>
      </c>
      <c r="T92" s="17">
        <f t="shared" si="14"/>
        <v>3.4641016990052642</v>
      </c>
      <c r="U92" s="17">
        <f t="shared" si="15"/>
        <v>4</v>
      </c>
      <c r="V92" s="17">
        <f t="shared" si="16"/>
        <v>4</v>
      </c>
      <c r="W92" s="17">
        <f>求节点(武将天赋!$AB$19:$AB$25,武将天赋!$Y$7:$Y$13,求节点(武将天赋!$BI$6:$BI$9,武将天赋!$BL$6:$BL$9,R92))</f>
        <v>0.84150098624750069</v>
      </c>
      <c r="X92" s="17">
        <f>求节点(武将天赋!$AB$19:$AB$25,武将天赋!$Y$7:$Y$13,求节点(武将天赋!$BI$6:$BI$9,武将天赋!$BL$6:$BL$9,S92))</f>
        <v>0.93789982581943809</v>
      </c>
      <c r="Y92" s="17">
        <f>求节点(武将天赋!$AB$19:$AB$25,武将天赋!$Y$7:$Y$13,求节点(武将天赋!$BI$6:$BI$9,武将天赋!$BL$6:$BL$9,T92))</f>
        <v>1</v>
      </c>
      <c r="Z92" s="17">
        <f>求节点(武将天赋!$AB$19:$AB$25,武将天赋!$Y$7:$Y$13,求节点(武将天赋!$BI$6:$BI$9,武将天赋!$BL$6:$BL$9,U92))</f>
        <v>1</v>
      </c>
      <c r="AA92" s="17">
        <f>求节点(武将天赋!$AB$19:$AB$25,武将天赋!$Y$7:$Y$13,求节点(武将天赋!$BI$6:$BI$9,武将天赋!$BL$6:$BL$9,V92))</f>
        <v>1</v>
      </c>
    </row>
    <row r="93" spans="2:39" x14ac:dyDescent="0.15">
      <c r="B93" s="17">
        <v>89</v>
      </c>
      <c r="C93" s="144">
        <f>'[1]功能-实力'!BF93</f>
        <v>16538184</v>
      </c>
      <c r="D93" s="144">
        <f>'[1]功能-实力'!BG93</f>
        <v>20189460</v>
      </c>
      <c r="E93" s="144">
        <f>'[1]功能-实力'!BH93</f>
        <v>23650704</v>
      </c>
      <c r="F93" s="144">
        <f>'[1]功能-实力'!BI93</f>
        <v>31061574</v>
      </c>
      <c r="G93" s="144">
        <f>'[1]功能-实力'!BJ93</f>
        <v>33944052</v>
      </c>
      <c r="Q93" s="17">
        <v>89</v>
      </c>
      <c r="R93" s="17">
        <f t="shared" si="12"/>
        <v>2.8910708319049498</v>
      </c>
      <c r="S93" s="17">
        <f t="shared" si="13"/>
        <v>3.269817631760048</v>
      </c>
      <c r="T93" s="17">
        <f t="shared" si="14"/>
        <v>3.5920532849520508</v>
      </c>
      <c r="U93" s="17">
        <f t="shared" si="15"/>
        <v>4</v>
      </c>
      <c r="V93" s="17">
        <f t="shared" si="16"/>
        <v>4</v>
      </c>
      <c r="W93" s="17">
        <f>求节点(武将天赋!$AB$19:$AB$25,武将天赋!$Y$7:$Y$13,求节点(武将天赋!$BI$6:$BI$9,武将天赋!$BL$6:$BL$9,R93))</f>
        <v>0.86468240708998878</v>
      </c>
      <c r="X93" s="17">
        <f>求节点(武将天赋!$AB$19:$AB$25,武将天赋!$Y$7:$Y$13,求节点(武将天赋!$BI$6:$BI$9,武将天赋!$BL$6:$BL$9,S93))</f>
        <v>0.96383823104445776</v>
      </c>
      <c r="Y93" s="17">
        <f>求节点(武将天赋!$AB$19:$AB$25,武将天赋!$Y$7:$Y$13,求节点(武将天赋!$BI$6:$BI$9,武将天赋!$BL$6:$BL$9,T93))</f>
        <v>1</v>
      </c>
      <c r="Z93" s="17">
        <f>求节点(武将天赋!$AB$19:$AB$25,武将天赋!$Y$7:$Y$13,求节点(武将天赋!$BI$6:$BI$9,武将天赋!$BL$6:$BL$9,U93))</f>
        <v>1</v>
      </c>
      <c r="AA93" s="17">
        <f>求节点(武将天赋!$AB$19:$AB$25,武将天赋!$Y$7:$Y$13,求节点(武将天赋!$BI$6:$BI$9,武将天赋!$BL$6:$BL$9,V93))</f>
        <v>1</v>
      </c>
    </row>
    <row r="94" spans="2:39" x14ac:dyDescent="0.15">
      <c r="B94" s="17">
        <v>90</v>
      </c>
      <c r="C94" s="144">
        <f>'[1]功能-实力'!BF94</f>
        <v>17291256</v>
      </c>
      <c r="D94" s="144">
        <f>'[1]功能-实力'!BG94</f>
        <v>21228654</v>
      </c>
      <c r="E94" s="144">
        <f>'[1]功能-实力'!BH94</f>
        <v>25183194</v>
      </c>
      <c r="F94" s="144">
        <f>'[1]功能-实力'!BI94</f>
        <v>32642424</v>
      </c>
      <c r="G94" s="144">
        <f>'[1]功能-实力'!BJ94</f>
        <v>35527968</v>
      </c>
      <c r="Q94" s="17">
        <v>90</v>
      </c>
      <c r="R94" s="17">
        <f t="shared" si="12"/>
        <v>3</v>
      </c>
      <c r="S94" s="17">
        <f t="shared" si="13"/>
        <v>3.3665647427361045</v>
      </c>
      <c r="T94" s="17">
        <f t="shared" si="14"/>
        <v>3.7347253751485847</v>
      </c>
      <c r="U94" s="17">
        <f t="shared" si="15"/>
        <v>4</v>
      </c>
      <c r="V94" s="17">
        <f t="shared" si="16"/>
        <v>4</v>
      </c>
      <c r="W94" s="17">
        <f>求节点(武将天赋!$AB$19:$AB$25,武将天赋!$Y$7:$Y$13,求节点(武将天赋!$BI$6:$BI$9,武将天赋!$BL$6:$BL$9,R94))</f>
        <v>0.88888888888888884</v>
      </c>
      <c r="X94" s="17">
        <f>求节点(武将天赋!$AB$19:$AB$25,武将天赋!$Y$7:$Y$13,求节点(武将天赋!$BI$6:$BI$9,武将天赋!$BL$6:$BL$9,S94))</f>
        <v>0.99071242853780683</v>
      </c>
      <c r="Y94" s="17">
        <f>求节点(武将天赋!$AB$19:$AB$25,武将天赋!$Y$7:$Y$13,求节点(武将天赋!$BI$6:$BI$9,武将天赋!$BL$6:$BL$9,T94))</f>
        <v>1</v>
      </c>
      <c r="Z94" s="17">
        <f>求节点(武将天赋!$AB$19:$AB$25,武将天赋!$Y$7:$Y$13,求节点(武将天赋!$BI$6:$BI$9,武将天赋!$BL$6:$BL$9,U94))</f>
        <v>1</v>
      </c>
      <c r="AA94" s="17">
        <f>求节点(武将天赋!$AB$19:$AB$25,武将天赋!$Y$7:$Y$13,求节点(武将天赋!$BI$6:$BI$9,武将天赋!$BL$6:$BL$9,V94))</f>
        <v>1</v>
      </c>
      <c r="AE94" s="155" t="s">
        <v>171</v>
      </c>
      <c r="AF94" s="155"/>
      <c r="AH94" s="17" t="s">
        <v>178</v>
      </c>
      <c r="AI94" s="17"/>
      <c r="AJ94" s="17"/>
      <c r="AK94" s="17"/>
      <c r="AL94" s="17"/>
    </row>
    <row r="95" spans="2:39" x14ac:dyDescent="0.15">
      <c r="B95" s="17">
        <v>91</v>
      </c>
      <c r="C95" s="144">
        <f>'[1]功能-实力'!BF95</f>
        <v>18098580</v>
      </c>
      <c r="D95" s="144">
        <f>'[1]功能-实力'!BG95</f>
        <v>22438716</v>
      </c>
      <c r="E95" s="144">
        <f>'[1]功能-实力'!BH95</f>
        <v>26665692</v>
      </c>
      <c r="F95" s="144">
        <f>'[1]功能-实力'!BI95</f>
        <v>34201908</v>
      </c>
      <c r="G95" s="144">
        <f>'[1]功能-实力'!BJ95</f>
        <v>37126566</v>
      </c>
      <c r="Q95" s="17">
        <v>91</v>
      </c>
      <c r="R95" s="17">
        <f t="shared" si="12"/>
        <v>3.0751604268516117</v>
      </c>
      <c r="S95" s="17">
        <f t="shared" si="13"/>
        <v>3.4792193602588277</v>
      </c>
      <c r="T95" s="17">
        <f t="shared" si="14"/>
        <v>3.872743299162563</v>
      </c>
      <c r="U95" s="17">
        <f t="shared" si="15"/>
        <v>4</v>
      </c>
      <c r="V95" s="17">
        <f t="shared" si="16"/>
        <v>4</v>
      </c>
      <c r="W95" s="17">
        <f>求节点(武将天赋!$AB$19:$AB$25,武将天赋!$Y$7:$Y$13,求节点(武将天赋!$BI$6:$BI$9,武将天赋!$BL$6:$BL$9,R95))</f>
        <v>0.90976678523655885</v>
      </c>
      <c r="X95" s="17">
        <f>求节点(武将天赋!$AB$19:$AB$25,武将天赋!$Y$7:$Y$13,求节点(武将天赋!$BI$6:$BI$9,武将天赋!$BL$6:$BL$9,S95))</f>
        <v>1</v>
      </c>
      <c r="Y95" s="17">
        <f>求节点(武将天赋!$AB$19:$AB$25,武将天赋!$Y$7:$Y$13,求节点(武将天赋!$BI$6:$BI$9,武将天赋!$BL$6:$BL$9,T95))</f>
        <v>1</v>
      </c>
      <c r="Z95" s="17">
        <f>求节点(武将天赋!$AB$19:$AB$25,武将天赋!$Y$7:$Y$13,求节点(武将天赋!$BI$6:$BI$9,武将天赋!$BL$6:$BL$9,U95))</f>
        <v>1</v>
      </c>
      <c r="AA95" s="17">
        <f>求节点(武将天赋!$AB$19:$AB$25,武将天赋!$Y$7:$Y$13,求节点(武将天赋!$BI$6:$BI$9,武将天赋!$BL$6:$BL$9,V95))</f>
        <v>1</v>
      </c>
      <c r="AE95" s="155"/>
      <c r="AF95" s="155"/>
      <c r="AH95" s="155" t="s">
        <v>821</v>
      </c>
      <c r="AI95" s="155"/>
      <c r="AJ95" s="155"/>
      <c r="AK95" s="155"/>
      <c r="AL95" s="155"/>
    </row>
    <row r="96" spans="2:39" x14ac:dyDescent="0.15">
      <c r="B96" s="17">
        <v>92</v>
      </c>
      <c r="C96" s="144">
        <f>'[1]功能-实力'!BF96</f>
        <v>19006596</v>
      </c>
      <c r="D96" s="144">
        <f>'[1]功能-实力'!BG96</f>
        <v>23634072</v>
      </c>
      <c r="E96" s="144">
        <f>'[1]功能-实力'!BH96</f>
        <v>28180896</v>
      </c>
      <c r="F96" s="144">
        <f>'[1]功能-实力'!BI96</f>
        <v>35877588</v>
      </c>
      <c r="G96" s="144">
        <f>'[1]功能-实力'!BJ96</f>
        <v>38795148</v>
      </c>
      <c r="Q96" s="17">
        <v>92</v>
      </c>
      <c r="R96" s="17">
        <f t="shared" si="12"/>
        <v>3.1596950996076467</v>
      </c>
      <c r="S96" s="17">
        <f t="shared" si="13"/>
        <v>3.5905048753675519</v>
      </c>
      <c r="T96" s="17">
        <f t="shared" si="14"/>
        <v>4</v>
      </c>
      <c r="U96" s="17">
        <f t="shared" si="15"/>
        <v>4</v>
      </c>
      <c r="V96" s="17">
        <f t="shared" si="16"/>
        <v>4</v>
      </c>
      <c r="W96" s="17">
        <f>求节点(武将天赋!$AB$19:$AB$25,武将天赋!$Y$7:$Y$13,求节点(武将天赋!$BI$6:$BI$9,武将天赋!$BL$6:$BL$9,R96))</f>
        <v>0.93324863877990183</v>
      </c>
      <c r="X96" s="17">
        <f>求节点(武将天赋!$AB$19:$AB$25,武将天赋!$Y$7:$Y$13,求节点(武将天赋!$BI$6:$BI$9,武将天赋!$BL$6:$BL$9,S96))</f>
        <v>1</v>
      </c>
      <c r="Y96" s="17">
        <f>求节点(武将天赋!$AB$19:$AB$25,武将天赋!$Y$7:$Y$13,求节点(武将天赋!$BI$6:$BI$9,武将天赋!$BL$6:$BL$9,T96))</f>
        <v>1</v>
      </c>
      <c r="Z96" s="17">
        <f>求节点(武将天赋!$AB$19:$AB$25,武将天赋!$Y$7:$Y$13,求节点(武将天赋!$BI$6:$BI$9,武将天赋!$BL$6:$BL$9,U96))</f>
        <v>1</v>
      </c>
      <c r="AA96" s="17">
        <f>求节点(武将天赋!$AB$19:$AB$25,武将天赋!$Y$7:$Y$13,求节点(武将天赋!$BI$6:$BI$9,武将天赋!$BL$6:$BL$9,V96))</f>
        <v>1</v>
      </c>
      <c r="AE96" s="56" t="s">
        <v>170</v>
      </c>
      <c r="AF96" s="56" t="s">
        <v>484</v>
      </c>
      <c r="AH96" s="56" t="s">
        <v>3</v>
      </c>
      <c r="AI96" s="56" t="s">
        <v>1</v>
      </c>
      <c r="AJ96" s="56" t="s">
        <v>2</v>
      </c>
      <c r="AK96" s="56" t="s">
        <v>0</v>
      </c>
      <c r="AL96" s="56" t="s">
        <v>545</v>
      </c>
    </row>
    <row r="97" spans="2:39" x14ac:dyDescent="0.15">
      <c r="B97" s="17">
        <v>93</v>
      </c>
      <c r="C97" s="144">
        <f>'[1]功能-实力'!BF97</f>
        <v>19904082</v>
      </c>
      <c r="D97" s="144">
        <f>'[1]功能-实力'!BG97</f>
        <v>24859284</v>
      </c>
      <c r="E97" s="144">
        <f>'[1]功能-实力'!BH97</f>
        <v>29798394</v>
      </c>
      <c r="F97" s="144">
        <f>'[1]功能-实力'!BI97</f>
        <v>37686966</v>
      </c>
      <c r="G97" s="144">
        <f>'[1]功能-实力'!BJ97</f>
        <v>40509822</v>
      </c>
      <c r="Q97" s="17">
        <v>93</v>
      </c>
      <c r="R97" s="17">
        <f t="shared" si="12"/>
        <v>3.2432494481137555</v>
      </c>
      <c r="S97" s="17">
        <f t="shared" si="13"/>
        <v>3.7045699309136735</v>
      </c>
      <c r="T97" s="17">
        <f t="shared" si="14"/>
        <v>4</v>
      </c>
      <c r="U97" s="17">
        <f t="shared" si="15"/>
        <v>4</v>
      </c>
      <c r="V97" s="17">
        <f t="shared" si="16"/>
        <v>4</v>
      </c>
      <c r="W97" s="17">
        <f>求节点(武将天赋!$AB$19:$AB$25,武将天赋!$Y$7:$Y$13,求节点(武将天赋!$BI$6:$BI$9,武将天赋!$BL$6:$BL$9,R97))</f>
        <v>0.95645818003159877</v>
      </c>
      <c r="X97" s="17">
        <f>求节点(武将天赋!$AB$19:$AB$25,武将天赋!$Y$7:$Y$13,求节点(武将天赋!$BI$6:$BI$9,武将天赋!$BL$6:$BL$9,S97))</f>
        <v>1</v>
      </c>
      <c r="Y97" s="17">
        <f>求节点(武将天赋!$AB$19:$AB$25,武将天赋!$Y$7:$Y$13,求节点(武将天赋!$BI$6:$BI$9,武将天赋!$BL$6:$BL$9,T97))</f>
        <v>1</v>
      </c>
      <c r="Z97" s="17">
        <f>求节点(武将天赋!$AB$19:$AB$25,武将天赋!$Y$7:$Y$13,求节点(武将天赋!$BI$6:$BI$9,武将天赋!$BL$6:$BL$9,U97))</f>
        <v>1</v>
      </c>
      <c r="AA97" s="17">
        <f>求节点(武将天赋!$AB$19:$AB$25,武将天赋!$Y$7:$Y$13,求节点(武将天赋!$BI$6:$BI$9,武将天赋!$BL$6:$BL$9,V97))</f>
        <v>1</v>
      </c>
      <c r="AE97" s="56">
        <v>0.7</v>
      </c>
      <c r="AF97" s="56">
        <v>10.099965341977441</v>
      </c>
      <c r="AH97" s="56"/>
      <c r="AI97" s="56"/>
      <c r="AJ97" s="56"/>
      <c r="AK97" s="56"/>
      <c r="AL97" s="56">
        <f>IFERROR(求节点(武将天赋!$AC$31:$AC$37,武将天赋!$Y$7:$Y$13,武将数量星级阶位验证!BM97/基础状态预期!J107),0)</f>
        <v>0</v>
      </c>
      <c r="AM97" s="17">
        <f>求节点(武将天赋进度验证!$Q$5:$Q$164,武将天赋进度验证!$Y$5:$Y$164,$AF97)</f>
        <v>0.1</v>
      </c>
    </row>
    <row r="98" spans="2:39" x14ac:dyDescent="0.15">
      <c r="B98" s="17">
        <v>94</v>
      </c>
      <c r="C98" s="144">
        <f>'[1]功能-实力'!BF98</f>
        <v>20815824</v>
      </c>
      <c r="D98" s="144">
        <f>'[1]功能-实力'!BG98</f>
        <v>26229192</v>
      </c>
      <c r="E98" s="144">
        <f>'[1]功能-实力'!BH98</f>
        <v>31489416</v>
      </c>
      <c r="F98" s="144">
        <f>'[1]功能-实力'!BI98</f>
        <v>39570000</v>
      </c>
      <c r="G98" s="144">
        <f>'[1]功能-实力'!BJ98</f>
        <v>42273102</v>
      </c>
      <c r="Q98" s="17">
        <v>94</v>
      </c>
      <c r="R98" s="17">
        <f t="shared" si="12"/>
        <v>3.3281310048351491</v>
      </c>
      <c r="S98" s="17">
        <f t="shared" si="13"/>
        <v>3.8321059264092092</v>
      </c>
      <c r="T98" s="17">
        <f t="shared" si="14"/>
        <v>4</v>
      </c>
      <c r="U98" s="17">
        <f t="shared" si="15"/>
        <v>4</v>
      </c>
      <c r="V98" s="17">
        <f t="shared" si="16"/>
        <v>4</v>
      </c>
      <c r="W98" s="17">
        <f>求节点(武将天赋!$AB$19:$AB$25,武将天赋!$Y$7:$Y$13,求节点(武将天赋!$BI$6:$BI$9,武将天赋!$BL$6:$BL$9,R98))</f>
        <v>0.98003639023198597</v>
      </c>
      <c r="X98" s="17">
        <f>求节点(武将天赋!$AB$19:$AB$25,武将天赋!$Y$7:$Y$13,求节点(武将天赋!$BI$6:$BI$9,武将天赋!$BL$6:$BL$9,S98))</f>
        <v>1</v>
      </c>
      <c r="Y98" s="17">
        <f>求节点(武将天赋!$AB$19:$AB$25,武将天赋!$Y$7:$Y$13,求节点(武将天赋!$BI$6:$BI$9,武将天赋!$BL$6:$BL$9,T98))</f>
        <v>1</v>
      </c>
      <c r="Z98" s="17">
        <f>求节点(武将天赋!$AB$19:$AB$25,武将天赋!$Y$7:$Y$13,求节点(武将天赋!$BI$6:$BI$9,武将天赋!$BL$6:$BL$9,U98))</f>
        <v>1</v>
      </c>
      <c r="AA98" s="17">
        <f>求节点(武将天赋!$AB$19:$AB$25,武将天赋!$Y$7:$Y$13,求节点(武将天赋!$BI$6:$BI$9,武将天赋!$BL$6:$BL$9,V98))</f>
        <v>1</v>
      </c>
      <c r="AE98" s="56">
        <v>2.0999999999999996</v>
      </c>
      <c r="AF98" s="56">
        <v>19.800198258084681</v>
      </c>
      <c r="AH98" s="56"/>
      <c r="AI98" s="56"/>
      <c r="AJ98" s="56"/>
      <c r="AK98" s="56"/>
      <c r="AL98" s="56">
        <f>IFERROR(求节点(武将天赋!$AC$31:$AC$37,武将天赋!$Y$7:$Y$13,武将数量星级阶位验证!BM98/基础状态预期!J108),0)</f>
        <v>0</v>
      </c>
      <c r="AM98" s="17">
        <f>求节点(武将天赋进度验证!$Q$5:$Q$164,武将天赋进度验证!$Y$5:$Y$164,$AF98)</f>
        <v>0.1</v>
      </c>
    </row>
    <row r="99" spans="2:39" x14ac:dyDescent="0.15">
      <c r="B99" s="17">
        <v>95</v>
      </c>
      <c r="C99" s="144">
        <f>'[1]功能-实力'!BF99</f>
        <v>21781194</v>
      </c>
      <c r="D99" s="144">
        <f>'[1]功能-实力'!BG99</f>
        <v>27716802</v>
      </c>
      <c r="E99" s="144">
        <f>'[1]功能-实力'!BH99</f>
        <v>33124146</v>
      </c>
      <c r="F99" s="144">
        <f>'[1]功能-实力'!BI99</f>
        <v>41333814</v>
      </c>
      <c r="G99" s="144">
        <f>'[1]功能-实力'!BJ99</f>
        <v>43861572</v>
      </c>
      <c r="Q99" s="17">
        <v>95</v>
      </c>
      <c r="R99" s="17">
        <f t="shared" si="12"/>
        <v>3.4180052328647141</v>
      </c>
      <c r="S99" s="17">
        <f t="shared" si="13"/>
        <v>3.9705997685205872</v>
      </c>
      <c r="T99" s="17">
        <f t="shared" si="14"/>
        <v>4</v>
      </c>
      <c r="U99" s="17">
        <f t="shared" si="15"/>
        <v>4</v>
      </c>
      <c r="V99" s="17">
        <f t="shared" si="16"/>
        <v>4</v>
      </c>
      <c r="W99" s="17">
        <f>求节点(武将天赋!$AB$19:$AB$25,武将天赋!$Y$7:$Y$13,求节点(武将天赋!$BI$6:$BI$9,武将天赋!$BL$6:$BL$9,R99))</f>
        <v>1</v>
      </c>
      <c r="X99" s="17">
        <f>求节点(武将天赋!$AB$19:$AB$25,武将天赋!$Y$7:$Y$13,求节点(武将天赋!$BI$6:$BI$9,武将天赋!$BL$6:$BL$9,S99))</f>
        <v>1</v>
      </c>
      <c r="Y99" s="17">
        <f>求节点(武将天赋!$AB$19:$AB$25,武将天赋!$Y$7:$Y$13,求节点(武将天赋!$BI$6:$BI$9,武将天赋!$BL$6:$BL$9,T99))</f>
        <v>1</v>
      </c>
      <c r="Z99" s="17">
        <f>求节点(武将天赋!$AB$19:$AB$25,武将天赋!$Y$7:$Y$13,求节点(武将天赋!$BI$6:$BI$9,武将天赋!$BL$6:$BL$9,U99))</f>
        <v>1</v>
      </c>
      <c r="AA99" s="17">
        <f>求节点(武将天赋!$AB$19:$AB$25,武将天赋!$Y$7:$Y$13,求节点(武将天赋!$BI$6:$BI$9,武将天赋!$BL$6:$BL$9,V99))</f>
        <v>1</v>
      </c>
      <c r="AE99" s="56">
        <v>4.1999999999999993</v>
      </c>
      <c r="AF99" s="56">
        <v>27.769105021676069</v>
      </c>
      <c r="AH99" s="56"/>
      <c r="AI99" s="56"/>
      <c r="AJ99" s="56"/>
      <c r="AK99" s="56"/>
      <c r="AL99" s="56">
        <f>IFERROR(求节点(武将天赋!$AC$31:$AC$37,武将天赋!$Y$7:$Y$13,武将数量星级阶位验证!BM99/基础状态预期!J109),0)</f>
        <v>0</v>
      </c>
      <c r="AM99" s="17">
        <f>求节点(武将天赋进度验证!$Q$5:$Q$164,武将天赋进度验证!$Y$5:$Y$164,$AF99)</f>
        <v>0.1</v>
      </c>
    </row>
    <row r="100" spans="2:39" x14ac:dyDescent="0.15">
      <c r="B100" s="17">
        <v>96</v>
      </c>
      <c r="C100" s="144">
        <f>'[1]功能-实力'!BF100</f>
        <v>22829142</v>
      </c>
      <c r="D100" s="144">
        <f>'[1]功能-实力'!BG100</f>
        <v>29476164</v>
      </c>
      <c r="E100" s="144">
        <f>'[1]功能-实力'!BH100</f>
        <v>34755150</v>
      </c>
      <c r="F100" s="144">
        <f>'[1]功能-实力'!BI100</f>
        <v>43071978</v>
      </c>
      <c r="G100" s="144">
        <f>'[1]功能-实力'!BJ100</f>
        <v>45475242</v>
      </c>
      <c r="Q100" s="17">
        <v>96</v>
      </c>
      <c r="R100" s="17">
        <f t="shared" si="12"/>
        <v>3.5155673256531026</v>
      </c>
      <c r="S100" s="17">
        <f t="shared" si="13"/>
        <v>4</v>
      </c>
      <c r="T100" s="17">
        <f t="shared" si="14"/>
        <v>4</v>
      </c>
      <c r="U100" s="17">
        <f t="shared" si="15"/>
        <v>4</v>
      </c>
      <c r="V100" s="17">
        <f t="shared" si="16"/>
        <v>4</v>
      </c>
      <c r="W100" s="17">
        <f>求节点(武将天赋!$AB$19:$AB$25,武将天赋!$Y$7:$Y$13,求节点(武将天赋!$BI$6:$BI$9,武将天赋!$BL$6:$BL$9,R100))</f>
        <v>1</v>
      </c>
      <c r="X100" s="17">
        <f>求节点(武将天赋!$AB$19:$AB$25,武将天赋!$Y$7:$Y$13,求节点(武将天赋!$BI$6:$BI$9,武将天赋!$BL$6:$BL$9,S100))</f>
        <v>1</v>
      </c>
      <c r="Y100" s="17">
        <f>求节点(武将天赋!$AB$19:$AB$25,武将天赋!$Y$7:$Y$13,求节点(武将天赋!$BI$6:$BI$9,武将天赋!$BL$6:$BL$9,T100))</f>
        <v>1</v>
      </c>
      <c r="Z100" s="17">
        <f>求节点(武将天赋!$AB$19:$AB$25,武将天赋!$Y$7:$Y$13,求节点(武将天赋!$BI$6:$BI$9,武将天赋!$BL$6:$BL$9,U100))</f>
        <v>1</v>
      </c>
      <c r="AA100" s="17">
        <f>求节点(武将天赋!$AB$19:$AB$25,武将天赋!$Y$7:$Y$13,求节点(武将天赋!$BI$6:$BI$9,武将天赋!$BL$6:$BL$9,V100))</f>
        <v>1</v>
      </c>
      <c r="AE100" s="56">
        <v>7</v>
      </c>
      <c r="AF100" s="56">
        <v>34.192155176139416</v>
      </c>
      <c r="AH100" s="56"/>
      <c r="AI100" s="56"/>
      <c r="AJ100" s="56"/>
      <c r="AK100" s="56"/>
      <c r="AL100" s="56">
        <f>IFERROR(求节点(武将天赋!$AC$31:$AC$37,武将天赋!$Y$7:$Y$13,武将数量星级阶位验证!BM100/基础状态预期!J110),0)</f>
        <v>0</v>
      </c>
      <c r="AM100" s="17">
        <f>求节点(武将天赋进度验证!$Q$5:$Q$164,武将天赋进度验证!$Y$5:$Y$164,$AF100)</f>
        <v>0.1</v>
      </c>
    </row>
    <row r="101" spans="2:39" x14ac:dyDescent="0.15">
      <c r="B101" s="17">
        <v>97</v>
      </c>
      <c r="C101" s="144">
        <f>'[1]功能-实力'!BF101</f>
        <v>24095190</v>
      </c>
      <c r="D101" s="144">
        <f>'[1]功能-实力'!BG101</f>
        <v>31042554</v>
      </c>
      <c r="E101" s="144">
        <f>'[1]功能-实力'!BH101</f>
        <v>36402156</v>
      </c>
      <c r="F101" s="144">
        <f>'[1]功能-实力'!BI101</f>
        <v>44869992</v>
      </c>
      <c r="G101" s="144">
        <f>'[1]功能-实力'!BJ101</f>
        <v>47178978</v>
      </c>
      <c r="Q101" s="17">
        <v>97</v>
      </c>
      <c r="R101" s="17">
        <f t="shared" ref="R101:R132" si="17">IF(求节点($L$5:$L$8,$J$5:$J$8,C101)&lt;1,0,求节点($L$5:$L$8,$J$5:$J$8,C101))</f>
        <v>3.6334341400852628</v>
      </c>
      <c r="S101" s="17">
        <f t="shared" ref="S101:S132" si="18">IF(求节点($L$5:$L$8,$J$5:$J$8,D101)&lt;1,0,求节点($L$5:$L$8,$J$5:$J$8,D101))</f>
        <v>4</v>
      </c>
      <c r="T101" s="17">
        <f t="shared" ref="T101:T132" si="19">IF(求节点($L$5:$L$8,$J$5:$J$8,E101)&lt;1,0,求节点($L$5:$L$8,$J$5:$J$8,E101))</f>
        <v>4</v>
      </c>
      <c r="U101" s="17">
        <f t="shared" ref="U101:U132" si="20">IF(求节点($L$5:$L$8,$J$5:$J$8,F101)&lt;1,0,求节点($L$5:$L$8,$J$5:$J$8,F101))</f>
        <v>4</v>
      </c>
      <c r="V101" s="17">
        <f t="shared" ref="V101:V132" si="21">IF(求节点($L$5:$L$8,$J$5:$J$8,G101)&lt;1,0,求节点($L$5:$L$8,$J$5:$J$8,G101))</f>
        <v>4</v>
      </c>
      <c r="W101" s="17">
        <f>求节点(武将天赋!$AB$19:$AB$25,武将天赋!$Y$7:$Y$13,求节点(武将天赋!$BI$6:$BI$9,武将天赋!$BL$6:$BL$9,R101))</f>
        <v>1</v>
      </c>
      <c r="X101" s="17">
        <f>求节点(武将天赋!$AB$19:$AB$25,武将天赋!$Y$7:$Y$13,求节点(武将天赋!$BI$6:$BI$9,武将天赋!$BL$6:$BL$9,S101))</f>
        <v>1</v>
      </c>
      <c r="Y101" s="17">
        <f>求节点(武将天赋!$AB$19:$AB$25,武将天赋!$Y$7:$Y$13,求节点(武将天赋!$BI$6:$BI$9,武将天赋!$BL$6:$BL$9,T101))</f>
        <v>1</v>
      </c>
      <c r="Z101" s="17">
        <f>求节点(武将天赋!$AB$19:$AB$25,武将天赋!$Y$7:$Y$13,求节点(武将天赋!$BI$6:$BI$9,武将天赋!$BL$6:$BL$9,U101))</f>
        <v>1</v>
      </c>
      <c r="AA101" s="17">
        <f>求节点(武将天赋!$AB$19:$AB$25,武将天赋!$Y$7:$Y$13,求节点(武将天赋!$BI$6:$BI$9,武将天赋!$BL$6:$BL$9,V101))</f>
        <v>1</v>
      </c>
      <c r="AE101" s="56">
        <v>10.5</v>
      </c>
      <c r="AF101" s="56">
        <v>39.631851677253941</v>
      </c>
      <c r="AH101" s="56"/>
      <c r="AI101" s="56"/>
      <c r="AJ101" s="56"/>
      <c r="AK101" s="56"/>
      <c r="AL101" s="56">
        <f>IFERROR(求节点(武将天赋!$AC$31:$AC$37,武将天赋!$Y$7:$Y$13,武将数量星级阶位验证!BM101/基础状态预期!J111),0)</f>
        <v>0</v>
      </c>
      <c r="AM101" s="17">
        <f>求节点(武将天赋进度验证!$Q$5:$Q$164,武将天赋进度验证!$Y$5:$Y$164,$AF101)</f>
        <v>0.1</v>
      </c>
    </row>
    <row r="102" spans="2:39" x14ac:dyDescent="0.15">
      <c r="B102" s="17">
        <v>98</v>
      </c>
      <c r="C102" s="144">
        <f>'[1]功能-实力'!BF102</f>
        <v>25382688</v>
      </c>
      <c r="D102" s="144">
        <f>'[1]功能-实力'!BG102</f>
        <v>32405550</v>
      </c>
      <c r="E102" s="144">
        <f>'[1]功能-实力'!BH102</f>
        <v>38074512</v>
      </c>
      <c r="F102" s="144">
        <f>'[1]功能-实力'!BI102</f>
        <v>46679910</v>
      </c>
      <c r="G102" s="144">
        <f>'[1]功能-实力'!BJ102</f>
        <v>48939996</v>
      </c>
      <c r="Q102" s="17">
        <v>98</v>
      </c>
      <c r="R102" s="17">
        <f t="shared" si="17"/>
        <v>3.7532979113228286</v>
      </c>
      <c r="S102" s="17">
        <f t="shared" si="18"/>
        <v>4</v>
      </c>
      <c r="T102" s="17">
        <f t="shared" si="19"/>
        <v>4</v>
      </c>
      <c r="U102" s="17">
        <f t="shared" si="20"/>
        <v>4</v>
      </c>
      <c r="V102" s="17">
        <f t="shared" si="21"/>
        <v>4</v>
      </c>
      <c r="W102" s="17">
        <f>求节点(武将天赋!$AB$19:$AB$25,武将天赋!$Y$7:$Y$13,求节点(武将天赋!$BI$6:$BI$9,武将天赋!$BL$6:$BL$9,R102))</f>
        <v>1</v>
      </c>
      <c r="X102" s="17">
        <f>求节点(武将天赋!$AB$19:$AB$25,武将天赋!$Y$7:$Y$13,求节点(武将天赋!$BI$6:$BI$9,武将天赋!$BL$6:$BL$9,S102))</f>
        <v>1</v>
      </c>
      <c r="Y102" s="17">
        <f>求节点(武将天赋!$AB$19:$AB$25,武将天赋!$Y$7:$Y$13,求节点(武将天赋!$BI$6:$BI$9,武将天赋!$BL$6:$BL$9,T102))</f>
        <v>1</v>
      </c>
      <c r="Z102" s="17">
        <f>求节点(武将天赋!$AB$19:$AB$25,武将天赋!$Y$7:$Y$13,求节点(武将天赋!$BI$6:$BI$9,武将天赋!$BL$6:$BL$9,U102))</f>
        <v>1</v>
      </c>
      <c r="AA102" s="17">
        <f>求节点(武将天赋!$AB$19:$AB$25,武将天赋!$Y$7:$Y$13,求节点(武将天赋!$BI$6:$BI$9,武将天赋!$BL$6:$BL$9,V102))</f>
        <v>1</v>
      </c>
      <c r="AE102" s="56">
        <v>14</v>
      </c>
      <c r="AF102" s="56">
        <v>43.484929789964411</v>
      </c>
      <c r="AH102" s="56"/>
      <c r="AI102" s="56"/>
      <c r="AJ102" s="56"/>
      <c r="AK102" s="56"/>
      <c r="AL102" s="56">
        <f>IFERROR(求节点(武将天赋!$AC$31:$AC$37,武将天赋!$Y$7:$Y$13,武将数量星级阶位验证!BM102/基础状态预期!J112),0)</f>
        <v>0</v>
      </c>
      <c r="AM102" s="17">
        <f>求节点(武将天赋进度验证!$Q$5:$Q$164,武将天赋进度验证!$Y$5:$Y$164,$AF102)</f>
        <v>0.1</v>
      </c>
    </row>
    <row r="103" spans="2:39" x14ac:dyDescent="0.15">
      <c r="B103" s="17">
        <v>99</v>
      </c>
      <c r="C103" s="144">
        <f>'[1]功能-实力'!BF103</f>
        <v>26683890</v>
      </c>
      <c r="D103" s="144">
        <f>'[1]功能-实力'!BG103</f>
        <v>33707160</v>
      </c>
      <c r="E103" s="144">
        <f>'[1]功能-实力'!BH103</f>
        <v>39800592</v>
      </c>
      <c r="F103" s="144">
        <f>'[1]功能-实力'!BI103</f>
        <v>48540606</v>
      </c>
      <c r="G103" s="144">
        <f>'[1]功能-实力'!BJ103</f>
        <v>50718744</v>
      </c>
      <c r="Q103" s="17">
        <v>99</v>
      </c>
      <c r="R103" s="17">
        <f t="shared" si="17"/>
        <v>3.8744375005585892</v>
      </c>
      <c r="S103" s="17">
        <f t="shared" si="18"/>
        <v>4</v>
      </c>
      <c r="T103" s="17">
        <f t="shared" si="19"/>
        <v>4</v>
      </c>
      <c r="U103" s="17">
        <f t="shared" si="20"/>
        <v>4</v>
      </c>
      <c r="V103" s="17">
        <f t="shared" si="21"/>
        <v>4</v>
      </c>
      <c r="W103" s="17">
        <f>求节点(武将天赋!$AB$19:$AB$25,武将天赋!$Y$7:$Y$13,求节点(武将天赋!$BI$6:$BI$9,武将天赋!$BL$6:$BL$9,R103))</f>
        <v>1</v>
      </c>
      <c r="X103" s="17">
        <f>求节点(武将天赋!$AB$19:$AB$25,武将天赋!$Y$7:$Y$13,求节点(武将天赋!$BI$6:$BI$9,武将天赋!$BL$6:$BL$9,S103))</f>
        <v>1</v>
      </c>
      <c r="Y103" s="17">
        <f>求节点(武将天赋!$AB$19:$AB$25,武将天赋!$Y$7:$Y$13,求节点(武将天赋!$BI$6:$BI$9,武将天赋!$BL$6:$BL$9,T103))</f>
        <v>1</v>
      </c>
      <c r="Z103" s="17">
        <f>求节点(武将天赋!$AB$19:$AB$25,武将天赋!$Y$7:$Y$13,求节点(武将天赋!$BI$6:$BI$9,武将天赋!$BL$6:$BL$9,U103))</f>
        <v>1</v>
      </c>
      <c r="AA103" s="17">
        <f>求节点(武将天赋!$AB$19:$AB$25,武将天赋!$Y$7:$Y$13,求节点(武将天赋!$BI$6:$BI$9,武将天赋!$BL$6:$BL$9,V103))</f>
        <v>1</v>
      </c>
      <c r="AE103" s="56">
        <v>21</v>
      </c>
      <c r="AF103" s="56">
        <v>49.18886033229559</v>
      </c>
      <c r="AH103" s="56"/>
      <c r="AI103" s="56"/>
      <c r="AJ103" s="56"/>
      <c r="AK103" s="56"/>
      <c r="AL103" s="56">
        <f>IFERROR(求节点(武将天赋!$AC$31:$AC$37,武将天赋!$Y$7:$Y$13,武将数量星级阶位验证!BM103/基础状态预期!J113),0)</f>
        <v>0</v>
      </c>
      <c r="AM103" s="17">
        <f>求节点(武将天赋进度验证!$Q$5:$Q$164,武将天赋进度验证!$Y$5:$Y$164,$AF103)</f>
        <v>0.1</v>
      </c>
    </row>
    <row r="104" spans="2:39" x14ac:dyDescent="0.15">
      <c r="B104" s="17">
        <v>100</v>
      </c>
      <c r="C104" s="144">
        <f>'[1]功能-实力'!BF104</f>
        <v>28032600</v>
      </c>
      <c r="D104" s="144">
        <f>'[1]功能-实力'!BG104</f>
        <v>35026062</v>
      </c>
      <c r="E104" s="144">
        <f>'[1]功能-实力'!BH104</f>
        <v>41578920</v>
      </c>
      <c r="F104" s="144">
        <f>'[1]功能-实力'!BI104</f>
        <v>50433888</v>
      </c>
      <c r="G104" s="144">
        <f>'[1]功能-实力'!BJ104</f>
        <v>52547082</v>
      </c>
      <c r="Q104" s="17">
        <v>100</v>
      </c>
      <c r="R104" s="17">
        <f t="shared" si="17"/>
        <v>4</v>
      </c>
      <c r="S104" s="17">
        <f t="shared" si="18"/>
        <v>4</v>
      </c>
      <c r="T104" s="17">
        <f t="shared" si="19"/>
        <v>4</v>
      </c>
      <c r="U104" s="17">
        <f t="shared" si="20"/>
        <v>4</v>
      </c>
      <c r="V104" s="17">
        <f t="shared" si="21"/>
        <v>4</v>
      </c>
      <c r="W104" s="17">
        <f>求节点(武将天赋!$AB$19:$AB$25,武将天赋!$Y$7:$Y$13,求节点(武将天赋!$BI$6:$BI$9,武将天赋!$BL$6:$BL$9,R104))</f>
        <v>1</v>
      </c>
      <c r="X104" s="17">
        <f>求节点(武将天赋!$AB$19:$AB$25,武将天赋!$Y$7:$Y$13,求节点(武将天赋!$BI$6:$BI$9,武将天赋!$BL$6:$BL$9,S104))</f>
        <v>1</v>
      </c>
      <c r="Y104" s="17">
        <f>求节点(武将天赋!$AB$19:$AB$25,武将天赋!$Y$7:$Y$13,求节点(武将天赋!$BI$6:$BI$9,武将天赋!$BL$6:$BL$9,T104))</f>
        <v>1</v>
      </c>
      <c r="Z104" s="17">
        <f>求节点(武将天赋!$AB$19:$AB$25,武将天赋!$Y$7:$Y$13,求节点(武将天赋!$BI$6:$BI$9,武将天赋!$BL$6:$BL$9,U104))</f>
        <v>1</v>
      </c>
      <c r="AA104" s="17">
        <f>求节点(武将天赋!$AB$19:$AB$25,武将天赋!$Y$7:$Y$13,求节点(武将天赋!$BI$6:$BI$9,武将天赋!$BL$6:$BL$9,V104))</f>
        <v>1</v>
      </c>
      <c r="AE104" s="56">
        <v>28</v>
      </c>
      <c r="AF104" s="56">
        <v>53.212684955585161</v>
      </c>
      <c r="AH104" s="56"/>
      <c r="AI104" s="56"/>
      <c r="AJ104" s="56"/>
      <c r="AK104" s="56"/>
      <c r="AL104" s="56">
        <f>IFERROR(求节点(武将天赋!$AC$31:$AC$37,武将天赋!$Y$7:$Y$13,武将数量星级阶位验证!BM104/基础状态预期!J114),0)</f>
        <v>6.1124115295701914E-3</v>
      </c>
      <c r="AM104" s="17">
        <f>求节点(武将天赋进度验证!$Q$5:$Q$164,武将天赋进度验证!$Y$5:$Y$164,$AF104)</f>
        <v>0.1</v>
      </c>
    </row>
    <row r="105" spans="2:39" x14ac:dyDescent="0.15">
      <c r="B105" s="17">
        <v>101</v>
      </c>
      <c r="C105" s="144">
        <f>'[1]功能-实力'!BF105</f>
        <v>29383224</v>
      </c>
      <c r="D105" s="144">
        <f>'[1]功能-实力'!BG105</f>
        <v>36499212</v>
      </c>
      <c r="E105" s="144">
        <f>'[1]功能-实力'!BH105</f>
        <v>42905862</v>
      </c>
      <c r="F105" s="144">
        <f>'[1]功能-实力'!BI105</f>
        <v>51779076</v>
      </c>
      <c r="G105" s="144">
        <f>'[1]功能-实力'!BJ105</f>
        <v>53863188</v>
      </c>
      <c r="Q105" s="17">
        <v>101</v>
      </c>
      <c r="R105" s="17">
        <f t="shared" si="17"/>
        <v>4</v>
      </c>
      <c r="S105" s="17">
        <f t="shared" si="18"/>
        <v>4</v>
      </c>
      <c r="T105" s="17">
        <f t="shared" si="19"/>
        <v>4</v>
      </c>
      <c r="U105" s="17">
        <f t="shared" si="20"/>
        <v>4</v>
      </c>
      <c r="V105" s="17">
        <f t="shared" si="21"/>
        <v>4</v>
      </c>
      <c r="W105" s="17">
        <f>求节点(武将天赋!$AB$19:$AB$25,武将天赋!$Y$7:$Y$13,求节点(武将天赋!$BI$6:$BI$9,武将天赋!$BL$6:$BL$9,R105))</f>
        <v>1</v>
      </c>
      <c r="X105" s="17">
        <f>求节点(武将天赋!$AB$19:$AB$25,武将天赋!$Y$7:$Y$13,求节点(武将天赋!$BI$6:$BI$9,武将天赋!$BL$6:$BL$9,S105))</f>
        <v>1</v>
      </c>
      <c r="Y105" s="17">
        <f>求节点(武将天赋!$AB$19:$AB$25,武将天赋!$Y$7:$Y$13,求节点(武将天赋!$BI$6:$BI$9,武将天赋!$BL$6:$BL$9,T105))</f>
        <v>1</v>
      </c>
      <c r="Z105" s="17">
        <f>求节点(武将天赋!$AB$19:$AB$25,武将天赋!$Y$7:$Y$13,求节点(武将天赋!$BI$6:$BI$9,武将天赋!$BL$6:$BL$9,U105))</f>
        <v>1</v>
      </c>
      <c r="AA105" s="17">
        <f>求节点(武将天赋!$AB$19:$AB$25,武将天赋!$Y$7:$Y$13,求节点(武将天赋!$BI$6:$BI$9,武将天赋!$BL$6:$BL$9,V105))</f>
        <v>1</v>
      </c>
      <c r="AE105" s="56">
        <v>42</v>
      </c>
      <c r="AF105" s="56">
        <v>59.09095196730258</v>
      </c>
      <c r="AH105" s="56"/>
      <c r="AI105" s="56"/>
      <c r="AJ105" s="56"/>
      <c r="AK105" s="56"/>
      <c r="AL105" s="56">
        <f>IFERROR(求节点(武将天赋!$AC$31:$AC$37,武将天赋!$Y$7:$Y$13,武将数量星级阶位验证!BM105/基础状态预期!J115),0)</f>
        <v>1.3098597779328605E-2</v>
      </c>
      <c r="AM105" s="17">
        <f>求节点(武将天赋进度验证!$Q$5:$Q$164,武将天赋进度验证!$Y$5:$Y$164,$AF105)</f>
        <v>0.1</v>
      </c>
    </row>
    <row r="106" spans="2:39" x14ac:dyDescent="0.15">
      <c r="B106" s="17">
        <v>102</v>
      </c>
      <c r="C106" s="144">
        <f>'[1]功能-实力'!BF106</f>
        <v>30593802</v>
      </c>
      <c r="D106" s="144">
        <f>'[1]功能-实力'!BG106</f>
        <v>38009940</v>
      </c>
      <c r="E106" s="144">
        <f>'[1]功能-实力'!BH106</f>
        <v>44243268</v>
      </c>
      <c r="F106" s="144">
        <f>'[1]功能-实力'!BI106</f>
        <v>53160024</v>
      </c>
      <c r="G106" s="144">
        <f>'[1]功能-实力'!BJ106</f>
        <v>55209306</v>
      </c>
      <c r="Q106" s="17">
        <v>102</v>
      </c>
      <c r="R106" s="17">
        <f t="shared" si="17"/>
        <v>4</v>
      </c>
      <c r="S106" s="17">
        <f t="shared" si="18"/>
        <v>4</v>
      </c>
      <c r="T106" s="17">
        <f t="shared" si="19"/>
        <v>4</v>
      </c>
      <c r="U106" s="17">
        <f t="shared" si="20"/>
        <v>4</v>
      </c>
      <c r="V106" s="17">
        <f t="shared" si="21"/>
        <v>4</v>
      </c>
      <c r="W106" s="17">
        <f>求节点(武将天赋!$AB$19:$AB$25,武将天赋!$Y$7:$Y$13,求节点(武将天赋!$BI$6:$BI$9,武将天赋!$BL$6:$BL$9,R106))</f>
        <v>1</v>
      </c>
      <c r="X106" s="17">
        <f>求节点(武将天赋!$AB$19:$AB$25,武将天赋!$Y$7:$Y$13,求节点(武将天赋!$BI$6:$BI$9,武将天赋!$BL$6:$BL$9,S106))</f>
        <v>1</v>
      </c>
      <c r="Y106" s="17">
        <f>求节点(武将天赋!$AB$19:$AB$25,武将天赋!$Y$7:$Y$13,求节点(武将天赋!$BI$6:$BI$9,武将天赋!$BL$6:$BL$9,T106))</f>
        <v>1</v>
      </c>
      <c r="Z106" s="17">
        <f>求节点(武将天赋!$AB$19:$AB$25,武将天赋!$Y$7:$Y$13,求节点(武将天赋!$BI$6:$BI$9,武将天赋!$BL$6:$BL$9,U106))</f>
        <v>1</v>
      </c>
      <c r="AA106" s="17">
        <f>求节点(武将天赋!$AB$19:$AB$25,武将天赋!$Y$7:$Y$13,求节点(武将天赋!$BI$6:$BI$9,武将天赋!$BL$6:$BL$9,V106))</f>
        <v>1</v>
      </c>
      <c r="AE106" s="56">
        <v>62.999999999999993</v>
      </c>
      <c r="AF106" s="56">
        <v>64.819145630244321</v>
      </c>
      <c r="AH106" s="56"/>
      <c r="AI106" s="56"/>
      <c r="AJ106" s="56"/>
      <c r="AK106" s="56"/>
      <c r="AL106" s="56">
        <f>IFERROR(求节点(武将天赋!$AC$31:$AC$37,武将天赋!$Y$7:$Y$13,武将数量星级阶位验证!BM106/基础状态预期!J116),0)</f>
        <v>2.7788316564233626E-2</v>
      </c>
      <c r="AM106" s="17">
        <f>求节点(武将天赋进度验证!$Q$5:$Q$164,武将天赋进度验证!$Y$5:$Y$164,$AF106)</f>
        <v>0.1</v>
      </c>
    </row>
    <row r="107" spans="2:39" x14ac:dyDescent="0.15">
      <c r="B107" s="17">
        <v>103</v>
      </c>
      <c r="C107" s="144">
        <f>'[1]功能-实力'!BF107</f>
        <v>31843374</v>
      </c>
      <c r="D107" s="144">
        <f>'[1]功能-实力'!BG107</f>
        <v>39568560</v>
      </c>
      <c r="E107" s="144">
        <f>'[1]功能-实力'!BH107</f>
        <v>45640866</v>
      </c>
      <c r="F107" s="144">
        <f>'[1]功能-实力'!BI107</f>
        <v>54594072</v>
      </c>
      <c r="G107" s="144">
        <f>'[1]功能-实力'!BJ107</f>
        <v>56636340</v>
      </c>
      <c r="Q107" s="17">
        <v>103</v>
      </c>
      <c r="R107" s="17">
        <f t="shared" si="17"/>
        <v>4</v>
      </c>
      <c r="S107" s="17">
        <f t="shared" si="18"/>
        <v>4</v>
      </c>
      <c r="T107" s="17">
        <f t="shared" si="19"/>
        <v>4</v>
      </c>
      <c r="U107" s="17">
        <f t="shared" si="20"/>
        <v>4</v>
      </c>
      <c r="V107" s="17">
        <f t="shared" si="21"/>
        <v>4</v>
      </c>
      <c r="W107" s="17">
        <f>求节点(武将天赋!$AB$19:$AB$25,武将天赋!$Y$7:$Y$13,求节点(武将天赋!$BI$6:$BI$9,武将天赋!$BL$6:$BL$9,R107))</f>
        <v>1</v>
      </c>
      <c r="X107" s="17">
        <f>求节点(武将天赋!$AB$19:$AB$25,武将天赋!$Y$7:$Y$13,求节点(武将天赋!$BI$6:$BI$9,武将天赋!$BL$6:$BL$9,S107))</f>
        <v>1</v>
      </c>
      <c r="Y107" s="17">
        <f>求节点(武将天赋!$AB$19:$AB$25,武将天赋!$Y$7:$Y$13,求节点(武将天赋!$BI$6:$BI$9,武将天赋!$BL$6:$BL$9,T107))</f>
        <v>1</v>
      </c>
      <c r="Z107" s="17">
        <f>求节点(武将天赋!$AB$19:$AB$25,武将天赋!$Y$7:$Y$13,求节点(武将天赋!$BI$6:$BI$9,武将天赋!$BL$6:$BL$9,U107))</f>
        <v>1</v>
      </c>
      <c r="AA107" s="17">
        <f>求节点(武将天赋!$AB$19:$AB$25,武将天赋!$Y$7:$Y$13,求节点(武将天赋!$BI$6:$BI$9,武将天赋!$BL$6:$BL$9,V107))</f>
        <v>1</v>
      </c>
      <c r="AE107" s="56">
        <v>84</v>
      </c>
      <c r="AF107" s="56">
        <v>69.01697485309198</v>
      </c>
      <c r="AH107" s="56"/>
      <c r="AI107" s="56"/>
      <c r="AJ107" s="56"/>
      <c r="AK107" s="56"/>
      <c r="AL107" s="56">
        <f>IFERROR(求节点(武将天赋!$AC$31:$AC$37,武将天赋!$Y$7:$Y$13,武将数量星级阶位验证!BM107/基础状态预期!J117),0)</f>
        <v>3.4527252308767215E-2</v>
      </c>
      <c r="AM107" s="17">
        <f>求节点(武将天赋进度验证!$Q$5:$Q$164,武将天赋进度验证!$Y$5:$Y$164,$AF107)</f>
        <v>0.5</v>
      </c>
    </row>
    <row r="108" spans="2:39" x14ac:dyDescent="0.15">
      <c r="B108" s="17">
        <v>104</v>
      </c>
      <c r="C108" s="144">
        <f>'[1]功能-实力'!BF108</f>
        <v>33129204</v>
      </c>
      <c r="D108" s="144">
        <f>'[1]功能-实力'!BG108</f>
        <v>41090652</v>
      </c>
      <c r="E108" s="144">
        <f>'[1]功能-实力'!BH108</f>
        <v>47102370</v>
      </c>
      <c r="F108" s="144">
        <f>'[1]功能-实力'!BI108</f>
        <v>56104620</v>
      </c>
      <c r="G108" s="144">
        <f>'[1]功能-实力'!BJ108</f>
        <v>58171056</v>
      </c>
      <c r="Q108" s="17">
        <v>104</v>
      </c>
      <c r="R108" s="17">
        <f t="shared" si="17"/>
        <v>4</v>
      </c>
      <c r="S108" s="17">
        <f t="shared" si="18"/>
        <v>4</v>
      </c>
      <c r="T108" s="17">
        <f t="shared" si="19"/>
        <v>4</v>
      </c>
      <c r="U108" s="17">
        <f t="shared" si="20"/>
        <v>4</v>
      </c>
      <c r="V108" s="17">
        <f t="shared" si="21"/>
        <v>4</v>
      </c>
      <c r="W108" s="17">
        <f>求节点(武将天赋!$AB$19:$AB$25,武将天赋!$Y$7:$Y$13,求节点(武将天赋!$BI$6:$BI$9,武将天赋!$BL$6:$BL$9,R108))</f>
        <v>1</v>
      </c>
      <c r="X108" s="17">
        <f>求节点(武将天赋!$AB$19:$AB$25,武将天赋!$Y$7:$Y$13,求节点(武将天赋!$BI$6:$BI$9,武将天赋!$BL$6:$BL$9,S108))</f>
        <v>1</v>
      </c>
      <c r="Y108" s="17">
        <f>求节点(武将天赋!$AB$19:$AB$25,武将天赋!$Y$7:$Y$13,求节点(武将天赋!$BI$6:$BI$9,武将天赋!$BL$6:$BL$9,T108))</f>
        <v>1</v>
      </c>
      <c r="Z108" s="17">
        <f>求节点(武将天赋!$AB$19:$AB$25,武将天赋!$Y$7:$Y$13,求节点(武将天赋!$BI$6:$BI$9,武将天赋!$BL$6:$BL$9,U108))</f>
        <v>1</v>
      </c>
      <c r="AA108" s="17">
        <f>求节点(武将天赋!$AB$19:$AB$25,武将天赋!$Y$7:$Y$13,求节点(武将天赋!$BI$6:$BI$9,武将天赋!$BL$6:$BL$9,V108))</f>
        <v>1</v>
      </c>
      <c r="AE108" s="56">
        <v>105</v>
      </c>
      <c r="AF108" s="56">
        <v>72.23150684883845</v>
      </c>
      <c r="AH108" s="56"/>
      <c r="AI108" s="56"/>
      <c r="AJ108" s="56"/>
      <c r="AK108" s="56"/>
      <c r="AL108" s="56">
        <f>IFERROR(求节点(武将天赋!$AC$31:$AC$37,武将天赋!$Y$7:$Y$13,武将数量星级阶位验证!BM108/基础状态预期!J118),0)</f>
        <v>3.6910546653913939E-2</v>
      </c>
      <c r="AM108" s="17">
        <f>求节点(武将天赋进度验证!$Q$5:$Q$164,武将天赋进度验证!$Y$5:$Y$164,$AF108)</f>
        <v>0.5</v>
      </c>
    </row>
    <row r="109" spans="2:39" x14ac:dyDescent="0.15">
      <c r="B109" s="17">
        <v>105</v>
      </c>
      <c r="C109" s="144">
        <f>'[1]功能-实力'!BF109</f>
        <v>34317504</v>
      </c>
      <c r="D109" s="144">
        <f>'[1]功能-实力'!BG109</f>
        <v>42634938</v>
      </c>
      <c r="E109" s="144">
        <f>'[1]功能-实力'!BH109</f>
        <v>48616944</v>
      </c>
      <c r="F109" s="144">
        <f>'[1]功能-实力'!BI109</f>
        <v>57633126</v>
      </c>
      <c r="G109" s="144">
        <f>'[1]功能-实力'!BJ109</f>
        <v>59767812</v>
      </c>
      <c r="Q109" s="17">
        <v>105</v>
      </c>
      <c r="R109" s="17">
        <f t="shared" si="17"/>
        <v>4</v>
      </c>
      <c r="S109" s="17">
        <f t="shared" si="18"/>
        <v>4</v>
      </c>
      <c r="T109" s="17">
        <f t="shared" si="19"/>
        <v>4</v>
      </c>
      <c r="U109" s="17">
        <f t="shared" si="20"/>
        <v>4</v>
      </c>
      <c r="V109" s="17">
        <f t="shared" si="21"/>
        <v>4</v>
      </c>
      <c r="W109" s="17">
        <f>求节点(武将天赋!$AB$19:$AB$25,武将天赋!$Y$7:$Y$13,求节点(武将天赋!$BI$6:$BI$9,武将天赋!$BL$6:$BL$9,R109))</f>
        <v>1</v>
      </c>
      <c r="X109" s="17">
        <f>求节点(武将天赋!$AB$19:$AB$25,武将天赋!$Y$7:$Y$13,求节点(武将天赋!$BI$6:$BI$9,武将天赋!$BL$6:$BL$9,S109))</f>
        <v>1</v>
      </c>
      <c r="Y109" s="17">
        <f>求节点(武将天赋!$AB$19:$AB$25,武将天赋!$Y$7:$Y$13,求节点(武将天赋!$BI$6:$BI$9,武将天赋!$BL$6:$BL$9,T109))</f>
        <v>1</v>
      </c>
      <c r="Z109" s="17">
        <f>求节点(武将天赋!$AB$19:$AB$25,武将天赋!$Y$7:$Y$13,求节点(武将天赋!$BI$6:$BI$9,武将天赋!$BL$6:$BL$9,U109))</f>
        <v>1</v>
      </c>
      <c r="AA109" s="17">
        <f>求节点(武将天赋!$AB$19:$AB$25,武将天赋!$Y$7:$Y$13,求节点(武将天赋!$BI$6:$BI$9,武将天赋!$BL$6:$BL$9,V109))</f>
        <v>1</v>
      </c>
      <c r="AE109" s="56">
        <v>125.99999999999999</v>
      </c>
      <c r="AF109" s="56">
        <v>74.840792411391348</v>
      </c>
      <c r="AH109" s="56"/>
      <c r="AI109" s="56"/>
      <c r="AJ109" s="56"/>
      <c r="AK109" s="56"/>
      <c r="AL109" s="56">
        <f>IFERROR(求节点(武将天赋!$AC$31:$AC$37,武将天赋!$Y$7:$Y$13,武将数量星级阶位验证!BM109/基础状态预期!J119),0)</f>
        <v>4.110508803180709E-2</v>
      </c>
      <c r="AM109" s="17">
        <f>求节点(武将天赋进度验证!$Q$5:$Q$164,武将天赋进度验证!$Y$5:$Y$164,$AF109)</f>
        <v>0.5</v>
      </c>
    </row>
    <row r="110" spans="2:39" x14ac:dyDescent="0.15">
      <c r="B110" s="17">
        <v>106</v>
      </c>
      <c r="C110" s="144">
        <f>'[1]功能-实力'!BF110</f>
        <v>35566662</v>
      </c>
      <c r="D110" s="144">
        <f>'[1]功能-实力'!BG110</f>
        <v>44054688</v>
      </c>
      <c r="E110" s="144">
        <f>'[1]功能-实力'!BH110</f>
        <v>50141880</v>
      </c>
      <c r="F110" s="144">
        <f>'[1]功能-实力'!BI110</f>
        <v>59210448</v>
      </c>
      <c r="G110" s="144">
        <f>'[1]功能-实力'!BJ110</f>
        <v>61224870</v>
      </c>
      <c r="Q110" s="17">
        <v>106</v>
      </c>
      <c r="R110" s="17">
        <f t="shared" si="17"/>
        <v>4</v>
      </c>
      <c r="S110" s="17">
        <f t="shared" si="18"/>
        <v>4</v>
      </c>
      <c r="T110" s="17">
        <f t="shared" si="19"/>
        <v>4</v>
      </c>
      <c r="U110" s="17">
        <f t="shared" si="20"/>
        <v>4</v>
      </c>
      <c r="V110" s="17">
        <f t="shared" si="21"/>
        <v>4</v>
      </c>
      <c r="W110" s="17">
        <f>求节点(武将天赋!$AB$19:$AB$25,武将天赋!$Y$7:$Y$13,求节点(武将天赋!$BI$6:$BI$9,武将天赋!$BL$6:$BL$9,R110))</f>
        <v>1</v>
      </c>
      <c r="X110" s="17">
        <f>求节点(武将天赋!$AB$19:$AB$25,武将天赋!$Y$7:$Y$13,求节点(武将天赋!$BI$6:$BI$9,武将天赋!$BL$6:$BL$9,S110))</f>
        <v>1</v>
      </c>
      <c r="Y110" s="17">
        <f>求节点(武将天赋!$AB$19:$AB$25,武将天赋!$Y$7:$Y$13,求节点(武将天赋!$BI$6:$BI$9,武将天赋!$BL$6:$BL$9,T110))</f>
        <v>1</v>
      </c>
      <c r="Z110" s="17">
        <f>求节点(武将天赋!$AB$19:$AB$25,武将天赋!$Y$7:$Y$13,求节点(武将天赋!$BI$6:$BI$9,武将天赋!$BL$6:$BL$9,U110))</f>
        <v>1</v>
      </c>
      <c r="AA110" s="17">
        <f>求节点(武将天赋!$AB$19:$AB$25,武将天赋!$Y$7:$Y$13,求节点(武将天赋!$BI$6:$BI$9,武将天赋!$BL$6:$BL$9,V110))</f>
        <v>1</v>
      </c>
      <c r="AE110" s="56">
        <v>154</v>
      </c>
      <c r="AF110" s="56">
        <v>77.697893604818219</v>
      </c>
      <c r="AH110" s="56"/>
      <c r="AI110" s="56"/>
      <c r="AJ110" s="56"/>
      <c r="AK110" s="56"/>
      <c r="AL110" s="56">
        <f>IFERROR(求节点(武将天赋!$AC$31:$AC$37,武将天赋!$Y$7:$Y$13,武将数量星级阶位验证!BM110/基础状态预期!J120),0)</f>
        <v>4.6994857717795047E-2</v>
      </c>
      <c r="AM110" s="17">
        <f>求节点(武将天赋进度验证!$Q$5:$Q$164,武将天赋进度验证!$Y$5:$Y$164,$AF110)</f>
        <v>0.72102037680261299</v>
      </c>
    </row>
    <row r="111" spans="2:39" x14ac:dyDescent="0.15">
      <c r="B111" s="17">
        <v>107</v>
      </c>
      <c r="C111" s="144">
        <f>'[1]功能-实力'!BF111</f>
        <v>36864570</v>
      </c>
      <c r="D111" s="144">
        <f>'[1]功能-实力'!BG111</f>
        <v>45500322</v>
      </c>
      <c r="E111" s="144">
        <f>'[1]功能-实力'!BH111</f>
        <v>51598524</v>
      </c>
      <c r="F111" s="144">
        <f>'[1]功能-实力'!BI111</f>
        <v>60739788</v>
      </c>
      <c r="G111" s="144">
        <f>'[1]功能-实力'!BJ111</f>
        <v>62672808</v>
      </c>
      <c r="Q111" s="17">
        <v>107</v>
      </c>
      <c r="R111" s="17">
        <f t="shared" si="17"/>
        <v>4</v>
      </c>
      <c r="S111" s="17">
        <f t="shared" si="18"/>
        <v>4</v>
      </c>
      <c r="T111" s="17">
        <f t="shared" si="19"/>
        <v>4</v>
      </c>
      <c r="U111" s="17">
        <f t="shared" si="20"/>
        <v>4</v>
      </c>
      <c r="V111" s="17">
        <f t="shared" si="21"/>
        <v>4</v>
      </c>
      <c r="W111" s="17">
        <f>求节点(武将天赋!$AB$19:$AB$25,武将天赋!$Y$7:$Y$13,求节点(武将天赋!$BI$6:$BI$9,武将天赋!$BL$6:$BL$9,R111))</f>
        <v>1</v>
      </c>
      <c r="X111" s="17">
        <f>求节点(武将天赋!$AB$19:$AB$25,武将天赋!$Y$7:$Y$13,求节点(武将天赋!$BI$6:$BI$9,武将天赋!$BL$6:$BL$9,S111))</f>
        <v>1</v>
      </c>
      <c r="Y111" s="17">
        <f>求节点(武将天赋!$AB$19:$AB$25,武将天赋!$Y$7:$Y$13,求节点(武将天赋!$BI$6:$BI$9,武将天赋!$BL$6:$BL$9,T111))</f>
        <v>1</v>
      </c>
      <c r="Z111" s="17">
        <f>求节点(武将天赋!$AB$19:$AB$25,武将天赋!$Y$7:$Y$13,求节点(武将天赋!$BI$6:$BI$9,武将天赋!$BL$6:$BL$9,U111))</f>
        <v>1</v>
      </c>
      <c r="AA111" s="17">
        <f>求节点(武将天赋!$AB$19:$AB$25,武将天赋!$Y$7:$Y$13,求节点(武将天赋!$BI$6:$BI$9,武将天赋!$BL$6:$BL$9,V111))</f>
        <v>1</v>
      </c>
      <c r="AE111" s="56">
        <v>182</v>
      </c>
      <c r="AF111" s="56">
        <v>80.134867890916794</v>
      </c>
      <c r="AH111" s="56"/>
      <c r="AI111" s="56"/>
      <c r="AJ111" s="56"/>
      <c r="AK111" s="56"/>
      <c r="AL111" s="56">
        <f>IFERROR(求节点(武将天赋!$AC$31:$AC$37,武将天赋!$Y$7:$Y$13,武将数量星级阶位验证!BM111/基础状态预期!J121),0)</f>
        <v>5.5724576911814865E-2</v>
      </c>
      <c r="AM111" s="17">
        <f>求节点(武将天赋进度验证!$Q$5:$Q$164,武将天赋进度验证!$Y$5:$Y$164,$AF111)</f>
        <v>0.78157434378650559</v>
      </c>
    </row>
    <row r="112" spans="2:39" x14ac:dyDescent="0.15">
      <c r="B112" s="17">
        <v>108</v>
      </c>
      <c r="C112" s="144">
        <f>'[1]功能-实力'!BF112</f>
        <v>38184822</v>
      </c>
      <c r="D112" s="144">
        <f>'[1]功能-实力'!BG112</f>
        <v>46986714</v>
      </c>
      <c r="E112" s="144">
        <f>'[1]功能-实力'!BH112</f>
        <v>53021196</v>
      </c>
      <c r="F112" s="144">
        <f>'[1]功能-实力'!BI112</f>
        <v>62188602</v>
      </c>
      <c r="G112" s="144">
        <f>'[1]功能-实力'!BJ112</f>
        <v>64131576</v>
      </c>
      <c r="Q112" s="17">
        <v>108</v>
      </c>
      <c r="R112" s="17">
        <f t="shared" si="17"/>
        <v>4</v>
      </c>
      <c r="S112" s="17">
        <f t="shared" si="18"/>
        <v>4</v>
      </c>
      <c r="T112" s="17">
        <f t="shared" si="19"/>
        <v>4</v>
      </c>
      <c r="U112" s="17">
        <f t="shared" si="20"/>
        <v>4</v>
      </c>
      <c r="V112" s="17">
        <f t="shared" si="21"/>
        <v>4</v>
      </c>
      <c r="W112" s="17">
        <f>求节点(武将天赋!$AB$19:$AB$25,武将天赋!$Y$7:$Y$13,求节点(武将天赋!$BI$6:$BI$9,武将天赋!$BL$6:$BL$9,R112))</f>
        <v>1</v>
      </c>
      <c r="X112" s="17">
        <f>求节点(武将天赋!$AB$19:$AB$25,武将天赋!$Y$7:$Y$13,求节点(武将天赋!$BI$6:$BI$9,武将天赋!$BL$6:$BL$9,S112))</f>
        <v>1</v>
      </c>
      <c r="Y112" s="17">
        <f>求节点(武将天赋!$AB$19:$AB$25,武将天赋!$Y$7:$Y$13,求节点(武将天赋!$BI$6:$BI$9,武将天赋!$BL$6:$BL$9,T112))</f>
        <v>1</v>
      </c>
      <c r="Z112" s="17">
        <f>求节点(武将天赋!$AB$19:$AB$25,武将天赋!$Y$7:$Y$13,求节点(武将天赋!$BI$6:$BI$9,武将天赋!$BL$6:$BL$9,U112))</f>
        <v>1</v>
      </c>
      <c r="AA112" s="17">
        <f>求节点(武将天赋!$AB$19:$AB$25,武将天赋!$Y$7:$Y$13,求节点(武将天赋!$BI$6:$BI$9,武将天赋!$BL$6:$BL$9,V112))</f>
        <v>1</v>
      </c>
      <c r="AE112" s="56">
        <v>210</v>
      </c>
      <c r="AF112" s="56">
        <v>82.238672852681816</v>
      </c>
      <c r="AH112" s="56"/>
      <c r="AI112" s="56"/>
      <c r="AJ112" s="56"/>
      <c r="AK112" s="56"/>
      <c r="AL112" s="56">
        <f>IFERROR(求节点(武将天赋!$AC$31:$AC$37,武将天赋!$Y$7:$Y$13,武将数量星级阶位验证!BM112/基础状态预期!J122),0)</f>
        <v>6.410832938220834E-2</v>
      </c>
      <c r="AM112" s="17">
        <f>求节点(武将天赋进度验证!$Q$5:$Q$164,武将天赋进度验证!$Y$5:$Y$164,$AF112)</f>
        <v>0.84015735487295462</v>
      </c>
    </row>
    <row r="113" spans="2:39" x14ac:dyDescent="0.15">
      <c r="B113" s="17">
        <v>109</v>
      </c>
      <c r="C113" s="144">
        <f>'[1]功能-实力'!BF113</f>
        <v>39549222</v>
      </c>
      <c r="D113" s="144">
        <f>'[1]功能-实力'!BG113</f>
        <v>48483138</v>
      </c>
      <c r="E113" s="144">
        <f>'[1]功能-实力'!BH113</f>
        <v>54495672</v>
      </c>
      <c r="F113" s="144">
        <f>'[1]功能-实力'!BI113</f>
        <v>63660042</v>
      </c>
      <c r="G113" s="144">
        <f>'[1]功能-实力'!BJ113</f>
        <v>65634492</v>
      </c>
      <c r="Q113" s="17">
        <v>109</v>
      </c>
      <c r="R113" s="17">
        <f t="shared" si="17"/>
        <v>4</v>
      </c>
      <c r="S113" s="17">
        <f t="shared" si="18"/>
        <v>4</v>
      </c>
      <c r="T113" s="17">
        <f t="shared" si="19"/>
        <v>4</v>
      </c>
      <c r="U113" s="17">
        <f t="shared" si="20"/>
        <v>4</v>
      </c>
      <c r="V113" s="17">
        <f t="shared" si="21"/>
        <v>4</v>
      </c>
      <c r="W113" s="17">
        <f>求节点(武将天赋!$AB$19:$AB$25,武将天赋!$Y$7:$Y$13,求节点(武将天赋!$BI$6:$BI$9,武将天赋!$BL$6:$BL$9,R113))</f>
        <v>1</v>
      </c>
      <c r="X113" s="17">
        <f>求节点(武将天赋!$AB$19:$AB$25,武将天赋!$Y$7:$Y$13,求节点(武将天赋!$BI$6:$BI$9,武将天赋!$BL$6:$BL$9,S113))</f>
        <v>1</v>
      </c>
      <c r="Y113" s="17">
        <f>求节点(武将天赋!$AB$19:$AB$25,武将天赋!$Y$7:$Y$13,求节点(武将天赋!$BI$6:$BI$9,武将天赋!$BL$6:$BL$9,T113))</f>
        <v>1</v>
      </c>
      <c r="Z113" s="17">
        <f>求节点(武将天赋!$AB$19:$AB$25,武将天赋!$Y$7:$Y$13,求节点(武将天赋!$BI$6:$BI$9,武将天赋!$BL$6:$BL$9,U113))</f>
        <v>1</v>
      </c>
      <c r="AA113" s="17">
        <f>求节点(武将天赋!$AB$19:$AB$25,武将天赋!$Y$7:$Y$13,求节点(武将天赋!$BI$6:$BI$9,武将天赋!$BL$6:$BL$9,V113))</f>
        <v>1</v>
      </c>
      <c r="AE113" s="56">
        <v>237.99999999999997</v>
      </c>
      <c r="AF113" s="56">
        <v>84.043767921022209</v>
      </c>
      <c r="AH113" s="56"/>
      <c r="AI113" s="56"/>
      <c r="AJ113" s="56"/>
      <c r="AK113" s="56"/>
      <c r="AL113" s="56">
        <f>IFERROR(求节点(武将天赋!$AC$31:$AC$37,武将天赋!$Y$7:$Y$13,武将数量星级阶位验证!BM113/基础状态预期!J123),0)</f>
        <v>7.2074316332609703E-2</v>
      </c>
      <c r="AM113" s="17">
        <f>求节点(武将天赋进度验证!$Q$5:$Q$164,武将天赋进度验证!$Y$5:$Y$164,$AF113)</f>
        <v>0.8955682051619831</v>
      </c>
    </row>
    <row r="114" spans="2:39" x14ac:dyDescent="0.15">
      <c r="B114" s="17">
        <v>110</v>
      </c>
      <c r="C114" s="144">
        <f>'[1]功能-实力'!BF114</f>
        <v>40933854</v>
      </c>
      <c r="D114" s="144">
        <f>'[1]功能-实力'!BG114</f>
        <v>50029830</v>
      </c>
      <c r="E114" s="144">
        <f>'[1]功能-实力'!BH114</f>
        <v>56013246</v>
      </c>
      <c r="F114" s="144">
        <f>'[1]功能-实力'!BI114</f>
        <v>65189592</v>
      </c>
      <c r="G114" s="144">
        <f>'[1]功能-实力'!BJ114</f>
        <v>67275450</v>
      </c>
      <c r="Q114" s="17">
        <v>110</v>
      </c>
      <c r="R114" s="17">
        <f t="shared" si="17"/>
        <v>4</v>
      </c>
      <c r="S114" s="17">
        <f t="shared" si="18"/>
        <v>4</v>
      </c>
      <c r="T114" s="17">
        <f t="shared" si="19"/>
        <v>4</v>
      </c>
      <c r="U114" s="17">
        <f t="shared" si="20"/>
        <v>4</v>
      </c>
      <c r="V114" s="17">
        <f t="shared" si="21"/>
        <v>4</v>
      </c>
      <c r="W114" s="17">
        <f>求节点(武将天赋!$AB$19:$AB$25,武将天赋!$Y$7:$Y$13,求节点(武将天赋!$BI$6:$BI$9,武将天赋!$BL$6:$BL$9,R114))</f>
        <v>1</v>
      </c>
      <c r="X114" s="17">
        <f>求节点(武将天赋!$AB$19:$AB$25,武将天赋!$Y$7:$Y$13,求节点(武将天赋!$BI$6:$BI$9,武将天赋!$BL$6:$BL$9,S114))</f>
        <v>1</v>
      </c>
      <c r="Y114" s="17">
        <f>求节点(武将天赋!$AB$19:$AB$25,武将天赋!$Y$7:$Y$13,求节点(武将天赋!$BI$6:$BI$9,武将天赋!$BL$6:$BL$9,T114))</f>
        <v>1</v>
      </c>
      <c r="Z114" s="17">
        <f>求节点(武将天赋!$AB$19:$AB$25,武将天赋!$Y$7:$Y$13,求节点(武将天赋!$BI$6:$BI$9,武将天赋!$BL$6:$BL$9,U114))</f>
        <v>1</v>
      </c>
      <c r="AA114" s="17">
        <f>求节点(武将天赋!$AB$19:$AB$25,武将天赋!$Y$7:$Y$13,求节点(武将天赋!$BI$6:$BI$9,武将天赋!$BL$6:$BL$9,V114))</f>
        <v>1</v>
      </c>
      <c r="AE114" s="56">
        <v>280</v>
      </c>
      <c r="AF114" s="56">
        <v>86.385105215793828</v>
      </c>
      <c r="AH114" s="56"/>
      <c r="AI114" s="56"/>
      <c r="AJ114" s="56"/>
      <c r="AK114" s="56"/>
      <c r="AL114" s="56">
        <f>IFERROR(求节点(武将天赋!$AC$31:$AC$37,武将天赋!$Y$7:$Y$13,武将数量星级阶位验证!BM114/基础状态预期!J124),0)</f>
        <v>8.3946026980711366E-2</v>
      </c>
      <c r="AM114" s="17">
        <f>求节点(武将天赋进度验证!$Q$5:$Q$164,武将天赋进度验证!$Y$5:$Y$164,$AF114)</f>
        <v>0.96371171455900395</v>
      </c>
    </row>
    <row r="115" spans="2:39" x14ac:dyDescent="0.15">
      <c r="B115" s="17">
        <v>111</v>
      </c>
      <c r="C115" s="144">
        <f>'[1]功能-实力'!BF115</f>
        <v>42433902</v>
      </c>
      <c r="D115" s="144">
        <f>'[1]功能-实力'!BG115</f>
        <v>51414678</v>
      </c>
      <c r="E115" s="144">
        <f>'[1]功能-实力'!BH115</f>
        <v>57675132</v>
      </c>
      <c r="F115" s="144">
        <f>'[1]功能-实力'!BI115</f>
        <v>66742326</v>
      </c>
      <c r="G115" s="144">
        <f>'[1]功能-实力'!BJ115</f>
        <v>69008196</v>
      </c>
      <c r="Q115" s="17">
        <v>111</v>
      </c>
      <c r="R115" s="17">
        <f t="shared" si="17"/>
        <v>4</v>
      </c>
      <c r="S115" s="17">
        <f t="shared" si="18"/>
        <v>4</v>
      </c>
      <c r="T115" s="17">
        <f t="shared" si="19"/>
        <v>4</v>
      </c>
      <c r="U115" s="17">
        <f t="shared" si="20"/>
        <v>4</v>
      </c>
      <c r="V115" s="17">
        <f t="shared" si="21"/>
        <v>4</v>
      </c>
      <c r="W115" s="17">
        <f>求节点(武将天赋!$AB$19:$AB$25,武将天赋!$Y$7:$Y$13,求节点(武将天赋!$BI$6:$BI$9,武将天赋!$BL$6:$BL$9,R115))</f>
        <v>1</v>
      </c>
      <c r="X115" s="17">
        <f>求节点(武将天赋!$AB$19:$AB$25,武将天赋!$Y$7:$Y$13,求节点(武将天赋!$BI$6:$BI$9,武将天赋!$BL$6:$BL$9,S115))</f>
        <v>1</v>
      </c>
      <c r="Y115" s="17">
        <f>求节点(武将天赋!$AB$19:$AB$25,武将天赋!$Y$7:$Y$13,求节点(武将天赋!$BI$6:$BI$9,武将天赋!$BL$6:$BL$9,T115))</f>
        <v>1</v>
      </c>
      <c r="Z115" s="17">
        <f>求节点(武将天赋!$AB$19:$AB$25,武将天赋!$Y$7:$Y$13,求节点(武将天赋!$BI$6:$BI$9,武将天赋!$BL$6:$BL$9,U115))</f>
        <v>1</v>
      </c>
      <c r="AA115" s="17">
        <f>求节点(武将天赋!$AB$19:$AB$25,武将天赋!$Y$7:$Y$13,求节点(武将天赋!$BI$6:$BI$9,武将天赋!$BL$6:$BL$9,V115))</f>
        <v>1</v>
      </c>
      <c r="AE115" s="56">
        <v>364</v>
      </c>
      <c r="AF115" s="56">
        <v>90.406191748048585</v>
      </c>
      <c r="AH115" s="56"/>
      <c r="AI115" s="56"/>
      <c r="AJ115" s="56"/>
      <c r="AK115" s="56"/>
      <c r="AL115" s="56">
        <f>IFERROR(求节点(武将天赋!$AC$31:$AC$37,武将天赋!$Y$7:$Y$13,武将数量星级阶位验证!BM115/基础状态预期!J125),0)</f>
        <v>0.18406921067603435</v>
      </c>
      <c r="AM115" s="17">
        <f>求节点(武将天赋进度验证!$Q$5:$Q$164,武将天赋进度验证!$Y$5:$Y$164,$AF115)</f>
        <v>1</v>
      </c>
    </row>
    <row r="116" spans="2:39" x14ac:dyDescent="0.15">
      <c r="B116" s="17">
        <v>112</v>
      </c>
      <c r="C116" s="144">
        <f>'[1]功能-实力'!BF116</f>
        <v>43968048</v>
      </c>
      <c r="D116" s="144">
        <f>'[1]功能-实力'!BG116</f>
        <v>52831218</v>
      </c>
      <c r="E116" s="144">
        <f>'[1]功能-实力'!BH116</f>
        <v>59444214</v>
      </c>
      <c r="F116" s="144">
        <f>'[1]功能-实力'!BI116</f>
        <v>68359926</v>
      </c>
      <c r="G116" s="144">
        <f>'[1]功能-实力'!BJ116</f>
        <v>70740000</v>
      </c>
      <c r="Q116" s="17">
        <v>112</v>
      </c>
      <c r="R116" s="17">
        <f t="shared" si="17"/>
        <v>4</v>
      </c>
      <c r="S116" s="17">
        <f t="shared" si="18"/>
        <v>4</v>
      </c>
      <c r="T116" s="17">
        <f t="shared" si="19"/>
        <v>4</v>
      </c>
      <c r="U116" s="17">
        <f t="shared" si="20"/>
        <v>4</v>
      </c>
      <c r="V116" s="17">
        <f t="shared" si="21"/>
        <v>4</v>
      </c>
      <c r="W116" s="17">
        <f>求节点(武将天赋!$AB$19:$AB$25,武将天赋!$Y$7:$Y$13,求节点(武将天赋!$BI$6:$BI$9,武将天赋!$BL$6:$BL$9,R116))</f>
        <v>1</v>
      </c>
      <c r="X116" s="17">
        <f>求节点(武将天赋!$AB$19:$AB$25,武将天赋!$Y$7:$Y$13,求节点(武将天赋!$BI$6:$BI$9,武将天赋!$BL$6:$BL$9,S116))</f>
        <v>1</v>
      </c>
      <c r="Y116" s="17">
        <f>求节点(武将天赋!$AB$19:$AB$25,武将天赋!$Y$7:$Y$13,求节点(武将天赋!$BI$6:$BI$9,武将天赋!$BL$6:$BL$9,T116))</f>
        <v>1</v>
      </c>
      <c r="Z116" s="17">
        <f>求节点(武将天赋!$AB$19:$AB$25,武将天赋!$Y$7:$Y$13,求节点(武将天赋!$BI$6:$BI$9,武将天赋!$BL$6:$BL$9,U116))</f>
        <v>1</v>
      </c>
      <c r="AA116" s="17">
        <f>求节点(武将天赋!$AB$19:$AB$25,武将天赋!$Y$7:$Y$13,求节点(武将天赋!$BI$6:$BI$9,武将天赋!$BL$6:$BL$9,V116))</f>
        <v>1</v>
      </c>
      <c r="AE116" s="56">
        <v>448</v>
      </c>
      <c r="AF116" s="56">
        <v>93.471491811086082</v>
      </c>
      <c r="AH116" s="56"/>
      <c r="AI116" s="56"/>
      <c r="AJ116" s="56"/>
      <c r="AK116" s="56"/>
      <c r="AL116" s="56">
        <f>IFERROR(求节点(武将天赋!$AC$31:$AC$37,武将天赋!$Y$7:$Y$13,武将数量星级阶位验证!BM116/基础状态预期!J126),0)</f>
        <v>0.46040022018631532</v>
      </c>
      <c r="AM116" s="17">
        <f>求节点(武将天赋进度验证!$Q$5:$Q$164,武将天赋进度验证!$Y$5:$Y$164,$AF116)</f>
        <v>1</v>
      </c>
    </row>
    <row r="117" spans="2:39" x14ac:dyDescent="0.15">
      <c r="B117" s="17">
        <v>113</v>
      </c>
      <c r="C117" s="144">
        <f>'[1]功能-实力'!BF117</f>
        <v>45552240</v>
      </c>
      <c r="D117" s="144">
        <f>'[1]功能-实力'!BG117</f>
        <v>54349854</v>
      </c>
      <c r="E117" s="144">
        <f>'[1]功能-实力'!BH117</f>
        <v>61300356</v>
      </c>
      <c r="F117" s="144">
        <f>'[1]功能-实力'!BI117</f>
        <v>69989712</v>
      </c>
      <c r="G117" s="144">
        <f>'[1]功能-实力'!BJ117</f>
        <v>72512370</v>
      </c>
      <c r="Q117" s="17">
        <v>113</v>
      </c>
      <c r="R117" s="17">
        <f t="shared" si="17"/>
        <v>4</v>
      </c>
      <c r="S117" s="17">
        <f t="shared" si="18"/>
        <v>4</v>
      </c>
      <c r="T117" s="17">
        <f t="shared" si="19"/>
        <v>4</v>
      </c>
      <c r="U117" s="17">
        <f t="shared" si="20"/>
        <v>4</v>
      </c>
      <c r="V117" s="17">
        <f t="shared" si="21"/>
        <v>4</v>
      </c>
      <c r="W117" s="17">
        <f>求节点(武将天赋!$AB$19:$AB$25,武将天赋!$Y$7:$Y$13,求节点(武将天赋!$BI$6:$BI$9,武将天赋!$BL$6:$BL$9,R117))</f>
        <v>1</v>
      </c>
      <c r="X117" s="17">
        <f>求节点(武将天赋!$AB$19:$AB$25,武将天赋!$Y$7:$Y$13,求节点(武将天赋!$BI$6:$BI$9,武将天赋!$BL$6:$BL$9,S117))</f>
        <v>1</v>
      </c>
      <c r="Y117" s="17">
        <f>求节点(武将天赋!$AB$19:$AB$25,武将天赋!$Y$7:$Y$13,求节点(武将天赋!$BI$6:$BI$9,武将天赋!$BL$6:$BL$9,T117))</f>
        <v>1</v>
      </c>
      <c r="Z117" s="17">
        <f>求节点(武将天赋!$AB$19:$AB$25,武将天赋!$Y$7:$Y$13,求节点(武将天赋!$BI$6:$BI$9,武将天赋!$BL$6:$BL$9,U117))</f>
        <v>1</v>
      </c>
      <c r="AA117" s="17">
        <f>求节点(武将天赋!$AB$19:$AB$25,武将天赋!$Y$7:$Y$13,求节点(武将天赋!$BI$6:$BI$9,武将天赋!$BL$6:$BL$9,V117))</f>
        <v>1</v>
      </c>
      <c r="AE117" s="56">
        <v>574</v>
      </c>
      <c r="AF117" s="56">
        <v>97.107381566993553</v>
      </c>
      <c r="AH117" s="56"/>
      <c r="AI117" s="56"/>
      <c r="AJ117" s="56"/>
      <c r="AK117" s="56"/>
      <c r="AL117" s="56">
        <f>IFERROR(求节点(武将天赋!$AC$31:$AC$37,武将天赋!$Y$7:$Y$13,武将数量星级阶位验证!BM117/基础状态预期!J127),0)</f>
        <v>0.65345243307971157</v>
      </c>
      <c r="AM117" s="17">
        <f>求节点(武将天赋进度验证!$Q$5:$Q$164,武将天赋进度验证!$Y$5:$Y$164,$AF117)</f>
        <v>1</v>
      </c>
    </row>
    <row r="118" spans="2:39" x14ac:dyDescent="0.15">
      <c r="B118" s="17">
        <v>114</v>
      </c>
      <c r="C118" s="144">
        <f>'[1]功能-实力'!BF118</f>
        <v>47248842</v>
      </c>
      <c r="D118" s="144">
        <f>'[1]功能-实力'!BG118</f>
        <v>55940922</v>
      </c>
      <c r="E118" s="144">
        <f>'[1]功能-实力'!BH118</f>
        <v>63179628</v>
      </c>
      <c r="F118" s="144">
        <f>'[1]功能-实力'!BI118</f>
        <v>71645928</v>
      </c>
      <c r="G118" s="144">
        <f>'[1]功能-实力'!BJ118</f>
        <v>74326314</v>
      </c>
      <c r="Q118" s="17">
        <v>114</v>
      </c>
      <c r="R118" s="17">
        <f t="shared" si="17"/>
        <v>4</v>
      </c>
      <c r="S118" s="17">
        <f t="shared" si="18"/>
        <v>4</v>
      </c>
      <c r="T118" s="17">
        <f t="shared" si="19"/>
        <v>4</v>
      </c>
      <c r="U118" s="17">
        <f t="shared" si="20"/>
        <v>4</v>
      </c>
      <c r="V118" s="17">
        <f t="shared" si="21"/>
        <v>4</v>
      </c>
      <c r="W118" s="17">
        <f>求节点(武将天赋!$AB$19:$AB$25,武将天赋!$Y$7:$Y$13,求节点(武将天赋!$BI$6:$BI$9,武将天赋!$BL$6:$BL$9,R118))</f>
        <v>1</v>
      </c>
      <c r="X118" s="17">
        <f>求节点(武将天赋!$AB$19:$AB$25,武将天赋!$Y$7:$Y$13,求节点(武将天赋!$BI$6:$BI$9,武将天赋!$BL$6:$BL$9,S118))</f>
        <v>1</v>
      </c>
      <c r="Y118" s="17">
        <f>求节点(武将天赋!$AB$19:$AB$25,武将天赋!$Y$7:$Y$13,求节点(武将天赋!$BI$6:$BI$9,武将天赋!$BL$6:$BL$9,T118))</f>
        <v>1</v>
      </c>
      <c r="Z118" s="17">
        <f>求节点(武将天赋!$AB$19:$AB$25,武将天赋!$Y$7:$Y$13,求节点(武将天赋!$BI$6:$BI$9,武将天赋!$BL$6:$BL$9,U118))</f>
        <v>1</v>
      </c>
      <c r="AA118" s="17">
        <f>求节点(武将天赋!$AB$19:$AB$25,武将天赋!$Y$7:$Y$13,求节点(武将天赋!$BI$6:$BI$9,武将天赋!$BL$6:$BL$9,V118))</f>
        <v>1</v>
      </c>
      <c r="AE118" s="56">
        <v>742</v>
      </c>
      <c r="AF118" s="56">
        <v>100.71243145193914</v>
      </c>
      <c r="AH118" s="56"/>
      <c r="AI118" s="56"/>
      <c r="AJ118" s="56"/>
      <c r="AK118" s="56"/>
      <c r="AL118" s="56">
        <f>IFERROR(求节点(武将天赋!$AC$31:$AC$37,武将天赋!$Y$7:$Y$13,武将数量星级阶位验证!BM118/基础状态预期!J128),0)</f>
        <v>1</v>
      </c>
      <c r="AM118" s="17">
        <f>求节点(武将天赋进度验证!$Q$5:$Q$164,武将天赋进度验证!$Y$5:$Y$164,$AF118)</f>
        <v>1</v>
      </c>
    </row>
    <row r="119" spans="2:39" x14ac:dyDescent="0.15">
      <c r="B119" s="17">
        <v>115</v>
      </c>
      <c r="C119" s="144">
        <f>'[1]功能-实力'!BF119</f>
        <v>48995598</v>
      </c>
      <c r="D119" s="144">
        <f>'[1]功能-实力'!BG119</f>
        <v>57538848</v>
      </c>
      <c r="E119" s="144">
        <f>'[1]功能-实力'!BH119</f>
        <v>65092602</v>
      </c>
      <c r="F119" s="144">
        <f>'[1]功能-实力'!BI119</f>
        <v>73356756</v>
      </c>
      <c r="G119" s="144">
        <f>'[1]功能-实力'!BJ119</f>
        <v>76191246</v>
      </c>
      <c r="Q119" s="17">
        <v>115</v>
      </c>
      <c r="R119" s="17">
        <f t="shared" si="17"/>
        <v>4</v>
      </c>
      <c r="S119" s="17">
        <f t="shared" si="18"/>
        <v>4</v>
      </c>
      <c r="T119" s="17">
        <f t="shared" si="19"/>
        <v>4</v>
      </c>
      <c r="U119" s="17">
        <f t="shared" si="20"/>
        <v>4</v>
      </c>
      <c r="V119" s="17">
        <f t="shared" si="21"/>
        <v>4</v>
      </c>
      <c r="W119" s="17">
        <f>求节点(武将天赋!$AB$19:$AB$25,武将天赋!$Y$7:$Y$13,求节点(武将天赋!$BI$6:$BI$9,武将天赋!$BL$6:$BL$9,R119))</f>
        <v>1</v>
      </c>
      <c r="X119" s="17">
        <f>求节点(武将天赋!$AB$19:$AB$25,武将天赋!$Y$7:$Y$13,求节点(武将天赋!$BI$6:$BI$9,武将天赋!$BL$6:$BL$9,S119))</f>
        <v>1</v>
      </c>
      <c r="Y119" s="17">
        <f>求节点(武将天赋!$AB$19:$AB$25,武将天赋!$Y$7:$Y$13,求节点(武将天赋!$BI$6:$BI$9,武将天赋!$BL$6:$BL$9,T119))</f>
        <v>1</v>
      </c>
      <c r="Z119" s="17">
        <f>求节点(武将天赋!$AB$19:$AB$25,武将天赋!$Y$7:$Y$13,求节点(武将天赋!$BI$6:$BI$9,武将天赋!$BL$6:$BL$9,U119))</f>
        <v>1</v>
      </c>
      <c r="AA119" s="17">
        <f>求节点(武将天赋!$AB$19:$AB$25,武将天赋!$Y$7:$Y$13,求节点(武将天赋!$BI$6:$BI$9,武将天赋!$BL$6:$BL$9,V119))</f>
        <v>1</v>
      </c>
      <c r="AE119" s="56">
        <v>951.99999999999989</v>
      </c>
      <c r="AF119" s="56">
        <v>104.39233713204413</v>
      </c>
      <c r="AH119" s="56"/>
      <c r="AI119" s="56"/>
      <c r="AJ119" s="56"/>
      <c r="AK119" s="56"/>
      <c r="AL119" s="56">
        <f>IFERROR(求节点(武将天赋!$AC$31:$AC$37,武将天赋!$Y$7:$Y$13,武将数量星级阶位验证!BM119/基础状态预期!J129),0)</f>
        <v>1</v>
      </c>
      <c r="AM119" s="17">
        <f>求节点(武将天赋进度验证!$Q$5:$Q$164,武将天赋进度验证!$Y$5:$Y$164,$AF119)</f>
        <v>1</v>
      </c>
    </row>
    <row r="120" spans="2:39" x14ac:dyDescent="0.15">
      <c r="B120" s="17">
        <v>116</v>
      </c>
      <c r="C120" s="144">
        <f>'[1]功能-实力'!BF120</f>
        <v>50674194</v>
      </c>
      <c r="D120" s="144">
        <f>'[1]功能-实力'!BG120</f>
        <v>59188842</v>
      </c>
      <c r="E120" s="144">
        <f>'[1]功能-实力'!BH120</f>
        <v>67113756</v>
      </c>
      <c r="F120" s="144">
        <f>'[1]功能-实力'!BI120</f>
        <v>75182988</v>
      </c>
      <c r="G120" s="144">
        <f>'[1]功能-实力'!BJ120</f>
        <v>78129366</v>
      </c>
      <c r="Q120" s="17">
        <v>116</v>
      </c>
      <c r="R120" s="17">
        <f t="shared" si="17"/>
        <v>4</v>
      </c>
      <c r="S120" s="17">
        <f t="shared" si="18"/>
        <v>4</v>
      </c>
      <c r="T120" s="17">
        <f t="shared" si="19"/>
        <v>4</v>
      </c>
      <c r="U120" s="17">
        <f t="shared" si="20"/>
        <v>4</v>
      </c>
      <c r="V120" s="17">
        <f t="shared" si="21"/>
        <v>4</v>
      </c>
      <c r="W120" s="17">
        <f>求节点(武将天赋!$AB$19:$AB$25,武将天赋!$Y$7:$Y$13,求节点(武将天赋!$BI$6:$BI$9,武将天赋!$BL$6:$BL$9,R120))</f>
        <v>1</v>
      </c>
      <c r="X120" s="17">
        <f>求节点(武将天赋!$AB$19:$AB$25,武将天赋!$Y$7:$Y$13,求节点(武将天赋!$BI$6:$BI$9,武将天赋!$BL$6:$BL$9,S120))</f>
        <v>1</v>
      </c>
      <c r="Y120" s="17">
        <f>求节点(武将天赋!$AB$19:$AB$25,武将天赋!$Y$7:$Y$13,求节点(武将天赋!$BI$6:$BI$9,武将天赋!$BL$6:$BL$9,T120))</f>
        <v>1</v>
      </c>
      <c r="Z120" s="17">
        <f>求节点(武将天赋!$AB$19:$AB$25,武将天赋!$Y$7:$Y$13,求节点(武将天赋!$BI$6:$BI$9,武将天赋!$BL$6:$BL$9,U120))</f>
        <v>1</v>
      </c>
      <c r="AA120" s="17">
        <f>求节点(武将天赋!$AB$19:$AB$25,武将天赋!$Y$7:$Y$13,求节点(武将天赋!$BI$6:$BI$9,武将天赋!$BL$6:$BL$9,V120))</f>
        <v>1</v>
      </c>
      <c r="AE120" s="56">
        <v>1204</v>
      </c>
      <c r="AF120" s="56">
        <v>107.81562240612369</v>
      </c>
      <c r="AH120" s="56"/>
      <c r="AI120" s="56"/>
      <c r="AJ120" s="56"/>
      <c r="AK120" s="56"/>
      <c r="AL120" s="56">
        <f>IFERROR(求节点(武将天赋!$AC$31:$AC$37,武将天赋!$Y$7:$Y$13,武将数量星级阶位验证!BM120/基础状态预期!J130),0)</f>
        <v>1</v>
      </c>
      <c r="AM120" s="17">
        <f>求节点(武将天赋进度验证!$Q$5:$Q$164,武将天赋进度验证!$Y$5:$Y$164,$AF120)</f>
        <v>1</v>
      </c>
    </row>
    <row r="121" spans="2:39" x14ac:dyDescent="0.15">
      <c r="B121" s="17">
        <v>117</v>
      </c>
      <c r="C121" s="144">
        <f>'[1]功能-实力'!BF121</f>
        <v>52369938</v>
      </c>
      <c r="D121" s="144">
        <f>'[1]功能-实力'!BG121</f>
        <v>60858264</v>
      </c>
      <c r="E121" s="144">
        <f>'[1]功能-实力'!BH121</f>
        <v>69091866</v>
      </c>
      <c r="F121" s="144">
        <f>'[1]功能-实力'!BI121</f>
        <v>76969926</v>
      </c>
      <c r="G121" s="144">
        <f>'[1]功能-实力'!BJ121</f>
        <v>80050692</v>
      </c>
      <c r="Q121" s="17">
        <v>117</v>
      </c>
      <c r="R121" s="17">
        <f t="shared" si="17"/>
        <v>4</v>
      </c>
      <c r="S121" s="17">
        <f t="shared" si="18"/>
        <v>4</v>
      </c>
      <c r="T121" s="17">
        <f t="shared" si="19"/>
        <v>4</v>
      </c>
      <c r="U121" s="17">
        <f t="shared" si="20"/>
        <v>4</v>
      </c>
      <c r="V121" s="17">
        <f t="shared" si="21"/>
        <v>4</v>
      </c>
      <c r="W121" s="17">
        <f>求节点(武将天赋!$AB$19:$AB$25,武将天赋!$Y$7:$Y$13,求节点(武将天赋!$BI$6:$BI$9,武将天赋!$BL$6:$BL$9,R121))</f>
        <v>1</v>
      </c>
      <c r="X121" s="17">
        <f>求节点(武将天赋!$AB$19:$AB$25,武将天赋!$Y$7:$Y$13,求节点(武将天赋!$BI$6:$BI$9,武将天赋!$BL$6:$BL$9,S121))</f>
        <v>1</v>
      </c>
      <c r="Y121" s="17">
        <f>求节点(武将天赋!$AB$19:$AB$25,武将天赋!$Y$7:$Y$13,求节点(武将天赋!$BI$6:$BI$9,武将天赋!$BL$6:$BL$9,T121))</f>
        <v>1</v>
      </c>
      <c r="Z121" s="17">
        <f>求节点(武将天赋!$AB$19:$AB$25,武将天赋!$Y$7:$Y$13,求节点(武将天赋!$BI$6:$BI$9,武将天赋!$BL$6:$BL$9,U121))</f>
        <v>1</v>
      </c>
      <c r="AA121" s="17">
        <f>求节点(武将天赋!$AB$19:$AB$25,武将天赋!$Y$7:$Y$13,求节点(武将天赋!$BI$6:$BI$9,武将天赋!$BL$6:$BL$9,V121))</f>
        <v>1</v>
      </c>
      <c r="AE121" s="56">
        <v>1540</v>
      </c>
      <c r="AF121" s="56">
        <v>111.36292001894914</v>
      </c>
      <c r="AH121" s="56"/>
      <c r="AI121" s="56"/>
      <c r="AJ121" s="56"/>
      <c r="AK121" s="56"/>
      <c r="AL121" s="56">
        <f>IFERROR(求节点(武将天赋!$AC$31:$AC$37,武将天赋!$Y$7:$Y$13,武将数量星级阶位验证!BM121/基础状态预期!J131),0)</f>
        <v>1</v>
      </c>
      <c r="AM121" s="17">
        <f>求节点(武将天赋进度验证!$Q$5:$Q$164,武将天赋进度验证!$Y$5:$Y$164,$AF121)</f>
        <v>1</v>
      </c>
    </row>
    <row r="122" spans="2:39" x14ac:dyDescent="0.15">
      <c r="B122" s="17">
        <v>118</v>
      </c>
      <c r="C122" s="144">
        <f>'[1]功能-实力'!BF122</f>
        <v>54105114</v>
      </c>
      <c r="D122" s="144">
        <f>'[1]功能-实力'!BG122</f>
        <v>62540472</v>
      </c>
      <c r="E122" s="144">
        <f>'[1]功能-实力'!BH122</f>
        <v>71126316</v>
      </c>
      <c r="F122" s="144">
        <f>'[1]功能-实力'!BI122</f>
        <v>78785904</v>
      </c>
      <c r="G122" s="144">
        <f>'[1]功能-实力'!BJ122</f>
        <v>81985734</v>
      </c>
      <c r="Q122" s="17">
        <v>118</v>
      </c>
      <c r="R122" s="17">
        <f t="shared" si="17"/>
        <v>4</v>
      </c>
      <c r="S122" s="17">
        <f t="shared" si="18"/>
        <v>4</v>
      </c>
      <c r="T122" s="17">
        <f t="shared" si="19"/>
        <v>4</v>
      </c>
      <c r="U122" s="17">
        <f t="shared" si="20"/>
        <v>4</v>
      </c>
      <c r="V122" s="17">
        <f t="shared" si="21"/>
        <v>4</v>
      </c>
      <c r="W122" s="17">
        <f>求节点(武将天赋!$AB$19:$AB$25,武将天赋!$Y$7:$Y$13,求节点(武将天赋!$BI$6:$BI$9,武将天赋!$BL$6:$BL$9,R122))</f>
        <v>1</v>
      </c>
      <c r="X122" s="17">
        <f>求节点(武将天赋!$AB$19:$AB$25,武将天赋!$Y$7:$Y$13,求节点(武将天赋!$BI$6:$BI$9,武将天赋!$BL$6:$BL$9,S122))</f>
        <v>1</v>
      </c>
      <c r="Y122" s="17">
        <f>求节点(武将天赋!$AB$19:$AB$25,武将天赋!$Y$7:$Y$13,求节点(武将天赋!$BI$6:$BI$9,武将天赋!$BL$6:$BL$9,T122))</f>
        <v>1</v>
      </c>
      <c r="Z122" s="17">
        <f>求节点(武将天赋!$AB$19:$AB$25,武将天赋!$Y$7:$Y$13,求节点(武将天赋!$BI$6:$BI$9,武将天赋!$BL$6:$BL$9,U122))</f>
        <v>1</v>
      </c>
      <c r="AA122" s="17">
        <f>求节点(武将天赋!$AB$19:$AB$25,武将天赋!$Y$7:$Y$13,求节点(武将天赋!$BI$6:$BI$9,武将天赋!$BL$6:$BL$9,V122))</f>
        <v>1</v>
      </c>
      <c r="AE122" s="56">
        <v>1959.9999999999998</v>
      </c>
      <c r="AF122" s="56">
        <v>114.91934497223426</v>
      </c>
      <c r="AH122" s="56"/>
      <c r="AI122" s="56"/>
      <c r="AJ122" s="56"/>
      <c r="AK122" s="56"/>
      <c r="AL122" s="56">
        <f>IFERROR(求节点(武将天赋!$AC$31:$AC$37,武将天赋!$Y$7:$Y$13,武将数量星级阶位验证!BM122/基础状态预期!J132),0)</f>
        <v>1</v>
      </c>
      <c r="AM122" s="17">
        <f>求节点(武将天赋进度验证!$Q$5:$Q$164,武将天赋进度验证!$Y$5:$Y$164,$AF122)</f>
        <v>1</v>
      </c>
    </row>
    <row r="123" spans="2:39" x14ac:dyDescent="0.15">
      <c r="B123" s="17">
        <v>119</v>
      </c>
      <c r="C123" s="144">
        <f>'[1]功能-实力'!BF123</f>
        <v>55883148</v>
      </c>
      <c r="D123" s="144">
        <f>'[1]功能-实力'!BG123</f>
        <v>64267350</v>
      </c>
      <c r="E123" s="144">
        <f>'[1]功能-实力'!BH123</f>
        <v>73199424</v>
      </c>
      <c r="F123" s="144">
        <f>'[1]功能-实力'!BI123</f>
        <v>80642184</v>
      </c>
      <c r="G123" s="144">
        <f>'[1]功能-实力'!BJ123</f>
        <v>83929488</v>
      </c>
      <c r="Q123" s="17">
        <v>119</v>
      </c>
      <c r="R123" s="17">
        <f t="shared" si="17"/>
        <v>4</v>
      </c>
      <c r="S123" s="17">
        <f t="shared" si="18"/>
        <v>4</v>
      </c>
      <c r="T123" s="17">
        <f t="shared" si="19"/>
        <v>4</v>
      </c>
      <c r="U123" s="17">
        <f t="shared" si="20"/>
        <v>4</v>
      </c>
      <c r="V123" s="17">
        <f t="shared" si="21"/>
        <v>4</v>
      </c>
      <c r="W123" s="17">
        <f>求节点(武将天赋!$AB$19:$AB$25,武将天赋!$Y$7:$Y$13,求节点(武将天赋!$BI$6:$BI$9,武将天赋!$BL$6:$BL$9,R123))</f>
        <v>1</v>
      </c>
      <c r="X123" s="17">
        <f>求节点(武将天赋!$AB$19:$AB$25,武将天赋!$Y$7:$Y$13,求节点(武将天赋!$BI$6:$BI$9,武将天赋!$BL$6:$BL$9,S123))</f>
        <v>1</v>
      </c>
      <c r="Y123" s="17">
        <f>求节点(武将天赋!$AB$19:$AB$25,武将天赋!$Y$7:$Y$13,求节点(武将天赋!$BI$6:$BI$9,武将天赋!$BL$6:$BL$9,T123))</f>
        <v>1</v>
      </c>
      <c r="Z123" s="17">
        <f>求节点(武将天赋!$AB$19:$AB$25,武将天赋!$Y$7:$Y$13,求节点(武将天赋!$BI$6:$BI$9,武将天赋!$BL$6:$BL$9,U123))</f>
        <v>1</v>
      </c>
      <c r="AA123" s="17">
        <f>求节点(武将天赋!$AB$19:$AB$25,武将天赋!$Y$7:$Y$13,求节点(武将天赋!$BI$6:$BI$9,武将天赋!$BL$6:$BL$9,V123))</f>
        <v>1</v>
      </c>
      <c r="AE123" s="56">
        <v>2506</v>
      </c>
      <c r="AF123" s="56">
        <v>118.44741987029688</v>
      </c>
      <c r="AH123" s="56"/>
      <c r="AI123" s="56"/>
      <c r="AJ123" s="56"/>
      <c r="AK123" s="56"/>
      <c r="AL123" s="56">
        <f>IFERROR(求节点(武将天赋!$AC$31:$AC$37,武将天赋!$Y$7:$Y$13,武将数量星级阶位验证!BM123/基础状态预期!J133),0)</f>
        <v>1</v>
      </c>
      <c r="AM123" s="17">
        <f>求节点(武将天赋进度验证!$Q$5:$Q$164,武将天赋进度验证!$Y$5:$Y$164,$AF123)</f>
        <v>1</v>
      </c>
    </row>
    <row r="124" spans="2:39" x14ac:dyDescent="0.15">
      <c r="B124" s="17">
        <v>120</v>
      </c>
      <c r="C124" s="144">
        <f>'[1]功能-实力'!BF124</f>
        <v>57708882</v>
      </c>
      <c r="D124" s="144">
        <f>'[1]功能-实力'!BG124</f>
        <v>66026406</v>
      </c>
      <c r="E124" s="144">
        <f>'[1]功能-实力'!BH124</f>
        <v>75322968</v>
      </c>
      <c r="F124" s="144">
        <f>'[1]功能-实力'!BI124</f>
        <v>82496298</v>
      </c>
      <c r="G124" s="144">
        <f>'[1]功能-实力'!BJ124</f>
        <v>85922364</v>
      </c>
      <c r="Q124" s="17">
        <v>120</v>
      </c>
      <c r="R124" s="17">
        <f t="shared" si="17"/>
        <v>4</v>
      </c>
      <c r="S124" s="17">
        <f t="shared" si="18"/>
        <v>4</v>
      </c>
      <c r="T124" s="17">
        <f t="shared" si="19"/>
        <v>4</v>
      </c>
      <c r="U124" s="17">
        <f t="shared" si="20"/>
        <v>4</v>
      </c>
      <c r="V124" s="17">
        <f t="shared" si="21"/>
        <v>4</v>
      </c>
      <c r="W124" s="17">
        <f>求节点(武将天赋!$AB$19:$AB$25,武将天赋!$Y$7:$Y$13,求节点(武将天赋!$BI$6:$BI$9,武将天赋!$BL$6:$BL$9,R124))</f>
        <v>1</v>
      </c>
      <c r="X124" s="17">
        <f>求节点(武将天赋!$AB$19:$AB$25,武将天赋!$Y$7:$Y$13,求节点(武将天赋!$BI$6:$BI$9,武将天赋!$BL$6:$BL$9,S124))</f>
        <v>1</v>
      </c>
      <c r="Y124" s="17">
        <f>求节点(武将天赋!$AB$19:$AB$25,武将天赋!$Y$7:$Y$13,求节点(武将天赋!$BI$6:$BI$9,武将天赋!$BL$6:$BL$9,T124))</f>
        <v>1</v>
      </c>
      <c r="Z124" s="17">
        <f>求节点(武将天赋!$AB$19:$AB$25,武将天赋!$Y$7:$Y$13,求节点(武将天赋!$BI$6:$BI$9,武将天赋!$BL$6:$BL$9,U124))</f>
        <v>1</v>
      </c>
      <c r="AA124" s="17">
        <f>求节点(武将天赋!$AB$19:$AB$25,武将天赋!$Y$7:$Y$13,求节点(武将天赋!$BI$6:$BI$9,武将天赋!$BL$6:$BL$9,V124))</f>
        <v>1</v>
      </c>
      <c r="AE124" s="56">
        <v>3178</v>
      </c>
      <c r="AF124" s="56">
        <v>121.97211685892326</v>
      </c>
      <c r="AH124" s="56"/>
      <c r="AI124" s="56"/>
      <c r="AJ124" s="56"/>
      <c r="AK124" s="56"/>
      <c r="AL124" s="56">
        <f>IFERROR(求节点(武将天赋!$AC$31:$AC$37,武将天赋!$Y$7:$Y$13,武将数量星级阶位验证!BM124/基础状态预期!J134),0)</f>
        <v>1</v>
      </c>
      <c r="AM124" s="17">
        <f>求节点(武将天赋进度验证!$Q$5:$Q$164,武将天赋进度验证!$Y$5:$Y$164,$AF124)</f>
        <v>1</v>
      </c>
    </row>
    <row r="125" spans="2:39" x14ac:dyDescent="0.15">
      <c r="B125" s="17">
        <v>121</v>
      </c>
      <c r="C125" s="144">
        <f>'[1]功能-实力'!BF125</f>
        <v>59317812</v>
      </c>
      <c r="D125" s="144">
        <f>'[1]功能-实力'!BG125</f>
        <v>67802112</v>
      </c>
      <c r="E125" s="144">
        <f>'[1]功能-实力'!BH125</f>
        <v>77339316</v>
      </c>
      <c r="F125" s="144">
        <f>'[1]功能-实力'!BI125</f>
        <v>84399756</v>
      </c>
      <c r="G125" s="144">
        <f>'[1]功能-实力'!BJ125</f>
        <v>87944130</v>
      </c>
      <c r="Q125" s="17">
        <v>121</v>
      </c>
      <c r="R125" s="17">
        <f t="shared" si="17"/>
        <v>4</v>
      </c>
      <c r="S125" s="17">
        <f t="shared" si="18"/>
        <v>4</v>
      </c>
      <c r="T125" s="17">
        <f t="shared" si="19"/>
        <v>4</v>
      </c>
      <c r="U125" s="17">
        <f t="shared" si="20"/>
        <v>4</v>
      </c>
      <c r="V125" s="17">
        <f t="shared" si="21"/>
        <v>4</v>
      </c>
      <c r="W125" s="17">
        <f>求节点(武将天赋!$AB$19:$AB$25,武将天赋!$Y$7:$Y$13,求节点(武将天赋!$BI$6:$BI$9,武将天赋!$BL$6:$BL$9,R125))</f>
        <v>1</v>
      </c>
      <c r="X125" s="17">
        <f>求节点(武将天赋!$AB$19:$AB$25,武将天赋!$Y$7:$Y$13,求节点(武将天赋!$BI$6:$BI$9,武将天赋!$BL$6:$BL$9,S125))</f>
        <v>1</v>
      </c>
      <c r="Y125" s="17">
        <f>求节点(武将天赋!$AB$19:$AB$25,武将天赋!$Y$7:$Y$13,求节点(武将天赋!$BI$6:$BI$9,武将天赋!$BL$6:$BL$9,T125))</f>
        <v>1</v>
      </c>
      <c r="Z125" s="17">
        <f>求节点(武将天赋!$AB$19:$AB$25,武将天赋!$Y$7:$Y$13,求节点(武将天赋!$BI$6:$BI$9,武将天赋!$BL$6:$BL$9,U125))</f>
        <v>1</v>
      </c>
      <c r="AA125" s="17">
        <f>求节点(武将天赋!$AB$19:$AB$25,武将天赋!$Y$7:$Y$13,求节点(武将天赋!$BI$6:$BI$9,武将天赋!$BL$6:$BL$9,V125))</f>
        <v>1</v>
      </c>
      <c r="AE125" s="56">
        <v>4059.9999999999995</v>
      </c>
      <c r="AF125" s="56">
        <v>125.41953077529134</v>
      </c>
      <c r="AH125" s="56"/>
      <c r="AI125" s="56"/>
      <c r="AJ125" s="56"/>
      <c r="AK125" s="56"/>
      <c r="AL125" s="56">
        <f>IFERROR(求节点(武将天赋!$AC$31:$AC$37,武将天赋!$Y$7:$Y$13,武将数量星级阶位验证!BM125/基础状态预期!J135),0)</f>
        <v>1</v>
      </c>
      <c r="AM125" s="17">
        <f>求节点(武将天赋进度验证!$Q$5:$Q$164,武将天赋进度验证!$Y$5:$Y$164,$AF125)</f>
        <v>1</v>
      </c>
    </row>
    <row r="126" spans="2:39" x14ac:dyDescent="0.15">
      <c r="B126" s="17">
        <v>122</v>
      </c>
      <c r="C126" s="144">
        <f>'[1]功能-实力'!BF126</f>
        <v>60961596</v>
      </c>
      <c r="D126" s="144">
        <f>'[1]功能-实力'!BG126</f>
        <v>69599814</v>
      </c>
      <c r="E126" s="144">
        <f>'[1]功能-实力'!BH126</f>
        <v>79424652</v>
      </c>
      <c r="F126" s="144">
        <f>'[1]功能-实力'!BI126</f>
        <v>86332248</v>
      </c>
      <c r="G126" s="144">
        <f>'[1]功能-实力'!BJ126</f>
        <v>89997378</v>
      </c>
      <c r="Q126" s="17">
        <v>122</v>
      </c>
      <c r="R126" s="17">
        <f t="shared" si="17"/>
        <v>4</v>
      </c>
      <c r="S126" s="17">
        <f t="shared" si="18"/>
        <v>4</v>
      </c>
      <c r="T126" s="17">
        <f t="shared" si="19"/>
        <v>4</v>
      </c>
      <c r="U126" s="17">
        <f t="shared" si="20"/>
        <v>4</v>
      </c>
      <c r="V126" s="17">
        <f t="shared" si="21"/>
        <v>4</v>
      </c>
      <c r="W126" s="17">
        <f>求节点(武将天赋!$AB$19:$AB$25,武将天赋!$Y$7:$Y$13,求节点(武将天赋!$BI$6:$BI$9,武将天赋!$BL$6:$BL$9,R126))</f>
        <v>1</v>
      </c>
      <c r="X126" s="17">
        <f>求节点(武将天赋!$AB$19:$AB$25,武将天赋!$Y$7:$Y$13,求节点(武将天赋!$BI$6:$BI$9,武将天赋!$BL$6:$BL$9,S126))</f>
        <v>1</v>
      </c>
      <c r="Y126" s="17">
        <f>求节点(武将天赋!$AB$19:$AB$25,武将天赋!$Y$7:$Y$13,求节点(武将天赋!$BI$6:$BI$9,武将天赋!$BL$6:$BL$9,T126))</f>
        <v>1</v>
      </c>
      <c r="Z126" s="17">
        <f>求节点(武将天赋!$AB$19:$AB$25,武将天赋!$Y$7:$Y$13,求节点(武将天赋!$BI$6:$BI$9,武将天赋!$BL$6:$BL$9,U126))</f>
        <v>1</v>
      </c>
      <c r="AA126" s="17">
        <f>求节点(武将天赋!$AB$19:$AB$25,武将天赋!$Y$7:$Y$13,求节点(武将天赋!$BI$6:$BI$9,武将天赋!$BL$6:$BL$9,V126))</f>
        <v>1</v>
      </c>
      <c r="AE126" s="56">
        <v>5194</v>
      </c>
      <c r="AF126" s="56">
        <v>129.09045404756728</v>
      </c>
      <c r="AH126" s="56"/>
      <c r="AI126" s="56"/>
      <c r="AJ126" s="56"/>
      <c r="AK126" s="56"/>
      <c r="AL126" s="56">
        <f>IFERROR(求节点(武将天赋!$AC$31:$AC$37,武将天赋!$Y$7:$Y$13,武将数量星级阶位验证!BM126/基础状态预期!J136),0)</f>
        <v>1</v>
      </c>
      <c r="AM126" s="17">
        <f>求节点(武将天赋进度验证!$Q$5:$Q$164,武将天赋进度验证!$Y$5:$Y$164,$AF126)</f>
        <v>1</v>
      </c>
    </row>
    <row r="127" spans="2:39" x14ac:dyDescent="0.15">
      <c r="B127" s="17">
        <v>123</v>
      </c>
      <c r="C127" s="144">
        <f>'[1]功能-实力'!BF127</f>
        <v>62589396</v>
      </c>
      <c r="D127" s="144">
        <f>'[1]功能-实力'!BG127</f>
        <v>71465646</v>
      </c>
      <c r="E127" s="144">
        <f>'[1]功能-实力'!BH127</f>
        <v>81554952</v>
      </c>
      <c r="F127" s="144">
        <f>'[1]功能-实力'!BI127</f>
        <v>88327206</v>
      </c>
      <c r="G127" s="144">
        <f>'[1]功能-实力'!BJ127</f>
        <v>92138070</v>
      </c>
      <c r="Q127" s="17">
        <v>123</v>
      </c>
      <c r="R127" s="17">
        <f t="shared" si="17"/>
        <v>4</v>
      </c>
      <c r="S127" s="17">
        <f t="shared" si="18"/>
        <v>4</v>
      </c>
      <c r="T127" s="17">
        <f t="shared" si="19"/>
        <v>4</v>
      </c>
      <c r="U127" s="17">
        <f t="shared" si="20"/>
        <v>4</v>
      </c>
      <c r="V127" s="17">
        <f t="shared" si="21"/>
        <v>4</v>
      </c>
      <c r="W127" s="17">
        <f>求节点(武将天赋!$AB$19:$AB$25,武将天赋!$Y$7:$Y$13,求节点(武将天赋!$BI$6:$BI$9,武将天赋!$BL$6:$BL$9,R127))</f>
        <v>1</v>
      </c>
      <c r="X127" s="17">
        <f>求节点(武将天赋!$AB$19:$AB$25,武将天赋!$Y$7:$Y$13,求节点(武将天赋!$BI$6:$BI$9,武将天赋!$BL$6:$BL$9,S127))</f>
        <v>1</v>
      </c>
      <c r="Y127" s="17">
        <f>求节点(武将天赋!$AB$19:$AB$25,武将天赋!$Y$7:$Y$13,求节点(武将天赋!$BI$6:$BI$9,武将天赋!$BL$6:$BL$9,T127))</f>
        <v>1</v>
      </c>
      <c r="Z127" s="17">
        <f>求节点(武将天赋!$AB$19:$AB$25,武将天赋!$Y$7:$Y$13,求节点(武将天赋!$BI$6:$BI$9,武将天赋!$BL$6:$BL$9,U127))</f>
        <v>1</v>
      </c>
      <c r="AA127" s="17">
        <f>求节点(武将天赋!$AB$19:$AB$25,武将天赋!$Y$7:$Y$13,求节点(武将天赋!$BI$6:$BI$9,武将天赋!$BL$6:$BL$9,V127))</f>
        <v>1</v>
      </c>
      <c r="AE127" s="56">
        <v>6622</v>
      </c>
      <c r="AF127" s="56">
        <v>132.53488795708068</v>
      </c>
      <c r="AH127" s="56"/>
      <c r="AI127" s="56"/>
      <c r="AJ127" s="56"/>
      <c r="AK127" s="56"/>
      <c r="AL127" s="56">
        <f>IFERROR(求节点(武将天赋!$AC$31:$AC$37,武将天赋!$Y$7:$Y$13,武将数量星级阶位验证!BM127/基础状态预期!J137),0)</f>
        <v>1</v>
      </c>
      <c r="AM127" s="17">
        <f>求节点(武将天赋进度验证!$Q$5:$Q$164,武将天赋进度验证!$Y$5:$Y$164,$AF127)</f>
        <v>1</v>
      </c>
    </row>
    <row r="128" spans="2:39" x14ac:dyDescent="0.15">
      <c r="B128" s="17">
        <v>124</v>
      </c>
      <c r="C128" s="144">
        <f>'[1]功能-实力'!BF128</f>
        <v>64244052</v>
      </c>
      <c r="D128" s="144">
        <f>'[1]功能-实力'!BG128</f>
        <v>73367694</v>
      </c>
      <c r="E128" s="144">
        <f>'[1]功能-实力'!BH128</f>
        <v>83732370</v>
      </c>
      <c r="F128" s="144">
        <f>'[1]功能-实力'!BI128</f>
        <v>90353760</v>
      </c>
      <c r="G128" s="144">
        <f>'[1]功能-实力'!BJ128</f>
        <v>94315230</v>
      </c>
      <c r="Q128" s="17">
        <v>124</v>
      </c>
      <c r="R128" s="17">
        <f t="shared" si="17"/>
        <v>4</v>
      </c>
      <c r="S128" s="17">
        <f t="shared" si="18"/>
        <v>4</v>
      </c>
      <c r="T128" s="17">
        <f t="shared" si="19"/>
        <v>4</v>
      </c>
      <c r="U128" s="17">
        <f t="shared" si="20"/>
        <v>4</v>
      </c>
      <c r="V128" s="17">
        <f t="shared" si="21"/>
        <v>4</v>
      </c>
      <c r="W128" s="17">
        <f>求节点(武将天赋!$AB$19:$AB$25,武将天赋!$Y$7:$Y$13,求节点(武将天赋!$BI$6:$BI$9,武将天赋!$BL$6:$BL$9,R128))</f>
        <v>1</v>
      </c>
      <c r="X128" s="17">
        <f>求节点(武将天赋!$AB$19:$AB$25,武将天赋!$Y$7:$Y$13,求节点(武将天赋!$BI$6:$BI$9,武将天赋!$BL$6:$BL$9,S128))</f>
        <v>1</v>
      </c>
      <c r="Y128" s="17">
        <f>求节点(武将天赋!$AB$19:$AB$25,武将天赋!$Y$7:$Y$13,求节点(武将天赋!$BI$6:$BI$9,武将天赋!$BL$6:$BL$9,T128))</f>
        <v>1</v>
      </c>
      <c r="Z128" s="17">
        <f>求节点(武将天赋!$AB$19:$AB$25,武将天赋!$Y$7:$Y$13,求节点(武将天赋!$BI$6:$BI$9,武将天赋!$BL$6:$BL$9,U128))</f>
        <v>1</v>
      </c>
      <c r="AA128" s="17">
        <f>求节点(武将天赋!$AB$19:$AB$25,武将天赋!$Y$7:$Y$13,求节点(武将天赋!$BI$6:$BI$9,武将天赋!$BL$6:$BL$9,V128))</f>
        <v>1</v>
      </c>
      <c r="AE128" s="56">
        <v>8428</v>
      </c>
      <c r="AF128" s="56">
        <v>136.07141427598387</v>
      </c>
      <c r="AH128" s="56"/>
      <c r="AI128" s="56"/>
      <c r="AJ128" s="56"/>
      <c r="AK128" s="56"/>
      <c r="AL128" s="56">
        <f>IFERROR(求节点(武将天赋!$AC$31:$AC$37,武将天赋!$Y$7:$Y$13,武将数量星级阶位验证!BM128/基础状态预期!J138),0)</f>
        <v>1</v>
      </c>
      <c r="AM128" s="17">
        <f>求节点(武将天赋进度验证!$Q$5:$Q$164,武将天赋进度验证!$Y$5:$Y$164,$AF128)</f>
        <v>1</v>
      </c>
    </row>
    <row r="129" spans="2:39" x14ac:dyDescent="0.15">
      <c r="B129" s="17">
        <v>125</v>
      </c>
      <c r="C129" s="144">
        <f>'[1]功能-实力'!BF129</f>
        <v>65924928</v>
      </c>
      <c r="D129" s="144">
        <f>'[1]功能-实力'!BG129</f>
        <v>75289248</v>
      </c>
      <c r="E129" s="144">
        <f>'[1]功能-实力'!BH129</f>
        <v>85959024</v>
      </c>
      <c r="F129" s="144">
        <f>'[1]功能-实力'!BI129</f>
        <v>92422560</v>
      </c>
      <c r="G129" s="144">
        <f>'[1]功能-实力'!BJ129</f>
        <v>96601926</v>
      </c>
      <c r="Q129" s="17">
        <v>125</v>
      </c>
      <c r="R129" s="17">
        <f t="shared" si="17"/>
        <v>4</v>
      </c>
      <c r="S129" s="17">
        <f t="shared" si="18"/>
        <v>4</v>
      </c>
      <c r="T129" s="17">
        <f t="shared" si="19"/>
        <v>4</v>
      </c>
      <c r="U129" s="17">
        <f t="shared" si="20"/>
        <v>4</v>
      </c>
      <c r="V129" s="17">
        <f t="shared" si="21"/>
        <v>4</v>
      </c>
      <c r="W129" s="17">
        <f>求节点(武将天赋!$AB$19:$AB$25,武将天赋!$Y$7:$Y$13,求节点(武将天赋!$BI$6:$BI$9,武将天赋!$BL$6:$BL$9,R129))</f>
        <v>1</v>
      </c>
      <c r="X129" s="17">
        <f>求节点(武将天赋!$AB$19:$AB$25,武将天赋!$Y$7:$Y$13,求节点(武将天赋!$BI$6:$BI$9,武将天赋!$BL$6:$BL$9,S129))</f>
        <v>1</v>
      </c>
      <c r="Y129" s="17">
        <f>求节点(武将天赋!$AB$19:$AB$25,武将天赋!$Y$7:$Y$13,求节点(武将天赋!$BI$6:$BI$9,武将天赋!$BL$6:$BL$9,T129))</f>
        <v>1</v>
      </c>
      <c r="Z129" s="17">
        <f>求节点(武将天赋!$AB$19:$AB$25,武将天赋!$Y$7:$Y$13,求节点(武将天赋!$BI$6:$BI$9,武将天赋!$BL$6:$BL$9,U129))</f>
        <v>1</v>
      </c>
      <c r="AA129" s="17">
        <f>求节点(武将天赋!$AB$19:$AB$25,武将天赋!$Y$7:$Y$13,求节点(武将天赋!$BI$6:$BI$9,武将天赋!$BL$6:$BL$9,V129))</f>
        <v>1</v>
      </c>
      <c r="AE129" s="56">
        <v>10738</v>
      </c>
      <c r="AF129" s="56">
        <v>139.56936219880694</v>
      </c>
      <c r="AH129" s="56"/>
      <c r="AI129" s="56"/>
      <c r="AJ129" s="56"/>
      <c r="AK129" s="56"/>
      <c r="AL129" s="56">
        <f>IFERROR(求节点(武将天赋!$AC$31:$AC$37,武将天赋!$Y$7:$Y$13,武将数量星级阶位验证!BM129/基础状态预期!J139),0)</f>
        <v>1</v>
      </c>
      <c r="AM129" s="17">
        <f>求节点(武将天赋进度验证!$Q$5:$Q$164,武将天赋进度验证!$Y$5:$Y$164,$AF129)</f>
        <v>1</v>
      </c>
    </row>
    <row r="130" spans="2:39" x14ac:dyDescent="0.15">
      <c r="B130" s="17">
        <v>126</v>
      </c>
      <c r="C130" s="144">
        <f>'[1]功能-实力'!BF130</f>
        <v>67646706</v>
      </c>
      <c r="D130" s="144">
        <f>'[1]功能-实力'!BG130</f>
        <v>77216958</v>
      </c>
      <c r="E130" s="144">
        <f>'[1]功能-实力'!BH130</f>
        <v>88225662</v>
      </c>
      <c r="F130" s="144">
        <f>'[1]功能-实力'!BI130</f>
        <v>94591998</v>
      </c>
      <c r="G130" s="144">
        <f>'[1]功能-实力'!BJ130</f>
        <v>98957538</v>
      </c>
      <c r="Q130" s="17">
        <v>126</v>
      </c>
      <c r="R130" s="17">
        <f t="shared" si="17"/>
        <v>4</v>
      </c>
      <c r="S130" s="17">
        <f t="shared" si="18"/>
        <v>4</v>
      </c>
      <c r="T130" s="17">
        <f t="shared" si="19"/>
        <v>4</v>
      </c>
      <c r="U130" s="17">
        <f t="shared" si="20"/>
        <v>4</v>
      </c>
      <c r="V130" s="17">
        <f t="shared" si="21"/>
        <v>4</v>
      </c>
      <c r="W130" s="17">
        <f>求节点(武将天赋!$AB$19:$AB$25,武将天赋!$Y$7:$Y$13,求节点(武将天赋!$BI$6:$BI$9,武将天赋!$BL$6:$BL$9,R130))</f>
        <v>1</v>
      </c>
      <c r="X130" s="17">
        <f>求节点(武将天赋!$AB$19:$AB$25,武将天赋!$Y$7:$Y$13,求节点(武将天赋!$BI$6:$BI$9,武将天赋!$BL$6:$BL$9,S130))</f>
        <v>1</v>
      </c>
      <c r="Y130" s="17">
        <f>求节点(武将天赋!$AB$19:$AB$25,武将天赋!$Y$7:$Y$13,求节点(武将天赋!$BI$6:$BI$9,武将天赋!$BL$6:$BL$9,T130))</f>
        <v>1</v>
      </c>
      <c r="Z130" s="17">
        <f>求节点(武将天赋!$AB$19:$AB$25,武将天赋!$Y$7:$Y$13,求节点(武将天赋!$BI$6:$BI$9,武将天赋!$BL$6:$BL$9,U130))</f>
        <v>1</v>
      </c>
      <c r="AA130" s="17">
        <f>求节点(武将天赋!$AB$19:$AB$25,武将天赋!$Y$7:$Y$13,求节点(武将天赋!$BI$6:$BI$9,武将天赋!$BL$6:$BL$9,V130))</f>
        <v>1</v>
      </c>
      <c r="AE130" s="56">
        <v>13678</v>
      </c>
      <c r="AF130" s="56">
        <v>143.08413721822018</v>
      </c>
      <c r="AH130" s="56"/>
      <c r="AI130" s="56"/>
      <c r="AJ130" s="56"/>
      <c r="AK130" s="56"/>
      <c r="AL130" s="56">
        <f>IFERROR(求节点(武将天赋!$AC$31:$AC$37,武将天赋!$Y$7:$Y$13,武将数量星级阶位验证!BM130/基础状态预期!J140),0)</f>
        <v>1</v>
      </c>
      <c r="AM130" s="17">
        <f>求节点(武将天赋进度验证!$Q$5:$Q$164,武将天赋进度验证!$Y$5:$Y$164,$AF130)</f>
        <v>1</v>
      </c>
    </row>
    <row r="131" spans="2:39" x14ac:dyDescent="0.15">
      <c r="B131" s="17">
        <v>127</v>
      </c>
      <c r="C131" s="144">
        <f>'[1]功能-实力'!BF131</f>
        <v>69451152</v>
      </c>
      <c r="D131" s="144">
        <f>'[1]功能-实力'!BG131</f>
        <v>79236594</v>
      </c>
      <c r="E131" s="144">
        <f>'[1]功能-实力'!BH131</f>
        <v>90620022</v>
      </c>
      <c r="F131" s="144">
        <f>'[1]功能-实力'!BI131</f>
        <v>96828396</v>
      </c>
      <c r="G131" s="144">
        <f>'[1]功能-实力'!BJ131</f>
        <v>101355666</v>
      </c>
      <c r="Q131" s="17">
        <v>127</v>
      </c>
      <c r="R131" s="17">
        <f t="shared" si="17"/>
        <v>4</v>
      </c>
      <c r="S131" s="17">
        <f t="shared" si="18"/>
        <v>4</v>
      </c>
      <c r="T131" s="17">
        <f t="shared" si="19"/>
        <v>4</v>
      </c>
      <c r="U131" s="17">
        <f t="shared" si="20"/>
        <v>4</v>
      </c>
      <c r="V131" s="17">
        <f t="shared" si="21"/>
        <v>4</v>
      </c>
      <c r="W131" s="17">
        <f>求节点(武将天赋!$AB$19:$AB$25,武将天赋!$Y$7:$Y$13,求节点(武将天赋!$BI$6:$BI$9,武将天赋!$BL$6:$BL$9,R131))</f>
        <v>1</v>
      </c>
      <c r="X131" s="17">
        <f>求节点(武将天赋!$AB$19:$AB$25,武将天赋!$Y$7:$Y$13,求节点(武将天赋!$BI$6:$BI$9,武将天赋!$BL$6:$BL$9,S131))</f>
        <v>1</v>
      </c>
      <c r="Y131" s="17">
        <f>求节点(武将天赋!$AB$19:$AB$25,武将天赋!$Y$7:$Y$13,求节点(武将天赋!$BI$6:$BI$9,武将天赋!$BL$6:$BL$9,T131))</f>
        <v>1</v>
      </c>
      <c r="Z131" s="17">
        <f>求节点(武将天赋!$AB$19:$AB$25,武将天赋!$Y$7:$Y$13,求节点(武将天赋!$BI$6:$BI$9,武将天赋!$BL$6:$BL$9,U131))</f>
        <v>1</v>
      </c>
      <c r="AA131" s="17">
        <f>求节点(武将天赋!$AB$19:$AB$25,武将天赋!$Y$7:$Y$13,求节点(武将天赋!$BI$6:$BI$9,武将天赋!$BL$6:$BL$9,V131))</f>
        <v>1</v>
      </c>
      <c r="AE131" s="56">
        <v>17416</v>
      </c>
      <c r="AF131" s="56">
        <v>146.62302564097175</v>
      </c>
      <c r="AH131" s="56"/>
      <c r="AI131" s="56"/>
      <c r="AJ131" s="56"/>
      <c r="AK131" s="56"/>
      <c r="AL131" s="56">
        <f>IFERROR(求节点(武将天赋!$AC$31:$AC$37,武将天赋!$Y$7:$Y$13,武将数量星级阶位验证!BM131/基础状态预期!J141),0)</f>
        <v>1</v>
      </c>
      <c r="AM131" s="17">
        <f>求节点(武将天赋进度验证!$Q$5:$Q$164,武将天赋进度验证!$Y$5:$Y$164,$AF131)</f>
        <v>1</v>
      </c>
    </row>
    <row r="132" spans="2:39" x14ac:dyDescent="0.15">
      <c r="B132" s="17">
        <v>128</v>
      </c>
      <c r="C132" s="144">
        <f>'[1]功能-实力'!BF132</f>
        <v>71310624</v>
      </c>
      <c r="D132" s="144">
        <f>'[1]功能-实力'!BG132</f>
        <v>81249540</v>
      </c>
      <c r="E132" s="144">
        <f>'[1]功能-实力'!BH132</f>
        <v>93101382</v>
      </c>
      <c r="F132" s="144">
        <f>'[1]功能-实力'!BI132</f>
        <v>99109356</v>
      </c>
      <c r="G132" s="144">
        <f>'[1]功能-实力'!BJ132</f>
        <v>103893618</v>
      </c>
      <c r="Q132" s="17">
        <v>128</v>
      </c>
      <c r="R132" s="17">
        <f t="shared" si="17"/>
        <v>4</v>
      </c>
      <c r="S132" s="17">
        <f t="shared" si="18"/>
        <v>4</v>
      </c>
      <c r="T132" s="17">
        <f t="shared" si="19"/>
        <v>4</v>
      </c>
      <c r="U132" s="17">
        <f t="shared" si="20"/>
        <v>4</v>
      </c>
      <c r="V132" s="17">
        <f t="shared" si="21"/>
        <v>4</v>
      </c>
      <c r="W132" s="17">
        <f>求节点(武将天赋!$AB$19:$AB$25,武将天赋!$Y$7:$Y$13,求节点(武将天赋!$BI$6:$BI$9,武将天赋!$BL$6:$BL$9,R132))</f>
        <v>1</v>
      </c>
      <c r="X132" s="17">
        <f>求节点(武将天赋!$AB$19:$AB$25,武将天赋!$Y$7:$Y$13,求节点(武将天赋!$BI$6:$BI$9,武将天赋!$BL$6:$BL$9,S132))</f>
        <v>1</v>
      </c>
      <c r="Y132" s="17">
        <f>求节点(武将天赋!$AB$19:$AB$25,武将天赋!$Y$7:$Y$13,求节点(武将天赋!$BI$6:$BI$9,武将天赋!$BL$6:$BL$9,T132))</f>
        <v>1</v>
      </c>
      <c r="Z132" s="17">
        <f>求节点(武将天赋!$AB$19:$AB$25,武将天赋!$Y$7:$Y$13,求节点(武将天赋!$BI$6:$BI$9,武将天赋!$BL$6:$BL$9,U132))</f>
        <v>1</v>
      </c>
      <c r="AA132" s="17">
        <f>求节点(武将天赋!$AB$19:$AB$25,武将天赋!$Y$7:$Y$13,求节点(武将天赋!$BI$6:$BI$9,武将天赋!$BL$6:$BL$9,V132))</f>
        <v>1</v>
      </c>
      <c r="AE132" s="56">
        <v>22204</v>
      </c>
      <c r="AF132" s="56">
        <v>150.12999034316616</v>
      </c>
      <c r="AH132" s="56"/>
      <c r="AI132" s="56"/>
      <c r="AJ132" s="56"/>
      <c r="AK132" s="56"/>
      <c r="AL132" s="56">
        <f>IFERROR(求节点(武将天赋!$AC$31:$AC$37,武将天赋!$Y$7:$Y$13,武将数量星级阶位验证!BM132/基础状态预期!J142),0)</f>
        <v>1</v>
      </c>
      <c r="AM132" s="17">
        <f>求节点(武将天赋进度验证!$Q$5:$Q$164,武将天赋进度验证!$Y$5:$Y$164,$AF132)</f>
        <v>1</v>
      </c>
    </row>
    <row r="133" spans="2:39" x14ac:dyDescent="0.15">
      <c r="B133" s="17">
        <v>129</v>
      </c>
      <c r="C133" s="144">
        <f>'[1]功能-实力'!BF133</f>
        <v>73198032</v>
      </c>
      <c r="D133" s="144">
        <f>'[1]功能-实力'!BG133</f>
        <v>83330970</v>
      </c>
      <c r="E133" s="144">
        <f>'[1]功能-实力'!BH133</f>
        <v>95665662</v>
      </c>
      <c r="F133" s="144">
        <f>'[1]功能-实力'!BI133</f>
        <v>101546814</v>
      </c>
      <c r="G133" s="144">
        <f>'[1]功能-实力'!BJ133</f>
        <v>106578024</v>
      </c>
      <c r="Q133" s="17">
        <v>129</v>
      </c>
      <c r="R133" s="17">
        <f t="shared" ref="R133:R164" si="22">IF(求节点($L$5:$L$8,$J$5:$J$8,C133)&lt;1,0,求节点($L$5:$L$8,$J$5:$J$8,C133))</f>
        <v>4</v>
      </c>
      <c r="S133" s="17">
        <f t="shared" ref="S133:S164" si="23">IF(求节点($L$5:$L$8,$J$5:$J$8,D133)&lt;1,0,求节点($L$5:$L$8,$J$5:$J$8,D133))</f>
        <v>4</v>
      </c>
      <c r="T133" s="17">
        <f t="shared" ref="T133:T164" si="24">IF(求节点($L$5:$L$8,$J$5:$J$8,E133)&lt;1,0,求节点($L$5:$L$8,$J$5:$J$8,E133))</f>
        <v>4</v>
      </c>
      <c r="U133" s="17">
        <f t="shared" ref="U133:U164" si="25">IF(求节点($L$5:$L$8,$J$5:$J$8,F133)&lt;1,0,求节点($L$5:$L$8,$J$5:$J$8,F133))</f>
        <v>4</v>
      </c>
      <c r="V133" s="17">
        <f t="shared" ref="V133:V164" si="26">IF(求节点($L$5:$L$8,$J$5:$J$8,G133)&lt;1,0,求节点($L$5:$L$8,$J$5:$J$8,G133))</f>
        <v>4</v>
      </c>
      <c r="W133" s="17">
        <f>求节点(武将天赋!$AB$19:$AB$25,武将天赋!$Y$7:$Y$13,求节点(武将天赋!$BI$6:$BI$9,武将天赋!$BL$6:$BL$9,R133))</f>
        <v>1</v>
      </c>
      <c r="X133" s="17">
        <f>求节点(武将天赋!$AB$19:$AB$25,武将天赋!$Y$7:$Y$13,求节点(武将天赋!$BI$6:$BI$9,武将天赋!$BL$6:$BL$9,S133))</f>
        <v>1</v>
      </c>
      <c r="Y133" s="17">
        <f>求节点(武将天赋!$AB$19:$AB$25,武将天赋!$Y$7:$Y$13,求节点(武将天赋!$BI$6:$BI$9,武将天赋!$BL$6:$BL$9,T133))</f>
        <v>1</v>
      </c>
      <c r="Z133" s="17">
        <f>求节点(武将天赋!$AB$19:$AB$25,武将天赋!$Y$7:$Y$13,求节点(武将天赋!$BI$6:$BI$9,武将天赋!$BL$6:$BL$9,U133))</f>
        <v>1</v>
      </c>
      <c r="AA133" s="17">
        <f>求节点(武将天赋!$AB$19:$AB$25,武将天赋!$Y$7:$Y$13,求节点(武将天赋!$BI$6:$BI$9,武将天赋!$BL$6:$BL$9,V133))</f>
        <v>1</v>
      </c>
      <c r="AE133" s="56">
        <v>28294</v>
      </c>
      <c r="AF133" s="56">
        <v>153.11600330857166</v>
      </c>
      <c r="AH133" s="56"/>
      <c r="AI133" s="56"/>
      <c r="AJ133" s="56"/>
      <c r="AK133" s="56"/>
      <c r="AL133" s="56">
        <f>IFERROR(求节点(武将天赋!$AC$31:$AC$37,武将天赋!$Y$7:$Y$13,武将数量星级阶位验证!BM133/基础状态预期!J143),0)</f>
        <v>1</v>
      </c>
      <c r="AM133" s="17">
        <f>求节点(武将天赋进度验证!$Q$5:$Q$164,武将天赋进度验证!$Y$5:$Y$164,$AF133)</f>
        <v>1</v>
      </c>
    </row>
    <row r="134" spans="2:39" x14ac:dyDescent="0.15">
      <c r="B134" s="17">
        <v>130</v>
      </c>
      <c r="C134" s="144">
        <f>'[1]功能-实力'!BF134</f>
        <v>75141834</v>
      </c>
      <c r="D134" s="144">
        <f>'[1]功能-实力'!BG134</f>
        <v>85450524</v>
      </c>
      <c r="E134" s="144">
        <f>'[1]功能-实力'!BH134</f>
        <v>98372712</v>
      </c>
      <c r="F134" s="144">
        <f>'[1]功能-实力'!BI134</f>
        <v>104108616</v>
      </c>
      <c r="G134" s="144">
        <f>'[1]功能-实力'!BJ134</f>
        <v>109316220</v>
      </c>
      <c r="Q134" s="17">
        <v>130</v>
      </c>
      <c r="R134" s="17">
        <f t="shared" si="22"/>
        <v>4</v>
      </c>
      <c r="S134" s="17">
        <f t="shared" si="23"/>
        <v>4</v>
      </c>
      <c r="T134" s="17">
        <f t="shared" si="24"/>
        <v>4</v>
      </c>
      <c r="U134" s="17">
        <f t="shared" si="25"/>
        <v>4</v>
      </c>
      <c r="V134" s="17">
        <f t="shared" si="26"/>
        <v>4</v>
      </c>
      <c r="W134" s="17">
        <f>求节点(武将天赋!$AB$19:$AB$25,武将天赋!$Y$7:$Y$13,求节点(武将天赋!$BI$6:$BI$9,武将天赋!$BL$6:$BL$9,R134))</f>
        <v>1</v>
      </c>
      <c r="X134" s="17">
        <f>求节点(武将天赋!$AB$19:$AB$25,武将天赋!$Y$7:$Y$13,求节点(武将天赋!$BI$6:$BI$9,武将天赋!$BL$6:$BL$9,S134))</f>
        <v>1</v>
      </c>
      <c r="Y134" s="17">
        <f>求节点(武将天赋!$AB$19:$AB$25,武将天赋!$Y$7:$Y$13,求节点(武将天赋!$BI$6:$BI$9,武将天赋!$BL$6:$BL$9,T134))</f>
        <v>1</v>
      </c>
      <c r="Z134" s="17">
        <f>求节点(武将天赋!$AB$19:$AB$25,武将天赋!$Y$7:$Y$13,求节点(武将天赋!$BI$6:$BI$9,武将天赋!$BL$6:$BL$9,U134))</f>
        <v>1</v>
      </c>
      <c r="AA134" s="17">
        <f>求节点(武将天赋!$AB$19:$AB$25,武将天赋!$Y$7:$Y$13,求节点(武将天赋!$BI$6:$BI$9,武将天赋!$BL$6:$BL$9,V134))</f>
        <v>1</v>
      </c>
      <c r="AE134" s="56">
        <v>36064</v>
      </c>
      <c r="AF134" s="56">
        <v>154.20294442048996</v>
      </c>
      <c r="AH134" s="56"/>
      <c r="AI134" s="56"/>
      <c r="AJ134" s="56"/>
      <c r="AK134" s="56"/>
      <c r="AL134" s="56">
        <f>IFERROR(求节点(武将天赋!$AC$31:$AC$37,武将天赋!$Y$7:$Y$13,武将数量星级阶位验证!BM134/基础状态预期!J144),0)</f>
        <v>1</v>
      </c>
      <c r="AM134" s="17">
        <f>求节点(武将天赋进度验证!$Q$5:$Q$164,武将天赋进度验证!$Y$5:$Y$164,$AF134)</f>
        <v>1</v>
      </c>
    </row>
    <row r="135" spans="2:39" x14ac:dyDescent="0.15">
      <c r="B135" s="17">
        <v>131</v>
      </c>
      <c r="C135" s="144">
        <f>'[1]功能-实力'!BF135</f>
        <v>77059878</v>
      </c>
      <c r="D135" s="144">
        <f>'[1]功能-实力'!BG135</f>
        <v>87775836</v>
      </c>
      <c r="E135" s="144">
        <f>'[1]功能-实力'!BH135</f>
        <v>100879110</v>
      </c>
      <c r="F135" s="144">
        <f>'[1]功能-实力'!BI135</f>
        <v>106712472</v>
      </c>
      <c r="G135" s="144">
        <f>'[1]功能-实力'!BJ135</f>
        <v>112003542</v>
      </c>
      <c r="Q135" s="17">
        <v>131</v>
      </c>
      <c r="R135" s="17">
        <f t="shared" si="22"/>
        <v>4</v>
      </c>
      <c r="S135" s="17">
        <f t="shared" si="23"/>
        <v>4</v>
      </c>
      <c r="T135" s="17">
        <f t="shared" si="24"/>
        <v>4</v>
      </c>
      <c r="U135" s="17">
        <f t="shared" si="25"/>
        <v>4</v>
      </c>
      <c r="V135" s="17">
        <f t="shared" si="26"/>
        <v>4</v>
      </c>
      <c r="W135" s="17">
        <f>求节点(武将天赋!$AB$19:$AB$25,武将天赋!$Y$7:$Y$13,求节点(武将天赋!$BI$6:$BI$9,武将天赋!$BL$6:$BL$9,R135))</f>
        <v>1</v>
      </c>
      <c r="X135" s="17">
        <f>求节点(武将天赋!$AB$19:$AB$25,武将天赋!$Y$7:$Y$13,求节点(武将天赋!$BI$6:$BI$9,武将天赋!$BL$6:$BL$9,S135))</f>
        <v>1</v>
      </c>
      <c r="Y135" s="17">
        <f>求节点(武将天赋!$AB$19:$AB$25,武将天赋!$Y$7:$Y$13,求节点(武将天赋!$BI$6:$BI$9,武将天赋!$BL$6:$BL$9,T135))</f>
        <v>1</v>
      </c>
      <c r="Z135" s="17">
        <f>求节点(武将天赋!$AB$19:$AB$25,武将天赋!$Y$7:$Y$13,求节点(武将天赋!$BI$6:$BI$9,武将天赋!$BL$6:$BL$9,U135))</f>
        <v>1</v>
      </c>
      <c r="AA135" s="17">
        <f>求节点(武将天赋!$AB$19:$AB$25,武将天赋!$Y$7:$Y$13,求节点(武将天赋!$BI$6:$BI$9,武将天赋!$BL$6:$BL$9,V135))</f>
        <v>1</v>
      </c>
      <c r="AE135" s="56">
        <v>45850</v>
      </c>
      <c r="AF135" s="56">
        <v>155.2512378743358</v>
      </c>
      <c r="AH135" s="56"/>
      <c r="AI135" s="56"/>
      <c r="AJ135" s="56"/>
      <c r="AK135" s="56"/>
      <c r="AL135" s="56">
        <f>IFERROR(求节点(武将天赋!$AC$31:$AC$37,武将天赋!$Y$7:$Y$13,武将数量星级阶位验证!BM135/基础状态预期!J145),0)</f>
        <v>1</v>
      </c>
      <c r="AM135" s="17">
        <f>求节点(武将天赋进度验证!$Q$5:$Q$164,武将天赋进度验证!$Y$5:$Y$164,$AF135)</f>
        <v>1</v>
      </c>
    </row>
    <row r="136" spans="2:39" x14ac:dyDescent="0.15">
      <c r="B136" s="17">
        <v>132</v>
      </c>
      <c r="C136" s="144">
        <f>'[1]功能-实力'!BF136</f>
        <v>79120008</v>
      </c>
      <c r="D136" s="144">
        <f>'[1]功能-实力'!BG136</f>
        <v>90223890</v>
      </c>
      <c r="E136" s="144">
        <f>'[1]功能-实力'!BH136</f>
        <v>103439688</v>
      </c>
      <c r="F136" s="144">
        <f>'[1]功能-实力'!BI136</f>
        <v>109272654</v>
      </c>
      <c r="G136" s="144">
        <f>'[1]功能-实力'!BJ136</f>
        <v>114599448</v>
      </c>
      <c r="Q136" s="17">
        <v>132</v>
      </c>
      <c r="R136" s="17">
        <f t="shared" si="22"/>
        <v>4</v>
      </c>
      <c r="S136" s="17">
        <f t="shared" si="23"/>
        <v>4</v>
      </c>
      <c r="T136" s="17">
        <f t="shared" si="24"/>
        <v>4</v>
      </c>
      <c r="U136" s="17">
        <f t="shared" si="25"/>
        <v>4</v>
      </c>
      <c r="V136" s="17">
        <f t="shared" si="26"/>
        <v>4</v>
      </c>
      <c r="W136" s="17">
        <f>求节点(武将天赋!$AB$19:$AB$25,武将天赋!$Y$7:$Y$13,求节点(武将天赋!$BI$6:$BI$9,武将天赋!$BL$6:$BL$9,R136))</f>
        <v>1</v>
      </c>
      <c r="X136" s="17">
        <f>求节点(武将天赋!$AB$19:$AB$25,武将天赋!$Y$7:$Y$13,求节点(武将天赋!$BI$6:$BI$9,武将天赋!$BL$6:$BL$9,S136))</f>
        <v>1</v>
      </c>
      <c r="Y136" s="17">
        <f>求节点(武将天赋!$AB$19:$AB$25,武将天赋!$Y$7:$Y$13,求节点(武将天赋!$BI$6:$BI$9,武将天赋!$BL$6:$BL$9,T136))</f>
        <v>1</v>
      </c>
      <c r="Z136" s="17">
        <f>求节点(武将天赋!$AB$19:$AB$25,武将天赋!$Y$7:$Y$13,求节点(武将天赋!$BI$6:$BI$9,武将天赋!$BL$6:$BL$9,U136))</f>
        <v>1</v>
      </c>
      <c r="AA136" s="17">
        <f>求节点(武将天赋!$AB$19:$AB$25,武将天赋!$Y$7:$Y$13,求节点(武将天赋!$BI$6:$BI$9,武将天赋!$BL$6:$BL$9,V136))</f>
        <v>1</v>
      </c>
    </row>
    <row r="137" spans="2:39" x14ac:dyDescent="0.15">
      <c r="B137" s="17">
        <v>133</v>
      </c>
      <c r="C137" s="144">
        <f>'[1]功能-实力'!BF137</f>
        <v>81230610</v>
      </c>
      <c r="D137" s="144">
        <f>'[1]功能-实力'!BG137</f>
        <v>92741574</v>
      </c>
      <c r="E137" s="144">
        <f>'[1]功能-实力'!BH137</f>
        <v>105946002</v>
      </c>
      <c r="F137" s="144">
        <f>'[1]功能-实力'!BI137</f>
        <v>111730386</v>
      </c>
      <c r="G137" s="144">
        <f>'[1]功能-实力'!BJ137</f>
        <v>117240318</v>
      </c>
      <c r="Q137" s="17">
        <v>133</v>
      </c>
      <c r="R137" s="17">
        <f t="shared" si="22"/>
        <v>4</v>
      </c>
      <c r="S137" s="17">
        <f t="shared" si="23"/>
        <v>4</v>
      </c>
      <c r="T137" s="17">
        <f t="shared" si="24"/>
        <v>4</v>
      </c>
      <c r="U137" s="17">
        <f t="shared" si="25"/>
        <v>4</v>
      </c>
      <c r="V137" s="17">
        <f t="shared" si="26"/>
        <v>4</v>
      </c>
      <c r="W137" s="17">
        <f>求节点(武将天赋!$AB$19:$AB$25,武将天赋!$Y$7:$Y$13,求节点(武将天赋!$BI$6:$BI$9,武将天赋!$BL$6:$BL$9,R137))</f>
        <v>1</v>
      </c>
      <c r="X137" s="17">
        <f>求节点(武将天赋!$AB$19:$AB$25,武将天赋!$Y$7:$Y$13,求节点(武将天赋!$BI$6:$BI$9,武将天赋!$BL$6:$BL$9,S137))</f>
        <v>1</v>
      </c>
      <c r="Y137" s="17">
        <f>求节点(武将天赋!$AB$19:$AB$25,武将天赋!$Y$7:$Y$13,求节点(武将天赋!$BI$6:$BI$9,武将天赋!$BL$6:$BL$9,T137))</f>
        <v>1</v>
      </c>
      <c r="Z137" s="17">
        <f>求节点(武将天赋!$AB$19:$AB$25,武将天赋!$Y$7:$Y$13,求节点(武将天赋!$BI$6:$BI$9,武将天赋!$BL$6:$BL$9,U137))</f>
        <v>1</v>
      </c>
      <c r="AA137" s="17">
        <f>求节点(武将天赋!$AB$19:$AB$25,武将天赋!$Y$7:$Y$13,求节点(武将天赋!$BI$6:$BI$9,武将天赋!$BL$6:$BL$9,V137))</f>
        <v>1</v>
      </c>
    </row>
    <row r="138" spans="2:39" x14ac:dyDescent="0.15">
      <c r="B138" s="17">
        <v>134</v>
      </c>
      <c r="C138" s="144">
        <f>'[1]功能-实力'!BF138</f>
        <v>83394600</v>
      </c>
      <c r="D138" s="144">
        <f>'[1]功能-实力'!BG138</f>
        <v>95210142</v>
      </c>
      <c r="E138" s="144">
        <f>'[1]功能-实力'!BH138</f>
        <v>108373848</v>
      </c>
      <c r="F138" s="144">
        <f>'[1]功能-实力'!BI138</f>
        <v>114245094</v>
      </c>
      <c r="G138" s="144">
        <f>'[1]功能-实力'!BJ138</f>
        <v>119914644</v>
      </c>
      <c r="Q138" s="17">
        <v>134</v>
      </c>
      <c r="R138" s="17">
        <f t="shared" si="22"/>
        <v>4</v>
      </c>
      <c r="S138" s="17">
        <f t="shared" si="23"/>
        <v>4</v>
      </c>
      <c r="T138" s="17">
        <f t="shared" si="24"/>
        <v>4</v>
      </c>
      <c r="U138" s="17">
        <f t="shared" si="25"/>
        <v>4</v>
      </c>
      <c r="V138" s="17">
        <f t="shared" si="26"/>
        <v>4</v>
      </c>
      <c r="W138" s="17">
        <f>求节点(武将天赋!$AB$19:$AB$25,武将天赋!$Y$7:$Y$13,求节点(武将天赋!$BI$6:$BI$9,武将天赋!$BL$6:$BL$9,R138))</f>
        <v>1</v>
      </c>
      <c r="X138" s="17">
        <f>求节点(武将天赋!$AB$19:$AB$25,武将天赋!$Y$7:$Y$13,求节点(武将天赋!$BI$6:$BI$9,武将天赋!$BL$6:$BL$9,S138))</f>
        <v>1</v>
      </c>
      <c r="Y138" s="17">
        <f>求节点(武将天赋!$AB$19:$AB$25,武将天赋!$Y$7:$Y$13,求节点(武将天赋!$BI$6:$BI$9,武将天赋!$BL$6:$BL$9,T138))</f>
        <v>1</v>
      </c>
      <c r="Z138" s="17">
        <f>求节点(武将天赋!$AB$19:$AB$25,武将天赋!$Y$7:$Y$13,求节点(武将天赋!$BI$6:$BI$9,武将天赋!$BL$6:$BL$9,U138))</f>
        <v>1</v>
      </c>
      <c r="AA138" s="17">
        <f>求节点(武将天赋!$AB$19:$AB$25,武将天赋!$Y$7:$Y$13,求节点(武将天赋!$BI$6:$BI$9,武将天赋!$BL$6:$BL$9,V138))</f>
        <v>1</v>
      </c>
    </row>
    <row r="139" spans="2:39" x14ac:dyDescent="0.15">
      <c r="B139" s="17">
        <v>135</v>
      </c>
      <c r="C139" s="144">
        <f>'[1]功能-实力'!BF139</f>
        <v>85494264</v>
      </c>
      <c r="D139" s="144">
        <f>'[1]功能-实力'!BG139</f>
        <v>97652370</v>
      </c>
      <c r="E139" s="144">
        <f>'[1]功能-实力'!BH139</f>
        <v>110876592</v>
      </c>
      <c r="F139" s="144">
        <f>'[1]功能-实力'!BI139</f>
        <v>116803524</v>
      </c>
      <c r="G139" s="144">
        <f>'[1]功能-实力'!BJ139</f>
        <v>122651460</v>
      </c>
      <c r="Q139" s="17">
        <v>135</v>
      </c>
      <c r="R139" s="17">
        <f t="shared" si="22"/>
        <v>4</v>
      </c>
      <c r="S139" s="17">
        <f t="shared" si="23"/>
        <v>4</v>
      </c>
      <c r="T139" s="17">
        <f t="shared" si="24"/>
        <v>4</v>
      </c>
      <c r="U139" s="17">
        <f t="shared" si="25"/>
        <v>4</v>
      </c>
      <c r="V139" s="17">
        <f t="shared" si="26"/>
        <v>4</v>
      </c>
      <c r="W139" s="17">
        <f>求节点(武将天赋!$AB$19:$AB$25,武将天赋!$Y$7:$Y$13,求节点(武将天赋!$BI$6:$BI$9,武将天赋!$BL$6:$BL$9,R139))</f>
        <v>1</v>
      </c>
      <c r="X139" s="17">
        <f>求节点(武将天赋!$AB$19:$AB$25,武将天赋!$Y$7:$Y$13,求节点(武将天赋!$BI$6:$BI$9,武将天赋!$BL$6:$BL$9,S139))</f>
        <v>1</v>
      </c>
      <c r="Y139" s="17">
        <f>求节点(武将天赋!$AB$19:$AB$25,武将天赋!$Y$7:$Y$13,求节点(武将天赋!$BI$6:$BI$9,武将天赋!$BL$6:$BL$9,T139))</f>
        <v>1</v>
      </c>
      <c r="Z139" s="17">
        <f>求节点(武将天赋!$AB$19:$AB$25,武将天赋!$Y$7:$Y$13,求节点(武将天赋!$BI$6:$BI$9,武将天赋!$BL$6:$BL$9,U139))</f>
        <v>1</v>
      </c>
      <c r="AA139" s="17">
        <f>求节点(武将天赋!$AB$19:$AB$25,武将天赋!$Y$7:$Y$13,求节点(武将天赋!$BI$6:$BI$9,武将天赋!$BL$6:$BL$9,V139))</f>
        <v>1</v>
      </c>
      <c r="AE139" s="155" t="s">
        <v>172</v>
      </c>
      <c r="AF139" s="155"/>
      <c r="AH139" s="17" t="s">
        <v>178</v>
      </c>
      <c r="AI139" s="17"/>
      <c r="AJ139" s="17"/>
      <c r="AK139" s="17"/>
      <c r="AL139" s="17"/>
    </row>
    <row r="140" spans="2:39" x14ac:dyDescent="0.15">
      <c r="B140" s="17">
        <v>136</v>
      </c>
      <c r="C140" s="144">
        <f>'[1]功能-实力'!BF140</f>
        <v>87590436</v>
      </c>
      <c r="D140" s="144">
        <f>'[1]功能-实力'!BG140</f>
        <v>100156956</v>
      </c>
      <c r="E140" s="144">
        <f>'[1]功能-实力'!BH140</f>
        <v>113430534</v>
      </c>
      <c r="F140" s="144">
        <f>'[1]功能-实力'!BI140</f>
        <v>119435652</v>
      </c>
      <c r="G140" s="144">
        <f>'[1]功能-实力'!BJ140</f>
        <v>125149140</v>
      </c>
      <c r="Q140" s="17">
        <v>136</v>
      </c>
      <c r="R140" s="17">
        <f t="shared" si="22"/>
        <v>4</v>
      </c>
      <c r="S140" s="17">
        <f t="shared" si="23"/>
        <v>4</v>
      </c>
      <c r="T140" s="17">
        <f t="shared" si="24"/>
        <v>4</v>
      </c>
      <c r="U140" s="17">
        <f t="shared" si="25"/>
        <v>4</v>
      </c>
      <c r="V140" s="17">
        <f t="shared" si="26"/>
        <v>4</v>
      </c>
      <c r="W140" s="17">
        <f>求节点(武将天赋!$AB$19:$AB$25,武将天赋!$Y$7:$Y$13,求节点(武将天赋!$BI$6:$BI$9,武将天赋!$BL$6:$BL$9,R140))</f>
        <v>1</v>
      </c>
      <c r="X140" s="17">
        <f>求节点(武将天赋!$AB$19:$AB$25,武将天赋!$Y$7:$Y$13,求节点(武将天赋!$BI$6:$BI$9,武将天赋!$BL$6:$BL$9,S140))</f>
        <v>1</v>
      </c>
      <c r="Y140" s="17">
        <f>求节点(武将天赋!$AB$19:$AB$25,武将天赋!$Y$7:$Y$13,求节点(武将天赋!$BI$6:$BI$9,武将天赋!$BL$6:$BL$9,T140))</f>
        <v>1</v>
      </c>
      <c r="Z140" s="17">
        <f>求节点(武将天赋!$AB$19:$AB$25,武将天赋!$Y$7:$Y$13,求节点(武将天赋!$BI$6:$BI$9,武将天赋!$BL$6:$BL$9,U140))</f>
        <v>1</v>
      </c>
      <c r="AA140" s="17">
        <f>求节点(武将天赋!$AB$19:$AB$25,武将天赋!$Y$7:$Y$13,求节点(武将天赋!$BI$6:$BI$9,武将天赋!$BL$6:$BL$9,V140))</f>
        <v>1</v>
      </c>
      <c r="AE140" s="155"/>
      <c r="AF140" s="155"/>
      <c r="AH140" s="155" t="s">
        <v>821</v>
      </c>
      <c r="AI140" s="155"/>
      <c r="AJ140" s="155"/>
      <c r="AK140" s="155"/>
      <c r="AL140" s="155"/>
    </row>
    <row r="141" spans="2:39" x14ac:dyDescent="0.15">
      <c r="B141" s="17">
        <v>137</v>
      </c>
      <c r="C141" s="144">
        <f>'[1]功能-实力'!BF141</f>
        <v>89723004</v>
      </c>
      <c r="D141" s="144">
        <f>'[1]功能-实力'!BG141</f>
        <v>102705768</v>
      </c>
      <c r="E141" s="144">
        <f>'[1]功能-实力'!BH141</f>
        <v>116037036</v>
      </c>
      <c r="F141" s="144">
        <f>'[1]功能-实力'!BI141</f>
        <v>122029644</v>
      </c>
      <c r="G141" s="144">
        <f>'[1]功能-实力'!BJ141</f>
        <v>127682880</v>
      </c>
      <c r="Q141" s="17">
        <v>137</v>
      </c>
      <c r="R141" s="17">
        <f t="shared" si="22"/>
        <v>4</v>
      </c>
      <c r="S141" s="17">
        <f t="shared" si="23"/>
        <v>4</v>
      </c>
      <c r="T141" s="17">
        <f t="shared" si="24"/>
        <v>4</v>
      </c>
      <c r="U141" s="17">
        <f t="shared" si="25"/>
        <v>4</v>
      </c>
      <c r="V141" s="17">
        <f t="shared" si="26"/>
        <v>4</v>
      </c>
      <c r="W141" s="17">
        <f>求节点(武将天赋!$AB$19:$AB$25,武将天赋!$Y$7:$Y$13,求节点(武将天赋!$BI$6:$BI$9,武将天赋!$BL$6:$BL$9,R141))</f>
        <v>1</v>
      </c>
      <c r="X141" s="17">
        <f>求节点(武将天赋!$AB$19:$AB$25,武将天赋!$Y$7:$Y$13,求节点(武将天赋!$BI$6:$BI$9,武将天赋!$BL$6:$BL$9,S141))</f>
        <v>1</v>
      </c>
      <c r="Y141" s="17">
        <f>求节点(武将天赋!$AB$19:$AB$25,武将天赋!$Y$7:$Y$13,求节点(武将天赋!$BI$6:$BI$9,武将天赋!$BL$6:$BL$9,T141))</f>
        <v>1</v>
      </c>
      <c r="Z141" s="17">
        <f>求节点(武将天赋!$AB$19:$AB$25,武将天赋!$Y$7:$Y$13,求节点(武将天赋!$BI$6:$BI$9,武将天赋!$BL$6:$BL$9,U141))</f>
        <v>1</v>
      </c>
      <c r="AA141" s="17">
        <f>求节点(武将天赋!$AB$19:$AB$25,武将天赋!$Y$7:$Y$13,求节点(武将天赋!$BI$6:$BI$9,武将天赋!$BL$6:$BL$9,V141))</f>
        <v>1</v>
      </c>
      <c r="AE141" s="56" t="s">
        <v>170</v>
      </c>
      <c r="AF141" s="56" t="s">
        <v>484</v>
      </c>
      <c r="AH141" s="56" t="s">
        <v>3</v>
      </c>
      <c r="AI141" s="56" t="s">
        <v>1</v>
      </c>
      <c r="AJ141" s="56" t="s">
        <v>2</v>
      </c>
      <c r="AK141" s="56" t="s">
        <v>0</v>
      </c>
      <c r="AL141" s="56" t="s">
        <v>545</v>
      </c>
    </row>
    <row r="142" spans="2:39" x14ac:dyDescent="0.15">
      <c r="B142" s="17">
        <v>138</v>
      </c>
      <c r="C142" s="144">
        <f>'[1]功能-实力'!BF142</f>
        <v>91896750</v>
      </c>
      <c r="D142" s="144">
        <f>'[1]功能-实力'!BG142</f>
        <v>105362190</v>
      </c>
      <c r="E142" s="144">
        <f>'[1]功能-实力'!BH142</f>
        <v>118683552</v>
      </c>
      <c r="F142" s="144">
        <f>'[1]功能-实力'!BI142</f>
        <v>124662738</v>
      </c>
      <c r="G142" s="144">
        <f>'[1]功能-实力'!BJ142</f>
        <v>130193580</v>
      </c>
      <c r="Q142" s="17">
        <v>138</v>
      </c>
      <c r="R142" s="17">
        <f t="shared" si="22"/>
        <v>4</v>
      </c>
      <c r="S142" s="17">
        <f t="shared" si="23"/>
        <v>4</v>
      </c>
      <c r="T142" s="17">
        <f t="shared" si="24"/>
        <v>4</v>
      </c>
      <c r="U142" s="17">
        <f t="shared" si="25"/>
        <v>4</v>
      </c>
      <c r="V142" s="17">
        <f t="shared" si="26"/>
        <v>4</v>
      </c>
      <c r="W142" s="17">
        <f>求节点(武将天赋!$AB$19:$AB$25,武将天赋!$Y$7:$Y$13,求节点(武将天赋!$BI$6:$BI$9,武将天赋!$BL$6:$BL$9,R142))</f>
        <v>1</v>
      </c>
      <c r="X142" s="17">
        <f>求节点(武将天赋!$AB$19:$AB$25,武将天赋!$Y$7:$Y$13,求节点(武将天赋!$BI$6:$BI$9,武将天赋!$BL$6:$BL$9,S142))</f>
        <v>1</v>
      </c>
      <c r="Y142" s="17">
        <f>求节点(武将天赋!$AB$19:$AB$25,武将天赋!$Y$7:$Y$13,求节点(武将天赋!$BI$6:$BI$9,武将天赋!$BL$6:$BL$9,T142))</f>
        <v>1</v>
      </c>
      <c r="Z142" s="17">
        <f>求节点(武将天赋!$AB$19:$AB$25,武将天赋!$Y$7:$Y$13,求节点(武将天赋!$BI$6:$BI$9,武将天赋!$BL$6:$BL$9,U142))</f>
        <v>1</v>
      </c>
      <c r="AA142" s="17">
        <f>求节点(武将天赋!$AB$19:$AB$25,武将天赋!$Y$7:$Y$13,求节点(武将天赋!$BI$6:$BI$9,武将天赋!$BL$6:$BL$9,V142))</f>
        <v>1</v>
      </c>
      <c r="AE142" s="56">
        <v>0.5</v>
      </c>
      <c r="AF142" s="56">
        <v>10.00263241450434</v>
      </c>
      <c r="AH142" s="56"/>
      <c r="AI142" s="56"/>
      <c r="AJ142" s="56"/>
      <c r="AK142" s="56"/>
      <c r="AL142" s="56">
        <f>IFERROR(求节点(武将天赋!$AC$31:$AC$37,武将天赋!$Y$7:$Y$13,武将数量星级阶位验证!BM142/基础状态预期!J152),0)</f>
        <v>0</v>
      </c>
      <c r="AM142" s="17">
        <f>求节点(武将天赋进度验证!$Q$5:$Q$164,武将天赋进度验证!$Z$5:$Z$164,$AF142)</f>
        <v>0.1</v>
      </c>
    </row>
    <row r="143" spans="2:39" x14ac:dyDescent="0.15">
      <c r="B143" s="17">
        <v>139</v>
      </c>
      <c r="C143" s="144">
        <f>'[1]功能-实力'!BF143</f>
        <v>94109028</v>
      </c>
      <c r="D143" s="144">
        <f>'[1]功能-实力'!BG143</f>
        <v>108193590</v>
      </c>
      <c r="E143" s="144">
        <f>'[1]功能-实力'!BH143</f>
        <v>121375062</v>
      </c>
      <c r="F143" s="144">
        <f>'[1]功能-实力'!BI143</f>
        <v>127281102</v>
      </c>
      <c r="G143" s="144">
        <f>'[1]功能-实力'!BJ143</f>
        <v>132771234</v>
      </c>
      <c r="Q143" s="17">
        <v>139</v>
      </c>
      <c r="R143" s="17">
        <f t="shared" si="22"/>
        <v>4</v>
      </c>
      <c r="S143" s="17">
        <f t="shared" si="23"/>
        <v>4</v>
      </c>
      <c r="T143" s="17">
        <f t="shared" si="24"/>
        <v>4</v>
      </c>
      <c r="U143" s="17">
        <f t="shared" si="25"/>
        <v>4</v>
      </c>
      <c r="V143" s="17">
        <f t="shared" si="26"/>
        <v>4</v>
      </c>
      <c r="W143" s="17">
        <f>求节点(武将天赋!$AB$19:$AB$25,武将天赋!$Y$7:$Y$13,求节点(武将天赋!$BI$6:$BI$9,武将天赋!$BL$6:$BL$9,R143))</f>
        <v>1</v>
      </c>
      <c r="X143" s="17">
        <f>求节点(武将天赋!$AB$19:$AB$25,武将天赋!$Y$7:$Y$13,求节点(武将天赋!$BI$6:$BI$9,武将天赋!$BL$6:$BL$9,S143))</f>
        <v>1</v>
      </c>
      <c r="Y143" s="17">
        <f>求节点(武将天赋!$AB$19:$AB$25,武将天赋!$Y$7:$Y$13,求节点(武将天赋!$BI$6:$BI$9,武将天赋!$BL$6:$BL$9,T143))</f>
        <v>1</v>
      </c>
      <c r="Z143" s="17">
        <f>求节点(武将天赋!$AB$19:$AB$25,武将天赋!$Y$7:$Y$13,求节点(武将天赋!$BI$6:$BI$9,武将天赋!$BL$6:$BL$9,U143))</f>
        <v>1</v>
      </c>
      <c r="AA143" s="17">
        <f>求节点(武将天赋!$AB$19:$AB$25,武将天赋!$Y$7:$Y$13,求节点(武将天赋!$BI$6:$BI$9,武将天赋!$BL$6:$BL$9,V143))</f>
        <v>1</v>
      </c>
      <c r="AE143" s="56">
        <v>1.5</v>
      </c>
      <c r="AF143" s="56">
        <v>19.43005414991557</v>
      </c>
      <c r="AH143" s="56"/>
      <c r="AI143" s="56"/>
      <c r="AJ143" s="56"/>
      <c r="AK143" s="56"/>
      <c r="AL143" s="56">
        <f>IFERROR(求节点(武将天赋!$AC$31:$AC$37,武将天赋!$Y$7:$Y$13,武将数量星级阶位验证!BM143/基础状态预期!J153),0)</f>
        <v>0</v>
      </c>
      <c r="AM143" s="17">
        <f>求节点(武将天赋进度验证!$Q$5:$Q$164,武将天赋进度验证!$Z$5:$Z$164,$AF143)</f>
        <v>0.1</v>
      </c>
    </row>
    <row r="144" spans="2:39" x14ac:dyDescent="0.15">
      <c r="B144" s="17">
        <v>140</v>
      </c>
      <c r="C144" s="144">
        <f>'[1]功能-实力'!BF144</f>
        <v>96355410</v>
      </c>
      <c r="D144" s="144">
        <f>'[1]功能-实力'!BG144</f>
        <v>111085638</v>
      </c>
      <c r="E144" s="144">
        <f>'[1]功能-实力'!BH144</f>
        <v>124061742</v>
      </c>
      <c r="F144" s="144">
        <f>'[1]功能-实力'!BI144</f>
        <v>129964164</v>
      </c>
      <c r="G144" s="144">
        <f>'[1]功能-实力'!BJ144</f>
        <v>135462516</v>
      </c>
      <c r="Q144" s="17">
        <v>140</v>
      </c>
      <c r="R144" s="17">
        <f t="shared" si="22"/>
        <v>4</v>
      </c>
      <c r="S144" s="17">
        <f t="shared" si="23"/>
        <v>4</v>
      </c>
      <c r="T144" s="17">
        <f t="shared" si="24"/>
        <v>4</v>
      </c>
      <c r="U144" s="17">
        <f t="shared" si="25"/>
        <v>4</v>
      </c>
      <c r="V144" s="17">
        <f t="shared" si="26"/>
        <v>4</v>
      </c>
      <c r="W144" s="17">
        <f>求节点(武将天赋!$AB$19:$AB$25,武将天赋!$Y$7:$Y$13,求节点(武将天赋!$BI$6:$BI$9,武将天赋!$BL$6:$BL$9,R144))</f>
        <v>1</v>
      </c>
      <c r="X144" s="17">
        <f>求节点(武将天赋!$AB$19:$AB$25,武将天赋!$Y$7:$Y$13,求节点(武将天赋!$BI$6:$BI$9,武将天赋!$BL$6:$BL$9,S144))</f>
        <v>1</v>
      </c>
      <c r="Y144" s="17">
        <f>求节点(武将天赋!$AB$19:$AB$25,武将天赋!$Y$7:$Y$13,求节点(武将天赋!$BI$6:$BI$9,武将天赋!$BL$6:$BL$9,T144))</f>
        <v>1</v>
      </c>
      <c r="Z144" s="17">
        <f>求节点(武将天赋!$AB$19:$AB$25,武将天赋!$Y$7:$Y$13,求节点(武将天赋!$BI$6:$BI$9,武将天赋!$BL$6:$BL$9,U144))</f>
        <v>1</v>
      </c>
      <c r="AA144" s="17">
        <f>求节点(武将天赋!$AB$19:$AB$25,武将天赋!$Y$7:$Y$13,求节点(武将天赋!$BI$6:$BI$9,武将天赋!$BL$6:$BL$9,V144))</f>
        <v>1</v>
      </c>
      <c r="AE144" s="56">
        <v>3</v>
      </c>
      <c r="AF144" s="56">
        <v>27.324610510337703</v>
      </c>
      <c r="AH144" s="56"/>
      <c r="AI144" s="56"/>
      <c r="AJ144" s="56"/>
      <c r="AK144" s="56"/>
      <c r="AL144" s="56">
        <f>IFERROR(求节点(武将天赋!$AC$31:$AC$37,武将天赋!$Y$7:$Y$13,武将数量星级阶位验证!BM144/基础状态预期!J154),0)</f>
        <v>0</v>
      </c>
      <c r="AM144" s="17">
        <f>求节点(武将天赋进度验证!$Q$5:$Q$164,武将天赋进度验证!$Z$5:$Z$164,$AF144)</f>
        <v>0.1</v>
      </c>
    </row>
    <row r="145" spans="2:39" x14ac:dyDescent="0.15">
      <c r="B145" s="17">
        <v>141</v>
      </c>
      <c r="C145" s="144">
        <f>'[1]功能-实力'!BF145</f>
        <v>98641236</v>
      </c>
      <c r="D145" s="144">
        <f>'[1]功能-实力'!BG145</f>
        <v>113921532</v>
      </c>
      <c r="E145" s="144">
        <f>'[1]功能-实力'!BH145</f>
        <v>126800760</v>
      </c>
      <c r="F145" s="144">
        <f>'[1]功能-实力'!BI145</f>
        <v>132775992</v>
      </c>
      <c r="G145" s="144">
        <f>'[1]功能-实力'!BJ145</f>
        <v>138240600</v>
      </c>
      <c r="Q145" s="17">
        <v>141</v>
      </c>
      <c r="R145" s="17">
        <f t="shared" si="22"/>
        <v>4</v>
      </c>
      <c r="S145" s="17">
        <f t="shared" si="23"/>
        <v>4</v>
      </c>
      <c r="T145" s="17">
        <f t="shared" si="24"/>
        <v>4</v>
      </c>
      <c r="U145" s="17">
        <f t="shared" si="25"/>
        <v>4</v>
      </c>
      <c r="V145" s="17">
        <f t="shared" si="26"/>
        <v>4</v>
      </c>
      <c r="W145" s="17">
        <f>求节点(武将天赋!$AB$19:$AB$25,武将天赋!$Y$7:$Y$13,求节点(武将天赋!$BI$6:$BI$9,武将天赋!$BL$6:$BL$9,R145))</f>
        <v>1</v>
      </c>
      <c r="X145" s="17">
        <f>求节点(武将天赋!$AB$19:$AB$25,武将天赋!$Y$7:$Y$13,求节点(武将天赋!$BI$6:$BI$9,武将天赋!$BL$6:$BL$9,S145))</f>
        <v>1</v>
      </c>
      <c r="Y145" s="17">
        <f>求节点(武将天赋!$AB$19:$AB$25,武将天赋!$Y$7:$Y$13,求节点(武将天赋!$BI$6:$BI$9,武将天赋!$BL$6:$BL$9,T145))</f>
        <v>1</v>
      </c>
      <c r="Z145" s="17">
        <f>求节点(武将天赋!$AB$19:$AB$25,武将天赋!$Y$7:$Y$13,求节点(武将天赋!$BI$6:$BI$9,武将天赋!$BL$6:$BL$9,U145))</f>
        <v>1</v>
      </c>
      <c r="AA145" s="17">
        <f>求节点(武将天赋!$AB$19:$AB$25,武将天赋!$Y$7:$Y$13,求节点(武将天赋!$BI$6:$BI$9,武将天赋!$BL$6:$BL$9,V145))</f>
        <v>1</v>
      </c>
      <c r="AE145" s="56">
        <v>5</v>
      </c>
      <c r="AF145" s="56">
        <v>33.672145166817529</v>
      </c>
      <c r="AH145" s="56"/>
      <c r="AI145" s="56"/>
      <c r="AJ145" s="56"/>
      <c r="AK145" s="56"/>
      <c r="AL145" s="56">
        <f>IFERROR(求节点(武将天赋!$AC$31:$AC$37,武将天赋!$Y$7:$Y$13,武将数量星级阶位验证!BM145/基础状态预期!J155),0)</f>
        <v>0</v>
      </c>
      <c r="AM145" s="17">
        <f>求节点(武将天赋进度验证!$Q$5:$Q$164,武将天赋进度验证!$Z$5:$Z$164,$AF145)</f>
        <v>0.1</v>
      </c>
    </row>
    <row r="146" spans="2:39" x14ac:dyDescent="0.15">
      <c r="B146" s="17">
        <v>142</v>
      </c>
      <c r="C146" s="144">
        <f>'[1]功能-实力'!BF146</f>
        <v>100960920</v>
      </c>
      <c r="D146" s="144">
        <f>'[1]功能-实力'!BG146</f>
        <v>116852196</v>
      </c>
      <c r="E146" s="144">
        <f>'[1]功能-实力'!BH146</f>
        <v>129673944</v>
      </c>
      <c r="F146" s="144">
        <f>'[1]功能-实力'!BI146</f>
        <v>135687930</v>
      </c>
      <c r="G146" s="144">
        <f>'[1]功能-实力'!BJ146</f>
        <v>141086520</v>
      </c>
      <c r="Q146" s="17">
        <v>142</v>
      </c>
      <c r="R146" s="17">
        <f t="shared" si="22"/>
        <v>4</v>
      </c>
      <c r="S146" s="17">
        <f t="shared" si="23"/>
        <v>4</v>
      </c>
      <c r="T146" s="17">
        <f t="shared" si="24"/>
        <v>4</v>
      </c>
      <c r="U146" s="17">
        <f t="shared" si="25"/>
        <v>4</v>
      </c>
      <c r="V146" s="17">
        <f t="shared" si="26"/>
        <v>4</v>
      </c>
      <c r="W146" s="17">
        <f>求节点(武将天赋!$AB$19:$AB$25,武将天赋!$Y$7:$Y$13,求节点(武将天赋!$BI$6:$BI$9,武将天赋!$BL$6:$BL$9,R146))</f>
        <v>1</v>
      </c>
      <c r="X146" s="17">
        <f>求节点(武将天赋!$AB$19:$AB$25,武将天赋!$Y$7:$Y$13,求节点(武将天赋!$BI$6:$BI$9,武将天赋!$BL$6:$BL$9,S146))</f>
        <v>1</v>
      </c>
      <c r="Y146" s="17">
        <f>求节点(武将天赋!$AB$19:$AB$25,武将天赋!$Y$7:$Y$13,求节点(武将天赋!$BI$6:$BI$9,武将天赋!$BL$6:$BL$9,T146))</f>
        <v>1</v>
      </c>
      <c r="Z146" s="17">
        <f>求节点(武将天赋!$AB$19:$AB$25,武将天赋!$Y$7:$Y$13,求节点(武将天赋!$BI$6:$BI$9,武将天赋!$BL$6:$BL$9,U146))</f>
        <v>1</v>
      </c>
      <c r="AA146" s="17">
        <f>求节点(武将天赋!$AB$19:$AB$25,武将天赋!$Y$7:$Y$13,求节点(武将天赋!$BI$6:$BI$9,武将天赋!$BL$6:$BL$9,V146))</f>
        <v>1</v>
      </c>
      <c r="AE146" s="56">
        <v>7.5</v>
      </c>
      <c r="AF146" s="56">
        <v>39.138098927718012</v>
      </c>
      <c r="AH146" s="56"/>
      <c r="AI146" s="56"/>
      <c r="AJ146" s="56"/>
      <c r="AK146" s="56"/>
      <c r="AL146" s="56">
        <f>IFERROR(求节点(武将天赋!$AC$31:$AC$37,武将天赋!$Y$7:$Y$13,武将数量星级阶位验证!BM146/基础状态预期!J156),0)</f>
        <v>0</v>
      </c>
      <c r="AM146" s="17">
        <f>求节点(武将天赋进度验证!$Q$5:$Q$164,武将天赋进度验证!$Z$5:$Z$164,$AF146)</f>
        <v>0.1</v>
      </c>
    </row>
    <row r="147" spans="2:39" x14ac:dyDescent="0.15">
      <c r="B147" s="17">
        <v>143</v>
      </c>
      <c r="C147" s="144">
        <f>'[1]功能-实力'!BF147</f>
        <v>103352844</v>
      </c>
      <c r="D147" s="144">
        <f>'[1]功能-实力'!BG147</f>
        <v>119846658</v>
      </c>
      <c r="E147" s="144">
        <f>'[1]功能-实力'!BH147</f>
        <v>132624810</v>
      </c>
      <c r="F147" s="144">
        <f>'[1]功能-实力'!BI147</f>
        <v>138648078</v>
      </c>
      <c r="G147" s="144">
        <f>'[1]功能-实力'!BJ147</f>
        <v>143997360</v>
      </c>
      <c r="Q147" s="17">
        <v>143</v>
      </c>
      <c r="R147" s="17">
        <f t="shared" si="22"/>
        <v>4</v>
      </c>
      <c r="S147" s="17">
        <f t="shared" si="23"/>
        <v>4</v>
      </c>
      <c r="T147" s="17">
        <f t="shared" si="24"/>
        <v>4</v>
      </c>
      <c r="U147" s="17">
        <f t="shared" si="25"/>
        <v>4</v>
      </c>
      <c r="V147" s="17">
        <f t="shared" si="26"/>
        <v>4</v>
      </c>
      <c r="W147" s="17">
        <f>求节点(武将天赋!$AB$19:$AB$25,武将天赋!$Y$7:$Y$13,求节点(武将天赋!$BI$6:$BI$9,武将天赋!$BL$6:$BL$9,R147))</f>
        <v>1</v>
      </c>
      <c r="X147" s="17">
        <f>求节点(武将天赋!$AB$19:$AB$25,武将天赋!$Y$7:$Y$13,求节点(武将天赋!$BI$6:$BI$9,武将天赋!$BL$6:$BL$9,S147))</f>
        <v>1</v>
      </c>
      <c r="Y147" s="17">
        <f>求节点(武将天赋!$AB$19:$AB$25,武将天赋!$Y$7:$Y$13,求节点(武将天赋!$BI$6:$BI$9,武将天赋!$BL$6:$BL$9,T147))</f>
        <v>1</v>
      </c>
      <c r="Z147" s="17">
        <f>求节点(武将天赋!$AB$19:$AB$25,武将天赋!$Y$7:$Y$13,求节点(武将天赋!$BI$6:$BI$9,武将天赋!$BL$6:$BL$9,U147))</f>
        <v>1</v>
      </c>
      <c r="AA147" s="17">
        <f>求节点(武将天赋!$AB$19:$AB$25,武将天赋!$Y$7:$Y$13,求节点(武将天赋!$BI$6:$BI$9,武将天赋!$BL$6:$BL$9,V147))</f>
        <v>1</v>
      </c>
      <c r="AE147" s="56">
        <v>10</v>
      </c>
      <c r="AF147" s="56">
        <v>42.970748198558951</v>
      </c>
      <c r="AH147" s="56"/>
      <c r="AI147" s="56"/>
      <c r="AJ147" s="56"/>
      <c r="AK147" s="56"/>
      <c r="AL147" s="56">
        <f>IFERROR(求节点(武将天赋!$AC$31:$AC$37,武将天赋!$Y$7:$Y$13,武将数量星级阶位验证!BM147/基础状态预期!J157),0)</f>
        <v>0</v>
      </c>
      <c r="AM147" s="17">
        <f>求节点(武将天赋进度验证!$Q$5:$Q$164,武将天赋进度验证!$Z$5:$Z$164,$AF147)</f>
        <v>0.1</v>
      </c>
    </row>
    <row r="148" spans="2:39" x14ac:dyDescent="0.15">
      <c r="B148" s="17">
        <v>144</v>
      </c>
      <c r="C148" s="144">
        <f>'[1]功能-实力'!BF148</f>
        <v>105811308</v>
      </c>
      <c r="D148" s="144">
        <f>'[1]功能-实力'!BG148</f>
        <v>122948148</v>
      </c>
      <c r="E148" s="144">
        <f>'[1]功能-实力'!BH148</f>
        <v>135616482</v>
      </c>
      <c r="F148" s="144">
        <f>'[1]功能-实力'!BI148</f>
        <v>141670770</v>
      </c>
      <c r="G148" s="144">
        <f>'[1]功能-实力'!BJ148</f>
        <v>146906682</v>
      </c>
      <c r="Q148" s="17">
        <v>144</v>
      </c>
      <c r="R148" s="17">
        <f t="shared" si="22"/>
        <v>4</v>
      </c>
      <c r="S148" s="17">
        <f t="shared" si="23"/>
        <v>4</v>
      </c>
      <c r="T148" s="17">
        <f t="shared" si="24"/>
        <v>4</v>
      </c>
      <c r="U148" s="17">
        <f t="shared" si="25"/>
        <v>4</v>
      </c>
      <c r="V148" s="17">
        <f t="shared" si="26"/>
        <v>4</v>
      </c>
      <c r="W148" s="17">
        <f>求节点(武将天赋!$AB$19:$AB$25,武将天赋!$Y$7:$Y$13,求节点(武将天赋!$BI$6:$BI$9,武将天赋!$BL$6:$BL$9,R148))</f>
        <v>1</v>
      </c>
      <c r="X148" s="17">
        <f>求节点(武将天赋!$AB$19:$AB$25,武将天赋!$Y$7:$Y$13,求节点(武将天赋!$BI$6:$BI$9,武将天赋!$BL$6:$BL$9,S148))</f>
        <v>1</v>
      </c>
      <c r="Y148" s="17">
        <f>求节点(武将天赋!$AB$19:$AB$25,武将天赋!$Y$7:$Y$13,求节点(武将天赋!$BI$6:$BI$9,武将天赋!$BL$6:$BL$9,T148))</f>
        <v>1</v>
      </c>
      <c r="Z148" s="17">
        <f>求节点(武将天赋!$AB$19:$AB$25,武将天赋!$Y$7:$Y$13,求节点(武将天赋!$BI$6:$BI$9,武将天赋!$BL$6:$BL$9,U148))</f>
        <v>1</v>
      </c>
      <c r="AA148" s="17">
        <f>求节点(武将天赋!$AB$19:$AB$25,武将天赋!$Y$7:$Y$13,求节点(武将天赋!$BI$6:$BI$9,武将天赋!$BL$6:$BL$9,V148))</f>
        <v>1</v>
      </c>
      <c r="AE148" s="56">
        <v>15</v>
      </c>
      <c r="AF148" s="56">
        <v>48.731413734867289</v>
      </c>
      <c r="AH148" s="56"/>
      <c r="AI148" s="56"/>
      <c r="AJ148" s="56"/>
      <c r="AK148" s="56"/>
      <c r="AL148" s="56">
        <f>IFERROR(求节点(武将天赋!$AC$31:$AC$37,武将天赋!$Y$7:$Y$13,武将数量星级阶位验证!BM148/基础状态预期!J158),0)</f>
        <v>0</v>
      </c>
      <c r="AM148" s="17">
        <f>求节点(武将天赋进度验证!$Q$5:$Q$164,武将天赋进度验证!$Z$5:$Z$164,$AF148)</f>
        <v>0.1</v>
      </c>
    </row>
    <row r="149" spans="2:39" x14ac:dyDescent="0.15">
      <c r="B149" s="17">
        <v>145</v>
      </c>
      <c r="C149" s="144">
        <f>'[1]功能-实力'!BF149</f>
        <v>108331206</v>
      </c>
      <c r="D149" s="144">
        <f>'[1]功能-实力'!BG149</f>
        <v>126103044</v>
      </c>
      <c r="E149" s="144">
        <f>'[1]功能-实力'!BH149</f>
        <v>138680508</v>
      </c>
      <c r="F149" s="144">
        <f>'[1]功能-实力'!BI149</f>
        <v>144706404</v>
      </c>
      <c r="G149" s="144">
        <f>'[1]功能-实力'!BJ149</f>
        <v>149839638</v>
      </c>
      <c r="Q149" s="17">
        <v>145</v>
      </c>
      <c r="R149" s="17">
        <f t="shared" si="22"/>
        <v>4</v>
      </c>
      <c r="S149" s="17">
        <f t="shared" si="23"/>
        <v>4</v>
      </c>
      <c r="T149" s="17">
        <f t="shared" si="24"/>
        <v>4</v>
      </c>
      <c r="U149" s="17">
        <f t="shared" si="25"/>
        <v>4</v>
      </c>
      <c r="V149" s="17">
        <f t="shared" si="26"/>
        <v>4</v>
      </c>
      <c r="W149" s="17">
        <f>求节点(武将天赋!$AB$19:$AB$25,武将天赋!$Y$7:$Y$13,求节点(武将天赋!$BI$6:$BI$9,武将天赋!$BL$6:$BL$9,R149))</f>
        <v>1</v>
      </c>
      <c r="X149" s="17">
        <f>求节点(武将天赋!$AB$19:$AB$25,武将天赋!$Y$7:$Y$13,求节点(武将天赋!$BI$6:$BI$9,武将天赋!$BL$6:$BL$9,S149))</f>
        <v>1</v>
      </c>
      <c r="Y149" s="17">
        <f>求节点(武将天赋!$AB$19:$AB$25,武将天赋!$Y$7:$Y$13,求节点(武将天赋!$BI$6:$BI$9,武将天赋!$BL$6:$BL$9,T149))</f>
        <v>1</v>
      </c>
      <c r="Z149" s="17">
        <f>求节点(武将天赋!$AB$19:$AB$25,武将天赋!$Y$7:$Y$13,求节点(武将天赋!$BI$6:$BI$9,武将天赋!$BL$6:$BL$9,U149))</f>
        <v>1</v>
      </c>
      <c r="AA149" s="17">
        <f>求节点(武将天赋!$AB$19:$AB$25,武将天赋!$Y$7:$Y$13,求节点(武将天赋!$BI$6:$BI$9,武将天赋!$BL$6:$BL$9,V149))</f>
        <v>1</v>
      </c>
      <c r="AE149" s="56">
        <v>20</v>
      </c>
      <c r="AF149" s="56">
        <v>52.769987980532711</v>
      </c>
      <c r="AH149" s="56"/>
      <c r="AI149" s="56"/>
      <c r="AJ149" s="56"/>
      <c r="AK149" s="56"/>
      <c r="AL149" s="56">
        <f>IFERROR(求节点(武将天赋!$AC$31:$AC$37,武将天赋!$Y$7:$Y$13,武将数量星级阶位验证!BM149/基础状态预期!J159),0)</f>
        <v>9.5905566581800522E-3</v>
      </c>
      <c r="AM149" s="17">
        <f>求节点(武将天赋进度验证!$Q$5:$Q$164,武将天赋进度验证!$Z$5:$Z$164,$AF149)</f>
        <v>0.1</v>
      </c>
    </row>
    <row r="150" spans="2:39" x14ac:dyDescent="0.15">
      <c r="B150" s="17">
        <v>146</v>
      </c>
      <c r="C150" s="144">
        <f>'[1]功能-实力'!BF150</f>
        <v>110879826</v>
      </c>
      <c r="D150" s="144">
        <f>'[1]功能-实力'!BG150</f>
        <v>129337548</v>
      </c>
      <c r="E150" s="144">
        <f>'[1]功能-实力'!BH150</f>
        <v>141751986</v>
      </c>
      <c r="F150" s="144">
        <f>'[1]功能-实力'!BI150</f>
        <v>147772968</v>
      </c>
      <c r="G150" s="144">
        <f>'[1]功能-实力'!BJ150</f>
        <v>152845512</v>
      </c>
      <c r="Q150" s="17">
        <v>146</v>
      </c>
      <c r="R150" s="17">
        <f t="shared" si="22"/>
        <v>4</v>
      </c>
      <c r="S150" s="17">
        <f t="shared" si="23"/>
        <v>4</v>
      </c>
      <c r="T150" s="17">
        <f t="shared" si="24"/>
        <v>4</v>
      </c>
      <c r="U150" s="17">
        <f t="shared" si="25"/>
        <v>4</v>
      </c>
      <c r="V150" s="17">
        <f t="shared" si="26"/>
        <v>4</v>
      </c>
      <c r="W150" s="17">
        <f>求节点(武将天赋!$AB$19:$AB$25,武将天赋!$Y$7:$Y$13,求节点(武将天赋!$BI$6:$BI$9,武将天赋!$BL$6:$BL$9,R150))</f>
        <v>1</v>
      </c>
      <c r="X150" s="17">
        <f>求节点(武将天赋!$AB$19:$AB$25,武将天赋!$Y$7:$Y$13,求节点(武将天赋!$BI$6:$BI$9,武将天赋!$BL$6:$BL$9,S150))</f>
        <v>1</v>
      </c>
      <c r="Y150" s="17">
        <f>求节点(武将天赋!$AB$19:$AB$25,武将天赋!$Y$7:$Y$13,求节点(武将天赋!$BI$6:$BI$9,武将天赋!$BL$6:$BL$9,T150))</f>
        <v>1</v>
      </c>
      <c r="Z150" s="17">
        <f>求节点(武将天赋!$AB$19:$AB$25,武将天赋!$Y$7:$Y$13,求节点(武将天赋!$BI$6:$BI$9,武将天赋!$BL$6:$BL$9,U150))</f>
        <v>1</v>
      </c>
      <c r="AA150" s="17">
        <f>求节点(武将天赋!$AB$19:$AB$25,武将天赋!$Y$7:$Y$13,求节点(武将天赋!$BI$6:$BI$9,武将天赋!$BL$6:$BL$9,V150))</f>
        <v>1</v>
      </c>
      <c r="AE150" s="56">
        <v>30</v>
      </c>
      <c r="AF150" s="56">
        <v>58.701446767877648</v>
      </c>
      <c r="AH150" s="56"/>
      <c r="AI150" s="56"/>
      <c r="AJ150" s="56"/>
      <c r="AK150" s="56"/>
      <c r="AL150" s="56">
        <f>IFERROR(求节点(武将天赋!$AC$31:$AC$37,武将天赋!$Y$7:$Y$13,武将数量星级阶位验证!BM150/基础状态预期!J160),0)</f>
        <v>1.9323740360284114E-2</v>
      </c>
      <c r="AM150" s="17">
        <f>求节点(武将天赋进度验证!$Q$5:$Q$164,武将天赋进度验证!$Z$5:$Z$164,$AF150)</f>
        <v>0.1</v>
      </c>
    </row>
    <row r="151" spans="2:39" x14ac:dyDescent="0.15">
      <c r="B151" s="17">
        <v>147</v>
      </c>
      <c r="C151" s="144">
        <f>'[1]功能-实力'!BF151</f>
        <v>113496066</v>
      </c>
      <c r="D151" s="144">
        <f>'[1]功能-实力'!BG151</f>
        <v>132597576</v>
      </c>
      <c r="E151" s="144">
        <f>'[1]功能-实力'!BH151</f>
        <v>144874680</v>
      </c>
      <c r="F151" s="144">
        <f>'[1]功能-实力'!BI151</f>
        <v>151024818</v>
      </c>
      <c r="G151" s="144">
        <f>'[1]功能-实力'!BJ151</f>
        <v>155955066</v>
      </c>
      <c r="Q151" s="17">
        <v>147</v>
      </c>
      <c r="R151" s="17">
        <f t="shared" si="22"/>
        <v>4</v>
      </c>
      <c r="S151" s="17">
        <f t="shared" si="23"/>
        <v>4</v>
      </c>
      <c r="T151" s="17">
        <f t="shared" si="24"/>
        <v>4</v>
      </c>
      <c r="U151" s="17">
        <f t="shared" si="25"/>
        <v>4</v>
      </c>
      <c r="V151" s="17">
        <f t="shared" si="26"/>
        <v>4</v>
      </c>
      <c r="W151" s="17">
        <f>求节点(武将天赋!$AB$19:$AB$25,武将天赋!$Y$7:$Y$13,求节点(武将天赋!$BI$6:$BI$9,武将天赋!$BL$6:$BL$9,R151))</f>
        <v>1</v>
      </c>
      <c r="X151" s="17">
        <f>求节点(武将天赋!$AB$19:$AB$25,武将天赋!$Y$7:$Y$13,求节点(武将天赋!$BI$6:$BI$9,武将天赋!$BL$6:$BL$9,S151))</f>
        <v>1</v>
      </c>
      <c r="Y151" s="17">
        <f>求节点(武将天赋!$AB$19:$AB$25,武将天赋!$Y$7:$Y$13,求节点(武将天赋!$BI$6:$BI$9,武将天赋!$BL$6:$BL$9,T151))</f>
        <v>1</v>
      </c>
      <c r="Z151" s="17">
        <f>求节点(武将天赋!$AB$19:$AB$25,武将天赋!$Y$7:$Y$13,求节点(武将天赋!$BI$6:$BI$9,武将天赋!$BL$6:$BL$9,U151))</f>
        <v>1</v>
      </c>
      <c r="AA151" s="17">
        <f>求节点(武将天赋!$AB$19:$AB$25,武将天赋!$Y$7:$Y$13,求节点(武将天赋!$BI$6:$BI$9,武将天赋!$BL$6:$BL$9,V151))</f>
        <v>1</v>
      </c>
      <c r="AE151" s="56">
        <v>45</v>
      </c>
      <c r="AF151" s="56">
        <v>64.399012521055653</v>
      </c>
      <c r="AH151" s="56"/>
      <c r="AI151" s="56"/>
      <c r="AJ151" s="56"/>
      <c r="AK151" s="56"/>
      <c r="AL151" s="56">
        <f>IFERROR(求节点(武将天赋!$AC$31:$AC$37,武将天赋!$Y$7:$Y$13,武将数量星级阶位验证!BM151/基础状态预期!J161),0)</f>
        <v>4.2132361230550128E-2</v>
      </c>
      <c r="AM151" s="17">
        <f>求节点(武将天赋进度验证!$Q$5:$Q$164,武将天赋进度验证!$Z$5:$Z$164,$AF151)</f>
        <v>0.2842253969168782</v>
      </c>
    </row>
    <row r="152" spans="2:39" x14ac:dyDescent="0.15">
      <c r="B152" s="17">
        <v>148</v>
      </c>
      <c r="C152" s="144">
        <f>'[1]功能-实力'!BF152</f>
        <v>116136426</v>
      </c>
      <c r="D152" s="144">
        <f>'[1]功能-实力'!BG152</f>
        <v>135960870</v>
      </c>
      <c r="E152" s="144">
        <f>'[1]功能-实力'!BH152</f>
        <v>148244508</v>
      </c>
      <c r="F152" s="144">
        <f>'[1]功能-实力'!BI152</f>
        <v>154546440</v>
      </c>
      <c r="G152" s="144">
        <f>'[1]功能-实力'!BJ152</f>
        <v>159119640</v>
      </c>
      <c r="Q152" s="17">
        <v>148</v>
      </c>
      <c r="R152" s="17">
        <f t="shared" si="22"/>
        <v>4</v>
      </c>
      <c r="S152" s="17">
        <f t="shared" si="23"/>
        <v>4</v>
      </c>
      <c r="T152" s="17">
        <f t="shared" si="24"/>
        <v>4</v>
      </c>
      <c r="U152" s="17">
        <f t="shared" si="25"/>
        <v>4</v>
      </c>
      <c r="V152" s="17">
        <f t="shared" si="26"/>
        <v>4</v>
      </c>
      <c r="W152" s="17">
        <f>求节点(武将天赋!$AB$19:$AB$25,武将天赋!$Y$7:$Y$13,求节点(武将天赋!$BI$6:$BI$9,武将天赋!$BL$6:$BL$9,R152))</f>
        <v>1</v>
      </c>
      <c r="X152" s="17">
        <f>求节点(武将天赋!$AB$19:$AB$25,武将天赋!$Y$7:$Y$13,求节点(武将天赋!$BI$6:$BI$9,武将天赋!$BL$6:$BL$9,S152))</f>
        <v>1</v>
      </c>
      <c r="Y152" s="17">
        <f>求节点(武将天赋!$AB$19:$AB$25,武将天赋!$Y$7:$Y$13,求节点(武将天赋!$BI$6:$BI$9,武将天赋!$BL$6:$BL$9,T152))</f>
        <v>1</v>
      </c>
      <c r="Z152" s="17">
        <f>求节点(武将天赋!$AB$19:$AB$25,武将天赋!$Y$7:$Y$13,求节点(武将天赋!$BI$6:$BI$9,武将天赋!$BL$6:$BL$9,U152))</f>
        <v>1</v>
      </c>
      <c r="AA152" s="17">
        <f>求节点(武将天赋!$AB$19:$AB$25,武将天赋!$Y$7:$Y$13,求节点(武将天赋!$BI$6:$BI$9,武将天赋!$BL$6:$BL$9,V152))</f>
        <v>1</v>
      </c>
      <c r="AE152" s="56">
        <v>60</v>
      </c>
      <c r="AF152" s="56">
        <v>68.627579426319684</v>
      </c>
      <c r="AH152" s="56"/>
      <c r="AI152" s="56"/>
      <c r="AJ152" s="56"/>
      <c r="AK152" s="56"/>
      <c r="AL152" s="56">
        <f>IFERROR(求节点(武将天赋!$AC$31:$AC$37,武将天赋!$Y$7:$Y$13,武将数量星级阶位验证!BM152/基础状态预期!J162),0)</f>
        <v>5.2654446423730246E-2</v>
      </c>
      <c r="AM152" s="17">
        <f>求节点(武将天赋进度验证!$Q$5:$Q$164,武将天赋进度验证!$Z$5:$Z$164,$AF152)</f>
        <v>0.5</v>
      </c>
    </row>
    <row r="153" spans="2:39" x14ac:dyDescent="0.15">
      <c r="B153" s="17">
        <v>149</v>
      </c>
      <c r="C153" s="144">
        <f>'[1]功能-实力'!BF153</f>
        <v>118850778</v>
      </c>
      <c r="D153" s="144">
        <f>'[1]功能-实力'!BG153</f>
        <v>139578180</v>
      </c>
      <c r="E153" s="144">
        <f>'[1]功能-实力'!BH153</f>
        <v>151817922</v>
      </c>
      <c r="F153" s="144">
        <f>'[1]功能-实力'!BI153</f>
        <v>158127654</v>
      </c>
      <c r="G153" s="144">
        <f>'[1]功能-实力'!BJ153</f>
        <v>162577584</v>
      </c>
      <c r="Q153" s="17">
        <v>149</v>
      </c>
      <c r="R153" s="17">
        <f t="shared" si="22"/>
        <v>4</v>
      </c>
      <c r="S153" s="17">
        <f t="shared" si="23"/>
        <v>4</v>
      </c>
      <c r="T153" s="17">
        <f t="shared" si="24"/>
        <v>4</v>
      </c>
      <c r="U153" s="17">
        <f t="shared" si="25"/>
        <v>4</v>
      </c>
      <c r="V153" s="17">
        <f t="shared" si="26"/>
        <v>4</v>
      </c>
      <c r="W153" s="17">
        <f>求节点(武将天赋!$AB$19:$AB$25,武将天赋!$Y$7:$Y$13,求节点(武将天赋!$BI$6:$BI$9,武将天赋!$BL$6:$BL$9,R153))</f>
        <v>1</v>
      </c>
      <c r="X153" s="17">
        <f>求节点(武将天赋!$AB$19:$AB$25,武将天赋!$Y$7:$Y$13,求节点(武将天赋!$BI$6:$BI$9,武将天赋!$BL$6:$BL$9,S153))</f>
        <v>1</v>
      </c>
      <c r="Y153" s="17">
        <f>求节点(武将天赋!$AB$19:$AB$25,武将天赋!$Y$7:$Y$13,求节点(武将天赋!$BI$6:$BI$9,武将天赋!$BL$6:$BL$9,T153))</f>
        <v>1</v>
      </c>
      <c r="Z153" s="17">
        <f>求节点(武将天赋!$AB$19:$AB$25,武将天赋!$Y$7:$Y$13,求节点(武将天赋!$BI$6:$BI$9,武将天赋!$BL$6:$BL$9,U153))</f>
        <v>1</v>
      </c>
      <c r="AA153" s="17">
        <f>求节点(武将天赋!$AB$19:$AB$25,武将天赋!$Y$7:$Y$13,求节点(武将天赋!$BI$6:$BI$9,武将天赋!$BL$6:$BL$9,V153))</f>
        <v>1</v>
      </c>
      <c r="AE153" s="56">
        <v>75</v>
      </c>
      <c r="AF153" s="56">
        <v>71.882008108111634</v>
      </c>
      <c r="AH153" s="56"/>
      <c r="AI153" s="56"/>
      <c r="AJ153" s="56"/>
      <c r="AK153" s="56"/>
      <c r="AL153" s="56">
        <f>IFERROR(求节点(武将天赋!$AC$31:$AC$37,武将天赋!$Y$7:$Y$13,武将数量星级阶位验证!BM153/基础状态预期!J163),0)</f>
        <v>5.8337537325500691E-2</v>
      </c>
      <c r="AM153" s="17">
        <f>求节点(武将天赋进度验证!$Q$5:$Q$164,武将天赋进度验证!$Z$5:$Z$164,$AF153)</f>
        <v>0.5</v>
      </c>
    </row>
    <row r="154" spans="2:39" x14ac:dyDescent="0.15">
      <c r="B154" s="17">
        <v>150</v>
      </c>
      <c r="C154" s="144">
        <f>'[1]功能-实力'!BF154</f>
        <v>121855020</v>
      </c>
      <c r="D154" s="144">
        <f>'[1]功能-实力'!BG154</f>
        <v>143279748</v>
      </c>
      <c r="E154" s="144">
        <f>'[1]功能-实力'!BH154</f>
        <v>155452284</v>
      </c>
      <c r="F154" s="144">
        <f>'[1]功能-实力'!BI154</f>
        <v>162049002</v>
      </c>
      <c r="G154" s="144">
        <f>'[1]功能-实力'!BJ154</f>
        <v>166945284</v>
      </c>
      <c r="Q154" s="17">
        <v>150</v>
      </c>
      <c r="R154" s="17">
        <f t="shared" si="22"/>
        <v>4</v>
      </c>
      <c r="S154" s="17">
        <f t="shared" si="23"/>
        <v>4</v>
      </c>
      <c r="T154" s="17">
        <f t="shared" si="24"/>
        <v>4</v>
      </c>
      <c r="U154" s="17">
        <f t="shared" si="25"/>
        <v>4</v>
      </c>
      <c r="V154" s="17">
        <f t="shared" si="26"/>
        <v>4</v>
      </c>
      <c r="W154" s="17">
        <f>求节点(武将天赋!$AB$19:$AB$25,武将天赋!$Y$7:$Y$13,求节点(武将天赋!$BI$6:$BI$9,武将天赋!$BL$6:$BL$9,R154))</f>
        <v>1</v>
      </c>
      <c r="X154" s="17">
        <f>求节点(武将天赋!$AB$19:$AB$25,武将天赋!$Y$7:$Y$13,求节点(武将天赋!$BI$6:$BI$9,武将天赋!$BL$6:$BL$9,S154))</f>
        <v>1</v>
      </c>
      <c r="Y154" s="17">
        <f>求节点(武将天赋!$AB$19:$AB$25,武将天赋!$Y$7:$Y$13,求节点(武将天赋!$BI$6:$BI$9,武将天赋!$BL$6:$BL$9,T154))</f>
        <v>1</v>
      </c>
      <c r="Z154" s="17">
        <f>求节点(武将天赋!$AB$19:$AB$25,武将天赋!$Y$7:$Y$13,求节点(武将天赋!$BI$6:$BI$9,武将天赋!$BL$6:$BL$9,U154))</f>
        <v>1</v>
      </c>
      <c r="AA154" s="17">
        <f>求节点(武将天赋!$AB$19:$AB$25,武将天赋!$Y$7:$Y$13,求节点(武将天赋!$BI$6:$BI$9,武将天赋!$BL$6:$BL$9,V154))</f>
        <v>1</v>
      </c>
      <c r="AE154" s="56">
        <v>90</v>
      </c>
      <c r="AF154" s="56">
        <v>74.493385467679886</v>
      </c>
      <c r="AH154" s="56"/>
      <c r="AI154" s="56"/>
      <c r="AJ154" s="56"/>
      <c r="AK154" s="56"/>
      <c r="AL154" s="56">
        <f>IFERROR(求节点(武将天赋!$AC$31:$AC$37,武将天赋!$Y$7:$Y$13,武将数量星级阶位验证!BM154/基础状态预期!J164),0)</f>
        <v>6.6864415875574526E-2</v>
      </c>
      <c r="AM154" s="17">
        <f>求节点(武将天赋进度验证!$Q$5:$Q$164,武将天赋进度验证!$Z$5:$Z$164,$AF154)</f>
        <v>0.73186664864127715</v>
      </c>
    </row>
    <row r="155" spans="2:39" x14ac:dyDescent="0.15">
      <c r="B155" s="17">
        <v>151</v>
      </c>
      <c r="C155" s="144">
        <f>'[1]功能-实力'!BF155</f>
        <v>124912644</v>
      </c>
      <c r="D155" s="144">
        <f>'[1]功能-实力'!BG155</f>
        <v>146662800</v>
      </c>
      <c r="E155" s="144">
        <f>'[1]功能-实力'!BH155</f>
        <v>159138936</v>
      </c>
      <c r="F155" s="144">
        <f>'[1]功能-实力'!BI155</f>
        <v>166548528</v>
      </c>
      <c r="G155" s="144">
        <f>'[1]功能-实力'!BJ155</f>
        <v>171347400</v>
      </c>
      <c r="Q155" s="17">
        <v>151</v>
      </c>
      <c r="R155" s="17">
        <f t="shared" si="22"/>
        <v>4</v>
      </c>
      <c r="S155" s="17">
        <f t="shared" si="23"/>
        <v>4</v>
      </c>
      <c r="T155" s="17">
        <f t="shared" si="24"/>
        <v>4</v>
      </c>
      <c r="U155" s="17">
        <f t="shared" si="25"/>
        <v>4</v>
      </c>
      <c r="V155" s="17">
        <f t="shared" si="26"/>
        <v>4</v>
      </c>
      <c r="W155" s="17">
        <f>求节点(武将天赋!$AB$19:$AB$25,武将天赋!$Y$7:$Y$13,求节点(武将天赋!$BI$6:$BI$9,武将天赋!$BL$6:$BL$9,R155))</f>
        <v>1</v>
      </c>
      <c r="X155" s="17">
        <f>求节点(武将天赋!$AB$19:$AB$25,武将天赋!$Y$7:$Y$13,求节点(武将天赋!$BI$6:$BI$9,武将天赋!$BL$6:$BL$9,S155))</f>
        <v>1</v>
      </c>
      <c r="Y155" s="17">
        <f>求节点(武将天赋!$AB$19:$AB$25,武将天赋!$Y$7:$Y$13,求节点(武将天赋!$BI$6:$BI$9,武将天赋!$BL$6:$BL$9,T155))</f>
        <v>1</v>
      </c>
      <c r="Z155" s="17">
        <f>求节点(武将天赋!$AB$19:$AB$25,武将天赋!$Y$7:$Y$13,求节点(武将天赋!$BI$6:$BI$9,武将天赋!$BL$6:$BL$9,U155))</f>
        <v>1</v>
      </c>
      <c r="AA155" s="17">
        <f>求节点(武将天赋!$AB$19:$AB$25,武将天赋!$Y$7:$Y$13,求节点(武将天赋!$BI$6:$BI$9,武将天赋!$BL$6:$BL$9,V155))</f>
        <v>1</v>
      </c>
      <c r="AE155" s="56">
        <v>110</v>
      </c>
      <c r="AF155" s="56">
        <v>77.332919927503724</v>
      </c>
      <c r="AH155" s="56"/>
      <c r="AI155" s="56"/>
      <c r="AJ155" s="56"/>
      <c r="AK155" s="56"/>
      <c r="AL155" s="56">
        <f>IFERROR(求节点(武将天赋!$AC$31:$AC$37,武将天赋!$Y$7:$Y$13,武将数量星级阶位验证!BM155/基础状态预期!J165),0)</f>
        <v>7.7238174600510218E-2</v>
      </c>
      <c r="AM155" s="17">
        <f>求节点(武将天赋进度验证!$Q$5:$Q$164,武将天赋进度验证!$Z$5:$Z$164,$AF155)</f>
        <v>0.81676385619330272</v>
      </c>
    </row>
    <row r="156" spans="2:39" x14ac:dyDescent="0.15">
      <c r="B156" s="17">
        <v>152</v>
      </c>
      <c r="C156" s="144">
        <f>'[1]功能-实力'!BF156</f>
        <v>128011944</v>
      </c>
      <c r="D156" s="144">
        <f>'[1]功能-实力'!BG156</f>
        <v>150217434</v>
      </c>
      <c r="E156" s="144">
        <f>'[1]功能-实力'!BH156</f>
        <v>163356186</v>
      </c>
      <c r="F156" s="144">
        <f>'[1]功能-实力'!BI156</f>
        <v>171136092</v>
      </c>
      <c r="G156" s="144">
        <f>'[1]功能-实力'!BJ156</f>
        <v>172845240</v>
      </c>
      <c r="Q156" s="17">
        <v>152</v>
      </c>
      <c r="R156" s="17">
        <f t="shared" si="22"/>
        <v>4</v>
      </c>
      <c r="S156" s="17">
        <f t="shared" si="23"/>
        <v>4</v>
      </c>
      <c r="T156" s="17">
        <f t="shared" si="24"/>
        <v>4</v>
      </c>
      <c r="U156" s="17">
        <f t="shared" si="25"/>
        <v>4</v>
      </c>
      <c r="V156" s="17">
        <f t="shared" si="26"/>
        <v>4</v>
      </c>
      <c r="W156" s="17">
        <f>求节点(武将天赋!$AB$19:$AB$25,武将天赋!$Y$7:$Y$13,求节点(武将天赋!$BI$6:$BI$9,武将天赋!$BL$6:$BL$9,R156))</f>
        <v>1</v>
      </c>
      <c r="X156" s="17">
        <f>求节点(武将天赋!$AB$19:$AB$25,武将天赋!$Y$7:$Y$13,求节点(武将天赋!$BI$6:$BI$9,武将天赋!$BL$6:$BL$9,S156))</f>
        <v>1</v>
      </c>
      <c r="Y156" s="17">
        <f>求节点(武将天赋!$AB$19:$AB$25,武将天赋!$Y$7:$Y$13,求节点(武将天赋!$BI$6:$BI$9,武将天赋!$BL$6:$BL$9,T156))</f>
        <v>1</v>
      </c>
      <c r="Z156" s="17">
        <f>求节点(武将天赋!$AB$19:$AB$25,武将天赋!$Y$7:$Y$13,求节点(武将天赋!$BI$6:$BI$9,武将天赋!$BL$6:$BL$9,U156))</f>
        <v>1</v>
      </c>
      <c r="AA156" s="17">
        <f>求节点(武将天赋!$AB$19:$AB$25,武将天赋!$Y$7:$Y$13,求节点(武将天赋!$BI$6:$BI$9,武将天赋!$BL$6:$BL$9,V156))</f>
        <v>1</v>
      </c>
      <c r="AE156" s="56">
        <v>130</v>
      </c>
      <c r="AF156" s="56">
        <v>79.813360188853366</v>
      </c>
      <c r="AH156" s="56"/>
      <c r="AI156" s="56"/>
      <c r="AJ156" s="56"/>
      <c r="AK156" s="56"/>
      <c r="AL156" s="56">
        <f>IFERROR(求节点(武将天赋!$AC$31:$AC$37,武将天赋!$Y$7:$Y$13,武将数量星级阶位验证!BM156/基础状态预期!J166),0)</f>
        <v>9.2153046836294439E-2</v>
      </c>
      <c r="AM156" s="17">
        <f>求节点(武将天赋进度验证!$Q$5:$Q$164,武将天赋进度验证!$Z$5:$Z$164,$AF156)</f>
        <v>0.89689352535549549</v>
      </c>
    </row>
    <row r="157" spans="2:39" x14ac:dyDescent="0.15">
      <c r="B157" s="17">
        <v>153</v>
      </c>
      <c r="C157" s="144">
        <f>'[1]功能-实力'!BF157</f>
        <v>131460714</v>
      </c>
      <c r="D157" s="144">
        <f>'[1]功能-实力'!BG157</f>
        <v>154184406</v>
      </c>
      <c r="E157" s="144">
        <f>'[1]功能-实力'!BH157</f>
        <v>167687346</v>
      </c>
      <c r="F157" s="144">
        <f>'[1]功能-实力'!BI157</f>
        <v>172769778</v>
      </c>
      <c r="G157" s="144">
        <f>'[1]功能-实力'!BJ157</f>
        <v>173783244</v>
      </c>
      <c r="Q157" s="17">
        <v>153</v>
      </c>
      <c r="R157" s="17">
        <f t="shared" si="22"/>
        <v>4</v>
      </c>
      <c r="S157" s="17">
        <f t="shared" si="23"/>
        <v>4</v>
      </c>
      <c r="T157" s="17">
        <f t="shared" si="24"/>
        <v>4</v>
      </c>
      <c r="U157" s="17">
        <f t="shared" si="25"/>
        <v>4</v>
      </c>
      <c r="V157" s="17">
        <f t="shared" si="26"/>
        <v>4</v>
      </c>
      <c r="W157" s="17">
        <f>求节点(武将天赋!$AB$19:$AB$25,武将天赋!$Y$7:$Y$13,求节点(武将天赋!$BI$6:$BI$9,武将天赋!$BL$6:$BL$9,R157))</f>
        <v>1</v>
      </c>
      <c r="X157" s="17">
        <f>求节点(武将天赋!$AB$19:$AB$25,武将天赋!$Y$7:$Y$13,求节点(武将天赋!$BI$6:$BI$9,武将天赋!$BL$6:$BL$9,S157))</f>
        <v>1</v>
      </c>
      <c r="Y157" s="17">
        <f>求节点(武将天赋!$AB$19:$AB$25,武将天赋!$Y$7:$Y$13,求节点(武将天赋!$BI$6:$BI$9,武将天赋!$BL$6:$BL$9,T157))</f>
        <v>1</v>
      </c>
      <c r="Z157" s="17">
        <f>求节点(武将天赋!$AB$19:$AB$25,武将天赋!$Y$7:$Y$13,求节点(武将天赋!$BI$6:$BI$9,武将天赋!$BL$6:$BL$9,U157))</f>
        <v>1</v>
      </c>
      <c r="AA157" s="17">
        <f>求节点(武将天赋!$AB$19:$AB$25,武将天赋!$Y$7:$Y$13,求节点(武将天赋!$BI$6:$BI$9,武将天赋!$BL$6:$BL$9,V157))</f>
        <v>1</v>
      </c>
      <c r="AE157" s="56">
        <v>150</v>
      </c>
      <c r="AF157" s="56">
        <v>81.919202803497143</v>
      </c>
      <c r="AH157" s="56"/>
      <c r="AI157" s="56"/>
      <c r="AJ157" s="56"/>
      <c r="AK157" s="56"/>
      <c r="AL157" s="56">
        <f>IFERROR(求节点(武将天赋!$AC$31:$AC$37,武将天赋!$Y$7:$Y$13,武将数量星级阶位验证!BM157/基础状态预期!J167),0)</f>
        <v>0.19370975137755883</v>
      </c>
      <c r="AM157" s="17">
        <f>求节点(武将天赋进度验证!$Q$5:$Q$164,武将天赋进度验证!$Z$5:$Z$164,$AF157)</f>
        <v>0.97299311119498899</v>
      </c>
    </row>
    <row r="158" spans="2:39" x14ac:dyDescent="0.15">
      <c r="B158" s="17">
        <v>154</v>
      </c>
      <c r="C158" s="144">
        <f>'[1]功能-实力'!BF158</f>
        <v>135016020</v>
      </c>
      <c r="D158" s="144">
        <f>'[1]功能-实力'!BG158</f>
        <v>158256786</v>
      </c>
      <c r="E158" s="144">
        <f>'[1]功能-实力'!BH158</f>
        <v>169277160</v>
      </c>
      <c r="F158" s="144">
        <f>'[1]功能-实力'!BI158</f>
        <v>173704008</v>
      </c>
      <c r="G158" s="144">
        <f>'[1]功能-实力'!BJ158</f>
        <v>174070206</v>
      </c>
      <c r="Q158" s="17">
        <v>154</v>
      </c>
      <c r="R158" s="17">
        <f t="shared" si="22"/>
        <v>4</v>
      </c>
      <c r="S158" s="17">
        <f t="shared" si="23"/>
        <v>4</v>
      </c>
      <c r="T158" s="17">
        <f t="shared" si="24"/>
        <v>4</v>
      </c>
      <c r="U158" s="17">
        <f t="shared" si="25"/>
        <v>4</v>
      </c>
      <c r="V158" s="17">
        <f t="shared" si="26"/>
        <v>4</v>
      </c>
      <c r="W158" s="17">
        <f>求节点(武将天赋!$AB$19:$AB$25,武将天赋!$Y$7:$Y$13,求节点(武将天赋!$BI$6:$BI$9,武将天赋!$BL$6:$BL$9,R158))</f>
        <v>1</v>
      </c>
      <c r="X158" s="17">
        <f>求节点(武将天赋!$AB$19:$AB$25,武将天赋!$Y$7:$Y$13,求节点(武将天赋!$BI$6:$BI$9,武将天赋!$BL$6:$BL$9,S158))</f>
        <v>1</v>
      </c>
      <c r="Y158" s="17">
        <f>求节点(武将天赋!$AB$19:$AB$25,武将天赋!$Y$7:$Y$13,求节点(武将天赋!$BI$6:$BI$9,武将天赋!$BL$6:$BL$9,T158))</f>
        <v>1</v>
      </c>
      <c r="Z158" s="17">
        <f>求节点(武将天赋!$AB$19:$AB$25,武将天赋!$Y$7:$Y$13,求节点(武将天赋!$BI$6:$BI$9,武将天赋!$BL$6:$BL$9,U158))</f>
        <v>1</v>
      </c>
      <c r="AA158" s="17">
        <f>求节点(武将天赋!$AB$19:$AB$25,武将天赋!$Y$7:$Y$13,求节点(武将天赋!$BI$6:$BI$9,武将天赋!$BL$6:$BL$9,V158))</f>
        <v>1</v>
      </c>
      <c r="AE158" s="56">
        <v>170</v>
      </c>
      <c r="AF158" s="56">
        <v>83.738783536778797</v>
      </c>
      <c r="AH158" s="56"/>
      <c r="AI158" s="56"/>
      <c r="AJ158" s="56"/>
      <c r="AK158" s="56"/>
      <c r="AL158" s="56">
        <f>IFERROR(求节点(武将天赋!$AC$31:$AC$37,武将天赋!$Y$7:$Y$13,武将数量星级阶位验证!BM158/基础状态预期!J168),0)</f>
        <v>0.37981855333149805</v>
      </c>
      <c r="AM158" s="17">
        <f>求节点(武将天赋进度验证!$Q$5:$Q$164,武将天赋进度验证!$Z$5:$Z$164,$AF158)</f>
        <v>1</v>
      </c>
    </row>
    <row r="159" spans="2:39" x14ac:dyDescent="0.15">
      <c r="B159" s="17">
        <v>155</v>
      </c>
      <c r="C159" s="144">
        <f>'[1]功能-实力'!BF159</f>
        <v>138657468</v>
      </c>
      <c r="D159" s="144">
        <f>'[1]功能-实力'!BG159</f>
        <v>161000088</v>
      </c>
      <c r="E159" s="144">
        <f>'[1]功能-实力'!BH159</f>
        <v>170176302</v>
      </c>
      <c r="F159" s="144">
        <f>'[1]功能-实力'!BI159</f>
        <v>174020988</v>
      </c>
      <c r="G159" s="144">
        <f>'[1]功能-实力'!BJ159</f>
        <v>174299520</v>
      </c>
      <c r="Q159" s="17">
        <v>155</v>
      </c>
      <c r="R159" s="17">
        <f t="shared" si="22"/>
        <v>4</v>
      </c>
      <c r="S159" s="17">
        <f t="shared" si="23"/>
        <v>4</v>
      </c>
      <c r="T159" s="17">
        <f t="shared" si="24"/>
        <v>4</v>
      </c>
      <c r="U159" s="17">
        <f t="shared" si="25"/>
        <v>4</v>
      </c>
      <c r="V159" s="17">
        <f t="shared" si="26"/>
        <v>4</v>
      </c>
      <c r="W159" s="17">
        <f>求节点(武将天赋!$AB$19:$AB$25,武将天赋!$Y$7:$Y$13,求节点(武将天赋!$BI$6:$BI$9,武将天赋!$BL$6:$BL$9,R159))</f>
        <v>1</v>
      </c>
      <c r="X159" s="17">
        <f>求节点(武将天赋!$AB$19:$AB$25,武将天赋!$Y$7:$Y$13,求节点(武将天赋!$BI$6:$BI$9,武将天赋!$BL$6:$BL$9,S159))</f>
        <v>1</v>
      </c>
      <c r="Y159" s="17">
        <f>求节点(武将天赋!$AB$19:$AB$25,武将天赋!$Y$7:$Y$13,求节点(武将天赋!$BI$6:$BI$9,武将天赋!$BL$6:$BL$9,T159))</f>
        <v>1</v>
      </c>
      <c r="Z159" s="17">
        <f>求节点(武将天赋!$AB$19:$AB$25,武将天赋!$Y$7:$Y$13,求节点(武将天赋!$BI$6:$BI$9,武将天赋!$BL$6:$BL$9,U159))</f>
        <v>1</v>
      </c>
      <c r="AA159" s="17">
        <f>求节点(武将天赋!$AB$19:$AB$25,武将天赋!$Y$7:$Y$13,求节点(武将天赋!$BI$6:$BI$9,武将天赋!$BL$6:$BL$9,V159))</f>
        <v>1</v>
      </c>
      <c r="AE159" s="56">
        <v>200</v>
      </c>
      <c r="AF159" s="56">
        <v>86.045919706798657</v>
      </c>
      <c r="AH159" s="56"/>
      <c r="AI159" s="56"/>
      <c r="AJ159" s="56"/>
      <c r="AK159" s="56"/>
      <c r="AL159" s="56">
        <f>IFERROR(求节点(武将天赋!$AC$31:$AC$37,武将天赋!$Y$7:$Y$13,武将数量星级阶位验证!BM159/基础状态预期!J169),0)</f>
        <v>0.5</v>
      </c>
      <c r="AM159" s="17">
        <f>求节点(武将天赋进度验证!$Q$5:$Q$164,武将天赋进度验证!$Z$5:$Z$164,$AF159)</f>
        <v>1</v>
      </c>
    </row>
    <row r="160" spans="2:39" x14ac:dyDescent="0.15">
      <c r="B160" s="17">
        <v>156</v>
      </c>
      <c r="C160" s="144">
        <f>'[1]功能-实力'!BF160</f>
        <v>140785044</v>
      </c>
      <c r="D160" s="144">
        <f>'[1]功能-实力'!BG160</f>
        <v>162609276</v>
      </c>
      <c r="E160" s="144">
        <f>'[1]功能-实力'!BH160</f>
        <v>170489976</v>
      </c>
      <c r="F160" s="144">
        <f>'[1]功能-实力'!BI160</f>
        <v>174248634</v>
      </c>
      <c r="G160" s="144">
        <f>'[1]功能-实力'!BJ160</f>
        <v>174528726</v>
      </c>
      <c r="Q160" s="17">
        <v>156</v>
      </c>
      <c r="R160" s="17">
        <f t="shared" si="22"/>
        <v>4</v>
      </c>
      <c r="S160" s="17">
        <f t="shared" si="23"/>
        <v>4</v>
      </c>
      <c r="T160" s="17">
        <f t="shared" si="24"/>
        <v>4</v>
      </c>
      <c r="U160" s="17">
        <f t="shared" si="25"/>
        <v>4</v>
      </c>
      <c r="V160" s="17">
        <f t="shared" si="26"/>
        <v>4</v>
      </c>
      <c r="W160" s="17">
        <f>求节点(武将天赋!$AB$19:$AB$25,武将天赋!$Y$7:$Y$13,求节点(武将天赋!$BI$6:$BI$9,武将天赋!$BL$6:$BL$9,R160))</f>
        <v>1</v>
      </c>
      <c r="X160" s="17">
        <f>求节点(武将天赋!$AB$19:$AB$25,武将天赋!$Y$7:$Y$13,求节点(武将天赋!$BI$6:$BI$9,武将天赋!$BL$6:$BL$9,S160))</f>
        <v>1</v>
      </c>
      <c r="Y160" s="17">
        <f>求节点(武将天赋!$AB$19:$AB$25,武将天赋!$Y$7:$Y$13,求节点(武将天赋!$BI$6:$BI$9,武将天赋!$BL$6:$BL$9,T160))</f>
        <v>1</v>
      </c>
      <c r="Z160" s="17">
        <f>求节点(武将天赋!$AB$19:$AB$25,武将天赋!$Y$7:$Y$13,求节点(武将天赋!$BI$6:$BI$9,武将天赋!$BL$6:$BL$9,U160))</f>
        <v>1</v>
      </c>
      <c r="AA160" s="17">
        <f>求节点(武将天赋!$AB$19:$AB$25,武将天赋!$Y$7:$Y$13,求节点(武将天赋!$BI$6:$BI$9,武将天赋!$BL$6:$BL$9,V160))</f>
        <v>1</v>
      </c>
      <c r="AE160" s="56">
        <v>260</v>
      </c>
      <c r="AF160" s="56">
        <v>90.288435080379244</v>
      </c>
      <c r="AH160" s="56"/>
      <c r="AI160" s="56"/>
      <c r="AJ160" s="56"/>
      <c r="AK160" s="56"/>
      <c r="AL160" s="56">
        <f>IFERROR(求节点(武将天赋!$AC$31:$AC$37,武将天赋!$Y$7:$Y$13,武将数量星级阶位验证!BM160/基础状态预期!J170),0)</f>
        <v>0.96718465057937997</v>
      </c>
      <c r="AM160" s="17">
        <f>求节点(武将天赋进度验证!$Q$5:$Q$164,武将天赋进度验证!$Z$5:$Z$164,$AF160)</f>
        <v>1</v>
      </c>
    </row>
    <row r="161" spans="2:39" x14ac:dyDescent="0.15">
      <c r="B161" s="17">
        <v>157</v>
      </c>
      <c r="C161" s="144">
        <f>'[1]功能-实力'!BF161</f>
        <v>142055244</v>
      </c>
      <c r="D161" s="144">
        <f>'[1]功能-实力'!BG161</f>
        <v>163694622</v>
      </c>
      <c r="E161" s="144">
        <f>'[1]功能-实力'!BH161</f>
        <v>170700456</v>
      </c>
      <c r="F161" s="144">
        <f>'[1]功能-实力'!BI161</f>
        <v>174476172</v>
      </c>
      <c r="G161" s="144">
        <f>'[1]功能-实力'!BJ161</f>
        <v>174757806</v>
      </c>
      <c r="Q161" s="17">
        <v>157</v>
      </c>
      <c r="R161" s="17">
        <f t="shared" si="22"/>
        <v>4</v>
      </c>
      <c r="S161" s="17">
        <f t="shared" si="23"/>
        <v>4</v>
      </c>
      <c r="T161" s="17">
        <f t="shared" si="24"/>
        <v>4</v>
      </c>
      <c r="U161" s="17">
        <f t="shared" si="25"/>
        <v>4</v>
      </c>
      <c r="V161" s="17">
        <f t="shared" si="26"/>
        <v>4</v>
      </c>
      <c r="W161" s="17">
        <f>求节点(武将天赋!$AB$19:$AB$25,武将天赋!$Y$7:$Y$13,求节点(武将天赋!$BI$6:$BI$9,武将天赋!$BL$6:$BL$9,R161))</f>
        <v>1</v>
      </c>
      <c r="X161" s="17">
        <f>求节点(武将天赋!$AB$19:$AB$25,武将天赋!$Y$7:$Y$13,求节点(武将天赋!$BI$6:$BI$9,武将天赋!$BL$6:$BL$9,S161))</f>
        <v>1</v>
      </c>
      <c r="Y161" s="17">
        <f>求节点(武将天赋!$AB$19:$AB$25,武将天赋!$Y$7:$Y$13,求节点(武将天赋!$BI$6:$BI$9,武将天赋!$BL$6:$BL$9,T161))</f>
        <v>1</v>
      </c>
      <c r="Z161" s="17">
        <f>求节点(武将天赋!$AB$19:$AB$25,武将天赋!$Y$7:$Y$13,求节点(武将天赋!$BI$6:$BI$9,武将天赋!$BL$6:$BL$9,U161))</f>
        <v>1</v>
      </c>
      <c r="AA161" s="17">
        <f>求节点(武将天赋!$AB$19:$AB$25,武将天赋!$Y$7:$Y$13,求节点(武将天赋!$BI$6:$BI$9,武将天赋!$BL$6:$BL$9,V161))</f>
        <v>1</v>
      </c>
      <c r="AE161" s="56">
        <v>320</v>
      </c>
      <c r="AF161" s="56">
        <v>93.400072017025948</v>
      </c>
      <c r="AH161" s="56"/>
      <c r="AI161" s="56"/>
      <c r="AJ161" s="56"/>
      <c r="AK161" s="56"/>
      <c r="AL161" s="56">
        <f>IFERROR(求节点(武将天赋!$AC$31:$AC$37,武将天赋!$Y$7:$Y$13,武将数量星级阶位验证!BM161/基础状态预期!J171),0)</f>
        <v>1</v>
      </c>
      <c r="AM161" s="17">
        <f>求节点(武将天赋进度验证!$Q$5:$Q$164,武将天赋进度验证!$Z$5:$Z$164,$AF161)</f>
        <v>1</v>
      </c>
    </row>
    <row r="162" spans="2:39" x14ac:dyDescent="0.15">
      <c r="B162" s="17">
        <v>158</v>
      </c>
      <c r="C162" s="144">
        <f>'[1]功能-实力'!BF162</f>
        <v>142966560</v>
      </c>
      <c r="D162" s="144">
        <f>'[1]功能-实力'!BG162</f>
        <v>164429502</v>
      </c>
      <c r="E162" s="144">
        <f>'[1]功能-实力'!BH162</f>
        <v>170910852</v>
      </c>
      <c r="F162" s="144">
        <f>'[1]功能-实力'!BI162</f>
        <v>174703596</v>
      </c>
      <c r="G162" s="144">
        <f>'[1]功能-实力'!BJ162</f>
        <v>174986784</v>
      </c>
      <c r="Q162" s="17">
        <v>158</v>
      </c>
      <c r="R162" s="17">
        <f t="shared" si="22"/>
        <v>4</v>
      </c>
      <c r="S162" s="17">
        <f t="shared" si="23"/>
        <v>4</v>
      </c>
      <c r="T162" s="17">
        <f t="shared" si="24"/>
        <v>4</v>
      </c>
      <c r="U162" s="17">
        <f t="shared" si="25"/>
        <v>4</v>
      </c>
      <c r="V162" s="17">
        <f t="shared" si="26"/>
        <v>4</v>
      </c>
      <c r="W162" s="17">
        <f>求节点(武将天赋!$AB$19:$AB$25,武将天赋!$Y$7:$Y$13,求节点(武将天赋!$BI$6:$BI$9,武将天赋!$BL$6:$BL$9,R162))</f>
        <v>1</v>
      </c>
      <c r="X162" s="17">
        <f>求节点(武将天赋!$AB$19:$AB$25,武将天赋!$Y$7:$Y$13,求节点(武将天赋!$BI$6:$BI$9,武将天赋!$BL$6:$BL$9,S162))</f>
        <v>1</v>
      </c>
      <c r="Y162" s="17">
        <f>求节点(武将天赋!$AB$19:$AB$25,武将天赋!$Y$7:$Y$13,求节点(武将天赋!$BI$6:$BI$9,武将天赋!$BL$6:$BL$9,T162))</f>
        <v>1</v>
      </c>
      <c r="Z162" s="17">
        <f>求节点(武将天赋!$AB$19:$AB$25,武将天赋!$Y$7:$Y$13,求节点(武将天赋!$BI$6:$BI$9,武将天赋!$BL$6:$BL$9,U162))</f>
        <v>1</v>
      </c>
      <c r="AA162" s="17">
        <f>求节点(武将天赋!$AB$19:$AB$25,武将天赋!$Y$7:$Y$13,求节点(武将天赋!$BI$6:$BI$9,武将天赋!$BL$6:$BL$9,V162))</f>
        <v>1</v>
      </c>
      <c r="AE162" s="56">
        <v>410</v>
      </c>
      <c r="AF162" s="56">
        <v>97.006001686863456</v>
      </c>
      <c r="AH162" s="56"/>
      <c r="AI162" s="56"/>
      <c r="AJ162" s="56"/>
      <c r="AK162" s="56"/>
      <c r="AL162" s="56">
        <f>IFERROR(求节点(武将天赋!$AC$31:$AC$37,武将天赋!$Y$7:$Y$13,武将数量星级阶位验证!BM162/基础状态预期!J172),0)</f>
        <v>1</v>
      </c>
      <c r="AM162" s="17">
        <f>求节点(武将天赋进度验证!$Q$5:$Q$164,武将天赋进度验证!$Z$5:$Z$164,$AF162)</f>
        <v>1</v>
      </c>
    </row>
    <row r="163" spans="2:39" x14ac:dyDescent="0.15">
      <c r="B163" s="17">
        <v>159</v>
      </c>
      <c r="C163" s="144">
        <f>'[1]功能-实力'!BF163</f>
        <v>143680632</v>
      </c>
      <c r="D163" s="144">
        <f>'[1]功能-实力'!BG163</f>
        <v>164982678</v>
      </c>
      <c r="E163" s="144">
        <f>'[1]功能-实力'!BH163</f>
        <v>171121152</v>
      </c>
      <c r="F163" s="144">
        <f>'[1]功能-实力'!BI163</f>
        <v>174930900</v>
      </c>
      <c r="G163" s="144">
        <f>'[1]功能-实力'!BJ163</f>
        <v>175215636</v>
      </c>
      <c r="Q163" s="17">
        <v>159</v>
      </c>
      <c r="R163" s="17">
        <f t="shared" si="22"/>
        <v>4</v>
      </c>
      <c r="S163" s="17">
        <f t="shared" si="23"/>
        <v>4</v>
      </c>
      <c r="T163" s="17">
        <f t="shared" si="24"/>
        <v>4</v>
      </c>
      <c r="U163" s="17">
        <f t="shared" si="25"/>
        <v>4</v>
      </c>
      <c r="V163" s="17">
        <f t="shared" si="26"/>
        <v>4</v>
      </c>
      <c r="W163" s="17">
        <f>求节点(武将天赋!$AB$19:$AB$25,武将天赋!$Y$7:$Y$13,求节点(武将天赋!$BI$6:$BI$9,武将天赋!$BL$6:$BL$9,R163))</f>
        <v>1</v>
      </c>
      <c r="X163" s="17">
        <f>求节点(武将天赋!$AB$19:$AB$25,武将天赋!$Y$7:$Y$13,求节点(武将天赋!$BI$6:$BI$9,武将天赋!$BL$6:$BL$9,S163))</f>
        <v>1</v>
      </c>
      <c r="Y163" s="17">
        <f>求节点(武将天赋!$AB$19:$AB$25,武将天赋!$Y$7:$Y$13,求节点(武将天赋!$BI$6:$BI$9,武将天赋!$BL$6:$BL$9,T163))</f>
        <v>1</v>
      </c>
      <c r="Z163" s="17">
        <f>求节点(武将天赋!$AB$19:$AB$25,武将天赋!$Y$7:$Y$13,求节点(武将天赋!$BI$6:$BI$9,武将天赋!$BL$6:$BL$9,U163))</f>
        <v>1</v>
      </c>
      <c r="AA163" s="17">
        <f>求节点(武将天赋!$AB$19:$AB$25,武将天赋!$Y$7:$Y$13,求节点(武将天赋!$BI$6:$BI$9,武将天赋!$BL$6:$BL$9,V163))</f>
        <v>1</v>
      </c>
      <c r="AE163" s="56">
        <v>530</v>
      </c>
      <c r="AF163" s="56">
        <v>100.64473135315967</v>
      </c>
      <c r="AH163" s="56"/>
      <c r="AI163" s="56"/>
      <c r="AJ163" s="56"/>
      <c r="AK163" s="56"/>
      <c r="AL163" s="56">
        <f>IFERROR(求节点(武将天赋!$AC$31:$AC$37,武将天赋!$Y$7:$Y$13,武将数量星级阶位验证!BM163/基础状态预期!J173),0)</f>
        <v>1</v>
      </c>
      <c r="AM163" s="17">
        <f>求节点(武将天赋进度验证!$Q$5:$Q$164,武将天赋进度验证!$Z$5:$Z$164,$AF163)</f>
        <v>1</v>
      </c>
    </row>
    <row r="164" spans="2:39" x14ac:dyDescent="0.15">
      <c r="B164" s="17">
        <v>160</v>
      </c>
      <c r="C164" s="144">
        <f>'[1]功能-实力'!BF164</f>
        <v>144395508</v>
      </c>
      <c r="D164" s="144">
        <f>'[1]功能-实力'!BG164</f>
        <v>165536418</v>
      </c>
      <c r="E164" s="144">
        <f>'[1]功能-实力'!BH164</f>
        <v>171331320</v>
      </c>
      <c r="F164" s="144">
        <f>'[1]功能-实力'!BI164</f>
        <v>175158060</v>
      </c>
      <c r="G164" s="144">
        <f>'[1]功能-实力'!BJ164</f>
        <v>175444344</v>
      </c>
      <c r="Q164" s="17">
        <v>160</v>
      </c>
      <c r="R164" s="17">
        <f t="shared" si="22"/>
        <v>4</v>
      </c>
      <c r="S164" s="17">
        <f t="shared" si="23"/>
        <v>4</v>
      </c>
      <c r="T164" s="17">
        <f t="shared" si="24"/>
        <v>4</v>
      </c>
      <c r="U164" s="17">
        <f t="shared" si="25"/>
        <v>4</v>
      </c>
      <c r="V164" s="17">
        <f t="shared" si="26"/>
        <v>4</v>
      </c>
      <c r="W164" s="17">
        <f>求节点(武将天赋!$AB$19:$AB$25,武将天赋!$Y$7:$Y$13,求节点(武将天赋!$BI$6:$BI$9,武将天赋!$BL$6:$BL$9,R164))</f>
        <v>1</v>
      </c>
      <c r="X164" s="17">
        <f>求节点(武将天赋!$AB$19:$AB$25,武将天赋!$Y$7:$Y$13,求节点(武将天赋!$BI$6:$BI$9,武将天赋!$BL$6:$BL$9,S164))</f>
        <v>1</v>
      </c>
      <c r="Y164" s="17">
        <f>求节点(武将天赋!$AB$19:$AB$25,武将天赋!$Y$7:$Y$13,求节点(武将天赋!$BI$6:$BI$9,武将天赋!$BL$6:$BL$9,T164))</f>
        <v>1</v>
      </c>
      <c r="Z164" s="17">
        <f>求节点(武将天赋!$AB$19:$AB$25,武将天赋!$Y$7:$Y$13,求节点(武将天赋!$BI$6:$BI$9,武将天赋!$BL$6:$BL$9,U164))</f>
        <v>1</v>
      </c>
      <c r="AA164" s="17">
        <f>求节点(武将天赋!$AB$19:$AB$25,武将天赋!$Y$7:$Y$13,求节点(武将天赋!$BI$6:$BI$9,武将天赋!$BL$6:$BL$9,V164))</f>
        <v>1</v>
      </c>
      <c r="AE164" s="56">
        <v>680</v>
      </c>
      <c r="AF164" s="56">
        <v>104.30731379164318</v>
      </c>
      <c r="AH164" s="56"/>
      <c r="AI164" s="56"/>
      <c r="AJ164" s="56"/>
      <c r="AK164" s="56"/>
      <c r="AL164" s="56">
        <f>IFERROR(求节点(武将天赋!$AC$31:$AC$37,武将天赋!$Y$7:$Y$13,武将数量星级阶位验证!BM164/基础状态预期!J174),0)</f>
        <v>1</v>
      </c>
      <c r="AM164" s="17">
        <f>求节点(武将天赋进度验证!$Q$5:$Q$164,武将天赋进度验证!$Z$5:$Z$164,$AF164)</f>
        <v>1</v>
      </c>
    </row>
    <row r="165" spans="2:39" x14ac:dyDescent="0.15">
      <c r="AE165" s="56">
        <v>860</v>
      </c>
      <c r="AF165" s="56">
        <v>107.78950972208385</v>
      </c>
      <c r="AH165" s="56"/>
      <c r="AI165" s="56"/>
      <c r="AJ165" s="56"/>
      <c r="AK165" s="56"/>
      <c r="AL165" s="56">
        <f>IFERROR(求节点(武将天赋!$AC$31:$AC$37,武将天赋!$Y$7:$Y$13,武将数量星级阶位验证!BM165/基础状态预期!J175),0)</f>
        <v>1</v>
      </c>
      <c r="AM165" s="17">
        <f>求节点(武将天赋进度验证!$Q$5:$Q$164,武将天赋进度验证!$Z$5:$Z$164,$AF165)</f>
        <v>1</v>
      </c>
    </row>
    <row r="166" spans="2:39" x14ac:dyDescent="0.15">
      <c r="AE166" s="56">
        <v>1100</v>
      </c>
      <c r="AF166" s="56">
        <v>111.29737083030383</v>
      </c>
      <c r="AH166" s="56"/>
      <c r="AI166" s="56"/>
      <c r="AJ166" s="56"/>
      <c r="AK166" s="56"/>
      <c r="AL166" s="56">
        <f>IFERROR(求节点(武将天赋!$AC$31:$AC$37,武将天赋!$Y$7:$Y$13,武将数量星级阶位验证!BM166/基础状态预期!J176),0)</f>
        <v>1</v>
      </c>
      <c r="AM166" s="17">
        <f>求节点(武将天赋进度验证!$Q$5:$Q$164,武将天赋进度验证!$Z$5:$Z$164,$AF166)</f>
        <v>1</v>
      </c>
    </row>
    <row r="167" spans="2:39" x14ac:dyDescent="0.15">
      <c r="AE167" s="56">
        <v>1400</v>
      </c>
      <c r="AF167" s="56">
        <v>114.91888401282834</v>
      </c>
      <c r="AH167" s="56"/>
      <c r="AI167" s="56"/>
      <c r="AJ167" s="56"/>
      <c r="AK167" s="56"/>
      <c r="AL167" s="56">
        <f>IFERROR(求节点(武将天赋!$AC$31:$AC$37,武将天赋!$Y$7:$Y$13,武将数量星级阶位验证!BM167/基础状态预期!J177),0)</f>
        <v>1</v>
      </c>
      <c r="AM167" s="17">
        <f>求节点(武将天赋进度验证!$Q$5:$Q$164,武将天赋进度验证!$Z$5:$Z$164,$AF167)</f>
        <v>1</v>
      </c>
    </row>
    <row r="168" spans="2:39" x14ac:dyDescent="0.15">
      <c r="AE168" s="56">
        <v>1790</v>
      </c>
      <c r="AF168" s="56">
        <v>118.4172728380062</v>
      </c>
      <c r="AH168" s="56"/>
      <c r="AI168" s="56"/>
      <c r="AJ168" s="56"/>
      <c r="AK168" s="56"/>
      <c r="AL168" s="56">
        <f>IFERROR(求节点(武将天赋!$AC$31:$AC$37,武将天赋!$Y$7:$Y$13,武将数量星级阶位验证!BM168/基础状态预期!J178),0)</f>
        <v>1</v>
      </c>
      <c r="AM168" s="17">
        <f>求节点(武将天赋进度验证!$Q$5:$Q$164,武将天赋进度验证!$Z$5:$Z$164,$AF168)</f>
        <v>1</v>
      </c>
    </row>
    <row r="169" spans="2:39" x14ac:dyDescent="0.15">
      <c r="AE169" s="56">
        <v>2270</v>
      </c>
      <c r="AF169" s="56">
        <v>121.99245722798884</v>
      </c>
      <c r="AH169" s="56"/>
      <c r="AI169" s="56"/>
      <c r="AJ169" s="56"/>
      <c r="AK169" s="56"/>
      <c r="AL169" s="56">
        <f>IFERROR(求节点(武将天赋!$AC$31:$AC$37,武将天赋!$Y$7:$Y$13,武将数量星级阶位验证!BM169/基础状态预期!J179),0)</f>
        <v>1</v>
      </c>
      <c r="AM169" s="17">
        <f>求节点(武将天赋进度验证!$Q$5:$Q$164,武将天赋进度验证!$Z$5:$Z$164,$AF169)</f>
        <v>1</v>
      </c>
    </row>
    <row r="170" spans="2:39" x14ac:dyDescent="0.15">
      <c r="AE170" s="56">
        <v>2900</v>
      </c>
      <c r="AF170" s="56">
        <v>125.43876546297123</v>
      </c>
      <c r="AH170" s="56"/>
      <c r="AI170" s="56"/>
      <c r="AJ170" s="56"/>
      <c r="AK170" s="56"/>
      <c r="AL170" s="56">
        <f>IFERROR(求节点(武将天赋!$AC$31:$AC$37,武将天赋!$Y$7:$Y$13,武将数量星级阶位验证!BM170/基础状态预期!J180),0)</f>
        <v>1</v>
      </c>
      <c r="AM170" s="17">
        <f>求节点(武将天赋进度验证!$Q$5:$Q$164,武将天赋进度验证!$Z$5:$Z$164,$AF170)</f>
        <v>1</v>
      </c>
    </row>
    <row r="171" spans="2:39" x14ac:dyDescent="0.15">
      <c r="AE171" s="56">
        <v>3710</v>
      </c>
      <c r="AF171" s="56">
        <v>129.12105302323599</v>
      </c>
      <c r="AH171" s="56"/>
      <c r="AI171" s="56"/>
      <c r="AJ171" s="56"/>
      <c r="AK171" s="56"/>
      <c r="AL171" s="56">
        <f>IFERROR(求节点(武将天赋!$AC$31:$AC$37,武将天赋!$Y$7:$Y$13,武将数量星级阶位验证!BM171/基础状态预期!J181),0)</f>
        <v>1</v>
      </c>
      <c r="AM171" s="17">
        <f>求节点(武将天赋进度验证!$Q$5:$Q$164,武将天赋进度验证!$Z$5:$Z$164,$AF171)</f>
        <v>1</v>
      </c>
    </row>
    <row r="172" spans="2:39" x14ac:dyDescent="0.15">
      <c r="AE172" s="56">
        <v>4730</v>
      </c>
      <c r="AF172" s="56">
        <v>132.61179169042359</v>
      </c>
      <c r="AH172" s="56"/>
      <c r="AI172" s="56"/>
      <c r="AJ172" s="56"/>
      <c r="AK172" s="56"/>
      <c r="AL172" s="56">
        <f>IFERROR(求节点(武将天赋!$AC$31:$AC$37,武将天赋!$Y$7:$Y$13,武将数量星级阶位验证!BM172/基础状态预期!J182),0)</f>
        <v>1</v>
      </c>
      <c r="AM172" s="17">
        <f>求节点(武将天赋进度验证!$Q$5:$Q$164,武将天赋进度验证!$Z$5:$Z$164,$AF172)</f>
        <v>1</v>
      </c>
    </row>
    <row r="173" spans="2:39" x14ac:dyDescent="0.15">
      <c r="AE173" s="56">
        <v>6020</v>
      </c>
      <c r="AF173" s="56">
        <v>136.12035534953262</v>
      </c>
      <c r="AH173" s="56"/>
      <c r="AI173" s="56"/>
      <c r="AJ173" s="56"/>
      <c r="AK173" s="56"/>
      <c r="AL173" s="56">
        <f>IFERROR(求节点(武将天赋!$AC$31:$AC$37,武将天赋!$Y$7:$Y$13,武将数量星级阶位验证!BM173/基础状态预期!J183),0)</f>
        <v>1</v>
      </c>
      <c r="AM173" s="17">
        <f>求节点(武将天赋进度验证!$Q$5:$Q$164,武将天赋进度验证!$Z$5:$Z$164,$AF173)</f>
        <v>1</v>
      </c>
    </row>
    <row r="174" spans="2:39" x14ac:dyDescent="0.15">
      <c r="AE174" s="56">
        <v>7670</v>
      </c>
      <c r="AF174" s="56">
        <v>139.6793621861803</v>
      </c>
      <c r="AH174" s="56"/>
      <c r="AI174" s="56"/>
      <c r="AJ174" s="56"/>
      <c r="AK174" s="56"/>
      <c r="AL174" s="56">
        <f>IFERROR(求节点(武将天赋!$AC$31:$AC$37,武将天赋!$Y$7:$Y$13,武将数量星级阶位验证!BM174/基础状态预期!J184),0)</f>
        <v>1</v>
      </c>
      <c r="AM174" s="17">
        <f>求节点(武将天赋进度验证!$Q$5:$Q$164,武将天赋进度验证!$Z$5:$Z$164,$AF174)</f>
        <v>1</v>
      </c>
    </row>
    <row r="175" spans="2:39" x14ac:dyDescent="0.15">
      <c r="AE175" s="56">
        <v>9770</v>
      </c>
      <c r="AF175" s="56">
        <v>143.14123736077869</v>
      </c>
      <c r="AH175" s="56"/>
      <c r="AI175" s="56"/>
      <c r="AJ175" s="56"/>
      <c r="AK175" s="56"/>
      <c r="AL175" s="56">
        <f>IFERROR(求节点(武将天赋!$AC$31:$AC$37,武将天赋!$Y$7:$Y$13,武将数量星级阶位验证!BM175/基础状态预期!J185),0)</f>
        <v>1</v>
      </c>
      <c r="AM175" s="17">
        <f>求节点(武将天赋进度验证!$Q$5:$Q$164,武将天赋进度验证!$Z$5:$Z$164,$AF175)</f>
        <v>1</v>
      </c>
    </row>
    <row r="176" spans="2:39" x14ac:dyDescent="0.15">
      <c r="AE176" s="56">
        <v>12440</v>
      </c>
      <c r="AF176" s="56">
        <v>146.75578521325724</v>
      </c>
      <c r="AH176" s="56"/>
      <c r="AI176" s="56"/>
      <c r="AJ176" s="56"/>
      <c r="AK176" s="56"/>
      <c r="AL176" s="56">
        <f>IFERROR(求节点(武将天赋!$AC$31:$AC$37,武将天赋!$Y$7:$Y$13,武将数量星级阶位验证!BM176/基础状态预期!J186),0)</f>
        <v>1</v>
      </c>
      <c r="AM176" s="17">
        <f>求节点(武将天赋进度验证!$Q$5:$Q$164,武将天赋进度验证!$Z$5:$Z$164,$AF176)</f>
        <v>1</v>
      </c>
    </row>
    <row r="177" spans="31:39" x14ac:dyDescent="0.15">
      <c r="AE177" s="56">
        <v>15860</v>
      </c>
      <c r="AF177" s="56">
        <v>150.21349802228445</v>
      </c>
      <c r="AH177" s="56"/>
      <c r="AI177" s="56"/>
      <c r="AJ177" s="56"/>
      <c r="AK177" s="56"/>
      <c r="AL177" s="56">
        <f>IFERROR(求节点(武将天赋!$AC$31:$AC$37,武将天赋!$Y$7:$Y$13,武将数量星级阶位验证!BM177/基础状态预期!J187),0)</f>
        <v>1</v>
      </c>
      <c r="AM177" s="17">
        <f>求节点(武将天赋进度验证!$Q$5:$Q$164,武将天赋进度验证!$Z$5:$Z$164,$AF177)</f>
        <v>1</v>
      </c>
    </row>
    <row r="178" spans="31:39" x14ac:dyDescent="0.15">
      <c r="AE178" s="56">
        <v>20210</v>
      </c>
      <c r="AF178" s="56">
        <v>152.32856849044819</v>
      </c>
      <c r="AH178" s="56"/>
      <c r="AI178" s="56"/>
      <c r="AJ178" s="56"/>
      <c r="AK178" s="56"/>
      <c r="AL178" s="56">
        <f>IFERROR(求节点(武将天赋!$AC$31:$AC$37,武将天赋!$Y$7:$Y$13,武将数量星级阶位验证!BM178/基础状态预期!J188),0)</f>
        <v>1</v>
      </c>
      <c r="AM178" s="17">
        <f>求节点(武将天赋进度验证!$Q$5:$Q$164,武将天赋进度验证!$Z$5:$Z$164,$AF178)</f>
        <v>1</v>
      </c>
    </row>
    <row r="179" spans="31:39" x14ac:dyDescent="0.15">
      <c r="AE179" s="56">
        <v>25760</v>
      </c>
      <c r="AF179" s="56">
        <v>153.15627769682186</v>
      </c>
      <c r="AH179" s="56"/>
      <c r="AI179" s="56"/>
      <c r="AJ179" s="56"/>
      <c r="AK179" s="56"/>
      <c r="AL179" s="56">
        <f>IFERROR(求节点(武将天赋!$AC$31:$AC$37,武将天赋!$Y$7:$Y$13,武将数量星级阶位验证!BM179/基础状态预期!J189),0)</f>
        <v>1</v>
      </c>
      <c r="AM179" s="17">
        <f>求节点(武将天赋进度验证!$Q$5:$Q$164,武将天赋进度验证!$Z$5:$Z$164,$AF179)</f>
        <v>1</v>
      </c>
    </row>
    <row r="180" spans="31:39" x14ac:dyDescent="0.15">
      <c r="AE180" s="56">
        <v>32750</v>
      </c>
      <c r="AF180" s="56">
        <v>153.85863088955028</v>
      </c>
      <c r="AH180" s="56"/>
      <c r="AI180" s="56"/>
      <c r="AJ180" s="56"/>
      <c r="AK180" s="56"/>
      <c r="AL180" s="56">
        <f>IFERROR(求节点(武将天赋!$AC$31:$AC$37,武将天赋!$Y$7:$Y$13,武将数量星级阶位验证!BM180/基础状态预期!J190),0)</f>
        <v>1</v>
      </c>
      <c r="AM180" s="17">
        <f>求节点(武将天赋进度验证!$Q$5:$Q$164,武将天赋进度验证!$Z$5:$Z$164,$AF180)</f>
        <v>1</v>
      </c>
    </row>
    <row r="184" spans="31:39" x14ac:dyDescent="0.15">
      <c r="AE184" s="155" t="s">
        <v>173</v>
      </c>
      <c r="AF184" s="155"/>
      <c r="AH184" s="17" t="s">
        <v>178</v>
      </c>
      <c r="AI184" s="17"/>
      <c r="AJ184" s="17"/>
      <c r="AK184" s="17"/>
      <c r="AL184" s="17"/>
    </row>
    <row r="185" spans="31:39" x14ac:dyDescent="0.15">
      <c r="AE185" s="155"/>
      <c r="AF185" s="155"/>
      <c r="AH185" s="155" t="s">
        <v>821</v>
      </c>
      <c r="AI185" s="155"/>
      <c r="AJ185" s="155"/>
      <c r="AK185" s="155"/>
      <c r="AL185" s="155"/>
    </row>
    <row r="186" spans="31:39" x14ac:dyDescent="0.15">
      <c r="AE186" s="56" t="s">
        <v>170</v>
      </c>
      <c r="AF186" s="56" t="s">
        <v>484</v>
      </c>
      <c r="AH186" s="56" t="s">
        <v>3</v>
      </c>
      <c r="AI186" s="56" t="s">
        <v>1</v>
      </c>
      <c r="AJ186" s="56" t="s">
        <v>2</v>
      </c>
      <c r="AK186" s="56" t="s">
        <v>0</v>
      </c>
      <c r="AL186" s="56" t="s">
        <v>545</v>
      </c>
    </row>
    <row r="187" spans="31:39" x14ac:dyDescent="0.15">
      <c r="AE187" s="56">
        <v>0.27500000000000002</v>
      </c>
      <c r="AF187" s="56">
        <v>10.040470049930473</v>
      </c>
      <c r="AH187" s="56"/>
      <c r="AI187" s="56"/>
      <c r="AJ187" s="56"/>
      <c r="AK187" s="56"/>
      <c r="AL187" s="56">
        <f>IFERROR(求节点(武将天赋!$AC$31:$AC$37,武将天赋!$Y$7:$Y$13,武将数量星级阶位验证!BM187/基础状态预期!J197),0)</f>
        <v>0</v>
      </c>
      <c r="AM187" s="17">
        <f>求节点(武将天赋进度验证!$Q$5:$Q$164,武将天赋进度验证!$AA$5:$AA$164,$AF187)</f>
        <v>0.1</v>
      </c>
    </row>
    <row r="188" spans="31:39" x14ac:dyDescent="0.15">
      <c r="AE188" s="56">
        <v>0.82500000000000007</v>
      </c>
      <c r="AF188" s="56">
        <v>19.288856680060892</v>
      </c>
      <c r="AH188" s="56"/>
      <c r="AI188" s="56"/>
      <c r="AJ188" s="56"/>
      <c r="AK188" s="56"/>
      <c r="AL188" s="56">
        <f>IFERROR(求节点(武将天赋!$AC$31:$AC$37,武将天赋!$Y$7:$Y$13,武将数量星级阶位验证!BM188/基础状态预期!J198),0)</f>
        <v>0</v>
      </c>
      <c r="AM188" s="17">
        <f>求节点(武将天赋进度验证!$Q$5:$Q$164,武将天赋进度验证!$AA$5:$AA$164,$AF188)</f>
        <v>0.1</v>
      </c>
    </row>
    <row r="189" spans="31:39" x14ac:dyDescent="0.15">
      <c r="AE189" s="56">
        <v>1.6500000000000001</v>
      </c>
      <c r="AF189" s="56">
        <v>27.144641112884834</v>
      </c>
      <c r="AH189" s="56"/>
      <c r="AI189" s="56"/>
      <c r="AJ189" s="56"/>
      <c r="AK189" s="56"/>
      <c r="AL189" s="56">
        <f>IFERROR(求节点(武将天赋!$AC$31:$AC$37,武将天赋!$Y$7:$Y$13,武将数量星级阶位验证!BM189/基础状态预期!J199),0)</f>
        <v>0</v>
      </c>
      <c r="AM189" s="17">
        <f>求节点(武将天赋进度验证!$Q$5:$Q$164,武将天赋进度验证!$AA$5:$AA$164,$AF189)</f>
        <v>0.1</v>
      </c>
    </row>
    <row r="190" spans="31:39" x14ac:dyDescent="0.15">
      <c r="AE190" s="56">
        <v>2.75</v>
      </c>
      <c r="AF190" s="56">
        <v>33.399598377161809</v>
      </c>
      <c r="AH190" s="56"/>
      <c r="AI190" s="56"/>
      <c r="AJ190" s="56"/>
      <c r="AK190" s="56"/>
      <c r="AL190" s="56">
        <f>IFERROR(求节点(武将天赋!$AC$31:$AC$37,武将天赋!$Y$7:$Y$13,武将数量星级阶位验证!BM190/基础状态预期!J200),0)</f>
        <v>0</v>
      </c>
      <c r="AM190" s="17">
        <f>求节点(武将天赋进度验证!$Q$5:$Q$164,武将天赋进度验证!$AA$5:$AA$164,$AF190)</f>
        <v>0.1</v>
      </c>
    </row>
    <row r="191" spans="31:39" x14ac:dyDescent="0.15">
      <c r="AE191" s="56">
        <v>4.125</v>
      </c>
      <c r="AF191" s="56">
        <v>38.848984787984186</v>
      </c>
      <c r="AH191" s="56"/>
      <c r="AI191" s="56"/>
      <c r="AJ191" s="56"/>
      <c r="AK191" s="56"/>
      <c r="AL191" s="56">
        <f>IFERROR(求节点(武将天赋!$AC$31:$AC$37,武将天赋!$Y$7:$Y$13,武将数量星级阶位验证!BM191/基础状态预期!J201),0)</f>
        <v>0</v>
      </c>
      <c r="AM191" s="17">
        <f>求节点(武将天赋进度验证!$Q$5:$Q$164,武将天赋进度验证!$AA$5:$AA$164,$AF191)</f>
        <v>0.1</v>
      </c>
    </row>
    <row r="192" spans="31:39" x14ac:dyDescent="0.15">
      <c r="AE192" s="56">
        <v>5.5</v>
      </c>
      <c r="AF192" s="56">
        <v>42.643360270022924</v>
      </c>
      <c r="AH192" s="56"/>
      <c r="AI192" s="56"/>
      <c r="AJ192" s="56"/>
      <c r="AK192" s="56"/>
      <c r="AL192" s="56">
        <f>IFERROR(求节点(武将天赋!$AC$31:$AC$37,武将天赋!$Y$7:$Y$13,武将数量星级阶位验证!BM192/基础状态预期!J202),0)</f>
        <v>0</v>
      </c>
      <c r="AM192" s="17">
        <f>求节点(武将天赋进度验证!$Q$5:$Q$164,武将天赋进度验证!$AA$5:$AA$164,$AF192)</f>
        <v>0.1</v>
      </c>
    </row>
    <row r="193" spans="31:39" x14ac:dyDescent="0.15">
      <c r="AE193" s="56">
        <v>8.25</v>
      </c>
      <c r="AF193" s="56">
        <v>48.493134765265182</v>
      </c>
      <c r="AH193" s="56"/>
      <c r="AI193" s="56"/>
      <c r="AJ193" s="56"/>
      <c r="AK193" s="56"/>
      <c r="AL193" s="56">
        <f>IFERROR(求节点(武将天赋!$AC$31:$AC$37,武将天赋!$Y$7:$Y$13,武将数量星级阶位验证!BM193/基础状态预期!J203),0)</f>
        <v>0</v>
      </c>
      <c r="AM193" s="17">
        <f>求节点(武将天赋进度验证!$Q$5:$Q$164,武将天赋进度验证!$AA$5:$AA$164,$AF193)</f>
        <v>0.1</v>
      </c>
    </row>
    <row r="194" spans="31:39" x14ac:dyDescent="0.15">
      <c r="AE194" s="56">
        <v>11</v>
      </c>
      <c r="AF194" s="56">
        <v>52.559419343629337</v>
      </c>
      <c r="AH194" s="56"/>
      <c r="AI194" s="56"/>
      <c r="AJ194" s="56"/>
      <c r="AK194" s="56"/>
      <c r="AL194" s="56">
        <f>IFERROR(求节点(武将天赋!$AC$31:$AC$37,武将天赋!$Y$7:$Y$13,武将数量星级阶位验证!BM194/基础状态预期!J204),0)</f>
        <v>1.1140762120574285E-2</v>
      </c>
      <c r="AM194" s="17">
        <f>求节点(武将天赋进度验证!$Q$5:$Q$164,武将天赋进度验证!$AA$5:$AA$164,$AF194)</f>
        <v>0.1</v>
      </c>
    </row>
    <row r="195" spans="31:39" x14ac:dyDescent="0.15">
      <c r="AE195" s="56">
        <v>16.5</v>
      </c>
      <c r="AF195" s="56">
        <v>58.560986008166232</v>
      </c>
      <c r="AH195" s="56"/>
      <c r="AI195" s="56"/>
      <c r="AJ195" s="56"/>
      <c r="AK195" s="56"/>
      <c r="AL195" s="56">
        <f>IFERROR(求节点(武将天赋!$AC$31:$AC$37,武将天赋!$Y$7:$Y$13,武将数量星级阶位验证!BM195/基础状态预期!J205),0)</f>
        <v>2.1543174307398091E-2</v>
      </c>
      <c r="AM195" s="17">
        <f>求节点(武将天赋进度验证!$Q$5:$Q$164,武将天赋进度验证!$AA$5:$AA$164,$AF195)</f>
        <v>0.1</v>
      </c>
    </row>
    <row r="196" spans="31:39" x14ac:dyDescent="0.15">
      <c r="AE196" s="56">
        <v>24.750000000000004</v>
      </c>
      <c r="AF196" s="56">
        <v>64.247064283227857</v>
      </c>
      <c r="AH196" s="56"/>
      <c r="AI196" s="56"/>
      <c r="AJ196" s="56"/>
      <c r="AK196" s="56"/>
      <c r="AL196" s="56">
        <f>IFERROR(求节点(武将天赋!$AC$31:$AC$37,武将天赋!$Y$7:$Y$13,武将数量星级阶位验证!BM196/基础状态预期!J206),0)</f>
        <v>4.228706474343074E-2</v>
      </c>
      <c r="AM196" s="17">
        <f>求节点(武将天赋进度验证!$Q$5:$Q$164,武将天赋进度验证!$AA$5:$AA$164,$AF196)</f>
        <v>0.34822265372998651</v>
      </c>
    </row>
    <row r="197" spans="31:39" x14ac:dyDescent="0.15">
      <c r="AE197" s="56">
        <v>33</v>
      </c>
      <c r="AF197" s="56">
        <v>68.518369035696878</v>
      </c>
      <c r="AH197" s="56"/>
      <c r="AI197" s="56"/>
      <c r="AJ197" s="56"/>
      <c r="AK197" s="56"/>
      <c r="AL197" s="56">
        <f>IFERROR(求节点(武将天赋!$AC$31:$AC$37,武将天赋!$Y$7:$Y$13,武将数量星级阶位验证!BM197/基础状态预期!J207),0)</f>
        <v>5.247751759251304E-2</v>
      </c>
      <c r="AM197" s="17">
        <f>求节点(武将天赋进度验证!$Q$5:$Q$164,武将天赋进度验证!$AA$5:$AA$164,$AF197)</f>
        <v>0.5</v>
      </c>
    </row>
    <row r="198" spans="31:39" x14ac:dyDescent="0.15">
      <c r="AE198" s="56">
        <v>41.25</v>
      </c>
      <c r="AF198" s="56">
        <v>71.7664716439551</v>
      </c>
      <c r="AH198" s="56"/>
      <c r="AI198" s="56"/>
      <c r="AJ198" s="56"/>
      <c r="AK198" s="56"/>
      <c r="AL198" s="56">
        <f>IFERROR(求节点(武将天赋!$AC$31:$AC$37,武将天赋!$Y$7:$Y$13,武将数量星级阶位验证!BM198/基础状态预期!J208),0)</f>
        <v>5.8758972375087003E-2</v>
      </c>
      <c r="AM198" s="17">
        <f>求节点(武将天赋进度验证!$Q$5:$Q$164,武将天赋进度验证!$AA$5:$AA$164,$AF198)</f>
        <v>0.65364152846503309</v>
      </c>
    </row>
    <row r="199" spans="31:39" x14ac:dyDescent="0.15">
      <c r="AE199" s="56">
        <v>49.500000000000007</v>
      </c>
      <c r="AF199" s="56">
        <v>74.370993278111257</v>
      </c>
      <c r="AH199" s="56"/>
      <c r="AI199" s="56"/>
      <c r="AJ199" s="56"/>
      <c r="AK199" s="56"/>
      <c r="AL199" s="56">
        <f>IFERROR(求节点(武将天赋!$AC$31:$AC$37,武将天赋!$Y$7:$Y$13,武将数量星级阶位验证!BM199/基础状态预期!J209),0)</f>
        <v>6.7840187090861731E-2</v>
      </c>
      <c r="AM199" s="17">
        <f>求节点(武将天赋进度验证!$Q$5:$Q$164,武将天赋进度验证!$AA$5:$AA$164,$AF199)</f>
        <v>0.76870686676278233</v>
      </c>
    </row>
    <row r="200" spans="31:39" x14ac:dyDescent="0.15">
      <c r="AE200" s="56">
        <v>60.500000000000007</v>
      </c>
      <c r="AF200" s="56">
        <v>77.234275947206214</v>
      </c>
      <c r="AH200" s="56"/>
      <c r="AI200" s="56"/>
      <c r="AJ200" s="56"/>
      <c r="AK200" s="56"/>
      <c r="AL200" s="56">
        <f>IFERROR(求节点(武将天赋!$AC$31:$AC$37,武将天赋!$Y$7:$Y$13,武将数量星级阶位验证!BM200/基础状态预期!J210),0)</f>
        <v>7.98444199627108E-2</v>
      </c>
      <c r="AM200" s="17">
        <f>求节点(武将天赋进度验证!$Q$5:$Q$164,武将天赋进度验证!$AA$5:$AA$164,$AF200)</f>
        <v>0.86934432573307108</v>
      </c>
    </row>
    <row r="201" spans="31:39" x14ac:dyDescent="0.15">
      <c r="AE201" s="56">
        <v>71.5</v>
      </c>
      <c r="AF201" s="56">
        <v>79.725666247801229</v>
      </c>
      <c r="AH201" s="56"/>
      <c r="AI201" s="56"/>
      <c r="AJ201" s="56"/>
      <c r="AK201" s="56"/>
      <c r="AL201" s="56">
        <f>IFERROR(求节点(武将天赋!$AC$31:$AC$37,武将天赋!$Y$7:$Y$13,武将数量星级阶位验证!BM201/基础状态预期!J211),0)</f>
        <v>9.6465136118784128E-2</v>
      </c>
      <c r="AM201" s="17">
        <f>求节点(武将天赋进度验证!$Q$5:$Q$164,武将天赋进度验证!$AA$5:$AA$164,$AF201)</f>
        <v>0.95263986310939253</v>
      </c>
    </row>
    <row r="202" spans="31:39" x14ac:dyDescent="0.15">
      <c r="AE202" s="56">
        <v>82.5</v>
      </c>
      <c r="AF202" s="56">
        <v>81.863982387630472</v>
      </c>
      <c r="AH202" s="56"/>
      <c r="AI202" s="56"/>
      <c r="AJ202" s="56"/>
      <c r="AK202" s="56"/>
      <c r="AL202" s="56">
        <f>IFERROR(求节点(武将天赋!$AC$31:$AC$37,武将天赋!$Y$7:$Y$13,武将数量星级阶位验证!BM202/基础状态预期!J212),0)</f>
        <v>0.27162136548153459</v>
      </c>
      <c r="AM202" s="17">
        <f>求节点(武将天赋进度验证!$Q$5:$Q$164,武将天赋进度验证!$AA$5:$AA$164,$AF202)</f>
        <v>1</v>
      </c>
    </row>
    <row r="203" spans="31:39" x14ac:dyDescent="0.15">
      <c r="AE203" s="56">
        <v>93.500000000000014</v>
      </c>
      <c r="AF203" s="56">
        <v>83.667042947574714</v>
      </c>
      <c r="AH203" s="56"/>
      <c r="AI203" s="56"/>
      <c r="AJ203" s="56"/>
      <c r="AK203" s="56"/>
      <c r="AL203" s="56">
        <f>IFERROR(求节点(武将天赋!$AC$31:$AC$37,武将天赋!$Y$7:$Y$13,武将数量星级阶位验证!BM203/基础状态预期!J213),0)</f>
        <v>0.4761648543160838</v>
      </c>
      <c r="AM203" s="17">
        <f>求节点(武将天赋进度验证!$Q$5:$Q$164,武将天赋进度验证!$AA$5:$AA$164,$AF203)</f>
        <v>1</v>
      </c>
    </row>
    <row r="204" spans="31:39" x14ac:dyDescent="0.15">
      <c r="AE204" s="56">
        <v>110.00000000000001</v>
      </c>
      <c r="AF204" s="56">
        <v>86.154780808490059</v>
      </c>
      <c r="AH204" s="56"/>
      <c r="AI204" s="56"/>
      <c r="AJ204" s="56"/>
      <c r="AK204" s="56"/>
      <c r="AL204" s="56">
        <f>IFERROR(求节点(武将天赋!$AC$31:$AC$37,武将天赋!$Y$7:$Y$13,武将数量星级阶位验证!BM204/基础状态预期!J214),0)</f>
        <v>0.57322291720990037</v>
      </c>
      <c r="AM204" s="17">
        <f>求节点(武将天赋进度验证!$Q$5:$Q$164,武将天赋进度验证!$AA$5:$AA$164,$AF204)</f>
        <v>1</v>
      </c>
    </row>
    <row r="205" spans="31:39" x14ac:dyDescent="0.15">
      <c r="AE205" s="56">
        <v>143</v>
      </c>
      <c r="AF205" s="56">
        <v>90.480184629206022</v>
      </c>
      <c r="AH205" s="56"/>
      <c r="AI205" s="56"/>
      <c r="AJ205" s="56"/>
      <c r="AK205" s="56"/>
      <c r="AL205" s="56">
        <f>IFERROR(求节点(武将天赋!$AC$31:$AC$37,武将天赋!$Y$7:$Y$13,武将数量星级阶位验证!BM205/基础状态预期!J215),0)</f>
        <v>1</v>
      </c>
      <c r="AM205" s="17">
        <f>求节点(武将天赋进度验证!$Q$5:$Q$164,武将天赋进度验证!$AA$5:$AA$164,$AF205)</f>
        <v>1</v>
      </c>
    </row>
    <row r="206" spans="31:39" x14ac:dyDescent="0.15">
      <c r="AE206" s="56">
        <v>176</v>
      </c>
      <c r="AF206" s="56">
        <v>93.6774218048877</v>
      </c>
      <c r="AH206" s="56"/>
      <c r="AI206" s="56"/>
      <c r="AJ206" s="56"/>
      <c r="AK206" s="56"/>
      <c r="AL206" s="56">
        <f>IFERROR(求节点(武将天赋!$AC$31:$AC$37,武将天赋!$Y$7:$Y$13,武将数量星级阶位验证!BM206/基础状态预期!J216),0)</f>
        <v>1</v>
      </c>
      <c r="AM206" s="17">
        <f>求节点(武将天赋进度验证!$Q$5:$Q$164,武将天赋进度验证!$AA$5:$AA$164,$AF206)</f>
        <v>1</v>
      </c>
    </row>
    <row r="207" spans="31:39" x14ac:dyDescent="0.15">
      <c r="AE207" s="56">
        <v>225.50000000000003</v>
      </c>
      <c r="AF207" s="56">
        <v>97.125654465362558</v>
      </c>
      <c r="AH207" s="56"/>
      <c r="AI207" s="56"/>
      <c r="AJ207" s="56"/>
      <c r="AK207" s="56"/>
      <c r="AL207" s="56">
        <f>IFERROR(求节点(武将天赋!$AC$31:$AC$37,武将天赋!$Y$7:$Y$13,武将数量星级阶位验证!BM207/基础状态预期!J217),0)</f>
        <v>1</v>
      </c>
      <c r="AM207" s="17">
        <f>求节点(武将天赋进度验证!$Q$5:$Q$164,武将天赋进度验证!$AA$5:$AA$164,$AF207)</f>
        <v>1</v>
      </c>
    </row>
    <row r="208" spans="31:39" x14ac:dyDescent="0.15">
      <c r="AE208" s="56">
        <v>291.5</v>
      </c>
      <c r="AF208" s="56">
        <v>100.89689545435591</v>
      </c>
      <c r="AH208" s="56"/>
      <c r="AI208" s="56"/>
      <c r="AJ208" s="56"/>
      <c r="AK208" s="56"/>
      <c r="AL208" s="56">
        <f>IFERROR(求节点(武将天赋!$AC$31:$AC$37,武将天赋!$Y$7:$Y$13,武将数量星级阶位验证!BM208/基础状态预期!J218),0)</f>
        <v>1</v>
      </c>
      <c r="AM208" s="17">
        <f>求节点(武将天赋进度验证!$Q$5:$Q$164,武将天赋进度验证!$AA$5:$AA$164,$AF208)</f>
        <v>1</v>
      </c>
    </row>
    <row r="209" spans="31:39" x14ac:dyDescent="0.15">
      <c r="AE209" s="56">
        <v>374.00000000000006</v>
      </c>
      <c r="AF209" s="56">
        <v>104.52148587104635</v>
      </c>
      <c r="AH209" s="56"/>
      <c r="AI209" s="56"/>
      <c r="AJ209" s="56"/>
      <c r="AK209" s="56"/>
      <c r="AL209" s="56">
        <f>IFERROR(求节点(武将天赋!$AC$31:$AC$37,武将天赋!$Y$7:$Y$13,武将数量星级阶位验证!BM209/基础状态预期!J219),0)</f>
        <v>1</v>
      </c>
      <c r="AM209" s="17">
        <f>求节点(武将天赋进度验证!$Q$5:$Q$164,武将天赋进度验证!$AA$5:$AA$164,$AF209)</f>
        <v>1</v>
      </c>
    </row>
    <row r="210" spans="31:39" x14ac:dyDescent="0.15">
      <c r="AE210" s="56">
        <v>473.00000000000006</v>
      </c>
      <c r="AF210" s="56">
        <v>108.05586950728798</v>
      </c>
      <c r="AH210" s="56"/>
      <c r="AI210" s="56"/>
      <c r="AJ210" s="56"/>
      <c r="AK210" s="56"/>
      <c r="AL210" s="56">
        <f>IFERROR(求节点(武将天赋!$AC$31:$AC$37,武将天赋!$Y$7:$Y$13,武将数量星级阶位验证!BM210/基础状态预期!J220),0)</f>
        <v>1</v>
      </c>
      <c r="AM210" s="17">
        <f>求节点(武将天赋进度验证!$Q$5:$Q$164,武将天赋进度验证!$AA$5:$AA$164,$AF210)</f>
        <v>1</v>
      </c>
    </row>
    <row r="211" spans="31:39" x14ac:dyDescent="0.15">
      <c r="AE211" s="56">
        <v>605</v>
      </c>
      <c r="AF211" s="56">
        <v>111.54601176466306</v>
      </c>
      <c r="AH211" s="56"/>
      <c r="AI211" s="56"/>
      <c r="AJ211" s="56"/>
      <c r="AK211" s="56"/>
      <c r="AL211" s="56">
        <f>IFERROR(求节点(武将天赋!$AC$31:$AC$37,武将天赋!$Y$7:$Y$13,武将数量星级阶位验证!BM211/基础状态预期!J221),0)</f>
        <v>1</v>
      </c>
      <c r="AM211" s="17">
        <f>求节点(武将天赋进度验证!$Q$5:$Q$164,武将天赋进度验证!$AA$5:$AA$164,$AF211)</f>
        <v>1</v>
      </c>
    </row>
    <row r="212" spans="31:39" x14ac:dyDescent="0.15">
      <c r="AE212" s="56">
        <v>770.00000000000011</v>
      </c>
      <c r="AF212" s="56">
        <v>115.20444967370992</v>
      </c>
      <c r="AH212" s="56"/>
      <c r="AI212" s="56"/>
      <c r="AJ212" s="56"/>
      <c r="AK212" s="56"/>
      <c r="AL212" s="56">
        <f>IFERROR(求节点(武将天赋!$AC$31:$AC$37,武将天赋!$Y$7:$Y$13,武将数量星级阶位验证!BM212/基础状态预期!J222),0)</f>
        <v>1</v>
      </c>
      <c r="AM212" s="17">
        <f>求节点(武将天赋进度验证!$Q$5:$Q$164,武将天赋进度验证!$AA$5:$AA$164,$AF212)</f>
        <v>1</v>
      </c>
    </row>
    <row r="213" spans="31:39" x14ac:dyDescent="0.15">
      <c r="AE213" s="56">
        <v>984.50000000000011</v>
      </c>
      <c r="AF213" s="56">
        <v>118.75432507225094</v>
      </c>
      <c r="AH213" s="56"/>
      <c r="AI213" s="56"/>
      <c r="AJ213" s="56"/>
      <c r="AK213" s="56"/>
      <c r="AL213" s="56">
        <f>IFERROR(求节点(武将天赋!$AC$31:$AC$37,武将天赋!$Y$7:$Y$13,武将数量星级阶位验证!BM213/基础状态预期!J223),0)</f>
        <v>1</v>
      </c>
      <c r="AM213" s="17">
        <f>求节点(武将天赋进度验证!$Q$5:$Q$164,武将天赋进度验证!$AA$5:$AA$164,$AF213)</f>
        <v>1</v>
      </c>
    </row>
    <row r="214" spans="31:39" x14ac:dyDescent="0.15">
      <c r="AE214" s="56">
        <v>1248.5</v>
      </c>
      <c r="AF214" s="56">
        <v>122.26514676047371</v>
      </c>
      <c r="AH214" s="56"/>
      <c r="AI214" s="56"/>
      <c r="AJ214" s="56"/>
      <c r="AK214" s="56"/>
      <c r="AL214" s="56">
        <f>IFERROR(求节点(武将天赋!$AC$31:$AC$37,武将天赋!$Y$7:$Y$13,武将数量星级阶位验证!BM214/基础状态预期!J224),0)</f>
        <v>1</v>
      </c>
      <c r="AM214" s="17">
        <f>求节点(武将天赋进度验证!$Q$5:$Q$164,武将天赋进度验证!$AA$5:$AA$164,$AF214)</f>
        <v>1</v>
      </c>
    </row>
    <row r="215" spans="31:39" x14ac:dyDescent="0.15">
      <c r="AE215" s="56">
        <v>1595.0000000000002</v>
      </c>
      <c r="AF215" s="56">
        <v>125.84855083483956</v>
      </c>
      <c r="AH215" s="56"/>
      <c r="AI215" s="56"/>
      <c r="AJ215" s="56"/>
      <c r="AK215" s="56"/>
      <c r="AL215" s="56">
        <f>IFERROR(求节点(武将天赋!$AC$31:$AC$37,武将天赋!$Y$7:$Y$13,武将数量星级阶位验证!BM215/基础状态预期!J225),0)</f>
        <v>1</v>
      </c>
      <c r="AM215" s="17">
        <f>求节点(武将天赋进度验证!$Q$5:$Q$164,武将天赋进度验证!$AA$5:$AA$164,$AF215)</f>
        <v>1</v>
      </c>
    </row>
    <row r="216" spans="31:39" x14ac:dyDescent="0.15">
      <c r="AE216" s="56">
        <v>2040.5000000000002</v>
      </c>
      <c r="AF216" s="56">
        <v>129.43528964176323</v>
      </c>
      <c r="AH216" s="56"/>
      <c r="AI216" s="56"/>
      <c r="AJ216" s="56"/>
      <c r="AK216" s="56"/>
      <c r="AL216" s="56">
        <f>IFERROR(求节点(武将天赋!$AC$31:$AC$37,武将天赋!$Y$7:$Y$13,武将数量星级阶位验证!BM216/基础状态预期!J226),0)</f>
        <v>1</v>
      </c>
      <c r="AM216" s="17">
        <f>求节点(武将天赋进度验证!$Q$5:$Q$164,武将天赋进度验证!$AA$5:$AA$164,$AF216)</f>
        <v>1</v>
      </c>
    </row>
    <row r="217" spans="31:39" x14ac:dyDescent="0.15">
      <c r="AE217" s="56">
        <v>2601.5</v>
      </c>
      <c r="AF217" s="56">
        <v>133.03192104200832</v>
      </c>
      <c r="AH217" s="56"/>
      <c r="AI217" s="56"/>
      <c r="AJ217" s="56"/>
      <c r="AK217" s="56"/>
      <c r="AL217" s="56">
        <f>IFERROR(求节点(武将天赋!$AC$31:$AC$37,武将天赋!$Y$7:$Y$13,武将数量星级阶位验证!BM217/基础状态预期!J227),0)</f>
        <v>1</v>
      </c>
      <c r="AM217" s="17">
        <f>求节点(武将天赋进度验证!$Q$5:$Q$164,武将天赋进度验证!$AA$5:$AA$164,$AF217)</f>
        <v>1</v>
      </c>
    </row>
    <row r="218" spans="31:39" x14ac:dyDescent="0.15">
      <c r="AE218" s="56">
        <v>3311.0000000000005</v>
      </c>
      <c r="AF218" s="56">
        <v>136.45508882162355</v>
      </c>
      <c r="AH218" s="56"/>
      <c r="AI218" s="56"/>
      <c r="AJ218" s="56"/>
      <c r="AK218" s="56"/>
      <c r="AL218" s="56">
        <f>IFERROR(求节点(武将天赋!$AC$31:$AC$37,武将天赋!$Y$7:$Y$13,武将数量星级阶位验证!BM218/基础状态预期!J228),0)</f>
        <v>1</v>
      </c>
      <c r="AM218" s="17">
        <f>求节点(武将天赋进度验证!$Q$5:$Q$164,武将天赋进度验证!$AA$5:$AA$164,$AF218)</f>
        <v>1</v>
      </c>
    </row>
    <row r="219" spans="31:39" x14ac:dyDescent="0.15">
      <c r="AE219" s="56">
        <v>4218.5</v>
      </c>
      <c r="AF219" s="56">
        <v>140.08772492574531</v>
      </c>
      <c r="AH219" s="56"/>
      <c r="AI219" s="56"/>
      <c r="AJ219" s="56"/>
      <c r="AK219" s="56"/>
      <c r="AL219" s="56">
        <f>IFERROR(求节点(武将天赋!$AC$31:$AC$37,武将天赋!$Y$7:$Y$13,武将数量星级阶位验证!BM219/基础状态预期!J229),0)</f>
        <v>1</v>
      </c>
      <c r="AM219" s="17">
        <f>求节点(武将天赋进度验证!$Q$5:$Q$164,武将天赋进度验证!$AA$5:$AA$164,$AF219)</f>
        <v>1</v>
      </c>
    </row>
    <row r="220" spans="31:39" x14ac:dyDescent="0.15">
      <c r="AE220" s="56">
        <v>5373.5</v>
      </c>
      <c r="AF220" s="56">
        <v>143.51956656528549</v>
      </c>
      <c r="AH220" s="56"/>
      <c r="AI220" s="56"/>
      <c r="AJ220" s="56"/>
      <c r="AK220" s="56"/>
      <c r="AL220" s="56">
        <f>IFERROR(求节点(武将天赋!$AC$31:$AC$37,武将天赋!$Y$7:$Y$13,武将数量星级阶位验证!BM220/基础状态预期!J230),0)</f>
        <v>1</v>
      </c>
      <c r="AM220" s="17">
        <f>求节点(武将天赋进度验证!$Q$5:$Q$164,武将天赋进度验证!$AA$5:$AA$164,$AF220)</f>
        <v>1</v>
      </c>
    </row>
    <row r="221" spans="31:39" x14ac:dyDescent="0.15">
      <c r="AE221" s="56">
        <v>6842.0000000000009</v>
      </c>
      <c r="AF221" s="56">
        <v>147.17868266109423</v>
      </c>
      <c r="AH221" s="56"/>
      <c r="AI221" s="56"/>
      <c r="AJ221" s="56"/>
      <c r="AK221" s="56"/>
      <c r="AL221" s="56">
        <f>IFERROR(求节点(武将天赋!$AC$31:$AC$37,武将天赋!$Y$7:$Y$13,武将数量星级阶位验证!BM221/基础状态预期!J231),0)</f>
        <v>1</v>
      </c>
      <c r="AM221" s="17">
        <f>求节点(武将天赋进度验证!$Q$5:$Q$164,武将天赋进度验证!$AA$5:$AA$164,$AF221)</f>
        <v>1</v>
      </c>
    </row>
    <row r="222" spans="31:39" x14ac:dyDescent="0.15">
      <c r="AE222" s="56">
        <v>8723</v>
      </c>
      <c r="AF222" s="56">
        <v>150.49637054967232</v>
      </c>
      <c r="AH222" s="56"/>
      <c r="AI222" s="56"/>
      <c r="AJ222" s="56"/>
      <c r="AK222" s="56"/>
      <c r="AL222" s="56">
        <f>IFERROR(求节点(武将天赋!$AC$31:$AC$37,武将天赋!$Y$7:$Y$13,武将数量星级阶位验证!BM222/基础状态预期!J232),0)</f>
        <v>1</v>
      </c>
      <c r="AM222" s="17">
        <f>求节点(武将天赋进度验证!$Q$5:$Q$164,武将天赋进度验证!$AA$5:$AA$164,$AF222)</f>
        <v>1</v>
      </c>
    </row>
    <row r="223" spans="31:39" x14ac:dyDescent="0.15">
      <c r="AE223" s="56">
        <v>11115.5</v>
      </c>
      <c r="AF223" s="56">
        <v>151.40240982411487</v>
      </c>
      <c r="AH223" s="56"/>
      <c r="AI223" s="56"/>
      <c r="AJ223" s="56"/>
      <c r="AK223" s="56"/>
      <c r="AL223" s="56">
        <f>IFERROR(求节点(武将天赋!$AC$31:$AC$37,武将天赋!$Y$7:$Y$13,武将数量星级阶位验证!BM223/基础状态预期!J233),0)</f>
        <v>1</v>
      </c>
      <c r="AM223" s="17">
        <f>求节点(武将天赋进度验证!$Q$5:$Q$164,武将天赋进度验证!$AA$5:$AA$164,$AF223)</f>
        <v>1</v>
      </c>
    </row>
    <row r="224" spans="31:39" x14ac:dyDescent="0.15">
      <c r="AE224" s="56">
        <v>14168.000000000002</v>
      </c>
      <c r="AF224" s="56">
        <v>152.00526961196863</v>
      </c>
      <c r="AH224" s="56"/>
      <c r="AI224" s="56"/>
      <c r="AJ224" s="56"/>
      <c r="AK224" s="56"/>
      <c r="AL224" s="56">
        <f>IFERROR(求节点(武将天赋!$AC$31:$AC$37,武将天赋!$Y$7:$Y$13,武将数量星级阶位验证!BM224/基础状态预期!J234),0)</f>
        <v>1</v>
      </c>
      <c r="AM224" s="17">
        <f>求节点(武将天赋进度验证!$Q$5:$Q$164,武将天赋进度验证!$AA$5:$AA$164,$AF224)</f>
        <v>1</v>
      </c>
    </row>
    <row r="225" spans="31:39" x14ac:dyDescent="0.15">
      <c r="AE225" s="56">
        <v>18012.5</v>
      </c>
      <c r="AF225" s="56">
        <v>152.38629594951036</v>
      </c>
      <c r="AH225" s="56"/>
      <c r="AI225" s="56"/>
      <c r="AJ225" s="56"/>
      <c r="AK225" s="56"/>
      <c r="AL225" s="56">
        <f>IFERROR(求节点(武将天赋!$AC$31:$AC$37,武将天赋!$Y$7:$Y$13,武将数量星级阶位验证!BM225/基础状态预期!J235),0)</f>
        <v>1</v>
      </c>
      <c r="AM225" s="17">
        <f>求节点(武将天赋进度验证!$Q$5:$Q$164,武将天赋进度验证!$AA$5:$AA$164,$AF225)</f>
        <v>1</v>
      </c>
    </row>
  </sheetData>
  <mergeCells count="13">
    <mergeCell ref="AE184:AF185"/>
    <mergeCell ref="AH185:AL185"/>
    <mergeCell ref="AE139:AF140"/>
    <mergeCell ref="AH140:AL140"/>
    <mergeCell ref="AE94:AF95"/>
    <mergeCell ref="AH95:AL95"/>
    <mergeCell ref="AE49:AF50"/>
    <mergeCell ref="AH50:AL50"/>
    <mergeCell ref="C3:G3"/>
    <mergeCell ref="R3:V3"/>
    <mergeCell ref="W3:AA3"/>
    <mergeCell ref="AE4:AF5"/>
    <mergeCell ref="AH5:AL5"/>
  </mergeCells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/>
  <dimension ref="A1:AH61"/>
  <sheetViews>
    <sheetView workbookViewId="0">
      <selection activeCell="N17" sqref="N17"/>
    </sheetView>
  </sheetViews>
  <sheetFormatPr defaultColWidth="6.625" defaultRowHeight="11.25" x14ac:dyDescent="0.15"/>
  <cols>
    <col min="1" max="1" width="45.5" style="61" bestFit="1" customWidth="1"/>
    <col min="2" max="8" width="6.625" style="61"/>
    <col min="9" max="9" width="6.625" style="68"/>
    <col min="10" max="10" width="9.75" style="61" bestFit="1" customWidth="1"/>
    <col min="11" max="11" width="15.5" style="61" bestFit="1" customWidth="1"/>
    <col min="12" max="17" width="6.625" style="61" customWidth="1"/>
    <col min="18" max="18" width="6.625" style="68"/>
    <col min="19" max="22" width="6.625" style="61" customWidth="1"/>
    <col min="23" max="23" width="6.625" style="61"/>
    <col min="24" max="24" width="6.625" style="68"/>
    <col min="25" max="16384" width="6.625" style="61"/>
  </cols>
  <sheetData>
    <row r="1" spans="1:34" x14ac:dyDescent="0.15">
      <c r="A1" s="138" t="s">
        <v>718</v>
      </c>
      <c r="J1" s="61" t="s">
        <v>314</v>
      </c>
      <c r="S1" s="61" t="s">
        <v>726</v>
      </c>
      <c r="Y1" s="61" t="s">
        <v>727</v>
      </c>
    </row>
    <row r="2" spans="1:34" x14ac:dyDescent="0.15">
      <c r="A2" s="138" t="s">
        <v>719</v>
      </c>
    </row>
    <row r="3" spans="1:34" x14ac:dyDescent="0.15">
      <c r="A3" s="138" t="s">
        <v>720</v>
      </c>
      <c r="J3" s="61">
        <v>2300</v>
      </c>
      <c r="K3" s="61" t="s">
        <v>728</v>
      </c>
      <c r="L3" s="61">
        <f>ROUND(SUMPRODUCT(L8:O8,L13:O13)*10/100,0)*100+O3+$O$4</f>
        <v>2300</v>
      </c>
      <c r="N3" s="61" t="s">
        <v>730</v>
      </c>
      <c r="O3" s="61">
        <v>300</v>
      </c>
      <c r="U3" s="61" t="s">
        <v>492</v>
      </c>
      <c r="V3" s="61" t="s">
        <v>493</v>
      </c>
      <c r="AA3" s="80" t="s">
        <v>1</v>
      </c>
      <c r="AB3" s="80" t="s">
        <v>2</v>
      </c>
      <c r="AC3" s="80" t="s">
        <v>0</v>
      </c>
      <c r="AD3" s="80" t="s">
        <v>545</v>
      </c>
    </row>
    <row r="4" spans="1:34" x14ac:dyDescent="0.15">
      <c r="J4" s="61">
        <v>2650.6666666666665</v>
      </c>
      <c r="K4" s="61" t="s">
        <v>729</v>
      </c>
      <c r="L4" s="61">
        <f>(SUMPRODUCT(L17:N17,L8:N8)+(O17*O18+O21)*O8)*10+O3+O4</f>
        <v>2674.6666666666665</v>
      </c>
      <c r="N4" s="61" t="s">
        <v>731</v>
      </c>
      <c r="O4" s="61">
        <v>300</v>
      </c>
      <c r="T4" s="61" t="s">
        <v>726</v>
      </c>
      <c r="U4" s="61">
        <v>2</v>
      </c>
      <c r="V4" s="135">
        <v>0.25</v>
      </c>
      <c r="Z4" s="80" t="s">
        <v>430</v>
      </c>
      <c r="AA4" s="80">
        <v>0.83000000000000007</v>
      </c>
      <c r="AB4" s="80">
        <v>0.15</v>
      </c>
      <c r="AC4" s="80">
        <v>0.02</v>
      </c>
      <c r="AD4" s="80">
        <v>0</v>
      </c>
    </row>
    <row r="5" spans="1:34" x14ac:dyDescent="0.15">
      <c r="M5" s="61">
        <f>M8/L8</f>
        <v>5</v>
      </c>
      <c r="N5" s="61">
        <f t="shared" ref="N5:O5" si="0">N8/M8</f>
        <v>6</v>
      </c>
      <c r="O5" s="61">
        <f t="shared" si="0"/>
        <v>3</v>
      </c>
      <c r="Z5" s="80" t="s">
        <v>463</v>
      </c>
      <c r="AA5" s="80">
        <f>SUMPRODUCT(AA4:AD4,$L$8:$O$8)*0.7+O4*0.3/10+O3*0.3/10</f>
        <v>79.039999999999992</v>
      </c>
    </row>
    <row r="6" spans="1:34" x14ac:dyDescent="0.15">
      <c r="K6" s="80" t="s">
        <v>244</v>
      </c>
      <c r="L6" s="80" t="s">
        <v>1</v>
      </c>
      <c r="M6" s="80" t="s">
        <v>2</v>
      </c>
      <c r="N6" s="80" t="s">
        <v>0</v>
      </c>
      <c r="O6" s="80" t="s">
        <v>545</v>
      </c>
    </row>
    <row r="7" spans="1:34" x14ac:dyDescent="0.15">
      <c r="K7" s="80" t="s">
        <v>247</v>
      </c>
      <c r="L7" s="80">
        <v>6</v>
      </c>
      <c r="M7" s="80">
        <v>10</v>
      </c>
      <c r="N7" s="80">
        <v>25</v>
      </c>
      <c r="O7" s="80">
        <v>1</v>
      </c>
    </row>
    <row r="8" spans="1:34" x14ac:dyDescent="0.15">
      <c r="K8" s="80" t="s">
        <v>331</v>
      </c>
      <c r="L8" s="80">
        <v>40</v>
      </c>
      <c r="M8" s="80">
        <v>200</v>
      </c>
      <c r="N8" s="80">
        <f>1000*1.2</f>
        <v>1200</v>
      </c>
      <c r="O8" s="80">
        <f>N8*3</f>
        <v>3600</v>
      </c>
    </row>
    <row r="9" spans="1:34" x14ac:dyDescent="0.15">
      <c r="K9" s="80" t="s">
        <v>344</v>
      </c>
      <c r="L9" s="80">
        <v>25</v>
      </c>
      <c r="M9" s="80">
        <f t="shared" ref="M9" si="1">M8*1.8</f>
        <v>360</v>
      </c>
      <c r="N9" s="80">
        <f>N8*1.8</f>
        <v>2160</v>
      </c>
      <c r="O9" s="80">
        <f t="shared" ref="O9:O10" si="2">N9*3</f>
        <v>6480</v>
      </c>
    </row>
    <row r="10" spans="1:34" x14ac:dyDescent="0.15">
      <c r="K10" s="80" t="s">
        <v>345</v>
      </c>
      <c r="L10" s="80">
        <f>L9*1</f>
        <v>25</v>
      </c>
      <c r="M10" s="80">
        <f>M9*1.5</f>
        <v>540</v>
      </c>
      <c r="N10" s="80">
        <v>4800</v>
      </c>
      <c r="O10" s="80">
        <f t="shared" si="2"/>
        <v>14400</v>
      </c>
    </row>
    <row r="11" spans="1:34" x14ac:dyDescent="0.15">
      <c r="AE11" s="61" t="s">
        <v>721</v>
      </c>
      <c r="AF11" s="61">
        <v>2</v>
      </c>
      <c r="AG11" s="61">
        <v>200</v>
      </c>
      <c r="AH11" s="61">
        <f>30/AF11*AG11</f>
        <v>3000</v>
      </c>
    </row>
    <row r="12" spans="1:34" x14ac:dyDescent="0.15">
      <c r="K12" s="80" t="s">
        <v>314</v>
      </c>
      <c r="L12" s="80" t="s">
        <v>1</v>
      </c>
      <c r="M12" s="80" t="s">
        <v>2</v>
      </c>
      <c r="N12" s="80" t="s">
        <v>0</v>
      </c>
      <c r="O12" s="80" t="s">
        <v>545</v>
      </c>
      <c r="AE12" s="61" t="s">
        <v>722</v>
      </c>
      <c r="AF12" s="61">
        <v>5</v>
      </c>
      <c r="AG12" s="61">
        <v>1000</v>
      </c>
      <c r="AH12" s="61">
        <f t="shared" ref="AH12:AH15" si="3">30/AF12*AG12</f>
        <v>6000</v>
      </c>
    </row>
    <row r="13" spans="1:34" x14ac:dyDescent="0.15">
      <c r="K13" s="80" t="s">
        <v>315</v>
      </c>
      <c r="L13" s="128">
        <f>1-SUM(M13:O13)</f>
        <v>0.65833333333333333</v>
      </c>
      <c r="M13" s="129">
        <f>4/15</f>
        <v>0.26666666666666666</v>
      </c>
      <c r="N13" s="129">
        <v>7.4999999999999997E-2</v>
      </c>
      <c r="O13" s="131">
        <v>0</v>
      </c>
      <c r="AE13" s="61" t="s">
        <v>723</v>
      </c>
      <c r="AF13" s="61">
        <v>10</v>
      </c>
      <c r="AG13" s="61">
        <v>5000</v>
      </c>
      <c r="AH13" s="61">
        <f>30/AF13*AG13</f>
        <v>15000</v>
      </c>
    </row>
    <row r="14" spans="1:34" x14ac:dyDescent="0.15">
      <c r="K14" s="80" t="s">
        <v>316</v>
      </c>
      <c r="L14" s="80">
        <v>1</v>
      </c>
      <c r="M14" s="80">
        <v>1</v>
      </c>
      <c r="N14" s="80">
        <v>1</v>
      </c>
      <c r="O14" s="80">
        <f>1/30</f>
        <v>3.3333333333333333E-2</v>
      </c>
      <c r="AE14" s="61" t="s">
        <v>724</v>
      </c>
      <c r="AF14" s="61">
        <v>40</v>
      </c>
      <c r="AG14" s="61">
        <v>20000</v>
      </c>
      <c r="AH14" s="61">
        <f t="shared" si="3"/>
        <v>15000</v>
      </c>
    </row>
    <row r="15" spans="1:34" x14ac:dyDescent="0.15">
      <c r="O15" s="132"/>
      <c r="AE15" s="61" t="s">
        <v>725</v>
      </c>
      <c r="AF15" s="61">
        <v>200</v>
      </c>
      <c r="AG15" s="61">
        <v>100000</v>
      </c>
      <c r="AH15" s="61">
        <f t="shared" si="3"/>
        <v>15000</v>
      </c>
    </row>
    <row r="16" spans="1:34" x14ac:dyDescent="0.15">
      <c r="K16" s="80" t="s">
        <v>317</v>
      </c>
      <c r="L16" s="80" t="s">
        <v>1</v>
      </c>
      <c r="M16" s="80" t="s">
        <v>2</v>
      </c>
      <c r="N16" s="80" t="s">
        <v>0</v>
      </c>
      <c r="O16" s="80" t="s">
        <v>545</v>
      </c>
    </row>
    <row r="17" spans="11:15" x14ac:dyDescent="0.15">
      <c r="K17" s="80" t="s">
        <v>315</v>
      </c>
      <c r="L17" s="133">
        <f>1-SUM(M17:O17)</f>
        <v>0.4933333333333334</v>
      </c>
      <c r="M17" s="129">
        <f>M13</f>
        <v>0.26666666666666666</v>
      </c>
      <c r="N17" s="130">
        <v>0.04</v>
      </c>
      <c r="O17" s="131">
        <v>0.2</v>
      </c>
    </row>
    <row r="18" spans="11:15" x14ac:dyDescent="0.15">
      <c r="K18" s="80" t="s">
        <v>316</v>
      </c>
      <c r="L18" s="80">
        <v>1</v>
      </c>
      <c r="M18" s="80">
        <v>1</v>
      </c>
      <c r="N18" s="80">
        <v>1</v>
      </c>
      <c r="O18" s="80">
        <f>1.2/30</f>
        <v>0.04</v>
      </c>
    </row>
    <row r="19" spans="11:15" x14ac:dyDescent="0.15">
      <c r="K19" s="80" t="s">
        <v>318</v>
      </c>
      <c r="L19" s="80"/>
      <c r="M19" s="80"/>
      <c r="N19" s="80"/>
      <c r="O19" s="80">
        <v>0.02</v>
      </c>
    </row>
    <row r="20" spans="11:15" x14ac:dyDescent="0.15">
      <c r="K20" s="80" t="s">
        <v>319</v>
      </c>
      <c r="L20" s="80"/>
      <c r="M20" s="80"/>
      <c r="N20" s="80"/>
      <c r="O20" s="80">
        <v>0.02</v>
      </c>
    </row>
    <row r="21" spans="11:15" x14ac:dyDescent="0.15">
      <c r="K21" s="80" t="s">
        <v>320</v>
      </c>
      <c r="L21" s="80"/>
      <c r="M21" s="80"/>
      <c r="N21" s="80"/>
      <c r="O21" s="80">
        <v>1.6E-2</v>
      </c>
    </row>
    <row r="22" spans="11:15" x14ac:dyDescent="0.15">
      <c r="K22" s="80" t="s">
        <v>321</v>
      </c>
      <c r="L22" s="80"/>
      <c r="M22" s="80"/>
      <c r="N22" s="80"/>
      <c r="O22" s="80">
        <v>1.2E-2</v>
      </c>
    </row>
    <row r="23" spans="11:15" x14ac:dyDescent="0.15">
      <c r="K23" s="80" t="s">
        <v>322</v>
      </c>
      <c r="L23" s="80"/>
      <c r="M23" s="80"/>
      <c r="N23" s="80"/>
      <c r="O23" s="80">
        <v>8.0000000000000002E-3</v>
      </c>
    </row>
    <row r="25" spans="11:15" x14ac:dyDescent="0.15">
      <c r="L25" s="80" t="s">
        <v>1</v>
      </c>
      <c r="M25" s="80" t="s">
        <v>2</v>
      </c>
      <c r="N25" s="80" t="s">
        <v>0</v>
      </c>
      <c r="O25" s="80" t="s">
        <v>545</v>
      </c>
    </row>
    <row r="26" spans="11:15" x14ac:dyDescent="0.15">
      <c r="K26" s="80" t="s">
        <v>283</v>
      </c>
      <c r="L26" s="80">
        <f t="shared" ref="L26:O30" si="4">L$17*L$18+L19</f>
        <v>0.4933333333333334</v>
      </c>
      <c r="M26" s="80">
        <f t="shared" si="4"/>
        <v>0.26666666666666666</v>
      </c>
      <c r="N26" s="80">
        <f t="shared" si="4"/>
        <v>0.04</v>
      </c>
      <c r="O26" s="80">
        <f t="shared" si="4"/>
        <v>2.8000000000000001E-2</v>
      </c>
    </row>
    <row r="27" spans="11:15" x14ac:dyDescent="0.15">
      <c r="K27" s="80" t="s">
        <v>282</v>
      </c>
      <c r="L27" s="80">
        <f t="shared" si="4"/>
        <v>0.4933333333333334</v>
      </c>
      <c r="M27" s="80">
        <f t="shared" si="4"/>
        <v>0.26666666666666666</v>
      </c>
      <c r="N27" s="80">
        <f t="shared" si="4"/>
        <v>0.04</v>
      </c>
      <c r="O27" s="80">
        <f t="shared" si="4"/>
        <v>2.8000000000000001E-2</v>
      </c>
    </row>
    <row r="28" spans="11:15" x14ac:dyDescent="0.15">
      <c r="K28" s="80" t="s">
        <v>281</v>
      </c>
      <c r="L28" s="80">
        <f t="shared" si="4"/>
        <v>0.4933333333333334</v>
      </c>
      <c r="M28" s="80">
        <f t="shared" si="4"/>
        <v>0.26666666666666666</v>
      </c>
      <c r="N28" s="80">
        <f t="shared" si="4"/>
        <v>0.04</v>
      </c>
      <c r="O28" s="80">
        <f t="shared" si="4"/>
        <v>2.4E-2</v>
      </c>
    </row>
    <row r="29" spans="11:15" x14ac:dyDescent="0.15">
      <c r="K29" s="80" t="s">
        <v>280</v>
      </c>
      <c r="L29" s="80">
        <f t="shared" si="4"/>
        <v>0.4933333333333334</v>
      </c>
      <c r="M29" s="80">
        <f t="shared" si="4"/>
        <v>0.26666666666666666</v>
      </c>
      <c r="N29" s="80">
        <f t="shared" si="4"/>
        <v>0.04</v>
      </c>
      <c r="O29" s="80">
        <f t="shared" si="4"/>
        <v>0.02</v>
      </c>
    </row>
    <row r="30" spans="11:15" x14ac:dyDescent="0.15">
      <c r="K30" s="80" t="s">
        <v>279</v>
      </c>
      <c r="L30" s="80">
        <f t="shared" si="4"/>
        <v>0.4933333333333334</v>
      </c>
      <c r="M30" s="80">
        <f t="shared" si="4"/>
        <v>0.26666666666666666</v>
      </c>
      <c r="N30" s="80">
        <f t="shared" si="4"/>
        <v>0.04</v>
      </c>
      <c r="O30" s="80">
        <f t="shared" si="4"/>
        <v>1.6E-2</v>
      </c>
    </row>
    <row r="32" spans="11:15" x14ac:dyDescent="0.15">
      <c r="L32" s="61">
        <f>L8*L13</f>
        <v>26.333333333333332</v>
      </c>
      <c r="M32" s="61">
        <f t="shared" ref="M32:O32" si="5">M8*M13</f>
        <v>53.333333333333336</v>
      </c>
      <c r="N32" s="61">
        <f t="shared" si="5"/>
        <v>90</v>
      </c>
      <c r="O32" s="61">
        <f t="shared" si="5"/>
        <v>0</v>
      </c>
    </row>
    <row r="33" spans="12:16" x14ac:dyDescent="0.15">
      <c r="N33" s="134"/>
      <c r="O33" s="134"/>
    </row>
    <row r="34" spans="12:16" x14ac:dyDescent="0.15">
      <c r="L34" s="61" t="s">
        <v>549</v>
      </c>
      <c r="M34" s="61" t="s">
        <v>347</v>
      </c>
      <c r="N34" s="134" t="s">
        <v>346</v>
      </c>
      <c r="P34" s="61">
        <v>0.03</v>
      </c>
    </row>
    <row r="35" spans="12:16" x14ac:dyDescent="0.15">
      <c r="L35" s="80" t="s">
        <v>283</v>
      </c>
      <c r="M35" s="80">
        <f>N35*O35</f>
        <v>7000</v>
      </c>
      <c r="N35" s="80">
        <f>280/($O$17*$O$18+O19)</f>
        <v>10000</v>
      </c>
      <c r="O35" s="61">
        <v>0.7</v>
      </c>
      <c r="P35" s="61">
        <v>0.05</v>
      </c>
    </row>
    <row r="36" spans="12:16" x14ac:dyDescent="0.15">
      <c r="L36" s="80" t="s">
        <v>282</v>
      </c>
      <c r="M36" s="80">
        <f t="shared" ref="M36:M39" si="6">N36*O36</f>
        <v>7300</v>
      </c>
      <c r="N36" s="80">
        <f>280/($O$17*$O$18+O20)</f>
        <v>10000</v>
      </c>
      <c r="O36" s="61">
        <f>O35+P34</f>
        <v>0.73</v>
      </c>
      <c r="P36" s="61">
        <v>7.0000000000000007E-2</v>
      </c>
    </row>
    <row r="37" spans="12:16" x14ac:dyDescent="0.15">
      <c r="L37" s="80" t="s">
        <v>281</v>
      </c>
      <c r="M37" s="80">
        <f t="shared" si="6"/>
        <v>9100</v>
      </c>
      <c r="N37" s="80">
        <f>280/($O$17*$O$18+O21)</f>
        <v>11666.666666666666</v>
      </c>
      <c r="O37" s="61">
        <f>O36+P35</f>
        <v>0.78</v>
      </c>
      <c r="P37" s="61">
        <v>0.09</v>
      </c>
    </row>
    <row r="38" spans="12:16" x14ac:dyDescent="0.15">
      <c r="L38" s="80" t="s">
        <v>280</v>
      </c>
      <c r="M38" s="80">
        <f t="shared" si="6"/>
        <v>11900.000000000002</v>
      </c>
      <c r="N38" s="80">
        <f>280/($O$17*$O$18+O22)</f>
        <v>14000</v>
      </c>
      <c r="O38" s="61">
        <f>O37+P36</f>
        <v>0.85000000000000009</v>
      </c>
    </row>
    <row r="39" spans="12:16" x14ac:dyDescent="0.15">
      <c r="L39" s="80" t="s">
        <v>279</v>
      </c>
      <c r="M39" s="80">
        <f t="shared" si="6"/>
        <v>16450</v>
      </c>
      <c r="N39" s="80">
        <f>280/($O$17*$O$18+O23)</f>
        <v>17500</v>
      </c>
      <c r="O39" s="61">
        <f>O38+P37</f>
        <v>0.94000000000000006</v>
      </c>
    </row>
    <row r="54" spans="13:15" x14ac:dyDescent="0.15">
      <c r="O54" s="135"/>
    </row>
    <row r="56" spans="13:15" x14ac:dyDescent="0.15">
      <c r="N56" s="136"/>
    </row>
    <row r="59" spans="13:15" x14ac:dyDescent="0.15">
      <c r="M59" s="135"/>
    </row>
    <row r="60" spans="13:15" x14ac:dyDescent="0.15">
      <c r="O60" s="137"/>
    </row>
    <row r="61" spans="13:15" x14ac:dyDescent="0.15">
      <c r="O61" s="135"/>
    </row>
  </sheetData>
  <phoneticPr fontId="1" type="noConversion"/>
  <pageMargins left="0.7" right="0.7" top="0.75" bottom="0.75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2BB33-F1B9-4509-8CC0-61EA9853304A}">
  <dimension ref="A1:AH33"/>
  <sheetViews>
    <sheetView workbookViewId="0">
      <selection activeCell="Q19" sqref="Q19"/>
    </sheetView>
  </sheetViews>
  <sheetFormatPr defaultColWidth="6.625" defaultRowHeight="11.25" x14ac:dyDescent="0.15"/>
  <cols>
    <col min="1" max="1" width="6.625" style="17"/>
    <col min="2" max="5" width="8.25" style="17" bestFit="1" customWidth="1"/>
    <col min="6" max="9" width="6.625" style="61"/>
    <col min="10" max="10" width="6.625" style="68"/>
    <col min="11" max="11" width="6.625" style="17"/>
    <col min="12" max="12" width="19.375" style="16" bestFit="1" customWidth="1"/>
    <col min="13" max="13" width="9" style="16"/>
    <col min="14" max="14" width="8.75" style="16" customWidth="1"/>
    <col min="15" max="16" width="9" style="16"/>
    <col min="17" max="17" width="13" style="16" bestFit="1" customWidth="1"/>
    <col min="18" max="27" width="9" style="16"/>
    <col min="28" max="29" width="9" style="16" customWidth="1"/>
    <col min="30" max="34" width="6.625" style="16"/>
    <col min="35" max="16384" width="6.625" style="61"/>
  </cols>
  <sheetData>
    <row r="1" spans="1:34" x14ac:dyDescent="0.15">
      <c r="A1" s="16" t="s">
        <v>734</v>
      </c>
      <c r="C1" s="16"/>
      <c r="D1" s="16"/>
      <c r="E1" s="16"/>
      <c r="K1" s="16" t="s">
        <v>735</v>
      </c>
    </row>
    <row r="2" spans="1:34" x14ac:dyDescent="0.15">
      <c r="A2" s="140" t="s">
        <v>737</v>
      </c>
      <c r="C2" s="16"/>
      <c r="D2" s="16"/>
      <c r="E2" s="16"/>
      <c r="K2" s="140" t="s">
        <v>738</v>
      </c>
      <c r="AB2" s="16" t="s">
        <v>712</v>
      </c>
      <c r="AC2" s="16" t="s">
        <v>713</v>
      </c>
      <c r="AD2" s="16" t="s">
        <v>714</v>
      </c>
      <c r="AE2" s="16" t="s">
        <v>703</v>
      </c>
      <c r="AF2" s="16" t="s">
        <v>715</v>
      </c>
    </row>
    <row r="3" spans="1:34" x14ac:dyDescent="0.15">
      <c r="A3" s="16"/>
      <c r="C3" s="16"/>
      <c r="D3" s="16"/>
      <c r="E3" s="16"/>
      <c r="K3" s="140"/>
      <c r="AB3" s="16">
        <v>6</v>
      </c>
      <c r="AC3" s="16">
        <v>1</v>
      </c>
      <c r="AD3" s="16" t="s">
        <v>710</v>
      </c>
      <c r="AE3" s="16">
        <v>1</v>
      </c>
      <c r="AF3" s="16" t="e">
        <f t="shared" ref="AF3:AF8" si="0">INDEX($R$18:$R$29,MATCH($Q4,$Q$18:$Q$29,0))</f>
        <v>#N/A</v>
      </c>
      <c r="AG3" s="16" t="e">
        <f>AE3*SUM($B$8:$B$9)/(AB3*AF3*10)</f>
        <v>#N/A</v>
      </c>
      <c r="AH3" s="16" t="e">
        <f>AB3/(AB3*AF3)</f>
        <v>#N/A</v>
      </c>
    </row>
    <row r="4" spans="1:34" x14ac:dyDescent="0.15">
      <c r="A4" s="61"/>
      <c r="B4" s="29" t="s">
        <v>244</v>
      </c>
      <c r="C4" s="29" t="s">
        <v>1</v>
      </c>
      <c r="D4" s="29" t="s">
        <v>2</v>
      </c>
      <c r="E4" s="29" t="s">
        <v>0</v>
      </c>
      <c r="F4" s="29" t="s">
        <v>545</v>
      </c>
      <c r="K4" s="16"/>
      <c r="M4" s="16">
        <v>200</v>
      </c>
      <c r="N4" s="16">
        <f>武将数量星级阶位验证!$D$9*3*3*1.5</f>
        <v>64800</v>
      </c>
      <c r="R4" s="16" t="s">
        <v>94</v>
      </c>
      <c r="S4" s="16" t="s">
        <v>703</v>
      </c>
      <c r="T4" s="16" t="s">
        <v>315</v>
      </c>
      <c r="U4" s="16" t="s">
        <v>94</v>
      </c>
      <c r="V4" s="16" t="s">
        <v>706</v>
      </c>
      <c r="X4" s="16" t="e">
        <f>500000/SUM($B$8:$B$9)</f>
        <v>#DIV/0!</v>
      </c>
      <c r="AB4" s="16">
        <v>30</v>
      </c>
      <c r="AC4" s="16">
        <v>2</v>
      </c>
      <c r="AD4" s="16" t="s">
        <v>710</v>
      </c>
      <c r="AE4" s="16">
        <v>4</v>
      </c>
      <c r="AF4" s="16" t="e">
        <f t="shared" si="0"/>
        <v>#N/A</v>
      </c>
      <c r="AG4" s="16" t="e">
        <f t="shared" ref="AG4:AG9" si="1">AE4*SUM($B$8:$B$9)/(AB4*AF4*10)</f>
        <v>#N/A</v>
      </c>
      <c r="AH4" s="16" t="e">
        <f t="shared" ref="AH4:AH9" si="2">AB4/(AB4*AF4)</f>
        <v>#N/A</v>
      </c>
    </row>
    <row r="5" spans="1:34" x14ac:dyDescent="0.15">
      <c r="A5" s="61"/>
      <c r="B5" s="139" t="s">
        <v>247</v>
      </c>
      <c r="C5" s="29">
        <v>6</v>
      </c>
      <c r="D5" s="29">
        <v>10</v>
      </c>
      <c r="E5" s="29">
        <v>25</v>
      </c>
      <c r="F5" s="29">
        <v>1</v>
      </c>
      <c r="K5" s="16"/>
      <c r="L5" s="16" t="s">
        <v>686</v>
      </c>
      <c r="M5" s="16" t="s">
        <v>690</v>
      </c>
      <c r="N5" s="16" t="s">
        <v>691</v>
      </c>
      <c r="Q5" s="16" t="s">
        <v>702</v>
      </c>
      <c r="R5" s="16">
        <f>N4/50</f>
        <v>1296</v>
      </c>
      <c r="S5" s="16">
        <v>1.2</v>
      </c>
      <c r="T5" s="16">
        <f>N6</f>
        <v>0.1</v>
      </c>
      <c r="U5" s="16">
        <f>T5*S5*R5</f>
        <v>155.51999999999998</v>
      </c>
      <c r="V5" s="16">
        <f>150*T5*S5</f>
        <v>18</v>
      </c>
      <c r="X5" s="16">
        <f>$M$4*T5*S5</f>
        <v>24</v>
      </c>
      <c r="AB5" s="16">
        <v>68</v>
      </c>
      <c r="AC5" s="16">
        <v>3</v>
      </c>
      <c r="AD5" s="16" t="s">
        <v>710</v>
      </c>
      <c r="AE5" s="16">
        <v>8</v>
      </c>
      <c r="AF5" s="16" t="e">
        <f t="shared" si="0"/>
        <v>#N/A</v>
      </c>
      <c r="AG5" s="16" t="e">
        <f t="shared" si="1"/>
        <v>#N/A</v>
      </c>
      <c r="AH5" s="16" t="e">
        <f t="shared" si="2"/>
        <v>#N/A</v>
      </c>
    </row>
    <row r="6" spans="1:34" x14ac:dyDescent="0.15">
      <c r="A6" s="61"/>
      <c r="B6" s="139" t="s">
        <v>331</v>
      </c>
      <c r="C6" s="29">
        <v>40</v>
      </c>
      <c r="D6" s="29">
        <v>200</v>
      </c>
      <c r="E6" s="29">
        <v>1000</v>
      </c>
      <c r="F6" s="29">
        <v>3000</v>
      </c>
      <c r="K6" s="16"/>
      <c r="L6" s="16" t="s">
        <v>687</v>
      </c>
      <c r="M6" s="16">
        <f>1-N6</f>
        <v>0.9</v>
      </c>
      <c r="N6" s="16">
        <v>0.1</v>
      </c>
      <c r="Q6" s="16" t="s">
        <v>694</v>
      </c>
      <c r="R6" s="16">
        <v>1</v>
      </c>
      <c r="S6" s="16">
        <v>100</v>
      </c>
      <c r="T6" s="16">
        <v>3.9800000000000002E-2</v>
      </c>
      <c r="U6" s="16">
        <f t="shared" ref="U6:U17" si="3">T6*S6*R6</f>
        <v>3.9800000000000004</v>
      </c>
      <c r="V6" s="16">
        <f t="shared" ref="V6:V17" si="4">150*T6*S6</f>
        <v>597.00000000000011</v>
      </c>
      <c r="X6" s="16">
        <f t="shared" ref="X6:X17" si="5">$M$4*T6*S6</f>
        <v>796.00000000000011</v>
      </c>
      <c r="AB6" s="16">
        <v>128</v>
      </c>
      <c r="AC6" s="16">
        <v>3</v>
      </c>
      <c r="AD6" s="16" t="s">
        <v>710</v>
      </c>
      <c r="AE6" s="16">
        <v>12</v>
      </c>
      <c r="AF6" s="16" t="e">
        <f t="shared" si="0"/>
        <v>#N/A</v>
      </c>
      <c r="AG6" s="16" t="e">
        <f t="shared" si="1"/>
        <v>#N/A</v>
      </c>
      <c r="AH6" s="16" t="e">
        <f t="shared" si="2"/>
        <v>#N/A</v>
      </c>
    </row>
    <row r="7" spans="1:34" x14ac:dyDescent="0.15">
      <c r="A7" s="61"/>
      <c r="B7" s="139" t="s">
        <v>344</v>
      </c>
      <c r="C7" s="29">
        <v>25</v>
      </c>
      <c r="D7" s="29">
        <v>360</v>
      </c>
      <c r="E7" s="29">
        <v>1800</v>
      </c>
      <c r="F7" s="29"/>
      <c r="K7" s="16"/>
      <c r="L7" s="16" t="s">
        <v>688</v>
      </c>
      <c r="M7" s="16">
        <v>1</v>
      </c>
      <c r="N7" s="16">
        <f>1/50</f>
        <v>0.02</v>
      </c>
      <c r="Q7" s="16" t="s">
        <v>694</v>
      </c>
      <c r="R7" s="16">
        <v>1</v>
      </c>
      <c r="S7" s="16">
        <v>200</v>
      </c>
      <c r="T7" s="16">
        <v>0.02</v>
      </c>
      <c r="U7" s="16">
        <f t="shared" si="3"/>
        <v>4</v>
      </c>
      <c r="V7" s="16">
        <f t="shared" si="4"/>
        <v>600</v>
      </c>
      <c r="X7" s="16">
        <f t="shared" si="5"/>
        <v>800</v>
      </c>
      <c r="AB7" s="16">
        <v>328</v>
      </c>
      <c r="AC7" s="16">
        <v>5</v>
      </c>
      <c r="AD7" s="16" t="s">
        <v>710</v>
      </c>
      <c r="AE7" s="16">
        <v>20</v>
      </c>
      <c r="AF7" s="16" t="e">
        <f t="shared" si="0"/>
        <v>#N/A</v>
      </c>
      <c r="AG7" s="16" t="e">
        <f t="shared" si="1"/>
        <v>#N/A</v>
      </c>
      <c r="AH7" s="16" t="e">
        <f t="shared" si="2"/>
        <v>#N/A</v>
      </c>
    </row>
    <row r="8" spans="1:34" x14ac:dyDescent="0.15">
      <c r="A8" s="61"/>
      <c r="B8" s="139" t="s">
        <v>345</v>
      </c>
      <c r="C8" s="29">
        <f>C7*1</f>
        <v>25</v>
      </c>
      <c r="D8" s="29">
        <f>D7*1.5</f>
        <v>540</v>
      </c>
      <c r="E8" s="29">
        <v>4800</v>
      </c>
      <c r="F8" s="29">
        <f>14400*1.5</f>
        <v>21600</v>
      </c>
      <c r="K8" s="16"/>
      <c r="N8" s="16">
        <f>1/N6/N7</f>
        <v>500</v>
      </c>
      <c r="Q8" s="16" t="s">
        <v>694</v>
      </c>
      <c r="R8" s="16">
        <v>1</v>
      </c>
      <c r="S8" s="16">
        <v>20000</v>
      </c>
      <c r="T8" s="16">
        <v>2.0000000000000001E-4</v>
      </c>
      <c r="U8" s="16">
        <f t="shared" si="3"/>
        <v>4</v>
      </c>
      <c r="V8" s="16">
        <f t="shared" si="4"/>
        <v>600</v>
      </c>
      <c r="X8" s="16">
        <f t="shared" si="5"/>
        <v>800</v>
      </c>
      <c r="AB8" s="16">
        <v>648</v>
      </c>
      <c r="AC8" s="16">
        <v>5</v>
      </c>
      <c r="AD8" s="16" t="s">
        <v>710</v>
      </c>
      <c r="AE8" s="16">
        <v>35</v>
      </c>
      <c r="AF8" s="16" t="e">
        <f t="shared" si="0"/>
        <v>#N/A</v>
      </c>
      <c r="AG8" s="16" t="e">
        <f t="shared" si="1"/>
        <v>#N/A</v>
      </c>
      <c r="AH8" s="16" t="e">
        <f t="shared" si="2"/>
        <v>#N/A</v>
      </c>
    </row>
    <row r="9" spans="1:34" x14ac:dyDescent="0.15">
      <c r="B9" s="91"/>
      <c r="F9" s="17"/>
      <c r="K9" s="16"/>
      <c r="L9" s="16" t="s">
        <v>689</v>
      </c>
      <c r="M9" s="16">
        <f>SUMPRODUCT(M4:N4,M6:N6,M7:N7)</f>
        <v>309.60000000000002</v>
      </c>
      <c r="Q9" s="16" t="s">
        <v>704</v>
      </c>
      <c r="R9" s="16">
        <v>1</v>
      </c>
      <c r="S9" s="16">
        <v>60</v>
      </c>
      <c r="T9" s="16">
        <v>0.04</v>
      </c>
      <c r="U9" s="16">
        <f t="shared" si="3"/>
        <v>2.4</v>
      </c>
      <c r="V9" s="16">
        <f t="shared" si="4"/>
        <v>360</v>
      </c>
      <c r="X9" s="16">
        <f t="shared" si="5"/>
        <v>480</v>
      </c>
      <c r="AB9" s="16">
        <v>198</v>
      </c>
      <c r="AC9" s="16" t="s">
        <v>717</v>
      </c>
      <c r="AD9" s="16" t="s">
        <v>710</v>
      </c>
      <c r="AE9" s="16">
        <v>10</v>
      </c>
      <c r="AF9" s="16">
        <v>2</v>
      </c>
      <c r="AG9" s="16">
        <f t="shared" si="1"/>
        <v>0</v>
      </c>
      <c r="AH9" s="16">
        <f t="shared" si="2"/>
        <v>0.5</v>
      </c>
    </row>
    <row r="10" spans="1:34" x14ac:dyDescent="0.15">
      <c r="A10" s="61"/>
      <c r="B10" s="29" t="s">
        <v>317</v>
      </c>
      <c r="C10" s="29" t="s">
        <v>1</v>
      </c>
      <c r="D10" s="29" t="s">
        <v>2</v>
      </c>
      <c r="E10" s="29" t="s">
        <v>0</v>
      </c>
      <c r="F10" s="29" t="s">
        <v>545</v>
      </c>
      <c r="K10" s="16"/>
      <c r="L10" s="16" t="s">
        <v>693</v>
      </c>
      <c r="M10" s="16">
        <v>8</v>
      </c>
      <c r="Q10" s="16" t="s">
        <v>705</v>
      </c>
      <c r="R10" s="16">
        <v>1</v>
      </c>
      <c r="S10" s="16">
        <v>36</v>
      </c>
      <c r="T10" s="16">
        <v>0.04</v>
      </c>
      <c r="U10" s="16">
        <f t="shared" si="3"/>
        <v>1.44</v>
      </c>
      <c r="V10" s="16">
        <f t="shared" si="4"/>
        <v>216</v>
      </c>
      <c r="X10" s="16">
        <f t="shared" si="5"/>
        <v>288</v>
      </c>
    </row>
    <row r="11" spans="1:34" x14ac:dyDescent="0.15">
      <c r="A11" s="61"/>
      <c r="B11" s="139" t="s">
        <v>315</v>
      </c>
      <c r="C11" s="118">
        <f>1-SUM(D11:F11)</f>
        <v>0.53333333333333333</v>
      </c>
      <c r="D11" s="117">
        <f>4/15</f>
        <v>0.26666666666666666</v>
      </c>
      <c r="E11" s="95">
        <v>0.04</v>
      </c>
      <c r="F11" s="20">
        <v>0.16</v>
      </c>
      <c r="K11" s="16"/>
      <c r="L11" s="16" t="s">
        <v>692</v>
      </c>
      <c r="M11" s="16">
        <f>SUM($M$9:$M$10)*(1/N6/N7)</f>
        <v>158800</v>
      </c>
      <c r="Q11" s="16" t="s">
        <v>695</v>
      </c>
      <c r="R11" s="16">
        <v>100</v>
      </c>
      <c r="S11" s="16">
        <v>1</v>
      </c>
      <c r="T11" s="16">
        <v>0.05</v>
      </c>
      <c r="U11" s="16">
        <f t="shared" si="3"/>
        <v>5</v>
      </c>
      <c r="V11" s="16">
        <f t="shared" si="4"/>
        <v>7.5</v>
      </c>
      <c r="W11" s="16">
        <f>V11*3600*3</f>
        <v>81000</v>
      </c>
      <c r="X11" s="16">
        <f t="shared" si="5"/>
        <v>10</v>
      </c>
      <c r="Y11" s="16">
        <f>X11*3600*3</f>
        <v>108000</v>
      </c>
    </row>
    <row r="12" spans="1:34" x14ac:dyDescent="0.15">
      <c r="A12" s="61"/>
      <c r="B12" s="139" t="s">
        <v>316</v>
      </c>
      <c r="C12" s="29">
        <v>1</v>
      </c>
      <c r="D12" s="29">
        <v>1</v>
      </c>
      <c r="E12" s="29">
        <v>1</v>
      </c>
      <c r="F12" s="29">
        <f>1.1/30</f>
        <v>3.6666666666666667E-2</v>
      </c>
      <c r="K12" s="16"/>
      <c r="Q12" s="16" t="s">
        <v>696</v>
      </c>
      <c r="R12" s="16">
        <v>50</v>
      </c>
      <c r="S12" s="16">
        <v>1</v>
      </c>
      <c r="T12" s="16">
        <v>0.09</v>
      </c>
      <c r="U12" s="16">
        <f t="shared" si="3"/>
        <v>4.5</v>
      </c>
      <c r="V12" s="16">
        <f t="shared" si="4"/>
        <v>13.5</v>
      </c>
      <c r="W12" s="16">
        <f>V12*3600</f>
        <v>48600</v>
      </c>
      <c r="X12" s="16">
        <f t="shared" si="5"/>
        <v>18</v>
      </c>
      <c r="Y12" s="16">
        <f>X12*3600</f>
        <v>64800</v>
      </c>
    </row>
    <row r="13" spans="1:34" x14ac:dyDescent="0.15">
      <c r="K13" s="16"/>
      <c r="Q13" s="16" t="s">
        <v>697</v>
      </c>
      <c r="R13" s="16">
        <v>300</v>
      </c>
      <c r="S13" s="16">
        <v>1</v>
      </c>
      <c r="T13" s="16">
        <v>0.09</v>
      </c>
      <c r="U13" s="16">
        <f t="shared" si="3"/>
        <v>27</v>
      </c>
      <c r="V13" s="16">
        <f t="shared" si="4"/>
        <v>13.5</v>
      </c>
      <c r="W13" s="16">
        <f>V13*150000</f>
        <v>2025000</v>
      </c>
      <c r="X13" s="16">
        <f t="shared" si="5"/>
        <v>18</v>
      </c>
      <c r="Y13" s="16">
        <f>X13*150000</f>
        <v>2700000</v>
      </c>
      <c r="AC13" s="16">
        <f>SUMPRODUCT(AC3:AC8,AB3:AB8)</f>
        <v>5534</v>
      </c>
    </row>
    <row r="14" spans="1:34" x14ac:dyDescent="0.15">
      <c r="B14" s="17" t="s">
        <v>689</v>
      </c>
      <c r="C14" s="17">
        <f>SUMPRODUCT(C6:E6,C11:E11,C12:E12)+F8*F11*F12</f>
        <v>241.38666666666666</v>
      </c>
      <c r="E14" s="92"/>
      <c r="K14" s="16"/>
      <c r="Q14" s="16" t="s">
        <v>698</v>
      </c>
      <c r="R14" s="16">
        <v>150</v>
      </c>
      <c r="S14" s="16">
        <v>1</v>
      </c>
      <c r="T14" s="16">
        <v>0.15</v>
      </c>
      <c r="U14" s="16">
        <f t="shared" si="3"/>
        <v>22.5</v>
      </c>
      <c r="V14" s="16">
        <f t="shared" si="4"/>
        <v>22.5</v>
      </c>
      <c r="W14" s="16">
        <f>V14*50000</f>
        <v>1125000</v>
      </c>
      <c r="X14" s="16">
        <f t="shared" si="5"/>
        <v>30</v>
      </c>
      <c r="Y14" s="16">
        <f>X14*50000</f>
        <v>1500000</v>
      </c>
      <c r="AC14" s="16">
        <f>SUMPRODUCT(AC3:AC8,AE3:AE8)</f>
        <v>344</v>
      </c>
      <c r="AD14" s="16">
        <f>AC14*3/N8</f>
        <v>2.0640000000000001</v>
      </c>
      <c r="AE14" s="16">
        <f>(18-AD14)*N8/AE9</f>
        <v>796.8</v>
      </c>
    </row>
    <row r="15" spans="1:34" x14ac:dyDescent="0.15">
      <c r="B15" s="91" t="s">
        <v>736</v>
      </c>
      <c r="C15" s="17">
        <f>1/F11*30/(30*F12)</f>
        <v>170.45454545454544</v>
      </c>
      <c r="K15" s="16"/>
      <c r="Q15" s="16" t="s">
        <v>699</v>
      </c>
      <c r="R15" s="16">
        <v>75</v>
      </c>
      <c r="S15" s="16">
        <v>1</v>
      </c>
      <c r="T15" s="16">
        <v>0.2</v>
      </c>
      <c r="U15" s="16">
        <f t="shared" si="3"/>
        <v>15</v>
      </c>
      <c r="V15" s="16">
        <f t="shared" si="4"/>
        <v>30</v>
      </c>
      <c r="W15" s="16">
        <f>V15*75</f>
        <v>2250</v>
      </c>
      <c r="X15" s="16">
        <f t="shared" si="5"/>
        <v>40</v>
      </c>
      <c r="Y15" s="16">
        <f>X15*75</f>
        <v>3000</v>
      </c>
    </row>
    <row r="16" spans="1:34" x14ac:dyDescent="0.15">
      <c r="D16" s="93"/>
      <c r="F16" s="61">
        <f>F8/30</f>
        <v>720</v>
      </c>
      <c r="K16" s="16"/>
      <c r="Q16" s="16" t="s">
        <v>700</v>
      </c>
      <c r="R16" s="16">
        <v>320</v>
      </c>
      <c r="S16" s="16">
        <v>1</v>
      </c>
      <c r="T16" s="16">
        <v>0.06</v>
      </c>
      <c r="U16" s="16">
        <f t="shared" si="3"/>
        <v>19.2</v>
      </c>
      <c r="V16" s="16">
        <f t="shared" si="4"/>
        <v>9</v>
      </c>
      <c r="X16" s="16">
        <f t="shared" si="5"/>
        <v>12</v>
      </c>
      <c r="AB16" s="16" t="s">
        <v>711</v>
      </c>
      <c r="AC16" s="16" t="s">
        <v>716</v>
      </c>
    </row>
    <row r="17" spans="3:29" x14ac:dyDescent="0.15">
      <c r="K17" s="16"/>
      <c r="Q17" s="16" t="s">
        <v>701</v>
      </c>
      <c r="R17" s="16">
        <v>2400</v>
      </c>
      <c r="S17" s="16">
        <v>1</v>
      </c>
      <c r="T17" s="16">
        <v>0.02</v>
      </c>
      <c r="U17" s="16">
        <f t="shared" si="3"/>
        <v>48</v>
      </c>
      <c r="V17" s="16">
        <f t="shared" si="4"/>
        <v>3</v>
      </c>
      <c r="X17" s="16">
        <f t="shared" si="5"/>
        <v>4</v>
      </c>
      <c r="AB17" s="16">
        <v>1</v>
      </c>
      <c r="AC17" s="16">
        <v>14</v>
      </c>
    </row>
    <row r="18" spans="3:29" x14ac:dyDescent="0.15">
      <c r="K18" s="16"/>
      <c r="AB18" s="16">
        <v>3</v>
      </c>
      <c r="AC18" s="16">
        <v>12</v>
      </c>
    </row>
    <row r="19" spans="3:29" x14ac:dyDescent="0.15">
      <c r="C19" s="92"/>
      <c r="K19" s="16"/>
      <c r="N19" s="16">
        <f>8*7*2*10/14</f>
        <v>80</v>
      </c>
      <c r="T19" s="16">
        <f>SUM(T5:T17)</f>
        <v>0.90000000000000013</v>
      </c>
      <c r="AB19" s="16">
        <v>6</v>
      </c>
      <c r="AC19" s="16">
        <v>9.5</v>
      </c>
    </row>
    <row r="20" spans="3:29" x14ac:dyDescent="0.15">
      <c r="E20" s="100"/>
      <c r="K20" s="16"/>
      <c r="AB20" s="16">
        <v>12</v>
      </c>
      <c r="AC20" s="16">
        <v>8.9</v>
      </c>
    </row>
    <row r="21" spans="3:29" x14ac:dyDescent="0.15">
      <c r="E21" s="92"/>
      <c r="K21" s="16"/>
      <c r="M21" s="16">
        <v>1</v>
      </c>
      <c r="N21" s="16">
        <v>2</v>
      </c>
      <c r="AB21" s="16">
        <v>18</v>
      </c>
      <c r="AC21" s="16">
        <v>8.25</v>
      </c>
    </row>
    <row r="22" spans="3:29" x14ac:dyDescent="0.15">
      <c r="K22" s="16"/>
      <c r="M22" s="16">
        <v>2</v>
      </c>
      <c r="N22" s="16">
        <v>2</v>
      </c>
      <c r="AB22" s="16">
        <v>30</v>
      </c>
      <c r="AC22" s="16">
        <v>7</v>
      </c>
    </row>
    <row r="23" spans="3:29" x14ac:dyDescent="0.15">
      <c r="K23" s="16"/>
      <c r="M23" s="16">
        <v>3</v>
      </c>
      <c r="N23" s="16">
        <v>2</v>
      </c>
      <c r="AB23" s="16">
        <v>68</v>
      </c>
      <c r="AC23" s="16">
        <v>6.25</v>
      </c>
    </row>
    <row r="24" spans="3:29" x14ac:dyDescent="0.15">
      <c r="K24" s="16"/>
      <c r="M24" s="16">
        <v>4</v>
      </c>
      <c r="N24" s="16">
        <v>2</v>
      </c>
      <c r="Y24" s="16">
        <f>AC13/(AC14/N8)</f>
        <v>8043.604651162791</v>
      </c>
      <c r="AB24" s="16">
        <v>98</v>
      </c>
      <c r="AC24" s="16">
        <v>5.5</v>
      </c>
    </row>
    <row r="25" spans="3:29" x14ac:dyDescent="0.15">
      <c r="K25" s="16"/>
      <c r="M25" s="16">
        <v>5</v>
      </c>
      <c r="N25" s="16">
        <v>2</v>
      </c>
      <c r="W25" s="16">
        <v>1</v>
      </c>
      <c r="Y25" s="16">
        <f>AE14*AB9</f>
        <v>157766.39999999999</v>
      </c>
      <c r="AB25" s="16">
        <v>128</v>
      </c>
      <c r="AC25" s="16">
        <v>4.8</v>
      </c>
    </row>
    <row r="26" spans="3:29" x14ac:dyDescent="0.15">
      <c r="K26" s="16"/>
      <c r="M26" s="16">
        <v>6</v>
      </c>
      <c r="N26" s="16">
        <v>2</v>
      </c>
      <c r="W26" s="16">
        <v>1</v>
      </c>
      <c r="AB26" s="16">
        <v>198</v>
      </c>
      <c r="AC26" s="16">
        <v>4.5</v>
      </c>
    </row>
    <row r="27" spans="3:29" x14ac:dyDescent="0.15">
      <c r="K27" s="16"/>
      <c r="M27" s="16">
        <v>7</v>
      </c>
      <c r="N27" s="16">
        <v>2</v>
      </c>
      <c r="W27" s="16">
        <v>1</v>
      </c>
      <c r="AB27" s="16">
        <v>328</v>
      </c>
      <c r="AC27" s="16">
        <v>4.25</v>
      </c>
    </row>
    <row r="28" spans="3:29" x14ac:dyDescent="0.15">
      <c r="K28" s="16"/>
      <c r="W28" s="16">
        <v>1</v>
      </c>
      <c r="AB28" s="16">
        <v>648</v>
      </c>
      <c r="AC28" s="16">
        <v>4</v>
      </c>
    </row>
    <row r="29" spans="3:29" x14ac:dyDescent="0.15">
      <c r="W29" s="16">
        <v>2</v>
      </c>
    </row>
    <row r="30" spans="3:29" x14ac:dyDescent="0.15">
      <c r="W30" s="16">
        <v>2</v>
      </c>
    </row>
    <row r="31" spans="3:29" x14ac:dyDescent="0.15">
      <c r="W31" s="16">
        <v>3</v>
      </c>
    </row>
    <row r="32" spans="3:29" x14ac:dyDescent="0.15">
      <c r="W32" s="16">
        <v>3</v>
      </c>
    </row>
    <row r="33" spans="23:23" x14ac:dyDescent="0.15">
      <c r="W33" s="16">
        <v>4</v>
      </c>
    </row>
  </sheetData>
  <phoneticPr fontId="1" type="noConversion"/>
  <pageMargins left="0.7" right="0.7" top="0.75" bottom="0.75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2:W32"/>
  <sheetViews>
    <sheetView zoomScaleNormal="100" workbookViewId="0">
      <selection activeCell="K33" sqref="K33"/>
    </sheetView>
  </sheetViews>
  <sheetFormatPr defaultRowHeight="11.25" x14ac:dyDescent="0.15"/>
  <cols>
    <col min="1" max="1" width="19.375" style="16" bestFit="1" customWidth="1"/>
    <col min="2" max="2" width="9" style="16"/>
    <col min="3" max="3" width="8.75" style="16" customWidth="1"/>
    <col min="4" max="5" width="9" style="16"/>
    <col min="6" max="6" width="13" style="16" bestFit="1" customWidth="1"/>
    <col min="7" max="16" width="9" style="16"/>
    <col min="17" max="18" width="9" style="16" customWidth="1"/>
    <col min="19" max="16384" width="9" style="16"/>
  </cols>
  <sheetData>
    <row r="2" spans="1:23" x14ac:dyDescent="0.15">
      <c r="Q2" s="16" t="s">
        <v>712</v>
      </c>
      <c r="R2" s="16" t="s">
        <v>713</v>
      </c>
      <c r="S2" s="16" t="s">
        <v>714</v>
      </c>
      <c r="T2" s="16" t="s">
        <v>703</v>
      </c>
      <c r="U2" s="16" t="s">
        <v>715</v>
      </c>
    </row>
    <row r="3" spans="1:23" x14ac:dyDescent="0.15">
      <c r="B3" s="16">
        <v>200</v>
      </c>
      <c r="C3" s="16">
        <f>武将数量星级阶位验证!$D$9*3*3</f>
        <v>43200</v>
      </c>
      <c r="G3" s="16" t="s">
        <v>94</v>
      </c>
      <c r="H3" s="16" t="s">
        <v>703</v>
      </c>
      <c r="I3" s="16" t="s">
        <v>315</v>
      </c>
      <c r="J3" s="16" t="s">
        <v>94</v>
      </c>
      <c r="K3" s="16" t="s">
        <v>706</v>
      </c>
      <c r="M3" s="16">
        <f>500000/SUM($B$8:$B$9)</f>
        <v>1332.0545609548167</v>
      </c>
      <c r="Q3" s="16">
        <v>6</v>
      </c>
      <c r="R3" s="16">
        <v>1</v>
      </c>
      <c r="S3" s="16" t="s">
        <v>710</v>
      </c>
      <c r="T3" s="16">
        <v>1</v>
      </c>
      <c r="U3" s="16">
        <f t="shared" ref="U3:U8" si="0">INDEX($R$17:$R$28,MATCH($Q3,$Q$17:$Q$28,0))</f>
        <v>9.5</v>
      </c>
      <c r="V3" s="16">
        <f>T3*SUM($B$8:$B$9)/(Q3*U3*10)</f>
        <v>0.65852631578947374</v>
      </c>
      <c r="W3" s="16">
        <f>Q3/(Q3*U3)</f>
        <v>0.10526315789473684</v>
      </c>
    </row>
    <row r="4" spans="1:23" x14ac:dyDescent="0.15">
      <c r="A4" s="16" t="s">
        <v>686</v>
      </c>
      <c r="B4" s="16" t="s">
        <v>690</v>
      </c>
      <c r="C4" s="16" t="s">
        <v>691</v>
      </c>
      <c r="F4" s="16" t="s">
        <v>702</v>
      </c>
      <c r="G4" s="16">
        <f>C3/50</f>
        <v>864</v>
      </c>
      <c r="H4" s="16">
        <v>1.2</v>
      </c>
      <c r="I4" s="16">
        <f>C5</f>
        <v>0.2</v>
      </c>
      <c r="J4" s="16">
        <f>I4*H4*G4</f>
        <v>207.35999999999999</v>
      </c>
      <c r="K4" s="16">
        <f>150*I4*H4</f>
        <v>36</v>
      </c>
      <c r="M4" s="16">
        <f>$M$3*I4*H4</f>
        <v>319.69309462915601</v>
      </c>
      <c r="Q4" s="16">
        <v>30</v>
      </c>
      <c r="R4" s="16">
        <v>2</v>
      </c>
      <c r="S4" s="16" t="s">
        <v>710</v>
      </c>
      <c r="T4" s="16">
        <v>4</v>
      </c>
      <c r="U4" s="16">
        <f t="shared" si="0"/>
        <v>7</v>
      </c>
      <c r="V4" s="16">
        <f t="shared" ref="V4:V9" si="1">T4*SUM($B$8:$B$9)/(Q4*U4*10)</f>
        <v>0.71497142857142859</v>
      </c>
      <c r="W4" s="16">
        <f t="shared" ref="W4:W9" si="2">Q4/(Q4*U4)</f>
        <v>0.14285714285714285</v>
      </c>
    </row>
    <row r="5" spans="1:23" x14ac:dyDescent="0.15">
      <c r="A5" s="16" t="s">
        <v>687</v>
      </c>
      <c r="B5" s="16">
        <f>1-C5</f>
        <v>0.8</v>
      </c>
      <c r="C5" s="16">
        <v>0.2</v>
      </c>
      <c r="F5" s="16" t="s">
        <v>694</v>
      </c>
      <c r="G5" s="16">
        <v>1</v>
      </c>
      <c r="H5" s="16">
        <v>100</v>
      </c>
      <c r="I5" s="16">
        <v>3.9800000000000002E-2</v>
      </c>
      <c r="J5" s="16">
        <f t="shared" ref="J5:J16" si="3">I5*H5*G5</f>
        <v>3.9800000000000004</v>
      </c>
      <c r="K5" s="16">
        <f t="shared" ref="K5:K16" si="4">150*I5*H5</f>
        <v>597.00000000000011</v>
      </c>
      <c r="M5" s="16">
        <f t="shared" ref="M5:M16" si="5">$M$3*I5*H5</f>
        <v>5301.5771526001708</v>
      </c>
      <c r="Q5" s="16">
        <v>68</v>
      </c>
      <c r="R5" s="16">
        <v>3</v>
      </c>
      <c r="S5" s="16" t="s">
        <v>710</v>
      </c>
      <c r="T5" s="16">
        <v>8</v>
      </c>
      <c r="U5" s="16">
        <f t="shared" si="0"/>
        <v>6.25</v>
      </c>
      <c r="V5" s="16">
        <f t="shared" si="1"/>
        <v>0.70656000000000008</v>
      </c>
      <c r="W5" s="16">
        <f t="shared" si="2"/>
        <v>0.16</v>
      </c>
    </row>
    <row r="6" spans="1:23" x14ac:dyDescent="0.15">
      <c r="A6" s="16" t="s">
        <v>688</v>
      </c>
      <c r="B6" s="16">
        <v>1</v>
      </c>
      <c r="C6" s="16">
        <f>1.2/50</f>
        <v>2.4E-2</v>
      </c>
      <c r="F6" s="16" t="s">
        <v>694</v>
      </c>
      <c r="G6" s="16">
        <v>1</v>
      </c>
      <c r="H6" s="16">
        <v>200</v>
      </c>
      <c r="I6" s="16">
        <v>0.02</v>
      </c>
      <c r="J6" s="16">
        <f t="shared" si="3"/>
        <v>4</v>
      </c>
      <c r="K6" s="16">
        <f t="shared" si="4"/>
        <v>600</v>
      </c>
      <c r="M6" s="16">
        <f t="shared" si="5"/>
        <v>5328.2182438192667</v>
      </c>
      <c r="Q6" s="16">
        <v>128</v>
      </c>
      <c r="R6" s="16">
        <v>3</v>
      </c>
      <c r="S6" s="16" t="s">
        <v>710</v>
      </c>
      <c r="T6" s="16">
        <v>12</v>
      </c>
      <c r="U6" s="16">
        <f t="shared" si="0"/>
        <v>4.8</v>
      </c>
      <c r="V6" s="16">
        <f t="shared" si="1"/>
        <v>0.73312499999999992</v>
      </c>
      <c r="W6" s="16">
        <f t="shared" si="2"/>
        <v>0.20833333333333334</v>
      </c>
    </row>
    <row r="7" spans="1:23" x14ac:dyDescent="0.15">
      <c r="C7" s="16">
        <f>1/C5/C6</f>
        <v>208.33333333333334</v>
      </c>
      <c r="F7" s="16" t="s">
        <v>694</v>
      </c>
      <c r="G7" s="16">
        <v>1</v>
      </c>
      <c r="H7" s="16">
        <v>20000</v>
      </c>
      <c r="I7" s="16">
        <v>2.0000000000000001E-4</v>
      </c>
      <c r="J7" s="16">
        <f t="shared" si="3"/>
        <v>4</v>
      </c>
      <c r="K7" s="16">
        <f t="shared" si="4"/>
        <v>600</v>
      </c>
      <c r="M7" s="16">
        <f t="shared" si="5"/>
        <v>5328.2182438192667</v>
      </c>
      <c r="Q7" s="16">
        <v>328</v>
      </c>
      <c r="R7" s="16">
        <v>5</v>
      </c>
      <c r="S7" s="16" t="s">
        <v>710</v>
      </c>
      <c r="T7" s="16">
        <v>20</v>
      </c>
      <c r="U7" s="16">
        <f t="shared" si="0"/>
        <v>4.25</v>
      </c>
      <c r="V7" s="16">
        <f t="shared" si="1"/>
        <v>0.53853658536585369</v>
      </c>
      <c r="W7" s="16">
        <f t="shared" si="2"/>
        <v>0.23529411764705882</v>
      </c>
    </row>
    <row r="8" spans="1:23" x14ac:dyDescent="0.15">
      <c r="A8" s="16" t="s">
        <v>689</v>
      </c>
      <c r="B8" s="16">
        <f>SUMPRODUCT(B3:C3,B5:C5,B6:C6)</f>
        <v>367.36</v>
      </c>
      <c r="F8" s="16" t="s">
        <v>704</v>
      </c>
      <c r="G8" s="16">
        <v>1</v>
      </c>
      <c r="H8" s="16">
        <v>60</v>
      </c>
      <c r="I8" s="16">
        <v>0.04</v>
      </c>
      <c r="J8" s="16">
        <f t="shared" si="3"/>
        <v>2.4</v>
      </c>
      <c r="K8" s="16">
        <f t="shared" si="4"/>
        <v>360</v>
      </c>
      <c r="M8" s="16">
        <f t="shared" si="5"/>
        <v>3196.9309462915603</v>
      </c>
      <c r="Q8" s="16">
        <v>648</v>
      </c>
      <c r="R8" s="16">
        <v>5</v>
      </c>
      <c r="S8" s="16" t="s">
        <v>710</v>
      </c>
      <c r="T8" s="16">
        <v>35</v>
      </c>
      <c r="U8" s="16">
        <f t="shared" si="0"/>
        <v>4</v>
      </c>
      <c r="V8" s="16">
        <f t="shared" si="1"/>
        <v>0.50685185185185189</v>
      </c>
      <c r="W8" s="16">
        <f t="shared" si="2"/>
        <v>0.25</v>
      </c>
    </row>
    <row r="9" spans="1:23" x14ac:dyDescent="0.15">
      <c r="A9" s="16" t="s">
        <v>693</v>
      </c>
      <c r="B9" s="16">
        <v>8</v>
      </c>
      <c r="F9" s="16" t="s">
        <v>705</v>
      </c>
      <c r="G9" s="16">
        <v>1</v>
      </c>
      <c r="H9" s="16">
        <v>36</v>
      </c>
      <c r="I9" s="16">
        <v>0.04</v>
      </c>
      <c r="J9" s="16">
        <f t="shared" si="3"/>
        <v>1.44</v>
      </c>
      <c r="K9" s="16">
        <f t="shared" si="4"/>
        <v>216</v>
      </c>
      <c r="M9" s="16">
        <f t="shared" si="5"/>
        <v>1918.158567774936</v>
      </c>
      <c r="Q9" s="16">
        <v>198</v>
      </c>
      <c r="R9" s="16" t="s">
        <v>717</v>
      </c>
      <c r="S9" s="16" t="s">
        <v>710</v>
      </c>
      <c r="T9" s="16">
        <v>10</v>
      </c>
      <c r="U9" s="16">
        <v>2</v>
      </c>
      <c r="V9" s="16">
        <f t="shared" si="1"/>
        <v>0.94787878787878799</v>
      </c>
      <c r="W9" s="16">
        <f t="shared" si="2"/>
        <v>0.5</v>
      </c>
    </row>
    <row r="10" spans="1:23" x14ac:dyDescent="0.15">
      <c r="A10" s="16" t="s">
        <v>692</v>
      </c>
      <c r="B10" s="16">
        <f>SUM($B$8:$B$9)*(1/C5/C6)</f>
        <v>78200</v>
      </c>
      <c r="F10" s="16" t="s">
        <v>695</v>
      </c>
      <c r="G10" s="16">
        <v>100</v>
      </c>
      <c r="H10" s="16">
        <v>1</v>
      </c>
      <c r="I10" s="16">
        <v>0.05</v>
      </c>
      <c r="J10" s="16">
        <f t="shared" si="3"/>
        <v>5</v>
      </c>
      <c r="K10" s="16">
        <f t="shared" si="4"/>
        <v>7.5</v>
      </c>
      <c r="L10" s="16">
        <f>K10*3600*3</f>
        <v>81000</v>
      </c>
      <c r="M10" s="16">
        <f t="shared" si="5"/>
        <v>66.60272804774084</v>
      </c>
      <c r="N10" s="16">
        <f>M10*3600*3</f>
        <v>719309.46291560098</v>
      </c>
    </row>
    <row r="11" spans="1:23" x14ac:dyDescent="0.15">
      <c r="F11" s="16" t="s">
        <v>696</v>
      </c>
      <c r="G11" s="16">
        <v>50</v>
      </c>
      <c r="H11" s="16">
        <v>1</v>
      </c>
      <c r="I11" s="16">
        <v>0.09</v>
      </c>
      <c r="J11" s="16">
        <f t="shared" si="3"/>
        <v>4.5</v>
      </c>
      <c r="K11" s="16">
        <f t="shared" si="4"/>
        <v>13.5</v>
      </c>
      <c r="L11" s="16">
        <f>K11*3600</f>
        <v>48600</v>
      </c>
      <c r="M11" s="16">
        <f t="shared" si="5"/>
        <v>119.8849104859335</v>
      </c>
      <c r="N11" s="16">
        <f>M11*3600</f>
        <v>431585.67774936062</v>
      </c>
    </row>
    <row r="12" spans="1:23" x14ac:dyDescent="0.15">
      <c r="F12" s="16" t="s">
        <v>697</v>
      </c>
      <c r="G12" s="16">
        <v>300</v>
      </c>
      <c r="H12" s="16">
        <v>1</v>
      </c>
      <c r="I12" s="16">
        <v>0.09</v>
      </c>
      <c r="J12" s="16">
        <f t="shared" si="3"/>
        <v>27</v>
      </c>
      <c r="K12" s="16">
        <f t="shared" si="4"/>
        <v>13.5</v>
      </c>
      <c r="L12" s="16">
        <f>K12*150000</f>
        <v>2025000</v>
      </c>
      <c r="M12" s="16">
        <f t="shared" si="5"/>
        <v>119.8849104859335</v>
      </c>
      <c r="N12" s="16">
        <f>M12*150000</f>
        <v>17982736.572890025</v>
      </c>
    </row>
    <row r="13" spans="1:23" x14ac:dyDescent="0.15">
      <c r="F13" s="16" t="s">
        <v>698</v>
      </c>
      <c r="G13" s="16">
        <v>150</v>
      </c>
      <c r="H13" s="16">
        <v>1</v>
      </c>
      <c r="I13" s="16">
        <v>0.15</v>
      </c>
      <c r="J13" s="16">
        <f t="shared" si="3"/>
        <v>22.5</v>
      </c>
      <c r="K13" s="16">
        <f t="shared" si="4"/>
        <v>22.5</v>
      </c>
      <c r="L13" s="16">
        <f>K13*50000</f>
        <v>1125000</v>
      </c>
      <c r="M13" s="16">
        <f t="shared" si="5"/>
        <v>199.80818414322249</v>
      </c>
      <c r="N13" s="16">
        <f>M13*50000</f>
        <v>9990409.2071611248</v>
      </c>
      <c r="R13" s="16">
        <f>SUMPRODUCT(R3:R8,Q3:Q8)</f>
        <v>5534</v>
      </c>
    </row>
    <row r="14" spans="1:23" x14ac:dyDescent="0.15">
      <c r="F14" s="16" t="s">
        <v>699</v>
      </c>
      <c r="G14" s="16">
        <v>75</v>
      </c>
      <c r="H14" s="16">
        <v>1</v>
      </c>
      <c r="I14" s="16">
        <v>0.2</v>
      </c>
      <c r="J14" s="16">
        <f t="shared" si="3"/>
        <v>15</v>
      </c>
      <c r="K14" s="16">
        <f t="shared" si="4"/>
        <v>30</v>
      </c>
      <c r="L14" s="16">
        <f>K14*75</f>
        <v>2250</v>
      </c>
      <c r="M14" s="16">
        <f t="shared" si="5"/>
        <v>266.41091219096336</v>
      </c>
      <c r="N14" s="16">
        <f>M14*75</f>
        <v>19980.818414322253</v>
      </c>
      <c r="R14" s="16">
        <f>SUMPRODUCT(R3:R8,T3:T8)</f>
        <v>344</v>
      </c>
      <c r="S14" s="16">
        <f>R14*3/C7</f>
        <v>4.9535999999999998</v>
      </c>
      <c r="T14" s="16">
        <f>(18-S14)*C7/T9</f>
        <v>271.8</v>
      </c>
    </row>
    <row r="15" spans="1:23" x14ac:dyDescent="0.15">
      <c r="F15" s="16" t="s">
        <v>700</v>
      </c>
      <c r="G15" s="16">
        <v>320</v>
      </c>
      <c r="H15" s="16">
        <v>1</v>
      </c>
      <c r="I15" s="16">
        <v>0.06</v>
      </c>
      <c r="J15" s="16">
        <f t="shared" si="3"/>
        <v>19.2</v>
      </c>
      <c r="K15" s="16">
        <f t="shared" si="4"/>
        <v>9</v>
      </c>
      <c r="M15" s="16">
        <f t="shared" si="5"/>
        <v>79.923273657289002</v>
      </c>
    </row>
    <row r="16" spans="1:23" x14ac:dyDescent="0.15">
      <c r="F16" s="16" t="s">
        <v>701</v>
      </c>
      <c r="G16" s="16">
        <v>2400</v>
      </c>
      <c r="H16" s="16">
        <v>1</v>
      </c>
      <c r="I16" s="16">
        <v>0.02</v>
      </c>
      <c r="J16" s="16">
        <f t="shared" si="3"/>
        <v>48</v>
      </c>
      <c r="K16" s="16">
        <f t="shared" si="4"/>
        <v>3</v>
      </c>
      <c r="M16" s="16">
        <f t="shared" si="5"/>
        <v>26.641091219096335</v>
      </c>
      <c r="Q16" s="16" t="s">
        <v>711</v>
      </c>
      <c r="R16" s="16" t="s">
        <v>716</v>
      </c>
    </row>
    <row r="17" spans="9:18" x14ac:dyDescent="0.15">
      <c r="Q17" s="16">
        <v>1</v>
      </c>
      <c r="R17" s="16">
        <v>14</v>
      </c>
    </row>
    <row r="18" spans="9:18" x14ac:dyDescent="0.15">
      <c r="I18" s="16">
        <f>SUM(I4:I16)</f>
        <v>1</v>
      </c>
      <c r="Q18" s="16">
        <v>3</v>
      </c>
      <c r="R18" s="16">
        <v>12</v>
      </c>
    </row>
    <row r="19" spans="9:18" x14ac:dyDescent="0.15">
      <c r="Q19" s="16">
        <v>6</v>
      </c>
      <c r="R19" s="16">
        <v>9.5</v>
      </c>
    </row>
    <row r="20" spans="9:18" x14ac:dyDescent="0.15">
      <c r="Q20" s="16">
        <v>12</v>
      </c>
      <c r="R20" s="16">
        <v>8.9</v>
      </c>
    </row>
    <row r="21" spans="9:18" x14ac:dyDescent="0.15">
      <c r="Q21" s="16">
        <v>18</v>
      </c>
      <c r="R21" s="16">
        <v>8.25</v>
      </c>
    </row>
    <row r="22" spans="9:18" x14ac:dyDescent="0.15">
      <c r="Q22" s="16">
        <v>30</v>
      </c>
      <c r="R22" s="16">
        <v>7</v>
      </c>
    </row>
    <row r="23" spans="9:18" x14ac:dyDescent="0.15">
      <c r="N23" s="16">
        <f>R13/(R14/C7)</f>
        <v>3351.5019379844962</v>
      </c>
      <c r="Q23" s="16">
        <v>68</v>
      </c>
      <c r="R23" s="16">
        <v>6.25</v>
      </c>
    </row>
    <row r="24" spans="9:18" x14ac:dyDescent="0.15">
      <c r="L24" s="16">
        <v>1</v>
      </c>
      <c r="N24" s="16">
        <f>T14*Q9</f>
        <v>53816.4</v>
      </c>
      <c r="Q24" s="16">
        <v>98</v>
      </c>
      <c r="R24" s="16">
        <v>5.5</v>
      </c>
    </row>
    <row r="25" spans="9:18" x14ac:dyDescent="0.15">
      <c r="L25" s="16">
        <v>1</v>
      </c>
      <c r="Q25" s="16">
        <v>128</v>
      </c>
      <c r="R25" s="16">
        <v>4.8</v>
      </c>
    </row>
    <row r="26" spans="9:18" x14ac:dyDescent="0.15">
      <c r="L26" s="16">
        <v>1</v>
      </c>
      <c r="Q26" s="16">
        <v>198</v>
      </c>
      <c r="R26" s="16">
        <v>4.5</v>
      </c>
    </row>
    <row r="27" spans="9:18" x14ac:dyDescent="0.15">
      <c r="L27" s="16">
        <v>1</v>
      </c>
      <c r="Q27" s="16">
        <v>328</v>
      </c>
      <c r="R27" s="16">
        <v>4.25</v>
      </c>
    </row>
    <row r="28" spans="9:18" x14ac:dyDescent="0.15">
      <c r="L28" s="16">
        <v>2</v>
      </c>
      <c r="Q28" s="16">
        <v>648</v>
      </c>
      <c r="R28" s="16">
        <v>4</v>
      </c>
    </row>
    <row r="29" spans="9:18" x14ac:dyDescent="0.15">
      <c r="L29" s="16">
        <v>2</v>
      </c>
    </row>
    <row r="30" spans="9:18" x14ac:dyDescent="0.15">
      <c r="L30" s="16">
        <v>3</v>
      </c>
    </row>
    <row r="31" spans="9:18" x14ac:dyDescent="0.15">
      <c r="L31" s="16">
        <v>3</v>
      </c>
    </row>
    <row r="32" spans="9:18" x14ac:dyDescent="0.15">
      <c r="L32" s="16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C6:V23"/>
  <sheetViews>
    <sheetView workbookViewId="0">
      <selection activeCell="R29" sqref="R29"/>
    </sheetView>
  </sheetViews>
  <sheetFormatPr defaultColWidth="6.625" defaultRowHeight="11.25" x14ac:dyDescent="0.15"/>
  <cols>
    <col min="1" max="3" width="6.625" style="16"/>
    <col min="4" max="7" width="8.25" style="16" bestFit="1" customWidth="1"/>
    <col min="8" max="8" width="6.625" style="16"/>
    <col min="9" max="10" width="13.875" style="16" bestFit="1" customWidth="1"/>
    <col min="11" max="11" width="7.5" style="16" bestFit="1" customWidth="1"/>
    <col min="12" max="13" width="6.625" style="16"/>
    <col min="14" max="14" width="9" style="16" bestFit="1" customWidth="1"/>
    <col min="15" max="16" width="10.5" style="16" bestFit="1" customWidth="1"/>
    <col min="17" max="18" width="8.25" style="16" bestFit="1" customWidth="1"/>
    <col min="19" max="20" width="6.625" style="16"/>
    <col min="21" max="22" width="14.75" style="16" bestFit="1" customWidth="1"/>
    <col min="23" max="16384" width="6.625" style="16"/>
  </cols>
  <sheetData>
    <row r="6" spans="3:22" x14ac:dyDescent="0.15">
      <c r="C6" s="16" t="s">
        <v>527</v>
      </c>
    </row>
    <row r="7" spans="3:22" x14ac:dyDescent="0.15">
      <c r="K7" s="16" t="s">
        <v>526</v>
      </c>
      <c r="L7" s="16" t="s">
        <v>525</v>
      </c>
      <c r="O7" s="16" t="s">
        <v>524</v>
      </c>
      <c r="P7" s="16" t="s">
        <v>523</v>
      </c>
      <c r="Q7" s="16" t="s">
        <v>522</v>
      </c>
      <c r="R7" s="16" t="s">
        <v>521</v>
      </c>
      <c r="U7" s="16" t="s">
        <v>520</v>
      </c>
      <c r="V7" s="16" t="s">
        <v>519</v>
      </c>
    </row>
    <row r="8" spans="3:22" x14ac:dyDescent="0.15">
      <c r="C8" s="16" t="s">
        <v>518</v>
      </c>
      <c r="D8" s="16" t="s">
        <v>517</v>
      </c>
      <c r="E8" s="16" t="s">
        <v>516</v>
      </c>
      <c r="F8" s="16" t="s">
        <v>515</v>
      </c>
      <c r="G8" s="16" t="s">
        <v>514</v>
      </c>
      <c r="I8" s="16" t="s">
        <v>513</v>
      </c>
      <c r="J8" s="16" t="s">
        <v>512</v>
      </c>
      <c r="K8" s="16" t="s">
        <v>511</v>
      </c>
      <c r="L8" s="16" t="s">
        <v>511</v>
      </c>
      <c r="N8" s="16" t="s">
        <v>510</v>
      </c>
      <c r="O8" s="16">
        <f>SUM(I9:I22)</f>
        <v>1210</v>
      </c>
      <c r="P8" s="16">
        <f>SUM(J9:J22)</f>
        <v>395</v>
      </c>
      <c r="Q8" s="16">
        <f>SUM(K9:K22)</f>
        <v>900</v>
      </c>
      <c r="R8" s="16">
        <f>SUM(L9:L22)</f>
        <v>705</v>
      </c>
      <c r="U8" s="52">
        <v>0.15</v>
      </c>
      <c r="V8" s="52">
        <v>0.15</v>
      </c>
    </row>
    <row r="9" spans="3:22" x14ac:dyDescent="0.15">
      <c r="C9" s="16">
        <v>1</v>
      </c>
      <c r="D9" s="16">
        <v>5</v>
      </c>
      <c r="E9" s="16">
        <v>5</v>
      </c>
      <c r="F9" s="16" t="s">
        <v>505</v>
      </c>
      <c r="G9" s="16" t="s">
        <v>504</v>
      </c>
      <c r="I9" s="16">
        <f t="shared" ref="I9:I23" si="0">MAX(D9:E9)</f>
        <v>5</v>
      </c>
      <c r="J9" s="16">
        <f t="shared" ref="J9:J23" si="1">MIN(D9:E9)</f>
        <v>5</v>
      </c>
      <c r="K9" s="16">
        <f t="shared" ref="K9:K23" si="2">D9</f>
        <v>5</v>
      </c>
      <c r="L9" s="16">
        <f t="shared" ref="L9:L23" si="3">E9</f>
        <v>5</v>
      </c>
      <c r="N9" s="16" t="s">
        <v>509</v>
      </c>
      <c r="O9" s="16">
        <f>O8*[6]相关数据!$F$13</f>
        <v>90.75</v>
      </c>
      <c r="P9" s="16">
        <f>P8*[6]相关数据!$F$13</f>
        <v>29.625</v>
      </c>
      <c r="Q9" s="16">
        <f>Q8*[6]相关数据!$F$13</f>
        <v>67.5</v>
      </c>
      <c r="R9" s="16">
        <f>R8*[6]相关数据!$F$13</f>
        <v>52.875</v>
      </c>
    </row>
    <row r="10" spans="3:22" x14ac:dyDescent="0.15">
      <c r="C10" s="16">
        <v>2</v>
      </c>
      <c r="D10" s="16">
        <v>135</v>
      </c>
      <c r="E10" s="16">
        <v>25</v>
      </c>
      <c r="F10" s="16" t="s">
        <v>505</v>
      </c>
      <c r="G10" s="16" t="s">
        <v>504</v>
      </c>
      <c r="I10" s="16">
        <f t="shared" si="0"/>
        <v>135</v>
      </c>
      <c r="J10" s="16">
        <f t="shared" si="1"/>
        <v>25</v>
      </c>
      <c r="K10" s="16">
        <f t="shared" si="2"/>
        <v>135</v>
      </c>
      <c r="L10" s="16">
        <f t="shared" si="3"/>
        <v>25</v>
      </c>
      <c r="N10" s="16" t="s">
        <v>508</v>
      </c>
      <c r="O10" s="16">
        <f>MAX($C$9:$C$37)*2</f>
        <v>30</v>
      </c>
      <c r="P10" s="16">
        <f>MAX($C$9:$C$37)</f>
        <v>15</v>
      </c>
      <c r="Q10" s="16">
        <f>MAX($C$9:$C$37)</f>
        <v>15</v>
      </c>
      <c r="R10" s="16">
        <f>MAX($C$9:$C$37)</f>
        <v>15</v>
      </c>
    </row>
    <row r="11" spans="3:22" x14ac:dyDescent="0.15">
      <c r="C11" s="16">
        <v>3</v>
      </c>
      <c r="D11" s="16">
        <v>50</v>
      </c>
      <c r="E11" s="16">
        <v>95</v>
      </c>
      <c r="F11" s="16" t="s">
        <v>505</v>
      </c>
      <c r="G11" s="16" t="s">
        <v>504</v>
      </c>
      <c r="I11" s="16">
        <f t="shared" si="0"/>
        <v>95</v>
      </c>
      <c r="J11" s="16">
        <f t="shared" si="1"/>
        <v>50</v>
      </c>
      <c r="K11" s="16">
        <f t="shared" si="2"/>
        <v>50</v>
      </c>
      <c r="L11" s="16">
        <f t="shared" si="3"/>
        <v>95</v>
      </c>
      <c r="N11" s="16" t="s">
        <v>507</v>
      </c>
      <c r="O11" s="97">
        <f>O10/O9</f>
        <v>0.33057851239669422</v>
      </c>
      <c r="P11" s="97">
        <f>P10/P9</f>
        <v>0.50632911392405067</v>
      </c>
      <c r="Q11" s="97">
        <f>Q10/Q9</f>
        <v>0.22222222222222221</v>
      </c>
      <c r="R11" s="97">
        <f>R10/R9</f>
        <v>0.28368794326241137</v>
      </c>
    </row>
    <row r="12" spans="3:22" x14ac:dyDescent="0.15">
      <c r="C12" s="16">
        <v>4</v>
      </c>
      <c r="D12" s="16">
        <v>60</v>
      </c>
      <c r="E12" s="16">
        <v>75</v>
      </c>
      <c r="F12" s="16" t="s">
        <v>505</v>
      </c>
      <c r="G12" s="16" t="s">
        <v>504</v>
      </c>
      <c r="I12" s="16">
        <f t="shared" si="0"/>
        <v>75</v>
      </c>
      <c r="J12" s="16">
        <f t="shared" si="1"/>
        <v>60</v>
      </c>
      <c r="K12" s="16">
        <f t="shared" si="2"/>
        <v>60</v>
      </c>
      <c r="L12" s="16">
        <f t="shared" si="3"/>
        <v>75</v>
      </c>
      <c r="N12" s="16" t="s">
        <v>506</v>
      </c>
      <c r="O12" s="16">
        <f>O8/O10</f>
        <v>40.333333333333336</v>
      </c>
      <c r="P12" s="16">
        <f>P8/P10</f>
        <v>26.333333333333332</v>
      </c>
      <c r="Q12" s="16">
        <f>Q8/Q10</f>
        <v>60</v>
      </c>
      <c r="R12" s="16">
        <f>R8/R10</f>
        <v>47</v>
      </c>
    </row>
    <row r="13" spans="3:22" x14ac:dyDescent="0.15">
      <c r="C13" s="16">
        <v>5</v>
      </c>
      <c r="D13" s="16">
        <v>80</v>
      </c>
      <c r="E13" s="16">
        <v>35</v>
      </c>
      <c r="F13" s="16" t="s">
        <v>505</v>
      </c>
      <c r="G13" s="16" t="s">
        <v>504</v>
      </c>
      <c r="I13" s="16">
        <f t="shared" si="0"/>
        <v>80</v>
      </c>
      <c r="J13" s="16">
        <f t="shared" si="1"/>
        <v>35</v>
      </c>
      <c r="K13" s="16">
        <f t="shared" si="2"/>
        <v>80</v>
      </c>
      <c r="L13" s="16">
        <f t="shared" si="3"/>
        <v>35</v>
      </c>
    </row>
    <row r="14" spans="3:22" x14ac:dyDescent="0.15">
      <c r="C14" s="16">
        <v>6</v>
      </c>
      <c r="D14" s="16">
        <v>85</v>
      </c>
      <c r="E14" s="16">
        <v>75</v>
      </c>
      <c r="F14" s="16" t="s">
        <v>505</v>
      </c>
      <c r="G14" s="16" t="s">
        <v>504</v>
      </c>
      <c r="I14" s="16">
        <f t="shared" si="0"/>
        <v>85</v>
      </c>
      <c r="J14" s="16">
        <f t="shared" si="1"/>
        <v>75</v>
      </c>
      <c r="K14" s="16">
        <f t="shared" si="2"/>
        <v>85</v>
      </c>
      <c r="L14" s="16">
        <f t="shared" si="3"/>
        <v>75</v>
      </c>
    </row>
    <row r="15" spans="3:22" x14ac:dyDescent="0.15">
      <c r="C15" s="16">
        <v>7</v>
      </c>
      <c r="D15" s="16">
        <v>15</v>
      </c>
      <c r="E15" s="16">
        <v>45</v>
      </c>
      <c r="F15" s="16" t="s">
        <v>505</v>
      </c>
      <c r="G15" s="16" t="s">
        <v>504</v>
      </c>
      <c r="I15" s="16">
        <f t="shared" si="0"/>
        <v>45</v>
      </c>
      <c r="J15" s="16">
        <f t="shared" si="1"/>
        <v>15</v>
      </c>
      <c r="K15" s="16">
        <f t="shared" si="2"/>
        <v>15</v>
      </c>
      <c r="L15" s="16">
        <f t="shared" si="3"/>
        <v>45</v>
      </c>
    </row>
    <row r="16" spans="3:22" x14ac:dyDescent="0.15">
      <c r="C16" s="16">
        <v>8</v>
      </c>
      <c r="D16" s="16">
        <v>225</v>
      </c>
      <c r="E16" s="16">
        <v>30</v>
      </c>
      <c r="F16" s="16" t="s">
        <v>505</v>
      </c>
      <c r="G16" s="16" t="s">
        <v>504</v>
      </c>
      <c r="I16" s="16">
        <f t="shared" si="0"/>
        <v>225</v>
      </c>
      <c r="J16" s="16">
        <f t="shared" si="1"/>
        <v>30</v>
      </c>
      <c r="K16" s="16">
        <f t="shared" si="2"/>
        <v>225</v>
      </c>
      <c r="L16" s="16">
        <f t="shared" si="3"/>
        <v>30</v>
      </c>
    </row>
    <row r="17" spans="3:12" x14ac:dyDescent="0.15">
      <c r="C17" s="16">
        <v>9</v>
      </c>
      <c r="D17" s="16">
        <v>65</v>
      </c>
      <c r="E17" s="16">
        <v>5</v>
      </c>
      <c r="F17" s="16" t="s">
        <v>505</v>
      </c>
      <c r="G17" s="16" t="s">
        <v>504</v>
      </c>
      <c r="I17" s="16">
        <f t="shared" si="0"/>
        <v>65</v>
      </c>
      <c r="J17" s="16">
        <f t="shared" si="1"/>
        <v>5</v>
      </c>
      <c r="K17" s="16">
        <f t="shared" si="2"/>
        <v>65</v>
      </c>
      <c r="L17" s="16">
        <f t="shared" si="3"/>
        <v>5</v>
      </c>
    </row>
    <row r="18" spans="3:12" x14ac:dyDescent="0.15">
      <c r="C18" s="16">
        <v>10</v>
      </c>
      <c r="D18" s="16">
        <v>10</v>
      </c>
      <c r="E18" s="16">
        <v>25</v>
      </c>
      <c r="F18" s="16" t="s">
        <v>505</v>
      </c>
      <c r="G18" s="16" t="s">
        <v>504</v>
      </c>
      <c r="I18" s="16">
        <f t="shared" si="0"/>
        <v>25</v>
      </c>
      <c r="J18" s="16">
        <f t="shared" si="1"/>
        <v>10</v>
      </c>
      <c r="K18" s="16">
        <f t="shared" si="2"/>
        <v>10</v>
      </c>
      <c r="L18" s="16">
        <f t="shared" si="3"/>
        <v>25</v>
      </c>
    </row>
    <row r="19" spans="3:12" x14ac:dyDescent="0.15">
      <c r="C19" s="16">
        <v>11</v>
      </c>
      <c r="D19" s="16">
        <v>30</v>
      </c>
      <c r="E19" s="16">
        <v>195</v>
      </c>
      <c r="F19" s="16" t="s">
        <v>505</v>
      </c>
      <c r="G19" s="16" t="s">
        <v>504</v>
      </c>
      <c r="I19" s="16">
        <f t="shared" si="0"/>
        <v>195</v>
      </c>
      <c r="J19" s="16">
        <f t="shared" si="1"/>
        <v>30</v>
      </c>
      <c r="K19" s="16">
        <f t="shared" si="2"/>
        <v>30</v>
      </c>
      <c r="L19" s="16">
        <f t="shared" si="3"/>
        <v>195</v>
      </c>
    </row>
    <row r="20" spans="3:12" x14ac:dyDescent="0.15">
      <c r="C20" s="16">
        <v>12</v>
      </c>
      <c r="D20" s="16">
        <v>15</v>
      </c>
      <c r="E20" s="16">
        <v>55</v>
      </c>
      <c r="F20" s="16" t="s">
        <v>505</v>
      </c>
      <c r="G20" s="16" t="s">
        <v>504</v>
      </c>
      <c r="I20" s="16">
        <f t="shared" si="0"/>
        <v>55</v>
      </c>
      <c r="J20" s="16">
        <f t="shared" si="1"/>
        <v>15</v>
      </c>
      <c r="K20" s="16">
        <f t="shared" si="2"/>
        <v>15</v>
      </c>
      <c r="L20" s="16">
        <f t="shared" si="3"/>
        <v>55</v>
      </c>
    </row>
    <row r="21" spans="3:12" x14ac:dyDescent="0.15">
      <c r="C21" s="16">
        <v>13</v>
      </c>
      <c r="D21" s="16">
        <v>50</v>
      </c>
      <c r="E21" s="16">
        <v>5</v>
      </c>
      <c r="F21" s="16" t="s">
        <v>505</v>
      </c>
      <c r="G21" s="16" t="s">
        <v>504</v>
      </c>
      <c r="I21" s="16">
        <f t="shared" si="0"/>
        <v>50</v>
      </c>
      <c r="J21" s="16">
        <f t="shared" si="1"/>
        <v>5</v>
      </c>
      <c r="K21" s="16">
        <f t="shared" si="2"/>
        <v>50</v>
      </c>
      <c r="L21" s="16">
        <f t="shared" si="3"/>
        <v>5</v>
      </c>
    </row>
    <row r="22" spans="3:12" x14ac:dyDescent="0.15">
      <c r="C22" s="16">
        <v>14</v>
      </c>
      <c r="D22" s="16">
        <v>75</v>
      </c>
      <c r="E22" s="16">
        <v>35</v>
      </c>
      <c r="F22" s="16" t="s">
        <v>505</v>
      </c>
      <c r="G22" s="16" t="s">
        <v>504</v>
      </c>
      <c r="I22" s="16">
        <f t="shared" si="0"/>
        <v>75</v>
      </c>
      <c r="J22" s="16">
        <f t="shared" si="1"/>
        <v>35</v>
      </c>
      <c r="K22" s="16">
        <f t="shared" si="2"/>
        <v>75</v>
      </c>
      <c r="L22" s="16">
        <f t="shared" si="3"/>
        <v>35</v>
      </c>
    </row>
    <row r="23" spans="3:12" x14ac:dyDescent="0.15">
      <c r="C23" s="16">
        <v>15</v>
      </c>
      <c r="D23" s="16">
        <v>5</v>
      </c>
      <c r="E23" s="16">
        <v>35</v>
      </c>
      <c r="F23" s="16" t="s">
        <v>505</v>
      </c>
      <c r="G23" s="16" t="s">
        <v>504</v>
      </c>
      <c r="I23" s="16">
        <f t="shared" si="0"/>
        <v>35</v>
      </c>
      <c r="J23" s="16">
        <f t="shared" si="1"/>
        <v>5</v>
      </c>
      <c r="K23" s="16">
        <f t="shared" si="2"/>
        <v>5</v>
      </c>
      <c r="L23" s="16">
        <f t="shared" si="3"/>
        <v>35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9"/>
  <dimension ref="B1:AV228"/>
  <sheetViews>
    <sheetView zoomScaleNormal="100" workbookViewId="0">
      <selection activeCell="V40" sqref="V40"/>
    </sheetView>
  </sheetViews>
  <sheetFormatPr defaultColWidth="7.5" defaultRowHeight="11.25" x14ac:dyDescent="0.15"/>
  <cols>
    <col min="1" max="4" width="7.5" style="16"/>
    <col min="5" max="5" width="7.5" style="102"/>
    <col min="6" max="21" width="7.5" style="16"/>
    <col min="22" max="22" width="7.5" style="102"/>
    <col min="23" max="24" width="7.5" style="16"/>
    <col min="25" max="25" width="7.5" style="16" customWidth="1"/>
    <col min="26" max="16384" width="7.5" style="16"/>
  </cols>
  <sheetData>
    <row r="1" spans="2:48" x14ac:dyDescent="0.15">
      <c r="K1" s="16">
        <f>7*5</f>
        <v>35</v>
      </c>
    </row>
    <row r="2" spans="2:48" x14ac:dyDescent="0.15">
      <c r="B2" s="14" t="s">
        <v>391</v>
      </c>
      <c r="C2" s="14">
        <v>60</v>
      </c>
      <c r="K2" s="16">
        <f>8*4</f>
        <v>32</v>
      </c>
    </row>
    <row r="3" spans="2:48" x14ac:dyDescent="0.15">
      <c r="B3" s="14" t="s">
        <v>396</v>
      </c>
      <c r="C3" s="14" t="s">
        <v>395</v>
      </c>
      <c r="AD3" s="164" t="s">
        <v>382</v>
      </c>
      <c r="AE3" s="164"/>
      <c r="AF3" s="164"/>
      <c r="AG3" s="164"/>
      <c r="AH3" s="164" t="s">
        <v>385</v>
      </c>
      <c r="AI3" s="164"/>
      <c r="AJ3" s="164"/>
      <c r="AK3" s="164"/>
      <c r="AL3" s="164" t="s">
        <v>397</v>
      </c>
      <c r="AM3" s="164"/>
      <c r="AN3" s="164"/>
      <c r="AO3" s="164"/>
      <c r="AQ3" s="164" t="s">
        <v>367</v>
      </c>
      <c r="AR3" s="164"/>
      <c r="AS3" s="164"/>
      <c r="AT3" s="164"/>
    </row>
    <row r="4" spans="2:48" x14ac:dyDescent="0.15">
      <c r="D4" s="16">
        <v>1</v>
      </c>
      <c r="X4" s="14" t="s">
        <v>383</v>
      </c>
      <c r="Y4" s="14" t="s">
        <v>399</v>
      </c>
      <c r="Z4" s="14" t="s">
        <v>398</v>
      </c>
      <c r="AA4" s="14" t="s">
        <v>384</v>
      </c>
      <c r="AB4" s="14" t="s">
        <v>388</v>
      </c>
      <c r="AC4" s="14" t="s">
        <v>389</v>
      </c>
      <c r="AD4" s="14" t="s">
        <v>381</v>
      </c>
      <c r="AE4" s="14" t="s">
        <v>2</v>
      </c>
      <c r="AF4" s="14" t="s">
        <v>0</v>
      </c>
      <c r="AG4" s="14" t="s">
        <v>545</v>
      </c>
      <c r="AH4" s="14" t="s">
        <v>381</v>
      </c>
      <c r="AI4" s="14" t="s">
        <v>2</v>
      </c>
      <c r="AJ4" s="14" t="s">
        <v>0</v>
      </c>
      <c r="AK4" s="14" t="s">
        <v>545</v>
      </c>
      <c r="AL4" s="14" t="s">
        <v>1</v>
      </c>
      <c r="AM4" s="14" t="s">
        <v>2</v>
      </c>
      <c r="AN4" s="14" t="s">
        <v>0</v>
      </c>
      <c r="AO4" s="14" t="s">
        <v>545</v>
      </c>
      <c r="AP4" s="106" t="s">
        <v>386</v>
      </c>
      <c r="AQ4" s="14" t="s">
        <v>392</v>
      </c>
      <c r="AR4" s="115" t="s">
        <v>387</v>
      </c>
      <c r="AS4" s="14" t="s">
        <v>197</v>
      </c>
      <c r="AT4" s="14" t="s">
        <v>390</v>
      </c>
      <c r="AU4" s="14" t="s">
        <v>393</v>
      </c>
      <c r="AV4" s="14" t="s">
        <v>394</v>
      </c>
    </row>
    <row r="5" spans="2:48" x14ac:dyDescent="0.15">
      <c r="D5" s="16">
        <v>2</v>
      </c>
      <c r="F5" s="16" t="s">
        <v>403</v>
      </c>
      <c r="G5" s="16" t="s">
        <v>400</v>
      </c>
      <c r="L5" s="16" t="s">
        <v>401</v>
      </c>
      <c r="Q5" s="16" t="s">
        <v>402</v>
      </c>
      <c r="X5" s="57" t="s">
        <v>80</v>
      </c>
      <c r="Y5" s="57">
        <v>2</v>
      </c>
      <c r="Z5" s="57"/>
      <c r="AA5" s="57"/>
      <c r="AB5" s="57"/>
      <c r="AC5" s="57"/>
      <c r="AD5" s="14">
        <f>IF($X5&lt;&gt;AD$4,0,SUMIF(武将升星!$C$5:$C$13,"&lt;="&amp;$Y5,武将升星!E$5:E$13)-1)</f>
        <v>2</v>
      </c>
      <c r="AE5" s="14">
        <f>IF($X5&lt;&gt;AE$4,0,SUMIF(武将升星!$C$5:$C$13,"&lt;="&amp;$Y5,武将升星!F$5:F$13)-1)</f>
        <v>0</v>
      </c>
      <c r="AF5" s="14">
        <f>IF($X5&lt;&gt;AF$4,0,SUMIF(武将升星!$C$5:$C$13,"&lt;="&amp;$Y5,武将升星!G$5:G$13)-1)</f>
        <v>0</v>
      </c>
      <c r="AG5" s="14">
        <f>IF($X5&lt;&gt;AG$4,0,SUMIF(武将升星!$C$5:$C$13,"&lt;="&amp;$Y5,武将升星!H$5:H$13)-1)</f>
        <v>0</v>
      </c>
      <c r="AH5" s="14">
        <f>IF($X5&lt;&gt;AI$4,0,SUMIF(武将进阶!$C$13:$C$18,"&lt;="&amp;$Z5,武将进阶!F$13:F$18))+IF($X5&lt;&gt;AH$4,0,SUMIF(武将觉醒!$C$33:$C$34,"&lt;="&amp;$AA5,武将觉醒!E$33:E$34))+IF($X5&lt;&gt;AH$4,0,1)</f>
        <v>1</v>
      </c>
      <c r="AI5" s="14">
        <f>IF($X5&lt;&gt;AJ$4,0,SUMIF(武将进阶!$C$13:$C$18,"&lt;="&amp;$Z5,武将进阶!G$13:G$18))+IF($X5&lt;&gt;AI$4,0,SUMIF(武将觉醒!$C$33:$C$34,"&lt;="&amp;$AA5,武将觉醒!F$33:F$34))+IF($X5&lt;&gt;AI$4,0,1)</f>
        <v>0</v>
      </c>
      <c r="AJ5" s="14">
        <f>IF($X5&lt;&gt;AK$4,0,SUMIF(武将进阶!$C$13:$C$18,"&lt;="&amp;$Z5,武将进阶!H$13:H$18))+IF($X5&lt;&gt;AJ$4,0,SUMIF(武将觉醒!$C$33:$C$34,"&lt;="&amp;$AA5,武将觉醒!G$33:G$34))+IF($X5&lt;&gt;AJ$4,0,1)</f>
        <v>0</v>
      </c>
      <c r="AK5" s="14">
        <f>IF($X5&lt;&gt;AP$4,0,SUMIF(武将进阶!$C$13:$C$18,"&lt;="&amp;$Z5,武将进阶!I$13:I$18))+IF($X5&lt;&gt;AK$4,0,SUMIF(武将觉醒!$C$33:$C$34,"&lt;="&amp;$AA5,武将觉醒!H$33:H$34))+IF($X5&lt;&gt;AK$4,0,1)</f>
        <v>0</v>
      </c>
      <c r="AL5" s="14">
        <f>IF($AB5&lt;&gt;AL$4,0,SUMIF([7]战法升星!$C$5:$C$11,"&lt;="&amp;$AC5,[7]战法升星!D$5:D$11))</f>
        <v>0</v>
      </c>
      <c r="AM5" s="14">
        <f>IF($AB5&lt;&gt;AM$4,0,SUMIF([7]战法升星!$C$5:$C$11,"&lt;="&amp;$AC5,[7]战法升星!E$5:E$11))</f>
        <v>0</v>
      </c>
      <c r="AN5" s="14">
        <f>IF($AB5&lt;&gt;AN$4,0,SUMIF([7]战法升星!$C$5:$C$11,"&lt;="&amp;$AC5,[7]战法升星!F$5:F$11))</f>
        <v>0</v>
      </c>
      <c r="AO5" s="14">
        <f>IF($AB5&lt;&gt;AO$4,0,SUMIF([7]战法升星!$C$5:$C$11,"&lt;="&amp;$AC5,[7]战法升星!G$5:G$11))</f>
        <v>0</v>
      </c>
      <c r="AP5" s="58" t="e">
        <f>SUMPRODUCT($AD5:$AG5,武将数量星级阶位验证!$B$7:$E$7)+SUMPRODUCT($AH5:$AJ5,武将数量星级阶位验证!$B$9:$D$9)+$AK5*INDEX(武将数量星级阶位验证!$C$34:$C$38,MATCH(武将战力价值情况!$C$3,武将数量星级阶位验证!$B$34:$B$38,0),1)+SUMPRODUCT($AL5:$AO5,#REF!)</f>
        <v>#REF!</v>
      </c>
      <c r="AQ5" s="14">
        <f>IF(Y5="",0,INDEX(武将升星!$E$58:$H$58,1,MATCH($X5,武将升星!$E$57:$H$57,0))+INDEX(武将升星!$E$59:$H$59,1,MATCH($X5,武将升星!$E$57:$H$57,0))*$Y5*3)</f>
        <v>90</v>
      </c>
      <c r="AR5" s="14"/>
      <c r="AS5" s="14">
        <f>IF(Y5="",0,INDEX(武将升星!$E$68:$H$76,MATCH($Y5,武将升星!$C$68:$C$76,0),MATCH($X5,武将升星!$E$67:$H$67,0)))</f>
        <v>0.12</v>
      </c>
      <c r="AT5" s="14">
        <f>IF(AC5="",0,INDEX([7]战法升星!$D$15:$G$21,MATCH($AC5,[7]战法升星!$C$15:$C$21,0),MATCH($AB5,[7]战法升星!$D$14:$G$14,0)))</f>
        <v>0</v>
      </c>
      <c r="AU5" s="45">
        <f>AQ5*INDEX([2]非r将兵属性验证!$T$7:$T$106,$C$2,1)+AR5*(INDEX([2]非r将兵属性验证!$U$7:$U$106,$C$2,1)+INDEX([2]非r将兵属性验证!$V$7:$V$106,$C$2,1))+(AS5+AT5)*INDEX([2]非r将兵属性验证!$Y$7:$Y$106,$C$2,1)</f>
        <v>469429545.00073248</v>
      </c>
      <c r="AV5" s="116" t="e">
        <f>AU5/AP5</f>
        <v>#REF!</v>
      </c>
    </row>
    <row r="6" spans="2:48" x14ac:dyDescent="0.15">
      <c r="D6" s="16">
        <v>3</v>
      </c>
      <c r="G6" s="29" t="s">
        <v>1</v>
      </c>
      <c r="H6" s="29" t="s">
        <v>2</v>
      </c>
      <c r="I6" s="29" t="s">
        <v>0</v>
      </c>
      <c r="J6" s="14" t="s">
        <v>545</v>
      </c>
      <c r="L6" s="29" t="s">
        <v>1</v>
      </c>
      <c r="M6" s="29" t="s">
        <v>2</v>
      </c>
      <c r="N6" s="29" t="s">
        <v>0</v>
      </c>
      <c r="O6" s="14" t="s">
        <v>545</v>
      </c>
      <c r="P6" s="16" t="s">
        <v>84</v>
      </c>
      <c r="Q6" s="29" t="s">
        <v>1</v>
      </c>
      <c r="R6" s="29" t="s">
        <v>2</v>
      </c>
      <c r="S6" s="29" t="s">
        <v>0</v>
      </c>
      <c r="T6" s="14" t="s">
        <v>545</v>
      </c>
      <c r="U6" s="16" t="s">
        <v>84</v>
      </c>
      <c r="X6" s="57" t="s">
        <v>81</v>
      </c>
      <c r="Y6" s="57">
        <v>3</v>
      </c>
      <c r="Z6" s="57">
        <v>6</v>
      </c>
      <c r="AA6" s="57">
        <v>2</v>
      </c>
      <c r="AB6" s="57" t="s">
        <v>80</v>
      </c>
      <c r="AC6" s="57">
        <v>1</v>
      </c>
      <c r="AD6" s="14">
        <f>IF($X6&lt;&gt;AD$4,0,SUMIF(武将升星!$C$5:$C$13,"&lt;="&amp;$Y6,武将升星!E$5:E$13)-1)</f>
        <v>0</v>
      </c>
      <c r="AE6" s="14">
        <f>IF($X6&lt;&gt;AE$4,0,SUMIF(武将升星!$C$5:$C$13,"&lt;="&amp;$Y6,武将升星!F$5:F$13)-1)</f>
        <v>4</v>
      </c>
      <c r="AF6" s="14">
        <f>IF($X6&lt;&gt;AF$4,0,SUMIF(武将升星!$C$5:$C$13,"&lt;="&amp;$Y6,武将升星!G$5:G$13)-1)</f>
        <v>0</v>
      </c>
      <c r="AG6" s="14">
        <f>IF($X6&lt;&gt;AG$4,0,SUMIF(武将升星!$C$5:$C$13,"&lt;="&amp;$Y6,武将升星!H$5:H$13)-1)</f>
        <v>0</v>
      </c>
      <c r="AH6" s="14">
        <f>IF($X6&lt;&gt;AI$4,0,SUMIF(武将进阶!$C$13:$C$18,"&lt;="&amp;$Z6,武将进阶!F$13:F$18))+IF($X6&lt;&gt;AH$4,0,SUMIF(武将觉醒!$C$33:$C$34,"&lt;="&amp;$AA6,武将觉醒!E$33:E$34))+IF($X6&lt;&gt;AH$4,0,1)</f>
        <v>76</v>
      </c>
      <c r="AI6" s="14">
        <f>IF($X6&lt;&gt;AJ$4,0,SUMIF(武将进阶!$C$13:$C$18,"&lt;="&amp;$Z6,武将进阶!G$13:G$18))+IF($X6&lt;&gt;AI$4,0,SUMIF(武将觉醒!$C$33:$C$34,"&lt;="&amp;$AA6,武将觉醒!F$33:F$34))+IF($X6&lt;&gt;AI$4,0,1)</f>
        <v>6</v>
      </c>
      <c r="AJ6" s="14">
        <f>IF($X6&lt;&gt;AK$4,0,SUMIF(武将进阶!$C$13:$C$18,"&lt;="&amp;$Z6,武将进阶!H$13:H$18))+IF($X6&lt;&gt;AJ$4,0,SUMIF(武将觉醒!$C$33:$C$34,"&lt;="&amp;$AA6,武将觉醒!G$33:G$34))+IF($X6&lt;&gt;AJ$4,0,1)</f>
        <v>0</v>
      </c>
      <c r="AK6" s="14">
        <f>IF($X6&lt;&gt;AP$4,0,SUMIF(武将进阶!$C$13:$C$18,"&lt;="&amp;$Z6,武将进阶!I$13:I$18))+IF($X6&lt;&gt;AK$4,0,SUMIF(武将觉醒!$C$33:$C$34,"&lt;="&amp;$AA6,武将觉醒!H$33:H$34))+IF($X6&lt;&gt;AK$4,0,1)</f>
        <v>0</v>
      </c>
      <c r="AL6" s="14">
        <f>IF($AB6&lt;&gt;AL$4,0,SUMIF([7]战法升星!$C$5:$C$11,"&lt;="&amp;$AC6,[7]战法升星!D$5:D$11))</f>
        <v>1</v>
      </c>
      <c r="AM6" s="14">
        <f>IF($AB6&lt;&gt;AM$4,0,SUMIF([7]战法升星!$C$5:$C$11,"&lt;="&amp;$AC6,[7]战法升星!E$5:E$11))</f>
        <v>0</v>
      </c>
      <c r="AN6" s="14">
        <f>IF($AB6&lt;&gt;AN$4,0,SUMIF([7]战法升星!$C$5:$C$11,"&lt;="&amp;$AC6,[7]战法升星!F$5:F$11))</f>
        <v>0</v>
      </c>
      <c r="AO6" s="14">
        <f>IF($AB6&lt;&gt;AO$4,0,SUMIF([7]战法升星!$C$5:$C$11,"&lt;="&amp;$AC6,[7]战法升星!G$5:G$11))</f>
        <v>0</v>
      </c>
      <c r="AP6" s="58" t="e">
        <f>SUMPRODUCT($AD6:$AG6,武将数量星级阶位验证!$B$7:$E$7)+SUMPRODUCT($AH6:$AJ6,武将数量星级阶位验证!$B$9:$D$9)+$AK6*INDEX(武将数量星级阶位验证!$C$34:$C$38,MATCH(武将战力价值情况!$C$3,武将数量星级阶位验证!$B$34:$B$38,0),1)+SUMPRODUCT($AL6:$AO6,#REF!)</f>
        <v>#REF!</v>
      </c>
      <c r="AQ6" s="14">
        <f>IF(Y6="",0,INDEX(武将升星!$E$58:$H$58,1,MATCH($X6,武将升星!$E$57:$H$57,0))+INDEX(武将升星!$E$59:$H$59,1,MATCH($X6,武将升星!$E$57:$H$57,0))*$Y6*3)</f>
        <v>115</v>
      </c>
      <c r="AR6" s="14"/>
      <c r="AS6" s="14">
        <f>IF(Y6="",0,INDEX(武将升星!$E$68:$H$76,MATCH($Y6,武将升星!$C$68:$C$76,0),MATCH($X6,武将升星!$E$67:$H$67,0)))</f>
        <v>0.25</v>
      </c>
      <c r="AT6" s="14">
        <f>IF(AC6="",0,INDEX([7]战法升星!$D$15:$G$21,MATCH($AC6,[7]战法升星!$C$15:$C$21,0),MATCH($AB6,[7]战法升星!$D$14:$G$14,0)))</f>
        <v>9.2499999999999999E-2</v>
      </c>
      <c r="AU6" s="45">
        <f>AQ6*INDEX([2]非r将兵属性验证!$T$7:$T$106,$C$2,1)+AR6*(INDEX([2]非r将兵属性验证!$U$7:$U$106,$C$2,1)+INDEX([2]非r将兵属性验证!$V$7:$V$106,$C$2,1))+(AS6+AT6)*INDEX([2]非r将兵属性验证!$Y$7:$Y$106,$C$2,1)</f>
        <v>1339829995.3160229</v>
      </c>
      <c r="AV6" s="116" t="e">
        <f t="shared" ref="AV6:AV8" si="0">AU6/AP6</f>
        <v>#REF!</v>
      </c>
    </row>
    <row r="7" spans="2:48" x14ac:dyDescent="0.15">
      <c r="D7" s="16">
        <v>4</v>
      </c>
      <c r="F7" s="16">
        <f>基础状态预期!C17</f>
        <v>1</v>
      </c>
      <c r="G7" s="16">
        <f>MIN(武将升星!E$14,求节点(武将升星!E$104:E$112,武将升星!$C$104:$C$112,武将数量星级阶位验证!BJ7/武将数量星级阶位验证!B$6))</f>
        <v>3</v>
      </c>
      <c r="H7" s="16">
        <f>MIN(武将升星!F$14,求节点(武将升星!F$104:F$112,武将升星!$C$104:$C$112,武将数量星级阶位验证!BK7/武将数量星级阶位验证!C$6))</f>
        <v>0.43623534953916132</v>
      </c>
      <c r="I7" s="114">
        <f>求节点(武将升星!G$104:G$112,武将升星!$C$104:$C$112,MAX((武将数量星级阶位验证!BL7-武将数量星级阶位验证!BN7)/武将数量星级阶位验证!D$6+武将数量星级阶位验证!BN7/6,0))</f>
        <v>0</v>
      </c>
      <c r="J7" s="71">
        <f>基础状态预期!O17</f>
        <v>0</v>
      </c>
      <c r="L7" s="16">
        <f>武将升星!E$58+武将升星!E$59*G7</f>
        <v>75</v>
      </c>
      <c r="M7" s="16">
        <f>武将升星!F$58+武将升星!F$59*H7</f>
        <v>72.181176747695801</v>
      </c>
      <c r="N7" s="16">
        <f>武将升星!G$58+武将升星!G$59*I7</f>
        <v>85</v>
      </c>
      <c r="O7" s="16">
        <f>武将升星!H$58+武将升星!H$59*J7</f>
        <v>100</v>
      </c>
      <c r="P7" s="16">
        <v>105</v>
      </c>
      <c r="Q7" s="16">
        <f>求节点(武将升星!$C$68:$C$76,武将升星!E$68:E$76,G7)</f>
        <v>0.15</v>
      </c>
      <c r="R7" s="16">
        <f>求节点(武将升星!$C$68:$C$76,武将升星!F$68:F$76,H7)</f>
        <v>0.12181176747695807</v>
      </c>
      <c r="S7" s="16">
        <f>求节点(武将升星!$C$68:$C$76,武将升星!G$68:G$76,I7)</f>
        <v>0.216</v>
      </c>
      <c r="T7" s="16">
        <f>求节点(武将升星!$C$68:$C$76,武将升星!H$68:H$76,J7)</f>
        <v>0.5</v>
      </c>
      <c r="U7" s="16">
        <v>0.6</v>
      </c>
      <c r="X7" s="57" t="s">
        <v>82</v>
      </c>
      <c r="Y7" s="57">
        <v>5</v>
      </c>
      <c r="Z7" s="57">
        <v>4</v>
      </c>
      <c r="AA7" s="57"/>
      <c r="AB7" s="57" t="s">
        <v>80</v>
      </c>
      <c r="AC7" s="57">
        <v>1</v>
      </c>
      <c r="AD7" s="14">
        <f>IF($X7&lt;&gt;AD$4,0,SUMIF(武将升星!$C$5:$C$13,"&lt;="&amp;$Y7,武将升星!E$5:E$13)-1)</f>
        <v>0</v>
      </c>
      <c r="AE7" s="14">
        <f>IF($X7&lt;&gt;AE$4,0,SUMIF(武将升星!$C$5:$C$13,"&lt;="&amp;$Y7,武将升星!F$5:F$13)-1)</f>
        <v>0</v>
      </c>
      <c r="AF7" s="14">
        <f>IF($X7&lt;&gt;AF$4,0,SUMIF(武将升星!$C$5:$C$13,"&lt;="&amp;$Y7,武将升星!G$5:G$13)-1)</f>
        <v>7</v>
      </c>
      <c r="AG7" s="14">
        <f>IF($X7&lt;&gt;AG$4,0,SUMIF(武将升星!$C$5:$C$13,"&lt;="&amp;$Y7,武将升星!H$5:H$13)-1)</f>
        <v>0</v>
      </c>
      <c r="AH7" s="14">
        <f>IF($X7&lt;&gt;AI$4,0,SUMIF(武将进阶!$C$13:$C$18,"&lt;="&amp;$Z7,武将进阶!F$13:F$18))+IF($X7&lt;&gt;AH$4,0,SUMIF(武将觉醒!$C$33:$C$34,"&lt;="&amp;$AA7,武将觉醒!E$33:E$34))+IF($X7&lt;&gt;AH$4,0,1)</f>
        <v>0</v>
      </c>
      <c r="AI7" s="14">
        <f>IF($X7&lt;&gt;AJ$4,0,SUMIF(武将进阶!$C$13:$C$18,"&lt;="&amp;$Z7,武将进阶!G$13:G$18))+IF($X7&lt;&gt;AI$4,0,SUMIF(武将觉醒!$C$33:$C$34,"&lt;="&amp;$AA7,武将觉醒!F$33:F$34))+IF($X7&lt;&gt;AI$4,0,1)</f>
        <v>41</v>
      </c>
      <c r="AJ7" s="14">
        <f>IF($X7&lt;&gt;AK$4,0,SUMIF(武将进阶!$C$13:$C$18,"&lt;="&amp;$Z7,武将进阶!H$13:H$18))+IF($X7&lt;&gt;AJ$4,0,SUMIF(武将觉醒!$C$33:$C$34,"&lt;="&amp;$AA7,武将觉醒!G$33:G$34))+IF($X7&lt;&gt;AJ$4,0,1)</f>
        <v>1</v>
      </c>
      <c r="AK7" s="14">
        <f>IF($X7&lt;&gt;AP$4,0,SUMIF(武将进阶!$C$13:$C$18,"&lt;="&amp;$Z7,武将进阶!I$13:I$18))+IF($X7&lt;&gt;AK$4,0,SUMIF(武将觉醒!$C$33:$C$34,"&lt;="&amp;$AA7,武将觉醒!H$33:H$34))+IF($X7&lt;&gt;AK$4,0,1)</f>
        <v>0</v>
      </c>
      <c r="AL7" s="14">
        <f>IF($AB7&lt;&gt;AL$4,0,SUMIF([7]战法升星!$C$5:$C$11,"&lt;="&amp;$AC7,[7]战法升星!D$5:D$11))</f>
        <v>1</v>
      </c>
      <c r="AM7" s="14">
        <f>IF($AB7&lt;&gt;AM$4,0,SUMIF([7]战法升星!$C$5:$C$11,"&lt;="&amp;$AC7,[7]战法升星!E$5:E$11))</f>
        <v>0</v>
      </c>
      <c r="AN7" s="14">
        <f>IF($AB7&lt;&gt;AN$4,0,SUMIF([7]战法升星!$C$5:$C$11,"&lt;="&amp;$AC7,[7]战法升星!F$5:F$11))</f>
        <v>0</v>
      </c>
      <c r="AO7" s="14">
        <f>IF($AB7&lt;&gt;AO$4,0,SUMIF([7]战法升星!$C$5:$C$11,"&lt;="&amp;$AC7,[7]战法升星!G$5:G$11))</f>
        <v>0</v>
      </c>
      <c r="AP7" s="58" t="e">
        <f>SUMPRODUCT($AD7:$AG7,武将数量星级阶位验证!$B$7:$E$7)+SUMPRODUCT($AH7:$AJ7,武将数量星级阶位验证!$B$9:$D$9)+$AK7*INDEX(武将数量星级阶位验证!$C$34:$C$38,MATCH(武将战力价值情况!$C$3,武将数量星级阶位验证!$B$34:$B$38,0),1)+SUMPRODUCT($AL7:$AO7,#REF!)</f>
        <v>#REF!</v>
      </c>
      <c r="AQ7" s="14">
        <f>IF(Y7="",0,INDEX(武将升星!$E$58:$H$58,1,MATCH($X7,武将升星!$E$57:$H$57,0))+INDEX(武将升星!$E$59:$H$59,1,MATCH($X7,武将升星!$E$57:$H$57,0))*$Y7*3)</f>
        <v>160</v>
      </c>
      <c r="AR7" s="14"/>
      <c r="AS7" s="14">
        <f>IF(Y7="",0,INDEX(武将升星!$E$68:$H$76,MATCH($Y7,武将升星!$C$68:$C$76,0),MATCH($X7,武将升星!$E$67:$H$67,0)))</f>
        <v>0.57600000000000007</v>
      </c>
      <c r="AT7" s="14">
        <f>IF(AC7="",0,INDEX([7]战法升星!$D$15:$G$21,MATCH($AC7,[7]战法升星!$C$15:$C$21,0),MATCH($AB7,[7]战法升星!$D$14:$G$14,0)))</f>
        <v>9.2499999999999999E-2</v>
      </c>
      <c r="AU7" s="45">
        <f>AQ7*INDEX([2]非r将兵属性验证!$T$7:$T$106,$C$2,1)+AR7*(INDEX([2]非r将兵属性验证!$U$7:$U$106,$C$2,1)+INDEX([2]非r将兵属性验证!$V$7:$V$106,$C$2,1))+(AS7+AT7)*INDEX([2]非r将兵属性验证!$Y$7:$Y$106,$C$2,1)</f>
        <v>2615113361.4312606</v>
      </c>
      <c r="AV7" s="116" t="e">
        <f t="shared" si="0"/>
        <v>#REF!</v>
      </c>
    </row>
    <row r="8" spans="2:48" x14ac:dyDescent="0.15">
      <c r="D8" s="16">
        <v>5</v>
      </c>
      <c r="F8" s="16">
        <f>基础状态预期!C18</f>
        <v>3</v>
      </c>
      <c r="G8" s="16">
        <f>MIN(武将升星!E$14,求节点(武将升星!E$104:E$112,武将升星!$C$104:$C$112,武将数量星级阶位验证!BJ8/武将数量星级阶位验证!B$6))</f>
        <v>3</v>
      </c>
      <c r="H8" s="16">
        <f>MIN(武将升星!F$14,求节点(武将升星!F$104:F$112,武将升星!$C$104:$C$112,武将数量星级阶位验证!BK8/武将数量星级阶位验证!C$6))</f>
        <v>2.0059817193719547</v>
      </c>
      <c r="I8" s="114">
        <f>求节点(武将升星!G$104:G$112,武将升星!$C$104:$C$112,MAX((武将数量星级阶位验证!BL8-武将数量星级阶位验证!BN8)/武将数量星级阶位验证!D$6+武将数量星级阶位验证!BN8/6,0))</f>
        <v>0</v>
      </c>
      <c r="J8" s="71">
        <f>基础状态预期!O18</f>
        <v>0</v>
      </c>
      <c r="L8" s="16">
        <f>武将升星!E$58+武将升星!E$59*G8</f>
        <v>75</v>
      </c>
      <c r="M8" s="16">
        <f>武将升星!F$58+武将升星!F$59*H8</f>
        <v>80.029908596859769</v>
      </c>
      <c r="N8" s="16">
        <f>武将升星!G$58+武将升星!G$59*I8</f>
        <v>85</v>
      </c>
      <c r="O8" s="16">
        <f>武将升星!H$58+武将升星!H$59*J8</f>
        <v>100</v>
      </c>
      <c r="P8" s="16">
        <v>105</v>
      </c>
      <c r="Q8" s="16">
        <f>求节点(武将升星!$C$68:$C$76,武将升星!E$68:E$76,G8)</f>
        <v>0.15</v>
      </c>
      <c r="R8" s="16">
        <f>求节点(武将升星!$C$68:$C$76,武将升星!F$68:F$76,H8)</f>
        <v>0.20029908596859775</v>
      </c>
      <c r="S8" s="16">
        <f>求节点(武将升星!$C$68:$C$76,武将升星!G$68:G$76,I8)</f>
        <v>0.216</v>
      </c>
      <c r="T8" s="16">
        <f>求节点(武将升星!$C$68:$C$76,武将升星!H$68:H$76,J8)</f>
        <v>0.5</v>
      </c>
      <c r="U8" s="16">
        <v>0.6</v>
      </c>
      <c r="X8" s="57" t="s">
        <v>545</v>
      </c>
      <c r="Y8" s="57">
        <v>0</v>
      </c>
      <c r="Z8" s="57">
        <v>1</v>
      </c>
      <c r="AA8" s="57"/>
      <c r="AB8" s="57"/>
      <c r="AC8" s="57"/>
      <c r="AD8" s="14">
        <f>IF($X8&lt;&gt;AD$4,0,SUMIF(武将升星!$C$5:$C$13,"&lt;="&amp;$Y8,武将升星!E$5:E$13)-1)</f>
        <v>0</v>
      </c>
      <c r="AE8" s="14">
        <f>IF($X8&lt;&gt;AE$4,0,SUMIF(武将升星!$C$5:$C$13,"&lt;="&amp;$Y8,武将升星!F$5:F$13)-1)</f>
        <v>0</v>
      </c>
      <c r="AF8" s="14">
        <f>IF($X8&lt;&gt;AF$4,0,SUMIF(武将升星!$C$5:$C$13,"&lt;="&amp;$Y8,武将升星!G$5:G$13)-1)</f>
        <v>0</v>
      </c>
      <c r="AG8" s="14">
        <f>IF($X8&lt;&gt;AG$4,0,SUMIF(武将升星!$C$5:$C$13,"&lt;="&amp;$Y8,武将升星!H$5:H$13)-1)</f>
        <v>0</v>
      </c>
      <c r="AH8" s="14">
        <f>IF($X8&lt;&gt;AI$4,0,SUMIF(武将进阶!$C$13:$C$18,"&lt;="&amp;$Z8,武将进阶!F$13:F$18))+IF($X8&lt;&gt;AH$4,0,SUMIF(武将觉醒!$C$33:$C$34,"&lt;="&amp;$AA8,武将觉醒!E$33:E$34))+IF($X8&lt;&gt;AH$4,0,1)</f>
        <v>0</v>
      </c>
      <c r="AI8" s="14">
        <f>IF($X8&lt;&gt;AJ$4,0,SUMIF(武将进阶!$C$13:$C$18,"&lt;="&amp;$Z8,武将进阶!G$13:G$18))+IF($X8&lt;&gt;AI$4,0,SUMIF(武将觉醒!$C$33:$C$34,"&lt;="&amp;$AA8,武将觉醒!F$33:F$34))+IF($X8&lt;&gt;AI$4,0,1)</f>
        <v>0</v>
      </c>
      <c r="AJ8" s="14">
        <f>IF($X8&lt;&gt;AK$4,0,SUMIF(武将进阶!$C$13:$C$18,"&lt;="&amp;$Z8,武将进阶!H$13:H$18))+IF($X8&lt;&gt;AJ$4,0,SUMIF(武将觉醒!$C$33:$C$34,"&lt;="&amp;$AA8,武将觉醒!G$33:G$34))+IF($X8&lt;&gt;AJ$4,0,1)</f>
        <v>3</v>
      </c>
      <c r="AK8" s="14">
        <f>IF($X8&lt;&gt;AP$4,0,SUMIF(武将进阶!$C$13:$C$18,"&lt;="&amp;$Z8,武将进阶!I$13:I$18))+IF($X8&lt;&gt;AK$4,0,SUMIF(武将觉醒!$C$33:$C$34,"&lt;="&amp;$AA8,武将觉醒!H$33:H$34))+IF($X8&lt;&gt;AK$4,0,1)</f>
        <v>1</v>
      </c>
      <c r="AL8" s="14">
        <f>IF($AB8&lt;&gt;AL$4,0,SUMIF([7]战法升星!$C$5:$C$11,"&lt;="&amp;$AC8,[7]战法升星!D$5:D$11))</f>
        <v>0</v>
      </c>
      <c r="AM8" s="14">
        <f>IF($AB8&lt;&gt;AM$4,0,SUMIF([7]战法升星!$C$5:$C$11,"&lt;="&amp;$AC8,[7]战法升星!E$5:E$11))</f>
        <v>0</v>
      </c>
      <c r="AN8" s="14">
        <f>IF($AB8&lt;&gt;AN$4,0,SUMIF([7]战法升星!$C$5:$C$11,"&lt;="&amp;$AC8,[7]战法升星!F$5:F$11))</f>
        <v>0</v>
      </c>
      <c r="AO8" s="14">
        <f>IF($AB8&lt;&gt;AO$4,0,SUMIF([7]战法升星!$C$5:$C$11,"&lt;="&amp;$AC8,[7]战法升星!G$5:G$11))</f>
        <v>0</v>
      </c>
      <c r="AP8" s="58" t="e">
        <f>SUMPRODUCT($AD8:$AG8,武将数量星级阶位验证!$B$7:$E$7)+SUMPRODUCT($AH8:$AJ8,武将数量星级阶位验证!$B$9:$D$9)+$AK8*INDEX(武将数量星级阶位验证!$C$34:$C$38,MATCH(武将战力价值情况!$C$3,武将数量星级阶位验证!$B$34:$B$38,0),1)+SUMPRODUCT($AL8:$AO8,#REF!)</f>
        <v>#REF!</v>
      </c>
      <c r="AQ8" s="14">
        <f>IF(Y8="",0,INDEX(武将升星!$E$58:$H$58,1,MATCH($X8,武将升星!$E$57:$H$57,0))+INDEX(武将升星!$E$59:$H$59,1,MATCH($X8,武将升星!$E$57:$H$57,0))*$Y8*3)</f>
        <v>100</v>
      </c>
      <c r="AR8" s="14"/>
      <c r="AS8" s="14">
        <f>IF(Y8="",0,INDEX(武将升星!$E$68:$H$76,MATCH($Y8,武将升星!$C$68:$C$76,0),MATCH($X8,武将升星!$E$67:$H$67,0)))</f>
        <v>0.5</v>
      </c>
      <c r="AT8" s="14">
        <f>IF(AC8="",0,INDEX([7]战法升星!$D$15:$G$21,MATCH($AC8,[7]战法升星!$C$15:$C$21,0),MATCH($AB8,[7]战法升星!$D$14:$G$14,0)))</f>
        <v>0</v>
      </c>
      <c r="AU8" s="45">
        <f>AQ8*INDEX([2]非r将兵属性验证!$T$7:$T$106,$C$2,1)+AR8*(INDEX([2]非r将兵属性验证!$U$7:$U$106,$C$2,1)+INDEX([2]非r将兵属性验证!$V$7:$V$106,$C$2,1))+(AS8+AT8)*INDEX([2]非r将兵属性验证!$Y$7:$Y$106,$C$2,1)</f>
        <v>1955956118.8934932</v>
      </c>
      <c r="AV8" s="116" t="e">
        <f t="shared" si="0"/>
        <v>#REF!</v>
      </c>
    </row>
    <row r="9" spans="2:48" x14ac:dyDescent="0.15">
      <c r="D9" s="16">
        <v>6</v>
      </c>
      <c r="F9" s="16">
        <f>基础状态预期!C19</f>
        <v>6</v>
      </c>
      <c r="G9" s="16">
        <f>MIN(武将升星!E$14,求节点(武将升星!E$104:E$112,武将升星!$C$104:$C$112,武将数量星级阶位验证!BJ9/武将数量星级阶位验证!B$6))</f>
        <v>3</v>
      </c>
      <c r="H9" s="16">
        <f>MIN(武将升星!F$14,求节点(武将升星!F$104:F$112,武将升星!$C$104:$C$112,武将数量星级阶位验证!BK9/武将数量星级阶位验证!C$6))</f>
        <v>3.1101103827728123</v>
      </c>
      <c r="I9" s="114">
        <f>求节点(武将升星!G$104:G$112,武将升星!$C$104:$C$112,MAX((武将数量星级阶位验证!BL9-武将数量星级阶位验证!BN9)/武将数量星级阶位验证!D$6+武将数量星级阶位验证!BN9/6,0))</f>
        <v>4.7051052032425655E-2</v>
      </c>
      <c r="J9" s="71">
        <f>基础状态预期!O19</f>
        <v>0</v>
      </c>
      <c r="L9" s="16">
        <f>武将升星!E$58+武将升星!E$59*G9</f>
        <v>75</v>
      </c>
      <c r="M9" s="16">
        <f>武将升星!F$58+武将升星!F$59*H9</f>
        <v>85.550551913864069</v>
      </c>
      <c r="N9" s="16">
        <f>武将升星!G$58+武将升星!G$59*I9</f>
        <v>85.235255260162134</v>
      </c>
      <c r="O9" s="16">
        <f>武将升星!H$58+武将升星!H$59*J9</f>
        <v>100</v>
      </c>
      <c r="P9" s="16">
        <v>105</v>
      </c>
      <c r="Q9" s="16">
        <f>求节点(武将升星!$C$68:$C$76,武将升星!E$68:E$76,G9)</f>
        <v>0.15</v>
      </c>
      <c r="R9" s="16">
        <f>求节点(武将升星!$C$68:$C$76,武将升星!F$68:F$76,H9)</f>
        <v>0.25550551913864061</v>
      </c>
      <c r="S9" s="16">
        <f>求节点(武将升星!$C$68:$C$76,武将升星!G$68:G$76,I9)</f>
        <v>0.21938767574633464</v>
      </c>
      <c r="T9" s="16">
        <f>求节点(武将升星!$C$68:$C$76,武将升星!H$68:H$76,J9)</f>
        <v>0.5</v>
      </c>
      <c r="U9" s="16">
        <v>0.6</v>
      </c>
      <c r="X9" s="57"/>
      <c r="Y9" s="57"/>
      <c r="Z9" s="57"/>
      <c r="AA9" s="57"/>
      <c r="AB9" s="57"/>
      <c r="AC9" s="57"/>
      <c r="AD9" s="14"/>
      <c r="AE9" s="14"/>
      <c r="AF9" s="14"/>
      <c r="AG9" s="14"/>
      <c r="AH9" s="14"/>
      <c r="AI9" s="14"/>
      <c r="AJ9" s="14"/>
      <c r="AK9" s="14"/>
      <c r="AL9" s="105"/>
      <c r="AM9" s="105"/>
      <c r="AN9" s="105"/>
      <c r="AO9" s="105"/>
      <c r="AP9" s="105"/>
      <c r="AQ9" s="14"/>
      <c r="AR9" s="14"/>
      <c r="AS9" s="14"/>
      <c r="AT9" s="14"/>
      <c r="AU9" s="14"/>
      <c r="AV9" s="14"/>
    </row>
    <row r="10" spans="2:48" x14ac:dyDescent="0.15">
      <c r="D10" s="16">
        <v>7</v>
      </c>
      <c r="F10" s="16">
        <f>基础状态预期!C20</f>
        <v>10</v>
      </c>
      <c r="G10" s="16">
        <f>MIN(武将升星!E$14,求节点(武将升星!E$104:E$112,武将升星!$C$104:$C$112,武将数量星级阶位验证!BJ10/武将数量星级阶位验证!B$6))</f>
        <v>3</v>
      </c>
      <c r="H10" s="16">
        <f>MIN(武将升星!F$14,求节点(武将升星!F$104:F$112,武将升星!$C$104:$C$112,武将数量星级阶位验证!BK10/武将数量星级阶位验证!C$6))</f>
        <v>4.1267170649450406</v>
      </c>
      <c r="I10" s="114">
        <f>求节点(武将升星!G$104:G$112,武将升星!$C$104:$C$112,MAX((武将数量星级阶位验证!BL10-武将数量星级阶位验证!BN10)/武将数量星级阶位验证!D$6+武将数量星级阶位验证!BN10/6,0))</f>
        <v>0.43978496380562193</v>
      </c>
      <c r="J10" s="71">
        <f>基础状态预期!O20</f>
        <v>0</v>
      </c>
      <c r="L10" s="16">
        <f>武将升星!E$58+武将升星!E$59*G10</f>
        <v>75</v>
      </c>
      <c r="M10" s="16">
        <f>武将升星!F$58+武将升星!F$59*H10</f>
        <v>90.633585324725203</v>
      </c>
      <c r="N10" s="16">
        <f>武将升星!G$58+武将升星!G$59*I10</f>
        <v>87.198924819028107</v>
      </c>
      <c r="O10" s="16">
        <f>武将升星!H$58+武将升星!H$59*J10</f>
        <v>100</v>
      </c>
      <c r="P10" s="16">
        <v>105</v>
      </c>
      <c r="Q10" s="16">
        <f>求节点(武将升星!$C$68:$C$76,武将升星!E$68:E$76,G10)</f>
        <v>0.15</v>
      </c>
      <c r="R10" s="16">
        <f>求节点(武将升星!$C$68:$C$76,武将升星!F$68:F$76,H10)</f>
        <v>0.30633585324725204</v>
      </c>
      <c r="S10" s="16">
        <f>求节点(武将升星!$C$68:$C$76,武将升星!G$68:G$76,I10)</f>
        <v>0.2476645173940048</v>
      </c>
      <c r="T10" s="16">
        <f>求节点(武将升星!$C$68:$C$76,武将升星!H$68:H$76,J10)</f>
        <v>0.5</v>
      </c>
      <c r="U10" s="16">
        <v>0.6</v>
      </c>
      <c r="X10" s="57"/>
      <c r="Y10" s="57"/>
      <c r="Z10" s="57"/>
      <c r="AA10" s="57"/>
      <c r="AB10" s="57"/>
      <c r="AC10" s="57"/>
      <c r="AD10" s="14"/>
      <c r="AE10" s="14"/>
      <c r="AF10" s="14"/>
      <c r="AG10" s="14"/>
      <c r="AH10" s="14"/>
      <c r="AI10" s="14"/>
      <c r="AJ10" s="14"/>
      <c r="AK10" s="14"/>
      <c r="AL10" s="105"/>
      <c r="AM10" s="105"/>
      <c r="AN10" s="105"/>
      <c r="AO10" s="105"/>
      <c r="AP10" s="105"/>
      <c r="AQ10" s="14"/>
      <c r="AR10" s="14"/>
      <c r="AS10" s="14"/>
      <c r="AT10" s="14"/>
      <c r="AU10" s="14"/>
      <c r="AV10" s="14"/>
    </row>
    <row r="11" spans="2:48" x14ac:dyDescent="0.15">
      <c r="D11" s="16">
        <v>8</v>
      </c>
      <c r="F11" s="16">
        <f>基础状态预期!C21</f>
        <v>15</v>
      </c>
      <c r="G11" s="16">
        <f>MIN(武将升星!E$14,求节点(武将升星!E$104:E$112,武将升星!$C$104:$C$112,武将数量星级阶位验证!BJ11/武将数量星级阶位验证!B$6))</f>
        <v>3</v>
      </c>
      <c r="H11" s="16">
        <f>MIN(武将升星!F$14,求节点(武将升星!F$104:F$112,武将升星!$C$104:$C$112,武将数量星级阶位验证!BK11/武将数量星级阶位验证!C$6))</f>
        <v>4.9177603991234777</v>
      </c>
      <c r="I11" s="114">
        <f>求节点(武将升星!G$104:G$112,武将升星!$C$104:$C$112,MAX((武将数量星级阶位验证!BL11-武将数量星级阶位验证!BN11)/武将数量星级阶位验证!D$6+武将数量星级阶位验证!BN11/6,0))</f>
        <v>0.85513377689191272</v>
      </c>
      <c r="J11" s="71">
        <f>基础状态预期!O21</f>
        <v>0</v>
      </c>
      <c r="L11" s="16">
        <f>武将升星!E$58+武将升星!E$59*G11</f>
        <v>75</v>
      </c>
      <c r="M11" s="16">
        <f>武将升星!F$58+武将升星!F$59*H11</f>
        <v>94.588801995617388</v>
      </c>
      <c r="N11" s="16">
        <f>武将升星!G$58+武将升星!G$59*I11</f>
        <v>89.275668884459563</v>
      </c>
      <c r="O11" s="16">
        <f>武将升星!H$58+武将升星!H$59*J11</f>
        <v>100</v>
      </c>
      <c r="P11" s="16">
        <v>105</v>
      </c>
      <c r="Q11" s="16">
        <f>求节点(武将升星!$C$68:$C$76,武将升星!E$68:E$76,G11)</f>
        <v>0.15</v>
      </c>
      <c r="R11" s="16">
        <f>求节点(武将升星!$C$68:$C$76,武将升星!F$68:F$76,H11)</f>
        <v>0.34588801995617385</v>
      </c>
      <c r="S11" s="16">
        <f>求节点(武将升星!$C$68:$C$76,武将升星!G$68:G$76,I11)</f>
        <v>0.27756963193621775</v>
      </c>
      <c r="T11" s="16">
        <f>求节点(武将升星!$C$68:$C$76,武将升星!H$68:H$76,J11)</f>
        <v>0.5</v>
      </c>
      <c r="U11" s="16">
        <v>0.6</v>
      </c>
      <c r="X11" s="57"/>
      <c r="Y11" s="57"/>
      <c r="Z11" s="57"/>
      <c r="AA11" s="57"/>
      <c r="AB11" s="57"/>
      <c r="AC11" s="57"/>
      <c r="AD11" s="14"/>
      <c r="AE11" s="14"/>
      <c r="AF11" s="14"/>
      <c r="AG11" s="14"/>
      <c r="AH11" s="14"/>
      <c r="AI11" s="14"/>
      <c r="AJ11" s="14"/>
      <c r="AK11" s="14"/>
      <c r="AL11" s="105"/>
      <c r="AM11" s="105"/>
      <c r="AN11" s="105"/>
      <c r="AO11" s="105"/>
      <c r="AP11" s="105"/>
      <c r="AQ11" s="14"/>
      <c r="AR11" s="14"/>
      <c r="AS11" s="14"/>
      <c r="AT11" s="14"/>
      <c r="AU11" s="14"/>
      <c r="AV11" s="14"/>
    </row>
    <row r="12" spans="2:48" x14ac:dyDescent="0.15">
      <c r="D12" s="16">
        <v>9</v>
      </c>
      <c r="F12" s="16">
        <f>基础状态预期!C22</f>
        <v>20</v>
      </c>
      <c r="G12" s="16">
        <f>MIN(武将升星!E$14,求节点(武将升星!E$104:E$112,武将升星!$C$104:$C$112,武将数量星级阶位验证!BJ12/武将数量星级阶位验证!B$6))</f>
        <v>3</v>
      </c>
      <c r="H12" s="16">
        <f>MIN(武将升星!F$14,求节点(武将升星!F$104:F$112,武将升星!$C$104:$C$112,武将数量星级阶位验证!BK12/武将数量星级阶位验证!C$6))</f>
        <v>5.6965918616965885</v>
      </c>
      <c r="I12" s="114">
        <f>求节点(武将升星!G$104:G$112,武将升星!$C$104:$C$112,MAX((武将数量星级阶位验证!BL12-武将数量星级阶位验证!BN12)/武将数量星级阶位验证!D$6+武将数量星级阶位验证!BN12/6,0))</f>
        <v>1.2620106040520085</v>
      </c>
      <c r="J12" s="71">
        <f>基础状态预期!O22</f>
        <v>0</v>
      </c>
      <c r="L12" s="16">
        <f>武将升星!E$58+武将升星!E$59*G12</f>
        <v>75</v>
      </c>
      <c r="M12" s="16">
        <f>武将升星!F$58+武将升星!F$59*H12</f>
        <v>98.482959308482947</v>
      </c>
      <c r="N12" s="16">
        <f>武将升星!G$58+武将升星!G$59*I12</f>
        <v>91.310053020260042</v>
      </c>
      <c r="O12" s="16">
        <f>武将升星!H$58+武将升星!H$59*J12</f>
        <v>100</v>
      </c>
      <c r="P12" s="16">
        <v>105</v>
      </c>
      <c r="Q12" s="16">
        <f>求节点(武将升星!$C$68:$C$76,武将升星!E$68:E$76,G12)</f>
        <v>0.15</v>
      </c>
      <c r="R12" s="16">
        <f>求节点(武将升星!$C$68:$C$76,武将升星!F$68:F$76,H12)</f>
        <v>0.38482959308482939</v>
      </c>
      <c r="S12" s="16">
        <f>求节点(武将升星!$C$68:$C$76,武将升星!G$68:G$76,I12)</f>
        <v>0.30686476349174463</v>
      </c>
      <c r="T12" s="16">
        <f>求节点(武将升星!$C$68:$C$76,武将升星!H$68:H$76,J12)</f>
        <v>0.5</v>
      </c>
      <c r="U12" s="16">
        <v>0.6</v>
      </c>
      <c r="X12" s="57"/>
      <c r="Y12" s="57"/>
      <c r="Z12" s="57"/>
      <c r="AA12" s="57"/>
      <c r="AB12" s="57"/>
      <c r="AC12" s="57"/>
      <c r="AD12" s="14"/>
      <c r="AE12" s="14"/>
      <c r="AF12" s="14"/>
      <c r="AG12" s="14"/>
      <c r="AH12" s="14"/>
      <c r="AI12" s="14"/>
      <c r="AJ12" s="14"/>
      <c r="AK12" s="14"/>
      <c r="AL12" s="105"/>
      <c r="AM12" s="105"/>
      <c r="AN12" s="105"/>
      <c r="AO12" s="105"/>
      <c r="AP12" s="105"/>
      <c r="AQ12" s="14"/>
      <c r="AR12" s="14"/>
      <c r="AS12" s="14"/>
      <c r="AT12" s="14"/>
      <c r="AU12" s="14"/>
      <c r="AV12" s="14"/>
    </row>
    <row r="13" spans="2:48" x14ac:dyDescent="0.15">
      <c r="D13" s="16">
        <v>10</v>
      </c>
      <c r="F13" s="16">
        <f>基础状态预期!C23</f>
        <v>30</v>
      </c>
      <c r="G13" s="16">
        <f>MIN(武将升星!E$14,求节点(武将升星!E$104:E$112,武将升星!$C$104:$C$112,武将数量星级阶位验证!BJ13/武将数量星级阶位验证!B$6))</f>
        <v>3</v>
      </c>
      <c r="H13" s="16">
        <f>MIN(武将升星!F$14,求节点(武将升星!F$104:F$112,武将升星!$C$104:$C$112,武将数量星级阶位验证!BK13/武将数量星级阶位验证!C$6))</f>
        <v>6</v>
      </c>
      <c r="I13" s="114">
        <f>求节点(武将升星!G$104:G$112,武将升星!$C$104:$C$112,MAX((武将数量星级阶位验证!BL13-武将数量星级阶位验证!BN13)/武将数量星级阶位验证!D$6+武将数量星级阶位验证!BN13/6,0))</f>
        <v>1.9889010593801029</v>
      </c>
      <c r="J13" s="71">
        <f>基础状态预期!O23</f>
        <v>0</v>
      </c>
      <c r="L13" s="16">
        <f>武将升星!E$58+武将升星!E$59*G13</f>
        <v>75</v>
      </c>
      <c r="M13" s="16">
        <f>武将升星!F$58+武将升星!F$59*H13</f>
        <v>100</v>
      </c>
      <c r="N13" s="16">
        <f>武将升星!G$58+武将升星!G$59*I13</f>
        <v>94.944505296900516</v>
      </c>
      <c r="O13" s="16">
        <f>武将升星!H$58+武将升星!H$59*J13</f>
        <v>100</v>
      </c>
      <c r="P13" s="16">
        <v>105</v>
      </c>
      <c r="Q13" s="16">
        <f>求节点(武将升星!$C$68:$C$76,武将升星!E$68:E$76,G13)</f>
        <v>0.15</v>
      </c>
      <c r="R13" s="16">
        <f>求节点(武将升星!$C$68:$C$76,武将升星!F$68:F$76,H13)</f>
        <v>0.39999999999999997</v>
      </c>
      <c r="S13" s="16">
        <f>求节点(武将升星!$C$68:$C$76,武将升星!G$68:G$76,I13)</f>
        <v>0.35920087627536745</v>
      </c>
      <c r="T13" s="16">
        <f>求节点(武将升星!$C$68:$C$76,武将升星!H$68:H$76,J13)</f>
        <v>0.5</v>
      </c>
      <c r="U13" s="16">
        <v>0.6</v>
      </c>
      <c r="X13" s="57"/>
      <c r="Y13" s="57"/>
      <c r="Z13" s="57"/>
      <c r="AA13" s="57"/>
      <c r="AB13" s="57"/>
      <c r="AC13" s="57"/>
      <c r="AD13" s="14"/>
      <c r="AE13" s="14"/>
      <c r="AF13" s="14"/>
      <c r="AG13" s="14"/>
      <c r="AH13" s="14"/>
      <c r="AI13" s="14"/>
      <c r="AJ13" s="14"/>
      <c r="AK13" s="14"/>
      <c r="AL13" s="105"/>
      <c r="AM13" s="105"/>
      <c r="AN13" s="105"/>
      <c r="AO13" s="105"/>
      <c r="AP13" s="105"/>
      <c r="AQ13" s="14"/>
      <c r="AR13" s="14"/>
      <c r="AS13" s="14"/>
      <c r="AT13" s="14"/>
      <c r="AU13" s="14"/>
      <c r="AV13" s="14"/>
    </row>
    <row r="14" spans="2:48" x14ac:dyDescent="0.15">
      <c r="D14" s="16">
        <v>11</v>
      </c>
      <c r="F14" s="16">
        <f>基础状态预期!C24</f>
        <v>40</v>
      </c>
      <c r="G14" s="16">
        <f>MIN(武将升星!E$14,求节点(武将升星!E$104:E$112,武将升星!$C$104:$C$112,武将数量星级阶位验证!BJ14/武将数量星级阶位验证!B$6))</f>
        <v>3</v>
      </c>
      <c r="H14" s="16">
        <f>MIN(武将升星!F$14,求节点(武将升星!F$104:F$112,武将升星!$C$104:$C$112,武将数量星级阶位验证!BK14/武将数量星级阶位验证!C$6))</f>
        <v>6</v>
      </c>
      <c r="I14" s="114">
        <f>求节点(武将升星!G$104:G$112,武将升星!$C$104:$C$112,MAX((武将数量星级阶位验证!BL14-武将数量星级阶位验证!BN14)/武将数量星级阶位验证!D$6+武将数量星级阶位验证!BN14/6,0))</f>
        <v>2.6685296853863125</v>
      </c>
      <c r="J14" s="71">
        <f>基础状态预期!O24</f>
        <v>0</v>
      </c>
      <c r="L14" s="16">
        <f>武将升星!E$58+武将升星!E$59*G14</f>
        <v>75</v>
      </c>
      <c r="M14" s="16">
        <f>武将升星!F$58+武将升星!F$59*H14</f>
        <v>100</v>
      </c>
      <c r="N14" s="16">
        <f>武将升星!G$58+武将升星!G$59*I14</f>
        <v>98.342648426931561</v>
      </c>
      <c r="O14" s="16">
        <f>武将升星!H$58+武将升星!H$59*J14</f>
        <v>100</v>
      </c>
      <c r="P14" s="16">
        <v>105.31524555752682</v>
      </c>
      <c r="Q14" s="16">
        <f>求节点(武将升星!$C$68:$C$76,武将升星!E$68:E$76,G14)</f>
        <v>0.15</v>
      </c>
      <c r="R14" s="16">
        <f>求节点(武将升星!$C$68:$C$76,武将升星!F$68:F$76,H14)</f>
        <v>0.39999999999999997</v>
      </c>
      <c r="S14" s="16">
        <f>求节点(武将升星!$C$68:$C$76,武将升星!G$68:G$76,I14)</f>
        <v>0.40813413734781456</v>
      </c>
      <c r="T14" s="16">
        <f>求节点(武将升星!$C$68:$C$76,武将升星!H$68:H$76,J14)</f>
        <v>0.5</v>
      </c>
      <c r="U14" s="16">
        <v>0.60472868336290242</v>
      </c>
      <c r="X14" s="57"/>
      <c r="Y14" s="57"/>
      <c r="Z14" s="57"/>
      <c r="AA14" s="57"/>
      <c r="AB14" s="57"/>
      <c r="AC14" s="57"/>
      <c r="AD14" s="14"/>
      <c r="AE14" s="14"/>
      <c r="AF14" s="14"/>
      <c r="AG14" s="14"/>
      <c r="AH14" s="14"/>
      <c r="AI14" s="14"/>
      <c r="AJ14" s="14"/>
      <c r="AK14" s="14"/>
      <c r="AL14" s="105"/>
      <c r="AM14" s="105"/>
      <c r="AN14" s="105"/>
      <c r="AO14" s="105"/>
      <c r="AP14" s="105"/>
      <c r="AQ14" s="14"/>
      <c r="AR14" s="14"/>
      <c r="AS14" s="14"/>
      <c r="AT14" s="14"/>
      <c r="AU14" s="14"/>
      <c r="AV14" s="14"/>
    </row>
    <row r="15" spans="2:48" x14ac:dyDescent="0.15">
      <c r="D15" s="16">
        <v>12</v>
      </c>
      <c r="F15" s="16">
        <f>基础状态预期!C25</f>
        <v>60</v>
      </c>
      <c r="G15" s="16">
        <f>MIN(武将升星!E$14,求节点(武将升星!E$104:E$112,武将升星!$C$104:$C$112,武将数量星级阶位验证!BJ15/武将数量星级阶位验证!B$6))</f>
        <v>3</v>
      </c>
      <c r="H15" s="16">
        <f>MIN(武将升星!F$14,求节点(武将升星!F$104:F$112,武将升星!$C$104:$C$112,武将数量星级阶位验证!BK15/武将数量星级阶位验证!C$6))</f>
        <v>6</v>
      </c>
      <c r="I15" s="114">
        <f>求节点(武将升星!G$104:G$112,武将升星!$C$104:$C$112,MAX((武将数量星级阶位验证!BL15-武将数量星级阶位验证!BN15)/武将数量星级阶位验证!D$6+武将数量星级阶位验证!BN15/6,0))</f>
        <v>3.3339508197876575</v>
      </c>
      <c r="J15" s="71">
        <f>基础状态预期!O25</f>
        <v>0.52661512620567796</v>
      </c>
      <c r="L15" s="16">
        <f>武将升星!E$58+武将升星!E$59*G15</f>
        <v>75</v>
      </c>
      <c r="M15" s="16">
        <f>武将升星!F$58+武将升星!F$59*H15</f>
        <v>100</v>
      </c>
      <c r="N15" s="16">
        <f>武将升星!G$58+武将升星!G$59*I15</f>
        <v>101.66975409893828</v>
      </c>
      <c r="O15" s="16">
        <f>武将升星!H$58+武将升星!H$59*J15</f>
        <v>103.15969075723407</v>
      </c>
      <c r="P15" s="16">
        <v>112.58443952927186</v>
      </c>
      <c r="Q15" s="16">
        <f>求节点(武将升星!$C$68:$C$76,武将升星!E$68:E$76,G15)</f>
        <v>0.15</v>
      </c>
      <c r="R15" s="16">
        <f>求节点(武将升星!$C$68:$C$76,武将升星!F$68:F$76,H15)</f>
        <v>0.39999999999999997</v>
      </c>
      <c r="S15" s="16">
        <f>求节点(武将升星!$C$68:$C$76,武将升星!G$68:G$76,I15)</f>
        <v>0.45604445902471136</v>
      </c>
      <c r="T15" s="16">
        <f>求节点(武将升星!$C$68:$C$76,武将升星!H$68:H$76,J15)</f>
        <v>0.54212921009645421</v>
      </c>
      <c r="U15" s="16">
        <v>0.71376659293907796</v>
      </c>
      <c r="X15" s="57"/>
      <c r="Y15" s="57"/>
      <c r="Z15" s="57"/>
      <c r="AA15" s="57"/>
      <c r="AB15" s="57"/>
      <c r="AC15" s="57"/>
      <c r="AD15" s="14"/>
      <c r="AE15" s="14"/>
      <c r="AF15" s="14"/>
      <c r="AG15" s="14"/>
      <c r="AH15" s="14"/>
      <c r="AI15" s="14"/>
      <c r="AJ15" s="14"/>
      <c r="AK15" s="14"/>
      <c r="AL15" s="105"/>
      <c r="AM15" s="105"/>
      <c r="AN15" s="105"/>
      <c r="AO15" s="105"/>
      <c r="AP15" s="105"/>
      <c r="AQ15" s="14"/>
      <c r="AR15" s="14"/>
      <c r="AS15" s="14"/>
      <c r="AT15" s="14"/>
      <c r="AU15" s="14"/>
      <c r="AV15" s="14"/>
    </row>
    <row r="16" spans="2:48" x14ac:dyDescent="0.15">
      <c r="D16" s="16">
        <v>13</v>
      </c>
      <c r="F16" s="16">
        <f>基础状态预期!C26</f>
        <v>90</v>
      </c>
      <c r="G16" s="16">
        <f>MIN(武将升星!E$14,求节点(武将升星!E$104:E$112,武将升星!$C$104:$C$112,武将数量星级阶位验证!BJ16/武将数量星级阶位验证!B$6))</f>
        <v>3</v>
      </c>
      <c r="H16" s="16">
        <f>MIN(武将升星!F$14,求节点(武将升星!F$104:F$112,武将升星!$C$104:$C$112,武将数量星级阶位验证!BK16/武将数量星级阶位验证!C$6))</f>
        <v>6</v>
      </c>
      <c r="I16" s="114">
        <f>求节点(武将升星!G$104:G$112,武将升星!$C$104:$C$112,MAX((武将数量星级阶位验证!BL16-武将数量星级阶位验证!BN16)/武将数量星级阶位验证!D$6+武将数量星级阶位验证!BN16/6,0))</f>
        <v>3.69666637301478</v>
      </c>
      <c r="J16" s="71">
        <f>基础状态预期!O26</f>
        <v>2.1886991991130458</v>
      </c>
      <c r="L16" s="16">
        <f>武将升星!E$58+武将升星!E$59*G16</f>
        <v>75</v>
      </c>
      <c r="M16" s="16">
        <f>武将升星!F$58+武将升星!F$59*H16</f>
        <v>100</v>
      </c>
      <c r="N16" s="16">
        <f>武将升星!G$58+武将升星!G$59*I16</f>
        <v>103.48333186507389</v>
      </c>
      <c r="O16" s="16">
        <f>武将升星!H$58+武将升星!H$59*J16</f>
        <v>113.13219519467827</v>
      </c>
      <c r="P16" s="16">
        <v>125.18828266998014</v>
      </c>
      <c r="Q16" s="16">
        <f>求节点(武将升星!$C$68:$C$76,武将升星!E$68:E$76,G16)</f>
        <v>0.15</v>
      </c>
      <c r="R16" s="16">
        <f>求节点(武将升星!$C$68:$C$76,武将升星!F$68:F$76,H16)</f>
        <v>0.39999999999999997</v>
      </c>
      <c r="S16" s="16">
        <f>求节点(武将升星!$C$68:$C$76,武将升星!G$68:G$76,I16)</f>
        <v>0.48215997885706419</v>
      </c>
      <c r="T16" s="16">
        <f>求节点(武将升星!$C$68:$C$76,武将升星!H$68:H$76,J16)</f>
        <v>0.6750959359290436</v>
      </c>
      <c r="U16" s="16">
        <v>0.90282424004970185</v>
      </c>
      <c r="X16" s="57"/>
      <c r="Y16" s="57"/>
      <c r="Z16" s="57"/>
      <c r="AA16" s="57"/>
      <c r="AB16" s="57"/>
      <c r="AC16" s="57"/>
      <c r="AD16" s="14"/>
      <c r="AE16" s="14"/>
      <c r="AF16" s="14"/>
      <c r="AG16" s="14"/>
      <c r="AH16" s="14"/>
      <c r="AI16" s="14"/>
      <c r="AJ16" s="14"/>
      <c r="AK16" s="14"/>
      <c r="AL16" s="105"/>
      <c r="AM16" s="105"/>
      <c r="AN16" s="105"/>
      <c r="AO16" s="105"/>
      <c r="AP16" s="105"/>
      <c r="AQ16" s="14"/>
      <c r="AR16" s="14"/>
      <c r="AS16" s="14"/>
      <c r="AT16" s="14"/>
      <c r="AU16" s="14"/>
      <c r="AV16" s="14"/>
    </row>
    <row r="17" spans="4:48" x14ac:dyDescent="0.15">
      <c r="D17" s="16">
        <v>14</v>
      </c>
      <c r="F17" s="16">
        <f>基础状态预期!C27</f>
        <v>120</v>
      </c>
      <c r="G17" s="16">
        <f>MIN(武将升星!E$14,求节点(武将升星!E$104:E$112,武将升星!$C$104:$C$112,武将数量星级阶位验证!BJ17/武将数量星级阶位验证!B$6))</f>
        <v>3</v>
      </c>
      <c r="H17" s="16">
        <f>MIN(武将升星!F$14,求节点(武将升星!F$104:F$112,武将升星!$C$104:$C$112,武将数量星级阶位验证!BK17/武将数量星级阶位验证!C$6))</f>
        <v>6</v>
      </c>
      <c r="I17" s="114">
        <f>求节点(武将升星!G$104:G$112,武将升星!$C$104:$C$112,MAX((武将数量星级阶位验证!BL17-武将数量星级阶位验证!BN17)/武将数量星级阶位验证!D$6+武将数量星级阶位验证!BN17/6,0))</f>
        <v>3.9789036831015889</v>
      </c>
      <c r="J17" s="71">
        <f>基础状态预期!O27</f>
        <v>2.4798663545004613</v>
      </c>
      <c r="L17" s="16">
        <f>武将升星!E$58+武将升星!E$59*G17</f>
        <v>75</v>
      </c>
      <c r="M17" s="16">
        <f>武将升星!F$58+武将升星!F$59*H17</f>
        <v>100</v>
      </c>
      <c r="N17" s="16">
        <f>武将升星!G$58+武将升星!G$59*I17</f>
        <v>104.89451841550795</v>
      </c>
      <c r="O17" s="16">
        <f>武将升星!H$58+武将升星!H$59*J17</f>
        <v>114.87919812700277</v>
      </c>
      <c r="P17" s="16">
        <v>125.89458771925587</v>
      </c>
      <c r="Q17" s="16">
        <f>求节点(武将升星!$C$68:$C$76,武将升星!E$68:E$76,G17)</f>
        <v>0.15</v>
      </c>
      <c r="R17" s="16">
        <f>求节点(武将升星!$C$68:$C$76,武将升星!F$68:F$76,H17)</f>
        <v>0.39999999999999997</v>
      </c>
      <c r="S17" s="16">
        <f>求节点(武将升星!$C$68:$C$76,武将升星!G$68:G$76,I17)</f>
        <v>0.50248106518331437</v>
      </c>
      <c r="T17" s="16">
        <f>求节点(武将升星!$C$68:$C$76,武将升星!H$68:H$76,J17)</f>
        <v>0.69838930836003676</v>
      </c>
      <c r="U17" s="16">
        <v>0.91341881578883799</v>
      </c>
      <c r="X17" s="57"/>
      <c r="Y17" s="57"/>
      <c r="Z17" s="57"/>
      <c r="AA17" s="57"/>
      <c r="AB17" s="57"/>
      <c r="AC17" s="57"/>
      <c r="AD17" s="14"/>
      <c r="AE17" s="14"/>
      <c r="AF17" s="14"/>
      <c r="AG17" s="14"/>
      <c r="AH17" s="14"/>
      <c r="AI17" s="14"/>
      <c r="AJ17" s="14"/>
      <c r="AK17" s="14"/>
      <c r="AL17" s="105"/>
      <c r="AM17" s="105"/>
      <c r="AN17" s="105"/>
      <c r="AO17" s="105"/>
      <c r="AP17" s="105"/>
      <c r="AQ17" s="14"/>
      <c r="AR17" s="14"/>
      <c r="AS17" s="14"/>
      <c r="AT17" s="14"/>
      <c r="AU17" s="14"/>
      <c r="AV17" s="14"/>
    </row>
    <row r="18" spans="4:48" x14ac:dyDescent="0.15">
      <c r="D18" s="16">
        <v>15</v>
      </c>
      <c r="F18" s="16">
        <f>基础状态预期!C28</f>
        <v>150</v>
      </c>
      <c r="G18" s="16">
        <f>MIN(武将升星!E$14,求节点(武将升星!E$104:E$112,武将升星!$C$104:$C$112,武将数量星级阶位验证!BJ18/武将数量星级阶位验证!B$6))</f>
        <v>3</v>
      </c>
      <c r="H18" s="16">
        <f>MIN(武将升星!F$14,求节点(武将升星!F$104:F$112,武将升星!$C$104:$C$112,武将数量星级阶位验证!BK18/武将数量星级阶位验证!C$6))</f>
        <v>6</v>
      </c>
      <c r="I18" s="114">
        <f>求节点(武将升星!G$104:G$112,武将升星!$C$104:$C$112,MAX((武将数量星级阶位验证!BL18-武将数量星级阶位验证!BN18)/武将数量星级阶位验证!D$6+武将数量星级阶位验证!BN18/6,0))</f>
        <v>4.255901976026812</v>
      </c>
      <c r="J18" s="71">
        <f>基础状态预期!O28</f>
        <v>2.6264505889657337</v>
      </c>
      <c r="L18" s="16">
        <f>武将升星!E$58+武将升星!E$59*G18</f>
        <v>75</v>
      </c>
      <c r="M18" s="16">
        <f>武将升星!F$58+武将升星!F$59*H18</f>
        <v>100</v>
      </c>
      <c r="N18" s="16">
        <f>武将升星!G$58+武将升星!G$59*I18</f>
        <v>106.27950988013406</v>
      </c>
      <c r="O18" s="16">
        <f>武将升星!H$58+武将升星!H$59*J18</f>
        <v>115.7587035337944</v>
      </c>
      <c r="P18" s="16">
        <v>126.20100548510575</v>
      </c>
      <c r="Q18" s="16">
        <f>求节点(武将升星!$C$68:$C$76,武将升星!E$68:E$76,G18)</f>
        <v>0.15</v>
      </c>
      <c r="R18" s="16">
        <f>求节点(武将升星!$C$68:$C$76,武将升星!F$68:F$76,H18)</f>
        <v>0.39999999999999997</v>
      </c>
      <c r="S18" s="16">
        <f>求节点(武将升星!$C$68:$C$76,武将升星!G$68:G$76,I18)</f>
        <v>0.52242494227393044</v>
      </c>
      <c r="T18" s="16">
        <f>求节点(武将升星!$C$68:$C$76,武将升星!H$68:H$76,J18)</f>
        <v>0.71011604711725862</v>
      </c>
      <c r="U18" s="16">
        <v>0.91801508227658624</v>
      </c>
      <c r="X18" s="57"/>
      <c r="Y18" s="57"/>
      <c r="Z18" s="57"/>
      <c r="AA18" s="57"/>
      <c r="AB18" s="57"/>
      <c r="AC18" s="57"/>
      <c r="AD18" s="14"/>
      <c r="AE18" s="14"/>
      <c r="AF18" s="14"/>
      <c r="AG18" s="14"/>
      <c r="AH18" s="14"/>
      <c r="AI18" s="14"/>
      <c r="AJ18" s="14"/>
      <c r="AK18" s="14"/>
      <c r="AL18" s="105"/>
      <c r="AM18" s="105"/>
      <c r="AN18" s="105"/>
      <c r="AO18" s="105"/>
      <c r="AP18" s="105"/>
      <c r="AQ18" s="14"/>
      <c r="AR18" s="14"/>
      <c r="AS18" s="14"/>
      <c r="AT18" s="14"/>
      <c r="AU18" s="14"/>
      <c r="AV18" s="14"/>
    </row>
    <row r="19" spans="4:48" x14ac:dyDescent="0.15">
      <c r="D19" s="16">
        <v>16</v>
      </c>
      <c r="F19" s="16">
        <f>基础状态预期!C29</f>
        <v>180</v>
      </c>
      <c r="G19" s="16">
        <f>MIN(武将升星!E$14,求节点(武将升星!E$104:E$112,武将升星!$C$104:$C$112,武将数量星级阶位验证!BJ19/武将数量星级阶位验证!B$6))</f>
        <v>3</v>
      </c>
      <c r="H19" s="16">
        <f>MIN(武将升星!F$14,求节点(武将升星!F$104:F$112,武将升星!$C$104:$C$112,武将数量星级阶位验证!BK19/武将数量星级阶位验证!C$6))</f>
        <v>6</v>
      </c>
      <c r="I19" s="114">
        <f>求节点(武将升星!G$104:G$112,武将升星!$C$104:$C$112,MAX((武将数量星级阶位验证!BL19-武将数量星级阶位验证!BN19)/武将数量星级阶位验证!D$6+武将数量星级阶位验证!BN19/6,0))</f>
        <v>4.5246408126739306</v>
      </c>
      <c r="J19" s="71">
        <f>基础状态预期!O29</f>
        <v>3.011219248017547</v>
      </c>
      <c r="L19" s="16">
        <f>武将升星!E$58+武将升星!E$59*G19</f>
        <v>75</v>
      </c>
      <c r="M19" s="16">
        <f>武将升星!F$58+武将升星!F$59*H19</f>
        <v>100</v>
      </c>
      <c r="N19" s="16">
        <f>武将升星!G$58+武将升星!G$59*I19</f>
        <v>107.62320406336966</v>
      </c>
      <c r="O19" s="16">
        <f>武将升星!H$58+武将升星!H$59*J19</f>
        <v>118.06731548810528</v>
      </c>
      <c r="P19" s="16">
        <v>127.6495635336278</v>
      </c>
      <c r="Q19" s="16">
        <f>求节点(武将升星!$C$68:$C$76,武将升星!E$68:E$76,G19)</f>
        <v>0.15</v>
      </c>
      <c r="R19" s="16">
        <f>求节点(武将升星!$C$68:$C$76,武将升星!F$68:F$76,H19)</f>
        <v>0.39999999999999997</v>
      </c>
      <c r="S19" s="16">
        <f>求节点(武将升星!$C$68:$C$76,武将升星!G$68:G$76,I19)</f>
        <v>0.54177413851252298</v>
      </c>
      <c r="T19" s="16">
        <f>求节点(武将升星!$C$68:$C$76,武将升星!H$68:H$76,J19)</f>
        <v>0.74089753984140361</v>
      </c>
      <c r="U19" s="16">
        <v>0.93974345300441686</v>
      </c>
      <c r="X19" s="57"/>
      <c r="Y19" s="57"/>
      <c r="Z19" s="57"/>
      <c r="AA19" s="57"/>
      <c r="AB19" s="57"/>
      <c r="AC19" s="57"/>
      <c r="AD19" s="14"/>
      <c r="AE19" s="14"/>
      <c r="AF19" s="14"/>
      <c r="AG19" s="14"/>
      <c r="AH19" s="14"/>
      <c r="AI19" s="14"/>
      <c r="AJ19" s="14"/>
      <c r="AK19" s="14"/>
      <c r="AL19" s="105"/>
      <c r="AM19" s="105"/>
      <c r="AN19" s="105"/>
      <c r="AO19" s="105"/>
      <c r="AP19" s="105"/>
      <c r="AQ19" s="14"/>
      <c r="AR19" s="14"/>
      <c r="AS19" s="14"/>
      <c r="AT19" s="14"/>
      <c r="AU19" s="14"/>
      <c r="AV19" s="14"/>
    </row>
    <row r="20" spans="4:48" x14ac:dyDescent="0.15">
      <c r="D20" s="16">
        <v>17</v>
      </c>
      <c r="F20" s="16">
        <f>基础状态预期!C30</f>
        <v>220</v>
      </c>
      <c r="G20" s="16">
        <f>MIN(武将升星!E$14,求节点(武将升星!E$104:E$112,武将升星!$C$104:$C$112,武将数量星级阶位验证!BJ20/武将数量星级阶位验证!B$6))</f>
        <v>3</v>
      </c>
      <c r="H20" s="16">
        <f>MIN(武将升星!F$14,求节点(武将升星!F$104:F$112,武将升星!$C$104:$C$112,武将数量星级阶位验证!BK20/武将数量星级阶位验证!C$6))</f>
        <v>6</v>
      </c>
      <c r="I20" s="114">
        <f>求节点(武将升星!G$104:G$112,武将升星!$C$104:$C$112,MAX((武将数量星级阶位验证!BL20-武将数量星级阶位验证!BN20)/武将数量星级阶位验证!D$6+武将数量星级阶位验证!BN20/6,0))</f>
        <v>4.8612699218201847</v>
      </c>
      <c r="J20" s="71">
        <f>基础状态预期!O30</f>
        <v>3.2385799575236818</v>
      </c>
      <c r="L20" s="16">
        <f>武将升星!E$58+武将升星!E$59*G20</f>
        <v>75</v>
      </c>
      <c r="M20" s="16">
        <f>武将升星!F$58+武将升星!F$59*H20</f>
        <v>100</v>
      </c>
      <c r="N20" s="16">
        <f>武将升星!G$58+武将升星!G$59*I20</f>
        <v>109.30634960910092</v>
      </c>
      <c r="O20" s="16">
        <f>武将升星!H$58+武将升星!H$59*J20</f>
        <v>119.4314797451421</v>
      </c>
      <c r="P20" s="16">
        <v>130.34883700165639</v>
      </c>
      <c r="Q20" s="16">
        <f>求节点(武将升星!$C$68:$C$76,武将升星!E$68:E$76,G20)</f>
        <v>0.15</v>
      </c>
      <c r="R20" s="16">
        <f>求节点(武将升星!$C$68:$C$76,武将升星!F$68:F$76,H20)</f>
        <v>0.39999999999999997</v>
      </c>
      <c r="S20" s="16">
        <f>求节点(武将升星!$C$68:$C$76,武将升星!G$68:G$76,I20)</f>
        <v>0.56601143437105339</v>
      </c>
      <c r="T20" s="16">
        <f>求节点(武将升星!$C$68:$C$76,武将升星!H$68:H$76,J20)</f>
        <v>0.75908639660189436</v>
      </c>
      <c r="U20" s="16">
        <v>0.98023255502484574</v>
      </c>
      <c r="X20" s="57"/>
      <c r="Y20" s="57"/>
      <c r="Z20" s="57"/>
      <c r="AA20" s="57"/>
      <c r="AB20" s="57"/>
      <c r="AC20" s="57"/>
      <c r="AD20" s="14"/>
      <c r="AE20" s="14"/>
      <c r="AF20" s="14"/>
      <c r="AG20" s="14"/>
      <c r="AH20" s="14"/>
      <c r="AI20" s="14"/>
      <c r="AJ20" s="14"/>
      <c r="AK20" s="14"/>
      <c r="AL20" s="105"/>
      <c r="AM20" s="105"/>
      <c r="AN20" s="105"/>
      <c r="AO20" s="105"/>
      <c r="AP20" s="105"/>
      <c r="AQ20" s="14"/>
      <c r="AR20" s="14"/>
      <c r="AS20" s="14"/>
      <c r="AT20" s="14"/>
      <c r="AU20" s="14"/>
      <c r="AV20" s="14"/>
    </row>
    <row r="21" spans="4:48" x14ac:dyDescent="0.15">
      <c r="D21" s="16">
        <v>18</v>
      </c>
      <c r="F21" s="16">
        <f>基础状态预期!C31</f>
        <v>260</v>
      </c>
      <c r="G21" s="16">
        <f>MIN(武将升星!E$14,求节点(武将升星!E$104:E$112,武将升星!$C$104:$C$112,武将数量星级阶位验证!BJ21/武将数量星级阶位验证!B$6))</f>
        <v>3</v>
      </c>
      <c r="H21" s="16">
        <f>MIN(武将升星!F$14,求节点(武将升星!F$104:F$112,武将升星!$C$104:$C$112,武将数量星级阶位验证!BK21/武将数量星级阶位验证!C$6))</f>
        <v>6</v>
      </c>
      <c r="I21" s="114">
        <f>求节点(武将升星!G$104:G$112,武将升星!$C$104:$C$112,MAX((武将数量星级阶位验证!BL21-武将数量星级阶位验证!BN21)/武将数量星级阶位验证!D$6+武将数量星级阶位验证!BN21/6,0))</f>
        <v>5.124898634747276</v>
      </c>
      <c r="J21" s="71">
        <f>基础状态预期!O31</f>
        <v>3.6099488863905886</v>
      </c>
      <c r="L21" s="16">
        <f>武将升星!E$58+武将升星!E$59*G21</f>
        <v>75</v>
      </c>
      <c r="M21" s="16">
        <f>武将升星!F$58+武将升星!F$59*H21</f>
        <v>100</v>
      </c>
      <c r="N21" s="16">
        <f>武将升星!G$58+武将升星!G$59*I21</f>
        <v>110.62449317373638</v>
      </c>
      <c r="O21" s="16">
        <f>武将升星!H$58+武将升星!H$59*J21</f>
        <v>121.65969331834353</v>
      </c>
      <c r="P21" s="16">
        <v>134.19540918369023</v>
      </c>
      <c r="Q21" s="16">
        <f>求节点(武将升星!$C$68:$C$76,武将升星!E$68:E$76,G21)</f>
        <v>0.15</v>
      </c>
      <c r="R21" s="16">
        <f>求节点(武将升星!$C$68:$C$76,武将升星!F$68:F$76,H21)</f>
        <v>0.39999999999999997</v>
      </c>
      <c r="S21" s="16">
        <f>求节点(武将升星!$C$68:$C$76,武将升星!G$68:G$76,I21)</f>
        <v>0.58499270170180395</v>
      </c>
      <c r="T21" s="16">
        <f>求节点(武将升星!$C$68:$C$76,武将升星!H$68:H$76,J21)</f>
        <v>0.7887959109112469</v>
      </c>
      <c r="U21" s="16">
        <v>1.0379311377553533</v>
      </c>
      <c r="X21" s="57"/>
      <c r="Y21" s="57"/>
      <c r="Z21" s="57"/>
      <c r="AA21" s="57"/>
      <c r="AB21" s="57"/>
      <c r="AC21" s="57"/>
      <c r="AD21" s="14"/>
      <c r="AE21" s="14"/>
      <c r="AF21" s="14"/>
      <c r="AG21" s="14"/>
      <c r="AH21" s="14"/>
      <c r="AI21" s="14"/>
      <c r="AJ21" s="14"/>
      <c r="AK21" s="14"/>
      <c r="AL21" s="105"/>
      <c r="AM21" s="105"/>
      <c r="AN21" s="105"/>
      <c r="AO21" s="105"/>
      <c r="AP21" s="105"/>
      <c r="AQ21" s="14"/>
      <c r="AR21" s="14"/>
      <c r="AS21" s="14"/>
      <c r="AT21" s="14"/>
      <c r="AU21" s="14"/>
      <c r="AV21" s="14"/>
    </row>
    <row r="22" spans="4:48" x14ac:dyDescent="0.15">
      <c r="D22" s="16">
        <v>19</v>
      </c>
      <c r="F22" s="16">
        <f>基础状态预期!C32</f>
        <v>300</v>
      </c>
      <c r="G22" s="16">
        <f>MIN(武将升星!E$14,求节点(武将升星!E$104:E$112,武将升星!$C$104:$C$112,武将数量星级阶位验证!BJ22/武将数量星级阶位验证!B$6))</f>
        <v>3</v>
      </c>
      <c r="H22" s="16">
        <f>MIN(武将升星!F$14,求节点(武将升星!F$104:F$112,武将升星!$C$104:$C$112,武将数量星级阶位验证!BK22/武将数量星级阶位验证!C$6))</f>
        <v>6</v>
      </c>
      <c r="I22" s="114">
        <f>求节点(武将升星!G$104:G$112,武将升星!$C$104:$C$112,MAX((武将数量星级阶位验证!BL22-武将数量星级阶位验证!BN22)/武将数量星级阶位验证!D$6+武将数量星级阶位验证!BN22/6,0))</f>
        <v>5.344719496535407</v>
      </c>
      <c r="J22" s="71">
        <f>基础状态预期!O32</f>
        <v>3.9894869158604984</v>
      </c>
      <c r="L22" s="16">
        <f>武将升星!E$58+武将升星!E$59*G22</f>
        <v>75</v>
      </c>
      <c r="M22" s="16">
        <f>武将升星!F$58+武将升星!F$59*H22</f>
        <v>100</v>
      </c>
      <c r="N22" s="16">
        <f>武将升星!G$58+武将升星!G$59*I22</f>
        <v>111.72359748267704</v>
      </c>
      <c r="O22" s="16">
        <f>武将升星!H$58+武将升星!H$59*J22</f>
        <v>123.93692149516299</v>
      </c>
      <c r="P22" s="16">
        <v>137.05039092325225</v>
      </c>
      <c r="Q22" s="16">
        <f>求节点(武将升星!$C$68:$C$76,武将升星!E$68:E$76,G22)</f>
        <v>0.15</v>
      </c>
      <c r="R22" s="16">
        <f>求节点(武将升星!$C$68:$C$76,武将升星!F$68:F$76,H22)</f>
        <v>0.39999999999999997</v>
      </c>
      <c r="S22" s="16">
        <f>求节点(武将升星!$C$68:$C$76,武将升星!G$68:G$76,I22)</f>
        <v>0.60081980375054944</v>
      </c>
      <c r="T22" s="16">
        <f>求节点(武将升星!$C$68:$C$76,武将升星!H$68:H$76,J22)</f>
        <v>0.8191589532688397</v>
      </c>
      <c r="U22" s="16">
        <v>1.0807558638487835</v>
      </c>
      <c r="X22" s="57"/>
      <c r="Y22" s="57"/>
      <c r="Z22" s="57"/>
      <c r="AA22" s="57"/>
      <c r="AB22" s="57"/>
      <c r="AC22" s="57"/>
      <c r="AD22" s="14"/>
      <c r="AE22" s="14"/>
      <c r="AF22" s="14"/>
      <c r="AG22" s="14"/>
      <c r="AH22" s="14"/>
      <c r="AI22" s="14"/>
      <c r="AJ22" s="14"/>
      <c r="AK22" s="14"/>
      <c r="AL22" s="105"/>
      <c r="AM22" s="105"/>
      <c r="AN22" s="105"/>
      <c r="AO22" s="105"/>
      <c r="AP22" s="105"/>
      <c r="AQ22" s="14"/>
      <c r="AR22" s="14"/>
      <c r="AS22" s="14"/>
      <c r="AT22" s="14"/>
      <c r="AU22" s="14"/>
      <c r="AV22" s="14"/>
    </row>
    <row r="23" spans="4:48" x14ac:dyDescent="0.15">
      <c r="D23" s="16">
        <v>20</v>
      </c>
      <c r="F23" s="16">
        <f>基础状态预期!C33</f>
        <v>340</v>
      </c>
      <c r="G23" s="16">
        <f>MIN(武将升星!E$14,求节点(武将升星!E$104:E$112,武将升星!$C$104:$C$112,武将数量星级阶位验证!BJ23/武将数量星级阶位验证!B$6))</f>
        <v>3</v>
      </c>
      <c r="H23" s="16">
        <f>MIN(武将升星!F$14,求节点(武将升星!F$104:F$112,武将升星!$C$104:$C$112,武将数量星级阶位验证!BK23/武将数量星级阶位验证!C$6))</f>
        <v>6</v>
      </c>
      <c r="I23" s="114">
        <f>求节点(武将升星!G$104:G$112,武将升星!$C$104:$C$112,MAX((武将数量星级阶位验证!BL23-武将数量星级阶位验证!BN23)/武将数量星级阶位验证!D$6+武将数量星级阶位验证!BN23/6,0))</f>
        <v>5.5587781856737939</v>
      </c>
      <c r="J23" s="71">
        <f>基础状态预期!O33</f>
        <v>4.3496976579010624</v>
      </c>
      <c r="L23" s="16">
        <f>武将升星!E$58+武将升星!E$59*G23</f>
        <v>75</v>
      </c>
      <c r="M23" s="16">
        <f>武将升星!F$58+武将升星!F$59*H23</f>
        <v>100</v>
      </c>
      <c r="N23" s="16">
        <f>武将升星!G$58+武将升星!G$59*I23</f>
        <v>112.79389092836897</v>
      </c>
      <c r="O23" s="16">
        <f>武将升星!H$58+武将升星!H$59*J23</f>
        <v>126.09818594740638</v>
      </c>
      <c r="P23" s="16">
        <v>139.90537266281399</v>
      </c>
      <c r="Q23" s="16">
        <f>求节点(武将升星!$C$68:$C$76,武将升星!E$68:E$76,G23)</f>
        <v>0.15</v>
      </c>
      <c r="R23" s="16">
        <f>求节点(武将升星!$C$68:$C$76,武将升星!F$68:F$76,H23)</f>
        <v>0.39999999999999997</v>
      </c>
      <c r="S23" s="16">
        <f>求节点(武将升星!$C$68:$C$76,武将升星!G$68:G$76,I23)</f>
        <v>0.61623202936851329</v>
      </c>
      <c r="T23" s="16">
        <f>求节点(武将升星!$C$68:$C$76,武将升星!H$68:H$76,J23)</f>
        <v>0.84797581263208477</v>
      </c>
      <c r="U23" s="16">
        <v>1.12358058994221</v>
      </c>
    </row>
    <row r="24" spans="4:48" x14ac:dyDescent="0.15">
      <c r="D24" s="16">
        <v>21</v>
      </c>
      <c r="F24" s="16">
        <f>基础状态预期!C34</f>
        <v>400</v>
      </c>
      <c r="G24" s="16">
        <f>MIN(武将升星!E$14,求节点(武将升星!E$104:E$112,武将升星!$C$104:$C$112,武将数量星级阶位验证!BJ24/武将数量星级阶位验证!B$6))</f>
        <v>3</v>
      </c>
      <c r="H24" s="16">
        <f>MIN(武将升星!F$14,求节点(武将升星!F$104:F$112,武将升星!$C$104:$C$112,武将数量星级阶位验证!BK24/武将数量星级阶位验证!C$6))</f>
        <v>6</v>
      </c>
      <c r="I24" s="114">
        <f>求节点(武将升星!G$104:G$112,武将升星!$C$104:$C$112,MAX((武将数量星级阶位验证!BL24-武将数量星级阶位验证!BN24)/武将数量星级阶位验证!D$6+武将数量星级阶位验证!BN24/6,0))</f>
        <v>5.8676252422862207</v>
      </c>
      <c r="J24" s="71">
        <f>基础状态预期!O34</f>
        <v>4.8489554936219079</v>
      </c>
      <c r="L24" s="16">
        <f>武将升星!E$58+武将升星!E$59*G24</f>
        <v>75</v>
      </c>
      <c r="M24" s="16">
        <f>武将升星!F$58+武将升星!F$59*H24</f>
        <v>100</v>
      </c>
      <c r="N24" s="16">
        <f>武将升星!G$58+武将升星!G$59*I24</f>
        <v>114.3381262114311</v>
      </c>
      <c r="O24" s="16">
        <f>武将升星!H$58+武将升星!H$59*J24</f>
        <v>129.09373296173146</v>
      </c>
      <c r="P24" s="16">
        <v>142.76035440237601</v>
      </c>
      <c r="Q24" s="16">
        <f>求节点(武将升星!$C$68:$C$76,武将升星!E$68:E$76,G24)</f>
        <v>0.15</v>
      </c>
      <c r="R24" s="16">
        <f>求节点(武将升星!$C$68:$C$76,武将升星!F$68:F$76,H24)</f>
        <v>0.39999999999999997</v>
      </c>
      <c r="S24" s="16">
        <f>求节点(武将升星!$C$68:$C$76,武将升星!G$68:G$76,I24)</f>
        <v>0.63846901744460804</v>
      </c>
      <c r="T24" s="16">
        <f>求节点(武将升星!$C$68:$C$76,武将升星!H$68:H$76,J24)</f>
        <v>0.88791643948975241</v>
      </c>
      <c r="U24" s="16">
        <v>1.16640531603564</v>
      </c>
    </row>
    <row r="25" spans="4:48" x14ac:dyDescent="0.15">
      <c r="D25" s="16">
        <v>22</v>
      </c>
      <c r="F25" s="16">
        <f>基础状态预期!C35</f>
        <v>520</v>
      </c>
      <c r="G25" s="16">
        <f>MIN(武将升星!E$14,求节点(武将升星!E$104:E$112,武将升星!$C$104:$C$112,武将数量星级阶位验证!BJ25/武将数量星级阶位验证!B$6))</f>
        <v>3</v>
      </c>
      <c r="H25" s="16">
        <f>MIN(武将升星!F$14,求节点(武将升星!F$104:F$112,武将升星!$C$104:$C$112,武将数量星级阶位验证!BK25/武将数量星级阶位验证!C$6))</f>
        <v>6</v>
      </c>
      <c r="I25" s="114">
        <f>求节点(武将升星!G$104:G$112,武将升星!$C$104:$C$112,MAX((武将数量星级阶位验证!BL25-武将数量星级阶位验证!BN25)/武将数量星级阶位验证!D$6+武将数量星级阶位验证!BN25/6,0))</f>
        <v>6.460698588898274</v>
      </c>
      <c r="J25" s="71">
        <f>基础状态预期!O35</f>
        <v>5.5099260069221145</v>
      </c>
      <c r="L25" s="16">
        <f>武将升星!E$58+武将升星!E$59*G25</f>
        <v>75</v>
      </c>
      <c r="M25" s="16">
        <f>武将升星!F$58+武将升星!F$59*H25</f>
        <v>100</v>
      </c>
      <c r="N25" s="16">
        <f>武将升星!G$58+武将升星!G$59*I25</f>
        <v>117.30349294449137</v>
      </c>
      <c r="O25" s="16">
        <f>武将升星!H$58+武将升星!H$59*J25</f>
        <v>133.05955604153269</v>
      </c>
      <c r="P25" s="16">
        <v>145.615336141938</v>
      </c>
      <c r="Q25" s="16">
        <f>求节点(武将升星!$C$68:$C$76,武将升星!E$68:E$76,G25)</f>
        <v>0.15</v>
      </c>
      <c r="R25" s="16">
        <f>求节点(武将升星!$C$68:$C$76,武将升星!F$68:F$76,H25)</f>
        <v>0.39999999999999997</v>
      </c>
      <c r="S25" s="16">
        <f>求节点(武将升星!$C$68:$C$76,武将升星!G$68:G$76,I25)</f>
        <v>0.68117029840067589</v>
      </c>
      <c r="T25" s="16">
        <f>求节点(武将升星!$C$68:$C$76,武将升星!H$68:H$76,J25)</f>
        <v>0.9407940805537689</v>
      </c>
      <c r="U25" s="16">
        <v>1.20923004212907</v>
      </c>
    </row>
    <row r="26" spans="4:48" x14ac:dyDescent="0.15">
      <c r="D26" s="16">
        <v>23</v>
      </c>
      <c r="F26" s="16">
        <f>基础状态预期!C36</f>
        <v>640</v>
      </c>
      <c r="G26" s="16">
        <f>MIN(武将升星!E$14,求节点(武将升星!E$104:E$112,武将升星!$C$104:$C$112,武将数量星级阶位验证!BJ26/武将数量星级阶位验证!B$6))</f>
        <v>3</v>
      </c>
      <c r="H26" s="16">
        <f>MIN(武将升星!F$14,求节点(武将升星!F$104:F$112,武将升星!$C$104:$C$112,武将数量星级阶位验证!BK26/武将数量星级阶位验证!C$6))</f>
        <v>6</v>
      </c>
      <c r="I26" s="114">
        <f>求节点(武将升星!G$104:G$112,武将升星!$C$104:$C$112,MAX((武将数量星级阶位验证!BL26-武将数量星级阶位验证!BN26)/武将数量星级阶位验证!D$6+武将数量星级阶位验证!BN26/6,0))</f>
        <v>7.0386649967691817</v>
      </c>
      <c r="J26" s="71">
        <f>基础状态预期!O36</f>
        <v>6.1155873008178832</v>
      </c>
      <c r="L26" s="16">
        <f>武将升星!E$58+武将升星!E$59*G26</f>
        <v>75</v>
      </c>
      <c r="M26" s="16">
        <f>武将升星!F$58+武将升星!F$59*H26</f>
        <v>100</v>
      </c>
      <c r="N26" s="16">
        <f>武将升星!G$58+武将升星!G$59*I26</f>
        <v>120.19332498384591</v>
      </c>
      <c r="O26" s="16">
        <f>武将升星!H$58+武将升星!H$59*J26</f>
        <v>136.6935238049073</v>
      </c>
      <c r="P26" s="16">
        <v>148.47031788149999</v>
      </c>
      <c r="Q26" s="16">
        <f>求节点(武将升星!$C$68:$C$76,武将升星!E$68:E$76,G26)</f>
        <v>0.15</v>
      </c>
      <c r="R26" s="16">
        <f>求节点(武将升星!$C$68:$C$76,武将升星!F$68:F$76,H26)</f>
        <v>0.39999999999999997</v>
      </c>
      <c r="S26" s="16">
        <f>求节点(武将升星!$C$68:$C$76,武将升星!G$68:G$76,I26)</f>
        <v>0.72278387976738123</v>
      </c>
      <c r="T26" s="16">
        <f>求节点(武将升星!$C$68:$C$76,武将升星!H$68:H$76,J26)</f>
        <v>0.98924698406543043</v>
      </c>
      <c r="U26" s="16">
        <v>1.2520547682225001</v>
      </c>
    </row>
    <row r="27" spans="4:48" x14ac:dyDescent="0.15">
      <c r="D27" s="16">
        <v>24</v>
      </c>
      <c r="F27" s="16">
        <f>基础状态预期!C37</f>
        <v>820</v>
      </c>
      <c r="G27" s="16">
        <f>MIN(武将升星!E$14,求节点(武将升星!E$104:E$112,武将升星!$C$104:$C$112,武将数量星级阶位验证!BJ27/武将数量星级阶位验证!B$6))</f>
        <v>3</v>
      </c>
      <c r="H27" s="16">
        <f>MIN(武将升星!F$14,求节点(武将升星!F$104:F$112,武将升星!$C$104:$C$112,武将数量星级阶位验证!BK27/武将数量星级阶位验证!C$6))</f>
        <v>6</v>
      </c>
      <c r="I27" s="114">
        <f>求节点(武将升星!G$104:G$112,武将升星!$C$104:$C$112,MAX((武将数量星级阶位验证!BL27-武将数量星级阶位验证!BN27)/武将数量星级阶位验证!D$6+武将数量星级阶位验证!BN27/6,0))</f>
        <v>7.673731743349407</v>
      </c>
      <c r="J27" s="71">
        <f>基础状态预期!O37</f>
        <v>6.9356937119181863</v>
      </c>
      <c r="L27" s="16">
        <f>武将升星!E$58+武将升星!E$59*G27</f>
        <v>75</v>
      </c>
      <c r="M27" s="16">
        <f>武将升星!F$58+武将升星!F$59*H27</f>
        <v>100</v>
      </c>
      <c r="N27" s="16">
        <f>武将升星!G$58+武将升星!G$59*I27</f>
        <v>123.36865871674703</v>
      </c>
      <c r="O27" s="16">
        <f>武将升星!H$58+武将升星!H$59*J27</f>
        <v>141.61416227150912</v>
      </c>
      <c r="P27" s="16">
        <v>151.32529962106199</v>
      </c>
      <c r="Q27" s="16">
        <f>求节点(武将升星!$C$68:$C$76,武将升星!E$68:E$76,G27)</f>
        <v>0.15</v>
      </c>
      <c r="R27" s="16">
        <f>求节点(武将升星!$C$68:$C$76,武将升星!F$68:F$76,H27)</f>
        <v>0.39999999999999997</v>
      </c>
      <c r="S27" s="16">
        <f>求节点(武将升星!$C$68:$C$76,武将升星!G$68:G$76,I27)</f>
        <v>0.76850868552115759</v>
      </c>
      <c r="T27" s="16">
        <f>求节点(武将升星!$C$68:$C$76,武将升星!H$68:H$76,J27)</f>
        <v>1.0548554969534547</v>
      </c>
      <c r="U27" s="16">
        <v>1.2948794943159301</v>
      </c>
      <c r="AE27" s="204" t="s">
        <v>464</v>
      </c>
      <c r="AF27" s="204"/>
      <c r="AG27" s="204"/>
      <c r="AH27" s="204"/>
    </row>
    <row r="28" spans="4:48" x14ac:dyDescent="0.15">
      <c r="D28" s="16">
        <v>25</v>
      </c>
      <c r="F28" s="16">
        <f>基础状态预期!C38</f>
        <v>1060</v>
      </c>
      <c r="G28" s="16">
        <f>MIN(武将升星!E$14,求节点(武将升星!E$104:E$112,武将升星!$C$104:$C$112,武将数量星级阶位验证!BJ28/武将数量星级阶位验证!B$6))</f>
        <v>3</v>
      </c>
      <c r="H28" s="16">
        <f>MIN(武将升星!F$14,求节点(武将升星!F$104:F$112,武将升星!$C$104:$C$112,武将数量星级阶位验证!BK28/武将数量星级阶位验证!C$6))</f>
        <v>6</v>
      </c>
      <c r="I28" s="114">
        <f>求节点(武将升星!G$104:G$112,武将升星!$C$104:$C$112,MAX((武将数量星级阶位验证!BL28-武将数量星级阶位验证!BN28)/武将数量星级阶位验证!D$6+武将数量星级阶位验证!BN28/6,0))</f>
        <v>8</v>
      </c>
      <c r="J28" s="71">
        <f>基础状态预期!O38</f>
        <v>7.7152380009663544</v>
      </c>
      <c r="L28" s="16">
        <f>武将升星!E$58+武将升星!E$59*G28</f>
        <v>75</v>
      </c>
      <c r="M28" s="16">
        <f>武将升星!F$58+武将升星!F$59*H28</f>
        <v>100</v>
      </c>
      <c r="N28" s="16">
        <f>武将升星!G$58+武将升星!G$59*I28</f>
        <v>125</v>
      </c>
      <c r="O28" s="16">
        <f>武将升星!H$58+武将升星!H$59*J28</f>
        <v>146.29142800579814</v>
      </c>
      <c r="P28" s="16">
        <v>154.18028136062401</v>
      </c>
      <c r="Q28" s="16">
        <f>求节点(武将升星!$C$68:$C$76,武将升星!E$68:E$76,G28)</f>
        <v>0.15</v>
      </c>
      <c r="R28" s="16">
        <f>求节点(武将升星!$C$68:$C$76,武将升星!F$68:F$76,H28)</f>
        <v>0.39999999999999997</v>
      </c>
      <c r="S28" s="16">
        <f>求节点(武将升星!$C$68:$C$76,武将升星!G$68:G$76,I28)</f>
        <v>0.79200000000000026</v>
      </c>
      <c r="T28" s="16">
        <f>求节点(武将升星!$C$68:$C$76,武将升星!H$68:H$76,J28)</f>
        <v>1.1172190400773083</v>
      </c>
      <c r="U28" s="16">
        <v>1.3377042204093701</v>
      </c>
      <c r="X28" s="16" t="s">
        <v>478</v>
      </c>
      <c r="Y28" s="29" t="s">
        <v>1</v>
      </c>
      <c r="Z28" s="29" t="s">
        <v>2</v>
      </c>
      <c r="AA28" s="29" t="s">
        <v>0</v>
      </c>
      <c r="AB28" s="14" t="s">
        <v>545</v>
      </c>
      <c r="AD28" s="16" t="s">
        <v>465</v>
      </c>
      <c r="AE28" s="29" t="s">
        <v>1</v>
      </c>
      <c r="AF28" s="29" t="s">
        <v>2</v>
      </c>
      <c r="AG28" s="29" t="s">
        <v>0</v>
      </c>
      <c r="AH28" s="14" t="s">
        <v>545</v>
      </c>
    </row>
    <row r="29" spans="4:48" x14ac:dyDescent="0.15">
      <c r="D29" s="16">
        <v>26</v>
      </c>
      <c r="F29" s="16">
        <f>基础状态预期!C39</f>
        <v>1360</v>
      </c>
      <c r="G29" s="16">
        <f>MIN(武将升星!E$14,求节点(武将升星!E$104:E$112,武将升星!$C$104:$C$112,武将数量星级阶位验证!BJ29/武将数量星级阶位验证!B$6))</f>
        <v>3</v>
      </c>
      <c r="H29" s="16">
        <f>MIN(武将升星!F$14,求节点(武将升星!F$104:F$112,武将升星!$C$104:$C$112,武将数量星级阶位验证!BK29/武将数量星级阶位验证!C$6))</f>
        <v>6</v>
      </c>
      <c r="I29" s="114">
        <f>求节点(武将升星!G$104:G$112,武将升星!$C$104:$C$112,MAX((武将数量星级阶位验证!BL29-武将数量星级阶位验证!BN29)/武将数量星级阶位验证!D$6+武将数量星级阶位验证!BN29/6,0))</f>
        <v>8</v>
      </c>
      <c r="J29" s="71">
        <f>基础状态预期!O39</f>
        <v>8</v>
      </c>
      <c r="L29" s="16">
        <f>武将升星!E$58+武将升星!E$59*G29</f>
        <v>75</v>
      </c>
      <c r="M29" s="16">
        <f>武将升星!F$58+武将升星!F$59*H29</f>
        <v>100</v>
      </c>
      <c r="N29" s="16">
        <f>武将升星!G$58+武将升星!G$59*I29</f>
        <v>125</v>
      </c>
      <c r="O29" s="16">
        <f>武将升星!H$58+武将升星!H$59*J29</f>
        <v>148</v>
      </c>
      <c r="P29" s="16">
        <v>157.035263100186</v>
      </c>
      <c r="Q29" s="16">
        <f>求节点(武将升星!$C$68:$C$76,武将升星!E$68:E$76,G29)</f>
        <v>0.15</v>
      </c>
      <c r="R29" s="16">
        <f>求节点(武将升星!$C$68:$C$76,武将升星!F$68:F$76,H29)</f>
        <v>0.39999999999999997</v>
      </c>
      <c r="S29" s="16">
        <f>求节点(武将升星!$C$68:$C$76,武将升星!G$68:G$76,I29)</f>
        <v>0.79200000000000026</v>
      </c>
      <c r="T29" s="16">
        <f>求节点(武将升星!$C$68:$C$76,武将升星!H$68:H$76,J29)</f>
        <v>1.1399999999999999</v>
      </c>
      <c r="U29" s="16">
        <v>1.3805289465027999</v>
      </c>
      <c r="X29" s="16">
        <v>1</v>
      </c>
      <c r="Y29" s="16">
        <f>求节点(武将数量星级阶位验证!$J$97:$J$135,武将数量星级阶位验证!BJ$97:BJ$135,$X29)/武将数量星级阶位验证!B$6-1</f>
        <v>-0.15156197001031779</v>
      </c>
      <c r="Z29" s="16">
        <f>求节点(武将数量星级阶位验证!$J$97:$J$135,武将数量星级阶位验证!BK$97:BK$135,$X29)/武将数量星级阶位验证!C$6-1</f>
        <v>-0.80670250978637381</v>
      </c>
      <c r="AA29" s="16">
        <f>求节点(武将数量星级阶位验证!$J$97:$J$135,武将数量星级阶位验证!BL$97:BL$135,$X29)/武将数量星级阶位验证!D$6-1</f>
        <v>-0.97886913347157978</v>
      </c>
      <c r="AB29" s="71">
        <f>求节点(基础状态预期!$D$107:$D$145,基础状态预期!$O$107:$O$145,$X29)</f>
        <v>0</v>
      </c>
      <c r="AD29" s="16">
        <v>0</v>
      </c>
      <c r="AE29" s="16">
        <f>MATCH($AD29,Y$29:Y$128,1)</f>
        <v>1</v>
      </c>
      <c r="AF29" s="16">
        <f t="shared" ref="AF29:AH29" si="1">MATCH($AD29,Z$29:Z$128,1)</f>
        <v>5</v>
      </c>
      <c r="AG29" s="16">
        <f t="shared" si="1"/>
        <v>32</v>
      </c>
      <c r="AH29" s="16">
        <f t="shared" si="1"/>
        <v>49</v>
      </c>
    </row>
    <row r="30" spans="4:48" x14ac:dyDescent="0.15">
      <c r="D30" s="16">
        <v>27</v>
      </c>
      <c r="F30" s="16">
        <f>基础状态预期!C40</f>
        <v>1720</v>
      </c>
      <c r="G30" s="16">
        <f>MIN(武将升星!E$14,求节点(武将升星!E$104:E$112,武将升星!$C$104:$C$112,武将数量星级阶位验证!BJ30/武将数量星级阶位验证!B$6))</f>
        <v>3</v>
      </c>
      <c r="H30" s="16">
        <f>MIN(武将升星!F$14,求节点(武将升星!F$104:F$112,武将升星!$C$104:$C$112,武将数量星级阶位验证!BK30/武将数量星级阶位验证!C$6))</f>
        <v>6</v>
      </c>
      <c r="I30" s="114">
        <f>求节点(武将升星!G$104:G$112,武将升星!$C$104:$C$112,MAX((武将数量星级阶位验证!BL30-武将数量星级阶位验证!BN30)/武将数量星级阶位验证!D$6+武将数量星级阶位验证!BN30/6,0))</f>
        <v>8</v>
      </c>
      <c r="J30" s="71">
        <f>基础状态预期!O40</f>
        <v>8</v>
      </c>
      <c r="L30" s="16">
        <f>武将升星!E$58+武将升星!E$59*G30</f>
        <v>75</v>
      </c>
      <c r="M30" s="16">
        <f>武将升星!F$58+武将升星!F$59*H30</f>
        <v>100</v>
      </c>
      <c r="N30" s="16">
        <f>武将升星!G$58+武将升星!G$59*I30</f>
        <v>125</v>
      </c>
      <c r="O30" s="16">
        <f>武将升星!H$58+武将升星!H$59*J30</f>
        <v>148</v>
      </c>
      <c r="P30" s="16">
        <v>159.89024483974799</v>
      </c>
      <c r="Q30" s="16">
        <f>求节点(武将升星!$C$68:$C$76,武将升星!E$68:E$76,G30)</f>
        <v>0.15</v>
      </c>
      <c r="R30" s="16">
        <f>求节点(武将升星!$C$68:$C$76,武将升星!F$68:F$76,H30)</f>
        <v>0.39999999999999997</v>
      </c>
      <c r="S30" s="16">
        <f>求节点(武将升星!$C$68:$C$76,武将升星!G$68:G$76,I30)</f>
        <v>0.79200000000000026</v>
      </c>
      <c r="T30" s="16">
        <f>求节点(武将升星!$C$68:$C$76,武将升星!H$68:H$76,J30)</f>
        <v>1.1399999999999999</v>
      </c>
      <c r="U30" s="16">
        <v>1.4233536725962299</v>
      </c>
      <c r="X30" s="16">
        <v>2</v>
      </c>
      <c r="Y30" s="16">
        <f>求节点(武将数量星级阶位验证!$J$97:$J$135,武将数量星级阶位验证!BJ$97:BJ$135,$X30)/武将数量星级阶位验证!B$6-1</f>
        <v>0.69687605997936575</v>
      </c>
      <c r="Z30" s="16">
        <f>求节点(武将数量星级阶位验证!$J$97:$J$135,武将数量星级阶位验证!BK$97:BK$135,$X30)/武将数量星级阶位验证!C$6-1</f>
        <v>-0.61340501957274718</v>
      </c>
      <c r="AA30" s="16">
        <f>求节点(武将数量星级阶位验证!$J$97:$J$135,武将数量星级阶位验证!BL$97:BL$135,$X30)/武将数量星级阶位验证!D$6-1</f>
        <v>-0.95773826694315956</v>
      </c>
      <c r="AB30" s="71">
        <f>求节点(基础状态预期!$D$107:$D$145,基础状态预期!$O$107:$O$145,$X30)</f>
        <v>0</v>
      </c>
      <c r="AD30" s="16">
        <v>1</v>
      </c>
      <c r="AE30" s="16">
        <f>MATCH($AD30,Y$29:Y$128,1)</f>
        <v>2</v>
      </c>
      <c r="AF30" s="16">
        <f t="shared" ref="AF30:AF31" si="2">MATCH($AD30,Z$29:Z$128,1)</f>
        <v>10</v>
      </c>
      <c r="AG30" s="16">
        <f t="shared" ref="AG30:AG31" si="3">MATCH($AD30,AA$29:AA$128,1)</f>
        <v>46</v>
      </c>
      <c r="AH30" s="16">
        <f t="shared" ref="AH30:AH31" si="4">MATCH($AD30,AB$29:AB$128,1)</f>
        <v>56</v>
      </c>
      <c r="AI30" s="16">
        <f>AH30-AH29</f>
        <v>7</v>
      </c>
    </row>
    <row r="31" spans="4:48" x14ac:dyDescent="0.15">
      <c r="D31" s="16">
        <v>28</v>
      </c>
      <c r="F31" s="16">
        <f>基础状态预期!C41</f>
        <v>2200</v>
      </c>
      <c r="G31" s="16">
        <f>MIN(武将升星!E$14,求节点(武将升星!E$104:E$112,武将升星!$C$104:$C$112,武将数量星级阶位验证!BJ31/武将数量星级阶位验证!B$6))</f>
        <v>3</v>
      </c>
      <c r="H31" s="16">
        <f>MIN(武将升星!F$14,求节点(武将升星!F$104:F$112,武将升星!$C$104:$C$112,武将数量星级阶位验证!BK31/武将数量星级阶位验证!C$6))</f>
        <v>6</v>
      </c>
      <c r="I31" s="114">
        <f>求节点(武将升星!G$104:G$112,武将升星!$C$104:$C$112,MAX((武将数量星级阶位验证!BL31-武将数量星级阶位验证!BN31)/武将数量星级阶位验证!D$6+武将数量星级阶位验证!BN31/6,0))</f>
        <v>8</v>
      </c>
      <c r="J31" s="71">
        <f>基础状态预期!O41</f>
        <v>8</v>
      </c>
      <c r="L31" s="16">
        <f>武将升星!E$58+武将升星!E$59*G31</f>
        <v>75</v>
      </c>
      <c r="M31" s="16">
        <f>武将升星!F$58+武将升星!F$59*H31</f>
        <v>100</v>
      </c>
      <c r="N31" s="16">
        <f>武将升星!G$58+武将升星!G$59*I31</f>
        <v>125</v>
      </c>
      <c r="O31" s="16">
        <f>武将升星!H$58+武将升星!H$59*J31</f>
        <v>148</v>
      </c>
      <c r="P31" s="16">
        <v>162.74522657931001</v>
      </c>
      <c r="Q31" s="16">
        <f>求节点(武将升星!$C$68:$C$76,武将升星!E$68:E$76,G31)</f>
        <v>0.15</v>
      </c>
      <c r="R31" s="16">
        <f>求节点(武将升星!$C$68:$C$76,武将升星!F$68:F$76,H31)</f>
        <v>0.39999999999999997</v>
      </c>
      <c r="S31" s="16">
        <f>求节点(武将升星!$C$68:$C$76,武将升星!G$68:G$76,I31)</f>
        <v>0.79200000000000026</v>
      </c>
      <c r="T31" s="16">
        <f>求节点(武将升星!$C$68:$C$76,武将升星!H$68:H$76,J31)</f>
        <v>1.1399999999999999</v>
      </c>
      <c r="U31" s="16">
        <v>1.4661783986896599</v>
      </c>
      <c r="X31" s="16">
        <v>3</v>
      </c>
      <c r="Y31" s="16">
        <f>求节点(武将数量星级阶位验证!$J$97:$J$135,武将数量星级阶位验证!BJ$97:BJ$135,$X31)/武将数量星级阶位验证!B$6-1</f>
        <v>1.545314089969049</v>
      </c>
      <c r="Z31" s="16">
        <f>求节点(武将数量星级阶位验证!$J$97:$J$135,武将数量星级阶位验证!BK$97:BK$135,$X31)/武将数量星级阶位验证!C$6-1</f>
        <v>-0.42010752935912077</v>
      </c>
      <c r="AA31" s="16">
        <f>求节点(武将数量星级阶位验证!$J$97:$J$135,武将数量星级阶位验证!BL$97:BL$135,$X31)/武将数量星级阶位验证!D$6-1</f>
        <v>-0.93660740041473922</v>
      </c>
      <c r="AB31" s="71">
        <f>求节点(基础状态预期!$D$107:$D$145,基础状态预期!$O$107:$O$145,$X31)</f>
        <v>0</v>
      </c>
      <c r="AD31" s="16">
        <v>2</v>
      </c>
      <c r="AE31" s="16">
        <f t="shared" ref="AE31:AE34" si="5">MATCH($AD31,Y$29:Y$128,1)</f>
        <v>3</v>
      </c>
      <c r="AF31" s="16">
        <f t="shared" si="2"/>
        <v>14</v>
      </c>
      <c r="AG31" s="16">
        <f t="shared" si="3"/>
        <v>54</v>
      </c>
      <c r="AH31" s="16">
        <f t="shared" si="4"/>
        <v>60</v>
      </c>
      <c r="AI31" s="16">
        <f t="shared" ref="AI31:AI36" si="6">AH31-AH30</f>
        <v>4</v>
      </c>
    </row>
    <row r="32" spans="4:48" x14ac:dyDescent="0.15">
      <c r="D32" s="16">
        <v>29</v>
      </c>
      <c r="F32" s="16">
        <f>基础状态预期!C42</f>
        <v>2800</v>
      </c>
      <c r="G32" s="16">
        <f>MIN(武将升星!E$14,求节点(武将升星!E$104:E$112,武将升星!$C$104:$C$112,武将数量星级阶位验证!BJ32/武将数量星级阶位验证!B$6))</f>
        <v>3</v>
      </c>
      <c r="H32" s="16">
        <f>MIN(武将升星!F$14,求节点(武将升星!F$104:F$112,武将升星!$C$104:$C$112,武将数量星级阶位验证!BK32/武将数量星级阶位验证!C$6))</f>
        <v>6</v>
      </c>
      <c r="I32" s="114">
        <f>求节点(武将升星!G$104:G$112,武将升星!$C$104:$C$112,MAX((武将数量星级阶位验证!BL32-武将数量星级阶位验证!BN32)/武将数量星级阶位验证!D$6+武将数量星级阶位验证!BN32/6,0))</f>
        <v>8</v>
      </c>
      <c r="J32" s="71">
        <f>基础状态预期!O42</f>
        <v>8</v>
      </c>
      <c r="L32" s="16">
        <f>武将升星!E$58+武将升星!E$59*G32</f>
        <v>75</v>
      </c>
      <c r="M32" s="16">
        <f>武将升星!F$58+武将升星!F$59*H32</f>
        <v>100</v>
      </c>
      <c r="N32" s="16">
        <f>武将升星!G$58+武将升星!G$59*I32</f>
        <v>125</v>
      </c>
      <c r="O32" s="16">
        <f>武将升星!H$58+武将升星!H$59*J32</f>
        <v>148</v>
      </c>
      <c r="P32" s="16">
        <v>165.60020831887201</v>
      </c>
      <c r="Q32" s="16">
        <f>求节点(武将升星!$C$68:$C$76,武将升星!E$68:E$76,G32)</f>
        <v>0.15</v>
      </c>
      <c r="R32" s="16">
        <f>求节点(武将升星!$C$68:$C$76,武将升星!F$68:F$76,H32)</f>
        <v>0.39999999999999997</v>
      </c>
      <c r="S32" s="16">
        <f>求节点(武将升星!$C$68:$C$76,武将升星!G$68:G$76,I32)</f>
        <v>0.79200000000000026</v>
      </c>
      <c r="T32" s="16">
        <f>求节点(武将升星!$C$68:$C$76,武将升星!H$68:H$76,J32)</f>
        <v>1.1399999999999999</v>
      </c>
      <c r="U32" s="16">
        <v>1.50900312478309</v>
      </c>
      <c r="X32" s="16">
        <v>4</v>
      </c>
      <c r="Y32" s="16">
        <f>求节点(武将数量星级阶位验证!$J$97:$J$135,武将数量星级阶位验证!BJ$97:BJ$135,$X32)/武将数量星级阶位验证!B$6-1</f>
        <v>2.3937521199587319</v>
      </c>
      <c r="Z32" s="16">
        <f>求节点(武将数量星级阶位验证!$J$97:$J$135,武将数量星级阶位验证!BK$97:BK$135,$X32)/武将数量星级阶位验证!C$6-1</f>
        <v>-0.22681003914549436</v>
      </c>
      <c r="AA32" s="16">
        <f>求节点(武将数量星级阶位验证!$J$97:$J$135,武将数量星级阶位验证!BL$97:BL$135,$X32)/武将数量星级阶位验证!D$6-1</f>
        <v>-0.915476533886319</v>
      </c>
      <c r="AB32" s="71">
        <f>求节点(基础状态预期!$D$107:$D$145,基础状态预期!$O$107:$O$145,$X32)</f>
        <v>0</v>
      </c>
      <c r="AD32" s="16">
        <v>3</v>
      </c>
      <c r="AE32" s="16">
        <f t="shared" si="5"/>
        <v>4</v>
      </c>
      <c r="AF32" s="16">
        <f t="shared" ref="AF32:AF36" si="7">MATCH($AD32,Z$29:Z$128,1)</f>
        <v>18</v>
      </c>
      <c r="AG32" s="16">
        <f t="shared" ref="AG32:AG36" si="8">MATCH($AD32,AA$29:AA$128,1)</f>
        <v>61</v>
      </c>
      <c r="AH32" s="16">
        <f t="shared" ref="AH32" si="9">MATCH($AD32,AB$29:AB$128,1)</f>
        <v>62</v>
      </c>
      <c r="AI32" s="16">
        <f t="shared" si="6"/>
        <v>2</v>
      </c>
    </row>
    <row r="33" spans="4:35" x14ac:dyDescent="0.15">
      <c r="D33" s="16">
        <v>30</v>
      </c>
      <c r="F33" s="16">
        <f>基础状态预期!C43</f>
        <v>3580</v>
      </c>
      <c r="G33" s="16">
        <f>MIN(武将升星!E$14,求节点(武将升星!E$104:E$112,武将升星!$C$104:$C$112,武将数量星级阶位验证!BJ33/武将数量星级阶位验证!B$6))</f>
        <v>3</v>
      </c>
      <c r="H33" s="16">
        <f>MIN(武将升星!F$14,求节点(武将升星!F$104:F$112,武将升星!$C$104:$C$112,武将数量星级阶位验证!BK33/武将数量星级阶位验证!C$6))</f>
        <v>6</v>
      </c>
      <c r="I33" s="114">
        <f>求节点(武将升星!G$104:G$112,武将升星!$C$104:$C$112,MAX((武将数量星级阶位验证!BL33-武将数量星级阶位验证!BN33)/武将数量星级阶位验证!D$6+武将数量星级阶位验证!BN33/6,0))</f>
        <v>8</v>
      </c>
      <c r="J33" s="71">
        <f>基础状态预期!O43</f>
        <v>8</v>
      </c>
      <c r="L33" s="16">
        <f>武将升星!E$58+武将升星!E$59*G33</f>
        <v>75</v>
      </c>
      <c r="M33" s="16">
        <f>武将升星!F$58+武将升星!F$59*H33</f>
        <v>100</v>
      </c>
      <c r="N33" s="16">
        <f>武将升星!G$58+武将升星!G$59*I33</f>
        <v>125</v>
      </c>
      <c r="O33" s="16">
        <f>武将升星!H$58+武将升星!H$59*J33</f>
        <v>148</v>
      </c>
      <c r="P33" s="16">
        <v>168.45519005843499</v>
      </c>
      <c r="Q33" s="16">
        <f>求节点(武将升星!$C$68:$C$76,武将升星!E$68:E$76,G33)</f>
        <v>0.15</v>
      </c>
      <c r="R33" s="16">
        <f>求节点(武将升星!$C$68:$C$76,武将升星!F$68:F$76,H33)</f>
        <v>0.39999999999999997</v>
      </c>
      <c r="S33" s="16">
        <f>求节点(武将升星!$C$68:$C$76,武将升星!G$68:G$76,I33)</f>
        <v>0.79200000000000026</v>
      </c>
      <c r="T33" s="16">
        <f>求节点(武将升星!$C$68:$C$76,武将升星!H$68:H$76,J33)</f>
        <v>1.1399999999999999</v>
      </c>
      <c r="U33" s="16">
        <v>1.55182785087652</v>
      </c>
      <c r="X33" s="16">
        <v>5</v>
      </c>
      <c r="Y33" s="16">
        <f>求节点(武将数量星级阶位验证!$J$97:$J$135,武将数量星级阶位验证!BJ$97:BJ$135,$X33)/武将数量星级阶位验证!B$6-1</f>
        <v>3.2421901499484154</v>
      </c>
      <c r="Z33" s="16">
        <f>求节点(武将数量星级阶位验证!$J$97:$J$135,武将数量星级阶位验证!BK$97:BK$135,$X33)/武将数量星级阶位验证!C$6-1</f>
        <v>-3.3512548931867947E-2</v>
      </c>
      <c r="AA33" s="16">
        <f>求节点(武将数量星级阶位验证!$J$97:$J$135,武将数量星级阶位验证!BL$97:BL$135,$X33)/武将数量星级阶位验证!D$6-1</f>
        <v>-0.89434566735789878</v>
      </c>
      <c r="AB33" s="71">
        <f>求节点(基础状态预期!$D$107:$D$145,基础状态预期!$O$107:$O$145,$X33)</f>
        <v>0</v>
      </c>
      <c r="AD33" s="16">
        <v>4</v>
      </c>
      <c r="AE33" s="16">
        <f t="shared" si="5"/>
        <v>5</v>
      </c>
      <c r="AF33" s="16">
        <f t="shared" si="7"/>
        <v>22</v>
      </c>
      <c r="AG33" s="16">
        <f t="shared" si="8"/>
        <v>66</v>
      </c>
      <c r="AH33" s="71">
        <v>90</v>
      </c>
      <c r="AI33" s="16">
        <f t="shared" si="6"/>
        <v>28</v>
      </c>
    </row>
    <row r="34" spans="4:35" x14ac:dyDescent="0.15">
      <c r="D34" s="16">
        <v>31</v>
      </c>
      <c r="F34" s="16">
        <f>基础状态预期!C44</f>
        <v>4540</v>
      </c>
      <c r="G34" s="16">
        <f>MIN(武将升星!E$14,求节点(武将升星!E$104:E$112,武将升星!$C$104:$C$112,武将数量星级阶位验证!BJ34/武将数量星级阶位验证!B$6))</f>
        <v>3</v>
      </c>
      <c r="H34" s="16">
        <f>MIN(武将升星!F$14,求节点(武将升星!F$104:F$112,武将升星!$C$104:$C$112,武将数量星级阶位验证!BK34/武将数量星级阶位验证!C$6))</f>
        <v>6</v>
      </c>
      <c r="I34" s="114">
        <f>求节点(武将升星!G$104:G$112,武将升星!$C$104:$C$112,MAX((武将数量星级阶位验证!BL34-武将数量星级阶位验证!BN34)/武将数量星级阶位验证!D$6+武将数量星级阶位验证!BN34/6,0))</f>
        <v>8</v>
      </c>
      <c r="J34" s="71">
        <f>基础状态预期!O44</f>
        <v>8</v>
      </c>
      <c r="L34" s="16">
        <f>武将升星!E$58+武将升星!E$59*G34</f>
        <v>75</v>
      </c>
      <c r="M34" s="16">
        <f>武将升星!F$58+武将升星!F$59*H34</f>
        <v>100</v>
      </c>
      <c r="N34" s="16">
        <f>武将升星!G$58+武将升星!G$59*I34</f>
        <v>125</v>
      </c>
      <c r="O34" s="16">
        <f>武将升星!H$58+武将升星!H$59*J34</f>
        <v>148</v>
      </c>
      <c r="P34" s="16">
        <v>171.31017179799699</v>
      </c>
      <c r="Q34" s="16">
        <f>求节点(武将升星!$C$68:$C$76,武将升星!E$68:E$76,G34)</f>
        <v>0.15</v>
      </c>
      <c r="R34" s="16">
        <f>求节点(武将升星!$C$68:$C$76,武将升星!F$68:F$76,H34)</f>
        <v>0.39999999999999997</v>
      </c>
      <c r="S34" s="16">
        <f>求节点(武将升星!$C$68:$C$76,武将升星!G$68:G$76,I34)</f>
        <v>0.79200000000000026</v>
      </c>
      <c r="T34" s="16">
        <f>求节点(武将升星!$C$68:$C$76,武将升星!H$68:H$76,J34)</f>
        <v>1.1399999999999999</v>
      </c>
      <c r="U34" s="16">
        <v>1.59465257696995</v>
      </c>
      <c r="X34" s="16">
        <v>6</v>
      </c>
      <c r="Y34" s="16">
        <f>求节点(武将数量星级阶位验证!$J$97:$J$135,武将数量星级阶位验证!BJ$97:BJ$135,$X34)/武将数量星级阶位验证!B$6-1</f>
        <v>4.0906281799380979</v>
      </c>
      <c r="Z34" s="16">
        <f>求节点(武将数量星级阶位验证!$J$97:$J$135,武将数量星级阶位验证!BK$97:BK$135,$X34)/武将数量星级阶位验证!C$6-1</f>
        <v>0.15978494128175846</v>
      </c>
      <c r="AA34" s="16">
        <f>求节点(武将数量星级阶位验证!$J$97:$J$135,武将数量星级阶位验证!BL$97:BL$135,$X34)/武将数量星级阶位验证!D$6-1</f>
        <v>-0.87321480082947855</v>
      </c>
      <c r="AB34" s="71">
        <f>求节点(基础状态预期!$D$107:$D$145,基础状态预期!$O$107:$O$145,$X34)</f>
        <v>0</v>
      </c>
      <c r="AD34" s="16">
        <v>5</v>
      </c>
      <c r="AE34" s="16">
        <f t="shared" si="5"/>
        <v>7</v>
      </c>
      <c r="AF34" s="16">
        <f t="shared" si="7"/>
        <v>25</v>
      </c>
      <c r="AG34" s="16">
        <f t="shared" si="8"/>
        <v>71</v>
      </c>
      <c r="AH34" s="71">
        <v>92</v>
      </c>
      <c r="AI34" s="16">
        <f t="shared" si="6"/>
        <v>2</v>
      </c>
    </row>
    <row r="35" spans="4:35" x14ac:dyDescent="0.15">
      <c r="D35" s="16">
        <v>32</v>
      </c>
      <c r="F35" s="16">
        <f>基础状态预期!C45</f>
        <v>5800</v>
      </c>
      <c r="G35" s="16">
        <f>MIN(武将升星!E$14,求节点(武将升星!E$104:E$112,武将升星!$C$104:$C$112,武将数量星级阶位验证!BJ35/武将数量星级阶位验证!B$6))</f>
        <v>3</v>
      </c>
      <c r="H35" s="16">
        <f>MIN(武将升星!F$14,求节点(武将升星!F$104:F$112,武将升星!$C$104:$C$112,武将数量星级阶位验证!BK35/武将数量星级阶位验证!C$6))</f>
        <v>6</v>
      </c>
      <c r="I35" s="114">
        <f>求节点(武将升星!G$104:G$112,武将升星!$C$104:$C$112,MAX((武将数量星级阶位验证!BL35-武将数量星级阶位验证!BN35)/武将数量星级阶位验证!D$6+武将数量星级阶位验证!BN35/6,0))</f>
        <v>8</v>
      </c>
      <c r="J35" s="71">
        <f>基础状态预期!O45</f>
        <v>8</v>
      </c>
      <c r="L35" s="16">
        <f>武将升星!E$58+武将升星!E$59*G35</f>
        <v>75</v>
      </c>
      <c r="M35" s="16">
        <f>武将升星!F$58+武将升星!F$59*H35</f>
        <v>100</v>
      </c>
      <c r="N35" s="16">
        <f>武将升星!G$58+武将升星!G$59*I35</f>
        <v>125</v>
      </c>
      <c r="O35" s="16">
        <f>武将升星!H$58+武将升星!H$59*J35</f>
        <v>148</v>
      </c>
      <c r="P35" s="16">
        <v>174.16515353755901</v>
      </c>
      <c r="Q35" s="16">
        <f>求节点(武将升星!$C$68:$C$76,武将升星!E$68:E$76,G35)</f>
        <v>0.15</v>
      </c>
      <c r="R35" s="16">
        <f>求节点(武将升星!$C$68:$C$76,武将升星!F$68:F$76,H35)</f>
        <v>0.39999999999999997</v>
      </c>
      <c r="S35" s="16">
        <f>求节点(武将升星!$C$68:$C$76,武将升星!G$68:G$76,I35)</f>
        <v>0.79200000000000026</v>
      </c>
      <c r="T35" s="16">
        <f>求节点(武将升星!$C$68:$C$76,武将升星!H$68:H$76,J35)</f>
        <v>1.1399999999999999</v>
      </c>
      <c r="U35" s="16">
        <v>1.63747730306338</v>
      </c>
      <c r="X35" s="16">
        <v>7</v>
      </c>
      <c r="Y35" s="16">
        <f>求节点(武将数量星级阶位验证!$J$97:$J$135,武将数量星级阶位验证!BJ$97:BJ$135,$X35)/武将数量星级阶位验证!B$6-1</f>
        <v>4.9390662099277813</v>
      </c>
      <c r="Z35" s="16">
        <f>求节点(武将数量星级阶位验证!$J$97:$J$135,武将数量星级阶位验证!BK$97:BK$135,$X35)/武将数量星级阶位验证!C$6-1</f>
        <v>0.3530824314953851</v>
      </c>
      <c r="AA35" s="16">
        <f>求节点(武将数量星级阶位验证!$J$97:$J$135,武将数量星级阶位验证!BL$97:BL$135,$X35)/武将数量星级阶位验证!D$6-1</f>
        <v>-0.85208393430105822</v>
      </c>
      <c r="AB35" s="71">
        <f>求节点(基础状态预期!$D$107:$D$145,基础状态预期!$O$107:$O$145,$X35)</f>
        <v>0</v>
      </c>
      <c r="AD35" s="16">
        <v>6</v>
      </c>
      <c r="AE35" s="16">
        <f>MATCH($AD35,Y$29:Y$128,1)</f>
        <v>8</v>
      </c>
      <c r="AF35" s="16">
        <f t="shared" si="7"/>
        <v>27</v>
      </c>
      <c r="AG35" s="16">
        <f t="shared" si="8"/>
        <v>75</v>
      </c>
      <c r="AH35" s="71">
        <v>94</v>
      </c>
      <c r="AI35" s="16">
        <f t="shared" si="6"/>
        <v>2</v>
      </c>
    </row>
    <row r="36" spans="4:35" x14ac:dyDescent="0.15">
      <c r="D36" s="16">
        <v>33</v>
      </c>
      <c r="F36" s="16">
        <f>基础状态预期!C46</f>
        <v>7420</v>
      </c>
      <c r="G36" s="16">
        <f>MIN(武将升星!E$14,求节点(武将升星!E$104:E$112,武将升星!$C$104:$C$112,武将数量星级阶位验证!BJ36/武将数量星级阶位验证!B$6))</f>
        <v>3</v>
      </c>
      <c r="H36" s="16">
        <f>MIN(武将升星!F$14,求节点(武将升星!F$104:F$112,武将升星!$C$104:$C$112,武将数量星级阶位验证!BK36/武将数量星级阶位验证!C$6))</f>
        <v>6</v>
      </c>
      <c r="I36" s="114">
        <f>求节点(武将升星!G$104:G$112,武将升星!$C$104:$C$112,MAX((武将数量星级阶位验证!BL36-武将数量星级阶位验证!BN36)/武将数量星级阶位验证!D$6+武将数量星级阶位验证!BN36/6,0))</f>
        <v>8</v>
      </c>
      <c r="J36" s="71">
        <f>基础状态预期!O46</f>
        <v>8</v>
      </c>
      <c r="L36" s="16">
        <f>武将升星!E$58+武将升星!E$59*G36</f>
        <v>75</v>
      </c>
      <c r="M36" s="16">
        <f>武将升星!F$58+武将升星!F$59*H36</f>
        <v>100</v>
      </c>
      <c r="N36" s="16">
        <f>武将升星!G$58+武将升星!G$59*I36</f>
        <v>125</v>
      </c>
      <c r="O36" s="16">
        <f>武将升星!H$58+武将升星!H$59*J36</f>
        <v>148</v>
      </c>
      <c r="P36" s="16">
        <v>177.020135277121</v>
      </c>
      <c r="Q36" s="16">
        <f>求节点(武将升星!$C$68:$C$76,武将升星!E$68:E$76,G36)</f>
        <v>0.15</v>
      </c>
      <c r="R36" s="16">
        <f>求节点(武将升星!$C$68:$C$76,武将升星!F$68:F$76,H36)</f>
        <v>0.39999999999999997</v>
      </c>
      <c r="S36" s="16">
        <f>求节点(武将升星!$C$68:$C$76,武将升星!G$68:G$76,I36)</f>
        <v>0.79200000000000026</v>
      </c>
      <c r="T36" s="16">
        <f>求节点(武将升星!$C$68:$C$76,武将升星!H$68:H$76,J36)</f>
        <v>1.1399999999999999</v>
      </c>
      <c r="U36" s="16">
        <v>1.68030202915681</v>
      </c>
      <c r="X36" s="16">
        <v>8</v>
      </c>
      <c r="Y36" s="16">
        <f>求节点(武将数量星级阶位验证!$J$97:$J$135,武将数量星级阶位验证!BJ$97:BJ$135,$X36)/武将数量星级阶位验证!B$6-1</f>
        <v>5.7875042399174648</v>
      </c>
      <c r="Z36" s="16">
        <f>求节点(武将数量星级阶位验证!$J$97:$J$135,武将数量星级阶位验证!BK$97:BK$135,$X36)/武将数量星级阶位验证!C$6-1</f>
        <v>0.54637992170901128</v>
      </c>
      <c r="AA36" s="16">
        <f>求节点(武将数量星级阶位验证!$J$97:$J$135,武将数量星级阶位验证!BL$97:BL$135,$X36)/武将数量星级阶位验证!D$6-1</f>
        <v>-0.830953067772638</v>
      </c>
      <c r="AB36" s="71">
        <f>求节点(基础状态预期!$D$107:$D$145,基础状态预期!$O$107:$O$145,$X36)</f>
        <v>0</v>
      </c>
      <c r="AD36" s="16">
        <v>7</v>
      </c>
      <c r="AE36" s="16">
        <f>MATCH($AD36,Y$29:Y$128,1)</f>
        <v>9</v>
      </c>
      <c r="AF36" s="16">
        <f t="shared" si="7"/>
        <v>29</v>
      </c>
      <c r="AG36" s="16">
        <f t="shared" si="8"/>
        <v>78</v>
      </c>
      <c r="AH36" s="71">
        <v>96</v>
      </c>
      <c r="AI36" s="16">
        <f t="shared" si="6"/>
        <v>2</v>
      </c>
    </row>
    <row r="37" spans="4:35" x14ac:dyDescent="0.15">
      <c r="D37" s="16">
        <v>34</v>
      </c>
      <c r="F37" s="16">
        <f>基础状态预期!C47</f>
        <v>9460</v>
      </c>
      <c r="G37" s="16">
        <f>MIN(武将升星!E$14,求节点(武将升星!E$104:E$112,武将升星!$C$104:$C$112,武将数量星级阶位验证!BJ37/武将数量星级阶位验证!B$6))</f>
        <v>3</v>
      </c>
      <c r="H37" s="16">
        <f>MIN(武将升星!F$14,求节点(武将升星!F$104:F$112,武将升星!$C$104:$C$112,武将数量星级阶位验证!BK37/武将数量星级阶位验证!C$6))</f>
        <v>6</v>
      </c>
      <c r="I37" s="114">
        <f>求节点(武将升星!G$104:G$112,武将升星!$C$104:$C$112,MAX((武将数量星级阶位验证!BL37-武将数量星级阶位验证!BN37)/武将数量星级阶位验证!D$6+武将数量星级阶位验证!BN37/6,0))</f>
        <v>8</v>
      </c>
      <c r="J37" s="71">
        <f>基础状态预期!O47</f>
        <v>8</v>
      </c>
      <c r="L37" s="16">
        <f>武将升星!E$58+武将升星!E$59*G37</f>
        <v>75</v>
      </c>
      <c r="M37" s="16">
        <f>武将升星!F$58+武将升星!F$59*H37</f>
        <v>100</v>
      </c>
      <c r="N37" s="16">
        <f>武将升星!G$58+武将升星!G$59*I37</f>
        <v>125</v>
      </c>
      <c r="O37" s="16">
        <f>武将升星!H$58+武将升星!H$59*J37</f>
        <v>148</v>
      </c>
      <c r="P37" s="16">
        <v>179.87511701668299</v>
      </c>
      <c r="Q37" s="16">
        <f>求节点(武将升星!$C$68:$C$76,武将升星!E$68:E$76,G37)</f>
        <v>0.15</v>
      </c>
      <c r="R37" s="16">
        <f>求节点(武将升星!$C$68:$C$76,武将升星!F$68:F$76,H37)</f>
        <v>0.39999999999999997</v>
      </c>
      <c r="S37" s="16">
        <f>求节点(武将升星!$C$68:$C$76,武将升星!G$68:G$76,I37)</f>
        <v>0.79200000000000026</v>
      </c>
      <c r="T37" s="16">
        <f>求节点(武将升星!$C$68:$C$76,武将升星!H$68:H$76,J37)</f>
        <v>1.1399999999999999</v>
      </c>
      <c r="U37" s="16">
        <v>1.7231267552502401</v>
      </c>
      <c r="X37" s="16">
        <v>9</v>
      </c>
      <c r="Y37" s="16">
        <f>求节点(武将数量星级阶位验证!$J$97:$J$135,武将数量星级阶位验证!BJ$97:BJ$135,$X37)/武将数量星级阶位验证!B$6-1</f>
        <v>6.6359422699071473</v>
      </c>
      <c r="Z37" s="16">
        <f>求节点(武将数量星级阶位验证!$J$97:$J$135,武将数量星级阶位验证!BK$97:BK$135,$X37)/武将数量星级阶位验证!C$6-1</f>
        <v>0.73967741192263792</v>
      </c>
      <c r="AA37" s="16">
        <f>求节点(武将数量星级阶位验证!$J$97:$J$135,武将数量星级阶位验证!BL$97:BL$135,$X37)/武将数量星级阶位验证!D$6-1</f>
        <v>-0.80982220124421778</v>
      </c>
      <c r="AB37" s="71">
        <f>求节点(基础状态预期!$D$107:$D$145,基础状态预期!$O$107:$O$145,$X37)</f>
        <v>0</v>
      </c>
      <c r="AH37" s="71"/>
    </row>
    <row r="38" spans="4:35" x14ac:dyDescent="0.15">
      <c r="D38" s="16">
        <v>35</v>
      </c>
      <c r="F38" s="16">
        <f>基础状态预期!C48</f>
        <v>12040</v>
      </c>
      <c r="G38" s="16">
        <f>MIN(武将升星!E$14,求节点(武将升星!E$104:E$112,武将升星!$C$104:$C$112,武将数量星级阶位验证!BJ38/武将数量星级阶位验证!B$6))</f>
        <v>3</v>
      </c>
      <c r="H38" s="16">
        <f>MIN(武将升星!F$14,求节点(武将升星!F$104:F$112,武将升星!$C$104:$C$112,武将数量星级阶位验证!BK38/武将数量星级阶位验证!C$6))</f>
        <v>6</v>
      </c>
      <c r="I38" s="114">
        <f>求节点(武将升星!G$104:G$112,武将升星!$C$104:$C$112,MAX((武将数量星级阶位验证!BL38-武将数量星级阶位验证!BN38)/武将数量星级阶位验证!D$6+武将数量星级阶位验证!BN38/6,0))</f>
        <v>8</v>
      </c>
      <c r="J38" s="71">
        <f>基础状态预期!O48</f>
        <v>8</v>
      </c>
      <c r="L38" s="16">
        <f>武将升星!E$58+武将升星!E$59*G38</f>
        <v>75</v>
      </c>
      <c r="M38" s="16">
        <f>武将升星!F$58+武将升星!F$59*H38</f>
        <v>100</v>
      </c>
      <c r="N38" s="16">
        <f>武将升星!G$58+武将升星!G$59*I38</f>
        <v>125</v>
      </c>
      <c r="O38" s="16">
        <f>武将升星!H$58+武将升星!H$59*J38</f>
        <v>148</v>
      </c>
      <c r="P38" s="16">
        <v>182.73009875624501</v>
      </c>
      <c r="Q38" s="16">
        <f>求节点(武将升星!$C$68:$C$76,武将升星!E$68:E$76,G38)</f>
        <v>0.15</v>
      </c>
      <c r="R38" s="16">
        <f>求节点(武将升星!$C$68:$C$76,武将升星!F$68:F$76,H38)</f>
        <v>0.39999999999999997</v>
      </c>
      <c r="S38" s="16">
        <f>求节点(武将升星!$C$68:$C$76,武将升星!G$68:G$76,I38)</f>
        <v>0.79200000000000026</v>
      </c>
      <c r="T38" s="16">
        <f>求节点(武将升星!$C$68:$C$76,武将升星!H$68:H$76,J38)</f>
        <v>1.1399999999999999</v>
      </c>
      <c r="U38" s="16">
        <v>1.7659514813436701</v>
      </c>
      <c r="X38" s="16">
        <v>10</v>
      </c>
      <c r="Y38" s="16">
        <f>求节点(武将数量星级阶位验证!$J$97:$J$135,武将数量星级阶位验证!BJ$97:BJ$135,$X38)/武将数量星级阶位验证!B$6-1</f>
        <v>7.4843802998968307</v>
      </c>
      <c r="Z38" s="16">
        <f>求节点(武将数量星级阶位验证!$J$97:$J$135,武将数量星级阶位验证!BK$97:BK$135,$X38)/武将数量星级阶位验证!C$6-1</f>
        <v>0.93297490213626411</v>
      </c>
      <c r="AA38" s="16">
        <f>求节点(武将数量星级阶位验证!$J$97:$J$135,武将数量星级阶位验证!BL$97:BL$135,$X38)/武将数量星级阶位验证!D$6-1</f>
        <v>-0.78869133471579755</v>
      </c>
      <c r="AB38" s="71">
        <f>求节点(基础状态预期!$D$107:$D$145,基础状态预期!$O$107:$O$145,$X38)</f>
        <v>0</v>
      </c>
    </row>
    <row r="39" spans="4:35" x14ac:dyDescent="0.15">
      <c r="D39" s="16">
        <v>36</v>
      </c>
      <c r="F39" s="16">
        <f>基础状态预期!C49</f>
        <v>15340</v>
      </c>
      <c r="G39" s="16">
        <f>MIN(武将升星!E$14,求节点(武将升星!E$104:E$112,武将升星!$C$104:$C$112,武将数量星级阶位验证!BJ39/武将数量星级阶位验证!B$6))</f>
        <v>3</v>
      </c>
      <c r="H39" s="16">
        <f>MIN(武将升星!F$14,求节点(武将升星!F$104:F$112,武将升星!$C$104:$C$112,武将数量星级阶位验证!BK39/武将数量星级阶位验证!C$6))</f>
        <v>6</v>
      </c>
      <c r="I39" s="114">
        <f>求节点(武将升星!G$104:G$112,武将升星!$C$104:$C$112,MAX((武将数量星级阶位验证!BL39-武将数量星级阶位验证!BN39)/武将数量星级阶位验证!D$6+武将数量星级阶位验证!BN39/6,0))</f>
        <v>8</v>
      </c>
      <c r="J39" s="71">
        <f>基础状态预期!O49</f>
        <v>8</v>
      </c>
      <c r="L39" s="16">
        <f>武将升星!E$58+武将升星!E$59*G39</f>
        <v>75</v>
      </c>
      <c r="M39" s="16">
        <f>武将升星!F$58+武将升星!F$59*H39</f>
        <v>100</v>
      </c>
      <c r="N39" s="16">
        <f>武将升星!G$58+武将升星!G$59*I39</f>
        <v>125</v>
      </c>
      <c r="O39" s="16">
        <f>武将升星!H$58+武将升星!H$59*J39</f>
        <v>148</v>
      </c>
      <c r="P39" s="16">
        <v>185.58508049580701</v>
      </c>
      <c r="Q39" s="16">
        <f>求节点(武将升星!$C$68:$C$76,武将升星!E$68:E$76,G39)</f>
        <v>0.15</v>
      </c>
      <c r="R39" s="16">
        <f>求节点(武将升星!$C$68:$C$76,武将升星!F$68:F$76,H39)</f>
        <v>0.39999999999999997</v>
      </c>
      <c r="S39" s="16">
        <f>求节点(武将升星!$C$68:$C$76,武将升星!G$68:G$76,I39)</f>
        <v>0.79200000000000026</v>
      </c>
      <c r="T39" s="16">
        <f>求节点(武将升星!$C$68:$C$76,武将升星!H$68:H$76,J39)</f>
        <v>1.1399999999999999</v>
      </c>
      <c r="U39" s="16">
        <v>1.8087762074371001</v>
      </c>
      <c r="X39" s="16">
        <v>11</v>
      </c>
      <c r="Y39" s="16">
        <f>求节点(武将数量星级阶位验证!$J$97:$J$135,武将数量星级阶位验证!BJ$97:BJ$135,$X39)/武将数量星级阶位验证!B$6-1</f>
        <v>8.5380934791871965</v>
      </c>
      <c r="Z39" s="16">
        <f>求节点(武将数量星级阶位验证!$J$97:$J$135,武将数量星级阶位验证!BK$97:BK$135,$X39)/武将数量星级阶位验证!C$6-1</f>
        <v>1.163589665764341</v>
      </c>
      <c r="AA39" s="16">
        <f>求节点(武将数量星级阶位验证!$J$97:$J$135,武将数量星级阶位验证!BL$97:BL$135,$X39)/武将数量星级阶位验证!D$6-1</f>
        <v>-0.76396151436524207</v>
      </c>
      <c r="AB39" s="71">
        <f>求节点(基础状态预期!$D$107:$D$145,基础状态预期!$O$107:$O$145,$X39)</f>
        <v>0</v>
      </c>
    </row>
    <row r="40" spans="4:35" x14ac:dyDescent="0.15">
      <c r="D40" s="16">
        <v>37</v>
      </c>
      <c r="F40" s="16">
        <f>基础状态预期!C50</f>
        <v>19540</v>
      </c>
      <c r="G40" s="16">
        <f>MIN(武将升星!E$14,求节点(武将升星!E$104:E$112,武将升星!$C$104:$C$112,武将数量星级阶位验证!BJ40/武将数量星级阶位验证!B$6))</f>
        <v>3</v>
      </c>
      <c r="H40" s="16">
        <f>MIN(武将升星!F$14,求节点(武将升星!F$104:F$112,武将升星!$C$104:$C$112,武将数量星级阶位验证!BK40/武将数量星级阶位验证!C$6))</f>
        <v>6</v>
      </c>
      <c r="I40" s="114">
        <f>求节点(武将升星!G$104:G$112,武将升星!$C$104:$C$112,MAX((武将数量星级阶位验证!BL40-武将数量星级阶位验证!BN40)/武将数量星级阶位验证!D$6+武将数量星级阶位验证!BN40/6,0))</f>
        <v>8</v>
      </c>
      <c r="J40" s="71">
        <f>基础状态预期!O50</f>
        <v>8</v>
      </c>
      <c r="L40" s="16">
        <f>武将升星!E$58+武将升星!E$59*G40</f>
        <v>75</v>
      </c>
      <c r="M40" s="16">
        <f>武将升星!F$58+武将升星!F$59*H40</f>
        <v>100</v>
      </c>
      <c r="N40" s="16">
        <f>武将升星!G$58+武将升星!G$59*I40</f>
        <v>125</v>
      </c>
      <c r="O40" s="16">
        <f>武将升星!H$58+武将升星!H$59*J40</f>
        <v>148</v>
      </c>
      <c r="P40" s="16">
        <v>188.440062235369</v>
      </c>
      <c r="Q40" s="16">
        <f>求节点(武将升星!$C$68:$C$76,武将升星!E$68:E$76,G40)</f>
        <v>0.15</v>
      </c>
      <c r="R40" s="16">
        <f>求节点(武将升星!$C$68:$C$76,武将升星!F$68:F$76,H40)</f>
        <v>0.39999999999999997</v>
      </c>
      <c r="S40" s="16">
        <f>求节点(武将升星!$C$68:$C$76,武将升星!G$68:G$76,I40)</f>
        <v>0.79200000000000026</v>
      </c>
      <c r="T40" s="16">
        <f>求节点(武将升星!$C$68:$C$76,武将升星!H$68:H$76,J40)</f>
        <v>1.1399999999999999</v>
      </c>
      <c r="U40" s="16">
        <v>1.8516009335305299</v>
      </c>
      <c r="X40" s="16">
        <v>12</v>
      </c>
      <c r="Y40" s="16">
        <f>求节点(武将数量星级阶位验证!$J$97:$J$135,武将数量星级阶位验证!BJ$97:BJ$135,$X40)/武将数量星级阶位验证!B$6-1</f>
        <v>9.6146062254902347</v>
      </c>
      <c r="Z40" s="16">
        <f>求节点(武将数量星级阶位验证!$J$97:$J$135,武将数量星级阶位验证!BK$97:BK$135,$X40)/武将数量星级阶位验证!C$6-1</f>
        <v>1.3983491964469859</v>
      </c>
      <c r="AA40" s="16">
        <f>求节点(武将数量星级阶位验证!$J$97:$J$135,武将数量星级阶位验证!BL$97:BL$135,$X40)/武将数量星级阶位验证!D$6-1</f>
        <v>-0.73883196424163411</v>
      </c>
      <c r="AB40" s="71">
        <f>求节点(基础状态预期!$D$107:$D$145,基础状态预期!$O$107:$O$145,$X40)</f>
        <v>0</v>
      </c>
    </row>
    <row r="41" spans="4:35" x14ac:dyDescent="0.15">
      <c r="D41" s="16">
        <v>38</v>
      </c>
      <c r="F41" s="16">
        <f>基础状态预期!C51</f>
        <v>24880</v>
      </c>
      <c r="G41" s="16">
        <f>MIN(武将升星!E$14,求节点(武将升星!E$104:E$112,武将升星!$C$104:$C$112,武将数量星级阶位验证!BJ41/武将数量星级阶位验证!B$6))</f>
        <v>3</v>
      </c>
      <c r="H41" s="16">
        <f>MIN(武将升星!F$14,求节点(武将升星!F$104:F$112,武将升星!$C$104:$C$112,武将数量星级阶位验证!BK41/武将数量星级阶位验证!C$6))</f>
        <v>6</v>
      </c>
      <c r="I41" s="114">
        <f>求节点(武将升星!G$104:G$112,武将升星!$C$104:$C$112,MAX((武将数量星级阶位验证!BL41-武将数量星级阶位验证!BN41)/武将数量星级阶位验证!D$6+武将数量星级阶位验证!BN41/6,0))</f>
        <v>8</v>
      </c>
      <c r="J41" s="71">
        <f>基础状态预期!O51</f>
        <v>8</v>
      </c>
      <c r="L41" s="16">
        <f>武将升星!E$58+武将升星!E$59*G41</f>
        <v>75</v>
      </c>
      <c r="M41" s="16">
        <f>武将升星!F$58+武将升星!F$59*H41</f>
        <v>100</v>
      </c>
      <c r="N41" s="16">
        <f>武将升星!G$58+武将升星!G$59*I41</f>
        <v>125</v>
      </c>
      <c r="O41" s="16">
        <f>武将升星!H$58+武将升星!H$59*J41</f>
        <v>148</v>
      </c>
      <c r="P41" s="16">
        <v>191.29504397493099</v>
      </c>
      <c r="Q41" s="16">
        <f>求节点(武将升星!$C$68:$C$76,武将升星!E$68:E$76,G41)</f>
        <v>0.15</v>
      </c>
      <c r="R41" s="16">
        <f>求节点(武将升星!$C$68:$C$76,武将升星!F$68:F$76,H41)</f>
        <v>0.39999999999999997</v>
      </c>
      <c r="S41" s="16">
        <f>求节点(武将升星!$C$68:$C$76,武将升星!G$68:G$76,I41)</f>
        <v>0.79200000000000026</v>
      </c>
      <c r="T41" s="16">
        <f>求节点(武将升星!$C$68:$C$76,武将升星!H$68:H$76,J41)</f>
        <v>1.1399999999999999</v>
      </c>
      <c r="U41" s="16">
        <v>1.8944256596239599</v>
      </c>
      <c r="X41" s="16">
        <v>13</v>
      </c>
      <c r="Y41" s="16">
        <f>求节点(武将数量星级阶位验证!$J$97:$J$135,武将数量星级阶位验证!BJ$97:BJ$135,$X41)/武将数量星级阶位验证!B$6-1</f>
        <v>10.691118971793273</v>
      </c>
      <c r="Z41" s="16">
        <f>求节点(武将数量星级阶位验证!$J$97:$J$135,武将数量星级阶位验证!BK$97:BK$135,$X41)/武将数量星级阶位验证!C$6-1</f>
        <v>1.6331087271296303</v>
      </c>
      <c r="AA41" s="16">
        <f>求节点(武将数量星级阶位验证!$J$97:$J$135,武将数量星级阶位验证!BL$97:BL$135,$X41)/武将数量星级阶位验证!D$6-1</f>
        <v>-0.71370241411802615</v>
      </c>
      <c r="AB41" s="71">
        <f>求节点(基础状态预期!$D$107:$D$145,基础状态预期!$O$107:$O$145,$X41)</f>
        <v>0</v>
      </c>
    </row>
    <row r="42" spans="4:35" x14ac:dyDescent="0.15">
      <c r="D42" s="16">
        <v>39</v>
      </c>
      <c r="F42" s="16">
        <f>基础状态预期!C52</f>
        <v>31720</v>
      </c>
      <c r="G42" s="16">
        <f>MIN(武将升星!E$14,求节点(武将升星!E$104:E$112,武将升星!$C$104:$C$112,武将数量星级阶位验证!BJ42/武将数量星级阶位验证!B$6))</f>
        <v>3</v>
      </c>
      <c r="H42" s="16">
        <f>MIN(武将升星!F$14,求节点(武将升星!F$104:F$112,武将升星!$C$104:$C$112,武将数量星级阶位验证!BK42/武将数量星级阶位验证!C$6))</f>
        <v>6</v>
      </c>
      <c r="I42" s="114">
        <f>求节点(武将升星!G$104:G$112,武将升星!$C$104:$C$112,MAX((武将数量星级阶位验证!BL42-武将数量星级阶位验证!BN42)/武将数量星级阶位验证!D$6+武将数量星级阶位验证!BN42/6,0))</f>
        <v>8</v>
      </c>
      <c r="J42" s="71">
        <f>基础状态预期!O52</f>
        <v>8</v>
      </c>
      <c r="L42" s="16">
        <f>武将升星!E$58+武将升星!E$59*G42</f>
        <v>75</v>
      </c>
      <c r="M42" s="16">
        <f>武将升星!F$58+武将升星!F$59*H42</f>
        <v>100</v>
      </c>
      <c r="N42" s="16">
        <f>武将升星!G$58+武将升星!G$59*I42</f>
        <v>125</v>
      </c>
      <c r="O42" s="16">
        <f>武将升星!H$58+武将升星!H$59*J42</f>
        <v>148</v>
      </c>
      <c r="P42" s="16">
        <v>194.15002571449301</v>
      </c>
      <c r="Q42" s="16">
        <f>求节点(武将升星!$C$68:$C$76,武将升星!E$68:E$76,G42)</f>
        <v>0.15</v>
      </c>
      <c r="R42" s="16">
        <f>求节点(武将升星!$C$68:$C$76,武将升星!F$68:F$76,H42)</f>
        <v>0.39999999999999997</v>
      </c>
      <c r="S42" s="16">
        <f>求节点(武将升星!$C$68:$C$76,武将升星!G$68:G$76,I42)</f>
        <v>0.79200000000000026</v>
      </c>
      <c r="T42" s="16">
        <f>求节点(武将升星!$C$68:$C$76,武将升星!H$68:H$76,J42)</f>
        <v>1.1399999999999999</v>
      </c>
      <c r="U42" s="16">
        <v>1.9372503857173899</v>
      </c>
      <c r="X42" s="16">
        <v>14</v>
      </c>
      <c r="Y42" s="16">
        <f>求节点(武将数量星级阶位验证!$J$97:$J$135,武将数量星级阶位验证!BJ$97:BJ$135,$X42)/武将数量星级阶位验证!B$6-1</f>
        <v>11.767631718096311</v>
      </c>
      <c r="Z42" s="16">
        <f>求节点(武将数量星级阶位验证!$J$97:$J$135,武将数量星级阶位验证!BK$97:BK$135,$X42)/武将数量星级阶位验证!C$6-1</f>
        <v>1.8678682578122752</v>
      </c>
      <c r="AA42" s="16">
        <f>求节点(武将数量星级阶位验证!$J$97:$J$135,武将数量星级阶位验证!BL$97:BL$135,$X42)/武将数量星级阶位验证!D$6-1</f>
        <v>-0.68857286399441819</v>
      </c>
      <c r="AB42" s="71">
        <f>求节点(基础状态预期!$D$107:$D$145,基础状态预期!$O$107:$O$145,$X42)</f>
        <v>0</v>
      </c>
    </row>
    <row r="43" spans="4:35" x14ac:dyDescent="0.15">
      <c r="D43" s="16">
        <v>40</v>
      </c>
      <c r="F43" s="16">
        <f>基础状态预期!C53</f>
        <v>40420</v>
      </c>
      <c r="G43" s="16">
        <f>MIN(武将升星!E$14,求节点(武将升星!E$104:E$112,武将升星!$C$104:$C$112,武将数量星级阶位验证!BJ43/武将数量星级阶位验证!B$6))</f>
        <v>3</v>
      </c>
      <c r="H43" s="16">
        <f>MIN(武将升星!F$14,求节点(武将升星!F$104:F$112,武将升星!$C$104:$C$112,武将数量星级阶位验证!BK43/武将数量星级阶位验证!C$6))</f>
        <v>6</v>
      </c>
      <c r="I43" s="114">
        <f>求节点(武将升星!G$104:G$112,武将升星!$C$104:$C$112,MAX((武将数量星级阶位验证!BL43-武将数量星级阶位验证!BN43)/武将数量星级阶位验证!D$6+武将数量星级阶位验证!BN43/6,0))</f>
        <v>8</v>
      </c>
      <c r="J43" s="71">
        <f>基础状态预期!O53</f>
        <v>8</v>
      </c>
      <c r="L43" s="16">
        <f>武将升星!E$58+武将升星!E$59*G43</f>
        <v>75</v>
      </c>
      <c r="M43" s="16">
        <f>武将升星!F$58+武将升星!F$59*H43</f>
        <v>100</v>
      </c>
      <c r="N43" s="16">
        <f>武将升星!G$58+武将升星!G$59*I43</f>
        <v>125</v>
      </c>
      <c r="O43" s="16">
        <f>武将升星!H$58+武将升星!H$59*J43</f>
        <v>148</v>
      </c>
      <c r="P43" s="16">
        <v>197.005007454055</v>
      </c>
      <c r="Q43" s="16">
        <f>求节点(武将升星!$C$68:$C$76,武将升星!E$68:E$76,G43)</f>
        <v>0.15</v>
      </c>
      <c r="R43" s="16">
        <f>求节点(武将升星!$C$68:$C$76,武将升星!F$68:F$76,H43)</f>
        <v>0.39999999999999997</v>
      </c>
      <c r="S43" s="16">
        <f>求节点(武将升星!$C$68:$C$76,武将升星!G$68:G$76,I43)</f>
        <v>0.79200000000000026</v>
      </c>
      <c r="T43" s="16">
        <f>求节点(武将升星!$C$68:$C$76,武将升星!H$68:H$76,J43)</f>
        <v>1.1399999999999999</v>
      </c>
      <c r="U43" s="16">
        <v>1.98007511181082</v>
      </c>
      <c r="X43" s="16">
        <v>15</v>
      </c>
      <c r="Y43" s="16">
        <f>求节点(武将数量星级阶位验证!$J$97:$J$135,武将数量星级阶位验证!BJ$97:BJ$135,$X43)/武将数量星级阶位验证!B$6-1</f>
        <v>12.844144464399349</v>
      </c>
      <c r="Z43" s="16">
        <f>求节点(武将数量星级阶位验证!$J$97:$J$135,武将数量星级阶位验证!BK$97:BK$135,$X43)/武将数量星级阶位验证!C$6-1</f>
        <v>2.10262778849492</v>
      </c>
      <c r="AA43" s="16">
        <f>求节点(武将数量星级阶位验证!$J$97:$J$135,武将数量星级阶位验证!BL$97:BL$135,$X43)/武将数量星级阶位验证!D$6-1</f>
        <v>-0.66344331387081024</v>
      </c>
      <c r="AB43" s="71">
        <f>求节点(基础状态预期!$D$107:$D$145,基础状态预期!$O$107:$O$145,$X43)</f>
        <v>0</v>
      </c>
    </row>
    <row r="44" spans="4:35" x14ac:dyDescent="0.15">
      <c r="D44" s="16">
        <v>41</v>
      </c>
      <c r="F44" s="16">
        <f>基础状态预期!C54</f>
        <v>51520</v>
      </c>
      <c r="G44" s="16">
        <f>MIN(武将升星!E$14,求节点(武将升星!E$104:E$112,武将升星!$C$104:$C$112,武将数量星级阶位验证!BJ44/武将数量星级阶位验证!B$6))</f>
        <v>3</v>
      </c>
      <c r="H44" s="16">
        <f>MIN(武将升星!F$14,求节点(武将升星!F$104:F$112,武将升星!$C$104:$C$112,武将数量星级阶位验证!BK44/武将数量星级阶位验证!C$6))</f>
        <v>6</v>
      </c>
      <c r="I44" s="114">
        <f>求节点(武将升星!G$104:G$112,武将升星!$C$104:$C$112,MAX((武将数量星级阶位验证!BL44-武将数量星级阶位验证!BN44)/武将数量星级阶位验证!D$6+武将数量星级阶位验证!BN44/6,0))</f>
        <v>8</v>
      </c>
      <c r="J44" s="71">
        <f>基础状态预期!O54</f>
        <v>8</v>
      </c>
      <c r="L44" s="16">
        <f>武将升星!E$58+武将升星!E$59*G44</f>
        <v>75</v>
      </c>
      <c r="M44" s="16">
        <f>武将升星!F$58+武将升星!F$59*H44</f>
        <v>100</v>
      </c>
      <c r="N44" s="16">
        <f>武将升星!G$58+武将升星!G$59*I44</f>
        <v>125</v>
      </c>
      <c r="O44" s="16">
        <f>武将升星!H$58+武将升星!H$59*J44</f>
        <v>148</v>
      </c>
      <c r="P44" s="16">
        <v>199.859989193617</v>
      </c>
      <c r="Q44" s="16">
        <f>求节点(武将升星!$C$68:$C$76,武将升星!E$68:E$76,G44)</f>
        <v>0.15</v>
      </c>
      <c r="R44" s="16">
        <f>求节点(武将升星!$C$68:$C$76,武将升星!F$68:F$76,H44)</f>
        <v>0.39999999999999997</v>
      </c>
      <c r="S44" s="16">
        <f>求节点(武将升星!$C$68:$C$76,武将升星!G$68:G$76,I44)</f>
        <v>0.79200000000000026</v>
      </c>
      <c r="T44" s="16">
        <f>求节点(武将升星!$C$68:$C$76,武将升星!H$68:H$76,J44)</f>
        <v>1.1399999999999999</v>
      </c>
      <c r="U44" s="16">
        <v>2.0228998379042502</v>
      </c>
      <c r="X44" s="16">
        <v>16</v>
      </c>
      <c r="Y44" s="16">
        <f>求节点(武将数量星级阶位验证!$J$97:$J$135,武将数量星级阶位验证!BJ$97:BJ$135,$X44)/武将数量星级阶位验证!B$6-1</f>
        <v>13.920657210702387</v>
      </c>
      <c r="Z44" s="16">
        <f>求节点(武将数量星级阶位验证!$J$97:$J$135,武将数量星级阶位验证!BK$97:BK$135,$X44)/武将数量星级阶位验证!C$6-1</f>
        <v>2.3373873191775645</v>
      </c>
      <c r="AA44" s="16">
        <f>求节点(武将数量星级阶位验证!$J$97:$J$135,武将数量星级阶位验证!BL$97:BL$135,$X44)/武将数量星级阶位验证!D$6-1</f>
        <v>-0.63831376374720228</v>
      </c>
      <c r="AB44" s="71">
        <f>求节点(基础状态预期!$D$107:$D$145,基础状态预期!$O$107:$O$145,$X44)</f>
        <v>0</v>
      </c>
    </row>
    <row r="45" spans="4:35" x14ac:dyDescent="0.15">
      <c r="D45" s="16">
        <v>42</v>
      </c>
      <c r="F45" s="16">
        <f>基础状态预期!C55</f>
        <v>65500</v>
      </c>
      <c r="G45" s="16">
        <f>MIN(武将升星!E$14,求节点(武将升星!E$104:E$112,武将升星!$C$104:$C$112,武将数量星级阶位验证!BJ45/武将数量星级阶位验证!B$6))</f>
        <v>3</v>
      </c>
      <c r="H45" s="16">
        <f>MIN(武将升星!F$14,求节点(武将升星!F$104:F$112,武将升星!$C$104:$C$112,武将数量星级阶位验证!BK45/武将数量星级阶位验证!C$6))</f>
        <v>6</v>
      </c>
      <c r="I45" s="114">
        <f>求节点(武将升星!G$104:G$112,武将升星!$C$104:$C$112,MAX((武将数量星级阶位验证!BL45-武将数量星级阶位验证!BN45)/武将数量星级阶位验证!D$6+武将数量星级阶位验证!BN45/6,0))</f>
        <v>8</v>
      </c>
      <c r="J45" s="71">
        <f>基础状态预期!O55</f>
        <v>8</v>
      </c>
      <c r="L45" s="16">
        <f>武将升星!E$58+武将升星!E$59*G45</f>
        <v>75</v>
      </c>
      <c r="M45" s="16">
        <f>武将升星!F$58+武将升星!F$59*H45</f>
        <v>100</v>
      </c>
      <c r="N45" s="16">
        <f>武将升星!G$58+武将升星!G$59*I45</f>
        <v>125</v>
      </c>
      <c r="O45" s="16">
        <f>武将升星!H$58+武将升星!H$59*J45</f>
        <v>148</v>
      </c>
      <c r="P45" s="16">
        <v>202.71497093317899</v>
      </c>
      <c r="Q45" s="16">
        <f>求节点(武将升星!$C$68:$C$76,武将升星!E$68:E$76,G45)</f>
        <v>0.15</v>
      </c>
      <c r="R45" s="16">
        <f>求节点(武将升星!$C$68:$C$76,武将升星!F$68:F$76,H45)</f>
        <v>0.39999999999999997</v>
      </c>
      <c r="S45" s="16">
        <f>求节点(武将升星!$C$68:$C$76,武将升星!G$68:G$76,I45)</f>
        <v>0.79200000000000026</v>
      </c>
      <c r="T45" s="16">
        <f>求节点(武将升星!$C$68:$C$76,武将升星!H$68:H$76,J45)</f>
        <v>1.1399999999999999</v>
      </c>
      <c r="U45" s="16">
        <v>2.06572456399768</v>
      </c>
      <c r="X45" s="16">
        <v>17</v>
      </c>
      <c r="Y45" s="16">
        <f>求节点(武将数量星级阶位验证!$J$97:$J$135,武将数量星级阶位验证!BJ$97:BJ$135,$X45)/武将数量星级阶位验证!B$6-1</f>
        <v>14.997169957005427</v>
      </c>
      <c r="Z45" s="16">
        <f>求节点(武将数量星级阶位验证!$J$97:$J$135,武将数量星级阶位验证!BK$97:BK$135,$X45)/武将数量星级阶位验证!C$6-1</f>
        <v>2.5721468498602094</v>
      </c>
      <c r="AA45" s="16">
        <f>求节点(武将数量星级阶位验证!$J$97:$J$135,武将数量星级阶位验证!BL$97:BL$135,$X45)/武将数量星级阶位验证!D$6-1</f>
        <v>-0.61318421362359432</v>
      </c>
      <c r="AB45" s="71">
        <f>求节点(基础状态预期!$D$107:$D$145,基础状态预期!$O$107:$O$145,$X45)</f>
        <v>0</v>
      </c>
    </row>
    <row r="46" spans="4:35" x14ac:dyDescent="0.15">
      <c r="D46" s="16">
        <v>43</v>
      </c>
      <c r="X46" s="16">
        <v>18</v>
      </c>
      <c r="Y46" s="16">
        <f>求节点(武将数量星级阶位验证!$J$97:$J$135,武将数量星级阶位验证!BJ$97:BJ$135,$X46)/武将数量星级阶位验证!B$6-1</f>
        <v>16.073682703308467</v>
      </c>
      <c r="Z46" s="16">
        <f>求节点(武将数量星级阶位验证!$J$97:$J$135,武将数量星级阶位验证!BK$97:BK$135,$X46)/武将数量星级阶位验证!C$6-1</f>
        <v>2.8069063805428542</v>
      </c>
      <c r="AA46" s="16">
        <f>求节点(武将数量星级阶位验证!$J$97:$J$135,武将数量星级阶位验证!BL$97:BL$135,$X46)/武将数量星级阶位验证!D$6-1</f>
        <v>-0.58805466349998625</v>
      </c>
      <c r="AB46" s="71">
        <f>求节点(基础状态预期!$D$107:$D$145,基础状态预期!$O$107:$O$145,$X46)</f>
        <v>0</v>
      </c>
    </row>
    <row r="47" spans="4:35" x14ac:dyDescent="0.15">
      <c r="D47" s="16">
        <v>44</v>
      </c>
      <c r="X47" s="16">
        <v>19</v>
      </c>
      <c r="Y47" s="16">
        <f>求节点(武将数量星级阶位验证!$J$97:$J$135,武将数量星级阶位验证!BJ$97:BJ$135,$X47)/武将数量星级阶位验证!B$6-1</f>
        <v>17.150195449611505</v>
      </c>
      <c r="Z47" s="16">
        <f>求节点(武将数量星级阶位验证!$J$97:$J$135,武将数量星级阶位验证!BK$97:BK$135,$X47)/武将数量星级阶位验证!C$6-1</f>
        <v>3.0416659112254987</v>
      </c>
      <c r="AA47" s="16">
        <f>求节点(武将数量星级阶位验证!$J$97:$J$135,武将数量星级阶位验证!BL$97:BL$135,$X47)/武将数量星级阶位验证!D$6-1</f>
        <v>-0.56292511337637841</v>
      </c>
      <c r="AB47" s="71">
        <f>求节点(基础状态预期!$D$107:$D$145,基础状态预期!$O$107:$O$145,$X47)</f>
        <v>0</v>
      </c>
    </row>
    <row r="48" spans="4:35" x14ac:dyDescent="0.15">
      <c r="D48" s="16">
        <v>45</v>
      </c>
      <c r="X48" s="16">
        <v>20</v>
      </c>
      <c r="Y48" s="16">
        <f>求节点(武将数量星级阶位验证!$J$97:$J$135,武将数量星级阶位验证!BJ$97:BJ$135,$X48)/武将数量星级阶位验证!B$6-1</f>
        <v>18.331676321369528</v>
      </c>
      <c r="Z48" s="16">
        <f>求节点(武将数量星级阶位验证!$J$97:$J$135,武将数量星级阶位验证!BK$97:BK$135,$X48)/武将数量星级阶位验证!C$6-1</f>
        <v>3.2975020965623685</v>
      </c>
      <c r="AA48" s="16">
        <f>求节点(武将数量星级阶位验证!$J$97:$J$135,武将数量星级阶位验证!BL$97:BL$135,$X48)/武将数量星级阶位验证!D$6-1</f>
        <v>-0.53563580595924054</v>
      </c>
      <c r="AB48" s="71">
        <f>求节点(基础状态预期!$D$107:$D$145,基础状态预期!$O$107:$O$145,$X48)</f>
        <v>0</v>
      </c>
    </row>
    <row r="49" spans="4:28" x14ac:dyDescent="0.15">
      <c r="D49" s="16">
        <v>1</v>
      </c>
      <c r="X49" s="16">
        <v>21</v>
      </c>
      <c r="Y49" s="16">
        <f>求节点(武将数量星级阶位验证!$J$97:$J$135,武将数量星级阶位验证!BJ$97:BJ$135,$X49)/武将数量星级阶位验证!B$6-1</f>
        <v>19.933550480685046</v>
      </c>
      <c r="Z49" s="16">
        <f>求节点(武将数量星级阶位验证!$J$97:$J$135,武将数量星级阶位验证!BK$97:BK$135,$X49)/武将数量星级阶位验证!C$6-1</f>
        <v>3.637749469604052</v>
      </c>
      <c r="AA49" s="16">
        <f>求节点(武将数量星级阶位验证!$J$97:$J$135,武将数量星级阶位验证!BL$97:BL$135,$X49)/武将数量星级阶位验证!D$6-1</f>
        <v>-0.49969675401234426</v>
      </c>
      <c r="AB49" s="71">
        <f>求节点(基础状态预期!$D$107:$D$145,基础状态预期!$O$107:$O$145,$X49)</f>
        <v>0</v>
      </c>
    </row>
    <row r="50" spans="4:28" x14ac:dyDescent="0.15">
      <c r="D50" s="16">
        <v>2</v>
      </c>
      <c r="G50" s="16" t="s">
        <v>400</v>
      </c>
      <c r="L50" s="16" t="s">
        <v>401</v>
      </c>
      <c r="Q50" s="16" t="s">
        <v>402</v>
      </c>
      <c r="X50" s="16">
        <v>22</v>
      </c>
      <c r="Y50" s="16">
        <f>求节点(武将数量星级阶位验证!$J$97:$J$135,武将数量星级阶位验证!BJ$97:BJ$135,$X50)/武将数量星级阶位验证!B$6-1</f>
        <v>21.53542464000056</v>
      </c>
      <c r="Z50" s="16">
        <f>求节点(武将数量星级阶位验证!$J$97:$J$135,武将数量星级阶位验证!BK$97:BK$135,$X50)/武将数量星级阶位验证!C$6-1</f>
        <v>3.9779968426457364</v>
      </c>
      <c r="AA50" s="16">
        <f>求节点(武将数量星级阶位验证!$J$97:$J$135,武将数量星级阶位验证!BL$97:BL$135,$X50)/武将数量星级阶位验证!D$6-1</f>
        <v>-0.46375770206544797</v>
      </c>
      <c r="AB50" s="71">
        <f>求节点(基础状态预期!$D$107:$D$145,基础状态预期!$O$107:$O$145,$X50)</f>
        <v>0</v>
      </c>
    </row>
    <row r="51" spans="4:28" x14ac:dyDescent="0.15">
      <c r="D51" s="16">
        <v>3</v>
      </c>
      <c r="F51" s="16" t="s">
        <v>404</v>
      </c>
      <c r="G51" s="29" t="s">
        <v>1</v>
      </c>
      <c r="H51" s="29" t="s">
        <v>2</v>
      </c>
      <c r="I51" s="29" t="s">
        <v>0</v>
      </c>
      <c r="J51" s="14" t="s">
        <v>545</v>
      </c>
      <c r="L51" s="29" t="s">
        <v>1</v>
      </c>
      <c r="M51" s="29" t="s">
        <v>2</v>
      </c>
      <c r="N51" s="29" t="s">
        <v>0</v>
      </c>
      <c r="O51" s="14" t="s">
        <v>545</v>
      </c>
      <c r="P51" s="16" t="s">
        <v>84</v>
      </c>
      <c r="Q51" s="29" t="s">
        <v>1</v>
      </c>
      <c r="R51" s="29" t="s">
        <v>2</v>
      </c>
      <c r="S51" s="29" t="s">
        <v>0</v>
      </c>
      <c r="T51" s="14" t="s">
        <v>545</v>
      </c>
      <c r="U51" s="16" t="s">
        <v>84</v>
      </c>
      <c r="X51" s="16">
        <v>23</v>
      </c>
      <c r="Y51" s="16">
        <f>求节点(武将数量星级阶位验证!$J$97:$J$135,武将数量星级阶位验证!BJ$97:BJ$135,$X51)/武将数量星级阶位验证!B$6-1</f>
        <v>23.137298799316074</v>
      </c>
      <c r="Z51" s="16">
        <f>求节点(武将数量星级阶位验证!$J$97:$J$135,武将数量星级阶位验证!BK$97:BK$135,$X51)/武将数量星级阶位验证!C$6-1</f>
        <v>4.3182442156874199</v>
      </c>
      <c r="AA51" s="16">
        <f>求节点(武将数量星级阶位验证!$J$97:$J$135,武将数量星级阶位验证!BL$97:BL$135,$X51)/武将数量星级阶位验证!D$6-1</f>
        <v>-0.42781865011855169</v>
      </c>
      <c r="AB51" s="71">
        <f>求节点(基础状态预期!$D$107:$D$145,基础状态预期!$O$107:$O$145,$X51)</f>
        <v>0</v>
      </c>
    </row>
    <row r="52" spans="4:28" x14ac:dyDescent="0.15">
      <c r="D52" s="16">
        <v>4</v>
      </c>
      <c r="F52" s="16">
        <f>基础状态预期!C62</f>
        <v>0.85</v>
      </c>
      <c r="G52" s="16">
        <f>MIN(武将升星!E$14,求节点(武将升星!E$104:E$112,武将升星!$C$104:$C$112,武将数量星级阶位验证!BJ52/武将数量星级阶位验证!B$6))</f>
        <v>3</v>
      </c>
      <c r="H52" s="16">
        <f>MIN(武将升星!F$14,求节点(武将升星!F$104:F$112,武将升星!$C$104:$C$112,武将数量星级阶位验证!BK52/武将数量星级阶位验证!C$6))</f>
        <v>0.54012046632665323</v>
      </c>
      <c r="I52" s="114">
        <f>求节点(武将升星!G$104:G$112,武将升星!$C$104:$C$112,MAX((武将数量星级阶位验证!BL52-武将数量星级阶位验证!BN52)/武将数量星级阶位验证!D$6+武将数量星级阶位验证!BN52/6,0))</f>
        <v>0</v>
      </c>
      <c r="J52" s="71">
        <f>基础状态预期!O62</f>
        <v>0</v>
      </c>
      <c r="L52" s="16">
        <f>武将升星!E$58+武将升星!E$59*G52</f>
        <v>75</v>
      </c>
      <c r="M52" s="16">
        <f>武将升星!F$58+武将升星!F$59*H52</f>
        <v>72.700602331633263</v>
      </c>
      <c r="N52" s="16">
        <f>武将升星!G$58+武将升星!G$59*I52</f>
        <v>85</v>
      </c>
      <c r="O52" s="16">
        <f>武将升星!H$58+武将升星!H$59*J52</f>
        <v>100</v>
      </c>
      <c r="P52" s="16">
        <v>105</v>
      </c>
      <c r="Q52" s="16">
        <f>求节点(武将升星!$C$68:$C$76,武将升星!E$68:E$76,G52)</f>
        <v>0.15</v>
      </c>
      <c r="R52" s="16">
        <f>求节点(武将升星!$C$68:$C$76,武将升星!F$68:F$76,H52)</f>
        <v>0.12700602331633268</v>
      </c>
      <c r="S52" s="16">
        <f>求节点(武将升星!$C$68:$C$76,武将升星!G$68:G$76,I52)</f>
        <v>0.216</v>
      </c>
      <c r="T52" s="16">
        <f>求节点(武将升星!$C$68:$C$76,武将升星!H$68:H$76,J52)</f>
        <v>0.5</v>
      </c>
      <c r="U52" s="16">
        <v>0.6</v>
      </c>
      <c r="X52" s="16">
        <v>24</v>
      </c>
      <c r="Y52" s="16">
        <f>求节点(武将数量星级阶位验证!$J$97:$J$135,武将数量星级阶位验证!BJ$97:BJ$135,$X52)/武将数量星级阶位验证!B$6-1</f>
        <v>24.739172958631588</v>
      </c>
      <c r="Z52" s="16">
        <f>求节点(武将数量星级阶位验证!$J$97:$J$135,武将数量星级阶位验证!BK$97:BK$135,$X52)/武将数量星级阶位验证!C$6-1</f>
        <v>4.6584915887291043</v>
      </c>
      <c r="AA52" s="16">
        <f>求节点(武将数量星级阶位验证!$J$97:$J$135,武将数量星级阶位验证!BL$97:BL$135,$X52)/武将数量星级阶位验证!D$6-1</f>
        <v>-0.39187959817165552</v>
      </c>
      <c r="AB52" s="71">
        <f>求节点(基础状态预期!$D$107:$D$145,基础状态预期!$O$107:$O$145,$X52)</f>
        <v>0</v>
      </c>
    </row>
    <row r="53" spans="4:28" x14ac:dyDescent="0.15">
      <c r="D53" s="16">
        <v>5</v>
      </c>
      <c r="F53" s="16">
        <f>基础状态预期!C63</f>
        <v>2.5499999999999998</v>
      </c>
      <c r="G53" s="16">
        <f>MIN(武将升星!E$14,求节点(武将升星!E$104:E$112,武将升星!$C$104:$C$112,武将数量星级阶位验证!BJ53/武将数量星级阶位验证!B$6))</f>
        <v>3</v>
      </c>
      <c r="H53" s="16">
        <f>MIN(武将升星!F$14,求节点(武将升星!F$104:F$112,武将升星!$C$104:$C$112,武将数量星级阶位验证!BK53/武将数量星级阶位验证!C$6))</f>
        <v>2.133171632773482</v>
      </c>
      <c r="I53" s="114">
        <f>求节点(武将升星!G$104:G$112,武将升星!$C$104:$C$112,MAX((武将数量星级阶位验证!BL53-武将数量星级阶位验证!BN53)/武将数量星级阶位验证!D$6+武将数量星级阶位验证!BN53/6,0))</f>
        <v>0</v>
      </c>
      <c r="J53" s="71">
        <f>基础状态预期!O63</f>
        <v>0</v>
      </c>
      <c r="L53" s="16">
        <f>武将升星!E$58+武将升星!E$59*G53</f>
        <v>75</v>
      </c>
      <c r="M53" s="16">
        <f>武将升星!F$58+武将升星!F$59*H53</f>
        <v>80.665858163867412</v>
      </c>
      <c r="N53" s="16">
        <f>武将升星!G$58+武将升星!G$59*I53</f>
        <v>85</v>
      </c>
      <c r="O53" s="16">
        <f>武将升星!H$58+武将升星!H$59*J53</f>
        <v>100</v>
      </c>
      <c r="P53" s="16">
        <v>105</v>
      </c>
      <c r="Q53" s="16">
        <f>求节点(武将升星!$C$68:$C$76,武将升星!E$68:E$76,G53)</f>
        <v>0.15</v>
      </c>
      <c r="R53" s="16">
        <f>求节点(武将升星!$C$68:$C$76,武将升星!F$68:F$76,H53)</f>
        <v>0.20665858163867412</v>
      </c>
      <c r="S53" s="16">
        <f>求节点(武将升星!$C$68:$C$76,武将升星!G$68:G$76,I53)</f>
        <v>0.216</v>
      </c>
      <c r="T53" s="16">
        <f>求节点(武将升星!$C$68:$C$76,武将升星!H$68:H$76,J53)</f>
        <v>0.5</v>
      </c>
      <c r="U53" s="16">
        <v>0.6</v>
      </c>
      <c r="X53" s="16">
        <v>25</v>
      </c>
      <c r="Y53" s="16">
        <f>求节点(武将数量星级阶位验证!$J$97:$J$135,武将数量星级阶位验证!BJ$97:BJ$135,$X53)/武将数量星级阶位验证!B$6-1</f>
        <v>26.34104711794711</v>
      </c>
      <c r="Z53" s="16">
        <f>求节点(武将数量星级阶位验证!$J$97:$J$135,武将数量星级阶位验证!BK$97:BK$135,$X53)/武将数量星级阶位验证!C$6-1</f>
        <v>4.9987389617707887</v>
      </c>
      <c r="AA53" s="16">
        <f>求节点(武将数量星级阶位验证!$J$97:$J$135,武将数量星级阶位验证!BL$97:BL$135,$X53)/武将数量星级阶位验证!D$6-1</f>
        <v>-0.35594054622475924</v>
      </c>
      <c r="AB53" s="71">
        <f>求节点(基础状态预期!$D$107:$D$145,基础状态预期!$O$107:$O$145,$X53)</f>
        <v>0</v>
      </c>
    </row>
    <row r="54" spans="4:28" x14ac:dyDescent="0.15">
      <c r="D54" s="16">
        <v>6</v>
      </c>
      <c r="F54" s="16">
        <f>基础状态预期!C64</f>
        <v>5.0999999999999996</v>
      </c>
      <c r="G54" s="16">
        <f>MIN(武将升星!E$14,求节点(武将升星!E$104:E$112,武将升星!$C$104:$C$112,武将数量星级阶位验证!BJ54/武将数量星级阶位验证!B$6))</f>
        <v>3</v>
      </c>
      <c r="H54" s="16">
        <f>MIN(武将升星!F$14,求节点(武将升星!F$104:F$112,武将升星!$C$104:$C$112,武将数量星级阶位验证!BK54/武将数量星级阶位验证!C$6))</f>
        <v>3.2692816510054956</v>
      </c>
      <c r="I54" s="114">
        <f>求节点(武将升星!G$104:G$112,武将升星!$C$104:$C$112,MAX((武将数量星级阶位验证!BL54-武将数量星级阶位验证!BN54)/武将数量星级阶位验证!D$6+武将数量星级阶位验证!BN54/6,0))</f>
        <v>0.16933262846455488</v>
      </c>
      <c r="J54" s="71">
        <f>基础状态预期!O64</f>
        <v>0</v>
      </c>
      <c r="L54" s="16">
        <f>武将升星!E$58+武将升星!E$59*G54</f>
        <v>75</v>
      </c>
      <c r="M54" s="16">
        <f>武将升星!F$58+武将升星!F$59*H54</f>
        <v>86.346408255027484</v>
      </c>
      <c r="N54" s="16">
        <f>武将升星!G$58+武将升星!G$59*I54</f>
        <v>85.846663142322768</v>
      </c>
      <c r="O54" s="16">
        <f>武将升星!H$58+武将升星!H$59*J54</f>
        <v>100</v>
      </c>
      <c r="P54" s="16">
        <v>105</v>
      </c>
      <c r="Q54" s="16">
        <f>求节点(武将升星!$C$68:$C$76,武将升星!E$68:E$76,G54)</f>
        <v>0.15</v>
      </c>
      <c r="R54" s="16">
        <f>求节点(武将升星!$C$68:$C$76,武将升星!F$68:F$76,H54)</f>
        <v>0.26346408255027476</v>
      </c>
      <c r="S54" s="16">
        <f>求节点(武将升星!$C$68:$C$76,武将升星!G$68:G$76,I54)</f>
        <v>0.22819194924944797</v>
      </c>
      <c r="T54" s="16">
        <f>求节点(武将升星!$C$68:$C$76,武将升星!H$68:H$76,J54)</f>
        <v>0.5</v>
      </c>
      <c r="U54" s="16">
        <v>0.6</v>
      </c>
      <c r="X54" s="16">
        <v>26</v>
      </c>
      <c r="Y54" s="16">
        <f>求节点(武将数量星级阶位验证!$J$97:$J$135,武将数量星级阶位验证!BJ$97:BJ$135,$X54)/武将数量星级阶位验证!B$6-1</f>
        <v>27.942921277262624</v>
      </c>
      <c r="Z54" s="16">
        <f>求节点(武将数量星级阶位验证!$J$97:$J$135,武将数量星级阶位验证!BK$97:BK$135,$X54)/武将数量星级阶位验证!C$6-1</f>
        <v>5.3389863348124722</v>
      </c>
      <c r="AA54" s="16">
        <f>求节点(武将数量星级阶位验证!$J$97:$J$135,武将数量星级阶位验证!BL$97:BL$135,$X54)/武将数量星级阶位验证!D$6-1</f>
        <v>-0.32000149427786295</v>
      </c>
      <c r="AB54" s="71">
        <f>求节点(基础状态预期!$D$107:$D$145,基础状态预期!$O$107:$O$145,$X54)</f>
        <v>0</v>
      </c>
    </row>
    <row r="55" spans="4:28" x14ac:dyDescent="0.15">
      <c r="D55" s="16">
        <v>7</v>
      </c>
      <c r="F55" s="16">
        <f>基础状态预期!C65</f>
        <v>8.5</v>
      </c>
      <c r="G55" s="16">
        <f>MIN(武将升星!E$14,求节点(武将升星!E$104:E$112,武将升星!$C$104:$C$112,武将数量星级阶位验证!BJ55/武将数量星级阶位验证!B$6))</f>
        <v>3</v>
      </c>
      <c r="H55" s="16">
        <f>MIN(武将升星!F$14,求节点(武将升星!F$104:F$112,武将升星!$C$104:$C$112,武将数量星级阶位验证!BK55/武将数量星级阶位验证!C$6))</f>
        <v>4.3492996625097531</v>
      </c>
      <c r="I55" s="114">
        <f>求节点(武将升星!G$104:G$112,武将升星!$C$104:$C$112,MAX((武将数量星级阶位验证!BL55-武将数量星级阶位验证!BN55)/武将数量星级阶位验证!D$6+武将数量星级阶位验证!BN55/6,0))</f>
        <v>0.66920166281262383</v>
      </c>
      <c r="J55" s="71">
        <f>基础状态预期!O65</f>
        <v>0</v>
      </c>
      <c r="L55" s="16">
        <f>武将升星!E$58+武将升星!E$59*G55</f>
        <v>75</v>
      </c>
      <c r="M55" s="16">
        <f>武将升星!F$58+武将升星!F$59*H55</f>
        <v>91.746498312548766</v>
      </c>
      <c r="N55" s="16">
        <f>武将升星!G$58+武将升星!G$59*I55</f>
        <v>88.346008314063113</v>
      </c>
      <c r="O55" s="16">
        <f>武将升星!H$58+武将升星!H$59*J55</f>
        <v>100</v>
      </c>
      <c r="P55" s="16">
        <v>105</v>
      </c>
      <c r="Q55" s="16">
        <f>求节点(武将升星!$C$68:$C$76,武将升星!E$68:E$76,G55)</f>
        <v>0.15</v>
      </c>
      <c r="R55" s="16">
        <f>求节点(武将升星!$C$68:$C$76,武将升星!F$68:F$76,H55)</f>
        <v>0.31746498312548765</v>
      </c>
      <c r="S55" s="16">
        <f>求节点(武将升星!$C$68:$C$76,武将升星!G$68:G$76,I55)</f>
        <v>0.26418251972250895</v>
      </c>
      <c r="T55" s="16">
        <f>求节点(武将升星!$C$68:$C$76,武将升星!H$68:H$76,J55)</f>
        <v>0.5</v>
      </c>
      <c r="U55" s="16">
        <v>0.6</v>
      </c>
      <c r="X55" s="16">
        <v>27</v>
      </c>
      <c r="Y55" s="16">
        <f>求节点(武将数量星级阶位验证!$J$97:$J$135,武将数量星级阶位验证!BJ$97:BJ$135,$X55)/武将数量星级阶位验证!B$6-1</f>
        <v>29.544795436578141</v>
      </c>
      <c r="Z55" s="16">
        <f>求节点(武将数量星级阶位验证!$J$97:$J$135,武将数量星级阶位验证!BK$97:BK$135,$X55)/武将数量星级阶位验证!C$6-1</f>
        <v>5.6792337078541566</v>
      </c>
      <c r="AA55" s="16">
        <f>求节点(武将数量星级阶位验证!$J$97:$J$135,武将数量星级阶位验证!BL$97:BL$135,$X55)/武将数量星级阶位验证!D$6-1</f>
        <v>-0.28406244233096667</v>
      </c>
      <c r="AB55" s="71">
        <f>求节点(基础状态预期!$D$107:$D$145,基础状态预期!$O$107:$O$145,$X55)</f>
        <v>0</v>
      </c>
    </row>
    <row r="56" spans="4:28" x14ac:dyDescent="0.15">
      <c r="D56" s="16">
        <v>8</v>
      </c>
      <c r="F56" s="16">
        <f>基础状态预期!C66</f>
        <v>12.75</v>
      </c>
      <c r="G56" s="16">
        <f>MIN(武将升星!E$14,求节点(武将升星!E$104:E$112,武将升星!$C$104:$C$112,武将数量星级阶位验证!BJ56/武将数量星级阶位验证!B$6))</f>
        <v>3</v>
      </c>
      <c r="H56" s="16">
        <f>MIN(武将升星!F$14,求节点(武将升星!F$104:F$112,武将升星!$C$104:$C$112,武将数量星级阶位验证!BK56/武将数量星级阶位验证!C$6))</f>
        <v>5.1862237353342744</v>
      </c>
      <c r="I56" s="114">
        <f>求节点(武将升星!G$104:G$112,武将升星!$C$104:$C$112,MAX((武将数量星级阶位验证!BL56-武将数量星级阶位验证!BN56)/武将数量星级阶位验证!D$6+武将数量星级阶位验证!BN56/6,0))</f>
        <v>1.1460676492452331</v>
      </c>
      <c r="J56" s="71">
        <f>基础状态预期!O66</f>
        <v>0</v>
      </c>
      <c r="L56" s="16">
        <f>武将升星!E$58+武将升星!E$59*G56</f>
        <v>75</v>
      </c>
      <c r="M56" s="16">
        <f>武将升星!F$58+武将升星!F$59*H56</f>
        <v>95.931118676671375</v>
      </c>
      <c r="N56" s="16">
        <f>武将升星!G$58+武将升星!G$59*I56</f>
        <v>90.730338246226168</v>
      </c>
      <c r="O56" s="16">
        <f>武将升星!H$58+武将升星!H$59*J56</f>
        <v>100</v>
      </c>
      <c r="P56" s="16">
        <v>105</v>
      </c>
      <c r="Q56" s="16">
        <f>求节点(武将升星!$C$68:$C$76,武将升星!E$68:E$76,G56)</f>
        <v>0.15</v>
      </c>
      <c r="R56" s="16">
        <f>求节点(武将升星!$C$68:$C$76,武将升星!F$68:F$76,H56)</f>
        <v>0.3593111867667137</v>
      </c>
      <c r="S56" s="16">
        <f>求节点(武将升星!$C$68:$C$76,武将升星!G$68:G$76,I56)</f>
        <v>0.2985168707456568</v>
      </c>
      <c r="T56" s="16">
        <f>求节点(武将升星!$C$68:$C$76,武将升星!H$68:H$76,J56)</f>
        <v>0.5</v>
      </c>
      <c r="U56" s="16">
        <v>0.6</v>
      </c>
      <c r="X56" s="16">
        <v>28</v>
      </c>
      <c r="Y56" s="16">
        <f>求节点(武将数量星级阶位验证!$J$97:$J$135,武将数量星级阶位验证!BJ$97:BJ$135,$X56)/武将数量星级阶位验证!B$6-1</f>
        <v>31.350792847042676</v>
      </c>
      <c r="Z56" s="16">
        <f>求节点(武将数量星级阶位验证!$J$97:$J$135,武将数量星级阶位验证!BK$97:BK$135,$X56)/武将数量星级阶位验证!C$6-1</f>
        <v>6.0616785032003246</v>
      </c>
      <c r="AA56" s="16">
        <f>求节点(武将数量星级阶位验证!$J$97:$J$135,武将数量星级阶位验证!BL$97:BL$135,$X56)/武将数量星级阶位验证!D$6-1</f>
        <v>-0.24372947298409953</v>
      </c>
      <c r="AB56" s="71">
        <f>求节点(基础状态预期!$D$107:$D$145,基础状态预期!$O$107:$O$145,$X56)</f>
        <v>0</v>
      </c>
    </row>
    <row r="57" spans="4:28" x14ac:dyDescent="0.15">
      <c r="D57" s="16">
        <v>9</v>
      </c>
      <c r="F57" s="16">
        <f>基础状态预期!C67</f>
        <v>17</v>
      </c>
      <c r="G57" s="16">
        <f>MIN(武将升星!E$14,求节点(武将升星!E$104:E$112,武将升星!$C$104:$C$112,武将数量星级阶位验证!BJ57/武将数量星级阶位验证!B$6))</f>
        <v>3</v>
      </c>
      <c r="H57" s="16">
        <f>MIN(武将升星!F$14,求节点(武将升星!F$104:F$112,武将升星!$C$104:$C$112,武将数量星级阶位验证!BK57/武将数量星级阶位验证!C$6))</f>
        <v>5.994961961643976</v>
      </c>
      <c r="I57" s="114">
        <f>求节点(武将升星!G$104:G$112,武将升星!$C$104:$C$112,MAX((武将数量星级阶位验证!BL57-武将数量星级阶位验证!BN57)/武将数量星级阶位验证!D$6+武将数量星级阶位验证!BN57/6,0))</f>
        <v>1.6029431304051021</v>
      </c>
      <c r="J57" s="71">
        <f>基础状态预期!O67</f>
        <v>0</v>
      </c>
      <c r="L57" s="16">
        <f>武将升星!E$58+武将升星!E$59*G57</f>
        <v>75</v>
      </c>
      <c r="M57" s="16">
        <f>武将升星!F$58+武将升星!F$59*H57</f>
        <v>99.974809808219874</v>
      </c>
      <c r="N57" s="16">
        <f>武将升星!G$58+武将升星!G$59*I57</f>
        <v>93.014715652025515</v>
      </c>
      <c r="O57" s="16">
        <f>武将升星!H$58+武将升星!H$59*J57</f>
        <v>100</v>
      </c>
      <c r="P57" s="16">
        <v>105</v>
      </c>
      <c r="Q57" s="16">
        <f>求节点(武将升星!$C$68:$C$76,武将升星!E$68:E$76,G57)</f>
        <v>0.15</v>
      </c>
      <c r="R57" s="16">
        <f>求节点(武将升星!$C$68:$C$76,武将升星!F$68:F$76,H57)</f>
        <v>0.39974809808219874</v>
      </c>
      <c r="S57" s="16">
        <f>求节点(武将升星!$C$68:$C$76,武将升星!G$68:G$76,I57)</f>
        <v>0.33141190538916737</v>
      </c>
      <c r="T57" s="16">
        <f>求节点(武将升星!$C$68:$C$76,武将升星!H$68:H$76,J57)</f>
        <v>0.5</v>
      </c>
      <c r="U57" s="16">
        <v>0.6</v>
      </c>
      <c r="X57" s="16">
        <v>29</v>
      </c>
      <c r="Y57" s="16">
        <f>求节点(武将数量星级阶位验证!$J$97:$J$135,武将数量星级阶位验证!BJ$97:BJ$135,$X57)/武将数量星级阶位验证!B$6-1</f>
        <v>33.836719369171625</v>
      </c>
      <c r="Z57" s="16">
        <f>求节点(武将数量星级阶位验证!$J$97:$J$135,武将数量星级阶位验证!BK$97:BK$135,$X57)/武将数量星级阶位验证!C$6-1</f>
        <v>6.5846817880890143</v>
      </c>
      <c r="AA57" s="16">
        <f>求节点(武将数量星级阶位验证!$J$97:$J$135,武将数量星级阶位验证!BL$97:BL$135,$X57)/武将数量星级阶位验证!D$6-1</f>
        <v>-0.18876048183338723</v>
      </c>
      <c r="AB57" s="71">
        <f>求节点(基础状态预期!$D$107:$D$145,基础状态预期!$O$107:$O$145,$X57)</f>
        <v>0</v>
      </c>
    </row>
    <row r="58" spans="4:28" x14ac:dyDescent="0.15">
      <c r="D58" s="16">
        <v>10</v>
      </c>
      <c r="F58" s="16">
        <f>基础状态预期!C68</f>
        <v>25.5</v>
      </c>
      <c r="G58" s="16">
        <f>MIN(武将升星!E$14,求节点(武将升星!E$104:E$112,武将升星!$C$104:$C$112,武将数量星级阶位验证!BJ58/武将数量星级阶位验证!B$6))</f>
        <v>3</v>
      </c>
      <c r="H58" s="16">
        <f>MIN(武将升星!F$14,求节点(武将升星!F$104:F$112,武将升星!$C$104:$C$112,武将数量星级阶位验证!BK58/武将数量星级阶位验证!C$6))</f>
        <v>6</v>
      </c>
      <c r="I58" s="114">
        <f>求节点(武将升星!G$104:G$112,武将升星!$C$104:$C$112,MAX((武将数量星级阶位验证!BL58-武将数量星级阶位验证!BN58)/武将数量星级阶位验证!D$6+武将数量星级阶位验证!BN58/6,0))</f>
        <v>2.4074491677725511</v>
      </c>
      <c r="J58" s="71">
        <f>基础状态预期!O68</f>
        <v>0</v>
      </c>
      <c r="L58" s="16">
        <f>武将升星!E$58+武将升星!E$59*G58</f>
        <v>75</v>
      </c>
      <c r="M58" s="16">
        <f>武将升星!F$58+武将升星!F$59*H58</f>
        <v>100</v>
      </c>
      <c r="N58" s="16">
        <f>武将升星!G$58+武将升星!G$59*I58</f>
        <v>97.037245838862759</v>
      </c>
      <c r="O58" s="16">
        <f>武将升星!H$58+武将升星!H$59*J58</f>
        <v>100</v>
      </c>
      <c r="P58" s="16">
        <v>105</v>
      </c>
      <c r="Q58" s="16">
        <f>求节点(武将升星!$C$68:$C$76,武将升星!E$68:E$76,G58)</f>
        <v>0.15</v>
      </c>
      <c r="R58" s="16">
        <f>求节点(武将升星!$C$68:$C$76,武将升星!F$68:F$76,H58)</f>
        <v>0.39999999999999997</v>
      </c>
      <c r="S58" s="16">
        <f>求节点(武将升星!$C$68:$C$76,武将升星!G$68:G$76,I58)</f>
        <v>0.3893363400796237</v>
      </c>
      <c r="T58" s="16">
        <f>求节点(武将升星!$C$68:$C$76,武将升星!H$68:H$76,J58)</f>
        <v>0.5</v>
      </c>
      <c r="U58" s="16">
        <v>0.6</v>
      </c>
      <c r="X58" s="16">
        <v>30</v>
      </c>
      <c r="Y58" s="16">
        <f>求节点(武将数量星级阶位验证!$J$97:$J$135,武将数量星级阶位验证!BJ$97:BJ$135,$X58)/武将数量星级阶位验证!B$6-1</f>
        <v>36.322645891300574</v>
      </c>
      <c r="Z58" s="16">
        <f>求节点(武将数量星级阶位验证!$J$97:$J$135,武将数量星级阶位验证!BK$97:BK$135,$X58)/武将数量星级阶位验证!C$6-1</f>
        <v>7.1076850729777021</v>
      </c>
      <c r="AA58" s="16">
        <f>求节点(武将数量星级阶位验证!$J$97:$J$135,武将数量星级阶位验证!BL$97:BL$135,$X58)/武将数量星级阶位验证!D$6-1</f>
        <v>-0.13379149068267493</v>
      </c>
      <c r="AB58" s="71">
        <f>求节点(基础状态预期!$D$107:$D$145,基础状态预期!$O$107:$O$145,$X58)</f>
        <v>0</v>
      </c>
    </row>
    <row r="59" spans="4:28" x14ac:dyDescent="0.15">
      <c r="D59" s="16">
        <v>11</v>
      </c>
      <c r="F59" s="16">
        <f>基础状态预期!C69</f>
        <v>34</v>
      </c>
      <c r="G59" s="16">
        <f>MIN(武将升星!E$14,求节点(武将升星!E$104:E$112,武将升星!$C$104:$C$112,武将数量星级阶位验证!BJ59/武将数量星级阶位验证!B$6))</f>
        <v>3</v>
      </c>
      <c r="H59" s="16">
        <f>MIN(武将升星!F$14,求节点(武将升星!F$104:F$112,武将升星!$C$104:$C$112,武将数量星级阶位验证!BK59/武将数量星级阶位验证!C$6))</f>
        <v>6</v>
      </c>
      <c r="I59" s="114">
        <f>求节点(武将升星!G$104:G$112,武将升星!$C$104:$C$112,MAX((武将数量星级阶位验证!BL59-武将数量星级阶位验证!BN59)/武将数量星级阶位验证!D$6+武将数量星级阶位验证!BN59/6,0))</f>
        <v>3.073515069452641</v>
      </c>
      <c r="J59" s="71">
        <f>基础状态预期!O69</f>
        <v>5.4684502519781075E-2</v>
      </c>
      <c r="L59" s="16">
        <f>武将升星!E$58+武将升星!E$59*G59</f>
        <v>75</v>
      </c>
      <c r="M59" s="16">
        <f>武将升星!F$58+武将升星!F$59*H59</f>
        <v>100</v>
      </c>
      <c r="N59" s="16">
        <f>武将升星!G$58+武将升星!G$59*I59</f>
        <v>100.3675753472632</v>
      </c>
      <c r="O59" s="16">
        <f>武将升星!H$58+武将升星!H$59*J59</f>
        <v>100.32810701511869</v>
      </c>
      <c r="P59" s="16">
        <v>105.2258108626752</v>
      </c>
      <c r="Q59" s="16">
        <f>求节点(武将升星!$C$68:$C$76,武将升星!E$68:E$76,G59)</f>
        <v>0.15</v>
      </c>
      <c r="R59" s="16">
        <f>求节点(武将升星!$C$68:$C$76,武将升星!F$68:F$76,H59)</f>
        <v>0.39999999999999997</v>
      </c>
      <c r="S59" s="16">
        <f>求节点(武将升星!$C$68:$C$76,武将升星!G$68:G$76,I59)</f>
        <v>0.43729308500059022</v>
      </c>
      <c r="T59" s="16">
        <f>求节点(武将升星!$C$68:$C$76,武将升星!H$68:H$76,J59)</f>
        <v>0.50437476020158245</v>
      </c>
      <c r="U59" s="16">
        <v>0.60338716294012795</v>
      </c>
      <c r="X59" s="16">
        <v>31</v>
      </c>
      <c r="Y59" s="16">
        <f>求节点(武将数量星级阶位验证!$J$97:$J$135,武将数量星级阶位验证!BJ$97:BJ$135,$X59)/武将数量星级阶位验证!B$6-1</f>
        <v>38.808572413429516</v>
      </c>
      <c r="Z59" s="16">
        <f>求节点(武将数量星级阶位验证!$J$97:$J$135,武将数量星级阶位验证!BK$97:BK$135,$X59)/武将数量星级阶位验证!C$6-1</f>
        <v>7.6306883578663918</v>
      </c>
      <c r="AA59" s="16">
        <f>求节点(武将数量星级阶位验证!$J$97:$J$135,武将数量星级阶位验证!BL$97:BL$135,$X59)/武将数量星级阶位验证!D$6-1</f>
        <v>-7.8822499531962631E-2</v>
      </c>
      <c r="AB59" s="71">
        <f>求节点(基础状态预期!$D$107:$D$145,基础状态预期!$O$107:$O$145,$X59)</f>
        <v>0</v>
      </c>
    </row>
    <row r="60" spans="4:28" x14ac:dyDescent="0.15">
      <c r="D60" s="16">
        <v>12</v>
      </c>
      <c r="F60" s="16">
        <f>基础状态预期!C70</f>
        <v>51</v>
      </c>
      <c r="G60" s="16">
        <f>MIN(武将升星!E$14,求节点(武将升星!E$104:E$112,武将升星!$C$104:$C$112,武将数量星级阶位验证!BJ60/武将数量星级阶位验证!B$6))</f>
        <v>3</v>
      </c>
      <c r="H60" s="16">
        <f>MIN(武将升星!F$14,求节点(武将升星!F$104:F$112,武将升星!$C$104:$C$112,武将数量星级阶位验证!BK60/武将数量星级阶位验证!C$6))</f>
        <v>6</v>
      </c>
      <c r="I60" s="114">
        <f>求节点(武将升星!G$104:G$112,武将升星!$C$104:$C$112,MAX((武将数量星级阶位验证!BL60-武将数量星级阶位验证!BN60)/武将数量星级阶位验证!D$6+武将数量星级阶位验证!BN60/6,0))</f>
        <v>3.6225879801522045</v>
      </c>
      <c r="J60" s="71">
        <f>基础状态预期!O70</f>
        <v>1.2314729140240206</v>
      </c>
      <c r="L60" s="16">
        <f>武将升星!E$58+武将升星!E$59*G60</f>
        <v>75</v>
      </c>
      <c r="M60" s="16">
        <f>武将升星!F$58+武将升星!F$59*H60</f>
        <v>100</v>
      </c>
      <c r="N60" s="16">
        <f>武将升星!G$58+武将升星!G$59*I60</f>
        <v>103.11293990076102</v>
      </c>
      <c r="O60" s="16">
        <f>武将升星!H$58+武将升星!H$59*J60</f>
        <v>107.38883748414412</v>
      </c>
      <c r="P60" s="16">
        <v>113.06946392495517</v>
      </c>
      <c r="Q60" s="16">
        <f>求节点(武将升星!$C$68:$C$76,武将升星!E$68:E$76,G60)</f>
        <v>0.15</v>
      </c>
      <c r="R60" s="16">
        <f>求节点(武将升星!$C$68:$C$76,武将升星!F$68:F$76,H60)</f>
        <v>0.39999999999999997</v>
      </c>
      <c r="S60" s="16">
        <f>求节点(武将升星!$C$68:$C$76,武将升星!G$68:G$76,I60)</f>
        <v>0.47682633457095874</v>
      </c>
      <c r="T60" s="16">
        <f>求节点(武将升星!$C$68:$C$76,武将升星!H$68:H$76,J60)</f>
        <v>0.59851783312192164</v>
      </c>
      <c r="U60" s="16">
        <v>0.72104195887432754</v>
      </c>
      <c r="X60" s="16">
        <v>32</v>
      </c>
      <c r="Y60" s="16">
        <f>求节点(武将数量星级阶位验证!$J$97:$J$135,武将数量星级阶位验证!BJ$97:BJ$135,$X60)/武将数量星级阶位验证!B$6-1</f>
        <v>41.294498935558458</v>
      </c>
      <c r="Z60" s="16">
        <f>求节点(武将数量星级阶位验证!$J$97:$J$135,武将数量星级阶位验证!BK$97:BK$135,$X60)/武将数量星级阶位验证!C$6-1</f>
        <v>8.1536916427550796</v>
      </c>
      <c r="AA60" s="16">
        <f>求节点(武将数量星级阶位验证!$J$97:$J$135,武将数量星级阶位验证!BL$97:BL$135,$X60)/武将数量星级阶位验证!D$6-1</f>
        <v>-2.3853508381250443E-2</v>
      </c>
      <c r="AB60" s="71">
        <f>求节点(基础状态预期!$D$107:$D$145,基础状态预期!$O$107:$O$145,$X60)</f>
        <v>0</v>
      </c>
    </row>
    <row r="61" spans="4:28" x14ac:dyDescent="0.15">
      <c r="D61" s="16">
        <v>13</v>
      </c>
      <c r="F61" s="16">
        <f>基础状态预期!C71</f>
        <v>76.5</v>
      </c>
      <c r="G61" s="16">
        <f>MIN(武将升星!E$14,求节点(武将升星!E$104:E$112,武将升星!$C$104:$C$112,武将数量星级阶位验证!BJ61/武将数量星级阶位验证!B$6))</f>
        <v>3</v>
      </c>
      <c r="H61" s="16">
        <f>MIN(武将升星!F$14,求节点(武将升星!F$104:F$112,武将升星!$C$104:$C$112,武将数量星级阶位验证!BK61/武将数量星级阶位验证!C$6))</f>
        <v>6</v>
      </c>
      <c r="I61" s="114">
        <f>求节点(武将升星!G$104:G$112,武将升星!$C$104:$C$112,MAX((武将数量星级阶位验证!BL61-武将数量星级阶位验证!BN61)/武将数量星级阶位验证!D$6+武将数量星级阶位验证!BN61/6,0))</f>
        <v>3.9992899911684452</v>
      </c>
      <c r="J61" s="71">
        <f>基础状态预期!O71</f>
        <v>3.3462527022694109</v>
      </c>
      <c r="L61" s="16">
        <f>武将升星!E$58+武将升星!E$59*G61</f>
        <v>75</v>
      </c>
      <c r="M61" s="16">
        <f>武将升星!F$58+武将升星!F$59*H61</f>
        <v>100</v>
      </c>
      <c r="N61" s="16">
        <f>武将升星!G$58+武将升星!G$59*I61</f>
        <v>104.99644995584222</v>
      </c>
      <c r="O61" s="16">
        <f>武将升星!H$58+武将升星!H$59*J61</f>
        <v>120.07751621361646</v>
      </c>
      <c r="P61" s="16">
        <v>125.9003569153592</v>
      </c>
      <c r="Q61" s="16">
        <f>求节点(武将升星!$C$68:$C$76,武将升星!E$68:E$76,G61)</f>
        <v>0.15</v>
      </c>
      <c r="R61" s="16">
        <f>求节点(武将升星!$C$68:$C$76,武将升星!F$68:F$76,H61)</f>
        <v>0.39999999999999997</v>
      </c>
      <c r="S61" s="16">
        <f>求节点(武将升星!$C$68:$C$76,武将升星!G$68:G$76,I61)</f>
        <v>0.50394887936412802</v>
      </c>
      <c r="T61" s="16">
        <f>求节点(武将升星!$C$68:$C$76,武将升星!H$68:H$76,J61)</f>
        <v>0.76770021618155271</v>
      </c>
      <c r="U61" s="16">
        <v>0.91350535373038777</v>
      </c>
      <c r="X61" s="16">
        <v>33</v>
      </c>
      <c r="Y61" s="16">
        <f>求节点(武将数量星级阶位验证!$J$97:$J$135,武将数量星级阶位验证!BJ$97:BJ$135,$X61)/武将数量星级阶位验证!B$6-1</f>
        <v>43.780425457687407</v>
      </c>
      <c r="Z61" s="16">
        <f>求节点(武将数量星级阶位验证!$J$97:$J$135,武将数量星级阶位验证!BK$97:BK$135,$X61)/武将数量星级阶位验证!C$6-1</f>
        <v>8.6766949276437693</v>
      </c>
      <c r="AA61" s="16">
        <f>求节点(武将数量星级阶位验证!$J$97:$J$135,武将数量星级阶位验证!BL$97:BL$135,$X61)/武将数量星级阶位验证!D$6-1</f>
        <v>3.1115482769461966E-2</v>
      </c>
      <c r="AB61" s="71">
        <f>求节点(基础状态预期!$D$107:$D$145,基础状态预期!$O$107:$O$145,$X61)</f>
        <v>0</v>
      </c>
    </row>
    <row r="62" spans="4:28" x14ac:dyDescent="0.15">
      <c r="D62" s="16">
        <v>14</v>
      </c>
      <c r="F62" s="16">
        <f>基础状态预期!C72</f>
        <v>102</v>
      </c>
      <c r="G62" s="16">
        <f>MIN(武将升星!E$14,求节点(武将升星!E$104:E$112,武将升星!$C$104:$C$112,武将数量星级阶位验证!BJ62/武将数量星级阶位验证!B$6))</f>
        <v>3</v>
      </c>
      <c r="H62" s="16">
        <f>MIN(武将升星!F$14,求节点(武将升星!F$104:F$112,武将升星!$C$104:$C$112,武将数量星级阶位验证!BK62/武将数量星级阶位验证!C$6))</f>
        <v>6</v>
      </c>
      <c r="I62" s="114">
        <f>求节点(武将升星!G$104:G$112,武将升星!$C$104:$C$112,MAX((武将数量星级阶位验证!BL62-武将数量星级阶位验证!BN62)/武将数量星级阶位验证!D$6+武将数量星级阶位验证!BN62/6,0))</f>
        <v>4.3338114622088275</v>
      </c>
      <c r="J62" s="71">
        <f>基础状态预期!O72</f>
        <v>3.7769709625037322</v>
      </c>
      <c r="L62" s="16">
        <f>武将升星!E$58+武将升星!E$59*G62</f>
        <v>75</v>
      </c>
      <c r="M62" s="16">
        <f>武将升星!F$58+武将升星!F$59*H62</f>
        <v>100</v>
      </c>
      <c r="N62" s="16">
        <f>武将升星!G$58+武将升星!G$59*I62</f>
        <v>106.66905731104414</v>
      </c>
      <c r="O62" s="16">
        <f>武将升星!H$58+武将升星!H$59*J62</f>
        <v>122.66182577502239</v>
      </c>
      <c r="P62" s="16">
        <v>128.26314458997172</v>
      </c>
      <c r="Q62" s="16">
        <f>求节点(武将升星!$C$68:$C$76,武将升星!E$68:E$76,G62)</f>
        <v>0.15</v>
      </c>
      <c r="R62" s="16">
        <f>求节点(武将升星!$C$68:$C$76,武将升星!F$68:F$76,H62)</f>
        <v>0.39999999999999997</v>
      </c>
      <c r="S62" s="16">
        <f>求节点(武将升星!$C$68:$C$76,武将升星!G$68:G$76,I62)</f>
        <v>0.52803442527903566</v>
      </c>
      <c r="T62" s="16">
        <f>求节点(武将升星!$C$68:$C$76,武将升星!H$68:H$76,J62)</f>
        <v>0.80215767700029839</v>
      </c>
      <c r="U62" s="16">
        <v>0.94894716884957575</v>
      </c>
      <c r="X62" s="16">
        <v>34</v>
      </c>
      <c r="Y62" s="16">
        <f>求节点(武将数量星级阶位验证!$J$97:$J$135,武将数量星级阶位验证!BJ$97:BJ$135,$X62)/武将数量星级阶位验证!B$6-1</f>
        <v>46.266351979816356</v>
      </c>
      <c r="Z62" s="16">
        <f>求节点(武将数量星级阶位验证!$J$97:$J$135,武将数量星级阶位验证!BK$97:BK$135,$X62)/武将数量星级阶位验证!C$6-1</f>
        <v>9.1996982125324571</v>
      </c>
      <c r="AA62" s="16">
        <f>求节点(武将数量星级阶位验证!$J$97:$J$135,武将数量星级阶位验证!BL$97:BL$135,$X62)/武将数量星级阶位验证!D$6-1</f>
        <v>8.6084473920174043E-2</v>
      </c>
      <c r="AB62" s="71">
        <f>求节点(基础状态预期!$D$107:$D$145,基础状态预期!$O$107:$O$145,$X62)</f>
        <v>0</v>
      </c>
    </row>
    <row r="63" spans="4:28" x14ac:dyDescent="0.15">
      <c r="D63" s="16">
        <v>15</v>
      </c>
      <c r="F63" s="16">
        <f>基础状态预期!C73</f>
        <v>127.5</v>
      </c>
      <c r="G63" s="16">
        <f>MIN(武将升星!E$14,求节点(武将升星!E$104:E$112,武将升星!$C$104:$C$112,武将数量星级阶位验证!BJ63/武将数量星级阶位验证!B$6))</f>
        <v>3</v>
      </c>
      <c r="H63" s="16">
        <f>MIN(武将升星!F$14,求节点(武将升星!F$104:F$112,武将升星!$C$104:$C$112,武将数量星级阶位验证!BK63/武将数量星级阶位验证!C$6))</f>
        <v>6</v>
      </c>
      <c r="I63" s="114">
        <f>求节点(武将升星!G$104:G$112,武将升星!$C$104:$C$112,MAX((武将数量星级阶位验证!BL63-武将数量星级阶位验证!BN63)/武将数量星级阶位验证!D$6+武将数量星级阶位验证!BN63/6,0))</f>
        <v>4.6272032171052562</v>
      </c>
      <c r="J63" s="71">
        <f>基础状态预期!O73</f>
        <v>3.8914479121404857</v>
      </c>
      <c r="L63" s="16">
        <f>武将升星!E$58+武将升星!E$59*G63</f>
        <v>75</v>
      </c>
      <c r="M63" s="16">
        <f>武将升星!F$58+武将升星!F$59*H63</f>
        <v>100</v>
      </c>
      <c r="N63" s="16">
        <f>武将升星!G$58+武将升星!G$59*I63</f>
        <v>108.13601608552628</v>
      </c>
      <c r="O63" s="16">
        <f>武将升星!H$58+武将升星!H$59*J63</f>
        <v>123.34868747284291</v>
      </c>
      <c r="P63" s="16">
        <v>128.46335246201093</v>
      </c>
      <c r="Q63" s="16">
        <f>求节点(武将升星!$C$68:$C$76,武将升星!E$68:E$76,G63)</f>
        <v>0.15</v>
      </c>
      <c r="R63" s="16">
        <f>求节点(武将升星!$C$68:$C$76,武将升星!F$68:F$76,H63)</f>
        <v>0.39999999999999997</v>
      </c>
      <c r="S63" s="16">
        <f>求节点(武将升星!$C$68:$C$76,武将升星!G$68:G$76,I63)</f>
        <v>0.54915863163157852</v>
      </c>
      <c r="T63" s="16">
        <f>求节点(武将升星!$C$68:$C$76,武将升星!H$68:H$76,J63)</f>
        <v>0.81131583297123866</v>
      </c>
      <c r="U63" s="16">
        <v>0.95195028693016392</v>
      </c>
      <c r="X63" s="16">
        <v>35</v>
      </c>
      <c r="Y63" s="16">
        <f>求节点(武将数量星级阶位验证!$J$97:$J$135,武将数量星级阶位验证!BJ$97:BJ$135,$X63)/武将数量星级阶位验证!B$6-1</f>
        <v>49.077168992657306</v>
      </c>
      <c r="Z63" s="16">
        <f>求节点(武将数量星级阶位验证!$J$97:$J$135,武将数量星级阶位验证!BK$97:BK$135,$X63)/武将数量星级阶位验证!C$6-1</f>
        <v>9.7704512649798279</v>
      </c>
      <c r="AA63" s="16">
        <f>求节点(武将数量星级阶位验证!$J$97:$J$135,武将数量星级阶位验证!BL$97:BL$135,$X63)/武将数量星级阶位验证!D$6-1</f>
        <v>0.14493770115184712</v>
      </c>
      <c r="AB63" s="71">
        <f>求节点(基础状态预期!$D$107:$D$145,基础状态预期!$O$107:$O$145,$X63)</f>
        <v>0</v>
      </c>
    </row>
    <row r="64" spans="4:28" x14ac:dyDescent="0.15">
      <c r="D64" s="16">
        <v>16</v>
      </c>
      <c r="F64" s="16">
        <f>基础状态预期!C74</f>
        <v>153</v>
      </c>
      <c r="G64" s="16">
        <f>MIN(武将升星!E$14,求节点(武将升星!E$104:E$112,武将升星!$C$104:$C$112,武将数量星级阶位验证!BJ64/武将数量星级阶位验证!B$6))</f>
        <v>3</v>
      </c>
      <c r="H64" s="16">
        <f>MIN(武将升星!F$14,求节点(武将升星!F$104:F$112,武将升星!$C$104:$C$112,武将数量星级阶位验证!BK64/武将数量星级阶位验证!C$6))</f>
        <v>6</v>
      </c>
      <c r="I64" s="114">
        <f>求节点(武将升星!G$104:G$112,武将升星!$C$104:$C$112,MAX((武将数量星级阶位验证!BL64-武将数量星级阶位验证!BN64)/武将数量星级阶位验证!D$6+武将数量星级阶位验证!BN64/6,0))</f>
        <v>4.9104904129089437</v>
      </c>
      <c r="J64" s="71">
        <f>基础状态预期!O74</f>
        <v>4.2054119067758116</v>
      </c>
      <c r="L64" s="16">
        <f>武将升星!E$58+武将升星!E$59*G64</f>
        <v>75</v>
      </c>
      <c r="M64" s="16">
        <f>武将升星!F$58+武将升星!F$59*H64</f>
        <v>100</v>
      </c>
      <c r="N64" s="16">
        <f>武将升星!G$58+武将升星!G$59*I64</f>
        <v>109.55245206454472</v>
      </c>
      <c r="O64" s="16">
        <f>武将升星!H$58+武将升星!H$59*J64</f>
        <v>125.23247144065488</v>
      </c>
      <c r="P64" s="16">
        <v>130.02248873635719</v>
      </c>
      <c r="Q64" s="16">
        <f>求节点(武将升星!$C$68:$C$76,武将升星!E$68:E$76,G64)</f>
        <v>0.15</v>
      </c>
      <c r="R64" s="16">
        <f>求节点(武将升星!$C$68:$C$76,武将升星!F$68:F$76,H64)</f>
        <v>0.39999999999999997</v>
      </c>
      <c r="S64" s="16">
        <f>求节点(武将升星!$C$68:$C$76,武将升星!G$68:G$76,I64)</f>
        <v>0.56955530972944401</v>
      </c>
      <c r="T64" s="16">
        <f>求节点(武将升星!$C$68:$C$76,武将升星!H$68:H$76,J64)</f>
        <v>0.83643295254206473</v>
      </c>
      <c r="U64" s="16">
        <v>0.9753373310453578</v>
      </c>
      <c r="X64" s="16">
        <v>36</v>
      </c>
      <c r="Y64" s="16">
        <f>求节点(武将数量星级阶位验证!$J$97:$J$135,武将数量星级阶位验证!BJ$97:BJ$135,$X64)/武将数量星级阶位验证!B$6-1</f>
        <v>51.96526494277046</v>
      </c>
      <c r="Z64" s="16">
        <f>求节点(武将数量星级阶位验证!$J$97:$J$135,武将数量星级阶位验证!BK$97:BK$135,$X64)/武将数量星级阶位验证!C$6-1</f>
        <v>10.352562148442328</v>
      </c>
      <c r="AA64" s="16">
        <f>求节点(武将数量星级阶位验证!$J$97:$J$135,武将数量星级阶位验证!BL$97:BL$135,$X64)/武将数量星级阶位验证!D$6-1</f>
        <v>0.20471483857797668</v>
      </c>
      <c r="AB64" s="71">
        <f>求节点(基础状态预期!$D$107:$D$145,基础状态预期!$O$107:$O$145,$X64)</f>
        <v>0</v>
      </c>
    </row>
    <row r="65" spans="4:28" x14ac:dyDescent="0.15">
      <c r="D65" s="16">
        <v>17</v>
      </c>
      <c r="F65" s="16">
        <f>基础状态预期!C75</f>
        <v>187</v>
      </c>
      <c r="G65" s="16">
        <f>MIN(武将升星!E$14,求节点(武将升星!E$104:E$112,武将升星!$C$104:$C$112,武将数量星级阶位验证!BJ65/武将数量星级阶位验证!B$6))</f>
        <v>3</v>
      </c>
      <c r="H65" s="16">
        <f>MIN(武将升星!F$14,求节点(武将升星!F$104:F$112,武将升星!$C$104:$C$112,武将数量星级阶位验证!BK65/武将数量星级阶位验证!C$6))</f>
        <v>6</v>
      </c>
      <c r="I65" s="114">
        <f>求节点(武将升星!G$104:G$112,武将升星!$C$104:$C$112,MAX((武将数量星级阶位验证!BL65-武将数量星级阶位验证!BN65)/武将数量星级阶位验证!D$6+武将数量星级阶位验证!BN65/6,0))</f>
        <v>5.1909986278846807</v>
      </c>
      <c r="J65" s="71">
        <f>基础状态预期!O75</f>
        <v>4.6383162072222213</v>
      </c>
      <c r="L65" s="16">
        <f>武将升星!E$58+武将升星!E$59*G65</f>
        <v>75</v>
      </c>
      <c r="M65" s="16">
        <f>武将升星!F$58+武将升星!F$59*H65</f>
        <v>100</v>
      </c>
      <c r="N65" s="16">
        <f>武将升星!G$58+武将升星!G$59*I65</f>
        <v>110.95499313942341</v>
      </c>
      <c r="O65" s="16">
        <f>武将升星!H$58+武将升星!H$59*J65</f>
        <v>127.82989724333333</v>
      </c>
      <c r="P65" s="16">
        <v>132.45821552881478</v>
      </c>
      <c r="Q65" s="16">
        <f>求节点(武将升星!$C$68:$C$76,武将升星!E$68:E$76,G65)</f>
        <v>0.15</v>
      </c>
      <c r="R65" s="16">
        <f>求节点(武将升星!$C$68:$C$76,武将升星!F$68:F$76,H65)</f>
        <v>0.39999999999999997</v>
      </c>
      <c r="S65" s="16">
        <f>求节点(武将升星!$C$68:$C$76,武将升星!G$68:G$76,I65)</f>
        <v>0.58975190120769705</v>
      </c>
      <c r="T65" s="16">
        <f>求节点(武将升星!$C$68:$C$76,武将升星!H$68:H$76,J65)</f>
        <v>0.87106529657777754</v>
      </c>
      <c r="U65" s="16">
        <v>1.0118732329322213</v>
      </c>
      <c r="X65" s="16">
        <v>37</v>
      </c>
      <c r="Y65" s="16">
        <f>求节点(武将数量星级阶位验证!$J$97:$J$135,武将数量星级阶位验证!BJ$97:BJ$135,$X65)/武将数量星级阶位验证!B$6-1</f>
        <v>54.853360892883614</v>
      </c>
      <c r="Z65" s="16">
        <f>求节点(武将数量星级阶位验证!$J$97:$J$135,武将数量星级阶位验证!BK$97:BK$135,$X65)/武将数量星级阶位验证!C$6-1</f>
        <v>10.934673031904826</v>
      </c>
      <c r="AA65" s="16">
        <f>求节点(武将数量星级阶位验证!$J$97:$J$135,武将数量星级阶位验证!BL$97:BL$135,$X65)/武将数量星级阶位验证!D$6-1</f>
        <v>0.26449197600410645</v>
      </c>
      <c r="AB65" s="71">
        <f>求节点(基础状态预期!$D$107:$D$145,基础状态预期!$O$107:$O$145,$X65)</f>
        <v>0</v>
      </c>
    </row>
    <row r="66" spans="4:28" x14ac:dyDescent="0.15">
      <c r="D66" s="16">
        <v>18</v>
      </c>
      <c r="F66" s="16">
        <f>基础状态预期!C76</f>
        <v>221</v>
      </c>
      <c r="G66" s="16">
        <f>MIN(武将升星!E$14,求节点(武将升星!E$104:E$112,武将升星!$C$104:$C$112,武将数量星级阶位验证!BJ66/武将数量星级阶位验证!B$6))</f>
        <v>3</v>
      </c>
      <c r="H66" s="16">
        <f>MIN(武将升星!F$14,求节点(武将升星!F$104:F$112,武将升星!$C$104:$C$112,武将数量星级阶位验证!BK66/武将数量星级阶位验证!C$6))</f>
        <v>6</v>
      </c>
      <c r="I66" s="114">
        <f>求节点(武将升星!G$104:G$112,武将升星!$C$104:$C$112,MAX((武将数量星级阶位验证!BL66-武将数量星级阶位验证!BN66)/武将数量星级阶位验证!D$6+武将数量星级阶位验证!BN66/6,0))</f>
        <v>5.4211440942051654</v>
      </c>
      <c r="J66" s="71">
        <f>基础状态预期!O76</f>
        <v>5.1656906371384483</v>
      </c>
      <c r="L66" s="16">
        <f>武将升星!E$58+武将升星!E$59*G66</f>
        <v>75</v>
      </c>
      <c r="M66" s="16">
        <f>武将升星!F$58+武将升星!F$59*H66</f>
        <v>100</v>
      </c>
      <c r="N66" s="16">
        <f>武将升星!G$58+武将升星!G$59*I66</f>
        <v>112.10572047102582</v>
      </c>
      <c r="O66" s="16">
        <f>武将升星!H$58+武将升星!H$59*J66</f>
        <v>130.99414382283069</v>
      </c>
      <c r="P66" s="16">
        <v>136.09697837519869</v>
      </c>
      <c r="Q66" s="16">
        <f>求节点(武将升星!$C$68:$C$76,武将升星!E$68:E$76,G66)</f>
        <v>0.15</v>
      </c>
      <c r="R66" s="16">
        <f>求节点(武将升星!$C$68:$C$76,武将升星!F$68:F$76,H66)</f>
        <v>0.39999999999999997</v>
      </c>
      <c r="S66" s="16">
        <f>求节点(武将升星!$C$68:$C$76,武将升星!G$68:G$76,I66)</f>
        <v>0.60632237478277196</v>
      </c>
      <c r="T66" s="16">
        <f>求节点(武将升星!$C$68:$C$76,武将升星!H$68:H$76,J66)</f>
        <v>0.91325525097107563</v>
      </c>
      <c r="U66" s="16">
        <v>1.0664546756279802</v>
      </c>
      <c r="X66" s="16">
        <v>38</v>
      </c>
      <c r="Y66" s="16">
        <f>求节点(武将数量星级阶位验证!$J$97:$J$135,武将数量星级阶位验证!BJ$97:BJ$135,$X66)/武将数量星级阶位验证!B$6-1</f>
        <v>57.741456842996762</v>
      </c>
      <c r="Z66" s="16">
        <f>求节点(武将数量星级阶位验证!$J$97:$J$135,武将数量星级阶位验证!BK$97:BK$135,$X66)/武将数量星级阶位验证!C$6-1</f>
        <v>11.516783915367325</v>
      </c>
      <c r="AA66" s="16">
        <f>求节点(武将数量星级阶位验证!$J$97:$J$135,武将数量星级阶位验证!BL$97:BL$135,$X66)/武将数量星级阶位验证!D$6-1</f>
        <v>0.32426911343023623</v>
      </c>
      <c r="AB66" s="71">
        <f>求节点(基础状态预期!$D$107:$D$145,基础状态预期!$O$107:$O$145,$X66)</f>
        <v>0</v>
      </c>
    </row>
    <row r="67" spans="4:28" x14ac:dyDescent="0.15">
      <c r="D67" s="16">
        <v>19</v>
      </c>
      <c r="F67" s="16">
        <f>基础状态预期!C77</f>
        <v>255</v>
      </c>
      <c r="G67" s="16">
        <f>MIN(武将升星!E$14,求节点(武将升星!E$104:E$112,武将升星!$C$104:$C$112,武将数量星级阶位验证!BJ67/武将数量星级阶位验证!B$6))</f>
        <v>3</v>
      </c>
      <c r="H67" s="16">
        <f>MIN(武将升星!F$14,求节点(武将升星!F$104:F$112,武将升星!$C$104:$C$112,武将数量星级阶位验证!BK67/武将数量星级阶位验证!C$6))</f>
        <v>6</v>
      </c>
      <c r="I67" s="114">
        <f>求节点(武将升星!G$104:G$112,武将升星!$C$104:$C$112,MAX((武将数量星级阶位验证!BL67-武将数量星级阶位验证!BN67)/武将数量星级阶位验证!D$6+武将数量星级阶位验证!BN67/6,0))</f>
        <v>5.6538503120803894</v>
      </c>
      <c r="J67" s="71">
        <f>基础状态预期!O77</f>
        <v>5.5799726614967424</v>
      </c>
      <c r="L67" s="16">
        <f>武将升星!E$58+武将升星!E$59*G67</f>
        <v>75</v>
      </c>
      <c r="M67" s="16">
        <f>武将升星!F$58+武将升星!F$59*H67</f>
        <v>100</v>
      </c>
      <c r="N67" s="16">
        <f>武将升星!G$58+武将升星!G$59*I67</f>
        <v>113.26925156040195</v>
      </c>
      <c r="O67" s="16">
        <f>武将升星!H$58+武将升星!H$59*J67</f>
        <v>133.47983596898047</v>
      </c>
      <c r="P67" s="16">
        <v>138.91676463495514</v>
      </c>
      <c r="Q67" s="16">
        <f>求节点(武将升星!$C$68:$C$76,武将升星!E$68:E$76,G67)</f>
        <v>0.15</v>
      </c>
      <c r="R67" s="16">
        <f>求节点(武将升星!$C$68:$C$76,武将升星!F$68:F$76,H67)</f>
        <v>0.39999999999999997</v>
      </c>
      <c r="S67" s="16">
        <f>求节点(武将升星!$C$68:$C$76,武将升星!G$68:G$76,I67)</f>
        <v>0.62307722246978814</v>
      </c>
      <c r="T67" s="16">
        <f>求节点(武将升星!$C$68:$C$76,武将升星!H$68:H$76,J67)</f>
        <v>0.94639781291973912</v>
      </c>
      <c r="U67" s="16">
        <v>1.1087514695243272</v>
      </c>
      <c r="X67" s="16">
        <v>39</v>
      </c>
      <c r="Y67" s="16">
        <f>求节点(武将数量星级阶位验证!$J$97:$J$135,武将数量星级阶位验证!BJ$97:BJ$135,$X67)/武将数量星级阶位验证!B$6-1</f>
        <v>60.629552793109916</v>
      </c>
      <c r="Z67" s="16">
        <f>求节点(武将数量星级阶位验证!$J$97:$J$135,武将数量星级阶位验证!BK$97:BK$135,$X67)/武将数量星级阶位验证!C$6-1</f>
        <v>12.098894798829827</v>
      </c>
      <c r="AA67" s="16">
        <f>求节点(武将数量星级阶位验证!$J$97:$J$135,武将数量星级阶位验证!BL$97:BL$135,$X67)/武将数量星级阶位验证!D$6-1</f>
        <v>0.38404625085636579</v>
      </c>
      <c r="AB67" s="71">
        <f>求节点(基础状态预期!$D$107:$D$145,基础状态预期!$O$107:$O$145,$X67)</f>
        <v>0</v>
      </c>
    </row>
    <row r="68" spans="4:28" x14ac:dyDescent="0.15">
      <c r="D68" s="16">
        <v>20</v>
      </c>
      <c r="F68" s="16">
        <f>基础状态预期!C78</f>
        <v>289</v>
      </c>
      <c r="G68" s="16">
        <f>MIN(武将升星!E$14,求节点(武将升星!E$104:E$112,武将升星!$C$104:$C$112,武将数量星级阶位验证!BJ68/武将数量星级阶位验证!B$6))</f>
        <v>3</v>
      </c>
      <c r="H68" s="16">
        <f>MIN(武将升星!F$14,求节点(武将升星!F$104:F$112,武将升星!$C$104:$C$112,武将数量星级阶位验证!BK68/武将数量星级阶位验证!C$6))</f>
        <v>6</v>
      </c>
      <c r="I68" s="114">
        <f>求节点(武将升星!G$104:G$112,武将升星!$C$104:$C$112,MAX((武将数量星级阶位验证!BL68-武将数量星级阶位验证!BN68)/武将数量星级阶位验证!D$6+武将数量星级阶位验证!BN68/6,0))</f>
        <v>5.8794170339783154</v>
      </c>
      <c r="J68" s="71">
        <f>基础状态预期!O78</f>
        <v>5.9734311559212472</v>
      </c>
      <c r="L68" s="16">
        <f>武将升星!E$58+武将升星!E$59*G68</f>
        <v>75</v>
      </c>
      <c r="M68" s="16">
        <f>武将升星!F$58+武将升星!F$59*H68</f>
        <v>100</v>
      </c>
      <c r="N68" s="16">
        <f>武将升星!G$58+武将升星!G$59*I68</f>
        <v>114.39708516989157</v>
      </c>
      <c r="O68" s="16">
        <f>武将升星!H$58+武将升星!H$59*J68</f>
        <v>135.84058693552748</v>
      </c>
      <c r="P68" s="16">
        <v>141.736550894712</v>
      </c>
      <c r="Q68" s="16">
        <f>求节点(武将升星!$C$68:$C$76,武将升星!E$68:E$76,G68)</f>
        <v>0.15</v>
      </c>
      <c r="R68" s="16">
        <f>求节点(武将升星!$C$68:$C$76,武将升星!F$68:F$76,H68)</f>
        <v>0.39999999999999997</v>
      </c>
      <c r="S68" s="16">
        <f>求节点(武将升星!$C$68:$C$76,武将升星!G$68:G$76,I68)</f>
        <v>0.63931802644643887</v>
      </c>
      <c r="T68" s="16">
        <f>求节点(武将升星!$C$68:$C$76,武将升星!H$68:H$76,J68)</f>
        <v>0.97787449247369951</v>
      </c>
      <c r="U68" s="16">
        <v>1.15104826342067</v>
      </c>
      <c r="X68" s="16">
        <v>40</v>
      </c>
      <c r="Y68" s="16">
        <f>求节点(武将数量星级阶位验证!$J$97:$J$135,武将数量星级阶位验证!BJ$97:BJ$135,$X68)/武将数量星级阶位验证!B$6-1</f>
        <v>63.91682547217836</v>
      </c>
      <c r="Z68" s="16">
        <f>求节点(武将数量星级阶位验证!$J$97:$J$135,武将数量星级阶位验证!BK$97:BK$135,$X68)/武将数量星级阶位验证!C$6-1</f>
        <v>12.759858669743426</v>
      </c>
      <c r="AA68" s="16">
        <f>求节点(武将数量星级阶位验证!$J$97:$J$135,武将数量星级阶位验证!BL$97:BL$135,$X68)/武将数量星级阶位验证!D$6-1</f>
        <v>0.45182868561905631</v>
      </c>
      <c r="AB68" s="71">
        <f>求节点(基础状态预期!$D$107:$D$145,基础状态预期!$O$107:$O$145,$X68)</f>
        <v>0</v>
      </c>
    </row>
    <row r="69" spans="4:28" x14ac:dyDescent="0.15">
      <c r="D69" s="16">
        <v>21</v>
      </c>
      <c r="F69" s="16">
        <f>基础状态预期!C79</f>
        <v>340</v>
      </c>
      <c r="G69" s="16">
        <f>MIN(武将升星!E$14,求节点(武将升星!E$104:E$112,武将升星!$C$104:$C$112,武将数量星级阶位验证!BJ69/武将数量星级阶位验证!B$6))</f>
        <v>3</v>
      </c>
      <c r="H69" s="16">
        <f>MIN(武将升星!F$14,求节点(武将升星!F$104:F$112,武将升星!$C$104:$C$112,武将数量星级阶位验证!BK69/武将数量星级阶位验证!C$6))</f>
        <v>6</v>
      </c>
      <c r="I69" s="114">
        <f>求节点(武将升星!G$104:G$112,武将升星!$C$104:$C$112,MAX((武将数量星级阶位验证!BL69-武将数量星级阶位验证!BN69)/武将数量星级阶位验证!D$6+武将数量星级阶位验证!BN69/6,0))</f>
        <v>6.2168271380208457</v>
      </c>
      <c r="J69" s="71">
        <f>基础状态预期!O79</f>
        <v>6.5608772927119601</v>
      </c>
      <c r="L69" s="16">
        <f>武将升星!E$58+武将升星!E$59*G69</f>
        <v>75</v>
      </c>
      <c r="M69" s="16">
        <f>武将升星!F$58+武将升星!F$59*H69</f>
        <v>100</v>
      </c>
      <c r="N69" s="16">
        <f>武将升星!G$58+武将升星!G$59*I69</f>
        <v>116.08413569010423</v>
      </c>
      <c r="O69" s="16">
        <f>武将升星!H$58+武将升星!H$59*J69</f>
        <v>139.36526375627176</v>
      </c>
      <c r="P69" s="16">
        <v>144.556337154468</v>
      </c>
      <c r="Q69" s="16">
        <f>求节点(武将升星!$C$68:$C$76,武将升星!E$68:E$76,G69)</f>
        <v>0.15</v>
      </c>
      <c r="R69" s="16">
        <f>求节点(武将升星!$C$68:$C$76,武将升星!F$68:F$76,H69)</f>
        <v>0.39999999999999997</v>
      </c>
      <c r="S69" s="16">
        <f>求节点(武将升星!$C$68:$C$76,武将升星!G$68:G$76,I69)</f>
        <v>0.66361155393750104</v>
      </c>
      <c r="T69" s="16">
        <f>求节点(武将升星!$C$68:$C$76,武将升星!H$68:H$76,J69)</f>
        <v>1.0248701834169567</v>
      </c>
      <c r="U69" s="16">
        <v>1.1933450573170199</v>
      </c>
      <c r="X69" s="16">
        <v>41</v>
      </c>
      <c r="Y69" s="16">
        <f>求节点(武将数量星级阶位验证!$J$97:$J$135,武将数量星级阶位验证!BJ$97:BJ$135,$X69)/武将数量星级阶位验证!B$6-1</f>
        <v>67.88920377343139</v>
      </c>
      <c r="Z69" s="16">
        <f>求节点(武将数量星级阶位验证!$J$97:$J$135,武将数量星级阶位验证!BK$97:BK$135,$X69)/武将数量星级阶位验证!C$6-1</f>
        <v>13.556157646914803</v>
      </c>
      <c r="AA69" s="16">
        <f>求节点(武将数量星级阶位验证!$J$97:$J$135,武将数量星级阶位验证!BL$97:BL$135,$X69)/武将数量星级阶位验证!D$6-1</f>
        <v>0.53335058416985537</v>
      </c>
      <c r="AB69" s="71">
        <f>求节点(基础状态预期!$D$107:$D$145,基础状态预期!$O$107:$O$145,$X69)</f>
        <v>0</v>
      </c>
    </row>
    <row r="70" spans="4:28" x14ac:dyDescent="0.15">
      <c r="D70" s="16">
        <v>22</v>
      </c>
      <c r="F70" s="16">
        <f>基础状态预期!C80</f>
        <v>442</v>
      </c>
      <c r="G70" s="16">
        <f>MIN(武将升星!E$14,求节点(武将升星!E$104:E$112,武将升星!$C$104:$C$112,武将数量星级阶位验证!BJ70/武将数量星级阶位验证!B$6))</f>
        <v>3</v>
      </c>
      <c r="H70" s="16">
        <f>MIN(武将升星!F$14,求节点(武将升星!F$104:F$112,武将升星!$C$104:$C$112,武将数量星级阶位验证!BK70/武将数量星级阶位验证!C$6))</f>
        <v>6</v>
      </c>
      <c r="I70" s="114">
        <f>求节点(武将升星!G$104:G$112,武将升星!$C$104:$C$112,MAX((武将数量星级阶位验证!BL70-武将数量星级阶位验证!BN70)/武将数量星级阶位验证!D$6+武将数量星级阶位验证!BN70/6,0))</f>
        <v>6.8484707912137202</v>
      </c>
      <c r="J70" s="71">
        <f>基础状态预期!O80</f>
        <v>7.4573784608933806</v>
      </c>
      <c r="L70" s="16">
        <f>武将升星!E$58+武将升星!E$59*G70</f>
        <v>75</v>
      </c>
      <c r="M70" s="16">
        <f>武将升星!F$58+武将升星!F$59*H70</f>
        <v>100</v>
      </c>
      <c r="N70" s="16">
        <f>武将升星!G$58+武将升星!G$59*I70</f>
        <v>119.2423539560686</v>
      </c>
      <c r="O70" s="16">
        <f>武将升星!H$58+武将升星!H$59*J70</f>
        <v>144.74427076536028</v>
      </c>
      <c r="P70" s="16">
        <v>147.376123414224</v>
      </c>
      <c r="Q70" s="16">
        <f>求节点(武将升星!$C$68:$C$76,武将升星!E$68:E$76,G70)</f>
        <v>0.15</v>
      </c>
      <c r="R70" s="16">
        <f>求节点(武将升星!$C$68:$C$76,武将升星!F$68:F$76,H70)</f>
        <v>0.39999999999999997</v>
      </c>
      <c r="S70" s="16">
        <f>求节点(武将升星!$C$68:$C$76,武将升星!G$68:G$76,I70)</f>
        <v>0.709089896967388</v>
      </c>
      <c r="T70" s="16">
        <f>求节点(武将升星!$C$68:$C$76,武将升星!H$68:H$76,J70)</f>
        <v>1.0965902768714704</v>
      </c>
      <c r="U70" s="16">
        <v>1.23564185121337</v>
      </c>
      <c r="X70" s="16">
        <v>42</v>
      </c>
      <c r="Y70" s="16">
        <f>求节点(武将数量星级阶位验证!$J$97:$J$135,武将数量星级阶位验证!BJ$97:BJ$135,$X70)/武将数量星级阶位验证!B$6-1</f>
        <v>71.861582074684407</v>
      </c>
      <c r="Z70" s="16">
        <f>求节点(武将数量星级阶位验证!$J$97:$J$135,武将数量星级阶位验证!BK$97:BK$135,$X70)/武将数量星级阶位验证!C$6-1</f>
        <v>14.352456624086184</v>
      </c>
      <c r="AA70" s="16">
        <f>求节点(武将数量星级阶位验证!$J$97:$J$135,武将数量星级阶位验证!BL$97:BL$135,$X70)/武将数量星级阶位验证!D$6-1</f>
        <v>0.61487248272065442</v>
      </c>
      <c r="AB70" s="71">
        <f>求节点(基础状态预期!$D$107:$D$145,基础状态预期!$O$107:$O$145,$X70)</f>
        <v>0</v>
      </c>
    </row>
    <row r="71" spans="4:28" x14ac:dyDescent="0.15">
      <c r="D71" s="16">
        <v>23</v>
      </c>
      <c r="F71" s="16">
        <f>基础状态预期!C81</f>
        <v>544</v>
      </c>
      <c r="G71" s="16">
        <f>MIN(武将升星!E$14,求节点(武将升星!E$104:E$112,武将升星!$C$104:$C$112,武将数量星级阶位验证!BJ71/武将数量星级阶位验证!B$6))</f>
        <v>3</v>
      </c>
      <c r="H71" s="16">
        <f>MIN(武将升星!F$14,求节点(武将升星!F$104:F$112,武将升星!$C$104:$C$112,武将数量星级阶位验证!BK71/武将数量星级阶位验证!C$6))</f>
        <v>6</v>
      </c>
      <c r="I71" s="114">
        <f>求节点(武将升星!G$104:G$112,武将升星!$C$104:$C$112,MAX((武将数量星级阶位验证!BL71-武将数量星级阶位验证!BN71)/武将数量星级阶位验证!D$6+武将数量星级阶位验证!BN71/6,0))</f>
        <v>7.3526082808879227</v>
      </c>
      <c r="J71" s="71">
        <f>基础状态预期!O81</f>
        <v>8</v>
      </c>
      <c r="L71" s="16">
        <f>武将升星!E$58+武将升星!E$59*G71</f>
        <v>75</v>
      </c>
      <c r="M71" s="16">
        <f>武将升星!F$58+武将升星!F$59*H71</f>
        <v>100</v>
      </c>
      <c r="N71" s="16">
        <f>武将升星!G$58+武将升星!G$59*I71</f>
        <v>121.7630414044396</v>
      </c>
      <c r="O71" s="16">
        <f>武将升星!H$58+武将升星!H$59*J71</f>
        <v>148</v>
      </c>
      <c r="P71" s="16">
        <v>150.19590967398099</v>
      </c>
      <c r="Q71" s="16">
        <f>求节点(武将升星!$C$68:$C$76,武将升星!E$68:E$76,G71)</f>
        <v>0.15</v>
      </c>
      <c r="R71" s="16">
        <f>求节点(武将升星!$C$68:$C$76,武将升星!F$68:F$76,H71)</f>
        <v>0.39999999999999997</v>
      </c>
      <c r="S71" s="16">
        <f>求节点(武将升星!$C$68:$C$76,武将升星!G$68:G$76,I71)</f>
        <v>0.7453877962239307</v>
      </c>
      <c r="T71" s="16">
        <f>求节点(武将升星!$C$68:$C$76,武将升星!H$68:H$76,J71)</f>
        <v>1.1399999999999999</v>
      </c>
      <c r="U71" s="16">
        <v>1.2779386451097201</v>
      </c>
      <c r="X71" s="16">
        <v>43</v>
      </c>
      <c r="Y71" s="16">
        <f>求节点(武将数量星级阶位验证!$J$97:$J$135,武将数量星级阶位验证!BJ$97:BJ$135,$X71)/武将数量星级阶位验证!B$6-1</f>
        <v>75.833960375937423</v>
      </c>
      <c r="Z71" s="16">
        <f>求节点(武将数量星级阶位验证!$J$97:$J$135,武将数量星级阶位验证!BK$97:BK$135,$X71)/武将数量星级阶位验证!C$6-1</f>
        <v>15.148755601257562</v>
      </c>
      <c r="AA71" s="16">
        <f>求节点(武将数量星级阶位验证!$J$97:$J$135,武将数量星级阶位验证!BL$97:BL$135,$X71)/武将数量星级阶位验证!D$6-1</f>
        <v>0.69639438127145348</v>
      </c>
      <c r="AB71" s="71">
        <f>求节点(基础状态预期!$D$107:$D$145,基础状态预期!$O$107:$O$145,$X71)</f>
        <v>0</v>
      </c>
    </row>
    <row r="72" spans="4:28" x14ac:dyDescent="0.15">
      <c r="D72" s="16">
        <v>24</v>
      </c>
      <c r="F72" s="16">
        <f>基础状态预期!C82</f>
        <v>697</v>
      </c>
      <c r="G72" s="16">
        <f>MIN(武将升星!E$14,求节点(武将升星!E$104:E$112,武将升星!$C$104:$C$112,武将数量星级阶位验证!BJ72/武将数量星级阶位验证!B$6))</f>
        <v>3</v>
      </c>
      <c r="H72" s="16">
        <f>MIN(武将升星!F$14,求节点(武将升星!F$104:F$112,武将升星!$C$104:$C$112,武将数量星级阶位验证!BK72/武将数量星级阶位验证!C$6))</f>
        <v>6</v>
      </c>
      <c r="I72" s="114">
        <f>求节点(武将升星!G$104:G$112,武将升星!$C$104:$C$112,MAX((武将数量星级阶位验证!BL72-武将数量星级阶位验证!BN72)/武将数量星级阶位验证!D$6+武将数量星级阶位验证!BN72/6,0))</f>
        <v>8</v>
      </c>
      <c r="J72" s="71">
        <f>基础状态预期!O82</f>
        <v>8</v>
      </c>
      <c r="L72" s="16">
        <f>武将升星!E$58+武将升星!E$59*G72</f>
        <v>75</v>
      </c>
      <c r="M72" s="16">
        <f>武将升星!F$58+武将升星!F$59*H72</f>
        <v>100</v>
      </c>
      <c r="N72" s="16">
        <f>武将升星!G$58+武将升星!G$59*I72</f>
        <v>125</v>
      </c>
      <c r="O72" s="16">
        <f>武将升星!H$58+武将升星!H$59*J72</f>
        <v>148</v>
      </c>
      <c r="P72" s="16">
        <v>153.01569593373699</v>
      </c>
      <c r="Q72" s="16">
        <f>求节点(武将升星!$C$68:$C$76,武将升星!E$68:E$76,G72)</f>
        <v>0.15</v>
      </c>
      <c r="R72" s="16">
        <f>求节点(武将升星!$C$68:$C$76,武将升星!F$68:F$76,H72)</f>
        <v>0.39999999999999997</v>
      </c>
      <c r="S72" s="16">
        <f>求节点(武将升星!$C$68:$C$76,武将升星!G$68:G$76,I72)</f>
        <v>0.79200000000000026</v>
      </c>
      <c r="T72" s="16">
        <f>求节点(武将升星!$C$68:$C$76,武将升星!H$68:H$76,J72)</f>
        <v>1.1399999999999999</v>
      </c>
      <c r="U72" s="16">
        <v>1.32023543900606</v>
      </c>
      <c r="X72" s="16">
        <v>44</v>
      </c>
      <c r="Y72" s="16">
        <f>求节点(武将数量星级阶位验证!$J$97:$J$135,武将数量星级阶位验证!BJ$97:BJ$135,$X72)/武将数量星级阶位验证!B$6-1</f>
        <v>80.27119673461543</v>
      </c>
      <c r="Z72" s="16">
        <f>求节点(武将数量星级阶位验证!$J$97:$J$135,武将数量星级阶位验证!BK$97:BK$135,$X72)/武将数量星级阶位验证!C$6-1</f>
        <v>16.037676499935806</v>
      </c>
      <c r="AA72" s="16">
        <f>求节点(武将数量星级阶位验证!$J$97:$J$135,武将数量星级阶位验证!BL$97:BL$135,$X72)/武将数量星级阶位验证!D$6-1</f>
        <v>0.78473689310200512</v>
      </c>
      <c r="AB72" s="71">
        <f>求节点(基础状态预期!$D$107:$D$145,基础状态预期!$O$107:$O$145,$X72)</f>
        <v>0</v>
      </c>
    </row>
    <row r="73" spans="4:28" x14ac:dyDescent="0.15">
      <c r="D73" s="16">
        <v>25</v>
      </c>
      <c r="F73" s="16">
        <f>基础状态预期!C83</f>
        <v>901</v>
      </c>
      <c r="G73" s="16">
        <f>MIN(武将升星!E$14,求节点(武将升星!E$104:E$112,武将升星!$C$104:$C$112,武将数量星级阶位验证!BJ73/武将数量星级阶位验证!B$6))</f>
        <v>3</v>
      </c>
      <c r="H73" s="16">
        <f>MIN(武将升星!F$14,求节点(武将升星!F$104:F$112,武将升星!$C$104:$C$112,武将数量星级阶位验证!BK73/武将数量星级阶位验证!C$6))</f>
        <v>6</v>
      </c>
      <c r="I73" s="114">
        <f>求节点(武将升星!G$104:G$112,武将升星!$C$104:$C$112,MAX((武将数量星级阶位验证!BL73-武将数量星级阶位验证!BN73)/武将数量星级阶位验证!D$6+武将数量星级阶位验证!BN73/6,0))</f>
        <v>8</v>
      </c>
      <c r="J73" s="71">
        <f>基础状态预期!O83</f>
        <v>8</v>
      </c>
      <c r="L73" s="16">
        <f>武将升星!E$58+武将升星!E$59*G73</f>
        <v>75</v>
      </c>
      <c r="M73" s="16">
        <f>武将升星!F$58+武将升星!F$59*H73</f>
        <v>100</v>
      </c>
      <c r="N73" s="16">
        <f>武将升星!G$58+武将升星!G$59*I73</f>
        <v>125</v>
      </c>
      <c r="O73" s="16">
        <f>武将升星!H$58+武将升星!H$59*J73</f>
        <v>148</v>
      </c>
      <c r="P73" s="16">
        <v>155.83548219349399</v>
      </c>
      <c r="Q73" s="16">
        <f>求节点(武将升星!$C$68:$C$76,武将升星!E$68:E$76,G73)</f>
        <v>0.15</v>
      </c>
      <c r="R73" s="16">
        <f>求节点(武将升星!$C$68:$C$76,武将升星!F$68:F$76,H73)</f>
        <v>0.39999999999999997</v>
      </c>
      <c r="S73" s="16">
        <f>求节点(武将升星!$C$68:$C$76,武将升星!G$68:G$76,I73)</f>
        <v>0.79200000000000026</v>
      </c>
      <c r="T73" s="16">
        <f>求节点(武将升星!$C$68:$C$76,武将升星!H$68:H$76,J73)</f>
        <v>1.1399999999999999</v>
      </c>
      <c r="U73" s="16">
        <v>1.3625322329024101</v>
      </c>
      <c r="X73" s="16">
        <v>45</v>
      </c>
      <c r="Y73" s="16">
        <f>求节点(武将数量星级阶位验证!$J$97:$J$135,武将数量星级阶位验证!BJ$97:BJ$135,$X73)/武将数量星级阶位验证!B$6-1</f>
        <v>85.146089000698353</v>
      </c>
      <c r="Z73" s="16">
        <f>求节点(武将数量星级阶位验证!$J$97:$J$135,武将数量星级阶位验证!BK$97:BK$135,$X73)/武将数量星级阶位验证!C$6-1</f>
        <v>17.013799352963769</v>
      </c>
      <c r="AA73" s="16">
        <f>求节点(武将数量星级阶位验证!$J$97:$J$135,武将数量星级阶位验证!BL$97:BL$135,$X73)/武将数量星级阶位验证!D$6-1</f>
        <v>0.87950089563564093</v>
      </c>
      <c r="AB73" s="71">
        <f>求节点(基础状态预期!$D$107:$D$145,基础状态预期!$O$107:$O$145,$X73)</f>
        <v>0</v>
      </c>
    </row>
    <row r="74" spans="4:28" x14ac:dyDescent="0.15">
      <c r="D74" s="16">
        <v>26</v>
      </c>
      <c r="F74" s="16">
        <f>基础状态预期!C84</f>
        <v>1156</v>
      </c>
      <c r="G74" s="16">
        <f>MIN(武将升星!E$14,求节点(武将升星!E$104:E$112,武将升星!$C$104:$C$112,武将数量星级阶位验证!BJ74/武将数量星级阶位验证!B$6))</f>
        <v>3</v>
      </c>
      <c r="H74" s="16">
        <f>MIN(武将升星!F$14,求节点(武将升星!F$104:F$112,武将升星!$C$104:$C$112,武将数量星级阶位验证!BK74/武将数量星级阶位验证!C$6))</f>
        <v>6</v>
      </c>
      <c r="I74" s="114">
        <f>求节点(武将升星!G$104:G$112,武将升星!$C$104:$C$112,MAX((武将数量星级阶位验证!BL74-武将数量星级阶位验证!BN74)/武将数量星级阶位验证!D$6+武将数量星级阶位验证!BN74/6,0))</f>
        <v>8</v>
      </c>
      <c r="J74" s="71">
        <f>基础状态预期!O84</f>
        <v>8</v>
      </c>
      <c r="L74" s="16">
        <f>武将升星!E$58+武将升星!E$59*G74</f>
        <v>75</v>
      </c>
      <c r="M74" s="16">
        <f>武将升星!F$58+武将升星!F$59*H74</f>
        <v>100</v>
      </c>
      <c r="N74" s="16">
        <f>武将升星!G$58+武将升星!G$59*I74</f>
        <v>125</v>
      </c>
      <c r="O74" s="16">
        <f>武将升星!H$58+武将升星!H$59*J74</f>
        <v>148</v>
      </c>
      <c r="P74" s="16">
        <v>158.65526845324999</v>
      </c>
      <c r="Q74" s="16">
        <f>求节点(武将升星!$C$68:$C$76,武将升星!E$68:E$76,G74)</f>
        <v>0.15</v>
      </c>
      <c r="R74" s="16">
        <f>求节点(武将升星!$C$68:$C$76,武将升星!F$68:F$76,H74)</f>
        <v>0.39999999999999997</v>
      </c>
      <c r="S74" s="16">
        <f>求节点(武将升星!$C$68:$C$76,武将升星!G$68:G$76,I74)</f>
        <v>0.79200000000000026</v>
      </c>
      <c r="T74" s="16">
        <f>求节点(武将升星!$C$68:$C$76,武将升星!H$68:H$76,J74)</f>
        <v>1.1399999999999999</v>
      </c>
      <c r="U74" s="16">
        <v>1.40482902679876</v>
      </c>
      <c r="X74" s="16">
        <v>46</v>
      </c>
      <c r="Y74" s="16">
        <f>求节点(武将数量星级阶位验证!$J$97:$J$135,武将数量星级阶位验证!BJ$97:BJ$135,$X74)/武将数量星级阶位验证!B$6-1</f>
        <v>90.020981266781277</v>
      </c>
      <c r="Z74" s="16">
        <f>求节点(武将数量星级阶位验证!$J$97:$J$135,武将数量星级阶位验证!BK$97:BK$135,$X74)/武将数量星级阶位验证!C$6-1</f>
        <v>17.989922205991736</v>
      </c>
      <c r="AA74" s="16">
        <f>求节点(武将数量星级阶位验证!$J$97:$J$135,武将数量星级阶位验证!BL$97:BL$135,$X74)/武将数量星级阶位验证!D$6-1</f>
        <v>0.97426489816927675</v>
      </c>
      <c r="AB74" s="71">
        <f>求节点(基础状态预期!$D$107:$D$145,基础状态预期!$O$107:$O$145,$X74)</f>
        <v>0</v>
      </c>
    </row>
    <row r="75" spans="4:28" x14ac:dyDescent="0.15">
      <c r="D75" s="16">
        <v>27</v>
      </c>
      <c r="F75" s="16">
        <f>基础状态预期!C85</f>
        <v>1462</v>
      </c>
      <c r="G75" s="16">
        <f>MIN(武将升星!E$14,求节点(武将升星!E$104:E$112,武将升星!$C$104:$C$112,武将数量星级阶位验证!BJ75/武将数量星级阶位验证!B$6))</f>
        <v>3</v>
      </c>
      <c r="H75" s="16">
        <f>MIN(武将升星!F$14,求节点(武将升星!F$104:F$112,武将升星!$C$104:$C$112,武将数量星级阶位验证!BK75/武将数量星级阶位验证!C$6))</f>
        <v>6</v>
      </c>
      <c r="I75" s="114">
        <f>求节点(武将升星!G$104:G$112,武将升星!$C$104:$C$112,MAX((武将数量星级阶位验证!BL75-武将数量星级阶位验证!BN75)/武将数量星级阶位验证!D$6+武将数量星级阶位验证!BN75/6,0))</f>
        <v>8</v>
      </c>
      <c r="J75" s="71">
        <f>基础状态预期!O85</f>
        <v>8</v>
      </c>
      <c r="L75" s="16">
        <f>武将升星!E$58+武将升星!E$59*G75</f>
        <v>75</v>
      </c>
      <c r="M75" s="16">
        <f>武将升星!F$58+武将升星!F$59*H75</f>
        <v>100</v>
      </c>
      <c r="N75" s="16">
        <f>武将升星!G$58+武将升星!G$59*I75</f>
        <v>125</v>
      </c>
      <c r="O75" s="16">
        <f>武将升星!H$58+武将升星!H$59*J75</f>
        <v>148</v>
      </c>
      <c r="P75" s="16">
        <v>161.47505471300701</v>
      </c>
      <c r="Q75" s="16">
        <f>求节点(武将升星!$C$68:$C$76,武将升星!E$68:E$76,G75)</f>
        <v>0.15</v>
      </c>
      <c r="R75" s="16">
        <f>求节点(武将升星!$C$68:$C$76,武将升星!F$68:F$76,H75)</f>
        <v>0.39999999999999997</v>
      </c>
      <c r="S75" s="16">
        <f>求节点(武将升星!$C$68:$C$76,武将升星!G$68:G$76,I75)</f>
        <v>0.79200000000000026</v>
      </c>
      <c r="T75" s="16">
        <f>求节点(武将升星!$C$68:$C$76,武将升星!H$68:H$76,J75)</f>
        <v>1.1399999999999999</v>
      </c>
      <c r="U75" s="16">
        <v>1.4471258206951001</v>
      </c>
      <c r="X75" s="16">
        <v>47</v>
      </c>
      <c r="Y75" s="16">
        <f>求节点(武将数量星级阶位验证!$J$97:$J$135,武将数量星级阶位验证!BJ$97:BJ$135,$X75)/武将数量星级阶位验证!B$6-1</f>
        <v>94.895873532864186</v>
      </c>
      <c r="Z75" s="16">
        <f>求节点(武将数量星级阶位验证!$J$97:$J$135,武将数量星级阶位验证!BK$97:BK$135,$X75)/武将数量星级阶位验证!C$6-1</f>
        <v>18.966045059019699</v>
      </c>
      <c r="AA75" s="16">
        <f>求节点(武将数量星级阶位验证!$J$97:$J$135,武将数量星级阶位验证!BL$97:BL$135,$X75)/武将数量星级阶位验证!D$6-1</f>
        <v>1.0690289007029126</v>
      </c>
      <c r="AB75" s="71">
        <f>求节点(基础状态预期!$D$107:$D$145,基础状态预期!$O$107:$O$145,$X75)</f>
        <v>0</v>
      </c>
    </row>
    <row r="76" spans="4:28" x14ac:dyDescent="0.15">
      <c r="D76" s="16">
        <v>28</v>
      </c>
      <c r="F76" s="16">
        <f>基础状态预期!C86</f>
        <v>1870</v>
      </c>
      <c r="G76" s="16">
        <f>MIN(武将升星!E$14,求节点(武将升星!E$104:E$112,武将升星!$C$104:$C$112,武将数量星级阶位验证!BJ76/武将数量星级阶位验证!B$6))</f>
        <v>3</v>
      </c>
      <c r="H76" s="16">
        <f>MIN(武将升星!F$14,求节点(武将升星!F$104:F$112,武将升星!$C$104:$C$112,武将数量星级阶位验证!BK76/武将数量星级阶位验证!C$6))</f>
        <v>6</v>
      </c>
      <c r="I76" s="114">
        <f>求节点(武将升星!G$104:G$112,武将升星!$C$104:$C$112,MAX((武将数量星级阶位验证!BL76-武将数量星级阶位验证!BN76)/武将数量星级阶位验证!D$6+武将数量星级阶位验证!BN76/6,0))</f>
        <v>8</v>
      </c>
      <c r="J76" s="71">
        <f>基础状态预期!O86</f>
        <v>8</v>
      </c>
      <c r="L76" s="16">
        <f>武将升星!E$58+武将升星!E$59*G76</f>
        <v>75</v>
      </c>
      <c r="M76" s="16">
        <f>武将升星!F$58+武将升星!F$59*H76</f>
        <v>100</v>
      </c>
      <c r="N76" s="16">
        <f>武将升星!G$58+武将升星!G$59*I76</f>
        <v>125</v>
      </c>
      <c r="O76" s="16">
        <f>武将升星!H$58+武将升星!H$59*J76</f>
        <v>148</v>
      </c>
      <c r="P76" s="16">
        <v>164.29484097276301</v>
      </c>
      <c r="Q76" s="16">
        <f>求节点(武将升星!$C$68:$C$76,武将升星!E$68:E$76,G76)</f>
        <v>0.15</v>
      </c>
      <c r="R76" s="16">
        <f>求节点(武将升星!$C$68:$C$76,武将升星!F$68:F$76,H76)</f>
        <v>0.39999999999999997</v>
      </c>
      <c r="S76" s="16">
        <f>求节点(武将升星!$C$68:$C$76,武将升星!G$68:G$76,I76)</f>
        <v>0.79200000000000026</v>
      </c>
      <c r="T76" s="16">
        <f>求节点(武将升星!$C$68:$C$76,武将升星!H$68:H$76,J76)</f>
        <v>1.1399999999999999</v>
      </c>
      <c r="U76" s="16">
        <v>1.48942261459145</v>
      </c>
      <c r="X76" s="16">
        <v>48</v>
      </c>
      <c r="Y76" s="16">
        <f>求节点(武将数量星级阶位验证!$J$97:$J$135,武将数量星级阶位验证!BJ$97:BJ$135,$X76)/武将数量星级阶位验证!B$6-1</f>
        <v>99.770765798947096</v>
      </c>
      <c r="Z76" s="16">
        <f>求节点(武将数量星级阶位验证!$J$97:$J$135,武将数量星级阶位验证!BK$97:BK$135,$X76)/武将数量星级阶位验证!C$6-1</f>
        <v>19.942167912047658</v>
      </c>
      <c r="AA76" s="16">
        <f>求节点(武将数量星级阶位验证!$J$97:$J$135,武将数量星级阶位验证!BL$97:BL$135,$X76)/武将数量星级阶位验证!D$6-1</f>
        <v>1.1637929032365482</v>
      </c>
      <c r="AB76" s="71">
        <f>求节点(基础状态预期!$D$107:$D$145,基础状态预期!$O$107:$O$145,$X76)</f>
        <v>0</v>
      </c>
    </row>
    <row r="77" spans="4:28" x14ac:dyDescent="0.15">
      <c r="D77" s="16">
        <v>29</v>
      </c>
      <c r="F77" s="16">
        <f>基础状态预期!C87</f>
        <v>2380</v>
      </c>
      <c r="G77" s="16">
        <f>MIN(武将升星!E$14,求节点(武将升星!E$104:E$112,武将升星!$C$104:$C$112,武将数量星级阶位验证!BJ77/武将数量星级阶位验证!B$6))</f>
        <v>3</v>
      </c>
      <c r="H77" s="16">
        <f>MIN(武将升星!F$14,求节点(武将升星!F$104:F$112,武将升星!$C$104:$C$112,武将数量星级阶位验证!BK77/武将数量星级阶位验证!C$6))</f>
        <v>6</v>
      </c>
      <c r="I77" s="114">
        <f>求节点(武将升星!G$104:G$112,武将升星!$C$104:$C$112,MAX((武将数量星级阶位验证!BL77-武将数量星级阶位验证!BN77)/武将数量星级阶位验证!D$6+武将数量星级阶位验证!BN77/6,0))</f>
        <v>8</v>
      </c>
      <c r="J77" s="71">
        <f>基础状态预期!O87</f>
        <v>8</v>
      </c>
      <c r="L77" s="16">
        <f>武将升星!E$58+武将升星!E$59*G77</f>
        <v>75</v>
      </c>
      <c r="M77" s="16">
        <f>武将升星!F$58+武将升星!F$59*H77</f>
        <v>100</v>
      </c>
      <c r="N77" s="16">
        <f>武将升星!G$58+武将升星!G$59*I77</f>
        <v>125</v>
      </c>
      <c r="O77" s="16">
        <f>武将升星!H$58+武将升星!H$59*J77</f>
        <v>148</v>
      </c>
      <c r="P77" s="16">
        <v>167.11462723252001</v>
      </c>
      <c r="Q77" s="16">
        <f>求节点(武将升星!$C$68:$C$76,武将升星!E$68:E$76,G77)</f>
        <v>0.15</v>
      </c>
      <c r="R77" s="16">
        <f>求节点(武将升星!$C$68:$C$76,武将升星!F$68:F$76,H77)</f>
        <v>0.39999999999999997</v>
      </c>
      <c r="S77" s="16">
        <f>求节点(武将升星!$C$68:$C$76,武将升星!G$68:G$76,I77)</f>
        <v>0.79200000000000026</v>
      </c>
      <c r="T77" s="16">
        <f>求节点(武将升星!$C$68:$C$76,武将升星!H$68:H$76,J77)</f>
        <v>1.1399999999999999</v>
      </c>
      <c r="U77" s="16">
        <v>1.5317194084878001</v>
      </c>
      <c r="X77" s="16">
        <v>49</v>
      </c>
      <c r="Y77" s="16">
        <f>求节点(武将数量星级阶位验证!$J$97:$J$135,武将数量星级阶位验证!BJ$97:BJ$135,$X77)/武将数量星级阶位验证!B$6-1</f>
        <v>104.64565806503002</v>
      </c>
      <c r="Z77" s="16">
        <f>求节点(武将数量星级阶位验证!$J$97:$J$135,武将数量星级阶位验证!BK$97:BK$135,$X77)/武将数量星级阶位验证!C$6-1</f>
        <v>20.918290765075625</v>
      </c>
      <c r="AA77" s="16">
        <f>求节点(武将数量星级阶位验证!$J$97:$J$135,武将数量星级阶位验证!BL$97:BL$135,$X77)/武将数量星级阶位验证!D$6-1</f>
        <v>1.2585569057701838</v>
      </c>
      <c r="AB77" s="71">
        <f>求节点(基础状态预期!$D$107:$D$145,基础状态预期!$O$107:$O$145,$X77)</f>
        <v>0</v>
      </c>
    </row>
    <row r="78" spans="4:28" x14ac:dyDescent="0.15">
      <c r="D78" s="16">
        <v>30</v>
      </c>
      <c r="F78" s="16">
        <f>基础状态预期!C88</f>
        <v>3043</v>
      </c>
      <c r="G78" s="16">
        <f>MIN(武将升星!E$14,求节点(武将升星!E$104:E$112,武将升星!$C$104:$C$112,武将数量星级阶位验证!BJ78/武将数量星级阶位验证!B$6))</f>
        <v>3</v>
      </c>
      <c r="H78" s="16">
        <f>MIN(武将升星!F$14,求节点(武将升星!F$104:F$112,武将升星!$C$104:$C$112,武将数量星级阶位验证!BK78/武将数量星级阶位验证!C$6))</f>
        <v>6</v>
      </c>
      <c r="I78" s="114">
        <f>求节点(武将升星!G$104:G$112,武将升星!$C$104:$C$112,MAX((武将数量星级阶位验证!BL78-武将数量星级阶位验证!BN78)/武将数量星级阶位验证!D$6+武将数量星级阶位验证!BN78/6,0))</f>
        <v>8</v>
      </c>
      <c r="J78" s="71">
        <f>基础状态预期!O88</f>
        <v>8</v>
      </c>
      <c r="L78" s="16">
        <f>武将升星!E$58+武将升星!E$59*G78</f>
        <v>75</v>
      </c>
      <c r="M78" s="16">
        <f>武将升星!F$58+武将升星!F$59*H78</f>
        <v>100</v>
      </c>
      <c r="N78" s="16">
        <f>武将升星!G$58+武将升星!G$59*I78</f>
        <v>125</v>
      </c>
      <c r="O78" s="16">
        <f>武将升星!H$58+武将升星!H$59*J78</f>
        <v>148</v>
      </c>
      <c r="P78" s="16">
        <v>169.93441349227601</v>
      </c>
      <c r="Q78" s="16">
        <f>求节点(武将升星!$C$68:$C$76,武将升星!E$68:E$76,G78)</f>
        <v>0.15</v>
      </c>
      <c r="R78" s="16">
        <f>求节点(武将升星!$C$68:$C$76,武将升星!F$68:F$76,H78)</f>
        <v>0.39999999999999997</v>
      </c>
      <c r="S78" s="16">
        <f>求节点(武将升星!$C$68:$C$76,武将升星!G$68:G$76,I78)</f>
        <v>0.79200000000000026</v>
      </c>
      <c r="T78" s="16">
        <f>求节点(武将升星!$C$68:$C$76,武将升星!H$68:H$76,J78)</f>
        <v>1.1399999999999999</v>
      </c>
      <c r="U78" s="16">
        <v>1.57401620238414</v>
      </c>
      <c r="X78" s="16">
        <v>50</v>
      </c>
      <c r="Y78" s="16">
        <f>求节点(武将数量星级阶位验证!$J$97:$J$135,武将数量星级阶位验证!BJ$97:BJ$135,$X78)/武将数量星级阶位验证!B$6-1</f>
        <v>110.95569533682639</v>
      </c>
      <c r="Z78" s="16">
        <f>求节点(武将数量星级阶位验证!$J$97:$J$135,武将数量星级阶位验证!BK$97:BK$135,$X78)/武将数量星级阶位验证!C$6-1</f>
        <v>22.193799189668638</v>
      </c>
      <c r="AA78" s="16">
        <f>求节点(武将数量星级阶位验证!$J$97:$J$135,武将数量星级阶位验证!BL$97:BL$135,$X78)/武将数量星级阶位验证!D$6-1</f>
        <v>1.3774511805147811</v>
      </c>
      <c r="AB78" s="71">
        <f>求节点(基础状态预期!$D$107:$D$145,基础状态预期!$O$107:$O$145,$X78)</f>
        <v>3.8688099253469346E-2</v>
      </c>
    </row>
    <row r="79" spans="4:28" x14ac:dyDescent="0.15">
      <c r="D79" s="16">
        <v>31</v>
      </c>
      <c r="F79" s="16">
        <f>基础状态预期!C89</f>
        <v>3859</v>
      </c>
      <c r="G79" s="16">
        <f>MIN(武将升星!E$14,求节点(武将升星!E$104:E$112,武将升星!$C$104:$C$112,武将数量星级阶位验证!BJ79/武将数量星级阶位验证!B$6))</f>
        <v>3</v>
      </c>
      <c r="H79" s="16">
        <f>MIN(武将升星!F$14,求节点(武将升星!F$104:F$112,武将升星!$C$104:$C$112,武将数量星级阶位验证!BK79/武将数量星级阶位验证!C$6))</f>
        <v>6</v>
      </c>
      <c r="I79" s="114">
        <f>求节点(武将升星!G$104:G$112,武将升星!$C$104:$C$112,MAX((武将数量星级阶位验证!BL79-武将数量星级阶位验证!BN79)/武将数量星级阶位验证!D$6+武将数量星级阶位验证!BN79/6,0))</f>
        <v>8</v>
      </c>
      <c r="J79" s="71">
        <f>基础状态预期!O89</f>
        <v>8</v>
      </c>
      <c r="L79" s="16">
        <f>武将升星!E$58+武将升星!E$59*G79</f>
        <v>75</v>
      </c>
      <c r="M79" s="16">
        <f>武将升星!F$58+武将升星!F$59*H79</f>
        <v>100</v>
      </c>
      <c r="N79" s="16">
        <f>武将升星!G$58+武将升星!G$59*I79</f>
        <v>125</v>
      </c>
      <c r="O79" s="16">
        <f>武将升星!H$58+武将升星!H$59*J79</f>
        <v>148</v>
      </c>
      <c r="P79" s="16">
        <v>172.754199752033</v>
      </c>
      <c r="Q79" s="16">
        <f>求节点(武将升星!$C$68:$C$76,武将升星!E$68:E$76,G79)</f>
        <v>0.15</v>
      </c>
      <c r="R79" s="16">
        <f>求节点(武将升星!$C$68:$C$76,武将升星!F$68:F$76,H79)</f>
        <v>0.39999999999999997</v>
      </c>
      <c r="S79" s="16">
        <f>求节点(武将升星!$C$68:$C$76,武将升星!G$68:G$76,I79)</f>
        <v>0.79200000000000026</v>
      </c>
      <c r="T79" s="16">
        <f>求节点(武将升星!$C$68:$C$76,武将升星!H$68:H$76,J79)</f>
        <v>1.1399999999999999</v>
      </c>
      <c r="U79" s="16">
        <v>1.6163129962804901</v>
      </c>
      <c r="X79" s="16">
        <v>51</v>
      </c>
      <c r="Y79" s="16">
        <f>求节点(武将数量星级阶位验证!$J$97:$J$135,武将数量星级阶位验证!BJ$97:BJ$135,$X79)/武将数量星级阶位验证!B$6-1</f>
        <v>117.59988216814128</v>
      </c>
      <c r="Z79" s="16">
        <f>求节点(武将数量星级阶位验证!$J$97:$J$135,武将数量星级阶位验证!BK$97:BK$135,$X79)/武将数量星级阶位验证!C$6-1</f>
        <v>23.539014547335583</v>
      </c>
      <c r="AA79" s="16">
        <f>求节点(武将数量星级阶位验证!$J$97:$J$135,武将数量星级阶位验证!BL$97:BL$135,$X79)/武将数量星级阶位验证!D$6-1</f>
        <v>1.5019637863675621</v>
      </c>
      <c r="AB79" s="71">
        <f>求节点(基础状态预期!$D$107:$D$145,基础状态预期!$O$107:$O$145,$X79)</f>
        <v>8.6384076646560934E-2</v>
      </c>
    </row>
    <row r="80" spans="4:28" x14ac:dyDescent="0.15">
      <c r="D80" s="16">
        <v>32</v>
      </c>
      <c r="F80" s="16">
        <f>基础状态预期!C90</f>
        <v>4930</v>
      </c>
      <c r="G80" s="16">
        <f>MIN(武将升星!E$14,求节点(武将升星!E$104:E$112,武将升星!$C$104:$C$112,武将数量星级阶位验证!BJ80/武将数量星级阶位验证!B$6))</f>
        <v>3</v>
      </c>
      <c r="H80" s="16">
        <f>MIN(武将升星!F$14,求节点(武将升星!F$104:F$112,武将升星!$C$104:$C$112,武将数量星级阶位验证!BK80/武将数量星级阶位验证!C$6))</f>
        <v>6</v>
      </c>
      <c r="I80" s="114">
        <f>求节点(武将升星!G$104:G$112,武将升星!$C$104:$C$112,MAX((武将数量星级阶位验证!BL80-武将数量星级阶位验证!BN80)/武将数量星级阶位验证!D$6+武将数量星级阶位验证!BN80/6,0))</f>
        <v>8</v>
      </c>
      <c r="J80" s="71">
        <f>基础状态预期!O90</f>
        <v>8</v>
      </c>
      <c r="L80" s="16">
        <f>武将升星!E$58+武将升星!E$59*G80</f>
        <v>75</v>
      </c>
      <c r="M80" s="16">
        <f>武将升星!F$58+武将升星!F$59*H80</f>
        <v>100</v>
      </c>
      <c r="N80" s="16">
        <f>武将升星!G$58+武将升星!G$59*I80</f>
        <v>125</v>
      </c>
      <c r="O80" s="16">
        <f>武将升星!H$58+武将升星!H$59*J80</f>
        <v>148</v>
      </c>
      <c r="P80" s="16">
        <v>175.573986011789</v>
      </c>
      <c r="Q80" s="16">
        <f>求节点(武将升星!$C$68:$C$76,武将升星!E$68:E$76,G80)</f>
        <v>0.15</v>
      </c>
      <c r="R80" s="16">
        <f>求节点(武将升星!$C$68:$C$76,武将升星!F$68:F$76,H80)</f>
        <v>0.39999999999999997</v>
      </c>
      <c r="S80" s="16">
        <f>求节点(武将升星!$C$68:$C$76,武将升星!G$68:G$76,I80)</f>
        <v>0.79200000000000026</v>
      </c>
      <c r="T80" s="16">
        <f>求节点(武将升星!$C$68:$C$76,武将升星!H$68:H$76,J80)</f>
        <v>1.1399999999999999</v>
      </c>
      <c r="U80" s="16">
        <v>1.65860979017684</v>
      </c>
      <c r="X80" s="16">
        <v>52</v>
      </c>
      <c r="Y80" s="16">
        <f>求节点(武将数量星级阶位验证!$J$97:$J$135,武将数量星级阶位验证!BJ$97:BJ$135,$X80)/武将数量星级阶位验证!B$6-1</f>
        <v>124.24406899945616</v>
      </c>
      <c r="Z80" s="16">
        <f>求节点(武将数量星级阶位验证!$J$97:$J$135,武将数量星级阶位验证!BK$97:BK$135,$X80)/武将数量星级阶位验证!C$6-1</f>
        <v>24.884229905002524</v>
      </c>
      <c r="AA80" s="16">
        <f>求节点(武将数量星级阶位验证!$J$97:$J$135,武将数量星级阶位验证!BL$97:BL$135,$X80)/武将数量星级阶位验证!D$6-1</f>
        <v>1.6264763922203427</v>
      </c>
      <c r="AB80" s="71">
        <f>求节点(基础状态预期!$D$107:$D$145,基础状态预期!$O$107:$O$145,$X80)</f>
        <v>0.13408005403965251</v>
      </c>
    </row>
    <row r="81" spans="4:28" x14ac:dyDescent="0.15">
      <c r="D81" s="16">
        <v>33</v>
      </c>
      <c r="F81" s="16">
        <f>基础状态预期!C91</f>
        <v>6307</v>
      </c>
      <c r="G81" s="16">
        <f>MIN(武将升星!E$14,求节点(武将升星!E$104:E$112,武将升星!$C$104:$C$112,武将数量星级阶位验证!BJ81/武将数量星级阶位验证!B$6))</f>
        <v>3</v>
      </c>
      <c r="H81" s="16">
        <f>MIN(武将升星!F$14,求节点(武将升星!F$104:F$112,武将升星!$C$104:$C$112,武将数量星级阶位验证!BK81/武将数量星级阶位验证!C$6))</f>
        <v>6</v>
      </c>
      <c r="I81" s="114">
        <f>求节点(武将升星!G$104:G$112,武将升星!$C$104:$C$112,MAX((武将数量星级阶位验证!BL81-武将数量星级阶位验证!BN81)/武将数量星级阶位验证!D$6+武将数量星级阶位验证!BN81/6,0))</f>
        <v>8</v>
      </c>
      <c r="J81" s="71">
        <f>基础状态预期!O91</f>
        <v>8</v>
      </c>
      <c r="L81" s="16">
        <f>武将升星!E$58+武将升星!E$59*G81</f>
        <v>75</v>
      </c>
      <c r="M81" s="16">
        <f>武将升星!F$58+武将升星!F$59*H81</f>
        <v>100</v>
      </c>
      <c r="N81" s="16">
        <f>武将升星!G$58+武将升星!G$59*I81</f>
        <v>125</v>
      </c>
      <c r="O81" s="16">
        <f>武将升星!H$58+武将升星!H$59*J81</f>
        <v>148</v>
      </c>
      <c r="P81" s="16">
        <v>178.393772271545</v>
      </c>
      <c r="Q81" s="16">
        <f>求节点(武将升星!$C$68:$C$76,武将升星!E$68:E$76,G81)</f>
        <v>0.15</v>
      </c>
      <c r="R81" s="16">
        <f>求节点(武将升星!$C$68:$C$76,武将升星!F$68:F$76,H81)</f>
        <v>0.39999999999999997</v>
      </c>
      <c r="S81" s="16">
        <f>求节点(武将升星!$C$68:$C$76,武将升星!G$68:G$76,I81)</f>
        <v>0.79200000000000026</v>
      </c>
      <c r="T81" s="16">
        <f>求节点(武将升星!$C$68:$C$76,武将升星!H$68:H$76,J81)</f>
        <v>1.1399999999999999</v>
      </c>
      <c r="U81" s="16">
        <v>1.7009065840731901</v>
      </c>
      <c r="X81" s="16">
        <v>53</v>
      </c>
      <c r="Y81" s="16">
        <f>求节点(武将数量星级阶位验证!$J$97:$J$135,武将数量星级阶位验证!BJ$97:BJ$135,$X81)/武将数量星级阶位验证!B$6-1</f>
        <v>130.88825583077104</v>
      </c>
      <c r="Z81" s="16">
        <f>求节点(武将数量星级阶位验证!$J$97:$J$135,武将数量星级阶位验证!BK$97:BK$135,$X81)/武将数量星级阶位验证!C$6-1</f>
        <v>26.229445262669469</v>
      </c>
      <c r="AA81" s="16">
        <f>求节点(武将数量星级阶位验证!$J$97:$J$135,武将数量星级阶位验证!BL$97:BL$135,$X81)/武将数量星级阶位验证!D$6-1</f>
        <v>1.7509889980731237</v>
      </c>
      <c r="AB81" s="71">
        <f>求节点(基础状态预期!$D$107:$D$145,基础状态预期!$O$107:$O$145,$X81)</f>
        <v>0.1817760314327441</v>
      </c>
    </row>
    <row r="82" spans="4:28" x14ac:dyDescent="0.15">
      <c r="D82" s="16">
        <v>34</v>
      </c>
      <c r="F82" s="16">
        <f>基础状态预期!C92</f>
        <v>8041</v>
      </c>
      <c r="G82" s="16">
        <f>MIN(武将升星!E$14,求节点(武将升星!E$104:E$112,武将升星!$C$104:$C$112,武将数量星级阶位验证!BJ82/武将数量星级阶位验证!B$6))</f>
        <v>3</v>
      </c>
      <c r="H82" s="16">
        <f>MIN(武将升星!F$14,求节点(武将升星!F$104:F$112,武将升星!$C$104:$C$112,武将数量星级阶位验证!BK82/武将数量星级阶位验证!C$6))</f>
        <v>6</v>
      </c>
      <c r="I82" s="114">
        <f>求节点(武将升星!G$104:G$112,武将升星!$C$104:$C$112,MAX((武将数量星级阶位验证!BL82-武将数量星级阶位验证!BN82)/武将数量星级阶位验证!D$6+武将数量星级阶位验证!BN82/6,0))</f>
        <v>8</v>
      </c>
      <c r="J82" s="71">
        <f>基础状态预期!O92</f>
        <v>8</v>
      </c>
      <c r="L82" s="16">
        <f>武将升星!E$58+武将升星!E$59*G82</f>
        <v>75</v>
      </c>
      <c r="M82" s="16">
        <f>武将升星!F$58+武将升星!F$59*H82</f>
        <v>100</v>
      </c>
      <c r="N82" s="16">
        <f>武将升星!G$58+武将升星!G$59*I82</f>
        <v>125</v>
      </c>
      <c r="O82" s="16">
        <f>武将升星!H$58+武将升星!H$59*J82</f>
        <v>148</v>
      </c>
      <c r="P82" s="16">
        <v>181.213558531302</v>
      </c>
      <c r="Q82" s="16">
        <f>求节点(武将升星!$C$68:$C$76,武将升星!E$68:E$76,G82)</f>
        <v>0.15</v>
      </c>
      <c r="R82" s="16">
        <f>求节点(武将升星!$C$68:$C$76,武将升星!F$68:F$76,H82)</f>
        <v>0.39999999999999997</v>
      </c>
      <c r="S82" s="16">
        <f>求节点(武将升星!$C$68:$C$76,武将升星!G$68:G$76,I82)</f>
        <v>0.79200000000000026</v>
      </c>
      <c r="T82" s="16">
        <f>求节点(武将升星!$C$68:$C$76,武将升星!H$68:H$76,J82)</f>
        <v>1.1399999999999999</v>
      </c>
      <c r="U82" s="16">
        <v>1.74320337796953</v>
      </c>
      <c r="X82" s="16">
        <v>54</v>
      </c>
      <c r="Y82" s="16">
        <f>求节点(武将数量星级阶位验证!$J$97:$J$135,武将数量星级阶位验证!BJ$97:BJ$135,$X82)/武将数量星级阶位验证!B$6-1</f>
        <v>139.09060195356139</v>
      </c>
      <c r="Z82" s="16">
        <f>求节点(武将数量星级阶位验证!$J$97:$J$135,武将数量星级阶位验证!BK$97:BK$135,$X82)/武将数量星级阶位验证!C$6-1</f>
        <v>27.96252375713425</v>
      </c>
      <c r="AA82" s="16">
        <f>求节点(武将数量星级阶位验证!$J$97:$J$135,武将数量星级阶位验证!BL$97:BL$135,$X82)/武将数量星级阶位验证!D$6-1</f>
        <v>1.8930138747482999</v>
      </c>
      <c r="AB82" s="71">
        <f>求节点(基础状态预期!$D$107:$D$145,基础状态预期!$O$107:$O$145,$X82)</f>
        <v>0.3743829124626552</v>
      </c>
    </row>
    <row r="83" spans="4:28" x14ac:dyDescent="0.15">
      <c r="D83" s="16">
        <v>35</v>
      </c>
      <c r="F83" s="16">
        <f>基础状态预期!C93</f>
        <v>10234</v>
      </c>
      <c r="G83" s="16">
        <f>MIN(武将升星!E$14,求节点(武将升星!E$104:E$112,武将升星!$C$104:$C$112,武将数量星级阶位验证!BJ83/武将数量星级阶位验证!B$6))</f>
        <v>3</v>
      </c>
      <c r="H83" s="16">
        <f>MIN(武将升星!F$14,求节点(武将升星!F$104:F$112,武将升星!$C$104:$C$112,武将数量星级阶位验证!BK83/武将数量星级阶位验证!C$6))</f>
        <v>6</v>
      </c>
      <c r="I83" s="114">
        <f>求节点(武将升星!G$104:G$112,武将升星!$C$104:$C$112,MAX((武将数量星级阶位验证!BL83-武将数量星级阶位验证!BN83)/武将数量星级阶位验证!D$6+武将数量星级阶位验证!BN83/6,0))</f>
        <v>8</v>
      </c>
      <c r="J83" s="71">
        <f>基础状态预期!O93</f>
        <v>8</v>
      </c>
      <c r="L83" s="16">
        <f>武将升星!E$58+武将升星!E$59*G83</f>
        <v>75</v>
      </c>
      <c r="M83" s="16">
        <f>武将升星!F$58+武将升星!F$59*H83</f>
        <v>100</v>
      </c>
      <c r="N83" s="16">
        <f>武将升星!G$58+武将升星!G$59*I83</f>
        <v>125</v>
      </c>
      <c r="O83" s="16">
        <f>武将升星!H$58+武将升星!H$59*J83</f>
        <v>148</v>
      </c>
      <c r="P83" s="16">
        <v>184.033344791058</v>
      </c>
      <c r="Q83" s="16">
        <f>求节点(武将升星!$C$68:$C$76,武将升星!E$68:E$76,G83)</f>
        <v>0.15</v>
      </c>
      <c r="R83" s="16">
        <f>求节点(武将升星!$C$68:$C$76,武将升星!F$68:F$76,H83)</f>
        <v>0.39999999999999997</v>
      </c>
      <c r="S83" s="16">
        <f>求节点(武将升星!$C$68:$C$76,武将升星!G$68:G$76,I83)</f>
        <v>0.79200000000000026</v>
      </c>
      <c r="T83" s="16">
        <f>求节点(武将升星!$C$68:$C$76,武将升星!H$68:H$76,J83)</f>
        <v>1.1399999999999999</v>
      </c>
      <c r="U83" s="16">
        <v>1.7855001718658801</v>
      </c>
      <c r="X83" s="16">
        <v>55</v>
      </c>
      <c r="Y83" s="16">
        <f>求节点(武将数量星级阶位验证!$J$97:$J$135,武将数量星级阶位验证!BJ$97:BJ$135,$X83)/武将数量星级阶位验证!B$6-1</f>
        <v>147.71386857323918</v>
      </c>
      <c r="Z83" s="16">
        <f>求节点(武将数量星级阶位验证!$J$97:$J$135,武将数量星级阶位验证!BK$97:BK$135,$X83)/武将数量星级阶位验证!C$6-1</f>
        <v>29.800379436549537</v>
      </c>
      <c r="AA83" s="16">
        <f>求节点(武将数量星级阶位验证!$J$97:$J$135,武将数量星级阶位验证!BL$97:BL$135,$X83)/武将数量星级阶位验证!D$6-1</f>
        <v>2.0397695089118262</v>
      </c>
      <c r="AB83" s="71">
        <f>求节点(基础状态预期!$D$107:$D$145,基础状态预期!$O$107:$O$145,$X83)</f>
        <v>0.60613596416774906</v>
      </c>
    </row>
    <row r="84" spans="4:28" x14ac:dyDescent="0.15">
      <c r="D84" s="16">
        <v>36</v>
      </c>
      <c r="F84" s="16">
        <f>基础状态预期!C94</f>
        <v>13039</v>
      </c>
      <c r="G84" s="16">
        <f>MIN(武将升星!E$14,求节点(武将升星!E$104:E$112,武将升星!$C$104:$C$112,武将数量星级阶位验证!BJ84/武将数量星级阶位验证!B$6))</f>
        <v>3</v>
      </c>
      <c r="H84" s="16">
        <f>MIN(武将升星!F$14,求节点(武将升星!F$104:F$112,武将升星!$C$104:$C$112,武将数量星级阶位验证!BK84/武将数量星级阶位验证!C$6))</f>
        <v>6</v>
      </c>
      <c r="I84" s="114">
        <f>求节点(武将升星!G$104:G$112,武将升星!$C$104:$C$112,MAX((武将数量星级阶位验证!BL84-武将数量星级阶位验证!BN84)/武将数量星级阶位验证!D$6+武将数量星级阶位验证!BN84/6,0))</f>
        <v>8</v>
      </c>
      <c r="J84" s="71">
        <f>基础状态预期!O94</f>
        <v>8</v>
      </c>
      <c r="L84" s="16">
        <f>武将升星!E$58+武将升星!E$59*G84</f>
        <v>75</v>
      </c>
      <c r="M84" s="16">
        <f>武将升星!F$58+武将升星!F$59*H84</f>
        <v>100</v>
      </c>
      <c r="N84" s="16">
        <f>武将升星!G$58+武将升星!G$59*I84</f>
        <v>125</v>
      </c>
      <c r="O84" s="16">
        <f>武将升星!H$58+武将升星!H$59*J84</f>
        <v>148</v>
      </c>
      <c r="P84" s="16">
        <v>186.85313105081499</v>
      </c>
      <c r="Q84" s="16">
        <f>求节点(武将升星!$C$68:$C$76,武将升星!E$68:E$76,G84)</f>
        <v>0.15</v>
      </c>
      <c r="R84" s="16">
        <f>求节点(武将升星!$C$68:$C$76,武将升星!F$68:F$76,H84)</f>
        <v>0.39999999999999997</v>
      </c>
      <c r="S84" s="16">
        <f>求节点(武将升星!$C$68:$C$76,武将升星!G$68:G$76,I84)</f>
        <v>0.79200000000000026</v>
      </c>
      <c r="T84" s="16">
        <f>求节点(武将升星!$C$68:$C$76,武将升星!H$68:H$76,J84)</f>
        <v>1.1399999999999999</v>
      </c>
      <c r="U84" s="16">
        <v>1.8277969657622299</v>
      </c>
      <c r="X84" s="16">
        <v>56</v>
      </c>
      <c r="Y84" s="16">
        <f>求节点(武将数量星级阶位验证!$J$97:$J$135,武将数量星级阶位验证!BJ$97:BJ$135,$X84)/武将数量星级阶位验证!B$6-1</f>
        <v>156.33713519291697</v>
      </c>
      <c r="Z84" s="16">
        <f>求节点(武将数量星级阶位验证!$J$97:$J$135,武将数量星级阶位验证!BK$97:BK$135,$X84)/武将数量星级阶位验证!C$6-1</f>
        <v>31.638235115964825</v>
      </c>
      <c r="AA84" s="16">
        <f>求节点(武将数量星级阶位验证!$J$97:$J$135,武将数量星级阶位验证!BL$97:BL$135,$X84)/武将数量星级阶位验证!D$6-1</f>
        <v>2.186525143075353</v>
      </c>
      <c r="AB84" s="71">
        <f>求节点(基础状态预期!$D$107:$D$145,基础状态预期!$O$107:$O$145,$X84)</f>
        <v>0.83788901587284303</v>
      </c>
    </row>
    <row r="85" spans="4:28" x14ac:dyDescent="0.15">
      <c r="D85" s="16">
        <v>37</v>
      </c>
      <c r="F85" s="16">
        <f>基础状态预期!C95</f>
        <v>16609</v>
      </c>
      <c r="G85" s="16">
        <f>MIN(武将升星!E$14,求节点(武将升星!E$104:E$112,武将升星!$C$104:$C$112,武将数量星级阶位验证!BJ85/武将数量星级阶位验证!B$6))</f>
        <v>3</v>
      </c>
      <c r="H85" s="16">
        <f>MIN(武将升星!F$14,求节点(武将升星!F$104:F$112,武将升星!$C$104:$C$112,武将数量星级阶位验证!BK85/武将数量星级阶位验证!C$6))</f>
        <v>6</v>
      </c>
      <c r="I85" s="114">
        <f>求节点(武将升星!G$104:G$112,武将升星!$C$104:$C$112,MAX((武将数量星级阶位验证!BL85-武将数量星级阶位验证!BN85)/武将数量星级阶位验证!D$6+武将数量星级阶位验证!BN85/6,0))</f>
        <v>8</v>
      </c>
      <c r="J85" s="71">
        <f>基础状态预期!O95</f>
        <v>8</v>
      </c>
      <c r="L85" s="16">
        <f>武将升星!E$58+武将升星!E$59*G85</f>
        <v>75</v>
      </c>
      <c r="M85" s="16">
        <f>武将升星!F$58+武将升星!F$59*H85</f>
        <v>100</v>
      </c>
      <c r="N85" s="16">
        <f>武将升星!G$58+武将升星!G$59*I85</f>
        <v>125</v>
      </c>
      <c r="O85" s="16">
        <f>武将升星!H$58+武将升星!H$59*J85</f>
        <v>148</v>
      </c>
      <c r="P85" s="16">
        <v>189.67291731057099</v>
      </c>
      <c r="Q85" s="16">
        <f>求节点(武将升星!$C$68:$C$76,武将升星!E$68:E$76,G85)</f>
        <v>0.15</v>
      </c>
      <c r="R85" s="16">
        <f>求节点(武将升星!$C$68:$C$76,武将升星!F$68:F$76,H85)</f>
        <v>0.39999999999999997</v>
      </c>
      <c r="S85" s="16">
        <f>求节点(武将升星!$C$68:$C$76,武将升星!G$68:G$76,I85)</f>
        <v>0.79200000000000026</v>
      </c>
      <c r="T85" s="16">
        <f>求节点(武将升星!$C$68:$C$76,武将升星!H$68:H$76,J85)</f>
        <v>1.1399999999999999</v>
      </c>
      <c r="U85" s="16">
        <v>1.8700937596585701</v>
      </c>
      <c r="X85" s="16">
        <v>57</v>
      </c>
      <c r="Y85" s="16">
        <f>求节点(武将数量星级阶位验证!$J$97:$J$135,武将数量星级阶位验证!BJ$97:BJ$135,$X85)/武将数量星级阶位验证!B$6-1</f>
        <v>164.96040181259477</v>
      </c>
      <c r="Z85" s="16">
        <f>求节点(武将数量星级阶位验证!$J$97:$J$135,武将数量星级阶位验证!BK$97:BK$135,$X85)/武将数量星级阶位验证!C$6-1</f>
        <v>33.476090795380109</v>
      </c>
      <c r="AA85" s="16">
        <f>求节点(武将数量星级阶位验证!$J$97:$J$135,武将数量星级阶位验证!BL$97:BL$135,$X85)/武将数量星级阶位验证!D$6-1</f>
        <v>2.3332807772388797</v>
      </c>
      <c r="AB85" s="71">
        <f>求节点(基础状态预期!$D$107:$D$145,基础状态预期!$O$107:$O$145,$X85)</f>
        <v>1.069642067577937</v>
      </c>
    </row>
    <row r="86" spans="4:28" x14ac:dyDescent="0.15">
      <c r="D86" s="16">
        <v>38</v>
      </c>
      <c r="F86" s="16">
        <f>基础状态预期!C96</f>
        <v>21148</v>
      </c>
      <c r="G86" s="16">
        <f>MIN(武将升星!E$14,求节点(武将升星!E$104:E$112,武将升星!$C$104:$C$112,武将数量星级阶位验证!BJ86/武将数量星级阶位验证!B$6))</f>
        <v>3</v>
      </c>
      <c r="H86" s="16">
        <f>MIN(武将升星!F$14,求节点(武将升星!F$104:F$112,武将升星!$C$104:$C$112,武将数量星级阶位验证!BK86/武将数量星级阶位验证!C$6))</f>
        <v>6</v>
      </c>
      <c r="I86" s="114">
        <f>求节点(武将升星!G$104:G$112,武将升星!$C$104:$C$112,MAX((武将数量星级阶位验证!BL86-武将数量星级阶位验证!BN86)/武将数量星级阶位验证!D$6+武将数量星级阶位验证!BN86/6,0))</f>
        <v>8</v>
      </c>
      <c r="J86" s="71">
        <f>基础状态预期!O96</f>
        <v>8</v>
      </c>
      <c r="L86" s="16">
        <f>武将升星!E$58+武将升星!E$59*G86</f>
        <v>75</v>
      </c>
      <c r="M86" s="16">
        <f>武将升星!F$58+武将升星!F$59*H86</f>
        <v>100</v>
      </c>
      <c r="N86" s="16">
        <f>武将升星!G$58+武将升星!G$59*I86</f>
        <v>125</v>
      </c>
      <c r="O86" s="16">
        <f>武将升星!H$58+武将升星!H$59*J86</f>
        <v>148</v>
      </c>
      <c r="P86" s="16">
        <v>192.49270357032799</v>
      </c>
      <c r="Q86" s="16">
        <f>求节点(武将升星!$C$68:$C$76,武将升星!E$68:E$76,G86)</f>
        <v>0.15</v>
      </c>
      <c r="R86" s="16">
        <f>求节点(武将升星!$C$68:$C$76,武将升星!F$68:F$76,H86)</f>
        <v>0.39999999999999997</v>
      </c>
      <c r="S86" s="16">
        <f>求节点(武将升星!$C$68:$C$76,武将升星!G$68:G$76,I86)</f>
        <v>0.79200000000000026</v>
      </c>
      <c r="T86" s="16">
        <f>求节点(武将升星!$C$68:$C$76,武将升星!H$68:H$76,J86)</f>
        <v>1.1399999999999999</v>
      </c>
      <c r="U86" s="16">
        <v>1.9123905535549199</v>
      </c>
      <c r="X86" s="16">
        <v>58</v>
      </c>
      <c r="Y86" s="16">
        <f>求节点(武将数量星级阶位验证!$J$97:$J$135,武将数量星级阶位验证!BJ$97:BJ$135,$X86)/武将数量星级阶位验证!B$6-1</f>
        <v>173.58366843227256</v>
      </c>
      <c r="Z86" s="16">
        <f>求节点(武将数量星级阶位验证!$J$97:$J$135,武将数量星级阶位验证!BK$97:BK$135,$X86)/武将数量星级阶位验证!C$6-1</f>
        <v>35.313946474795401</v>
      </c>
      <c r="AA86" s="16">
        <f>求节点(武将数量星级阶位验证!$J$97:$J$135,武将数量星级阶位验证!BL$97:BL$135,$X86)/武将数量星级阶位验证!D$6-1</f>
        <v>2.4800364114024065</v>
      </c>
      <c r="AB86" s="71">
        <f>求节点(基础状态预期!$D$107:$D$145,基础状态预期!$O$107:$O$145,$X86)</f>
        <v>1.3013951192830309</v>
      </c>
    </row>
    <row r="87" spans="4:28" x14ac:dyDescent="0.15">
      <c r="D87" s="16">
        <v>39</v>
      </c>
      <c r="F87" s="16">
        <f>基础状态预期!C97</f>
        <v>26962</v>
      </c>
      <c r="G87" s="16">
        <f>MIN(武将升星!E$14,求节点(武将升星!E$104:E$112,武将升星!$C$104:$C$112,武将数量星级阶位验证!BJ87/武将数量星级阶位验证!B$6))</f>
        <v>3</v>
      </c>
      <c r="H87" s="16">
        <f>MIN(武将升星!F$14,求节点(武将升星!F$104:F$112,武将升星!$C$104:$C$112,武将数量星级阶位验证!BK87/武将数量星级阶位验证!C$6))</f>
        <v>6</v>
      </c>
      <c r="I87" s="114">
        <f>求节点(武将升星!G$104:G$112,武将升星!$C$104:$C$112,MAX((武将数量星级阶位验证!BL87-武将数量星级阶位验证!BN87)/武将数量星级阶位验证!D$6+武将数量星级阶位验证!BN87/6,0))</f>
        <v>8</v>
      </c>
      <c r="J87" s="71">
        <f>基础状态预期!O97</f>
        <v>8</v>
      </c>
      <c r="L87" s="16">
        <f>武将升星!E$58+武将升星!E$59*G87</f>
        <v>75</v>
      </c>
      <c r="M87" s="16">
        <f>武将升星!F$58+武将升星!F$59*H87</f>
        <v>100</v>
      </c>
      <c r="N87" s="16">
        <f>武将升星!G$58+武将升星!G$59*I87</f>
        <v>125</v>
      </c>
      <c r="O87" s="16">
        <f>武将升星!H$58+武将升星!H$59*J87</f>
        <v>148</v>
      </c>
      <c r="P87" s="16">
        <v>195.31248983008399</v>
      </c>
      <c r="Q87" s="16">
        <f>求节点(武将升星!$C$68:$C$76,武将升星!E$68:E$76,G87)</f>
        <v>0.15</v>
      </c>
      <c r="R87" s="16">
        <f>求节点(武将升星!$C$68:$C$76,武将升星!F$68:F$76,H87)</f>
        <v>0.39999999999999997</v>
      </c>
      <c r="S87" s="16">
        <f>求节点(武将升星!$C$68:$C$76,武将升星!G$68:G$76,I87)</f>
        <v>0.79200000000000026</v>
      </c>
      <c r="T87" s="16">
        <f>求节点(武将升星!$C$68:$C$76,武将升星!H$68:H$76,J87)</f>
        <v>1.1399999999999999</v>
      </c>
      <c r="U87" s="16">
        <v>1.95468734745127</v>
      </c>
      <c r="X87" s="16">
        <v>59</v>
      </c>
      <c r="Y87" s="16">
        <f>求节点(武将数量星级阶位验证!$J$97:$J$135,武将数量星级阶位验证!BJ$97:BJ$135,$X87)/武将数量星级阶位验证!B$6-1</f>
        <v>182.20693505195035</v>
      </c>
      <c r="Z87" s="16">
        <f>求节点(武将数量星级阶位验证!$J$97:$J$135,武将数量星级阶位验证!BK$97:BK$135,$X87)/武将数量星级阶位验证!C$6-1</f>
        <v>37.151802154210685</v>
      </c>
      <c r="AA87" s="16">
        <f>求节点(武将数量星级阶位验证!$J$97:$J$135,武将数量星级阶位验证!BL$97:BL$135,$X87)/武将数量星级阶位验证!D$6-1</f>
        <v>2.6267920455659328</v>
      </c>
      <c r="AB87" s="71">
        <f>求节点(基础状态预期!$D$107:$D$145,基础状态预期!$O$107:$O$145,$X87)</f>
        <v>1.5331481709881247</v>
      </c>
    </row>
    <row r="88" spans="4:28" x14ac:dyDescent="0.15">
      <c r="D88" s="16">
        <v>40</v>
      </c>
      <c r="F88" s="16">
        <f>基础状态预期!C98</f>
        <v>34357</v>
      </c>
      <c r="G88" s="16">
        <f>MIN(武将升星!E$14,求节点(武将升星!E$104:E$112,武将升星!$C$104:$C$112,武将数量星级阶位验证!BJ88/武将数量星级阶位验证!B$6))</f>
        <v>3</v>
      </c>
      <c r="H88" s="16">
        <f>MIN(武将升星!F$14,求节点(武将升星!F$104:F$112,武将升星!$C$104:$C$112,武将数量星级阶位验证!BK88/武将数量星级阶位验证!C$6))</f>
        <v>6</v>
      </c>
      <c r="I88" s="114">
        <f>求节点(武将升星!G$104:G$112,武将升星!$C$104:$C$112,MAX((武将数量星级阶位验证!BL88-武将数量星级阶位验证!BN88)/武将数量星级阶位验证!D$6+武将数量星级阶位验证!BN88/6,0))</f>
        <v>8</v>
      </c>
      <c r="J88" s="71">
        <f>基础状态预期!O98</f>
        <v>8</v>
      </c>
      <c r="L88" s="16">
        <f>武将升星!E$58+武将升星!E$59*G88</f>
        <v>75</v>
      </c>
      <c r="M88" s="16">
        <f>武将升星!F$58+武将升星!F$59*H88</f>
        <v>100</v>
      </c>
      <c r="N88" s="16">
        <f>武将升星!G$58+武将升星!G$59*I88</f>
        <v>125</v>
      </c>
      <c r="O88" s="16">
        <f>武将升星!H$58+武将升星!H$59*J88</f>
        <v>148</v>
      </c>
      <c r="P88" s="16">
        <v>198.13227608984101</v>
      </c>
      <c r="Q88" s="16">
        <f>求节点(武将升星!$C$68:$C$76,武将升星!E$68:E$76,G88)</f>
        <v>0.15</v>
      </c>
      <c r="R88" s="16">
        <f>求节点(武将升星!$C$68:$C$76,武将升星!F$68:F$76,H88)</f>
        <v>0.39999999999999997</v>
      </c>
      <c r="S88" s="16">
        <f>求节点(武将升星!$C$68:$C$76,武将升星!G$68:G$76,I88)</f>
        <v>0.79200000000000026</v>
      </c>
      <c r="T88" s="16">
        <f>求节点(武将升星!$C$68:$C$76,武将升星!H$68:H$76,J88)</f>
        <v>1.1399999999999999</v>
      </c>
      <c r="U88" s="16">
        <v>1.9969841413476099</v>
      </c>
      <c r="X88" s="16">
        <v>60</v>
      </c>
      <c r="Y88" s="16">
        <f>求节点(武将数量星级阶位验证!$J$97:$J$135,武将数量星级阶位验证!BJ$97:BJ$135,$X88)/武将数量星级阶位验证!B$6-1</f>
        <v>193.66223086993307</v>
      </c>
      <c r="Z88" s="16">
        <f>求节点(武将数量星级阶位验证!$J$97:$J$135,武将数量星级阶位验证!BK$97:BK$135,$X88)/武将数量星级阶位验证!C$6-1</f>
        <v>39.784532755573039</v>
      </c>
      <c r="AA88" s="16">
        <f>求节点(武将数量星级阶位验证!$J$97:$J$135,武将数量星级阶位验证!BL$97:BL$135,$X88)/武将数量星级阶位验证!D$6-1</f>
        <v>2.7847415596708878</v>
      </c>
      <c r="AB88" s="71">
        <f>求节点(基础状态预期!$D$107:$D$145,基础状态预期!$O$107:$O$145,$X88)</f>
        <v>1.8962402468678217</v>
      </c>
    </row>
    <row r="89" spans="4:28" x14ac:dyDescent="0.15">
      <c r="D89" s="16">
        <v>41</v>
      </c>
      <c r="F89" s="16">
        <f>基础状态预期!C99</f>
        <v>43792</v>
      </c>
      <c r="G89" s="16">
        <f>MIN(武将升星!E$14,求节点(武将升星!E$104:E$112,武将升星!$C$104:$C$112,武将数量星级阶位验证!BJ89/武将数量星级阶位验证!B$6))</f>
        <v>3</v>
      </c>
      <c r="H89" s="16">
        <f>MIN(武将升星!F$14,求节点(武将升星!F$104:F$112,武将升星!$C$104:$C$112,武将数量星级阶位验证!BK89/武将数量星级阶位验证!C$6))</f>
        <v>6</v>
      </c>
      <c r="I89" s="114">
        <f>求节点(武将升星!G$104:G$112,武将升星!$C$104:$C$112,MAX((武将数量星级阶位验证!BL89-武将数量星级阶位验证!BN89)/武将数量星级阶位验证!D$6+武将数量星级阶位验证!BN89/6,0))</f>
        <v>8</v>
      </c>
      <c r="J89" s="71">
        <f>基础状态预期!O99</f>
        <v>8</v>
      </c>
      <c r="L89" s="16">
        <f>武将升星!E$58+武将升星!E$59*G89</f>
        <v>75</v>
      </c>
      <c r="M89" s="16">
        <f>武将升星!F$58+武将升星!F$59*H89</f>
        <v>100</v>
      </c>
      <c r="N89" s="16">
        <f>武将升星!G$58+武将升星!G$59*I89</f>
        <v>125</v>
      </c>
      <c r="O89" s="16">
        <f>武将升星!H$58+武将升星!H$59*J89</f>
        <v>148</v>
      </c>
      <c r="P89" s="16">
        <v>200.95206234959701</v>
      </c>
      <c r="Q89" s="16">
        <f>求节点(武将升星!$C$68:$C$76,武将升星!E$68:E$76,G89)</f>
        <v>0.15</v>
      </c>
      <c r="R89" s="16">
        <f>求节点(武将升星!$C$68:$C$76,武将升星!F$68:F$76,H89)</f>
        <v>0.39999999999999997</v>
      </c>
      <c r="S89" s="16">
        <f>求节点(武将升星!$C$68:$C$76,武将升星!G$68:G$76,I89)</f>
        <v>0.79200000000000026</v>
      </c>
      <c r="T89" s="16">
        <f>求节点(武将升星!$C$68:$C$76,武将升星!H$68:H$76,J89)</f>
        <v>1.1399999999999999</v>
      </c>
      <c r="U89" s="16">
        <v>2.0392809352439598</v>
      </c>
      <c r="X89" s="16">
        <v>61</v>
      </c>
      <c r="Y89" s="16">
        <f>求节点(武将数量星级阶位验证!$J$97:$J$135,武将数量星级阶位验证!BJ$97:BJ$135,$X89)/武将数量星级阶位验证!B$6-1</f>
        <v>205.4008765415862</v>
      </c>
      <c r="Z89" s="16">
        <f>求节点(武将数量星级阶位验证!$J$97:$J$135,武将数量星级阶位验证!BK$97:BK$135,$X89)/武将数量星级阶位验证!C$6-1</f>
        <v>42.496792089532789</v>
      </c>
      <c r="AA89" s="16">
        <f>求节点(武将数量星级阶位验证!$J$97:$J$135,武将数量星级阶位验证!BL$97:BL$135,$X89)/武将数量星级阶位验证!D$6-1</f>
        <v>2.9438110425407507</v>
      </c>
      <c r="AB89" s="71">
        <f>求节点(基础状态预期!$D$107:$D$145,基础状态预期!$O$107:$O$145,$X89)</f>
        <v>2.2724730394122203</v>
      </c>
    </row>
    <row r="90" spans="4:28" x14ac:dyDescent="0.15">
      <c r="D90" s="16">
        <v>42</v>
      </c>
      <c r="F90" s="16">
        <f>基础状态预期!C100</f>
        <v>55675</v>
      </c>
      <c r="G90" s="16">
        <f>MIN(武将升星!E$14,求节点(武将升星!E$104:E$112,武将升星!$C$104:$C$112,武将数量星级阶位验证!BJ90/武将数量星级阶位验证!B$6))</f>
        <v>3</v>
      </c>
      <c r="H90" s="16">
        <f>MIN(武将升星!F$14,求节点(武将升星!F$104:F$112,武将升星!$C$104:$C$112,武将数量星级阶位验证!BK90/武将数量星级阶位验证!C$6))</f>
        <v>6</v>
      </c>
      <c r="I90" s="114">
        <f>求节点(武将升星!G$104:G$112,武将升星!$C$104:$C$112,MAX((武将数量星级阶位验证!BL90-武将数量星级阶位验证!BN90)/武将数量星级阶位验证!D$6+武将数量星级阶位验证!BN90/6,0))</f>
        <v>8</v>
      </c>
      <c r="J90" s="71">
        <f>基础状态预期!O100</f>
        <v>8</v>
      </c>
      <c r="L90" s="16">
        <f>武将升星!E$58+武将升星!E$59*G90</f>
        <v>75</v>
      </c>
      <c r="M90" s="16">
        <f>武将升星!F$58+武将升星!F$59*H90</f>
        <v>100</v>
      </c>
      <c r="N90" s="16">
        <f>武将升星!G$58+武将升星!G$59*I90</f>
        <v>125</v>
      </c>
      <c r="O90" s="16">
        <f>武将升星!H$58+武将升星!H$59*J90</f>
        <v>148</v>
      </c>
      <c r="P90" s="16">
        <v>203.77184860935401</v>
      </c>
      <c r="Q90" s="16">
        <f>求节点(武将升星!$C$68:$C$76,武将升星!E$68:E$76,G90)</f>
        <v>0.15</v>
      </c>
      <c r="R90" s="16">
        <f>求节点(武将升星!$C$68:$C$76,武将升星!F$68:F$76,H90)</f>
        <v>0.39999999999999997</v>
      </c>
      <c r="S90" s="16">
        <f>求节点(武将升星!$C$68:$C$76,武将升星!G$68:G$76,I90)</f>
        <v>0.79200000000000026</v>
      </c>
      <c r="T90" s="16">
        <f>求节点(武将升星!$C$68:$C$76,武将升星!H$68:H$76,J90)</f>
        <v>1.1399999999999999</v>
      </c>
      <c r="U90" s="16">
        <v>2.0815777291403101</v>
      </c>
      <c r="X90" s="16">
        <v>62</v>
      </c>
      <c r="Y90" s="16">
        <f>求节点(武将数量星级阶位验证!$J$97:$J$135,武将数量星级阶位验证!BJ$97:BJ$135,$X90)/武将数量星级阶位验证!B$6-1</f>
        <v>217.1395222132393</v>
      </c>
      <c r="Z90" s="16">
        <f>求节点(武将数量星级阶位验证!$J$97:$J$135,武将数量星级阶位验证!BK$97:BK$135,$X90)/武将数量星级阶位验证!C$6-1</f>
        <v>45.209051423492532</v>
      </c>
      <c r="AA90" s="16">
        <f>求节点(武将数量星级阶位验证!$J$97:$J$135,武将数量星级阶位验证!BL$97:BL$135,$X90)/武将数量星级阶位验证!D$6-1</f>
        <v>3.1028805254106135</v>
      </c>
      <c r="AB90" s="71">
        <f>求节点(基础状态预期!$D$107:$D$145,基础状态预期!$O$107:$O$145,$X90)</f>
        <v>2.6487058319566188</v>
      </c>
    </row>
    <row r="91" spans="4:28" x14ac:dyDescent="0.15">
      <c r="D91" s="16">
        <v>43</v>
      </c>
      <c r="X91" s="16">
        <v>63</v>
      </c>
      <c r="Y91" s="16">
        <f>求节点(武将数量星级阶位验证!$J$97:$J$135,武将数量星级阶位验证!BJ$97:BJ$135,$X91)/武将数量星级阶位验证!B$6-1</f>
        <v>228.87816788489246</v>
      </c>
      <c r="Z91" s="16">
        <f>求节点(武将数量星级阶位验证!$J$97:$J$135,武将数量星级阶位验证!BK$97:BK$135,$X91)/武将数量星级阶位验证!C$6-1</f>
        <v>47.921310757452275</v>
      </c>
      <c r="AA91" s="16">
        <f>求节点(武将数量星级阶位验证!$J$97:$J$135,武将数量星级阶位验证!BL$97:BL$135,$X91)/武将数量星级阶位验证!D$6-1</f>
        <v>3.2619500082804755</v>
      </c>
      <c r="AB91" s="71">
        <f>求节点(基础状态预期!$D$107:$D$145,基础状态预期!$O$107:$O$145,$X91)</f>
        <v>3.0249386245010177</v>
      </c>
    </row>
    <row r="92" spans="4:28" x14ac:dyDescent="0.15">
      <c r="D92" s="16">
        <v>44</v>
      </c>
      <c r="X92" s="16">
        <v>64</v>
      </c>
      <c r="Y92" s="16">
        <f>求节点(武将数量星级阶位验证!$J$97:$J$135,武将数量星级阶位验证!BJ$97:BJ$135,$X92)/武将数量星级阶位验证!B$6-1</f>
        <v>240.61681355654559</v>
      </c>
      <c r="Z92" s="16">
        <f>求节点(武将数量星级阶位验证!$J$97:$J$135,武将数量星级阶位验证!BK$97:BK$135,$X92)/武将数量星级阶位验证!C$6-1</f>
        <v>50.633570091412025</v>
      </c>
      <c r="AA92" s="16">
        <f>求节点(武将数量星级阶位验证!$J$97:$J$135,武将数量星级阶位验证!BL$97:BL$135,$X92)/武将数量星级阶位验证!D$6-1</f>
        <v>3.4210194911503384</v>
      </c>
      <c r="AB92" s="71">
        <f>求节点(基础状态预期!$D$107:$D$145,基础状态预期!$O$107:$O$145,$X92)</f>
        <v>3.4011714170454157</v>
      </c>
    </row>
    <row r="93" spans="4:28" x14ac:dyDescent="0.15">
      <c r="D93" s="16">
        <v>45</v>
      </c>
      <c r="X93" s="16">
        <v>65</v>
      </c>
      <c r="Y93" s="16">
        <f>求节点(武将数量星级阶位验证!$J$97:$J$135,武将数量星级阶位验证!BJ$97:BJ$135,$X93)/武将数量星级阶位验证!B$6-1</f>
        <v>253.05965859264668</v>
      </c>
      <c r="Z93" s="16">
        <f>求节点(武将数量星级阶位验证!$J$97:$J$135,武将数量星级阶位验证!BK$97:BK$135,$X93)/武将数量星级阶位验证!C$6-1</f>
        <v>53.502031031370947</v>
      </c>
      <c r="AA93" s="16">
        <f>求节点(武将数量星级阶位验证!$J$97:$J$135,武将数量星级阶位验证!BL$97:BL$135,$X93)/武将数量星级阶位验证!D$6-1</f>
        <v>3.5892193569908848</v>
      </c>
      <c r="AB93" s="71">
        <f>求节点(基础状态预期!$D$107:$D$145,基础状态预期!$O$107:$O$145,$X93)</f>
        <v>3.737668277353698</v>
      </c>
    </row>
    <row r="94" spans="4:28" x14ac:dyDescent="0.15">
      <c r="D94" s="16">
        <v>1</v>
      </c>
      <c r="X94" s="16">
        <v>66</v>
      </c>
      <c r="Y94" s="16">
        <f>求节点(武将数量星级阶位验证!$J$97:$J$135,武将数量星级阶位验证!BJ$97:BJ$135,$X94)/武将数量星级阶位验证!B$6-1</f>
        <v>268.69204133794273</v>
      </c>
      <c r="Z94" s="16">
        <f>求节点(武将数量星级阶位验证!$J$97:$J$135,武将数量星级阶位验证!BK$97:BK$135,$X94)/武将数量星级阶位验证!C$6-1</f>
        <v>57.077977575157057</v>
      </c>
      <c r="AA94" s="16">
        <f>求节点(武将数量星级阶位验证!$J$97:$J$135,武将数量星级阶位验证!BL$97:BL$135,$X94)/武将数量星级阶位验证!D$6-1</f>
        <v>3.7987735640231675</v>
      </c>
      <c r="AB94" s="71">
        <f>求节点(基础状态预期!$D$107:$D$145,基础状态预期!$O$107:$O$145,$X94)</f>
        <v>3.8941887550129364</v>
      </c>
    </row>
    <row r="95" spans="4:28" x14ac:dyDescent="0.15">
      <c r="D95" s="16">
        <v>2</v>
      </c>
      <c r="G95" s="16" t="s">
        <v>400</v>
      </c>
      <c r="L95" s="16" t="s">
        <v>401</v>
      </c>
      <c r="Q95" s="16" t="s">
        <v>402</v>
      </c>
      <c r="X95" s="16">
        <v>67</v>
      </c>
      <c r="Y95" s="16">
        <f>求节点(武将数量星级阶位验证!$J$97:$J$135,武将数量星级阶位验证!BJ$97:BJ$135,$X95)/武将数量星级阶位验证!B$6-1</f>
        <v>284.32442408323868</v>
      </c>
      <c r="Z95" s="16">
        <f>求节点(武将数量星级阶位验证!$J$97:$J$135,武将数量星级阶位验证!BK$97:BK$135,$X95)/武将数量星级阶位验证!C$6-1</f>
        <v>60.653924118943152</v>
      </c>
      <c r="AA95" s="16">
        <f>求节点(武将数量星级阶位验证!$J$97:$J$135,武将数量星级阶位验证!BL$97:BL$135,$X95)/武将数量星级阶位验证!D$6-1</f>
        <v>4.0083277710554501</v>
      </c>
      <c r="AB95" s="71">
        <f>求节点(基础状态预期!$D$107:$D$145,基础状态预期!$O$107:$O$145,$X95)</f>
        <v>4.0507092326721743</v>
      </c>
    </row>
    <row r="96" spans="4:28" x14ac:dyDescent="0.15">
      <c r="D96" s="16">
        <v>3</v>
      </c>
      <c r="F96" s="16" t="s">
        <v>405</v>
      </c>
      <c r="G96" s="29" t="s">
        <v>1</v>
      </c>
      <c r="H96" s="29" t="s">
        <v>2</v>
      </c>
      <c r="I96" s="29" t="s">
        <v>0</v>
      </c>
      <c r="J96" s="14" t="s">
        <v>545</v>
      </c>
      <c r="L96" s="29" t="s">
        <v>1</v>
      </c>
      <c r="M96" s="29" t="s">
        <v>2</v>
      </c>
      <c r="N96" s="29" t="s">
        <v>0</v>
      </c>
      <c r="O96" s="14" t="s">
        <v>545</v>
      </c>
      <c r="P96" s="16" t="s">
        <v>84</v>
      </c>
      <c r="Q96" s="29" t="s">
        <v>1</v>
      </c>
      <c r="R96" s="29" t="s">
        <v>2</v>
      </c>
      <c r="S96" s="29" t="s">
        <v>0</v>
      </c>
      <c r="T96" s="14" t="s">
        <v>545</v>
      </c>
      <c r="U96" s="16" t="s">
        <v>84</v>
      </c>
      <c r="X96" s="16">
        <v>68</v>
      </c>
      <c r="Y96" s="16">
        <f>求节点(武将数量星级阶位验证!$J$97:$J$135,武将数量星级阶位验证!BJ$97:BJ$135,$X96)/武将数量星级阶位验证!B$6-1</f>
        <v>299.9568068285347</v>
      </c>
      <c r="Z96" s="16">
        <f>求节点(武将数量星级阶位验证!$J$97:$J$135,武将数量星级阶位验证!BK$97:BK$135,$X96)/武将数量星级阶位验证!C$6-1</f>
        <v>64.229870662729269</v>
      </c>
      <c r="AA96" s="16">
        <f>求节点(武将数量星级阶位验证!$J$97:$J$135,武将数量星级阶位验证!BL$97:BL$135,$X96)/武将数量星级阶位验证!D$6-1</f>
        <v>4.2178819780877328</v>
      </c>
      <c r="AB96" s="71">
        <f>求节点(基础状态预期!$D$107:$D$145,基础状态预期!$O$107:$O$145,$X96)</f>
        <v>4.2072297103314131</v>
      </c>
    </row>
    <row r="97" spans="4:28" x14ac:dyDescent="0.15">
      <c r="D97" s="16">
        <v>4</v>
      </c>
      <c r="F97" s="16">
        <f>基础状态预期!C107</f>
        <v>0.7</v>
      </c>
      <c r="G97" s="16">
        <f>MIN(武将升星!E$14,求节点(武将升星!E$104:E$112,武将升星!$C$104:$C$112,武将数量星级阶位验证!BJ97/武将数量星级阶位验证!B$6))</f>
        <v>3</v>
      </c>
      <c r="H97" s="16">
        <f>MIN(武将升星!F$14,求节点(武将升星!F$104:F$112,武将升星!$C$104:$C$112,武将数量星级阶位验证!BK97/武将数量星级阶位验证!C$6))</f>
        <v>0.95229795184885058</v>
      </c>
      <c r="I97" s="114">
        <f>求节点(武将升星!G$104:G$112,武将升星!$C$104:$C$112,MAX((武将数量星级阶位验证!BL97-武将数量星级阶位验证!BN97)/武将数量星级阶位验证!D$6+武将数量星级阶位验证!BN97/6,0))</f>
        <v>0</v>
      </c>
      <c r="J97" s="71">
        <f>基础状态预期!O107</f>
        <v>0</v>
      </c>
      <c r="L97" s="16">
        <f>武将升星!E$58+武将升星!E$59*G97</f>
        <v>75</v>
      </c>
      <c r="M97" s="16">
        <f>武将升星!F$58+武将升星!F$59*H97</f>
        <v>74.761489759244256</v>
      </c>
      <c r="N97" s="16">
        <f>武将升星!G$58+武将升星!G$59*I97</f>
        <v>85</v>
      </c>
      <c r="O97" s="16">
        <f>武将升星!H$58+武将升星!H$59*J97</f>
        <v>100</v>
      </c>
      <c r="P97" s="16">
        <v>105</v>
      </c>
      <c r="Q97" s="16">
        <f>求节点(武将升星!$C$68:$C$76,武将升星!E$68:E$76,G97)</f>
        <v>0.15</v>
      </c>
      <c r="R97" s="16">
        <f>求节点(武将升星!$C$68:$C$76,武将升星!F$68:F$76,H97)</f>
        <v>0.14761489759244256</v>
      </c>
      <c r="S97" s="16">
        <f>求节点(武将升星!$C$68:$C$76,武将升星!G$68:G$76,I97)</f>
        <v>0.216</v>
      </c>
      <c r="T97" s="16">
        <f>求节点(武将升星!$C$68:$C$76,武将升星!H$68:H$76,J97)</f>
        <v>0.5</v>
      </c>
      <c r="U97" s="16">
        <v>0.6</v>
      </c>
      <c r="X97" s="16">
        <v>69</v>
      </c>
      <c r="Y97" s="16">
        <f>求节点(武将数量星级阶位验证!$J$97:$J$135,武将数量星级阶位验证!BJ$97:BJ$135,$X97)/武将数量星级阶位验证!B$6-1</f>
        <v>315.58918957383071</v>
      </c>
      <c r="Z97" s="16">
        <f>求节点(武将数量星级阶位验证!$J$97:$J$135,武将数量星级阶位验证!BK$97:BK$135,$X97)/武将数量星级阶位验证!C$6-1</f>
        <v>67.805817206515371</v>
      </c>
      <c r="AA97" s="16">
        <f>求节点(武将数量星级阶位验证!$J$97:$J$135,武将数量星级阶位验证!BL$97:BL$135,$X97)/武将数量星级阶位验证!D$6-1</f>
        <v>4.4274361851200164</v>
      </c>
      <c r="AB97" s="71">
        <f>求节点(基础状态预期!$D$107:$D$145,基础状态预期!$O$107:$O$145,$X97)</f>
        <v>4.3637501879906511</v>
      </c>
    </row>
    <row r="98" spans="4:28" x14ac:dyDescent="0.15">
      <c r="D98" s="16">
        <v>5</v>
      </c>
      <c r="F98" s="16">
        <f>基础状态预期!C108</f>
        <v>2.0999999999999996</v>
      </c>
      <c r="G98" s="16">
        <f>MIN(武将升星!E$14,求节点(武将升星!E$104:E$112,武将升星!$C$104:$C$112,武将数量星级阶位验证!BJ98/武将数量星级阶位验证!B$6))</f>
        <v>3</v>
      </c>
      <c r="H98" s="16">
        <f>MIN(武将升星!F$14,求节点(武将升星!F$104:F$112,武将升星!$C$104:$C$112,武将数量星级阶位验证!BK98/武将数量星级阶位验证!C$6))</f>
        <v>2.6147600393732642</v>
      </c>
      <c r="I98" s="114">
        <f>求节点(武将升星!G$104:G$112,武将升星!$C$104:$C$112,MAX((武将数量星级阶位验证!BL98-武将数量星级阶位验证!BN98)/武将数量星级阶位验证!D$6+武将数量星级阶位验证!BN98/6,0))</f>
        <v>0</v>
      </c>
      <c r="J98" s="71">
        <f>基础状态预期!O108</f>
        <v>0</v>
      </c>
      <c r="L98" s="16">
        <f>武将升星!E$58+武将升星!E$59*G98</f>
        <v>75</v>
      </c>
      <c r="M98" s="16">
        <f>武将升星!F$58+武将升星!F$59*H98</f>
        <v>83.073800196866316</v>
      </c>
      <c r="N98" s="16">
        <f>武将升星!G$58+武将升星!G$59*I98</f>
        <v>85</v>
      </c>
      <c r="O98" s="16">
        <f>武将升星!H$58+武将升星!H$59*J98</f>
        <v>100</v>
      </c>
      <c r="P98" s="16">
        <v>105</v>
      </c>
      <c r="Q98" s="16">
        <f>求节点(武将升星!$C$68:$C$76,武将升星!E$68:E$76,G98)</f>
        <v>0.15</v>
      </c>
      <c r="R98" s="16">
        <f>求节点(武将升星!$C$68:$C$76,武将升星!F$68:F$76,H98)</f>
        <v>0.2307380019686632</v>
      </c>
      <c r="S98" s="16">
        <f>求节点(武将升星!$C$68:$C$76,武将升星!G$68:G$76,I98)</f>
        <v>0.216</v>
      </c>
      <c r="T98" s="16">
        <f>求节点(武将升星!$C$68:$C$76,武将升星!H$68:H$76,J98)</f>
        <v>0.5</v>
      </c>
      <c r="U98" s="16">
        <v>0.6</v>
      </c>
      <c r="X98" s="16">
        <v>70</v>
      </c>
      <c r="Y98" s="16">
        <f>求节点(武将数量星级阶位验证!$J$97:$J$135,武将数量星级阶位验证!BJ$97:BJ$135,$X98)/武将数量星级阶位验证!B$6-1</f>
        <v>334.22648724344975</v>
      </c>
      <c r="Z98" s="16">
        <f>求节点(武将数量星级阶位验证!$J$97:$J$135,武将数量星级阶位验证!BK$97:BK$135,$X98)/武将数量星级阶位验证!C$6-1</f>
        <v>71.907082112341598</v>
      </c>
      <c r="AA98" s="16">
        <f>求节点(武将数量星级阶位验证!$J$97:$J$135,武将数量星级阶位验证!BL$97:BL$135,$X98)/武将数量星级阶位验证!D$6-1</f>
        <v>4.6670052224089682</v>
      </c>
      <c r="AB98" s="71">
        <f>求节点(基础状态预期!$D$107:$D$145,基础状态预期!$O$107:$O$145,$X98)</f>
        <v>4.4374677496780981</v>
      </c>
    </row>
    <row r="99" spans="4:28" x14ac:dyDescent="0.15">
      <c r="D99" s="16">
        <v>6</v>
      </c>
      <c r="F99" s="16">
        <f>基础状态预期!C109</f>
        <v>4.1999999999999993</v>
      </c>
      <c r="G99" s="16">
        <f>MIN(武将升星!E$14,求节点(武将升星!E$104:E$112,武将升星!$C$104:$C$112,武将数量星级阶位验证!BJ99/武将数量星级阶位验证!B$6))</f>
        <v>3</v>
      </c>
      <c r="H99" s="16">
        <f>MIN(武将升星!F$14,求节点(武将升星!F$104:F$112,武将升星!$C$104:$C$112,武将数量星级阶位验证!BK99/武将数量星级阶位验证!C$6))</f>
        <v>3.9704598355363032</v>
      </c>
      <c r="I99" s="114">
        <f>求节点(武将升星!G$104:G$112,武将升星!$C$104:$C$112,MAX((武将数量星级阶位验证!BL99-武将数量星级阶位验证!BN99)/武将数量星级阶位验证!D$6+武将数量星级阶位验证!BN99/6,0))</f>
        <v>0.47401274849368447</v>
      </c>
      <c r="J99" s="71">
        <f>基础状态预期!O109</f>
        <v>0</v>
      </c>
      <c r="L99" s="16">
        <f>武将升星!E$58+武将升星!E$59*G99</f>
        <v>75</v>
      </c>
      <c r="M99" s="16">
        <f>武将升星!F$58+武将升星!F$59*H99</f>
        <v>89.852299177681516</v>
      </c>
      <c r="N99" s="16">
        <f>武将升星!G$58+武将升星!G$59*I99</f>
        <v>87.370063742468417</v>
      </c>
      <c r="O99" s="16">
        <f>武将升星!H$58+武将升星!H$59*J99</f>
        <v>100</v>
      </c>
      <c r="P99" s="16">
        <v>105</v>
      </c>
      <c r="Q99" s="16">
        <f>求节点(武将升星!$C$68:$C$76,武将升星!E$68:E$76,G99)</f>
        <v>0.15</v>
      </c>
      <c r="R99" s="16">
        <f>求节点(武将升星!$C$68:$C$76,武将升星!F$68:F$76,H99)</f>
        <v>0.29852299177681513</v>
      </c>
      <c r="S99" s="16">
        <f>求节点(武将升星!$C$68:$C$76,武将升星!G$68:G$76,I99)</f>
        <v>0.25012891789154529</v>
      </c>
      <c r="T99" s="16">
        <f>求节点(武将升星!$C$68:$C$76,武将升星!H$68:H$76,J99)</f>
        <v>0.5</v>
      </c>
      <c r="U99" s="16">
        <v>0.6</v>
      </c>
      <c r="X99" s="16">
        <v>71</v>
      </c>
      <c r="Y99" s="16">
        <f>求节点(武将数量星级阶位验证!$J$97:$J$135,武将数量星级阶位验证!BJ$97:BJ$135,$X99)/武将数量星级阶位验证!B$6-1</f>
        <v>352.9156737071192</v>
      </c>
      <c r="Z99" s="16">
        <f>求节点(武将数量星级阶位验证!$J$97:$J$135,武将数量星级阶位验证!BK$97:BK$135,$X99)/武将数量星级阶位验证!C$6-1</f>
        <v>76.0174182022064</v>
      </c>
      <c r="AA99" s="16">
        <f>求节点(武将数量星级阶位验证!$J$97:$J$135,武将数量星级阶位验证!BL$97:BL$135,$X99)/武将数量星级阶位验证!D$6-1</f>
        <v>4.9070925550190427</v>
      </c>
      <c r="AB99" s="71">
        <f>求节点(基础状态预期!$D$107:$D$145,基础状态预期!$O$107:$O$145,$X99)</f>
        <v>4.5097554727305615</v>
      </c>
    </row>
    <row r="100" spans="4:28" x14ac:dyDescent="0.15">
      <c r="D100" s="16">
        <v>7</v>
      </c>
      <c r="F100" s="16">
        <f>基础状态预期!C110</f>
        <v>7</v>
      </c>
      <c r="G100" s="16">
        <f>MIN(武将升星!E$14,求节点(武将升星!E$104:E$112,武将升星!$C$104:$C$112,武将数量星级阶位验证!BJ100/武将数量星级阶位验证!B$6))</f>
        <v>3</v>
      </c>
      <c r="H100" s="16">
        <f>MIN(武将升星!F$14,求节点(武将升星!F$104:F$112,武将升星!$C$104:$C$112,武将数量星级阶位验证!BK100/武将数量星级阶位验证!C$6))</f>
        <v>5.1000653336205781</v>
      </c>
      <c r="I100" s="114">
        <f>求节点(武将升星!G$104:G$112,武将升星!$C$104:$C$112,MAX((武将数量星级阶位验证!BL100-武将数量星级阶位验证!BN100)/武将数量星级阶位验证!D$6+武将数量星级阶位验证!BN100/6,0))</f>
        <v>1.1912960112427449</v>
      </c>
      <c r="J100" s="71">
        <f>基础状态预期!O110</f>
        <v>0</v>
      </c>
      <c r="L100" s="16">
        <f>武将升星!E$58+武将升星!E$59*G100</f>
        <v>75</v>
      </c>
      <c r="M100" s="16">
        <f>武将升星!F$58+武将升星!F$59*H100</f>
        <v>95.500326668102886</v>
      </c>
      <c r="N100" s="16">
        <f>武将升星!G$58+武将升星!G$59*I100</f>
        <v>90.956480056213721</v>
      </c>
      <c r="O100" s="16">
        <f>武将升星!H$58+武将升星!H$59*J100</f>
        <v>100</v>
      </c>
      <c r="P100" s="16">
        <v>105</v>
      </c>
      <c r="Q100" s="16">
        <f>求节点(武将升星!$C$68:$C$76,武将升星!E$68:E$76,G100)</f>
        <v>0.15</v>
      </c>
      <c r="R100" s="16">
        <f>求节点(武将升星!$C$68:$C$76,武将升星!F$68:F$76,H100)</f>
        <v>0.35500326668102888</v>
      </c>
      <c r="S100" s="16">
        <f>求节点(武将升星!$C$68:$C$76,武将升星!G$68:G$76,I100)</f>
        <v>0.30177331280947767</v>
      </c>
      <c r="T100" s="16">
        <f>求节点(武将升星!$C$68:$C$76,武将升星!H$68:H$76,J100)</f>
        <v>0.5</v>
      </c>
      <c r="U100" s="16">
        <v>0.6</v>
      </c>
      <c r="X100" s="16">
        <v>72</v>
      </c>
      <c r="Y100" s="16">
        <f>求节点(武将数量星级阶位验证!$J$97:$J$135,武将数量星级阶位验证!BJ$97:BJ$135,$X100)/武将数量星级阶位验证!B$6-1</f>
        <v>371.6048601707887</v>
      </c>
      <c r="Z100" s="16">
        <f>求节点(武将数量星级阶位验证!$J$97:$J$135,武将数量星级阶位验证!BK$97:BK$135,$X100)/武将数量星级阶位验证!C$6-1</f>
        <v>80.127754292071202</v>
      </c>
      <c r="AA100" s="16">
        <f>求节点(武将数量星级阶位验证!$J$97:$J$135,武将数量星级阶位验证!BL$97:BL$135,$X100)/武将数量星级阶位验证!D$6-1</f>
        <v>5.1471798876291182</v>
      </c>
      <c r="AB100" s="71">
        <f>求节点(基础状态预期!$D$107:$D$145,基础状态预期!$O$107:$O$145,$X100)</f>
        <v>4.5820431957830259</v>
      </c>
    </row>
    <row r="101" spans="4:28" x14ac:dyDescent="0.15">
      <c r="D101" s="16">
        <v>8</v>
      </c>
      <c r="F101" s="16">
        <f>基础状态预期!C111</f>
        <v>10.5</v>
      </c>
      <c r="G101" s="16">
        <f>MIN(武将升星!E$14,求节点(武将升星!E$104:E$112,武将升星!$C$104:$C$112,武将数量星级阶位验证!BJ101/武将数量星级阶位验证!B$6))</f>
        <v>3</v>
      </c>
      <c r="H101" s="16">
        <f>MIN(武将升星!F$14,求节点(武将升星!F$104:F$112,武将升星!$C$104:$C$112,武将数量星级阶位验证!BK101/武将数量星级阶位验证!C$6))</f>
        <v>6</v>
      </c>
      <c r="I101" s="114">
        <f>求节点(武将升星!G$104:G$112,武将升星!$C$104:$C$112,MAX((武将数量星级阶位验证!BL101-武将数量星级阶位验证!BN101)/武将数量星级阶位验证!D$6+武将数量星级阶位验证!BN101/6,0))</f>
        <v>1.8437826107937041</v>
      </c>
      <c r="J101" s="71">
        <f>基础状态预期!O111</f>
        <v>0</v>
      </c>
      <c r="L101" s="16">
        <f>武将升星!E$58+武将升星!E$59*G101</f>
        <v>75</v>
      </c>
      <c r="M101" s="16">
        <f>武将升星!F$58+武将升星!F$59*H101</f>
        <v>100</v>
      </c>
      <c r="N101" s="16">
        <f>武将升星!G$58+武将升星!G$59*I101</f>
        <v>94.218913053968521</v>
      </c>
      <c r="O101" s="16">
        <f>武将升星!H$58+武将升星!H$59*J101</f>
        <v>100</v>
      </c>
      <c r="P101" s="16">
        <v>105</v>
      </c>
      <c r="Q101" s="16">
        <f>求节点(武将升星!$C$68:$C$76,武将升星!E$68:E$76,G101)</f>
        <v>0.15</v>
      </c>
      <c r="R101" s="16">
        <f>求节点(武将升星!$C$68:$C$76,武将升星!F$68:F$76,H101)</f>
        <v>0.39999999999999997</v>
      </c>
      <c r="S101" s="16">
        <f>求节点(武将升星!$C$68:$C$76,武将升星!G$68:G$76,I101)</f>
        <v>0.34875234797714671</v>
      </c>
      <c r="T101" s="16">
        <f>求节点(武将升星!$C$68:$C$76,武将升星!H$68:H$76,J101)</f>
        <v>0.5</v>
      </c>
      <c r="U101" s="16">
        <v>0.6</v>
      </c>
      <c r="X101" s="16">
        <v>73</v>
      </c>
      <c r="Y101" s="16">
        <f>求节点(武将数量星级阶位验证!$J$97:$J$135,武将数量星级阶位验证!BJ$97:BJ$135,$X101)/武将数量星级阶位验证!B$6-1</f>
        <v>392.65781015268914</v>
      </c>
      <c r="Z101" s="16">
        <f>求节点(武将数量星级阶位验证!$J$97:$J$135,武将数量星级阶位验证!BK$97:BK$135,$X101)/武将数量星级阶位验证!C$6-1</f>
        <v>84.656929884086978</v>
      </c>
      <c r="AA101" s="16">
        <f>求节点(武将数量星级阶位验证!$J$97:$J$135,武将数量星级阶位验证!BL$97:BL$135,$X101)/武将数量星级阶位验证!D$6-1</f>
        <v>5.4112330563737547</v>
      </c>
      <c r="AB101" s="71">
        <f>求节点(基础状态预期!$D$107:$D$145,基础状态预期!$O$107:$O$145,$X101)</f>
        <v>4.7184680234815266</v>
      </c>
    </row>
    <row r="102" spans="4:28" x14ac:dyDescent="0.15">
      <c r="D102" s="16">
        <v>9</v>
      </c>
      <c r="F102" s="16">
        <f>基础状态预期!C112</f>
        <v>14</v>
      </c>
      <c r="G102" s="16">
        <f>MIN(武将升星!E$14,求节点(武将升星!E$104:E$112,武将升星!$C$104:$C$112,武将数量星级阶位验证!BJ102/武将数量星级阶位验证!B$6))</f>
        <v>3</v>
      </c>
      <c r="H102" s="16">
        <f>MIN(武将升星!F$14,求节点(武将升星!F$104:F$112,武将升星!$C$104:$C$112,武将数量星级阶位验证!BK102/武将数量星级阶位验证!C$6))</f>
        <v>6</v>
      </c>
      <c r="I102" s="114">
        <f>求节点(武将升星!G$104:G$112,武将升星!$C$104:$C$112,MAX((武将数量星级阶位验证!BL102-武将数量星级阶位验证!BN102)/武将数量星级阶位验证!D$6+武将数量星级阶位验证!BN102/6,0))</f>
        <v>2.4730287736464525</v>
      </c>
      <c r="J102" s="71">
        <f>基础状态预期!O112</f>
        <v>0</v>
      </c>
      <c r="L102" s="16">
        <f>武将升星!E$58+武将升星!E$59*G102</f>
        <v>75</v>
      </c>
      <c r="M102" s="16">
        <f>武将升星!F$58+武将升星!F$59*H102</f>
        <v>100</v>
      </c>
      <c r="N102" s="16">
        <f>武将升星!G$58+武将升星!G$59*I102</f>
        <v>97.365143868232266</v>
      </c>
      <c r="O102" s="16">
        <f>武将升星!H$58+武将升星!H$59*J102</f>
        <v>100</v>
      </c>
      <c r="P102" s="16">
        <v>105</v>
      </c>
      <c r="Q102" s="16">
        <f>求节点(武将升星!$C$68:$C$76,武将升星!E$68:E$76,G102)</f>
        <v>0.15</v>
      </c>
      <c r="R102" s="16">
        <f>求节点(武将升星!$C$68:$C$76,武将升星!F$68:F$76,H102)</f>
        <v>0.39999999999999997</v>
      </c>
      <c r="S102" s="16">
        <f>求节点(武将升星!$C$68:$C$76,武将升星!G$68:G$76,I102)</f>
        <v>0.39405807170254464</v>
      </c>
      <c r="T102" s="16">
        <f>求节点(武将升星!$C$68:$C$76,武将升星!H$68:H$76,J102)</f>
        <v>0.5</v>
      </c>
      <c r="U102" s="16">
        <v>0.6</v>
      </c>
      <c r="X102" s="16">
        <v>74</v>
      </c>
      <c r="Y102" s="16">
        <f>求节点(武将数量星级阶位验证!$J$97:$J$135,武将数量星级阶位验证!BJ$97:BJ$135,$X102)/武将数量星级阶位验证!B$6-1</f>
        <v>414.42283862569633</v>
      </c>
      <c r="Z102" s="16">
        <f>求节点(武将数量星级阶位验证!$J$97:$J$135,武将数量星级阶位验证!BK$97:BK$135,$X102)/武将数量星级阶位验证!C$6-1</f>
        <v>89.312279942544635</v>
      </c>
      <c r="AA102" s="16">
        <f>求节点(武将数量星级阶位验证!$J$97:$J$135,武将数量星级阶位验证!BL$97:BL$135,$X102)/武将数量星级阶位验证!D$6-1</f>
        <v>5.6825058798347747</v>
      </c>
      <c r="AB102" s="71">
        <f>求节点(基础状态预期!$D$107:$D$145,基础状态预期!$O$107:$O$145,$X102)</f>
        <v>4.8742140109948986</v>
      </c>
    </row>
    <row r="103" spans="4:28" x14ac:dyDescent="0.15">
      <c r="D103" s="16">
        <v>10</v>
      </c>
      <c r="F103" s="16">
        <f>基础状态预期!C113</f>
        <v>21</v>
      </c>
      <c r="G103" s="16">
        <f>MIN(武将升星!E$14,求节点(武将升星!E$104:E$112,武将升星!$C$104:$C$112,武将数量星级阶位验证!BJ103/武将数量星级阶位验证!B$6))</f>
        <v>3</v>
      </c>
      <c r="H103" s="16">
        <f>MIN(武将升星!F$14,求节点(武将升星!F$104:F$112,武将升星!$C$104:$C$112,武将数量星级阶位验证!BK103/武将数量星级阶位验证!C$6))</f>
        <v>6</v>
      </c>
      <c r="I103" s="114">
        <f>求节点(武将升星!G$104:G$112,武将升星!$C$104:$C$112,MAX((武将数量星级阶位验证!BL103-武将数量星级阶位验证!BN103)/武将数量星级阶位验证!D$6+武将数量星级阶位验证!BN103/6,0))</f>
        <v>3.2586909720530555</v>
      </c>
      <c r="J103" s="71">
        <f>基础状态预期!O113</f>
        <v>0</v>
      </c>
      <c r="L103" s="16">
        <f>武将升星!E$58+武将升星!E$59*G103</f>
        <v>75</v>
      </c>
      <c r="M103" s="16">
        <f>武将升星!F$58+武将升星!F$59*H103</f>
        <v>100</v>
      </c>
      <c r="N103" s="16">
        <f>武将升星!G$58+武将升星!G$59*I103</f>
        <v>101.29345486026529</v>
      </c>
      <c r="O103" s="16">
        <f>武将升星!H$58+武将升星!H$59*J103</f>
        <v>100</v>
      </c>
      <c r="P103" s="16">
        <v>105</v>
      </c>
      <c r="Q103" s="16">
        <f>求节点(武将升星!$C$68:$C$76,武将升星!E$68:E$76,G103)</f>
        <v>0.15</v>
      </c>
      <c r="R103" s="16">
        <f>求节点(武将升星!$C$68:$C$76,武将升星!F$68:F$76,H103)</f>
        <v>0.39999999999999997</v>
      </c>
      <c r="S103" s="16">
        <f>求节点(武将升星!$C$68:$C$76,武将升星!G$68:G$76,I103)</f>
        <v>0.45062574998782001</v>
      </c>
      <c r="T103" s="16">
        <f>求节点(武将升星!$C$68:$C$76,武将升星!H$68:H$76,J103)</f>
        <v>0.5</v>
      </c>
      <c r="U103" s="16">
        <v>0.6</v>
      </c>
      <c r="X103" s="16">
        <v>75</v>
      </c>
      <c r="Y103" s="16">
        <f>求节点(武将数量星级阶位验证!$J$97:$J$135,武将数量星级阶位验证!BJ$97:BJ$135,$X103)/武将数量星级阶位验证!B$6-1</f>
        <v>436.96169031872296</v>
      </c>
      <c r="Z103" s="16">
        <f>求节点(武将数量星级阶位验证!$J$97:$J$135,武将数量星级阶位验证!BK$97:BK$135,$X103)/武将数量星级阶位验证!C$6-1</f>
        <v>94.135298885928464</v>
      </c>
      <c r="AA103" s="16">
        <f>求节点(武将数量星级阶位验证!$J$97:$J$135,武将数量星级阶位验证!BL$97:BL$135,$X103)/武将数量星级阶位验证!D$6-1</f>
        <v>5.963559910608744</v>
      </c>
      <c r="AB103" s="71">
        <f>求节点(基础状态预期!$D$107:$D$145,基础状态预期!$O$107:$O$145,$X103)</f>
        <v>5.0264969511470294</v>
      </c>
    </row>
    <row r="104" spans="4:28" x14ac:dyDescent="0.15">
      <c r="D104" s="16">
        <v>11</v>
      </c>
      <c r="F104" s="16">
        <f>基础状态预期!C114</f>
        <v>28</v>
      </c>
      <c r="G104" s="16">
        <f>MIN(武将升星!E$14,求节点(武将升星!E$104:E$112,武将升星!$C$104:$C$112,武将数量星级阶位验证!BJ104/武将数量星级阶位验证!B$6))</f>
        <v>3</v>
      </c>
      <c r="H104" s="16">
        <f>MIN(武将升星!F$14,求节点(武将升星!F$104:F$112,武将升星!$C$104:$C$112,武将数量星级阶位验证!BK104/武将数量星级阶位验证!C$6))</f>
        <v>6</v>
      </c>
      <c r="I104" s="114">
        <f>求节点(武将升星!G$104:G$112,武将升星!$C$104:$C$112,MAX((武将数量星级阶位验证!BL104-武将数量星级阶位验证!BN104)/武将数量星级阶位验证!D$6+武将数量星级阶位验证!BN104/6,0))</f>
        <v>3.7254480330267437</v>
      </c>
      <c r="J104" s="71">
        <f>基础状态预期!O114</f>
        <v>0.19192024826618459</v>
      </c>
      <c r="L104" s="16">
        <f>武将升星!E$58+武将升星!E$59*G104</f>
        <v>75</v>
      </c>
      <c r="M104" s="16">
        <f>武将升星!F$58+武将升星!F$59*H104</f>
        <v>100</v>
      </c>
      <c r="N104" s="16">
        <f>武将升星!G$58+武将升星!G$59*I104</f>
        <v>103.62724016513371</v>
      </c>
      <c r="O104" s="16">
        <f>武将升星!H$58+武将升星!H$59*J104</f>
        <v>101.1515214895971</v>
      </c>
      <c r="P104" s="16">
        <v>105</v>
      </c>
      <c r="Q104" s="16">
        <f>求节点(武将升星!$C$68:$C$76,武将升星!E$68:E$76,G104)</f>
        <v>0.15</v>
      </c>
      <c r="R104" s="16">
        <f>求节点(武将升星!$C$68:$C$76,武将升星!F$68:F$76,H104)</f>
        <v>0.39999999999999997</v>
      </c>
      <c r="S104" s="16">
        <f>求节点(武将升星!$C$68:$C$76,武将升星!G$68:G$76,I104)</f>
        <v>0.48423225837792555</v>
      </c>
      <c r="T104" s="16">
        <f>求节点(武将升星!$C$68:$C$76,武将升星!H$68:H$76,J104)</f>
        <v>0.5153536198612948</v>
      </c>
      <c r="U104" s="16">
        <v>0.6</v>
      </c>
      <c r="X104" s="16">
        <v>76</v>
      </c>
      <c r="Y104" s="16">
        <f>求节点(武将数量星级阶位验证!$J$97:$J$135,武将数量星级阶位验证!BJ$97:BJ$135,$X104)/武将数量星级阶位验证!B$6-1</f>
        <v>463.58718572538629</v>
      </c>
      <c r="Z104" s="16">
        <f>求节点(武将数量星级阶位验证!$J$97:$J$135,武将数量星级阶位验证!BK$97:BK$135,$X104)/武将数量星级阶位验证!C$6-1</f>
        <v>99.843795257269036</v>
      </c>
      <c r="AA104" s="16">
        <f>求节点(武将数量星级阶位验证!$J$97:$J$135,武将数量星级阶位验证!BL$97:BL$135,$X104)/武将数量星级阶位验证!D$6-1</f>
        <v>6.2962695499805488</v>
      </c>
      <c r="AB104" s="71">
        <f>求节点(基础状态预期!$D$107:$D$145,基础状态预期!$O$107:$O$145,$X104)</f>
        <v>5.1604911654471666</v>
      </c>
    </row>
    <row r="105" spans="4:28" x14ac:dyDescent="0.15">
      <c r="D105" s="16">
        <v>12</v>
      </c>
      <c r="F105" s="16">
        <f>基础状态预期!C115</f>
        <v>42</v>
      </c>
      <c r="G105" s="16">
        <f>MIN(武将升星!E$14,求节点(武将升星!E$104:E$112,武将升星!$C$104:$C$112,武将数量星级阶位验证!BJ105/武将数量星级阶位验证!B$6))</f>
        <v>3</v>
      </c>
      <c r="H105" s="16">
        <f>MIN(武将升星!F$14,求节点(武将升星!F$104:F$112,武将升星!$C$104:$C$112,武将数量星级阶位验证!BK105/武将数量星级阶位验证!C$6))</f>
        <v>6</v>
      </c>
      <c r="I105" s="114">
        <f>求节点(武将升星!G$104:G$112,武将升星!$C$104:$C$112,MAX((武将数量星级阶位验证!BL105-武将数量星级阶位验证!BN105)/武将数量星级阶位验证!D$6+武将数量星级阶位验证!BN105/6,0))</f>
        <v>4.426398828873813</v>
      </c>
      <c r="J105" s="71">
        <f>基础状态预期!O115</f>
        <v>1.5542265669690796</v>
      </c>
      <c r="L105" s="16">
        <f>武将升星!E$58+武将升星!E$59*G105</f>
        <v>75</v>
      </c>
      <c r="M105" s="16">
        <f>武将升星!F$58+武将升星!F$59*H105</f>
        <v>100</v>
      </c>
      <c r="N105" s="16">
        <f>武将升星!G$58+武将升星!G$59*I105</f>
        <v>107.13199414436906</v>
      </c>
      <c r="O105" s="16">
        <f>武将升星!H$58+武将升星!H$59*J105</f>
        <v>109.32535940181448</v>
      </c>
      <c r="P105" s="16">
        <v>112.55079387744719</v>
      </c>
      <c r="Q105" s="16">
        <f>求节点(武将升星!$C$68:$C$76,武将升星!E$68:E$76,G105)</f>
        <v>0.15</v>
      </c>
      <c r="R105" s="16">
        <f>求节点(武将升星!$C$68:$C$76,武将升星!F$68:F$76,H105)</f>
        <v>0.39999999999999997</v>
      </c>
      <c r="S105" s="16">
        <f>求节点(武将升星!$C$68:$C$76,武将升星!G$68:G$76,I105)</f>
        <v>0.53470071567891453</v>
      </c>
      <c r="T105" s="16">
        <f>求节点(武将升星!$C$68:$C$76,武将升星!H$68:H$76,J105)</f>
        <v>0.62433812535752631</v>
      </c>
      <c r="U105" s="16">
        <v>0.71326190816170787</v>
      </c>
      <c r="X105" s="16">
        <v>77</v>
      </c>
      <c r="Y105" s="16">
        <f>求节点(武将数量星级阶位验证!$J$97:$J$135,武将数量星级阶位验证!BJ$97:BJ$135,$X105)/武将数量星级阶位验证!B$6-1</f>
        <v>490.21268113204968</v>
      </c>
      <c r="Z105" s="16">
        <f>求节点(武将数量星级阶位验证!$J$97:$J$135,武将数量星级阶位验证!BK$97:BK$135,$X105)/武将数量星级阶位验证!C$6-1</f>
        <v>105.55229162860959</v>
      </c>
      <c r="AA105" s="16">
        <f>求节点(武将数量星级阶位验证!$J$97:$J$135,武将数量星级阶位验证!BL$97:BL$135,$X105)/武将数量星级阶位验证!D$6-1</f>
        <v>6.6289791893523535</v>
      </c>
      <c r="AB105" s="71">
        <f>求节点(基础状态预期!$D$107:$D$145,基础状态预期!$O$107:$O$145,$X105)</f>
        <v>5.2944853797473037</v>
      </c>
    </row>
    <row r="106" spans="4:28" x14ac:dyDescent="0.15">
      <c r="D106" s="16">
        <v>13</v>
      </c>
      <c r="F106" s="16">
        <f>基础状态预期!C116</f>
        <v>62.999999999999993</v>
      </c>
      <c r="G106" s="16">
        <f>MIN(武将升星!E$14,求节点(武将升星!E$104:E$112,武将升星!$C$104:$C$112,武将数量星级阶位验证!BJ106/武将数量星级阶位验证!B$6))</f>
        <v>3</v>
      </c>
      <c r="H106" s="16">
        <f>MIN(武将升星!F$14,求节点(武将升星!F$104:F$112,武将升星!$C$104:$C$112,武将数量星级阶位验证!BK106/武将数量星级阶位验证!C$6))</f>
        <v>6</v>
      </c>
      <c r="I106" s="114">
        <f>求节点(武将升星!G$104:G$112,武将升星!$C$104:$C$112,MAX((武将数量星级阶位验证!BL106-武将数量星级阶位验证!BN106)/武将数量星级阶位验证!D$6+武将数量星级阶位验证!BN106/6,0))</f>
        <v>4.8819892307450967</v>
      </c>
      <c r="J106" s="71">
        <f>基础状态预期!O116</f>
        <v>3.7093608650127785</v>
      </c>
      <c r="L106" s="16">
        <f>武将升星!E$58+武将升星!E$59*G106</f>
        <v>75</v>
      </c>
      <c r="M106" s="16">
        <f>武将升星!F$58+武将升星!F$59*H106</f>
        <v>100</v>
      </c>
      <c r="N106" s="16">
        <f>武将升星!G$58+武将升星!G$59*I106</f>
        <v>109.40994615372549</v>
      </c>
      <c r="O106" s="16">
        <f>武将升星!H$58+武将升星!H$59*J106</f>
        <v>122.25616519007667</v>
      </c>
      <c r="P106" s="16">
        <v>125.64285448419349</v>
      </c>
      <c r="Q106" s="16">
        <f>求节点(武将升星!$C$68:$C$76,武将升星!E$68:E$76,G106)</f>
        <v>0.15</v>
      </c>
      <c r="R106" s="16">
        <f>求节点(武将升星!$C$68:$C$76,武将升星!F$68:F$76,H106)</f>
        <v>0.39999999999999997</v>
      </c>
      <c r="S106" s="16">
        <f>求节点(武将升星!$C$68:$C$76,武将升星!G$68:G$76,I106)</f>
        <v>0.56750322461364699</v>
      </c>
      <c r="T106" s="16">
        <f>求节点(武将升星!$C$68:$C$76,武将升星!H$68:H$76,J106)</f>
        <v>0.79674886920102217</v>
      </c>
      <c r="U106" s="16">
        <v>0.9096428172629023</v>
      </c>
      <c r="X106" s="16">
        <v>78</v>
      </c>
      <c r="Y106" s="16">
        <f>求节点(武将数量星级阶位验证!$J$97:$J$135,武将数量星级阶位验证!BJ$97:BJ$135,$X106)/武将数量星级阶位验证!B$6-1</f>
        <v>517.93396656327866</v>
      </c>
      <c r="Z106" s="16">
        <f>求节点(武将数量星级阶位验证!$J$97:$J$135,武将数量星级阶位验证!BK$97:BK$135,$X106)/武将数量星级阶位验证!C$6-1</f>
        <v>111.46374515363409</v>
      </c>
      <c r="AA106" s="16">
        <f>求节点(武将数量星级阶位验证!$J$97:$J$135,武将数量星级阶位验证!BL$97:BL$135,$X106)/武将数量星级阶位验证!D$6-1</f>
        <v>6.9733558447679549</v>
      </c>
      <c r="AB106" s="71">
        <f>求节点(基础状态预期!$D$107:$D$145,基础状态预期!$O$107:$O$145,$X106)</f>
        <v>5.4583423630296757</v>
      </c>
    </row>
    <row r="107" spans="4:28" x14ac:dyDescent="0.15">
      <c r="D107" s="16">
        <v>14</v>
      </c>
      <c r="F107" s="16">
        <f>基础状态预期!C117</f>
        <v>84</v>
      </c>
      <c r="G107" s="16">
        <f>MIN(武将升星!E$14,求节点(武将升星!E$104:E$112,武将升星!$C$104:$C$112,武将数量星级阶位验证!BJ107/武将数量星级阶位验证!B$6))</f>
        <v>3</v>
      </c>
      <c r="H107" s="16">
        <f>MIN(武将升星!F$14,求节点(武将升星!F$104:F$112,武将升星!$C$104:$C$112,武将数量星级阶位验证!BK107/武将数量星级阶位验证!C$6))</f>
        <v>6</v>
      </c>
      <c r="I107" s="114">
        <f>求节点(武将升星!G$104:G$112,武将升星!$C$104:$C$112,MAX((武将数量星级阶位验证!BL107-武将数量星级阶位验证!BN107)/武将数量星级阶位验证!D$6+武将数量星级阶位验证!BN107/6,0))</f>
        <v>5.214550411846993</v>
      </c>
      <c r="J107" s="71">
        <f>基础状态预期!O117</f>
        <v>4.3664071001048033</v>
      </c>
      <c r="L107" s="16">
        <f>武将升星!E$58+武将升星!E$59*G107</f>
        <v>75</v>
      </c>
      <c r="M107" s="16">
        <f>武将升星!F$58+武将升星!F$59*H107</f>
        <v>100</v>
      </c>
      <c r="N107" s="16">
        <f>武将升星!G$58+武将升星!G$59*I107</f>
        <v>111.07275205923497</v>
      </c>
      <c r="O107" s="16">
        <f>武将升星!H$58+武将升星!H$59*J107</f>
        <v>126.19844260062882</v>
      </c>
      <c r="P107" s="16">
        <v>129.21171905240567</v>
      </c>
      <c r="Q107" s="16">
        <f>求节点(武将升星!$C$68:$C$76,武将升星!E$68:E$76,G107)</f>
        <v>0.15</v>
      </c>
      <c r="R107" s="16">
        <f>求节点(武将升星!$C$68:$C$76,武将升星!F$68:F$76,H107)</f>
        <v>0.39999999999999997</v>
      </c>
      <c r="S107" s="16">
        <f>求节点(武将升星!$C$68:$C$76,武将升星!G$68:G$76,I107)</f>
        <v>0.59144762965298359</v>
      </c>
      <c r="T107" s="16">
        <f>求节点(武将升星!$C$68:$C$76,武将升星!H$68:H$76,J107)</f>
        <v>0.84931256800838406</v>
      </c>
      <c r="U107" s="16">
        <v>0.96317578578608476</v>
      </c>
      <c r="X107" s="16">
        <v>79</v>
      </c>
      <c r="Y107" s="16">
        <f>求节点(武将数量星级阶位验证!$J$97:$J$135,武将数量星级阶位验证!BJ$97:BJ$135,$X107)/武将数量星级阶位验证!B$6-1</f>
        <v>548.18662790234896</v>
      </c>
      <c r="Z107" s="16">
        <f>求节点(武将数量星级阶位验证!$J$97:$J$135,武将数量星级阶位验证!BK$97:BK$135,$X107)/武将数量星级阶位验证!C$6-1</f>
        <v>117.84404840136267</v>
      </c>
      <c r="AA107" s="16">
        <f>求节点(武将数量星级阶位验证!$J$97:$J$135,武将数量星级阶位验证!BL$97:BL$135,$X107)/武将数量星级阶位验证!D$6-1</f>
        <v>7.3446843820838961</v>
      </c>
      <c r="AB107" s="71">
        <f>求节点(基础状态预期!$D$107:$D$145,基础状态预期!$O$107:$O$145,$X107)</f>
        <v>5.6911850938078103</v>
      </c>
    </row>
    <row r="108" spans="4:28" x14ac:dyDescent="0.15">
      <c r="D108" s="16">
        <v>15</v>
      </c>
      <c r="F108" s="16">
        <f>基础状态预期!C118</f>
        <v>105</v>
      </c>
      <c r="G108" s="16">
        <f>MIN(武将升星!E$14,求节点(武将升星!E$104:E$112,武将升星!$C$104:$C$112,武将数量星级阶位验证!BJ108/武将数量星级阶位验证!B$6))</f>
        <v>3</v>
      </c>
      <c r="H108" s="16">
        <f>MIN(武将升星!F$14,求节点(武将升星!F$104:F$112,武将升星!$C$104:$C$112,武将数量星级阶位验证!BK108/武将数量星级阶位验证!C$6))</f>
        <v>6</v>
      </c>
      <c r="I108" s="114">
        <f>求节点(武将升星!G$104:G$112,武将升星!$C$104:$C$112,MAX((武将数量星级阶位验证!BL108-武将数量星级阶位验证!BN108)/武将数量星级阶位验证!D$6+武将数量星级阶位验证!BN108/6,0))</f>
        <v>5.4718065493298296</v>
      </c>
      <c r="J108" s="71">
        <f>基础状态预期!O118</f>
        <v>4.5987782987566082</v>
      </c>
      <c r="L108" s="16">
        <f>武将升星!E$58+武将升星!E$59*G108</f>
        <v>75</v>
      </c>
      <c r="M108" s="16">
        <f>武将升星!F$58+武将升星!F$59*H108</f>
        <v>100</v>
      </c>
      <c r="N108" s="16">
        <f>武将升星!G$58+武将升星!G$59*I108</f>
        <v>112.35903274664915</v>
      </c>
      <c r="O108" s="16">
        <f>武将升星!H$58+武将升星!H$59*J108</f>
        <v>127.59266979253965</v>
      </c>
      <c r="P108" s="16">
        <v>130.01502510547982</v>
      </c>
      <c r="Q108" s="16">
        <f>求节点(武将升星!$C$68:$C$76,武将升星!E$68:E$76,G108)</f>
        <v>0.15</v>
      </c>
      <c r="R108" s="16">
        <f>求节点(武将升星!$C$68:$C$76,武将升星!F$68:F$76,H108)</f>
        <v>0.39999999999999997</v>
      </c>
      <c r="S108" s="16">
        <f>求节点(武将升星!$C$68:$C$76,武将升星!G$68:G$76,I108)</f>
        <v>0.60997007155174787</v>
      </c>
      <c r="T108" s="16">
        <f>求节点(武将升星!$C$68:$C$76,武将升星!H$68:H$76,J108)</f>
        <v>0.86790226390052849</v>
      </c>
      <c r="U108" s="16">
        <v>0.97522537658219699</v>
      </c>
      <c r="X108" s="16">
        <v>80</v>
      </c>
      <c r="Y108" s="16">
        <f>求节点(武将数量星级阶位验证!$J$97:$J$135,武将数量星级阶位验证!BJ$97:BJ$135,$X108)/武将数量星级阶位验证!B$6-1</f>
        <v>578.43928924141926</v>
      </c>
      <c r="Z108" s="16">
        <f>求节点(武将数量星级阶位验证!$J$97:$J$135,武将数量星级阶位验证!BK$97:BK$135,$X108)/武将数量星级阶位验证!C$6-1</f>
        <v>124.22435164909123</v>
      </c>
      <c r="AA108" s="16">
        <f>求节点(武将数量星级阶位验证!$J$97:$J$135,武将数量星级阶位验证!BL$97:BL$135,$X108)/武将数量星级阶位验证!D$6-1</f>
        <v>7.716012919399839</v>
      </c>
      <c r="AB108" s="71">
        <f>求节点(基础状态预期!$D$107:$D$145,基础状态预期!$O$107:$O$145,$X108)</f>
        <v>5.924027824585945</v>
      </c>
    </row>
    <row r="109" spans="4:28" x14ac:dyDescent="0.15">
      <c r="D109" s="16">
        <v>16</v>
      </c>
      <c r="F109" s="16">
        <f>基础状态预期!C119</f>
        <v>125.99999999999999</v>
      </c>
      <c r="G109" s="16">
        <f>MIN(武将升星!E$14,求节点(武将升星!E$104:E$112,武将升星!$C$104:$C$112,武将数量星级阶位验证!BJ109/武将数量星级阶位验证!B$6))</f>
        <v>3</v>
      </c>
      <c r="H109" s="16">
        <f>MIN(武将升星!F$14,求节点(武将升星!F$104:F$112,武将升星!$C$104:$C$112,武将数量星级阶位验证!BK109/武将数量星级阶位验证!C$6))</f>
        <v>6</v>
      </c>
      <c r="I109" s="114">
        <f>求节点(武将升星!G$104:G$112,武将升星!$C$104:$C$112,MAX((武将数量星级阶位验证!BL109-武将数量星级阶位验证!BN109)/武将数量星级阶位验证!D$6+武将数量星级阶位验证!BN109/6,0))</f>
        <v>5.7077493032530962</v>
      </c>
      <c r="J109" s="71">
        <f>基础状态预期!O119</f>
        <v>5.0051640554007939</v>
      </c>
      <c r="L109" s="16">
        <f>武将升星!E$58+武将升星!E$59*G109</f>
        <v>75</v>
      </c>
      <c r="M109" s="16">
        <f>武将升星!F$58+武将升星!F$59*H109</f>
        <v>100</v>
      </c>
      <c r="N109" s="16">
        <f>武将升星!G$58+武将升星!G$59*I109</f>
        <v>113.53874651626548</v>
      </c>
      <c r="O109" s="16">
        <f>武将升星!H$58+武将升星!H$59*J109</f>
        <v>130.03098433240476</v>
      </c>
      <c r="P109" s="16">
        <v>131.72122395801063</v>
      </c>
      <c r="Q109" s="16">
        <f>求节点(武将升星!$C$68:$C$76,武将升星!E$68:E$76,G109)</f>
        <v>0.15</v>
      </c>
      <c r="R109" s="16">
        <f>求节点(武将升星!$C$68:$C$76,武将升星!F$68:F$76,H109)</f>
        <v>0.39999999999999997</v>
      </c>
      <c r="S109" s="16">
        <f>求节点(武将升星!$C$68:$C$76,武将升星!G$68:G$76,I109)</f>
        <v>0.62695794983422304</v>
      </c>
      <c r="T109" s="16">
        <f>求节点(武将升星!$C$68:$C$76,武将升星!H$68:H$76,J109)</f>
        <v>0.90041312443206334</v>
      </c>
      <c r="U109" s="16">
        <v>1.0008183593701594</v>
      </c>
      <c r="X109" s="16">
        <v>81</v>
      </c>
      <c r="Y109" s="16">
        <f>求节点(武将数量星级阶位验证!$J$97:$J$135,武将数量星级阶位验证!BJ$97:BJ$135,$X109)/武将数量星级阶位验证!B$6-1</f>
        <v>612.26650649079318</v>
      </c>
      <c r="Z109" s="16">
        <f>求节点(武将数量星级阶位验证!$J$97:$J$135,武将数量星级阶位验证!BK$97:BK$135,$X109)/武将数量星级阶位验证!C$6-1</f>
        <v>131.29384937985637</v>
      </c>
      <c r="AA109" s="16">
        <f>求节点(武将数量星级阶位验证!$J$97:$J$135,武将数量星级阶位验证!BL$97:BL$135,$X109)/武将数量星级阶位验证!D$6-1</f>
        <v>8.1271189650598483</v>
      </c>
      <c r="AB109" s="71">
        <f>求节点(基础状态预期!$D$107:$D$145,基础状态预期!$O$107:$O$145,$X109)</f>
        <v>6.1795240747299642</v>
      </c>
    </row>
    <row r="110" spans="4:28" x14ac:dyDescent="0.15">
      <c r="D110" s="16">
        <v>17</v>
      </c>
      <c r="F110" s="16">
        <f>基础状态预期!C120</f>
        <v>154</v>
      </c>
      <c r="G110" s="16">
        <f>MIN(武将升星!E$14,求节点(武将升星!E$104:E$112,武将升星!$C$104:$C$112,武将数量星级阶位验证!BJ110/武将数量星级阶位验证!B$6))</f>
        <v>3</v>
      </c>
      <c r="H110" s="16">
        <f>MIN(武将升星!F$14,求节点(武将升星!F$104:F$112,武将升星!$C$104:$C$112,武将数量星级阶位验证!BK110/武将数量星级阶位验证!C$6))</f>
        <v>6</v>
      </c>
      <c r="I110" s="114">
        <f>求节点(武将升星!G$104:G$112,武将升星!$C$104:$C$112,MAX((武将数量星级阶位验证!BL110-武将数量星级阶位验证!BN110)/武将数量星级阶位验证!D$6+武将数量星级阶位验证!BN110/6,0))</f>
        <v>6.0246110058243652</v>
      </c>
      <c r="J110" s="71">
        <f>基础状态预期!O120</f>
        <v>5.3879990849900112</v>
      </c>
      <c r="L110" s="16">
        <f>武将升星!E$58+武将升星!E$59*G110</f>
        <v>75</v>
      </c>
      <c r="M110" s="16">
        <f>武将升星!F$58+武将升星!F$59*H110</f>
        <v>100</v>
      </c>
      <c r="N110" s="16">
        <f>武将升星!G$58+武将升星!G$59*I110</f>
        <v>115.12305502912183</v>
      </c>
      <c r="O110" s="16">
        <f>武将升星!H$58+武将升星!H$59*J110</f>
        <v>132.32799450994008</v>
      </c>
      <c r="P110" s="16">
        <v>134.24938257792084</v>
      </c>
      <c r="Q110" s="16">
        <f>求节点(武将升星!$C$68:$C$76,武将升星!E$68:E$76,G110)</f>
        <v>0.15</v>
      </c>
      <c r="R110" s="16">
        <f>求节点(武将升星!$C$68:$C$76,武将升星!F$68:F$76,H110)</f>
        <v>0.39999999999999997</v>
      </c>
      <c r="S110" s="16">
        <f>求节点(武将升星!$C$68:$C$76,武将升星!G$68:G$76,I110)</f>
        <v>0.64977199241935446</v>
      </c>
      <c r="T110" s="16">
        <f>求节点(武将升星!$C$68:$C$76,武将升星!H$68:H$76,J110)</f>
        <v>0.93103992679920067</v>
      </c>
      <c r="U110" s="16">
        <v>1.0387407386688123</v>
      </c>
      <c r="X110" s="16">
        <v>82</v>
      </c>
      <c r="Y110" s="16">
        <f>求节点(武将数量星级阶位验证!$J$97:$J$135,武将数量星级阶位验证!BJ$97:BJ$135,$X110)/武将数量星级阶位验证!B$6-1</f>
        <v>646.65097136919985</v>
      </c>
      <c r="Z110" s="16">
        <f>求节点(武将数量星级阶位验证!$J$97:$J$135,武将数量星级阶位验证!BK$97:BK$135,$X110)/武将数量星级阶位验证!C$6-1</f>
        <v>138.47078758749521</v>
      </c>
      <c r="AA110" s="16">
        <f>求节点(武将数量星级阶位验证!$J$97:$J$135,武将数量星级阶位验证!BL$97:BL$135,$X110)/武将数量星级阶位验证!D$6-1</f>
        <v>8.5444260389789708</v>
      </c>
      <c r="AB110" s="71">
        <f>求节点(基础状态预期!$D$107:$D$145,基础状态预期!$O$107:$O$145,$X110)</f>
        <v>6.438551846067849</v>
      </c>
    </row>
    <row r="111" spans="4:28" x14ac:dyDescent="0.15">
      <c r="D111" s="16">
        <v>18</v>
      </c>
      <c r="F111" s="16">
        <f>基础状态预期!C121</f>
        <v>182</v>
      </c>
      <c r="G111" s="16">
        <f>MIN(武将升星!E$14,求节点(武将升星!E$104:E$112,武将升星!$C$104:$C$112,武将数量星级阶位验证!BJ111/武将数量星级阶位验证!B$6))</f>
        <v>3</v>
      </c>
      <c r="H111" s="16">
        <f>MIN(武将升星!F$14,求节点(武将升星!F$104:F$112,武将升星!$C$104:$C$112,武将数量星级阶位验证!BK111/武将数量星级阶位验证!C$6))</f>
        <v>6</v>
      </c>
      <c r="I111" s="114">
        <f>求节点(武将升星!G$104:G$112,武将升星!$C$104:$C$112,MAX((武将数量星级阶位验证!BL111-武将数量星级阶位验证!BN111)/武将数量星级阶位验证!D$6+武将数量星级阶位验证!BN111/6,0))</f>
        <v>6.3262503715355471</v>
      </c>
      <c r="J111" s="71">
        <f>基础状态预期!O121</f>
        <v>5.9554308326012988</v>
      </c>
      <c r="L111" s="16">
        <f>武将升星!E$58+武将升星!E$59*G111</f>
        <v>75</v>
      </c>
      <c r="M111" s="16">
        <f>武将升星!F$58+武将升星!F$59*H111</f>
        <v>100</v>
      </c>
      <c r="N111" s="16">
        <f>武将升星!G$58+武将升星!G$59*I111</f>
        <v>116.63125185767774</v>
      </c>
      <c r="O111" s="16">
        <f>武将升星!H$58+武将升星!H$59*J111</f>
        <v>135.73258499560779</v>
      </c>
      <c r="P111" s="16">
        <v>137.18780446887575</v>
      </c>
      <c r="Q111" s="16">
        <f>求节点(武将升星!$C$68:$C$76,武将升星!E$68:E$76,G111)</f>
        <v>0.15</v>
      </c>
      <c r="R111" s="16">
        <f>求节点(武将升星!$C$68:$C$76,武将升星!F$68:F$76,H111)</f>
        <v>0.39999999999999997</v>
      </c>
      <c r="S111" s="16">
        <f>求节点(武将升星!$C$68:$C$76,武将升星!G$68:G$76,I111)</f>
        <v>0.67149002675055958</v>
      </c>
      <c r="T111" s="16">
        <f>求节点(武将升星!$C$68:$C$76,武将升星!H$68:H$76,J111)</f>
        <v>0.97643446660810362</v>
      </c>
      <c r="U111" s="16">
        <v>1.0828170670331363</v>
      </c>
      <c r="X111" s="16">
        <v>83</v>
      </c>
      <c r="Y111" s="16">
        <f>求节点(武将数量星级阶位验证!$J$97:$J$135,武将数量星级阶位验证!BJ$97:BJ$135,$X111)/武将数量星级阶位验证!B$6-1</f>
        <v>684.66111807515563</v>
      </c>
      <c r="Z111" s="16">
        <f>求节点(武将数量星级阶位验证!$J$97:$J$135,武将数量星级阶位验证!BK$97:BK$135,$X111)/武将数量星级阶位验证!C$6-1</f>
        <v>146.32285761967756</v>
      </c>
      <c r="AA111" s="16">
        <f>求节点(武将数量星级阶位验证!$J$97:$J$135,武将数量星级阶位验证!BL$97:BL$135,$X111)/武将数量星级阶位验证!D$6-1</f>
        <v>9.0005642527397125</v>
      </c>
      <c r="AB111" s="71">
        <f>求节点(基础状态预期!$D$107:$D$145,基础状态预期!$O$107:$O$145,$X111)</f>
        <v>6.7168452095280271</v>
      </c>
    </row>
    <row r="112" spans="4:28" x14ac:dyDescent="0.15">
      <c r="D112" s="16">
        <v>19</v>
      </c>
      <c r="F112" s="16">
        <f>基础状态预期!C122</f>
        <v>210</v>
      </c>
      <c r="G112" s="16">
        <f>MIN(武将升星!E$14,求节点(武将升星!E$104:E$112,武将升星!$C$104:$C$112,武将数量星级阶位验证!BJ112/武将数量星级阶位验证!B$6))</f>
        <v>3</v>
      </c>
      <c r="H112" s="16">
        <f>MIN(武将升星!F$14,求节点(武将升星!F$104:F$112,武将升星!$C$104:$C$112,武将数量星级阶位验证!BK112/武将数量星级阶位验证!C$6))</f>
        <v>6</v>
      </c>
      <c r="I112" s="114">
        <f>求节点(武将升星!G$104:G$112,武将升星!$C$104:$C$112,MAX((武将数量星级阶位验证!BL112-武将数量星级阶位验证!BN112)/武将数量星级阶位验证!D$6+武将数量星级阶位验证!BN112/6,0))</f>
        <v>6.6188946024324444</v>
      </c>
      <c r="J112" s="71">
        <f>基础状态预期!O122</f>
        <v>6.5003747431768746</v>
      </c>
      <c r="L112" s="16">
        <f>武将升星!E$58+武将升星!E$59*G112</f>
        <v>75</v>
      </c>
      <c r="M112" s="16">
        <f>武将升星!F$58+武将升星!F$59*H112</f>
        <v>100</v>
      </c>
      <c r="N112" s="16">
        <f>武将升星!G$58+武将升星!G$59*I112</f>
        <v>118.09447301216223</v>
      </c>
      <c r="O112" s="16">
        <f>武将升星!H$58+武将升星!H$59*J112</f>
        <v>139.00224845906126</v>
      </c>
      <c r="P112" s="16">
        <v>140.16269336541896</v>
      </c>
      <c r="Q112" s="16">
        <f>求节点(武将升星!$C$68:$C$76,武将升星!E$68:E$76,G112)</f>
        <v>0.15</v>
      </c>
      <c r="R112" s="16">
        <f>求节点(武将升星!$C$68:$C$76,武将升星!F$68:F$76,H112)</f>
        <v>0.39999999999999997</v>
      </c>
      <c r="S112" s="16">
        <f>求节点(武将升星!$C$68:$C$76,武将升星!G$68:G$76,I112)</f>
        <v>0.69256041137513613</v>
      </c>
      <c r="T112" s="16">
        <f>求节点(武将升星!$C$68:$C$76,武将升星!H$68:H$76,J112)</f>
        <v>1.0200299794541499</v>
      </c>
      <c r="U112" s="16">
        <v>1.1274404004812841</v>
      </c>
      <c r="X112" s="16">
        <v>84</v>
      </c>
      <c r="Y112" s="16">
        <f>求节点(武将数量星级阶位验证!$J$97:$J$135,武将数量星级阶位验证!BJ$97:BJ$135,$X112)/武将数量星级阶位验证!B$6-1</f>
        <v>723.80790075652078</v>
      </c>
      <c r="Z112" s="16">
        <f>求节点(武将数量星级阶位验证!$J$97:$J$135,武将数量星级阶位验证!BK$97:BK$135,$X112)/武将数量星级阶位验证!C$6-1</f>
        <v>154.38657863405294</v>
      </c>
      <c r="AA112" s="16">
        <f>求节点(武将数量星级阶位验证!$J$97:$J$135,武将数量星级阶位验证!BL$97:BL$135,$X112)/武将数量星级阶位验证!D$6-1</f>
        <v>9.4688758652181164</v>
      </c>
      <c r="AB112" s="71">
        <f>求节点(基础状态预期!$D$107:$D$145,基础状态预期!$O$107:$O$145,$X112)</f>
        <v>7.0011782549391635</v>
      </c>
    </row>
    <row r="113" spans="4:28" x14ac:dyDescent="0.15">
      <c r="D113" s="16">
        <v>20</v>
      </c>
      <c r="F113" s="16">
        <f>基础状态预期!C123</f>
        <v>237.99999999999997</v>
      </c>
      <c r="G113" s="16">
        <f>MIN(武将升星!E$14,求节点(武将升星!E$104:E$112,武将升星!$C$104:$C$112,武将数量星级阶位验证!BJ113/武将数量星级阶位验证!B$6))</f>
        <v>3</v>
      </c>
      <c r="H113" s="16">
        <f>MIN(武将升星!F$14,求节点(武将升星!F$104:F$112,武将升星!$C$104:$C$112,武将数量星级阶位验证!BK113/武将数量星级阶位验证!C$6))</f>
        <v>6</v>
      </c>
      <c r="I113" s="114">
        <f>求节点(武将升星!G$104:G$112,武将升星!$C$104:$C$112,MAX((武将数量星级阶位验证!BL113-武将数量星级阶位验证!BN113)/武将数量星级阶位验证!D$6+武将数量星级阶位验证!BN113/6,0))</f>
        <v>6.9006769298095456</v>
      </c>
      <c r="J113" s="71">
        <f>基础状态预期!O123</f>
        <v>7.0136229212147221</v>
      </c>
      <c r="L113" s="16">
        <f>武将升星!E$58+武将升星!E$59*G113</f>
        <v>75</v>
      </c>
      <c r="M113" s="16">
        <f>武将升星!F$58+武将升星!F$59*H113</f>
        <v>100</v>
      </c>
      <c r="N113" s="16">
        <f>武将升星!G$58+武将升星!G$59*I113</f>
        <v>119.50338464904773</v>
      </c>
      <c r="O113" s="16">
        <f>武将升星!H$58+武将升星!H$59*J113</f>
        <v>142.08173752728834</v>
      </c>
      <c r="P113" s="16">
        <v>143.137582261962</v>
      </c>
      <c r="Q113" s="16">
        <f>求节点(武将升星!$C$68:$C$76,武将升星!E$68:E$76,G113)</f>
        <v>0.15</v>
      </c>
      <c r="R113" s="16">
        <f>求节点(武将升星!$C$68:$C$76,武将升星!F$68:F$76,H113)</f>
        <v>0.39999999999999997</v>
      </c>
      <c r="S113" s="16">
        <f>求节点(武将升星!$C$68:$C$76,武将升星!G$68:G$76,I113)</f>
        <v>0.71284873894628742</v>
      </c>
      <c r="T113" s="16">
        <f>求节点(武将升星!$C$68:$C$76,武将升星!H$68:H$76,J113)</f>
        <v>1.0610898336971777</v>
      </c>
      <c r="U113" s="16">
        <v>1.17206373392943</v>
      </c>
      <c r="X113" s="16">
        <v>85</v>
      </c>
      <c r="Y113" s="16">
        <f>求节点(武将数量星级阶位验证!$J$97:$J$135,武将数量星级阶位验证!BJ$97:BJ$135,$X113)/武将数量星级阶位验证!B$6-1</f>
        <v>768.68469486506376</v>
      </c>
      <c r="Z113" s="16">
        <f>求节点(武将数量星级阶位验证!$J$97:$J$135,武将数量星级阶位验证!BK$97:BK$135,$X113)/武将数量星级阶位验证!C$6-1</f>
        <v>163.61563735752188</v>
      </c>
      <c r="AA113" s="16">
        <f>求节点(武将数量星级阶位验证!$J$97:$J$135,武将数量星级阶位验证!BL$97:BL$135,$X113)/武将数量星级阶位验证!D$6-1</f>
        <v>10.004787139166149</v>
      </c>
      <c r="AB113" s="71">
        <f>求节点(基础状态预期!$D$107:$D$145,基础状态预期!$O$107:$O$145,$X113)</f>
        <v>7.2499901420957542</v>
      </c>
    </row>
    <row r="114" spans="4:28" x14ac:dyDescent="0.15">
      <c r="D114" s="16">
        <v>21</v>
      </c>
      <c r="F114" s="16">
        <f>基础状态预期!C124</f>
        <v>280</v>
      </c>
      <c r="G114" s="16">
        <f>MIN(武将升星!E$14,求节点(武将升星!E$104:E$112,武将升星!$C$104:$C$112,武将数量星级阶位验证!BJ114/武将数量星级阶位验证!B$6))</f>
        <v>3</v>
      </c>
      <c r="H114" s="16">
        <f>MIN(武将升星!F$14,求节点(武将升星!F$104:F$112,武将升星!$C$104:$C$112,武将数量星级阶位验证!BK114/武将数量星级阶位验证!C$6))</f>
        <v>6</v>
      </c>
      <c r="I114" s="114">
        <f>求节点(武将升星!G$104:G$112,武将升星!$C$104:$C$112,MAX((武将数量星级阶位验证!BL114-武将数量星级阶位验证!BN114)/武将数量星级阶位验证!D$6+武将数量星级阶位验证!BN114/6,0))</f>
        <v>7.2410060549951423</v>
      </c>
      <c r="J114" s="71">
        <f>基础状态预期!O124</f>
        <v>7.5923688153096789</v>
      </c>
      <c r="L114" s="16">
        <f>武将升星!E$58+武将升星!E$59*G114</f>
        <v>75</v>
      </c>
      <c r="M114" s="16">
        <f>武将升星!F$58+武将升星!F$59*H114</f>
        <v>100</v>
      </c>
      <c r="N114" s="16">
        <f>武将升星!G$58+武将升星!G$59*I114</f>
        <v>121.20503027497571</v>
      </c>
      <c r="O114" s="16">
        <f>武将升星!H$58+武将升星!H$59*J114</f>
        <v>145.55421289185807</v>
      </c>
      <c r="P114" s="16">
        <v>146.112471158505</v>
      </c>
      <c r="Q114" s="16">
        <f>求节点(武将升星!$C$68:$C$76,武将升星!E$68:E$76,G114)</f>
        <v>0.15</v>
      </c>
      <c r="R114" s="16">
        <f>求节点(武将升星!$C$68:$C$76,武将升星!F$68:F$76,H114)</f>
        <v>0.39999999999999997</v>
      </c>
      <c r="S114" s="16">
        <f>求节点(武将升星!$C$68:$C$76,武将升星!G$68:G$76,I114)</f>
        <v>0.7373524359596505</v>
      </c>
      <c r="T114" s="16">
        <f>求节点(武将升星!$C$68:$C$76,武将升星!H$68:H$76,J114)</f>
        <v>1.1073895052247742</v>
      </c>
      <c r="U114" s="16">
        <v>1.21668706737758</v>
      </c>
      <c r="X114" s="16">
        <v>86</v>
      </c>
      <c r="Y114" s="16">
        <f>求节点(武将数量星级阶位验证!$J$97:$J$135,武将数量星级阶位验证!BJ$97:BJ$135,$X114)/武将数量星级阶位验证!B$6-1</f>
        <v>813.82375866013444</v>
      </c>
      <c r="Z114" s="16">
        <f>求节点(武将数量星级阶位验证!$J$97:$J$135,武将数量星级阶位验证!BK$97:BK$135,$X114)/武将数量星级阶位验证!C$6-1</f>
        <v>172.89803502447234</v>
      </c>
      <c r="AA114" s="16">
        <f>求节点(武将数量星级阶位验证!$J$97:$J$135,武将数量星级阶位验证!BL$97:BL$135,$X114)/武将数量星级阶位验证!D$6-1</f>
        <v>10.543792532951167</v>
      </c>
      <c r="AB114" s="71">
        <f>求节点(基础状态预期!$D$107:$D$145,基础状态预期!$O$107:$O$145,$X114)</f>
        <v>7.4971761820513549</v>
      </c>
    </row>
    <row r="115" spans="4:28" x14ac:dyDescent="0.15">
      <c r="D115" s="16">
        <v>22</v>
      </c>
      <c r="F115" s="16">
        <f>基础状态预期!C125</f>
        <v>364</v>
      </c>
      <c r="G115" s="16">
        <f>MIN(武将升星!E$14,求节点(武将升星!E$104:E$112,武将升星!$C$104:$C$112,武将数量星级阶位验证!BJ115/武将数量星级阶位验证!B$6))</f>
        <v>3</v>
      </c>
      <c r="H115" s="16">
        <f>MIN(武将升星!F$14,求节点(武将升星!F$104:F$112,武将升星!$C$104:$C$112,武将数量星级阶位验证!BK115/武将数量星级阶位验证!C$6))</f>
        <v>6</v>
      </c>
      <c r="I115" s="114">
        <f>求节点(武将升星!G$104:G$112,武将升星!$C$104:$C$112,MAX((武将数量星级阶位验证!BL115-武将数量星级阶位验证!BN115)/武将数量星级阶位验证!D$6+武将数量星级阶位验证!BN115/6,0))</f>
        <v>7.8481623448853224</v>
      </c>
      <c r="J115" s="71">
        <f>基础状态预期!O125</f>
        <v>8</v>
      </c>
      <c r="L115" s="16">
        <f>武将升星!E$58+武将升星!E$59*G115</f>
        <v>75</v>
      </c>
      <c r="M115" s="16">
        <f>武将升星!F$58+武将升星!F$59*H115</f>
        <v>100</v>
      </c>
      <c r="N115" s="16">
        <f>武将升星!G$58+武将升星!G$59*I115</f>
        <v>124.24081172442661</v>
      </c>
      <c r="O115" s="16">
        <f>武将升星!H$58+武将升星!H$59*J115</f>
        <v>148</v>
      </c>
      <c r="P115" s="16">
        <v>149.087360055049</v>
      </c>
      <c r="Q115" s="16">
        <f>求节点(武将升星!$C$68:$C$76,武将升星!E$68:E$76,G115)</f>
        <v>0.15</v>
      </c>
      <c r="R115" s="16">
        <f>求节点(武将升星!$C$68:$C$76,武将升星!F$68:F$76,H115)</f>
        <v>0.39999999999999997</v>
      </c>
      <c r="S115" s="16">
        <f>求节点(武将升星!$C$68:$C$76,武将升星!G$68:G$76,I115)</f>
        <v>0.78106768883174349</v>
      </c>
      <c r="T115" s="16">
        <f>求节点(武将升星!$C$68:$C$76,武将升星!H$68:H$76,J115)</f>
        <v>1.1399999999999999</v>
      </c>
      <c r="U115" s="16">
        <v>1.2613104008257301</v>
      </c>
      <c r="X115" s="16">
        <v>87</v>
      </c>
      <c r="Y115" s="16">
        <f>求节点(武将数量星级阶位验证!$J$97:$J$135,武将数量星级阶位验证!BJ$97:BJ$135,$X115)/武将数量星级阶位验证!B$6-1</f>
        <v>862.78009362558907</v>
      </c>
      <c r="Z115" s="16">
        <f>求节点(武将数量星级阶位验证!$J$97:$J$135,武将数量星级阶位验证!BK$97:BK$135,$X115)/武将数量星级阶位验证!C$6-1</f>
        <v>182.87647704032514</v>
      </c>
      <c r="AA115" s="16">
        <f>求节点(武将数量星级阶位验证!$J$97:$J$135,武将数量星级阶位验证!BL$97:BL$135,$X115)/武将数量星级阶位验证!D$6-1</f>
        <v>11.122745781051758</v>
      </c>
      <c r="AB115" s="71">
        <f>求节点(基础状态预期!$D$107:$D$145,基础状态预期!$O$107:$O$145,$X115)</f>
        <v>7.6547027858261787</v>
      </c>
    </row>
    <row r="116" spans="4:28" x14ac:dyDescent="0.15">
      <c r="D116" s="16">
        <v>23</v>
      </c>
      <c r="F116" s="16">
        <f>基础状态预期!C126</f>
        <v>448</v>
      </c>
      <c r="G116" s="16">
        <f>MIN(武将升星!E$14,求节点(武将升星!E$104:E$112,武将升星!$C$104:$C$112,武将数量星级阶位验证!BJ116/武将数量星级阶位验证!B$6))</f>
        <v>3</v>
      </c>
      <c r="H116" s="16">
        <f>MIN(武将升星!F$14,求节点(武将升星!F$104:F$112,武将升星!$C$104:$C$112,武将数量星级阶位验证!BK116/武将数量星级阶位验证!C$6))</f>
        <v>6</v>
      </c>
      <c r="I116" s="114">
        <f>求节点(武将升星!G$104:G$112,武将升星!$C$104:$C$112,MAX((武将数量星级阶位验证!BL116-武将数量星级阶位验证!BN116)/武将数量星级阶位验证!D$6+武将数量星级阶位验证!BN116/6,0))</f>
        <v>8</v>
      </c>
      <c r="J116" s="71">
        <f>基础状态预期!O126</f>
        <v>8</v>
      </c>
      <c r="L116" s="16">
        <f>武将升星!E$58+武将升星!E$59*G116</f>
        <v>75</v>
      </c>
      <c r="M116" s="16">
        <f>武将升星!F$58+武将升星!F$59*H116</f>
        <v>100</v>
      </c>
      <c r="N116" s="16">
        <f>武将升星!G$58+武将升星!G$59*I116</f>
        <v>125</v>
      </c>
      <c r="O116" s="16">
        <f>武将升星!H$58+武将升星!H$59*J116</f>
        <v>148</v>
      </c>
      <c r="P116" s="16">
        <v>152.06224895159201</v>
      </c>
      <c r="Q116" s="16">
        <f>求节点(武将升星!$C$68:$C$76,武将升星!E$68:E$76,G116)</f>
        <v>0.15</v>
      </c>
      <c r="R116" s="16">
        <f>求节点(武将升星!$C$68:$C$76,武将升星!F$68:F$76,H116)</f>
        <v>0.39999999999999997</v>
      </c>
      <c r="S116" s="16">
        <f>求节点(武将升星!$C$68:$C$76,武将升星!G$68:G$76,I116)</f>
        <v>0.79200000000000026</v>
      </c>
      <c r="T116" s="16">
        <f>求节点(武将升星!$C$68:$C$76,武将升星!H$68:H$76,J116)</f>
        <v>1.1399999999999999</v>
      </c>
      <c r="U116" s="16">
        <v>1.3059337342738799</v>
      </c>
      <c r="X116" s="16">
        <v>88</v>
      </c>
      <c r="Y116" s="16">
        <f>求节点(武将数量星级阶位验证!$J$97:$J$135,武将数量星级阶位验证!BJ$97:BJ$135,$X116)/武将数量星级阶位验证!B$6-1</f>
        <v>914.12716449509298</v>
      </c>
      <c r="Z116" s="16">
        <f>求节点(武将数量星级阶位验证!$J$97:$J$135,武将数量星级阶位验证!BK$97:BK$135,$X116)/武将数量星级阶位验证!C$6-1</f>
        <v>193.29084779727495</v>
      </c>
      <c r="AA116" s="16">
        <f>求节点(武将数量星级阶位验证!$J$97:$J$135,武将数量星级阶位验证!BL$97:BL$135,$X116)/武将数量星级阶位验证!D$6-1</f>
        <v>11.726718150231017</v>
      </c>
      <c r="AB116" s="71">
        <f>求节点(基础状态预期!$D$107:$D$145,基础状态预期!$O$107:$O$145,$X116)</f>
        <v>7.7560761786692689</v>
      </c>
    </row>
    <row r="117" spans="4:28" x14ac:dyDescent="0.15">
      <c r="D117" s="16">
        <v>24</v>
      </c>
      <c r="F117" s="16">
        <f>基础状态预期!C127</f>
        <v>574</v>
      </c>
      <c r="G117" s="16">
        <f>MIN(武将升星!E$14,求节点(武将升星!E$104:E$112,武将升星!$C$104:$C$112,武将数量星级阶位验证!BJ117/武将数量星级阶位验证!B$6))</f>
        <v>3</v>
      </c>
      <c r="H117" s="16">
        <f>MIN(武将升星!F$14,求节点(武将升星!F$104:F$112,武将升星!$C$104:$C$112,武将数量星级阶位验证!BK117/武将数量星级阶位验证!C$6))</f>
        <v>6</v>
      </c>
      <c r="I117" s="114">
        <f>求节点(武将升星!G$104:G$112,武将升星!$C$104:$C$112,MAX((武将数量星级阶位验证!BL117-武将数量星级阶位验证!BN117)/武将数量星级阶位验证!D$6+武将数量星级阶位验证!BN117/6,0))</f>
        <v>8</v>
      </c>
      <c r="J117" s="71">
        <f>基础状态预期!O127</f>
        <v>8</v>
      </c>
      <c r="L117" s="16">
        <f>武将升星!E$58+武将升星!E$59*G117</f>
        <v>75</v>
      </c>
      <c r="M117" s="16">
        <f>武将升星!F$58+武将升星!F$59*H117</f>
        <v>100</v>
      </c>
      <c r="N117" s="16">
        <f>武将升星!G$58+武将升星!G$59*I117</f>
        <v>125</v>
      </c>
      <c r="O117" s="16">
        <f>武将升星!H$58+武将升星!H$59*J117</f>
        <v>148</v>
      </c>
      <c r="P117" s="16">
        <v>155.03713784813499</v>
      </c>
      <c r="Q117" s="16">
        <f>求节点(武将升星!$C$68:$C$76,武将升星!E$68:E$76,G117)</f>
        <v>0.15</v>
      </c>
      <c r="R117" s="16">
        <f>求节点(武将升星!$C$68:$C$76,武将升星!F$68:F$76,H117)</f>
        <v>0.39999999999999997</v>
      </c>
      <c r="S117" s="16">
        <f>求节点(武将升星!$C$68:$C$76,武将升星!G$68:G$76,I117)</f>
        <v>0.79200000000000026</v>
      </c>
      <c r="T117" s="16">
        <f>求节点(武将升星!$C$68:$C$76,武将升星!H$68:H$76,J117)</f>
        <v>1.1399999999999999</v>
      </c>
      <c r="U117" s="16">
        <v>1.35055706772202</v>
      </c>
      <c r="X117" s="16">
        <v>89</v>
      </c>
      <c r="Y117" s="16">
        <f>求节点(武将数量星级阶位验证!$J$97:$J$135,武将数量星级阶位验证!BJ$97:BJ$135,$X117)/武将数量星级阶位验证!B$6-1</f>
        <v>965.47423536459689</v>
      </c>
      <c r="Z117" s="16">
        <f>求节点(武将数量星级阶位验证!$J$97:$J$135,武将数量星级阶位验证!BK$97:BK$135,$X117)/武将数量星级阶位验证!C$6-1</f>
        <v>203.70521855422476</v>
      </c>
      <c r="AA117" s="16">
        <f>求节点(武将数量星级阶位验证!$J$97:$J$135,武将数量星级阶位验证!BL$97:BL$135,$X117)/武将数量星级阶位验证!D$6-1</f>
        <v>12.330690519410277</v>
      </c>
      <c r="AB117" s="71">
        <f>求节点(基础状态预期!$D$107:$D$145,基础状态预期!$O$107:$O$145,$X117)</f>
        <v>7.8574495715123591</v>
      </c>
    </row>
    <row r="118" spans="4:28" x14ac:dyDescent="0.15">
      <c r="D118" s="16">
        <v>25</v>
      </c>
      <c r="F118" s="16">
        <f>基础状态预期!C128</f>
        <v>742</v>
      </c>
      <c r="G118" s="16">
        <f>MIN(武将升星!E$14,求节点(武将升星!E$104:E$112,武将升星!$C$104:$C$112,武将数量星级阶位验证!BJ118/武将数量星级阶位验证!B$6))</f>
        <v>3</v>
      </c>
      <c r="H118" s="16">
        <f>MIN(武将升星!F$14,求节点(武将升星!F$104:F$112,武将升星!$C$104:$C$112,武将数量星级阶位验证!BK118/武将数量星级阶位验证!C$6))</f>
        <v>6</v>
      </c>
      <c r="I118" s="114">
        <f>求节点(武将升星!G$104:G$112,武将升星!$C$104:$C$112,MAX((武将数量星级阶位验证!BL118-武将数量星级阶位验证!BN118)/武将数量星级阶位验证!D$6+武将数量星级阶位验证!BN118/6,0))</f>
        <v>8</v>
      </c>
      <c r="J118" s="71">
        <f>基础状态预期!O128</f>
        <v>8</v>
      </c>
      <c r="L118" s="16">
        <f>武将升星!E$58+武将升星!E$59*G118</f>
        <v>75</v>
      </c>
      <c r="M118" s="16">
        <f>武将升星!F$58+武将升星!F$59*H118</f>
        <v>100</v>
      </c>
      <c r="N118" s="16">
        <f>武将升星!G$58+武将升星!G$59*I118</f>
        <v>125</v>
      </c>
      <c r="O118" s="16">
        <f>武将升星!H$58+武将升星!H$59*J118</f>
        <v>148</v>
      </c>
      <c r="P118" s="16">
        <v>158.012026744678</v>
      </c>
      <c r="Q118" s="16">
        <f>求节点(武将升星!$C$68:$C$76,武将升星!E$68:E$76,G118)</f>
        <v>0.15</v>
      </c>
      <c r="R118" s="16">
        <f>求节点(武将升星!$C$68:$C$76,武将升星!F$68:F$76,H118)</f>
        <v>0.39999999999999997</v>
      </c>
      <c r="S118" s="16">
        <f>求节点(武将升星!$C$68:$C$76,武将升星!G$68:G$76,I118)</f>
        <v>0.79200000000000026</v>
      </c>
      <c r="T118" s="16">
        <f>求节点(武将升星!$C$68:$C$76,武将升星!H$68:H$76,J118)</f>
        <v>1.1399999999999999</v>
      </c>
      <c r="U118" s="16">
        <v>1.3951804011701701</v>
      </c>
      <c r="X118" s="16">
        <v>90</v>
      </c>
      <c r="Y118" s="16">
        <f>求节点(武将数量星级阶位验证!$J$97:$J$135,武将数量星级阶位验证!BJ$97:BJ$135,$X118)/武将数量星级阶位验证!B$6-1</f>
        <v>1016.8213062341007</v>
      </c>
      <c r="Z118" s="16">
        <f>求节点(武将数量星级阶位验证!$J$97:$J$135,武将数量星级阶位验证!BK$97:BK$135,$X118)/武将数量星级阶位验证!C$6-1</f>
        <v>214.11958931117456</v>
      </c>
      <c r="AA118" s="16">
        <f>求节点(武将数量星级阶位验证!$J$97:$J$135,武将数量星级阶位验证!BL$97:BL$135,$X118)/武将数量星级阶位验证!D$6-1</f>
        <v>12.934662888589537</v>
      </c>
      <c r="AB118" s="71">
        <f>求节点(基础状态预期!$D$107:$D$145,基础状态预期!$O$107:$O$145,$X118)</f>
        <v>7.9588229643554493</v>
      </c>
    </row>
    <row r="119" spans="4:28" x14ac:dyDescent="0.15">
      <c r="D119" s="16">
        <v>26</v>
      </c>
      <c r="F119" s="16">
        <f>基础状态预期!C129</f>
        <v>951.99999999999989</v>
      </c>
      <c r="G119" s="16">
        <f>MIN(武将升星!E$14,求节点(武将升星!E$104:E$112,武将升星!$C$104:$C$112,武将数量星级阶位验证!BJ119/武将数量星级阶位验证!B$6))</f>
        <v>3</v>
      </c>
      <c r="H119" s="16">
        <f>MIN(武将升星!F$14,求节点(武将升星!F$104:F$112,武将升星!$C$104:$C$112,武将数量星级阶位验证!BK119/武将数量星级阶位验证!C$6))</f>
        <v>6</v>
      </c>
      <c r="I119" s="114">
        <f>求节点(武将升星!G$104:G$112,武将升星!$C$104:$C$112,MAX((武将数量星级阶位验证!BL119-武将数量星级阶位验证!BN119)/武将数量星级阶位验证!D$6+武将数量星级阶位验证!BN119/6,0))</f>
        <v>8</v>
      </c>
      <c r="J119" s="71">
        <f>基础状态预期!O129</f>
        <v>8</v>
      </c>
      <c r="L119" s="16">
        <f>武将升星!E$58+武将升星!E$59*G119</f>
        <v>75</v>
      </c>
      <c r="M119" s="16">
        <f>武将升星!F$58+武将升星!F$59*H119</f>
        <v>100</v>
      </c>
      <c r="N119" s="16">
        <f>武将升星!G$58+武将升星!G$59*I119</f>
        <v>125</v>
      </c>
      <c r="O119" s="16">
        <f>武将升星!H$58+武将升星!H$59*J119</f>
        <v>148</v>
      </c>
      <c r="P119" s="16">
        <v>160.986915641221</v>
      </c>
      <c r="Q119" s="16">
        <f>求节点(武将升星!$C$68:$C$76,武将升星!E$68:E$76,G119)</f>
        <v>0.15</v>
      </c>
      <c r="R119" s="16">
        <f>求节点(武将升星!$C$68:$C$76,武将升星!F$68:F$76,H119)</f>
        <v>0.39999999999999997</v>
      </c>
      <c r="S119" s="16">
        <f>求节点(武将升星!$C$68:$C$76,武将升星!G$68:G$76,I119)</f>
        <v>0.79200000000000026</v>
      </c>
      <c r="T119" s="16">
        <f>求节点(武将升星!$C$68:$C$76,武将升星!H$68:H$76,J119)</f>
        <v>1.1399999999999999</v>
      </c>
      <c r="U119" s="16">
        <v>1.4398037346183199</v>
      </c>
      <c r="X119" s="16">
        <v>91</v>
      </c>
      <c r="Y119" s="16">
        <f>求节点(武将数量星级阶位验证!$J$97:$J$135,武将数量星级阶位验证!BJ$97:BJ$135,$X119)/武将数量星级阶位验证!B$6-1</f>
        <v>1076.6935598793705</v>
      </c>
      <c r="Z119" s="16">
        <f>求节点(武将数量星级阶位验证!$J$97:$J$135,武将数量星级阶位验证!BK$97:BK$135,$X119)/武将数量星级阶位验证!C$6-1</f>
        <v>226.14375508851657</v>
      </c>
      <c r="AA119" s="16">
        <f>求节点(武将数量星级阶位验证!$J$97:$J$135,武将数量星级阶位验证!BL$97:BL$135,$X119)/武将数量星级阶位验证!D$6-1</f>
        <v>13.63135510581996</v>
      </c>
      <c r="AB119" s="71">
        <f>求节点(基础状态预期!$D$107:$D$145,基础状态预期!$O$107:$O$145,$X119)</f>
        <v>8</v>
      </c>
    </row>
    <row r="120" spans="4:28" x14ac:dyDescent="0.15">
      <c r="D120" s="16">
        <v>27</v>
      </c>
      <c r="F120" s="16">
        <f>基础状态预期!C130</f>
        <v>1204</v>
      </c>
      <c r="G120" s="16">
        <f>MIN(武将升星!E$14,求节点(武将升星!E$104:E$112,武将升星!$C$104:$C$112,武将数量星级阶位验证!BJ120/武将数量星级阶位验证!B$6))</f>
        <v>3</v>
      </c>
      <c r="H120" s="16">
        <f>MIN(武将升星!F$14,求节点(武将升星!F$104:F$112,武将升星!$C$104:$C$112,武将数量星级阶位验证!BK120/武将数量星级阶位验证!C$6))</f>
        <v>6</v>
      </c>
      <c r="I120" s="114">
        <f>求节点(武将升星!G$104:G$112,武将升星!$C$104:$C$112,MAX((武将数量星级阶位验证!BL120-武将数量星级阶位验证!BN120)/武将数量星级阶位验证!D$6+武将数量星级阶位验证!BN120/6,0))</f>
        <v>8</v>
      </c>
      <c r="J120" s="71">
        <f>基础状态预期!O130</f>
        <v>8</v>
      </c>
      <c r="L120" s="16">
        <f>武将升星!E$58+武将升星!E$59*G120</f>
        <v>75</v>
      </c>
      <c r="M120" s="16">
        <f>武将升星!F$58+武将升星!F$59*H120</f>
        <v>100</v>
      </c>
      <c r="N120" s="16">
        <f>武将升星!G$58+武将升星!G$59*I120</f>
        <v>125</v>
      </c>
      <c r="O120" s="16">
        <f>武将升星!H$58+武将升星!H$59*J120</f>
        <v>148</v>
      </c>
      <c r="P120" s="16">
        <v>163.961804537765</v>
      </c>
      <c r="Q120" s="16">
        <f>求节点(武将升星!$C$68:$C$76,武将升星!E$68:E$76,G120)</f>
        <v>0.15</v>
      </c>
      <c r="R120" s="16">
        <f>求节点(武将升星!$C$68:$C$76,武将升星!F$68:F$76,H120)</f>
        <v>0.39999999999999997</v>
      </c>
      <c r="S120" s="16">
        <f>求节点(武将升星!$C$68:$C$76,武将升星!G$68:G$76,I120)</f>
        <v>0.79200000000000026</v>
      </c>
      <c r="T120" s="16">
        <f>求节点(武将升星!$C$68:$C$76,武将升星!H$68:H$76,J120)</f>
        <v>1.1399999999999999</v>
      </c>
      <c r="U120" s="16">
        <v>1.48442706806647</v>
      </c>
      <c r="X120" s="16">
        <v>92</v>
      </c>
      <c r="Y120" s="16">
        <f>求节点(武将数量星级阶位验证!$J$97:$J$135,武将数量星级阶位验证!BJ$97:BJ$135,$X120)/武将数量星级阶位验证!B$6-1</f>
        <v>1142.3974247943422</v>
      </c>
      <c r="Z120" s="16">
        <f>求节点(武将数量星级阶位验证!$J$97:$J$135,武将数量星级阶位验证!BK$97:BK$135,$X120)/武将数量星级阶位验证!C$6-1</f>
        <v>239.26909359490736</v>
      </c>
      <c r="AA120" s="16">
        <f>求节点(武将数量星级阶位验证!$J$97:$J$135,武将数量星级阶位验证!BL$97:BL$135,$X120)/武将数量星级阶位验证!D$6-1</f>
        <v>14.391471899982303</v>
      </c>
      <c r="AB120" s="71">
        <f>求节点(基础状态预期!$D$107:$D$145,基础状态预期!$O$107:$O$145,$X120)</f>
        <v>8</v>
      </c>
    </row>
    <row r="121" spans="4:28" x14ac:dyDescent="0.15">
      <c r="D121" s="16">
        <v>28</v>
      </c>
      <c r="F121" s="16">
        <f>基础状态预期!C131</f>
        <v>1540</v>
      </c>
      <c r="G121" s="16">
        <f>MIN(武将升星!E$14,求节点(武将升星!E$104:E$112,武将升星!$C$104:$C$112,武将数量星级阶位验证!BJ121/武将数量星级阶位验证!B$6))</f>
        <v>3</v>
      </c>
      <c r="H121" s="16">
        <f>MIN(武将升星!F$14,求节点(武将升星!F$104:F$112,武将升星!$C$104:$C$112,武将数量星级阶位验证!BK121/武将数量星级阶位验证!C$6))</f>
        <v>6</v>
      </c>
      <c r="I121" s="114">
        <f>求节点(武将升星!G$104:G$112,武将升星!$C$104:$C$112,MAX((武将数量星级阶位验证!BL121-武将数量星级阶位验证!BN121)/武将数量星级阶位验证!D$6+武将数量星级阶位验证!BN121/6,0))</f>
        <v>8</v>
      </c>
      <c r="J121" s="71">
        <f>基础状态预期!O131</f>
        <v>8</v>
      </c>
      <c r="L121" s="16">
        <f>武将升星!E$58+武将升星!E$59*G121</f>
        <v>75</v>
      </c>
      <c r="M121" s="16">
        <f>武将升星!F$58+武将升星!F$59*H121</f>
        <v>100</v>
      </c>
      <c r="N121" s="16">
        <f>武将升星!G$58+武将升星!G$59*I121</f>
        <v>125</v>
      </c>
      <c r="O121" s="16">
        <f>武将升星!H$58+武将升星!H$59*J121</f>
        <v>148</v>
      </c>
      <c r="P121" s="16">
        <v>166.93669343430801</v>
      </c>
      <c r="Q121" s="16">
        <f>求节点(武将升星!$C$68:$C$76,武将升星!E$68:E$76,G121)</f>
        <v>0.15</v>
      </c>
      <c r="R121" s="16">
        <f>求节点(武将升星!$C$68:$C$76,武将升星!F$68:F$76,H121)</f>
        <v>0.39999999999999997</v>
      </c>
      <c r="S121" s="16">
        <f>求节点(武将升星!$C$68:$C$76,武将升星!G$68:G$76,I121)</f>
        <v>0.79200000000000026</v>
      </c>
      <c r="T121" s="16">
        <f>求节点(武将升星!$C$68:$C$76,武将升星!H$68:H$76,J121)</f>
        <v>1.1399999999999999</v>
      </c>
      <c r="U121" s="16">
        <v>1.52905040151461</v>
      </c>
      <c r="X121" s="16">
        <v>93</v>
      </c>
      <c r="Y121" s="16">
        <f>求节点(武将数量星级阶位验证!$J$97:$J$135,武将数量星级阶位验证!BJ$97:BJ$135,$X121)/武将数量星级阶位验证!B$6-1</f>
        <v>1208.101289709314</v>
      </c>
      <c r="Z121" s="16">
        <f>求节点(武将数量星级阶位验证!$J$97:$J$135,武将数量星级阶位验证!BK$97:BK$135,$X121)/武将数量星级阶位验证!C$6-1</f>
        <v>252.39443210129815</v>
      </c>
      <c r="AA121" s="16">
        <f>求节点(武将数量星级阶位验证!$J$97:$J$135,武将数量星级阶位验证!BL$97:BL$135,$X121)/武将数量星级阶位验证!D$6-1</f>
        <v>15.151588694144642</v>
      </c>
      <c r="AB121" s="71">
        <f>求节点(基础状态预期!$D$107:$D$145,基础状态预期!$O$107:$O$145,$X121)</f>
        <v>8</v>
      </c>
    </row>
    <row r="122" spans="4:28" x14ac:dyDescent="0.15">
      <c r="D122" s="16">
        <v>29</v>
      </c>
      <c r="F122" s="16">
        <f>基础状态预期!C132</f>
        <v>1959.9999999999998</v>
      </c>
      <c r="G122" s="16">
        <f>MIN(武将升星!E$14,求节点(武将升星!E$104:E$112,武将升星!$C$104:$C$112,武将数量星级阶位验证!BJ122/武将数量星级阶位验证!B$6))</f>
        <v>3</v>
      </c>
      <c r="H122" s="16">
        <f>MIN(武将升星!F$14,求节点(武将升星!F$104:F$112,武将升星!$C$104:$C$112,武将数量星级阶位验证!BK122/武将数量星级阶位验证!C$6))</f>
        <v>6</v>
      </c>
      <c r="I122" s="114">
        <f>求节点(武将升星!G$104:G$112,武将升星!$C$104:$C$112,MAX((武将数量星级阶位验证!BL122-武将数量星级阶位验证!BN122)/武将数量星级阶位验证!D$6+武将数量星级阶位验证!BN122/6,0))</f>
        <v>8</v>
      </c>
      <c r="J122" s="71">
        <f>基础状态预期!O132</f>
        <v>8</v>
      </c>
      <c r="L122" s="16">
        <f>武将升星!E$58+武将升星!E$59*G122</f>
        <v>75</v>
      </c>
      <c r="M122" s="16">
        <f>武将升星!F$58+武将升星!F$59*H122</f>
        <v>100</v>
      </c>
      <c r="N122" s="16">
        <f>武将升星!G$58+武将升星!G$59*I122</f>
        <v>125</v>
      </c>
      <c r="O122" s="16">
        <f>武将升星!H$58+武将升星!H$59*J122</f>
        <v>148</v>
      </c>
      <c r="P122" s="16">
        <v>169.91158233085099</v>
      </c>
      <c r="Q122" s="16">
        <f>求节点(武将升星!$C$68:$C$76,武将升星!E$68:E$76,G122)</f>
        <v>0.15</v>
      </c>
      <c r="R122" s="16">
        <f>求节点(武将升星!$C$68:$C$76,武将升星!F$68:F$76,H122)</f>
        <v>0.39999999999999997</v>
      </c>
      <c r="S122" s="16">
        <f>求节点(武将升星!$C$68:$C$76,武将升星!G$68:G$76,I122)</f>
        <v>0.79200000000000026</v>
      </c>
      <c r="T122" s="16">
        <f>求节点(武将升星!$C$68:$C$76,武将升星!H$68:H$76,J122)</f>
        <v>1.1399999999999999</v>
      </c>
      <c r="U122" s="16">
        <v>1.5736737349627601</v>
      </c>
      <c r="X122" s="16">
        <v>94</v>
      </c>
      <c r="Y122" s="16">
        <f>求节点(武将数量星级阶位验证!$J$97:$J$135,武将数量星级阶位验证!BJ$97:BJ$135,$X122)/武将数量星级阶位验证!B$6-1</f>
        <v>1282.0323244096408</v>
      </c>
      <c r="Z122" s="16">
        <f>求节点(武将数量星级阶位验证!$J$97:$J$135,武将数量星级阶位验证!BK$97:BK$135,$X122)/武将数量星级阶位验证!C$6-1</f>
        <v>267.04355671489031</v>
      </c>
      <c r="AA122" s="16">
        <f>求节点(武将数量星级阶位验证!$J$97:$J$135,武将数量星级阶位验证!BL$97:BL$135,$X122)/武将数量星级阶位验证!D$6-1</f>
        <v>15.999300441937461</v>
      </c>
      <c r="AB122" s="71">
        <f>求节点(基础状态预期!$D$107:$D$145,基础状态预期!$O$107:$O$145,$X122)</f>
        <v>8</v>
      </c>
    </row>
    <row r="123" spans="4:28" x14ac:dyDescent="0.15">
      <c r="D123" s="16">
        <v>30</v>
      </c>
      <c r="F123" s="16">
        <f>基础状态预期!C133</f>
        <v>2506</v>
      </c>
      <c r="G123" s="16">
        <f>MIN(武将升星!E$14,求节点(武将升星!E$104:E$112,武将升星!$C$104:$C$112,武将数量星级阶位验证!BJ123/武将数量星级阶位验证!B$6))</f>
        <v>3</v>
      </c>
      <c r="H123" s="16">
        <f>MIN(武将升星!F$14,求节点(武将升星!F$104:F$112,武将升星!$C$104:$C$112,武将数量星级阶位验证!BK123/武将数量星级阶位验证!C$6))</f>
        <v>6</v>
      </c>
      <c r="I123" s="114">
        <f>求节点(武将升星!G$104:G$112,武将升星!$C$104:$C$112,MAX((武将数量星级阶位验证!BL123-武将数量星级阶位验证!BN123)/武将数量星级阶位验证!D$6+武将数量星级阶位验证!BN123/6,0))</f>
        <v>8</v>
      </c>
      <c r="J123" s="71">
        <f>基础状态预期!O133</f>
        <v>8</v>
      </c>
      <c r="L123" s="16">
        <f>武将升星!E$58+武将升星!E$59*G123</f>
        <v>75</v>
      </c>
      <c r="M123" s="16">
        <f>武将升星!F$58+武将升星!F$59*H123</f>
        <v>100</v>
      </c>
      <c r="N123" s="16">
        <f>武将升星!G$58+武将升星!G$59*I123</f>
        <v>125</v>
      </c>
      <c r="O123" s="16">
        <f>武将升星!H$58+武将升星!H$59*J123</f>
        <v>148</v>
      </c>
      <c r="P123" s="16">
        <v>172.886471227394</v>
      </c>
      <c r="Q123" s="16">
        <f>求节点(武将升星!$C$68:$C$76,武将升星!E$68:E$76,G123)</f>
        <v>0.15</v>
      </c>
      <c r="R123" s="16">
        <f>求节点(武将升星!$C$68:$C$76,武将升星!F$68:F$76,H123)</f>
        <v>0.39999999999999997</v>
      </c>
      <c r="S123" s="16">
        <f>求节点(武将升星!$C$68:$C$76,武将升星!G$68:G$76,I123)</f>
        <v>0.79200000000000026</v>
      </c>
      <c r="T123" s="16">
        <f>求节点(武将升星!$C$68:$C$76,武将升星!H$68:H$76,J123)</f>
        <v>1.1399999999999999</v>
      </c>
      <c r="U123" s="16">
        <v>1.6182970684109099</v>
      </c>
      <c r="X123" s="16">
        <v>95</v>
      </c>
      <c r="Y123" s="16">
        <f>求节点(武将数量星级阶位验证!$J$97:$J$135,武将数量星级阶位验证!BJ$97:BJ$135,$X123)/武将数量星级阶位验证!B$6-1</f>
        <v>1363.302967584495</v>
      </c>
      <c r="Z123" s="16">
        <f>求节点(武将数量星级阶位验证!$J$97:$J$135,武将数量星级阶位验证!BK$97:BK$135,$X123)/武将数量星级阶位验证!C$6-1</f>
        <v>283.05207875403346</v>
      </c>
      <c r="AA123" s="16">
        <f>求节点(武将数量星级阶位验证!$J$97:$J$135,武将数量星级阶位验证!BL$97:BL$135,$X123)/武将数量星级阶位验证!D$6-1</f>
        <v>16.925157248209128</v>
      </c>
      <c r="AB123" s="71">
        <f>求节点(基础状态预期!$D$107:$D$145,基础状态预期!$O$107:$O$145,$X123)</f>
        <v>8</v>
      </c>
    </row>
    <row r="124" spans="4:28" x14ac:dyDescent="0.15">
      <c r="D124" s="16">
        <v>31</v>
      </c>
      <c r="F124" s="16">
        <f>基础状态预期!C134</f>
        <v>3178</v>
      </c>
      <c r="G124" s="16">
        <f>MIN(武将升星!E$14,求节点(武将升星!E$104:E$112,武将升星!$C$104:$C$112,武将数量星级阶位验证!BJ124/武将数量星级阶位验证!B$6))</f>
        <v>3</v>
      </c>
      <c r="H124" s="16">
        <f>MIN(武将升星!F$14,求节点(武将升星!F$104:F$112,武将升星!$C$104:$C$112,武将数量星级阶位验证!BK124/武将数量星级阶位验证!C$6))</f>
        <v>6</v>
      </c>
      <c r="I124" s="114">
        <f>求节点(武将升星!G$104:G$112,武将升星!$C$104:$C$112,MAX((武将数量星级阶位验证!BL124-武将数量星级阶位验证!BN124)/武将数量星级阶位验证!D$6+武将数量星级阶位验证!BN124/6,0))</f>
        <v>8</v>
      </c>
      <c r="J124" s="71">
        <f>基础状态预期!O134</f>
        <v>8</v>
      </c>
      <c r="L124" s="16">
        <f>武将升星!E$58+武将升星!E$59*G124</f>
        <v>75</v>
      </c>
      <c r="M124" s="16">
        <f>武将升星!F$58+武将升星!F$59*H124</f>
        <v>100</v>
      </c>
      <c r="N124" s="16">
        <f>武将升星!G$58+武将升星!G$59*I124</f>
        <v>125</v>
      </c>
      <c r="O124" s="16">
        <f>武将升星!H$58+武将升星!H$59*J124</f>
        <v>148</v>
      </c>
      <c r="P124" s="16">
        <v>175.861360123937</v>
      </c>
      <c r="Q124" s="16">
        <f>求节点(武将升星!$C$68:$C$76,武将升星!E$68:E$76,G124)</f>
        <v>0.15</v>
      </c>
      <c r="R124" s="16">
        <f>求节点(武将升星!$C$68:$C$76,武将升星!F$68:F$76,H124)</f>
        <v>0.39999999999999997</v>
      </c>
      <c r="S124" s="16">
        <f>求节点(武将升星!$C$68:$C$76,武将升星!G$68:G$76,I124)</f>
        <v>0.79200000000000026</v>
      </c>
      <c r="T124" s="16">
        <f>求节点(武将升星!$C$68:$C$76,武将升星!H$68:H$76,J124)</f>
        <v>1.1399999999999999</v>
      </c>
      <c r="U124" s="16">
        <v>1.66292040185906</v>
      </c>
      <c r="X124" s="16">
        <v>96</v>
      </c>
      <c r="Y124" s="16">
        <f>求节点(武将数量星级阶位验证!$J$97:$J$135,武将数量星级阶位验证!BJ$97:BJ$135,$X124)/武将数量星级阶位验证!B$6-1</f>
        <v>1444.5736107593493</v>
      </c>
      <c r="Z124" s="16">
        <f>求节点(武将数量星级阶位验证!$J$97:$J$135,武将数量星级阶位验证!BK$97:BK$135,$X124)/武将数量星级阶位验证!C$6-1</f>
        <v>299.06060079317666</v>
      </c>
      <c r="AA124" s="16">
        <f>求节点(武将数量星级阶位验证!$J$97:$J$135,武将数量星级阶位验证!BL$97:BL$135,$X124)/武将数量星级阶位验证!D$6-1</f>
        <v>17.851014054480803</v>
      </c>
      <c r="AB124" s="71">
        <f>求节点(基础状态预期!$D$107:$D$145,基础状态预期!$O$107:$O$145,$X124)</f>
        <v>8</v>
      </c>
    </row>
    <row r="125" spans="4:28" x14ac:dyDescent="0.15">
      <c r="D125" s="16">
        <v>32</v>
      </c>
      <c r="F125" s="16">
        <f>基础状态预期!C135</f>
        <v>4059.9999999999995</v>
      </c>
      <c r="G125" s="16">
        <f>MIN(武将升星!E$14,求节点(武将升星!E$104:E$112,武将升星!$C$104:$C$112,武将数量星级阶位验证!BJ125/武将数量星级阶位验证!B$6))</f>
        <v>3</v>
      </c>
      <c r="H125" s="16">
        <f>MIN(武将升星!F$14,求节点(武将升星!F$104:F$112,武将升星!$C$104:$C$112,武将数量星级阶位验证!BK125/武将数量星级阶位验证!C$6))</f>
        <v>6</v>
      </c>
      <c r="I125" s="114">
        <f>求节点(武将升星!G$104:G$112,武将升星!$C$104:$C$112,MAX((武将数量星级阶位验证!BL125-武将数量星级阶位验证!BN125)/武将数量星级阶位验证!D$6+武将数量星级阶位验证!BN125/6,0))</f>
        <v>8</v>
      </c>
      <c r="J125" s="71">
        <f>基础状态预期!O135</f>
        <v>8</v>
      </c>
      <c r="L125" s="16">
        <f>武将升星!E$58+武将升星!E$59*G125</f>
        <v>75</v>
      </c>
      <c r="M125" s="16">
        <f>武将升星!F$58+武将升星!F$59*H125</f>
        <v>100</v>
      </c>
      <c r="N125" s="16">
        <f>武将升星!G$58+武将升星!G$59*I125</f>
        <v>125</v>
      </c>
      <c r="O125" s="16">
        <f>武将升星!H$58+武将升星!H$59*J125</f>
        <v>148</v>
      </c>
      <c r="P125" s="16">
        <v>178.83624902048101</v>
      </c>
      <c r="Q125" s="16">
        <f>求节点(武将升星!$C$68:$C$76,武将升星!E$68:E$76,G125)</f>
        <v>0.15</v>
      </c>
      <c r="R125" s="16">
        <f>求节点(武将升星!$C$68:$C$76,武将升星!F$68:F$76,H125)</f>
        <v>0.39999999999999997</v>
      </c>
      <c r="S125" s="16">
        <f>求节点(武将升星!$C$68:$C$76,武将升星!G$68:G$76,I125)</f>
        <v>0.79200000000000026</v>
      </c>
      <c r="T125" s="16">
        <f>求节点(武将升星!$C$68:$C$76,武将升星!H$68:H$76,J125)</f>
        <v>1.1399999999999999</v>
      </c>
      <c r="U125" s="16">
        <v>1.70754373530721</v>
      </c>
      <c r="X125" s="16">
        <v>97</v>
      </c>
      <c r="Y125" s="16">
        <f>求节点(武将数量星级阶位验证!$J$97:$J$135,武将数量星级阶位验证!BJ$97:BJ$135,$X125)/武将数量星级阶位验证!B$6-1</f>
        <v>1525.8442539342034</v>
      </c>
      <c r="Z125" s="16">
        <f>求节点(武将数量星级阶位验证!$J$97:$J$135,武将数量星级阶位验证!BK$97:BK$135,$X125)/武将数量星级阶位验证!C$6-1</f>
        <v>315.06912283231986</v>
      </c>
      <c r="AA125" s="16">
        <f>求节点(武将数量星级阶位验证!$J$97:$J$135,武将数量星级阶位验证!BL$97:BL$135,$X125)/武将数量星级阶位验证!D$6-1</f>
        <v>18.776870860752474</v>
      </c>
      <c r="AB125" s="71">
        <f>求节点(基础状态预期!$D$107:$D$145,基础状态预期!$O$107:$O$145,$X125)</f>
        <v>8</v>
      </c>
    </row>
    <row r="126" spans="4:28" x14ac:dyDescent="0.15">
      <c r="D126" s="16">
        <v>33</v>
      </c>
      <c r="F126" s="16">
        <f>基础状态预期!C136</f>
        <v>5194</v>
      </c>
      <c r="G126" s="16">
        <f>MIN(武将升星!E$14,求节点(武将升星!E$104:E$112,武将升星!$C$104:$C$112,武将数量星级阶位验证!BJ126/武将数量星级阶位验证!B$6))</f>
        <v>3</v>
      </c>
      <c r="H126" s="16">
        <f>MIN(武将升星!F$14,求节点(武将升星!F$104:F$112,武将升星!$C$104:$C$112,武将数量星级阶位验证!BK126/武将数量星级阶位验证!C$6))</f>
        <v>6</v>
      </c>
      <c r="I126" s="114">
        <f>求节点(武将升星!G$104:G$112,武将升星!$C$104:$C$112,MAX((武将数量星级阶位验证!BL126-武将数量星级阶位验证!BN126)/武将数量星级阶位验证!D$6+武将数量星级阶位验证!BN126/6,0))</f>
        <v>8</v>
      </c>
      <c r="J126" s="71">
        <f>基础状态预期!O136</f>
        <v>8</v>
      </c>
      <c r="L126" s="16">
        <f>武将升星!E$58+武将升星!E$59*G126</f>
        <v>75</v>
      </c>
      <c r="M126" s="16">
        <f>武将升星!F$58+武将升星!F$59*H126</f>
        <v>100</v>
      </c>
      <c r="N126" s="16">
        <f>武将升星!G$58+武将升星!G$59*I126</f>
        <v>125</v>
      </c>
      <c r="O126" s="16">
        <f>武将升星!H$58+武将升星!H$59*J126</f>
        <v>148</v>
      </c>
      <c r="P126" s="16">
        <v>181.81113791702401</v>
      </c>
      <c r="Q126" s="16">
        <f>求节点(武将升星!$C$68:$C$76,武将升星!E$68:E$76,G126)</f>
        <v>0.15</v>
      </c>
      <c r="R126" s="16">
        <f>求节点(武将升星!$C$68:$C$76,武将升星!F$68:F$76,H126)</f>
        <v>0.39999999999999997</v>
      </c>
      <c r="S126" s="16">
        <f>求节点(武将升星!$C$68:$C$76,武将升星!G$68:G$76,I126)</f>
        <v>0.79200000000000026</v>
      </c>
      <c r="T126" s="16">
        <f>求节点(武将升星!$C$68:$C$76,武将升星!H$68:H$76,J126)</f>
        <v>1.1399999999999999</v>
      </c>
      <c r="U126" s="16">
        <v>1.7521670687553501</v>
      </c>
      <c r="X126" s="16">
        <v>98</v>
      </c>
      <c r="Y126" s="16">
        <f>求节点(武将数量星级阶位验证!$J$97:$J$135,武将数量星级阶位验证!BJ$97:BJ$135,$X126)/武将数量星级阶位验证!B$6-1</f>
        <v>1630.5971114232716</v>
      </c>
      <c r="Z126" s="16">
        <f>求节点(武将数量星级阶位验证!$J$97:$J$135,武将数量星级阶位验证!BK$97:BK$135,$X126)/武将数量星级阶位验证!C$6-1</f>
        <v>335.50873382962209</v>
      </c>
      <c r="AA126" s="16">
        <f>求节点(武将数量星级阶位验证!$J$97:$J$135,武将数量星级阶位验证!BL$97:BL$135,$X126)/武将数量星级阶位验证!D$6-1</f>
        <v>19.95792908774277</v>
      </c>
      <c r="AB126" s="71">
        <f>求节点(基础状态预期!$D$107:$D$145,基础状态预期!$O$107:$O$145,$X126)</f>
        <v>8</v>
      </c>
    </row>
    <row r="127" spans="4:28" x14ac:dyDescent="0.15">
      <c r="D127" s="16">
        <v>34</v>
      </c>
      <c r="F127" s="16">
        <f>基础状态预期!C137</f>
        <v>6622</v>
      </c>
      <c r="G127" s="16">
        <f>MIN(武将升星!E$14,求节点(武将升星!E$104:E$112,武将升星!$C$104:$C$112,武将数量星级阶位验证!BJ127/武将数量星级阶位验证!B$6))</f>
        <v>3</v>
      </c>
      <c r="H127" s="16">
        <f>MIN(武将升星!F$14,求节点(武将升星!F$104:F$112,武将升星!$C$104:$C$112,武将数量星级阶位验证!BK127/武将数量星级阶位验证!C$6))</f>
        <v>6</v>
      </c>
      <c r="I127" s="114">
        <f>求节点(武将升星!G$104:G$112,武将升星!$C$104:$C$112,MAX((武将数量星级阶位验证!BL127-武将数量星级阶位验证!BN127)/武将数量星级阶位验证!D$6+武将数量星级阶位验证!BN127/6,0))</f>
        <v>8</v>
      </c>
      <c r="J127" s="71">
        <f>基础状态预期!O137</f>
        <v>8</v>
      </c>
      <c r="L127" s="16">
        <f>武将升星!E$58+武将升星!E$59*G127</f>
        <v>75</v>
      </c>
      <c r="M127" s="16">
        <f>武将升星!F$58+武将升星!F$59*H127</f>
        <v>100</v>
      </c>
      <c r="N127" s="16">
        <f>武将升星!G$58+武将升星!G$59*I127</f>
        <v>125</v>
      </c>
      <c r="O127" s="16">
        <f>武将升星!H$58+武将升星!H$59*J127</f>
        <v>148</v>
      </c>
      <c r="P127" s="16">
        <v>184.78602681356699</v>
      </c>
      <c r="Q127" s="16">
        <f>求节点(武将升星!$C$68:$C$76,武将升星!E$68:E$76,G127)</f>
        <v>0.15</v>
      </c>
      <c r="R127" s="16">
        <f>求节点(武将升星!$C$68:$C$76,武将升星!F$68:F$76,H127)</f>
        <v>0.39999999999999997</v>
      </c>
      <c r="S127" s="16">
        <f>求节点(武将升星!$C$68:$C$76,武将升星!G$68:G$76,I127)</f>
        <v>0.79200000000000026</v>
      </c>
      <c r="T127" s="16">
        <f>求节点(武将升星!$C$68:$C$76,武将升星!H$68:H$76,J127)</f>
        <v>1.1399999999999999</v>
      </c>
      <c r="U127" s="16">
        <v>1.7967904022034999</v>
      </c>
      <c r="X127" s="16">
        <v>99</v>
      </c>
      <c r="Y127" s="16">
        <f>求节点(武将数量星级阶位验证!$J$97:$J$135,武将数量星级阶位验证!BJ$97:BJ$135,$X127)/武将数量星级阶位验证!B$6-1</f>
        <v>1738.174867969203</v>
      </c>
      <c r="Z127" s="16">
        <f>求节点(武将数量星级阶位验证!$J$97:$J$135,武将数量星级阶位验证!BK$97:BK$135,$X127)/武将数量星级阶位验证!C$6-1</f>
        <v>356.48140269153993</v>
      </c>
      <c r="AA127" s="16">
        <f>求节点(武将数量星级阶位验证!$J$97:$J$135,武将数量星级阶位验证!BL$97:BL$135,$X127)/武将数量星级阶位验证!D$6-1</f>
        <v>21.169687922565508</v>
      </c>
      <c r="AB127" s="71">
        <f>求节点(基础状态预期!$D$107:$D$145,基础状态预期!$O$107:$O$145,$X127)</f>
        <v>8</v>
      </c>
    </row>
    <row r="128" spans="4:28" x14ac:dyDescent="0.15">
      <c r="D128" s="16">
        <v>35</v>
      </c>
      <c r="F128" s="16">
        <f>基础状态预期!C138</f>
        <v>8428</v>
      </c>
      <c r="G128" s="16">
        <f>MIN(武将升星!E$14,求节点(武将升星!E$104:E$112,武将升星!$C$104:$C$112,武将数量星级阶位验证!BJ128/武将数量星级阶位验证!B$6))</f>
        <v>3</v>
      </c>
      <c r="H128" s="16">
        <f>MIN(武将升星!F$14,求节点(武将升星!F$104:F$112,武将升星!$C$104:$C$112,武将数量星级阶位验证!BK128/武将数量星级阶位验证!C$6))</f>
        <v>6</v>
      </c>
      <c r="I128" s="114">
        <f>求节点(武将升星!G$104:G$112,武将升星!$C$104:$C$112,MAX((武将数量星级阶位验证!BL128-武将数量星级阶位验证!BN128)/武将数量星级阶位验证!D$6+武将数量星级阶位验证!BN128/6,0))</f>
        <v>8</v>
      </c>
      <c r="J128" s="71">
        <f>基础状态预期!O138</f>
        <v>8</v>
      </c>
      <c r="L128" s="16">
        <f>武将升星!E$58+武将升星!E$59*G128</f>
        <v>75</v>
      </c>
      <c r="M128" s="16">
        <f>武将升星!F$58+武将升星!F$59*H128</f>
        <v>100</v>
      </c>
      <c r="N128" s="16">
        <f>武将升星!G$58+武将升星!G$59*I128</f>
        <v>125</v>
      </c>
      <c r="O128" s="16">
        <f>武将升星!H$58+武将升星!H$59*J128</f>
        <v>148</v>
      </c>
      <c r="P128" s="16">
        <v>187.76091571011</v>
      </c>
      <c r="Q128" s="16">
        <f>求节点(武将升星!$C$68:$C$76,武将升星!E$68:E$76,G128)</f>
        <v>0.15</v>
      </c>
      <c r="R128" s="16">
        <f>求节点(武将升星!$C$68:$C$76,武将升星!F$68:F$76,H128)</f>
        <v>0.39999999999999997</v>
      </c>
      <c r="S128" s="16">
        <f>求节点(武将升星!$C$68:$C$76,武将升星!G$68:G$76,I128)</f>
        <v>0.79200000000000026</v>
      </c>
      <c r="T128" s="16">
        <f>求节点(武将升星!$C$68:$C$76,武将升星!H$68:H$76,J128)</f>
        <v>1.1399999999999999</v>
      </c>
      <c r="U128" s="16">
        <v>1.84141373565165</v>
      </c>
      <c r="X128" s="16">
        <v>100</v>
      </c>
      <c r="Y128" s="16">
        <f>求节点(武将数量星级阶位验证!$J$97:$J$135,武将数量星级阶位验证!BJ$97:BJ$135,$X128)/武将数量星级阶位验证!B$6-1</f>
        <v>1845.7526245151346</v>
      </c>
      <c r="Z128" s="16">
        <f>求节点(武将数量星级阶位验证!$J$97:$J$135,武将数量星级阶位验证!BK$97:BK$135,$X128)/武将数量星级阶位验证!C$6-1</f>
        <v>377.45407155345777</v>
      </c>
      <c r="AA128" s="16">
        <f>求节点(武将数量星级阶位验证!$J$97:$J$135,武将数量星级阶位验证!BL$97:BL$135,$X128)/武将数量星级阶位验证!D$6-1</f>
        <v>22.381446757388254</v>
      </c>
      <c r="AB128" s="71">
        <f>求节点(基础状态预期!$D$107:$D$145,基础状态预期!$O$107:$O$145,$X128)</f>
        <v>8</v>
      </c>
    </row>
    <row r="129" spans="4:21" x14ac:dyDescent="0.15">
      <c r="D129" s="16">
        <v>36</v>
      </c>
      <c r="F129" s="16">
        <f>基础状态预期!C139</f>
        <v>10738</v>
      </c>
      <c r="G129" s="16">
        <f>MIN(武将升星!E$14,求节点(武将升星!E$104:E$112,武将升星!$C$104:$C$112,武将数量星级阶位验证!BJ129/武将数量星级阶位验证!B$6))</f>
        <v>3</v>
      </c>
      <c r="H129" s="16">
        <f>MIN(武将升星!F$14,求节点(武将升星!F$104:F$112,武将升星!$C$104:$C$112,武将数量星级阶位验证!BK129/武将数量星级阶位验证!C$6))</f>
        <v>6</v>
      </c>
      <c r="I129" s="114">
        <f>求节点(武将升星!G$104:G$112,武将升星!$C$104:$C$112,MAX((武将数量星级阶位验证!BL129-武将数量星级阶位验证!BN129)/武将数量星级阶位验证!D$6+武将数量星级阶位验证!BN129/6,0))</f>
        <v>8</v>
      </c>
      <c r="J129" s="71">
        <f>基础状态预期!O139</f>
        <v>8</v>
      </c>
      <c r="L129" s="16">
        <f>武将升星!E$58+武将升星!E$59*G129</f>
        <v>75</v>
      </c>
      <c r="M129" s="16">
        <f>武将升星!F$58+武将升星!F$59*H129</f>
        <v>100</v>
      </c>
      <c r="N129" s="16">
        <f>武将升星!G$58+武将升星!G$59*I129</f>
        <v>125</v>
      </c>
      <c r="O129" s="16">
        <f>武将升星!H$58+武将升星!H$59*J129</f>
        <v>148</v>
      </c>
      <c r="P129" s="16">
        <v>190.73580460665301</v>
      </c>
      <c r="Q129" s="16">
        <f>求节点(武将升星!$C$68:$C$76,武将升星!E$68:E$76,G129)</f>
        <v>0.15</v>
      </c>
      <c r="R129" s="16">
        <f>求节点(武将升星!$C$68:$C$76,武将升星!F$68:F$76,H129)</f>
        <v>0.39999999999999997</v>
      </c>
      <c r="S129" s="16">
        <f>求节点(武将升星!$C$68:$C$76,武将升星!G$68:G$76,I129)</f>
        <v>0.79200000000000026</v>
      </c>
      <c r="T129" s="16">
        <f>求节点(武将升星!$C$68:$C$76,武将升星!H$68:H$76,J129)</f>
        <v>1.1399999999999999</v>
      </c>
      <c r="U129" s="16">
        <v>1.8860370690998001</v>
      </c>
    </row>
    <row r="130" spans="4:21" x14ac:dyDescent="0.15">
      <c r="D130" s="16">
        <v>37</v>
      </c>
      <c r="F130" s="16">
        <f>基础状态预期!C140</f>
        <v>13678</v>
      </c>
      <c r="G130" s="16">
        <f>MIN(武将升星!E$14,求节点(武将升星!E$104:E$112,武将升星!$C$104:$C$112,武将数量星级阶位验证!BJ130/武将数量星级阶位验证!B$6))</f>
        <v>3</v>
      </c>
      <c r="H130" s="16">
        <f>MIN(武将升星!F$14,求节点(武将升星!F$104:F$112,武将升星!$C$104:$C$112,武将数量星级阶位验证!BK130/武将数量星级阶位验证!C$6))</f>
        <v>6</v>
      </c>
      <c r="I130" s="114">
        <f>求节点(武将升星!G$104:G$112,武将升星!$C$104:$C$112,MAX((武将数量星级阶位验证!BL130-武将数量星级阶位验证!BN130)/武将数量星级阶位验证!D$6+武将数量星级阶位验证!BN130/6,0))</f>
        <v>8</v>
      </c>
      <c r="J130" s="71">
        <f>基础状态预期!O140</f>
        <v>8</v>
      </c>
      <c r="L130" s="16">
        <f>武将升星!E$58+武将升星!E$59*G130</f>
        <v>75</v>
      </c>
      <c r="M130" s="16">
        <f>武将升星!F$58+武将升星!F$59*H130</f>
        <v>100</v>
      </c>
      <c r="N130" s="16">
        <f>武将升星!G$58+武将升星!G$59*I130</f>
        <v>125</v>
      </c>
      <c r="O130" s="16">
        <f>武将升星!H$58+武将升星!H$59*J130</f>
        <v>148</v>
      </c>
      <c r="P130" s="16">
        <v>193.71069350319701</v>
      </c>
      <c r="Q130" s="16">
        <f>求节点(武将升星!$C$68:$C$76,武将升星!E$68:E$76,G130)</f>
        <v>0.15</v>
      </c>
      <c r="R130" s="16">
        <f>求节点(武将升星!$C$68:$C$76,武将升星!F$68:F$76,H130)</f>
        <v>0.39999999999999997</v>
      </c>
      <c r="S130" s="16">
        <f>求节点(武将升星!$C$68:$C$76,武将升星!G$68:G$76,I130)</f>
        <v>0.79200000000000026</v>
      </c>
      <c r="T130" s="16">
        <f>求节点(武将升星!$C$68:$C$76,武将升星!H$68:H$76,J130)</f>
        <v>1.1399999999999999</v>
      </c>
      <c r="U130" s="16">
        <v>1.9306604025479499</v>
      </c>
    </row>
    <row r="131" spans="4:21" x14ac:dyDescent="0.15">
      <c r="D131" s="16">
        <v>38</v>
      </c>
      <c r="F131" s="16">
        <f>基础状态预期!C141</f>
        <v>17416</v>
      </c>
      <c r="G131" s="16">
        <f>MIN(武将升星!E$14,求节点(武将升星!E$104:E$112,武将升星!$C$104:$C$112,武将数量星级阶位验证!BJ131/武将数量星级阶位验证!B$6))</f>
        <v>3</v>
      </c>
      <c r="H131" s="16">
        <f>MIN(武将升星!F$14,求节点(武将升星!F$104:F$112,武将升星!$C$104:$C$112,武将数量星级阶位验证!BK131/武将数量星级阶位验证!C$6))</f>
        <v>6</v>
      </c>
      <c r="I131" s="114">
        <f>求节点(武将升星!G$104:G$112,武将升星!$C$104:$C$112,MAX((武将数量星级阶位验证!BL131-武将数量星级阶位验证!BN131)/武将数量星级阶位验证!D$6+武将数量星级阶位验证!BN131/6,0))</f>
        <v>8</v>
      </c>
      <c r="J131" s="71">
        <f>基础状态预期!O141</f>
        <v>8</v>
      </c>
      <c r="L131" s="16">
        <f>武将升星!E$58+武将升星!E$59*G131</f>
        <v>75</v>
      </c>
      <c r="M131" s="16">
        <f>武将升星!F$58+武将升星!F$59*H131</f>
        <v>100</v>
      </c>
      <c r="N131" s="16">
        <f>武将升星!G$58+武将升星!G$59*I131</f>
        <v>125</v>
      </c>
      <c r="O131" s="16">
        <f>武将升星!H$58+武将升星!H$59*J131</f>
        <v>148</v>
      </c>
      <c r="P131" s="16">
        <v>196.68558239974001</v>
      </c>
      <c r="Q131" s="16">
        <f>求节点(武将升星!$C$68:$C$76,武将升星!E$68:E$76,G131)</f>
        <v>0.15</v>
      </c>
      <c r="R131" s="16">
        <f>求节点(武将升星!$C$68:$C$76,武将升星!F$68:F$76,H131)</f>
        <v>0.39999999999999997</v>
      </c>
      <c r="S131" s="16">
        <f>求节点(武将升星!$C$68:$C$76,武将升星!G$68:G$76,I131)</f>
        <v>0.79200000000000026</v>
      </c>
      <c r="T131" s="16">
        <f>求节点(武将升星!$C$68:$C$76,武将升星!H$68:H$76,J131)</f>
        <v>1.1399999999999999</v>
      </c>
      <c r="U131" s="16">
        <v>1.97528373599609</v>
      </c>
    </row>
    <row r="132" spans="4:21" x14ac:dyDescent="0.15">
      <c r="D132" s="16">
        <v>39</v>
      </c>
      <c r="F132" s="16">
        <f>基础状态预期!C142</f>
        <v>22204</v>
      </c>
      <c r="G132" s="16">
        <f>MIN(武将升星!E$14,求节点(武将升星!E$104:E$112,武将升星!$C$104:$C$112,武将数量星级阶位验证!BJ132/武将数量星级阶位验证!B$6))</f>
        <v>3</v>
      </c>
      <c r="H132" s="16">
        <f>MIN(武将升星!F$14,求节点(武将升星!F$104:F$112,武将升星!$C$104:$C$112,武将数量星级阶位验证!BK132/武将数量星级阶位验证!C$6))</f>
        <v>6</v>
      </c>
      <c r="I132" s="114">
        <f>求节点(武将升星!G$104:G$112,武将升星!$C$104:$C$112,MAX((武将数量星级阶位验证!BL132-武将数量星级阶位验证!BN132)/武将数量星级阶位验证!D$6+武将数量星级阶位验证!BN132/6,0))</f>
        <v>8</v>
      </c>
      <c r="J132" s="71">
        <f>基础状态预期!O142</f>
        <v>8</v>
      </c>
      <c r="L132" s="16">
        <f>武将升星!E$58+武将升星!E$59*G132</f>
        <v>75</v>
      </c>
      <c r="M132" s="16">
        <f>武将升星!F$58+武将升星!F$59*H132</f>
        <v>100</v>
      </c>
      <c r="N132" s="16">
        <f>武将升星!G$58+武将升星!G$59*I132</f>
        <v>125</v>
      </c>
      <c r="O132" s="16">
        <f>武将升星!H$58+武将升星!H$59*J132</f>
        <v>148</v>
      </c>
      <c r="P132" s="16">
        <v>199.66047129628299</v>
      </c>
      <c r="Q132" s="16">
        <f>求节点(武将升星!$C$68:$C$76,武将升星!E$68:E$76,G132)</f>
        <v>0.15</v>
      </c>
      <c r="R132" s="16">
        <f>求节点(武将升星!$C$68:$C$76,武将升星!F$68:F$76,H132)</f>
        <v>0.39999999999999997</v>
      </c>
      <c r="S132" s="16">
        <f>求节点(武将升星!$C$68:$C$76,武将升星!G$68:G$76,I132)</f>
        <v>0.79200000000000026</v>
      </c>
      <c r="T132" s="16">
        <f>求节点(武将升星!$C$68:$C$76,武将升星!H$68:H$76,J132)</f>
        <v>1.1399999999999999</v>
      </c>
      <c r="U132" s="16">
        <v>2.01990706944424</v>
      </c>
    </row>
    <row r="133" spans="4:21" x14ac:dyDescent="0.15">
      <c r="D133" s="16">
        <v>40</v>
      </c>
      <c r="F133" s="16">
        <f>基础状态预期!C143</f>
        <v>28294</v>
      </c>
      <c r="G133" s="16">
        <f>MIN(武将升星!E$14,求节点(武将升星!E$104:E$112,武将升星!$C$104:$C$112,武将数量星级阶位验证!BJ133/武将数量星级阶位验证!B$6))</f>
        <v>3</v>
      </c>
      <c r="H133" s="16">
        <f>MIN(武将升星!F$14,求节点(武将升星!F$104:F$112,武将升星!$C$104:$C$112,武将数量星级阶位验证!BK133/武将数量星级阶位验证!C$6))</f>
        <v>6</v>
      </c>
      <c r="I133" s="114">
        <f>求节点(武将升星!G$104:G$112,武将升星!$C$104:$C$112,MAX((武将数量星级阶位验证!BL133-武将数量星级阶位验证!BN133)/武将数量星级阶位验证!D$6+武将数量星级阶位验证!BN133/6,0))</f>
        <v>8</v>
      </c>
      <c r="J133" s="71">
        <f>基础状态预期!O143</f>
        <v>8</v>
      </c>
      <c r="L133" s="16">
        <f>武将升星!E$58+武将升星!E$59*G133</f>
        <v>75</v>
      </c>
      <c r="M133" s="16">
        <f>武将升星!F$58+武将升星!F$59*H133</f>
        <v>100</v>
      </c>
      <c r="N133" s="16">
        <f>武将升星!G$58+武将升星!G$59*I133</f>
        <v>125</v>
      </c>
      <c r="O133" s="16">
        <f>武将升星!H$58+武将升星!H$59*J133</f>
        <v>148</v>
      </c>
      <c r="P133" s="16">
        <v>202.635360192826</v>
      </c>
      <c r="Q133" s="16">
        <f>求节点(武将升星!$C$68:$C$76,武将升星!E$68:E$76,G133)</f>
        <v>0.15</v>
      </c>
      <c r="R133" s="16">
        <f>求节点(武将升星!$C$68:$C$76,武将升星!F$68:F$76,H133)</f>
        <v>0.39999999999999997</v>
      </c>
      <c r="S133" s="16">
        <f>求节点(武将升星!$C$68:$C$76,武将升星!G$68:G$76,I133)</f>
        <v>0.79200000000000026</v>
      </c>
      <c r="T133" s="16">
        <f>求节点(武将升星!$C$68:$C$76,武将升星!H$68:H$76,J133)</f>
        <v>1.1399999999999999</v>
      </c>
      <c r="U133" s="16">
        <v>2.0645304028923901</v>
      </c>
    </row>
    <row r="134" spans="4:21" x14ac:dyDescent="0.15">
      <c r="D134" s="16">
        <v>41</v>
      </c>
      <c r="F134" s="16">
        <f>基础状态预期!C144</f>
        <v>36064</v>
      </c>
      <c r="G134" s="16">
        <f>MIN(武将升星!E$14,求节点(武将升星!E$104:E$112,武将升星!$C$104:$C$112,武将数量星级阶位验证!BJ134/武将数量星级阶位验证!B$6))</f>
        <v>3</v>
      </c>
      <c r="H134" s="16">
        <f>MIN(武将升星!F$14,求节点(武将升星!F$104:F$112,武将升星!$C$104:$C$112,武将数量星级阶位验证!BK134/武将数量星级阶位验证!C$6))</f>
        <v>6</v>
      </c>
      <c r="I134" s="114">
        <f>求节点(武将升星!G$104:G$112,武将升星!$C$104:$C$112,MAX((武将数量星级阶位验证!BL134-武将数量星级阶位验证!BN134)/武将数量星级阶位验证!D$6+武将数量星级阶位验证!BN134/6,0))</f>
        <v>8</v>
      </c>
      <c r="J134" s="71">
        <f>基础状态预期!O144</f>
        <v>8</v>
      </c>
      <c r="L134" s="16">
        <f>武将升星!E$58+武将升星!E$59*G134</f>
        <v>75</v>
      </c>
      <c r="M134" s="16">
        <f>武将升星!F$58+武将升星!F$59*H134</f>
        <v>100</v>
      </c>
      <c r="N134" s="16">
        <f>武将升星!G$58+武将升星!G$59*I134</f>
        <v>125</v>
      </c>
      <c r="O134" s="16">
        <f>武将升星!H$58+武将升星!H$59*J134</f>
        <v>148</v>
      </c>
      <c r="P134" s="16">
        <v>205.61024908936901</v>
      </c>
      <c r="Q134" s="16">
        <f>求节点(武将升星!$C$68:$C$76,武将升星!E$68:E$76,G134)</f>
        <v>0.15</v>
      </c>
      <c r="R134" s="16">
        <f>求节点(武将升星!$C$68:$C$76,武将升星!F$68:F$76,H134)</f>
        <v>0.39999999999999997</v>
      </c>
      <c r="S134" s="16">
        <f>求节点(武将升星!$C$68:$C$76,武将升星!G$68:G$76,I134)</f>
        <v>0.79200000000000026</v>
      </c>
      <c r="T134" s="16">
        <f>求节点(武将升星!$C$68:$C$76,武将升星!H$68:H$76,J134)</f>
        <v>1.1399999999999999</v>
      </c>
      <c r="U134" s="16">
        <v>2.1091537363405402</v>
      </c>
    </row>
    <row r="135" spans="4:21" x14ac:dyDescent="0.15">
      <c r="D135" s="16">
        <v>42</v>
      </c>
      <c r="F135" s="16">
        <f>基础状态预期!C145</f>
        <v>45850</v>
      </c>
      <c r="G135" s="16">
        <f>MIN(武将升星!E$14,求节点(武将升星!E$104:E$112,武将升星!$C$104:$C$112,武将数量星级阶位验证!BJ135/武将数量星级阶位验证!B$6))</f>
        <v>3</v>
      </c>
      <c r="H135" s="16">
        <f>MIN(武将升星!F$14,求节点(武将升星!F$104:F$112,武将升星!$C$104:$C$112,武将数量星级阶位验证!BK135/武将数量星级阶位验证!C$6))</f>
        <v>6</v>
      </c>
      <c r="I135" s="114">
        <f>求节点(武将升星!G$104:G$112,武将升星!$C$104:$C$112,MAX((武将数量星级阶位验证!BL135-武将数量星级阶位验证!BN135)/武将数量星级阶位验证!D$6+武将数量星级阶位验证!BN135/6,0))</f>
        <v>8</v>
      </c>
      <c r="J135" s="71">
        <f>基础状态预期!O145</f>
        <v>8</v>
      </c>
      <c r="L135" s="16">
        <f>武将升星!E$58+武将升星!E$59*G135</f>
        <v>75</v>
      </c>
      <c r="M135" s="16">
        <f>武将升星!F$58+武将升星!F$59*H135</f>
        <v>100</v>
      </c>
      <c r="N135" s="16">
        <f>武将升星!G$58+武将升星!G$59*I135</f>
        <v>125</v>
      </c>
      <c r="O135" s="16">
        <f>武将升星!H$58+武将升星!H$59*J135</f>
        <v>148</v>
      </c>
      <c r="P135" s="16">
        <v>208.58513798591301</v>
      </c>
      <c r="Q135" s="16">
        <f>求节点(武将升星!$C$68:$C$76,武将升星!E$68:E$76,G135)</f>
        <v>0.15</v>
      </c>
      <c r="R135" s="16">
        <f>求节点(武将升星!$C$68:$C$76,武将升星!F$68:F$76,H135)</f>
        <v>0.39999999999999997</v>
      </c>
      <c r="S135" s="16">
        <f>求节点(武将升星!$C$68:$C$76,武将升星!G$68:G$76,I135)</f>
        <v>0.79200000000000026</v>
      </c>
      <c r="T135" s="16">
        <f>求节点(武将升星!$C$68:$C$76,武将升星!H$68:H$76,J135)</f>
        <v>1.1399999999999999</v>
      </c>
      <c r="U135" s="16">
        <v>2.1537770697886902</v>
      </c>
    </row>
    <row r="136" spans="4:21" x14ac:dyDescent="0.15">
      <c r="D136" s="16">
        <v>43</v>
      </c>
    </row>
    <row r="137" spans="4:21" x14ac:dyDescent="0.15">
      <c r="D137" s="16">
        <v>44</v>
      </c>
    </row>
    <row r="138" spans="4:21" x14ac:dyDescent="0.15">
      <c r="D138" s="16">
        <v>45</v>
      </c>
    </row>
    <row r="139" spans="4:21" x14ac:dyDescent="0.15">
      <c r="D139" s="16">
        <v>1</v>
      </c>
    </row>
    <row r="140" spans="4:21" x14ac:dyDescent="0.15">
      <c r="D140" s="16">
        <v>2</v>
      </c>
      <c r="G140" s="16" t="s">
        <v>400</v>
      </c>
      <c r="L140" s="16" t="s">
        <v>401</v>
      </c>
      <c r="Q140" s="16" t="s">
        <v>402</v>
      </c>
    </row>
    <row r="141" spans="4:21" x14ac:dyDescent="0.15">
      <c r="D141" s="16">
        <v>3</v>
      </c>
      <c r="F141" s="16" t="s">
        <v>406</v>
      </c>
      <c r="G141" s="29" t="s">
        <v>1</v>
      </c>
      <c r="H141" s="29" t="s">
        <v>2</v>
      </c>
      <c r="I141" s="29" t="s">
        <v>0</v>
      </c>
      <c r="J141" s="14" t="s">
        <v>545</v>
      </c>
      <c r="L141" s="29" t="s">
        <v>1</v>
      </c>
      <c r="M141" s="29" t="s">
        <v>2</v>
      </c>
      <c r="N141" s="29" t="s">
        <v>0</v>
      </c>
      <c r="O141" s="14" t="s">
        <v>545</v>
      </c>
      <c r="P141" s="16" t="s">
        <v>84</v>
      </c>
      <c r="Q141" s="29" t="s">
        <v>1</v>
      </c>
      <c r="R141" s="29" t="s">
        <v>2</v>
      </c>
      <c r="S141" s="29" t="s">
        <v>0</v>
      </c>
      <c r="T141" s="14" t="s">
        <v>545</v>
      </c>
      <c r="U141" s="16" t="s">
        <v>84</v>
      </c>
    </row>
    <row r="142" spans="4:21" x14ac:dyDescent="0.15">
      <c r="D142" s="16">
        <v>4</v>
      </c>
      <c r="F142" s="16">
        <f>基础状态预期!C152</f>
        <v>0.5</v>
      </c>
      <c r="G142" s="16">
        <f>MIN(武将升星!E$14,求节点(武将升星!E$104:E$112,武将升星!$C$104:$C$112,武将数量星级阶位验证!BJ142/武将数量星级阶位验证!B$6))</f>
        <v>3</v>
      </c>
      <c r="H142" s="16">
        <f>MIN(武将升星!F$14,求节点(武将升星!F$104:F$112,武将升星!$C$104:$C$112,武将数量星级阶位验证!BK142/武将数量星级阶位验证!C$6))</f>
        <v>2.1748491953691911</v>
      </c>
      <c r="I142" s="114">
        <f>求节点(武将升星!G$104:G$112,武将升星!$C$104:$C$112,MAX((武将数量星级阶位验证!BL142-武将数量星级阶位验证!BN142)/武将数量星级阶位验证!D$6+武将数量星级阶位验证!BN142/6,0))</f>
        <v>0</v>
      </c>
      <c r="J142" s="71">
        <f>基础状态预期!O152</f>
        <v>0</v>
      </c>
      <c r="L142" s="16">
        <f>武将升星!E$58+武将升星!E$59*G142</f>
        <v>75</v>
      </c>
      <c r="M142" s="16">
        <f>武将升星!F$58+武将升星!F$59*H142</f>
        <v>80.874245976845955</v>
      </c>
      <c r="N142" s="16">
        <f>武将升星!G$58+武将升星!G$59*I142</f>
        <v>85</v>
      </c>
      <c r="O142" s="16">
        <f>武将升星!H$58+武将升星!H$59*J142</f>
        <v>100</v>
      </c>
      <c r="P142" s="16">
        <v>105</v>
      </c>
      <c r="Q142" s="16">
        <f>求节点(武将升星!$C$68:$C$76,武将升星!E$68:E$76,G142)</f>
        <v>0.15</v>
      </c>
      <c r="R142" s="16">
        <f>求节点(武将升星!$C$68:$C$76,武将升星!F$68:F$76,H142)</f>
        <v>0.20874245976845957</v>
      </c>
      <c r="S142" s="16">
        <f>求节点(武将升星!$C$68:$C$76,武将升星!G$68:G$76,I142)</f>
        <v>0.216</v>
      </c>
      <c r="T142" s="16">
        <f>求节点(武将升星!$C$68:$C$76,武将升星!H$68:H$76,J142)</f>
        <v>0.5</v>
      </c>
      <c r="U142" s="16">
        <v>0.6</v>
      </c>
    </row>
    <row r="143" spans="4:21" x14ac:dyDescent="0.15">
      <c r="D143" s="16">
        <v>5</v>
      </c>
      <c r="F143" s="16">
        <f>基础状态预期!C153</f>
        <v>1.5</v>
      </c>
      <c r="G143" s="16">
        <f>MIN(武将升星!E$14,求节点(武将升星!E$104:E$112,武将升星!$C$104:$C$112,武将数量星级阶位验证!BJ143/武将数量星级阶位验证!B$6))</f>
        <v>3</v>
      </c>
      <c r="H143" s="16">
        <f>MIN(武将升星!F$14,求节点(武将升星!F$104:F$112,武将升星!$C$104:$C$112,武将数量星级阶位验证!BK143/武将数量星级阶位验证!C$6))</f>
        <v>4.2862108599907742</v>
      </c>
      <c r="I143" s="114">
        <f>求节点(武将升星!G$104:G$112,武将升星!$C$104:$C$112,MAX((武将数量星级阶位验证!BL143-武将数量星级阶位验证!BN143)/武将数量星级阶位验证!D$6+武将数量星级阶位验证!BN143/6,0))</f>
        <v>0.25078366524688622</v>
      </c>
      <c r="J143" s="71">
        <f>基础状态预期!O153</f>
        <v>0</v>
      </c>
      <c r="L143" s="16">
        <f>武将升星!E$58+武将升星!E$59*G143</f>
        <v>75</v>
      </c>
      <c r="M143" s="16">
        <f>武将升星!F$58+武将升星!F$59*H143</f>
        <v>91.431054299953871</v>
      </c>
      <c r="N143" s="16">
        <f>武将升星!G$58+武将升星!G$59*I143</f>
        <v>86.253918326234427</v>
      </c>
      <c r="O143" s="16">
        <f>武将升星!H$58+武将升星!H$59*J143</f>
        <v>100</v>
      </c>
      <c r="P143" s="16">
        <v>105</v>
      </c>
      <c r="Q143" s="16">
        <f>求节点(武将升星!$C$68:$C$76,武将升星!E$68:E$76,G143)</f>
        <v>0.15</v>
      </c>
      <c r="R143" s="16">
        <f>求节点(武将升星!$C$68:$C$76,武将升星!F$68:F$76,H143)</f>
        <v>0.3143105429995387</v>
      </c>
      <c r="S143" s="16">
        <f>求节点(武将升星!$C$68:$C$76,武将升星!G$68:G$76,I143)</f>
        <v>0.23405642389777581</v>
      </c>
      <c r="T143" s="16">
        <f>求节点(武将升星!$C$68:$C$76,武将升星!H$68:H$76,J143)</f>
        <v>0.5</v>
      </c>
      <c r="U143" s="16">
        <v>0.6</v>
      </c>
    </row>
    <row r="144" spans="4:21" x14ac:dyDescent="0.15">
      <c r="D144" s="16">
        <v>6</v>
      </c>
      <c r="F144" s="16">
        <f>基础状态预期!C154</f>
        <v>3</v>
      </c>
      <c r="G144" s="16">
        <f>MIN(武将升星!E$14,求节点(武将升星!E$104:E$112,武将升星!$C$104:$C$112,武将数量星级阶位验证!BJ144/武将数量星级阶位验证!B$6))</f>
        <v>3</v>
      </c>
      <c r="H144" s="16">
        <f>MIN(武将升星!F$14,求节点(武将升星!F$104:F$112,武将升星!$C$104:$C$112,武将数量星级阶位验证!BK144/武将数量星级阶位验证!C$6))</f>
        <v>5.7131515865488884</v>
      </c>
      <c r="I144" s="114">
        <f>求节点(武将升星!G$104:G$112,武将升星!$C$104:$C$112,MAX((武将数量星级阶位验证!BL144-武将数量星级阶位验证!BN144)/武将数量星级阶位验证!D$6+武将数量星级阶位验证!BN144/6,0))</f>
        <v>1.0990636604602502</v>
      </c>
      <c r="J144" s="71">
        <f>基础状态预期!O154</f>
        <v>0</v>
      </c>
      <c r="L144" s="16">
        <f>武将升星!E$58+武将升星!E$59*G144</f>
        <v>75</v>
      </c>
      <c r="M144" s="16">
        <f>武将升星!F$58+武将升星!F$59*H144</f>
        <v>98.565757932744447</v>
      </c>
      <c r="N144" s="16">
        <f>武将升星!G$58+武将升星!G$59*I144</f>
        <v>90.495318302301257</v>
      </c>
      <c r="O144" s="16">
        <f>武将升星!H$58+武将升星!H$59*J144</f>
        <v>100</v>
      </c>
      <c r="P144" s="16">
        <v>105</v>
      </c>
      <c r="Q144" s="16">
        <f>求节点(武将升星!$C$68:$C$76,武将升星!E$68:E$76,G144)</f>
        <v>0.15</v>
      </c>
      <c r="R144" s="16">
        <f>求节点(武将升星!$C$68:$C$76,武将升星!F$68:F$76,H144)</f>
        <v>0.38565757932744438</v>
      </c>
      <c r="S144" s="16">
        <f>求节点(武将升星!$C$68:$C$76,武将升星!G$68:G$76,I144)</f>
        <v>0.29513258355313804</v>
      </c>
      <c r="T144" s="16">
        <f>求节点(武将升星!$C$68:$C$76,武将升星!H$68:H$76,J144)</f>
        <v>0.5</v>
      </c>
      <c r="U144" s="16">
        <v>0.6</v>
      </c>
    </row>
    <row r="145" spans="4:21" x14ac:dyDescent="0.15">
      <c r="D145" s="16">
        <v>7</v>
      </c>
      <c r="F145" s="16">
        <f>基础状态预期!C155</f>
        <v>5</v>
      </c>
      <c r="G145" s="16">
        <f>MIN(武将升星!E$14,求节点(武将升星!E$104:E$112,武将升星!$C$104:$C$112,武将数量星级阶位验证!BJ145/武将数量星级阶位验证!B$6))</f>
        <v>3</v>
      </c>
      <c r="H145" s="16">
        <f>MIN(武将升星!F$14,求节点(武将升星!F$104:F$112,武将升星!$C$104:$C$112,武将数量星级阶位验证!BK145/武将数量星级阶位验证!C$6))</f>
        <v>6</v>
      </c>
      <c r="I145" s="114">
        <f>求节点(武将升星!G$104:G$112,武将升星!$C$104:$C$112,MAX((武将数量星级阶位验证!BL145-武将数量星级阶位验证!BN145)/武将数量星级阶位验证!D$6+武将数量星级阶位验证!BN145/6,0))</f>
        <v>2.1887509101924376</v>
      </c>
      <c r="J145" s="71">
        <f>基础状态预期!O155</f>
        <v>0</v>
      </c>
      <c r="L145" s="16">
        <f>武将升星!E$58+武将升星!E$59*G145</f>
        <v>75</v>
      </c>
      <c r="M145" s="16">
        <f>武将升星!F$58+武将升星!F$59*H145</f>
        <v>100</v>
      </c>
      <c r="N145" s="16">
        <f>武将升星!G$58+武将升星!G$59*I145</f>
        <v>95.943754550962183</v>
      </c>
      <c r="O145" s="16">
        <f>武将升星!H$58+武将升星!H$59*J145</f>
        <v>100</v>
      </c>
      <c r="P145" s="16">
        <v>105</v>
      </c>
      <c r="Q145" s="16">
        <f>求节点(武将升星!$C$68:$C$76,武将升星!E$68:E$76,G145)</f>
        <v>0.15</v>
      </c>
      <c r="R145" s="16">
        <f>求节点(武将升星!$C$68:$C$76,武将升星!F$68:F$76,H145)</f>
        <v>0.39999999999999997</v>
      </c>
      <c r="S145" s="16">
        <f>求节点(武将升星!$C$68:$C$76,武将升星!G$68:G$76,I145)</f>
        <v>0.37359006553385554</v>
      </c>
      <c r="T145" s="16">
        <f>求节点(武将升星!$C$68:$C$76,武将升星!H$68:H$76,J145)</f>
        <v>0.5</v>
      </c>
      <c r="U145" s="16">
        <v>0.6</v>
      </c>
    </row>
    <row r="146" spans="4:21" x14ac:dyDescent="0.15">
      <c r="D146" s="16">
        <v>8</v>
      </c>
      <c r="F146" s="16">
        <f>基础状态预期!C156</f>
        <v>7.5</v>
      </c>
      <c r="G146" s="16">
        <f>MIN(武将升星!E$14,求节点(武将升星!E$104:E$112,武将升星!$C$104:$C$112,武将数量星级阶位验证!BJ146/武将数量星级阶位验证!B$6))</f>
        <v>3</v>
      </c>
      <c r="H146" s="16">
        <f>MIN(武将升星!F$14,求节点(武将升星!F$104:F$112,武将升星!$C$104:$C$112,武将数量星级阶位验证!BK146/武将数量星级阶位验证!C$6))</f>
        <v>6</v>
      </c>
      <c r="I146" s="114">
        <f>求节点(武将升星!G$104:G$112,武将升星!$C$104:$C$112,MAX((武将数量星级阶位验证!BL146-武将数量星级阶位验证!BN146)/武将数量星级阶位验证!D$6+武将数量星级阶位验证!BN146/6,0))</f>
        <v>3.2465520681096871</v>
      </c>
      <c r="J146" s="71">
        <f>基础状态预期!O156</f>
        <v>0</v>
      </c>
      <c r="L146" s="16">
        <f>武将升星!E$58+武将升星!E$59*G146</f>
        <v>75</v>
      </c>
      <c r="M146" s="16">
        <f>武将升星!F$58+武将升星!F$59*H146</f>
        <v>100</v>
      </c>
      <c r="N146" s="16">
        <f>武将升星!G$58+武将升星!G$59*I146</f>
        <v>101.23276034054844</v>
      </c>
      <c r="O146" s="16">
        <f>武将升星!H$58+武将升星!H$59*J146</f>
        <v>100</v>
      </c>
      <c r="P146" s="16">
        <v>105</v>
      </c>
      <c r="Q146" s="16">
        <f>求节点(武将升星!$C$68:$C$76,武将升星!E$68:E$76,G146)</f>
        <v>0.15</v>
      </c>
      <c r="R146" s="16">
        <f>求节点(武将升星!$C$68:$C$76,武将升星!F$68:F$76,H146)</f>
        <v>0.39999999999999997</v>
      </c>
      <c r="S146" s="16">
        <f>求节点(武将升星!$C$68:$C$76,武将升星!G$68:G$76,I146)</f>
        <v>0.44975174890389752</v>
      </c>
      <c r="T146" s="16">
        <f>求节点(武将升星!$C$68:$C$76,武将升星!H$68:H$76,J146)</f>
        <v>0.5</v>
      </c>
      <c r="U146" s="16">
        <v>0.6</v>
      </c>
    </row>
    <row r="147" spans="4:21" x14ac:dyDescent="0.15">
      <c r="D147" s="16">
        <v>9</v>
      </c>
      <c r="F147" s="16">
        <f>基础状态预期!C157</f>
        <v>10</v>
      </c>
      <c r="G147" s="16">
        <f>MIN(武将升星!E$14,求节点(武将升星!E$104:E$112,武将升星!$C$104:$C$112,武将数量星级阶位验证!BJ147/武将数量星级阶位验证!B$6))</f>
        <v>3</v>
      </c>
      <c r="H147" s="16">
        <f>MIN(武将升星!F$14,求节点(武将升星!F$104:F$112,武将升星!$C$104:$C$112,武将数量星级阶位验证!BK147/武将数量星级阶位验证!C$6))</f>
        <v>6</v>
      </c>
      <c r="I147" s="114">
        <f>求节点(武将升星!G$104:G$112,武将升星!$C$104:$C$112,MAX((武将数量星级阶位验证!BL147-武将数量星级阶位验证!BN147)/武将数量星级阶位验证!D$6+武将数量星级阶位验证!BN147/6,0))</f>
        <v>3.8343752939009965</v>
      </c>
      <c r="J147" s="71">
        <f>基础状态预期!O157</f>
        <v>0</v>
      </c>
      <c r="L147" s="16">
        <f>武将升星!E$58+武将升星!E$59*G147</f>
        <v>75</v>
      </c>
      <c r="M147" s="16">
        <f>武将升星!F$58+武将升星!F$59*H147</f>
        <v>100</v>
      </c>
      <c r="N147" s="16">
        <f>武将升星!G$58+武将升星!G$59*I147</f>
        <v>104.17187646950498</v>
      </c>
      <c r="O147" s="16">
        <f>武将升星!H$58+武将升星!H$59*J147</f>
        <v>100</v>
      </c>
      <c r="P147" s="16">
        <v>105</v>
      </c>
      <c r="Q147" s="16">
        <f>求节点(武将升星!$C$68:$C$76,武将升星!E$68:E$76,G147)</f>
        <v>0.15</v>
      </c>
      <c r="R147" s="16">
        <f>求节点(武将升星!$C$68:$C$76,武将升星!F$68:F$76,H147)</f>
        <v>0.39999999999999997</v>
      </c>
      <c r="S147" s="16">
        <f>求节点(武将升星!$C$68:$C$76,武将升星!G$68:G$76,I147)</f>
        <v>0.49207502116087176</v>
      </c>
      <c r="T147" s="16">
        <f>求节点(武将升星!$C$68:$C$76,武将升星!H$68:H$76,J147)</f>
        <v>0.5</v>
      </c>
      <c r="U147" s="16">
        <v>0.6</v>
      </c>
    </row>
    <row r="148" spans="4:21" x14ac:dyDescent="0.15">
      <c r="D148" s="16">
        <v>10</v>
      </c>
      <c r="F148" s="16">
        <f>基础状态预期!C158</f>
        <v>15</v>
      </c>
      <c r="G148" s="16">
        <f>MIN(武将升星!E$14,求节点(武将升星!E$104:E$112,武将升星!$C$104:$C$112,武将数量星级阶位验证!BJ148/武将数量星级阶位验证!B$6))</f>
        <v>3</v>
      </c>
      <c r="H148" s="16">
        <f>MIN(武将升星!F$14,求节点(武将升星!F$104:F$112,武将升星!$C$104:$C$112,武将数量星级阶位验证!BK148/武将数量星级阶位验证!C$6))</f>
        <v>6</v>
      </c>
      <c r="I148" s="114">
        <f>求节点(武将升星!G$104:G$112,武将升星!$C$104:$C$112,MAX((武将数量星级阶位验证!BL148-武将数量星级阶位验证!BN148)/武将数量星级阶位验证!D$6+武将数量星级阶位验证!BN148/6,0))</f>
        <v>4.8458022021284828</v>
      </c>
      <c r="J148" s="71">
        <f>基础状态预期!O158</f>
        <v>0</v>
      </c>
      <c r="L148" s="16">
        <f>武将升星!E$58+武将升星!E$59*G148</f>
        <v>75</v>
      </c>
      <c r="M148" s="16">
        <f>武将升星!F$58+武将升星!F$59*H148</f>
        <v>100</v>
      </c>
      <c r="N148" s="16">
        <f>武将升星!G$58+武将升星!G$59*I148</f>
        <v>109.22901101064241</v>
      </c>
      <c r="O148" s="16">
        <f>武将升星!H$58+武将升星!H$59*J148</f>
        <v>100</v>
      </c>
      <c r="P148" s="16">
        <v>105</v>
      </c>
      <c r="Q148" s="16">
        <f>求节点(武将升星!$C$68:$C$76,武将升星!E$68:E$76,G148)</f>
        <v>0.15</v>
      </c>
      <c r="R148" s="16">
        <f>求节点(武将升星!$C$68:$C$76,武将升星!F$68:F$76,H148)</f>
        <v>0.39999999999999997</v>
      </c>
      <c r="S148" s="16">
        <f>求节点(武将升星!$C$68:$C$76,武将升星!G$68:G$76,I148)</f>
        <v>0.56489775855325086</v>
      </c>
      <c r="T148" s="16">
        <f>求节点(武将升星!$C$68:$C$76,武将升星!H$68:H$76,J148)</f>
        <v>0.5</v>
      </c>
      <c r="U148" s="16">
        <v>0.6</v>
      </c>
    </row>
    <row r="149" spans="4:21" x14ac:dyDescent="0.15">
      <c r="D149" s="16">
        <v>11</v>
      </c>
      <c r="F149" s="16">
        <f>基础状态预期!C159</f>
        <v>20</v>
      </c>
      <c r="G149" s="16">
        <f>MIN(武将升星!E$14,求节点(武将升星!E$104:E$112,武将升星!$C$104:$C$112,武将数量星级阶位验证!BJ149/武将数量星级阶位验证!B$6))</f>
        <v>3</v>
      </c>
      <c r="H149" s="16">
        <f>MIN(武将升星!F$14,求节点(武将升星!F$104:F$112,武将升星!$C$104:$C$112,武将数量星级阶位验证!BK149/武将数量星级阶位验证!C$6))</f>
        <v>6</v>
      </c>
      <c r="I149" s="114">
        <f>求节点(武将升星!G$104:G$112,武将升星!$C$104:$C$112,MAX((武将数量星级阶位验证!BL149-武将数量星级阶位验证!BN149)/武将数量星级阶位验证!D$6+武将数量星级阶位验证!BN149/6,0))</f>
        <v>5.4425876027076479</v>
      </c>
      <c r="J149" s="71">
        <f>基础状态预期!O159</f>
        <v>0.87015854834510842</v>
      </c>
      <c r="L149" s="16">
        <f>武将升星!E$58+武将升星!E$59*G149</f>
        <v>75</v>
      </c>
      <c r="M149" s="16">
        <f>武将升星!F$58+武将升星!F$59*H149</f>
        <v>100</v>
      </c>
      <c r="N149" s="16">
        <f>武将升星!G$58+武将升星!G$59*I149</f>
        <v>112.21293801353823</v>
      </c>
      <c r="O149" s="16">
        <f>武将升星!H$58+武将升星!H$59*J149</f>
        <v>105.22095129007064</v>
      </c>
      <c r="P149" s="16">
        <v>106.59864043379385</v>
      </c>
      <c r="Q149" s="16">
        <f>求节点(武将升星!$C$68:$C$76,武将升星!E$68:E$76,G149)</f>
        <v>0.15</v>
      </c>
      <c r="R149" s="16">
        <f>求节点(武将升星!$C$68:$C$76,武将升星!F$68:F$76,H149)</f>
        <v>0.39999999999999997</v>
      </c>
      <c r="S149" s="16">
        <f>求节点(武将升星!$C$68:$C$76,武将升星!G$68:G$76,I149)</f>
        <v>0.60786630739495073</v>
      </c>
      <c r="T149" s="16">
        <f>求节点(武将升星!$C$68:$C$76,武将升星!H$68:H$76,J149)</f>
        <v>0.56961268386760866</v>
      </c>
      <c r="U149" s="16">
        <v>0.62397960650690765</v>
      </c>
    </row>
    <row r="150" spans="4:21" x14ac:dyDescent="0.15">
      <c r="D150" s="16">
        <v>12</v>
      </c>
      <c r="F150" s="16">
        <f>基础状态预期!C160</f>
        <v>30</v>
      </c>
      <c r="G150" s="16">
        <f>MIN(武将升星!E$14,求节点(武将升星!E$104:E$112,武将升星!$C$104:$C$112,武将数量星级阶位验证!BJ150/武将数量星级阶位验证!B$6))</f>
        <v>3</v>
      </c>
      <c r="H150" s="16">
        <f>MIN(武将升星!F$14,求节点(武将升星!F$104:F$112,武将升星!$C$104:$C$112,武将数量星级阶位验证!BK150/武将数量星级阶位验证!C$6))</f>
        <v>6</v>
      </c>
      <c r="I150" s="114">
        <f>求节点(武将升星!G$104:G$112,武将升星!$C$104:$C$112,MAX((武将数量星级阶位验证!BL150-武将数量星级阶位验证!BN150)/武将数量星级阶位验证!D$6+武将数量星级阶位验证!BN150/6,0))</f>
        <v>6.2157013816465776</v>
      </c>
      <c r="J150" s="71">
        <f>基础状态预期!O160</f>
        <v>2.7681293702554006</v>
      </c>
      <c r="L150" s="16">
        <f>武将升星!E$58+武将升星!E$59*G150</f>
        <v>75</v>
      </c>
      <c r="M150" s="16">
        <f>武将升星!F$58+武将升星!F$59*H150</f>
        <v>100</v>
      </c>
      <c r="N150" s="16">
        <f>武将升星!G$58+武将升星!G$59*I150</f>
        <v>116.0785069082329</v>
      </c>
      <c r="O150" s="16">
        <f>武将升星!H$58+武将升星!H$59*J150</f>
        <v>116.60877622153239</v>
      </c>
      <c r="P150" s="16">
        <v>114.50116247495555</v>
      </c>
      <c r="Q150" s="16">
        <f>求节点(武将升星!$C$68:$C$76,武将升星!E$68:E$76,G150)</f>
        <v>0.15</v>
      </c>
      <c r="R150" s="16">
        <f>求节点(武将升星!$C$68:$C$76,武将升星!F$68:F$76,H150)</f>
        <v>0.39999999999999997</v>
      </c>
      <c r="S150" s="16">
        <f>求节点(武将升星!$C$68:$C$76,武将升星!G$68:G$76,I150)</f>
        <v>0.66353049947855369</v>
      </c>
      <c r="T150" s="16">
        <f>求节点(武将升星!$C$68:$C$76,武将升星!H$68:H$76,J150)</f>
        <v>0.72145034962043197</v>
      </c>
      <c r="U150" s="16">
        <v>0.74251743712433316</v>
      </c>
    </row>
    <row r="151" spans="4:21" x14ac:dyDescent="0.15">
      <c r="D151" s="16">
        <v>13</v>
      </c>
      <c r="F151" s="16">
        <f>基础状态预期!C161</f>
        <v>45</v>
      </c>
      <c r="G151" s="16">
        <f>MIN(武将升星!E$14,求节点(武将升星!E$104:E$112,武将升星!$C$104:$C$112,武将数量星级阶位验证!BJ151/武将数量星级阶位验证!B$6))</f>
        <v>3</v>
      </c>
      <c r="H151" s="16">
        <f>MIN(武将升星!F$14,求节点(武将升星!F$104:F$112,武将升星!$C$104:$C$112,武将数量星级阶位验证!BK151/武将数量星级阶位验证!C$6))</f>
        <v>6</v>
      </c>
      <c r="I151" s="114">
        <f>求节点(武将升星!G$104:G$112,武将升星!$C$104:$C$112,MAX((武将数量星级阶位验证!BL151-武将数量星级阶位验证!BN151)/武将数量星级阶位验证!D$6+武将数量星级阶位验证!BN151/6,0))</f>
        <v>6.7119993170962049</v>
      </c>
      <c r="J151" s="71">
        <f>基础状态预期!O161</f>
        <v>5.0719368133190912</v>
      </c>
      <c r="L151" s="16">
        <f>武将升星!E$58+武将升星!E$59*G151</f>
        <v>75</v>
      </c>
      <c r="M151" s="16">
        <f>武将升星!F$58+武将升星!F$59*H151</f>
        <v>100</v>
      </c>
      <c r="N151" s="16">
        <f>武将升星!G$58+武将升星!G$59*I151</f>
        <v>118.55999658548103</v>
      </c>
      <c r="O151" s="16">
        <f>武将升星!H$58+武将升星!H$59*J151</f>
        <v>130.43162087991453</v>
      </c>
      <c r="P151" s="16">
        <v>128.54845306096288</v>
      </c>
      <c r="Q151" s="16">
        <f>求节点(武将升星!$C$68:$C$76,武将升星!E$68:E$76,G151)</f>
        <v>0.15</v>
      </c>
      <c r="R151" s="16">
        <f>求节点(武将升星!$C$68:$C$76,武将升星!F$68:F$76,H151)</f>
        <v>0.39999999999999997</v>
      </c>
      <c r="S151" s="16">
        <f>求节点(武将升星!$C$68:$C$76,武将升星!G$68:G$76,I151)</f>
        <v>0.69926395083092696</v>
      </c>
      <c r="T151" s="16">
        <f>求节点(武将升星!$C$68:$C$76,武将升星!H$68:H$76,J151)</f>
        <v>0.90575494506552712</v>
      </c>
      <c r="U151" s="16">
        <v>0.95322679591444315</v>
      </c>
    </row>
    <row r="152" spans="4:21" x14ac:dyDescent="0.15">
      <c r="D152" s="16">
        <v>14</v>
      </c>
      <c r="F152" s="16">
        <f>基础状态预期!C162</f>
        <v>60</v>
      </c>
      <c r="G152" s="16">
        <f>MIN(武将升星!E$14,求节点(武将升星!E$104:E$112,武将升星!$C$104:$C$112,武将数量星级阶位验证!BJ152/武将数量星级阶位验证!B$6))</f>
        <v>3</v>
      </c>
      <c r="H152" s="16">
        <f>MIN(武将升星!F$14,求节点(武将升星!F$104:F$112,武将升星!$C$104:$C$112,武将数量星级阶位验证!BK152/武将数量星级阶位验证!C$6))</f>
        <v>6</v>
      </c>
      <c r="I152" s="114">
        <f>求节点(武将升星!G$104:G$112,武将升星!$C$104:$C$112,MAX((武将数量星级阶位验证!BL152-武将数量星级阶位验证!BN152)/武将数量星级阶位验证!D$6+武将数量星级阶位验证!BN152/6,0))</f>
        <v>7.1424602256349097</v>
      </c>
      <c r="J152" s="71">
        <f>基础状态预期!O162</f>
        <v>5.7558723508757987</v>
      </c>
      <c r="L152" s="16">
        <f>武将升星!E$58+武将升星!E$59*G152</f>
        <v>75</v>
      </c>
      <c r="M152" s="16">
        <f>武将升星!F$58+武将升星!F$59*H152</f>
        <v>100</v>
      </c>
      <c r="N152" s="16">
        <f>武将升星!G$58+武将升星!G$59*I152</f>
        <v>120.71230112817454</v>
      </c>
      <c r="O152" s="16">
        <f>武将升星!H$58+武将升星!H$59*J152</f>
        <v>134.5352341052548</v>
      </c>
      <c r="P152" s="16">
        <v>133.04942847479626</v>
      </c>
      <c r="Q152" s="16">
        <f>求节点(武将升星!$C$68:$C$76,武将升星!E$68:E$76,G152)</f>
        <v>0.15</v>
      </c>
      <c r="R152" s="16">
        <f>求节点(武将升星!$C$68:$C$76,武将升星!F$68:F$76,H152)</f>
        <v>0.39999999999999997</v>
      </c>
      <c r="S152" s="16">
        <f>求节点(武将升星!$C$68:$C$76,武将升星!G$68:G$76,I152)</f>
        <v>0.73025713624571376</v>
      </c>
      <c r="T152" s="16">
        <f>求节点(武将升星!$C$68:$C$76,武将升星!H$68:H$76,J152)</f>
        <v>0.96046978807006367</v>
      </c>
      <c r="U152" s="16">
        <v>1.0207414271219437</v>
      </c>
    </row>
    <row r="153" spans="4:21" x14ac:dyDescent="0.15">
      <c r="D153" s="16">
        <v>15</v>
      </c>
      <c r="F153" s="16">
        <f>基础状态预期!C163</f>
        <v>75</v>
      </c>
      <c r="G153" s="16">
        <f>MIN(武将升星!E$14,求节点(武将升星!E$104:E$112,武将升星!$C$104:$C$112,武将数量星级阶位验证!BJ153/武将数量星级阶位验证!B$6))</f>
        <v>3</v>
      </c>
      <c r="H153" s="16">
        <f>MIN(武将升星!F$14,求节点(武将升星!F$104:F$112,武将升星!$C$104:$C$112,武将数量星级阶位验证!BK153/武将数量星级阶位验证!C$6))</f>
        <v>6</v>
      </c>
      <c r="I153" s="114">
        <f>求节点(武将升星!G$104:G$112,武将升星!$C$104:$C$112,MAX((武将数量星级阶位验证!BL153-武将数量星级阶位验证!BN153)/武将数量星级阶位验证!D$6+武将数量星级阶位验证!BN153/6,0))</f>
        <v>7.4886328392719808</v>
      </c>
      <c r="J153" s="71">
        <f>基础状态预期!O163</f>
        <v>6.1252732594908776</v>
      </c>
      <c r="L153" s="16">
        <f>武将升星!E$58+武将升星!E$59*G153</f>
        <v>75</v>
      </c>
      <c r="M153" s="16">
        <f>武将升星!F$58+武将升星!F$59*H153</f>
        <v>100</v>
      </c>
      <c r="N153" s="16">
        <f>武将升星!G$58+武将升星!G$59*I153</f>
        <v>122.4431641963599</v>
      </c>
      <c r="O153" s="16">
        <f>武将升星!H$58+武将升星!H$59*J153</f>
        <v>136.75163955694526</v>
      </c>
      <c r="P153" s="16">
        <v>135.3134534739045</v>
      </c>
      <c r="Q153" s="16">
        <f>求节点(武将升星!$C$68:$C$76,武将升星!E$68:E$76,G153)</f>
        <v>0.15</v>
      </c>
      <c r="R153" s="16">
        <f>求节点(武将升星!$C$68:$C$76,武将升星!F$68:F$76,H153)</f>
        <v>0.39999999999999997</v>
      </c>
      <c r="S153" s="16">
        <f>求节点(武将升星!$C$68:$C$76,武将升星!G$68:G$76,I153)</f>
        <v>0.75518156442758289</v>
      </c>
      <c r="T153" s="16">
        <f>求节点(武将升星!$C$68:$C$76,武将升星!H$68:H$76,J153)</f>
        <v>0.99002186075927001</v>
      </c>
      <c r="U153" s="16">
        <v>1.0547018021085672</v>
      </c>
    </row>
    <row r="154" spans="4:21" x14ac:dyDescent="0.15">
      <c r="D154" s="16">
        <v>16</v>
      </c>
      <c r="F154" s="16">
        <f>基础状态预期!C164</f>
        <v>90</v>
      </c>
      <c r="G154" s="16">
        <f>MIN(武将升星!E$14,求节点(武将升星!E$104:E$112,武将升星!$C$104:$C$112,武将数量星级阶位验证!BJ154/武将数量星级阶位验证!B$6))</f>
        <v>3</v>
      </c>
      <c r="H154" s="16">
        <f>MIN(武将升星!F$14,求节点(武将升星!F$104:F$112,武将升星!$C$104:$C$112,武将数量星级阶位验证!BK154/武将数量星级阶位验证!C$6))</f>
        <v>6</v>
      </c>
      <c r="I154" s="114">
        <f>求节点(武将升星!G$104:G$112,武将升星!$C$104:$C$112,MAX((武将数量星级阶位验证!BL154-武将数量星级阶位验证!BN154)/武将数量星级阶位验证!D$6+武将数量星级阶位验证!BN154/6,0))</f>
        <v>7.8152925819557915</v>
      </c>
      <c r="J154" s="71">
        <f>基础状态预期!O164</f>
        <v>6.6795203652456774</v>
      </c>
      <c r="L154" s="16">
        <f>武将升星!E$58+武将升星!E$59*G154</f>
        <v>75</v>
      </c>
      <c r="M154" s="16">
        <f>武将升星!F$58+武将升星!F$59*H154</f>
        <v>100</v>
      </c>
      <c r="N154" s="16">
        <f>武将升星!G$58+武将升星!G$59*I154</f>
        <v>124.07646290977895</v>
      </c>
      <c r="O154" s="16">
        <f>武将升星!H$58+武将升星!H$59*J154</f>
        <v>140.07712219147407</v>
      </c>
      <c r="P154" s="16">
        <v>137.67940055385205</v>
      </c>
      <c r="Q154" s="16">
        <f>求节点(武将升星!$C$68:$C$76,武将升星!E$68:E$76,G154)</f>
        <v>0.15</v>
      </c>
      <c r="R154" s="16">
        <f>求节点(武将升星!$C$68:$C$76,武将升星!F$68:F$76,H154)</f>
        <v>0.39999999999999997</v>
      </c>
      <c r="S154" s="16">
        <f>求节点(武将升星!$C$68:$C$76,武将升星!G$68:G$76,I154)</f>
        <v>0.77870106590081722</v>
      </c>
      <c r="T154" s="16">
        <f>求节点(武将升星!$C$68:$C$76,武将升星!H$68:H$76,J154)</f>
        <v>1.034361629219654</v>
      </c>
      <c r="U154" s="16">
        <v>1.0901910083077804</v>
      </c>
    </row>
    <row r="155" spans="4:21" x14ac:dyDescent="0.15">
      <c r="D155" s="16">
        <v>17</v>
      </c>
      <c r="F155" s="16">
        <f>基础状态预期!C165</f>
        <v>110</v>
      </c>
      <c r="G155" s="16">
        <f>MIN(武将升星!E$14,求节点(武将升星!E$104:E$112,武将升星!$C$104:$C$112,武将数量星级阶位验证!BJ155/武将数量星级阶位验证!B$6))</f>
        <v>3</v>
      </c>
      <c r="H155" s="16">
        <f>MIN(武将升星!F$14,求节点(武将升星!F$104:F$112,武将升星!$C$104:$C$112,武将数量星级阶位验证!BK155/武将数量星级阶位验证!C$6))</f>
        <v>6</v>
      </c>
      <c r="I155" s="114">
        <f>求节点(武将升星!G$104:G$112,武将升星!$C$104:$C$112,MAX((武将数量星级阶位验证!BL155-武将数量星级阶位验证!BN155)/武将数量星级阶位验证!D$6+武将数量星级阶位验证!BN155/6,0))</f>
        <v>8</v>
      </c>
      <c r="J155" s="71">
        <f>基础状态预期!O165</f>
        <v>7.265361011774873</v>
      </c>
      <c r="L155" s="16">
        <f>武将升星!E$58+武将升星!E$59*G155</f>
        <v>75</v>
      </c>
      <c r="M155" s="16">
        <f>武将升星!F$58+武将升星!F$59*H155</f>
        <v>100</v>
      </c>
      <c r="N155" s="16">
        <f>武将升星!G$58+武将升星!G$59*I155</f>
        <v>125</v>
      </c>
      <c r="O155" s="16">
        <f>武将升星!H$58+武将升星!H$59*J155</f>
        <v>143.59216607064923</v>
      </c>
      <c r="P155" s="16">
        <v>140.23824882297481</v>
      </c>
      <c r="Q155" s="16">
        <f>求节点(武将升星!$C$68:$C$76,武将升星!E$68:E$76,G155)</f>
        <v>0.15</v>
      </c>
      <c r="R155" s="16">
        <f>求节点(武将升星!$C$68:$C$76,武将升星!F$68:F$76,H155)</f>
        <v>0.39999999999999997</v>
      </c>
      <c r="S155" s="16">
        <f>求节点(武将升星!$C$68:$C$76,武将升星!G$68:G$76,I155)</f>
        <v>0.79200000000000026</v>
      </c>
      <c r="T155" s="16">
        <f>求节点(武将升星!$C$68:$C$76,武将升星!H$68:H$76,J155)</f>
        <v>1.0812288809419897</v>
      </c>
      <c r="U155" s="16">
        <v>1.1285737323446219</v>
      </c>
    </row>
    <row r="156" spans="4:21" x14ac:dyDescent="0.15">
      <c r="D156" s="16">
        <v>18</v>
      </c>
      <c r="F156" s="16">
        <f>基础状态预期!C166</f>
        <v>130</v>
      </c>
      <c r="G156" s="16">
        <f>MIN(武将升星!E$14,求节点(武将升星!E$104:E$112,武将升星!$C$104:$C$112,武将数量星级阶位验证!BJ156/武将数量星级阶位验证!B$6))</f>
        <v>3</v>
      </c>
      <c r="H156" s="16">
        <f>MIN(武将升星!F$14,求节点(武将升星!F$104:F$112,武将升星!$C$104:$C$112,武将数量星级阶位验证!BK156/武将数量星级阶位验证!C$6))</f>
        <v>6</v>
      </c>
      <c r="I156" s="114">
        <f>求节点(武将升星!G$104:G$112,武将升星!$C$104:$C$112,MAX((武将数量星级阶位验证!BL156-武将数量星级阶位验证!BN156)/武将数量星级阶位验证!D$6+武将数量星级阶位验证!BN156/6,0))</f>
        <v>8</v>
      </c>
      <c r="J156" s="71">
        <f>基础状态预期!O166</f>
        <v>7.992461033269354</v>
      </c>
      <c r="L156" s="16">
        <f>武将升星!E$58+武将升星!E$59*G156</f>
        <v>75</v>
      </c>
      <c r="M156" s="16">
        <f>武将升星!F$58+武将升星!F$59*H156</f>
        <v>100</v>
      </c>
      <c r="N156" s="16">
        <f>武将升星!G$58+武将升星!G$59*I156</f>
        <v>125</v>
      </c>
      <c r="O156" s="16">
        <f>武将升星!H$58+武将升星!H$59*J156</f>
        <v>147.95476619961613</v>
      </c>
      <c r="P156" s="16">
        <v>144.05563045054188</v>
      </c>
      <c r="Q156" s="16">
        <f>求节点(武将升星!$C$68:$C$76,武将升星!E$68:E$76,G156)</f>
        <v>0.15</v>
      </c>
      <c r="R156" s="16">
        <f>求节点(武将升星!$C$68:$C$76,武将升星!F$68:F$76,H156)</f>
        <v>0.39999999999999997</v>
      </c>
      <c r="S156" s="16">
        <f>求节点(武将升星!$C$68:$C$76,武将升星!G$68:G$76,I156)</f>
        <v>0.79200000000000026</v>
      </c>
      <c r="T156" s="16">
        <f>求节点(武将升星!$C$68:$C$76,武将升星!H$68:H$76,J156)</f>
        <v>1.1393968826615481</v>
      </c>
      <c r="U156" s="16">
        <v>1.1858344567581283</v>
      </c>
    </row>
    <row r="157" spans="4:21" x14ac:dyDescent="0.15">
      <c r="D157" s="16">
        <v>19</v>
      </c>
      <c r="F157" s="16">
        <f>基础状态预期!C167</f>
        <v>150</v>
      </c>
      <c r="G157" s="16">
        <f>MIN(武将升星!E$14,求节点(武将升星!E$104:E$112,武将升星!$C$104:$C$112,武将数量星级阶位验证!BJ157/武将数量星级阶位验证!B$6))</f>
        <v>3</v>
      </c>
      <c r="H157" s="16">
        <f>MIN(武将升星!F$14,求节点(武将升星!F$104:F$112,武将升星!$C$104:$C$112,武将数量星级阶位验证!BK157/武将数量星级阶位验证!C$6))</f>
        <v>6</v>
      </c>
      <c r="I157" s="114">
        <f>求节点(武将升星!G$104:G$112,武将升星!$C$104:$C$112,MAX((武将数量星级阶位验证!BL157-武将数量星级阶位验证!BN157)/武将数量星级阶位验证!D$6+武将数量星级阶位验证!BN157/6,0))</f>
        <v>8</v>
      </c>
      <c r="J157" s="71">
        <f>基础状态预期!O167</f>
        <v>8</v>
      </c>
      <c r="L157" s="16">
        <f>武将升星!E$58+武将升星!E$59*G157</f>
        <v>75</v>
      </c>
      <c r="M157" s="16">
        <f>武将升星!F$58+武将升星!F$59*H157</f>
        <v>100</v>
      </c>
      <c r="N157" s="16">
        <f>武将升星!G$58+武将升星!G$59*I157</f>
        <v>125</v>
      </c>
      <c r="O157" s="16">
        <f>武将升星!H$58+武将升星!H$59*J157</f>
        <v>148</v>
      </c>
      <c r="P157" s="16">
        <v>147.68847268561274</v>
      </c>
      <c r="Q157" s="16">
        <f>求节点(武将升星!$C$68:$C$76,武将升星!E$68:E$76,G157)</f>
        <v>0.15</v>
      </c>
      <c r="R157" s="16">
        <f>求节点(武将升星!$C$68:$C$76,武将升星!F$68:F$76,H157)</f>
        <v>0.39999999999999997</v>
      </c>
      <c r="S157" s="16">
        <f>求节点(武将升星!$C$68:$C$76,武将升星!G$68:G$76,I157)</f>
        <v>0.79200000000000026</v>
      </c>
      <c r="T157" s="16">
        <f>求节点(武将升星!$C$68:$C$76,武将升星!H$68:H$76,J157)</f>
        <v>1.1399999999999999</v>
      </c>
      <c r="U157" s="16">
        <v>1.2403270902841907</v>
      </c>
    </row>
    <row r="158" spans="4:21" x14ac:dyDescent="0.15">
      <c r="D158" s="16">
        <v>20</v>
      </c>
      <c r="F158" s="16">
        <f>基础状态预期!C168</f>
        <v>170</v>
      </c>
      <c r="G158" s="16">
        <f>MIN(武将升星!E$14,求节点(武将升星!E$104:E$112,武将升星!$C$104:$C$112,武将数量星级阶位验证!BJ158/武将数量星级阶位验证!B$6))</f>
        <v>3</v>
      </c>
      <c r="H158" s="16">
        <f>MIN(武将升星!F$14,求节点(武将升星!F$104:F$112,武将升星!$C$104:$C$112,武将数量星级阶位验证!BK158/武将数量星级阶位验证!C$6))</f>
        <v>6</v>
      </c>
      <c r="I158" s="114">
        <f>求节点(武将升星!G$104:G$112,武将升星!$C$104:$C$112,MAX((武将数量星级阶位验证!BL158-武将数量星级阶位验证!BN158)/武将数量星级阶位验证!D$6+武将数量星级阶位验证!BN158/6,0))</f>
        <v>8</v>
      </c>
      <c r="J158" s="71">
        <f>基础状态预期!O168</f>
        <v>8</v>
      </c>
      <c r="L158" s="16">
        <f>武将升星!E$58+武将升星!E$59*G158</f>
        <v>75</v>
      </c>
      <c r="M158" s="16">
        <f>武将升星!F$58+武将升星!F$59*H158</f>
        <v>100</v>
      </c>
      <c r="N158" s="16">
        <f>武将升星!G$58+武将升星!G$59*I158</f>
        <v>125</v>
      </c>
      <c r="O158" s="16">
        <f>武将升星!H$58+武将升星!H$59*J158</f>
        <v>148</v>
      </c>
      <c r="P158" s="16">
        <v>151.32131492068399</v>
      </c>
      <c r="Q158" s="16">
        <f>求节点(武将升星!$C$68:$C$76,武将升星!E$68:E$76,G158)</f>
        <v>0.15</v>
      </c>
      <c r="R158" s="16">
        <f>求节点(武将升星!$C$68:$C$76,武将升星!F$68:F$76,H158)</f>
        <v>0.39999999999999997</v>
      </c>
      <c r="S158" s="16">
        <f>求节点(武将升星!$C$68:$C$76,武将升星!G$68:G$76,I158)</f>
        <v>0.79200000000000026</v>
      </c>
      <c r="T158" s="16">
        <f>求节点(武将升星!$C$68:$C$76,武将升星!H$68:H$76,J158)</f>
        <v>1.1399999999999999</v>
      </c>
      <c r="U158" s="16">
        <v>1.2948197238102499</v>
      </c>
    </row>
    <row r="159" spans="4:21" x14ac:dyDescent="0.15">
      <c r="D159" s="16">
        <v>21</v>
      </c>
      <c r="F159" s="16">
        <f>基础状态预期!C169</f>
        <v>200</v>
      </c>
      <c r="G159" s="16">
        <f>MIN(武将升星!E$14,求节点(武将升星!E$104:E$112,武将升星!$C$104:$C$112,武将数量星级阶位验证!BJ159/武将数量星级阶位验证!B$6))</f>
        <v>3</v>
      </c>
      <c r="H159" s="16">
        <f>MIN(武将升星!F$14,求节点(武将升星!F$104:F$112,武将升星!$C$104:$C$112,武将数量星级阶位验证!BK159/武将数量星级阶位验证!C$6))</f>
        <v>6</v>
      </c>
      <c r="I159" s="114">
        <f>求节点(武将升星!G$104:G$112,武将升星!$C$104:$C$112,MAX((武将数量星级阶位验证!BL159-武将数量星级阶位验证!BN159)/武将数量星级阶位验证!D$6+武将数量星级阶位验证!BN159/6,0))</f>
        <v>8</v>
      </c>
      <c r="J159" s="71">
        <f>基础状态预期!O169</f>
        <v>8</v>
      </c>
      <c r="L159" s="16">
        <f>武将升星!E$58+武将升星!E$59*G159</f>
        <v>75</v>
      </c>
      <c r="M159" s="16">
        <f>武将升星!F$58+武将升星!F$59*H159</f>
        <v>100</v>
      </c>
      <c r="N159" s="16">
        <f>武将升星!G$58+武将升星!G$59*I159</f>
        <v>125</v>
      </c>
      <c r="O159" s="16">
        <f>武将升星!H$58+武将升星!H$59*J159</f>
        <v>148</v>
      </c>
      <c r="P159" s="16">
        <v>154.95415715575399</v>
      </c>
      <c r="Q159" s="16">
        <f>求节点(武将升星!$C$68:$C$76,武将升星!E$68:E$76,G159)</f>
        <v>0.15</v>
      </c>
      <c r="R159" s="16">
        <f>求节点(武将升星!$C$68:$C$76,武将升星!F$68:F$76,H159)</f>
        <v>0.39999999999999997</v>
      </c>
      <c r="S159" s="16">
        <f>求节点(武将升星!$C$68:$C$76,武将升星!G$68:G$76,I159)</f>
        <v>0.79200000000000026</v>
      </c>
      <c r="T159" s="16">
        <f>求节点(武将升星!$C$68:$C$76,武将升星!H$68:H$76,J159)</f>
        <v>1.1399999999999999</v>
      </c>
      <c r="U159" s="16">
        <v>1.3493123573363199</v>
      </c>
    </row>
    <row r="160" spans="4:21" x14ac:dyDescent="0.15">
      <c r="D160" s="16">
        <v>22</v>
      </c>
      <c r="F160" s="16">
        <f>基础状态预期!C170</f>
        <v>260</v>
      </c>
      <c r="G160" s="16">
        <f>MIN(武将升星!E$14,求节点(武将升星!E$104:E$112,武将升星!$C$104:$C$112,武将数量星级阶位验证!BJ160/武将数量星级阶位验证!B$6))</f>
        <v>3</v>
      </c>
      <c r="H160" s="16">
        <f>MIN(武将升星!F$14,求节点(武将升星!F$104:F$112,武将升星!$C$104:$C$112,武将数量星级阶位验证!BK160/武将数量星级阶位验证!C$6))</f>
        <v>6</v>
      </c>
      <c r="I160" s="114">
        <f>求节点(武将升星!G$104:G$112,武将升星!$C$104:$C$112,MAX((武将数量星级阶位验证!BL160-武将数量星级阶位验证!BN160)/武将数量星级阶位验证!D$6+武将数量星级阶位验证!BN160/6,0))</f>
        <v>8</v>
      </c>
      <c r="J160" s="71">
        <f>基础状态预期!O170</f>
        <v>8</v>
      </c>
      <c r="L160" s="16">
        <f>武将升星!E$58+武将升星!E$59*G160</f>
        <v>75</v>
      </c>
      <c r="M160" s="16">
        <f>武将升星!F$58+武将升星!F$59*H160</f>
        <v>100</v>
      </c>
      <c r="N160" s="16">
        <f>武将升星!G$58+武将升星!G$59*I160</f>
        <v>125</v>
      </c>
      <c r="O160" s="16">
        <f>武将升星!H$58+武将升星!H$59*J160</f>
        <v>148</v>
      </c>
      <c r="P160" s="16">
        <v>158.58699939082501</v>
      </c>
      <c r="Q160" s="16">
        <f>求节点(武将升星!$C$68:$C$76,武将升星!E$68:E$76,G160)</f>
        <v>0.15</v>
      </c>
      <c r="R160" s="16">
        <f>求节点(武将升星!$C$68:$C$76,武将升星!F$68:F$76,H160)</f>
        <v>0.39999999999999997</v>
      </c>
      <c r="S160" s="16">
        <f>求节点(武将升星!$C$68:$C$76,武将升星!G$68:G$76,I160)</f>
        <v>0.79200000000000026</v>
      </c>
      <c r="T160" s="16">
        <f>求节点(武将升星!$C$68:$C$76,武将升星!H$68:H$76,J160)</f>
        <v>1.1399999999999999</v>
      </c>
      <c r="U160" s="16">
        <v>1.40380499086238</v>
      </c>
    </row>
    <row r="161" spans="4:21" x14ac:dyDescent="0.15">
      <c r="D161" s="16">
        <v>23</v>
      </c>
      <c r="F161" s="16">
        <f>基础状态预期!C171</f>
        <v>320</v>
      </c>
      <c r="G161" s="16">
        <f>MIN(武将升星!E$14,求节点(武将升星!E$104:E$112,武将升星!$C$104:$C$112,武将数量星级阶位验证!BJ161/武将数量星级阶位验证!B$6))</f>
        <v>3</v>
      </c>
      <c r="H161" s="16">
        <f>MIN(武将升星!F$14,求节点(武将升星!F$104:F$112,武将升星!$C$104:$C$112,武将数量星级阶位验证!BK161/武将数量星级阶位验证!C$6))</f>
        <v>6</v>
      </c>
      <c r="I161" s="114">
        <f>求节点(武将升星!G$104:G$112,武将升星!$C$104:$C$112,MAX((武将数量星级阶位验证!BL161-武将数量星级阶位验证!BN161)/武将数量星级阶位验证!D$6+武将数量星级阶位验证!BN161/6,0))</f>
        <v>8</v>
      </c>
      <c r="J161" s="71">
        <f>基础状态预期!O171</f>
        <v>8</v>
      </c>
      <c r="L161" s="16">
        <f>武将升星!E$58+武将升星!E$59*G161</f>
        <v>75</v>
      </c>
      <c r="M161" s="16">
        <f>武将升星!F$58+武将升星!F$59*H161</f>
        <v>100</v>
      </c>
      <c r="N161" s="16">
        <f>武将升星!G$58+武将升星!G$59*I161</f>
        <v>125</v>
      </c>
      <c r="O161" s="16">
        <f>武将升星!H$58+武将升星!H$59*J161</f>
        <v>148</v>
      </c>
      <c r="P161" s="16">
        <v>162.21984162589601</v>
      </c>
      <c r="Q161" s="16">
        <f>求节点(武将升星!$C$68:$C$76,武将升星!E$68:E$76,G161)</f>
        <v>0.15</v>
      </c>
      <c r="R161" s="16">
        <f>求节点(武将升星!$C$68:$C$76,武将升星!F$68:F$76,H161)</f>
        <v>0.39999999999999997</v>
      </c>
      <c r="S161" s="16">
        <f>求节点(武将升星!$C$68:$C$76,武将升星!G$68:G$76,I161)</f>
        <v>0.79200000000000026</v>
      </c>
      <c r="T161" s="16">
        <f>求节点(武将升星!$C$68:$C$76,武将升星!H$68:H$76,J161)</f>
        <v>1.1399999999999999</v>
      </c>
      <c r="U161" s="16">
        <v>1.45829762438844</v>
      </c>
    </row>
    <row r="162" spans="4:21" x14ac:dyDescent="0.15">
      <c r="D162" s="16">
        <v>24</v>
      </c>
      <c r="F162" s="16">
        <f>基础状态预期!C172</f>
        <v>410</v>
      </c>
      <c r="G162" s="16">
        <f>MIN(武将升星!E$14,求节点(武将升星!E$104:E$112,武将升星!$C$104:$C$112,武将数量星级阶位验证!BJ162/武将数量星级阶位验证!B$6))</f>
        <v>3</v>
      </c>
      <c r="H162" s="16">
        <f>MIN(武将升星!F$14,求节点(武将升星!F$104:F$112,武将升星!$C$104:$C$112,武将数量星级阶位验证!BK162/武将数量星级阶位验证!C$6))</f>
        <v>6</v>
      </c>
      <c r="I162" s="114">
        <f>求节点(武将升星!G$104:G$112,武将升星!$C$104:$C$112,MAX((武将数量星级阶位验证!BL162-武将数量星级阶位验证!BN162)/武将数量星级阶位验证!D$6+武将数量星级阶位验证!BN162/6,0))</f>
        <v>8</v>
      </c>
      <c r="J162" s="71">
        <f>基础状态预期!O172</f>
        <v>8</v>
      </c>
      <c r="L162" s="16">
        <f>武将升星!E$58+武将升星!E$59*G162</f>
        <v>75</v>
      </c>
      <c r="M162" s="16">
        <f>武将升星!F$58+武将升星!F$59*H162</f>
        <v>100</v>
      </c>
      <c r="N162" s="16">
        <f>武将升星!G$58+武将升星!G$59*I162</f>
        <v>125</v>
      </c>
      <c r="O162" s="16">
        <f>武将升星!H$58+武将升星!H$59*J162</f>
        <v>148</v>
      </c>
      <c r="P162" s="16">
        <v>165.85268386096701</v>
      </c>
      <c r="Q162" s="16">
        <f>求节点(武将升星!$C$68:$C$76,武将升星!E$68:E$76,G162)</f>
        <v>0.15</v>
      </c>
      <c r="R162" s="16">
        <f>求节点(武将升星!$C$68:$C$76,武将升星!F$68:F$76,H162)</f>
        <v>0.39999999999999997</v>
      </c>
      <c r="S162" s="16">
        <f>求节点(武将升星!$C$68:$C$76,武将升星!G$68:G$76,I162)</f>
        <v>0.79200000000000026</v>
      </c>
      <c r="T162" s="16">
        <f>求节点(武将升星!$C$68:$C$76,武将升星!H$68:H$76,J162)</f>
        <v>1.1399999999999999</v>
      </c>
      <c r="U162" s="16">
        <v>1.5127902579145001</v>
      </c>
    </row>
    <row r="163" spans="4:21" x14ac:dyDescent="0.15">
      <c r="D163" s="16">
        <v>25</v>
      </c>
      <c r="F163" s="16">
        <f>基础状态预期!C173</f>
        <v>530</v>
      </c>
      <c r="G163" s="16">
        <f>MIN(武将升星!E$14,求节点(武将升星!E$104:E$112,武将升星!$C$104:$C$112,武将数量星级阶位验证!BJ163/武将数量星级阶位验证!B$6))</f>
        <v>3</v>
      </c>
      <c r="H163" s="16">
        <f>MIN(武将升星!F$14,求节点(武将升星!F$104:F$112,武将升星!$C$104:$C$112,武将数量星级阶位验证!BK163/武将数量星级阶位验证!C$6))</f>
        <v>6</v>
      </c>
      <c r="I163" s="114">
        <f>求节点(武将升星!G$104:G$112,武将升星!$C$104:$C$112,MAX((武将数量星级阶位验证!BL163-武将数量星级阶位验证!BN163)/武将数量星级阶位验证!D$6+武将数量星级阶位验证!BN163/6,0))</f>
        <v>8</v>
      </c>
      <c r="J163" s="71">
        <f>基础状态预期!O173</f>
        <v>8</v>
      </c>
      <c r="L163" s="16">
        <f>武将升星!E$58+武将升星!E$59*G163</f>
        <v>75</v>
      </c>
      <c r="M163" s="16">
        <f>武将升星!F$58+武将升星!F$59*H163</f>
        <v>100</v>
      </c>
      <c r="N163" s="16">
        <f>武将升星!G$58+武将升星!G$59*I163</f>
        <v>125</v>
      </c>
      <c r="O163" s="16">
        <f>武将升星!H$58+武将升星!H$59*J163</f>
        <v>148</v>
      </c>
      <c r="P163" s="16">
        <v>169.485526096038</v>
      </c>
      <c r="Q163" s="16">
        <f>求节点(武将升星!$C$68:$C$76,武将升星!E$68:E$76,G163)</f>
        <v>0.15</v>
      </c>
      <c r="R163" s="16">
        <f>求节点(武将升星!$C$68:$C$76,武将升星!F$68:F$76,H163)</f>
        <v>0.39999999999999997</v>
      </c>
      <c r="S163" s="16">
        <f>求节点(武将升星!$C$68:$C$76,武将升星!G$68:G$76,I163)</f>
        <v>0.79200000000000026</v>
      </c>
      <c r="T163" s="16">
        <f>求节点(武将升星!$C$68:$C$76,武将升星!H$68:H$76,J163)</f>
        <v>1.1399999999999999</v>
      </c>
      <c r="U163" s="16">
        <v>1.5672828914405701</v>
      </c>
    </row>
    <row r="164" spans="4:21" x14ac:dyDescent="0.15">
      <c r="D164" s="16">
        <v>26</v>
      </c>
      <c r="F164" s="16">
        <f>基础状态预期!C174</f>
        <v>680</v>
      </c>
      <c r="G164" s="16">
        <f>MIN(武将升星!E$14,求节点(武将升星!E$104:E$112,武将升星!$C$104:$C$112,武将数量星级阶位验证!BJ164/武将数量星级阶位验证!B$6))</f>
        <v>3</v>
      </c>
      <c r="H164" s="16">
        <f>MIN(武将升星!F$14,求节点(武将升星!F$104:F$112,武将升星!$C$104:$C$112,武将数量星级阶位验证!BK164/武将数量星级阶位验证!C$6))</f>
        <v>6</v>
      </c>
      <c r="I164" s="114">
        <f>求节点(武将升星!G$104:G$112,武将升星!$C$104:$C$112,MAX((武将数量星级阶位验证!BL164-武将数量星级阶位验证!BN164)/武将数量星级阶位验证!D$6+武将数量星级阶位验证!BN164/6,0))</f>
        <v>8</v>
      </c>
      <c r="J164" s="71">
        <f>基础状态预期!O174</f>
        <v>8</v>
      </c>
      <c r="L164" s="16">
        <f>武将升星!E$58+武将升星!E$59*G164</f>
        <v>75</v>
      </c>
      <c r="M164" s="16">
        <f>武将升星!F$58+武将升星!F$59*H164</f>
        <v>100</v>
      </c>
      <c r="N164" s="16">
        <f>武将升星!G$58+武将升星!G$59*I164</f>
        <v>125</v>
      </c>
      <c r="O164" s="16">
        <f>武将升星!H$58+武将升星!H$59*J164</f>
        <v>148</v>
      </c>
      <c r="P164" s="16">
        <v>173.118368331109</v>
      </c>
      <c r="Q164" s="16">
        <f>求节点(武将升星!$C$68:$C$76,武将升星!E$68:E$76,G164)</f>
        <v>0.15</v>
      </c>
      <c r="R164" s="16">
        <f>求节点(武将升星!$C$68:$C$76,武将升星!F$68:F$76,H164)</f>
        <v>0.39999999999999997</v>
      </c>
      <c r="S164" s="16">
        <f>求节点(武将升星!$C$68:$C$76,武将升星!G$68:G$76,I164)</f>
        <v>0.79200000000000026</v>
      </c>
      <c r="T164" s="16">
        <f>求节点(武将升星!$C$68:$C$76,武将升星!H$68:H$76,J164)</f>
        <v>1.1399999999999999</v>
      </c>
      <c r="U164" s="16">
        <v>1.6217755249666299</v>
      </c>
    </row>
    <row r="165" spans="4:21" x14ac:dyDescent="0.15">
      <c r="D165" s="16">
        <v>27</v>
      </c>
      <c r="F165" s="16">
        <f>基础状态预期!C175</f>
        <v>860</v>
      </c>
      <c r="G165" s="16">
        <f>MIN(武将升星!E$14,求节点(武将升星!E$104:E$112,武将升星!$C$104:$C$112,武将数量星级阶位验证!BJ165/武将数量星级阶位验证!B$6))</f>
        <v>3</v>
      </c>
      <c r="H165" s="16">
        <f>MIN(武将升星!F$14,求节点(武将升星!F$104:F$112,武将升星!$C$104:$C$112,武将数量星级阶位验证!BK165/武将数量星级阶位验证!C$6))</f>
        <v>6</v>
      </c>
      <c r="I165" s="114">
        <f>求节点(武将升星!G$104:G$112,武将升星!$C$104:$C$112,MAX((武将数量星级阶位验证!BL165-武将数量星级阶位验证!BN165)/武将数量星级阶位验证!D$6+武将数量星级阶位验证!BN165/6,0))</f>
        <v>8</v>
      </c>
      <c r="J165" s="71">
        <f>基础状态预期!O175</f>
        <v>8</v>
      </c>
      <c r="L165" s="16">
        <f>武将升星!E$58+武将升星!E$59*G165</f>
        <v>75</v>
      </c>
      <c r="M165" s="16">
        <f>武将升星!F$58+武将升星!F$59*H165</f>
        <v>100</v>
      </c>
      <c r="N165" s="16">
        <f>武将升星!G$58+武将升星!G$59*I165</f>
        <v>125</v>
      </c>
      <c r="O165" s="16">
        <f>武将升星!H$58+武将升星!H$59*J165</f>
        <v>148</v>
      </c>
      <c r="P165" s="16">
        <v>176.75121056617999</v>
      </c>
      <c r="Q165" s="16">
        <f>求节点(武将升星!$C$68:$C$76,武将升星!E$68:E$76,G165)</f>
        <v>0.15</v>
      </c>
      <c r="R165" s="16">
        <f>求节点(武将升星!$C$68:$C$76,武将升星!F$68:F$76,H165)</f>
        <v>0.39999999999999997</v>
      </c>
      <c r="S165" s="16">
        <f>求节点(武将升星!$C$68:$C$76,武将升星!G$68:G$76,I165)</f>
        <v>0.79200000000000026</v>
      </c>
      <c r="T165" s="16">
        <f>求节点(武将升星!$C$68:$C$76,武将升星!H$68:H$76,J165)</f>
        <v>1.1399999999999999</v>
      </c>
      <c r="U165" s="16">
        <v>1.67626815849269</v>
      </c>
    </row>
    <row r="166" spans="4:21" x14ac:dyDescent="0.15">
      <c r="D166" s="16">
        <v>28</v>
      </c>
      <c r="F166" s="16">
        <f>基础状态预期!C176</f>
        <v>1100</v>
      </c>
      <c r="G166" s="16">
        <f>MIN(武将升星!E$14,求节点(武将升星!E$104:E$112,武将升星!$C$104:$C$112,武将数量星级阶位验证!BJ166/武将数量星级阶位验证!B$6))</f>
        <v>3</v>
      </c>
      <c r="H166" s="16">
        <f>MIN(武将升星!F$14,求节点(武将升星!F$104:F$112,武将升星!$C$104:$C$112,武将数量星级阶位验证!BK166/武将数量星级阶位验证!C$6))</f>
        <v>6</v>
      </c>
      <c r="I166" s="114">
        <f>求节点(武将升星!G$104:G$112,武将升星!$C$104:$C$112,MAX((武将数量星级阶位验证!BL166-武将数量星级阶位验证!BN166)/武将数量星级阶位验证!D$6+武将数量星级阶位验证!BN166/6,0))</f>
        <v>8</v>
      </c>
      <c r="J166" s="71">
        <f>基础状态预期!O176</f>
        <v>8</v>
      </c>
      <c r="L166" s="16">
        <f>武将升星!E$58+武将升星!E$59*G166</f>
        <v>75</v>
      </c>
      <c r="M166" s="16">
        <f>武将升星!F$58+武将升星!F$59*H166</f>
        <v>100</v>
      </c>
      <c r="N166" s="16">
        <f>武将升星!G$58+武将升星!G$59*I166</f>
        <v>125</v>
      </c>
      <c r="O166" s="16">
        <f>武将升星!H$58+武将升星!H$59*J166</f>
        <v>148</v>
      </c>
      <c r="P166" s="16">
        <v>180.38405280124999</v>
      </c>
      <c r="Q166" s="16">
        <f>求节点(武将升星!$C$68:$C$76,武将升星!E$68:E$76,G166)</f>
        <v>0.15</v>
      </c>
      <c r="R166" s="16">
        <f>求节点(武将升星!$C$68:$C$76,武将升星!F$68:F$76,H166)</f>
        <v>0.39999999999999997</v>
      </c>
      <c r="S166" s="16">
        <f>求节点(武将升星!$C$68:$C$76,武将升星!G$68:G$76,I166)</f>
        <v>0.79200000000000026</v>
      </c>
      <c r="T166" s="16">
        <f>求节点(武将升星!$C$68:$C$76,武将升星!H$68:H$76,J166)</f>
        <v>1.1399999999999999</v>
      </c>
      <c r="U166" s="16">
        <v>1.73076079201875</v>
      </c>
    </row>
    <row r="167" spans="4:21" x14ac:dyDescent="0.15">
      <c r="D167" s="16">
        <v>29</v>
      </c>
      <c r="F167" s="16">
        <f>基础状态预期!C177</f>
        <v>1400</v>
      </c>
      <c r="G167" s="16">
        <f>MIN(武将升星!E$14,求节点(武将升星!E$104:E$112,武将升星!$C$104:$C$112,武将数量星级阶位验证!BJ167/武将数量星级阶位验证!B$6))</f>
        <v>3</v>
      </c>
      <c r="H167" s="16">
        <f>MIN(武将升星!F$14,求节点(武将升星!F$104:F$112,武将升星!$C$104:$C$112,武将数量星级阶位验证!BK167/武将数量星级阶位验证!C$6))</f>
        <v>6</v>
      </c>
      <c r="I167" s="114">
        <f>求节点(武将升星!G$104:G$112,武将升星!$C$104:$C$112,MAX((武将数量星级阶位验证!BL167-武将数量星级阶位验证!BN167)/武将数量星级阶位验证!D$6+武将数量星级阶位验证!BN167/6,0))</f>
        <v>8</v>
      </c>
      <c r="J167" s="71">
        <f>基础状态预期!O177</f>
        <v>8</v>
      </c>
      <c r="L167" s="16">
        <f>武将升星!E$58+武将升星!E$59*G167</f>
        <v>75</v>
      </c>
      <c r="M167" s="16">
        <f>武将升星!F$58+武将升星!F$59*H167</f>
        <v>100</v>
      </c>
      <c r="N167" s="16">
        <f>武将升星!G$58+武将升星!G$59*I167</f>
        <v>125</v>
      </c>
      <c r="O167" s="16">
        <f>武将升星!H$58+武将升星!H$59*J167</f>
        <v>148</v>
      </c>
      <c r="P167" s="16">
        <v>184.01689503632099</v>
      </c>
      <c r="Q167" s="16">
        <f>求节点(武将升星!$C$68:$C$76,武将升星!E$68:E$76,G167)</f>
        <v>0.15</v>
      </c>
      <c r="R167" s="16">
        <f>求节点(武将升星!$C$68:$C$76,武将升星!F$68:F$76,H167)</f>
        <v>0.39999999999999997</v>
      </c>
      <c r="S167" s="16">
        <f>求节点(武将升星!$C$68:$C$76,武将升星!G$68:G$76,I167)</f>
        <v>0.79200000000000026</v>
      </c>
      <c r="T167" s="16">
        <f>求节点(武将升星!$C$68:$C$76,武将升星!H$68:H$76,J167)</f>
        <v>1.1399999999999999</v>
      </c>
      <c r="U167" s="16">
        <v>1.78525342554482</v>
      </c>
    </row>
    <row r="168" spans="4:21" x14ac:dyDescent="0.15">
      <c r="D168" s="16">
        <v>30</v>
      </c>
      <c r="F168" s="16">
        <f>基础状态预期!C178</f>
        <v>1790</v>
      </c>
      <c r="G168" s="16">
        <f>MIN(武将升星!E$14,求节点(武将升星!E$104:E$112,武将升星!$C$104:$C$112,武将数量星级阶位验证!BJ168/武将数量星级阶位验证!B$6))</f>
        <v>3</v>
      </c>
      <c r="H168" s="16">
        <f>MIN(武将升星!F$14,求节点(武将升星!F$104:F$112,武将升星!$C$104:$C$112,武将数量星级阶位验证!BK168/武将数量星级阶位验证!C$6))</f>
        <v>6</v>
      </c>
      <c r="I168" s="114">
        <f>求节点(武将升星!G$104:G$112,武将升星!$C$104:$C$112,MAX((武将数量星级阶位验证!BL168-武将数量星级阶位验证!BN168)/武将数量星级阶位验证!D$6+武将数量星级阶位验证!BN168/6,0))</f>
        <v>8</v>
      </c>
      <c r="J168" s="71">
        <f>基础状态预期!O178</f>
        <v>8</v>
      </c>
      <c r="L168" s="16">
        <f>武将升星!E$58+武将升星!E$59*G168</f>
        <v>75</v>
      </c>
      <c r="M168" s="16">
        <f>武将升星!F$58+武将升星!F$59*H168</f>
        <v>100</v>
      </c>
      <c r="N168" s="16">
        <f>武将升星!G$58+武将升星!G$59*I168</f>
        <v>125</v>
      </c>
      <c r="O168" s="16">
        <f>武将升星!H$58+武将升星!H$59*J168</f>
        <v>148</v>
      </c>
      <c r="P168" s="16">
        <v>187.64973727139201</v>
      </c>
      <c r="Q168" s="16">
        <f>求节点(武将升星!$C$68:$C$76,武将升星!E$68:E$76,G168)</f>
        <v>0.15</v>
      </c>
      <c r="R168" s="16">
        <f>求节点(武将升星!$C$68:$C$76,武将升星!F$68:F$76,H168)</f>
        <v>0.39999999999999997</v>
      </c>
      <c r="S168" s="16">
        <f>求节点(武将升星!$C$68:$C$76,武将升星!G$68:G$76,I168)</f>
        <v>0.79200000000000026</v>
      </c>
      <c r="T168" s="16">
        <f>求节点(武将升星!$C$68:$C$76,武将升星!H$68:H$76,J168)</f>
        <v>1.1399999999999999</v>
      </c>
      <c r="U168" s="16">
        <v>1.8397460590708801</v>
      </c>
    </row>
    <row r="169" spans="4:21" x14ac:dyDescent="0.15">
      <c r="D169" s="16">
        <v>31</v>
      </c>
      <c r="F169" s="16">
        <f>基础状态预期!C179</f>
        <v>2270</v>
      </c>
      <c r="G169" s="16">
        <f>MIN(武将升星!E$14,求节点(武将升星!E$104:E$112,武将升星!$C$104:$C$112,武将数量星级阶位验证!BJ169/武将数量星级阶位验证!B$6))</f>
        <v>3</v>
      </c>
      <c r="H169" s="16">
        <f>MIN(武将升星!F$14,求节点(武将升星!F$104:F$112,武将升星!$C$104:$C$112,武将数量星级阶位验证!BK169/武将数量星级阶位验证!C$6))</f>
        <v>6</v>
      </c>
      <c r="I169" s="114">
        <f>求节点(武将升星!G$104:G$112,武将升星!$C$104:$C$112,MAX((武将数量星级阶位验证!BL169-武将数量星级阶位验证!BN169)/武将数量星级阶位验证!D$6+武将数量星级阶位验证!BN169/6,0))</f>
        <v>8</v>
      </c>
      <c r="J169" s="71">
        <f>基础状态预期!O179</f>
        <v>8</v>
      </c>
      <c r="L169" s="16">
        <f>武将升星!E$58+武将升星!E$59*G169</f>
        <v>75</v>
      </c>
      <c r="M169" s="16">
        <f>武将升星!F$58+武将升星!F$59*H169</f>
        <v>100</v>
      </c>
      <c r="N169" s="16">
        <f>武将升星!G$58+武将升星!G$59*I169</f>
        <v>125</v>
      </c>
      <c r="O169" s="16">
        <f>武将升星!H$58+武将升星!H$59*J169</f>
        <v>148</v>
      </c>
      <c r="P169" s="16">
        <v>191.28257950646301</v>
      </c>
      <c r="Q169" s="16">
        <f>求节点(武将升星!$C$68:$C$76,武将升星!E$68:E$76,G169)</f>
        <v>0.15</v>
      </c>
      <c r="R169" s="16">
        <f>求节点(武将升星!$C$68:$C$76,武将升星!F$68:F$76,H169)</f>
        <v>0.39999999999999997</v>
      </c>
      <c r="S169" s="16">
        <f>求节点(武将升星!$C$68:$C$76,武将升星!G$68:G$76,I169)</f>
        <v>0.79200000000000026</v>
      </c>
      <c r="T169" s="16">
        <f>求节点(武将升星!$C$68:$C$76,武将升星!H$68:H$76,J169)</f>
        <v>1.1399999999999999</v>
      </c>
      <c r="U169" s="16">
        <v>1.8942386925969401</v>
      </c>
    </row>
    <row r="170" spans="4:21" x14ac:dyDescent="0.15">
      <c r="D170" s="16">
        <v>32</v>
      </c>
      <c r="F170" s="16">
        <f>基础状态预期!C180</f>
        <v>2900</v>
      </c>
      <c r="G170" s="16">
        <f>MIN(武将升星!E$14,求节点(武将升星!E$104:E$112,武将升星!$C$104:$C$112,武将数量星级阶位验证!BJ170/武将数量星级阶位验证!B$6))</f>
        <v>3</v>
      </c>
      <c r="H170" s="16">
        <f>MIN(武将升星!F$14,求节点(武将升星!F$104:F$112,武将升星!$C$104:$C$112,武将数量星级阶位验证!BK170/武将数量星级阶位验证!C$6))</f>
        <v>6</v>
      </c>
      <c r="I170" s="114">
        <f>求节点(武将升星!G$104:G$112,武将升星!$C$104:$C$112,MAX((武将数量星级阶位验证!BL170-武将数量星级阶位验证!BN170)/武将数量星级阶位验证!D$6+武将数量星级阶位验证!BN170/6,0))</f>
        <v>8</v>
      </c>
      <c r="J170" s="71">
        <f>基础状态预期!O180</f>
        <v>8</v>
      </c>
      <c r="L170" s="16">
        <f>武将升星!E$58+武将升星!E$59*G170</f>
        <v>75</v>
      </c>
      <c r="M170" s="16">
        <f>武将升星!F$58+武将升星!F$59*H170</f>
        <v>100</v>
      </c>
      <c r="N170" s="16">
        <f>武将升星!G$58+武将升星!G$59*I170</f>
        <v>125</v>
      </c>
      <c r="O170" s="16">
        <f>武将升星!H$58+武将升星!H$59*J170</f>
        <v>148</v>
      </c>
      <c r="P170" s="16">
        <v>194.915421741534</v>
      </c>
      <c r="Q170" s="16">
        <f>求节点(武将升星!$C$68:$C$76,武将升星!E$68:E$76,G170)</f>
        <v>0.15</v>
      </c>
      <c r="R170" s="16">
        <f>求节点(武将升星!$C$68:$C$76,武将升星!F$68:F$76,H170)</f>
        <v>0.39999999999999997</v>
      </c>
      <c r="S170" s="16">
        <f>求节点(武将升星!$C$68:$C$76,武将升星!G$68:G$76,I170)</f>
        <v>0.79200000000000026</v>
      </c>
      <c r="T170" s="16">
        <f>求节点(武将升星!$C$68:$C$76,武将升星!H$68:H$76,J170)</f>
        <v>1.1399999999999999</v>
      </c>
      <c r="U170" s="16">
        <v>1.9487313261229999</v>
      </c>
    </row>
    <row r="171" spans="4:21" x14ac:dyDescent="0.15">
      <c r="D171" s="16">
        <v>33</v>
      </c>
      <c r="F171" s="16">
        <f>基础状态预期!C181</f>
        <v>3710</v>
      </c>
      <c r="G171" s="16">
        <f>MIN(武将升星!E$14,求节点(武将升星!E$104:E$112,武将升星!$C$104:$C$112,武将数量星级阶位验证!BJ171/武将数量星级阶位验证!B$6))</f>
        <v>3</v>
      </c>
      <c r="H171" s="16">
        <f>MIN(武将升星!F$14,求节点(武将升星!F$104:F$112,武将升星!$C$104:$C$112,武将数量星级阶位验证!BK171/武将数量星级阶位验证!C$6))</f>
        <v>6</v>
      </c>
      <c r="I171" s="114">
        <f>求节点(武将升星!G$104:G$112,武将升星!$C$104:$C$112,MAX((武将数量星级阶位验证!BL171-武将数量星级阶位验证!BN171)/武将数量星级阶位验证!D$6+武将数量星级阶位验证!BN171/6,0))</f>
        <v>8</v>
      </c>
      <c r="J171" s="71">
        <f>基础状态预期!O181</f>
        <v>8</v>
      </c>
      <c r="L171" s="16">
        <f>武将升星!E$58+武将升星!E$59*G171</f>
        <v>75</v>
      </c>
      <c r="M171" s="16">
        <f>武将升星!F$58+武将升星!F$59*H171</f>
        <v>100</v>
      </c>
      <c r="N171" s="16">
        <f>武将升星!G$58+武将升星!G$59*I171</f>
        <v>125</v>
      </c>
      <c r="O171" s="16">
        <f>武将升星!H$58+武将升星!H$59*J171</f>
        <v>148</v>
      </c>
      <c r="P171" s="16">
        <v>198.548263976605</v>
      </c>
      <c r="Q171" s="16">
        <f>求节点(武将升星!$C$68:$C$76,武将升星!E$68:E$76,G171)</f>
        <v>0.15</v>
      </c>
      <c r="R171" s="16">
        <f>求节点(武将升星!$C$68:$C$76,武将升星!F$68:F$76,H171)</f>
        <v>0.39999999999999997</v>
      </c>
      <c r="S171" s="16">
        <f>求节点(武将升星!$C$68:$C$76,武将升星!G$68:G$76,I171)</f>
        <v>0.79200000000000026</v>
      </c>
      <c r="T171" s="16">
        <f>求节点(武将升星!$C$68:$C$76,武将升星!H$68:H$76,J171)</f>
        <v>1.1399999999999999</v>
      </c>
      <c r="U171" s="16">
        <v>2.0032239596490702</v>
      </c>
    </row>
    <row r="172" spans="4:21" x14ac:dyDescent="0.15">
      <c r="D172" s="16">
        <v>34</v>
      </c>
      <c r="F172" s="16">
        <f>基础状态预期!C182</f>
        <v>4730</v>
      </c>
      <c r="G172" s="16">
        <f>MIN(武将升星!E$14,求节点(武将升星!E$104:E$112,武将升星!$C$104:$C$112,武将数量星级阶位验证!BJ172/武将数量星级阶位验证!B$6))</f>
        <v>3</v>
      </c>
      <c r="H172" s="16">
        <f>MIN(武将升星!F$14,求节点(武将升星!F$104:F$112,武将升星!$C$104:$C$112,武将数量星级阶位验证!BK172/武将数量星级阶位验证!C$6))</f>
        <v>6</v>
      </c>
      <c r="I172" s="114">
        <f>求节点(武将升星!G$104:G$112,武将升星!$C$104:$C$112,MAX((武将数量星级阶位验证!BL172-武将数量星级阶位验证!BN172)/武将数量星级阶位验证!D$6+武将数量星级阶位验证!BN172/6,0))</f>
        <v>8</v>
      </c>
      <c r="J172" s="71">
        <f>基础状态预期!O182</f>
        <v>8</v>
      </c>
      <c r="L172" s="16">
        <f>武将升星!E$58+武将升星!E$59*G172</f>
        <v>75</v>
      </c>
      <c r="M172" s="16">
        <f>武将升星!F$58+武将升星!F$59*H172</f>
        <v>100</v>
      </c>
      <c r="N172" s="16">
        <f>武将升星!G$58+武将升星!G$59*I172</f>
        <v>125</v>
      </c>
      <c r="O172" s="16">
        <f>武将升星!H$58+武将升星!H$59*J172</f>
        <v>148</v>
      </c>
      <c r="P172" s="16">
        <v>202.181106211676</v>
      </c>
      <c r="Q172" s="16">
        <f>求节点(武将升星!$C$68:$C$76,武将升星!E$68:E$76,G172)</f>
        <v>0.15</v>
      </c>
      <c r="R172" s="16">
        <f>求节点(武将升星!$C$68:$C$76,武将升星!F$68:F$76,H172)</f>
        <v>0.39999999999999997</v>
      </c>
      <c r="S172" s="16">
        <f>求节点(武将升星!$C$68:$C$76,武将升星!G$68:G$76,I172)</f>
        <v>0.79200000000000026</v>
      </c>
      <c r="T172" s="16">
        <f>求节点(武将升星!$C$68:$C$76,武将升星!H$68:H$76,J172)</f>
        <v>1.1399999999999999</v>
      </c>
      <c r="U172" s="16">
        <v>2.05771659317513</v>
      </c>
    </row>
    <row r="173" spans="4:21" x14ac:dyDescent="0.15">
      <c r="D173" s="16">
        <v>35</v>
      </c>
      <c r="F173" s="16">
        <f>基础状态预期!C183</f>
        <v>6020</v>
      </c>
      <c r="G173" s="16">
        <f>MIN(武将升星!E$14,求节点(武将升星!E$104:E$112,武将升星!$C$104:$C$112,武将数量星级阶位验证!BJ173/武将数量星级阶位验证!B$6))</f>
        <v>3</v>
      </c>
      <c r="H173" s="16">
        <f>MIN(武将升星!F$14,求节点(武将升星!F$104:F$112,武将升星!$C$104:$C$112,武将数量星级阶位验证!BK173/武将数量星级阶位验证!C$6))</f>
        <v>6</v>
      </c>
      <c r="I173" s="114">
        <f>求节点(武将升星!G$104:G$112,武将升星!$C$104:$C$112,MAX((武将数量星级阶位验证!BL173-武将数量星级阶位验证!BN173)/武将数量星级阶位验证!D$6+武将数量星级阶位验证!BN173/6,0))</f>
        <v>8</v>
      </c>
      <c r="J173" s="71">
        <f>基础状态预期!O183</f>
        <v>8</v>
      </c>
      <c r="L173" s="16">
        <f>武将升星!E$58+武将升星!E$59*G173</f>
        <v>75</v>
      </c>
      <c r="M173" s="16">
        <f>武将升星!F$58+武将升星!F$59*H173</f>
        <v>100</v>
      </c>
      <c r="N173" s="16">
        <f>武将升星!G$58+武将升星!G$59*I173</f>
        <v>125</v>
      </c>
      <c r="O173" s="16">
        <f>武将升星!H$58+武将升星!H$59*J173</f>
        <v>148</v>
      </c>
      <c r="P173" s="16">
        <v>205.813948446746</v>
      </c>
      <c r="Q173" s="16">
        <f>求节点(武将升星!$C$68:$C$76,武将升星!E$68:E$76,G173)</f>
        <v>0.15</v>
      </c>
      <c r="R173" s="16">
        <f>求节点(武将升星!$C$68:$C$76,武将升星!F$68:F$76,H173)</f>
        <v>0.39999999999999997</v>
      </c>
      <c r="S173" s="16">
        <f>求节点(武将升星!$C$68:$C$76,武将升星!G$68:G$76,I173)</f>
        <v>0.79200000000000026</v>
      </c>
      <c r="T173" s="16">
        <f>求节点(武将升星!$C$68:$C$76,武将升星!H$68:H$76,J173)</f>
        <v>1.1399999999999999</v>
      </c>
      <c r="U173" s="16">
        <v>2.1122092267011898</v>
      </c>
    </row>
    <row r="174" spans="4:21" x14ac:dyDescent="0.15">
      <c r="D174" s="16">
        <v>36</v>
      </c>
      <c r="F174" s="16">
        <f>基础状态预期!C184</f>
        <v>7670</v>
      </c>
      <c r="G174" s="16">
        <f>MIN(武将升星!E$14,求节点(武将升星!E$104:E$112,武将升星!$C$104:$C$112,武将数量星级阶位验证!BJ174/武将数量星级阶位验证!B$6))</f>
        <v>3</v>
      </c>
      <c r="H174" s="16">
        <f>MIN(武将升星!F$14,求节点(武将升星!F$104:F$112,武将升星!$C$104:$C$112,武将数量星级阶位验证!BK174/武将数量星级阶位验证!C$6))</f>
        <v>6</v>
      </c>
      <c r="I174" s="114">
        <f>求节点(武将升星!G$104:G$112,武将升星!$C$104:$C$112,MAX((武将数量星级阶位验证!BL174-武将数量星级阶位验证!BN174)/武将数量星级阶位验证!D$6+武将数量星级阶位验证!BN174/6,0))</f>
        <v>8</v>
      </c>
      <c r="J174" s="71">
        <f>基础状态预期!O184</f>
        <v>8</v>
      </c>
      <c r="L174" s="16">
        <f>武将升星!E$58+武将升星!E$59*G174</f>
        <v>75</v>
      </c>
      <c r="M174" s="16">
        <f>武将升星!F$58+武将升星!F$59*H174</f>
        <v>100</v>
      </c>
      <c r="N174" s="16">
        <f>武将升星!G$58+武将升星!G$59*I174</f>
        <v>125</v>
      </c>
      <c r="O174" s="16">
        <f>武将升星!H$58+武将升星!H$59*J174</f>
        <v>148</v>
      </c>
      <c r="P174" s="16">
        <v>209.44679068181699</v>
      </c>
      <c r="Q174" s="16">
        <f>求节点(武将升星!$C$68:$C$76,武将升星!E$68:E$76,G174)</f>
        <v>0.15</v>
      </c>
      <c r="R174" s="16">
        <f>求节点(武将升星!$C$68:$C$76,武将升星!F$68:F$76,H174)</f>
        <v>0.39999999999999997</v>
      </c>
      <c r="S174" s="16">
        <f>求节点(武将升星!$C$68:$C$76,武将升星!G$68:G$76,I174)</f>
        <v>0.79200000000000026</v>
      </c>
      <c r="T174" s="16">
        <f>求节点(武将升星!$C$68:$C$76,武将升星!H$68:H$76,J174)</f>
        <v>1.1399999999999999</v>
      </c>
      <c r="U174" s="16">
        <v>2.1667018602272501</v>
      </c>
    </row>
    <row r="175" spans="4:21" x14ac:dyDescent="0.15">
      <c r="D175" s="16">
        <v>37</v>
      </c>
      <c r="F175" s="16">
        <f>基础状态预期!C185</f>
        <v>9770</v>
      </c>
      <c r="G175" s="16">
        <f>MIN(武将升星!E$14,求节点(武将升星!E$104:E$112,武将升星!$C$104:$C$112,武将数量星级阶位验证!BJ175/武将数量星级阶位验证!B$6))</f>
        <v>3</v>
      </c>
      <c r="H175" s="16">
        <f>MIN(武将升星!F$14,求节点(武将升星!F$104:F$112,武将升星!$C$104:$C$112,武将数量星级阶位验证!BK175/武将数量星级阶位验证!C$6))</f>
        <v>6</v>
      </c>
      <c r="I175" s="114">
        <f>求节点(武将升星!G$104:G$112,武将升星!$C$104:$C$112,MAX((武将数量星级阶位验证!BL175-武将数量星级阶位验证!BN175)/武将数量星级阶位验证!D$6+武将数量星级阶位验证!BN175/6,0))</f>
        <v>8</v>
      </c>
      <c r="J175" s="71">
        <f>基础状态预期!O185</f>
        <v>8</v>
      </c>
      <c r="L175" s="16">
        <f>武将升星!E$58+武将升星!E$59*G175</f>
        <v>75</v>
      </c>
      <c r="M175" s="16">
        <f>武将升星!F$58+武将升星!F$59*H175</f>
        <v>100</v>
      </c>
      <c r="N175" s="16">
        <f>武将升星!G$58+武将升星!G$59*I175</f>
        <v>125</v>
      </c>
      <c r="O175" s="16">
        <f>武将升星!H$58+武将升星!H$59*J175</f>
        <v>148</v>
      </c>
      <c r="P175" s="16">
        <v>213.07963291688799</v>
      </c>
      <c r="Q175" s="16">
        <f>求节点(武将升星!$C$68:$C$76,武将升星!E$68:E$76,G175)</f>
        <v>0.15</v>
      </c>
      <c r="R175" s="16">
        <f>求节点(武将升星!$C$68:$C$76,武将升星!F$68:F$76,H175)</f>
        <v>0.39999999999999997</v>
      </c>
      <c r="S175" s="16">
        <f>求节点(武将升星!$C$68:$C$76,武将升星!G$68:G$76,I175)</f>
        <v>0.79200000000000026</v>
      </c>
      <c r="T175" s="16">
        <f>求节点(武将升星!$C$68:$C$76,武将升星!H$68:H$76,J175)</f>
        <v>1.1399999999999999</v>
      </c>
      <c r="U175" s="16">
        <v>2.2211944937533201</v>
      </c>
    </row>
    <row r="176" spans="4:21" x14ac:dyDescent="0.15">
      <c r="D176" s="16">
        <v>38</v>
      </c>
      <c r="F176" s="16">
        <f>基础状态预期!C186</f>
        <v>12440</v>
      </c>
      <c r="G176" s="16">
        <f>MIN(武将升星!E$14,求节点(武将升星!E$104:E$112,武将升星!$C$104:$C$112,武将数量星级阶位验证!BJ176/武将数量星级阶位验证!B$6))</f>
        <v>3</v>
      </c>
      <c r="H176" s="16">
        <f>MIN(武将升星!F$14,求节点(武将升星!F$104:F$112,武将升星!$C$104:$C$112,武将数量星级阶位验证!BK176/武将数量星级阶位验证!C$6))</f>
        <v>6</v>
      </c>
      <c r="I176" s="114">
        <f>求节点(武将升星!G$104:G$112,武将升星!$C$104:$C$112,MAX((武将数量星级阶位验证!BL176-武将数量星级阶位验证!BN176)/武将数量星级阶位验证!D$6+武将数量星级阶位验证!BN176/6,0))</f>
        <v>8</v>
      </c>
      <c r="J176" s="71">
        <f>基础状态预期!O186</f>
        <v>8</v>
      </c>
      <c r="L176" s="16">
        <f>武将升星!E$58+武将升星!E$59*G176</f>
        <v>75</v>
      </c>
      <c r="M176" s="16">
        <f>武将升星!F$58+武将升星!F$59*H176</f>
        <v>100</v>
      </c>
      <c r="N176" s="16">
        <f>武将升星!G$58+武将升星!G$59*I176</f>
        <v>125</v>
      </c>
      <c r="O176" s="16">
        <f>武将升星!H$58+武将升星!H$59*J176</f>
        <v>148</v>
      </c>
      <c r="P176" s="16">
        <v>216.71247515195901</v>
      </c>
      <c r="Q176" s="16">
        <f>求节点(武将升星!$C$68:$C$76,武将升星!E$68:E$76,G176)</f>
        <v>0.15</v>
      </c>
      <c r="R176" s="16">
        <f>求节点(武将升星!$C$68:$C$76,武将升星!F$68:F$76,H176)</f>
        <v>0.39999999999999997</v>
      </c>
      <c r="S176" s="16">
        <f>求节点(武将升星!$C$68:$C$76,武将升星!G$68:G$76,I176)</f>
        <v>0.79200000000000026</v>
      </c>
      <c r="T176" s="16">
        <f>求节点(武将升星!$C$68:$C$76,武将升星!H$68:H$76,J176)</f>
        <v>1.1399999999999999</v>
      </c>
      <c r="U176" s="16">
        <v>2.2756871272793799</v>
      </c>
    </row>
    <row r="177" spans="4:21" x14ac:dyDescent="0.15">
      <c r="D177" s="16">
        <v>39</v>
      </c>
      <c r="F177" s="16">
        <f>基础状态预期!C187</f>
        <v>15860</v>
      </c>
      <c r="G177" s="16">
        <f>MIN(武将升星!E$14,求节点(武将升星!E$104:E$112,武将升星!$C$104:$C$112,武将数量星级阶位验证!BJ177/武将数量星级阶位验证!B$6))</f>
        <v>3</v>
      </c>
      <c r="H177" s="16">
        <f>MIN(武将升星!F$14,求节点(武将升星!F$104:F$112,武将升星!$C$104:$C$112,武将数量星级阶位验证!BK177/武将数量星级阶位验证!C$6))</f>
        <v>6</v>
      </c>
      <c r="I177" s="114">
        <f>求节点(武将升星!G$104:G$112,武将升星!$C$104:$C$112,MAX((武将数量星级阶位验证!BL177-武将数量星级阶位验证!BN177)/武将数量星级阶位验证!D$6+武将数量星级阶位验证!BN177/6,0))</f>
        <v>8</v>
      </c>
      <c r="J177" s="71">
        <f>基础状态预期!O187</f>
        <v>8</v>
      </c>
      <c r="L177" s="16">
        <f>武将升星!E$58+武将升星!E$59*G177</f>
        <v>75</v>
      </c>
      <c r="M177" s="16">
        <f>武将升星!F$58+武将升星!F$59*H177</f>
        <v>100</v>
      </c>
      <c r="N177" s="16">
        <f>武将升星!G$58+武将升星!G$59*I177</f>
        <v>125</v>
      </c>
      <c r="O177" s="16">
        <f>武将升星!H$58+武将升星!H$59*J177</f>
        <v>148</v>
      </c>
      <c r="P177" s="16">
        <v>220.34531738703001</v>
      </c>
      <c r="Q177" s="16">
        <f>求节点(武将升星!$C$68:$C$76,武将升星!E$68:E$76,G177)</f>
        <v>0.15</v>
      </c>
      <c r="R177" s="16">
        <f>求节点(武将升星!$C$68:$C$76,武将升星!F$68:F$76,H177)</f>
        <v>0.39999999999999997</v>
      </c>
      <c r="S177" s="16">
        <f>求节点(武将升星!$C$68:$C$76,武将升星!G$68:G$76,I177)</f>
        <v>0.79200000000000026</v>
      </c>
      <c r="T177" s="16">
        <f>求节点(武将升星!$C$68:$C$76,武将升星!H$68:H$76,J177)</f>
        <v>1.1399999999999999</v>
      </c>
      <c r="U177" s="16">
        <v>2.3301797608054402</v>
      </c>
    </row>
    <row r="178" spans="4:21" x14ac:dyDescent="0.15">
      <c r="D178" s="16">
        <v>40</v>
      </c>
      <c r="F178" s="16">
        <f>基础状态预期!C188</f>
        <v>20210</v>
      </c>
      <c r="G178" s="16">
        <f>MIN(武将升星!E$14,求节点(武将升星!E$104:E$112,武将升星!$C$104:$C$112,武将数量星级阶位验证!BJ178/武将数量星级阶位验证!B$6))</f>
        <v>3</v>
      </c>
      <c r="H178" s="16">
        <f>MIN(武将升星!F$14,求节点(武将升星!F$104:F$112,武将升星!$C$104:$C$112,武将数量星级阶位验证!BK178/武将数量星级阶位验证!C$6))</f>
        <v>6</v>
      </c>
      <c r="I178" s="114">
        <f>求节点(武将升星!G$104:G$112,武将升星!$C$104:$C$112,MAX((武将数量星级阶位验证!BL178-武将数量星级阶位验证!BN178)/武将数量星级阶位验证!D$6+武将数量星级阶位验证!BN178/6,0))</f>
        <v>8</v>
      </c>
      <c r="J178" s="71">
        <f>基础状态预期!O188</f>
        <v>8</v>
      </c>
      <c r="L178" s="16">
        <f>武将升星!E$58+武将升星!E$59*G178</f>
        <v>75</v>
      </c>
      <c r="M178" s="16">
        <f>武将升星!F$58+武将升星!F$59*H178</f>
        <v>100</v>
      </c>
      <c r="N178" s="16">
        <f>武将升星!G$58+武将升星!G$59*I178</f>
        <v>125</v>
      </c>
      <c r="O178" s="16">
        <f>武将升星!H$58+武将升星!H$59*J178</f>
        <v>148</v>
      </c>
      <c r="P178" s="16">
        <v>223.978159622101</v>
      </c>
      <c r="Q178" s="16">
        <f>求节点(武将升星!$C$68:$C$76,武将升星!E$68:E$76,G178)</f>
        <v>0.15</v>
      </c>
      <c r="R178" s="16">
        <f>求节点(武将升星!$C$68:$C$76,武将升星!F$68:F$76,H178)</f>
        <v>0.39999999999999997</v>
      </c>
      <c r="S178" s="16">
        <f>求节点(武将升星!$C$68:$C$76,武将升星!G$68:G$76,I178)</f>
        <v>0.79200000000000026</v>
      </c>
      <c r="T178" s="16">
        <f>求节点(武将升星!$C$68:$C$76,武将升星!H$68:H$76,J178)</f>
        <v>1.1399999999999999</v>
      </c>
      <c r="U178" s="16">
        <v>2.3846723943315</v>
      </c>
    </row>
    <row r="179" spans="4:21" x14ac:dyDescent="0.15">
      <c r="D179" s="16">
        <v>41</v>
      </c>
      <c r="F179" s="16">
        <f>基础状态预期!C189</f>
        <v>25760</v>
      </c>
      <c r="G179" s="16">
        <f>MIN(武将升星!E$14,求节点(武将升星!E$104:E$112,武将升星!$C$104:$C$112,武将数量星级阶位验证!BJ179/武将数量星级阶位验证!B$6))</f>
        <v>3</v>
      </c>
      <c r="H179" s="16">
        <f>MIN(武将升星!F$14,求节点(武将升星!F$104:F$112,武将升星!$C$104:$C$112,武将数量星级阶位验证!BK179/武将数量星级阶位验证!C$6))</f>
        <v>6</v>
      </c>
      <c r="I179" s="114">
        <f>求节点(武将升星!G$104:G$112,武将升星!$C$104:$C$112,MAX((武将数量星级阶位验证!BL179-武将数量星级阶位验证!BN179)/武将数量星级阶位验证!D$6+武将数量星级阶位验证!BN179/6,0))</f>
        <v>8</v>
      </c>
      <c r="J179" s="71">
        <f>基础状态预期!O189</f>
        <v>8</v>
      </c>
      <c r="L179" s="16">
        <f>武将升星!E$58+武将升星!E$59*G179</f>
        <v>75</v>
      </c>
      <c r="M179" s="16">
        <f>武将升星!F$58+武将升星!F$59*H179</f>
        <v>100</v>
      </c>
      <c r="N179" s="16">
        <f>武将升星!G$58+武将升星!G$59*I179</f>
        <v>125</v>
      </c>
      <c r="O179" s="16">
        <f>武将升星!H$58+武将升星!H$59*J179</f>
        <v>148</v>
      </c>
      <c r="P179" s="16">
        <v>227.611001857171</v>
      </c>
      <c r="Q179" s="16">
        <f>求节点(武将升星!$C$68:$C$76,武将升星!E$68:E$76,G179)</f>
        <v>0.15</v>
      </c>
      <c r="R179" s="16">
        <f>求节点(武将升星!$C$68:$C$76,武将升星!F$68:F$76,H179)</f>
        <v>0.39999999999999997</v>
      </c>
      <c r="S179" s="16">
        <f>求节点(武将升星!$C$68:$C$76,武将升星!G$68:G$76,I179)</f>
        <v>0.79200000000000026</v>
      </c>
      <c r="T179" s="16">
        <f>求节点(武将升星!$C$68:$C$76,武将升星!H$68:H$76,J179)</f>
        <v>1.1399999999999999</v>
      </c>
      <c r="U179" s="16">
        <v>2.4391650278575701</v>
      </c>
    </row>
    <row r="180" spans="4:21" x14ac:dyDescent="0.15">
      <c r="D180" s="16">
        <v>42</v>
      </c>
      <c r="F180" s="16">
        <f>基础状态预期!C190</f>
        <v>32750</v>
      </c>
      <c r="G180" s="16">
        <f>MIN(武将升星!E$14,求节点(武将升星!E$104:E$112,武将升星!$C$104:$C$112,武将数量星级阶位验证!BJ180/武将数量星级阶位验证!B$6))</f>
        <v>3</v>
      </c>
      <c r="H180" s="16">
        <f>MIN(武将升星!F$14,求节点(武将升星!F$104:F$112,武将升星!$C$104:$C$112,武将数量星级阶位验证!BK180/武将数量星级阶位验证!C$6))</f>
        <v>6</v>
      </c>
      <c r="I180" s="114">
        <f>求节点(武将升星!G$104:G$112,武将升星!$C$104:$C$112,MAX((武将数量星级阶位验证!BL180-武将数量星级阶位验证!BN180)/武将数量星级阶位验证!D$6+武将数量星级阶位验证!BN180/6,0))</f>
        <v>8</v>
      </c>
      <c r="J180" s="71">
        <f>基础状态预期!O190</f>
        <v>8</v>
      </c>
      <c r="L180" s="16">
        <f>武将升星!E$58+武将升星!E$59*G180</f>
        <v>75</v>
      </c>
      <c r="M180" s="16">
        <f>武将升星!F$58+武将升星!F$59*H180</f>
        <v>100</v>
      </c>
      <c r="N180" s="16">
        <f>武将升星!G$58+武将升星!G$59*I180</f>
        <v>125</v>
      </c>
      <c r="O180" s="16">
        <f>武将升星!H$58+武将升星!H$59*J180</f>
        <v>148</v>
      </c>
      <c r="P180" s="16">
        <v>231.243844092242</v>
      </c>
      <c r="Q180" s="16">
        <f>求节点(武将升星!$C$68:$C$76,武将升星!E$68:E$76,G180)</f>
        <v>0.15</v>
      </c>
      <c r="R180" s="16">
        <f>求节点(武将升星!$C$68:$C$76,武将升星!F$68:F$76,H180)</f>
        <v>0.39999999999999997</v>
      </c>
      <c r="S180" s="16">
        <f>求节点(武将升星!$C$68:$C$76,武将升星!G$68:G$76,I180)</f>
        <v>0.79200000000000026</v>
      </c>
      <c r="T180" s="16">
        <f>求节点(武将升星!$C$68:$C$76,武将升星!H$68:H$76,J180)</f>
        <v>1.1399999999999999</v>
      </c>
      <c r="U180" s="16">
        <v>2.4936576613836299</v>
      </c>
    </row>
    <row r="181" spans="4:21" x14ac:dyDescent="0.15">
      <c r="D181" s="16">
        <v>43</v>
      </c>
    </row>
    <row r="182" spans="4:21" x14ac:dyDescent="0.15">
      <c r="D182" s="16">
        <v>44</v>
      </c>
    </row>
    <row r="183" spans="4:21" x14ac:dyDescent="0.15">
      <c r="D183" s="16">
        <v>45</v>
      </c>
    </row>
    <row r="184" spans="4:21" x14ac:dyDescent="0.15">
      <c r="D184" s="16">
        <v>1</v>
      </c>
    </row>
    <row r="185" spans="4:21" x14ac:dyDescent="0.15">
      <c r="D185" s="16">
        <v>2</v>
      </c>
      <c r="G185" s="16" t="s">
        <v>400</v>
      </c>
      <c r="L185" s="16" t="s">
        <v>401</v>
      </c>
      <c r="Q185" s="16" t="s">
        <v>402</v>
      </c>
    </row>
    <row r="186" spans="4:21" x14ac:dyDescent="0.15">
      <c r="D186" s="16">
        <v>3</v>
      </c>
      <c r="F186" s="16" t="s">
        <v>79</v>
      </c>
      <c r="G186" s="29" t="s">
        <v>1</v>
      </c>
      <c r="H186" s="29" t="s">
        <v>2</v>
      </c>
      <c r="I186" s="29" t="s">
        <v>0</v>
      </c>
      <c r="J186" s="14" t="s">
        <v>545</v>
      </c>
      <c r="L186" s="29" t="s">
        <v>1</v>
      </c>
      <c r="M186" s="29" t="s">
        <v>2</v>
      </c>
      <c r="N186" s="29" t="s">
        <v>0</v>
      </c>
      <c r="O186" s="14" t="s">
        <v>545</v>
      </c>
      <c r="P186" s="16" t="s">
        <v>84</v>
      </c>
      <c r="Q186" s="29" t="s">
        <v>1</v>
      </c>
      <c r="R186" s="29" t="s">
        <v>2</v>
      </c>
      <c r="S186" s="29" t="s">
        <v>0</v>
      </c>
      <c r="T186" s="14" t="s">
        <v>545</v>
      </c>
      <c r="U186" s="16" t="s">
        <v>84</v>
      </c>
    </row>
    <row r="187" spans="4:21" x14ac:dyDescent="0.15">
      <c r="D187" s="16">
        <v>4</v>
      </c>
      <c r="F187" s="16">
        <f>基础状态预期!C197</f>
        <v>0.27500000000000002</v>
      </c>
      <c r="G187" s="16">
        <f>MIN(武将升星!E$14,求节点(武将升星!E$104:E$112,武将升星!$C$104:$C$112,武将数量星级阶位验证!BJ187/武将数量星级阶位验证!B$6))</f>
        <v>3</v>
      </c>
      <c r="H187" s="16">
        <f>MIN(武将升星!F$14,求节点(武将升星!F$104:F$112,武将升星!$C$104:$C$112,武将数量星级阶位验证!BK187/武将数量星级阶位验证!C$6))</f>
        <v>2.6095540756983615</v>
      </c>
      <c r="I187" s="114">
        <f>求节点(武将升星!G$104:G$112,武将升星!$C$104:$C$112,MAX((武将数量星级阶位验证!BL187-武将数量星级阶位验证!BN187)/武将数量星级阶位验证!D$6+武将数量星级阶位验证!BN187/6,0))</f>
        <v>0</v>
      </c>
      <c r="J187" s="71">
        <f>基础状态预期!O197</f>
        <v>0</v>
      </c>
      <c r="L187" s="16">
        <f>武将升星!E$58+武将升星!E$59*G187</f>
        <v>75</v>
      </c>
      <c r="M187" s="16">
        <f>武将升星!F$58+武将升星!F$59*H187</f>
        <v>83.047770378491805</v>
      </c>
      <c r="N187" s="16">
        <f>武将升星!G$58+武将升星!G$59*I187</f>
        <v>85</v>
      </c>
      <c r="O187" s="16">
        <f>武将升星!H$58+武将升星!H$59*J187</f>
        <v>100</v>
      </c>
      <c r="P187" s="16">
        <v>105</v>
      </c>
      <c r="Q187" s="16">
        <f>求节点(武将升星!$C$68:$C$76,武将升星!E$68:E$76,G187)</f>
        <v>0.15</v>
      </c>
      <c r="R187" s="16">
        <f>求节点(武将升星!$C$68:$C$76,武将升星!F$68:F$76,H187)</f>
        <v>0.23047770378491808</v>
      </c>
      <c r="S187" s="16">
        <f>求节点(武将升星!$C$68:$C$76,武将升星!G$68:G$76,I187)</f>
        <v>0.216</v>
      </c>
      <c r="T187" s="16">
        <f>求节点(武将升星!$C$68:$C$76,武将升星!H$68:H$76,J187)</f>
        <v>0.5</v>
      </c>
      <c r="U187" s="16">
        <v>0.6</v>
      </c>
    </row>
    <row r="188" spans="4:21" x14ac:dyDescent="0.15">
      <c r="D188" s="16">
        <v>5</v>
      </c>
      <c r="F188" s="16">
        <f>基础状态预期!C198</f>
        <v>0.82500000000000007</v>
      </c>
      <c r="G188" s="16">
        <f>MIN(武将升星!E$14,求节点(武将升星!E$104:E$112,武将升星!$C$104:$C$112,武将数量星级阶位验证!BJ188/武将数量星级阶位验证!B$6))</f>
        <v>3</v>
      </c>
      <c r="H188" s="16">
        <f>MIN(武将升星!F$14,求节点(武将升星!F$104:F$112,武将升星!$C$104:$C$112,武将数量星级阶位验证!BK188/武将数量星级阶位验证!C$6))</f>
        <v>5.5315121073338949</v>
      </c>
      <c r="I188" s="114">
        <f>求节点(武将升星!G$104:G$112,武将升星!$C$104:$C$112,MAX((武将数量星级阶位验证!BL188-武将数量星级阶位验证!BN188)/武将数量星级阶位验证!D$6+武将数量星级阶位验证!BN188/6,0))</f>
        <v>0.5060634612251893</v>
      </c>
      <c r="J188" s="71">
        <f>基础状态预期!O198</f>
        <v>0</v>
      </c>
      <c r="L188" s="16">
        <f>武将升星!E$58+武将升星!E$59*G188</f>
        <v>75</v>
      </c>
      <c r="M188" s="16">
        <f>武将升星!F$58+武将升星!F$59*H188</f>
        <v>97.657560536669479</v>
      </c>
      <c r="N188" s="16">
        <f>武将升星!G$58+武将升星!G$59*I188</f>
        <v>87.530317306125951</v>
      </c>
      <c r="O188" s="16">
        <f>武将升星!H$58+武将升星!H$59*J188</f>
        <v>100</v>
      </c>
      <c r="P188" s="16">
        <v>105</v>
      </c>
      <c r="Q188" s="16">
        <f>求节点(武将升星!$C$68:$C$76,武将升星!E$68:E$76,G188)</f>
        <v>0.15</v>
      </c>
      <c r="R188" s="16">
        <f>求节点(武将升星!$C$68:$C$76,武将升星!F$68:F$76,H188)</f>
        <v>0.37657560536669471</v>
      </c>
      <c r="S188" s="16">
        <f>求节点(武将升星!$C$68:$C$76,武将升星!G$68:G$76,I188)</f>
        <v>0.25243656920821367</v>
      </c>
      <c r="T188" s="16">
        <f>求节点(武将升星!$C$68:$C$76,武将升星!H$68:H$76,J188)</f>
        <v>0.5</v>
      </c>
      <c r="U188" s="16">
        <v>0.6</v>
      </c>
    </row>
    <row r="189" spans="4:21" x14ac:dyDescent="0.15">
      <c r="D189" s="16">
        <v>6</v>
      </c>
      <c r="F189" s="16">
        <f>基础状态预期!C199</f>
        <v>1.6500000000000001</v>
      </c>
      <c r="G189" s="16">
        <f>MIN(武将升星!E$14,求节点(武将升星!E$104:E$112,武将升星!$C$104:$C$112,武将数量星级阶位验证!BJ189/武将数量星级阶位验证!B$6))</f>
        <v>3</v>
      </c>
      <c r="H189" s="16">
        <f>MIN(武将升星!F$14,求节点(武将升星!F$104:F$112,武将升星!$C$104:$C$112,武将数量星级阶位验证!BK189/武将数量星级阶位验证!C$6))</f>
        <v>6</v>
      </c>
      <c r="I189" s="114">
        <f>求节点(武将升星!G$104:G$112,武将升星!$C$104:$C$112,MAX((武将数量星级阶位验证!BL189-武将数量星级阶位验证!BN189)/武将数量星级阶位验证!D$6+武将数量星级阶位验证!BN189/6,0))</f>
        <v>1.3990079363594083</v>
      </c>
      <c r="J189" s="71">
        <f>基础状态预期!O199</f>
        <v>0</v>
      </c>
      <c r="L189" s="16">
        <f>武将升星!E$58+武将升星!E$59*G189</f>
        <v>75</v>
      </c>
      <c r="M189" s="16">
        <f>武将升星!F$58+武将升星!F$59*H189</f>
        <v>100</v>
      </c>
      <c r="N189" s="16">
        <f>武将升星!G$58+武将升星!G$59*I189</f>
        <v>91.995039681797039</v>
      </c>
      <c r="O189" s="16">
        <f>武将升星!H$58+武将升星!H$59*J189</f>
        <v>100</v>
      </c>
      <c r="P189" s="16">
        <v>105</v>
      </c>
      <c r="Q189" s="16">
        <f>求节点(武将升星!$C$68:$C$76,武将升星!E$68:E$76,G189)</f>
        <v>0.15</v>
      </c>
      <c r="R189" s="16">
        <f>求节点(武将升星!$C$68:$C$76,武将升星!F$68:F$76,H189)</f>
        <v>0.39999999999999997</v>
      </c>
      <c r="S189" s="16">
        <f>求节点(武将升星!$C$68:$C$76,武将升星!G$68:G$76,I189)</f>
        <v>0.31672857141787741</v>
      </c>
      <c r="T189" s="16">
        <f>求节点(武将升星!$C$68:$C$76,武将升星!H$68:H$76,J189)</f>
        <v>0.5</v>
      </c>
      <c r="U189" s="16">
        <v>0.6</v>
      </c>
    </row>
    <row r="190" spans="4:21" x14ac:dyDescent="0.15">
      <c r="D190" s="16">
        <v>7</v>
      </c>
      <c r="F190" s="16">
        <f>基础状态预期!C200</f>
        <v>2.75</v>
      </c>
      <c r="G190" s="16">
        <f>MIN(武将升星!E$14,求节点(武将升星!E$104:E$112,武将升星!$C$104:$C$112,武将数量星级阶位验证!BJ190/武将数量星级阶位验证!B$6))</f>
        <v>3</v>
      </c>
      <c r="H190" s="16">
        <f>MIN(武将升星!F$14,求节点(武将升星!F$104:F$112,武将升星!$C$104:$C$112,武将数量星级阶位验证!BK190/武将数量星级阶位验证!C$6))</f>
        <v>6</v>
      </c>
      <c r="I190" s="114">
        <f>求节点(武将升星!G$104:G$112,武将升星!$C$104:$C$112,MAX((武将数量星级阶位验证!BL190-武将数量星级阶位验证!BN190)/武将数量星级阶位验证!D$6+武将数量星级阶位验证!BN190/6,0))</f>
        <v>2.3816015839203399</v>
      </c>
      <c r="J190" s="71">
        <f>基础状态预期!O200</f>
        <v>0</v>
      </c>
      <c r="L190" s="16">
        <f>武将升星!E$58+武将升星!E$59*G190</f>
        <v>75</v>
      </c>
      <c r="M190" s="16">
        <f>武将升星!F$58+武将升星!F$59*H190</f>
        <v>100</v>
      </c>
      <c r="N190" s="16">
        <f>武将升星!G$58+武将升星!G$59*I190</f>
        <v>96.908007919601701</v>
      </c>
      <c r="O190" s="16">
        <f>武将升星!H$58+武将升星!H$59*J190</f>
        <v>100</v>
      </c>
      <c r="P190" s="16">
        <v>105</v>
      </c>
      <c r="Q190" s="16">
        <f>求节点(武将升星!$C$68:$C$76,武将升星!E$68:E$76,G190)</f>
        <v>0.15</v>
      </c>
      <c r="R190" s="16">
        <f>求节点(武将升星!$C$68:$C$76,武将升星!F$68:F$76,H190)</f>
        <v>0.39999999999999997</v>
      </c>
      <c r="S190" s="16">
        <f>求节点(武将升星!$C$68:$C$76,武将升星!G$68:G$76,I190)</f>
        <v>0.38747531404226454</v>
      </c>
      <c r="T190" s="16">
        <f>求节点(武将升星!$C$68:$C$76,武将升星!H$68:H$76,J190)</f>
        <v>0.5</v>
      </c>
      <c r="U190" s="16">
        <v>0.6</v>
      </c>
    </row>
    <row r="191" spans="4:21" x14ac:dyDescent="0.15">
      <c r="D191" s="16">
        <v>8</v>
      </c>
      <c r="F191" s="16">
        <f>基础状态预期!C201</f>
        <v>4.125</v>
      </c>
      <c r="G191" s="16">
        <f>MIN(武将升星!E$14,求节点(武将升星!E$104:E$112,武将升星!$C$104:$C$112,武将数量星级阶位验证!BJ191/武将数量星级阶位验证!B$6))</f>
        <v>3</v>
      </c>
      <c r="H191" s="16">
        <f>MIN(武将升星!F$14,求节点(武将升星!F$104:F$112,武将升星!$C$104:$C$112,武将数量星级阶位验证!BK191/武将数量星级阶位验证!C$6))</f>
        <v>6</v>
      </c>
      <c r="I191" s="114">
        <f>求节点(武将升星!G$104:G$112,武将升星!$C$104:$C$112,MAX((武将数量星级阶位验证!BL191-武将数量星级阶位验证!BN191)/武将数量星级阶位验证!D$6+武将数量星级阶位验证!BN191/6,0))</f>
        <v>3.2859339537469259</v>
      </c>
      <c r="J191" s="71">
        <f>基础状态预期!O201</f>
        <v>0</v>
      </c>
      <c r="L191" s="16">
        <f>武将升星!E$58+武将升星!E$59*G191</f>
        <v>75</v>
      </c>
      <c r="M191" s="16">
        <f>武将升星!F$58+武将升星!F$59*H191</f>
        <v>100</v>
      </c>
      <c r="N191" s="16">
        <f>武将升星!G$58+武将升星!G$59*I191</f>
        <v>101.42966976873463</v>
      </c>
      <c r="O191" s="16">
        <f>武将升星!H$58+武将升星!H$59*J191</f>
        <v>100</v>
      </c>
      <c r="P191" s="16">
        <v>105</v>
      </c>
      <c r="Q191" s="16">
        <f>求节点(武将升星!$C$68:$C$76,武将升星!E$68:E$76,G191)</f>
        <v>0.15</v>
      </c>
      <c r="R191" s="16">
        <f>求节点(武将升星!$C$68:$C$76,武将升星!F$68:F$76,H191)</f>
        <v>0.39999999999999997</v>
      </c>
      <c r="S191" s="16">
        <f>求节点(武将升星!$C$68:$C$76,武将升星!G$68:G$76,I191)</f>
        <v>0.45258724466977868</v>
      </c>
      <c r="T191" s="16">
        <f>求节点(武将升星!$C$68:$C$76,武将升星!H$68:H$76,J191)</f>
        <v>0.5</v>
      </c>
      <c r="U191" s="16">
        <v>0.6</v>
      </c>
    </row>
    <row r="192" spans="4:21" x14ac:dyDescent="0.15">
      <c r="D192" s="16">
        <v>9</v>
      </c>
      <c r="F192" s="16">
        <f>基础状态预期!C202</f>
        <v>5.5</v>
      </c>
      <c r="G192" s="16">
        <f>MIN(武将升星!E$14,求节点(武将升星!E$104:E$112,武将升星!$C$104:$C$112,武将数量星级阶位验证!BJ192/武将数量星级阶位验证!B$6))</f>
        <v>3</v>
      </c>
      <c r="H192" s="16">
        <f>MIN(武将升星!F$14,求节点(武将升星!F$104:F$112,武将升星!$C$104:$C$112,武将数量星级阶位验证!BK192/武将数量星级阶位验证!C$6))</f>
        <v>6</v>
      </c>
      <c r="I192" s="114">
        <f>求节点(武将升星!G$104:G$112,武将升星!$C$104:$C$112,MAX((武将数量星级阶位验证!BL192-武将数量星级阶位验证!BN192)/武将数量星级阶位验证!D$6+武将数量星级阶位验证!BN192/6,0))</f>
        <v>3.8693891740370221</v>
      </c>
      <c r="J192" s="71">
        <f>基础状态预期!O202</f>
        <v>0</v>
      </c>
      <c r="L192" s="16">
        <f>武将升星!E$58+武将升星!E$59*G192</f>
        <v>75</v>
      </c>
      <c r="M192" s="16">
        <f>武将升星!F$58+武将升星!F$59*H192</f>
        <v>100</v>
      </c>
      <c r="N192" s="16">
        <f>武将升星!G$58+武将升星!G$59*I192</f>
        <v>104.34694587018511</v>
      </c>
      <c r="O192" s="16">
        <f>武将升星!H$58+武将升星!H$59*J192</f>
        <v>100</v>
      </c>
      <c r="P192" s="16">
        <v>105</v>
      </c>
      <c r="Q192" s="16">
        <f>求节点(武将升星!$C$68:$C$76,武将升星!E$68:E$76,G192)</f>
        <v>0.15</v>
      </c>
      <c r="R192" s="16">
        <f>求节点(武将升星!$C$68:$C$76,武将升星!F$68:F$76,H192)</f>
        <v>0.39999999999999997</v>
      </c>
      <c r="S192" s="16">
        <f>求节点(武将升星!$C$68:$C$76,武将升星!G$68:G$76,I192)</f>
        <v>0.49459602053066559</v>
      </c>
      <c r="T192" s="16">
        <f>求节点(武将升星!$C$68:$C$76,武将升星!H$68:H$76,J192)</f>
        <v>0.5</v>
      </c>
      <c r="U192" s="16">
        <v>0.6</v>
      </c>
    </row>
    <row r="193" spans="4:21" x14ac:dyDescent="0.15">
      <c r="D193" s="16">
        <v>10</v>
      </c>
      <c r="F193" s="16">
        <f>基础状态预期!C203</f>
        <v>8.25</v>
      </c>
      <c r="G193" s="16">
        <f>MIN(武将升星!E$14,求节点(武将升星!E$104:E$112,武将升星!$C$104:$C$112,武将数量星级阶位验证!BJ193/武将数量星级阶位验证!B$6))</f>
        <v>3</v>
      </c>
      <c r="H193" s="16">
        <f>MIN(武将升星!F$14,求节点(武将升星!F$104:F$112,武将升星!$C$104:$C$112,武将数量星级阶位验证!BK193/武将数量星级阶位验证!C$6))</f>
        <v>6</v>
      </c>
      <c r="I193" s="114">
        <f>求节点(武将升星!G$104:G$112,武将升星!$C$104:$C$112,MAX((武将数量星级阶位验证!BL193-武将数量星级阶位验证!BN193)/武将数量星级阶位验证!D$6+武将数量星级阶位验证!BN193/6,0))</f>
        <v>4.9206332693256787</v>
      </c>
      <c r="J193" s="71">
        <f>基础状态预期!O203</f>
        <v>0</v>
      </c>
      <c r="L193" s="16">
        <f>武将升星!E$58+武将升星!E$59*G193</f>
        <v>75</v>
      </c>
      <c r="M193" s="16">
        <f>武将升星!F$58+武将升星!F$59*H193</f>
        <v>100</v>
      </c>
      <c r="N193" s="16">
        <f>武将升星!G$58+武将升星!G$59*I193</f>
        <v>109.6031663466284</v>
      </c>
      <c r="O193" s="16">
        <f>武将升星!H$58+武将升星!H$59*J193</f>
        <v>100</v>
      </c>
      <c r="P193" s="16">
        <v>105</v>
      </c>
      <c r="Q193" s="16">
        <f>求节点(武将升星!$C$68:$C$76,武将升星!E$68:E$76,G193)</f>
        <v>0.15</v>
      </c>
      <c r="R193" s="16">
        <f>求节点(武将升星!$C$68:$C$76,武将升星!F$68:F$76,H193)</f>
        <v>0.39999999999999997</v>
      </c>
      <c r="S193" s="16">
        <f>求节点(武将升星!$C$68:$C$76,武将升星!G$68:G$76,I193)</f>
        <v>0.57028559539144896</v>
      </c>
      <c r="T193" s="16">
        <f>求节点(武将升星!$C$68:$C$76,武将升星!H$68:H$76,J193)</f>
        <v>0.5</v>
      </c>
      <c r="U193" s="16">
        <v>0.6</v>
      </c>
    </row>
    <row r="194" spans="4:21" x14ac:dyDescent="0.15">
      <c r="D194" s="16">
        <v>11</v>
      </c>
      <c r="F194" s="16">
        <f>基础状态预期!C204</f>
        <v>11</v>
      </c>
      <c r="G194" s="16">
        <f>MIN(武将升星!E$14,求节点(武将升星!E$104:E$112,武将升星!$C$104:$C$112,武将数量星级阶位验证!BJ194/武将数量星级阶位验证!B$6))</f>
        <v>3</v>
      </c>
      <c r="H194" s="16">
        <f>MIN(武将升星!F$14,求节点(武将升星!F$104:F$112,武将升星!$C$104:$C$112,武将数量星级阶位验证!BK194/武将数量星级阶位验证!C$6))</f>
        <v>6</v>
      </c>
      <c r="I194" s="114">
        <f>求节点(武将升星!G$104:G$112,武将升星!$C$104:$C$112,MAX((武将数量星级阶位验证!BL194-武将数量星级阶位验证!BN194)/武将数量星级阶位验证!D$6+武将数量星级阶位验证!BN194/6,0))</f>
        <v>5.5828245074753733</v>
      </c>
      <c r="J194" s="71">
        <f>基础状态预期!O204</f>
        <v>1.1724486135119863</v>
      </c>
      <c r="L194" s="16">
        <f>武将升星!E$58+武将升星!E$59*G194</f>
        <v>75</v>
      </c>
      <c r="M194" s="16">
        <f>武将升星!F$58+武将升星!F$59*H194</f>
        <v>100</v>
      </c>
      <c r="N194" s="16">
        <f>武将升星!G$58+武将升星!G$59*I194</f>
        <v>112.91412253737687</v>
      </c>
      <c r="O194" s="16">
        <f>武将升星!H$58+武将升星!H$59*J194</f>
        <v>107.03469168107192</v>
      </c>
      <c r="P194" s="16">
        <v>107.07768805955992</v>
      </c>
      <c r="Q194" s="16">
        <f>求节点(武将升星!$C$68:$C$76,武将升星!E$68:E$76,G194)</f>
        <v>0.15</v>
      </c>
      <c r="R194" s="16">
        <f>求节点(武将升星!$C$68:$C$76,武将升星!F$68:F$76,H194)</f>
        <v>0.39999999999999997</v>
      </c>
      <c r="S194" s="16">
        <f>求节点(武将升星!$C$68:$C$76,武将升星!G$68:G$76,I194)</f>
        <v>0.61796336453822698</v>
      </c>
      <c r="T194" s="16">
        <f>求节点(武将升星!$C$68:$C$76,武将升星!H$68:H$76,J194)</f>
        <v>0.59379588908095882</v>
      </c>
      <c r="U194" s="16">
        <v>0.63116532089339872</v>
      </c>
    </row>
    <row r="195" spans="4:21" x14ac:dyDescent="0.15">
      <c r="D195" s="16">
        <v>12</v>
      </c>
      <c r="F195" s="16">
        <f>基础状态预期!C205</f>
        <v>16.5</v>
      </c>
      <c r="G195" s="16">
        <f>MIN(武将升星!E$14,求节点(武将升星!E$104:E$112,武将升星!$C$104:$C$112,武将数量星级阶位验证!BJ195/武将数量星级阶位验证!B$6))</f>
        <v>3</v>
      </c>
      <c r="H195" s="16">
        <f>MIN(武将升星!F$14,求节点(武将升星!F$104:F$112,武将升星!$C$104:$C$112,武将数量星级阶位验证!BK195/武将数量星级阶位验证!C$6))</f>
        <v>6</v>
      </c>
      <c r="I195" s="114">
        <f>求节点(武将升星!G$104:G$112,武将升星!$C$104:$C$112,MAX((武将数量星级阶位验证!BL195-武将数量星级阶位验证!BN195)/武将数量星级阶位验证!D$6+武将数量星级阶位验证!BN195/6,0))</f>
        <v>6.6233090969741601</v>
      </c>
      <c r="J195" s="71">
        <f>基础状态预期!O205</f>
        <v>3.1004594949713136</v>
      </c>
      <c r="L195" s="16">
        <f>武将升星!E$58+武将升星!E$59*G195</f>
        <v>75</v>
      </c>
      <c r="M195" s="16">
        <f>武将升星!F$58+武将升星!F$59*H195</f>
        <v>100</v>
      </c>
      <c r="N195" s="16">
        <f>武将升星!G$58+武将升星!G$59*I195</f>
        <v>118.1165454848708</v>
      </c>
      <c r="O195" s="16">
        <f>武将升星!H$58+武将升星!H$59*J195</f>
        <v>118.60275696982788</v>
      </c>
      <c r="P195" s="16">
        <v>114.82844069745164</v>
      </c>
      <c r="Q195" s="16">
        <f>求节点(武将升星!$C$68:$C$76,武将升星!E$68:E$76,G195)</f>
        <v>0.15</v>
      </c>
      <c r="R195" s="16">
        <f>求节点(武将升星!$C$68:$C$76,武将升星!F$68:F$76,H195)</f>
        <v>0.39999999999999997</v>
      </c>
      <c r="S195" s="16">
        <f>求节点(武将升星!$C$68:$C$76,武将升星!G$68:G$76,I195)</f>
        <v>0.69287825498213973</v>
      </c>
      <c r="T195" s="16">
        <f>求节点(武将升星!$C$68:$C$76,武将升星!H$68:H$76,J195)</f>
        <v>0.74803675959770499</v>
      </c>
      <c r="U195" s="16">
        <v>0.7474266104617745</v>
      </c>
    </row>
    <row r="196" spans="4:21" x14ac:dyDescent="0.15">
      <c r="D196" s="16">
        <v>13</v>
      </c>
      <c r="F196" s="16">
        <f>基础状态预期!C206</f>
        <v>24.750000000000004</v>
      </c>
      <c r="G196" s="16">
        <f>MIN(武将升星!E$14,求节点(武将升星!E$104:E$112,武将升星!$C$104:$C$112,武将数量星级阶位验证!BJ196/武将数量星级阶位验证!B$6))</f>
        <v>3</v>
      </c>
      <c r="H196" s="16">
        <f>MIN(武将升星!F$14,求节点(武将升星!F$104:F$112,武将升星!$C$104:$C$112,武将数量星级阶位验证!BK196/武将数量星级阶位验证!C$6))</f>
        <v>6</v>
      </c>
      <c r="I196" s="114">
        <f>求节点(武将升星!G$104:G$112,武将升星!$C$104:$C$112,MAX((武将数量星级阶位验证!BL196-武将数量星级阶位验证!BN196)/武将数量星级阶位验证!D$6+武将数量星级阶位验证!BN196/6,0))</f>
        <v>7.1423841951061631</v>
      </c>
      <c r="J196" s="71">
        <f>基础状态预期!O206</f>
        <v>5.081992541656331</v>
      </c>
      <c r="L196" s="16">
        <f>武将升星!E$58+武将升星!E$59*G196</f>
        <v>75</v>
      </c>
      <c r="M196" s="16">
        <f>武将升星!F$58+武将升星!F$59*H196</f>
        <v>100</v>
      </c>
      <c r="N196" s="16">
        <f>武将升星!G$58+武将升星!G$59*I196</f>
        <v>120.71192097553082</v>
      </c>
      <c r="O196" s="16">
        <f>武将升星!H$58+武将升星!H$59*J196</f>
        <v>130.49195524993797</v>
      </c>
      <c r="P196" s="16">
        <v>126.75913631117677</v>
      </c>
      <c r="Q196" s="16">
        <f>求节点(武将升星!$C$68:$C$76,武将升星!E$68:E$76,G196)</f>
        <v>0.15</v>
      </c>
      <c r="R196" s="16">
        <f>求节点(武将升星!$C$68:$C$76,武将升星!F$68:F$76,H196)</f>
        <v>0.39999999999999997</v>
      </c>
      <c r="S196" s="16">
        <f>求节点(武将升星!$C$68:$C$76,武将升星!G$68:G$76,I196)</f>
        <v>0.73025166204764391</v>
      </c>
      <c r="T196" s="16">
        <f>求节点(武将升星!$C$68:$C$76,武将升星!H$68:H$76,J196)</f>
        <v>0.90655940333250629</v>
      </c>
      <c r="U196" s="16">
        <v>0.92638704466765165</v>
      </c>
    </row>
    <row r="197" spans="4:21" x14ac:dyDescent="0.15">
      <c r="D197" s="16">
        <v>14</v>
      </c>
      <c r="F197" s="16">
        <f>基础状态预期!C207</f>
        <v>33</v>
      </c>
      <c r="G197" s="16">
        <f>MIN(武将升星!E$14,求节点(武将升星!E$104:E$112,武将升星!$C$104:$C$112,武将数量星级阶位验证!BJ197/武将数量星级阶位验证!B$6))</f>
        <v>3</v>
      </c>
      <c r="H197" s="16">
        <f>MIN(武将升星!F$14,求节点(武将升星!F$104:F$112,武将升星!$C$104:$C$112,武将数量星级阶位验证!BK197/武将数量星级阶位验证!C$6))</f>
        <v>6</v>
      </c>
      <c r="I197" s="114">
        <f>求节点(武将升星!G$104:G$112,武将升星!$C$104:$C$112,MAX((武将数量星级阶位验证!BL197-武将数量星级阶位验证!BN197)/武将数量星级阶位验证!D$6+武将数量星级阶位验证!BN197/6,0))</f>
        <v>7.5637474662874942</v>
      </c>
      <c r="J197" s="71">
        <f>基础状态预期!O207</f>
        <v>5.7443719768466801</v>
      </c>
      <c r="L197" s="16">
        <f>武将升星!E$58+武将升星!E$59*G197</f>
        <v>75</v>
      </c>
      <c r="M197" s="16">
        <f>武将升星!F$58+武将升星!F$59*H197</f>
        <v>100</v>
      </c>
      <c r="N197" s="16">
        <f>武将升星!G$58+武将升星!G$59*I197</f>
        <v>122.81873733143746</v>
      </c>
      <c r="O197" s="16">
        <f>武将升星!H$58+武将升星!H$59*J197</f>
        <v>134.46623186108008</v>
      </c>
      <c r="P197" s="16">
        <v>130.68552846711336</v>
      </c>
      <c r="Q197" s="16">
        <f>求节点(武将升星!$C$68:$C$76,武将升星!E$68:E$76,G197)</f>
        <v>0.15</v>
      </c>
      <c r="R197" s="16">
        <f>求节点(武将升星!$C$68:$C$76,武将升星!F$68:F$76,H197)</f>
        <v>0.39999999999999997</v>
      </c>
      <c r="S197" s="16">
        <f>求节点(武将升星!$C$68:$C$76,武将升星!G$68:G$76,I197)</f>
        <v>0.76058981757269983</v>
      </c>
      <c r="T197" s="16">
        <f>求节点(武将升星!$C$68:$C$76,武将升星!H$68:H$76,J197)</f>
        <v>0.95954975814773413</v>
      </c>
      <c r="U197" s="16">
        <v>0.98528292700670006</v>
      </c>
    </row>
    <row r="198" spans="4:21" x14ac:dyDescent="0.15">
      <c r="D198" s="16">
        <v>15</v>
      </c>
      <c r="F198" s="16">
        <f>基础状态预期!C208</f>
        <v>41.25</v>
      </c>
      <c r="G198" s="16">
        <f>MIN(武将升星!E$14,求节点(武将升星!E$104:E$112,武将升星!$C$104:$C$112,武将数量星级阶位验证!BJ198/武将数量星级阶位验证!B$6))</f>
        <v>3</v>
      </c>
      <c r="H198" s="16">
        <f>MIN(武将升星!F$14,求节点(武将升星!F$104:F$112,武将升星!$C$104:$C$112,武将数量星级阶位验证!BK198/武将数量星级阶位验证!C$6))</f>
        <v>6</v>
      </c>
      <c r="I198" s="114">
        <f>求节点(武将升星!G$104:G$112,武将升星!$C$104:$C$112,MAX((武将数量星级阶位验证!BL198-武将数量星级阶位验证!BN198)/武将数量星级阶位验证!D$6+武将数量星级阶位验证!BN198/6,0))</f>
        <v>7.9891858248762349</v>
      </c>
      <c r="J198" s="71">
        <f>基础状态预期!O208</f>
        <v>6.152666537713988</v>
      </c>
      <c r="L198" s="16">
        <f>武将升星!E$58+武将升星!E$59*G198</f>
        <v>75</v>
      </c>
      <c r="M198" s="16">
        <f>武将升星!F$58+武将升星!F$59*H198</f>
        <v>100</v>
      </c>
      <c r="N198" s="16">
        <f>武将升星!G$58+武将升星!G$59*I198</f>
        <v>124.94592912438117</v>
      </c>
      <c r="O198" s="16">
        <f>武将升星!H$58+武将升星!H$59*J198</f>
        <v>136.91599922628393</v>
      </c>
      <c r="P198" s="16">
        <v>133.2137883210512</v>
      </c>
      <c r="Q198" s="16">
        <f>求节点(武将升星!$C$68:$C$76,武将升星!E$68:E$76,G198)</f>
        <v>0.15</v>
      </c>
      <c r="R198" s="16">
        <f>求节点(武将升星!$C$68:$C$76,武将升星!F$68:F$76,H198)</f>
        <v>0.39999999999999997</v>
      </c>
      <c r="S198" s="16">
        <f>求节点(武将升星!$C$68:$C$76,武将升星!G$68:G$76,I198)</f>
        <v>0.79122137939108916</v>
      </c>
      <c r="T198" s="16">
        <f>求节点(武将升星!$C$68:$C$76,武将升星!H$68:H$76,J198)</f>
        <v>0.99221332301711884</v>
      </c>
      <c r="U198" s="16">
        <v>1.023206824815768</v>
      </c>
    </row>
    <row r="199" spans="4:21" x14ac:dyDescent="0.15">
      <c r="D199" s="16">
        <v>16</v>
      </c>
      <c r="F199" s="16">
        <f>基础状态预期!C209</f>
        <v>49.500000000000007</v>
      </c>
      <c r="G199" s="16">
        <f>MIN(武将升星!E$14,求节点(武将升星!E$104:E$112,武将升星!$C$104:$C$112,武将数量星级阶位验证!BJ199/武将数量星级阶位验证!B$6))</f>
        <v>3</v>
      </c>
      <c r="H199" s="16">
        <f>MIN(武将升星!F$14,求节点(武将升星!F$104:F$112,武将升星!$C$104:$C$112,武将数量星级阶位验证!BK199/武将数量星级阶位验证!C$6))</f>
        <v>6</v>
      </c>
      <c r="I199" s="114">
        <f>求节点(武将升星!G$104:G$112,武将升星!$C$104:$C$112,MAX((武将数量星级阶位验证!BL199-武将数量星级阶位验证!BN199)/武将数量星级阶位验证!D$6+武将数量星级阶位验证!BN199/6,0))</f>
        <v>8</v>
      </c>
      <c r="J199" s="71">
        <f>基础状态预期!O209</f>
        <v>6.7429454942393452</v>
      </c>
      <c r="L199" s="16">
        <f>武将升星!E$58+武将升星!E$59*G199</f>
        <v>75</v>
      </c>
      <c r="M199" s="16">
        <f>武将升星!F$58+武将升星!F$59*H199</f>
        <v>100</v>
      </c>
      <c r="N199" s="16">
        <f>武将升星!G$58+武将升星!G$59*I199</f>
        <v>125</v>
      </c>
      <c r="O199" s="16">
        <f>武将升星!H$58+武将升星!H$59*J199</f>
        <v>140.45767296543607</v>
      </c>
      <c r="P199" s="16">
        <v>136.16718420384797</v>
      </c>
      <c r="Q199" s="16">
        <f>求节点(武将升星!$C$68:$C$76,武将升星!E$68:E$76,G199)</f>
        <v>0.15</v>
      </c>
      <c r="R199" s="16">
        <f>求节点(武将升星!$C$68:$C$76,武将升星!F$68:F$76,H199)</f>
        <v>0.39999999999999997</v>
      </c>
      <c r="S199" s="16">
        <f>求节点(武将升星!$C$68:$C$76,武将升星!G$68:G$76,I199)</f>
        <v>0.79200000000000026</v>
      </c>
      <c r="T199" s="16">
        <f>求节点(武将升星!$C$68:$C$76,武将升星!H$68:H$76,J199)</f>
        <v>1.0394356395391475</v>
      </c>
      <c r="U199" s="16">
        <v>1.0675077630577197</v>
      </c>
    </row>
    <row r="200" spans="4:21" x14ac:dyDescent="0.15">
      <c r="D200" s="16">
        <v>17</v>
      </c>
      <c r="F200" s="16">
        <f>基础状态预期!C210</f>
        <v>60.500000000000007</v>
      </c>
      <c r="G200" s="16">
        <f>MIN(武将升星!E$14,求节点(武将升星!E$104:E$112,武将升星!$C$104:$C$112,武将数量星级阶位验证!BJ200/武将数量星级阶位验证!B$6))</f>
        <v>3</v>
      </c>
      <c r="H200" s="16">
        <f>MIN(武将升星!F$14,求节点(武将升星!F$104:F$112,武将升星!$C$104:$C$112,武将数量星级阶位验证!BK200/武将数量星级阶位验证!C$6))</f>
        <v>6</v>
      </c>
      <c r="I200" s="114">
        <f>求节点(武将升星!G$104:G$112,武将升星!$C$104:$C$112,MAX((武将数量星级阶位验证!BL200-武将数量星级阶位验证!BN200)/武将数量星级阶位验证!D$6+武将数量星级阶位验证!BN200/6,0))</f>
        <v>8</v>
      </c>
      <c r="J200" s="71">
        <f>基础状态预期!O210</f>
        <v>7.392415473182151</v>
      </c>
      <c r="L200" s="16">
        <f>武将升星!E$58+武将升星!E$59*G200</f>
        <v>75</v>
      </c>
      <c r="M200" s="16">
        <f>武将升星!F$58+武将升星!F$59*H200</f>
        <v>100</v>
      </c>
      <c r="N200" s="16">
        <f>武将升星!G$58+武将升星!G$59*I200</f>
        <v>125</v>
      </c>
      <c r="O200" s="16">
        <f>武将升星!H$58+武将升星!H$59*J200</f>
        <v>144.3544928390929</v>
      </c>
      <c r="P200" s="16">
        <v>139.26198183045625</v>
      </c>
      <c r="Q200" s="16">
        <f>求节点(武将升星!$C$68:$C$76,武将升星!E$68:E$76,G200)</f>
        <v>0.15</v>
      </c>
      <c r="R200" s="16">
        <f>求节点(武将升星!$C$68:$C$76,武将升星!F$68:F$76,H200)</f>
        <v>0.39999999999999997</v>
      </c>
      <c r="S200" s="16">
        <f>求节点(武将升星!$C$68:$C$76,武将升星!G$68:G$76,I200)</f>
        <v>0.79200000000000026</v>
      </c>
      <c r="T200" s="16">
        <f>求节点(武将升星!$C$68:$C$76,武将升星!H$68:H$76,J200)</f>
        <v>1.0913932378545719</v>
      </c>
      <c r="U200" s="16">
        <v>1.1139297274568434</v>
      </c>
    </row>
    <row r="201" spans="4:21" x14ac:dyDescent="0.15">
      <c r="D201" s="16">
        <v>18</v>
      </c>
      <c r="F201" s="16">
        <f>基础状态预期!C211</f>
        <v>71.5</v>
      </c>
      <c r="G201" s="16">
        <f>MIN(武将升星!E$14,求节点(武将升星!E$104:E$112,武将升星!$C$104:$C$112,武将数量星级阶位验证!BJ201/武将数量星级阶位验证!B$6))</f>
        <v>3</v>
      </c>
      <c r="H201" s="16">
        <f>MIN(武将升星!F$14,求节点(武将升星!F$104:F$112,武将升星!$C$104:$C$112,武将数量星级阶位验证!BK201/武将数量星级阶位验证!C$6))</f>
        <v>6</v>
      </c>
      <c r="I201" s="114">
        <f>求节点(武将升星!G$104:G$112,武将升星!$C$104:$C$112,MAX((武将数量星级阶位验证!BL201-武将数量星级阶位验证!BN201)/武将数量星级阶位验证!D$6+武将数量星级阶位验证!BN201/6,0))</f>
        <v>8</v>
      </c>
      <c r="J201" s="71">
        <f>基础状态预期!O211</f>
        <v>8</v>
      </c>
      <c r="L201" s="16">
        <f>武将升星!E$58+武将升星!E$59*G201</f>
        <v>75</v>
      </c>
      <c r="M201" s="16">
        <f>武将升星!F$58+武将升星!F$59*H201</f>
        <v>100</v>
      </c>
      <c r="N201" s="16">
        <f>武将升星!G$58+武将升星!G$59*I201</f>
        <v>125</v>
      </c>
      <c r="O201" s="16">
        <f>武将升星!H$58+武将升星!H$59*J201</f>
        <v>148</v>
      </c>
      <c r="P201" s="16">
        <v>143.52203958868506</v>
      </c>
      <c r="Q201" s="16">
        <f>求节点(武将升星!$C$68:$C$76,武将升星!E$68:E$76,G201)</f>
        <v>0.15</v>
      </c>
      <c r="R201" s="16">
        <f>求节点(武将升星!$C$68:$C$76,武将升星!F$68:F$76,H201)</f>
        <v>0.39999999999999997</v>
      </c>
      <c r="S201" s="16">
        <f>求节点(武将升星!$C$68:$C$76,武将升星!G$68:G$76,I201)</f>
        <v>0.79200000000000026</v>
      </c>
      <c r="T201" s="16">
        <f>求节点(武将升星!$C$68:$C$76,武将升星!H$68:H$76,J201)</f>
        <v>1.1399999999999999</v>
      </c>
      <c r="U201" s="16">
        <v>1.1778305938302758</v>
      </c>
    </row>
    <row r="202" spans="4:21" x14ac:dyDescent="0.15">
      <c r="D202" s="16">
        <v>19</v>
      </c>
      <c r="F202" s="16">
        <f>基础状态预期!C212</f>
        <v>82.5</v>
      </c>
      <c r="G202" s="16">
        <f>MIN(武将升星!E$14,求节点(武将升星!E$104:E$112,武将升星!$C$104:$C$112,武将数量星级阶位验证!BJ202/武将数量星级阶位验证!B$6))</f>
        <v>3</v>
      </c>
      <c r="H202" s="16">
        <f>MIN(武将升星!F$14,求节点(武将升星!F$104:F$112,武将升星!$C$104:$C$112,武将数量星级阶位验证!BK202/武将数量星级阶位验证!C$6))</f>
        <v>6</v>
      </c>
      <c r="I202" s="114">
        <f>求节点(武将升星!G$104:G$112,武将升星!$C$104:$C$112,MAX((武将数量星级阶位验证!BL202-武将数量星级阶位验证!BN202)/武将数量星级阶位验证!D$6+武将数量星级阶位验证!BN202/6,0))</f>
        <v>8</v>
      </c>
      <c r="J202" s="71">
        <f>基础状态预期!O212</f>
        <v>8</v>
      </c>
      <c r="L202" s="16">
        <f>武将升星!E$58+武将升星!E$59*G202</f>
        <v>75</v>
      </c>
      <c r="M202" s="16">
        <f>武将升星!F$58+武将升星!F$59*H202</f>
        <v>100</v>
      </c>
      <c r="N202" s="16">
        <f>武将升星!G$58+武将升星!G$59*I202</f>
        <v>125</v>
      </c>
      <c r="O202" s="16">
        <f>武将升星!H$58+武将升星!H$59*J202</f>
        <v>148</v>
      </c>
      <c r="P202" s="16">
        <v>147.6044145211082</v>
      </c>
      <c r="Q202" s="16">
        <f>求节点(武将升星!$C$68:$C$76,武将升星!E$68:E$76,G202)</f>
        <v>0.15</v>
      </c>
      <c r="R202" s="16">
        <f>求节点(武将升星!$C$68:$C$76,武将升星!F$68:F$76,H202)</f>
        <v>0.39999999999999997</v>
      </c>
      <c r="S202" s="16">
        <f>求节点(武将升星!$C$68:$C$76,武将升星!G$68:G$76,I202)</f>
        <v>0.79200000000000026</v>
      </c>
      <c r="T202" s="16">
        <f>求节点(武将升星!$C$68:$C$76,武将升星!H$68:H$76,J202)</f>
        <v>1.1399999999999999</v>
      </c>
      <c r="U202" s="16">
        <v>1.2390662178166227</v>
      </c>
    </row>
    <row r="203" spans="4:21" x14ac:dyDescent="0.15">
      <c r="D203" s="16">
        <v>20</v>
      </c>
      <c r="F203" s="16">
        <f>基础状态预期!C213</f>
        <v>93.500000000000014</v>
      </c>
      <c r="G203" s="16">
        <f>MIN(武将升星!E$14,求节点(武将升星!E$104:E$112,武将升星!$C$104:$C$112,武将数量星级阶位验证!BJ203/武将数量星级阶位验证!B$6))</f>
        <v>3</v>
      </c>
      <c r="H203" s="16">
        <f>MIN(武将升星!F$14,求节点(武将升星!F$104:F$112,武将升星!$C$104:$C$112,武将数量星级阶位验证!BK203/武将数量星级阶位验证!C$6))</f>
        <v>6</v>
      </c>
      <c r="I203" s="114">
        <f>求节点(武将升星!G$104:G$112,武将升星!$C$104:$C$112,MAX((武将数量星级阶位验证!BL203-武将数量星级阶位验证!BN203)/武将数量星级阶位验证!D$6+武将数量星级阶位验证!BN203/6,0))</f>
        <v>8</v>
      </c>
      <c r="J203" s="71">
        <f>基础状态预期!O213</f>
        <v>8</v>
      </c>
      <c r="L203" s="16">
        <f>武将升星!E$58+武将升星!E$59*G203</f>
        <v>75</v>
      </c>
      <c r="M203" s="16">
        <f>武将升星!F$58+武将升星!F$59*H203</f>
        <v>100</v>
      </c>
      <c r="N203" s="16">
        <f>武将升星!G$58+武将升星!G$59*I203</f>
        <v>125</v>
      </c>
      <c r="O203" s="16">
        <f>武将升星!H$58+武将升星!H$59*J203</f>
        <v>148</v>
      </c>
      <c r="P203" s="16">
        <v>151.68678945353099</v>
      </c>
      <c r="Q203" s="16">
        <f>求节点(武将升星!$C$68:$C$76,武将升星!E$68:E$76,G203)</f>
        <v>0.15</v>
      </c>
      <c r="R203" s="16">
        <f>求节点(武将升星!$C$68:$C$76,武将升星!F$68:F$76,H203)</f>
        <v>0.39999999999999997</v>
      </c>
      <c r="S203" s="16">
        <f>求节点(武将升星!$C$68:$C$76,武将升星!G$68:G$76,I203)</f>
        <v>0.79200000000000026</v>
      </c>
      <c r="T203" s="16">
        <f>求节点(武将升星!$C$68:$C$76,武将升星!H$68:H$76,J203)</f>
        <v>1.1399999999999999</v>
      </c>
      <c r="U203" s="16">
        <v>1.3003018418029699</v>
      </c>
    </row>
    <row r="204" spans="4:21" x14ac:dyDescent="0.15">
      <c r="D204" s="16">
        <v>21</v>
      </c>
      <c r="F204" s="16">
        <f>基础状态预期!C214</f>
        <v>110.00000000000001</v>
      </c>
      <c r="G204" s="16">
        <f>MIN(武将升星!E$14,求节点(武将升星!E$104:E$112,武将升星!$C$104:$C$112,武将数量星级阶位验证!BJ204/武将数量星级阶位验证!B$6))</f>
        <v>3</v>
      </c>
      <c r="H204" s="16">
        <f>MIN(武将升星!F$14,求节点(武将升星!F$104:F$112,武将升星!$C$104:$C$112,武将数量星级阶位验证!BK204/武将数量星级阶位验证!C$6))</f>
        <v>6</v>
      </c>
      <c r="I204" s="114">
        <f>求节点(武将升星!G$104:G$112,武将升星!$C$104:$C$112,MAX((武将数量星级阶位验证!BL204-武将数量星级阶位验证!BN204)/武将数量星级阶位验证!D$6+武将数量星级阶位验证!BN204/6,0))</f>
        <v>8</v>
      </c>
      <c r="J204" s="71">
        <f>基础状态预期!O214</f>
        <v>8</v>
      </c>
      <c r="L204" s="16">
        <f>武将升星!E$58+武将升星!E$59*G204</f>
        <v>75</v>
      </c>
      <c r="M204" s="16">
        <f>武将升星!F$58+武将升星!F$59*H204</f>
        <v>100</v>
      </c>
      <c r="N204" s="16">
        <f>武将升星!G$58+武将升星!G$59*I204</f>
        <v>125</v>
      </c>
      <c r="O204" s="16">
        <f>武将升星!H$58+武将升星!H$59*J204</f>
        <v>148</v>
      </c>
      <c r="P204" s="16">
        <v>155.76916438595401</v>
      </c>
      <c r="Q204" s="16">
        <f>求节点(武将升星!$C$68:$C$76,武将升星!E$68:E$76,G204)</f>
        <v>0.15</v>
      </c>
      <c r="R204" s="16">
        <f>求节点(武将升星!$C$68:$C$76,武将升星!F$68:F$76,H204)</f>
        <v>0.39999999999999997</v>
      </c>
      <c r="S204" s="16">
        <f>求节点(武将升星!$C$68:$C$76,武将升星!G$68:G$76,I204)</f>
        <v>0.79200000000000026</v>
      </c>
      <c r="T204" s="16">
        <f>求节点(武将升星!$C$68:$C$76,武将升星!H$68:H$76,J204)</f>
        <v>1.1399999999999999</v>
      </c>
      <c r="U204" s="16">
        <v>1.36153746578932</v>
      </c>
    </row>
    <row r="205" spans="4:21" x14ac:dyDescent="0.15">
      <c r="D205" s="16">
        <v>22</v>
      </c>
      <c r="F205" s="16">
        <f>基础状态预期!C215</f>
        <v>143</v>
      </c>
      <c r="G205" s="16">
        <f>MIN(武将升星!E$14,求节点(武将升星!E$104:E$112,武将升星!$C$104:$C$112,武将数量星级阶位验证!BJ205/武将数量星级阶位验证!B$6))</f>
        <v>3</v>
      </c>
      <c r="H205" s="16">
        <f>MIN(武将升星!F$14,求节点(武将升星!F$104:F$112,武将升星!$C$104:$C$112,武将数量星级阶位验证!BK205/武将数量星级阶位验证!C$6))</f>
        <v>6</v>
      </c>
      <c r="I205" s="114">
        <f>求节点(武将升星!G$104:G$112,武将升星!$C$104:$C$112,MAX((武将数量星级阶位验证!BL205-武将数量星级阶位验证!BN205)/武将数量星级阶位验证!D$6+武将数量星级阶位验证!BN205/6,0))</f>
        <v>8</v>
      </c>
      <c r="J205" s="71">
        <f>基础状态预期!O215</f>
        <v>8</v>
      </c>
      <c r="L205" s="16">
        <f>武将升星!E$58+武将升星!E$59*G205</f>
        <v>75</v>
      </c>
      <c r="M205" s="16">
        <f>武将升星!F$58+武将升星!F$59*H205</f>
        <v>100</v>
      </c>
      <c r="N205" s="16">
        <f>武将升星!G$58+武将升星!G$59*I205</f>
        <v>125</v>
      </c>
      <c r="O205" s="16">
        <f>武将升星!H$58+武将升星!H$59*J205</f>
        <v>148</v>
      </c>
      <c r="P205" s="16">
        <v>159.851539318378</v>
      </c>
      <c r="Q205" s="16">
        <f>求节点(武将升星!$C$68:$C$76,武将升星!E$68:E$76,G205)</f>
        <v>0.15</v>
      </c>
      <c r="R205" s="16">
        <f>求节点(武将升星!$C$68:$C$76,武将升星!F$68:F$76,H205)</f>
        <v>0.39999999999999997</v>
      </c>
      <c r="S205" s="16">
        <f>求节点(武将升星!$C$68:$C$76,武将升星!G$68:G$76,I205)</f>
        <v>0.79200000000000026</v>
      </c>
      <c r="T205" s="16">
        <f>求节点(武将升星!$C$68:$C$76,武将升星!H$68:H$76,J205)</f>
        <v>1.1399999999999999</v>
      </c>
      <c r="U205" s="16">
        <v>1.4227730897756601</v>
      </c>
    </row>
    <row r="206" spans="4:21" x14ac:dyDescent="0.15">
      <c r="D206" s="16">
        <v>23</v>
      </c>
      <c r="F206" s="16">
        <f>基础状态预期!C216</f>
        <v>176</v>
      </c>
      <c r="G206" s="16">
        <f>MIN(武将升星!E$14,求节点(武将升星!E$104:E$112,武将升星!$C$104:$C$112,武将数量星级阶位验证!BJ206/武将数量星级阶位验证!B$6))</f>
        <v>3</v>
      </c>
      <c r="H206" s="16">
        <f>MIN(武将升星!F$14,求节点(武将升星!F$104:F$112,武将升星!$C$104:$C$112,武将数量星级阶位验证!BK206/武将数量星级阶位验证!C$6))</f>
        <v>6</v>
      </c>
      <c r="I206" s="114">
        <f>求节点(武将升星!G$104:G$112,武将升星!$C$104:$C$112,MAX((武将数量星级阶位验证!BL206-武将数量星级阶位验证!BN206)/武将数量星级阶位验证!D$6+武将数量星级阶位验证!BN206/6,0))</f>
        <v>8</v>
      </c>
      <c r="J206" s="71">
        <f>基础状态预期!O216</f>
        <v>8</v>
      </c>
      <c r="L206" s="16">
        <f>武将升星!E$58+武将升星!E$59*G206</f>
        <v>75</v>
      </c>
      <c r="M206" s="16">
        <f>武将升星!F$58+武将升星!F$59*H206</f>
        <v>100</v>
      </c>
      <c r="N206" s="16">
        <f>武将升星!G$58+武将升星!G$59*I206</f>
        <v>125</v>
      </c>
      <c r="O206" s="16">
        <f>武将升星!H$58+武将升星!H$59*J206</f>
        <v>148</v>
      </c>
      <c r="P206" s="16">
        <v>163.933914250801</v>
      </c>
      <c r="Q206" s="16">
        <f>求节点(武将升星!$C$68:$C$76,武将升星!E$68:E$76,G206)</f>
        <v>0.15</v>
      </c>
      <c r="R206" s="16">
        <f>求节点(武将升星!$C$68:$C$76,武将升星!F$68:F$76,H206)</f>
        <v>0.39999999999999997</v>
      </c>
      <c r="S206" s="16">
        <f>求节点(武将升星!$C$68:$C$76,武将升星!G$68:G$76,I206)</f>
        <v>0.79200000000000026</v>
      </c>
      <c r="T206" s="16">
        <f>求节点(武将升星!$C$68:$C$76,武将升星!H$68:H$76,J206)</f>
        <v>1.1399999999999999</v>
      </c>
      <c r="U206" s="16">
        <v>1.4840087137620099</v>
      </c>
    </row>
    <row r="207" spans="4:21" x14ac:dyDescent="0.15">
      <c r="D207" s="16">
        <v>24</v>
      </c>
      <c r="F207" s="16">
        <f>基础状态预期!C217</f>
        <v>225.50000000000003</v>
      </c>
      <c r="G207" s="16">
        <f>MIN(武将升星!E$14,求节点(武将升星!E$104:E$112,武将升星!$C$104:$C$112,武将数量星级阶位验证!BJ207/武将数量星级阶位验证!B$6))</f>
        <v>3</v>
      </c>
      <c r="H207" s="16">
        <f>MIN(武将升星!F$14,求节点(武将升星!F$104:F$112,武将升星!$C$104:$C$112,武将数量星级阶位验证!BK207/武将数量星级阶位验证!C$6))</f>
        <v>6</v>
      </c>
      <c r="I207" s="114">
        <f>求节点(武将升星!G$104:G$112,武将升星!$C$104:$C$112,MAX((武将数量星级阶位验证!BL207-武将数量星级阶位验证!BN207)/武将数量星级阶位验证!D$6+武将数量星级阶位验证!BN207/6,0))</f>
        <v>8</v>
      </c>
      <c r="J207" s="71">
        <f>基础状态预期!O217</f>
        <v>8</v>
      </c>
      <c r="L207" s="16">
        <f>武将升星!E$58+武将升星!E$59*G207</f>
        <v>75</v>
      </c>
      <c r="M207" s="16">
        <f>武将升星!F$58+武将升星!F$59*H207</f>
        <v>100</v>
      </c>
      <c r="N207" s="16">
        <f>武将升星!G$58+武将升星!G$59*I207</f>
        <v>125</v>
      </c>
      <c r="O207" s="16">
        <f>武将升星!H$58+武将升星!H$59*J207</f>
        <v>148</v>
      </c>
      <c r="P207" s="16">
        <v>168.01628918322399</v>
      </c>
      <c r="Q207" s="16">
        <f>求节点(武将升星!$C$68:$C$76,武将升星!E$68:E$76,G207)</f>
        <v>0.15</v>
      </c>
      <c r="R207" s="16">
        <f>求节点(武将升星!$C$68:$C$76,武将升星!F$68:F$76,H207)</f>
        <v>0.39999999999999997</v>
      </c>
      <c r="S207" s="16">
        <f>求节点(武将升星!$C$68:$C$76,武将升星!G$68:G$76,I207)</f>
        <v>0.79200000000000026</v>
      </c>
      <c r="T207" s="16">
        <f>求节点(武将升星!$C$68:$C$76,武将升星!H$68:H$76,J207)</f>
        <v>1.1399999999999999</v>
      </c>
      <c r="U207" s="16">
        <v>1.54524433774836</v>
      </c>
    </row>
    <row r="208" spans="4:21" x14ac:dyDescent="0.15">
      <c r="D208" s="16">
        <v>25</v>
      </c>
      <c r="F208" s="16">
        <f>基础状态预期!C218</f>
        <v>291.5</v>
      </c>
      <c r="G208" s="16">
        <f>MIN(武将升星!E$14,求节点(武将升星!E$104:E$112,武将升星!$C$104:$C$112,武将数量星级阶位验证!BJ208/武将数量星级阶位验证!B$6))</f>
        <v>3</v>
      </c>
      <c r="H208" s="16">
        <f>MIN(武将升星!F$14,求节点(武将升星!F$104:F$112,武将升星!$C$104:$C$112,武将数量星级阶位验证!BK208/武将数量星级阶位验证!C$6))</f>
        <v>6</v>
      </c>
      <c r="I208" s="114">
        <f>求节点(武将升星!G$104:G$112,武将升星!$C$104:$C$112,MAX((武将数量星级阶位验证!BL208-武将数量星级阶位验证!BN208)/武将数量星级阶位验证!D$6+武将数量星级阶位验证!BN208/6,0))</f>
        <v>8</v>
      </c>
      <c r="J208" s="71">
        <f>基础状态预期!O218</f>
        <v>8</v>
      </c>
      <c r="L208" s="16">
        <f>武将升星!E$58+武将升星!E$59*G208</f>
        <v>75</v>
      </c>
      <c r="M208" s="16">
        <f>武将升星!F$58+武将升星!F$59*H208</f>
        <v>100</v>
      </c>
      <c r="N208" s="16">
        <f>武将升星!G$58+武将升星!G$59*I208</f>
        <v>125</v>
      </c>
      <c r="O208" s="16">
        <f>武将升星!H$58+武将升星!H$59*J208</f>
        <v>148</v>
      </c>
      <c r="P208" s="16">
        <v>172.09866411564701</v>
      </c>
      <c r="Q208" s="16">
        <f>求节点(武将升星!$C$68:$C$76,武将升星!E$68:E$76,G208)</f>
        <v>0.15</v>
      </c>
      <c r="R208" s="16">
        <f>求节点(武将升星!$C$68:$C$76,武将升星!F$68:F$76,H208)</f>
        <v>0.39999999999999997</v>
      </c>
      <c r="S208" s="16">
        <f>求节点(武将升星!$C$68:$C$76,武将升星!G$68:G$76,I208)</f>
        <v>0.79200000000000026</v>
      </c>
      <c r="T208" s="16">
        <f>求节点(武将升星!$C$68:$C$76,武将升星!H$68:H$76,J208)</f>
        <v>1.1399999999999999</v>
      </c>
      <c r="U208" s="16">
        <v>1.6064799617347001</v>
      </c>
    </row>
    <row r="209" spans="4:21" x14ac:dyDescent="0.15">
      <c r="D209" s="16">
        <v>26</v>
      </c>
      <c r="F209" s="16">
        <f>基础状态预期!C219</f>
        <v>374.00000000000006</v>
      </c>
      <c r="G209" s="16">
        <f>MIN(武将升星!E$14,求节点(武将升星!E$104:E$112,武将升星!$C$104:$C$112,武将数量星级阶位验证!BJ209/武将数量星级阶位验证!B$6))</f>
        <v>3</v>
      </c>
      <c r="H209" s="16">
        <f>MIN(武将升星!F$14,求节点(武将升星!F$104:F$112,武将升星!$C$104:$C$112,武将数量星级阶位验证!BK209/武将数量星级阶位验证!C$6))</f>
        <v>6</v>
      </c>
      <c r="I209" s="114">
        <f>求节点(武将升星!G$104:G$112,武将升星!$C$104:$C$112,MAX((武将数量星级阶位验证!BL209-武将数量星级阶位验证!BN209)/武将数量星级阶位验证!D$6+武将数量星级阶位验证!BN209/6,0))</f>
        <v>8</v>
      </c>
      <c r="J209" s="71">
        <f>基础状态预期!O219</f>
        <v>8</v>
      </c>
      <c r="L209" s="16">
        <f>武将升星!E$58+武将升星!E$59*G209</f>
        <v>75</v>
      </c>
      <c r="M209" s="16">
        <f>武将升星!F$58+武将升星!F$59*H209</f>
        <v>100</v>
      </c>
      <c r="N209" s="16">
        <f>武将升星!G$58+武将升星!G$59*I209</f>
        <v>125</v>
      </c>
      <c r="O209" s="16">
        <f>武将升星!H$58+武将升星!H$59*J209</f>
        <v>148</v>
      </c>
      <c r="P209" s="16">
        <v>176.18103904807001</v>
      </c>
      <c r="Q209" s="16">
        <f>求节点(武将升星!$C$68:$C$76,武将升星!E$68:E$76,G209)</f>
        <v>0.15</v>
      </c>
      <c r="R209" s="16">
        <f>求节点(武将升星!$C$68:$C$76,武将升星!F$68:F$76,H209)</f>
        <v>0.39999999999999997</v>
      </c>
      <c r="S209" s="16">
        <f>求节点(武将升星!$C$68:$C$76,武将升星!G$68:G$76,I209)</f>
        <v>0.79200000000000026</v>
      </c>
      <c r="T209" s="16">
        <f>求节点(武将升星!$C$68:$C$76,武将升星!H$68:H$76,J209)</f>
        <v>1.1399999999999999</v>
      </c>
      <c r="U209" s="16">
        <v>1.6677155857210499</v>
      </c>
    </row>
    <row r="210" spans="4:21" x14ac:dyDescent="0.15">
      <c r="D210" s="16">
        <v>27</v>
      </c>
      <c r="F210" s="16">
        <f>基础状态预期!C220</f>
        <v>473.00000000000006</v>
      </c>
      <c r="G210" s="16">
        <f>MIN(武将升星!E$14,求节点(武将升星!E$104:E$112,武将升星!$C$104:$C$112,武将数量星级阶位验证!BJ210/武将数量星级阶位验证!B$6))</f>
        <v>3</v>
      </c>
      <c r="H210" s="16">
        <f>MIN(武将升星!F$14,求节点(武将升星!F$104:F$112,武将升星!$C$104:$C$112,武将数量星级阶位验证!BK210/武将数量星级阶位验证!C$6))</f>
        <v>6</v>
      </c>
      <c r="I210" s="114">
        <f>求节点(武将升星!G$104:G$112,武将升星!$C$104:$C$112,MAX((武将数量星级阶位验证!BL210-武将数量星级阶位验证!BN210)/武将数量星级阶位验证!D$6+武将数量星级阶位验证!BN210/6,0))</f>
        <v>8</v>
      </c>
      <c r="J210" s="71">
        <f>基础状态预期!O220</f>
        <v>8</v>
      </c>
      <c r="L210" s="16">
        <f>武将升星!E$58+武将升星!E$59*G210</f>
        <v>75</v>
      </c>
      <c r="M210" s="16">
        <f>武将升星!F$58+武将升星!F$59*H210</f>
        <v>100</v>
      </c>
      <c r="N210" s="16">
        <f>武将升星!G$58+武将升星!G$59*I210</f>
        <v>125</v>
      </c>
      <c r="O210" s="16">
        <f>武将升星!H$58+武将升星!H$59*J210</f>
        <v>148</v>
      </c>
      <c r="P210" s="16">
        <v>180.263413980493</v>
      </c>
      <c r="Q210" s="16">
        <f>求节点(武将升星!$C$68:$C$76,武将升星!E$68:E$76,G210)</f>
        <v>0.15</v>
      </c>
      <c r="R210" s="16">
        <f>求节点(武将升星!$C$68:$C$76,武将升星!F$68:F$76,H210)</f>
        <v>0.39999999999999997</v>
      </c>
      <c r="S210" s="16">
        <f>求节点(武将升星!$C$68:$C$76,武将升星!G$68:G$76,I210)</f>
        <v>0.79200000000000026</v>
      </c>
      <c r="T210" s="16">
        <f>求节点(武将升星!$C$68:$C$76,武将升星!H$68:H$76,J210)</f>
        <v>1.1399999999999999</v>
      </c>
      <c r="U210" s="16">
        <v>1.7289512097074</v>
      </c>
    </row>
    <row r="211" spans="4:21" x14ac:dyDescent="0.15">
      <c r="D211" s="16">
        <v>28</v>
      </c>
      <c r="F211" s="16">
        <f>基础状态预期!C221</f>
        <v>605</v>
      </c>
      <c r="G211" s="16">
        <f>MIN(武将升星!E$14,求节点(武将升星!E$104:E$112,武将升星!$C$104:$C$112,武将数量星级阶位验证!BJ211/武将数量星级阶位验证!B$6))</f>
        <v>3</v>
      </c>
      <c r="H211" s="16">
        <f>MIN(武将升星!F$14,求节点(武将升星!F$104:F$112,武将升星!$C$104:$C$112,武将数量星级阶位验证!BK211/武将数量星级阶位验证!C$6))</f>
        <v>6</v>
      </c>
      <c r="I211" s="114">
        <f>求节点(武将升星!G$104:G$112,武将升星!$C$104:$C$112,MAX((武将数量星级阶位验证!BL211-武将数量星级阶位验证!BN211)/武将数量星级阶位验证!D$6+武将数量星级阶位验证!BN211/6,0))</f>
        <v>8</v>
      </c>
      <c r="J211" s="71">
        <f>基础状态预期!O221</f>
        <v>8</v>
      </c>
      <c r="L211" s="16">
        <f>武将升星!E$58+武将升星!E$59*G211</f>
        <v>75</v>
      </c>
      <c r="M211" s="16">
        <f>武将升星!F$58+武将升星!F$59*H211</f>
        <v>100</v>
      </c>
      <c r="N211" s="16">
        <f>武将升星!G$58+武将升星!G$59*I211</f>
        <v>125</v>
      </c>
      <c r="O211" s="16">
        <f>武将升星!H$58+武将升星!H$59*J211</f>
        <v>148</v>
      </c>
      <c r="P211" s="16">
        <v>184.34578891291599</v>
      </c>
      <c r="Q211" s="16">
        <f>求节点(武将升星!$C$68:$C$76,武将升星!E$68:E$76,G211)</f>
        <v>0.15</v>
      </c>
      <c r="R211" s="16">
        <f>求节点(武将升星!$C$68:$C$76,武将升星!F$68:F$76,H211)</f>
        <v>0.39999999999999997</v>
      </c>
      <c r="S211" s="16">
        <f>求节点(武将升星!$C$68:$C$76,武将升星!G$68:G$76,I211)</f>
        <v>0.79200000000000026</v>
      </c>
      <c r="T211" s="16">
        <f>求节点(武将升星!$C$68:$C$76,武将升星!H$68:H$76,J211)</f>
        <v>1.1399999999999999</v>
      </c>
      <c r="U211" s="16">
        <v>1.7901868336937501</v>
      </c>
    </row>
    <row r="212" spans="4:21" x14ac:dyDescent="0.15">
      <c r="D212" s="16">
        <v>29</v>
      </c>
      <c r="F212" s="16">
        <f>基础状态预期!C222</f>
        <v>770.00000000000011</v>
      </c>
      <c r="G212" s="16">
        <f>MIN(武将升星!E$14,求节点(武将升星!E$104:E$112,武将升星!$C$104:$C$112,武将数量星级阶位验证!BJ212/武将数量星级阶位验证!B$6))</f>
        <v>3</v>
      </c>
      <c r="H212" s="16">
        <f>MIN(武将升星!F$14,求节点(武将升星!F$104:F$112,武将升星!$C$104:$C$112,武将数量星级阶位验证!BK212/武将数量星级阶位验证!C$6))</f>
        <v>6</v>
      </c>
      <c r="I212" s="114">
        <f>求节点(武将升星!G$104:G$112,武将升星!$C$104:$C$112,MAX((武将数量星级阶位验证!BL212-武将数量星级阶位验证!BN212)/武将数量星级阶位验证!D$6+武将数量星级阶位验证!BN212/6,0))</f>
        <v>8</v>
      </c>
      <c r="J212" s="71">
        <f>基础状态预期!O222</f>
        <v>8</v>
      </c>
      <c r="L212" s="16">
        <f>武将升星!E$58+武将升星!E$59*G212</f>
        <v>75</v>
      </c>
      <c r="M212" s="16">
        <f>武将升星!F$58+武将升星!F$59*H212</f>
        <v>100</v>
      </c>
      <c r="N212" s="16">
        <f>武将升星!G$58+武将升星!G$59*I212</f>
        <v>125</v>
      </c>
      <c r="O212" s="16">
        <f>武将升星!H$58+武将升星!H$59*J212</f>
        <v>148</v>
      </c>
      <c r="P212" s="16">
        <v>188.42816384534001</v>
      </c>
      <c r="Q212" s="16">
        <f>求节点(武将升星!$C$68:$C$76,武将升星!E$68:E$76,G212)</f>
        <v>0.15</v>
      </c>
      <c r="R212" s="16">
        <f>求节点(武将升星!$C$68:$C$76,武将升星!F$68:F$76,H212)</f>
        <v>0.39999999999999997</v>
      </c>
      <c r="S212" s="16">
        <f>求节点(武将升星!$C$68:$C$76,武将升星!G$68:G$76,I212)</f>
        <v>0.79200000000000026</v>
      </c>
      <c r="T212" s="16">
        <f>求节点(武将升星!$C$68:$C$76,武将升星!H$68:H$76,J212)</f>
        <v>1.1399999999999999</v>
      </c>
      <c r="U212" s="16">
        <v>1.85142245768009</v>
      </c>
    </row>
    <row r="213" spans="4:21" x14ac:dyDescent="0.15">
      <c r="D213" s="16">
        <v>30</v>
      </c>
      <c r="F213" s="16">
        <f>基础状态预期!C223</f>
        <v>984.50000000000011</v>
      </c>
      <c r="G213" s="16">
        <f>MIN(武将升星!E$14,求节点(武将升星!E$104:E$112,武将升星!$C$104:$C$112,武将数量星级阶位验证!BJ213/武将数量星级阶位验证!B$6))</f>
        <v>3</v>
      </c>
      <c r="H213" s="16">
        <f>MIN(武将升星!F$14,求节点(武将升星!F$104:F$112,武将升星!$C$104:$C$112,武将数量星级阶位验证!BK213/武将数量星级阶位验证!C$6))</f>
        <v>6</v>
      </c>
      <c r="I213" s="114">
        <f>求节点(武将升星!G$104:G$112,武将升星!$C$104:$C$112,MAX((武将数量星级阶位验证!BL213-武将数量星级阶位验证!BN213)/武将数量星级阶位验证!D$6+武将数量星级阶位验证!BN213/6,0))</f>
        <v>8</v>
      </c>
      <c r="J213" s="71">
        <f>基础状态预期!O223</f>
        <v>8</v>
      </c>
      <c r="L213" s="16">
        <f>武将升星!E$58+武将升星!E$59*G213</f>
        <v>75</v>
      </c>
      <c r="M213" s="16">
        <f>武将升星!F$58+武将升星!F$59*H213</f>
        <v>100</v>
      </c>
      <c r="N213" s="16">
        <f>武将升星!G$58+武将升星!G$59*I213</f>
        <v>125</v>
      </c>
      <c r="O213" s="16">
        <f>武将升星!H$58+武将升星!H$59*J213</f>
        <v>148</v>
      </c>
      <c r="P213" s="16">
        <v>192.510538777763</v>
      </c>
      <c r="Q213" s="16">
        <f>求节点(武将升星!$C$68:$C$76,武将升星!E$68:E$76,G213)</f>
        <v>0.15</v>
      </c>
      <c r="R213" s="16">
        <f>求节点(武将升星!$C$68:$C$76,武将升星!F$68:F$76,H213)</f>
        <v>0.39999999999999997</v>
      </c>
      <c r="S213" s="16">
        <f>求节点(武将升星!$C$68:$C$76,武将升星!G$68:G$76,I213)</f>
        <v>0.79200000000000026</v>
      </c>
      <c r="T213" s="16">
        <f>求节点(武将升星!$C$68:$C$76,武将升星!H$68:H$76,J213)</f>
        <v>1.1399999999999999</v>
      </c>
      <c r="U213" s="16">
        <v>1.91265808166644</v>
      </c>
    </row>
    <row r="214" spans="4:21" x14ac:dyDescent="0.15">
      <c r="D214" s="16">
        <v>31</v>
      </c>
      <c r="F214" s="16">
        <f>基础状态预期!C224</f>
        <v>1248.5</v>
      </c>
      <c r="G214" s="16">
        <f>MIN(武将升星!E$14,求节点(武将升星!E$104:E$112,武将升星!$C$104:$C$112,武将数量星级阶位验证!BJ214/武将数量星级阶位验证!B$6))</f>
        <v>3</v>
      </c>
      <c r="H214" s="16">
        <f>MIN(武将升星!F$14,求节点(武将升星!F$104:F$112,武将升星!$C$104:$C$112,武将数量星级阶位验证!BK214/武将数量星级阶位验证!C$6))</f>
        <v>6</v>
      </c>
      <c r="I214" s="114">
        <f>求节点(武将升星!G$104:G$112,武将升星!$C$104:$C$112,MAX((武将数量星级阶位验证!BL214-武将数量星级阶位验证!BN214)/武将数量星级阶位验证!D$6+武将数量星级阶位验证!BN214/6,0))</f>
        <v>8</v>
      </c>
      <c r="J214" s="71">
        <f>基础状态预期!O224</f>
        <v>8</v>
      </c>
      <c r="L214" s="16">
        <f>武将升星!E$58+武将升星!E$59*G214</f>
        <v>75</v>
      </c>
      <c r="M214" s="16">
        <f>武将升星!F$58+武将升星!F$59*H214</f>
        <v>100</v>
      </c>
      <c r="N214" s="16">
        <f>武将升星!G$58+武将升星!G$59*I214</f>
        <v>125</v>
      </c>
      <c r="O214" s="16">
        <f>武将升星!H$58+武将升星!H$59*J214</f>
        <v>148</v>
      </c>
      <c r="P214" s="16">
        <v>196.592913710186</v>
      </c>
      <c r="Q214" s="16">
        <f>求节点(武将升星!$C$68:$C$76,武将升星!E$68:E$76,G214)</f>
        <v>0.15</v>
      </c>
      <c r="R214" s="16">
        <f>求节点(武将升星!$C$68:$C$76,武将升星!F$68:F$76,H214)</f>
        <v>0.39999999999999997</v>
      </c>
      <c r="S214" s="16">
        <f>求节点(武将升星!$C$68:$C$76,武将升星!G$68:G$76,I214)</f>
        <v>0.79200000000000026</v>
      </c>
      <c r="T214" s="16">
        <f>求节点(武将升星!$C$68:$C$76,武将升星!H$68:H$76,J214)</f>
        <v>1.1399999999999999</v>
      </c>
      <c r="U214" s="16">
        <v>1.9738937056527901</v>
      </c>
    </row>
    <row r="215" spans="4:21" x14ac:dyDescent="0.15">
      <c r="D215" s="16">
        <v>32</v>
      </c>
      <c r="F215" s="16">
        <f>基础状态预期!C225</f>
        <v>1595.0000000000002</v>
      </c>
      <c r="G215" s="16">
        <f>MIN(武将升星!E$14,求节点(武将升星!E$104:E$112,武将升星!$C$104:$C$112,武将数量星级阶位验证!BJ215/武将数量星级阶位验证!B$6))</f>
        <v>3</v>
      </c>
      <c r="H215" s="16">
        <f>MIN(武将升星!F$14,求节点(武将升星!F$104:F$112,武将升星!$C$104:$C$112,武将数量星级阶位验证!BK215/武将数量星级阶位验证!C$6))</f>
        <v>6</v>
      </c>
      <c r="I215" s="114">
        <f>求节点(武将升星!G$104:G$112,武将升星!$C$104:$C$112,MAX((武将数量星级阶位验证!BL215-武将数量星级阶位验证!BN215)/武将数量星级阶位验证!D$6+武将数量星级阶位验证!BN215/6,0))</f>
        <v>8</v>
      </c>
      <c r="J215" s="71">
        <f>基础状态预期!O225</f>
        <v>8</v>
      </c>
      <c r="L215" s="16">
        <f>武将升星!E$58+武将升星!E$59*G215</f>
        <v>75</v>
      </c>
      <c r="M215" s="16">
        <f>武将升星!F$58+武将升星!F$59*H215</f>
        <v>100</v>
      </c>
      <c r="N215" s="16">
        <f>武将升星!G$58+武将升星!G$59*I215</f>
        <v>125</v>
      </c>
      <c r="O215" s="16">
        <f>武将升星!H$58+武将升星!H$59*J215</f>
        <v>148</v>
      </c>
      <c r="P215" s="16">
        <v>200.67528864260899</v>
      </c>
      <c r="Q215" s="16">
        <f>求节点(武将升星!$C$68:$C$76,武将升星!E$68:E$76,G215)</f>
        <v>0.15</v>
      </c>
      <c r="R215" s="16">
        <f>求节点(武将升星!$C$68:$C$76,武将升星!F$68:F$76,H215)</f>
        <v>0.39999999999999997</v>
      </c>
      <c r="S215" s="16">
        <f>求节点(武将升星!$C$68:$C$76,武将升星!G$68:G$76,I215)</f>
        <v>0.79200000000000026</v>
      </c>
      <c r="T215" s="16">
        <f>求节点(武将升星!$C$68:$C$76,武将升星!H$68:H$76,J215)</f>
        <v>1.1399999999999999</v>
      </c>
      <c r="U215" s="16">
        <v>2.0351293296391302</v>
      </c>
    </row>
    <row r="216" spans="4:21" x14ac:dyDescent="0.15">
      <c r="D216" s="16">
        <v>33</v>
      </c>
      <c r="F216" s="16">
        <f>基础状态预期!C226</f>
        <v>2040.5000000000002</v>
      </c>
      <c r="G216" s="16">
        <f>MIN(武将升星!E$14,求节点(武将升星!E$104:E$112,武将升星!$C$104:$C$112,武将数量星级阶位验证!BJ216/武将数量星级阶位验证!B$6))</f>
        <v>3</v>
      </c>
      <c r="H216" s="16">
        <f>MIN(武将升星!F$14,求节点(武将升星!F$104:F$112,武将升星!$C$104:$C$112,武将数量星级阶位验证!BK216/武将数量星级阶位验证!C$6))</f>
        <v>6</v>
      </c>
      <c r="I216" s="114">
        <f>求节点(武将升星!G$104:G$112,武将升星!$C$104:$C$112,MAX((武将数量星级阶位验证!BL216-武将数量星级阶位验证!BN216)/武将数量星级阶位验证!D$6+武将数量星级阶位验证!BN216/6,0))</f>
        <v>8</v>
      </c>
      <c r="J216" s="71">
        <f>基础状态预期!O226</f>
        <v>8</v>
      </c>
      <c r="L216" s="16">
        <f>武将升星!E$58+武将升星!E$59*G216</f>
        <v>75</v>
      </c>
      <c r="M216" s="16">
        <f>武将升星!F$58+武将升星!F$59*H216</f>
        <v>100</v>
      </c>
      <c r="N216" s="16">
        <f>武将升星!G$58+武将升星!G$59*I216</f>
        <v>125</v>
      </c>
      <c r="O216" s="16">
        <f>武将升星!H$58+武将升星!H$59*J216</f>
        <v>148</v>
      </c>
      <c r="P216" s="16">
        <v>204.75766357503201</v>
      </c>
      <c r="Q216" s="16">
        <f>求节点(武将升星!$C$68:$C$76,武将升星!E$68:E$76,G216)</f>
        <v>0.15</v>
      </c>
      <c r="R216" s="16">
        <f>求节点(武将升星!$C$68:$C$76,武将升星!F$68:F$76,H216)</f>
        <v>0.39999999999999997</v>
      </c>
      <c r="S216" s="16">
        <f>求节点(武将升星!$C$68:$C$76,武将升星!G$68:G$76,I216)</f>
        <v>0.79200000000000026</v>
      </c>
      <c r="T216" s="16">
        <f>求节点(武将升星!$C$68:$C$76,武将升星!H$68:H$76,J216)</f>
        <v>1.1399999999999999</v>
      </c>
      <c r="U216" s="16">
        <v>2.0963649536254798</v>
      </c>
    </row>
    <row r="217" spans="4:21" x14ac:dyDescent="0.15">
      <c r="D217" s="16">
        <v>34</v>
      </c>
      <c r="F217" s="16">
        <f>基础状态预期!C227</f>
        <v>2601.5</v>
      </c>
      <c r="G217" s="16">
        <f>MIN(武将升星!E$14,求节点(武将升星!E$104:E$112,武将升星!$C$104:$C$112,武将数量星级阶位验证!BJ217/武将数量星级阶位验证!B$6))</f>
        <v>3</v>
      </c>
      <c r="H217" s="16">
        <f>MIN(武将升星!F$14,求节点(武将升星!F$104:F$112,武将升星!$C$104:$C$112,武将数量星级阶位验证!BK217/武将数量星级阶位验证!C$6))</f>
        <v>6</v>
      </c>
      <c r="I217" s="114">
        <f>求节点(武将升星!G$104:G$112,武将升星!$C$104:$C$112,MAX((武将数量星级阶位验证!BL217-武将数量星级阶位验证!BN217)/武将数量星级阶位验证!D$6+武将数量星级阶位验证!BN217/6,0))</f>
        <v>8</v>
      </c>
      <c r="J217" s="71">
        <f>基础状态预期!O227</f>
        <v>8</v>
      </c>
      <c r="L217" s="16">
        <f>武将升星!E$58+武将升星!E$59*G217</f>
        <v>75</v>
      </c>
      <c r="M217" s="16">
        <f>武将升星!F$58+武将升星!F$59*H217</f>
        <v>100</v>
      </c>
      <c r="N217" s="16">
        <f>武将升星!G$58+武将升星!G$59*I217</f>
        <v>125</v>
      </c>
      <c r="O217" s="16">
        <f>武将升星!H$58+武将升星!H$59*J217</f>
        <v>148</v>
      </c>
      <c r="P217" s="16">
        <v>208.84003850745501</v>
      </c>
      <c r="Q217" s="16">
        <f>求节点(武将升星!$C$68:$C$76,武将升星!E$68:E$76,G217)</f>
        <v>0.15</v>
      </c>
      <c r="R217" s="16">
        <f>求节点(武将升星!$C$68:$C$76,武将升星!F$68:F$76,H217)</f>
        <v>0.39999999999999997</v>
      </c>
      <c r="S217" s="16">
        <f>求节点(武将升星!$C$68:$C$76,武将升星!G$68:G$76,I217)</f>
        <v>0.79200000000000026</v>
      </c>
      <c r="T217" s="16">
        <f>求节点(武将升星!$C$68:$C$76,武将升星!H$68:H$76,J217)</f>
        <v>1.1399999999999999</v>
      </c>
      <c r="U217" s="16">
        <v>2.1576005776118299</v>
      </c>
    </row>
    <row r="218" spans="4:21" x14ac:dyDescent="0.15">
      <c r="D218" s="16">
        <v>35</v>
      </c>
      <c r="F218" s="16">
        <f>基础状态预期!C228</f>
        <v>3311.0000000000005</v>
      </c>
      <c r="G218" s="16">
        <f>MIN(武将升星!E$14,求节点(武将升星!E$104:E$112,武将升星!$C$104:$C$112,武将数量星级阶位验证!BJ218/武将数量星级阶位验证!B$6))</f>
        <v>3</v>
      </c>
      <c r="H218" s="16">
        <f>MIN(武将升星!F$14,求节点(武将升星!F$104:F$112,武将升星!$C$104:$C$112,武将数量星级阶位验证!BK218/武将数量星级阶位验证!C$6))</f>
        <v>6</v>
      </c>
      <c r="I218" s="114">
        <f>求节点(武将升星!G$104:G$112,武将升星!$C$104:$C$112,MAX((武将数量星级阶位验证!BL218-武将数量星级阶位验证!BN218)/武将数量星级阶位验证!D$6+武将数量星级阶位验证!BN218/6,0))</f>
        <v>8</v>
      </c>
      <c r="J218" s="71">
        <f>基础状态预期!O228</f>
        <v>8</v>
      </c>
      <c r="L218" s="16">
        <f>武将升星!E$58+武将升星!E$59*G218</f>
        <v>75</v>
      </c>
      <c r="M218" s="16">
        <f>武将升星!F$58+武将升星!F$59*H218</f>
        <v>100</v>
      </c>
      <c r="N218" s="16">
        <f>武将升星!G$58+武将升星!G$59*I218</f>
        <v>125</v>
      </c>
      <c r="O218" s="16">
        <f>武将升星!H$58+武将升星!H$59*J218</f>
        <v>148</v>
      </c>
      <c r="P218" s="16">
        <v>212.922413439878</v>
      </c>
      <c r="Q218" s="16">
        <f>求节点(武将升星!$C$68:$C$76,武将升星!E$68:E$76,G218)</f>
        <v>0.15</v>
      </c>
      <c r="R218" s="16">
        <f>求节点(武将升星!$C$68:$C$76,武将升星!F$68:F$76,H218)</f>
        <v>0.39999999999999997</v>
      </c>
      <c r="S218" s="16">
        <f>求节点(武将升星!$C$68:$C$76,武将升星!G$68:G$76,I218)</f>
        <v>0.79200000000000026</v>
      </c>
      <c r="T218" s="16">
        <f>求节点(武将升星!$C$68:$C$76,武将升星!H$68:H$76,J218)</f>
        <v>1.1399999999999999</v>
      </c>
      <c r="U218" s="16">
        <v>2.21883620159818</v>
      </c>
    </row>
    <row r="219" spans="4:21" x14ac:dyDescent="0.15">
      <c r="D219" s="16">
        <v>36</v>
      </c>
      <c r="F219" s="16">
        <f>基础状态预期!C229</f>
        <v>4218.5</v>
      </c>
      <c r="G219" s="16">
        <f>MIN(武将升星!E$14,求节点(武将升星!E$104:E$112,武将升星!$C$104:$C$112,武将数量星级阶位验证!BJ219/武将数量星级阶位验证!B$6))</f>
        <v>3</v>
      </c>
      <c r="H219" s="16">
        <f>MIN(武将升星!F$14,求节点(武将升星!F$104:F$112,武将升星!$C$104:$C$112,武将数量星级阶位验证!BK219/武将数量星级阶位验证!C$6))</f>
        <v>6</v>
      </c>
      <c r="I219" s="114">
        <f>求节点(武将升星!G$104:G$112,武将升星!$C$104:$C$112,MAX((武将数量星级阶位验证!BL219-武将数量星级阶位验证!BN219)/武将数量星级阶位验证!D$6+武将数量星级阶位验证!BN219/6,0))</f>
        <v>8</v>
      </c>
      <c r="J219" s="71">
        <f>基础状态预期!O229</f>
        <v>8</v>
      </c>
      <c r="L219" s="16">
        <f>武将升星!E$58+武将升星!E$59*G219</f>
        <v>75</v>
      </c>
      <c r="M219" s="16">
        <f>武将升星!F$58+武将升星!F$59*H219</f>
        <v>100</v>
      </c>
      <c r="N219" s="16">
        <f>武将升星!G$58+武将升星!G$59*I219</f>
        <v>125</v>
      </c>
      <c r="O219" s="16">
        <f>武将升星!H$58+武将升星!H$59*J219</f>
        <v>148</v>
      </c>
      <c r="P219" s="16">
        <v>217.00478837230099</v>
      </c>
      <c r="Q219" s="16">
        <f>求节点(武将升星!$C$68:$C$76,武将升星!E$68:E$76,G219)</f>
        <v>0.15</v>
      </c>
      <c r="R219" s="16">
        <f>求节点(武将升星!$C$68:$C$76,武将升星!F$68:F$76,H219)</f>
        <v>0.39999999999999997</v>
      </c>
      <c r="S219" s="16">
        <f>求节点(武将升星!$C$68:$C$76,武将升星!G$68:G$76,I219)</f>
        <v>0.79200000000000026</v>
      </c>
      <c r="T219" s="16">
        <f>求节点(武将升星!$C$68:$C$76,武将升星!H$68:H$76,J219)</f>
        <v>1.1399999999999999</v>
      </c>
      <c r="U219" s="16">
        <v>2.28007182558453</v>
      </c>
    </row>
    <row r="220" spans="4:21" x14ac:dyDescent="0.15">
      <c r="D220" s="16">
        <v>37</v>
      </c>
      <c r="F220" s="16">
        <f>基础状态预期!C230</f>
        <v>5373.5</v>
      </c>
      <c r="G220" s="16">
        <f>MIN(武将升星!E$14,求节点(武将升星!E$104:E$112,武将升星!$C$104:$C$112,武将数量星级阶位验证!BJ220/武将数量星级阶位验证!B$6))</f>
        <v>3</v>
      </c>
      <c r="H220" s="16">
        <f>MIN(武将升星!F$14,求节点(武将升星!F$104:F$112,武将升星!$C$104:$C$112,武将数量星级阶位验证!BK220/武将数量星级阶位验证!C$6))</f>
        <v>6</v>
      </c>
      <c r="I220" s="114">
        <f>求节点(武将升星!G$104:G$112,武将升星!$C$104:$C$112,MAX((武将数量星级阶位验证!BL220-武将数量星级阶位验证!BN220)/武将数量星级阶位验证!D$6+武将数量星级阶位验证!BN220/6,0))</f>
        <v>8</v>
      </c>
      <c r="J220" s="71">
        <f>基础状态预期!O230</f>
        <v>8</v>
      </c>
      <c r="L220" s="16">
        <f>武将升星!E$58+武将升星!E$59*G220</f>
        <v>75</v>
      </c>
      <c r="M220" s="16">
        <f>武将升星!F$58+武将升星!F$59*H220</f>
        <v>100</v>
      </c>
      <c r="N220" s="16">
        <f>武将升星!G$58+武将升星!G$59*I220</f>
        <v>125</v>
      </c>
      <c r="O220" s="16">
        <f>武将升星!H$58+武将升星!H$59*J220</f>
        <v>148</v>
      </c>
      <c r="P220" s="16">
        <v>221.08716330472501</v>
      </c>
      <c r="Q220" s="16">
        <f>求节点(武将升星!$C$68:$C$76,武将升星!E$68:E$76,G220)</f>
        <v>0.15</v>
      </c>
      <c r="R220" s="16">
        <f>求节点(武将升星!$C$68:$C$76,武将升星!F$68:F$76,H220)</f>
        <v>0.39999999999999997</v>
      </c>
      <c r="S220" s="16">
        <f>求节点(武将升星!$C$68:$C$76,武将升星!G$68:G$76,I220)</f>
        <v>0.79200000000000026</v>
      </c>
      <c r="T220" s="16">
        <f>求节点(武将升星!$C$68:$C$76,武将升星!H$68:H$76,J220)</f>
        <v>1.1399999999999999</v>
      </c>
      <c r="U220" s="16">
        <v>2.3413074495708699</v>
      </c>
    </row>
    <row r="221" spans="4:21" x14ac:dyDescent="0.15">
      <c r="D221" s="16">
        <v>38</v>
      </c>
      <c r="F221" s="16">
        <f>基础状态预期!C231</f>
        <v>6842.0000000000009</v>
      </c>
      <c r="G221" s="16">
        <f>MIN(武将升星!E$14,求节点(武将升星!E$104:E$112,武将升星!$C$104:$C$112,武将数量星级阶位验证!BJ221/武将数量星级阶位验证!B$6))</f>
        <v>3</v>
      </c>
      <c r="H221" s="16">
        <f>MIN(武将升星!F$14,求节点(武将升星!F$104:F$112,武将升星!$C$104:$C$112,武将数量星级阶位验证!BK221/武将数量星级阶位验证!C$6))</f>
        <v>6</v>
      </c>
      <c r="I221" s="114">
        <f>求节点(武将升星!G$104:G$112,武将升星!$C$104:$C$112,MAX((武将数量星级阶位验证!BL221-武将数量星级阶位验证!BN221)/武将数量星级阶位验证!D$6+武将数量星级阶位验证!BN221/6,0))</f>
        <v>8</v>
      </c>
      <c r="J221" s="71">
        <f>基础状态预期!O231</f>
        <v>8</v>
      </c>
      <c r="L221" s="16">
        <f>武将升星!E$58+武将升星!E$59*G221</f>
        <v>75</v>
      </c>
      <c r="M221" s="16">
        <f>武将升星!F$58+武将升星!F$59*H221</f>
        <v>100</v>
      </c>
      <c r="N221" s="16">
        <f>武将升星!G$58+武将升星!G$59*I221</f>
        <v>125</v>
      </c>
      <c r="O221" s="16">
        <f>武将升星!H$58+武将升星!H$59*J221</f>
        <v>148</v>
      </c>
      <c r="P221" s="16">
        <v>225.169538237148</v>
      </c>
      <c r="Q221" s="16">
        <f>求节点(武将升星!$C$68:$C$76,武将升星!E$68:E$76,G221)</f>
        <v>0.15</v>
      </c>
      <c r="R221" s="16">
        <f>求节点(武将升星!$C$68:$C$76,武将升星!F$68:F$76,H221)</f>
        <v>0.39999999999999997</v>
      </c>
      <c r="S221" s="16">
        <f>求节点(武将升星!$C$68:$C$76,武将升星!G$68:G$76,I221)</f>
        <v>0.79200000000000026</v>
      </c>
      <c r="T221" s="16">
        <f>求节点(武将升星!$C$68:$C$76,武将升星!H$68:H$76,J221)</f>
        <v>1.1399999999999999</v>
      </c>
      <c r="U221" s="16">
        <v>2.40254307355722</v>
      </c>
    </row>
    <row r="222" spans="4:21" x14ac:dyDescent="0.15">
      <c r="D222" s="16">
        <v>39</v>
      </c>
      <c r="F222" s="16">
        <f>基础状态预期!C232</f>
        <v>8723</v>
      </c>
      <c r="G222" s="16">
        <f>MIN(武将升星!E$14,求节点(武将升星!E$104:E$112,武将升星!$C$104:$C$112,武将数量星级阶位验证!BJ222/武将数量星级阶位验证!B$6))</f>
        <v>3</v>
      </c>
      <c r="H222" s="16">
        <f>MIN(武将升星!F$14,求节点(武将升星!F$104:F$112,武将升星!$C$104:$C$112,武将数量星级阶位验证!BK222/武将数量星级阶位验证!C$6))</f>
        <v>6</v>
      </c>
      <c r="I222" s="114">
        <f>求节点(武将升星!G$104:G$112,武将升星!$C$104:$C$112,MAX((武将数量星级阶位验证!BL222-武将数量星级阶位验证!BN222)/武将数量星级阶位验证!D$6+武将数量星级阶位验证!BN222/6,0))</f>
        <v>8</v>
      </c>
      <c r="J222" s="71">
        <f>基础状态预期!O232</f>
        <v>8</v>
      </c>
      <c r="L222" s="16">
        <f>武将升星!E$58+武将升星!E$59*G222</f>
        <v>75</v>
      </c>
      <c r="M222" s="16">
        <f>武将升星!F$58+武将升星!F$59*H222</f>
        <v>100</v>
      </c>
      <c r="N222" s="16">
        <f>武将升星!G$58+武将升星!G$59*I222</f>
        <v>125</v>
      </c>
      <c r="O222" s="16">
        <f>武将升星!H$58+武将升星!H$59*J222</f>
        <v>148</v>
      </c>
      <c r="P222" s="16">
        <v>229.251913169571</v>
      </c>
      <c r="Q222" s="16">
        <f>求节点(武将升星!$C$68:$C$76,武将升星!E$68:E$76,G222)</f>
        <v>0.15</v>
      </c>
      <c r="R222" s="16">
        <f>求节点(武将升星!$C$68:$C$76,武将升星!F$68:F$76,H222)</f>
        <v>0.39999999999999997</v>
      </c>
      <c r="S222" s="16">
        <f>求节点(武将升星!$C$68:$C$76,武将升星!G$68:G$76,I222)</f>
        <v>0.79200000000000026</v>
      </c>
      <c r="T222" s="16">
        <f>求节点(武将升星!$C$68:$C$76,武将升星!H$68:H$76,J222)</f>
        <v>1.1399999999999999</v>
      </c>
      <c r="U222" s="16">
        <v>2.46377869754357</v>
      </c>
    </row>
    <row r="223" spans="4:21" x14ac:dyDescent="0.15">
      <c r="D223" s="16">
        <v>40</v>
      </c>
      <c r="F223" s="16">
        <f>基础状态预期!C233</f>
        <v>11115.5</v>
      </c>
      <c r="G223" s="16">
        <f>MIN(武将升星!E$14,求节点(武将升星!E$104:E$112,武将升星!$C$104:$C$112,武将数量星级阶位验证!BJ223/武将数量星级阶位验证!B$6))</f>
        <v>3</v>
      </c>
      <c r="H223" s="16">
        <f>MIN(武将升星!F$14,求节点(武将升星!F$104:F$112,武将升星!$C$104:$C$112,武将数量星级阶位验证!BK223/武将数量星级阶位验证!C$6))</f>
        <v>6</v>
      </c>
      <c r="I223" s="114">
        <f>求节点(武将升星!G$104:G$112,武将升星!$C$104:$C$112,MAX((武将数量星级阶位验证!BL223-武将数量星级阶位验证!BN223)/武将数量星级阶位验证!D$6+武将数量星级阶位验证!BN223/6,0))</f>
        <v>8</v>
      </c>
      <c r="J223" s="71">
        <f>基础状态预期!O233</f>
        <v>8</v>
      </c>
      <c r="L223" s="16">
        <f>武将升星!E$58+武将升星!E$59*G223</f>
        <v>75</v>
      </c>
      <c r="M223" s="16">
        <f>武将升星!F$58+武将升星!F$59*H223</f>
        <v>100</v>
      </c>
      <c r="N223" s="16">
        <f>武将升星!G$58+武将升星!G$59*I223</f>
        <v>125</v>
      </c>
      <c r="O223" s="16">
        <f>武将升星!H$58+武将升星!H$59*J223</f>
        <v>148</v>
      </c>
      <c r="P223" s="16">
        <v>233.33428810199399</v>
      </c>
      <c r="Q223" s="16">
        <f>求节点(武将升星!$C$68:$C$76,武将升星!E$68:E$76,G223)</f>
        <v>0.15</v>
      </c>
      <c r="R223" s="16">
        <f>求节点(武将升星!$C$68:$C$76,武将升星!F$68:F$76,H223)</f>
        <v>0.39999999999999997</v>
      </c>
      <c r="S223" s="16">
        <f>求节点(武将升星!$C$68:$C$76,武将升星!G$68:G$76,I223)</f>
        <v>0.79200000000000026</v>
      </c>
      <c r="T223" s="16">
        <f>求节点(武将升星!$C$68:$C$76,武将升星!H$68:H$76,J223)</f>
        <v>1.1399999999999999</v>
      </c>
      <c r="U223" s="16">
        <v>2.5250143215299099</v>
      </c>
    </row>
    <row r="224" spans="4:21" x14ac:dyDescent="0.15">
      <c r="D224" s="16">
        <v>41</v>
      </c>
      <c r="F224" s="16">
        <f>基础状态预期!C234</f>
        <v>14168.000000000002</v>
      </c>
      <c r="G224" s="16">
        <f>MIN(武将升星!E$14,求节点(武将升星!E$104:E$112,武将升星!$C$104:$C$112,武将数量星级阶位验证!BJ224/武将数量星级阶位验证!B$6))</f>
        <v>3</v>
      </c>
      <c r="H224" s="16">
        <f>MIN(武将升星!F$14,求节点(武将升星!F$104:F$112,武将升星!$C$104:$C$112,武将数量星级阶位验证!BK224/武将数量星级阶位验证!C$6))</f>
        <v>6</v>
      </c>
      <c r="I224" s="114">
        <f>求节点(武将升星!G$104:G$112,武将升星!$C$104:$C$112,MAX((武将数量星级阶位验证!BL224-武将数量星级阶位验证!BN224)/武将数量星级阶位验证!D$6+武将数量星级阶位验证!BN224/6,0))</f>
        <v>8</v>
      </c>
      <c r="J224" s="71">
        <f>基础状态预期!O234</f>
        <v>8</v>
      </c>
      <c r="L224" s="16">
        <f>武将升星!E$58+武将升星!E$59*G224</f>
        <v>75</v>
      </c>
      <c r="M224" s="16">
        <f>武将升星!F$58+武将升星!F$59*H224</f>
        <v>100</v>
      </c>
      <c r="N224" s="16">
        <f>武将升星!G$58+武将升星!G$59*I224</f>
        <v>125</v>
      </c>
      <c r="O224" s="16">
        <f>武将升星!H$58+武将升星!H$59*J224</f>
        <v>148</v>
      </c>
      <c r="P224" s="16">
        <v>237.41666303441701</v>
      </c>
      <c r="Q224" s="16">
        <f>求节点(武将升星!$C$68:$C$76,武将升星!E$68:E$76,G224)</f>
        <v>0.15</v>
      </c>
      <c r="R224" s="16">
        <f>求节点(武将升星!$C$68:$C$76,武将升星!F$68:F$76,H224)</f>
        <v>0.39999999999999997</v>
      </c>
      <c r="S224" s="16">
        <f>求节点(武将升星!$C$68:$C$76,武将升星!G$68:G$76,I224)</f>
        <v>0.79200000000000026</v>
      </c>
      <c r="T224" s="16">
        <f>求节点(武将升星!$C$68:$C$76,武将升星!H$68:H$76,J224)</f>
        <v>1.1399999999999999</v>
      </c>
      <c r="U224" s="16">
        <v>2.58624994551626</v>
      </c>
    </row>
    <row r="225" spans="4:21" x14ac:dyDescent="0.15">
      <c r="D225" s="16">
        <v>42</v>
      </c>
      <c r="F225" s="16">
        <f>基础状态预期!C235</f>
        <v>18012.5</v>
      </c>
      <c r="G225" s="16">
        <f>MIN(武将升星!E$14,求节点(武将升星!E$104:E$112,武将升星!$C$104:$C$112,武将数量星级阶位验证!BJ225/武将数量星级阶位验证!B$6))</f>
        <v>3</v>
      </c>
      <c r="H225" s="16">
        <f>MIN(武将升星!F$14,求节点(武将升星!F$104:F$112,武将升星!$C$104:$C$112,武将数量星级阶位验证!BK225/武将数量星级阶位验证!C$6))</f>
        <v>6</v>
      </c>
      <c r="I225" s="114">
        <f>求节点(武将升星!G$104:G$112,武将升星!$C$104:$C$112,MAX((武将数量星级阶位验证!BL225-武将数量星级阶位验证!BN225)/武将数量星级阶位验证!D$6+武将数量星级阶位验证!BN225/6,0))</f>
        <v>8</v>
      </c>
      <c r="J225" s="71">
        <f>基础状态预期!O235</f>
        <v>8</v>
      </c>
      <c r="L225" s="16">
        <f>武将升星!E$58+武将升星!E$59*G225</f>
        <v>75</v>
      </c>
      <c r="M225" s="16">
        <f>武将升星!F$58+武将升星!F$59*H225</f>
        <v>100</v>
      </c>
      <c r="N225" s="16">
        <f>武将升星!G$58+武将升星!G$59*I225</f>
        <v>125</v>
      </c>
      <c r="O225" s="16">
        <f>武将升星!H$58+武将升星!H$59*J225</f>
        <v>148</v>
      </c>
      <c r="P225" s="16">
        <v>241.49903796684001</v>
      </c>
      <c r="Q225" s="16">
        <f>求节点(武将升星!$C$68:$C$76,武将升星!E$68:E$76,G225)</f>
        <v>0.15</v>
      </c>
      <c r="R225" s="16">
        <f>求节点(武将升星!$C$68:$C$76,武将升星!F$68:F$76,H225)</f>
        <v>0.39999999999999997</v>
      </c>
      <c r="S225" s="16">
        <f>求节点(武将升星!$C$68:$C$76,武将升星!G$68:G$76,I225)</f>
        <v>0.79200000000000026</v>
      </c>
      <c r="T225" s="16">
        <f>求节点(武将升星!$C$68:$C$76,武将升星!H$68:H$76,J225)</f>
        <v>1.1399999999999999</v>
      </c>
      <c r="U225" s="16">
        <v>2.64748556950261</v>
      </c>
    </row>
    <row r="226" spans="4:21" x14ac:dyDescent="0.15">
      <c r="D226" s="16">
        <v>43</v>
      </c>
    </row>
    <row r="227" spans="4:21" x14ac:dyDescent="0.15">
      <c r="D227" s="16">
        <v>44</v>
      </c>
    </row>
    <row r="228" spans="4:21" x14ac:dyDescent="0.15">
      <c r="D228" s="16">
        <v>45</v>
      </c>
    </row>
  </sheetData>
  <mergeCells count="5">
    <mergeCell ref="AH3:AK3"/>
    <mergeCell ref="AD3:AG3"/>
    <mergeCell ref="AQ3:AT3"/>
    <mergeCell ref="AL3:AO3"/>
    <mergeCell ref="AE27:AH27"/>
  </mergeCells>
  <phoneticPr fontId="1" type="noConversion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1700-000000000000}">
          <x14:formula1>
            <xm:f>武将数量星级阶位验证!$B$34:$B$38</xm:f>
          </x14:formula1>
          <xm:sqref>C3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7"/>
  <dimension ref="B1:BU232"/>
  <sheetViews>
    <sheetView zoomScaleNormal="100" workbookViewId="0">
      <selection activeCell="R37" sqref="R37"/>
    </sheetView>
  </sheetViews>
  <sheetFormatPr defaultColWidth="6.625" defaultRowHeight="11.25" x14ac:dyDescent="0.15"/>
  <cols>
    <col min="1" max="1" width="6.625" style="17"/>
    <col min="2" max="24" width="6.625" style="17" customWidth="1"/>
    <col min="25" max="25" width="6.625" style="63" customWidth="1"/>
    <col min="26" max="37" width="6.625" style="17" customWidth="1"/>
    <col min="38" max="38" width="6.625" style="63" customWidth="1"/>
    <col min="39" max="39" width="6.625" style="17" customWidth="1"/>
    <col min="40" max="40" width="6.625" style="7" customWidth="1"/>
    <col min="41" max="42" width="6.625" style="17" customWidth="1"/>
    <col min="43" max="43" width="6.625" style="63" customWidth="1"/>
    <col min="44" max="53" width="6.625" style="17" customWidth="1"/>
    <col min="54" max="54" width="6.625" style="62" customWidth="1"/>
    <col min="55" max="59" width="6.625" style="17" customWidth="1"/>
    <col min="60" max="60" width="6.625" style="62" customWidth="1"/>
    <col min="61" max="65" width="6.625" style="17" customWidth="1"/>
    <col min="66" max="66" width="6.625" style="62" customWidth="1"/>
    <col min="67" max="67" width="6.625" style="17" customWidth="1"/>
    <col min="68" max="68" width="6.625" style="26" customWidth="1"/>
    <col min="69" max="71" width="6.625" style="17" customWidth="1"/>
    <col min="72" max="72" width="6.625" style="82" customWidth="1"/>
    <col min="73" max="73" width="6.625" style="17" customWidth="1"/>
    <col min="74" max="16384" width="6.625" style="17"/>
  </cols>
  <sheetData>
    <row r="1" spans="2:73" x14ac:dyDescent="0.15">
      <c r="F1" s="29" t="s">
        <v>1</v>
      </c>
      <c r="G1" s="29" t="s">
        <v>2</v>
      </c>
      <c r="H1" s="29" t="s">
        <v>246</v>
      </c>
      <c r="I1" s="29" t="s">
        <v>545</v>
      </c>
    </row>
    <row r="2" spans="2:73" x14ac:dyDescent="0.15">
      <c r="F2" s="29">
        <v>6</v>
      </c>
      <c r="G2" s="29">
        <v>10</v>
      </c>
      <c r="H2" s="29">
        <v>20</v>
      </c>
      <c r="I2" s="29">
        <v>1</v>
      </c>
    </row>
    <row r="8" spans="2:73" x14ac:dyDescent="0.15">
      <c r="B8" s="17">
        <v>1</v>
      </c>
      <c r="G8" s="17" t="s">
        <v>417</v>
      </c>
    </row>
    <row r="9" spans="2:73" x14ac:dyDescent="0.15">
      <c r="B9" s="17">
        <v>2</v>
      </c>
      <c r="G9" s="161" t="s">
        <v>435</v>
      </c>
      <c r="H9" s="162"/>
      <c r="I9" s="162"/>
      <c r="J9" s="163"/>
      <c r="K9" s="161" t="s">
        <v>466</v>
      </c>
      <c r="L9" s="162"/>
      <c r="M9" s="162"/>
      <c r="N9" s="163"/>
      <c r="O9" s="161" t="s">
        <v>469</v>
      </c>
      <c r="P9" s="162"/>
      <c r="Q9" s="162"/>
      <c r="R9" s="163"/>
      <c r="S9" s="161" t="s">
        <v>436</v>
      </c>
      <c r="T9" s="162"/>
      <c r="U9" s="162"/>
      <c r="V9" s="163"/>
      <c r="W9" s="160" t="s">
        <v>467</v>
      </c>
      <c r="X9" s="160"/>
      <c r="Y9" s="160"/>
      <c r="Z9" s="160"/>
      <c r="AA9" s="161" t="s">
        <v>437</v>
      </c>
      <c r="AB9" s="162"/>
      <c r="AC9" s="162"/>
      <c r="AD9" s="163"/>
      <c r="AE9" s="160" t="s">
        <v>468</v>
      </c>
      <c r="AF9" s="160"/>
      <c r="AG9" s="160"/>
      <c r="AH9" s="160"/>
      <c r="AJ9" s="161" t="s">
        <v>422</v>
      </c>
      <c r="AK9" s="162"/>
      <c r="AL9" s="162"/>
      <c r="AM9" s="163"/>
      <c r="AO9" s="187" t="s">
        <v>421</v>
      </c>
      <c r="AP9" s="187"/>
      <c r="AQ9" s="187"/>
      <c r="AR9" s="187"/>
      <c r="AX9" s="187" t="s">
        <v>425</v>
      </c>
      <c r="AY9" s="187"/>
      <c r="AZ9" s="187"/>
      <c r="BA9" s="187"/>
      <c r="BB9" s="187"/>
      <c r="BD9" s="187" t="s">
        <v>423</v>
      </c>
      <c r="BE9" s="187"/>
      <c r="BF9" s="187"/>
      <c r="BG9" s="187"/>
      <c r="BH9" s="187"/>
      <c r="BJ9" s="187" t="s">
        <v>424</v>
      </c>
      <c r="BK9" s="187"/>
      <c r="BL9" s="187"/>
      <c r="BM9" s="187"/>
      <c r="BN9" s="187"/>
      <c r="BR9" s="187" t="s">
        <v>471</v>
      </c>
      <c r="BS9" s="187"/>
      <c r="BT9" s="187"/>
      <c r="BU9" s="187"/>
    </row>
    <row r="10" spans="2:73" x14ac:dyDescent="0.15">
      <c r="B10" s="17">
        <v>3</v>
      </c>
      <c r="E10" s="29" t="s">
        <v>163</v>
      </c>
      <c r="F10" s="29" t="s">
        <v>478</v>
      </c>
      <c r="G10" s="29" t="s">
        <v>1</v>
      </c>
      <c r="H10" s="29" t="s">
        <v>2</v>
      </c>
      <c r="I10" s="29" t="s">
        <v>0</v>
      </c>
      <c r="J10" s="29" t="s">
        <v>545</v>
      </c>
      <c r="K10" s="29" t="s">
        <v>1</v>
      </c>
      <c r="L10" s="29" t="s">
        <v>2</v>
      </c>
      <c r="M10" s="29" t="s">
        <v>0</v>
      </c>
      <c r="N10" s="29" t="s">
        <v>545</v>
      </c>
      <c r="O10" s="29" t="s">
        <v>1</v>
      </c>
      <c r="P10" s="29" t="s">
        <v>2</v>
      </c>
      <c r="Q10" s="29" t="s">
        <v>0</v>
      </c>
      <c r="R10" s="29" t="s">
        <v>545</v>
      </c>
      <c r="S10" s="29" t="s">
        <v>1</v>
      </c>
      <c r="T10" s="29" t="s">
        <v>2</v>
      </c>
      <c r="U10" s="29" t="s">
        <v>0</v>
      </c>
      <c r="V10" s="29" t="s">
        <v>545</v>
      </c>
      <c r="W10" s="29" t="s">
        <v>1</v>
      </c>
      <c r="X10" s="29" t="s">
        <v>2</v>
      </c>
      <c r="Y10" s="64" t="s">
        <v>0</v>
      </c>
      <c r="Z10" s="29" t="s">
        <v>545</v>
      </c>
      <c r="AA10" s="29" t="s">
        <v>1</v>
      </c>
      <c r="AB10" s="29" t="s">
        <v>2</v>
      </c>
      <c r="AC10" s="29" t="s">
        <v>0</v>
      </c>
      <c r="AD10" s="29" t="s">
        <v>545</v>
      </c>
      <c r="AE10" s="29" t="s">
        <v>1</v>
      </c>
      <c r="AF10" s="29" t="s">
        <v>2</v>
      </c>
      <c r="AG10" s="29" t="s">
        <v>0</v>
      </c>
      <c r="AH10" s="29" t="s">
        <v>545</v>
      </c>
      <c r="AJ10" s="29" t="s">
        <v>1</v>
      </c>
      <c r="AK10" s="29" t="s">
        <v>2</v>
      </c>
      <c r="AL10" s="64" t="s">
        <v>0</v>
      </c>
      <c r="AM10" s="29" t="s">
        <v>545</v>
      </c>
      <c r="AO10" s="17" t="s">
        <v>80</v>
      </c>
      <c r="AP10" s="17" t="s">
        <v>81</v>
      </c>
      <c r="AQ10" s="63" t="s">
        <v>82</v>
      </c>
      <c r="AR10" s="17" t="s">
        <v>545</v>
      </c>
      <c r="AT10" s="17" t="s">
        <v>420</v>
      </c>
      <c r="AU10" s="17" t="s">
        <v>484</v>
      </c>
      <c r="AX10" s="17" t="s">
        <v>80</v>
      </c>
      <c r="AY10" s="17" t="s">
        <v>81</v>
      </c>
      <c r="AZ10" s="17" t="s">
        <v>82</v>
      </c>
      <c r="BA10" s="17" t="s">
        <v>545</v>
      </c>
      <c r="BB10" s="62" t="s">
        <v>426</v>
      </c>
      <c r="BD10" s="17" t="s">
        <v>80</v>
      </c>
      <c r="BE10" s="17" t="s">
        <v>81</v>
      </c>
      <c r="BF10" s="17" t="s">
        <v>82</v>
      </c>
      <c r="BG10" s="17" t="s">
        <v>545</v>
      </c>
      <c r="BH10" s="62" t="s">
        <v>426</v>
      </c>
      <c r="BJ10" s="17" t="s">
        <v>80</v>
      </c>
      <c r="BK10" s="17" t="s">
        <v>81</v>
      </c>
      <c r="BL10" s="17" t="s">
        <v>82</v>
      </c>
      <c r="BM10" s="17" t="s">
        <v>545</v>
      </c>
      <c r="BN10" s="62" t="s">
        <v>426</v>
      </c>
      <c r="BR10" s="17" t="s">
        <v>80</v>
      </c>
      <c r="BS10" s="17" t="s">
        <v>81</v>
      </c>
      <c r="BT10" s="82" t="s">
        <v>82</v>
      </c>
      <c r="BU10" s="17" t="s">
        <v>545</v>
      </c>
    </row>
    <row r="11" spans="2:73" x14ac:dyDescent="0.15">
      <c r="B11" s="17">
        <v>4</v>
      </c>
      <c r="C11" s="17">
        <f>SUM(G11:J11)</f>
        <v>0</v>
      </c>
      <c r="D11" s="17">
        <v>1</v>
      </c>
      <c r="E11" s="29">
        <f>基础状态预期!C17</f>
        <v>1</v>
      </c>
      <c r="F11" s="29">
        <f>基础状态预期!D17</f>
        <v>10</v>
      </c>
      <c r="G11" s="29">
        <f>BD11</f>
        <v>0</v>
      </c>
      <c r="H11" s="29">
        <f t="shared" ref="H11:J11" si="0">BE11</f>
        <v>0</v>
      </c>
      <c r="I11" s="29">
        <f t="shared" si="0"/>
        <v>0</v>
      </c>
      <c r="J11" s="29">
        <f t="shared" si="0"/>
        <v>0</v>
      </c>
      <c r="K11" s="29">
        <f>武将战力价值情况!G7</f>
        <v>3</v>
      </c>
      <c r="L11" s="29">
        <f>武将战力价值情况!H7</f>
        <v>0.43623534953916132</v>
      </c>
      <c r="M11" s="29">
        <f>武将战力价值情况!I7</f>
        <v>0</v>
      </c>
      <c r="N11" s="29">
        <f>武将战力价值情况!J7</f>
        <v>0</v>
      </c>
      <c r="O11" s="41">
        <f>MAX(同名需求(G11,求节点(武将升星!$C$104:$C$112,武将升星!E$104:E$112,K11),F$2),武将数量星级阶位验证!AA7)</f>
        <v>24</v>
      </c>
      <c r="P11" s="41">
        <f>MAX(同名需求(H11,求节点(武将升星!$C$104:$C$112,武将升星!F$104:F$112,L11),G$2),武将数量星级阶位验证!AB7)</f>
        <v>6.3623534953916128</v>
      </c>
      <c r="Q11" s="41">
        <f>MAX(同名需求(I11,求节点(武将升星!$C$104:$C$112,武将升星!G$104:G$112,M11),H$2),武将数量星级阶位验证!AC7)</f>
        <v>4</v>
      </c>
      <c r="R11" s="41">
        <f>MAX(同名需求(J11,求节点(武将升星!$C$104:$C$112,武将升星!H$104:H$112,N11),I$2),武将数量星级阶位验证!AD7)</f>
        <v>0</v>
      </c>
      <c r="S11" s="29">
        <f>MAX(基础状态预期!P17:T17)</f>
        <v>0.4</v>
      </c>
      <c r="T11" s="29">
        <f>S11</f>
        <v>0.4</v>
      </c>
      <c r="U11" s="29">
        <f t="shared" ref="U11:V11" si="1">T11</f>
        <v>0.4</v>
      </c>
      <c r="V11" s="29">
        <f t="shared" si="1"/>
        <v>0.4</v>
      </c>
      <c r="W11" s="41">
        <f>SUMIFS(武将进阶!F$13:F$18,武将进阶!$C$13:$C$18,"&lt;="&amp;T11)*H11+武将数量星级阶位验证!Q7</f>
        <v>2.4000000000000004</v>
      </c>
      <c r="X11" s="41">
        <f>SUMIFS(武将进阶!G$13:G$18,武将进阶!$C$13:$C$18,"&lt;="&amp;U11)*I11+武将数量星级阶位验证!R7</f>
        <v>4.8000000000000007</v>
      </c>
      <c r="Y11" s="41">
        <f>SUMIFS(武将进阶!H$13:H$18,武将进阶!$C$13:$C$18,"&lt;="&amp;V11)*J11+武将数量星级阶位验证!S7</f>
        <v>0</v>
      </c>
      <c r="Z11" s="41">
        <f>SUMIFS(武将进阶!I$13:I$18,武将进阶!$C$13:$C$18,"&lt;="&amp;W11)*K11+武将数量星级阶位验证!T7</f>
        <v>45</v>
      </c>
      <c r="AA11" s="29"/>
      <c r="AB11" s="29">
        <f>求节点(基础状态预期!$AT$17:$AT$55,基础状态预期!AW$17:AW$55,各r阵容卡情况!$F11)</f>
        <v>0</v>
      </c>
      <c r="AC11" s="29">
        <f>求节点(基础状态预期!$AT$17:$AT$55,基础状态预期!AX$17:AX$55,各r阵容卡情况!$F11)</f>
        <v>0</v>
      </c>
      <c r="AD11" s="29">
        <f>求节点(基础状态预期!$AT$17:$AT$55,基础状态预期!AY$17:AY$55,各r阵容卡情况!$F11)</f>
        <v>0</v>
      </c>
      <c r="AE11" s="41">
        <f>IF(AA11&lt;1,0,(AA11-1)*武将觉醒!E$34*G11)+武将数量星级阶位验证!V7</f>
        <v>0</v>
      </c>
      <c r="AF11" s="41">
        <f>IF(AB11&lt;1,0,(AB11-1)*武将觉醒!F$34*H11)+武将数量星级阶位验证!W7</f>
        <v>0</v>
      </c>
      <c r="AG11" s="41">
        <f>IF(AC11&lt;1,0,(AC11-1)*武将觉醒!G$34*I11)+武将数量星级阶位验证!X7</f>
        <v>0</v>
      </c>
      <c r="AH11" s="41">
        <f>IF(AD11&lt;1,0,(AD11-1)*武将觉醒!H$34*J11)+武将数量星级阶位验证!Y7</f>
        <v>0</v>
      </c>
      <c r="AJ11" s="29">
        <f>MAX(W11+AE11+G11*(K11+1)+IF(武将数量星级阶位验证!L7="",0,武将数量星级阶位验证!L7)*武将升星!P4,O11)</f>
        <v>24</v>
      </c>
      <c r="AK11" s="29">
        <f>MAX(X11+AF11+H11*(L11+1)+IF(武将数量星级阶位验证!M7="",0,武将数量星级阶位验证!M7)*武将升星!Q4,P11)</f>
        <v>7.6724706990783229</v>
      </c>
      <c r="AL11" s="64">
        <f>MAX(Y11+AG11+I11*(M11+1)+IF(武将数量星级阶位验证!N7="",0,武将数量星级阶位验证!N7)*武将升星!R4,Q11)</f>
        <v>4</v>
      </c>
      <c r="AM11" s="41">
        <f>R11+AH11</f>
        <v>0</v>
      </c>
      <c r="AO11" s="17">
        <f>武将数量星级阶位验证!BJ7</f>
        <v>40.053935191748046</v>
      </c>
      <c r="AP11" s="17">
        <f>武将数量星级阶位验证!BK7</f>
        <v>14.362353495391613</v>
      </c>
      <c r="AQ11" s="63">
        <f>武将数量星级阶位验证!BL7</f>
        <v>3.8175369205788914</v>
      </c>
      <c r="AR11" s="17">
        <f>武将数量星级阶位验证!BM7</f>
        <v>0</v>
      </c>
      <c r="AT11" s="17">
        <f t="shared" ref="AT11:AT26" si="2">E11</f>
        <v>1</v>
      </c>
      <c r="AU11" s="17">
        <f t="shared" ref="AU11:AU26" si="3">F11</f>
        <v>10</v>
      </c>
      <c r="AX11" s="17">
        <f>基础状态预期!G17</f>
        <v>0</v>
      </c>
      <c r="AY11" s="17">
        <f>基础状态预期!H17</f>
        <v>2</v>
      </c>
      <c r="AZ11" s="17">
        <f>基础状态预期!I17</f>
        <v>4</v>
      </c>
      <c r="BA11" s="17">
        <f>基础状态预期!J17</f>
        <v>0</v>
      </c>
      <c r="BB11" s="62">
        <f>SUM(AX11:BA11)</f>
        <v>6</v>
      </c>
      <c r="BD11" s="17">
        <v>0</v>
      </c>
      <c r="BE11" s="17">
        <v>0</v>
      </c>
      <c r="BF11" s="17">
        <v>0</v>
      </c>
      <c r="BG11" s="17">
        <v>0</v>
      </c>
      <c r="BH11" s="62">
        <f>SUM(BD11:BG11)</f>
        <v>0</v>
      </c>
      <c r="BJ11" s="17">
        <f>AX11+BD11</f>
        <v>0</v>
      </c>
      <c r="BK11" s="17">
        <f t="shared" ref="BK11:BM11" si="4">AY11+BE11</f>
        <v>2</v>
      </c>
      <c r="BL11" s="17">
        <f t="shared" si="4"/>
        <v>4</v>
      </c>
      <c r="BM11" s="17">
        <f t="shared" si="4"/>
        <v>0</v>
      </c>
      <c r="BN11" s="62">
        <f>SUM(BJ11:BM11)</f>
        <v>6</v>
      </c>
      <c r="BR11" s="17">
        <f>武将升星!P4*基础状态预期!G17+G11*(K11+1)+W11+AE11</f>
        <v>2.4000000000000004</v>
      </c>
      <c r="BS11" s="17">
        <f>武将升星!Q4*基础状态预期!H17+H11*(L11+1)+X11+AF11</f>
        <v>7.6724706990783229</v>
      </c>
      <c r="BT11" s="17">
        <f>武将升星!R4*基础状态预期!I17+I11*(M11+1)+Y11+AG11</f>
        <v>4</v>
      </c>
      <c r="BU11" s="17">
        <f>武将升星!S4*基础状态预期!J17+J11*(N11+1)+Z11+AH11</f>
        <v>45</v>
      </c>
    </row>
    <row r="12" spans="2:73" x14ac:dyDescent="0.15">
      <c r="B12" s="17">
        <v>5</v>
      </c>
      <c r="C12" s="17">
        <f t="shared" ref="C12:C49" si="5">SUM(G12:J12)</f>
        <v>6</v>
      </c>
      <c r="D12" s="17">
        <v>2</v>
      </c>
      <c r="E12" s="29">
        <f>基础状态预期!C18</f>
        <v>3</v>
      </c>
      <c r="F12" s="29">
        <f>基础状态预期!D18</f>
        <v>20</v>
      </c>
      <c r="G12" s="29">
        <f t="shared" ref="G12:G26" si="6">BD12</f>
        <v>6</v>
      </c>
      <c r="H12" s="29">
        <f t="shared" ref="H12:H26" si="7">BE12</f>
        <v>0</v>
      </c>
      <c r="I12" s="29">
        <f t="shared" ref="I12:I25" si="8">BF12</f>
        <v>0</v>
      </c>
      <c r="J12" s="29">
        <f t="shared" ref="J12:J26" si="9">BG12</f>
        <v>0</v>
      </c>
      <c r="K12" s="29">
        <f>武将战力价值情况!G8</f>
        <v>3</v>
      </c>
      <c r="L12" s="29">
        <f>武将战力价值情况!H8</f>
        <v>2.0059817193719547</v>
      </c>
      <c r="M12" s="29">
        <f>武将战力价值情况!I8</f>
        <v>0</v>
      </c>
      <c r="N12" s="29">
        <f>武将战力价值情况!J8</f>
        <v>0</v>
      </c>
      <c r="O12" s="41">
        <f>MAX(同名需求(G12,求节点(武将升星!$C$104:$C$112,武将升星!E$104:E$112,K12),F$2),武将数量星级阶位验证!AA8)</f>
        <v>30</v>
      </c>
      <c r="P12" s="41">
        <f>MAX(同名需求(H12,求节点(武将升星!$C$104:$C$112,武将升星!F$104:F$112,L12),G$2),武将数量星级阶位验证!AB8)</f>
        <v>20.119634387439092</v>
      </c>
      <c r="Q12" s="41">
        <f>MAX(同名需求(I12,求节点(武将升星!$C$104:$C$112,武将升星!G$104:G$112,M12),H$2),武将数量星级阶位验证!AC8)</f>
        <v>6</v>
      </c>
      <c r="R12" s="41">
        <f>MAX(同名需求(J12,求节点(武将升星!$C$104:$C$112,武将升星!H$104:H$112,N12),I$2),武将数量星级阶位验证!AD8)</f>
        <v>0</v>
      </c>
      <c r="S12" s="29">
        <f>MAX(基础状态预期!P18:T18)</f>
        <v>0.8</v>
      </c>
      <c r="T12" s="29">
        <f t="shared" ref="T12:V26" si="10">S12</f>
        <v>0.8</v>
      </c>
      <c r="U12" s="29">
        <f t="shared" si="10"/>
        <v>0.8</v>
      </c>
      <c r="V12" s="29">
        <f t="shared" si="10"/>
        <v>0.8</v>
      </c>
      <c r="W12" s="41">
        <f>SUMIFS(武将进阶!F$13:F$18,武将进阶!$C$13:$C$18,"&lt;="&amp;T12)*H12+武将数量星级阶位验证!Q8</f>
        <v>0</v>
      </c>
      <c r="X12" s="41">
        <f>SUMIFS(武将进阶!G$13:G$18,武将进阶!$C$13:$C$18,"&lt;="&amp;U12)*I12+武将数量星级阶位验证!R8</f>
        <v>14.400000000000002</v>
      </c>
      <c r="Y12" s="41">
        <f>SUMIFS(武将进阶!H$13:H$18,武将进阶!$C$13:$C$18,"&lt;="&amp;V12)*J12+武将数量星级阶位验证!S8</f>
        <v>0</v>
      </c>
      <c r="Z12" s="41">
        <f>SUMIFS(武将进阶!I$13:I$18,武将进阶!$C$13:$C$18,"&lt;="&amp;W12)*K12+武将数量星级阶位验证!T8</f>
        <v>0</v>
      </c>
      <c r="AA12" s="29"/>
      <c r="AB12" s="29">
        <f>求节点(基础状态预期!$AT$17:$AT$55,基础状态预期!AW$17:AW$55,各r阵容卡情况!$F12)</f>
        <v>1</v>
      </c>
      <c r="AC12" s="29">
        <f>求节点(基础状态预期!$AT$17:$AT$55,基础状态预期!AX$17:AX$55,各r阵容卡情况!$F12)</f>
        <v>1</v>
      </c>
      <c r="AD12" s="29">
        <f>求节点(基础状态预期!$AT$17:$AT$55,基础状态预期!AY$17:AY$55,各r阵容卡情况!$F12)</f>
        <v>1</v>
      </c>
      <c r="AE12" s="41">
        <f>IF(AA12&lt;1,0,(AA12-1)*武将觉醒!E$34*G12)+武将数量星级阶位验证!V8</f>
        <v>0</v>
      </c>
      <c r="AF12" s="41">
        <f>IF(AB12&lt;1,0,(AB12-1)*武将觉醒!F$34*H12)+武将数量星级阶位验证!W8</f>
        <v>0</v>
      </c>
      <c r="AG12" s="41">
        <f>IF(AC12&lt;1,0,(AC12-1)*武将觉醒!G$34*I12)+武将数量星级阶位验证!X8</f>
        <v>0</v>
      </c>
      <c r="AH12" s="41">
        <f>IF(AD12&lt;1,0,(AD12-1)*武将觉醒!H$34*J12)+武将数量星级阶位验证!Y8</f>
        <v>0</v>
      </c>
      <c r="AJ12" s="29">
        <f>MAX(W12+AE12+G12*(K12+1)+IF(武将数量星级阶位验证!L8="",0,武将数量星级阶位验证!L8)*武将升星!P5,O12)</f>
        <v>30</v>
      </c>
      <c r="AK12" s="29">
        <f>MAX(X12+AF12+H12*(L12+1)+IF(武将数量星级阶位验证!M8="",0,武将数量星级阶位验证!M8)*武将升星!Q5,P12)</f>
        <v>20.119634387439092</v>
      </c>
      <c r="AL12" s="64">
        <f>MAX(Y12+AG12+I12*(M12+1)+IF(武将数量星级阶位验证!N8="",0,武将数量星级阶位验证!N8)*武将升星!R5,Q12)</f>
        <v>6</v>
      </c>
      <c r="AM12" s="41">
        <f t="shared" ref="AM12:AM26" si="11">R12+AH12</f>
        <v>0</v>
      </c>
      <c r="AO12" s="17">
        <f>武将数量星级阶位验证!BJ8</f>
        <v>88.148472393990275</v>
      </c>
      <c r="AP12" s="17">
        <f>武将数量星级阶位验证!BK8</f>
        <v>30.119634387439095</v>
      </c>
      <c r="AQ12" s="63">
        <f>武将数量星级阶位验证!BL8</f>
        <v>7.8055221714672456</v>
      </c>
      <c r="AR12" s="17">
        <f>武将数量星级阶位验证!BM8</f>
        <v>0</v>
      </c>
      <c r="AT12" s="17">
        <f t="shared" si="2"/>
        <v>3</v>
      </c>
      <c r="AU12" s="17">
        <f t="shared" si="3"/>
        <v>20</v>
      </c>
      <c r="AX12" s="17">
        <f>基础状态预期!G18</f>
        <v>0</v>
      </c>
      <c r="AY12" s="17">
        <f>基础状态预期!H18</f>
        <v>0</v>
      </c>
      <c r="AZ12" s="17">
        <f>基础状态预期!I18</f>
        <v>6</v>
      </c>
      <c r="BA12" s="17">
        <f>基础状态预期!J18</f>
        <v>0</v>
      </c>
      <c r="BB12" s="62">
        <f t="shared" ref="BB12:BB26" si="12">SUM(AX12:BA12)</f>
        <v>6</v>
      </c>
      <c r="BD12" s="17">
        <v>6</v>
      </c>
      <c r="BE12" s="17">
        <v>0</v>
      </c>
      <c r="BF12" s="17">
        <v>0</v>
      </c>
      <c r="BG12" s="17">
        <v>0</v>
      </c>
      <c r="BH12" s="62">
        <f t="shared" ref="BH12:BH26" si="13">SUM(BD12:BG12)</f>
        <v>6</v>
      </c>
      <c r="BJ12" s="17">
        <f t="shared" ref="BJ12:BJ26" si="14">AX12+BD12</f>
        <v>6</v>
      </c>
      <c r="BK12" s="17">
        <f t="shared" ref="BK12:BK26" si="15">AY12+BE12</f>
        <v>0</v>
      </c>
      <c r="BL12" s="17">
        <f t="shared" ref="BL12:BL26" si="16">AZ12+BF12</f>
        <v>6</v>
      </c>
      <c r="BM12" s="17">
        <f t="shared" ref="BM12:BM26" si="17">BA12+BG12</f>
        <v>0</v>
      </c>
      <c r="BN12" s="62">
        <f t="shared" ref="BN12:BN26" si="18">SUM(BJ12:BM12)</f>
        <v>12</v>
      </c>
      <c r="BR12" s="17">
        <f>武将升星!P5*基础状态预期!G18+G12*(K12+1)+W12+AE12</f>
        <v>24</v>
      </c>
      <c r="BS12" s="17">
        <f>武将升星!Q5*基础状态预期!H18+H12*(L12+1)+X12+AF12</f>
        <v>14.400000000000002</v>
      </c>
      <c r="BT12" s="17">
        <f>武将升星!R5*基础状态预期!I18+I12*(M12+1)+Y12+AG12</f>
        <v>6</v>
      </c>
      <c r="BU12" s="17">
        <f>武将升星!S5*基础状态预期!J18+J12*(N12+1)+Z12+AH12</f>
        <v>0</v>
      </c>
    </row>
    <row r="13" spans="2:73" x14ac:dyDescent="0.15">
      <c r="B13" s="17">
        <v>6</v>
      </c>
      <c r="C13" s="17">
        <f t="shared" si="5"/>
        <v>6</v>
      </c>
      <c r="D13" s="17">
        <v>3</v>
      </c>
      <c r="E13" s="29">
        <f>基础状态预期!C19</f>
        <v>6</v>
      </c>
      <c r="F13" s="29">
        <f>基础状态预期!D19</f>
        <v>28.071211008105138</v>
      </c>
      <c r="G13" s="29">
        <f t="shared" si="6"/>
        <v>6</v>
      </c>
      <c r="H13" s="29">
        <f t="shared" si="7"/>
        <v>0</v>
      </c>
      <c r="I13" s="29">
        <f t="shared" si="8"/>
        <v>0</v>
      </c>
      <c r="J13" s="29">
        <f t="shared" si="9"/>
        <v>0</v>
      </c>
      <c r="K13" s="29">
        <f>武将战力价值情况!G9</f>
        <v>3</v>
      </c>
      <c r="L13" s="29">
        <f>武将战力价值情况!H9</f>
        <v>3.1101103827728123</v>
      </c>
      <c r="M13" s="29">
        <f>武将战力价值情况!I9</f>
        <v>4.7051052032425655E-2</v>
      </c>
      <c r="N13" s="29">
        <f>武将战力价值情况!J9</f>
        <v>0</v>
      </c>
      <c r="O13" s="41">
        <f>MAX(同名需求(G13,求节点(武将升星!$C$104:$C$112,武将升星!E$104:E$112,K13),F$2),武将数量星级阶位验证!AA9)</f>
        <v>30</v>
      </c>
      <c r="P13" s="41">
        <f>MAX(同名需求(H13,求节点(武将升星!$C$104:$C$112,武将升星!F$104:F$112,L13),G$2),武将数量星级阶位验证!AB9)</f>
        <v>42.202207655456249</v>
      </c>
      <c r="Q13" s="41">
        <f>MAX(同名需求(I13,求节点(武将升星!$C$104:$C$112,武将升星!G$104:G$112,M13),H$2),武将数量星级阶位验证!AC9)</f>
        <v>6.5881381504053209</v>
      </c>
      <c r="R13" s="41">
        <f>MAX(同名需求(J13,求节点(武将升星!$C$104:$C$112,武将升星!H$104:H$112,N13),I$2),武将数量星级阶位验证!AD9)</f>
        <v>0</v>
      </c>
      <c r="S13" s="29">
        <f>MAX(基础状态预期!P19:T19)</f>
        <v>1.1228484403242056</v>
      </c>
      <c r="T13" s="29">
        <f t="shared" si="10"/>
        <v>1.1228484403242056</v>
      </c>
      <c r="U13" s="29">
        <f t="shared" si="10"/>
        <v>1.1228484403242056</v>
      </c>
      <c r="V13" s="29">
        <f t="shared" si="10"/>
        <v>1.1228484403242056</v>
      </c>
      <c r="W13" s="41">
        <f>SUMIFS(武将进阶!F$13:F$18,武将进阶!$C$13:$C$18,"&lt;="&amp;T13)*H13+武将数量星级阶位验证!Q9</f>
        <v>0</v>
      </c>
      <c r="X13" s="41">
        <f>SUMIFS(武将进阶!G$13:G$18,武将进阶!$C$13:$C$18,"&lt;="&amp;U13)*I13+武将数量星级阶位验证!R9</f>
        <v>22.422543851671403</v>
      </c>
      <c r="Y13" s="41">
        <f>SUMIFS(武将进阶!H$13:H$18,武将进阶!$C$13:$C$18,"&lt;="&amp;V13)*J13+武将数量星级阶位验证!S9</f>
        <v>0</v>
      </c>
      <c r="Z13" s="41">
        <f>SUMIFS(武将进阶!I$13:I$18,武将进阶!$C$13:$C$18,"&lt;="&amp;W13)*K13+武将数量星级阶位验证!T9</f>
        <v>0</v>
      </c>
      <c r="AA13" s="29"/>
      <c r="AB13" s="29">
        <f>求节点(基础状态预期!$AT$17:$AT$55,基础状态预期!AW$17:AW$55,各r阵容卡情况!$F13)</f>
        <v>1</v>
      </c>
      <c r="AC13" s="29">
        <f>求节点(基础状态预期!$AT$17:$AT$55,基础状态预期!AX$17:AX$55,各r阵容卡情况!$F13)</f>
        <v>1</v>
      </c>
      <c r="AD13" s="29">
        <f>求节点(基础状态预期!$AT$17:$AT$55,基础状态预期!AY$17:AY$55,各r阵容卡情况!$F13)</f>
        <v>1</v>
      </c>
      <c r="AE13" s="41">
        <f>IF(AA13&lt;1,0,(AA13-1)*武将觉醒!E$34*G13)+武将数量星级阶位验证!V9</f>
        <v>0</v>
      </c>
      <c r="AF13" s="41">
        <f>IF(AB13&lt;1,0,(AB13-1)*武将觉醒!F$34*H13)+武将数量星级阶位验证!W9</f>
        <v>0</v>
      </c>
      <c r="AG13" s="41">
        <f>IF(AC13&lt;1,0,(AC13-1)*武将觉醒!G$34*I13)+武将数量星级阶位验证!X9</f>
        <v>0</v>
      </c>
      <c r="AH13" s="41">
        <f>IF(AD13&lt;1,0,(AD13-1)*武将觉醒!H$34*J13)+武将数量星级阶位验证!Y9</f>
        <v>0</v>
      </c>
      <c r="AJ13" s="29">
        <f>MAX(W13+AE13+G13*(K13+1)+IF(武将数量星级阶位验证!L9="",0,武将数量星级阶位验证!L9)*武将升星!P6,O13)</f>
        <v>30</v>
      </c>
      <c r="AK13" s="29">
        <f>MAX(X13+AF13+H13*(L13+1)+IF(武将数量星级阶位验证!M9="",0,武将数量星级阶位验证!M9)*武将升星!Q6,P13)</f>
        <v>42.202207655456249</v>
      </c>
      <c r="AL13" s="64">
        <f>MAX(Y13+AG13+I13*(M13+1)+IF(武将数量星级阶位验证!N9="",0,武将数量星级阶位验证!N9)*武将升星!R6,Q13)</f>
        <v>6.5881381504053209</v>
      </c>
      <c r="AM13" s="41">
        <f t="shared" si="11"/>
        <v>0</v>
      </c>
      <c r="AO13" s="17">
        <f>武将数量星级阶位验证!BJ9</f>
        <v>156.4554501494076</v>
      </c>
      <c r="AP13" s="17">
        <f>武将数量星级阶位验证!BK9</f>
        <v>52.202207655456242</v>
      </c>
      <c r="AQ13" s="63">
        <f>武将数量星级阶位验证!BL9</f>
        <v>13.350620903097067</v>
      </c>
      <c r="AR13" s="17">
        <f>武将数量星级阶位验证!BM9</f>
        <v>0</v>
      </c>
      <c r="AT13" s="17">
        <f t="shared" si="2"/>
        <v>6</v>
      </c>
      <c r="AU13" s="17">
        <f t="shared" si="3"/>
        <v>28.071211008105138</v>
      </c>
      <c r="AY13" s="17">
        <f>基础状态预期!H19</f>
        <v>0</v>
      </c>
      <c r="AZ13" s="17">
        <f>基础状态预期!I19</f>
        <v>6</v>
      </c>
      <c r="BA13" s="17">
        <f>基础状态预期!J19</f>
        <v>0</v>
      </c>
      <c r="BB13" s="62">
        <f t="shared" si="12"/>
        <v>6</v>
      </c>
      <c r="BD13" s="17">
        <v>6</v>
      </c>
      <c r="BE13" s="17">
        <v>0</v>
      </c>
      <c r="BF13" s="17">
        <v>0</v>
      </c>
      <c r="BG13" s="17">
        <v>0</v>
      </c>
      <c r="BH13" s="62">
        <f t="shared" si="13"/>
        <v>6</v>
      </c>
      <c r="BJ13" s="17">
        <f t="shared" si="14"/>
        <v>6</v>
      </c>
      <c r="BK13" s="17">
        <f t="shared" si="15"/>
        <v>0</v>
      </c>
      <c r="BL13" s="17">
        <f t="shared" si="16"/>
        <v>6</v>
      </c>
      <c r="BM13" s="17">
        <f t="shared" si="17"/>
        <v>0</v>
      </c>
      <c r="BN13" s="62">
        <f t="shared" si="18"/>
        <v>12</v>
      </c>
      <c r="BR13" s="17">
        <f>武将升星!P6*基础状态预期!G19+G13*(K13+1)+W13+AE13</f>
        <v>24</v>
      </c>
      <c r="BS13" s="17">
        <f>武将升星!Q6*基础状态预期!H19+H13*(L13+1)+X13+AF13</f>
        <v>22.422543851671403</v>
      </c>
      <c r="BT13" s="17">
        <f>武将升星!R6*基础状态预期!I19+I13*(M13+1)+Y13+AG13</f>
        <v>6.2823063121945539</v>
      </c>
      <c r="BU13" s="17">
        <f>武将升星!S6*基础状态预期!J19+J13*(N13+1)+Z13+AH13</f>
        <v>0</v>
      </c>
    </row>
    <row r="14" spans="2:73" x14ac:dyDescent="0.15">
      <c r="B14" s="17">
        <v>7</v>
      </c>
      <c r="C14" s="17">
        <f t="shared" si="5"/>
        <v>8</v>
      </c>
      <c r="D14" s="17">
        <v>4</v>
      </c>
      <c r="E14" s="29">
        <f>基础状态预期!C20</f>
        <v>10</v>
      </c>
      <c r="F14" s="29">
        <f>基础状态预期!D20</f>
        <v>34.585942742481357</v>
      </c>
      <c r="G14" s="29">
        <f t="shared" si="6"/>
        <v>6</v>
      </c>
      <c r="H14" s="29">
        <f t="shared" si="7"/>
        <v>2</v>
      </c>
      <c r="I14" s="29">
        <f t="shared" si="8"/>
        <v>0</v>
      </c>
      <c r="J14" s="29">
        <f t="shared" si="9"/>
        <v>0</v>
      </c>
      <c r="K14" s="29">
        <f>武将战力价值情况!G10</f>
        <v>3</v>
      </c>
      <c r="L14" s="29">
        <f>武将战力价值情况!H10</f>
        <v>4.1267170649450406</v>
      </c>
      <c r="M14" s="29">
        <f>武将战力价值情况!I10</f>
        <v>0.43978496380562193</v>
      </c>
      <c r="N14" s="29">
        <f>武将战力价值情况!J10</f>
        <v>0</v>
      </c>
      <c r="O14" s="41">
        <f>MAX(同名需求(G14,求节点(武将升星!$C$104:$C$112,武将升星!E$104:E$112,K14),F$2),武将数量星级阶位验证!AA10)</f>
        <v>30</v>
      </c>
      <c r="P14" s="41">
        <f>MAX(同名需求(H14,求节点(武将升星!$C$104:$C$112,武将升星!F$104:F$112,L14),G$2),武将数量星级阶位验证!AB10)</f>
        <v>65.801511948351219</v>
      </c>
      <c r="Q14" s="41">
        <f>MAX(同名需求(I14,求节点(武将升星!$C$104:$C$112,武将升星!G$104:G$112,M14),H$2),武将数量星级阶位验证!AC10)</f>
        <v>11.497312047570274</v>
      </c>
      <c r="R14" s="41">
        <f>MAX(同名需求(J14,求节点(武将升星!$C$104:$C$112,武将升星!H$104:H$112,N14),I$2),武将数量星级阶位验证!AD10)</f>
        <v>0</v>
      </c>
      <c r="S14" s="29">
        <f>MAX(基础状态预期!P20:T20)</f>
        <v>1.3834377096992543</v>
      </c>
      <c r="T14" s="29">
        <f t="shared" si="10"/>
        <v>1.3834377096992543</v>
      </c>
      <c r="U14" s="29">
        <f t="shared" si="10"/>
        <v>1.3834377096992543</v>
      </c>
      <c r="V14" s="29">
        <f t="shared" si="10"/>
        <v>1.3834377096992543</v>
      </c>
      <c r="W14" s="41">
        <f>SUMIFS(武将进阶!F$13:F$18,武将进阶!$C$13:$C$18,"&lt;="&amp;T14)*H14+武将数量星级阶位验证!Q10</f>
        <v>6</v>
      </c>
      <c r="X14" s="41">
        <f>SUMIFS(武将进阶!G$13:G$18,武将进阶!$C$13:$C$18,"&lt;="&amp;U14)*I14+武将数量星级阶位验证!R10</f>
        <v>31.803757549173156</v>
      </c>
      <c r="Y14" s="41">
        <f>SUMIFS(武将进阶!H$13:H$18,武将进阶!$C$13:$C$18,"&lt;="&amp;V14)*J14+武将数量星级阶位验证!S10</f>
        <v>0</v>
      </c>
      <c r="Z14" s="41">
        <f>SUMIFS(武将进阶!I$13:I$18,武将进阶!$C$13:$C$18,"&lt;="&amp;W14)*K14+武将数量星级阶位验证!T10</f>
        <v>525</v>
      </c>
      <c r="AA14" s="29"/>
      <c r="AB14" s="29">
        <f>求节点(基础状态预期!$AT$17:$AT$55,基础状态预期!AW$17:AW$55,各r阵容卡情况!$F14)</f>
        <v>1.2643237904135596</v>
      </c>
      <c r="AC14" s="29">
        <f>求节点(基础状态预期!$AT$17:$AT$55,基础状态预期!AX$17:AX$55,各r阵容卡情况!$F14)</f>
        <v>1.2643237904135596</v>
      </c>
      <c r="AD14" s="29">
        <f>求节点(基础状态预期!$AT$17:$AT$55,基础状态预期!AY$17:AY$55,各r阵容卡情况!$F14)</f>
        <v>1.2643237904135596</v>
      </c>
      <c r="AE14" s="41">
        <f>IF(AA14&lt;1,0,(AA14-1)*武将觉醒!E$34*G14)+武将数量星级阶位验证!V10</f>
        <v>0</v>
      </c>
      <c r="AF14" s="41">
        <f>IF(AB14&lt;1,0,(AB14-1)*武将觉醒!F$34*H14)+武将数量星级阶位验证!W10</f>
        <v>2.6432379041355958</v>
      </c>
      <c r="AG14" s="41">
        <f>IF(AC14&lt;1,0,(AC14-1)*武将觉醒!G$34*I14)+武将数量星级阶位验证!X10</f>
        <v>1.5859427424813575</v>
      </c>
      <c r="AH14" s="41">
        <f>IF(AD14&lt;1,0,(AD14-1)*武将觉醒!H$34*J14)+武将数量星级阶位验证!Y10</f>
        <v>0</v>
      </c>
      <c r="AJ14" s="29">
        <f>MAX(W14+AE14+G14*(K14+1)+IF(武将数量星级阶位验证!L10="",0,武将数量星级阶位验证!L10)*武将升星!P7,O14)</f>
        <v>30</v>
      </c>
      <c r="AK14" s="29">
        <f>MAX(X14+AF14+H14*(L14+1)+IF(武将数量星级阶位验证!M10="",0,武将数量星级阶位验证!M10)*武将升星!Q7,P14)</f>
        <v>65.801511948351219</v>
      </c>
      <c r="AL14" s="64">
        <f>MAX(Y14+AG14+I14*(M14+1)+IF(武将数量星级阶位验证!N10="",0,武将数量星级阶位验证!N10)*武将升星!R7,Q14)</f>
        <v>11.497312047570274</v>
      </c>
      <c r="AM14" s="41">
        <f t="shared" si="11"/>
        <v>0</v>
      </c>
      <c r="AO14" s="17">
        <f>武将数量星级阶位验证!BJ10</f>
        <v>228.16623262249206</v>
      </c>
      <c r="AP14" s="17">
        <f>武将数量星级阶位验证!BK10</f>
        <v>73.801511948351219</v>
      </c>
      <c r="AQ14" s="63">
        <f>武将数量星级阶位验证!BL10</f>
        <v>18.537925235473779</v>
      </c>
      <c r="AR14" s="17">
        <f>武将数量星级阶位验证!BM10</f>
        <v>0</v>
      </c>
      <c r="AT14" s="17">
        <f t="shared" si="2"/>
        <v>10</v>
      </c>
      <c r="AU14" s="17">
        <f t="shared" si="3"/>
        <v>34.585942742481357</v>
      </c>
      <c r="AY14" s="17">
        <f>基础状态预期!H20</f>
        <v>0</v>
      </c>
      <c r="AZ14" s="17">
        <f>基础状态预期!I20</f>
        <v>6</v>
      </c>
      <c r="BA14" s="17">
        <f>基础状态预期!J20</f>
        <v>0</v>
      </c>
      <c r="BB14" s="62">
        <f t="shared" si="12"/>
        <v>6</v>
      </c>
      <c r="BD14" s="17">
        <v>6</v>
      </c>
      <c r="BE14" s="17">
        <v>2</v>
      </c>
      <c r="BF14" s="17">
        <v>0</v>
      </c>
      <c r="BG14" s="17">
        <v>0</v>
      </c>
      <c r="BH14" s="62">
        <f t="shared" si="13"/>
        <v>8</v>
      </c>
      <c r="BJ14" s="17">
        <f t="shared" si="14"/>
        <v>6</v>
      </c>
      <c r="BK14" s="17">
        <f t="shared" si="15"/>
        <v>2</v>
      </c>
      <c r="BL14" s="17">
        <f t="shared" si="16"/>
        <v>6</v>
      </c>
      <c r="BM14" s="17">
        <f t="shared" si="17"/>
        <v>0</v>
      </c>
      <c r="BN14" s="62">
        <f t="shared" si="18"/>
        <v>14</v>
      </c>
      <c r="BR14" s="17">
        <f>武将升星!P7*基础状态预期!G20+G14*(K14+1)+W14+AE14</f>
        <v>30</v>
      </c>
      <c r="BS14" s="17">
        <f>武将升星!Q7*基础状态预期!H20+H14*(L14+1)+X14+AF14</f>
        <v>44.700429583198833</v>
      </c>
      <c r="BT14" s="17">
        <f>武将升星!R7*基础状态预期!I20+I14*(M14+1)+Y14+AG14</f>
        <v>10.22465252531509</v>
      </c>
      <c r="BU14" s="17">
        <f>武将升星!S7*基础状态预期!J20+J14*(N14+1)+Z14+AH14</f>
        <v>525</v>
      </c>
    </row>
    <row r="15" spans="2:73" x14ac:dyDescent="0.15">
      <c r="B15" s="17">
        <v>8</v>
      </c>
      <c r="C15" s="17">
        <f t="shared" si="5"/>
        <v>10</v>
      </c>
      <c r="D15" s="17">
        <v>5</v>
      </c>
      <c r="E15" s="29">
        <f>基础状态预期!C21</f>
        <v>15</v>
      </c>
      <c r="F15" s="29">
        <f>基础状态预期!D21</f>
        <v>40</v>
      </c>
      <c r="G15" s="29">
        <f t="shared" si="6"/>
        <v>6</v>
      </c>
      <c r="H15" s="29">
        <f t="shared" si="7"/>
        <v>4</v>
      </c>
      <c r="I15" s="29">
        <f t="shared" si="8"/>
        <v>0</v>
      </c>
      <c r="J15" s="29">
        <f t="shared" si="9"/>
        <v>0</v>
      </c>
      <c r="K15" s="29">
        <f>武将战力价值情况!G11</f>
        <v>3</v>
      </c>
      <c r="L15" s="29">
        <f>武将战力价值情况!H11</f>
        <v>4.9177603991234777</v>
      </c>
      <c r="M15" s="29">
        <f>武将战力价值情况!I11</f>
        <v>0.85513377689191272</v>
      </c>
      <c r="N15" s="29">
        <f>武将战力价值情况!J11</f>
        <v>0</v>
      </c>
      <c r="O15" s="41">
        <f>MAX(同名需求(G15,求节点(武将升星!$C$104:$C$112,武将升星!E$104:E$112,K15),F$2),武将数量星级阶位验证!AA11)</f>
        <v>30</v>
      </c>
      <c r="P15" s="41">
        <f>MAX(同名需求(H15,求节点(武将升星!$C$104:$C$112,武将升星!F$104:F$112,L15),G$2),武将数量星级阶位验证!AB11)</f>
        <v>91.532811973704341</v>
      </c>
      <c r="Q15" s="41">
        <f>MAX(同名需求(I15,求节点(武将升星!$C$104:$C$112,武将升星!G$104:G$112,M15),H$2),武将数量星级阶位验证!AC11)</f>
        <v>17.102675537838255</v>
      </c>
      <c r="R15" s="41">
        <f>MAX(同名需求(J15,求节点(武将升星!$C$104:$C$112,武将升星!H$104:H$112,N15),I$2),武将数量星级阶位验证!AD11)</f>
        <v>0</v>
      </c>
      <c r="S15" s="29">
        <f>MAX(基础状态预期!P21:T21)</f>
        <v>1.6</v>
      </c>
      <c r="T15" s="29">
        <f t="shared" si="10"/>
        <v>1.6</v>
      </c>
      <c r="U15" s="29">
        <f t="shared" si="10"/>
        <v>1.6</v>
      </c>
      <c r="V15" s="29">
        <f t="shared" si="10"/>
        <v>1.6</v>
      </c>
      <c r="W15" s="41">
        <f>SUMIFS(武将进阶!F$13:F$18,武将进阶!$C$13:$C$18,"&lt;="&amp;T15)*H15+武将数量星级阶位验证!Q11</f>
        <v>12</v>
      </c>
      <c r="X15" s="41">
        <f>SUMIFS(武将进阶!G$13:G$18,武将进阶!$C$13:$C$18,"&lt;="&amp;U15)*I15+武将数量星级阶位验证!R11</f>
        <v>39.6</v>
      </c>
      <c r="Y15" s="41">
        <f>SUMIFS(武将进阶!H$13:H$18,武将进阶!$C$13:$C$18,"&lt;="&amp;V15)*J15+武将数量星级阶位验证!S11</f>
        <v>0</v>
      </c>
      <c r="Z15" s="41">
        <f>SUMIFS(武将进阶!I$13:I$18,武将进阶!$C$13:$C$18,"&lt;="&amp;W15)*K15+武将数量星级阶位验证!T11</f>
        <v>525</v>
      </c>
      <c r="AA15" s="29"/>
      <c r="AB15" s="29">
        <f>求节点(基础状态预期!$AT$17:$AT$55,基础状态预期!AW$17:AW$55,各r阵容卡情况!$F15)</f>
        <v>2</v>
      </c>
      <c r="AC15" s="29">
        <f>求节点(基础状态预期!$AT$17:$AT$55,基础状态预期!AX$17:AX$55,各r阵容卡情况!$F15)</f>
        <v>2</v>
      </c>
      <c r="AD15" s="29">
        <f>求节点(基础状态预期!$AT$17:$AT$55,基础状态预期!AY$17:AY$55,各r阵容卡情况!$F15)</f>
        <v>2</v>
      </c>
      <c r="AE15" s="41">
        <f>IF(AA15&lt;1,0,(AA15-1)*武将觉醒!E$34*G15)+武将数量星级阶位验证!V11</f>
        <v>0</v>
      </c>
      <c r="AF15" s="41">
        <f>IF(AB15&lt;1,0,(AB15-1)*武将觉醒!F$34*H15)+武将数量星级阶位验证!W11</f>
        <v>20</v>
      </c>
      <c r="AG15" s="41">
        <f>IF(AC15&lt;1,0,(AC15-1)*武将觉醒!G$34*I15)+武将数量星级阶位验证!X11</f>
        <v>6</v>
      </c>
      <c r="AH15" s="41">
        <f>IF(AD15&lt;1,0,(AD15-1)*武将觉醒!H$34*J15)+武将数量星级阶位验证!Y11</f>
        <v>0</v>
      </c>
      <c r="AJ15" s="29">
        <f>MAX(W15+AE15+G15*(K15+1)+IF(武将数量星级阶位验证!L11="",0,武将数量星级阶位验证!L11)*武将升星!P8,O15)</f>
        <v>36</v>
      </c>
      <c r="AK15" s="29">
        <f>MAX(X15+AF15+H15*(L15+1)+IF(武将数量星级阶位验证!M11="",0,武将数量星级阶位验证!M11)*武将升星!Q8,P15)</f>
        <v>91.532811973704341</v>
      </c>
      <c r="AL15" s="64">
        <f>MAX(Y15+AG15+I15*(M15+1)+IF(武将数量星级阶位验证!N11="",0,武将数量星级阶位验证!N11)*武将升星!R8,Q15)</f>
        <v>17.130802661351474</v>
      </c>
      <c r="AM15" s="41">
        <f t="shared" si="11"/>
        <v>0</v>
      </c>
      <c r="AO15" s="17">
        <f>武将数量星级阶位验证!BJ11</f>
        <v>309.73725456008259</v>
      </c>
      <c r="AP15" s="17">
        <f>武将数量星级阶位验证!BK11</f>
        <v>97.532811973704341</v>
      </c>
      <c r="AQ15" s="63">
        <f>武将数量星级阶位验证!BL11</f>
        <v>24.102978367604344</v>
      </c>
      <c r="AR15" s="17">
        <f>武将数量星级阶位验证!BM11</f>
        <v>0</v>
      </c>
      <c r="AT15" s="17">
        <f t="shared" si="2"/>
        <v>15</v>
      </c>
      <c r="AU15" s="17">
        <f t="shared" si="3"/>
        <v>40</v>
      </c>
      <c r="AY15" s="17">
        <f>基础状态预期!H21</f>
        <v>0</v>
      </c>
      <c r="AZ15" s="17">
        <f>基础状态预期!I21</f>
        <v>6</v>
      </c>
      <c r="BA15" s="17">
        <f>基础状态预期!J21</f>
        <v>0</v>
      </c>
      <c r="BB15" s="62">
        <f t="shared" si="12"/>
        <v>6</v>
      </c>
      <c r="BD15" s="17">
        <v>6</v>
      </c>
      <c r="BE15" s="17">
        <v>4</v>
      </c>
      <c r="BF15" s="17">
        <v>0</v>
      </c>
      <c r="BG15" s="17">
        <v>0</v>
      </c>
      <c r="BH15" s="62">
        <f t="shared" si="13"/>
        <v>10</v>
      </c>
      <c r="BJ15" s="17">
        <f t="shared" si="14"/>
        <v>6</v>
      </c>
      <c r="BK15" s="17">
        <f t="shared" si="15"/>
        <v>4</v>
      </c>
      <c r="BL15" s="17">
        <f t="shared" si="16"/>
        <v>6</v>
      </c>
      <c r="BM15" s="17">
        <f t="shared" si="17"/>
        <v>0</v>
      </c>
      <c r="BN15" s="62">
        <f t="shared" si="18"/>
        <v>16</v>
      </c>
      <c r="BR15" s="17">
        <f>武将升星!P8*基础状态预期!G21+G15*(K15+1)+W15+AE15</f>
        <v>36</v>
      </c>
      <c r="BS15" s="17">
        <f>武将升星!Q8*基础状态预期!H21+H15*(L15+1)+X15+AF15</f>
        <v>83.271041596493916</v>
      </c>
      <c r="BT15" s="17">
        <f>武将升星!R8*基础状态预期!I21+I15*(M15+1)+Y15+AG15</f>
        <v>17.130802661351474</v>
      </c>
      <c r="BU15" s="17">
        <f>武将升星!S8*基础状态预期!J21+J15*(N15+1)+Z15+AH15</f>
        <v>525</v>
      </c>
    </row>
    <row r="16" spans="2:73" x14ac:dyDescent="0.15">
      <c r="B16" s="17">
        <v>9</v>
      </c>
      <c r="C16" s="17">
        <f t="shared" si="5"/>
        <v>12</v>
      </c>
      <c r="D16" s="17">
        <v>6</v>
      </c>
      <c r="E16" s="29">
        <f>基础状态预期!C22</f>
        <v>20</v>
      </c>
      <c r="F16" s="29">
        <f>基础状态预期!D22</f>
        <v>43.920692243099523</v>
      </c>
      <c r="G16" s="29">
        <f t="shared" si="6"/>
        <v>6</v>
      </c>
      <c r="H16" s="29">
        <f t="shared" si="7"/>
        <v>6</v>
      </c>
      <c r="I16" s="29">
        <f t="shared" si="8"/>
        <v>0</v>
      </c>
      <c r="J16" s="29">
        <f t="shared" si="9"/>
        <v>0</v>
      </c>
      <c r="K16" s="29">
        <f>武将战力价值情况!G12</f>
        <v>3</v>
      </c>
      <c r="L16" s="29">
        <f>武将战力价值情况!H12</f>
        <v>5.6965918616965885</v>
      </c>
      <c r="M16" s="29">
        <f>武将战力价值情况!I12</f>
        <v>1.2620106040520085</v>
      </c>
      <c r="N16" s="29">
        <f>武将战力价值情况!J12</f>
        <v>0</v>
      </c>
      <c r="O16" s="41">
        <f>MAX(同名需求(G16,求节点(武将升星!$C$104:$C$112,武将升星!E$104:E$112,K16),F$2),武将数量星级阶位验证!AA12)</f>
        <v>30</v>
      </c>
      <c r="P16" s="41">
        <f>MAX(同名需求(H16,求节点(武将升星!$C$104:$C$112,武将升星!F$104:F$112,L16),G$2),武将数量星级阶位验证!AB12)</f>
        <v>116.89775585089765</v>
      </c>
      <c r="Q16" s="41">
        <f>MAX(同名需求(I16,求节点(武将升星!$C$104:$C$112,武将升星!G$104:G$112,M16),H$2),武将数量星级阶位验证!AC12)</f>
        <v>25.24021208104017</v>
      </c>
      <c r="R16" s="41">
        <f>MAX(同名需求(J16,求节点(武将升星!$C$104:$C$112,武将升星!H$104:H$112,N16),I$2),武将数量星级阶位验证!AD12)</f>
        <v>0</v>
      </c>
      <c r="S16" s="29">
        <f>MAX(基础状态预期!P22:T22)</f>
        <v>1.756827689723981</v>
      </c>
      <c r="T16" s="29">
        <f t="shared" si="10"/>
        <v>1.756827689723981</v>
      </c>
      <c r="U16" s="29">
        <f t="shared" si="10"/>
        <v>1.756827689723981</v>
      </c>
      <c r="V16" s="29">
        <f t="shared" si="10"/>
        <v>1.756827689723981</v>
      </c>
      <c r="W16" s="41">
        <f>SUMIFS(武将进阶!F$13:F$18,武将进阶!$C$13:$C$18,"&lt;="&amp;T16)*H16+武将数量星级阶位验证!Q12</f>
        <v>18</v>
      </c>
      <c r="X16" s="41">
        <f>SUMIFS(武将进阶!G$13:G$18,武将进阶!$C$13:$C$18,"&lt;="&amp;U16)*I16+武将数量星级阶位验证!R12</f>
        <v>45.245796830063313</v>
      </c>
      <c r="Y16" s="41">
        <f>SUMIFS(武将进阶!H$13:H$18,武将进阶!$C$13:$C$18,"&lt;="&amp;V16)*J16+武将数量星级阶位验证!S12</f>
        <v>0</v>
      </c>
      <c r="Z16" s="41">
        <f>SUMIFS(武将进阶!I$13:I$18,武将进阶!$C$13:$C$18,"&lt;="&amp;W16)*K16+武将数量星级阶位验证!T12</f>
        <v>525</v>
      </c>
      <c r="AA16" s="29"/>
      <c r="AB16" s="29">
        <f>求节点(基础状态预期!$AT$17:$AT$55,基础状态预期!AW$17:AW$55,各r阵容卡情况!$F16)</f>
        <v>2</v>
      </c>
      <c r="AC16" s="29">
        <f>求节点(基础状态预期!$AT$17:$AT$55,基础状态预期!AX$17:AX$55,各r阵容卡情况!$F16)</f>
        <v>2</v>
      </c>
      <c r="AD16" s="29">
        <f>求节点(基础状态预期!$AT$17:$AT$55,基础状态预期!AY$17:AY$55,各r阵容卡情况!$F16)</f>
        <v>2</v>
      </c>
      <c r="AE16" s="41">
        <f>IF(AA16&lt;1,0,(AA16-1)*武将觉醒!E$34*G16)+武将数量星级阶位验证!V12</f>
        <v>0</v>
      </c>
      <c r="AF16" s="41">
        <f>IF(AB16&lt;1,0,(AB16-1)*武将觉醒!F$34*H16)+武将数量星级阶位验证!W12</f>
        <v>30</v>
      </c>
      <c r="AG16" s="41">
        <f>IF(AC16&lt;1,0,(AC16-1)*武将觉醒!G$34*I16)+武将数量星级阶位验证!X12</f>
        <v>6</v>
      </c>
      <c r="AH16" s="41">
        <f>IF(AD16&lt;1,0,(AD16-1)*武将觉醒!H$34*J16)+武将数量星级阶位验证!Y12</f>
        <v>0</v>
      </c>
      <c r="AJ16" s="29">
        <f>MAX(W16+AE16+G16*(K16+1)+IF(武将数量星级阶位验证!L12="",0,武将数量星级阶位验证!L12)*武将升星!P9,O16)</f>
        <v>42</v>
      </c>
      <c r="AK16" s="29">
        <f>MAX(X16+AF16+H16*(L16+1)+IF(武将数量星级阶位验证!M12="",0,武将数量星级阶位验证!M12)*武将升星!Q9,P16)</f>
        <v>116.89775585089765</v>
      </c>
      <c r="AL16" s="64">
        <f>MAX(Y16+AG16+I16*(M16+1)+IF(武将数量星级阶位验证!N12="",0,武将数量星级阶位验证!N12)*武将升星!R9,Q16)</f>
        <v>25.24021208104017</v>
      </c>
      <c r="AM16" s="41">
        <f t="shared" si="11"/>
        <v>0</v>
      </c>
      <c r="AO16" s="17">
        <f>武将数量星级阶位验证!BJ12</f>
        <v>390.40383475690362</v>
      </c>
      <c r="AP16" s="17">
        <f>武将数量星级阶位验证!BK12</f>
        <v>120.89775585089767</v>
      </c>
      <c r="AQ16" s="63">
        <f>武将数量星级阶位验证!BL12</f>
        <v>29.564993833064964</v>
      </c>
      <c r="AR16" s="17">
        <f>武将数量星级阶位验证!BM12</f>
        <v>0</v>
      </c>
      <c r="AT16" s="17">
        <f t="shared" si="2"/>
        <v>20</v>
      </c>
      <c r="AU16" s="17">
        <f t="shared" si="3"/>
        <v>43.920692243099523</v>
      </c>
      <c r="AY16" s="17">
        <f>基础状态预期!H22</f>
        <v>0</v>
      </c>
      <c r="AZ16" s="17">
        <f>基础状态预期!I22</f>
        <v>6</v>
      </c>
      <c r="BA16" s="17">
        <f>基础状态预期!J22</f>
        <v>0</v>
      </c>
      <c r="BB16" s="62">
        <f t="shared" si="12"/>
        <v>6</v>
      </c>
      <c r="BD16" s="17">
        <v>6</v>
      </c>
      <c r="BE16" s="17">
        <v>6</v>
      </c>
      <c r="BF16" s="17">
        <v>0</v>
      </c>
      <c r="BG16" s="17">
        <v>0</v>
      </c>
      <c r="BH16" s="62">
        <f t="shared" si="13"/>
        <v>12</v>
      </c>
      <c r="BJ16" s="17">
        <f t="shared" si="14"/>
        <v>6</v>
      </c>
      <c r="BK16" s="17">
        <f t="shared" si="15"/>
        <v>6</v>
      </c>
      <c r="BL16" s="17">
        <f t="shared" si="16"/>
        <v>6</v>
      </c>
      <c r="BM16" s="17">
        <f t="shared" si="17"/>
        <v>0</v>
      </c>
      <c r="BN16" s="62">
        <f t="shared" si="18"/>
        <v>18</v>
      </c>
      <c r="BR16" s="17">
        <f>武将升星!P9*基础状态预期!G22+G16*(K16+1)+W16+AE16</f>
        <v>42</v>
      </c>
      <c r="BS16" s="17">
        <f>武将升星!Q9*基础状态预期!H22+H16*(L16+1)+X16+AF16</f>
        <v>115.42534800024285</v>
      </c>
      <c r="BT16" s="17">
        <f>武将升星!R9*基础状态预期!I22+I16*(M16+1)+Y16+AG16</f>
        <v>19.572063624312051</v>
      </c>
      <c r="BU16" s="17">
        <f>武将升星!S9*基础状态预期!J22+J16*(N16+1)+Z16+AH16</f>
        <v>525</v>
      </c>
    </row>
    <row r="17" spans="2:73" x14ac:dyDescent="0.15">
      <c r="B17" s="17">
        <v>10</v>
      </c>
      <c r="C17" s="17">
        <f t="shared" si="5"/>
        <v>14</v>
      </c>
      <c r="D17" s="17">
        <v>7</v>
      </c>
      <c r="E17" s="29">
        <f>基础状态预期!C23</f>
        <v>30</v>
      </c>
      <c r="F17" s="29">
        <f>基础状态预期!D23</f>
        <v>49.533352307096472</v>
      </c>
      <c r="G17" s="29">
        <f t="shared" si="6"/>
        <v>6</v>
      </c>
      <c r="H17" s="29">
        <f t="shared" si="7"/>
        <v>8</v>
      </c>
      <c r="I17" s="29">
        <f t="shared" si="8"/>
        <v>0</v>
      </c>
      <c r="J17" s="29">
        <f t="shared" si="9"/>
        <v>0</v>
      </c>
      <c r="K17" s="29">
        <f>武将战力价值情况!G13</f>
        <v>3</v>
      </c>
      <c r="L17" s="29">
        <f>武将战力价值情况!H13</f>
        <v>6</v>
      </c>
      <c r="M17" s="29">
        <f>武将战力价值情况!I13</f>
        <v>1.9889010593801029</v>
      </c>
      <c r="N17" s="29">
        <f>武将战力价值情况!J13</f>
        <v>0</v>
      </c>
      <c r="O17" s="41">
        <f>MAX(同名需求(G17,求节点(武将升星!$C$104:$C$112,武将升星!E$104:E$112,K17),F$2),武将数量星级阶位验证!AA13)</f>
        <v>30</v>
      </c>
      <c r="P17" s="41">
        <f>MAX(同名需求(H17,求节点(武将升星!$C$104:$C$112,武将升星!F$104:F$112,L17),G$2),武将数量星级阶位验证!AB13)</f>
        <v>128</v>
      </c>
      <c r="Q17" s="41">
        <f>MAX(同名需求(I17,求节点(武将升星!$C$104:$C$112,武将升星!G$104:G$112,M17),H$2),武将数量星级阶位验证!AC13)</f>
        <v>39.778021187602057</v>
      </c>
      <c r="R17" s="41">
        <f>MAX(同名需求(J17,求节点(武将升星!$C$104:$C$112,武将升星!H$104:H$112,N17),I$2),武将数量星级阶位验证!AD13)</f>
        <v>0</v>
      </c>
      <c r="S17" s="29">
        <f>MAX(基础状态预期!P23:T23)</f>
        <v>1.9813340922838589</v>
      </c>
      <c r="T17" s="29">
        <f t="shared" si="10"/>
        <v>1.9813340922838589</v>
      </c>
      <c r="U17" s="29">
        <f t="shared" si="10"/>
        <v>1.9813340922838589</v>
      </c>
      <c r="V17" s="29">
        <f t="shared" si="10"/>
        <v>1.9813340922838589</v>
      </c>
      <c r="W17" s="41">
        <f>SUMIFS(武将进阶!F$13:F$18,武将进阶!$C$13:$C$18,"&lt;="&amp;T17)*H17+武将数量星级阶位验证!Q13</f>
        <v>24</v>
      </c>
      <c r="X17" s="41">
        <f>SUMIFS(武将进阶!G$13:G$18,武将进阶!$C$13:$C$18,"&lt;="&amp;U17)*I17+武将数量星级阶位验证!R13</f>
        <v>53.328027322218915</v>
      </c>
      <c r="Y17" s="41">
        <f>SUMIFS(武将进阶!H$13:H$18,武将进阶!$C$13:$C$18,"&lt;="&amp;V17)*J17+武将数量星级阶位验证!S13</f>
        <v>0</v>
      </c>
      <c r="Z17" s="41">
        <f>SUMIFS(武将进阶!I$13:I$18,武将进阶!$C$13:$C$18,"&lt;="&amp;W17)*K17+武将数量星级阶位验证!T13</f>
        <v>525</v>
      </c>
      <c r="AA17" s="29"/>
      <c r="AB17" s="29">
        <f>求节点(基础状态预期!$AT$17:$AT$55,基础状态预期!AW$17:AW$55,各r阵容卡情况!$F17)</f>
        <v>2</v>
      </c>
      <c r="AC17" s="29">
        <f>求节点(基础状态预期!$AT$17:$AT$55,基础状态预期!AX$17:AX$55,各r阵容卡情况!$F17)</f>
        <v>2</v>
      </c>
      <c r="AD17" s="29">
        <f>求节点(基础状态预期!$AT$17:$AT$55,基础状态预期!AY$17:AY$55,各r阵容卡情况!$F17)</f>
        <v>2</v>
      </c>
      <c r="AE17" s="41">
        <f>IF(AA17&lt;1,0,(AA17-1)*武将觉醒!E$34*G17)+武将数量星级阶位验证!V13</f>
        <v>0</v>
      </c>
      <c r="AF17" s="41">
        <f>IF(AB17&lt;1,0,(AB17-1)*武将觉醒!F$34*H17)+武将数量星级阶位验证!W13</f>
        <v>40</v>
      </c>
      <c r="AG17" s="41">
        <f>IF(AC17&lt;1,0,(AC17-1)*武将觉醒!G$34*I17)+武将数量星级阶位验证!X13</f>
        <v>6</v>
      </c>
      <c r="AH17" s="41">
        <f>IF(AD17&lt;1,0,(AD17-1)*武将觉醒!H$34*J17)+武将数量星级阶位验证!Y13</f>
        <v>0</v>
      </c>
      <c r="AJ17" s="29">
        <f>MAX(W17+AE17+G17*(K17+1)+IF(武将数量星级阶位验证!L13="",0,武将数量星级阶位验证!L13)*武将升星!P10,O17)</f>
        <v>48</v>
      </c>
      <c r="AK17" s="29">
        <f>MAX(X17+AF17+H17*(L17+1)+IF(武将数量星级阶位验证!M13="",0,武将数量星级阶位验证!M13)*武将升星!Q10,P17)</f>
        <v>149.32802732221893</v>
      </c>
      <c r="AL17" s="64">
        <f>MAX(Y17+AG17+I17*(M17+1)+IF(武将数量星级阶位验证!N13="",0,武将数量星级阶位验证!N13)*武将升星!R10,Q17)</f>
        <v>39.778021187602057</v>
      </c>
      <c r="AM17" s="41">
        <f t="shared" si="11"/>
        <v>0</v>
      </c>
      <c r="AO17" s="17">
        <f>武将数量星级阶位验证!BJ13</f>
        <v>546.11764513251637</v>
      </c>
      <c r="AP17" s="17">
        <f>武将数量星级阶位验证!BK13</f>
        <v>166.10863525909821</v>
      </c>
      <c r="AQ17" s="63">
        <f>武将数量星级阶位验证!BL13</f>
        <v>39.665285874388744</v>
      </c>
      <c r="AR17" s="17">
        <f>武将数量星级阶位验证!BM13</f>
        <v>0.24319757923601454</v>
      </c>
      <c r="AT17" s="17">
        <f t="shared" si="2"/>
        <v>30</v>
      </c>
      <c r="AU17" s="17">
        <f t="shared" si="3"/>
        <v>49.533352307096472</v>
      </c>
      <c r="AZ17" s="17">
        <f>基础状态预期!I23</f>
        <v>6</v>
      </c>
      <c r="BA17" s="17">
        <f>基础状态预期!J23</f>
        <v>0</v>
      </c>
      <c r="BB17" s="62">
        <f t="shared" si="12"/>
        <v>6</v>
      </c>
      <c r="BD17" s="17">
        <v>6</v>
      </c>
      <c r="BE17" s="17">
        <v>8</v>
      </c>
      <c r="BF17" s="17">
        <v>0</v>
      </c>
      <c r="BG17" s="17">
        <v>0</v>
      </c>
      <c r="BH17" s="62">
        <f t="shared" si="13"/>
        <v>14</v>
      </c>
      <c r="BJ17" s="17">
        <f t="shared" si="14"/>
        <v>6</v>
      </c>
      <c r="BK17" s="17">
        <f t="shared" si="15"/>
        <v>8</v>
      </c>
      <c r="BL17" s="17">
        <f t="shared" si="16"/>
        <v>6</v>
      </c>
      <c r="BM17" s="17">
        <f t="shared" si="17"/>
        <v>0</v>
      </c>
      <c r="BN17" s="62">
        <f t="shared" si="18"/>
        <v>20</v>
      </c>
      <c r="BR17" s="17">
        <f>武将升星!P10*基础状态预期!G23+G17*(K17+1)+W17+AE17</f>
        <v>48</v>
      </c>
      <c r="BS17" s="17">
        <f>武将升星!Q10*基础状态预期!H23+H17*(L17+1)+X17+AF17</f>
        <v>149.32802732221893</v>
      </c>
      <c r="BT17" s="17">
        <f>武将升星!R10*基础状态预期!I23+I17*(M17+1)+Y17+AG17</f>
        <v>23.933406356280617</v>
      </c>
      <c r="BU17" s="17">
        <f>武将升星!S10*基础状态预期!J23+J17*(N17+1)+Z17+AH17</f>
        <v>525</v>
      </c>
    </row>
    <row r="18" spans="2:73" x14ac:dyDescent="0.15">
      <c r="B18" s="17">
        <v>11</v>
      </c>
      <c r="C18" s="17">
        <f t="shared" si="5"/>
        <v>16</v>
      </c>
      <c r="D18" s="17">
        <v>8</v>
      </c>
      <c r="E18" s="29">
        <f>基础状态预期!C24</f>
        <v>40</v>
      </c>
      <c r="F18" s="29">
        <f>基础状态预期!D24</f>
        <v>53.567039423670657</v>
      </c>
      <c r="G18" s="29">
        <f t="shared" si="6"/>
        <v>6</v>
      </c>
      <c r="H18" s="29">
        <f t="shared" si="7"/>
        <v>10</v>
      </c>
      <c r="I18" s="29">
        <v>0</v>
      </c>
      <c r="J18" s="29">
        <f t="shared" si="9"/>
        <v>0</v>
      </c>
      <c r="K18" s="29">
        <f>武将战力价值情况!G14</f>
        <v>3</v>
      </c>
      <c r="L18" s="29">
        <f>武将战力价值情况!H14</f>
        <v>6</v>
      </c>
      <c r="M18" s="29">
        <f>武将战力价值情况!I14</f>
        <v>2.6685296853863125</v>
      </c>
      <c r="N18" s="29">
        <f>武将战力价值情况!J14</f>
        <v>0</v>
      </c>
      <c r="O18" s="41">
        <f>MAX(同名需求(G18,求节点(武将升星!$C$104:$C$112,武将升星!E$104:E$112,K18),F$2),武将数量星级阶位验证!AA14)</f>
        <v>30</v>
      </c>
      <c r="P18" s="41">
        <f>MAX(同名需求(H18,求节点(武将升星!$C$104:$C$112,武将升星!F$104:F$112,L18),G$2),武将数量星级阶位验证!AB14)</f>
        <v>130</v>
      </c>
      <c r="Q18" s="41">
        <f>MAX(同名需求(I18,求节点(武将升星!$C$104:$C$112,武将升星!G$104:G$112,M18),H$2),武将数量星级阶位验证!AC14)</f>
        <v>53.37059370772625</v>
      </c>
      <c r="R18" s="41">
        <f>MAX(同名需求(J18,求节点(武将升星!$C$104:$C$112,武将升星!H$104:H$112,N18),I$2),武将数量星级阶位验证!AD14)</f>
        <v>1</v>
      </c>
      <c r="S18" s="29">
        <f>MAX(基础状态预期!P24:T24)</f>
        <v>2.1426815769468264</v>
      </c>
      <c r="T18" s="29">
        <f t="shared" si="10"/>
        <v>2.1426815769468264</v>
      </c>
      <c r="U18" s="29">
        <f t="shared" si="10"/>
        <v>2.1426815769468264</v>
      </c>
      <c r="V18" s="29">
        <f t="shared" si="10"/>
        <v>2.1426815769468264</v>
      </c>
      <c r="W18" s="41">
        <f>SUMIFS(武将进阶!F$13:F$18,武将进阶!$C$13:$C$18,"&lt;="&amp;T18)*H18+武将数量星级阶位验证!Q14</f>
        <v>90</v>
      </c>
      <c r="X18" s="41">
        <f>SUMIFS(武将进阶!G$13:G$18,武将进阶!$C$13:$C$18,"&lt;="&amp;U18)*I18+武将数量星级阶位验证!R14</f>
        <v>53.560894616809584</v>
      </c>
      <c r="Y18" s="41">
        <f>SUMIFS(武将进阶!H$13:H$18,武将进阶!$C$13:$C$18,"&lt;="&amp;V18)*J18+武将数量星级阶位验证!S14</f>
        <v>11.568268385042874</v>
      </c>
      <c r="Z18" s="41">
        <f>SUMIFS(武将进阶!I$13:I$18,武将进阶!$C$13:$C$18,"&lt;="&amp;W18)*K18+武将数量星级阶位验证!T14</f>
        <v>525</v>
      </c>
      <c r="AA18" s="29"/>
      <c r="AB18" s="29">
        <f>求节点(基础状态预期!$AT$17:$AT$55,基础状态预期!AW$17:AW$55,各r阵容卡情况!$F18)</f>
        <v>2</v>
      </c>
      <c r="AC18" s="29">
        <v>1</v>
      </c>
      <c r="AD18" s="29">
        <f>求节点(基础状态预期!$AT$17:$AT$55,基础状态预期!AY$17:AY$55,各r阵容卡情况!$F18)</f>
        <v>2</v>
      </c>
      <c r="AE18" s="41">
        <f>IF(AA18&lt;1,0,(AA18-1)*武将觉醒!E$34*G18)+武将数量星级阶位验证!V14</f>
        <v>0</v>
      </c>
      <c r="AF18" s="41">
        <f>IF(AB18&lt;1,0,(AB18-1)*武将觉醒!F$34*H18)+武将数量星级阶位验证!W14</f>
        <v>50</v>
      </c>
      <c r="AG18" s="41">
        <f>IF(AC18&lt;1,0,(AC18-1)*武将觉醒!G$34*I18)+武将数量星级阶位验证!X14</f>
        <v>8</v>
      </c>
      <c r="AH18" s="41">
        <f>IF(AD18&lt;1,0,(AD18-1)*武将觉醒!H$34*J18)+武将数量星级阶位验证!Y14</f>
        <v>0</v>
      </c>
      <c r="AJ18" s="29">
        <f>MAX(W18+AE18+G18*(K18+1)+IF(武将数量星级阶位验证!L14="",0,武将数量星级阶位验证!L14)*武将升星!P11,O18)</f>
        <v>114</v>
      </c>
      <c r="AK18" s="29">
        <f>MAX(X18+AF18+H18*(L18+1)+IF(武将数量星级阶位验证!M14="",0,武将数量星级阶位验证!M14)*武将升星!Q11,P18)</f>
        <v>173.56089461680958</v>
      </c>
      <c r="AL18" s="64">
        <f>MAX(Y18+AG18+I18*(M18+1)+IF(武将数量星级阶位验证!N14="",0,武将数量星级阶位验证!N14)*武将升星!R11,Q18)</f>
        <v>53.37059370772625</v>
      </c>
      <c r="AM18" s="41">
        <f t="shared" si="11"/>
        <v>1</v>
      </c>
      <c r="AO18" s="17">
        <f>武将数量星级阶位验证!BJ14</f>
        <v>700.49475822817931</v>
      </c>
      <c r="AP18" s="17">
        <f>武将数量星级阶位验证!BK14</f>
        <v>211.54663657921037</v>
      </c>
      <c r="AQ18" s="63">
        <f>武将数量星级阶位验证!BL14</f>
        <v>49.42697621101734</v>
      </c>
      <c r="AR18" s="17">
        <f>武将数量星级阶位验证!BM14</f>
        <v>0.73324940048982001</v>
      </c>
      <c r="AT18" s="17">
        <f t="shared" si="2"/>
        <v>40</v>
      </c>
      <c r="AU18" s="17">
        <f t="shared" si="3"/>
        <v>53.567039423670657</v>
      </c>
      <c r="AZ18" s="17">
        <f>基础状态预期!I24</f>
        <v>5</v>
      </c>
      <c r="BA18" s="17">
        <f>基础状态预期!J24</f>
        <v>1</v>
      </c>
      <c r="BB18" s="62">
        <f t="shared" si="12"/>
        <v>6</v>
      </c>
      <c r="BD18" s="17">
        <v>6</v>
      </c>
      <c r="BE18" s="17">
        <v>10</v>
      </c>
      <c r="BF18" s="17">
        <v>1</v>
      </c>
      <c r="BG18" s="17">
        <v>0</v>
      </c>
      <c r="BH18" s="62">
        <f t="shared" si="13"/>
        <v>17</v>
      </c>
      <c r="BJ18" s="17">
        <f t="shared" si="14"/>
        <v>6</v>
      </c>
      <c r="BK18" s="17">
        <f t="shared" si="15"/>
        <v>10</v>
      </c>
      <c r="BL18" s="17">
        <f t="shared" si="16"/>
        <v>6</v>
      </c>
      <c r="BM18" s="17">
        <f t="shared" si="17"/>
        <v>1</v>
      </c>
      <c r="BN18" s="62">
        <f t="shared" si="18"/>
        <v>23</v>
      </c>
      <c r="BR18" s="17">
        <f>武将升星!P11*基础状态预期!G24+G18*(K18+1)+W18+AE18</f>
        <v>114</v>
      </c>
      <c r="BS18" s="17">
        <f>武将升星!Q11*基础状态预期!H24+H18*(L18+1)+X18+AF18</f>
        <v>173.56089461680958</v>
      </c>
      <c r="BT18" s="17">
        <f>武将升星!R11*基础状态预期!I24+I18*(M18+1)+Y18+AG18</f>
        <v>37.910916811974431</v>
      </c>
      <c r="BU18" s="17">
        <f>武将升星!S11*基础状态预期!J24+J18*(N18+1)+Z18+AH18</f>
        <v>526</v>
      </c>
    </row>
    <row r="19" spans="2:73" x14ac:dyDescent="0.15">
      <c r="B19" s="17">
        <v>12</v>
      </c>
      <c r="C19" s="17">
        <f t="shared" si="5"/>
        <v>20</v>
      </c>
      <c r="D19" s="17">
        <v>9</v>
      </c>
      <c r="E19" s="29">
        <f>基础状态预期!C25</f>
        <v>60</v>
      </c>
      <c r="F19" s="29">
        <f>基础状态预期!D25</f>
        <v>59.300028460644697</v>
      </c>
      <c r="G19" s="29">
        <f t="shared" si="6"/>
        <v>6</v>
      </c>
      <c r="H19" s="29">
        <f t="shared" si="7"/>
        <v>13</v>
      </c>
      <c r="I19" s="29">
        <f t="shared" si="8"/>
        <v>1</v>
      </c>
      <c r="J19" s="29">
        <f t="shared" si="9"/>
        <v>0</v>
      </c>
      <c r="K19" s="29">
        <f>武将战力价值情况!G15</f>
        <v>3</v>
      </c>
      <c r="L19" s="29">
        <f>武将战力价值情况!H15</f>
        <v>6</v>
      </c>
      <c r="M19" s="29">
        <f>武将战力价值情况!I15</f>
        <v>3.3339508197876575</v>
      </c>
      <c r="N19" s="29">
        <f>武将战力价值情况!J15</f>
        <v>0.52661512620567796</v>
      </c>
      <c r="O19" s="41">
        <f>MAX(同名需求(G19,求节点(武将升星!$C$104:$C$112,武将升星!E$104:E$112,K19),F$2),武将数量星级阶位验证!AA15)</f>
        <v>30</v>
      </c>
      <c r="P19" s="41">
        <f>MAX(同名需求(H19,求节点(武将升星!$C$104:$C$112,武将升星!F$104:F$112,L19),G$2),武将数量星级阶位验证!AB15)</f>
        <v>253</v>
      </c>
      <c r="Q19" s="41">
        <f>MAX(同名需求(I19,求节点(武将升星!$C$104:$C$112,武将升星!G$104:G$112,M19),H$2),武将数量星级阶位验证!AC15)</f>
        <v>74.358032791506304</v>
      </c>
      <c r="R19" s="41">
        <f>MAX(同名需求(J19,求节点(武将升星!$C$104:$C$112,武将升星!H$104:H$112,N19),I$2),武将数量星级阶位验证!AD15)</f>
        <v>3.0532302524113559</v>
      </c>
      <c r="S19" s="29">
        <f>MAX(基础状态预期!P25:T25)</f>
        <v>2.3720011384257877</v>
      </c>
      <c r="T19" s="29">
        <f t="shared" si="10"/>
        <v>2.3720011384257877</v>
      </c>
      <c r="U19" s="29">
        <f t="shared" si="10"/>
        <v>2.3720011384257877</v>
      </c>
      <c r="V19" s="29">
        <f t="shared" si="10"/>
        <v>2.3720011384257877</v>
      </c>
      <c r="W19" s="41">
        <f>SUMIFS(武将进阶!F$13:F$18,武将进阶!$C$13:$C$18,"&lt;="&amp;T19)*H19+武将数量星级阶位验证!Q15</f>
        <v>117</v>
      </c>
      <c r="X19" s="41">
        <f>SUMIFS(武将进阶!G$13:G$18,武将进阶!$C$13:$C$18,"&lt;="&amp;U19)*I19+武将数量星级阶位验证!R15</f>
        <v>62.856054644437812</v>
      </c>
      <c r="Y19" s="41">
        <f>SUMIFS(武将进阶!H$13:H$18,武将进阶!$C$13:$C$18,"&lt;="&amp;V19)*J19+武将数量星级阶位验证!S15</f>
        <v>31.392040983328357</v>
      </c>
      <c r="Z19" s="41">
        <f>SUMIFS(武将进阶!I$13:I$18,武将进阶!$C$13:$C$18,"&lt;="&amp;W19)*K19+武将数量星级阶位验证!T15</f>
        <v>525</v>
      </c>
      <c r="AA19" s="29"/>
      <c r="AB19" s="29">
        <f>求节点(基础状态预期!$AT$17:$AT$55,基础状态预期!AW$17:AW$55,各r阵容卡情况!$F19)</f>
        <v>2</v>
      </c>
      <c r="AC19" s="29">
        <f>求节点(基础状态预期!$AT$17:$AT$55,基础状态预期!AX$17:AX$55,各r阵容卡情况!$F19)</f>
        <v>2</v>
      </c>
      <c r="AD19" s="29">
        <f>求节点(基础状态预期!$AT$17:$AT$55,基础状态预期!AY$17:AY$55,各r阵容卡情况!$F19)</f>
        <v>2</v>
      </c>
      <c r="AE19" s="41">
        <f>IF(AA19&lt;1,0,(AA19-1)*武将觉醒!E$34*G19)+武将数量星级阶位验证!V15</f>
        <v>0</v>
      </c>
      <c r="AF19" s="41">
        <f>IF(AB19&lt;1,0,(AB19-1)*武将觉醒!F$34*H19)+武将数量星级阶位验证!W15</f>
        <v>65</v>
      </c>
      <c r="AG19" s="41">
        <f>IF(AC19&lt;1,0,(AC19-1)*武将觉醒!G$34*I19)+武将数量星级阶位验证!X15</f>
        <v>11</v>
      </c>
      <c r="AH19" s="41">
        <f>IF(AD19&lt;1,0,(AD19-1)*武将觉醒!H$34*J19)+武将数量星级阶位验证!Y15</f>
        <v>0</v>
      </c>
      <c r="AJ19" s="29">
        <f>MAX(W19+AE19+G19*(K19+1)+IF(武将数量星级阶位验证!L15="",0,武将数量星级阶位验证!L15)*武将升星!P12,O19)</f>
        <v>141</v>
      </c>
      <c r="AK19" s="29">
        <f>MAX(X19+AF19+H19*(L19+1)+IF(武将数量星级阶位验证!M15="",0,武将数量星级阶位验证!M15)*武将升星!Q12,P19)</f>
        <v>253</v>
      </c>
      <c r="AL19" s="64">
        <f>MAX(Y19+AG19+I19*(M19+1)+IF(武将数量星级阶位验证!N15="",0,武将数量星级阶位验证!N15)*武将升星!R12,Q19)</f>
        <v>74.358032791506304</v>
      </c>
      <c r="AM19" s="41">
        <f t="shared" si="11"/>
        <v>3.0532302524113559</v>
      </c>
      <c r="AO19" s="17">
        <f>武将数量星级阶位验证!BJ15</f>
        <v>990.95956946092633</v>
      </c>
      <c r="AP19" s="17">
        <f>武将数量星级阶位验证!BK15</f>
        <v>299.18591240334791</v>
      </c>
      <c r="AQ19" s="63">
        <f>武将数量星级阶位验证!BL15</f>
        <v>65.855445060596992</v>
      </c>
      <c r="AR19" s="17">
        <f>武将数量星级阶位验证!BM15</f>
        <v>3.0532302524113559</v>
      </c>
      <c r="AT19" s="17">
        <f t="shared" si="2"/>
        <v>60</v>
      </c>
      <c r="AU19" s="17">
        <f t="shared" si="3"/>
        <v>59.300028460644697</v>
      </c>
      <c r="AZ19" s="17">
        <f>基础状态预期!I25</f>
        <v>4</v>
      </c>
      <c r="BA19" s="17">
        <f>基础状态预期!J25</f>
        <v>2</v>
      </c>
      <c r="BB19" s="62">
        <f t="shared" si="12"/>
        <v>6</v>
      </c>
      <c r="BD19" s="17">
        <v>6</v>
      </c>
      <c r="BE19" s="17">
        <v>13</v>
      </c>
      <c r="BF19" s="17">
        <v>1</v>
      </c>
      <c r="BG19" s="17">
        <v>0</v>
      </c>
      <c r="BH19" s="62">
        <f t="shared" si="13"/>
        <v>20</v>
      </c>
      <c r="BJ19" s="17">
        <f t="shared" si="14"/>
        <v>6</v>
      </c>
      <c r="BK19" s="17">
        <f t="shared" si="15"/>
        <v>13</v>
      </c>
      <c r="BL19" s="17">
        <f t="shared" si="16"/>
        <v>5</v>
      </c>
      <c r="BM19" s="17">
        <f t="shared" si="17"/>
        <v>2</v>
      </c>
      <c r="BN19" s="62">
        <f t="shared" si="18"/>
        <v>26</v>
      </c>
      <c r="BR19" s="17">
        <f>武将升星!P12*基础状态预期!G25+G19*(K19+1)+W19+AE19</f>
        <v>141</v>
      </c>
      <c r="BS19" s="17">
        <f>武将升星!Q12*基础状态预期!H25+H19*(L19+1)+X19+AF19</f>
        <v>218.85605464443782</v>
      </c>
      <c r="BT19" s="17">
        <f>武将升星!R12*基础状态预期!I25+I19*(M19+1)+Y19+AG19</f>
        <v>65.397598361417266</v>
      </c>
      <c r="BU19" s="17">
        <f>武将升星!S12*基础状态预期!J25+J19*(N19+1)+Z19+AH19</f>
        <v>528.05323025241137</v>
      </c>
    </row>
    <row r="20" spans="2:73" x14ac:dyDescent="0.15">
      <c r="B20" s="17">
        <v>13</v>
      </c>
      <c r="C20" s="17">
        <f t="shared" si="5"/>
        <v>21</v>
      </c>
      <c r="D20" s="17">
        <v>10</v>
      </c>
      <c r="E20" s="29">
        <f>基础状态预期!C26</f>
        <v>90</v>
      </c>
      <c r="F20" s="29">
        <f>基础状态预期!D26</f>
        <v>65.075479910097457</v>
      </c>
      <c r="G20" s="29">
        <f>BD20</f>
        <v>5</v>
      </c>
      <c r="H20" s="29">
        <f t="shared" si="7"/>
        <v>13</v>
      </c>
      <c r="I20" s="29">
        <f t="shared" si="8"/>
        <v>3</v>
      </c>
      <c r="J20" s="29">
        <f t="shared" si="9"/>
        <v>0</v>
      </c>
      <c r="K20" s="29">
        <f>武将战力价值情况!G16</f>
        <v>3</v>
      </c>
      <c r="L20" s="29">
        <f>武将战力价值情况!H16</f>
        <v>6</v>
      </c>
      <c r="M20" s="29">
        <f>武将战力价值情况!I16</f>
        <v>3.69666637301478</v>
      </c>
      <c r="N20" s="29">
        <f>武将战力价值情况!J16</f>
        <v>2.1886991991130458</v>
      </c>
      <c r="O20" s="41">
        <f>MAX(同名需求(G20,求节点(武将升星!$C$104:$C$112,武将升星!E$104:E$112,K20),F$2),武将数量星级阶位验证!AA16)</f>
        <v>29</v>
      </c>
      <c r="P20" s="41">
        <f>MAX(同名需求(H20,求节点(武将升星!$C$104:$C$112,武将升星!F$104:F$112,L20),G$2),武将数量星级阶位验证!AB16)</f>
        <v>253</v>
      </c>
      <c r="Q20" s="41">
        <f>MAX(同名需求(I20,求节点(武将升星!$C$104:$C$112,武将升星!G$104:G$112,M20),H$2),武将数量星级阶位验证!AC16)</f>
        <v>90.866654920591202</v>
      </c>
      <c r="R20" s="41">
        <f>MAX(同名需求(J20,求节点(武将升星!$C$104:$C$112,武将升星!H$104:H$112,N20),I$2),武将数量星级阶位验证!AD16)</f>
        <v>9.5660975973391373</v>
      </c>
      <c r="S20" s="29">
        <f>MAX(基础状态预期!P26:T26)</f>
        <v>2.6030191964038982</v>
      </c>
      <c r="T20" s="29">
        <f t="shared" si="10"/>
        <v>2.6030191964038982</v>
      </c>
      <c r="U20" s="29">
        <f t="shared" si="10"/>
        <v>2.6030191964038982</v>
      </c>
      <c r="V20" s="29">
        <f t="shared" si="10"/>
        <v>2.6030191964038982</v>
      </c>
      <c r="W20" s="41">
        <f>SUMIFS(武将进阶!F$13:F$18,武将进阶!$C$13:$C$18,"&lt;="&amp;T20)*H20+武将数量星级阶位验证!Q16</f>
        <v>117</v>
      </c>
      <c r="X20" s="41">
        <f>SUMIFS(武将进阶!G$13:G$18,武将进阶!$C$13:$C$18,"&lt;="&amp;U20)*I20+武将数量星级阶位验证!R16</f>
        <v>75.70869107054034</v>
      </c>
      <c r="Y20" s="41">
        <f>SUMIFS(武将进阶!H$13:H$18,武将进阶!$C$13:$C$18,"&lt;="&amp;V20)*J20+武将数量星级阶位验证!S16</f>
        <v>59.56303660581051</v>
      </c>
      <c r="Z20" s="41">
        <f>SUMIFS(武将进阶!I$13:I$18,武将进阶!$C$13:$C$18,"&lt;="&amp;W20)*K20+武将数量星级阶位验证!T16</f>
        <v>525</v>
      </c>
      <c r="AA20" s="29"/>
      <c r="AB20" s="29">
        <f>求节点(基础状态预期!$AT$17:$AT$55,基础状态预期!AW$17:AW$55,各r阵容卡情况!$F20)</f>
        <v>2</v>
      </c>
      <c r="AC20" s="29">
        <f>求节点(基础状态预期!$AT$17:$AT$55,基础状态预期!AX$17:AX$55,各r阵容卡情况!$F20)</f>
        <v>2</v>
      </c>
      <c r="AD20" s="29">
        <f>求节点(基础状态预期!$AT$17:$AT$55,基础状态预期!AY$17:AY$55,各r阵容卡情况!$F20)</f>
        <v>2</v>
      </c>
      <c r="AE20" s="41">
        <f>IF(AA20&lt;1,0,(AA20-1)*武将觉醒!E$34*G20)+武将数量星级阶位验证!V16</f>
        <v>0</v>
      </c>
      <c r="AF20" s="41">
        <f>IF(AB20&lt;1,0,(AB20-1)*武将觉醒!F$34*H20)+武将数量星级阶位验证!W16</f>
        <v>65</v>
      </c>
      <c r="AG20" s="41">
        <f>IF(AC20&lt;1,0,(AC20-1)*武将觉醒!G$34*I20)+武将数量星级阶位验证!X16</f>
        <v>15</v>
      </c>
      <c r="AH20" s="41">
        <f>IF(AD20&lt;1,0,(AD20-1)*武将觉醒!H$34*J20)+武将数量星级阶位验证!Y16</f>
        <v>0</v>
      </c>
      <c r="AJ20" s="29">
        <f>MAX(W20+AE20+G20*(K20+1)+IF(武将数量星级阶位验证!L16="",0,武将数量星级阶位验证!L16)*武将升星!P13,O20)</f>
        <v>137</v>
      </c>
      <c r="AK20" s="29">
        <f>MAX(X20+AF20+H20*(L20+1)+IF(武将数量星级阶位验证!M16="",0,武将数量星级阶位验证!M16)*武将升星!Q13,P20)</f>
        <v>253</v>
      </c>
      <c r="AL20" s="64">
        <f>MAX(Y20+AG20+I20*(M20+1)+IF(武将数量星级阶位验证!N16="",0,武将数量星级阶位验证!N16)*武将升星!R13,Q20)</f>
        <v>104.83303396294352</v>
      </c>
      <c r="AM20" s="41">
        <f t="shared" si="11"/>
        <v>9.5660975973391373</v>
      </c>
      <c r="AO20" s="17">
        <f>武将数量星级阶位验证!BJ16</f>
        <v>1389.634160617652</v>
      </c>
      <c r="AP20" s="17">
        <f>武将数量星级阶位验证!BK16</f>
        <v>425.09109681238863</v>
      </c>
      <c r="AQ20" s="63">
        <f>武将数量星级阶位验证!BL16</f>
        <v>83.991222721953108</v>
      </c>
      <c r="AR20" s="17">
        <f>武将数量星级阶位验证!BM16</f>
        <v>9.5660975973391373</v>
      </c>
      <c r="AT20" s="17">
        <f t="shared" si="2"/>
        <v>90</v>
      </c>
      <c r="AU20" s="17">
        <f t="shared" si="3"/>
        <v>65.075479910097457</v>
      </c>
      <c r="AZ20" s="17">
        <f>基础状态预期!I26</f>
        <v>3</v>
      </c>
      <c r="BA20" s="17">
        <f>基础状态预期!J26</f>
        <v>3</v>
      </c>
      <c r="BB20" s="62">
        <f t="shared" si="12"/>
        <v>6</v>
      </c>
      <c r="BD20" s="17">
        <v>5</v>
      </c>
      <c r="BE20" s="17">
        <v>13</v>
      </c>
      <c r="BF20" s="17">
        <v>3</v>
      </c>
      <c r="BG20" s="17">
        <v>0</v>
      </c>
      <c r="BH20" s="62">
        <f t="shared" si="13"/>
        <v>21</v>
      </c>
      <c r="BJ20" s="17">
        <f t="shared" si="14"/>
        <v>5</v>
      </c>
      <c r="BK20" s="17">
        <f t="shared" si="15"/>
        <v>13</v>
      </c>
      <c r="BL20" s="17">
        <f t="shared" si="16"/>
        <v>6</v>
      </c>
      <c r="BM20" s="17">
        <f t="shared" si="17"/>
        <v>3</v>
      </c>
      <c r="BN20" s="62">
        <f t="shared" si="18"/>
        <v>27</v>
      </c>
      <c r="BR20" s="17">
        <f>武将升星!P13*基础状态预期!G26+G20*(K20+1)+W20+AE20</f>
        <v>137</v>
      </c>
      <c r="BS20" s="17">
        <f>武将升星!Q13*基础状态预期!H26+H20*(L20+1)+X20+AF20</f>
        <v>231.70869107054034</v>
      </c>
      <c r="BT20" s="17">
        <f>武将升星!R13*基础状态预期!I26+I20*(M20+1)+Y20+AG20</f>
        <v>104.83303396294353</v>
      </c>
      <c r="BU20" s="17">
        <f>武将升星!S13*基础状态预期!J26+J20*(N20+1)+Z20+AH20</f>
        <v>534.56609759733919</v>
      </c>
    </row>
    <row r="21" spans="2:73" x14ac:dyDescent="0.15">
      <c r="B21" s="17">
        <v>14</v>
      </c>
      <c r="C21" s="17">
        <f t="shared" si="5"/>
        <v>21</v>
      </c>
      <c r="D21" s="17">
        <v>11</v>
      </c>
      <c r="E21" s="29">
        <f>基础状态预期!C27</f>
        <v>120</v>
      </c>
      <c r="F21" s="29">
        <f>基础状态预期!D27</f>
        <v>69.18336653741882</v>
      </c>
      <c r="G21" s="29">
        <f t="shared" si="6"/>
        <v>2</v>
      </c>
      <c r="H21" s="29">
        <f t="shared" si="7"/>
        <v>14</v>
      </c>
      <c r="I21" s="29">
        <f t="shared" si="8"/>
        <v>5</v>
      </c>
      <c r="J21" s="29">
        <f t="shared" si="9"/>
        <v>0</v>
      </c>
      <c r="K21" s="29">
        <f>武将战力价值情况!G17</f>
        <v>3</v>
      </c>
      <c r="L21" s="29">
        <f>武将战力价值情况!H17</f>
        <v>6</v>
      </c>
      <c r="M21" s="29">
        <f>武将战力价值情况!I17</f>
        <v>3.9789036831015889</v>
      </c>
      <c r="N21" s="29">
        <f>武将战力价值情况!J17</f>
        <v>2.4798663545004613</v>
      </c>
      <c r="O21" s="41">
        <f>MAX(同名需求(G21,求节点(武将升星!$C$104:$C$112,武将升星!E$104:E$112,K21),F$2),武将数量星级阶位验证!AA17)</f>
        <v>26</v>
      </c>
      <c r="P21" s="41">
        <f>MAX(同名需求(H21,求节点(武将升星!$C$104:$C$112,武将升星!F$104:F$112,L21),G$2),武将数量星级阶位验证!AB17)</f>
        <v>254</v>
      </c>
      <c r="Q21" s="41">
        <f>MAX(同名需求(I21,求节点(武将升星!$C$104:$C$112,武将升星!G$104:G$112,M21),H$2),武将数量星级阶位验证!AC17)</f>
        <v>104.15614732406355</v>
      </c>
      <c r="R21" s="41">
        <f>MAX(同名需求(J21,求节点(武将升星!$C$104:$C$112,武将升星!H$104:H$112,N21),I$2),武将数量星级阶位验证!AD17)</f>
        <v>13.919465418001845</v>
      </c>
      <c r="S21" s="29">
        <f>MAX(基础状态预期!P27:T27)</f>
        <v>2.7673346614967529</v>
      </c>
      <c r="T21" s="29">
        <f t="shared" si="10"/>
        <v>2.7673346614967529</v>
      </c>
      <c r="U21" s="29">
        <f t="shared" si="10"/>
        <v>2.7673346614967529</v>
      </c>
      <c r="V21" s="29">
        <f t="shared" si="10"/>
        <v>2.7673346614967529</v>
      </c>
      <c r="W21" s="41">
        <f>SUMIFS(武将进阶!F$13:F$18,武将进阶!$C$13:$C$18,"&lt;="&amp;T21)*H21+武将数量星级阶位验证!Q17</f>
        <v>126</v>
      </c>
      <c r="X21" s="41">
        <f>SUMIFS(武将进阶!G$13:G$18,武将进阶!$C$13:$C$18,"&lt;="&amp;U21)*I21+武将数量星级阶位验证!R17</f>
        <v>81.416031875922073</v>
      </c>
      <c r="Y21" s="41">
        <f>SUMIFS(武将进阶!H$13:H$18,武将进阶!$C$13:$C$18,"&lt;="&amp;V21)*J21+武将数量星级阶位验证!S17</f>
        <v>91.248095627766205</v>
      </c>
      <c r="Z21" s="41">
        <f>SUMIFS(武将进阶!I$13:I$18,武将进阶!$C$13:$C$18,"&lt;="&amp;W21)*K21+武将数量星级阶位验证!T17</f>
        <v>525</v>
      </c>
      <c r="AA21" s="29"/>
      <c r="AB21" s="29">
        <f>求节点(基础状态预期!$AT$17:$AT$55,基础状态预期!AW$17:AW$55,各r阵容卡情况!$F21)</f>
        <v>2</v>
      </c>
      <c r="AC21" s="29">
        <f>求节点(基础状态预期!$AT$17:$AT$55,基础状态预期!AX$17:AX$55,各r阵容卡情况!$F21)</f>
        <v>2</v>
      </c>
      <c r="AD21" s="29">
        <f>求节点(基础状态预期!$AT$17:$AT$55,基础状态预期!AY$17:AY$55,各r阵容卡情况!$F21)</f>
        <v>2</v>
      </c>
      <c r="AE21" s="41">
        <f>IF(AA21&lt;1,0,(AA21-1)*武将觉醒!E$34*G21)+武将数量星级阶位验证!V17</f>
        <v>0</v>
      </c>
      <c r="AF21" s="41">
        <f>IF(AB21&lt;1,0,(AB21-1)*武将觉醒!F$34*H21)+武将数量星级阶位验证!W17</f>
        <v>70</v>
      </c>
      <c r="AG21" s="41">
        <f>IF(AC21&lt;1,0,(AC21-1)*武将觉醒!G$34*I21)+武将数量星级阶位验证!X17</f>
        <v>19</v>
      </c>
      <c r="AH21" s="41">
        <f>IF(AD21&lt;1,0,(AD21-1)*武将觉醒!H$34*J21)+武将数量星级阶位验证!Y17</f>
        <v>0</v>
      </c>
      <c r="AJ21" s="29">
        <f>MAX(W21+AE21+G21*(K21+1)+IF(武将数量星级阶位验证!L17="",0,武将数量星级阶位验证!L17)*武将升星!P14,O21)</f>
        <v>134</v>
      </c>
      <c r="AK21" s="29">
        <f>MAX(X21+AF21+H21*(L21+1)+IF(武将数量星级阶位验证!M17="",0,武将数量星级阶位验证!M17)*武将升星!Q14,P21)</f>
        <v>254</v>
      </c>
      <c r="AL21" s="64">
        <f>MAX(Y21+AG21+I21*(M21+1)+IF(武将数量星级阶位验证!N17="",0,武将数量星级阶位验证!N17)*武将升星!R14,Q21)</f>
        <v>147.0582287756805</v>
      </c>
      <c r="AM21" s="41">
        <f t="shared" si="11"/>
        <v>13.919465418001845</v>
      </c>
      <c r="AO21" s="17">
        <f>武将数量星级阶位验证!BJ17</f>
        <v>1738.6805018378509</v>
      </c>
      <c r="AP21" s="17">
        <f>武将数量星级阶位验证!BK17</f>
        <v>524.17020017465825</v>
      </c>
      <c r="AQ21" s="63">
        <f>武将数量星级阶位验证!BL17</f>
        <v>98.103088226293565</v>
      </c>
      <c r="AR21" s="17">
        <f>武将数量星级阶位验证!BM17</f>
        <v>13.919465418001845</v>
      </c>
      <c r="AT21" s="17">
        <f t="shared" si="2"/>
        <v>120</v>
      </c>
      <c r="AU21" s="17">
        <f t="shared" si="3"/>
        <v>69.18336653741882</v>
      </c>
      <c r="AZ21" s="17">
        <f>基础状态预期!I27</f>
        <v>2</v>
      </c>
      <c r="BA21" s="17">
        <f>基础状态预期!J27</f>
        <v>4</v>
      </c>
      <c r="BB21" s="62">
        <f t="shared" si="12"/>
        <v>6</v>
      </c>
      <c r="BD21" s="17">
        <v>2</v>
      </c>
      <c r="BE21" s="17">
        <v>14</v>
      </c>
      <c r="BF21" s="17">
        <v>5</v>
      </c>
      <c r="BG21" s="17">
        <v>0</v>
      </c>
      <c r="BH21" s="62">
        <f t="shared" si="13"/>
        <v>21</v>
      </c>
      <c r="BJ21" s="17">
        <f t="shared" si="14"/>
        <v>2</v>
      </c>
      <c r="BK21" s="17">
        <f t="shared" si="15"/>
        <v>14</v>
      </c>
      <c r="BL21" s="17">
        <f t="shared" si="16"/>
        <v>7</v>
      </c>
      <c r="BM21" s="17">
        <f t="shared" si="17"/>
        <v>4</v>
      </c>
      <c r="BN21" s="62">
        <f t="shared" si="18"/>
        <v>27</v>
      </c>
      <c r="BR21" s="17">
        <f>武将升星!P14*基础状态预期!G27+G21*(K21+1)+W21+AE21</f>
        <v>134</v>
      </c>
      <c r="BS21" s="17">
        <f>武将升星!Q14*基础状态预期!H27+H21*(L21+1)+X21+AF21</f>
        <v>249.41603187592207</v>
      </c>
      <c r="BT21" s="17">
        <f>武将升星!R14*基础状态预期!I27+I21*(M21+1)+Y21+AG21</f>
        <v>147.0582287756805</v>
      </c>
      <c r="BU21" s="17">
        <f>武将升星!S14*基础状态预期!J27+J21*(N21+1)+Z21+AH21</f>
        <v>538.91946541800189</v>
      </c>
    </row>
    <row r="22" spans="2:73" x14ac:dyDescent="0.15">
      <c r="B22" s="17">
        <v>15</v>
      </c>
      <c r="C22" s="17">
        <f t="shared" si="5"/>
        <v>21</v>
      </c>
      <c r="D22" s="17">
        <v>12</v>
      </c>
      <c r="E22" s="29">
        <f>基础状态预期!C28</f>
        <v>150</v>
      </c>
      <c r="F22" s="29">
        <f>基础状态预期!D28</f>
        <v>72.375871759353331</v>
      </c>
      <c r="G22" s="29">
        <f t="shared" si="6"/>
        <v>0</v>
      </c>
      <c r="H22" s="29">
        <f t="shared" si="7"/>
        <v>15</v>
      </c>
      <c r="I22" s="29">
        <f t="shared" si="8"/>
        <v>6</v>
      </c>
      <c r="J22" s="29">
        <f t="shared" si="9"/>
        <v>0</v>
      </c>
      <c r="K22" s="29">
        <f>武将战力价值情况!G18</f>
        <v>3</v>
      </c>
      <c r="L22" s="29">
        <f>武将战力价值情况!H18</f>
        <v>6</v>
      </c>
      <c r="M22" s="29">
        <f>武将战力价值情况!I18</f>
        <v>4.255901976026812</v>
      </c>
      <c r="N22" s="29">
        <f>武将战力价值情况!J18</f>
        <v>2.6264505889657337</v>
      </c>
      <c r="O22" s="41">
        <f>MAX(同名需求(G22,求节点(武将升星!$C$104:$C$112,武将升星!E$104:E$112,K22),F$2),武将数量星级阶位验证!AA18)</f>
        <v>24</v>
      </c>
      <c r="P22" s="41">
        <f>MAX(同名需求(H22,求节点(武将升星!$C$104:$C$112,武将升星!F$104:F$112,L22),G$2),武将数量星级阶位验证!AB18)</f>
        <v>255</v>
      </c>
      <c r="Q22" s="41">
        <f>MAX(同名需求(I22,求节点(武将升星!$C$104:$C$112,武将升星!G$104:G$112,M22),H$2),武将数量星级阶位验证!AC18)</f>
        <v>116.23607904107249</v>
      </c>
      <c r="R22" s="41">
        <f>MAX(同名需求(J22,求节点(武将升星!$C$104:$C$112,武将升星!H$104:H$112,N22),I$2),武将数量星级阶位验证!AD18)</f>
        <v>18.132252944828668</v>
      </c>
      <c r="S22" s="29">
        <f>MAX(基础状态预期!P28:T28)</f>
        <v>2.8950348703741331</v>
      </c>
      <c r="T22" s="29">
        <f t="shared" si="10"/>
        <v>2.8950348703741331</v>
      </c>
      <c r="U22" s="29">
        <f t="shared" si="10"/>
        <v>2.8950348703741331</v>
      </c>
      <c r="V22" s="29">
        <f t="shared" si="10"/>
        <v>2.8950348703741331</v>
      </c>
      <c r="W22" s="41">
        <f>SUMIFS(武将进阶!F$13:F$18,武将进阶!$C$13:$C$18,"&lt;="&amp;T22)*H22+武将数量星级阶位验证!Q18</f>
        <v>135</v>
      </c>
      <c r="X22" s="41">
        <f>SUMIFS(武将进阶!G$13:G$18,武将进阶!$C$13:$C$18,"&lt;="&amp;U22)*I22+武将数量星级阶位验证!R18</f>
        <v>73.740418444489592</v>
      </c>
      <c r="Y22" s="41">
        <f>SUMIFS(武将进阶!H$13:H$18,武将进阶!$C$13:$C$18,"&lt;="&amp;V22)*J22+武将数量星级阶位验证!S18</f>
        <v>125.55313833367197</v>
      </c>
      <c r="Z22" s="41">
        <f>SUMIFS(武将进阶!I$13:I$18,武将进阶!$C$13:$C$18,"&lt;="&amp;W22)*K22+武将数量星级阶位验证!T18</f>
        <v>525</v>
      </c>
      <c r="AA22" s="29"/>
      <c r="AB22" s="29">
        <f>求节点(基础状态预期!$AT$17:$AT$55,基础状态预期!AW$17:AW$55,各r阵容卡情况!$F22)</f>
        <v>2</v>
      </c>
      <c r="AC22" s="29">
        <f>求节点(基础状态预期!$AT$17:$AT$55,基础状态预期!AX$17:AX$55,各r阵容卡情况!$F22)</f>
        <v>2</v>
      </c>
      <c r="AD22" s="29">
        <f>求节点(基础状态预期!$AT$17:$AT$55,基础状态预期!AY$17:AY$55,各r阵容卡情况!$F22)</f>
        <v>2</v>
      </c>
      <c r="AE22" s="41">
        <f>IF(AA22&lt;1,0,(AA22-1)*武将觉醒!E$34*G22)+武将数量星级阶位验证!V18</f>
        <v>0</v>
      </c>
      <c r="AF22" s="41">
        <f>IF(AB22&lt;1,0,(AB22-1)*武将觉醒!F$34*H22)+武将数量星级阶位验证!W18</f>
        <v>75</v>
      </c>
      <c r="AG22" s="41">
        <f>IF(AC22&lt;1,0,(AC22-1)*武将觉醒!G$34*I22)+武将数量星级阶位验证!X18</f>
        <v>22</v>
      </c>
      <c r="AH22" s="41">
        <f>IF(AD22&lt;1,0,(AD22-1)*武将觉醒!H$34*J22)+武将数量星级阶位验证!Y18</f>
        <v>0</v>
      </c>
      <c r="AJ22" s="29">
        <f>MAX(W22+AE22+G22*(K22+1)+IF(武将数量星级阶位验证!L18="",0,武将数量星级阶位验证!L18)*武将升星!P15,O22)</f>
        <v>135</v>
      </c>
      <c r="AK22" s="29">
        <f>MAX(X22+AF22+H22*(L22+1)+IF(武将数量星级阶位验证!M18="",0,武将数量星级阶位验证!M18)*武将升星!Q15,P22)</f>
        <v>255</v>
      </c>
      <c r="AL22" s="64">
        <f>MAX(Y22+AG22+I22*(M22+1)+IF(武将数量星级阶位验证!N18="",0,武将数量星级阶位验证!N18)*武将升星!R15,Q22)</f>
        <v>185.60035414188644</v>
      </c>
      <c r="AM22" s="41">
        <f t="shared" si="11"/>
        <v>18.132252944828668</v>
      </c>
      <c r="AO22" s="17">
        <f>武将数量星级阶位验证!BJ18</f>
        <v>2084.4961158084052</v>
      </c>
      <c r="AP22" s="17">
        <f>武将数量星级阶位验证!BK18</f>
        <v>621.50296448306608</v>
      </c>
      <c r="AQ22" s="63">
        <f>武将数量星级阶位验证!BL18</f>
        <v>111.95300287255472</v>
      </c>
      <c r="AR22" s="17">
        <f>武将数量星级阶位验证!BM18</f>
        <v>18.132252944828668</v>
      </c>
      <c r="AT22" s="17">
        <f t="shared" si="2"/>
        <v>150</v>
      </c>
      <c r="AU22" s="17">
        <f t="shared" si="3"/>
        <v>72.375871759353331</v>
      </c>
      <c r="AZ22" s="17">
        <f>基础状态预期!I28</f>
        <v>1</v>
      </c>
      <c r="BA22" s="17">
        <f>基础状态预期!J28</f>
        <v>5</v>
      </c>
      <c r="BB22" s="62">
        <f t="shared" si="12"/>
        <v>6</v>
      </c>
      <c r="BD22" s="17">
        <v>0</v>
      </c>
      <c r="BE22" s="17">
        <v>15</v>
      </c>
      <c r="BF22" s="17">
        <v>6</v>
      </c>
      <c r="BG22" s="17">
        <v>0</v>
      </c>
      <c r="BH22" s="62">
        <f t="shared" si="13"/>
        <v>21</v>
      </c>
      <c r="BJ22" s="17">
        <f t="shared" si="14"/>
        <v>0</v>
      </c>
      <c r="BK22" s="17">
        <f t="shared" si="15"/>
        <v>15</v>
      </c>
      <c r="BL22" s="17">
        <f t="shared" si="16"/>
        <v>7</v>
      </c>
      <c r="BM22" s="17">
        <f t="shared" si="17"/>
        <v>5</v>
      </c>
      <c r="BN22" s="62">
        <f t="shared" si="18"/>
        <v>27</v>
      </c>
      <c r="BR22" s="17">
        <f>武将升星!P15*基础状态预期!G28+G22*(K22+1)+W22+AE22</f>
        <v>135</v>
      </c>
      <c r="BS22" s="17">
        <f>武将升星!Q15*基础状态预期!H28+H22*(L22+1)+X22+AF22</f>
        <v>253.74041844448959</v>
      </c>
      <c r="BT22" s="17">
        <f>武将升星!R15*基础状态预期!I28+I22*(M22+1)+Y22+AG22</f>
        <v>185.60035414188647</v>
      </c>
      <c r="BU22" s="17">
        <f>武将升星!S15*基础状态预期!J28+J22*(N22+1)+Z22+AH22</f>
        <v>543.13225294482868</v>
      </c>
    </row>
    <row r="23" spans="2:73" x14ac:dyDescent="0.15">
      <c r="B23" s="17">
        <v>16</v>
      </c>
      <c r="C23" s="17">
        <f t="shared" si="5"/>
        <v>23</v>
      </c>
      <c r="D23" s="17">
        <v>13</v>
      </c>
      <c r="E23" s="29">
        <f>基础状态预期!C29</f>
        <v>180</v>
      </c>
      <c r="F23" s="29">
        <f>基础状态预期!D29</f>
        <v>74.998404927577795</v>
      </c>
      <c r="G23" s="29">
        <f t="shared" si="6"/>
        <v>0</v>
      </c>
      <c r="H23" s="29">
        <f t="shared" si="7"/>
        <v>16</v>
      </c>
      <c r="I23" s="29">
        <f t="shared" si="8"/>
        <v>7</v>
      </c>
      <c r="J23" s="29">
        <f t="shared" si="9"/>
        <v>0</v>
      </c>
      <c r="K23" s="29">
        <f>武将战力价值情况!G19</f>
        <v>3</v>
      </c>
      <c r="L23" s="29">
        <f>武将战力价值情况!H19</f>
        <v>6</v>
      </c>
      <c r="M23" s="29">
        <f>武将战力价值情况!I19</f>
        <v>4.5246408126739306</v>
      </c>
      <c r="N23" s="29">
        <f>武将战力价值情况!J19</f>
        <v>3.011219248017547</v>
      </c>
      <c r="O23" s="41">
        <f>MAX(同名需求(G23,求节点(武将升星!$C$104:$C$112,武将升星!E$104:E$112,K23),F$2),武将数量星级阶位验证!AA19)</f>
        <v>24</v>
      </c>
      <c r="P23" s="41">
        <f>MAX(同名需求(H23,求节点(武将升星!$C$104:$C$112,武将升星!F$104:F$112,L23),G$2),武将数量星级阶位验证!AB19)</f>
        <v>256</v>
      </c>
      <c r="Q23" s="41">
        <f>MAX(同名需求(I23,求节点(武将升星!$C$104:$C$112,武将升星!G$104:G$112,M23),H$2),武将数量星级阶位验证!AC19)</f>
        <v>127.98563250695722</v>
      </c>
      <c r="R23" s="41">
        <f>MAX(同名需求(J23,求节点(武将升星!$C$104:$C$112,武将升星!H$104:H$112,N23),I$2),武将数量星级阶位验证!AD19)</f>
        <v>23.634630976210563</v>
      </c>
      <c r="S23" s="29">
        <f>MAX(基础状态预期!P29:T29)</f>
        <v>2.9999361971031115</v>
      </c>
      <c r="T23" s="29">
        <f t="shared" si="10"/>
        <v>2.9999361971031115</v>
      </c>
      <c r="U23" s="29">
        <f t="shared" si="10"/>
        <v>2.9999361971031115</v>
      </c>
      <c r="V23" s="29">
        <f t="shared" si="10"/>
        <v>2.9999361971031115</v>
      </c>
      <c r="W23" s="41">
        <f>SUMIFS(武将进阶!F$13:F$18,武将进阶!$C$13:$C$18,"&lt;="&amp;T23)*H23+武将数量星级阶位验证!Q19</f>
        <v>144</v>
      </c>
      <c r="X23" s="41">
        <f>SUMIFS(武将进阶!G$13:G$18,武将进阶!$C$13:$C$18,"&lt;="&amp;U23)*I23+武将数量星级阶位验证!R19</f>
        <v>73.499617182618664</v>
      </c>
      <c r="Y23" s="41">
        <f>SUMIFS(武将进阶!H$13:H$18,武将进阶!$C$13:$C$18,"&lt;="&amp;V23)*J23+武将数量星级阶位验证!S19</f>
        <v>148.49368351320803</v>
      </c>
      <c r="Z23" s="41">
        <f>SUMIFS(武将进阶!I$13:I$18,武将进阶!$C$13:$C$18,"&lt;="&amp;W23)*K23+武将数量星级阶位验证!T19</f>
        <v>525</v>
      </c>
      <c r="AA23" s="29"/>
      <c r="AB23" s="29">
        <f>求节点(基础状态预期!$AT$17:$AT$55,基础状态预期!AW$17:AW$55,各r阵容卡情况!$F23)</f>
        <v>2</v>
      </c>
      <c r="AC23" s="29">
        <f>求节点(基础状态预期!$AT$17:$AT$55,基础状态预期!AX$17:AX$55,各r阵容卡情况!$F23)</f>
        <v>2</v>
      </c>
      <c r="AD23" s="29">
        <f>求节点(基础状态预期!$AT$17:$AT$55,基础状态预期!AY$17:AY$55,各r阵容卡情况!$F23)</f>
        <v>2</v>
      </c>
      <c r="AE23" s="41">
        <f>IF(AA23&lt;1,0,(AA23-1)*武将觉醒!E$34*G23)+武将数量星级阶位验证!V19</f>
        <v>0</v>
      </c>
      <c r="AF23" s="41">
        <f>IF(AB23&lt;1,0,(AB23-1)*武将觉醒!F$34*H23)+武将数量星级阶位验证!W19</f>
        <v>80</v>
      </c>
      <c r="AG23" s="41">
        <f>IF(AC23&lt;1,0,(AC23-1)*武将觉醒!G$34*I23)+武将数量星级阶位验证!X19</f>
        <v>24</v>
      </c>
      <c r="AH23" s="41">
        <f>IF(AD23&lt;1,0,(AD23-1)*武将觉醒!H$34*J23)+武将数量星级阶位验证!Y19</f>
        <v>0</v>
      </c>
      <c r="AJ23" s="29">
        <f>MAX(W23+AE23+G23*(K23+1)+IF(武将数量星级阶位验证!L19="",0,武将数量星级阶位验证!L19)*武将升星!P16,O23)</f>
        <v>144</v>
      </c>
      <c r="AK23" s="29">
        <f>MAX(X23+AF23+H23*(L23+1)+IF(武将数量星级阶位验证!M19="",0,武将数量星级阶位验证!M19)*武将升星!Q16,P23)</f>
        <v>265.49961718261864</v>
      </c>
      <c r="AL23" s="64">
        <f>MAX(Y23+AG23+I23*(M23+1)+IF(武将数量星级阶位验证!N19="",0,武将数量星级阶位验证!N19)*武将升星!R16,Q23)</f>
        <v>214.69081001459946</v>
      </c>
      <c r="AM23" s="41">
        <f t="shared" si="11"/>
        <v>23.634630976210563</v>
      </c>
      <c r="AO23" s="17">
        <f>武将数量星级阶位验证!BJ19</f>
        <v>2425.2183984074618</v>
      </c>
      <c r="AP23" s="17">
        <f>武将数量星级阶位验证!BK19</f>
        <v>716.0825766987723</v>
      </c>
      <c r="AQ23" s="63">
        <f>武将数量星级阶位验证!BL19</f>
        <v>125.38994470491065</v>
      </c>
      <c r="AR23" s="17">
        <f>武将数量星级阶位验证!BM19</f>
        <v>22.12341172819302</v>
      </c>
      <c r="AT23" s="17">
        <f t="shared" si="2"/>
        <v>180</v>
      </c>
      <c r="AU23" s="17">
        <f t="shared" si="3"/>
        <v>74.998404927577795</v>
      </c>
      <c r="BA23" s="17">
        <f>基础状态预期!J29</f>
        <v>5.5</v>
      </c>
      <c r="BB23" s="62">
        <f t="shared" si="12"/>
        <v>5.5</v>
      </c>
      <c r="BD23" s="17">
        <v>0</v>
      </c>
      <c r="BE23" s="17">
        <v>16</v>
      </c>
      <c r="BF23" s="17">
        <v>7</v>
      </c>
      <c r="BG23" s="17">
        <v>0</v>
      </c>
      <c r="BH23" s="62">
        <f t="shared" si="13"/>
        <v>23</v>
      </c>
      <c r="BJ23" s="17">
        <f t="shared" si="14"/>
        <v>0</v>
      </c>
      <c r="BK23" s="17">
        <f t="shared" si="15"/>
        <v>16</v>
      </c>
      <c r="BL23" s="17">
        <f t="shared" si="16"/>
        <v>7</v>
      </c>
      <c r="BM23" s="17">
        <f t="shared" si="17"/>
        <v>5.5</v>
      </c>
      <c r="BN23" s="62">
        <f t="shared" si="18"/>
        <v>28.5</v>
      </c>
      <c r="BR23" s="17">
        <f>武将升星!P16*基础状态预期!G29+G23*(K23+1)+W23+AE23</f>
        <v>144</v>
      </c>
      <c r="BS23" s="17">
        <f>武将升星!Q16*基础状态预期!H29+H23*(L23+1)+X23+AF23</f>
        <v>265.49961718261864</v>
      </c>
      <c r="BT23" s="17">
        <f>武将升星!R16*基础状态预期!I29+I23*(M23+1)+Y23+AG23</f>
        <v>214.69081001459946</v>
      </c>
      <c r="BU23" s="17">
        <f>武将升星!S16*基础状态预期!J29+J23*(N23+1)+Z23+AH23</f>
        <v>547.12341172819299</v>
      </c>
    </row>
    <row r="24" spans="2:73" x14ac:dyDescent="0.15">
      <c r="B24" s="17">
        <v>17</v>
      </c>
      <c r="C24" s="17">
        <f t="shared" si="5"/>
        <v>24</v>
      </c>
      <c r="D24" s="17">
        <v>14</v>
      </c>
      <c r="E24" s="29">
        <f>基础状态预期!C30</f>
        <v>220</v>
      </c>
      <c r="F24" s="29">
        <f>基础状态预期!D30</f>
        <v>77.875308029777003</v>
      </c>
      <c r="G24" s="29">
        <f t="shared" si="6"/>
        <v>0</v>
      </c>
      <c r="H24" s="29">
        <f t="shared" si="7"/>
        <v>16</v>
      </c>
      <c r="I24" s="29">
        <f t="shared" si="8"/>
        <v>8</v>
      </c>
      <c r="J24" s="29">
        <f t="shared" si="9"/>
        <v>0</v>
      </c>
      <c r="K24" s="29">
        <f>武将战力价值情况!G20</f>
        <v>3</v>
      </c>
      <c r="L24" s="29">
        <f>武将战力价值情况!H20</f>
        <v>6</v>
      </c>
      <c r="M24" s="29">
        <f>武将战力价值情况!I20</f>
        <v>4.8612699218201847</v>
      </c>
      <c r="N24" s="29">
        <f>武将战力价值情况!J20</f>
        <v>3.2385799575236818</v>
      </c>
      <c r="O24" s="41">
        <f>MAX(同名需求(G24,求节点(武将升星!$C$104:$C$112,武将升星!E$104:E$112,K24),F$2),武将数量星级阶位验证!AA20)</f>
        <v>24</v>
      </c>
      <c r="P24" s="41">
        <f>MAX(同名需求(H24,求节点(武将升星!$C$104:$C$112,武将升星!F$104:F$112,L24),G$2),武将数量星级阶位验证!AB20)</f>
        <v>256</v>
      </c>
      <c r="Q24" s="41">
        <f>MAX(同名需求(I24,求节点(武将升星!$C$104:$C$112,武将升星!G$104:G$112,M24),H$2),武将数量星级阶位验证!AC20)</f>
        <v>142.45079687280739</v>
      </c>
      <c r="R24" s="41">
        <f>MAX(同名需求(J24,求节点(武将升星!$C$104:$C$112,武将升星!H$104:H$112,N24),I$2),武将数量星级阶位验证!AD20)</f>
        <v>26.86295949028418</v>
      </c>
      <c r="S24" s="29">
        <f>MAX(基础状态预期!P30:T30)</f>
        <v>3.1150123211910801</v>
      </c>
      <c r="T24" s="29">
        <f t="shared" si="10"/>
        <v>3.1150123211910801</v>
      </c>
      <c r="U24" s="29">
        <f t="shared" si="10"/>
        <v>3.1150123211910801</v>
      </c>
      <c r="V24" s="29">
        <f t="shared" si="10"/>
        <v>3.1150123211910801</v>
      </c>
      <c r="W24" s="41">
        <f>SUMIFS(武将进阶!F$13:F$18,武将进阶!$C$13:$C$18,"&lt;="&amp;T24)*H24+武将数量星级阶位验证!Q20</f>
        <v>336</v>
      </c>
      <c r="X24" s="41">
        <f>SUMIFS(武将进阶!G$13:G$18,武将进阶!$C$13:$C$18,"&lt;="&amp;U24)*I24+武将数量星级阶位验证!R20</f>
        <v>168</v>
      </c>
      <c r="Y24" s="41">
        <f>SUMIFS(武将进阶!H$13:H$18,武将进阶!$C$13:$C$18,"&lt;="&amp;V24)*J24+武将数量星级阶位验证!S20</f>
        <v>182.7022178143944</v>
      </c>
      <c r="Z24" s="41">
        <f>SUMIFS(武将进阶!I$13:I$18,武将进阶!$C$13:$C$18,"&lt;="&amp;W24)*K24+武将数量星级阶位验证!T20</f>
        <v>525</v>
      </c>
      <c r="AA24" s="29"/>
      <c r="AB24" s="29">
        <f>求节点(基础状态预期!$AT$17:$AT$55,基础状态预期!AW$17:AW$55,各r阵容卡情况!$F24)</f>
        <v>2</v>
      </c>
      <c r="AC24" s="29">
        <f>求节点(基础状态预期!$AT$17:$AT$55,基础状态预期!AX$17:AX$55,各r阵容卡情况!$F24)</f>
        <v>2</v>
      </c>
      <c r="AD24" s="29">
        <f>求节点(基础状态预期!$AT$17:$AT$55,基础状态预期!AY$17:AY$55,各r阵容卡情况!$F24)</f>
        <v>2</v>
      </c>
      <c r="AE24" s="41">
        <f>IF(AA24&lt;1,0,(AA24-1)*武将觉醒!E$34*G24)+武将数量星级阶位验证!V20</f>
        <v>0</v>
      </c>
      <c r="AF24" s="41">
        <f>IF(AB24&lt;1,0,(AB24-1)*武将觉醒!F$34*H24)+武将数量星级阶位验证!W20</f>
        <v>80</v>
      </c>
      <c r="AG24" s="41">
        <f>IF(AC24&lt;1,0,(AC24-1)*武将觉醒!G$34*I24)+武将数量星级阶位验证!X20</f>
        <v>8</v>
      </c>
      <c r="AH24" s="41">
        <f>IF(AD24&lt;1,0,(AD24-1)*武将觉醒!H$34*J24)+武将数量星级阶位验证!Y20</f>
        <v>0</v>
      </c>
      <c r="AJ24" s="29">
        <f>MAX(W24+AE24+G24*(K24+1)+IF(武将数量星级阶位验证!L20="",0,武将数量星级阶位验证!L20)*武将升星!P17,O24)</f>
        <v>336</v>
      </c>
      <c r="AK24" s="29">
        <f>MAX(X24+AF24+H24*(L24+1)+IF(武将数量星级阶位验证!M20="",0,武将数量星级阶位验证!M20)*武将升星!Q17,P24)</f>
        <v>360</v>
      </c>
      <c r="AL24" s="64">
        <f>MAX(Y24+AG24+I24*(M24+1)+IF(武将数量星级阶位验证!N20="",0,武将数量星级阶位验证!N20)*武将升星!R17,Q24)</f>
        <v>237.59237718895588</v>
      </c>
      <c r="AM24" s="41">
        <f t="shared" si="11"/>
        <v>26.86295949028418</v>
      </c>
      <c r="AO24" s="17">
        <f>武将数量星级阶位验证!BJ20</f>
        <v>2866.1396823809855</v>
      </c>
      <c r="AP24" s="17">
        <f>武将数量星级阶位验证!BK20</f>
        <v>834.95894641419045</v>
      </c>
      <c r="AQ24" s="63">
        <f>武将数量星级阶位验证!BL20</f>
        <v>142.22140016222338</v>
      </c>
      <c r="AR24" s="17">
        <f>武将数量星级阶位验证!BM20</f>
        <v>26.86295949028418</v>
      </c>
      <c r="AT24" s="17">
        <f t="shared" si="2"/>
        <v>220</v>
      </c>
      <c r="AU24" s="17">
        <f t="shared" si="3"/>
        <v>77.875308029777003</v>
      </c>
      <c r="BA24" s="17">
        <f>基础状态预期!J30</f>
        <v>6</v>
      </c>
      <c r="BB24" s="62">
        <f t="shared" si="12"/>
        <v>6</v>
      </c>
      <c r="BD24" s="17">
        <v>0</v>
      </c>
      <c r="BE24" s="17">
        <v>16</v>
      </c>
      <c r="BF24" s="17">
        <v>8</v>
      </c>
      <c r="BG24" s="17">
        <v>0</v>
      </c>
      <c r="BH24" s="62">
        <f t="shared" si="13"/>
        <v>24</v>
      </c>
      <c r="BJ24" s="17">
        <f t="shared" si="14"/>
        <v>0</v>
      </c>
      <c r="BK24" s="17">
        <f t="shared" si="15"/>
        <v>16</v>
      </c>
      <c r="BL24" s="17">
        <f t="shared" si="16"/>
        <v>8</v>
      </c>
      <c r="BM24" s="17">
        <f t="shared" si="17"/>
        <v>6</v>
      </c>
      <c r="BN24" s="62">
        <f t="shared" si="18"/>
        <v>30</v>
      </c>
      <c r="BR24" s="17">
        <f>武将升星!P17*基础状态预期!G30+G24*(K24+1)+W24+AE24</f>
        <v>336</v>
      </c>
      <c r="BS24" s="17">
        <f>武将升星!Q17*基础状态预期!H30+H24*(L24+1)+X24+AF24</f>
        <v>360</v>
      </c>
      <c r="BT24" s="17">
        <f>武将升星!R17*基础状态预期!I30+I24*(M24+1)+Y24+AG24</f>
        <v>237.59237718895588</v>
      </c>
      <c r="BU24" s="17">
        <f>武将升星!S17*基础状态预期!J30+J24*(N24+1)+Z24+AH24</f>
        <v>551.8629594902842</v>
      </c>
    </row>
    <row r="25" spans="2:73" x14ac:dyDescent="0.15">
      <c r="B25" s="17">
        <v>18</v>
      </c>
      <c r="C25" s="17">
        <f t="shared" si="5"/>
        <v>24</v>
      </c>
      <c r="D25" s="17">
        <v>15</v>
      </c>
      <c r="E25" s="29">
        <f>基础状态预期!C31</f>
        <v>260</v>
      </c>
      <c r="F25" s="29">
        <f>基础状态预期!D31</f>
        <v>80.272123558064706</v>
      </c>
      <c r="G25" s="29">
        <f t="shared" si="6"/>
        <v>0</v>
      </c>
      <c r="H25" s="29">
        <f t="shared" si="7"/>
        <v>14</v>
      </c>
      <c r="I25" s="29">
        <f t="shared" si="8"/>
        <v>10</v>
      </c>
      <c r="J25" s="29">
        <f t="shared" si="9"/>
        <v>0</v>
      </c>
      <c r="K25" s="29">
        <f>武将战力价值情况!G21</f>
        <v>3</v>
      </c>
      <c r="L25" s="29">
        <f>武将战力价值情况!H21</f>
        <v>6</v>
      </c>
      <c r="M25" s="29">
        <f>武将战力价值情况!I21</f>
        <v>5.124898634747276</v>
      </c>
      <c r="N25" s="29">
        <f>武将战力价值情况!J21</f>
        <v>3.6099488863905886</v>
      </c>
      <c r="O25" s="41">
        <f>MAX(同名需求(G25,求节点(武将升星!$C$104:$C$112,武将升星!E$104:E$112,K25),F$2),武将数量星级阶位验证!AA21)</f>
        <v>24</v>
      </c>
      <c r="P25" s="41">
        <f>MAX(同名需求(H25,求节点(武将升星!$C$104:$C$112,武将升星!F$104:F$112,L25),G$2),武将数量星级阶位验证!AB21)</f>
        <v>254</v>
      </c>
      <c r="Q25" s="41">
        <f>MAX(同名需求(I25,求节点(武将升星!$C$104:$C$112,武将升星!G$104:G$112,M25),H$2),武将数量星级阶位验证!AC21)</f>
        <v>157.49391808483659</v>
      </c>
      <c r="R25" s="41">
        <f>MAX(同名需求(J25,求节点(武将升星!$C$104:$C$112,武将升星!H$104:H$112,N25),I$2),武将数量星级阶位验证!AD21)</f>
        <v>31.319386636687064</v>
      </c>
      <c r="S25" s="29">
        <f>MAX(基础状态预期!P31:T31)</f>
        <v>3.210884942322588</v>
      </c>
      <c r="T25" s="29">
        <f t="shared" si="10"/>
        <v>3.210884942322588</v>
      </c>
      <c r="U25" s="29">
        <f t="shared" si="10"/>
        <v>3.210884942322588</v>
      </c>
      <c r="V25" s="29">
        <f t="shared" si="10"/>
        <v>3.210884942322588</v>
      </c>
      <c r="W25" s="41">
        <f>SUMIFS(武将进阶!F$13:F$18,武将进阶!$C$13:$C$18,"&lt;="&amp;T25)*H25+武将数量星级阶位验证!Q21</f>
        <v>294</v>
      </c>
      <c r="X25" s="41">
        <f>SUMIFS(武将进阶!G$13:G$18,武将进阶!$C$13:$C$18,"&lt;="&amp;U25)*I25+武将数量星级阶位验证!R21</f>
        <v>210</v>
      </c>
      <c r="Y25" s="41">
        <f>SUMIFS(武将进阶!H$13:H$18,武将进阶!$C$13:$C$18,"&lt;="&amp;V25)*J25+武将数量星级阶位验证!S21</f>
        <v>199.95928961806587</v>
      </c>
      <c r="Z25" s="41">
        <f>SUMIFS(武将进阶!I$13:I$18,武将进阶!$C$13:$C$18,"&lt;="&amp;W25)*K25+武将数量星级阶位验证!T21</f>
        <v>525</v>
      </c>
      <c r="AA25" s="29"/>
      <c r="AB25" s="29">
        <f>求节点(基础状态预期!$AT$17:$AT$55,基础状态预期!AW$17:AW$55,各r阵容卡情况!$F25)</f>
        <v>2</v>
      </c>
      <c r="AC25" s="29">
        <f>求节点(基础状态预期!$AT$17:$AT$55,基础状态预期!AX$17:AX$55,各r阵容卡情况!$F25)</f>
        <v>2</v>
      </c>
      <c r="AD25" s="29">
        <f>求节点(基础状态预期!$AT$17:$AT$55,基础状态预期!AY$17:AY$55,各r阵容卡情况!$F25)</f>
        <v>2</v>
      </c>
      <c r="AE25" s="41">
        <f>IF(AA25&lt;1,0,(AA25-1)*武将觉醒!E$34*G25)+武将数量星级阶位验证!V21</f>
        <v>0</v>
      </c>
      <c r="AF25" s="41">
        <f>IF(AB25&lt;1,0,(AB25-1)*武将觉醒!F$34*H25)+武将数量星级阶位验证!W21</f>
        <v>70</v>
      </c>
      <c r="AG25" s="41">
        <f>IF(AC25&lt;1,0,(AC25-1)*武将觉醒!G$34*I25)+武将数量星级阶位验证!X21</f>
        <v>10</v>
      </c>
      <c r="AH25" s="41">
        <f>IF(AD25&lt;1,0,(AD25-1)*武将觉醒!H$34*J25)+武将数量星级阶位验证!Y21</f>
        <v>0</v>
      </c>
      <c r="AJ25" s="29">
        <f>MAX(W25+AE25+G25*(K25+1)+IF(武将数量星级阶位验证!L21="",0,武将数量星级阶位验证!L21)*武将升星!P18,O25)</f>
        <v>294</v>
      </c>
      <c r="AK25" s="29">
        <f>MAX(X25+AF25+H25*(L25+1)+IF(武将数量星级阶位验证!M21="",0,武将数量星级阶位验证!M21)*武将升星!Q18,P25)</f>
        <v>378</v>
      </c>
      <c r="AL25" s="64">
        <f>MAX(Y25+AG25+I25*(M25+1)+IF(武将数量星级阶位验证!N21="",0,武将数量星级阶位验证!N21)*武将升星!R18,Q25)</f>
        <v>271.20827596553863</v>
      </c>
      <c r="AM25" s="41">
        <f t="shared" si="11"/>
        <v>31.319386636687064</v>
      </c>
      <c r="AO25" s="17">
        <f>武将数量星级阶位验证!BJ21</f>
        <v>3300.5544677331009</v>
      </c>
      <c r="AP25" s="17">
        <f>武将数量星级阶位验证!BK21</f>
        <v>950.31828984776655</v>
      </c>
      <c r="AQ25" s="63">
        <f>武将数量星级阶位验证!BL21</f>
        <v>158.52530167725979</v>
      </c>
      <c r="AR25" s="17">
        <f>武将数量星级阶位验证!BM21</f>
        <v>31.319386636687064</v>
      </c>
      <c r="AT25" s="17">
        <f t="shared" si="2"/>
        <v>260</v>
      </c>
      <c r="AU25" s="17">
        <f t="shared" si="3"/>
        <v>80.272123558064706</v>
      </c>
      <c r="BA25" s="17">
        <f>基础状态预期!J31</f>
        <v>6</v>
      </c>
      <c r="BB25" s="62">
        <f t="shared" si="12"/>
        <v>6</v>
      </c>
      <c r="BD25" s="17">
        <v>0</v>
      </c>
      <c r="BE25" s="17">
        <v>14</v>
      </c>
      <c r="BF25" s="17">
        <v>10</v>
      </c>
      <c r="BG25" s="17">
        <v>0</v>
      </c>
      <c r="BH25" s="62">
        <f t="shared" si="13"/>
        <v>24</v>
      </c>
      <c r="BJ25" s="17">
        <f t="shared" si="14"/>
        <v>0</v>
      </c>
      <c r="BK25" s="17">
        <f t="shared" si="15"/>
        <v>14</v>
      </c>
      <c r="BL25" s="17">
        <f t="shared" si="16"/>
        <v>10</v>
      </c>
      <c r="BM25" s="17">
        <f t="shared" si="17"/>
        <v>6</v>
      </c>
      <c r="BN25" s="62">
        <f t="shared" si="18"/>
        <v>30</v>
      </c>
      <c r="BR25" s="17">
        <f>武将升星!P18*基础状态预期!G31+G25*(K25+1)+W25+AE25</f>
        <v>294</v>
      </c>
      <c r="BS25" s="17">
        <f>武将升星!Q18*基础状态预期!H31+H25*(L25+1)+X25+AF25</f>
        <v>378</v>
      </c>
      <c r="BT25" s="17">
        <f>武将升星!R18*基础状态预期!I31+I25*(M25+1)+Y25+AG25</f>
        <v>271.20827596553863</v>
      </c>
      <c r="BU25" s="17">
        <f>武将升星!S18*基础状态预期!J31+J25*(N25+1)+Z25+AH25</f>
        <v>556.31938663668711</v>
      </c>
    </row>
    <row r="26" spans="2:73" x14ac:dyDescent="0.15">
      <c r="B26" s="17">
        <v>19</v>
      </c>
      <c r="C26" s="17">
        <f t="shared" si="5"/>
        <v>24</v>
      </c>
      <c r="D26" s="17">
        <v>16</v>
      </c>
      <c r="E26" s="29">
        <f>基础状态预期!C32</f>
        <v>300</v>
      </c>
      <c r="F26" s="29">
        <f>基础状态预期!D32</f>
        <v>82.328492296001457</v>
      </c>
      <c r="G26" s="29">
        <f t="shared" si="6"/>
        <v>0</v>
      </c>
      <c r="H26" s="29">
        <f t="shared" si="7"/>
        <v>12</v>
      </c>
      <c r="I26" s="29">
        <f>BF26</f>
        <v>12</v>
      </c>
      <c r="J26" s="29">
        <f t="shared" si="9"/>
        <v>0</v>
      </c>
      <c r="K26" s="29">
        <f>武将战力价值情况!G22</f>
        <v>3</v>
      </c>
      <c r="L26" s="29">
        <f>武将战力价值情况!H22</f>
        <v>6</v>
      </c>
      <c r="M26" s="29">
        <f>武将战力价值情况!I22</f>
        <v>5.344719496535407</v>
      </c>
      <c r="N26" s="29">
        <f>武将战力价值情况!J22</f>
        <v>3.9894869158604984</v>
      </c>
      <c r="O26" s="41">
        <f>MAX(同名需求(G26,求节点(武将升星!$C$104:$C$112,武将升星!E$104:E$112,K26),F$2),武将数量星级阶位验证!AA22)</f>
        <v>24</v>
      </c>
      <c r="P26" s="41">
        <f>MAX(同名需求(H26,求节点(武将升星!$C$104:$C$112,武将升星!F$104:F$112,L26),G$2),武将数量星级阶位验证!AB22)</f>
        <v>252</v>
      </c>
      <c r="Q26" s="41">
        <f>MAX(同名需求(I26,求节点(武将升星!$C$104:$C$112,武将升星!G$104:G$112,M26),H$2),武将数量星级阶位验证!AC22)</f>
        <v>172.6831697921244</v>
      </c>
      <c r="R26" s="41">
        <f>MAX(同名需求(J26,求节点(武将升星!$C$104:$C$112,武将升星!H$104:H$112,N26),I$2),武将数量星级阶位验证!AD22)</f>
        <v>35.873842990325983</v>
      </c>
      <c r="S26" s="29">
        <f>MAX(基础状态预期!P32:T32)</f>
        <v>3.2931396918400582</v>
      </c>
      <c r="T26" s="29">
        <f t="shared" si="10"/>
        <v>3.2931396918400582</v>
      </c>
      <c r="U26" s="29">
        <f t="shared" si="10"/>
        <v>3.2931396918400582</v>
      </c>
      <c r="V26" s="29">
        <f t="shared" si="10"/>
        <v>3.2931396918400582</v>
      </c>
      <c r="W26" s="41">
        <f>SUMIFS(武将进阶!F$13:F$18,武将进阶!$C$13:$C$18,"&lt;="&amp;T26)*H26+武将数量星级阶位验证!Q22</f>
        <v>252</v>
      </c>
      <c r="X26" s="41">
        <f>SUMIFS(武将进阶!G$13:G$18,武将进阶!$C$13:$C$18,"&lt;="&amp;U26)*I26+武将数量星级阶位验证!R22</f>
        <v>252</v>
      </c>
      <c r="Y26" s="41">
        <f>SUMIFS(武将进阶!H$13:H$18,武将进阶!$C$13:$C$18,"&lt;="&amp;V26)*J26+武将数量星级阶位验证!S22</f>
        <v>214.76514453121047</v>
      </c>
      <c r="Z26" s="41">
        <f>SUMIFS(武将进阶!I$13:I$18,武将进阶!$C$13:$C$18,"&lt;="&amp;W26)*K26+武将数量星级阶位验证!T22</f>
        <v>525</v>
      </c>
      <c r="AA26" s="29"/>
      <c r="AB26" s="29">
        <f>求节点(基础状态预期!$AT$17:$AT$55,基础状态预期!AW$17:AW$55,各r阵容卡情况!$F26)</f>
        <v>2</v>
      </c>
      <c r="AC26" s="29">
        <f>求节点(基础状态预期!$AT$17:$AT$55,基础状态预期!AX$17:AX$55,各r阵容卡情况!$F26)</f>
        <v>2</v>
      </c>
      <c r="AD26" s="29">
        <f>求节点(基础状态预期!$AT$17:$AT$55,基础状态预期!AY$17:AY$55,各r阵容卡情况!$F26)</f>
        <v>2</v>
      </c>
      <c r="AE26" s="41">
        <f>IF(AA26&lt;1,0,(AA26-1)*武将觉醒!E$34*G26)+武将数量星级阶位验证!V22</f>
        <v>0</v>
      </c>
      <c r="AF26" s="41">
        <f>IF(AB26&lt;1,0,(AB26-1)*武将觉醒!F$34*H26)+武将数量星级阶位验证!W22</f>
        <v>60</v>
      </c>
      <c r="AG26" s="41">
        <f>IF(AC26&lt;1,0,(AC26-1)*武将觉醒!G$34*I26)+武将数量星级阶位验证!X22</f>
        <v>12</v>
      </c>
      <c r="AH26" s="41">
        <f>IF(AD26&lt;1,0,(AD26-1)*武将觉醒!H$34*J26)+武将数量星级阶位验证!Y22</f>
        <v>0</v>
      </c>
      <c r="AJ26" s="29">
        <f>MAX(W26+AE26+G26*(K26+1)+IF(武将数量星级阶位验证!L22="",0,武将数量星级阶位验证!L22)*武将升星!P19,O26)</f>
        <v>252</v>
      </c>
      <c r="AK26" s="29">
        <f>MAX(X26+AF26+H26*(L26+1)+IF(武将数量星级阶位验证!M22="",0,武将数量星级阶位验证!M22)*武将升星!Q19,P26)</f>
        <v>396</v>
      </c>
      <c r="AL26" s="64">
        <f>MAX(Y26+AG26+I26*(M26+1)+IF(武将数量星级阶位验证!N22="",0,武将数量星级阶位验证!N22)*武将升星!R19,Q26)</f>
        <v>302.90177848963538</v>
      </c>
      <c r="AM26" s="41">
        <f t="shared" si="11"/>
        <v>35.873842990325983</v>
      </c>
      <c r="AO26" s="17">
        <f>武将数量星级阶位验证!BJ22</f>
        <v>3737.2220982204553</v>
      </c>
      <c r="AP26" s="17">
        <f>武将数量星级阶位验证!BK22</f>
        <v>1066.8953874084984</v>
      </c>
      <c r="AQ26" s="63">
        <f>武将数量星级阶位验证!BL22</f>
        <v>175.0118663113696</v>
      </c>
      <c r="AR26" s="17">
        <f>武将数量星级阶位验证!BM22</f>
        <v>35.873842990325983</v>
      </c>
      <c r="AT26" s="17">
        <f t="shared" si="2"/>
        <v>300</v>
      </c>
      <c r="AU26" s="17">
        <f t="shared" si="3"/>
        <v>82.328492296001457</v>
      </c>
      <c r="BA26" s="17">
        <f>基础状态预期!J32</f>
        <v>6</v>
      </c>
      <c r="BB26" s="62">
        <f t="shared" si="12"/>
        <v>6</v>
      </c>
      <c r="BD26" s="17">
        <v>0</v>
      </c>
      <c r="BE26" s="17">
        <v>12</v>
      </c>
      <c r="BF26" s="17">
        <v>12</v>
      </c>
      <c r="BG26" s="17">
        <v>0</v>
      </c>
      <c r="BH26" s="62">
        <f t="shared" si="13"/>
        <v>24</v>
      </c>
      <c r="BJ26" s="17">
        <f t="shared" si="14"/>
        <v>0</v>
      </c>
      <c r="BK26" s="17">
        <f t="shared" si="15"/>
        <v>12</v>
      </c>
      <c r="BL26" s="17">
        <f t="shared" si="16"/>
        <v>12</v>
      </c>
      <c r="BM26" s="17">
        <f t="shared" si="17"/>
        <v>6</v>
      </c>
      <c r="BN26" s="62">
        <f t="shared" si="18"/>
        <v>30</v>
      </c>
      <c r="BR26" s="17">
        <f>武将升星!P19*基础状态预期!G32+G26*(K26+1)+W26+AE26</f>
        <v>252</v>
      </c>
      <c r="BS26" s="17">
        <f>武将升星!Q19*基础状态预期!H32+H26*(L26+1)+X26+AF26</f>
        <v>396</v>
      </c>
      <c r="BT26" s="17">
        <f>武将升星!R19*基础状态预期!I32+I26*(M26+1)+Y26+AG26</f>
        <v>302.90177848963538</v>
      </c>
      <c r="BU26" s="17">
        <f>武将升星!S19*基础状态预期!J32+J26*(N26+1)+Z26+AH26</f>
        <v>560.87384299032601</v>
      </c>
    </row>
    <row r="27" spans="2:73" x14ac:dyDescent="0.15">
      <c r="B27" s="17">
        <v>20</v>
      </c>
      <c r="E27" s="29">
        <f>基础状态预期!C33</f>
        <v>340</v>
      </c>
      <c r="F27" s="29">
        <f>基础状态预期!D33</f>
        <v>84.132234338875293</v>
      </c>
      <c r="G27" s="29">
        <f t="shared" ref="G27:G49" si="19">BD27</f>
        <v>0</v>
      </c>
      <c r="H27" s="29">
        <f t="shared" ref="H27:H49" si="20">BE27</f>
        <v>10</v>
      </c>
      <c r="I27" s="29">
        <f t="shared" ref="I27:I49" si="21">BF27</f>
        <v>14</v>
      </c>
      <c r="J27" s="29">
        <f t="shared" ref="J27:J49" si="22">BG27</f>
        <v>0</v>
      </c>
      <c r="K27" s="29">
        <f>武将战力价值情况!G23</f>
        <v>3</v>
      </c>
      <c r="L27" s="29">
        <f>武将战力价值情况!H23</f>
        <v>6</v>
      </c>
      <c r="M27" s="29">
        <f>武将战力价值情况!I23</f>
        <v>5.5587781856737939</v>
      </c>
      <c r="N27" s="29">
        <f>武将战力价值情况!J23</f>
        <v>4.3496976579010624</v>
      </c>
      <c r="O27" s="41">
        <f>MAX(同名需求(G27,求节点(武将升星!$C$104:$C$112,武将升星!E$104:E$112,K27),F$2),武将数量星级阶位验证!AA23)</f>
        <v>24</v>
      </c>
      <c r="P27" s="41">
        <f>MAX(同名需求(H27,求节点(武将升星!$C$104:$C$112,武将升星!F$104:F$112,L27),G$2),武将数量星级阶位验证!AB23)</f>
        <v>130</v>
      </c>
      <c r="Q27" s="41">
        <f>MAX(同名需求(I27,求节点(武将升星!$C$104:$C$112,武将升星!G$104:G$112,M27),H$2),武将数量星级阶位验证!AC23)</f>
        <v>187.5266911404276</v>
      </c>
      <c r="R27" s="41">
        <f>MAX(同名需求(J27,求节点(武将升星!$C$104:$C$112,武将升星!H$104:H$112,N27),I$2),武将数量星级阶位验证!AD23)</f>
        <v>40.196371894812742</v>
      </c>
      <c r="S27" s="29">
        <f>MAX(基础状态预期!P33:T33)</f>
        <v>3.3652893735550116</v>
      </c>
      <c r="T27" s="29">
        <f t="shared" ref="T27:T49" si="23">S27</f>
        <v>3.3652893735550116</v>
      </c>
      <c r="U27" s="29">
        <f t="shared" ref="U27:U49" si="24">T27</f>
        <v>3.3652893735550116</v>
      </c>
      <c r="V27" s="29">
        <f t="shared" ref="V27:V49" si="25">U27</f>
        <v>3.3652893735550116</v>
      </c>
      <c r="W27" s="41">
        <f>SUMIFS(武将进阶!F$13:F$18,武将进阶!$C$13:$C$18,"&lt;="&amp;T27)*H27+武将数量星级阶位验证!Q23</f>
        <v>210</v>
      </c>
      <c r="X27" s="41">
        <f>SUMIFS(武将进阶!G$13:G$18,武将进阶!$C$13:$C$18,"&lt;="&amp;U27)*I27+武将数量星级阶位验证!R23</f>
        <v>294</v>
      </c>
      <c r="Y27" s="41">
        <f>SUMIFS(武将进阶!H$13:H$18,武将进阶!$C$13:$C$18,"&lt;="&amp;V27)*J27+武将数量星级阶位验证!S23</f>
        <v>227.7520872399021</v>
      </c>
      <c r="Z27" s="41">
        <f>SUMIFS(武将进阶!I$13:I$18,武将进阶!$C$13:$C$18,"&lt;="&amp;W27)*K27+武将数量星级阶位验证!T23</f>
        <v>525</v>
      </c>
      <c r="AA27" s="29"/>
      <c r="AB27" s="29">
        <f>求节点(基础状态预期!$AT$17:$AT$55,基础状态预期!AW$17:AW$55,各r阵容卡情况!$F27)</f>
        <v>2</v>
      </c>
      <c r="AC27" s="29">
        <f>求节点(基础状态预期!$AT$17:$AT$55,基础状态预期!AX$17:AX$55,各r阵容卡情况!$F27)</f>
        <v>2</v>
      </c>
      <c r="AD27" s="29">
        <f>求节点(基础状态预期!$AT$17:$AT$55,基础状态预期!AY$17:AY$55,各r阵容卡情况!$F27)</f>
        <v>2</v>
      </c>
      <c r="AE27" s="41">
        <f>IF(AA27&lt;1,0,(AA27-1)*武将觉醒!E$34*G27)+武将数量星级阶位验证!V23</f>
        <v>0</v>
      </c>
      <c r="AF27" s="41">
        <f>IF(AB27&lt;1,0,(AB27-1)*武将觉醒!F$34*H27)+武将数量星级阶位验证!W23</f>
        <v>50</v>
      </c>
      <c r="AG27" s="41">
        <f>IF(AC27&lt;1,0,(AC27-1)*武将觉醒!G$34*I27)+武将数量星级阶位验证!X23</f>
        <v>14</v>
      </c>
      <c r="AH27" s="41">
        <f>IF(AD27&lt;1,0,(AD27-1)*武将觉醒!H$34*J27)+武将数量星级阶位验证!Y23</f>
        <v>0</v>
      </c>
      <c r="AJ27" s="29">
        <f>MAX(W27+AE27+G27*(K27+1)+IF(武将数量星级阶位验证!L23="",0,武将数量星级阶位验证!L23)*武将升星!P20,O27)</f>
        <v>210</v>
      </c>
      <c r="AK27" s="29">
        <f>MAX(X27+AF27+H27*(L27+1)+IF(武将数量星级阶位验证!M23="",0,武将数量星级阶位验证!M23)*武将升星!Q20,P27)</f>
        <v>414</v>
      </c>
      <c r="AL27" s="64">
        <f>MAX(Y27+AG27+I27*(M27+1)+IF(武将数量星级阶位验证!N23="",0,武将数量星级阶位验证!N23)*武将升星!R20,Q27)</f>
        <v>333.57498183933524</v>
      </c>
      <c r="AM27" s="41">
        <f t="shared" ref="AM27:AM49" si="26">R27+AH27</f>
        <v>40.196371894812742</v>
      </c>
      <c r="AO27" s="17">
        <f>武将数量星级阶位验证!BJ23</f>
        <v>4168.5597190067974</v>
      </c>
      <c r="AP27" s="17">
        <f>武将数量星级阶位验证!BK23</f>
        <v>1180.5913986443588</v>
      </c>
      <c r="AQ27" s="63">
        <f>武将数量星级阶位验证!BL23</f>
        <v>191.06626799674865</v>
      </c>
      <c r="AR27" s="17">
        <f>武将数量星级阶位验证!BM23</f>
        <v>40.196371894812742</v>
      </c>
      <c r="AT27" s="17">
        <f t="shared" ref="AT27:AT49" si="27">E27</f>
        <v>340</v>
      </c>
      <c r="AU27" s="17">
        <f t="shared" ref="AU27:AU49" si="28">F27</f>
        <v>84.132234338875293</v>
      </c>
      <c r="BA27" s="17">
        <f>基础状态预期!J33</f>
        <v>6</v>
      </c>
      <c r="BB27" s="62">
        <f t="shared" ref="BB27:BB49" si="29">SUM(AX27:BA27)</f>
        <v>6</v>
      </c>
      <c r="BD27" s="17">
        <v>0</v>
      </c>
      <c r="BE27" s="17">
        <v>10</v>
      </c>
      <c r="BF27" s="17">
        <v>14</v>
      </c>
      <c r="BG27" s="17">
        <v>0</v>
      </c>
      <c r="BH27" s="62">
        <f t="shared" ref="BH27:BH49" si="30">SUM(BD27:BG27)</f>
        <v>24</v>
      </c>
      <c r="BJ27" s="17">
        <f t="shared" ref="BJ27:BJ49" si="31">AX27+BD27</f>
        <v>0</v>
      </c>
      <c r="BK27" s="17">
        <f t="shared" ref="BK27:BK49" si="32">AY27+BE27</f>
        <v>10</v>
      </c>
      <c r="BL27" s="17">
        <f t="shared" ref="BL27:BL49" si="33">AZ27+BF27</f>
        <v>14</v>
      </c>
      <c r="BM27" s="17">
        <f t="shared" ref="BM27:BM49" si="34">BA27+BG27</f>
        <v>6</v>
      </c>
      <c r="BN27" s="62">
        <f t="shared" ref="BN27:BN49" si="35">SUM(BJ27:BM27)</f>
        <v>30</v>
      </c>
      <c r="BR27" s="17">
        <f>武将升星!P20*基础状态预期!G33+G27*(K27+1)+W27+AE27</f>
        <v>210</v>
      </c>
      <c r="BS27" s="17">
        <f>武将升星!Q20*基础状态预期!H33+H27*(L27+1)+X27+AF27</f>
        <v>414</v>
      </c>
      <c r="BT27" s="17">
        <f>武将升星!R20*基础状态预期!I33+I27*(M27+1)+Y27+AG27</f>
        <v>333.57498183933524</v>
      </c>
      <c r="BU27" s="17">
        <f>武将升星!S20*基础状态预期!J33+J27*(N27+1)+Z27+AH27</f>
        <v>565.19637189481273</v>
      </c>
    </row>
    <row r="28" spans="2:73" x14ac:dyDescent="0.15">
      <c r="B28" s="17">
        <v>21</v>
      </c>
      <c r="E28" s="29">
        <f>基础状态预期!C34</f>
        <v>400</v>
      </c>
      <c r="F28" s="29">
        <f>基础状态预期!D34</f>
        <v>86.465948248806328</v>
      </c>
      <c r="G28" s="29">
        <f t="shared" si="19"/>
        <v>0</v>
      </c>
      <c r="H28" s="29">
        <f t="shared" si="20"/>
        <v>8</v>
      </c>
      <c r="I28" s="29">
        <f t="shared" si="21"/>
        <v>16</v>
      </c>
      <c r="J28" s="29">
        <f t="shared" si="22"/>
        <v>0</v>
      </c>
      <c r="K28" s="29">
        <f>武将战力价值情况!G24</f>
        <v>3</v>
      </c>
      <c r="L28" s="29">
        <f>武将战力价值情况!H24</f>
        <v>6</v>
      </c>
      <c r="M28" s="29">
        <f>武将战力价值情况!I24</f>
        <v>5.8676252422862207</v>
      </c>
      <c r="N28" s="29">
        <f>武将战力价值情况!J24</f>
        <v>4.8489554936219079</v>
      </c>
      <c r="O28" s="41">
        <f>MAX(同名需求(G28,求节点(武将升星!$C$104:$C$112,武将升星!E$104:E$112,K28),F$2),武将数量星级阶位验证!AA24)</f>
        <v>24</v>
      </c>
      <c r="P28" s="41">
        <f>MAX(同名需求(H28,求节点(武将升星!$C$104:$C$112,武将升星!F$104:F$112,L28),G$2),武将数量星级阶位验证!AB24)</f>
        <v>128</v>
      </c>
      <c r="Q28" s="41">
        <f>MAX(同名需求(I28,求节点(武将升星!$C$104:$C$112,武将升星!G$104:G$112,M28),H$2),武将数量星级阶位验证!AC24)</f>
        <v>208.05751453717326</v>
      </c>
      <c r="R28" s="41">
        <f>MAX(同名需求(J28,求节点(武将升星!$C$104:$C$112,武将升星!H$104:H$112,N28),I$2),武将数量星级阶位验证!AD24)</f>
        <v>46.187465923462895</v>
      </c>
      <c r="S28" s="29">
        <f>MAX(基础状态预期!P34:T34)</f>
        <v>3.4586379299522529</v>
      </c>
      <c r="T28" s="29">
        <f t="shared" si="23"/>
        <v>3.4586379299522529</v>
      </c>
      <c r="U28" s="29">
        <f t="shared" si="24"/>
        <v>3.4586379299522529</v>
      </c>
      <c r="V28" s="29">
        <f t="shared" si="25"/>
        <v>3.4586379299522529</v>
      </c>
      <c r="W28" s="41">
        <f>SUMIFS(武将进阶!F$13:F$18,武将进阶!$C$13:$C$18,"&lt;="&amp;T28)*H28+武将数量星级阶位验证!Q24</f>
        <v>168</v>
      </c>
      <c r="X28" s="41">
        <f>SUMIFS(武将进阶!G$13:G$18,武将进阶!$C$13:$C$18,"&lt;="&amp;U28)*I28+武将数量星级阶位验证!R24</f>
        <v>336</v>
      </c>
      <c r="Y28" s="41">
        <f>SUMIFS(武将进阶!H$13:H$18,武将进阶!$C$13:$C$18,"&lt;="&amp;V28)*J28+武将数量星级阶位验证!S24</f>
        <v>244.55482739140552</v>
      </c>
      <c r="Z28" s="41">
        <f>SUMIFS(武将进阶!I$13:I$18,武将进阶!$C$13:$C$18,"&lt;="&amp;W28)*K28+武将数量星级阶位验证!T24</f>
        <v>525</v>
      </c>
      <c r="AA28" s="29"/>
      <c r="AB28" s="29">
        <f>求节点(基础状态预期!$AT$17:$AT$55,基础状态预期!AW$17:AW$55,各r阵容卡情况!$F28)</f>
        <v>2</v>
      </c>
      <c r="AC28" s="29">
        <f>求节点(基础状态预期!$AT$17:$AT$55,基础状态预期!AX$17:AX$55,各r阵容卡情况!$F28)</f>
        <v>2</v>
      </c>
      <c r="AD28" s="29">
        <f>求节点(基础状态预期!$AT$17:$AT$55,基础状态预期!AY$17:AY$55,各r阵容卡情况!$F28)</f>
        <v>2</v>
      </c>
      <c r="AE28" s="41">
        <f>IF(AA28&lt;1,0,(AA28-1)*武将觉醒!E$34*G28)+武将数量星级阶位验证!V24</f>
        <v>0</v>
      </c>
      <c r="AF28" s="41">
        <f>IF(AB28&lt;1,0,(AB28-1)*武将觉醒!F$34*H28)+武将数量星级阶位验证!W24</f>
        <v>40</v>
      </c>
      <c r="AG28" s="41">
        <f>IF(AC28&lt;1,0,(AC28-1)*武将觉醒!G$34*I28)+武将数量星级阶位验证!X24</f>
        <v>16</v>
      </c>
      <c r="AH28" s="41">
        <f>IF(AD28&lt;1,0,(AD28-1)*武将觉醒!H$34*J28)+武将数量星级阶位验证!Y24</f>
        <v>0</v>
      </c>
      <c r="AJ28" s="29">
        <f>MAX(W28+AE28+G28*(K28+1)+IF(武将数量星级阶位验证!L24="",0,武将数量星级阶位验证!L24)*武将升星!P21,O28)</f>
        <v>168</v>
      </c>
      <c r="AK28" s="29">
        <f>MAX(X28+AF28+H28*(L28+1)+IF(武将数量星级阶位验证!M24="",0,武将数量星级阶位验证!M24)*武将升星!Q21,P28)</f>
        <v>432</v>
      </c>
      <c r="AL28" s="64">
        <f>MAX(Y28+AG28+I28*(M28+1)+IF(武将数量星级阶位验证!N24="",0,武将数量星级阶位验证!N24)*武将升星!R21,Q28)</f>
        <v>370.43683126798504</v>
      </c>
      <c r="AM28" s="41">
        <f t="shared" si="26"/>
        <v>46.187465923462895</v>
      </c>
      <c r="AO28" s="17">
        <f>武将数量星级阶位验证!BJ24</f>
        <v>4804.2432463732921</v>
      </c>
      <c r="AP28" s="17">
        <f>武将数量星级阶位验证!BK24</f>
        <v>1345.0149269505721</v>
      </c>
      <c r="AQ28" s="63">
        <f>武将数量星级阶位验证!BL24</f>
        <v>214.22979724268063</v>
      </c>
      <c r="AR28" s="17">
        <f>武将数量星级阶位验证!BM24</f>
        <v>46.187465923462902</v>
      </c>
      <c r="AT28" s="17">
        <f t="shared" si="27"/>
        <v>400</v>
      </c>
      <c r="AU28" s="17">
        <f t="shared" si="28"/>
        <v>86.465948248806328</v>
      </c>
      <c r="BA28" s="17">
        <f>基础状态预期!J34</f>
        <v>6</v>
      </c>
      <c r="BB28" s="62">
        <f t="shared" si="29"/>
        <v>6</v>
      </c>
      <c r="BD28" s="17">
        <v>0</v>
      </c>
      <c r="BE28" s="17">
        <v>8</v>
      </c>
      <c r="BF28" s="17">
        <v>16</v>
      </c>
      <c r="BG28" s="17">
        <v>0</v>
      </c>
      <c r="BH28" s="62">
        <f t="shared" si="30"/>
        <v>24</v>
      </c>
      <c r="BJ28" s="17">
        <f t="shared" si="31"/>
        <v>0</v>
      </c>
      <c r="BK28" s="17">
        <f t="shared" si="32"/>
        <v>8</v>
      </c>
      <c r="BL28" s="17">
        <f t="shared" si="33"/>
        <v>16</v>
      </c>
      <c r="BM28" s="17">
        <f t="shared" si="34"/>
        <v>6</v>
      </c>
      <c r="BN28" s="62">
        <f t="shared" si="35"/>
        <v>30</v>
      </c>
      <c r="BR28" s="17">
        <f>武将升星!P21*基础状态预期!G34+G28*(K28+1)+W28+AE28</f>
        <v>168</v>
      </c>
      <c r="BS28" s="17">
        <f>武将升星!Q21*基础状态预期!H34+H28*(L28+1)+X28+AF28</f>
        <v>432</v>
      </c>
      <c r="BT28" s="17">
        <f>武将升星!R21*基础状态预期!I34+I28*(M28+1)+Y28+AG28</f>
        <v>370.43683126798504</v>
      </c>
      <c r="BU28" s="17">
        <f>武将升星!S21*基础状态预期!J34+J28*(N28+1)+Z28+AH28</f>
        <v>571.18746592346292</v>
      </c>
    </row>
    <row r="29" spans="2:73" x14ac:dyDescent="0.15">
      <c r="B29" s="17">
        <v>22</v>
      </c>
      <c r="E29" s="29">
        <f>基础状态预期!C35</f>
        <v>520</v>
      </c>
      <c r="F29" s="29">
        <f>基础状态预期!D35</f>
        <v>90.244911202258237</v>
      </c>
      <c r="G29" s="29">
        <f t="shared" si="19"/>
        <v>0</v>
      </c>
      <c r="H29" s="29">
        <f t="shared" si="20"/>
        <v>6</v>
      </c>
      <c r="I29" s="29">
        <f t="shared" si="21"/>
        <v>18</v>
      </c>
      <c r="J29" s="29">
        <f t="shared" si="22"/>
        <v>0</v>
      </c>
      <c r="K29" s="29">
        <f>武将战力价值情况!G25</f>
        <v>3</v>
      </c>
      <c r="L29" s="29">
        <f>武将战力价值情况!H25</f>
        <v>6</v>
      </c>
      <c r="M29" s="29">
        <f>武将战力价值情况!I25</f>
        <v>6.460698588898274</v>
      </c>
      <c r="N29" s="29">
        <f>武将战力价值情况!J25</f>
        <v>5.5099260069221145</v>
      </c>
      <c r="O29" s="41">
        <f>MAX(同名需求(G29,求节点(武将升星!$C$104:$C$112,武将升星!E$104:E$112,K29),F$2),武将数量星级阶位验证!AA25)</f>
        <v>24</v>
      </c>
      <c r="P29" s="41">
        <f>MAX(同名需求(H29,求节点(武将升星!$C$104:$C$112,武将升星!F$104:F$112,L29),G$2),武将数量星级阶位验证!AB25)</f>
        <v>126</v>
      </c>
      <c r="Q29" s="41">
        <f>MAX(同名需求(I29,求节点(武将升星!$C$104:$C$112,武将升星!G$104:G$112,M29),H$2),武将数量星级阶位验证!AC25)</f>
        <v>245.64191533389641</v>
      </c>
      <c r="R29" s="41">
        <f>MAX(同名需求(J29,求节点(武将升星!$C$104:$C$112,武将升星!H$104:H$112,N29),I$2),武将数量星级阶位验证!AD25)</f>
        <v>57.178668124598062</v>
      </c>
      <c r="S29" s="29">
        <f>MAX(基础状态预期!P35:T35)</f>
        <v>3.6097964480903295</v>
      </c>
      <c r="T29" s="29">
        <f t="shared" si="23"/>
        <v>3.6097964480903295</v>
      </c>
      <c r="U29" s="29">
        <f t="shared" si="24"/>
        <v>3.6097964480903295</v>
      </c>
      <c r="V29" s="29">
        <f t="shared" si="25"/>
        <v>3.6097964480903295</v>
      </c>
      <c r="W29" s="41">
        <f>SUMIFS(武将进阶!F$13:F$18,武将进阶!$C$13:$C$18,"&lt;="&amp;T29)*H29+武将数量星级阶位验证!Q25</f>
        <v>126</v>
      </c>
      <c r="X29" s="41">
        <f>SUMIFS(武将进阶!G$13:G$18,武将进阶!$C$13:$C$18,"&lt;="&amp;U29)*I29+武将数量星级阶位验证!R25</f>
        <v>378</v>
      </c>
      <c r="Y29" s="41">
        <f>SUMIFS(武将进阶!H$13:H$18,武将进阶!$C$13:$C$18,"&lt;="&amp;V29)*J29+武将数量星级阶位验证!S25</f>
        <v>271.76336065625935</v>
      </c>
      <c r="Z29" s="41">
        <f>SUMIFS(武将进阶!I$13:I$18,武将进阶!$C$13:$C$18,"&lt;="&amp;W29)*K29+武将数量星级阶位验证!T25</f>
        <v>525</v>
      </c>
      <c r="AA29" s="29"/>
      <c r="AB29" s="29">
        <f>求节点(基础状态预期!$AT$17:$AT$55,基础状态预期!AW$17:AW$55,各r阵容卡情况!$F29)</f>
        <v>2</v>
      </c>
      <c r="AC29" s="29">
        <f>求节点(基础状态预期!$AT$17:$AT$55,基础状态预期!AX$17:AX$55,各r阵容卡情况!$F29)</f>
        <v>2</v>
      </c>
      <c r="AD29" s="29">
        <f>求节点(基础状态预期!$AT$17:$AT$55,基础状态预期!AY$17:AY$55,各r阵容卡情况!$F29)</f>
        <v>2</v>
      </c>
      <c r="AE29" s="41">
        <f>IF(AA29&lt;1,0,(AA29-1)*武将觉醒!E$34*G29)+武将数量星级阶位验证!V25</f>
        <v>0</v>
      </c>
      <c r="AF29" s="41">
        <f>IF(AB29&lt;1,0,(AB29-1)*武将觉醒!F$34*H29)+武将数量星级阶位验证!W25</f>
        <v>30</v>
      </c>
      <c r="AG29" s="41">
        <f>IF(AC29&lt;1,0,(AC29-1)*武将觉醒!G$34*I29)+武将数量星级阶位验证!X25</f>
        <v>18</v>
      </c>
      <c r="AH29" s="41">
        <f>IF(AD29&lt;1,0,(AD29-1)*武将觉醒!H$34*J29)+武将数量星级阶位验证!Y25</f>
        <v>0</v>
      </c>
      <c r="AJ29" s="29">
        <f>MAX(W29+AE29+G29*(K29+1)+IF(武将数量星级阶位验证!L25="",0,武将数量星级阶位验证!L25)*武将升星!P22,O29)</f>
        <v>126</v>
      </c>
      <c r="AK29" s="29">
        <f>MAX(X29+AF29+H29*(L29+1)+IF(武将数量星级阶位验证!M25="",0,武将数量星级阶位验证!M25)*武将升星!Q22,P29)</f>
        <v>450</v>
      </c>
      <c r="AL29" s="64">
        <f>MAX(Y29+AG29+I29*(M29+1)+IF(武将数量星级阶位验证!N25="",0,武将数量星级阶位验证!N25)*武将升星!R22,Q29)</f>
        <v>424.05593525642826</v>
      </c>
      <c r="AM29" s="41">
        <f t="shared" si="26"/>
        <v>57.178668124598062</v>
      </c>
      <c r="AO29" s="17">
        <f>武将数量星级阶位验证!BJ25</f>
        <v>6052.8360919894412</v>
      </c>
      <c r="AP29" s="17">
        <f>武将数量星级阶位验证!BK25</f>
        <v>1661.5516002565989</v>
      </c>
      <c r="AQ29" s="63">
        <f>武将数量星级阶位验证!BL25</f>
        <v>258.71029823858464</v>
      </c>
      <c r="AR29" s="17">
        <f>武将数量星级阶位验证!BM25</f>
        <v>57.178668124598062</v>
      </c>
      <c r="AT29" s="17">
        <f t="shared" si="27"/>
        <v>520</v>
      </c>
      <c r="AU29" s="17">
        <f t="shared" si="28"/>
        <v>90.244911202258237</v>
      </c>
      <c r="BA29" s="17">
        <f>基础状态预期!J35</f>
        <v>6</v>
      </c>
      <c r="BB29" s="62">
        <f t="shared" si="29"/>
        <v>6</v>
      </c>
      <c r="BD29" s="17">
        <v>0</v>
      </c>
      <c r="BE29" s="17">
        <v>6</v>
      </c>
      <c r="BF29" s="17">
        <v>18</v>
      </c>
      <c r="BG29" s="17">
        <v>0</v>
      </c>
      <c r="BH29" s="62">
        <f t="shared" si="30"/>
        <v>24</v>
      </c>
      <c r="BJ29" s="17">
        <f t="shared" si="31"/>
        <v>0</v>
      </c>
      <c r="BK29" s="17">
        <f t="shared" si="32"/>
        <v>6</v>
      </c>
      <c r="BL29" s="17">
        <f t="shared" si="33"/>
        <v>18</v>
      </c>
      <c r="BM29" s="17">
        <f t="shared" si="34"/>
        <v>6</v>
      </c>
      <c r="BN29" s="62">
        <f t="shared" si="35"/>
        <v>30</v>
      </c>
      <c r="BR29" s="17">
        <f>武将升星!P22*基础状态预期!G35+G29*(K29+1)+W29+AE29</f>
        <v>126</v>
      </c>
      <c r="BS29" s="17">
        <f>武将升星!Q22*基础状态预期!H35+H29*(L29+1)+X29+AF29</f>
        <v>450</v>
      </c>
      <c r="BT29" s="17">
        <f>武将升星!R22*基础状态预期!I35+I29*(M29+1)+Y29+AG29</f>
        <v>424.05593525642826</v>
      </c>
      <c r="BU29" s="17">
        <f>武将升星!S22*基础状态预期!J35+J29*(N29+1)+Z29+AH29</f>
        <v>582.17866812459806</v>
      </c>
    </row>
    <row r="30" spans="2:73" x14ac:dyDescent="0.15">
      <c r="B30" s="17">
        <v>23</v>
      </c>
      <c r="E30" s="29">
        <f>基础状态预期!C36</f>
        <v>640</v>
      </c>
      <c r="F30" s="29">
        <f>基础状态预期!D36</f>
        <v>93.235489905456092</v>
      </c>
      <c r="G30" s="29">
        <f t="shared" si="19"/>
        <v>0</v>
      </c>
      <c r="H30" s="29">
        <f t="shared" si="20"/>
        <v>4</v>
      </c>
      <c r="I30" s="29">
        <f t="shared" si="21"/>
        <v>20</v>
      </c>
      <c r="J30" s="29">
        <f t="shared" si="22"/>
        <v>0</v>
      </c>
      <c r="K30" s="29">
        <f>武将战力价值情况!G26</f>
        <v>3</v>
      </c>
      <c r="L30" s="29">
        <f>武将战力价值情况!H26</f>
        <v>6</v>
      </c>
      <c r="M30" s="29">
        <f>武将战力价值情况!I26</f>
        <v>7.0386649967691817</v>
      </c>
      <c r="N30" s="29">
        <f>武将战力价值情况!J26</f>
        <v>6.1155873008178832</v>
      </c>
      <c r="O30" s="41">
        <f>MAX(同名需求(G30,求节点(武将升星!$C$104:$C$112,武将升星!E$104:E$112,K30),F$2),武将数量星级阶位验证!AA26)</f>
        <v>24</v>
      </c>
      <c r="P30" s="41">
        <f>MAX(同名需求(H30,求节点(武将升星!$C$104:$C$112,武将升星!F$104:F$112,L30),G$2),武将数量星级阶位验证!AB26)</f>
        <v>124</v>
      </c>
      <c r="Q30" s="41">
        <f>MAX(同名需求(I30,求节点(武将升星!$C$104:$C$112,武将升星!G$104:G$112,M30),H$2),武将数量星级阶位验证!AC26)</f>
        <v>283.09319974153453</v>
      </c>
      <c r="R30" s="41">
        <f>MAX(同名需求(J30,求节点(武将升星!$C$104:$C$112,武将升星!H$104:H$112,N30),I$2),武将数量星级阶位验证!AD26)</f>
        <v>68.080571414721902</v>
      </c>
      <c r="S30" s="29">
        <f>MAX(基础状态预期!P36:T36)</f>
        <v>3.7294195962182437</v>
      </c>
      <c r="T30" s="29">
        <f t="shared" si="23"/>
        <v>3.7294195962182437</v>
      </c>
      <c r="U30" s="29">
        <f t="shared" si="24"/>
        <v>3.7294195962182437</v>
      </c>
      <c r="V30" s="29">
        <f t="shared" si="25"/>
        <v>3.7294195962182437</v>
      </c>
      <c r="W30" s="41">
        <f>SUMIFS(武将进阶!F$13:F$18,武将进阶!$C$13:$C$18,"&lt;="&amp;T30)*H30+武将数量星级阶位验证!Q26</f>
        <v>84</v>
      </c>
      <c r="X30" s="41">
        <f>SUMIFS(武将进阶!G$13:G$18,武将进阶!$C$13:$C$18,"&lt;="&amp;U30)*I30+武将数量星级阶位验证!R26</f>
        <v>420</v>
      </c>
      <c r="Y30" s="41">
        <f>SUMIFS(武将进阶!H$13:H$18,武将进阶!$C$13:$C$18,"&lt;="&amp;V30)*J30+武将数量星级阶位验证!S26</f>
        <v>293.29552731928391</v>
      </c>
      <c r="Z30" s="41">
        <f>SUMIFS(武将进阶!I$13:I$18,武将进阶!$C$13:$C$18,"&lt;="&amp;W30)*K30+武将数量星级阶位验证!T26</f>
        <v>525</v>
      </c>
      <c r="AA30" s="29"/>
      <c r="AB30" s="29">
        <f>求节点(基础状态预期!$AT$17:$AT$55,基础状态预期!AW$17:AW$55,各r阵容卡情况!$F30)</f>
        <v>2</v>
      </c>
      <c r="AC30" s="29">
        <f>求节点(基础状态预期!$AT$17:$AT$55,基础状态预期!AX$17:AX$55,各r阵容卡情况!$F30)</f>
        <v>2</v>
      </c>
      <c r="AD30" s="29">
        <f>求节点(基础状态预期!$AT$17:$AT$55,基础状态预期!AY$17:AY$55,各r阵容卡情况!$F30)</f>
        <v>2</v>
      </c>
      <c r="AE30" s="41">
        <f>IF(AA30&lt;1,0,(AA30-1)*武将觉醒!E$34*G30)+武将数量星级阶位验证!V26</f>
        <v>0</v>
      </c>
      <c r="AF30" s="41">
        <f>IF(AB30&lt;1,0,(AB30-1)*武将觉醒!F$34*H30)+武将数量星级阶位验证!W26</f>
        <v>20</v>
      </c>
      <c r="AG30" s="41">
        <f>IF(AC30&lt;1,0,(AC30-1)*武将觉醒!G$34*I30)+武将数量星级阶位验证!X26</f>
        <v>20</v>
      </c>
      <c r="AH30" s="41">
        <f>IF(AD30&lt;1,0,(AD30-1)*武将觉醒!H$34*J30)+武将数量星级阶位验证!Y26</f>
        <v>0</v>
      </c>
      <c r="AJ30" s="29">
        <f>MAX(W30+AE30+G30*(K30+1)+IF(武将数量星级阶位验证!L26="",0,武将数量星级阶位验证!L26)*武将升星!P23,O30)</f>
        <v>84</v>
      </c>
      <c r="AK30" s="29">
        <f>MAX(X30+AF30+H30*(L30+1)+IF(武将数量星级阶位验证!M26="",0,武将数量星级阶位验证!M26)*武将升星!Q23,P30)</f>
        <v>468</v>
      </c>
      <c r="AL30" s="64">
        <f>MAX(Y30+AG30+I30*(M30+1)+IF(武将数量星级阶位验证!N26="",0,武将数量星级阶位验证!N26)*武将升星!R23,Q30)</f>
        <v>474.06882725466755</v>
      </c>
      <c r="AM30" s="41">
        <f t="shared" si="26"/>
        <v>68.080571414721902</v>
      </c>
      <c r="AO30" s="17">
        <f>武将数量星级阶位验证!BJ26</f>
        <v>7299.3767266071945</v>
      </c>
      <c r="AP30" s="17">
        <f>武将数量星级阶位验证!BK26</f>
        <v>1976.9789703202491</v>
      </c>
      <c r="AQ30" s="63">
        <f>武将数量星级阶位验证!BL26</f>
        <v>303.02440374813222</v>
      </c>
      <c r="AR30" s="17">
        <f>武将数量星级阶位验证!BM26</f>
        <v>68.080571414721902</v>
      </c>
      <c r="AT30" s="17">
        <f t="shared" si="27"/>
        <v>640</v>
      </c>
      <c r="AU30" s="17">
        <f t="shared" si="28"/>
        <v>93.235489905456092</v>
      </c>
      <c r="BA30" s="17">
        <f>基础状态预期!J36</f>
        <v>6</v>
      </c>
      <c r="BB30" s="62">
        <f t="shared" si="29"/>
        <v>6</v>
      </c>
      <c r="BD30" s="17">
        <v>0</v>
      </c>
      <c r="BE30" s="17">
        <v>4</v>
      </c>
      <c r="BF30" s="17">
        <v>20</v>
      </c>
      <c r="BG30" s="17">
        <v>0</v>
      </c>
      <c r="BH30" s="62">
        <f t="shared" si="30"/>
        <v>24</v>
      </c>
      <c r="BJ30" s="17">
        <f t="shared" si="31"/>
        <v>0</v>
      </c>
      <c r="BK30" s="17">
        <f t="shared" si="32"/>
        <v>4</v>
      </c>
      <c r="BL30" s="17">
        <f t="shared" si="33"/>
        <v>20</v>
      </c>
      <c r="BM30" s="17">
        <f t="shared" si="34"/>
        <v>6</v>
      </c>
      <c r="BN30" s="62">
        <f t="shared" si="35"/>
        <v>30</v>
      </c>
      <c r="BR30" s="17">
        <f>武将升星!P23*基础状态预期!G36+G30*(K30+1)+W30+AE30</f>
        <v>84</v>
      </c>
      <c r="BS30" s="17">
        <f>武将升星!Q23*基础状态预期!H36+H30*(L30+1)+X30+AF30</f>
        <v>468</v>
      </c>
      <c r="BT30" s="17">
        <f>武将升星!R23*基础状态预期!I36+I30*(M30+1)+Y30+AG30</f>
        <v>474.06882725466755</v>
      </c>
      <c r="BU30" s="17">
        <f>武将升星!S23*基础状态预期!J36+J30*(N30+1)+Z30+AH30</f>
        <v>593.08057141472193</v>
      </c>
    </row>
    <row r="31" spans="2:73" x14ac:dyDescent="0.15">
      <c r="B31" s="17">
        <v>24</v>
      </c>
      <c r="E31" s="29">
        <f>基础状态预期!C37</f>
        <v>820</v>
      </c>
      <c r="F31" s="29">
        <f>基础状态预期!D37</f>
        <v>96.807063977001675</v>
      </c>
      <c r="G31" s="29">
        <f t="shared" si="19"/>
        <v>0</v>
      </c>
      <c r="H31" s="29">
        <f t="shared" si="20"/>
        <v>2</v>
      </c>
      <c r="I31" s="29">
        <f t="shared" si="21"/>
        <v>22</v>
      </c>
      <c r="J31" s="29">
        <f t="shared" si="22"/>
        <v>0</v>
      </c>
      <c r="K31" s="29">
        <f>武将战力价值情况!G27</f>
        <v>3</v>
      </c>
      <c r="L31" s="29">
        <f>武将战力价值情况!H27</f>
        <v>6</v>
      </c>
      <c r="M31" s="29">
        <f>武将战力价值情况!I27</f>
        <v>7.673731743349407</v>
      </c>
      <c r="N31" s="29">
        <f>武将战力价值情况!J27</f>
        <v>6.9356937119181863</v>
      </c>
      <c r="O31" s="41">
        <f>MAX(同名需求(G31,求节点(武将升星!$C$104:$C$112,武将升星!E$104:E$112,K31),F$2),武将数量星级阶位验证!AA27)</f>
        <v>24</v>
      </c>
      <c r="P31" s="41">
        <f>MAX(同名需求(H31,求节点(武将升星!$C$104:$C$112,武将升星!F$104:F$112,L31),G$2),武将数量星级阶位验证!AB27)</f>
        <v>122</v>
      </c>
      <c r="Q31" s="41">
        <f>MAX(同名需求(I31,求节点(武将升星!$C$104:$C$112,武将升星!G$104:G$112,M31),H$2),武将数量星级阶位验证!AC27)</f>
        <v>649.79707893590512</v>
      </c>
      <c r="R31" s="41">
        <f>MAX(同名需求(J31,求节点(武将升星!$C$104:$C$112,武将升星!H$104:H$112,N31),I$2),武将数量星级阶位验证!AD27)</f>
        <v>82.842486814527348</v>
      </c>
      <c r="S31" s="29">
        <f>MAX(基础状态预期!P37:T37)</f>
        <v>3.8722825590800669</v>
      </c>
      <c r="T31" s="29">
        <f t="shared" si="23"/>
        <v>3.8722825590800669</v>
      </c>
      <c r="U31" s="29">
        <f t="shared" si="24"/>
        <v>3.8722825590800669</v>
      </c>
      <c r="V31" s="29">
        <f t="shared" si="25"/>
        <v>3.8722825590800669</v>
      </c>
      <c r="W31" s="41">
        <f>SUMIFS(武将进阶!F$13:F$18,武将进阶!$C$13:$C$18,"&lt;="&amp;T31)*H31+武将数量星级阶位验证!Q27</f>
        <v>42</v>
      </c>
      <c r="X31" s="41">
        <f>SUMIFS(武将进阶!G$13:G$18,武将进阶!$C$13:$C$18,"&lt;="&amp;U31)*I31+武将数量星级阶位验证!R27</f>
        <v>462</v>
      </c>
      <c r="Y31" s="41">
        <f>SUMIFS(武将进阶!H$13:H$18,武将进阶!$C$13:$C$18,"&lt;="&amp;V31)*J31+武将数量星级阶位验证!S27</f>
        <v>319.01086063441204</v>
      </c>
      <c r="Z31" s="41">
        <f>SUMIFS(武将进阶!I$13:I$18,武将进阶!$C$13:$C$18,"&lt;="&amp;W31)*K31+武将数量星级阶位验证!T27</f>
        <v>525</v>
      </c>
      <c r="AA31" s="29"/>
      <c r="AB31" s="29">
        <f>求节点(基础状态预期!$AT$17:$AT$55,基础状态预期!AW$17:AW$55,各r阵容卡情况!$F31)</f>
        <v>2</v>
      </c>
      <c r="AC31" s="29">
        <f>求节点(基础状态预期!$AT$17:$AT$55,基础状态预期!AX$17:AX$55,各r阵容卡情况!$F31)</f>
        <v>2</v>
      </c>
      <c r="AD31" s="29">
        <f>求节点(基础状态预期!$AT$17:$AT$55,基础状态预期!AY$17:AY$55,各r阵容卡情况!$F31)</f>
        <v>2</v>
      </c>
      <c r="AE31" s="41">
        <f>IF(AA31&lt;1,0,(AA31-1)*武将觉醒!E$34*G31)+武将数量星级阶位验证!V27</f>
        <v>0</v>
      </c>
      <c r="AF31" s="41">
        <f>IF(AB31&lt;1,0,(AB31-1)*武将觉醒!F$34*H31)+武将数量星级阶位验证!W27</f>
        <v>10</v>
      </c>
      <c r="AG31" s="41">
        <f>IF(AC31&lt;1,0,(AC31-1)*武将觉醒!G$34*I31)+武将数量星级阶位验证!X27</f>
        <v>22</v>
      </c>
      <c r="AH31" s="41">
        <f>IF(AD31&lt;1,0,(AD31-1)*武将觉醒!H$34*J31)+武将数量星级阶位验证!Y27</f>
        <v>0</v>
      </c>
      <c r="AJ31" s="29">
        <f>MAX(W31+AE31+G31*(K31+1)+IF(武将数量星级阶位验证!L27="",0,武将数量星级阶位验证!L27)*武将升星!P24,O31)</f>
        <v>42</v>
      </c>
      <c r="AK31" s="29">
        <f>MAX(X31+AF31+H31*(L31+1)+IF(武将数量星级阶位验证!M27="",0,武将数量星级阶位验证!M27)*武将升星!Q24,P31)</f>
        <v>486</v>
      </c>
      <c r="AL31" s="64">
        <f>MAX(Y31+AG31+I31*(M31+1)+IF(武将数量星级阶位验证!N27="",0,武将数量星级阶位验证!N27)*武将升星!R24,Q31)</f>
        <v>649.79707893590512</v>
      </c>
      <c r="AM31" s="41">
        <f t="shared" si="26"/>
        <v>82.842486814527348</v>
      </c>
      <c r="AO31" s="17">
        <f>武将数量星级阶位验证!BJ27</f>
        <v>9132.6257140561411</v>
      </c>
      <c r="AP31" s="17">
        <f>武将数量星级阶位验证!BK27</f>
        <v>2430.3568013737331</v>
      </c>
      <c r="AQ31" s="63">
        <f>武将数量星级阶位验证!BL27</f>
        <v>366.53107840615485</v>
      </c>
      <c r="AR31" s="17">
        <f>武将数量星级阶位验证!BM27</f>
        <v>82.842486814527362</v>
      </c>
      <c r="AT31" s="17">
        <f t="shared" si="27"/>
        <v>820</v>
      </c>
      <c r="AU31" s="17">
        <f t="shared" si="28"/>
        <v>96.807063977001675</v>
      </c>
      <c r="BA31" s="17">
        <f>基础状态预期!J37</f>
        <v>6</v>
      </c>
      <c r="BB31" s="62">
        <f t="shared" si="29"/>
        <v>6</v>
      </c>
      <c r="BD31" s="17">
        <v>0</v>
      </c>
      <c r="BE31" s="17">
        <v>2</v>
      </c>
      <c r="BF31" s="17">
        <v>22</v>
      </c>
      <c r="BG31" s="17">
        <v>0</v>
      </c>
      <c r="BH31" s="62">
        <f t="shared" si="30"/>
        <v>24</v>
      </c>
      <c r="BJ31" s="17">
        <f t="shared" si="31"/>
        <v>0</v>
      </c>
      <c r="BK31" s="17">
        <f t="shared" si="32"/>
        <v>2</v>
      </c>
      <c r="BL31" s="17">
        <f t="shared" si="33"/>
        <v>22</v>
      </c>
      <c r="BM31" s="17">
        <f t="shared" si="34"/>
        <v>6</v>
      </c>
      <c r="BN31" s="62">
        <f t="shared" si="35"/>
        <v>30</v>
      </c>
      <c r="BR31" s="17">
        <f>武将升星!P24*基础状态预期!G37+G31*(K31+1)+W31+AE31</f>
        <v>42</v>
      </c>
      <c r="BS31" s="17">
        <f>武将升星!Q24*基础状态预期!H37+H31*(L31+1)+X31+AF31</f>
        <v>486</v>
      </c>
      <c r="BT31" s="17">
        <f>武将升星!R24*基础状态预期!I37+I31*(M31+1)+Y31+AG31</f>
        <v>531.83295898809899</v>
      </c>
      <c r="BU31" s="17">
        <f>武将升星!S24*基础状态预期!J37+J31*(N31+1)+Z31+AH31</f>
        <v>607.84248681452732</v>
      </c>
    </row>
    <row r="32" spans="2:73" x14ac:dyDescent="0.15">
      <c r="B32" s="17">
        <v>25</v>
      </c>
      <c r="E32" s="29">
        <f>基础状态预期!C38</f>
        <v>1060</v>
      </c>
      <c r="F32" s="29">
        <f>基础状态预期!D38</f>
        <v>100.50342858241972</v>
      </c>
      <c r="G32" s="29">
        <f t="shared" si="19"/>
        <v>0</v>
      </c>
      <c r="H32" s="29">
        <f t="shared" si="20"/>
        <v>0</v>
      </c>
      <c r="I32" s="29">
        <f t="shared" si="21"/>
        <v>24</v>
      </c>
      <c r="J32" s="29">
        <f t="shared" si="22"/>
        <v>0</v>
      </c>
      <c r="K32" s="29">
        <f>武将战力价值情况!G28</f>
        <v>3</v>
      </c>
      <c r="L32" s="29">
        <f>武将战力价值情况!H28</f>
        <v>6</v>
      </c>
      <c r="M32" s="29">
        <f>武将战力价值情况!I28</f>
        <v>8</v>
      </c>
      <c r="N32" s="29">
        <f>武将战力价值情况!J28</f>
        <v>7.7152380009663544</v>
      </c>
      <c r="O32" s="41">
        <f>MAX(同名需求(G32,求节点(武将升星!$C$104:$C$112,武将升星!E$104:E$112,K32),F$2),武将数量星级阶位验证!AA28)</f>
        <v>24</v>
      </c>
      <c r="P32" s="41">
        <f>MAX(同名需求(H32,求节点(武将升星!$C$104:$C$112,武将升星!F$104:F$112,L32),G$2),武将数量星级阶位验证!AB28)</f>
        <v>120</v>
      </c>
      <c r="Q32" s="41">
        <f>MAX(同名需求(I32,求节点(武将升星!$C$104:$C$112,武将升星!G$104:G$112,M32),H$2),武将数量星级阶位验证!AC28)</f>
        <v>704</v>
      </c>
      <c r="R32" s="41">
        <f>MAX(同名需求(J32,求节点(武将升星!$C$104:$C$112,武将升星!H$104:H$112,N32),I$2),武将数量星级阶位验证!AD28)</f>
        <v>101.16571202319251</v>
      </c>
      <c r="S32" s="29">
        <f>MAX(基础状态预期!P38:T38)</f>
        <v>4.0201371432967887</v>
      </c>
      <c r="T32" s="29">
        <f t="shared" si="23"/>
        <v>4.0201371432967887</v>
      </c>
      <c r="U32" s="29">
        <f t="shared" si="24"/>
        <v>4.0201371432967887</v>
      </c>
      <c r="V32" s="29">
        <f t="shared" si="25"/>
        <v>4.0201371432967887</v>
      </c>
      <c r="W32" s="41">
        <f>SUMIFS(武将进阶!F$13:F$18,武将进阶!$C$13:$C$18,"&lt;="&amp;T32)*H32+武将数量星级阶位验证!Q28</f>
        <v>0</v>
      </c>
      <c r="X32" s="41">
        <f>SUMIFS(武将进阶!G$13:G$18,武将进阶!$C$13:$C$18,"&lt;="&amp;U32)*I32+武将数量星级阶位验证!R28</f>
        <v>984</v>
      </c>
      <c r="Y32" s="41">
        <f>SUMIFS(武将进阶!H$13:H$18,武将进阶!$C$13:$C$18,"&lt;="&amp;V32)*J32+武将数量星级阶位验证!S28</f>
        <v>348.04114298903664</v>
      </c>
      <c r="Z32" s="41">
        <f>SUMIFS(武将进阶!I$13:I$18,武将进阶!$C$13:$C$18,"&lt;="&amp;W32)*K32+武将数量星级阶位验证!T28</f>
        <v>0</v>
      </c>
      <c r="AA32" s="29"/>
      <c r="AB32" s="29">
        <f>求节点(基础状态预期!$AT$17:$AT$55,基础状态预期!AW$17:AW$55,各r阵容卡情况!$F32)</f>
        <v>2</v>
      </c>
      <c r="AC32" s="29">
        <f>求节点(基础状态预期!$AT$17:$AT$55,基础状态预期!AX$17:AX$55,各r阵容卡情况!$F32)</f>
        <v>2</v>
      </c>
      <c r="AD32" s="29">
        <f>求节点(基础状态预期!$AT$17:$AT$55,基础状态预期!AY$17:AY$55,各r阵容卡情况!$F32)</f>
        <v>2</v>
      </c>
      <c r="AE32" s="41">
        <f>IF(AA32&lt;1,0,(AA32-1)*武将觉醒!E$34*G32)+武将数量星级阶位验证!V28</f>
        <v>0</v>
      </c>
      <c r="AF32" s="41">
        <f>IF(AB32&lt;1,0,(AB32-1)*武将觉醒!F$34*H32)+武将数量星级阶位验证!W28</f>
        <v>0</v>
      </c>
      <c r="AG32" s="41">
        <f>IF(AC32&lt;1,0,(AC32-1)*武将觉醒!G$34*I32)+武将数量星级阶位验证!X28</f>
        <v>24</v>
      </c>
      <c r="AH32" s="41">
        <f>IF(AD32&lt;1,0,(AD32-1)*武将觉醒!H$34*J32)+武将数量星级阶位验证!Y28</f>
        <v>0</v>
      </c>
      <c r="AJ32" s="29">
        <f>MAX(W32+AE32+G32*(K32+1)+IF(武将数量星级阶位验证!L28="",0,武将数量星级阶位验证!L28)*武将升星!P25,O32)</f>
        <v>24</v>
      </c>
      <c r="AK32" s="29">
        <f>MAX(X32+AF32+H32*(L32+1)+IF(武将数量星级阶位验证!M28="",0,武将数量星级阶位验证!M28)*武将升星!Q25,P32)</f>
        <v>984</v>
      </c>
      <c r="AL32" s="64">
        <f>MAX(Y32+AG32+I32*(M32+1)+IF(武将数量星级阶位验证!N28="",0,武将数量星级阶位验证!N28)*武将升星!R25,Q32)</f>
        <v>704</v>
      </c>
      <c r="AM32" s="41">
        <f t="shared" si="26"/>
        <v>101.16571202319251</v>
      </c>
      <c r="AO32" s="17">
        <f>武将数量星级阶位验证!BJ28</f>
        <v>11545.718467298755</v>
      </c>
      <c r="AP32" s="17">
        <f>武将数量星级阶位验证!BK28</f>
        <v>3017.9745058292006</v>
      </c>
      <c r="AQ32" s="63">
        <f>武将数量星级阶位验证!BL28</f>
        <v>448.67373407447496</v>
      </c>
      <c r="AR32" s="17">
        <f>武将数量星级阶位验证!BM28</f>
        <v>101.1657120231925</v>
      </c>
      <c r="AT32" s="17">
        <f t="shared" si="27"/>
        <v>1060</v>
      </c>
      <c r="AU32" s="17">
        <f t="shared" si="28"/>
        <v>100.50342858241972</v>
      </c>
      <c r="BA32" s="17">
        <f>基础状态预期!J38</f>
        <v>6</v>
      </c>
      <c r="BB32" s="62">
        <f t="shared" si="29"/>
        <v>6</v>
      </c>
      <c r="BD32" s="17">
        <v>0</v>
      </c>
      <c r="BE32" s="17">
        <v>0</v>
      </c>
      <c r="BF32" s="17">
        <v>24</v>
      </c>
      <c r="BG32" s="17">
        <v>0</v>
      </c>
      <c r="BH32" s="62">
        <f t="shared" si="30"/>
        <v>24</v>
      </c>
      <c r="BJ32" s="17">
        <f t="shared" si="31"/>
        <v>0</v>
      </c>
      <c r="BK32" s="17">
        <f t="shared" si="32"/>
        <v>0</v>
      </c>
      <c r="BL32" s="17">
        <f t="shared" si="33"/>
        <v>24</v>
      </c>
      <c r="BM32" s="17">
        <f t="shared" si="34"/>
        <v>6</v>
      </c>
      <c r="BN32" s="62">
        <f t="shared" si="35"/>
        <v>30</v>
      </c>
      <c r="BR32" s="17">
        <f>武将升星!P25*基础状态预期!G38+G32*(K32+1)+W32+AE32</f>
        <v>0</v>
      </c>
      <c r="BS32" s="17">
        <f>武将升星!Q25*基础状态预期!H38+H32*(L32+1)+X32+AF32</f>
        <v>984</v>
      </c>
      <c r="BT32" s="17">
        <f>武将升星!R25*基础状态预期!I38+I32*(M32+1)+Y32+AG32</f>
        <v>588.04114298903664</v>
      </c>
      <c r="BU32" s="17">
        <f>武将升星!S25*基础状态预期!J38+J32*(N32+1)+Z32+AH32</f>
        <v>101.1657120231925</v>
      </c>
    </row>
    <row r="33" spans="2:73" x14ac:dyDescent="0.15">
      <c r="B33" s="17">
        <v>26</v>
      </c>
      <c r="E33" s="29">
        <f>基础状态预期!C39</f>
        <v>1360</v>
      </c>
      <c r="F33" s="29">
        <f>基础状态预期!D39</f>
        <v>104.10129967499306</v>
      </c>
      <c r="G33" s="29">
        <f t="shared" si="19"/>
        <v>0</v>
      </c>
      <c r="H33" s="29">
        <f t="shared" si="20"/>
        <v>0</v>
      </c>
      <c r="I33" s="29">
        <f t="shared" si="21"/>
        <v>24</v>
      </c>
      <c r="J33" s="29">
        <f t="shared" si="22"/>
        <v>0</v>
      </c>
      <c r="K33" s="29">
        <f>武将战力价值情况!G29</f>
        <v>3</v>
      </c>
      <c r="L33" s="29">
        <f>武将战力价值情况!H29</f>
        <v>6</v>
      </c>
      <c r="M33" s="29">
        <f>武将战力价值情况!I29</f>
        <v>8</v>
      </c>
      <c r="N33" s="29">
        <f>武将战力价值情况!J29</f>
        <v>8</v>
      </c>
      <c r="O33" s="41">
        <f>MAX(同名需求(G33,求节点(武将升星!$C$104:$C$112,武将升星!E$104:E$112,K33),F$2),武将数量星级阶位验证!AA29)</f>
        <v>24</v>
      </c>
      <c r="P33" s="41">
        <f>MAX(同名需求(H33,求节点(武将升星!$C$104:$C$112,武将升星!F$104:F$112,L33),G$2),武将数量星级阶位验证!AB29)</f>
        <v>120</v>
      </c>
      <c r="Q33" s="41">
        <f>MAX(同名需求(I33,求节点(武将升星!$C$104:$C$112,武将升星!G$104:G$112,M33),H$2),武将数量星级阶位验证!AC29)</f>
        <v>704</v>
      </c>
      <c r="R33" s="41">
        <f>MAX(同名需求(J33,求节点(武将升星!$C$104:$C$112,武将升星!H$104:H$112,N33),I$2),武将数量星级阶位验证!AD29)</f>
        <v>108</v>
      </c>
      <c r="S33" s="29">
        <f>MAX(基础状态预期!P39:T39)</f>
        <v>4.1640519869997226</v>
      </c>
      <c r="T33" s="29">
        <f t="shared" si="23"/>
        <v>4.1640519869997226</v>
      </c>
      <c r="U33" s="29">
        <f t="shared" si="24"/>
        <v>4.1640519869997226</v>
      </c>
      <c r="V33" s="29">
        <f t="shared" si="25"/>
        <v>4.1640519869997226</v>
      </c>
      <c r="W33" s="41">
        <f>SUMIFS(武将进阶!F$13:F$18,武将进阶!$C$13:$C$18,"&lt;="&amp;T33)*H33+武将数量星级阶位验证!Q29</f>
        <v>0</v>
      </c>
      <c r="X33" s="41">
        <f>SUMIFS(武将进阶!G$13:G$18,武将进阶!$C$13:$C$18,"&lt;="&amp;U33)*I33+武将数量星级阶位验证!R29</f>
        <v>984</v>
      </c>
      <c r="Y33" s="41">
        <f>SUMIFS(武将进阶!H$13:H$18,武将进阶!$C$13:$C$18,"&lt;="&amp;V33)*J33+武将数量星级阶位验证!S29</f>
        <v>391.21559609991675</v>
      </c>
      <c r="Z33" s="41">
        <f>SUMIFS(武将进阶!I$13:I$18,武将进阶!$C$13:$C$18,"&lt;="&amp;W33)*K33+武将数量星级阶位验证!T29</f>
        <v>0</v>
      </c>
      <c r="AA33" s="29"/>
      <c r="AB33" s="29">
        <f>求节点(基础状态预期!$AT$17:$AT$55,基础状态预期!AW$17:AW$55,各r阵容卡情况!$F33)</f>
        <v>2</v>
      </c>
      <c r="AC33" s="29">
        <f>求节点(基础状态预期!$AT$17:$AT$55,基础状态预期!AX$17:AX$55,各r阵容卡情况!$F33)</f>
        <v>2</v>
      </c>
      <c r="AD33" s="29">
        <f>求节点(基础状态预期!$AT$17:$AT$55,基础状态预期!AY$17:AY$55,各r阵容卡情况!$F33)</f>
        <v>2</v>
      </c>
      <c r="AE33" s="41">
        <f>IF(AA33&lt;1,0,(AA33-1)*武将觉醒!E$34*G33)+武将数量星级阶位验证!V29</f>
        <v>0</v>
      </c>
      <c r="AF33" s="41">
        <f>IF(AB33&lt;1,0,(AB33-1)*武将觉醒!F$34*H33)+武将数量星级阶位验证!W29</f>
        <v>0</v>
      </c>
      <c r="AG33" s="41">
        <f>IF(AC33&lt;1,0,(AC33-1)*武将觉醒!G$34*I33)+武将数量星级阶位验证!X29</f>
        <v>24</v>
      </c>
      <c r="AH33" s="41">
        <f>IF(AD33&lt;1,0,(AD33-1)*武将觉醒!H$34*J33)+武将数量星级阶位验证!Y29</f>
        <v>0</v>
      </c>
      <c r="AJ33" s="29">
        <f>MAX(W33+AE33+G33*(K33+1)+IF(武将数量星级阶位验证!L29="",0,武将数量星级阶位验证!L29)*武将升星!P26,O33)</f>
        <v>24</v>
      </c>
      <c r="AK33" s="29">
        <f>MAX(X33+AF33+H33*(L33+1)+IF(武将数量星级阶位验证!M29="",0,武将数量星级阶位验证!M29)*武将升星!Q26,P33)</f>
        <v>984</v>
      </c>
      <c r="AL33" s="64">
        <f>MAX(Y33+AG33+I33*(M33+1)+IF(武将数量星级阶位验证!N29="",0,武将数量星级阶位验证!N29)*武将升星!R26,Q33)</f>
        <v>704</v>
      </c>
      <c r="AM33" s="41">
        <f t="shared" si="26"/>
        <v>108</v>
      </c>
      <c r="AO33" s="17">
        <f>武将数量星级阶位验证!BJ29</f>
        <v>14631.991070486778</v>
      </c>
      <c r="AP33" s="17">
        <f>武将数量星级阶位验证!BK29</f>
        <v>3790.2840210659688</v>
      </c>
      <c r="AQ33" s="63">
        <f>武将数量星级阶位验证!BL29</f>
        <v>557.0201613599902</v>
      </c>
      <c r="AR33" s="17">
        <f>武将数量星级阶位验证!BM29</f>
        <v>127.11162799975236</v>
      </c>
      <c r="AT33" s="17">
        <f t="shared" si="27"/>
        <v>1360</v>
      </c>
      <c r="AU33" s="17">
        <f t="shared" si="28"/>
        <v>104.10129967499306</v>
      </c>
      <c r="BA33" s="17">
        <f>基础状态预期!J39</f>
        <v>6</v>
      </c>
      <c r="BB33" s="62">
        <f t="shared" si="29"/>
        <v>6</v>
      </c>
      <c r="BD33" s="17">
        <v>0</v>
      </c>
      <c r="BE33" s="17">
        <v>0</v>
      </c>
      <c r="BF33" s="17">
        <v>24</v>
      </c>
      <c r="BG33" s="17">
        <v>0</v>
      </c>
      <c r="BH33" s="62">
        <f t="shared" si="30"/>
        <v>24</v>
      </c>
      <c r="BJ33" s="17">
        <f t="shared" si="31"/>
        <v>0</v>
      </c>
      <c r="BK33" s="17">
        <f t="shared" si="32"/>
        <v>0</v>
      </c>
      <c r="BL33" s="17">
        <f t="shared" si="33"/>
        <v>24</v>
      </c>
      <c r="BM33" s="17">
        <f t="shared" si="34"/>
        <v>6</v>
      </c>
      <c r="BN33" s="62">
        <f t="shared" si="35"/>
        <v>30</v>
      </c>
      <c r="BR33" s="17">
        <f>武将升星!P26*基础状态预期!G39+G33*(K33+1)+W33+AE33</f>
        <v>0</v>
      </c>
      <c r="BS33" s="17">
        <f>武将升星!Q26*基础状态预期!H39+H33*(L33+1)+X33+AF33</f>
        <v>984</v>
      </c>
      <c r="BT33" s="17">
        <f>武将升星!R26*基础状态预期!I39+I33*(M33+1)+Y33+AG33</f>
        <v>631.21559609991675</v>
      </c>
      <c r="BU33" s="17">
        <f>武将升星!S26*基础状态预期!J39+J33*(N33+1)+Z33+AH33</f>
        <v>108</v>
      </c>
    </row>
    <row r="34" spans="2:73" x14ac:dyDescent="0.15">
      <c r="B34" s="17">
        <v>27</v>
      </c>
      <c r="E34" s="29">
        <f>基础状态预期!C40</f>
        <v>1720</v>
      </c>
      <c r="F34" s="29">
        <f>基础状态预期!D40</f>
        <v>107.48165553683219</v>
      </c>
      <c r="G34" s="29">
        <f t="shared" si="19"/>
        <v>0</v>
      </c>
      <c r="H34" s="29">
        <f t="shared" si="20"/>
        <v>0</v>
      </c>
      <c r="I34" s="29">
        <f t="shared" si="21"/>
        <v>24</v>
      </c>
      <c r="J34" s="29">
        <f t="shared" si="22"/>
        <v>0</v>
      </c>
      <c r="K34" s="29">
        <f>武将战力价值情况!G30</f>
        <v>3</v>
      </c>
      <c r="L34" s="29">
        <f>武将战力价值情况!H30</f>
        <v>6</v>
      </c>
      <c r="M34" s="29">
        <f>武将战力价值情况!I30</f>
        <v>8</v>
      </c>
      <c r="N34" s="29">
        <f>武将战力价值情况!J30</f>
        <v>8</v>
      </c>
      <c r="O34" s="41">
        <f>MAX(同名需求(G34,求节点(武将升星!$C$104:$C$112,武将升星!E$104:E$112,K34),F$2),武将数量星级阶位验证!AA30)</f>
        <v>24</v>
      </c>
      <c r="P34" s="41">
        <f>MAX(同名需求(H34,求节点(武将升星!$C$104:$C$112,武将升星!F$104:F$112,L34),G$2),武将数量星级阶位验证!AB30)</f>
        <v>120</v>
      </c>
      <c r="Q34" s="41">
        <f>MAX(同名需求(I34,求节点(武将升星!$C$104:$C$112,武将升星!G$104:G$112,M34),H$2),武将数量星级阶位验证!AC30)</f>
        <v>704</v>
      </c>
      <c r="R34" s="41">
        <f>MAX(同名需求(J34,求节点(武将升星!$C$104:$C$112,武将升星!H$104:H$112,N34),I$2),武将数量星级阶位验证!AD30)</f>
        <v>108</v>
      </c>
      <c r="S34" s="29">
        <f>MAX(基础状态预期!P40:T40)</f>
        <v>4.299266221473288</v>
      </c>
      <c r="T34" s="29">
        <f t="shared" si="23"/>
        <v>4.299266221473288</v>
      </c>
      <c r="U34" s="29">
        <f t="shared" si="24"/>
        <v>4.299266221473288</v>
      </c>
      <c r="V34" s="29">
        <f t="shared" si="25"/>
        <v>4.299266221473288</v>
      </c>
      <c r="W34" s="41">
        <f>SUMIFS(武将进阶!F$13:F$18,武将进阶!$C$13:$C$18,"&lt;="&amp;T34)*H34+武将数量星级阶位验证!Q30</f>
        <v>0</v>
      </c>
      <c r="X34" s="41">
        <f>SUMIFS(武将进阶!G$13:G$18,武将进阶!$C$13:$C$18,"&lt;="&amp;U34)*I34+武将数量星级阶位验证!R30</f>
        <v>984</v>
      </c>
      <c r="Y34" s="41">
        <f>SUMIFS(武将进阶!H$13:H$18,武将进阶!$C$13:$C$18,"&lt;="&amp;V34)*J34+武将数量星级阶位验证!S30</f>
        <v>431.77986644198643</v>
      </c>
      <c r="Z34" s="41">
        <f>SUMIFS(武将进阶!I$13:I$18,武将进阶!$C$13:$C$18,"&lt;="&amp;W34)*K34+武将数量星级阶位验证!T30</f>
        <v>0</v>
      </c>
      <c r="AA34" s="29"/>
      <c r="AB34" s="29">
        <f>求节点(基础状态预期!$AT$17:$AT$55,基础状态预期!AW$17:AW$55,各r阵容卡情况!$F34)</f>
        <v>2</v>
      </c>
      <c r="AC34" s="29">
        <f>求节点(基础状态预期!$AT$17:$AT$55,基础状态预期!AX$17:AX$55,各r阵容卡情况!$F34)</f>
        <v>2</v>
      </c>
      <c r="AD34" s="29">
        <f>求节点(基础状态预期!$AT$17:$AT$55,基础状态预期!AY$17:AY$55,各r阵容卡情况!$F34)</f>
        <v>2</v>
      </c>
      <c r="AE34" s="41">
        <f>IF(AA34&lt;1,0,(AA34-1)*武将觉醒!E$34*G34)+武将数量星级阶位验证!V30</f>
        <v>0</v>
      </c>
      <c r="AF34" s="41">
        <f>IF(AB34&lt;1,0,(AB34-1)*武将觉醒!F$34*H34)+武将数量星级阶位验证!W30</f>
        <v>0</v>
      </c>
      <c r="AG34" s="41">
        <f>IF(AC34&lt;1,0,(AC34-1)*武将觉醒!G$34*I34)+武将数量星级阶位验证!X30</f>
        <v>24</v>
      </c>
      <c r="AH34" s="41">
        <f>IF(AD34&lt;1,0,(AD34-1)*武将觉醒!H$34*J34)+武将数量星级阶位验证!Y30</f>
        <v>0</v>
      </c>
      <c r="AJ34" s="29">
        <f>MAX(W34+AE34+G34*(K34+1)+IF(武将数量星级阶位验证!L30="",0,武将数量星级阶位验证!L30)*武将升星!P27,O34)</f>
        <v>24</v>
      </c>
      <c r="AK34" s="29">
        <f>MAX(X34+AF34+H34*(L34+1)+IF(武将数量星级阶位验证!M30="",0,武将数量星级阶位验证!M30)*武将升星!Q27,P34)</f>
        <v>984</v>
      </c>
      <c r="AL34" s="64">
        <f>MAX(Y34+AG34+I34*(M34+1)+IF(武将数量星级阶位验证!N30="",0,武将数量星级阶位验证!N30)*武将升星!R27,Q34)</f>
        <v>704</v>
      </c>
      <c r="AM34" s="41">
        <f t="shared" si="26"/>
        <v>108</v>
      </c>
      <c r="AO34" s="17">
        <f>武将数量星级阶位验证!BJ30</f>
        <v>18293.805654650918</v>
      </c>
      <c r="AP34" s="17">
        <f>武将数量星级阶位验证!BK30</f>
        <v>4694.5081206141531</v>
      </c>
      <c r="AQ34" s="63">
        <f>武将数量星级阶位验证!BL30</f>
        <v>683.65377629221791</v>
      </c>
      <c r="AR34" s="17">
        <f>武将数量星级阶位验证!BM30</f>
        <v>156.43166801338123</v>
      </c>
      <c r="AT34" s="17">
        <f t="shared" si="27"/>
        <v>1720</v>
      </c>
      <c r="AU34" s="17">
        <f t="shared" si="28"/>
        <v>107.48165553683219</v>
      </c>
      <c r="BA34" s="17">
        <f>基础状态预期!J40</f>
        <v>6</v>
      </c>
      <c r="BB34" s="62">
        <f t="shared" si="29"/>
        <v>6</v>
      </c>
      <c r="BD34" s="17">
        <v>0</v>
      </c>
      <c r="BE34" s="17">
        <v>0</v>
      </c>
      <c r="BF34" s="17">
        <v>24</v>
      </c>
      <c r="BG34" s="17">
        <v>0</v>
      </c>
      <c r="BH34" s="62">
        <f t="shared" si="30"/>
        <v>24</v>
      </c>
      <c r="BJ34" s="17">
        <f t="shared" si="31"/>
        <v>0</v>
      </c>
      <c r="BK34" s="17">
        <f t="shared" si="32"/>
        <v>0</v>
      </c>
      <c r="BL34" s="17">
        <f t="shared" si="33"/>
        <v>24</v>
      </c>
      <c r="BM34" s="17">
        <f t="shared" si="34"/>
        <v>6</v>
      </c>
      <c r="BN34" s="62">
        <f t="shared" si="35"/>
        <v>30</v>
      </c>
      <c r="BR34" s="17">
        <f>武将升星!P27*基础状态预期!G40+G34*(K34+1)+W34+AE34</f>
        <v>0</v>
      </c>
      <c r="BS34" s="17">
        <f>武将升星!Q27*基础状态预期!H40+H34*(L34+1)+X34+AF34</f>
        <v>984</v>
      </c>
      <c r="BT34" s="17">
        <f>武将升星!R27*基础状态预期!I40+I34*(M34+1)+Y34+AG34</f>
        <v>671.77986644198643</v>
      </c>
      <c r="BU34" s="17">
        <f>武将升星!S27*基础状态预期!J40+J34*(N34+1)+Z34+AH34</f>
        <v>108</v>
      </c>
    </row>
    <row r="35" spans="2:73" x14ac:dyDescent="0.15">
      <c r="B35" s="17">
        <v>28</v>
      </c>
      <c r="E35" s="29">
        <f>基础状态预期!C41</f>
        <v>2200</v>
      </c>
      <c r="F35" s="29">
        <f>基础状态预期!D41</f>
        <v>111.03813549320469</v>
      </c>
      <c r="G35" s="29">
        <f t="shared" si="19"/>
        <v>0</v>
      </c>
      <c r="H35" s="29">
        <f t="shared" si="20"/>
        <v>0</v>
      </c>
      <c r="I35" s="29">
        <f t="shared" si="21"/>
        <v>24</v>
      </c>
      <c r="J35" s="29">
        <f t="shared" si="22"/>
        <v>0</v>
      </c>
      <c r="K35" s="29">
        <f>武将战力价值情况!G31</f>
        <v>3</v>
      </c>
      <c r="L35" s="29">
        <f>武将战力价值情况!H31</f>
        <v>6</v>
      </c>
      <c r="M35" s="29">
        <f>武将战力价值情况!I31</f>
        <v>8</v>
      </c>
      <c r="N35" s="29">
        <f>武将战力价值情况!J31</f>
        <v>8</v>
      </c>
      <c r="O35" s="41">
        <f>MAX(同名需求(G35,求节点(武将升星!$C$104:$C$112,武将升星!E$104:E$112,K35),F$2),武将数量星级阶位验证!AA31)</f>
        <v>24</v>
      </c>
      <c r="P35" s="41">
        <f>MAX(同名需求(H35,求节点(武将升星!$C$104:$C$112,武将升星!F$104:F$112,L35),G$2),武将数量星级阶位验证!AB31)</f>
        <v>120</v>
      </c>
      <c r="Q35" s="41">
        <f>MAX(同名需求(I35,求节点(武将升星!$C$104:$C$112,武将升星!G$104:G$112,M35),H$2),武将数量星级阶位验证!AC31)</f>
        <v>704</v>
      </c>
      <c r="R35" s="41">
        <f>MAX(同名需求(J35,求节点(武将升星!$C$104:$C$112,武将升星!H$104:H$112,N35),I$2),武将数量星级阶位验证!AD31)</f>
        <v>108</v>
      </c>
      <c r="S35" s="29">
        <f>MAX(基础状态预期!P41:T41)</f>
        <v>4.4415254197281877</v>
      </c>
      <c r="T35" s="29">
        <f t="shared" si="23"/>
        <v>4.4415254197281877</v>
      </c>
      <c r="U35" s="29">
        <f t="shared" si="24"/>
        <v>4.4415254197281877</v>
      </c>
      <c r="V35" s="29">
        <f t="shared" si="25"/>
        <v>4.4415254197281877</v>
      </c>
      <c r="W35" s="41">
        <f>SUMIFS(武将进阶!F$13:F$18,武将进阶!$C$13:$C$18,"&lt;="&amp;T35)*H35+武将数量星级阶位验证!Q31</f>
        <v>0</v>
      </c>
      <c r="X35" s="41">
        <f>SUMIFS(武将进阶!G$13:G$18,武将进阶!$C$13:$C$18,"&lt;="&amp;U35)*I35+武将数量星级阶位验证!R31</f>
        <v>984</v>
      </c>
      <c r="Y35" s="41">
        <f>SUMIFS(武将进阶!H$13:H$18,武将进阶!$C$13:$C$18,"&lt;="&amp;V35)*J35+武将数量星级阶位验证!S31</f>
        <v>474.4576259184563</v>
      </c>
      <c r="Z35" s="41">
        <f>SUMIFS(武将进阶!I$13:I$18,武将进阶!$C$13:$C$18,"&lt;="&amp;W35)*K35+武将数量星级阶位验证!T31</f>
        <v>0</v>
      </c>
      <c r="AA35" s="29"/>
      <c r="AB35" s="29">
        <f>求节点(基础状态预期!$AT$17:$AT$55,基础状态预期!AW$17:AW$55,各r阵容卡情况!$F35)</f>
        <v>2</v>
      </c>
      <c r="AC35" s="29">
        <f>求节点(基础状态预期!$AT$17:$AT$55,基础状态预期!AX$17:AX$55,各r阵容卡情况!$F35)</f>
        <v>2</v>
      </c>
      <c r="AD35" s="29">
        <f>求节点(基础状态预期!$AT$17:$AT$55,基础状态预期!AY$17:AY$55,各r阵容卡情况!$F35)</f>
        <v>2</v>
      </c>
      <c r="AE35" s="41">
        <f>IF(AA35&lt;1,0,(AA35-1)*武将觉醒!E$34*G35)+武将数量星级阶位验证!V31</f>
        <v>0</v>
      </c>
      <c r="AF35" s="41">
        <f>IF(AB35&lt;1,0,(AB35-1)*武将觉醒!F$34*H35)+武将数量星级阶位验证!W31</f>
        <v>0</v>
      </c>
      <c r="AG35" s="41">
        <f>IF(AC35&lt;1,0,(AC35-1)*武将觉醒!G$34*I35)+武将数量星级阶位验证!X31</f>
        <v>24</v>
      </c>
      <c r="AH35" s="41">
        <f>IF(AD35&lt;1,0,(AD35-1)*武将觉醒!H$34*J35)+武将数量星级阶位验证!Y31</f>
        <v>0</v>
      </c>
      <c r="AJ35" s="29">
        <f>MAX(W35+AE35+G35*(K35+1)+IF(武将数量星级阶位验证!L31="",0,武将数量星级阶位验证!L31)*武将升星!P28,O35)</f>
        <v>24</v>
      </c>
      <c r="AK35" s="29">
        <f>MAX(X35+AF35+H35*(L35+1)+IF(武将数量星级阶位验证!M31="",0,武将数量星级阶位验证!M31)*武将升星!Q28,P35)</f>
        <v>984</v>
      </c>
      <c r="AL35" s="64">
        <f>MAX(Y35+AG35+I35*(M35+1)+IF(武将数量星级阶位验证!N31="",0,武将数量星级阶位验证!N31)*武将升星!R28,Q35)</f>
        <v>714.4576259184563</v>
      </c>
      <c r="AM35" s="41">
        <f t="shared" si="26"/>
        <v>108</v>
      </c>
      <c r="AO35" s="17">
        <f>武将数量星级阶位验证!BJ31</f>
        <v>23149.601911698712</v>
      </c>
      <c r="AP35" s="17">
        <f>武将数量星级阶位验证!BK31</f>
        <v>5885.7493406399872</v>
      </c>
      <c r="AQ35" s="63">
        <f>武将数量星级阶位验证!BL31</f>
        <v>850.33995929609296</v>
      </c>
      <c r="AR35" s="17">
        <f>武将数量星级阶位验证!BM31</f>
        <v>194.36658622546085</v>
      </c>
      <c r="AT35" s="17">
        <f t="shared" si="27"/>
        <v>2200</v>
      </c>
      <c r="AU35" s="17">
        <f t="shared" si="28"/>
        <v>111.03813549320469</v>
      </c>
      <c r="BA35" s="17">
        <f>基础状态预期!J41</f>
        <v>6</v>
      </c>
      <c r="BB35" s="62">
        <f t="shared" si="29"/>
        <v>6</v>
      </c>
      <c r="BD35" s="17">
        <v>0</v>
      </c>
      <c r="BE35" s="17">
        <v>0</v>
      </c>
      <c r="BF35" s="17">
        <v>24</v>
      </c>
      <c r="BG35" s="17">
        <v>0</v>
      </c>
      <c r="BH35" s="62">
        <f t="shared" si="30"/>
        <v>24</v>
      </c>
      <c r="BJ35" s="17">
        <f t="shared" si="31"/>
        <v>0</v>
      </c>
      <c r="BK35" s="17">
        <f t="shared" si="32"/>
        <v>0</v>
      </c>
      <c r="BL35" s="17">
        <f t="shared" si="33"/>
        <v>24</v>
      </c>
      <c r="BM35" s="17">
        <f t="shared" si="34"/>
        <v>6</v>
      </c>
      <c r="BN35" s="62">
        <f t="shared" si="35"/>
        <v>30</v>
      </c>
      <c r="BR35" s="17">
        <f>武将升星!P28*基础状态预期!G41+G35*(K35+1)+W35+AE35</f>
        <v>0</v>
      </c>
      <c r="BS35" s="17">
        <f>武将升星!Q28*基础状态预期!H41+H35*(L35+1)+X35+AF35</f>
        <v>984</v>
      </c>
      <c r="BT35" s="17">
        <f>武将升星!R28*基础状态预期!I41+I35*(M35+1)+Y35+AG35</f>
        <v>714.4576259184563</v>
      </c>
      <c r="BU35" s="17">
        <f>武将升星!S28*基础状态预期!J41+J35*(N35+1)+Z35+AH35</f>
        <v>108</v>
      </c>
    </row>
    <row r="36" spans="2:73" x14ac:dyDescent="0.15">
      <c r="B36" s="17">
        <v>29</v>
      </c>
      <c r="E36" s="29">
        <f>基础状态预期!C42</f>
        <v>2800</v>
      </c>
      <c r="F36" s="29">
        <f>基础状态预期!D42</f>
        <v>114.50860608277577</v>
      </c>
      <c r="G36" s="29">
        <f t="shared" si="19"/>
        <v>0</v>
      </c>
      <c r="H36" s="29">
        <f t="shared" si="20"/>
        <v>0</v>
      </c>
      <c r="I36" s="29">
        <f t="shared" si="21"/>
        <v>24</v>
      </c>
      <c r="J36" s="29">
        <f t="shared" si="22"/>
        <v>0</v>
      </c>
      <c r="K36" s="29">
        <f>武将战力价值情况!G32</f>
        <v>3</v>
      </c>
      <c r="L36" s="29">
        <f>武将战力价值情况!H32</f>
        <v>6</v>
      </c>
      <c r="M36" s="29">
        <f>武将战力价值情况!I32</f>
        <v>8</v>
      </c>
      <c r="N36" s="29">
        <f>武将战力价值情况!J32</f>
        <v>8</v>
      </c>
      <c r="O36" s="41">
        <f>MAX(同名需求(G36,求节点(武将升星!$C$104:$C$112,武将升星!E$104:E$112,K36),F$2),武将数量星级阶位验证!AA32)</f>
        <v>24</v>
      </c>
      <c r="P36" s="41">
        <f>MAX(同名需求(H36,求节点(武将升星!$C$104:$C$112,武将升星!F$104:F$112,L36),G$2),武将数量星级阶位验证!AB32)</f>
        <v>120</v>
      </c>
      <c r="Q36" s="41">
        <f>MAX(同名需求(I36,求节点(武将升星!$C$104:$C$112,武将升星!G$104:G$112,M36),H$2),武将数量星级阶位验证!AC32)</f>
        <v>704</v>
      </c>
      <c r="R36" s="41">
        <f>MAX(同名需求(J36,求节点(武将升星!$C$104:$C$112,武将升星!H$104:H$112,N36),I$2),武将数量星级阶位验证!AD32)</f>
        <v>108</v>
      </c>
      <c r="S36" s="29">
        <f>MAX(基础状态预期!P42:T42)</f>
        <v>4.5803442433110311</v>
      </c>
      <c r="T36" s="29">
        <f t="shared" si="23"/>
        <v>4.5803442433110311</v>
      </c>
      <c r="U36" s="29">
        <f t="shared" si="24"/>
        <v>4.5803442433110311</v>
      </c>
      <c r="V36" s="29">
        <f t="shared" si="25"/>
        <v>4.5803442433110311</v>
      </c>
      <c r="W36" s="41">
        <f>SUMIFS(武将进阶!F$13:F$18,武将进阶!$C$13:$C$18,"&lt;="&amp;T36)*H36+武将数量星级阶位验证!Q32</f>
        <v>0</v>
      </c>
      <c r="X36" s="41">
        <f>SUMIFS(武将进阶!G$13:G$18,武将进阶!$C$13:$C$18,"&lt;="&amp;U36)*I36+武将数量星级阶位验证!R32</f>
        <v>984</v>
      </c>
      <c r="Y36" s="41">
        <f>SUMIFS(武将进阶!H$13:H$18,武将进阶!$C$13:$C$18,"&lt;="&amp;V36)*J36+武将数量星级阶位验证!S32</f>
        <v>516.10327299330936</v>
      </c>
      <c r="Z36" s="41">
        <f>SUMIFS(武将进阶!I$13:I$18,武将进阶!$C$13:$C$18,"&lt;="&amp;W36)*K36+武将数量星级阶位验证!T32</f>
        <v>0</v>
      </c>
      <c r="AA36" s="29"/>
      <c r="AB36" s="29">
        <f>求节点(基础状态预期!$AT$17:$AT$55,基础状态预期!AW$17:AW$55,各r阵容卡情况!$F36)</f>
        <v>2</v>
      </c>
      <c r="AC36" s="29">
        <f>求节点(基础状态预期!$AT$17:$AT$55,基础状态预期!AX$17:AX$55,各r阵容卡情况!$F36)</f>
        <v>2</v>
      </c>
      <c r="AD36" s="29">
        <f>求节点(基础状态预期!$AT$17:$AT$55,基础状态预期!AY$17:AY$55,各r阵容卡情况!$F36)</f>
        <v>2</v>
      </c>
      <c r="AE36" s="41">
        <f>IF(AA36&lt;1,0,(AA36-1)*武将觉醒!E$34*G36)+武将数量星级阶位验证!V32</f>
        <v>0</v>
      </c>
      <c r="AF36" s="41">
        <f>IF(AB36&lt;1,0,(AB36-1)*武将觉醒!F$34*H36)+武将数量星级阶位验证!W32</f>
        <v>0</v>
      </c>
      <c r="AG36" s="41">
        <f>IF(AC36&lt;1,0,(AC36-1)*武将觉醒!G$34*I36)+武将数量星级阶位验证!X32</f>
        <v>24</v>
      </c>
      <c r="AH36" s="41">
        <f>IF(AD36&lt;1,0,(AD36-1)*武将觉醒!H$34*J36)+武将数量星级阶位验证!Y32</f>
        <v>0</v>
      </c>
      <c r="AJ36" s="29">
        <f>MAX(W36+AE36+G36*(K36+1)+IF(武将数量星级阶位验证!L32="",0,武将数量星级阶位验证!L32)*武将升星!P29,O36)</f>
        <v>24</v>
      </c>
      <c r="AK36" s="29">
        <f>MAX(X36+AF36+H36*(L36+1)+IF(武将数量星级阶位验证!M32="",0,武将数量星级阶位验证!M32)*武将升星!Q29,P36)</f>
        <v>984</v>
      </c>
      <c r="AL36" s="64">
        <f>MAX(Y36+AG36+I36*(M36+1)+IF(武将数量星级阶位验证!N32="",0,武将数量星级阶位验证!N32)*武将升星!R29,Q36)</f>
        <v>756.10327299330936</v>
      </c>
      <c r="AM36" s="41">
        <f t="shared" si="26"/>
        <v>108</v>
      </c>
      <c r="AO36" s="17">
        <f>武将数量星级阶位验证!BJ32</f>
        <v>29205.518079223708</v>
      </c>
      <c r="AP36" s="17">
        <f>武将数量星级阶位验证!BK32</f>
        <v>7367.3256474102536</v>
      </c>
      <c r="AQ36" s="63">
        <f>武将数量星级阶位验证!BL32</f>
        <v>1057.5764053116329</v>
      </c>
      <c r="AR36" s="17">
        <f>武将数量星级阶位验证!BM32</f>
        <v>241.18347892046728</v>
      </c>
      <c r="AT36" s="17">
        <f t="shared" si="27"/>
        <v>2800</v>
      </c>
      <c r="AU36" s="17">
        <f t="shared" si="28"/>
        <v>114.50860608277577</v>
      </c>
      <c r="BA36" s="17">
        <f>基础状态预期!J42</f>
        <v>6</v>
      </c>
      <c r="BB36" s="62">
        <f t="shared" si="29"/>
        <v>6</v>
      </c>
      <c r="BD36" s="17">
        <v>0</v>
      </c>
      <c r="BE36" s="17">
        <v>0</v>
      </c>
      <c r="BF36" s="17">
        <v>24</v>
      </c>
      <c r="BG36" s="17">
        <v>0</v>
      </c>
      <c r="BH36" s="62">
        <f t="shared" si="30"/>
        <v>24</v>
      </c>
      <c r="BJ36" s="17">
        <f t="shared" si="31"/>
        <v>0</v>
      </c>
      <c r="BK36" s="17">
        <f t="shared" si="32"/>
        <v>0</v>
      </c>
      <c r="BL36" s="17">
        <f t="shared" si="33"/>
        <v>24</v>
      </c>
      <c r="BM36" s="17">
        <f t="shared" si="34"/>
        <v>6</v>
      </c>
      <c r="BN36" s="62">
        <f t="shared" si="35"/>
        <v>30</v>
      </c>
      <c r="BR36" s="17">
        <f>武将升星!P29*基础状态预期!G42+G36*(K36+1)+W36+AE36</f>
        <v>0</v>
      </c>
      <c r="BS36" s="17">
        <f>武将升星!Q29*基础状态预期!H42+H36*(L36+1)+X36+AF36</f>
        <v>984</v>
      </c>
      <c r="BT36" s="17">
        <f>武将升星!R29*基础状态预期!I42+I36*(M36+1)+Y36+AG36</f>
        <v>756.10327299330936</v>
      </c>
      <c r="BU36" s="17">
        <f>武将升星!S29*基础状态预期!J42+J36*(N36+1)+Z36+AH36</f>
        <v>108</v>
      </c>
    </row>
    <row r="37" spans="2:73" x14ac:dyDescent="0.15">
      <c r="B37" s="17">
        <v>30</v>
      </c>
      <c r="E37" s="29">
        <f>基础状态预期!C43</f>
        <v>3580</v>
      </c>
      <c r="F37" s="29">
        <f>基础状态预期!D43</f>
        <v>118.05948896247369</v>
      </c>
      <c r="G37" s="29">
        <f t="shared" si="19"/>
        <v>0</v>
      </c>
      <c r="H37" s="29">
        <f t="shared" si="20"/>
        <v>0</v>
      </c>
      <c r="I37" s="29">
        <f t="shared" si="21"/>
        <v>24</v>
      </c>
      <c r="J37" s="29">
        <f t="shared" si="22"/>
        <v>0</v>
      </c>
      <c r="K37" s="29">
        <f>武将战力价值情况!G33</f>
        <v>3</v>
      </c>
      <c r="L37" s="29">
        <f>武将战力价值情况!H33</f>
        <v>6</v>
      </c>
      <c r="M37" s="29">
        <f>武将战力价值情况!I33</f>
        <v>8</v>
      </c>
      <c r="N37" s="29">
        <f>武将战力价值情况!J33</f>
        <v>8</v>
      </c>
      <c r="O37" s="41">
        <f>MAX(同名需求(G37,求节点(武将升星!$C$104:$C$112,武将升星!E$104:E$112,K37),F$2),武将数量星级阶位验证!AA33)</f>
        <v>24</v>
      </c>
      <c r="P37" s="41">
        <f>MAX(同名需求(H37,求节点(武将升星!$C$104:$C$112,武将升星!F$104:F$112,L37),G$2),武将数量星级阶位验证!AB33)</f>
        <v>120</v>
      </c>
      <c r="Q37" s="41">
        <f>MAX(同名需求(I37,求节点(武将升星!$C$104:$C$112,武将升星!G$104:G$112,M37),H$2),武将数量星级阶位验证!AC33)</f>
        <v>704</v>
      </c>
      <c r="R37" s="41">
        <f>MAX(同名需求(J37,求节点(武将升星!$C$104:$C$112,武将升星!H$104:H$112,N37),I$2),武将数量星级阶位验证!AD33)</f>
        <v>108</v>
      </c>
      <c r="S37" s="29">
        <f>MAX(基础状态预期!P43:T43)</f>
        <v>4.7223795584989476</v>
      </c>
      <c r="T37" s="29">
        <f t="shared" si="23"/>
        <v>4.7223795584989476</v>
      </c>
      <c r="U37" s="29">
        <f t="shared" si="24"/>
        <v>4.7223795584989476</v>
      </c>
      <c r="V37" s="29">
        <f t="shared" si="25"/>
        <v>4.7223795584989476</v>
      </c>
      <c r="W37" s="41">
        <f>SUMIFS(武将进阶!F$13:F$18,武将进阶!$C$13:$C$18,"&lt;="&amp;T37)*H37+武将数量星级阶位验证!Q33</f>
        <v>0</v>
      </c>
      <c r="X37" s="41">
        <f>SUMIFS(武将进阶!G$13:G$18,武将进阶!$C$13:$C$18,"&lt;="&amp;U37)*I37+武将数量星级阶位验证!R33</f>
        <v>984</v>
      </c>
      <c r="Y37" s="41">
        <f>SUMIFS(武将进阶!H$13:H$18,武将进阶!$C$13:$C$18,"&lt;="&amp;V37)*J37+武将数量星级阶位验证!S33</f>
        <v>558.71386754968432</v>
      </c>
      <c r="Z37" s="41">
        <f>SUMIFS(武将进阶!I$13:I$18,武将进阶!$C$13:$C$18,"&lt;="&amp;W37)*K37+武将数量星级阶位验证!T33</f>
        <v>0</v>
      </c>
      <c r="AA37" s="29"/>
      <c r="AB37" s="29">
        <f>求节点(基础状态预期!$AT$17:$AT$55,基础状态预期!AW$17:AW$55,各r阵容卡情况!$F37)</f>
        <v>2</v>
      </c>
      <c r="AC37" s="29">
        <f>求节点(基础状态预期!$AT$17:$AT$55,基础状态预期!AX$17:AX$55,各r阵容卡情况!$F37)</f>
        <v>2</v>
      </c>
      <c r="AD37" s="29">
        <f>求节点(基础状态预期!$AT$17:$AT$55,基础状态预期!AY$17:AY$55,各r阵容卡情况!$F37)</f>
        <v>2</v>
      </c>
      <c r="AE37" s="41">
        <f>IF(AA37&lt;1,0,(AA37-1)*武将觉醒!E$34*G37)+武将数量星级阶位验证!V33</f>
        <v>0</v>
      </c>
      <c r="AF37" s="41">
        <f>IF(AB37&lt;1,0,(AB37-1)*武将觉醒!F$34*H37)+武将数量星级阶位验证!W33</f>
        <v>0</v>
      </c>
      <c r="AG37" s="41">
        <f>IF(AC37&lt;1,0,(AC37-1)*武将觉醒!G$34*I37)+武将数量星级阶位验证!X33</f>
        <v>24</v>
      </c>
      <c r="AH37" s="41">
        <f>IF(AD37&lt;1,0,(AD37-1)*武将觉醒!H$34*J37)+武将数量星级阶位验证!Y33</f>
        <v>0</v>
      </c>
      <c r="AJ37" s="29">
        <f>MAX(W37+AE37+G37*(K37+1)+IF(武将数量星级阶位验证!L33="",0,武将数量星级阶位验证!L33)*武将升星!P30,O37)</f>
        <v>24</v>
      </c>
      <c r="AK37" s="29">
        <f>MAX(X37+AF37+H37*(L37+1)+IF(武将数量星级阶位验证!M33="",0,武将数量星级阶位验证!M33)*武将升星!Q30,P37)</f>
        <v>984</v>
      </c>
      <c r="AL37" s="64">
        <f>MAX(Y37+AG37+I37*(M37+1)+IF(武将数量星级阶位验证!N33="",0,武将数量星级阶位验证!N33)*武将升星!R30,Q37)</f>
        <v>798.71386754968432</v>
      </c>
      <c r="AM37" s="41">
        <f t="shared" si="26"/>
        <v>108</v>
      </c>
      <c r="AO37" s="17">
        <f>武将数量星级阶位验证!BJ33</f>
        <v>37007.305605547772</v>
      </c>
      <c r="AP37" s="17">
        <f>武将数量星级阶位验证!BK33</f>
        <v>9255.0486346124526</v>
      </c>
      <c r="AQ37" s="63">
        <f>武将数量星级阶位验证!BL33</f>
        <v>1321.2348533919626</v>
      </c>
      <c r="AR37" s="17">
        <f>武将数量星级阶位验证!BM33</f>
        <v>298.96017939024421</v>
      </c>
      <c r="AT37" s="17">
        <f t="shared" si="27"/>
        <v>3580</v>
      </c>
      <c r="AU37" s="17">
        <f t="shared" si="28"/>
        <v>118.05948896247369</v>
      </c>
      <c r="BA37" s="17">
        <f>基础状态预期!J43</f>
        <v>6</v>
      </c>
      <c r="BB37" s="62">
        <f t="shared" si="29"/>
        <v>6</v>
      </c>
      <c r="BD37" s="17">
        <v>0</v>
      </c>
      <c r="BE37" s="17">
        <v>0</v>
      </c>
      <c r="BF37" s="17">
        <v>24</v>
      </c>
      <c r="BG37" s="17">
        <v>0</v>
      </c>
      <c r="BH37" s="62">
        <f t="shared" si="30"/>
        <v>24</v>
      </c>
      <c r="BJ37" s="17">
        <f t="shared" si="31"/>
        <v>0</v>
      </c>
      <c r="BK37" s="17">
        <f t="shared" si="32"/>
        <v>0</v>
      </c>
      <c r="BL37" s="17">
        <f t="shared" si="33"/>
        <v>24</v>
      </c>
      <c r="BM37" s="17">
        <f t="shared" si="34"/>
        <v>6</v>
      </c>
      <c r="BN37" s="62">
        <f t="shared" si="35"/>
        <v>30</v>
      </c>
      <c r="BR37" s="17">
        <f>武将升星!P30*基础状态预期!G43+G37*(K37+1)+W37+AE37</f>
        <v>0</v>
      </c>
      <c r="BS37" s="17">
        <f>武将升星!Q30*基础状态预期!H43+H37*(L37+1)+X37+AF37</f>
        <v>984</v>
      </c>
      <c r="BT37" s="17">
        <f>武将升星!R30*基础状态预期!I43+I37*(M37+1)+Y37+AG37</f>
        <v>798.71386754968432</v>
      </c>
      <c r="BU37" s="17">
        <f>武将升星!S30*基础状态预期!J43+J37*(N37+1)+Z37+AH37</f>
        <v>108</v>
      </c>
    </row>
    <row r="38" spans="2:73" x14ac:dyDescent="0.15">
      <c r="B38" s="17">
        <v>31</v>
      </c>
      <c r="E38" s="29">
        <f>基础状态预期!C44</f>
        <v>4540</v>
      </c>
      <c r="F38" s="29">
        <f>基础状态预期!D44</f>
        <v>121.47928719052189</v>
      </c>
      <c r="G38" s="29">
        <f t="shared" si="19"/>
        <v>0</v>
      </c>
      <c r="H38" s="29">
        <f t="shared" si="20"/>
        <v>0</v>
      </c>
      <c r="I38" s="29">
        <f t="shared" si="21"/>
        <v>24</v>
      </c>
      <c r="J38" s="29">
        <f t="shared" si="22"/>
        <v>0</v>
      </c>
      <c r="K38" s="29">
        <f>武将战力价值情况!G34</f>
        <v>3</v>
      </c>
      <c r="L38" s="29">
        <f>武将战力价值情况!H34</f>
        <v>6</v>
      </c>
      <c r="M38" s="29">
        <f>武将战力价值情况!I34</f>
        <v>8</v>
      </c>
      <c r="N38" s="29">
        <f>武将战力价值情况!J34</f>
        <v>8</v>
      </c>
      <c r="O38" s="41">
        <f>MAX(同名需求(G38,求节点(武将升星!$C$104:$C$112,武将升星!E$104:E$112,K38),F$2),武将数量星级阶位验证!AA34)</f>
        <v>24</v>
      </c>
      <c r="P38" s="41">
        <f>MAX(同名需求(H38,求节点(武将升星!$C$104:$C$112,武将升星!F$104:F$112,L38),G$2),武将数量星级阶位验证!AB34)</f>
        <v>120</v>
      </c>
      <c r="Q38" s="41">
        <f>MAX(同名需求(I38,求节点(武将升星!$C$104:$C$112,武将升星!G$104:G$112,M38),H$2),武将数量星级阶位验证!AC34)</f>
        <v>704</v>
      </c>
      <c r="R38" s="41">
        <f>MAX(同名需求(J38,求节点(武将升星!$C$104:$C$112,武将升星!H$104:H$112,N38),I$2),武将数量星级阶位验证!AD34)</f>
        <v>108</v>
      </c>
      <c r="S38" s="29">
        <f>MAX(基础状态预期!P44:T44)</f>
        <v>4.8591714876208751</v>
      </c>
      <c r="T38" s="29">
        <f t="shared" si="23"/>
        <v>4.8591714876208751</v>
      </c>
      <c r="U38" s="29">
        <f t="shared" si="24"/>
        <v>4.8591714876208751</v>
      </c>
      <c r="V38" s="29">
        <f t="shared" si="25"/>
        <v>4.8591714876208751</v>
      </c>
      <c r="W38" s="41">
        <f>SUMIFS(武将进阶!F$13:F$18,武将进阶!$C$13:$C$18,"&lt;="&amp;T38)*H38+武将数量星级阶位验证!Q34</f>
        <v>0</v>
      </c>
      <c r="X38" s="41">
        <f>SUMIFS(武将进阶!G$13:G$18,武将进阶!$C$13:$C$18,"&lt;="&amp;U38)*I38+武将数量星级阶位验证!R34</f>
        <v>984</v>
      </c>
      <c r="Y38" s="41">
        <f>SUMIFS(武将进阶!H$13:H$18,武将进阶!$C$13:$C$18,"&lt;="&amp;V38)*J38+武将数量星级阶位验证!S34</f>
        <v>599.75144628626254</v>
      </c>
      <c r="Z38" s="41">
        <f>SUMIFS(武将进阶!I$13:I$18,武将进阶!$C$13:$C$18,"&lt;="&amp;W38)*K38+武将数量星级阶位验证!T34</f>
        <v>0</v>
      </c>
      <c r="AA38" s="29"/>
      <c r="AB38" s="29">
        <f>求节点(基础状态预期!$AT$17:$AT$55,基础状态预期!AW$17:AW$55,各r阵容卡情况!$F38)</f>
        <v>2</v>
      </c>
      <c r="AC38" s="29">
        <f>求节点(基础状态预期!$AT$17:$AT$55,基础状态预期!AX$17:AX$55,各r阵容卡情况!$F38)</f>
        <v>2</v>
      </c>
      <c r="AD38" s="29">
        <f>求节点(基础状态预期!$AT$17:$AT$55,基础状态预期!AY$17:AY$55,各r阵容卡情况!$F38)</f>
        <v>2</v>
      </c>
      <c r="AE38" s="41">
        <f>IF(AA38&lt;1,0,(AA38-1)*武将觉醒!E$34*G38)+武将数量星级阶位验证!V34</f>
        <v>0</v>
      </c>
      <c r="AF38" s="41">
        <f>IF(AB38&lt;1,0,(AB38-1)*武将觉醒!F$34*H38)+武将数量星级阶位验证!W34</f>
        <v>0</v>
      </c>
      <c r="AG38" s="41">
        <f>IF(AC38&lt;1,0,(AC38-1)*武将觉醒!G$34*I38)+武将数量星级阶位验证!X34</f>
        <v>24</v>
      </c>
      <c r="AH38" s="41">
        <f>IF(AD38&lt;1,0,(AD38-1)*武将觉醒!H$34*J38)+武将数量星级阶位验证!Y34</f>
        <v>0</v>
      </c>
      <c r="AJ38" s="29">
        <f>MAX(W38+AE38+G38*(K38+1)+IF(武将数量星级阶位验证!L34="",0,武将数量星级阶位验证!L34)*武将升星!P31,O38)</f>
        <v>24</v>
      </c>
      <c r="AK38" s="29">
        <f>MAX(X38+AF38+H38*(L38+1)+IF(武将数量星级阶位验证!M34="",0,武将数量星级阶位验证!M34)*武将升星!Q31,P38)</f>
        <v>984</v>
      </c>
      <c r="AL38" s="64">
        <f>MAX(Y38+AG38+I38*(M38+1)+IF(武将数量星级阶位验证!N34="",0,武将数量星级阶位验证!N34)*武将升星!R31,Q38)</f>
        <v>839.75144628626254</v>
      </c>
      <c r="AM38" s="41">
        <f t="shared" si="26"/>
        <v>108</v>
      </c>
      <c r="AO38" s="17">
        <f>武将数量星级阶位验证!BJ34</f>
        <v>46575.10624830889</v>
      </c>
      <c r="AP38" s="17">
        <f>武将数量星级阶位验证!BK34</f>
        <v>11559.805738807652</v>
      </c>
      <c r="AQ38" s="63">
        <f>武将数量星级阶位验证!BL34</f>
        <v>1642.9484190212429</v>
      </c>
      <c r="AR38" s="17">
        <f>武将数量星级阶位验证!BM34</f>
        <v>368.57312627795795</v>
      </c>
      <c r="AT38" s="17">
        <f t="shared" si="27"/>
        <v>4540</v>
      </c>
      <c r="AU38" s="17">
        <f t="shared" si="28"/>
        <v>121.47928719052189</v>
      </c>
      <c r="BA38" s="17">
        <f>基础状态预期!J44</f>
        <v>6</v>
      </c>
      <c r="BB38" s="62">
        <f t="shared" si="29"/>
        <v>6</v>
      </c>
      <c r="BD38" s="17">
        <v>0</v>
      </c>
      <c r="BE38" s="17">
        <v>0</v>
      </c>
      <c r="BF38" s="17">
        <v>24</v>
      </c>
      <c r="BG38" s="17">
        <v>0</v>
      </c>
      <c r="BH38" s="62">
        <f t="shared" si="30"/>
        <v>24</v>
      </c>
      <c r="BJ38" s="17">
        <f t="shared" si="31"/>
        <v>0</v>
      </c>
      <c r="BK38" s="17">
        <f t="shared" si="32"/>
        <v>0</v>
      </c>
      <c r="BL38" s="17">
        <f t="shared" si="33"/>
        <v>24</v>
      </c>
      <c r="BM38" s="17">
        <f t="shared" si="34"/>
        <v>6</v>
      </c>
      <c r="BN38" s="62">
        <f t="shared" si="35"/>
        <v>30</v>
      </c>
      <c r="BR38" s="17">
        <f>武将升星!P31*基础状态预期!G44+G38*(K38+1)+W38+AE38</f>
        <v>0</v>
      </c>
      <c r="BS38" s="17">
        <f>武将升星!Q31*基础状态预期!H44+H38*(L38+1)+X38+AF38</f>
        <v>984</v>
      </c>
      <c r="BT38" s="17">
        <f>武将升星!R31*基础状态预期!I44+I38*(M38+1)+Y38+AG38</f>
        <v>839.75144628626254</v>
      </c>
      <c r="BU38" s="17">
        <f>武将升星!S31*基础状态预期!J44+J38*(N38+1)+Z38+AH38</f>
        <v>108</v>
      </c>
    </row>
    <row r="39" spans="2:73" x14ac:dyDescent="0.15">
      <c r="B39" s="17">
        <v>32</v>
      </c>
      <c r="E39" s="29">
        <f>基础状态预期!C45</f>
        <v>5800</v>
      </c>
      <c r="F39" s="29">
        <f>基础状态预期!D45</f>
        <v>125.02015904129435</v>
      </c>
      <c r="G39" s="29">
        <f t="shared" si="19"/>
        <v>0</v>
      </c>
      <c r="H39" s="29">
        <f t="shared" si="20"/>
        <v>0</v>
      </c>
      <c r="I39" s="29">
        <f t="shared" si="21"/>
        <v>24</v>
      </c>
      <c r="J39" s="29">
        <f t="shared" si="22"/>
        <v>0</v>
      </c>
      <c r="K39" s="29">
        <f>武将战力价值情况!G35</f>
        <v>3</v>
      </c>
      <c r="L39" s="29">
        <f>武将战力价值情况!H35</f>
        <v>6</v>
      </c>
      <c r="M39" s="29">
        <f>武将战力价值情况!I35</f>
        <v>8</v>
      </c>
      <c r="N39" s="29">
        <f>武将战力价值情况!J35</f>
        <v>8</v>
      </c>
      <c r="O39" s="41">
        <f>MAX(同名需求(G39,求节点(武将升星!$C$104:$C$112,武将升星!E$104:E$112,K39),F$2),武将数量星级阶位验证!AA35)</f>
        <v>24</v>
      </c>
      <c r="P39" s="41">
        <f>MAX(同名需求(H39,求节点(武将升星!$C$104:$C$112,武将升星!F$104:F$112,L39),G$2),武将数量星级阶位验证!AB35)</f>
        <v>120</v>
      </c>
      <c r="Q39" s="41">
        <f>MAX(同名需求(I39,求节点(武将升星!$C$104:$C$112,武将升星!G$104:G$112,M39),H$2),武将数量星级阶位验证!AC35)</f>
        <v>704</v>
      </c>
      <c r="R39" s="41">
        <f>MAX(同名需求(J39,求节点(武将升星!$C$104:$C$112,武将升星!H$104:H$112,N39),I$2),武将数量星级阶位验证!AD35)</f>
        <v>108</v>
      </c>
      <c r="S39" s="29">
        <f>MAX(基础状态预期!P45:T45)</f>
        <v>5</v>
      </c>
      <c r="T39" s="29">
        <f t="shared" si="23"/>
        <v>5</v>
      </c>
      <c r="U39" s="29">
        <f t="shared" si="24"/>
        <v>5</v>
      </c>
      <c r="V39" s="29">
        <f t="shared" si="25"/>
        <v>5</v>
      </c>
      <c r="W39" s="41">
        <f>SUMIFS(武将进阶!F$13:F$18,武将进阶!$C$13:$C$18,"&lt;="&amp;T39)*H39+武将数量星级阶位验证!Q35</f>
        <v>0</v>
      </c>
      <c r="X39" s="41">
        <f>SUMIFS(武将进阶!G$13:G$18,武将进阶!$C$13:$C$18,"&lt;="&amp;U39)*I39+武将数量星级阶位验证!R35</f>
        <v>1824</v>
      </c>
      <c r="Y39" s="41">
        <f>SUMIFS(武将进阶!H$13:H$18,武将进阶!$C$13:$C$18,"&lt;="&amp;V39)*J39+武将数量星级阶位验证!S35</f>
        <v>642</v>
      </c>
      <c r="Z39" s="41">
        <f>SUMIFS(武将进阶!I$13:I$18,武将进阶!$C$13:$C$18,"&lt;="&amp;W39)*K39+武将数量星级阶位验证!T35</f>
        <v>0</v>
      </c>
      <c r="AA39" s="29"/>
      <c r="AB39" s="29">
        <f>求节点(基础状态预期!$AT$17:$AT$55,基础状态预期!AW$17:AW$55,各r阵容卡情况!$F39)</f>
        <v>2</v>
      </c>
      <c r="AC39" s="29">
        <f>求节点(基础状态预期!$AT$17:$AT$55,基础状态预期!AX$17:AX$55,各r阵容卡情况!$F39)</f>
        <v>2</v>
      </c>
      <c r="AD39" s="29">
        <f>求节点(基础状态预期!$AT$17:$AT$55,基础状态预期!AY$17:AY$55,各r阵容卡情况!$F39)</f>
        <v>2</v>
      </c>
      <c r="AE39" s="41">
        <f>IF(AA39&lt;1,0,(AA39-1)*武将觉醒!E$34*G39)+武将数量星级阶位验证!V35</f>
        <v>0</v>
      </c>
      <c r="AF39" s="41">
        <f>IF(AB39&lt;1,0,(AB39-1)*武将觉醒!F$34*H39)+武将数量星级阶位验证!W35</f>
        <v>0</v>
      </c>
      <c r="AG39" s="41">
        <f>IF(AC39&lt;1,0,(AC39-1)*武将觉醒!G$34*I39)+武将数量星级阶位验证!X35</f>
        <v>24</v>
      </c>
      <c r="AH39" s="41">
        <f>IF(AD39&lt;1,0,(AD39-1)*武将觉醒!H$34*J39)+武将数量星级阶位验证!Y35</f>
        <v>0</v>
      </c>
      <c r="AJ39" s="29">
        <f>MAX(W39+AE39+G39*(K39+1)+IF(武将数量星级阶位验证!L35="",0,武将数量星级阶位验证!L35)*武将升星!P32,O39)</f>
        <v>24</v>
      </c>
      <c r="AK39" s="29">
        <f>MAX(X39+AF39+H39*(L39+1)+IF(武将数量星级阶位验证!M35="",0,武将数量星级阶位验证!M35)*武将升星!Q32,P39)</f>
        <v>1824</v>
      </c>
      <c r="AL39" s="64">
        <f>MAX(Y39+AG39+I39*(M39+1)+IF(武将数量星级阶位验证!N35="",0,武将数量星级阶位验证!N35)*武将升星!R32,Q39)</f>
        <v>882</v>
      </c>
      <c r="AM39" s="41">
        <f t="shared" si="26"/>
        <v>108</v>
      </c>
      <c r="AO39" s="17">
        <f>武将数量星级阶位验证!BJ35</f>
        <v>59097.134505509421</v>
      </c>
      <c r="AP39" s="17">
        <f>武将数量星级阶位验证!BK35</f>
        <v>14565.496688645771</v>
      </c>
      <c r="AQ39" s="63">
        <f>武将数量星级阶位验证!BL35</f>
        <v>2062.3020614969605</v>
      </c>
      <c r="AR39" s="17">
        <f>武将数量星级阶位验证!BM35</f>
        <v>458.38624773992649</v>
      </c>
      <c r="AT39" s="17">
        <f t="shared" si="27"/>
        <v>5800</v>
      </c>
      <c r="AU39" s="17">
        <f t="shared" si="28"/>
        <v>125.02015904129435</v>
      </c>
      <c r="BA39" s="17">
        <f>基础状态预期!J45</f>
        <v>6</v>
      </c>
      <c r="BB39" s="62">
        <f t="shared" si="29"/>
        <v>6</v>
      </c>
      <c r="BD39" s="17">
        <v>0</v>
      </c>
      <c r="BE39" s="17">
        <v>0</v>
      </c>
      <c r="BF39" s="17">
        <v>24</v>
      </c>
      <c r="BG39" s="17">
        <v>0</v>
      </c>
      <c r="BH39" s="62">
        <f t="shared" si="30"/>
        <v>24</v>
      </c>
      <c r="BJ39" s="17">
        <f t="shared" si="31"/>
        <v>0</v>
      </c>
      <c r="BK39" s="17">
        <f t="shared" si="32"/>
        <v>0</v>
      </c>
      <c r="BL39" s="17">
        <f t="shared" si="33"/>
        <v>24</v>
      </c>
      <c r="BM39" s="17">
        <f t="shared" si="34"/>
        <v>6</v>
      </c>
      <c r="BN39" s="62">
        <f t="shared" si="35"/>
        <v>30</v>
      </c>
      <c r="BR39" s="17">
        <f>武将升星!P32*基础状态预期!G45+G39*(K39+1)+W39+AE39</f>
        <v>0</v>
      </c>
      <c r="BS39" s="17">
        <f>武将升星!Q32*基础状态预期!H45+H39*(L39+1)+X39+AF39</f>
        <v>1824</v>
      </c>
      <c r="BT39" s="17">
        <f>武将升星!R32*基础状态预期!I45+I39*(M39+1)+Y39+AG39</f>
        <v>882</v>
      </c>
      <c r="BU39" s="17">
        <f>武将升星!S32*基础状态预期!J45+J39*(N39+1)+Z39+AH39</f>
        <v>108</v>
      </c>
    </row>
    <row r="40" spans="2:73" x14ac:dyDescent="0.15">
      <c r="B40" s="17">
        <v>33</v>
      </c>
      <c r="E40" s="29">
        <f>基础状态预期!C46</f>
        <v>7420</v>
      </c>
      <c r="F40" s="29">
        <f>基础状态预期!D46</f>
        <v>128.56549059889721</v>
      </c>
      <c r="G40" s="29">
        <f t="shared" si="19"/>
        <v>0</v>
      </c>
      <c r="H40" s="29">
        <f t="shared" si="20"/>
        <v>0</v>
      </c>
      <c r="I40" s="29">
        <f t="shared" si="21"/>
        <v>24</v>
      </c>
      <c r="J40" s="29">
        <f t="shared" si="22"/>
        <v>0</v>
      </c>
      <c r="K40" s="29">
        <f>武将战力价值情况!G36</f>
        <v>3</v>
      </c>
      <c r="L40" s="29">
        <f>武将战力价值情况!H36</f>
        <v>6</v>
      </c>
      <c r="M40" s="29">
        <f>武将战力价值情况!I36</f>
        <v>8</v>
      </c>
      <c r="N40" s="29">
        <f>武将战力价值情况!J36</f>
        <v>8</v>
      </c>
      <c r="O40" s="41">
        <f>MAX(同名需求(G40,求节点(武将升星!$C$104:$C$112,武将升星!E$104:E$112,K40),F$2),武将数量星级阶位验证!AA36)</f>
        <v>24</v>
      </c>
      <c r="P40" s="41">
        <f>MAX(同名需求(H40,求节点(武将升星!$C$104:$C$112,武将升星!F$104:F$112,L40),G$2),武将数量星级阶位验证!AB36)</f>
        <v>120</v>
      </c>
      <c r="Q40" s="41">
        <f>MAX(同名需求(I40,求节点(武将升星!$C$104:$C$112,武将升星!G$104:G$112,M40),H$2),武将数量星级阶位验证!AC36)</f>
        <v>704</v>
      </c>
      <c r="R40" s="41">
        <f>MAX(同名需求(J40,求节点(武将升星!$C$104:$C$112,武将升星!H$104:H$112,N40),I$2),武将数量星级阶位验证!AD36)</f>
        <v>108</v>
      </c>
      <c r="S40" s="29">
        <f>MAX(基础状态预期!P46:T46)</f>
        <v>5</v>
      </c>
      <c r="T40" s="29">
        <f t="shared" si="23"/>
        <v>5</v>
      </c>
      <c r="U40" s="29">
        <f t="shared" si="24"/>
        <v>5</v>
      </c>
      <c r="V40" s="29">
        <f t="shared" si="25"/>
        <v>5</v>
      </c>
      <c r="W40" s="41">
        <f>SUMIFS(武将进阶!F$13:F$18,武将进阶!$C$13:$C$18,"&lt;="&amp;T40)*H40+武将数量星级阶位验证!Q36</f>
        <v>0</v>
      </c>
      <c r="X40" s="41">
        <f>SUMIFS(武将进阶!G$13:G$18,武将进阶!$C$13:$C$18,"&lt;="&amp;U40)*I40+武将数量星级阶位验证!R36</f>
        <v>1824</v>
      </c>
      <c r="Y40" s="41">
        <f>SUMIFS(武将进阶!H$13:H$18,武将进阶!$C$13:$C$18,"&lt;="&amp;V40)*J40+武将数量星级阶位验证!S36</f>
        <v>642</v>
      </c>
      <c r="Z40" s="41">
        <f>SUMIFS(武将进阶!I$13:I$18,武将进阶!$C$13:$C$18,"&lt;="&amp;W40)*K40+武将数量星级阶位验证!T36</f>
        <v>0</v>
      </c>
      <c r="AA40" s="29"/>
      <c r="AB40" s="29">
        <f>求节点(基础状态预期!$AT$17:$AT$55,基础状态预期!AW$17:AW$55,各r阵容卡情况!$F40)</f>
        <v>2</v>
      </c>
      <c r="AC40" s="29">
        <f>求节点(基础状态预期!$AT$17:$AT$55,基础状态预期!AX$17:AX$55,各r阵容卡情况!$F40)</f>
        <v>2</v>
      </c>
      <c r="AD40" s="29">
        <f>求节点(基础状态预期!$AT$17:$AT$55,基础状态预期!AY$17:AY$55,各r阵容卡情况!$F40)</f>
        <v>2</v>
      </c>
      <c r="AE40" s="41">
        <f>IF(AA40&lt;1,0,(AA40-1)*武将觉醒!E$34*G40)+武将数量星级阶位验证!V36</f>
        <v>0</v>
      </c>
      <c r="AF40" s="41">
        <f>IF(AB40&lt;1,0,(AB40-1)*武将觉醒!F$34*H40)+武将数量星级阶位验证!W36</f>
        <v>0</v>
      </c>
      <c r="AG40" s="41">
        <f>IF(AC40&lt;1,0,(AC40-1)*武将觉醒!G$34*I40)+武将数量星级阶位验证!X36</f>
        <v>24</v>
      </c>
      <c r="AH40" s="41">
        <f>IF(AD40&lt;1,0,(AD40-1)*武将觉醒!H$34*J40)+武将数量星级阶位验证!Y36</f>
        <v>0</v>
      </c>
      <c r="AJ40" s="29">
        <f>MAX(W40+AE40+G40*(K40+1)+IF(武将数量星级阶位验证!L36="",0,武将数量星级阶位验证!L36)*武将升星!P33,O40)</f>
        <v>24</v>
      </c>
      <c r="AK40" s="29">
        <f>MAX(X40+AF40+H40*(L40+1)+IF(武将数量星级阶位验证!M36="",0,武将数量星级阶位验证!M36)*武将升星!Q33,P40)</f>
        <v>1824</v>
      </c>
      <c r="AL40" s="64">
        <f>MAX(Y40+AG40+I40*(M40+1)+IF(武将数量星级阶位验证!N36="",0,武将数量星级阶位验证!N36)*武将升星!R33,Q40)</f>
        <v>882</v>
      </c>
      <c r="AM40" s="41">
        <f t="shared" si="26"/>
        <v>108</v>
      </c>
      <c r="AO40" s="17">
        <f>武将数量星级阶位验证!BJ36</f>
        <v>75083.285452842058</v>
      </c>
      <c r="AP40" s="17">
        <f>武将数量星级阶位验证!BK36</f>
        <v>18368.551254771519</v>
      </c>
      <c r="AQ40" s="63">
        <f>武将数量星级阶位验证!BL36</f>
        <v>2592.2602464158226</v>
      </c>
      <c r="AR40" s="17">
        <f>武将数量星级阶位验证!BM36</f>
        <v>568.91714031304912</v>
      </c>
      <c r="AT40" s="17">
        <f t="shared" si="27"/>
        <v>7420</v>
      </c>
      <c r="AU40" s="17">
        <f t="shared" si="28"/>
        <v>128.56549059889721</v>
      </c>
      <c r="BA40" s="17">
        <f>基础状态预期!J46</f>
        <v>6</v>
      </c>
      <c r="BB40" s="62">
        <f t="shared" si="29"/>
        <v>6</v>
      </c>
      <c r="BD40" s="17">
        <v>0</v>
      </c>
      <c r="BE40" s="17">
        <v>0</v>
      </c>
      <c r="BF40" s="17">
        <v>24</v>
      </c>
      <c r="BG40" s="17">
        <v>0</v>
      </c>
      <c r="BH40" s="62">
        <f t="shared" si="30"/>
        <v>24</v>
      </c>
      <c r="BJ40" s="17">
        <f t="shared" si="31"/>
        <v>0</v>
      </c>
      <c r="BK40" s="17">
        <f t="shared" si="32"/>
        <v>0</v>
      </c>
      <c r="BL40" s="17">
        <f t="shared" si="33"/>
        <v>24</v>
      </c>
      <c r="BM40" s="17">
        <f t="shared" si="34"/>
        <v>6</v>
      </c>
      <c r="BN40" s="62">
        <f t="shared" si="35"/>
        <v>30</v>
      </c>
      <c r="BR40" s="17">
        <f>武将升星!P33*基础状态预期!G46+G40*(K40+1)+W40+AE40</f>
        <v>0</v>
      </c>
      <c r="BS40" s="17">
        <f>武将升星!Q33*基础状态预期!H46+H40*(L40+1)+X40+AF40</f>
        <v>1824</v>
      </c>
      <c r="BT40" s="17">
        <f>武将升星!R33*基础状态预期!I46+I40*(M40+1)+Y40+AG40</f>
        <v>882</v>
      </c>
      <c r="BU40" s="17">
        <f>武将升星!S33*基础状态预期!J46+J40*(N40+1)+Z40+AH40</f>
        <v>108</v>
      </c>
    </row>
    <row r="41" spans="2:73" x14ac:dyDescent="0.15">
      <c r="B41" s="17">
        <v>34</v>
      </c>
      <c r="E41" s="29">
        <f>基础状态预期!C47</f>
        <v>9460</v>
      </c>
      <c r="F41" s="29">
        <f>基础状态预期!D47</f>
        <v>132.07530828871487</v>
      </c>
      <c r="G41" s="29">
        <f t="shared" si="19"/>
        <v>0</v>
      </c>
      <c r="H41" s="29">
        <f t="shared" si="20"/>
        <v>0</v>
      </c>
      <c r="I41" s="29">
        <f t="shared" si="21"/>
        <v>24</v>
      </c>
      <c r="J41" s="29">
        <f t="shared" si="22"/>
        <v>0</v>
      </c>
      <c r="K41" s="29">
        <f>武将战力价值情况!G37</f>
        <v>3</v>
      </c>
      <c r="L41" s="29">
        <f>武将战力价值情况!H37</f>
        <v>6</v>
      </c>
      <c r="M41" s="29">
        <f>武将战力价值情况!I37</f>
        <v>8</v>
      </c>
      <c r="N41" s="29">
        <f>武将战力价值情况!J37</f>
        <v>8</v>
      </c>
      <c r="O41" s="41">
        <f>MAX(同名需求(G41,求节点(武将升星!$C$104:$C$112,武将升星!E$104:E$112,K41),F$2),武将数量星级阶位验证!AA37)</f>
        <v>24</v>
      </c>
      <c r="P41" s="41">
        <f>MAX(同名需求(H41,求节点(武将升星!$C$104:$C$112,武将升星!F$104:F$112,L41),G$2),武将数量星级阶位验证!AB37)</f>
        <v>120</v>
      </c>
      <c r="Q41" s="41">
        <f>MAX(同名需求(I41,求节点(武将升星!$C$104:$C$112,武将升星!G$104:G$112,M41),H$2),武将数量星级阶位验证!AC37)</f>
        <v>704</v>
      </c>
      <c r="R41" s="41">
        <f>MAX(同名需求(J41,求节点(武将升星!$C$104:$C$112,武将升星!H$104:H$112,N41),I$2),武将数量星级阶位验证!AD37)</f>
        <v>108</v>
      </c>
      <c r="S41" s="29">
        <f>MAX(基础状态预期!P47:T47)</f>
        <v>5</v>
      </c>
      <c r="T41" s="29">
        <f t="shared" si="23"/>
        <v>5</v>
      </c>
      <c r="U41" s="29">
        <f t="shared" si="24"/>
        <v>5</v>
      </c>
      <c r="V41" s="29">
        <f t="shared" si="25"/>
        <v>5</v>
      </c>
      <c r="W41" s="41">
        <f>SUMIFS(武将进阶!F$13:F$18,武将进阶!$C$13:$C$18,"&lt;="&amp;T41)*H41+武将数量星级阶位验证!Q37</f>
        <v>0</v>
      </c>
      <c r="X41" s="41">
        <f>SUMIFS(武将进阶!G$13:G$18,武将进阶!$C$13:$C$18,"&lt;="&amp;U41)*I41+武将数量星级阶位验证!R37</f>
        <v>1824</v>
      </c>
      <c r="Y41" s="41">
        <f>SUMIFS(武将进阶!H$13:H$18,武将进阶!$C$13:$C$18,"&lt;="&amp;V41)*J41+武将数量星级阶位验证!S37</f>
        <v>642</v>
      </c>
      <c r="Z41" s="41">
        <f>SUMIFS(武将进阶!I$13:I$18,武将进阶!$C$13:$C$18,"&lt;="&amp;W41)*K41+武将数量星级阶位验证!T37</f>
        <v>0</v>
      </c>
      <c r="AA41" s="29"/>
      <c r="AB41" s="29">
        <f>求节点(基础状态预期!$AT$17:$AT$55,基础状态预期!AW$17:AW$55,各r阵容卡情况!$F41)</f>
        <v>2</v>
      </c>
      <c r="AC41" s="29">
        <f>求节点(基础状态预期!$AT$17:$AT$55,基础状态预期!AX$17:AX$55,各r阵容卡情况!$F41)</f>
        <v>2</v>
      </c>
      <c r="AD41" s="29">
        <f>求节点(基础状态预期!$AT$17:$AT$55,基础状态预期!AY$17:AY$55,各r阵容卡情况!$F41)</f>
        <v>2</v>
      </c>
      <c r="AE41" s="41">
        <f>IF(AA41&lt;1,0,(AA41-1)*武将觉醒!E$34*G41)+武将数量星级阶位验证!V37</f>
        <v>0</v>
      </c>
      <c r="AF41" s="41">
        <f>IF(AB41&lt;1,0,(AB41-1)*武将觉醒!F$34*H41)+武将数量星级阶位验证!W37</f>
        <v>0</v>
      </c>
      <c r="AG41" s="41">
        <f>IF(AC41&lt;1,0,(AC41-1)*武将觉醒!G$34*I41)+武将数量星级阶位验证!X37</f>
        <v>24</v>
      </c>
      <c r="AH41" s="41">
        <f>IF(AD41&lt;1,0,(AD41-1)*武将觉醒!H$34*J41)+武将数量星级阶位验证!Y37</f>
        <v>0</v>
      </c>
      <c r="AJ41" s="29">
        <f>MAX(W41+AE41+G41*(K41+1)+IF(武将数量星级阶位验证!L37="",0,武将数量星级阶位验证!L37)*武将升星!P34,O41)</f>
        <v>24</v>
      </c>
      <c r="AK41" s="29">
        <f>MAX(X41+AF41+H41*(L41+1)+IF(武将数量星级阶位验证!M37="",0,武将数量星级阶位验证!M37)*武将升星!Q34,P41)</f>
        <v>1824</v>
      </c>
      <c r="AL41" s="64">
        <f>MAX(Y41+AG41+I41*(M41+1)+IF(武将数量星级阶位验证!N37="",0,武将数量星级阶位验证!N37)*武将升星!R34,Q41)</f>
        <v>882</v>
      </c>
      <c r="AM41" s="41">
        <f t="shared" si="26"/>
        <v>108</v>
      </c>
      <c r="AO41" s="17">
        <f>武将数量星级阶位验证!BJ37</f>
        <v>95164.587383145437</v>
      </c>
      <c r="AP41" s="17">
        <f>武将数量星级阶位验证!BK37</f>
        <v>23130.876622503085</v>
      </c>
      <c r="AQ41" s="63">
        <f>武将数量星级阶位验证!BL37</f>
        <v>3255.6090515755577</v>
      </c>
      <c r="AR41" s="17">
        <f>武将数量星级阶位验证!BM37</f>
        <v>705.95433241544015</v>
      </c>
      <c r="AT41" s="17">
        <f t="shared" si="27"/>
        <v>9460</v>
      </c>
      <c r="AU41" s="17">
        <f t="shared" si="28"/>
        <v>132.07530828871487</v>
      </c>
      <c r="BA41" s="17">
        <f>基础状态预期!J47</f>
        <v>6</v>
      </c>
      <c r="BB41" s="62">
        <f t="shared" si="29"/>
        <v>6</v>
      </c>
      <c r="BD41" s="17">
        <v>0</v>
      </c>
      <c r="BE41" s="17">
        <v>0</v>
      </c>
      <c r="BF41" s="17">
        <v>24</v>
      </c>
      <c r="BG41" s="17">
        <v>0</v>
      </c>
      <c r="BH41" s="62">
        <f t="shared" si="30"/>
        <v>24</v>
      </c>
      <c r="BJ41" s="17">
        <f t="shared" si="31"/>
        <v>0</v>
      </c>
      <c r="BK41" s="17">
        <f t="shared" si="32"/>
        <v>0</v>
      </c>
      <c r="BL41" s="17">
        <f t="shared" si="33"/>
        <v>24</v>
      </c>
      <c r="BM41" s="17">
        <f t="shared" si="34"/>
        <v>6</v>
      </c>
      <c r="BN41" s="62">
        <f t="shared" si="35"/>
        <v>30</v>
      </c>
      <c r="BR41" s="17">
        <f>武将升星!P34*基础状态预期!G47+G41*(K41+1)+W41+AE41</f>
        <v>0</v>
      </c>
      <c r="BS41" s="17">
        <f>武将升星!Q34*基础状态预期!H47+H41*(L41+1)+X41+AF41</f>
        <v>1824</v>
      </c>
      <c r="BT41" s="17">
        <f>武将升星!R34*基础状态预期!I47+I41*(M41+1)+Y41+AG41</f>
        <v>882</v>
      </c>
      <c r="BU41" s="17">
        <f>武将升星!S34*基础状态预期!J47+J41*(N41+1)+Z41+AH41</f>
        <v>108</v>
      </c>
    </row>
    <row r="42" spans="2:73" x14ac:dyDescent="0.15">
      <c r="B42" s="17">
        <v>35</v>
      </c>
      <c r="E42" s="29">
        <f>基础状态预期!C48</f>
        <v>12040</v>
      </c>
      <c r="F42" s="29">
        <f>基础状态预期!D48</f>
        <v>135.54811255008914</v>
      </c>
      <c r="G42" s="29">
        <f t="shared" si="19"/>
        <v>0</v>
      </c>
      <c r="H42" s="29">
        <f t="shared" si="20"/>
        <v>0</v>
      </c>
      <c r="I42" s="29">
        <f t="shared" si="21"/>
        <v>24</v>
      </c>
      <c r="J42" s="29">
        <f t="shared" si="22"/>
        <v>0</v>
      </c>
      <c r="K42" s="29">
        <f>武将战力价值情况!G38</f>
        <v>3</v>
      </c>
      <c r="L42" s="29">
        <f>武将战力价值情况!H38</f>
        <v>6</v>
      </c>
      <c r="M42" s="29">
        <f>武将战力价值情况!I38</f>
        <v>8</v>
      </c>
      <c r="N42" s="29">
        <f>武将战力价值情况!J38</f>
        <v>8</v>
      </c>
      <c r="O42" s="41">
        <f>MAX(同名需求(G42,求节点(武将升星!$C$104:$C$112,武将升星!E$104:E$112,K42),F$2),武将数量星级阶位验证!AA38)</f>
        <v>24</v>
      </c>
      <c r="P42" s="41">
        <f>MAX(同名需求(H42,求节点(武将升星!$C$104:$C$112,武将升星!F$104:F$112,L42),G$2),武将数量星级阶位验证!AB38)</f>
        <v>120</v>
      </c>
      <c r="Q42" s="41">
        <f>MAX(同名需求(I42,求节点(武将升星!$C$104:$C$112,武将升星!G$104:G$112,M42),H$2),武将数量星级阶位验证!AC38)</f>
        <v>704</v>
      </c>
      <c r="R42" s="41">
        <f>MAX(同名需求(J42,求节点(武将升星!$C$104:$C$112,武将升星!H$104:H$112,N42),I$2),武将数量星级阶位验证!AD38)</f>
        <v>108</v>
      </c>
      <c r="S42" s="29">
        <f>MAX(基础状态预期!P48:T48)</f>
        <v>5</v>
      </c>
      <c r="T42" s="29">
        <f t="shared" si="23"/>
        <v>5</v>
      </c>
      <c r="U42" s="29">
        <f t="shared" si="24"/>
        <v>5</v>
      </c>
      <c r="V42" s="29">
        <f t="shared" si="25"/>
        <v>5</v>
      </c>
      <c r="W42" s="41">
        <f>SUMIFS(武将进阶!F$13:F$18,武将进阶!$C$13:$C$18,"&lt;="&amp;T42)*H42+武将数量星级阶位验证!Q38</f>
        <v>0</v>
      </c>
      <c r="X42" s="41">
        <f>SUMIFS(武将进阶!G$13:G$18,武将进阶!$C$13:$C$18,"&lt;="&amp;U42)*I42+武将数量星级阶位验证!R38</f>
        <v>1824</v>
      </c>
      <c r="Y42" s="41">
        <f>SUMIFS(武将进阶!H$13:H$18,武将进阶!$C$13:$C$18,"&lt;="&amp;V42)*J42+武将数量星级阶位验证!S38</f>
        <v>642</v>
      </c>
      <c r="Z42" s="41">
        <f>SUMIFS(武将进阶!I$13:I$18,武将进阶!$C$13:$C$18,"&lt;="&amp;W42)*K42+武将数量星级阶位验证!T38</f>
        <v>0</v>
      </c>
      <c r="AA42" s="29"/>
      <c r="AB42" s="29">
        <f>求节点(基础状态预期!$AT$17:$AT$55,基础状态预期!AW$17:AW$55,各r阵容卡情况!$F42)</f>
        <v>2</v>
      </c>
      <c r="AC42" s="29">
        <f>求节点(基础状态预期!$AT$17:$AT$55,基础状态预期!AX$17:AX$55,各r阵容卡情况!$F42)</f>
        <v>2</v>
      </c>
      <c r="AD42" s="29">
        <f>求节点(基础状态预期!$AT$17:$AT$55,基础状态预期!AY$17:AY$55,各r阵容卡情况!$F42)</f>
        <v>2</v>
      </c>
      <c r="AE42" s="41">
        <f>IF(AA42&lt;1,0,(AA42-1)*武将觉醒!E$34*G42)+武将数量星级阶位验证!V38</f>
        <v>0</v>
      </c>
      <c r="AF42" s="41">
        <f>IF(AB42&lt;1,0,(AB42-1)*武将觉醒!F$34*H42)+武将数量星级阶位验证!W38</f>
        <v>0</v>
      </c>
      <c r="AG42" s="41">
        <f>IF(AC42&lt;1,0,(AC42-1)*武将觉醒!G$34*I42)+武将数量星级阶位验证!X38</f>
        <v>24</v>
      </c>
      <c r="AH42" s="41">
        <f>IF(AD42&lt;1,0,(AD42-1)*武将觉醒!H$34*J42)+武将数量星级阶位验证!Y38</f>
        <v>0</v>
      </c>
      <c r="AJ42" s="29">
        <f>MAX(W42+AE42+G42*(K42+1)+IF(武将数量星级阶位验证!L38="",0,武将数量星级阶位验证!L38)*武将升星!P35,O42)</f>
        <v>24</v>
      </c>
      <c r="AK42" s="29">
        <f>MAX(X42+AF42+H42*(L42+1)+IF(武将数量星级阶位验证!M38="",0,武将数量星级阶位验证!M38)*武将升星!Q35,P42)</f>
        <v>1824</v>
      </c>
      <c r="AL42" s="64">
        <f>MAX(Y42+AG42+I42*(M42+1)+IF(武将数量星级阶位验证!N38="",0,武将数量星级阶位验证!N38)*武将升星!R35,Q42)</f>
        <v>882</v>
      </c>
      <c r="AM42" s="41">
        <f t="shared" si="26"/>
        <v>108</v>
      </c>
      <c r="AO42" s="17">
        <f>武将数量星级阶位验证!BJ38</f>
        <v>120473.39609215497</v>
      </c>
      <c r="AP42" s="17">
        <f>武将数量星级阶位验证!BK38</f>
        <v>29106.178627373094</v>
      </c>
      <c r="AQ42" s="63">
        <f>武将数量星级阶位验证!BL38</f>
        <v>4087.4043523060591</v>
      </c>
      <c r="AR42" s="17">
        <f>武将数量星级阶位验证!BM38</f>
        <v>875.43114380747602</v>
      </c>
      <c r="AT42" s="17">
        <f t="shared" si="27"/>
        <v>12040</v>
      </c>
      <c r="AU42" s="17">
        <f t="shared" si="28"/>
        <v>135.54811255008914</v>
      </c>
      <c r="BA42" s="17">
        <f>基础状态预期!J48</f>
        <v>6</v>
      </c>
      <c r="BB42" s="62">
        <f t="shared" si="29"/>
        <v>6</v>
      </c>
      <c r="BD42" s="17">
        <v>0</v>
      </c>
      <c r="BE42" s="17">
        <v>0</v>
      </c>
      <c r="BF42" s="17">
        <v>24</v>
      </c>
      <c r="BG42" s="17">
        <v>0</v>
      </c>
      <c r="BH42" s="62">
        <f t="shared" si="30"/>
        <v>24</v>
      </c>
      <c r="BJ42" s="17">
        <f t="shared" si="31"/>
        <v>0</v>
      </c>
      <c r="BK42" s="17">
        <f t="shared" si="32"/>
        <v>0</v>
      </c>
      <c r="BL42" s="17">
        <f t="shared" si="33"/>
        <v>24</v>
      </c>
      <c r="BM42" s="17">
        <f t="shared" si="34"/>
        <v>6</v>
      </c>
      <c r="BN42" s="62">
        <f t="shared" si="35"/>
        <v>30</v>
      </c>
      <c r="BR42" s="17">
        <f>武将升星!P35*基础状态预期!G48+G42*(K42+1)+W42+AE42</f>
        <v>0</v>
      </c>
      <c r="BS42" s="17">
        <f>武将升星!Q35*基础状态预期!H48+H42*(L42+1)+X42+AF42</f>
        <v>1824</v>
      </c>
      <c r="BT42" s="17">
        <f>武将升星!R35*基础状态预期!I48+I42*(M42+1)+Y42+AG42</f>
        <v>882</v>
      </c>
      <c r="BU42" s="17">
        <f>武将升星!S35*基础状态预期!J48+J42*(N42+1)+Z42+AH42</f>
        <v>108</v>
      </c>
    </row>
    <row r="43" spans="2:73" x14ac:dyDescent="0.15">
      <c r="B43" s="17">
        <v>36</v>
      </c>
      <c r="E43" s="29">
        <f>基础状态预期!C49</f>
        <v>15340</v>
      </c>
      <c r="F43" s="29">
        <f>基础状态预期!D49</f>
        <v>139.0493876099641</v>
      </c>
      <c r="G43" s="29">
        <f t="shared" si="19"/>
        <v>0</v>
      </c>
      <c r="H43" s="29">
        <f t="shared" si="20"/>
        <v>0</v>
      </c>
      <c r="I43" s="29">
        <f t="shared" si="21"/>
        <v>24</v>
      </c>
      <c r="J43" s="29">
        <f t="shared" si="22"/>
        <v>0</v>
      </c>
      <c r="K43" s="29">
        <f>武将战力价值情况!G39</f>
        <v>3</v>
      </c>
      <c r="L43" s="29">
        <f>武将战力价值情况!H39</f>
        <v>6</v>
      </c>
      <c r="M43" s="29">
        <f>武将战力价值情况!I39</f>
        <v>8</v>
      </c>
      <c r="N43" s="29">
        <f>武将战力价值情况!J39</f>
        <v>8</v>
      </c>
      <c r="O43" s="41">
        <f>MAX(同名需求(G43,求节点(武将升星!$C$104:$C$112,武将升星!E$104:E$112,K43),F$2),武将数量星级阶位验证!AA39)</f>
        <v>24</v>
      </c>
      <c r="P43" s="41">
        <f>MAX(同名需求(H43,求节点(武将升星!$C$104:$C$112,武将升星!F$104:F$112,L43),G$2),武将数量星级阶位验证!AB39)</f>
        <v>120</v>
      </c>
      <c r="Q43" s="41">
        <f>MAX(同名需求(I43,求节点(武将升星!$C$104:$C$112,武将升星!G$104:G$112,M43),H$2),武将数量星级阶位验证!AC39)</f>
        <v>704</v>
      </c>
      <c r="R43" s="41">
        <f>MAX(同名需求(J43,求节点(武将升星!$C$104:$C$112,武将升星!H$104:H$112,N43),I$2),武将数量星级阶位验证!AD39)</f>
        <v>108</v>
      </c>
      <c r="S43" s="29">
        <f>MAX(基础状态预期!P49:T49)</f>
        <v>5</v>
      </c>
      <c r="T43" s="29">
        <f t="shared" si="23"/>
        <v>5</v>
      </c>
      <c r="U43" s="29">
        <f t="shared" si="24"/>
        <v>5</v>
      </c>
      <c r="V43" s="29">
        <f t="shared" si="25"/>
        <v>5</v>
      </c>
      <c r="W43" s="41">
        <f>SUMIFS(武将进阶!F$13:F$18,武将进阶!$C$13:$C$18,"&lt;="&amp;T43)*H43+武将数量星级阶位验证!Q39</f>
        <v>0</v>
      </c>
      <c r="X43" s="41">
        <f>SUMIFS(武将进阶!G$13:G$18,武将进阶!$C$13:$C$18,"&lt;="&amp;U43)*I43+武将数量星级阶位验证!R39</f>
        <v>1824</v>
      </c>
      <c r="Y43" s="41">
        <f>SUMIFS(武将进阶!H$13:H$18,武将进阶!$C$13:$C$18,"&lt;="&amp;V43)*J43+武将数量星级阶位验证!S39</f>
        <v>642</v>
      </c>
      <c r="Z43" s="41">
        <f>SUMIFS(武将进阶!I$13:I$18,武将进阶!$C$13:$C$18,"&lt;="&amp;W43)*K43+武将数量星级阶位验证!T39</f>
        <v>0</v>
      </c>
      <c r="AA43" s="29"/>
      <c r="AB43" s="29">
        <f>求节点(基础状态预期!$AT$17:$AT$55,基础状态预期!AW$17:AW$55,各r阵容卡情况!$F43)</f>
        <v>2</v>
      </c>
      <c r="AC43" s="29">
        <f>求节点(基础状态预期!$AT$17:$AT$55,基础状态预期!AX$17:AX$55,各r阵容卡情况!$F43)</f>
        <v>2</v>
      </c>
      <c r="AD43" s="29">
        <f>求节点(基础状态预期!$AT$17:$AT$55,基础状态预期!AY$17:AY$55,各r阵容卡情况!$F43)</f>
        <v>2</v>
      </c>
      <c r="AE43" s="41">
        <f>IF(AA43&lt;1,0,(AA43-1)*武将觉醒!E$34*G43)+武将数量星级阶位验证!V39</f>
        <v>0</v>
      </c>
      <c r="AF43" s="41">
        <f>IF(AB43&lt;1,0,(AB43-1)*武将觉醒!F$34*H43)+武将数量星级阶位验证!W39</f>
        <v>0</v>
      </c>
      <c r="AG43" s="41">
        <f>IF(AC43&lt;1,0,(AC43-1)*武将觉醒!G$34*I43)+武将数量星级阶位验证!X39</f>
        <v>24</v>
      </c>
      <c r="AH43" s="41">
        <f>IF(AD43&lt;1,0,(AD43-1)*武将觉醒!H$34*J43)+武将数量星级阶位验证!Y39</f>
        <v>0</v>
      </c>
      <c r="AJ43" s="29">
        <f>MAX(W43+AE43+G43*(K43+1)+IF(武将数量星级阶位验证!L39="",0,武将数量星级阶位验证!L39)*武将升星!P36,O43)</f>
        <v>24</v>
      </c>
      <c r="AK43" s="29">
        <f>MAX(X43+AF43+H43*(L43+1)+IF(武将数量星级阶位验证!M39="",0,武将数量星级阶位验证!M39)*武将升星!Q36,P43)</f>
        <v>1824</v>
      </c>
      <c r="AL43" s="64">
        <f>MAX(Y43+AG43+I43*(M43+1)+IF(武将数量星级阶位验证!N39="",0,武将数量星级阶位验证!N39)*武将升星!R36,Q43)</f>
        <v>882</v>
      </c>
      <c r="AM43" s="41">
        <f t="shared" si="26"/>
        <v>108</v>
      </c>
      <c r="AO43" s="17">
        <f>武将数量星级阶位验证!BJ39</f>
        <v>152679.76092512353</v>
      </c>
      <c r="AP43" s="17">
        <f>武将数量星级阶位验证!BK39</f>
        <v>36659.619077626361</v>
      </c>
      <c r="AQ43" s="63">
        <f>武将数量星级阶位验证!BL39</f>
        <v>5137.9204198440493</v>
      </c>
      <c r="AR43" s="17">
        <f>武将数量星级阶位验证!BM39</f>
        <v>1085.0081000528639</v>
      </c>
      <c r="AT43" s="17">
        <f t="shared" si="27"/>
        <v>15340</v>
      </c>
      <c r="AU43" s="17">
        <f t="shared" si="28"/>
        <v>139.0493876099641</v>
      </c>
      <c r="BA43" s="17">
        <f>基础状态预期!J49</f>
        <v>6</v>
      </c>
      <c r="BB43" s="62">
        <f t="shared" si="29"/>
        <v>6</v>
      </c>
      <c r="BD43" s="17">
        <v>0</v>
      </c>
      <c r="BE43" s="17">
        <v>0</v>
      </c>
      <c r="BF43" s="17">
        <v>24</v>
      </c>
      <c r="BG43" s="17">
        <v>0</v>
      </c>
      <c r="BH43" s="62">
        <f t="shared" si="30"/>
        <v>24</v>
      </c>
      <c r="BJ43" s="17">
        <f t="shared" si="31"/>
        <v>0</v>
      </c>
      <c r="BK43" s="17">
        <f t="shared" si="32"/>
        <v>0</v>
      </c>
      <c r="BL43" s="17">
        <f t="shared" si="33"/>
        <v>24</v>
      </c>
      <c r="BM43" s="17">
        <f t="shared" si="34"/>
        <v>6</v>
      </c>
      <c r="BN43" s="62">
        <f t="shared" si="35"/>
        <v>30</v>
      </c>
      <c r="BR43" s="17">
        <f>武将升星!P36*基础状态预期!G49+G43*(K43+1)+W43+AE43</f>
        <v>0</v>
      </c>
      <c r="BS43" s="17">
        <f>武将升星!Q36*基础状态预期!H49+H43*(L43+1)+X43+AF43</f>
        <v>1824</v>
      </c>
      <c r="BT43" s="17">
        <f>武将升星!R36*基础状态预期!I49+I43*(M43+1)+Y43+AG43</f>
        <v>882</v>
      </c>
      <c r="BU43" s="17">
        <f>武将升星!S36*基础状态预期!J49+J43*(N43+1)+Z43+AH43</f>
        <v>108</v>
      </c>
    </row>
    <row r="44" spans="2:73" x14ac:dyDescent="0.15">
      <c r="B44" s="17">
        <v>37</v>
      </c>
      <c r="E44" s="29">
        <f>基础状态预期!C50</f>
        <v>19540</v>
      </c>
      <c r="F44" s="29">
        <f>基础状态预期!D50</f>
        <v>142.53355653582128</v>
      </c>
      <c r="G44" s="29">
        <f t="shared" si="19"/>
        <v>0</v>
      </c>
      <c r="H44" s="29">
        <f t="shared" si="20"/>
        <v>0</v>
      </c>
      <c r="I44" s="29">
        <f t="shared" si="21"/>
        <v>24</v>
      </c>
      <c r="J44" s="29">
        <f t="shared" si="22"/>
        <v>0</v>
      </c>
      <c r="K44" s="29">
        <f>武将战力价值情况!G40</f>
        <v>3</v>
      </c>
      <c r="L44" s="29">
        <f>武将战力价值情况!H40</f>
        <v>6</v>
      </c>
      <c r="M44" s="29">
        <f>武将战力价值情况!I40</f>
        <v>8</v>
      </c>
      <c r="N44" s="29">
        <f>武将战力价值情况!J40</f>
        <v>8</v>
      </c>
      <c r="O44" s="41">
        <f>MAX(同名需求(G44,求节点(武将升星!$C$104:$C$112,武将升星!E$104:E$112,K44),F$2),武将数量星级阶位验证!AA40)</f>
        <v>24</v>
      </c>
      <c r="P44" s="41">
        <f>MAX(同名需求(H44,求节点(武将升星!$C$104:$C$112,武将升星!F$104:F$112,L44),G$2),武将数量星级阶位验证!AB40)</f>
        <v>120</v>
      </c>
      <c r="Q44" s="41">
        <f>MAX(同名需求(I44,求节点(武将升星!$C$104:$C$112,武将升星!G$104:G$112,M44),H$2),武将数量星级阶位验证!AC40)</f>
        <v>704</v>
      </c>
      <c r="R44" s="41">
        <f>MAX(同名需求(J44,求节点(武将升星!$C$104:$C$112,武将升星!H$104:H$112,N44),I$2),武将数量星级阶位验证!AD40)</f>
        <v>108</v>
      </c>
      <c r="S44" s="29">
        <f>MAX(基础状态预期!P50:T50)</f>
        <v>5</v>
      </c>
      <c r="T44" s="29">
        <f t="shared" si="23"/>
        <v>5</v>
      </c>
      <c r="U44" s="29">
        <f t="shared" si="24"/>
        <v>5</v>
      </c>
      <c r="V44" s="29">
        <f t="shared" si="25"/>
        <v>5</v>
      </c>
      <c r="W44" s="41">
        <f>SUMIFS(武将进阶!F$13:F$18,武将进阶!$C$13:$C$18,"&lt;="&amp;T44)*H44+武将数量星级阶位验证!Q40</f>
        <v>0</v>
      </c>
      <c r="X44" s="41">
        <f>SUMIFS(武将进阶!G$13:G$18,武将进阶!$C$13:$C$18,"&lt;="&amp;U44)*I44+武将数量星级阶位验证!R40</f>
        <v>1824</v>
      </c>
      <c r="Y44" s="41">
        <f>SUMIFS(武将进阶!H$13:H$18,武将进阶!$C$13:$C$18,"&lt;="&amp;V44)*J44+武将数量星级阶位验证!S40</f>
        <v>642</v>
      </c>
      <c r="Z44" s="41">
        <f>SUMIFS(武将进阶!I$13:I$18,武将进阶!$C$13:$C$18,"&lt;="&amp;W44)*K44+武将数量星级阶位验证!T40</f>
        <v>0</v>
      </c>
      <c r="AA44" s="29"/>
      <c r="AB44" s="29">
        <f>求节点(基础状态预期!$AT$17:$AT$55,基础状态预期!AW$17:AW$55,各r阵容卡情况!$F44)</f>
        <v>2</v>
      </c>
      <c r="AC44" s="29">
        <f>求节点(基础状态预期!$AT$17:$AT$55,基础状态预期!AX$17:AX$55,各r阵容卡情况!$F44)</f>
        <v>2</v>
      </c>
      <c r="AD44" s="29">
        <f>求节点(基础状态预期!$AT$17:$AT$55,基础状态预期!AY$17:AY$55,各r阵容卡情况!$F44)</f>
        <v>2</v>
      </c>
      <c r="AE44" s="41">
        <f>IF(AA44&lt;1,0,(AA44-1)*武将觉醒!E$34*G44)+武将数量星级阶位验证!V40</f>
        <v>0</v>
      </c>
      <c r="AF44" s="41">
        <f>IF(AB44&lt;1,0,(AB44-1)*武将觉醒!F$34*H44)+武将数量星级阶位验证!W40</f>
        <v>0</v>
      </c>
      <c r="AG44" s="41">
        <f>IF(AC44&lt;1,0,(AC44-1)*武将觉醒!G$34*I44)+武将数量星级阶位验证!X40</f>
        <v>24</v>
      </c>
      <c r="AH44" s="41">
        <f>IF(AD44&lt;1,0,(AD44-1)*武将觉醒!H$34*J44)+武将数量星级阶位验证!Y40</f>
        <v>0</v>
      </c>
      <c r="AJ44" s="29">
        <f>MAX(W44+AE44+G44*(K44+1)+IF(武将数量星级阶位验证!L40="",0,武将数量星级阶位验证!L40)*武将升星!P37,O44)</f>
        <v>24</v>
      </c>
      <c r="AK44" s="29">
        <f>MAX(X44+AF44+H44*(L44+1)+IF(武将数量星级阶位验证!M40="",0,武将数量星级阶位验证!M40)*武将升星!Q37,P44)</f>
        <v>1824</v>
      </c>
      <c r="AL44" s="64">
        <f>MAX(Y44+AG44+I44*(M44+1)+IF(武将数量星级阶位验证!N40="",0,武将数量星级阶位验证!N40)*武将升星!R37,Q44)</f>
        <v>882</v>
      </c>
      <c r="AM44" s="41">
        <f t="shared" si="26"/>
        <v>108</v>
      </c>
      <c r="AO44" s="17">
        <f>武将数量星级阶位验证!BJ40</f>
        <v>193593.90650567436</v>
      </c>
      <c r="AP44" s="17">
        <f>武将数量星级阶位验证!BK40</f>
        <v>46232.130202248445</v>
      </c>
      <c r="AQ44" s="63">
        <f>武将数量星级阶位验证!BL40</f>
        <v>6468.7970885373616</v>
      </c>
      <c r="AR44" s="17">
        <f>武将数量星级阶位验证!BM40</f>
        <v>1348.4452455849419</v>
      </c>
      <c r="AT44" s="17">
        <f t="shared" si="27"/>
        <v>19540</v>
      </c>
      <c r="AU44" s="17">
        <f t="shared" si="28"/>
        <v>142.53355653582128</v>
      </c>
      <c r="BA44" s="17">
        <f>基础状态预期!J50</f>
        <v>6</v>
      </c>
      <c r="BB44" s="62">
        <f t="shared" si="29"/>
        <v>6</v>
      </c>
      <c r="BD44" s="17">
        <v>0</v>
      </c>
      <c r="BE44" s="17">
        <v>0</v>
      </c>
      <c r="BF44" s="17">
        <v>24</v>
      </c>
      <c r="BG44" s="17">
        <v>0</v>
      </c>
      <c r="BH44" s="62">
        <f t="shared" si="30"/>
        <v>24</v>
      </c>
      <c r="BJ44" s="17">
        <f t="shared" si="31"/>
        <v>0</v>
      </c>
      <c r="BK44" s="17">
        <f t="shared" si="32"/>
        <v>0</v>
      </c>
      <c r="BL44" s="17">
        <f t="shared" si="33"/>
        <v>24</v>
      </c>
      <c r="BM44" s="17">
        <f t="shared" si="34"/>
        <v>6</v>
      </c>
      <c r="BN44" s="62">
        <f t="shared" si="35"/>
        <v>30</v>
      </c>
      <c r="BR44" s="17">
        <f>武将升星!P37*基础状态预期!G50+G44*(K44+1)+W44+AE44</f>
        <v>0</v>
      </c>
      <c r="BS44" s="17">
        <f>武将升星!Q37*基础状态预期!H50+H44*(L44+1)+X44+AF44</f>
        <v>1824</v>
      </c>
      <c r="BT44" s="17">
        <f>武将升星!R37*基础状态预期!I50+I44*(M44+1)+Y44+AG44</f>
        <v>882</v>
      </c>
      <c r="BU44" s="17">
        <f>武将升星!S37*基础状态预期!J50+J44*(N44+1)+Z44+AH44</f>
        <v>108</v>
      </c>
    </row>
    <row r="45" spans="2:73" x14ac:dyDescent="0.15">
      <c r="B45" s="17">
        <v>38</v>
      </c>
      <c r="E45" s="29">
        <f>基础状态预期!C51</f>
        <v>24880</v>
      </c>
      <c r="F45" s="29">
        <f>基础状态预期!D51</f>
        <v>146.02664953963369</v>
      </c>
      <c r="G45" s="29">
        <f t="shared" si="19"/>
        <v>0</v>
      </c>
      <c r="H45" s="29">
        <f t="shared" si="20"/>
        <v>0</v>
      </c>
      <c r="I45" s="29">
        <f t="shared" si="21"/>
        <v>24</v>
      </c>
      <c r="J45" s="29">
        <f t="shared" si="22"/>
        <v>0</v>
      </c>
      <c r="K45" s="29">
        <f>武将战力价值情况!G41</f>
        <v>3</v>
      </c>
      <c r="L45" s="29">
        <f>武将战力价值情况!H41</f>
        <v>6</v>
      </c>
      <c r="M45" s="29">
        <f>武将战力价值情况!I41</f>
        <v>8</v>
      </c>
      <c r="N45" s="29">
        <f>武将战力价值情况!J41</f>
        <v>8</v>
      </c>
      <c r="O45" s="41">
        <f>MAX(同名需求(G45,求节点(武将升星!$C$104:$C$112,武将升星!E$104:E$112,K45),F$2),武将数量星级阶位验证!AA41)</f>
        <v>24</v>
      </c>
      <c r="P45" s="41">
        <f>MAX(同名需求(H45,求节点(武将升星!$C$104:$C$112,武将升星!F$104:F$112,L45),G$2),武将数量星级阶位验证!AB41)</f>
        <v>120</v>
      </c>
      <c r="Q45" s="41">
        <f>MAX(同名需求(I45,求节点(武将升星!$C$104:$C$112,武将升星!G$104:G$112,M45),H$2),武将数量星级阶位验证!AC41)</f>
        <v>704</v>
      </c>
      <c r="R45" s="41">
        <f>MAX(同名需求(J45,求节点(武将升星!$C$104:$C$112,武将升星!H$104:H$112,N45),I$2),武将数量星级阶位验证!AD41)</f>
        <v>108</v>
      </c>
      <c r="S45" s="29">
        <f>MAX(基础状态预期!P51:T51)</f>
        <v>5</v>
      </c>
      <c r="T45" s="29">
        <f t="shared" si="23"/>
        <v>5</v>
      </c>
      <c r="U45" s="29">
        <f t="shared" si="24"/>
        <v>5</v>
      </c>
      <c r="V45" s="29">
        <f t="shared" si="25"/>
        <v>5</v>
      </c>
      <c r="W45" s="41">
        <f>SUMIFS(武将进阶!F$13:F$18,武将进阶!$C$13:$C$18,"&lt;="&amp;T45)*H45+武将数量星级阶位验证!Q41</f>
        <v>0</v>
      </c>
      <c r="X45" s="41">
        <f>SUMIFS(武将进阶!G$13:G$18,武将进阶!$C$13:$C$18,"&lt;="&amp;U45)*I45+武将数量星级阶位验证!R41</f>
        <v>1824</v>
      </c>
      <c r="Y45" s="41">
        <f>SUMIFS(武将进阶!H$13:H$18,武将进阶!$C$13:$C$18,"&lt;="&amp;V45)*J45+武将数量星级阶位验证!S41</f>
        <v>642</v>
      </c>
      <c r="Z45" s="41">
        <f>SUMIFS(武将进阶!I$13:I$18,武将进阶!$C$13:$C$18,"&lt;="&amp;W45)*K45+武将数量星级阶位验证!T41</f>
        <v>0</v>
      </c>
      <c r="AA45" s="29"/>
      <c r="AB45" s="29">
        <f>求节点(基础状态预期!$AT$17:$AT$55,基础状态预期!AW$17:AW$55,各r阵容卡情况!$F45)</f>
        <v>2</v>
      </c>
      <c r="AC45" s="29">
        <f>求节点(基础状态预期!$AT$17:$AT$55,基础状态预期!AX$17:AX$55,各r阵容卡情况!$F45)</f>
        <v>2</v>
      </c>
      <c r="AD45" s="29">
        <f>求节点(基础状态预期!$AT$17:$AT$55,基础状态预期!AY$17:AY$55,各r阵容卡情况!$F45)</f>
        <v>2</v>
      </c>
      <c r="AE45" s="41">
        <f>IF(AA45&lt;1,0,(AA45-1)*武将觉醒!E$34*G45)+武将数量星级阶位验证!V41</f>
        <v>0</v>
      </c>
      <c r="AF45" s="41">
        <f>IF(AB45&lt;1,0,(AB45-1)*武将觉醒!F$34*H45)+武将数量星级阶位验证!W41</f>
        <v>0</v>
      </c>
      <c r="AG45" s="41">
        <f>IF(AC45&lt;1,0,(AC45-1)*武将觉醒!G$34*I45)+武将数量星级阶位验证!X41</f>
        <v>24</v>
      </c>
      <c r="AH45" s="41">
        <f>IF(AD45&lt;1,0,(AD45-1)*武将觉醒!H$34*J45)+武将数量星级阶位验证!Y41</f>
        <v>0</v>
      </c>
      <c r="AJ45" s="29">
        <f>MAX(W45+AE45+G45*(K45+1)+IF(武将数量星级阶位验证!L41="",0,武将数量星级阶位验证!L41)*武将升星!P38,O45)</f>
        <v>24</v>
      </c>
      <c r="AK45" s="29">
        <f>MAX(X45+AF45+H45*(L45+1)+IF(武将数量星级阶位验证!M41="",0,武将数量星级阶位验证!M41)*武将升星!Q38,P45)</f>
        <v>1824</v>
      </c>
      <c r="AL45" s="64">
        <f>MAX(Y45+AG45+I45*(M45+1)+IF(武将数量星级阶位验证!N41="",0,武将数量星级阶位验证!N41)*武将升星!R38,Q45)</f>
        <v>882</v>
      </c>
      <c r="AM45" s="41">
        <f t="shared" si="26"/>
        <v>108</v>
      </c>
      <c r="AO45" s="17">
        <f>武将数量星级阶位验证!BJ41</f>
        <v>245427.75629102328</v>
      </c>
      <c r="AP45" s="17">
        <f>武将数量星级阶位验证!BK41</f>
        <v>58302.589545680268</v>
      </c>
      <c r="AQ45" s="63">
        <f>武将数量星级阶位验证!BL41</f>
        <v>8145.8659900521361</v>
      </c>
      <c r="AR45" s="17">
        <f>武将数量星级阶位验证!BM41</f>
        <v>1675.3122227312037</v>
      </c>
      <c r="AT45" s="17">
        <f t="shared" si="27"/>
        <v>24880</v>
      </c>
      <c r="AU45" s="17">
        <f t="shared" si="28"/>
        <v>146.02664953963369</v>
      </c>
      <c r="BA45" s="17">
        <f>基础状态预期!J51</f>
        <v>6</v>
      </c>
      <c r="BB45" s="62">
        <f t="shared" si="29"/>
        <v>6</v>
      </c>
      <c r="BD45" s="17">
        <v>0</v>
      </c>
      <c r="BE45" s="17">
        <v>0</v>
      </c>
      <c r="BF45" s="17">
        <v>24</v>
      </c>
      <c r="BG45" s="17">
        <v>0</v>
      </c>
      <c r="BH45" s="62">
        <f t="shared" si="30"/>
        <v>24</v>
      </c>
      <c r="BJ45" s="17">
        <f t="shared" si="31"/>
        <v>0</v>
      </c>
      <c r="BK45" s="17">
        <f t="shared" si="32"/>
        <v>0</v>
      </c>
      <c r="BL45" s="17">
        <f t="shared" si="33"/>
        <v>24</v>
      </c>
      <c r="BM45" s="17">
        <f t="shared" si="34"/>
        <v>6</v>
      </c>
      <c r="BN45" s="62">
        <f t="shared" si="35"/>
        <v>30</v>
      </c>
      <c r="BR45" s="17">
        <f>武将升星!P38*基础状态预期!G51+G45*(K45+1)+W45+AE45</f>
        <v>0</v>
      </c>
      <c r="BS45" s="17">
        <f>武将升星!Q38*基础状态预期!H51+H45*(L45+1)+X45+AF45</f>
        <v>1824</v>
      </c>
      <c r="BT45" s="17">
        <f>武将升星!R38*基础状态预期!I51+I45*(M45+1)+Y45+AG45</f>
        <v>882</v>
      </c>
      <c r="BU45" s="17">
        <f>武将升星!S38*基础状态预期!J51+J45*(N45+1)+Z45+AH45</f>
        <v>108</v>
      </c>
    </row>
    <row r="46" spans="2:73" x14ac:dyDescent="0.15">
      <c r="B46" s="17">
        <v>39</v>
      </c>
      <c r="E46" s="29">
        <f>基础状态预期!C52</f>
        <v>31720</v>
      </c>
      <c r="F46" s="29">
        <f>基础状态预期!D52</f>
        <v>149.52287096243165</v>
      </c>
      <c r="G46" s="29">
        <f t="shared" si="19"/>
        <v>0</v>
      </c>
      <c r="H46" s="29">
        <f t="shared" si="20"/>
        <v>0</v>
      </c>
      <c r="I46" s="29">
        <f t="shared" si="21"/>
        <v>24</v>
      </c>
      <c r="J46" s="29">
        <f t="shared" si="22"/>
        <v>0</v>
      </c>
      <c r="K46" s="29">
        <f>武将战力价值情况!G42</f>
        <v>3</v>
      </c>
      <c r="L46" s="29">
        <f>武将战力价值情况!H42</f>
        <v>6</v>
      </c>
      <c r="M46" s="29">
        <f>武将战力价值情况!I42</f>
        <v>8</v>
      </c>
      <c r="N46" s="29">
        <f>武将战力价值情况!J42</f>
        <v>8</v>
      </c>
      <c r="O46" s="41">
        <f>MAX(同名需求(G46,求节点(武将升星!$C$104:$C$112,武将升星!E$104:E$112,K46),F$2),武将数量星级阶位验证!AA42)</f>
        <v>24</v>
      </c>
      <c r="P46" s="41">
        <f>MAX(同名需求(H46,求节点(武将升星!$C$104:$C$112,武将升星!F$104:F$112,L46),G$2),武将数量星级阶位验证!AB42)</f>
        <v>120</v>
      </c>
      <c r="Q46" s="41">
        <f>MAX(同名需求(I46,求节点(武将升星!$C$104:$C$112,武将升星!G$104:G$112,M46),H$2),武将数量星级阶位验证!AC42)</f>
        <v>704</v>
      </c>
      <c r="R46" s="41">
        <f>MAX(同名需求(J46,求节点(武将升星!$C$104:$C$112,武将升星!H$104:H$112,N46),I$2),武将数量星级阶位验证!AD42)</f>
        <v>108</v>
      </c>
      <c r="S46" s="29">
        <f>MAX(基础状态预期!P52:T52)</f>
        <v>5</v>
      </c>
      <c r="T46" s="29">
        <f t="shared" si="23"/>
        <v>5</v>
      </c>
      <c r="U46" s="29">
        <f t="shared" si="24"/>
        <v>5</v>
      </c>
      <c r="V46" s="29">
        <f t="shared" si="25"/>
        <v>5</v>
      </c>
      <c r="W46" s="41">
        <f>SUMIFS(武将进阶!F$13:F$18,武将进阶!$C$13:$C$18,"&lt;="&amp;T46)*H46+武将数量星级阶位验证!Q42</f>
        <v>0</v>
      </c>
      <c r="X46" s="41">
        <f>SUMIFS(武将进阶!G$13:G$18,武将进阶!$C$13:$C$18,"&lt;="&amp;U46)*I46+武将数量星级阶位验证!R42</f>
        <v>1824</v>
      </c>
      <c r="Y46" s="41">
        <f>SUMIFS(武将进阶!H$13:H$18,武将进阶!$C$13:$C$18,"&lt;="&amp;V46)*J46+武将数量星级阶位验证!S42</f>
        <v>642</v>
      </c>
      <c r="Z46" s="41">
        <f>SUMIFS(武将进阶!I$13:I$18,武将进阶!$C$13:$C$18,"&lt;="&amp;W46)*K46+武将数量星级阶位验证!T42</f>
        <v>0</v>
      </c>
      <c r="AA46" s="29"/>
      <c r="AB46" s="29">
        <f>求节点(基础状态预期!$AT$17:$AT$55,基础状态预期!AW$17:AW$55,各r阵容卡情况!$F46)</f>
        <v>2</v>
      </c>
      <c r="AC46" s="29">
        <f>求节点(基础状态预期!$AT$17:$AT$55,基础状态预期!AX$17:AX$55,各r阵容卡情况!$F46)</f>
        <v>2</v>
      </c>
      <c r="AD46" s="29">
        <f>求节点(基础状态预期!$AT$17:$AT$55,基础状态预期!AY$17:AY$55,各r阵容卡情况!$F46)</f>
        <v>2</v>
      </c>
      <c r="AE46" s="41">
        <f>IF(AA46&lt;1,0,(AA46-1)*武将觉醒!E$34*G46)+武将数量星级阶位验证!V42</f>
        <v>0</v>
      </c>
      <c r="AF46" s="41">
        <f>IF(AB46&lt;1,0,(AB46-1)*武将觉醒!F$34*H46)+武将数量星级阶位验证!W42</f>
        <v>0</v>
      </c>
      <c r="AG46" s="41">
        <f>IF(AC46&lt;1,0,(AC46-1)*武将觉醒!G$34*I46)+武将数量星级阶位验证!X42</f>
        <v>24</v>
      </c>
      <c r="AH46" s="41">
        <f>IF(AD46&lt;1,0,(AD46-1)*武将觉醒!H$34*J46)+武将数量星级阶位验证!Y42</f>
        <v>0</v>
      </c>
      <c r="AJ46" s="29">
        <f>MAX(W46+AE46+G46*(K46+1)+IF(武将数量星级阶位验证!L42="",0,武将数量星级阶位验证!L42)*武将升星!P39,O46)</f>
        <v>24</v>
      </c>
      <c r="AK46" s="29">
        <f>MAX(X46+AF46+H46*(L46+1)+IF(武将数量星级阶位验证!M42="",0,武将数量星级阶位验证!M42)*武将升星!Q39,P46)</f>
        <v>1824</v>
      </c>
      <c r="AL46" s="64">
        <f>MAX(Y46+AG46+I46*(M46+1)+IF(武将数量星级阶位验证!N42="",0,武将数量星级阶位验证!N42)*武将升星!R39,Q46)</f>
        <v>882</v>
      </c>
      <c r="AM46" s="41">
        <f t="shared" si="26"/>
        <v>108</v>
      </c>
      <c r="AO46" s="17">
        <f>武将数量星级阶位验证!BJ42</f>
        <v>311551.23909668095</v>
      </c>
      <c r="AP46" s="17">
        <f>武将数量星级阶位验证!BK42</f>
        <v>73617.445116306073</v>
      </c>
      <c r="AQ46" s="63">
        <f>武将数量星级阶位验证!BL42</f>
        <v>10272.094325646005</v>
      </c>
      <c r="AR46" s="17">
        <f>武将数量星级阶位验证!BM42</f>
        <v>2082.2280961665806</v>
      </c>
      <c r="AT46" s="17">
        <f t="shared" si="27"/>
        <v>31720</v>
      </c>
      <c r="AU46" s="17">
        <f t="shared" si="28"/>
        <v>149.52287096243165</v>
      </c>
      <c r="BA46" s="17">
        <f>基础状态预期!J52</f>
        <v>6</v>
      </c>
      <c r="BB46" s="62">
        <f t="shared" si="29"/>
        <v>6</v>
      </c>
      <c r="BD46" s="17">
        <v>0</v>
      </c>
      <c r="BE46" s="17">
        <v>0</v>
      </c>
      <c r="BF46" s="17">
        <v>24</v>
      </c>
      <c r="BG46" s="17">
        <v>0</v>
      </c>
      <c r="BH46" s="62">
        <f t="shared" si="30"/>
        <v>24</v>
      </c>
      <c r="BJ46" s="17">
        <f t="shared" si="31"/>
        <v>0</v>
      </c>
      <c r="BK46" s="17">
        <f t="shared" si="32"/>
        <v>0</v>
      </c>
      <c r="BL46" s="17">
        <f t="shared" si="33"/>
        <v>24</v>
      </c>
      <c r="BM46" s="17">
        <f t="shared" si="34"/>
        <v>6</v>
      </c>
      <c r="BN46" s="62">
        <f t="shared" si="35"/>
        <v>30</v>
      </c>
      <c r="BR46" s="17">
        <f>武将升星!P39*基础状态预期!G52+G46*(K46+1)+W46+AE46</f>
        <v>0</v>
      </c>
      <c r="BS46" s="17">
        <f>武将升星!Q39*基础状态预期!H52+H46*(L46+1)+X46+AF46</f>
        <v>1824</v>
      </c>
      <c r="BT46" s="17">
        <f>武将升星!R39*基础状态预期!I52+I46*(M46+1)+Y46+AG46</f>
        <v>882</v>
      </c>
      <c r="BU46" s="17">
        <f>武将升星!S39*基础状态预期!J52+J46*(N46+1)+Z46+AH46</f>
        <v>108</v>
      </c>
    </row>
    <row r="47" spans="2:73" x14ac:dyDescent="0.15">
      <c r="B47" s="17">
        <v>40</v>
      </c>
      <c r="E47" s="29">
        <f>基础状态预期!C53</f>
        <v>40420</v>
      </c>
      <c r="F47" s="29">
        <f>基础状态预期!D53</f>
        <v>153.02723536432757</v>
      </c>
      <c r="G47" s="29">
        <f t="shared" si="19"/>
        <v>0</v>
      </c>
      <c r="H47" s="29">
        <f t="shared" si="20"/>
        <v>0</v>
      </c>
      <c r="I47" s="29">
        <f t="shared" si="21"/>
        <v>24</v>
      </c>
      <c r="J47" s="29">
        <f t="shared" si="22"/>
        <v>0</v>
      </c>
      <c r="K47" s="29">
        <f>武将战力价值情况!G43</f>
        <v>3</v>
      </c>
      <c r="L47" s="29">
        <f>武将战力价值情况!H43</f>
        <v>6</v>
      </c>
      <c r="M47" s="29">
        <f>武将战力价值情况!I43</f>
        <v>8</v>
      </c>
      <c r="N47" s="29">
        <f>武将战力价值情况!J43</f>
        <v>8</v>
      </c>
      <c r="O47" s="41">
        <f>MAX(同名需求(G47,求节点(武将升星!$C$104:$C$112,武将升星!E$104:E$112,K47),F$2),武将数量星级阶位验证!AA43)</f>
        <v>24</v>
      </c>
      <c r="P47" s="41">
        <f>MAX(同名需求(H47,求节点(武将升星!$C$104:$C$112,武将升星!F$104:F$112,L47),G$2),武将数量星级阶位验证!AB43)</f>
        <v>120</v>
      </c>
      <c r="Q47" s="41">
        <f>MAX(同名需求(I47,求节点(武将升星!$C$104:$C$112,武将升星!G$104:G$112,M47),H$2),武将数量星级阶位验证!AC43)</f>
        <v>704</v>
      </c>
      <c r="R47" s="41">
        <f>MAX(同名需求(J47,求节点(武将升星!$C$104:$C$112,武将升星!H$104:H$112,N47),I$2),武将数量星级阶位验证!AD43)</f>
        <v>108</v>
      </c>
      <c r="S47" s="29">
        <f>MAX(基础状态预期!P53:T53)</f>
        <v>5</v>
      </c>
      <c r="T47" s="29">
        <f t="shared" si="23"/>
        <v>5</v>
      </c>
      <c r="U47" s="29">
        <f t="shared" si="24"/>
        <v>5</v>
      </c>
      <c r="V47" s="29">
        <f t="shared" si="25"/>
        <v>5</v>
      </c>
      <c r="W47" s="41">
        <f>SUMIFS(武将进阶!F$13:F$18,武将进阶!$C$13:$C$18,"&lt;="&amp;T47)*H47+武将数量星级阶位验证!Q43</f>
        <v>0</v>
      </c>
      <c r="X47" s="41">
        <f>SUMIFS(武将进阶!G$13:G$18,武将进阶!$C$13:$C$18,"&lt;="&amp;U47)*I47+武将数量星级阶位验证!R43</f>
        <v>1824</v>
      </c>
      <c r="Y47" s="41">
        <f>SUMIFS(武将进阶!H$13:H$18,武将进阶!$C$13:$C$18,"&lt;="&amp;V47)*J47+武将数量星级阶位验证!S43</f>
        <v>642</v>
      </c>
      <c r="Z47" s="41">
        <f>SUMIFS(武将进阶!I$13:I$18,武将进阶!$C$13:$C$18,"&lt;="&amp;W47)*K47+武将数量星级阶位验证!T43</f>
        <v>0</v>
      </c>
      <c r="AA47" s="29"/>
      <c r="AB47" s="29">
        <f>求节点(基础状态预期!$AT$17:$AT$55,基础状态预期!AW$17:AW$55,各r阵容卡情况!$F47)</f>
        <v>2</v>
      </c>
      <c r="AC47" s="29">
        <f>求节点(基础状态预期!$AT$17:$AT$55,基础状态预期!AX$17:AX$55,各r阵容卡情况!$F47)</f>
        <v>2</v>
      </c>
      <c r="AD47" s="29">
        <f>求节点(基础状态预期!$AT$17:$AT$55,基础状态预期!AY$17:AY$55,各r阵容卡情况!$F47)</f>
        <v>2</v>
      </c>
      <c r="AE47" s="41">
        <f>IF(AA47&lt;1,0,(AA47-1)*武将觉醒!E$34*G47)+武将数量星级阶位验证!V43</f>
        <v>0</v>
      </c>
      <c r="AF47" s="41">
        <f>IF(AB47&lt;1,0,(AB47-1)*武将觉醒!F$34*H47)+武将数量星级阶位验证!W43</f>
        <v>0</v>
      </c>
      <c r="AG47" s="41">
        <f>IF(AC47&lt;1,0,(AC47-1)*武将觉醒!G$34*I47)+武将数量星级阶位验证!X43</f>
        <v>24</v>
      </c>
      <c r="AH47" s="41">
        <f>IF(AD47&lt;1,0,(AD47-1)*武将觉醒!H$34*J47)+武将数量星级阶位验证!Y43</f>
        <v>0</v>
      </c>
      <c r="AJ47" s="29">
        <f>MAX(W47+AE47+G47*(K47+1)+IF(武将数量星级阶位验证!L43="",0,武将数量星级阶位验证!L43)*武将升星!P40,O47)</f>
        <v>24</v>
      </c>
      <c r="AK47" s="29">
        <f>MAX(X47+AF47+H47*(L47+1)+IF(武将数量星级阶位验证!M43="",0,武将数量星级阶位验证!M43)*武将升星!Q40,P47)</f>
        <v>1824</v>
      </c>
      <c r="AL47" s="64">
        <f>MAX(Y47+AG47+I47*(M47+1)+IF(武将数量星级阶位验证!N43="",0,武将数量星级阶位验证!N43)*武将升星!R40,Q47)</f>
        <v>882</v>
      </c>
      <c r="AM47" s="41">
        <f t="shared" si="26"/>
        <v>108</v>
      </c>
      <c r="AO47" s="17">
        <f>武将数量星级阶位验证!BJ43</f>
        <v>395543.17530730134</v>
      </c>
      <c r="AP47" s="17">
        <f>武将数量星级阶位验证!BK43</f>
        <v>93036.059284208954</v>
      </c>
      <c r="AQ47" s="63">
        <f>武将数量星级阶位验证!BL43</f>
        <v>12967.38645083144</v>
      </c>
      <c r="AR47" s="17">
        <f>武将数量星级阶位验证!BM43</f>
        <v>2594.901536682763</v>
      </c>
      <c r="AT47" s="17">
        <f t="shared" si="27"/>
        <v>40420</v>
      </c>
      <c r="AU47" s="17">
        <f t="shared" si="28"/>
        <v>153.02723536432757</v>
      </c>
      <c r="BA47" s="17">
        <f>基础状态预期!J53</f>
        <v>6</v>
      </c>
      <c r="BB47" s="62">
        <f t="shared" si="29"/>
        <v>6</v>
      </c>
      <c r="BD47" s="17">
        <v>0</v>
      </c>
      <c r="BE47" s="17">
        <v>0</v>
      </c>
      <c r="BF47" s="17">
        <v>24</v>
      </c>
      <c r="BG47" s="17">
        <v>0</v>
      </c>
      <c r="BH47" s="62">
        <f t="shared" si="30"/>
        <v>24</v>
      </c>
      <c r="BJ47" s="17">
        <f t="shared" si="31"/>
        <v>0</v>
      </c>
      <c r="BK47" s="17">
        <f t="shared" si="32"/>
        <v>0</v>
      </c>
      <c r="BL47" s="17">
        <f t="shared" si="33"/>
        <v>24</v>
      </c>
      <c r="BM47" s="17">
        <f t="shared" si="34"/>
        <v>6</v>
      </c>
      <c r="BN47" s="62">
        <f t="shared" si="35"/>
        <v>30</v>
      </c>
      <c r="BR47" s="17">
        <f>武将升星!P40*基础状态预期!G53+G47*(K47+1)+W47+AE47</f>
        <v>0</v>
      </c>
      <c r="BS47" s="17">
        <f>武将升星!Q40*基础状态预期!H53+H47*(L47+1)+X47+AF47</f>
        <v>1824</v>
      </c>
      <c r="BT47" s="17">
        <f>武将升星!R40*基础状态预期!I53+I47*(M47+1)+Y47+AG47</f>
        <v>882</v>
      </c>
      <c r="BU47" s="17">
        <f>武将升星!S40*基础状态预期!J53+J47*(N47+1)+Z47+AH47</f>
        <v>108</v>
      </c>
    </row>
    <row r="48" spans="2:73" x14ac:dyDescent="0.15">
      <c r="B48" s="17">
        <v>41</v>
      </c>
      <c r="E48" s="29">
        <f>基础状态预期!C54</f>
        <v>51520</v>
      </c>
      <c r="F48" s="29">
        <f>基础状态预期!D54</f>
        <v>156.52008914974525</v>
      </c>
      <c r="G48" s="29">
        <f t="shared" si="19"/>
        <v>0</v>
      </c>
      <c r="H48" s="29">
        <f t="shared" si="20"/>
        <v>0</v>
      </c>
      <c r="I48" s="29">
        <f t="shared" si="21"/>
        <v>24</v>
      </c>
      <c r="J48" s="29">
        <f t="shared" si="22"/>
        <v>0</v>
      </c>
      <c r="K48" s="29">
        <f>武将战力价值情况!G44</f>
        <v>3</v>
      </c>
      <c r="L48" s="29">
        <f>武将战力价值情况!H44</f>
        <v>6</v>
      </c>
      <c r="M48" s="29">
        <f>武将战力价值情况!I44</f>
        <v>8</v>
      </c>
      <c r="N48" s="29">
        <f>武将战力价值情况!J44</f>
        <v>8</v>
      </c>
      <c r="O48" s="41">
        <f>MAX(同名需求(G48,求节点(武将升星!$C$104:$C$112,武将升星!E$104:E$112,K48),F$2),武将数量星级阶位验证!AA44)</f>
        <v>24</v>
      </c>
      <c r="P48" s="41">
        <f>MAX(同名需求(H48,求节点(武将升星!$C$104:$C$112,武将升星!F$104:F$112,L48),G$2),武将数量星级阶位验证!AB44)</f>
        <v>120</v>
      </c>
      <c r="Q48" s="41">
        <f>MAX(同名需求(I48,求节点(武将升星!$C$104:$C$112,武将升星!G$104:G$112,M48),H$2),武将数量星级阶位验证!AC44)</f>
        <v>704</v>
      </c>
      <c r="R48" s="41">
        <f>MAX(同名需求(J48,求节点(武将升星!$C$104:$C$112,武将升星!H$104:H$112,N48),I$2),武将数量星级阶位验证!AD44)</f>
        <v>108</v>
      </c>
      <c r="S48" s="29">
        <f>MAX(基础状态预期!P54:T54)</f>
        <v>5</v>
      </c>
      <c r="T48" s="29">
        <f t="shared" si="23"/>
        <v>5</v>
      </c>
      <c r="U48" s="29">
        <f t="shared" si="24"/>
        <v>5</v>
      </c>
      <c r="V48" s="29">
        <f t="shared" si="25"/>
        <v>5</v>
      </c>
      <c r="W48" s="41">
        <f>SUMIFS(武将进阶!F$13:F$18,武将进阶!$C$13:$C$18,"&lt;="&amp;T48)*H48+武将数量星级阶位验证!Q44</f>
        <v>0</v>
      </c>
      <c r="X48" s="41">
        <f>SUMIFS(武将进阶!G$13:G$18,武将进阶!$C$13:$C$18,"&lt;="&amp;U48)*I48+武将数量星级阶位验证!R44</f>
        <v>1824</v>
      </c>
      <c r="Y48" s="41">
        <f>SUMIFS(武将进阶!H$13:H$18,武将进阶!$C$13:$C$18,"&lt;="&amp;V48)*J48+武将数量星级阶位验证!S44</f>
        <v>642</v>
      </c>
      <c r="Z48" s="41">
        <f>SUMIFS(武将进阶!I$13:I$18,武将进阶!$C$13:$C$18,"&lt;="&amp;W48)*K48+武将数量星级阶位验证!T44</f>
        <v>0</v>
      </c>
      <c r="AA48" s="29"/>
      <c r="AB48" s="29">
        <f>求节点(基础状态预期!$AT$17:$AT$55,基础状态预期!AW$17:AW$55,各r阵容卡情况!$F48)</f>
        <v>2</v>
      </c>
      <c r="AC48" s="29">
        <f>求节点(基础状态预期!$AT$17:$AT$55,基础状态预期!AX$17:AX$55,各r阵容卡情况!$F48)</f>
        <v>2</v>
      </c>
      <c r="AD48" s="29">
        <f>求节点(基础状态预期!$AT$17:$AT$55,基础状态预期!AY$17:AY$55,各r阵容卡情况!$F48)</f>
        <v>2</v>
      </c>
      <c r="AE48" s="41">
        <f>IF(AA48&lt;1,0,(AA48-1)*武将觉醒!E$34*G48)+武将数量星级阶位验证!V44</f>
        <v>0</v>
      </c>
      <c r="AF48" s="41">
        <f>IF(AB48&lt;1,0,(AB48-1)*武将觉醒!F$34*H48)+武将数量星级阶位验证!W44</f>
        <v>0</v>
      </c>
      <c r="AG48" s="41">
        <f>IF(AC48&lt;1,0,(AC48-1)*武将觉醒!G$34*I48)+武将数量星级阶位验证!X44</f>
        <v>24</v>
      </c>
      <c r="AH48" s="41">
        <f>IF(AD48&lt;1,0,(AD48-1)*武将觉醒!H$34*J48)+武将数量星级阶位验证!Y44</f>
        <v>0</v>
      </c>
      <c r="AJ48" s="29">
        <f>MAX(W48+AE48+G48*(K48+1)+IF(武将数量星级阶位验证!L44="",0,武将数量星级阶位验证!L44)*武将升星!P41,O48)</f>
        <v>24</v>
      </c>
      <c r="AK48" s="29">
        <f>MAX(X48+AF48+H48*(L48+1)+IF(武将数量星级阶位验证!M44="",0,武将数量星级阶位验证!M44)*武将升星!Q41,P48)</f>
        <v>1824</v>
      </c>
      <c r="AL48" s="64">
        <f>MAX(Y48+AG48+I48*(M48+1)+IF(武将数量星级阶位验证!N44="",0,武将数量星级阶位验证!N44)*武将升星!R41,Q48)</f>
        <v>882</v>
      </c>
      <c r="AM48" s="41">
        <f t="shared" si="26"/>
        <v>108</v>
      </c>
      <c r="AO48" s="17">
        <f>武将数量星级阶位验证!BJ44</f>
        <v>502312.50253809919</v>
      </c>
      <c r="AP48" s="17">
        <f>武将数量星级阶位验证!BK44</f>
        <v>117599.20913869425</v>
      </c>
      <c r="AQ48" s="63">
        <f>武将数量星级阶位验证!BL44</f>
        <v>16374.358929004233</v>
      </c>
      <c r="AR48" s="17">
        <f>武将数量星级阶位验证!BM44</f>
        <v>3231.9100999688289</v>
      </c>
      <c r="AT48" s="17">
        <f t="shared" si="27"/>
        <v>51520</v>
      </c>
      <c r="AU48" s="17">
        <f t="shared" si="28"/>
        <v>156.52008914974525</v>
      </c>
      <c r="BA48" s="17">
        <f>基础状态预期!J54</f>
        <v>6</v>
      </c>
      <c r="BB48" s="62">
        <f t="shared" si="29"/>
        <v>6</v>
      </c>
      <c r="BD48" s="17">
        <v>0</v>
      </c>
      <c r="BE48" s="17">
        <v>0</v>
      </c>
      <c r="BF48" s="17">
        <v>24</v>
      </c>
      <c r="BG48" s="17">
        <v>0</v>
      </c>
      <c r="BH48" s="62">
        <f t="shared" si="30"/>
        <v>24</v>
      </c>
      <c r="BJ48" s="17">
        <f t="shared" si="31"/>
        <v>0</v>
      </c>
      <c r="BK48" s="17">
        <f t="shared" si="32"/>
        <v>0</v>
      </c>
      <c r="BL48" s="17">
        <f t="shared" si="33"/>
        <v>24</v>
      </c>
      <c r="BM48" s="17">
        <f t="shared" si="34"/>
        <v>6</v>
      </c>
      <c r="BN48" s="62">
        <f t="shared" si="35"/>
        <v>30</v>
      </c>
      <c r="BR48" s="17">
        <f>武将升星!P41*基础状态预期!G54+G48*(K48+1)+W48+AE48</f>
        <v>0</v>
      </c>
      <c r="BS48" s="17">
        <f>武将升星!Q41*基础状态预期!H54+H48*(L48+1)+X48+AF48</f>
        <v>1824</v>
      </c>
      <c r="BT48" s="17">
        <f>武将升星!R41*基础状态预期!I54+I48*(M48+1)+Y48+AG48</f>
        <v>882</v>
      </c>
      <c r="BU48" s="17">
        <f>武将升星!S41*基础状态预期!J54+J48*(N48+1)+Z48+AH48</f>
        <v>108</v>
      </c>
    </row>
    <row r="49" spans="2:73" x14ac:dyDescent="0.15">
      <c r="B49" s="17">
        <v>42</v>
      </c>
      <c r="C49" s="17">
        <f t="shared" si="5"/>
        <v>24</v>
      </c>
      <c r="D49" s="17">
        <v>17</v>
      </c>
      <c r="E49" s="29">
        <f>基础状态预期!C55</f>
        <v>65500</v>
      </c>
      <c r="F49" s="29">
        <f>基础状态预期!D55</f>
        <v>159.99202506384199</v>
      </c>
      <c r="G49" s="29">
        <f t="shared" si="19"/>
        <v>0</v>
      </c>
      <c r="H49" s="29">
        <f t="shared" si="20"/>
        <v>0</v>
      </c>
      <c r="I49" s="29">
        <f t="shared" si="21"/>
        <v>24</v>
      </c>
      <c r="J49" s="29">
        <f t="shared" si="22"/>
        <v>0</v>
      </c>
      <c r="K49" s="29">
        <f>武将战力价值情况!G45</f>
        <v>3</v>
      </c>
      <c r="L49" s="29">
        <f>武将战力价值情况!H45</f>
        <v>6</v>
      </c>
      <c r="M49" s="29">
        <f>武将战力价值情况!I45</f>
        <v>8</v>
      </c>
      <c r="N49" s="29">
        <f>武将战力价值情况!J45</f>
        <v>8</v>
      </c>
      <c r="O49" s="41">
        <f>MAX(同名需求(G49,求节点(武将升星!$C$104:$C$112,武将升星!E$104:E$112,K49),F$2),武将数量星级阶位验证!AA45)</f>
        <v>24</v>
      </c>
      <c r="P49" s="41">
        <f>MAX(同名需求(H49,求节点(武将升星!$C$104:$C$112,武将升星!F$104:F$112,L49),G$2),武将数量星级阶位验证!AB45)</f>
        <v>120</v>
      </c>
      <c r="Q49" s="41">
        <f>MAX(同名需求(I49,求节点(武将升星!$C$104:$C$112,武将升星!G$104:G$112,M49),H$2),武将数量星级阶位验证!AC45)</f>
        <v>704</v>
      </c>
      <c r="R49" s="41">
        <f>MAX(同名需求(J49,求节点(武将升星!$C$104:$C$112,武将升星!H$104:H$112,N49),I$2),武将数量星级阶位验证!AD45)</f>
        <v>108</v>
      </c>
      <c r="S49" s="29">
        <f>MAX(基础状态预期!P55:T55)</f>
        <v>5</v>
      </c>
      <c r="T49" s="29">
        <f t="shared" si="23"/>
        <v>5</v>
      </c>
      <c r="U49" s="29">
        <f t="shared" si="24"/>
        <v>5</v>
      </c>
      <c r="V49" s="29">
        <f t="shared" si="25"/>
        <v>5</v>
      </c>
      <c r="W49" s="41">
        <f>SUMIFS(武将进阶!F$13:F$18,武将进阶!$C$13:$C$18,"&lt;="&amp;T49)*H49+武将数量星级阶位验证!Q45</f>
        <v>0</v>
      </c>
      <c r="X49" s="41">
        <f>SUMIFS(武将进阶!G$13:G$18,武将进阶!$C$13:$C$18,"&lt;="&amp;U49)*I49+武将数量星级阶位验证!R45</f>
        <v>1824</v>
      </c>
      <c r="Y49" s="41">
        <f>SUMIFS(武将进阶!H$13:H$18,武将进阶!$C$13:$C$18,"&lt;="&amp;V49)*J49+武将数量星级阶位验证!S45</f>
        <v>642</v>
      </c>
      <c r="Z49" s="41">
        <f>SUMIFS(武将进阶!I$13:I$18,武将进阶!$C$13:$C$18,"&lt;="&amp;W49)*K49+武将数量星级阶位验证!T45</f>
        <v>0</v>
      </c>
      <c r="AA49" s="29"/>
      <c r="AB49" s="29">
        <f>求节点(基础状态预期!$AT$17:$AT$55,基础状态预期!AW$17:AW$55,各r阵容卡情况!$F49)</f>
        <v>2</v>
      </c>
      <c r="AC49" s="29">
        <f>求节点(基础状态预期!$AT$17:$AT$55,基础状态预期!AX$17:AX$55,各r阵容卡情况!$F49)</f>
        <v>2</v>
      </c>
      <c r="AD49" s="29">
        <f>求节点(基础状态预期!$AT$17:$AT$55,基础状态预期!AY$17:AY$55,各r阵容卡情况!$F49)</f>
        <v>2</v>
      </c>
      <c r="AE49" s="41">
        <f>IF(AA49&lt;1,0,(AA49-1)*武将觉醒!E$34*G49)+武将数量星级阶位验证!V45</f>
        <v>0</v>
      </c>
      <c r="AF49" s="41">
        <f>IF(AB49&lt;1,0,(AB49-1)*武将觉醒!F$34*H49)+武将数量星级阶位验证!W45</f>
        <v>0</v>
      </c>
      <c r="AG49" s="41">
        <f>IF(AC49&lt;1,0,(AC49-1)*武将觉醒!G$34*I49)+武将数量星级阶位验证!X45</f>
        <v>24</v>
      </c>
      <c r="AH49" s="41">
        <f>IF(AD49&lt;1,0,(AD49-1)*武将觉醒!H$34*J49)+武将数量星级阶位验证!Y45</f>
        <v>0</v>
      </c>
      <c r="AJ49" s="29">
        <f>MAX(W49+AE49+G49*(K49+1)+IF(武将数量星级阶位验证!L45="",0,武将数量星级阶位验证!L45)*武将升星!P42,O49)</f>
        <v>24</v>
      </c>
      <c r="AK49" s="29">
        <f>MAX(X49+AF49+H49*(L49+1)+IF(武将数量星级阶位验证!M45="",0,武将数量星级阶位验证!M45)*武将升星!Q42,P49)</f>
        <v>1824</v>
      </c>
      <c r="AL49" s="64">
        <f>MAX(Y49+AG49+I49*(M49+1)+IF(武将数量星级阶位验证!N45="",0,武将数量星级阶位验证!N45)*武将升星!R42,Q49)</f>
        <v>882</v>
      </c>
      <c r="AM49" s="41">
        <f t="shared" si="26"/>
        <v>108</v>
      </c>
      <c r="AO49" s="17">
        <f>武将数量星级阶位验证!BJ45</f>
        <v>636287.10515490675</v>
      </c>
      <c r="AP49" s="17">
        <f>武将数量星级阶位验证!BK45</f>
        <v>148266.83217480651</v>
      </c>
      <c r="AQ49" s="63">
        <f>武将数量星级阶位验证!BL45</f>
        <v>20625.002384421074</v>
      </c>
      <c r="AR49" s="17">
        <f>武将数量星级阶位验证!BM45</f>
        <v>4012.5687543758659</v>
      </c>
      <c r="AT49" s="17">
        <f t="shared" si="27"/>
        <v>65500</v>
      </c>
      <c r="AU49" s="17">
        <f t="shared" si="28"/>
        <v>159.99202506384199</v>
      </c>
      <c r="BA49" s="17">
        <f>基础状态预期!J55</f>
        <v>6</v>
      </c>
      <c r="BB49" s="62">
        <f t="shared" si="29"/>
        <v>6</v>
      </c>
      <c r="BD49" s="17">
        <v>0</v>
      </c>
      <c r="BE49" s="17">
        <v>0</v>
      </c>
      <c r="BF49" s="17">
        <v>24</v>
      </c>
      <c r="BG49" s="17">
        <v>0</v>
      </c>
      <c r="BH49" s="62">
        <f t="shared" si="30"/>
        <v>24</v>
      </c>
      <c r="BJ49" s="17">
        <f t="shared" si="31"/>
        <v>0</v>
      </c>
      <c r="BK49" s="17">
        <f t="shared" si="32"/>
        <v>0</v>
      </c>
      <c r="BL49" s="17">
        <f t="shared" si="33"/>
        <v>24</v>
      </c>
      <c r="BM49" s="17">
        <f t="shared" si="34"/>
        <v>6</v>
      </c>
      <c r="BN49" s="62">
        <f t="shared" si="35"/>
        <v>30</v>
      </c>
      <c r="BR49" s="17">
        <f>武将升星!P42*基础状态预期!G55+G49*(K49+1)+W49+AE49</f>
        <v>0</v>
      </c>
      <c r="BS49" s="17">
        <f>武将升星!Q42*基础状态预期!H55+H49*(L49+1)+X49+AF49</f>
        <v>1824</v>
      </c>
      <c r="BT49" s="17">
        <f>武将升星!R42*基础状态预期!I55+I49*(M49+1)+Y49+AG49</f>
        <v>882</v>
      </c>
      <c r="BU49" s="17">
        <f>武将升星!S42*基础状态预期!J55+J49*(N49+1)+Z49+AH49</f>
        <v>108</v>
      </c>
    </row>
    <row r="50" spans="2:73" x14ac:dyDescent="0.15">
      <c r="B50" s="17">
        <v>43</v>
      </c>
    </row>
    <row r="51" spans="2:73" x14ac:dyDescent="0.15">
      <c r="B51" s="17">
        <v>44</v>
      </c>
    </row>
    <row r="52" spans="2:73" x14ac:dyDescent="0.15">
      <c r="B52" s="17">
        <v>45</v>
      </c>
    </row>
    <row r="53" spans="2:73" x14ac:dyDescent="0.15">
      <c r="B53" s="17">
        <v>1</v>
      </c>
      <c r="G53" s="17" t="s">
        <v>418</v>
      </c>
    </row>
    <row r="54" spans="2:73" x14ac:dyDescent="0.15">
      <c r="B54" s="17">
        <v>2</v>
      </c>
      <c r="G54" s="161" t="s">
        <v>435</v>
      </c>
      <c r="H54" s="162"/>
      <c r="I54" s="162"/>
      <c r="J54" s="163"/>
      <c r="K54" s="161" t="s">
        <v>466</v>
      </c>
      <c r="L54" s="162"/>
      <c r="M54" s="162"/>
      <c r="N54" s="163"/>
      <c r="O54" s="161" t="s">
        <v>469</v>
      </c>
      <c r="P54" s="162"/>
      <c r="Q54" s="162"/>
      <c r="R54" s="163"/>
      <c r="S54" s="161" t="s">
        <v>436</v>
      </c>
      <c r="T54" s="162"/>
      <c r="U54" s="162"/>
      <c r="V54" s="163"/>
      <c r="W54" s="160" t="s">
        <v>467</v>
      </c>
      <c r="X54" s="160"/>
      <c r="Y54" s="160"/>
      <c r="Z54" s="160"/>
      <c r="AA54" s="161" t="s">
        <v>437</v>
      </c>
      <c r="AB54" s="162"/>
      <c r="AC54" s="162"/>
      <c r="AD54" s="163"/>
      <c r="AE54" s="160" t="s">
        <v>468</v>
      </c>
      <c r="AF54" s="160"/>
      <c r="AG54" s="160"/>
      <c r="AH54" s="160"/>
      <c r="AJ54" s="161" t="s">
        <v>422</v>
      </c>
      <c r="AK54" s="162"/>
      <c r="AL54" s="162"/>
      <c r="AM54" s="163"/>
      <c r="AO54" s="187" t="s">
        <v>421</v>
      </c>
      <c r="AP54" s="187"/>
      <c r="AQ54" s="187"/>
      <c r="AR54" s="187"/>
      <c r="AX54" s="187" t="s">
        <v>427</v>
      </c>
      <c r="AY54" s="187"/>
      <c r="AZ54" s="187"/>
      <c r="BA54" s="187"/>
      <c r="BB54" s="187"/>
      <c r="BD54" s="187" t="s">
        <v>423</v>
      </c>
      <c r="BE54" s="187"/>
      <c r="BF54" s="187"/>
      <c r="BG54" s="187"/>
      <c r="BH54" s="187"/>
      <c r="BJ54" s="187" t="s">
        <v>424</v>
      </c>
      <c r="BK54" s="187"/>
      <c r="BL54" s="187"/>
      <c r="BM54" s="187"/>
      <c r="BN54" s="187"/>
      <c r="BR54" s="187" t="s">
        <v>470</v>
      </c>
      <c r="BS54" s="187"/>
      <c r="BT54" s="187"/>
      <c r="BU54" s="187"/>
    </row>
    <row r="55" spans="2:73" x14ac:dyDescent="0.15">
      <c r="B55" s="17">
        <v>3</v>
      </c>
      <c r="E55" s="29" t="s">
        <v>163</v>
      </c>
      <c r="F55" s="29" t="s">
        <v>478</v>
      </c>
      <c r="G55" s="29" t="s">
        <v>1</v>
      </c>
      <c r="H55" s="29" t="s">
        <v>2</v>
      </c>
      <c r="I55" s="29" t="s">
        <v>0</v>
      </c>
      <c r="J55" s="29" t="s">
        <v>545</v>
      </c>
      <c r="K55" s="29" t="s">
        <v>1</v>
      </c>
      <c r="L55" s="29" t="s">
        <v>2</v>
      </c>
      <c r="M55" s="29" t="s">
        <v>0</v>
      </c>
      <c r="N55" s="29" t="s">
        <v>545</v>
      </c>
      <c r="O55" s="29" t="s">
        <v>1</v>
      </c>
      <c r="P55" s="29" t="s">
        <v>2</v>
      </c>
      <c r="Q55" s="29" t="s">
        <v>0</v>
      </c>
      <c r="R55" s="29" t="s">
        <v>545</v>
      </c>
      <c r="S55" s="29" t="s">
        <v>1</v>
      </c>
      <c r="T55" s="29" t="s">
        <v>2</v>
      </c>
      <c r="U55" s="29" t="s">
        <v>0</v>
      </c>
      <c r="V55" s="29" t="s">
        <v>545</v>
      </c>
      <c r="W55" s="29" t="s">
        <v>1</v>
      </c>
      <c r="X55" s="29" t="s">
        <v>2</v>
      </c>
      <c r="Y55" s="64" t="s">
        <v>0</v>
      </c>
      <c r="Z55" s="29" t="s">
        <v>545</v>
      </c>
      <c r="AA55" s="29" t="s">
        <v>1</v>
      </c>
      <c r="AB55" s="29" t="s">
        <v>2</v>
      </c>
      <c r="AC55" s="29" t="s">
        <v>0</v>
      </c>
      <c r="AD55" s="29" t="s">
        <v>545</v>
      </c>
      <c r="AE55" s="29" t="s">
        <v>1</v>
      </c>
      <c r="AF55" s="29" t="s">
        <v>2</v>
      </c>
      <c r="AG55" s="29" t="s">
        <v>0</v>
      </c>
      <c r="AH55" s="29" t="s">
        <v>545</v>
      </c>
      <c r="AJ55" s="29" t="s">
        <v>1</v>
      </c>
      <c r="AK55" s="29" t="s">
        <v>2</v>
      </c>
      <c r="AL55" s="64" t="s">
        <v>0</v>
      </c>
      <c r="AM55" s="29" t="s">
        <v>545</v>
      </c>
      <c r="AO55" s="17" t="s">
        <v>80</v>
      </c>
      <c r="AP55" s="17" t="s">
        <v>81</v>
      </c>
      <c r="AQ55" s="63" t="s">
        <v>82</v>
      </c>
      <c r="AR55" s="17" t="s">
        <v>545</v>
      </c>
      <c r="AT55" s="17" t="s">
        <v>420</v>
      </c>
      <c r="AU55" s="17" t="s">
        <v>484</v>
      </c>
      <c r="AX55" s="17" t="s">
        <v>80</v>
      </c>
      <c r="AY55" s="17" t="s">
        <v>81</v>
      </c>
      <c r="AZ55" s="17" t="s">
        <v>82</v>
      </c>
      <c r="BA55" s="17" t="s">
        <v>545</v>
      </c>
      <c r="BB55" s="62" t="s">
        <v>426</v>
      </c>
      <c r="BD55" s="17" t="s">
        <v>80</v>
      </c>
      <c r="BE55" s="17" t="s">
        <v>81</v>
      </c>
      <c r="BF55" s="17" t="s">
        <v>82</v>
      </c>
      <c r="BG55" s="17" t="s">
        <v>545</v>
      </c>
      <c r="BH55" s="62" t="s">
        <v>426</v>
      </c>
      <c r="BJ55" s="17" t="s">
        <v>80</v>
      </c>
      <c r="BK55" s="17" t="s">
        <v>81</v>
      </c>
      <c r="BL55" s="17" t="s">
        <v>82</v>
      </c>
      <c r="BM55" s="17" t="s">
        <v>545</v>
      </c>
      <c r="BN55" s="62" t="s">
        <v>426</v>
      </c>
      <c r="BR55" s="17" t="s">
        <v>80</v>
      </c>
      <c r="BS55" s="17" t="s">
        <v>81</v>
      </c>
      <c r="BT55" s="82" t="s">
        <v>82</v>
      </c>
      <c r="BU55" s="17" t="s">
        <v>545</v>
      </c>
    </row>
    <row r="56" spans="2:73" x14ac:dyDescent="0.15">
      <c r="B56" s="17">
        <v>4</v>
      </c>
      <c r="C56" s="17">
        <f>SUM(G56:J56)</f>
        <v>0</v>
      </c>
      <c r="D56" s="17">
        <v>1</v>
      </c>
      <c r="E56" s="29">
        <f>基础状态预期!C62</f>
        <v>0.85</v>
      </c>
      <c r="F56" s="29">
        <f>基础状态预期!D62</f>
        <v>9.9592453074578113</v>
      </c>
      <c r="G56" s="29">
        <f>BD56</f>
        <v>0</v>
      </c>
      <c r="H56" s="29">
        <f t="shared" ref="H56:H71" si="36">BE56</f>
        <v>0</v>
      </c>
      <c r="I56" s="29">
        <f t="shared" ref="I56:I71" si="37">BF56</f>
        <v>0</v>
      </c>
      <c r="J56" s="29">
        <f t="shared" ref="J56:J71" si="38">BG56</f>
        <v>0</v>
      </c>
      <c r="K56" s="29">
        <f>武将战力价值情况!G52</f>
        <v>3</v>
      </c>
      <c r="L56" s="29">
        <f>武将战力价值情况!H52</f>
        <v>0.54012046632665323</v>
      </c>
      <c r="M56" s="29">
        <f>武将战力价值情况!I52</f>
        <v>0</v>
      </c>
      <c r="N56" s="29">
        <f>武将战力价值情况!J52</f>
        <v>0</v>
      </c>
      <c r="O56" s="41">
        <f>MAX(同名需求(G56,求节点(武将升星!$C$104:$C$112,武将升星!E$104:E$112,K56),F$2),武将数量星级阶位验证!AA52)</f>
        <v>24</v>
      </c>
      <c r="P56" s="41">
        <f>MAX(同名需求(H56,求节点(武将升星!$C$104:$C$112,武将升星!F$104:F$112,L56),G$2),武将数量星级阶位验证!AB52)</f>
        <v>7.4012046632665323</v>
      </c>
      <c r="Q56" s="41">
        <f>MAX(同名需求(I56,求节点(武将升星!$C$104:$C$112,武将升星!G$104:G$112,M56),H$2),武将数量星级阶位验证!AC52)</f>
        <v>4</v>
      </c>
      <c r="R56" s="41">
        <f>MAX(同名需求(J56,求节点(武将升星!$C$104:$C$112,武将升星!H$104:H$112,N56),I$2),武将数量星级阶位验证!AD52)</f>
        <v>0</v>
      </c>
      <c r="S56" s="29">
        <f>MAX(基础状态预期!P62:T62)</f>
        <v>0.39836981229831248</v>
      </c>
      <c r="T56" s="29">
        <f>S56</f>
        <v>0.39836981229831248</v>
      </c>
      <c r="U56" s="29">
        <f t="shared" ref="U56:V56" si="39">T56</f>
        <v>0.39836981229831248</v>
      </c>
      <c r="V56" s="29">
        <f t="shared" si="39"/>
        <v>0.39836981229831248</v>
      </c>
      <c r="W56" s="41">
        <f>SUMIFS(武将进阶!F$13:F$18,武将进阶!$C$13:$C$18,"&lt;="&amp;T56)*H56+武将数量星级阶位验证!Q52</f>
        <v>2.3902188737898751</v>
      </c>
      <c r="X56" s="41">
        <f>SUMIFS(武将进阶!G$13:G$18,武将进阶!$C$13:$C$18,"&lt;="&amp;U56)*I56+武将数量星级阶位验证!R52</f>
        <v>4.7804377475797502</v>
      </c>
      <c r="Y56" s="41">
        <f>SUMIFS(武将进阶!H$13:H$18,武将进阶!$C$13:$C$18,"&lt;="&amp;V56)*J56+武将数量星级阶位验证!S52</f>
        <v>0</v>
      </c>
      <c r="Z56" s="41">
        <f>SUMIFS(武将进阶!I$13:I$18,武将进阶!$C$13:$C$18,"&lt;="&amp;W56)*K56+武将数量星级阶位验证!T52</f>
        <v>45</v>
      </c>
      <c r="AA56" s="29"/>
      <c r="AB56" s="29">
        <f>求节点(基础状态预期!$AT$17:$AT$55,基础状态预期!AW$17:AW$55,各r阵容卡情况!$F56)</f>
        <v>0</v>
      </c>
      <c r="AC56" s="29">
        <f>求节点(基础状态预期!$AT$17:$AT$55,基础状态预期!AX$17:AX$55,各r阵容卡情况!$F56)</f>
        <v>0</v>
      </c>
      <c r="AD56" s="29">
        <f>求节点(基础状态预期!$AT$17:$AT$55,基础状态预期!AY$17:AY$55,各r阵容卡情况!$F56)</f>
        <v>0</v>
      </c>
      <c r="AE56" s="41">
        <f>IF(AA56&lt;1,0,(AA56-1)*武将觉醒!E$34*G56)+武将数量星级阶位验证!V52</f>
        <v>0</v>
      </c>
      <c r="AF56" s="41">
        <f>IF(AB56&lt;1,0,(AB56-1)*武将觉醒!F$34*H56)+武将数量星级阶位验证!W52</f>
        <v>0</v>
      </c>
      <c r="AG56" s="41">
        <f>IF(AC56&lt;1,0,(AC56-1)*武将觉醒!G$34*I56)+武将数量星级阶位验证!X52</f>
        <v>0</v>
      </c>
      <c r="AH56" s="41">
        <f>IF(AD56&lt;1,0,(AD56-1)*武将觉醒!H$34*J56)+武将数量星级阶位验证!Y52</f>
        <v>0</v>
      </c>
      <c r="AJ56" s="29">
        <f>MAX(W56+AE56+G56*(K56+1)+IF(武将数量星级阶位验证!L52="",0,武将数量星级阶位验证!L52)*武将升星!P49,O56)</f>
        <v>24</v>
      </c>
      <c r="AK56" s="29">
        <f>MAX(X56+AF56+H56*(L56+1)+IF(武将数量星级阶位验证!M52="",0,武将数量星级阶位验证!M52)*武将升星!Q49,P56)</f>
        <v>7.8606786802330566</v>
      </c>
      <c r="AL56" s="64">
        <f>MAX(Y56+AG56+I56*(M56+1)+IF(武将数量星级阶位验证!N52="",0,武将数量星级阶位验证!N52)*武将升星!R49,Q56)</f>
        <v>4</v>
      </c>
      <c r="AM56" s="41">
        <f>R56+AH56</f>
        <v>0</v>
      </c>
      <c r="AO56" s="17">
        <f>武将数量星级阶位验证!BJ52</f>
        <v>41.929067762439253</v>
      </c>
      <c r="AP56" s="17">
        <f>武将数量星级阶位验证!BK52</f>
        <v>15.401204663266531</v>
      </c>
      <c r="AQ56" s="63">
        <f>武将数量星级阶位验证!BL52</f>
        <v>4.1429950615437123</v>
      </c>
      <c r="AR56" s="17">
        <f>武将数量星级阶位验证!BM52</f>
        <v>0</v>
      </c>
      <c r="AT56" s="17">
        <f t="shared" ref="AT56:AT71" si="40">E56</f>
        <v>0.85</v>
      </c>
      <c r="AU56" s="17">
        <f t="shared" ref="AU56:AU71" si="41">F56</f>
        <v>9.9592453074578113</v>
      </c>
      <c r="AX56" s="17">
        <f>基础状态预期!G62</f>
        <v>0</v>
      </c>
      <c r="AY56" s="17">
        <f>基础状态预期!H62</f>
        <v>2</v>
      </c>
      <c r="AZ56" s="17">
        <f>基础状态预期!I62</f>
        <v>4</v>
      </c>
      <c r="BA56" s="17">
        <f>基础状态预期!J62</f>
        <v>0</v>
      </c>
      <c r="BB56" s="62">
        <f>SUM(AX56:BA56)</f>
        <v>6</v>
      </c>
      <c r="BD56" s="17">
        <v>0</v>
      </c>
      <c r="BE56" s="17">
        <v>0</v>
      </c>
      <c r="BF56" s="17">
        <v>0</v>
      </c>
      <c r="BG56" s="17">
        <v>0</v>
      </c>
      <c r="BH56" s="62">
        <f>SUM(BD56:BG56)</f>
        <v>0</v>
      </c>
      <c r="BJ56" s="17">
        <f>AX56+BD56</f>
        <v>0</v>
      </c>
      <c r="BK56" s="17">
        <f t="shared" ref="BK56:BK71" si="42">AY56+BE56</f>
        <v>2</v>
      </c>
      <c r="BL56" s="17">
        <f t="shared" ref="BL56:BL71" si="43">AZ56+BF56</f>
        <v>4</v>
      </c>
      <c r="BM56" s="17">
        <f t="shared" ref="BM56:BM71" si="44">BA56+BG56</f>
        <v>0</v>
      </c>
      <c r="BN56" s="62">
        <f>SUM(BJ56:BM56)</f>
        <v>6</v>
      </c>
      <c r="BR56" s="17">
        <f>武将升星!P49*基础状态预期!G62+G56*(K56+1)+W56+AE56</f>
        <v>2.3902188737898751</v>
      </c>
      <c r="BS56" s="17">
        <f>武将升星!Q49*基础状态预期!H62+H56*(L56+1)+X56+AF56</f>
        <v>7.8606786802330566</v>
      </c>
      <c r="BT56" s="17">
        <f>武将升星!R49*基础状态预期!I62+I56*(M56+1)+Y56+AG56</f>
        <v>4</v>
      </c>
      <c r="BU56" s="17">
        <f>武将升星!S49*基础状态预期!J62+J56*(N56+1)+Z56+AH56</f>
        <v>45</v>
      </c>
    </row>
    <row r="57" spans="2:73" x14ac:dyDescent="0.15">
      <c r="B57" s="17">
        <v>5</v>
      </c>
      <c r="C57" s="17">
        <f t="shared" ref="C57:C94" si="45">SUM(G57:J57)</f>
        <v>6</v>
      </c>
      <c r="D57" s="17">
        <v>2</v>
      </c>
      <c r="E57" s="29">
        <f>基础状态预期!C63</f>
        <v>2.5499999999999998</v>
      </c>
      <c r="F57" s="29">
        <f>基础状态预期!D63</f>
        <v>19.766822802328868</v>
      </c>
      <c r="G57" s="29">
        <f t="shared" ref="G57:G71" si="46">BD57</f>
        <v>6</v>
      </c>
      <c r="H57" s="29">
        <f t="shared" si="36"/>
        <v>0</v>
      </c>
      <c r="I57" s="29">
        <f t="shared" si="37"/>
        <v>0</v>
      </c>
      <c r="J57" s="29">
        <f t="shared" si="38"/>
        <v>0</v>
      </c>
      <c r="K57" s="29">
        <f>武将战力价值情况!G53</f>
        <v>3</v>
      </c>
      <c r="L57" s="29">
        <f>武将战力价值情况!H53</f>
        <v>2.133171632773482</v>
      </c>
      <c r="M57" s="29">
        <f>武将战力价值情况!I53</f>
        <v>0</v>
      </c>
      <c r="N57" s="29">
        <f>武将战力价值情况!J53</f>
        <v>0</v>
      </c>
      <c r="O57" s="41">
        <f>MAX(同名需求(G57,求节点(武将升星!$C$104:$C$112,武将升星!E$104:E$112,K57),F$2),武将数量星级阶位验证!AA53)</f>
        <v>30</v>
      </c>
      <c r="P57" s="41">
        <f>MAX(同名需求(H57,求节点(武将升星!$C$104:$C$112,武将升星!F$104:F$112,L57),G$2),武将数量星级阶位验证!AB53)</f>
        <v>22.663432655469641</v>
      </c>
      <c r="Q57" s="41">
        <f>MAX(同名需求(I57,求节点(武将升星!$C$104:$C$112,武将升星!G$104:G$112,M57),H$2),武将数量星级阶位验证!AC53)</f>
        <v>6</v>
      </c>
      <c r="R57" s="41">
        <f>MAX(同名需求(J57,求节点(武将升星!$C$104:$C$112,武将升星!H$104:H$112,N57),I$2),武将数量星级阶位验证!AD53)</f>
        <v>0</v>
      </c>
      <c r="S57" s="29">
        <f>MAX(基础状态预期!P63:T63)</f>
        <v>0.79067291209315471</v>
      </c>
      <c r="T57" s="29">
        <f t="shared" ref="T57:V57" si="47">S57</f>
        <v>0.79067291209315471</v>
      </c>
      <c r="U57" s="29">
        <f t="shared" si="47"/>
        <v>0.79067291209315471</v>
      </c>
      <c r="V57" s="29">
        <f t="shared" si="47"/>
        <v>0.79067291209315471</v>
      </c>
      <c r="W57" s="41">
        <f>SUMIFS(武将进阶!F$13:F$18,武将进阶!$C$13:$C$18,"&lt;="&amp;T57)*H57+武将数量星级阶位验证!Q53</f>
        <v>0</v>
      </c>
      <c r="X57" s="41">
        <f>SUMIFS(武将进阶!G$13:G$18,武将进阶!$C$13:$C$18,"&lt;="&amp;U57)*I57+武将数量星级阶位验证!R53</f>
        <v>14.232112417676785</v>
      </c>
      <c r="Y57" s="41">
        <f>SUMIFS(武将进阶!H$13:H$18,武将进阶!$C$13:$C$18,"&lt;="&amp;V57)*J57+武将数量星级阶位验证!S53</f>
        <v>0</v>
      </c>
      <c r="Z57" s="41">
        <f>SUMIFS(武将进阶!I$13:I$18,武将进阶!$C$13:$C$18,"&lt;="&amp;W57)*K57+武将数量星级阶位验证!T53</f>
        <v>0</v>
      </c>
      <c r="AA57" s="29"/>
      <c r="AB57" s="29">
        <f>求节点(基础状态预期!$AT$17:$AT$55,基础状态预期!AW$17:AW$55,各r阵容卡情况!$F57)</f>
        <v>1</v>
      </c>
      <c r="AC57" s="29">
        <f>求节点(基础状态预期!$AT$17:$AT$55,基础状态预期!AX$17:AX$55,各r阵容卡情况!$F57)</f>
        <v>1</v>
      </c>
      <c r="AD57" s="29">
        <f>求节点(基础状态预期!$AT$17:$AT$55,基础状态预期!AY$17:AY$55,各r阵容卡情况!$F57)</f>
        <v>1</v>
      </c>
      <c r="AE57" s="41">
        <f>IF(AA57&lt;1,0,(AA57-1)*武将觉醒!E$34*G57)+武将数量星级阶位验证!V53</f>
        <v>0</v>
      </c>
      <c r="AF57" s="41">
        <f>IF(AB57&lt;1,0,(AB57-1)*武将觉醒!F$34*H57)+武将数量星级阶位验证!W53</f>
        <v>0</v>
      </c>
      <c r="AG57" s="41">
        <f>IF(AC57&lt;1,0,(AC57-1)*武将觉醒!G$34*I57)+武将数量星级阶位验证!X53</f>
        <v>0</v>
      </c>
      <c r="AH57" s="41">
        <f>IF(AD57&lt;1,0,(AD57-1)*武将觉醒!H$34*J57)+武将数量星级阶位验证!Y53</f>
        <v>0</v>
      </c>
      <c r="AJ57" s="29">
        <f>MAX(W57+AE57+G57*(K57+1)+IF(武将数量星级阶位验证!L53="",0,武将数量星级阶位验证!L53)*武将升星!P50,O57)</f>
        <v>30</v>
      </c>
      <c r="AK57" s="29">
        <f>MAX(X57+AF57+H57*(L57+1)+IF(武将数量星级阶位验证!M53="",0,武将数量星级阶位验证!M53)*武将升星!Q50,P57)</f>
        <v>22.663432655469641</v>
      </c>
      <c r="AL57" s="64">
        <f>MAX(Y57+AG57+I57*(M57+1)+IF(武将数量星级阶位验证!N53="",0,武将数量星级阶位验证!N53)*武将升星!R50,Q57)</f>
        <v>6</v>
      </c>
      <c r="AM57" s="41">
        <f t="shared" ref="AM57:AM71" si="48">R57+AH57</f>
        <v>0</v>
      </c>
      <c r="AO57" s="17">
        <f>武将数量星级阶位验证!BJ53</f>
        <v>92.359880618190687</v>
      </c>
      <c r="AP57" s="17">
        <f>武将数量星级阶位验证!BK53</f>
        <v>32.663432655469641</v>
      </c>
      <c r="AQ57" s="63">
        <f>武将数量星级阶位验证!BL53</f>
        <v>8.6208091843508363</v>
      </c>
      <c r="AR57" s="17">
        <f>武将数量星级阶位验证!BM53</f>
        <v>0</v>
      </c>
      <c r="AT57" s="17">
        <f t="shared" si="40"/>
        <v>2.5499999999999998</v>
      </c>
      <c r="AU57" s="17">
        <f t="shared" si="41"/>
        <v>19.766822802328868</v>
      </c>
      <c r="AX57" s="17">
        <f>基础状态预期!G63</f>
        <v>0</v>
      </c>
      <c r="AY57" s="17">
        <f>基础状态预期!H63</f>
        <v>0</v>
      </c>
      <c r="AZ57" s="17">
        <f>基础状态预期!I63</f>
        <v>6</v>
      </c>
      <c r="BA57" s="17">
        <f>基础状态预期!J63</f>
        <v>0</v>
      </c>
      <c r="BB57" s="62">
        <f t="shared" ref="BB57:BB71" si="49">SUM(AX57:BA57)</f>
        <v>6</v>
      </c>
      <c r="BD57" s="17">
        <v>6</v>
      </c>
      <c r="BE57" s="17">
        <v>0</v>
      </c>
      <c r="BF57" s="17">
        <v>0</v>
      </c>
      <c r="BG57" s="17">
        <v>0</v>
      </c>
      <c r="BH57" s="62">
        <f t="shared" ref="BH57:BH71" si="50">SUM(BD57:BG57)</f>
        <v>6</v>
      </c>
      <c r="BJ57" s="17">
        <f t="shared" ref="BJ57:BJ71" si="51">AX57+BD57</f>
        <v>6</v>
      </c>
      <c r="BK57" s="17">
        <f t="shared" si="42"/>
        <v>0</v>
      </c>
      <c r="BL57" s="17">
        <f t="shared" si="43"/>
        <v>6</v>
      </c>
      <c r="BM57" s="17">
        <f t="shared" si="44"/>
        <v>0</v>
      </c>
      <c r="BN57" s="62">
        <f t="shared" ref="BN57:BN71" si="52">SUM(BJ57:BM57)</f>
        <v>12</v>
      </c>
      <c r="BR57" s="17">
        <f>武将升星!P50*基础状态预期!G63+G57*(K57+1)+W57+AE57</f>
        <v>24</v>
      </c>
      <c r="BS57" s="17">
        <f>武将升星!Q50*基础状态预期!H63+H57*(L57+1)+X57+AF57</f>
        <v>14.232112417676785</v>
      </c>
      <c r="BT57" s="17">
        <f>武将升星!R50*基础状态预期!I63+I57*(M57+1)+Y57+AG57</f>
        <v>6</v>
      </c>
      <c r="BU57" s="17">
        <f>武将升星!S50*基础状态预期!J63+J57*(N57+1)+Z57+AH57</f>
        <v>0</v>
      </c>
    </row>
    <row r="58" spans="2:73" x14ac:dyDescent="0.15">
      <c r="B58" s="17">
        <v>6</v>
      </c>
      <c r="C58" s="17">
        <f t="shared" si="45"/>
        <v>6</v>
      </c>
      <c r="D58" s="17">
        <v>3</v>
      </c>
      <c r="E58" s="29">
        <f>基础状态预期!C64</f>
        <v>5.0999999999999996</v>
      </c>
      <c r="F58" s="29">
        <f>基础状态预期!D64</f>
        <v>27.773265580596355</v>
      </c>
      <c r="G58" s="29">
        <f t="shared" si="46"/>
        <v>6</v>
      </c>
      <c r="H58" s="29">
        <f t="shared" si="36"/>
        <v>0</v>
      </c>
      <c r="I58" s="29">
        <f t="shared" si="37"/>
        <v>0</v>
      </c>
      <c r="J58" s="29">
        <f t="shared" si="38"/>
        <v>0</v>
      </c>
      <c r="K58" s="29">
        <f>武将战力价值情况!G54</f>
        <v>3</v>
      </c>
      <c r="L58" s="29">
        <f>武将战力价值情况!H54</f>
        <v>3.2692816510054956</v>
      </c>
      <c r="M58" s="29">
        <f>武将战力价值情况!I54</f>
        <v>0.16933262846455488</v>
      </c>
      <c r="N58" s="29">
        <f>武将战力价值情况!J54</f>
        <v>0</v>
      </c>
      <c r="O58" s="41">
        <f>MAX(同名需求(G58,求节点(武将升星!$C$104:$C$112,武将升星!E$104:E$112,K58),F$2),武将数量星级阶位验证!AA54)</f>
        <v>30</v>
      </c>
      <c r="P58" s="41">
        <f>MAX(同名需求(H58,求节点(武将升星!$C$104:$C$112,武将升星!F$104:F$112,L58),G$2),武将数量星级阶位验证!AB54)</f>
        <v>45.385633020109914</v>
      </c>
      <c r="Q58" s="41">
        <f>MAX(同名需求(I58,求节点(武将升星!$C$104:$C$112,武将升星!G$104:G$112,M58),H$2),武将数量星级阶位验证!AC54)</f>
        <v>8.5399894269683223</v>
      </c>
      <c r="R58" s="41">
        <f>MAX(同名需求(J58,求节点(武将升星!$C$104:$C$112,武将升星!H$104:H$112,N58),I$2),武将数量星级阶位验证!AD54)</f>
        <v>0</v>
      </c>
      <c r="S58" s="29">
        <f>MAX(基础状态预期!P64:T64)</f>
        <v>1.1109306232238543</v>
      </c>
      <c r="T58" s="29">
        <f t="shared" ref="T58:V58" si="53">S58</f>
        <v>1.1109306232238543</v>
      </c>
      <c r="U58" s="29">
        <f t="shared" si="53"/>
        <v>1.1109306232238543</v>
      </c>
      <c r="V58" s="29">
        <f t="shared" si="53"/>
        <v>1.1109306232238543</v>
      </c>
      <c r="W58" s="41">
        <f>SUMIFS(武将进阶!F$13:F$18,武将进阶!$C$13:$C$18,"&lt;="&amp;T58)*H58+武将数量星级阶位验证!Q54</f>
        <v>0</v>
      </c>
      <c r="X58" s="41">
        <f>SUMIFS(武将进阶!G$13:G$18,武将进阶!$C$13:$C$18,"&lt;="&amp;U58)*I58+武将数量星级阶位验证!R54</f>
        <v>21.993502436058755</v>
      </c>
      <c r="Y58" s="41">
        <f>SUMIFS(武将进阶!H$13:H$18,武将进阶!$C$13:$C$18,"&lt;="&amp;V58)*J58+武将数量星级阶位验证!S54</f>
        <v>0</v>
      </c>
      <c r="Z58" s="41">
        <f>SUMIFS(武将进阶!I$13:I$18,武将进阶!$C$13:$C$18,"&lt;="&amp;W58)*K58+武将数量星级阶位验证!T54</f>
        <v>0</v>
      </c>
      <c r="AA58" s="29"/>
      <c r="AB58" s="29">
        <f>求节点(基础状态预期!$AT$17:$AT$55,基础状态预期!AW$17:AW$55,各r阵容卡情况!$F58)</f>
        <v>1</v>
      </c>
      <c r="AC58" s="29">
        <f>求节点(基础状态预期!$AT$17:$AT$55,基础状态预期!AX$17:AX$55,各r阵容卡情况!$F58)</f>
        <v>1</v>
      </c>
      <c r="AD58" s="29">
        <f>求节点(基础状态预期!$AT$17:$AT$55,基础状态预期!AY$17:AY$55,各r阵容卡情况!$F58)</f>
        <v>1</v>
      </c>
      <c r="AE58" s="41">
        <f>IF(AA58&lt;1,0,(AA58-1)*武将觉醒!E$34*G58)+武将数量星级阶位验证!V54</f>
        <v>0</v>
      </c>
      <c r="AF58" s="41">
        <f>IF(AB58&lt;1,0,(AB58-1)*武将觉醒!F$34*H58)+武将数量星级阶位验证!W54</f>
        <v>0</v>
      </c>
      <c r="AG58" s="41">
        <f>IF(AC58&lt;1,0,(AC58-1)*武将觉醒!G$34*I58)+武将数量星级阶位验证!X54</f>
        <v>0</v>
      </c>
      <c r="AH58" s="41">
        <f>IF(AD58&lt;1,0,(AD58-1)*武将觉醒!H$34*J58)+武将数量星级阶位验证!Y54</f>
        <v>0</v>
      </c>
      <c r="AJ58" s="29">
        <f>MAX(W58+AE58+G58*(K58+1)+IF(武将数量星级阶位验证!L54="",0,武将数量星级阶位验证!L54)*武将升星!P51,O58)</f>
        <v>30</v>
      </c>
      <c r="AK58" s="29">
        <f>MAX(X58+AF58+H58*(L58+1)+IF(武将数量星级阶位验证!M54="",0,武将数量星级阶位验证!M54)*武将升星!Q51,P58)</f>
        <v>45.385633020109914</v>
      </c>
      <c r="AL58" s="64">
        <f>MAX(Y58+AG58+I58*(M58+1)+IF(武将数量星级阶位验证!N54="",0,武将数量星级阶位验证!N54)*武将升星!R51,Q58)</f>
        <v>8.5399894269683223</v>
      </c>
      <c r="AM58" s="41">
        <f t="shared" si="48"/>
        <v>0</v>
      </c>
      <c r="AO58" s="17">
        <f>武将数量星级阶位验证!BJ54</f>
        <v>160.17734401839635</v>
      </c>
      <c r="AP58" s="17">
        <f>武将数量星级阶位验证!BK54</f>
        <v>55.385633020109914</v>
      </c>
      <c r="AQ58" s="63">
        <f>武将数量星级阶位验证!BL54</f>
        <v>14.445646786905911</v>
      </c>
      <c r="AR58" s="17">
        <f>武将数量星级阶位验证!BM54</f>
        <v>0</v>
      </c>
      <c r="AT58" s="17">
        <f t="shared" si="40"/>
        <v>5.0999999999999996</v>
      </c>
      <c r="AU58" s="17">
        <f t="shared" si="41"/>
        <v>27.773265580596355</v>
      </c>
      <c r="AY58" s="17">
        <f>基础状态预期!H64</f>
        <v>0</v>
      </c>
      <c r="AZ58" s="17">
        <f>基础状态预期!I64</f>
        <v>6</v>
      </c>
      <c r="BA58" s="17">
        <f>基础状态预期!J64</f>
        <v>0</v>
      </c>
      <c r="BB58" s="62">
        <f t="shared" si="49"/>
        <v>6</v>
      </c>
      <c r="BD58" s="17">
        <v>6</v>
      </c>
      <c r="BE58" s="17">
        <v>0</v>
      </c>
      <c r="BF58" s="17">
        <v>0</v>
      </c>
      <c r="BG58" s="17">
        <v>0</v>
      </c>
      <c r="BH58" s="62">
        <f t="shared" si="50"/>
        <v>6</v>
      </c>
      <c r="BJ58" s="17">
        <f t="shared" si="51"/>
        <v>6</v>
      </c>
      <c r="BK58" s="17">
        <f t="shared" si="42"/>
        <v>0</v>
      </c>
      <c r="BL58" s="17">
        <f t="shared" si="43"/>
        <v>6</v>
      </c>
      <c r="BM58" s="17">
        <f t="shared" si="44"/>
        <v>0</v>
      </c>
      <c r="BN58" s="62">
        <f t="shared" si="52"/>
        <v>12</v>
      </c>
      <c r="BR58" s="17">
        <f>武将升星!P51*基础状态预期!G64+G58*(K58+1)+W58+AE58</f>
        <v>24</v>
      </c>
      <c r="BS58" s="17">
        <f>武将升星!Q51*基础状态预期!H64+H58*(L58+1)+X58+AF58</f>
        <v>21.993502436058755</v>
      </c>
      <c r="BT58" s="17">
        <f>武将升星!R51*基础状态预期!I64+I58*(M58+1)+Y58+AG58</f>
        <v>7.0159957707873293</v>
      </c>
      <c r="BU58" s="17">
        <f>武将升星!S51*基础状态预期!J64+J58*(N58+1)+Z58+AH58</f>
        <v>0</v>
      </c>
    </row>
    <row r="59" spans="2:73" x14ac:dyDescent="0.15">
      <c r="B59" s="17">
        <v>7</v>
      </c>
      <c r="C59" s="17">
        <f t="shared" si="45"/>
        <v>8</v>
      </c>
      <c r="D59" s="17">
        <v>4</v>
      </c>
      <c r="E59" s="29">
        <f>基础状态预期!C65</f>
        <v>8.5</v>
      </c>
      <c r="F59" s="29">
        <f>基础状态预期!D65</f>
        <v>34.250806171891597</v>
      </c>
      <c r="G59" s="29">
        <f t="shared" si="46"/>
        <v>6</v>
      </c>
      <c r="H59" s="29">
        <f t="shared" si="36"/>
        <v>2</v>
      </c>
      <c r="I59" s="29">
        <f t="shared" si="37"/>
        <v>0</v>
      </c>
      <c r="J59" s="29">
        <f t="shared" si="38"/>
        <v>0</v>
      </c>
      <c r="K59" s="29">
        <f>武将战力价值情况!G55</f>
        <v>3</v>
      </c>
      <c r="L59" s="29">
        <f>武将战力价值情况!H55</f>
        <v>4.3492996625097531</v>
      </c>
      <c r="M59" s="29">
        <f>武将战力价值情况!I55</f>
        <v>0.66920166281262383</v>
      </c>
      <c r="N59" s="29">
        <f>武将战力价值情况!J55</f>
        <v>0</v>
      </c>
      <c r="O59" s="41">
        <f>MAX(同名需求(G59,求节点(武将升星!$C$104:$C$112,武将升星!E$104:E$112,K59),F$2),武将数量星级阶位验证!AA55)</f>
        <v>30</v>
      </c>
      <c r="P59" s="41">
        <f>MAX(同名需求(H59,求节点(武将升星!$C$104:$C$112,武将升星!F$104:F$112,L59),G$2),武将数量星级阶位验证!AB55)</f>
        <v>72.478989875292584</v>
      </c>
      <c r="Q59" s="41">
        <f>MAX(同名需求(I59,求节点(武将升星!$C$104:$C$112,武将升星!G$104:G$112,M59),H$2),武将数量星级阶位验证!AC55)</f>
        <v>16.038024942189356</v>
      </c>
      <c r="R59" s="41">
        <f>MAX(同名需求(J59,求节点(武将升星!$C$104:$C$112,武将升星!H$104:H$112,N59),I$2),武将数量星级阶位验证!AD55)</f>
        <v>0</v>
      </c>
      <c r="S59" s="29">
        <f>MAX(基础状态预期!P65:T65)</f>
        <v>1.3700322468756638</v>
      </c>
      <c r="T59" s="29">
        <f t="shared" ref="T59:V59" si="54">S59</f>
        <v>1.3700322468756638</v>
      </c>
      <c r="U59" s="29">
        <f t="shared" si="54"/>
        <v>1.3700322468756638</v>
      </c>
      <c r="V59" s="29">
        <f t="shared" si="54"/>
        <v>1.3700322468756638</v>
      </c>
      <c r="W59" s="41">
        <f>SUMIFS(武将进阶!F$13:F$18,武将进阶!$C$13:$C$18,"&lt;="&amp;T59)*H59+武将数量星级阶位验证!Q55</f>
        <v>6</v>
      </c>
      <c r="X59" s="41">
        <f>SUMIFS(武将进阶!G$13:G$18,武将进阶!$C$13:$C$18,"&lt;="&amp;U59)*I59+武将数量星级阶位验证!R55</f>
        <v>31.321160887523895</v>
      </c>
      <c r="Y59" s="41">
        <f>SUMIFS(武将进阶!H$13:H$18,武将进阶!$C$13:$C$18,"&lt;="&amp;V59)*J59+武将数量星级阶位验证!S55</f>
        <v>0</v>
      </c>
      <c r="Z59" s="41">
        <f>SUMIFS(武将进阶!I$13:I$18,武将进阶!$C$13:$C$18,"&lt;="&amp;W59)*K59+武将数量星级阶位验证!T55</f>
        <v>525</v>
      </c>
      <c r="AA59" s="29"/>
      <c r="AB59" s="29">
        <f>求节点(基础状态预期!$AT$17:$AT$55,基础状态预期!AW$17:AW$55,各r阵容卡情况!$F59)</f>
        <v>1.2084676953152662</v>
      </c>
      <c r="AC59" s="29">
        <f>求节点(基础状态预期!$AT$17:$AT$55,基础状态预期!AX$17:AX$55,各r阵容卡情况!$F59)</f>
        <v>1.2084676953152662</v>
      </c>
      <c r="AD59" s="29">
        <f>求节点(基础状态预期!$AT$17:$AT$55,基础状态预期!AY$17:AY$55,各r阵容卡情况!$F59)</f>
        <v>1.2084676953152662</v>
      </c>
      <c r="AE59" s="41">
        <f>IF(AA59&lt;1,0,(AA59-1)*武将觉醒!E$34*G59)+武将数量星级阶位验证!V55</f>
        <v>0</v>
      </c>
      <c r="AF59" s="41">
        <f>IF(AB59&lt;1,0,(AB59-1)*武将觉醒!F$34*H59)+武将数量星级阶位验证!W55</f>
        <v>2.0846769531526621</v>
      </c>
      <c r="AG59" s="41">
        <f>IF(AC59&lt;1,0,(AC59-1)*武将觉醒!G$34*I59)+武将数量星级阶位验证!X55</f>
        <v>3.0534801809385268</v>
      </c>
      <c r="AH59" s="41">
        <f>IF(AD59&lt;1,0,(AD59-1)*武将觉醒!H$34*J59)+武将数量星级阶位验证!Y55</f>
        <v>0</v>
      </c>
      <c r="AJ59" s="29">
        <f>MAX(W59+AE59+G59*(K59+1)+IF(武将数量星级阶位验证!L55="",0,武将数量星级阶位验证!L55)*武将升星!P52,O59)</f>
        <v>30</v>
      </c>
      <c r="AK59" s="29">
        <f>MAX(X59+AF59+H59*(L59+1)+IF(武将数量星级阶位验证!M55="",0,武将数量星级阶位验证!M55)*武将升星!Q52,P59)</f>
        <v>72.478989875292584</v>
      </c>
      <c r="AL59" s="64">
        <f>MAX(Y59+AG59+I59*(M59+1)+IF(武将数量星级阶位验证!N55="",0,武将数量星级阶位验证!N55)*武将升星!R52,Q59)</f>
        <v>16.038024942189356</v>
      </c>
      <c r="AM59" s="41">
        <f t="shared" si="48"/>
        <v>0</v>
      </c>
      <c r="AO59" s="17">
        <f>武将数量星级阶位验证!BJ55</f>
        <v>237.75594375462862</v>
      </c>
      <c r="AP59" s="17">
        <f>武将数量星级阶位验证!BK55</f>
        <v>80.478989875292598</v>
      </c>
      <c r="AQ59" s="63">
        <f>武将数量星级阶位验证!BL55</f>
        <v>20.748778402426041</v>
      </c>
      <c r="AR59" s="17">
        <f>武将数量星级阶位验证!BM55</f>
        <v>0</v>
      </c>
      <c r="AT59" s="17">
        <f t="shared" si="40"/>
        <v>8.5</v>
      </c>
      <c r="AU59" s="17">
        <f t="shared" si="41"/>
        <v>34.250806171891597</v>
      </c>
      <c r="AY59" s="17">
        <f>基础状态预期!H65</f>
        <v>0</v>
      </c>
      <c r="AZ59" s="17">
        <f>基础状态预期!I65</f>
        <v>6</v>
      </c>
      <c r="BA59" s="17">
        <f>基础状态预期!J65</f>
        <v>0</v>
      </c>
      <c r="BB59" s="62">
        <f t="shared" si="49"/>
        <v>6</v>
      </c>
      <c r="BD59" s="17">
        <v>6</v>
      </c>
      <c r="BE59" s="17">
        <v>2</v>
      </c>
      <c r="BF59" s="17">
        <v>0</v>
      </c>
      <c r="BG59" s="17">
        <v>0</v>
      </c>
      <c r="BH59" s="62">
        <f t="shared" si="50"/>
        <v>8</v>
      </c>
      <c r="BJ59" s="17">
        <f t="shared" si="51"/>
        <v>6</v>
      </c>
      <c r="BK59" s="17">
        <f t="shared" si="42"/>
        <v>2</v>
      </c>
      <c r="BL59" s="17">
        <f t="shared" si="43"/>
        <v>6</v>
      </c>
      <c r="BM59" s="17">
        <f t="shared" si="44"/>
        <v>0</v>
      </c>
      <c r="BN59" s="62">
        <f t="shared" si="52"/>
        <v>14</v>
      </c>
      <c r="BR59" s="17">
        <f>武将升星!P52*基础状态预期!G65+G59*(K59+1)+W59+AE59</f>
        <v>30</v>
      </c>
      <c r="BS59" s="17">
        <f>武将升星!Q52*基础状态预期!H65+H59*(L59+1)+X59+AF59</f>
        <v>44.104437165696062</v>
      </c>
      <c r="BT59" s="17">
        <f>武将升星!R52*基础状态预期!I65+I59*(M59+1)+Y59+AG59</f>
        <v>13.06869015781427</v>
      </c>
      <c r="BU59" s="17">
        <f>武将升星!S52*基础状态预期!J65+J59*(N59+1)+Z59+AH59</f>
        <v>525</v>
      </c>
    </row>
    <row r="60" spans="2:73" x14ac:dyDescent="0.15">
      <c r="B60" s="17">
        <v>8</v>
      </c>
      <c r="C60" s="17">
        <f t="shared" si="45"/>
        <v>10</v>
      </c>
      <c r="D60" s="17">
        <v>5</v>
      </c>
      <c r="E60" s="29">
        <f>基础状态预期!C66</f>
        <v>12.75</v>
      </c>
      <c r="F60" s="29">
        <f>基础状态预期!D66</f>
        <v>39.661158518499626</v>
      </c>
      <c r="G60" s="29">
        <f t="shared" si="46"/>
        <v>6</v>
      </c>
      <c r="H60" s="29">
        <f t="shared" si="36"/>
        <v>4</v>
      </c>
      <c r="I60" s="29">
        <f t="shared" si="37"/>
        <v>0</v>
      </c>
      <c r="J60" s="29">
        <f t="shared" si="38"/>
        <v>0</v>
      </c>
      <c r="K60" s="29">
        <f>武将战力价值情况!G56</f>
        <v>3</v>
      </c>
      <c r="L60" s="29">
        <f>武将战力价值情况!H56</f>
        <v>5.1862237353342744</v>
      </c>
      <c r="M60" s="29">
        <f>武将战力价值情况!I56</f>
        <v>1.1460676492452331</v>
      </c>
      <c r="N60" s="29">
        <f>武将战力价值情况!J56</f>
        <v>0</v>
      </c>
      <c r="O60" s="41">
        <f>MAX(同名需求(G60,求节点(武将升星!$C$104:$C$112,武将升星!E$104:E$112,K60),F$2),武将数量星级阶位验证!AA56)</f>
        <v>30</v>
      </c>
      <c r="P60" s="41">
        <f>MAX(同名需求(H60,求节点(武将升星!$C$104:$C$112,武将升星!F$104:F$112,L60),G$2),武将数量星级阶位验证!AB56)</f>
        <v>99.586712060028248</v>
      </c>
      <c r="Q60" s="41">
        <f>MAX(同名需求(I60,求节点(武将升星!$C$104:$C$112,武将升星!G$104:G$112,M60),H$2),武将数量星级阶位验证!AC56)</f>
        <v>23.191014738678497</v>
      </c>
      <c r="R60" s="41">
        <f>MAX(同名需求(J60,求节点(武将升星!$C$104:$C$112,武将升星!H$104:H$112,N60),I$2),武将数量星级阶位验证!AD56)</f>
        <v>0</v>
      </c>
      <c r="S60" s="29">
        <f>MAX(基础状态预期!P66:T66)</f>
        <v>1.5864463407399851</v>
      </c>
      <c r="T60" s="29">
        <f t="shared" ref="T60:V60" si="55">S60</f>
        <v>1.5864463407399851</v>
      </c>
      <c r="U60" s="29">
        <f t="shared" si="55"/>
        <v>1.5864463407399851</v>
      </c>
      <c r="V60" s="29">
        <f t="shared" si="55"/>
        <v>1.5864463407399851</v>
      </c>
      <c r="W60" s="41">
        <f>SUMIFS(武将进阶!F$13:F$18,武将进阶!$C$13:$C$18,"&lt;="&amp;T60)*H60+武将数量星级阶位验证!Q56</f>
        <v>12</v>
      </c>
      <c r="X60" s="41">
        <f>SUMIFS(武将进阶!G$13:G$18,武将进阶!$C$13:$C$18,"&lt;="&amp;U60)*I60+武将数量星级阶位验证!R56</f>
        <v>39.112068266639469</v>
      </c>
      <c r="Y60" s="41">
        <f>SUMIFS(武将进阶!H$13:H$18,武将进阶!$C$13:$C$18,"&lt;="&amp;V60)*J60+武将数量星级阶位验证!S56</f>
        <v>0</v>
      </c>
      <c r="Z60" s="41">
        <f>SUMIFS(武将进阶!I$13:I$18,武将进阶!$C$13:$C$18,"&lt;="&amp;W60)*K60+武将数量星级阶位验证!T56</f>
        <v>525</v>
      </c>
      <c r="AA60" s="29"/>
      <c r="AB60" s="29">
        <f>求节点(基础状态预期!$AT$17:$AT$55,基础状态预期!AW$17:AW$55,各r阵容卡情况!$F60)</f>
        <v>2</v>
      </c>
      <c r="AC60" s="29">
        <f>求节点(基础状态预期!$AT$17:$AT$55,基础状态预期!AX$17:AX$55,各r阵容卡情况!$F60)</f>
        <v>2</v>
      </c>
      <c r="AD60" s="29">
        <f>求节点(基础状态预期!$AT$17:$AT$55,基础状态预期!AY$17:AY$55,各r阵容卡情况!$F60)</f>
        <v>2</v>
      </c>
      <c r="AE60" s="41">
        <f>IF(AA60&lt;1,0,(AA60-1)*武将觉醒!E$34*G60)+武将数量星级阶位验证!V56</f>
        <v>0</v>
      </c>
      <c r="AF60" s="41">
        <f>IF(AB60&lt;1,0,(AB60-1)*武将觉醒!F$34*H60)+武将数量星级阶位验证!W56</f>
        <v>20</v>
      </c>
      <c r="AG60" s="41">
        <f>IF(AC60&lt;1,0,(AC60-1)*武将觉醒!G$34*I60)+武将数量星级阶位验证!X56</f>
        <v>6</v>
      </c>
      <c r="AH60" s="41">
        <f>IF(AD60&lt;1,0,(AD60-1)*武将觉醒!H$34*J60)+武将数量星级阶位验证!Y56</f>
        <v>0</v>
      </c>
      <c r="AJ60" s="29">
        <f>MAX(W60+AE60+G60*(K60+1)+IF(武将数量星级阶位验证!L56="",0,武将数量星级阶位验证!L56)*武将升星!P53,O60)</f>
        <v>36</v>
      </c>
      <c r="AK60" s="29">
        <f>MAX(X60+AF60+H60*(L60+1)+IF(武将数量星级阶位验证!M56="",0,武将数量星级阶位验证!M56)*武将升星!Q53,P60)</f>
        <v>99.586712060028248</v>
      </c>
      <c r="AL60" s="64">
        <f>MAX(Y60+AG60+I60*(M60+1)+IF(武将数量星级阶位验证!N56="",0,武将数量星级阶位验证!N56)*武将升星!R53,Q60)</f>
        <v>23.191014738678497</v>
      </c>
      <c r="AM60" s="41">
        <f t="shared" si="48"/>
        <v>0</v>
      </c>
      <c r="AO60" s="17">
        <f>武将数量星级阶位验证!BJ56</f>
        <v>319.27735164819472</v>
      </c>
      <c r="AP60" s="17">
        <f>武将数量星级阶位验证!BK56</f>
        <v>105.58671206002825</v>
      </c>
      <c r="AQ60" s="63">
        <f>武将数量星级阶位验证!BL56</f>
        <v>26.867356516882943</v>
      </c>
      <c r="AR60" s="17">
        <f>武将数量星级阶位验证!BM56</f>
        <v>0</v>
      </c>
      <c r="AT60" s="17">
        <f t="shared" si="40"/>
        <v>12.75</v>
      </c>
      <c r="AU60" s="17">
        <f t="shared" si="41"/>
        <v>39.661158518499626</v>
      </c>
      <c r="AY60" s="17">
        <f>基础状态预期!H66</f>
        <v>0</v>
      </c>
      <c r="AZ60" s="17">
        <f>基础状态预期!I66</f>
        <v>6</v>
      </c>
      <c r="BA60" s="17">
        <f>基础状态预期!J66</f>
        <v>0</v>
      </c>
      <c r="BB60" s="62">
        <f t="shared" si="49"/>
        <v>6</v>
      </c>
      <c r="BD60" s="17">
        <v>6</v>
      </c>
      <c r="BE60" s="17">
        <v>4</v>
      </c>
      <c r="BF60" s="17">
        <v>0</v>
      </c>
      <c r="BG60" s="17">
        <v>0</v>
      </c>
      <c r="BH60" s="62">
        <f t="shared" si="50"/>
        <v>10</v>
      </c>
      <c r="BJ60" s="17">
        <f t="shared" si="51"/>
        <v>6</v>
      </c>
      <c r="BK60" s="17">
        <f t="shared" si="42"/>
        <v>4</v>
      </c>
      <c r="BL60" s="17">
        <f t="shared" si="43"/>
        <v>6</v>
      </c>
      <c r="BM60" s="17">
        <f t="shared" si="44"/>
        <v>0</v>
      </c>
      <c r="BN60" s="62">
        <f t="shared" si="52"/>
        <v>16</v>
      </c>
      <c r="BR60" s="17">
        <f>武将升星!P53*基础状态预期!G66+G60*(K60+1)+W60+AE60</f>
        <v>36</v>
      </c>
      <c r="BS60" s="17">
        <f>武将升星!Q53*基础状态预期!H66+H60*(L60+1)+X60+AF60</f>
        <v>83.856963207976563</v>
      </c>
      <c r="BT60" s="17">
        <f>武将升星!R53*基础状态预期!I66+I60*(M60+1)+Y60+AG60</f>
        <v>18.8764058954714</v>
      </c>
      <c r="BU60" s="17">
        <f>武将升星!S53*基础状态预期!J66+J60*(N60+1)+Z60+AH60</f>
        <v>525</v>
      </c>
    </row>
    <row r="61" spans="2:73" x14ac:dyDescent="0.15">
      <c r="B61" s="17">
        <v>9</v>
      </c>
      <c r="C61" s="17">
        <f t="shared" si="45"/>
        <v>12</v>
      </c>
      <c r="D61" s="17">
        <v>6</v>
      </c>
      <c r="E61" s="29">
        <f>基础状态预期!C67</f>
        <v>17</v>
      </c>
      <c r="F61" s="29">
        <f>基础状态预期!D67</f>
        <v>43.535389560453282</v>
      </c>
      <c r="G61" s="29">
        <f t="shared" si="46"/>
        <v>6</v>
      </c>
      <c r="H61" s="29">
        <f t="shared" si="36"/>
        <v>6</v>
      </c>
      <c r="I61" s="29">
        <f t="shared" si="37"/>
        <v>0</v>
      </c>
      <c r="J61" s="29">
        <f t="shared" si="38"/>
        <v>0</v>
      </c>
      <c r="K61" s="29">
        <f>武将战力价值情况!G57</f>
        <v>3</v>
      </c>
      <c r="L61" s="29">
        <f>武将战力价值情况!H57</f>
        <v>5.994961961643976</v>
      </c>
      <c r="M61" s="29">
        <f>武将战力价值情况!I57</f>
        <v>1.6029431304051021</v>
      </c>
      <c r="N61" s="29">
        <f>武将战力价值情况!J57</f>
        <v>0</v>
      </c>
      <c r="O61" s="41">
        <f>MAX(同名需求(G61,求节点(武将升星!$C$104:$C$112,武将升星!E$104:E$112,K61),F$2),武将数量星级阶位验证!AA57)</f>
        <v>30</v>
      </c>
      <c r="P61" s="41">
        <f>MAX(同名需求(H61,求节点(武将升星!$C$104:$C$112,武将升星!F$104:F$112,L61),G$2),武将数量星级阶位验证!AB57)</f>
        <v>125.84885884931927</v>
      </c>
      <c r="Q61" s="41">
        <f>MAX(同名需求(I61,求节点(武将升星!$C$104:$C$112,武将升星!G$104:G$112,M61),H$2),武将数量星级阶位验证!AC57)</f>
        <v>32.058862608102039</v>
      </c>
      <c r="R61" s="41">
        <f>MAX(同名需求(J61,求节点(武将升星!$C$104:$C$112,武将升星!H$104:H$112,N61),I$2),武将数量星级阶位验证!AD57)</f>
        <v>0</v>
      </c>
      <c r="S61" s="29">
        <f>MAX(基础状态预期!P67:T67)</f>
        <v>1.7414155824181314</v>
      </c>
      <c r="T61" s="29">
        <f t="shared" ref="T61:V61" si="56">S61</f>
        <v>1.7414155824181314</v>
      </c>
      <c r="U61" s="29">
        <f t="shared" si="56"/>
        <v>1.7414155824181314</v>
      </c>
      <c r="V61" s="29">
        <f t="shared" si="56"/>
        <v>1.7414155824181314</v>
      </c>
      <c r="W61" s="41">
        <f>SUMIFS(武将进阶!F$13:F$18,武将进阶!$C$13:$C$18,"&lt;="&amp;T61)*H61+武将数量星级阶位验证!Q57</f>
        <v>18</v>
      </c>
      <c r="X61" s="41">
        <f>SUMIFS(武将进阶!G$13:G$18,武将进阶!$C$13:$C$18,"&lt;="&amp;U61)*I61+武将数量星级阶位验证!R57</f>
        <v>44.690960967052732</v>
      </c>
      <c r="Y61" s="41">
        <f>SUMIFS(武将进阶!H$13:H$18,武将进阶!$C$13:$C$18,"&lt;="&amp;V61)*J61+武将数量星级阶位验证!S57</f>
        <v>0</v>
      </c>
      <c r="Z61" s="41">
        <f>SUMIFS(武将进阶!I$13:I$18,武将进阶!$C$13:$C$18,"&lt;="&amp;W61)*K61+武将数量星级阶位验证!T57</f>
        <v>525</v>
      </c>
      <c r="AA61" s="29"/>
      <c r="AB61" s="29">
        <f>求节点(基础状态预期!$AT$17:$AT$55,基础状态预期!AW$17:AW$55,各r阵容卡情况!$F61)</f>
        <v>2</v>
      </c>
      <c r="AC61" s="29">
        <f>求节点(基础状态预期!$AT$17:$AT$55,基础状态预期!AX$17:AX$55,各r阵容卡情况!$F61)</f>
        <v>2</v>
      </c>
      <c r="AD61" s="29">
        <f>求节点(基础状态预期!$AT$17:$AT$55,基础状态预期!AY$17:AY$55,各r阵容卡情况!$F61)</f>
        <v>2</v>
      </c>
      <c r="AE61" s="41">
        <f>IF(AA61&lt;1,0,(AA61-1)*武将觉醒!E$34*G61)+武将数量星级阶位验证!V57</f>
        <v>0</v>
      </c>
      <c r="AF61" s="41">
        <f>IF(AB61&lt;1,0,(AB61-1)*武将觉醒!F$34*H61)+武将数量星级阶位验证!W57</f>
        <v>30</v>
      </c>
      <c r="AG61" s="41">
        <f>IF(AC61&lt;1,0,(AC61-1)*武将觉醒!G$34*I61)+武将数量星级阶位验证!X57</f>
        <v>6</v>
      </c>
      <c r="AH61" s="41">
        <f>IF(AD61&lt;1,0,(AD61-1)*武将觉醒!H$34*J61)+武将数量星级阶位验证!Y57</f>
        <v>0</v>
      </c>
      <c r="AJ61" s="29">
        <f>MAX(W61+AE61+G61*(K61+1)+IF(武将数量星级阶位验证!L57="",0,武将数量星级阶位验证!L57)*武将升星!P54,O61)</f>
        <v>42</v>
      </c>
      <c r="AK61" s="29">
        <f>MAX(X61+AF61+H61*(L61+1)+IF(武将数量星级阶位验证!M57="",0,武将数量星级阶位验证!M57)*武将升星!Q54,P61)</f>
        <v>125.84885884931927</v>
      </c>
      <c r="AL61" s="64">
        <f>MAX(Y61+AG61+I61*(M61+1)+IF(武将数量星级阶位验证!N57="",0,武将数量星级阶位验证!N57)*武将升星!R54,Q61)</f>
        <v>32.058862608102039</v>
      </c>
      <c r="AM61" s="41">
        <f t="shared" si="48"/>
        <v>0</v>
      </c>
      <c r="AO61" s="17">
        <f>武将数量星级阶位验证!BJ57</f>
        <v>398.71124528425696</v>
      </c>
      <c r="AP61" s="17">
        <f>武将数量星级阶位验证!BK57</f>
        <v>129.84885884931927</v>
      </c>
      <c r="AQ61" s="63">
        <f>武将数量星级阶位验证!BL57</f>
        <v>32.748116551371041</v>
      </c>
      <c r="AR61" s="17">
        <f>武将数量星级阶位验证!BM57</f>
        <v>0</v>
      </c>
      <c r="AT61" s="17">
        <f t="shared" si="40"/>
        <v>17</v>
      </c>
      <c r="AU61" s="17">
        <f t="shared" si="41"/>
        <v>43.535389560453282</v>
      </c>
      <c r="AZ61" s="17">
        <f>基础状态预期!I67</f>
        <v>6</v>
      </c>
      <c r="BA61" s="17">
        <f>基础状态预期!J67</f>
        <v>0</v>
      </c>
      <c r="BB61" s="62">
        <f t="shared" si="49"/>
        <v>6</v>
      </c>
      <c r="BD61" s="17">
        <v>6</v>
      </c>
      <c r="BE61" s="17">
        <v>6</v>
      </c>
      <c r="BF61" s="17">
        <v>0</v>
      </c>
      <c r="BG61" s="17">
        <v>0</v>
      </c>
      <c r="BH61" s="62">
        <f t="shared" si="50"/>
        <v>12</v>
      </c>
      <c r="BJ61" s="17">
        <f t="shared" si="51"/>
        <v>6</v>
      </c>
      <c r="BK61" s="17">
        <f t="shared" si="42"/>
        <v>6</v>
      </c>
      <c r="BL61" s="17">
        <f t="shared" si="43"/>
        <v>6</v>
      </c>
      <c r="BM61" s="17">
        <f t="shared" si="44"/>
        <v>0</v>
      </c>
      <c r="BN61" s="62">
        <f t="shared" si="52"/>
        <v>18</v>
      </c>
      <c r="BR61" s="17">
        <f>武将升星!P54*基础状态预期!G67+G61*(K61+1)+W61+AE61</f>
        <v>42</v>
      </c>
      <c r="BS61" s="17">
        <f>武将升星!Q54*基础状态预期!H67+H61*(L61+1)+X61+AF61</f>
        <v>116.66073273691659</v>
      </c>
      <c r="BT61" s="17">
        <f>武将升星!R54*基础状态预期!I67+I61*(M61+1)+Y61+AG61</f>
        <v>21.617658782430613</v>
      </c>
      <c r="BU61" s="17">
        <f>武将升星!S54*基础状态预期!J67+J61*(N61+1)+Z61+AH61</f>
        <v>525</v>
      </c>
    </row>
    <row r="62" spans="2:73" x14ac:dyDescent="0.15">
      <c r="B62" s="17">
        <v>10</v>
      </c>
      <c r="C62" s="17">
        <f t="shared" si="45"/>
        <v>14</v>
      </c>
      <c r="D62" s="17">
        <v>7</v>
      </c>
      <c r="E62" s="29">
        <f>基础状态预期!C68</f>
        <v>25.5</v>
      </c>
      <c r="F62" s="29">
        <f>基础状态预期!D68</f>
        <v>49.178590903134719</v>
      </c>
      <c r="G62" s="29">
        <f t="shared" si="46"/>
        <v>6</v>
      </c>
      <c r="H62" s="29">
        <f t="shared" si="36"/>
        <v>8</v>
      </c>
      <c r="I62" s="29">
        <f t="shared" si="37"/>
        <v>0</v>
      </c>
      <c r="J62" s="29">
        <f t="shared" si="38"/>
        <v>0</v>
      </c>
      <c r="K62" s="29">
        <f>武将战力价值情况!G58</f>
        <v>3</v>
      </c>
      <c r="L62" s="29">
        <f>武将战力价值情况!H58</f>
        <v>6</v>
      </c>
      <c r="M62" s="29">
        <f>武将战力价值情况!I58</f>
        <v>2.4074491677725511</v>
      </c>
      <c r="N62" s="29">
        <f>武将战力价值情况!J58</f>
        <v>0</v>
      </c>
      <c r="O62" s="41">
        <f>MAX(同名需求(G62,求节点(武将升星!$C$104:$C$112,武将升星!E$104:E$112,K62),F$2),武将数量星级阶位验证!AA58)</f>
        <v>30</v>
      </c>
      <c r="P62" s="41">
        <f>MAX(同名需求(H62,求节点(武将升星!$C$104:$C$112,武将升星!F$104:F$112,L62),G$2),武将数量星级阶位验证!AB58)</f>
        <v>128</v>
      </c>
      <c r="Q62" s="41">
        <f>MAX(同名需求(I62,求节点(武将升星!$C$104:$C$112,武将升星!G$104:G$112,M62),H$2),武将数量星级阶位验证!AC58)</f>
        <v>48.148983355451023</v>
      </c>
      <c r="R62" s="41">
        <f>MAX(同名需求(J62,求节点(武将升星!$C$104:$C$112,武将升星!H$104:H$112,N62),I$2),武将数量星级阶位验证!AD58)</f>
        <v>0</v>
      </c>
      <c r="S62" s="29">
        <f>MAX(基础状态预期!P68:T68)</f>
        <v>1.9671436361253889</v>
      </c>
      <c r="T62" s="29">
        <f t="shared" ref="T62:V62" si="57">S62</f>
        <v>1.9671436361253889</v>
      </c>
      <c r="U62" s="29">
        <f t="shared" si="57"/>
        <v>1.9671436361253889</v>
      </c>
      <c r="V62" s="29">
        <f t="shared" si="57"/>
        <v>1.9671436361253889</v>
      </c>
      <c r="W62" s="41">
        <f>SUMIFS(武将进阶!F$13:F$18,武将进阶!$C$13:$C$18,"&lt;="&amp;T62)*H62+武将数量星级阶位验证!Q58</f>
        <v>24</v>
      </c>
      <c r="X62" s="41">
        <f>SUMIFS(武将进阶!G$13:G$18,武将进阶!$C$13:$C$18,"&lt;="&amp;U62)*I62+武将数量星级阶位验证!R58</f>
        <v>52.817170900514</v>
      </c>
      <c r="Y62" s="41">
        <f>SUMIFS(武将进阶!H$13:H$18,武将进阶!$C$13:$C$18,"&lt;="&amp;V62)*J62+武将数量星级阶位验证!S58</f>
        <v>0</v>
      </c>
      <c r="Z62" s="41">
        <f>SUMIFS(武将进阶!I$13:I$18,武将进阶!$C$13:$C$18,"&lt;="&amp;W62)*K62+武将数量星级阶位验证!T58</f>
        <v>525</v>
      </c>
      <c r="AA62" s="29"/>
      <c r="AB62" s="29">
        <f>求节点(基础状态预期!$AT$17:$AT$55,基础状态预期!AW$17:AW$55,各r阵容卡情况!$F62)</f>
        <v>2</v>
      </c>
      <c r="AC62" s="29">
        <f>求节点(基础状态预期!$AT$17:$AT$55,基础状态预期!AX$17:AX$55,各r阵容卡情况!$F62)</f>
        <v>2</v>
      </c>
      <c r="AD62" s="29">
        <f>求节点(基础状态预期!$AT$17:$AT$55,基础状态预期!AY$17:AY$55,各r阵容卡情况!$F62)</f>
        <v>2</v>
      </c>
      <c r="AE62" s="41">
        <f>IF(AA62&lt;1,0,(AA62-1)*武将觉醒!E$34*G62)+武将数量星级阶位验证!V58</f>
        <v>0</v>
      </c>
      <c r="AF62" s="41">
        <f>IF(AB62&lt;1,0,(AB62-1)*武将觉醒!F$34*H62)+武将数量星级阶位验证!W58</f>
        <v>40</v>
      </c>
      <c r="AG62" s="41">
        <f>IF(AC62&lt;1,0,(AC62-1)*武将觉醒!G$34*I62)+武将数量星级阶位验证!X58</f>
        <v>6</v>
      </c>
      <c r="AH62" s="41">
        <f>IF(AD62&lt;1,0,(AD62-1)*武将觉醒!H$34*J62)+武将数量星级阶位验证!Y58</f>
        <v>0</v>
      </c>
      <c r="AJ62" s="29">
        <f>MAX(W62+AE62+G62*(K62+1)+IF(武将数量星级阶位验证!L58="",0,武将数量星级阶位验证!L58)*武将升星!P55,O62)</f>
        <v>48</v>
      </c>
      <c r="AK62" s="29">
        <f>MAX(X62+AF62+H62*(L62+1)+IF(武将数量星级阶位验证!M58="",0,武将数量星级阶位验证!M58)*武将升星!Q55,P62)</f>
        <v>148.81717090051399</v>
      </c>
      <c r="AL62" s="64">
        <f>MAX(Y62+AG62+I62*(M62+1)+IF(武将数量星级阶位验证!N58="",0,武将数量星级阶位验证!N58)*武将升星!R55,Q62)</f>
        <v>48.148983355451023</v>
      </c>
      <c r="AM62" s="41">
        <f t="shared" si="48"/>
        <v>0</v>
      </c>
      <c r="AO62" s="17">
        <f>武将数量星级阶位验证!BJ58</f>
        <v>550.28989988721207</v>
      </c>
      <c r="AP62" s="17">
        <f>武将数量星级阶位验证!BK58</f>
        <v>176.26436063190252</v>
      </c>
      <c r="AQ62" s="63">
        <f>武将数量星级阶位验证!BL58</f>
        <v>43.474679216826175</v>
      </c>
      <c r="AR62" s="17">
        <f>武将数量星级阶位验证!BM58</f>
        <v>0.35348776871712423</v>
      </c>
      <c r="AT62" s="17">
        <f t="shared" si="40"/>
        <v>25.5</v>
      </c>
      <c r="AU62" s="17">
        <f t="shared" si="41"/>
        <v>49.178590903134719</v>
      </c>
      <c r="AZ62" s="17">
        <f>基础状态预期!I68</f>
        <v>6</v>
      </c>
      <c r="BA62" s="17">
        <f>基础状态预期!J68</f>
        <v>0</v>
      </c>
      <c r="BB62" s="62">
        <f t="shared" si="49"/>
        <v>6</v>
      </c>
      <c r="BD62" s="17">
        <v>6</v>
      </c>
      <c r="BE62" s="17">
        <v>8</v>
      </c>
      <c r="BF62" s="17">
        <v>0</v>
      </c>
      <c r="BG62" s="17">
        <v>0</v>
      </c>
      <c r="BH62" s="62">
        <f t="shared" si="50"/>
        <v>14</v>
      </c>
      <c r="BJ62" s="17">
        <f t="shared" si="51"/>
        <v>6</v>
      </c>
      <c r="BK62" s="17">
        <f t="shared" si="42"/>
        <v>8</v>
      </c>
      <c r="BL62" s="17">
        <f t="shared" si="43"/>
        <v>6</v>
      </c>
      <c r="BM62" s="17">
        <f t="shared" si="44"/>
        <v>0</v>
      </c>
      <c r="BN62" s="62">
        <f t="shared" si="52"/>
        <v>20</v>
      </c>
      <c r="BR62" s="17">
        <f>武将升星!P55*基础状态预期!G68+G62*(K62+1)+W62+AE62</f>
        <v>48</v>
      </c>
      <c r="BS62" s="17">
        <f>武将升星!Q55*基础状态预期!H68+H62*(L62+1)+X62+AF62</f>
        <v>148.81717090051399</v>
      </c>
      <c r="BT62" s="17">
        <f>武将升星!R55*基础状态预期!I68+I62*(M62+1)+Y62+AG62</f>
        <v>26.444695006635307</v>
      </c>
      <c r="BU62" s="17">
        <f>武将升星!S55*基础状态预期!J68+J62*(N62+1)+Z62+AH62</f>
        <v>525</v>
      </c>
    </row>
    <row r="63" spans="2:73" x14ac:dyDescent="0.15">
      <c r="B63" s="17">
        <v>11</v>
      </c>
      <c r="C63" s="17">
        <f t="shared" si="45"/>
        <v>12</v>
      </c>
      <c r="D63" s="17">
        <v>8</v>
      </c>
      <c r="E63" s="29">
        <f>基础状态预期!C69</f>
        <v>34</v>
      </c>
      <c r="F63" s="29">
        <f>基础状态预期!D69</f>
        <v>53.226994578658328</v>
      </c>
      <c r="G63" s="29">
        <f t="shared" si="46"/>
        <v>2</v>
      </c>
      <c r="H63" s="29">
        <f t="shared" si="36"/>
        <v>10</v>
      </c>
      <c r="I63" s="29">
        <f t="shared" si="37"/>
        <v>0</v>
      </c>
      <c r="J63" s="29">
        <f t="shared" si="38"/>
        <v>0</v>
      </c>
      <c r="K63" s="29">
        <f>武将战力价值情况!G59</f>
        <v>3</v>
      </c>
      <c r="L63" s="29">
        <f>武将战力价值情况!H59</f>
        <v>6</v>
      </c>
      <c r="M63" s="29">
        <f>武将战力价值情况!I59</f>
        <v>3.073515069452641</v>
      </c>
      <c r="N63" s="29">
        <f>武将战力价值情况!J59</f>
        <v>5.4684502519781075E-2</v>
      </c>
      <c r="O63" s="41">
        <f>MAX(同名需求(G63,求节点(武将升星!$C$104:$C$112,武将升星!E$104:E$112,K63),F$2),武将数量星级阶位验证!AA59)</f>
        <v>26</v>
      </c>
      <c r="P63" s="41">
        <f>MAX(同名需求(H63,求节点(武将升星!$C$104:$C$112,武将升星!F$104:F$112,L63),G$2),武将数量星级阶位验证!AB59)</f>
        <v>130</v>
      </c>
      <c r="Q63" s="41">
        <f>MAX(同名需求(I63,求节点(武将升星!$C$104:$C$112,武将升星!G$104:G$112,M63),H$2),武将数量星级阶位验证!AC59)</f>
        <v>62.940602778105642</v>
      </c>
      <c r="R63" s="41">
        <f>MAX(同名需求(J63,求节点(武将升星!$C$104:$C$112,武将升星!H$104:H$112,N63),I$2),武将数量星级阶位验证!AD59)</f>
        <v>1.0546845025197811</v>
      </c>
      <c r="S63" s="29">
        <f>MAX(基础状态预期!P69:T69)</f>
        <v>2.1290797831463331</v>
      </c>
      <c r="T63" s="29">
        <f t="shared" ref="T63:V63" si="58">S63</f>
        <v>2.1290797831463331</v>
      </c>
      <c r="U63" s="29">
        <f t="shared" si="58"/>
        <v>2.1290797831463331</v>
      </c>
      <c r="V63" s="29">
        <f t="shared" si="58"/>
        <v>2.1290797831463331</v>
      </c>
      <c r="W63" s="41">
        <f>SUMIFS(武将进阶!F$13:F$18,武将进阶!$C$13:$C$18,"&lt;="&amp;T63)*H63+武将数量星级阶位验证!Q59</f>
        <v>90</v>
      </c>
      <c r="X63" s="41">
        <f>SUMIFS(武将进阶!G$13:G$18,武将进阶!$C$13:$C$18,"&lt;="&amp;U63)*I63+武将数量星级阶位验证!R59</f>
        <v>52.744786988779985</v>
      </c>
      <c r="Y63" s="41">
        <f>SUMIFS(武将进阶!H$13:H$18,武将进阶!$C$13:$C$18,"&lt;="&amp;V63)*J63+武将数量星级阶位验证!S59</f>
        <v>11.323436096633994</v>
      </c>
      <c r="Z63" s="41">
        <f>SUMIFS(武将进阶!I$13:I$18,武将进阶!$C$13:$C$18,"&lt;="&amp;W63)*K63+武将数量星级阶位验证!T59</f>
        <v>525</v>
      </c>
      <c r="AA63" s="29"/>
      <c r="AB63" s="29">
        <f>求节点(基础状态预期!$AT$17:$AT$55,基础状态预期!AW$17:AW$55,各r阵容卡情况!$F63)</f>
        <v>2</v>
      </c>
      <c r="AC63" s="29">
        <f>求节点(基础状态预期!$AT$17:$AT$55,基础状态预期!AX$17:AX$55,各r阵容卡情况!$F63)</f>
        <v>2</v>
      </c>
      <c r="AD63" s="29">
        <f>求节点(基础状态预期!$AT$17:$AT$55,基础状态预期!AY$17:AY$55,各r阵容卡情况!$F63)</f>
        <v>2</v>
      </c>
      <c r="AE63" s="41">
        <f>IF(AA63&lt;1,0,(AA63-1)*武将觉醒!E$34*G63)+武将数量星级阶位验证!V59</f>
        <v>0</v>
      </c>
      <c r="AF63" s="41">
        <f>IF(AB63&lt;1,0,(AB63-1)*武将觉醒!F$34*H63)+武将数量星级阶位验证!W59</f>
        <v>50</v>
      </c>
      <c r="AG63" s="41">
        <f>IF(AC63&lt;1,0,(AC63-1)*武将觉醒!G$34*I63)+武将数量星级阶位验证!X59</f>
        <v>8</v>
      </c>
      <c r="AH63" s="41">
        <f>IF(AD63&lt;1,0,(AD63-1)*武将觉醒!H$34*J63)+武将数量星级阶位验证!Y59</f>
        <v>0</v>
      </c>
      <c r="AJ63" s="29">
        <f>MAX(W63+AE63+G63*(K63+1)+IF(武将数量星级阶位验证!L59="",0,武将数量星级阶位验证!L59)*武将升星!P56,O63)</f>
        <v>98</v>
      </c>
      <c r="AK63" s="29">
        <f>MAX(X63+AF63+H63*(L63+1)+IF(武将数量星级阶位验证!M59="",0,武将数量星级阶位验证!M59)*武将升星!Q56,P63)</f>
        <v>172.74478698877999</v>
      </c>
      <c r="AL63" s="64">
        <f>MAX(Y63+AG63+I63*(M63+1)+IF(武将数量星级阶位验证!N59="",0,武将数量星级阶位验证!N59)*武将升星!R56,Q63)</f>
        <v>62.940602778105642</v>
      </c>
      <c r="AM63" s="41">
        <f t="shared" si="48"/>
        <v>1.0546845025197811</v>
      </c>
      <c r="AO63" s="17">
        <f>武将数量星级阶位验证!BJ59</f>
        <v>699.14020182850868</v>
      </c>
      <c r="AP63" s="17">
        <f>武将数量星级阶位验证!BK59</f>
        <v>222.40468128917189</v>
      </c>
      <c r="AQ63" s="63">
        <f>武将数量星级阶位验证!BL59</f>
        <v>53.689210984429863</v>
      </c>
      <c r="AR63" s="17">
        <f>武将数量星级阶位验证!BM59</f>
        <v>1.0546845025197811</v>
      </c>
      <c r="AT63" s="17">
        <f t="shared" si="40"/>
        <v>34</v>
      </c>
      <c r="AU63" s="17">
        <f t="shared" si="41"/>
        <v>53.226994578658328</v>
      </c>
      <c r="AZ63" s="17">
        <f>基础状态预期!I69</f>
        <v>5</v>
      </c>
      <c r="BA63" s="17">
        <f>基础状态预期!J69</f>
        <v>1</v>
      </c>
      <c r="BB63" s="62">
        <f t="shared" si="49"/>
        <v>6</v>
      </c>
      <c r="BD63" s="17">
        <v>2</v>
      </c>
      <c r="BE63" s="17">
        <v>10</v>
      </c>
      <c r="BF63" s="17">
        <v>0</v>
      </c>
      <c r="BG63" s="17">
        <v>0</v>
      </c>
      <c r="BH63" s="62">
        <f t="shared" si="50"/>
        <v>12</v>
      </c>
      <c r="BJ63" s="17">
        <f t="shared" si="51"/>
        <v>2</v>
      </c>
      <c r="BK63" s="17">
        <f t="shared" si="42"/>
        <v>10</v>
      </c>
      <c r="BL63" s="17">
        <f t="shared" si="43"/>
        <v>5</v>
      </c>
      <c r="BM63" s="17">
        <f t="shared" si="44"/>
        <v>1</v>
      </c>
      <c r="BN63" s="62">
        <f t="shared" si="52"/>
        <v>18</v>
      </c>
      <c r="BR63" s="17">
        <f>武将升星!P56*基础状态预期!G69+G63*(K63+1)+W63+AE63</f>
        <v>98</v>
      </c>
      <c r="BS63" s="17">
        <f>武将升星!Q56*基础状态预期!H69+H63*(L63+1)+X63+AF63</f>
        <v>172.74478698877999</v>
      </c>
      <c r="BT63" s="17">
        <f>武将升星!R56*基础状态预期!I69+I63*(M63+1)+Y63+AG63</f>
        <v>40.058586791160408</v>
      </c>
      <c r="BU63" s="17">
        <f>武将升星!S56*基础状态预期!J69+J63*(N63+1)+Z63+AH63</f>
        <v>526.05468450251976</v>
      </c>
    </row>
    <row r="64" spans="2:73" x14ac:dyDescent="0.15">
      <c r="B64" s="17">
        <v>12</v>
      </c>
      <c r="C64" s="17">
        <f t="shared" si="45"/>
        <v>16</v>
      </c>
      <c r="D64" s="17">
        <v>9</v>
      </c>
      <c r="E64" s="29">
        <f>基础状态预期!C70</f>
        <v>51</v>
      </c>
      <c r="F64" s="29">
        <f>基础状态预期!D70</f>
        <v>59.016342740868758</v>
      </c>
      <c r="G64" s="29">
        <f t="shared" si="46"/>
        <v>0</v>
      </c>
      <c r="H64" s="29">
        <f t="shared" si="36"/>
        <v>12</v>
      </c>
      <c r="I64" s="29">
        <f t="shared" si="37"/>
        <v>4</v>
      </c>
      <c r="J64" s="29">
        <f t="shared" si="38"/>
        <v>0</v>
      </c>
      <c r="K64" s="29">
        <f>武将战力价值情况!G60</f>
        <v>3</v>
      </c>
      <c r="L64" s="29">
        <f>武将战力价值情况!H60</f>
        <v>6</v>
      </c>
      <c r="M64" s="29">
        <f>武将战力价值情况!I60</f>
        <v>3.6225879801522045</v>
      </c>
      <c r="N64" s="29">
        <f>武将战力价值情况!J60</f>
        <v>1.2314729140240206</v>
      </c>
      <c r="O64" s="41">
        <f>MAX(同名需求(G64,求节点(武将升星!$C$104:$C$112,武将升星!E$104:E$112,K64),F$2),武将数量星级阶位验证!AA60)</f>
        <v>24</v>
      </c>
      <c r="P64" s="41">
        <f>MAX(同名需求(H64,求节点(武将升星!$C$104:$C$112,武将升星!F$104:F$112,L64),G$2),武将数量星级阶位验证!AB60)</f>
        <v>252</v>
      </c>
      <c r="Q64" s="41">
        <f>MAX(同名需求(I64,求节点(武将升星!$C$104:$C$112,武将升星!G$104:G$112,M64),H$2),武将数量星级阶位验证!AC60)</f>
        <v>88.903519206088177</v>
      </c>
      <c r="R64" s="41">
        <f>MAX(同名需求(J64,求节点(武将升星!$C$104:$C$112,武将升星!H$104:H$112,N64),I$2),武将数量星级阶位验证!AD60)</f>
        <v>4.4629458280480412</v>
      </c>
      <c r="S64" s="29">
        <f>MAX(基础状态预期!P70:T70)</f>
        <v>2.3606537096347502</v>
      </c>
      <c r="T64" s="29">
        <f t="shared" ref="T64:V64" si="59">S64</f>
        <v>2.3606537096347502</v>
      </c>
      <c r="U64" s="29">
        <f t="shared" si="59"/>
        <v>2.3606537096347502</v>
      </c>
      <c r="V64" s="29">
        <f t="shared" si="59"/>
        <v>2.3606537096347502</v>
      </c>
      <c r="W64" s="41">
        <f>SUMIFS(武将进阶!F$13:F$18,武将进阶!$C$13:$C$18,"&lt;="&amp;T64)*H64+武将数量星级阶位验证!Q60</f>
        <v>108</v>
      </c>
      <c r="X64" s="41">
        <f>SUMIFS(武将进阶!G$13:G$18,武将进阶!$C$13:$C$18,"&lt;="&amp;U64)*I64+武将数量星级阶位验证!R60</f>
        <v>89.311378062468009</v>
      </c>
      <c r="Y64" s="41">
        <f>SUMIFS(武将进阶!H$13:H$18,武将进阶!$C$13:$C$18,"&lt;="&amp;V64)*J64+武将数量星级阶位验证!S60</f>
        <v>30.983533546851007</v>
      </c>
      <c r="Z64" s="41">
        <f>SUMIFS(武将进阶!I$13:I$18,武将进阶!$C$13:$C$18,"&lt;="&amp;W64)*K64+武将数量星级阶位验证!T60</f>
        <v>525</v>
      </c>
      <c r="AA64" s="29"/>
      <c r="AB64" s="29">
        <f>求节点(基础状态预期!$AT$17:$AT$55,基础状态预期!AW$17:AW$55,各r阵容卡情况!$F64)</f>
        <v>2</v>
      </c>
      <c r="AC64" s="29">
        <f>求节点(基础状态预期!$AT$17:$AT$55,基础状态预期!AX$17:AX$55,各r阵容卡情况!$F64)</f>
        <v>2</v>
      </c>
      <c r="AD64" s="29">
        <f>求节点(基础状态预期!$AT$17:$AT$55,基础状态预期!AY$17:AY$55,各r阵容卡情况!$F64)</f>
        <v>2</v>
      </c>
      <c r="AE64" s="41">
        <f>IF(AA64&lt;1,0,(AA64-1)*武将觉醒!E$34*G64)+武将数量星级阶位验证!V60</f>
        <v>0</v>
      </c>
      <c r="AF64" s="41">
        <f>IF(AB64&lt;1,0,(AB64-1)*武将觉醒!F$34*H64)+武将数量星级阶位验证!W60</f>
        <v>60</v>
      </c>
      <c r="AG64" s="41">
        <f>IF(AC64&lt;1,0,(AC64-1)*武将觉醒!G$34*I64)+武将数量星级阶位验证!X60</f>
        <v>14</v>
      </c>
      <c r="AH64" s="41">
        <f>IF(AD64&lt;1,0,(AD64-1)*武将觉醒!H$34*J64)+武将数量星级阶位验证!Y60</f>
        <v>0</v>
      </c>
      <c r="AJ64" s="29">
        <f>MAX(W64+AE64+G64*(K64+1)+IF(武将数量星级阶位验证!L60="",0,武将数量星级阶位验证!L60)*武将升星!P57,O64)</f>
        <v>108</v>
      </c>
      <c r="AK64" s="29">
        <f>MAX(X64+AF64+H64*(L64+1)+IF(武将数量星级阶位验证!M60="",0,武将数量星级阶位验证!M60)*武将升星!Q57,P64)</f>
        <v>252</v>
      </c>
      <c r="AL64" s="64">
        <f>MAX(Y64+AG64+I64*(M64+1)+IF(武将数量星级阶位验证!N60="",0,武将数量星级阶位验证!N60)*武将升星!R57,Q64)</f>
        <v>88.903519206088177</v>
      </c>
      <c r="AM64" s="41">
        <f t="shared" si="48"/>
        <v>4.4629458280480412</v>
      </c>
      <c r="AO64" s="17">
        <f>武将数量星级阶位验证!BJ60</f>
        <v>980.42523611065326</v>
      </c>
      <c r="AP64" s="17">
        <f>武将数量星级阶位验证!BK60</f>
        <v>312.8239446325673</v>
      </c>
      <c r="AQ64" s="63">
        <f>武将数量星级阶位验证!BL60</f>
        <v>71.087427142849506</v>
      </c>
      <c r="AR64" s="17">
        <f>武将数量星级阶位验证!BM60</f>
        <v>4.4629458280480412</v>
      </c>
      <c r="AT64" s="17">
        <f t="shared" si="40"/>
        <v>51</v>
      </c>
      <c r="AU64" s="17">
        <f t="shared" si="41"/>
        <v>59.016342740868758</v>
      </c>
      <c r="AZ64" s="17">
        <f>基础状态预期!I70</f>
        <v>4</v>
      </c>
      <c r="BA64" s="17">
        <f>基础状态预期!J70</f>
        <v>2</v>
      </c>
      <c r="BB64" s="62">
        <f t="shared" si="49"/>
        <v>6</v>
      </c>
      <c r="BD64" s="17">
        <v>0</v>
      </c>
      <c r="BE64" s="17">
        <v>12</v>
      </c>
      <c r="BF64" s="17">
        <v>4</v>
      </c>
      <c r="BG64" s="17">
        <v>0</v>
      </c>
      <c r="BH64" s="62">
        <f t="shared" si="50"/>
        <v>16</v>
      </c>
      <c r="BJ64" s="17">
        <f t="shared" si="51"/>
        <v>0</v>
      </c>
      <c r="BK64" s="17">
        <f t="shared" si="42"/>
        <v>12</v>
      </c>
      <c r="BL64" s="17">
        <f t="shared" si="43"/>
        <v>8</v>
      </c>
      <c r="BM64" s="17">
        <f t="shared" si="44"/>
        <v>2</v>
      </c>
      <c r="BN64" s="62">
        <f t="shared" si="52"/>
        <v>22</v>
      </c>
      <c r="BR64" s="17">
        <f>武将升星!P57*基础状态预期!G70+G64*(K64+1)+W64+AE64</f>
        <v>108</v>
      </c>
      <c r="BS64" s="17">
        <f>武将升星!Q57*基础状态预期!H70+H64*(L64+1)+X64+AF64</f>
        <v>233.31137806246801</v>
      </c>
      <c r="BT64" s="17">
        <f>武将升星!R57*基础状态预期!I70+I64*(M64+1)+Y64+AG64</f>
        <v>84.454589308677456</v>
      </c>
      <c r="BU64" s="17">
        <f>武将升星!S57*基础状态预期!J70+J64*(N64+1)+Z64+AH64</f>
        <v>529.46294582804808</v>
      </c>
    </row>
    <row r="65" spans="2:73" x14ac:dyDescent="0.15">
      <c r="B65" s="17">
        <v>13</v>
      </c>
      <c r="C65" s="17">
        <f t="shared" si="45"/>
        <v>20</v>
      </c>
      <c r="D65" s="17">
        <v>10</v>
      </c>
      <c r="E65" s="29">
        <f>基础状态预期!C71</f>
        <v>76.5</v>
      </c>
      <c r="F65" s="29">
        <f>基础状态预期!D71</f>
        <v>64.781009552500748</v>
      </c>
      <c r="G65" s="29">
        <f t="shared" si="46"/>
        <v>0</v>
      </c>
      <c r="H65" s="29">
        <f t="shared" si="36"/>
        <v>14</v>
      </c>
      <c r="I65" s="29">
        <f t="shared" si="37"/>
        <v>6</v>
      </c>
      <c r="J65" s="29">
        <f t="shared" si="38"/>
        <v>0</v>
      </c>
      <c r="K65" s="29">
        <f>武将战力价值情况!G61</f>
        <v>3</v>
      </c>
      <c r="L65" s="29">
        <f>武将战力价值情况!H61</f>
        <v>6</v>
      </c>
      <c r="M65" s="29">
        <f>武将战力价值情况!I61</f>
        <v>3.9992899911684452</v>
      </c>
      <c r="N65" s="29">
        <f>武将战力价值情况!J61</f>
        <v>3.3462527022694109</v>
      </c>
      <c r="O65" s="41">
        <f>MAX(同名需求(G65,求节点(武将升星!$C$104:$C$112,武将升星!E$104:E$112,K65),F$2),武将数量星级阶位验证!AA61)</f>
        <v>24</v>
      </c>
      <c r="P65" s="41">
        <f>MAX(同名需求(H65,求节点(武将升星!$C$104:$C$112,武将升星!F$104:F$112,L65),G$2),武将数量星级阶位验证!AB61)</f>
        <v>254</v>
      </c>
      <c r="Q65" s="41">
        <f>MAX(同名需求(I65,求节点(武将升星!$C$104:$C$112,武将升星!G$104:G$112,M65),H$2),武将数量星级阶位验证!AC61)</f>
        <v>105.97159964673781</v>
      </c>
      <c r="R65" s="41">
        <f>MAX(同名需求(J65,求节点(武将升星!$C$104:$C$112,武将升星!H$104:H$112,N65),I$2),武将数量星级阶位验证!AD61)</f>
        <v>14.077516213616466</v>
      </c>
      <c r="S65" s="29">
        <f>MAX(基础状态预期!P71:T71)</f>
        <v>2.5912403821000298</v>
      </c>
      <c r="T65" s="29">
        <f t="shared" ref="T65:V65" si="60">S65</f>
        <v>2.5912403821000298</v>
      </c>
      <c r="U65" s="29">
        <f t="shared" si="60"/>
        <v>2.5912403821000298</v>
      </c>
      <c r="V65" s="29">
        <f t="shared" si="60"/>
        <v>2.5912403821000298</v>
      </c>
      <c r="W65" s="41">
        <f>SUMIFS(武将进阶!F$13:F$18,武将进阶!$C$13:$C$18,"&lt;="&amp;T65)*H65+武将数量星级阶位验证!Q61</f>
        <v>126</v>
      </c>
      <c r="X65" s="41">
        <f>SUMIFS(武将进阶!G$13:G$18,武将进阶!$C$13:$C$18,"&lt;="&amp;U65)*I65+武将数量星级阶位验证!R61</f>
        <v>102.28465375560107</v>
      </c>
      <c r="Y65" s="41">
        <f>SUMIFS(武将进阶!H$13:H$18,武将进阶!$C$13:$C$18,"&lt;="&amp;V65)*J65+武将数量星级阶位验证!S61</f>
        <v>58.926980633401605</v>
      </c>
      <c r="Z65" s="41">
        <f>SUMIFS(武将进阶!I$13:I$18,武将进阶!$C$13:$C$18,"&lt;="&amp;W65)*K65+武将数量星级阶位验证!T61</f>
        <v>525</v>
      </c>
      <c r="AA65" s="29"/>
      <c r="AB65" s="29">
        <f>求节点(基础状态预期!$AT$17:$AT$55,基础状态预期!AW$17:AW$55,各r阵容卡情况!$F65)</f>
        <v>2</v>
      </c>
      <c r="AC65" s="29">
        <f>求节点(基础状态预期!$AT$17:$AT$55,基础状态预期!AX$17:AX$55,各r阵容卡情况!$F65)</f>
        <v>2</v>
      </c>
      <c r="AD65" s="29">
        <f>求节点(基础状态预期!$AT$17:$AT$55,基础状态预期!AY$17:AY$55,各r阵容卡情况!$F65)</f>
        <v>2</v>
      </c>
      <c r="AE65" s="41">
        <f>IF(AA65&lt;1,0,(AA65-1)*武将觉醒!E$34*G65)+武将数量星级阶位验证!V61</f>
        <v>0</v>
      </c>
      <c r="AF65" s="41">
        <f>IF(AB65&lt;1,0,(AB65-1)*武将觉醒!F$34*H65)+武将数量星级阶位验证!W61</f>
        <v>70</v>
      </c>
      <c r="AG65" s="41">
        <f>IF(AC65&lt;1,0,(AC65-1)*武将觉醒!G$34*I65)+武将数量星级阶位验证!X61</f>
        <v>18</v>
      </c>
      <c r="AH65" s="41">
        <f>IF(AD65&lt;1,0,(AD65-1)*武将觉醒!H$34*J65)+武将数量星级阶位验证!Y61</f>
        <v>0</v>
      </c>
      <c r="AJ65" s="29">
        <f>MAX(W65+AE65+G65*(K65+1)+IF(武将数量星级阶位验证!L61="",0,武将数量星级阶位验证!L61)*武将升星!P58,O65)</f>
        <v>126</v>
      </c>
      <c r="AK65" s="29">
        <f>MAX(X65+AF65+H65*(L65+1)+IF(武将数量星级阶位验证!M61="",0,武将数量星级阶位验证!M61)*武将升星!Q58,P65)</f>
        <v>270.28465375560108</v>
      </c>
      <c r="AL65" s="64">
        <f>MAX(Y65+AG65+I65*(M65+1)+IF(武将数量星级阶位验证!N61="",0,武将数量星级阶位验证!N61)*武将升星!R58,Q65)</f>
        <v>124.91846052742292</v>
      </c>
      <c r="AM65" s="41">
        <f t="shared" si="48"/>
        <v>14.077516213616466</v>
      </c>
      <c r="AO65" s="17">
        <f>武将数量星级阶位验证!BJ61</f>
        <v>1361.4748095706684</v>
      </c>
      <c r="AP65" s="17">
        <f>武将数量星级阶位验证!BK61</f>
        <v>442.64128163798091</v>
      </c>
      <c r="AQ65" s="63">
        <f>武将数量星级阶位验证!BL61</f>
        <v>89.922527693661536</v>
      </c>
      <c r="AR65" s="17">
        <f>武将数量星级阶位验证!BM61</f>
        <v>14.077516213616466</v>
      </c>
      <c r="AT65" s="17">
        <f t="shared" si="40"/>
        <v>76.5</v>
      </c>
      <c r="AU65" s="17">
        <f t="shared" si="41"/>
        <v>64.781009552500748</v>
      </c>
      <c r="AZ65" s="17">
        <f>基础状态预期!I71</f>
        <v>3</v>
      </c>
      <c r="BA65" s="17">
        <f>基础状态预期!J71</f>
        <v>3</v>
      </c>
      <c r="BB65" s="62">
        <f t="shared" si="49"/>
        <v>6</v>
      </c>
      <c r="BD65" s="17">
        <v>0</v>
      </c>
      <c r="BE65" s="17">
        <v>14</v>
      </c>
      <c r="BF65" s="17">
        <v>6</v>
      </c>
      <c r="BG65" s="17">
        <v>0</v>
      </c>
      <c r="BH65" s="62">
        <f t="shared" si="50"/>
        <v>20</v>
      </c>
      <c r="BJ65" s="17">
        <f t="shared" si="51"/>
        <v>0</v>
      </c>
      <c r="BK65" s="17">
        <f t="shared" si="42"/>
        <v>14</v>
      </c>
      <c r="BL65" s="17">
        <f t="shared" si="43"/>
        <v>9</v>
      </c>
      <c r="BM65" s="17">
        <f t="shared" si="44"/>
        <v>3</v>
      </c>
      <c r="BN65" s="62">
        <f t="shared" si="52"/>
        <v>26</v>
      </c>
      <c r="BR65" s="17">
        <f>武将升星!P58*基础状态预期!G71+G65*(K65+1)+W65+AE65</f>
        <v>126</v>
      </c>
      <c r="BS65" s="17">
        <f>武将升星!Q58*基础状态预期!H71+H65*(L65+1)+X65+AF65</f>
        <v>270.28465375560108</v>
      </c>
      <c r="BT65" s="17">
        <f>武将升星!R58*基础状态预期!I71+I65*(M65+1)+Y65+AG65</f>
        <v>124.91846052742295</v>
      </c>
      <c r="BU65" s="17">
        <f>武将升星!S58*基础状态预期!J71+J65*(N65+1)+Z65+AH65</f>
        <v>539.07751621361649</v>
      </c>
    </row>
    <row r="66" spans="2:73" x14ac:dyDescent="0.15">
      <c r="B66" s="17">
        <v>14</v>
      </c>
      <c r="C66" s="17">
        <f t="shared" si="45"/>
        <v>22</v>
      </c>
      <c r="D66" s="17">
        <v>11</v>
      </c>
      <c r="E66" s="29">
        <f>基础状态预期!C72</f>
        <v>102</v>
      </c>
      <c r="F66" s="29">
        <f>基础状态预期!D72</f>
        <v>68.923431594456531</v>
      </c>
      <c r="G66" s="29">
        <f t="shared" si="46"/>
        <v>0</v>
      </c>
      <c r="H66" s="29">
        <f t="shared" si="36"/>
        <v>16</v>
      </c>
      <c r="I66" s="29">
        <f t="shared" si="37"/>
        <v>6</v>
      </c>
      <c r="J66" s="29">
        <f t="shared" si="38"/>
        <v>0</v>
      </c>
      <c r="K66" s="29">
        <f>武将战力价值情况!G62</f>
        <v>3</v>
      </c>
      <c r="L66" s="29">
        <f>武将战力价值情况!H62</f>
        <v>6</v>
      </c>
      <c r="M66" s="29">
        <f>武将战力价值情况!I62</f>
        <v>4.3338114622088275</v>
      </c>
      <c r="N66" s="29">
        <f>武将战力价值情况!J62</f>
        <v>3.7769709625037322</v>
      </c>
      <c r="O66" s="41">
        <f>MAX(同名需求(G66,求节点(武将升星!$C$104:$C$112,武将升星!E$104:E$112,K66),F$2),武将数量星级阶位验证!AA62)</f>
        <v>24</v>
      </c>
      <c r="P66" s="41">
        <f>MAX(同名需求(H66,求节点(武将升星!$C$104:$C$112,武将升星!F$104:F$112,L66),G$2),武将数量星级阶位验证!AB62)</f>
        <v>256</v>
      </c>
      <c r="Q66" s="41">
        <f>MAX(同名需求(I66,求节点(武将升星!$C$104:$C$112,武将升星!G$104:G$112,M66),H$2),武将数量星级阶位验证!AC62)</f>
        <v>119.35245848835311</v>
      </c>
      <c r="R66" s="41">
        <f>MAX(同名需求(J66,求节点(武将升星!$C$104:$C$112,武将升星!H$104:H$112,N66),I$2),武将数量星级阶位验证!AD62)</f>
        <v>22.215767700029858</v>
      </c>
      <c r="S66" s="29">
        <f>MAX(基础状态预期!P72:T72)</f>
        <v>2.7569372637782612</v>
      </c>
      <c r="T66" s="29">
        <f t="shared" ref="T66:V66" si="61">S66</f>
        <v>2.7569372637782612</v>
      </c>
      <c r="U66" s="29">
        <f t="shared" si="61"/>
        <v>2.7569372637782612</v>
      </c>
      <c r="V66" s="29">
        <f t="shared" si="61"/>
        <v>2.7569372637782612</v>
      </c>
      <c r="W66" s="41">
        <f>SUMIFS(武将进阶!F$13:F$18,武将进阶!$C$13:$C$18,"&lt;="&amp;T66)*H66+武将数量星级阶位验证!Q62</f>
        <v>144</v>
      </c>
      <c r="X66" s="41">
        <f>SUMIFS(武将进阶!G$13:G$18,武将进阶!$C$13:$C$18,"&lt;="&amp;U66)*I66+武将数量星级阶位验证!R62</f>
        <v>90.166494330678262</v>
      </c>
      <c r="Y66" s="41">
        <f>SUMIFS(武将进阶!H$13:H$18,武将进阶!$C$13:$C$18,"&lt;="&amp;V66)*J66+武将数量星级阶位验证!S62</f>
        <v>90.499482992034814</v>
      </c>
      <c r="Z66" s="41">
        <f>SUMIFS(武将进阶!I$13:I$18,武将进阶!$C$13:$C$18,"&lt;="&amp;W66)*K66+武将数量星级阶位验证!T62</f>
        <v>525</v>
      </c>
      <c r="AA66" s="29"/>
      <c r="AB66" s="29">
        <f>求节点(基础状态预期!$AT$17:$AT$55,基础状态预期!AW$17:AW$55,各r阵容卡情况!$F66)</f>
        <v>2</v>
      </c>
      <c r="AC66" s="29">
        <f>求节点(基础状态预期!$AT$17:$AT$55,基础状态预期!AX$17:AX$55,各r阵容卡情况!$F66)</f>
        <v>2</v>
      </c>
      <c r="AD66" s="29">
        <f>求节点(基础状态预期!$AT$17:$AT$55,基础状态预期!AY$17:AY$55,各r阵容卡情况!$F66)</f>
        <v>2</v>
      </c>
      <c r="AE66" s="41">
        <f>IF(AA66&lt;1,0,(AA66-1)*武将觉醒!E$34*G66)+武将数量星级阶位验证!V62</f>
        <v>0</v>
      </c>
      <c r="AF66" s="41">
        <f>IF(AB66&lt;1,0,(AB66-1)*武将觉醒!F$34*H66)+武将数量星级阶位验证!W62</f>
        <v>80</v>
      </c>
      <c r="AG66" s="41">
        <f>IF(AC66&lt;1,0,(AC66-1)*武将觉醒!G$34*I66)+武将数量星级阶位验证!X62</f>
        <v>20</v>
      </c>
      <c r="AH66" s="41">
        <f>IF(AD66&lt;1,0,(AD66-1)*武将觉醒!H$34*J66)+武将数量星级阶位验证!Y62</f>
        <v>0</v>
      </c>
      <c r="AJ66" s="29">
        <f>MAX(W66+AE66+G66*(K66+1)+IF(武将数量星级阶位验证!L62="",0,武将数量星级阶位验证!L62)*武将升星!P59,O66)</f>
        <v>144</v>
      </c>
      <c r="AK66" s="29">
        <f>MAX(X66+AF66+H66*(L66+1)+IF(武将数量星级阶位验证!M62="",0,武将数量星级阶位验证!M62)*武将升星!Q59,P66)</f>
        <v>282.16649433067823</v>
      </c>
      <c r="AL66" s="64">
        <f>MAX(Y66+AG66+I66*(M66+1)+IF(武将数量星级阶位验证!N62="",0,武将数量星级阶位验证!N62)*武将升星!R59,Q66)</f>
        <v>155.8375976141231</v>
      </c>
      <c r="AM66" s="41">
        <f t="shared" si="48"/>
        <v>22.215767700029858</v>
      </c>
      <c r="AO66" s="17">
        <f>武将数量星级阶位验证!BJ62</f>
        <v>1716.5130500455709</v>
      </c>
      <c r="AP66" s="17">
        <f>武将数量星级阶位验证!BK62</f>
        <v>558.39843865144178</v>
      </c>
      <c r="AQ66" s="63">
        <f>武将数量星级阶位验证!BL62</f>
        <v>106.64860124568067</v>
      </c>
      <c r="AR66" s="17">
        <f>武将数量星级阶位验证!BM62</f>
        <v>22.215767700029858</v>
      </c>
      <c r="AT66" s="17">
        <f t="shared" si="40"/>
        <v>102</v>
      </c>
      <c r="AU66" s="17">
        <f t="shared" si="41"/>
        <v>68.923431594456531</v>
      </c>
      <c r="AZ66" s="17">
        <f>基础状态预期!I72</f>
        <v>2</v>
      </c>
      <c r="BA66" s="17">
        <f>基础状态预期!J72</f>
        <v>4</v>
      </c>
      <c r="BB66" s="62">
        <f t="shared" si="49"/>
        <v>6</v>
      </c>
      <c r="BD66" s="17">
        <v>0</v>
      </c>
      <c r="BE66" s="17">
        <v>16</v>
      </c>
      <c r="BF66" s="17">
        <v>6</v>
      </c>
      <c r="BG66" s="17">
        <v>0</v>
      </c>
      <c r="BH66" s="62">
        <f t="shared" si="50"/>
        <v>22</v>
      </c>
      <c r="BJ66" s="17">
        <f t="shared" si="51"/>
        <v>0</v>
      </c>
      <c r="BK66" s="17">
        <f t="shared" si="42"/>
        <v>16</v>
      </c>
      <c r="BL66" s="17">
        <f t="shared" si="43"/>
        <v>8</v>
      </c>
      <c r="BM66" s="17">
        <f t="shared" si="44"/>
        <v>4</v>
      </c>
      <c r="BN66" s="62">
        <f t="shared" si="52"/>
        <v>28</v>
      </c>
      <c r="BR66" s="17">
        <f>武将升星!P59*基础状态预期!G72+G66*(K66+1)+W66+AE66</f>
        <v>144</v>
      </c>
      <c r="BS66" s="17">
        <f>武将升星!Q59*基础状态预期!H72+H66*(L66+1)+X66+AF66</f>
        <v>282.16649433067823</v>
      </c>
      <c r="BT66" s="17">
        <f>武将升星!R59*基础状态预期!I72+I66*(M66+1)+Y66+AG66</f>
        <v>155.83759761412307</v>
      </c>
      <c r="BU66" s="17">
        <f>武将升星!S59*基础状态预期!J72+J66*(N66+1)+Z66+AH66</f>
        <v>547.2157677000298</v>
      </c>
    </row>
    <row r="67" spans="2:73" x14ac:dyDescent="0.15">
      <c r="B67" s="17">
        <v>15</v>
      </c>
      <c r="C67" s="17">
        <f t="shared" si="45"/>
        <v>24</v>
      </c>
      <c r="D67" s="17">
        <v>12</v>
      </c>
      <c r="E67" s="29">
        <f>基础状态预期!C73</f>
        <v>127.5</v>
      </c>
      <c r="F67" s="29">
        <f>基础状态预期!D73</f>
        <v>72.103942950990486</v>
      </c>
      <c r="G67" s="29">
        <f t="shared" si="46"/>
        <v>0</v>
      </c>
      <c r="H67" s="29">
        <f t="shared" si="36"/>
        <v>12</v>
      </c>
      <c r="I67" s="29">
        <f t="shared" si="37"/>
        <v>12</v>
      </c>
      <c r="J67" s="29">
        <f t="shared" si="38"/>
        <v>0</v>
      </c>
      <c r="K67" s="29">
        <f>武将战力价值情况!G63</f>
        <v>3</v>
      </c>
      <c r="L67" s="29">
        <f>武将战力价值情况!H63</f>
        <v>6</v>
      </c>
      <c r="M67" s="29">
        <f>武将战力价值情况!I63</f>
        <v>4.6272032171052562</v>
      </c>
      <c r="N67" s="29">
        <f>武将战力价值情况!J63</f>
        <v>3.8914479121404857</v>
      </c>
      <c r="O67" s="41">
        <f>MAX(同名需求(G67,求节点(武将升星!$C$104:$C$112,武将升星!E$104:E$112,K67),F$2),武将数量星级阶位验证!AA63)</f>
        <v>24</v>
      </c>
      <c r="P67" s="41">
        <f>MAX(同名需求(H67,求节点(武将升星!$C$104:$C$112,武将升星!F$104:F$112,L67),G$2),武将数量星级阶位验证!AB63)</f>
        <v>252</v>
      </c>
      <c r="Q67" s="41">
        <f>MAX(同名需求(I67,求节点(武将升星!$C$104:$C$112,武将升星!G$104:G$112,M67),H$2),武将数量星级阶位验证!AC63)</f>
        <v>137.08812868421023</v>
      </c>
      <c r="R67" s="41">
        <f>MAX(同名需求(J67,求节点(武将升星!$C$104:$C$112,武将升星!H$104:H$112,N67),I$2),武将数量星级阶位验证!AD63)</f>
        <v>28.914479121404856</v>
      </c>
      <c r="S67" s="29">
        <f>MAX(基础状态预期!P73:T73)</f>
        <v>2.8841577180396194</v>
      </c>
      <c r="T67" s="29">
        <f t="shared" ref="T67:V67" si="62">S67</f>
        <v>2.8841577180396194</v>
      </c>
      <c r="U67" s="29">
        <f t="shared" si="62"/>
        <v>2.8841577180396194</v>
      </c>
      <c r="V67" s="29">
        <f t="shared" si="62"/>
        <v>2.8841577180396194</v>
      </c>
      <c r="W67" s="41">
        <f>SUMIFS(武将进阶!F$13:F$18,武将进阶!$C$13:$C$18,"&lt;="&amp;T67)*H67+武将数量星级阶位验证!Q63</f>
        <v>108</v>
      </c>
      <c r="X67" s="41">
        <f>SUMIFS(武将进阶!G$13:G$18,武将进阶!$C$13:$C$18,"&lt;="&amp;U67)*I67+武将数量星级阶位验证!R63</f>
        <v>127.60989261647543</v>
      </c>
      <c r="Y67" s="41">
        <f>SUMIFS(武将进阶!H$13:H$18,武将进阶!$C$13:$C$18,"&lt;="&amp;V67)*J67+武将数量星级阶位验证!S63</f>
        <v>124.57419462356575</v>
      </c>
      <c r="Z67" s="41">
        <f>SUMIFS(武将进阶!I$13:I$18,武将进阶!$C$13:$C$18,"&lt;="&amp;W67)*K67+武将数量星级阶位验证!T63</f>
        <v>525</v>
      </c>
      <c r="AA67" s="29"/>
      <c r="AB67" s="29">
        <f>求节点(基础状态预期!$AT$17:$AT$55,基础状态预期!AW$17:AW$55,各r阵容卡情况!$F67)</f>
        <v>2</v>
      </c>
      <c r="AC67" s="29">
        <f>求节点(基础状态预期!$AT$17:$AT$55,基础状态预期!AX$17:AX$55,各r阵容卡情况!$F67)</f>
        <v>2</v>
      </c>
      <c r="AD67" s="29">
        <f>求节点(基础状态预期!$AT$17:$AT$55,基础状态预期!AY$17:AY$55,各r阵容卡情况!$F67)</f>
        <v>2</v>
      </c>
      <c r="AE67" s="41">
        <f>IF(AA67&lt;1,0,(AA67-1)*武将觉醒!E$34*G67)+武将数量星级阶位验证!V63</f>
        <v>0</v>
      </c>
      <c r="AF67" s="41">
        <f>IF(AB67&lt;1,0,(AB67-1)*武将觉醒!F$34*H67)+武将数量星级阶位验证!W63</f>
        <v>60</v>
      </c>
      <c r="AG67" s="41">
        <f>IF(AC67&lt;1,0,(AC67-1)*武将觉醒!G$34*I67)+武将数量星级阶位验证!X63</f>
        <v>28</v>
      </c>
      <c r="AH67" s="41">
        <f>IF(AD67&lt;1,0,(AD67-1)*武将觉醒!H$34*J67)+武将数量星级阶位验证!Y63</f>
        <v>0</v>
      </c>
      <c r="AJ67" s="29">
        <f>MAX(W67+AE67+G67*(K67+1)+IF(武将数量星级阶位验证!L63="",0,武将数量星级阶位验证!L63)*武将升星!P60,O67)</f>
        <v>108</v>
      </c>
      <c r="AK67" s="29">
        <f>MAX(X67+AF67+H67*(L67+1)+IF(武将数量星级阶位验证!M63="",0,武将数量星级阶位验证!M63)*武将升星!Q60,P67)</f>
        <v>271.60989261647546</v>
      </c>
      <c r="AL67" s="64">
        <f>MAX(Y67+AG67+I67*(M67+1)+IF(武将数量星级阶位验证!N63="",0,武将数量星级阶位验证!N63)*武将升星!R60,Q67)</f>
        <v>227.35503966303935</v>
      </c>
      <c r="AM67" s="41">
        <f t="shared" si="48"/>
        <v>28.914479121404856</v>
      </c>
      <c r="AO67" s="17">
        <f>武将数量星级阶位验证!BJ63</f>
        <v>2046.187965565035</v>
      </c>
      <c r="AP67" s="17">
        <f>武将数量星级阶位验证!BK63</f>
        <v>660.44569028358455</v>
      </c>
      <c r="AQ67" s="63">
        <f>武将数量星级阶位验证!BL63</f>
        <v>121.31818899050208</v>
      </c>
      <c r="AR67" s="17">
        <f>武将数量星级阶位验证!BM63</f>
        <v>28.914479121404856</v>
      </c>
      <c r="AT67" s="17">
        <f t="shared" si="40"/>
        <v>127.5</v>
      </c>
      <c r="AU67" s="17">
        <f t="shared" si="41"/>
        <v>72.103942950990486</v>
      </c>
      <c r="BA67" s="17">
        <f>基础状态预期!J73</f>
        <v>5</v>
      </c>
      <c r="BB67" s="62">
        <f t="shared" si="49"/>
        <v>5</v>
      </c>
      <c r="BD67" s="17">
        <v>0</v>
      </c>
      <c r="BE67" s="17">
        <v>12</v>
      </c>
      <c r="BF67" s="17">
        <v>12</v>
      </c>
      <c r="BG67" s="17">
        <v>0</v>
      </c>
      <c r="BH67" s="62">
        <f t="shared" si="50"/>
        <v>24</v>
      </c>
      <c r="BJ67" s="17">
        <f t="shared" si="51"/>
        <v>0</v>
      </c>
      <c r="BK67" s="17">
        <f t="shared" si="42"/>
        <v>12</v>
      </c>
      <c r="BL67" s="17">
        <f t="shared" si="43"/>
        <v>12</v>
      </c>
      <c r="BM67" s="17">
        <f t="shared" si="44"/>
        <v>5</v>
      </c>
      <c r="BN67" s="62">
        <f t="shared" si="52"/>
        <v>29</v>
      </c>
      <c r="BR67" s="17">
        <f>武将升星!P60*基础状态预期!G73+G67*(K67+1)+W67+AE67</f>
        <v>108</v>
      </c>
      <c r="BS67" s="17">
        <f>武将升星!Q60*基础状态预期!H73+H67*(L67+1)+X67+AF67</f>
        <v>271.60989261647546</v>
      </c>
      <c r="BT67" s="17">
        <f>武将升星!R60*基础状态预期!I73+I67*(M67+1)+Y67+AG67</f>
        <v>227.35503966303935</v>
      </c>
      <c r="BU67" s="17">
        <f>武将升星!S60*基础状态预期!J73+J67*(N67+1)+Z67+AH67</f>
        <v>553.91447912140484</v>
      </c>
    </row>
    <row r="68" spans="2:73" x14ac:dyDescent="0.15">
      <c r="B68" s="17">
        <v>16</v>
      </c>
      <c r="C68" s="17">
        <f t="shared" si="45"/>
        <v>24</v>
      </c>
      <c r="D68" s="17">
        <v>13</v>
      </c>
      <c r="E68" s="29">
        <f>基础状态预期!C74</f>
        <v>153</v>
      </c>
      <c r="F68" s="29">
        <f>基础状态预期!D74</f>
        <v>74.74003809013405</v>
      </c>
      <c r="G68" s="29">
        <f t="shared" si="46"/>
        <v>0</v>
      </c>
      <c r="H68" s="29">
        <f t="shared" si="36"/>
        <v>12</v>
      </c>
      <c r="I68" s="29">
        <f t="shared" si="37"/>
        <v>12</v>
      </c>
      <c r="J68" s="29">
        <f t="shared" si="38"/>
        <v>0</v>
      </c>
      <c r="K68" s="29">
        <f>武将战力价值情况!G64</f>
        <v>3</v>
      </c>
      <c r="L68" s="29">
        <f>武将战力价值情况!H64</f>
        <v>6</v>
      </c>
      <c r="M68" s="29">
        <f>武将战力价值情况!I64</f>
        <v>4.9104904129089437</v>
      </c>
      <c r="N68" s="29">
        <f>武将战力价值情况!J64</f>
        <v>4.2054119067758116</v>
      </c>
      <c r="O68" s="41">
        <f>MAX(同名需求(G68,求节点(武将升星!$C$104:$C$112,武将升星!E$104:E$112,K68),F$2),武将数量星级阶位验证!AA64)</f>
        <v>24</v>
      </c>
      <c r="P68" s="41">
        <f>MAX(同名需求(H68,求节点(武将升星!$C$104:$C$112,武将升星!F$104:F$112,L68),G$2),武将数量星级阶位验证!AB64)</f>
        <v>252</v>
      </c>
      <c r="Q68" s="41">
        <f>MAX(同名需求(I68,求节点(武将升星!$C$104:$C$112,武将升星!G$104:G$112,M68),H$2),武将数量星级阶位验证!AC64)</f>
        <v>148.41961651635773</v>
      </c>
      <c r="R68" s="41">
        <f>MAX(同名需求(J68,求节点(武将升星!$C$104:$C$112,武将升星!H$104:H$112,N68),I$2),武将数量星级阶位验证!AD64)</f>
        <v>37.964942881309739</v>
      </c>
      <c r="S68" s="29">
        <f>MAX(基础状态预期!P74:T74)</f>
        <v>2.9896015236053621</v>
      </c>
      <c r="T68" s="29">
        <f t="shared" ref="T68:V68" si="63">S68</f>
        <v>2.9896015236053621</v>
      </c>
      <c r="U68" s="29">
        <f t="shared" si="63"/>
        <v>2.9896015236053621</v>
      </c>
      <c r="V68" s="29">
        <f t="shared" si="63"/>
        <v>2.9896015236053621</v>
      </c>
      <c r="W68" s="41">
        <f>SUMIFS(武将进阶!F$13:F$18,武将进阶!$C$13:$C$18,"&lt;="&amp;T68)*H68+武将数量星级阶位验证!Q64</f>
        <v>108</v>
      </c>
      <c r="X68" s="41">
        <f>SUMIFS(武将进阶!G$13:G$18,武将进阶!$C$13:$C$18,"&lt;="&amp;U68)*I68+武将数量星级阶位验证!R64</f>
        <v>118.43760914163218</v>
      </c>
      <c r="Y68" s="41">
        <f>SUMIFS(武将进阶!H$13:H$18,武将进阶!$C$13:$C$18,"&lt;="&amp;V68)*J68+武将数量星级阶位验证!S64</f>
        <v>147.47055083693084</v>
      </c>
      <c r="Z68" s="41">
        <f>SUMIFS(武将进阶!I$13:I$18,武将进阶!$C$13:$C$18,"&lt;="&amp;W68)*K68+武将数量星级阶位验证!T64</f>
        <v>525</v>
      </c>
      <c r="AA68" s="29"/>
      <c r="AB68" s="29">
        <f>求节点(基础状态预期!$AT$17:$AT$55,基础状态预期!AW$17:AW$55,各r阵容卡情况!$F68)</f>
        <v>2</v>
      </c>
      <c r="AC68" s="29">
        <f>求节点(基础状态预期!$AT$17:$AT$55,基础状态预期!AX$17:AX$55,各r阵容卡情况!$F68)</f>
        <v>2</v>
      </c>
      <c r="AD68" s="29">
        <f>求节点(基础状态预期!$AT$17:$AT$55,基础状态预期!AY$17:AY$55,各r阵容卡情况!$F68)</f>
        <v>2</v>
      </c>
      <c r="AE68" s="41">
        <f>IF(AA68&lt;1,0,(AA68-1)*武将觉醒!E$34*G68)+武将数量星级阶位验证!V64</f>
        <v>0</v>
      </c>
      <c r="AF68" s="41">
        <f>IF(AB68&lt;1,0,(AB68-1)*武将觉醒!F$34*H68)+武将数量星级阶位验证!W64</f>
        <v>60</v>
      </c>
      <c r="AG68" s="41">
        <f>IF(AC68&lt;1,0,(AC68-1)*武将觉醒!G$34*I68)+武将数量星级阶位验证!X64</f>
        <v>29</v>
      </c>
      <c r="AH68" s="41">
        <f>IF(AD68&lt;1,0,(AD68-1)*武将觉醒!H$34*J68)+武将数量星级阶位验证!Y64</f>
        <v>0</v>
      </c>
      <c r="AJ68" s="29">
        <f>MAX(W68+AE68+G68*(K68+1)+IF(武将数量星级阶位验证!L64="",0,武将数量星级阶位验证!L64)*武将升星!P61,O68)</f>
        <v>108</v>
      </c>
      <c r="AK68" s="29">
        <f>MAX(X68+AF68+H68*(L68+1)+IF(武将数量星级阶位验证!M64="",0,武将数量星级阶位验证!M64)*武将升星!Q61,P68)</f>
        <v>262.43760914163215</v>
      </c>
      <c r="AL68" s="64">
        <f>MAX(Y68+AG68+I68*(M68+1)+IF(武将数量星级阶位验证!N64="",0,武将数量星级阶位验证!N64)*武将升星!R61,Q68)</f>
        <v>251.30692620474713</v>
      </c>
      <c r="AM68" s="41">
        <f t="shared" si="48"/>
        <v>37.964942881309739</v>
      </c>
      <c r="AO68" s="17">
        <f>武将数量星级阶位验证!BJ64</f>
        <v>2369.6317363106427</v>
      </c>
      <c r="AP68" s="17">
        <f>武将数量星级阶位验证!BK64</f>
        <v>759.12475555148046</v>
      </c>
      <c r="AQ68" s="63">
        <f>武将数量星级阶位验证!BL64</f>
        <v>135.48254878068647</v>
      </c>
      <c r="AR68" s="17">
        <f>武将数量星级阶位验证!BM64</f>
        <v>35.259530974533924</v>
      </c>
      <c r="AT68" s="17">
        <f t="shared" si="40"/>
        <v>153</v>
      </c>
      <c r="AU68" s="17">
        <f t="shared" si="41"/>
        <v>74.74003809013405</v>
      </c>
      <c r="BA68" s="17">
        <f>基础状态预期!J74</f>
        <v>5.5</v>
      </c>
      <c r="BB68" s="62">
        <f t="shared" si="49"/>
        <v>5.5</v>
      </c>
      <c r="BD68" s="17">
        <v>0</v>
      </c>
      <c r="BE68" s="17">
        <v>12</v>
      </c>
      <c r="BF68" s="17">
        <v>12</v>
      </c>
      <c r="BG68" s="17">
        <v>0</v>
      </c>
      <c r="BH68" s="62">
        <f t="shared" si="50"/>
        <v>24</v>
      </c>
      <c r="BJ68" s="17">
        <f t="shared" si="51"/>
        <v>0</v>
      </c>
      <c r="BK68" s="17">
        <f t="shared" si="42"/>
        <v>12</v>
      </c>
      <c r="BL68" s="17">
        <f t="shared" si="43"/>
        <v>12</v>
      </c>
      <c r="BM68" s="17">
        <f t="shared" si="44"/>
        <v>5.5</v>
      </c>
      <c r="BN68" s="62">
        <f t="shared" si="52"/>
        <v>29.5</v>
      </c>
      <c r="BR68" s="17">
        <f>武将升星!P61*基础状态预期!G74+G68*(K68+1)+W68+AE68</f>
        <v>108</v>
      </c>
      <c r="BS68" s="17">
        <f>武将升星!Q61*基础状态预期!H74+H68*(L68+1)+X68+AF68</f>
        <v>262.43760914163215</v>
      </c>
      <c r="BT68" s="17">
        <f>武将升星!R61*基础状态预期!I74+I68*(M68+1)+Y68+AG68</f>
        <v>251.30692620474713</v>
      </c>
      <c r="BU68" s="17">
        <f>武将升星!S61*基础状态预期!J74+J68*(N68+1)+Z68+AH68</f>
        <v>560.25953097453396</v>
      </c>
    </row>
    <row r="69" spans="2:73" x14ac:dyDescent="0.15">
      <c r="B69" s="17">
        <v>17</v>
      </c>
      <c r="C69" s="17">
        <f t="shared" si="45"/>
        <v>24</v>
      </c>
      <c r="D69" s="17">
        <v>14</v>
      </c>
      <c r="E69" s="29">
        <f>基础状态预期!C75</f>
        <v>187</v>
      </c>
      <c r="F69" s="29">
        <f>基础状态预期!D75</f>
        <v>77.609642525433856</v>
      </c>
      <c r="G69" s="29">
        <f t="shared" si="46"/>
        <v>0</v>
      </c>
      <c r="H69" s="29">
        <f t="shared" si="36"/>
        <v>10</v>
      </c>
      <c r="I69" s="29">
        <f t="shared" si="37"/>
        <v>14</v>
      </c>
      <c r="J69" s="29">
        <f t="shared" si="38"/>
        <v>0</v>
      </c>
      <c r="K69" s="29">
        <f>武将战力价值情况!G65</f>
        <v>3</v>
      </c>
      <c r="L69" s="29">
        <f>武将战力价值情况!H65</f>
        <v>6</v>
      </c>
      <c r="M69" s="29">
        <f>武将战力价值情况!I65</f>
        <v>5.1909986278846807</v>
      </c>
      <c r="N69" s="29">
        <f>武将战力价值情况!J65</f>
        <v>4.6383162072222213</v>
      </c>
      <c r="O69" s="41">
        <f>MAX(同名需求(G69,求节点(武将升星!$C$104:$C$112,武将升星!E$104:E$112,K69),F$2),武将数量星级阶位验证!AA65)</f>
        <v>24</v>
      </c>
      <c r="P69" s="41">
        <f>MAX(同名需求(H69,求节点(武将升星!$C$104:$C$112,武将升星!F$104:F$112,L69),G$2),武将数量星级阶位验证!AB65)</f>
        <v>130</v>
      </c>
      <c r="Q69" s="41">
        <f>MAX(同名需求(I69,求节点(武将升星!$C$104:$C$112,武将升星!G$104:G$112,M69),H$2),武将数量星级阶位验证!AC65)</f>
        <v>165.45991767308084</v>
      </c>
      <c r="R69" s="41">
        <f>MAX(同名需求(J69,求节点(武将升星!$C$104:$C$112,武将升星!H$104:H$112,N69),I$2),武将数量星级阶位验证!AD65)</f>
        <v>43.659794486666655</v>
      </c>
      <c r="S69" s="29">
        <f>MAX(基础状态预期!P75:T75)</f>
        <v>3.1043857010173541</v>
      </c>
      <c r="T69" s="29">
        <f t="shared" ref="T69:V69" si="64">S69</f>
        <v>3.1043857010173541</v>
      </c>
      <c r="U69" s="29">
        <f t="shared" si="64"/>
        <v>3.1043857010173541</v>
      </c>
      <c r="V69" s="29">
        <f t="shared" si="64"/>
        <v>3.1043857010173541</v>
      </c>
      <c r="W69" s="41">
        <f>SUMIFS(武将进阶!F$13:F$18,武将进阶!$C$13:$C$18,"&lt;="&amp;T69)*H69+武将数量星级阶位验证!Q65</f>
        <v>210</v>
      </c>
      <c r="X69" s="41">
        <f>SUMIFS(武将进阶!G$13:G$18,武将进阶!$C$13:$C$18,"&lt;="&amp;U69)*I69+武将数量星级阶位验证!R65</f>
        <v>294</v>
      </c>
      <c r="Y69" s="41">
        <f>SUMIFS(武将进阶!H$13:H$18,武将进阶!$C$13:$C$18,"&lt;="&amp;V69)*J69+武将数量星级阶位验证!S65</f>
        <v>180.78942618312374</v>
      </c>
      <c r="Z69" s="41">
        <f>SUMIFS(武将进阶!I$13:I$18,武将进阶!$C$13:$C$18,"&lt;="&amp;W69)*K69+武将数量星级阶位验证!T65</f>
        <v>525</v>
      </c>
      <c r="AA69" s="29"/>
      <c r="AB69" s="29">
        <f>求节点(基础状态预期!$AT$17:$AT$55,基础状态预期!AW$17:AW$55,各r阵容卡情况!$F69)</f>
        <v>2</v>
      </c>
      <c r="AC69" s="29">
        <f>求节点(基础状态预期!$AT$17:$AT$55,基础状态预期!AX$17:AX$55,各r阵容卡情况!$F69)</f>
        <v>2</v>
      </c>
      <c r="AD69" s="29">
        <f>求节点(基础状态预期!$AT$17:$AT$55,基础状态预期!AY$17:AY$55,各r阵容卡情况!$F69)</f>
        <v>2</v>
      </c>
      <c r="AE69" s="41">
        <f>IF(AA69&lt;1,0,(AA69-1)*武将觉醒!E$34*G69)+武将数量星级阶位验证!V65</f>
        <v>0</v>
      </c>
      <c r="AF69" s="41">
        <f>IF(AB69&lt;1,0,(AB69-1)*武将觉醒!F$34*H69)+武将数量星级阶位验证!W65</f>
        <v>50</v>
      </c>
      <c r="AG69" s="41">
        <f>IF(AC69&lt;1,0,(AC69-1)*武将觉醒!G$34*I69)+武将数量星级阶位验证!X65</f>
        <v>14</v>
      </c>
      <c r="AH69" s="41">
        <f>IF(AD69&lt;1,0,(AD69-1)*武将觉醒!H$34*J69)+武将数量星级阶位验证!Y65</f>
        <v>0</v>
      </c>
      <c r="AJ69" s="29">
        <f>MAX(W69+AE69+G69*(K69+1)+IF(武将数量星级阶位验证!L65="",0,武将数量星级阶位验证!L65)*武将升星!P62,O69)</f>
        <v>210</v>
      </c>
      <c r="AK69" s="29">
        <f>MAX(X69+AF69+H69*(L69+1)+IF(武将数量星级阶位验证!M65="",0,武将数量星级阶位验证!M65)*武将升星!Q62,P69)</f>
        <v>414</v>
      </c>
      <c r="AL69" s="64">
        <f>MAX(Y69+AG69+I69*(M69+1)+IF(武将数量星级阶位验证!N65="",0,武将数量星级阶位验证!N65)*武将升星!R62,Q69)</f>
        <v>281.46340697350928</v>
      </c>
      <c r="AM69" s="41">
        <f t="shared" si="48"/>
        <v>43.659794486666655</v>
      </c>
      <c r="AO69" s="17">
        <f>武将数量星级阶位验证!BJ65</f>
        <v>2799.8363791434576</v>
      </c>
      <c r="AP69" s="17">
        <f>武将数量星级阶位验证!BK65</f>
        <v>890.12726519083981</v>
      </c>
      <c r="AQ69" s="63">
        <f>武将数量星级阶位验证!BL65</f>
        <v>154.28292522659035</v>
      </c>
      <c r="AR69" s="17">
        <f>武将数量星级阶位验证!BM65</f>
        <v>43.659794486666655</v>
      </c>
      <c r="AT69" s="17">
        <f t="shared" si="40"/>
        <v>187</v>
      </c>
      <c r="AU69" s="17">
        <f t="shared" si="41"/>
        <v>77.609642525433856</v>
      </c>
      <c r="BA69" s="17">
        <f>基础状态预期!J75</f>
        <v>6</v>
      </c>
      <c r="BB69" s="62">
        <f t="shared" si="49"/>
        <v>6</v>
      </c>
      <c r="BD69" s="17">
        <v>0</v>
      </c>
      <c r="BE69" s="17">
        <v>10</v>
      </c>
      <c r="BF69" s="17">
        <v>14</v>
      </c>
      <c r="BG69" s="17">
        <v>0</v>
      </c>
      <c r="BH69" s="62">
        <f t="shared" si="50"/>
        <v>24</v>
      </c>
      <c r="BJ69" s="17">
        <f t="shared" si="51"/>
        <v>0</v>
      </c>
      <c r="BK69" s="17">
        <f t="shared" si="42"/>
        <v>10</v>
      </c>
      <c r="BL69" s="17">
        <f t="shared" si="43"/>
        <v>14</v>
      </c>
      <c r="BM69" s="17">
        <f t="shared" si="44"/>
        <v>6</v>
      </c>
      <c r="BN69" s="62">
        <f t="shared" si="52"/>
        <v>30</v>
      </c>
      <c r="BR69" s="17">
        <f>武将升星!P62*基础状态预期!G75+G69*(K69+1)+W69+AE69</f>
        <v>210</v>
      </c>
      <c r="BS69" s="17">
        <f>武将升星!Q62*基础状态预期!H75+H69*(L69+1)+X69+AF69</f>
        <v>414</v>
      </c>
      <c r="BT69" s="17">
        <f>武将升星!R62*基础状态预期!I75+I69*(M69+1)+Y69+AG69</f>
        <v>281.46340697350928</v>
      </c>
      <c r="BU69" s="17">
        <f>武将升星!S62*基础状态预期!J75+J69*(N69+1)+Z69+AH69</f>
        <v>568.65979448666667</v>
      </c>
    </row>
    <row r="70" spans="2:73" x14ac:dyDescent="0.15">
      <c r="B70" s="17">
        <v>18</v>
      </c>
      <c r="C70" s="17">
        <f t="shared" si="45"/>
        <v>24</v>
      </c>
      <c r="D70" s="17">
        <v>15</v>
      </c>
      <c r="E70" s="29">
        <f>基础状态预期!C76</f>
        <v>221</v>
      </c>
      <c r="F70" s="29">
        <f>基础状态预期!D76</f>
        <v>79.994335665275713</v>
      </c>
      <c r="G70" s="29">
        <f t="shared" si="46"/>
        <v>0</v>
      </c>
      <c r="H70" s="29">
        <f t="shared" si="36"/>
        <v>8</v>
      </c>
      <c r="I70" s="29">
        <f t="shared" si="37"/>
        <v>16</v>
      </c>
      <c r="J70" s="29">
        <f t="shared" si="38"/>
        <v>0</v>
      </c>
      <c r="K70" s="29">
        <f>武将战力价值情况!G66</f>
        <v>3</v>
      </c>
      <c r="L70" s="29">
        <f>武将战力价值情况!H66</f>
        <v>6</v>
      </c>
      <c r="M70" s="29">
        <f>武将战力价值情况!I66</f>
        <v>5.4211440942051654</v>
      </c>
      <c r="N70" s="29">
        <f>武将战力价值情况!J66</f>
        <v>5.1656906371384483</v>
      </c>
      <c r="O70" s="41">
        <f>MAX(同名需求(G70,求节点(武将升星!$C$104:$C$112,武将升星!E$104:E$112,K70),F$2),武将数量星级阶位验证!AA66)</f>
        <v>24</v>
      </c>
      <c r="P70" s="41">
        <f>MAX(同名需求(H70,求节点(武将升星!$C$104:$C$112,武将升星!F$104:F$112,L70),G$2),武将数量星级阶位验证!AB66)</f>
        <v>128</v>
      </c>
      <c r="Q70" s="41">
        <f>MAX(同名需求(I70,求节点(武将升星!$C$104:$C$112,武将升星!G$104:G$112,M70),H$2),武将数量星级阶位验证!AC66)</f>
        <v>181.26864565230994</v>
      </c>
      <c r="R70" s="41">
        <f>MAX(同名需求(J70,求节点(武将升星!$C$104:$C$112,武将升星!H$104:H$112,N70),I$2),武将数量星级阶位验证!AD66)</f>
        <v>50.982431468492074</v>
      </c>
      <c r="S70" s="29">
        <f>MAX(基础状态预期!P76:T76)</f>
        <v>3.1997734266110287</v>
      </c>
      <c r="T70" s="29">
        <f t="shared" ref="T70:V70" si="65">S70</f>
        <v>3.1997734266110287</v>
      </c>
      <c r="U70" s="29">
        <f t="shared" si="65"/>
        <v>3.1997734266110287</v>
      </c>
      <c r="V70" s="29">
        <f t="shared" si="65"/>
        <v>3.1997734266110287</v>
      </c>
      <c r="W70" s="41">
        <f>SUMIFS(武将进阶!F$13:F$18,武将进阶!$C$13:$C$18,"&lt;="&amp;T70)*H70+武将数量星级阶位验证!Q66</f>
        <v>168</v>
      </c>
      <c r="X70" s="41">
        <f>SUMIFS(武将进阶!G$13:G$18,武将进阶!$C$13:$C$18,"&lt;="&amp;U70)*I70+武将数量星级阶位验证!R66</f>
        <v>336</v>
      </c>
      <c r="Y70" s="41">
        <f>SUMIFS(武将进阶!H$13:H$18,武将进阶!$C$13:$C$18,"&lt;="&amp;V70)*J70+武将数量星级阶位验证!S66</f>
        <v>197.95921678998519</v>
      </c>
      <c r="Z70" s="41">
        <f>SUMIFS(武将进阶!I$13:I$18,武将进阶!$C$13:$C$18,"&lt;="&amp;W70)*K70+武将数量星级阶位验证!T66</f>
        <v>525</v>
      </c>
      <c r="AA70" s="29"/>
      <c r="AB70" s="29">
        <f>求节点(基础状态预期!$AT$17:$AT$55,基础状态预期!AW$17:AW$55,各r阵容卡情况!$F70)</f>
        <v>2</v>
      </c>
      <c r="AC70" s="29">
        <f>求节点(基础状态预期!$AT$17:$AT$55,基础状态预期!AX$17:AX$55,各r阵容卡情况!$F70)</f>
        <v>2</v>
      </c>
      <c r="AD70" s="29">
        <f>求节点(基础状态预期!$AT$17:$AT$55,基础状态预期!AY$17:AY$55,各r阵容卡情况!$F70)</f>
        <v>2</v>
      </c>
      <c r="AE70" s="41">
        <f>IF(AA70&lt;1,0,(AA70-1)*武将觉醒!E$34*G70)+武将数量星级阶位验证!V66</f>
        <v>0</v>
      </c>
      <c r="AF70" s="41">
        <f>IF(AB70&lt;1,0,(AB70-1)*武将觉醒!F$34*H70)+武将数量星级阶位验证!W66</f>
        <v>40</v>
      </c>
      <c r="AG70" s="41">
        <f>IF(AC70&lt;1,0,(AC70-1)*武将觉醒!G$34*I70)+武将数量星级阶位验证!X66</f>
        <v>16</v>
      </c>
      <c r="AH70" s="41">
        <f>IF(AD70&lt;1,0,(AD70-1)*武将觉醒!H$34*J70)+武将数量星级阶位验证!Y66</f>
        <v>0</v>
      </c>
      <c r="AJ70" s="29">
        <f>MAX(W70+AE70+G70*(K70+1)+IF(武将数量星级阶位验证!L66="",0,武将数量星级阶位验证!L66)*武将升星!P63,O70)</f>
        <v>168</v>
      </c>
      <c r="AK70" s="29">
        <f>MAX(X70+AF70+H70*(L70+1)+IF(武将数量星级阶位验证!M66="",0,武将数量星级阶位验证!M66)*武将升星!Q63,P70)</f>
        <v>432</v>
      </c>
      <c r="AL70" s="64">
        <f>MAX(Y70+AG70+I70*(M70+1)+IF(武将数量星级阶位验证!N66="",0,武将数量星级阶位验证!N66)*武将升星!R63,Q70)</f>
        <v>316.69752229726782</v>
      </c>
      <c r="AM70" s="41">
        <f t="shared" si="48"/>
        <v>50.982431468492074</v>
      </c>
      <c r="AO70" s="17">
        <f>武将数量星级阶位验证!BJ66</f>
        <v>3211.0542688232385</v>
      </c>
      <c r="AP70" s="17">
        <f>武将数量星级阶位验证!BK66</f>
        <v>1010.8666650177486</v>
      </c>
      <c r="AQ70" s="63">
        <f>武将数量星级阶位验证!BL66</f>
        <v>171.54383520062669</v>
      </c>
      <c r="AR70" s="17">
        <f>武将数量星级阶位验证!BM66</f>
        <v>50.982431468492074</v>
      </c>
      <c r="AT70" s="17">
        <f t="shared" si="40"/>
        <v>221</v>
      </c>
      <c r="AU70" s="17">
        <f t="shared" si="41"/>
        <v>79.994335665275713</v>
      </c>
      <c r="BA70" s="17">
        <f>基础状态预期!J76</f>
        <v>6</v>
      </c>
      <c r="BB70" s="62">
        <f t="shared" si="49"/>
        <v>6</v>
      </c>
      <c r="BD70" s="17">
        <v>0</v>
      </c>
      <c r="BE70" s="17">
        <v>8</v>
      </c>
      <c r="BF70" s="17">
        <v>16</v>
      </c>
      <c r="BG70" s="17">
        <v>0</v>
      </c>
      <c r="BH70" s="62">
        <f t="shared" si="50"/>
        <v>24</v>
      </c>
      <c r="BJ70" s="17">
        <f t="shared" si="51"/>
        <v>0</v>
      </c>
      <c r="BK70" s="17">
        <f t="shared" si="42"/>
        <v>8</v>
      </c>
      <c r="BL70" s="17">
        <f t="shared" si="43"/>
        <v>16</v>
      </c>
      <c r="BM70" s="17">
        <f t="shared" si="44"/>
        <v>6</v>
      </c>
      <c r="BN70" s="62">
        <f t="shared" si="52"/>
        <v>30</v>
      </c>
      <c r="BR70" s="17">
        <f>武将升星!P63*基础状态预期!G76+G70*(K70+1)+W70+AE70</f>
        <v>168</v>
      </c>
      <c r="BS70" s="17">
        <f>武将升星!Q63*基础状态预期!H76+H70*(L70+1)+X70+AF70</f>
        <v>432</v>
      </c>
      <c r="BT70" s="17">
        <f>武将升星!R63*基础状态预期!I76+I70*(M70+1)+Y70+AG70</f>
        <v>316.69752229726782</v>
      </c>
      <c r="BU70" s="17">
        <f>武将升星!S63*基础状态预期!J76+J70*(N70+1)+Z70+AH70</f>
        <v>575.98243146849211</v>
      </c>
    </row>
    <row r="71" spans="2:73" x14ac:dyDescent="0.15">
      <c r="B71" s="17">
        <v>19</v>
      </c>
      <c r="C71" s="17">
        <f t="shared" si="45"/>
        <v>24</v>
      </c>
      <c r="D71" s="17">
        <v>16</v>
      </c>
      <c r="E71" s="29">
        <f>基础状态预期!C77</f>
        <v>255</v>
      </c>
      <c r="F71" s="29">
        <f>基础状态预期!D77</f>
        <v>82.100546804797787</v>
      </c>
      <c r="G71" s="29">
        <f t="shared" si="46"/>
        <v>0</v>
      </c>
      <c r="H71" s="29">
        <f t="shared" si="36"/>
        <v>6</v>
      </c>
      <c r="I71" s="29">
        <f t="shared" si="37"/>
        <v>18</v>
      </c>
      <c r="J71" s="29">
        <f t="shared" si="38"/>
        <v>0</v>
      </c>
      <c r="K71" s="29">
        <f>武将战力价值情况!G67</f>
        <v>3</v>
      </c>
      <c r="L71" s="29">
        <f>武将战力价值情况!H67</f>
        <v>6</v>
      </c>
      <c r="M71" s="29">
        <f>武将战力价值情况!I67</f>
        <v>5.6538503120803894</v>
      </c>
      <c r="N71" s="29">
        <f>武将战力价值情况!J67</f>
        <v>5.5799726614967424</v>
      </c>
      <c r="O71" s="41">
        <f>MAX(同名需求(G71,求节点(武将升星!$C$104:$C$112,武将升星!E$104:E$112,K71),F$2),武将数量星级阶位验证!AA67)</f>
        <v>24</v>
      </c>
      <c r="P71" s="41">
        <f>MAX(同名需求(H71,求节点(武将升星!$C$104:$C$112,武将升星!F$104:F$112,L71),G$2),武将数量星级阶位验证!AB67)</f>
        <v>126</v>
      </c>
      <c r="Q71" s="41">
        <f>MAX(同名需求(I71,求节点(武将升星!$C$104:$C$112,武将升星!G$104:G$112,M71),H$2),武将数量星级阶位验证!AC67)</f>
        <v>197.23101872482334</v>
      </c>
      <c r="R71" s="41">
        <f>MAX(同名需求(J71,求节点(武将升星!$C$104:$C$112,武将升星!H$104:H$112,N71),I$2),武将数量星级阶位验证!AD67)</f>
        <v>58.439507906941358</v>
      </c>
      <c r="S71" s="29">
        <f>MAX(基础状态预期!P77:T77)</f>
        <v>3.2840218721919117</v>
      </c>
      <c r="T71" s="29">
        <f t="shared" ref="T71:V71" si="66">S71</f>
        <v>3.2840218721919117</v>
      </c>
      <c r="U71" s="29">
        <f t="shared" si="66"/>
        <v>3.2840218721919117</v>
      </c>
      <c r="V71" s="29">
        <f t="shared" si="66"/>
        <v>3.2840218721919117</v>
      </c>
      <c r="W71" s="41">
        <f>SUMIFS(武将进阶!F$13:F$18,武将进阶!$C$13:$C$18,"&lt;="&amp;T71)*H71+武将数量星级阶位验证!Q67</f>
        <v>126</v>
      </c>
      <c r="X71" s="41">
        <f>SUMIFS(武将进阶!G$13:G$18,武将进阶!$C$13:$C$18,"&lt;="&amp;U71)*I71+武将数量星级阶位验证!R67</f>
        <v>378</v>
      </c>
      <c r="Y71" s="41">
        <f>SUMIFS(武将进阶!H$13:H$18,武将进阶!$C$13:$C$18,"&lt;="&amp;V71)*J71+武将数量星级阶位验证!S67</f>
        <v>213.12393699454412</v>
      </c>
      <c r="Z71" s="41">
        <f>SUMIFS(武将进阶!I$13:I$18,武将进阶!$C$13:$C$18,"&lt;="&amp;W71)*K71+武将数量星级阶位验证!T67</f>
        <v>525</v>
      </c>
      <c r="AA71" s="29"/>
      <c r="AB71" s="29">
        <f>求节点(基础状态预期!$AT$17:$AT$55,基础状态预期!AW$17:AW$55,各r阵容卡情况!$F71)</f>
        <v>2</v>
      </c>
      <c r="AC71" s="29">
        <f>求节点(基础状态预期!$AT$17:$AT$55,基础状态预期!AX$17:AX$55,各r阵容卡情况!$F71)</f>
        <v>2</v>
      </c>
      <c r="AD71" s="29">
        <f>求节点(基础状态预期!$AT$17:$AT$55,基础状态预期!AY$17:AY$55,各r阵容卡情况!$F71)</f>
        <v>2</v>
      </c>
      <c r="AE71" s="41">
        <f>IF(AA71&lt;1,0,(AA71-1)*武将觉醒!E$34*G71)+武将数量星级阶位验证!V67</f>
        <v>0</v>
      </c>
      <c r="AF71" s="41">
        <f>IF(AB71&lt;1,0,(AB71-1)*武将觉醒!F$34*H71)+武将数量星级阶位验证!W67</f>
        <v>30</v>
      </c>
      <c r="AG71" s="41">
        <f>IF(AC71&lt;1,0,(AC71-1)*武将觉醒!G$34*I71)+武将数量星级阶位验证!X67</f>
        <v>18</v>
      </c>
      <c r="AH71" s="41">
        <f>IF(AD71&lt;1,0,(AD71-1)*武将觉醒!H$34*J71)+武将数量星级阶位验证!Y67</f>
        <v>0</v>
      </c>
      <c r="AJ71" s="29">
        <f>MAX(W71+AE71+G71*(K71+1)+IF(武将数量星级阶位验证!L67="",0,武将数量星级阶位验证!L67)*武将升星!P64,O71)</f>
        <v>126</v>
      </c>
      <c r="AK71" s="29">
        <f>MAX(X71+AF71+H71*(L71+1)+IF(武将数量星级阶位验证!M67="",0,武将数量星级阶位验证!M67)*武将升星!Q64,P71)</f>
        <v>450</v>
      </c>
      <c r="AL71" s="64">
        <f>MAX(Y71+AG71+I71*(M71+1)+IF(武将数量星级阶位验证!N67="",0,武将数量星级阶位验证!N67)*武将升星!R64,Q71)</f>
        <v>350.89324261199113</v>
      </c>
      <c r="AM71" s="41">
        <f t="shared" si="48"/>
        <v>58.439507906941358</v>
      </c>
      <c r="AO71" s="17">
        <f>武将数量星级阶位验证!BJ67</f>
        <v>3624.6408536911545</v>
      </c>
      <c r="AP71" s="17">
        <f>武将数量星级阶位验证!BK67</f>
        <v>1132.8864406220275</v>
      </c>
      <c r="AQ71" s="63">
        <f>武将数量星级阶位验证!BL67</f>
        <v>188.9968015412685</v>
      </c>
      <c r="AR71" s="17">
        <f>武将数量星级阶位验证!BM67</f>
        <v>58.439507906941358</v>
      </c>
      <c r="AT71" s="17">
        <f t="shared" si="40"/>
        <v>255</v>
      </c>
      <c r="AU71" s="17">
        <f t="shared" si="41"/>
        <v>82.100546804797787</v>
      </c>
      <c r="BA71" s="17">
        <f>基础状态预期!J77</f>
        <v>6</v>
      </c>
      <c r="BB71" s="62">
        <f t="shared" si="49"/>
        <v>6</v>
      </c>
      <c r="BD71" s="17">
        <v>0</v>
      </c>
      <c r="BE71" s="17">
        <v>6</v>
      </c>
      <c r="BF71" s="17">
        <v>18</v>
      </c>
      <c r="BG71" s="17">
        <v>0</v>
      </c>
      <c r="BH71" s="62">
        <f t="shared" si="50"/>
        <v>24</v>
      </c>
      <c r="BJ71" s="17">
        <f t="shared" si="51"/>
        <v>0</v>
      </c>
      <c r="BK71" s="17">
        <f t="shared" si="42"/>
        <v>6</v>
      </c>
      <c r="BL71" s="17">
        <f t="shared" si="43"/>
        <v>18</v>
      </c>
      <c r="BM71" s="17">
        <f t="shared" si="44"/>
        <v>6</v>
      </c>
      <c r="BN71" s="62">
        <f t="shared" si="52"/>
        <v>30</v>
      </c>
      <c r="BR71" s="17">
        <f>武将升星!P64*基础状态预期!G77+G71*(K71+1)+W71+AE71</f>
        <v>126</v>
      </c>
      <c r="BS71" s="17">
        <f>武将升星!Q64*基础状态预期!H77+H71*(L71+1)+X71+AF71</f>
        <v>450</v>
      </c>
      <c r="BT71" s="17">
        <f>武将升星!R64*基础状态预期!I77+I71*(M71+1)+Y71+AG71</f>
        <v>350.89324261199113</v>
      </c>
      <c r="BU71" s="17">
        <f>武将升星!S64*基础状态预期!J77+J71*(N71+1)+Z71+AH71</f>
        <v>583.43950790694134</v>
      </c>
    </row>
    <row r="72" spans="2:73" x14ac:dyDescent="0.15">
      <c r="B72" s="17">
        <v>20</v>
      </c>
      <c r="E72" s="29">
        <f>基础状态预期!C78</f>
        <v>289</v>
      </c>
      <c r="F72" s="29">
        <f>基础状态预期!D78</f>
        <v>83.885420957389968</v>
      </c>
      <c r="G72" s="29">
        <f t="shared" ref="G72:G94" si="67">BD72</f>
        <v>0</v>
      </c>
      <c r="H72" s="29">
        <f t="shared" ref="H72:H94" si="68">BE72</f>
        <v>4</v>
      </c>
      <c r="I72" s="29">
        <f t="shared" ref="I72:I94" si="69">BF72</f>
        <v>20</v>
      </c>
      <c r="J72" s="29">
        <f t="shared" ref="J72:J94" si="70">BG72</f>
        <v>0</v>
      </c>
      <c r="K72" s="29">
        <f>武将战力价值情况!G68</f>
        <v>3</v>
      </c>
      <c r="L72" s="29">
        <f>武将战力价值情况!H68</f>
        <v>6</v>
      </c>
      <c r="M72" s="29">
        <f>武将战力价值情况!I68</f>
        <v>5.8794170339783154</v>
      </c>
      <c r="N72" s="29">
        <f>武将战力价值情况!J68</f>
        <v>5.9734311559212472</v>
      </c>
      <c r="O72" s="41">
        <f>MAX(同名需求(G72,求节点(武将升星!$C$104:$C$112,武将升星!E$104:E$112,K72),F$2),武将数量星级阶位验证!AA68)</f>
        <v>24</v>
      </c>
      <c r="P72" s="41">
        <f>MAX(同名需求(H72,求节点(武将升星!$C$104:$C$112,武将升星!F$104:F$112,L72),G$2),武将数量星级阶位验证!AB68)</f>
        <v>124</v>
      </c>
      <c r="Q72" s="41">
        <f>MAX(同名需求(I72,求节点(武将升星!$C$104:$C$112,武将升星!G$104:G$112,M72),H$2),武将数量星级阶位验证!AC68)</f>
        <v>212.76502203869893</v>
      </c>
      <c r="R72" s="41">
        <f>MAX(同名需求(J72,求节点(武将升星!$C$104:$C$112,武将升星!H$104:H$112,N72),I$2),武将数量星级阶位验证!AD68)</f>
        <v>65.521760806582449</v>
      </c>
      <c r="S72" s="29">
        <f>MAX(基础状态预期!P78:T78)</f>
        <v>3.3554168382955987</v>
      </c>
      <c r="T72" s="29">
        <f t="shared" ref="T72:T94" si="71">S72</f>
        <v>3.3554168382955987</v>
      </c>
      <c r="U72" s="29">
        <f t="shared" ref="U72:U94" si="72">T72</f>
        <v>3.3554168382955987</v>
      </c>
      <c r="V72" s="29">
        <f t="shared" ref="V72:V94" si="73">U72</f>
        <v>3.3554168382955987</v>
      </c>
      <c r="W72" s="41">
        <f>SUMIFS(武将进阶!F$13:F$18,武将进阶!$C$13:$C$18,"&lt;="&amp;T72)*H72+武将数量星级阶位验证!Q68</f>
        <v>84</v>
      </c>
      <c r="X72" s="41">
        <f>SUMIFS(武将进阶!G$13:G$18,武将进阶!$C$13:$C$18,"&lt;="&amp;U72)*I72+武将数量星级阶位验证!R68</f>
        <v>420</v>
      </c>
      <c r="Y72" s="41">
        <f>SUMIFS(武将进阶!H$13:H$18,武将进阶!$C$13:$C$18,"&lt;="&amp;V72)*J72+武将数量星级阶位验证!S68</f>
        <v>225.97503089320779</v>
      </c>
      <c r="Z72" s="41">
        <f>SUMIFS(武将进阶!I$13:I$18,武将进阶!$C$13:$C$18,"&lt;="&amp;W72)*K72+武将数量星级阶位验证!T68</f>
        <v>525</v>
      </c>
      <c r="AA72" s="29"/>
      <c r="AB72" s="29">
        <f>求节点(基础状态预期!$AT$17:$AT$55,基础状态预期!AW$17:AW$55,各r阵容卡情况!$F72)</f>
        <v>2</v>
      </c>
      <c r="AC72" s="29">
        <f>求节点(基础状态预期!$AT$17:$AT$55,基础状态预期!AX$17:AX$55,各r阵容卡情况!$F72)</f>
        <v>2</v>
      </c>
      <c r="AD72" s="29">
        <f>求节点(基础状态预期!$AT$17:$AT$55,基础状态预期!AY$17:AY$55,各r阵容卡情况!$F72)</f>
        <v>2</v>
      </c>
      <c r="AE72" s="41">
        <f>IF(AA72&lt;1,0,(AA72-1)*武将觉醒!E$34*G72)+武将数量星级阶位验证!V68</f>
        <v>0</v>
      </c>
      <c r="AF72" s="41">
        <f>IF(AB72&lt;1,0,(AB72-1)*武将觉醒!F$34*H72)+武将数量星级阶位验证!W68</f>
        <v>20</v>
      </c>
      <c r="AG72" s="41">
        <f>IF(AC72&lt;1,0,(AC72-1)*武将觉醒!G$34*I72)+武将数量星级阶位验证!X68</f>
        <v>20</v>
      </c>
      <c r="AH72" s="41">
        <f>IF(AD72&lt;1,0,(AD72-1)*武将觉醒!H$34*J72)+武将数量星级阶位验证!Y68</f>
        <v>0</v>
      </c>
      <c r="AJ72" s="29">
        <f>MAX(W72+AE72+G72*(K72+1)+IF(武将数量星级阶位验证!L68="",0,武将数量星级阶位验证!L68)*武将升星!P65,O72)</f>
        <v>84</v>
      </c>
      <c r="AK72" s="29">
        <f>MAX(X72+AF72+H72*(L72+1)+IF(武将数量星级阶位验证!M68="",0,武将数量星级阶位验证!M68)*武将升星!Q65,P72)</f>
        <v>468</v>
      </c>
      <c r="AL72" s="64">
        <f>MAX(Y72+AG72+I72*(M72+1)+IF(武将数量星级阶位验证!N68="",0,武将数量星级阶位验证!N68)*武将升星!R65,Q72)</f>
        <v>383.56337157277409</v>
      </c>
      <c r="AM72" s="41">
        <f t="shared" ref="AM72:AM94" si="74">R72+AH72</f>
        <v>65.521760806582449</v>
      </c>
      <c r="AO72" s="17">
        <f>武将数量星级阶位验证!BJ68</f>
        <v>4031.623404780069</v>
      </c>
      <c r="AP72" s="17">
        <f>武将数量星级阶位验证!BK68</f>
        <v>1251.3364682376571</v>
      </c>
      <c r="AQ72" s="63">
        <f>武将数量星级阶位验证!BL68</f>
        <v>205.91430568361292</v>
      </c>
      <c r="AR72" s="17">
        <f>武将数量星级阶位验证!BM68</f>
        <v>65.521760806582449</v>
      </c>
      <c r="AT72" s="17">
        <f t="shared" ref="AT72:AT94" si="75">E72</f>
        <v>289</v>
      </c>
      <c r="AU72" s="17">
        <f t="shared" ref="AU72:AU94" si="76">F72</f>
        <v>83.885420957389968</v>
      </c>
      <c r="BA72" s="17">
        <f>基础状态预期!J78</f>
        <v>6</v>
      </c>
      <c r="BB72" s="62">
        <f t="shared" ref="BB72:BB93" si="77">SUM(AX72:BA72)</f>
        <v>6</v>
      </c>
      <c r="BD72" s="17">
        <v>0</v>
      </c>
      <c r="BE72" s="17">
        <v>4</v>
      </c>
      <c r="BF72" s="17">
        <v>20</v>
      </c>
      <c r="BG72" s="17">
        <v>0</v>
      </c>
      <c r="BH72" s="62">
        <f t="shared" ref="BH72:BH94" si="78">SUM(BD72:BG72)</f>
        <v>24</v>
      </c>
      <c r="BJ72" s="17">
        <f t="shared" ref="BJ72:BJ94" si="79">AX72+BD72</f>
        <v>0</v>
      </c>
      <c r="BK72" s="17">
        <f t="shared" ref="BK72:BK94" si="80">AY72+BE72</f>
        <v>4</v>
      </c>
      <c r="BL72" s="17">
        <f t="shared" ref="BL72:BL94" si="81">AZ72+BF72</f>
        <v>20</v>
      </c>
      <c r="BM72" s="17">
        <f t="shared" ref="BM72:BM94" si="82">BA72+BG72</f>
        <v>6</v>
      </c>
      <c r="BN72" s="62">
        <f t="shared" ref="BN72:BN94" si="83">SUM(BJ72:BM72)</f>
        <v>30</v>
      </c>
      <c r="BR72" s="17">
        <f>武将升星!P65*基础状态预期!G78+G72*(K72+1)+W72+AE72</f>
        <v>84</v>
      </c>
      <c r="BS72" s="17">
        <f>武将升星!Q65*基础状态预期!H78+H72*(L72+1)+X72+AF72</f>
        <v>468</v>
      </c>
      <c r="BT72" s="17">
        <f>武将升星!R65*基础状态预期!I78+I72*(M72+1)+Y72+AG72</f>
        <v>383.56337157277409</v>
      </c>
      <c r="BU72" s="17">
        <f>武将升星!S65*基础状态预期!J78+J72*(N72+1)+Z72+AH72</f>
        <v>590.52176080658251</v>
      </c>
    </row>
    <row r="73" spans="2:73" x14ac:dyDescent="0.15">
      <c r="B73" s="17">
        <v>21</v>
      </c>
      <c r="E73" s="29">
        <f>基础状态预期!C79</f>
        <v>340</v>
      </c>
      <c r="F73" s="29">
        <f>基础状态预期!D79</f>
        <v>86.247032860782397</v>
      </c>
      <c r="G73" s="29">
        <f t="shared" si="67"/>
        <v>0</v>
      </c>
      <c r="H73" s="29">
        <f t="shared" si="68"/>
        <v>2</v>
      </c>
      <c r="I73" s="29">
        <f t="shared" si="69"/>
        <v>22</v>
      </c>
      <c r="J73" s="29">
        <f t="shared" si="70"/>
        <v>0</v>
      </c>
      <c r="K73" s="29">
        <f>武将战力价值情况!G69</f>
        <v>3</v>
      </c>
      <c r="L73" s="29">
        <f>武将战力价值情况!H69</f>
        <v>6</v>
      </c>
      <c r="M73" s="29">
        <f>武将战力价值情况!I69</f>
        <v>6.2168271380208457</v>
      </c>
      <c r="N73" s="29">
        <f>武将战力价值情况!J69</f>
        <v>6.5608772927119601</v>
      </c>
      <c r="O73" s="41">
        <f>MAX(同名需求(G73,求节点(武将升星!$C$104:$C$112,武将升星!E$104:E$112,K73),F$2),武将数量星级阶位验证!AA69)</f>
        <v>24</v>
      </c>
      <c r="P73" s="41">
        <f>MAX(同名需求(H73,求节点(武将升星!$C$104:$C$112,武将升星!F$104:F$112,L73),G$2),武将数量星级阶位验证!AB69)</f>
        <v>122</v>
      </c>
      <c r="Q73" s="41">
        <f>MAX(同名需求(I73,求节点(武将升星!$C$104:$C$112,武将升星!G$104:G$112,M73),H$2),武将数量星级阶位验证!AC69)</f>
        <v>448.01925656250148</v>
      </c>
      <c r="R73" s="41">
        <f>MAX(同名需求(J73,求节点(武将升星!$C$104:$C$112,武将升星!H$104:H$112,N73),I$2),武将数量星级阶位验证!AD69)</f>
        <v>76.095791268815276</v>
      </c>
      <c r="S73" s="29">
        <f>MAX(基础状态预期!P79:T79)</f>
        <v>3.4498813144312961</v>
      </c>
      <c r="T73" s="29">
        <f t="shared" si="71"/>
        <v>3.4498813144312961</v>
      </c>
      <c r="U73" s="29">
        <f t="shared" si="72"/>
        <v>3.4498813144312961</v>
      </c>
      <c r="V73" s="29">
        <f t="shared" si="73"/>
        <v>3.4498813144312961</v>
      </c>
      <c r="W73" s="41">
        <f>SUMIFS(武将进阶!F$13:F$18,武将进阶!$C$13:$C$18,"&lt;="&amp;T73)*H73+武将数量星级阶位验证!Q69</f>
        <v>42</v>
      </c>
      <c r="X73" s="41">
        <f>SUMIFS(武将进阶!G$13:G$18,武将进阶!$C$13:$C$18,"&lt;="&amp;U73)*I73+武将数量星级阶位验证!R69</f>
        <v>462</v>
      </c>
      <c r="Y73" s="41">
        <f>SUMIFS(武将进阶!H$13:H$18,武将进阶!$C$13:$C$18,"&lt;="&amp;V73)*J73+武将数量星级阶位验证!S69</f>
        <v>242.97863659763331</v>
      </c>
      <c r="Z73" s="41">
        <f>SUMIFS(武将进阶!I$13:I$18,武将进阶!$C$13:$C$18,"&lt;="&amp;W73)*K73+武将数量星级阶位验证!T69</f>
        <v>525</v>
      </c>
      <c r="AA73" s="29"/>
      <c r="AB73" s="29">
        <f>求节点(基础状态预期!$AT$17:$AT$55,基础状态预期!AW$17:AW$55,各r阵容卡情况!$F73)</f>
        <v>2</v>
      </c>
      <c r="AC73" s="29">
        <f>求节点(基础状态预期!$AT$17:$AT$55,基础状态预期!AX$17:AX$55,各r阵容卡情况!$F73)</f>
        <v>2</v>
      </c>
      <c r="AD73" s="29">
        <f>求节点(基础状态预期!$AT$17:$AT$55,基础状态预期!AY$17:AY$55,各r阵容卡情况!$F73)</f>
        <v>2</v>
      </c>
      <c r="AE73" s="41">
        <f>IF(AA73&lt;1,0,(AA73-1)*武将觉醒!E$34*G73)+武将数量星级阶位验证!V69</f>
        <v>0</v>
      </c>
      <c r="AF73" s="41">
        <f>IF(AB73&lt;1,0,(AB73-1)*武将觉醒!F$34*H73)+武将数量星级阶位验证!W69</f>
        <v>10</v>
      </c>
      <c r="AG73" s="41">
        <f>IF(AC73&lt;1,0,(AC73-1)*武将觉醒!G$34*I73)+武将数量星级阶位验证!X69</f>
        <v>22</v>
      </c>
      <c r="AH73" s="41">
        <f>IF(AD73&lt;1,0,(AD73-1)*武将觉醒!H$34*J73)+武将数量星级阶位验证!Y69</f>
        <v>0</v>
      </c>
      <c r="AJ73" s="29">
        <f>MAX(W73+AE73+G73*(K73+1)+IF(武将数量星级阶位验证!L69="",0,武将数量星级阶位验证!L69)*武将升星!P66,O73)</f>
        <v>42</v>
      </c>
      <c r="AK73" s="29">
        <f>MAX(X73+AF73+H73*(L73+1)+IF(武将数量星级阶位验证!M69="",0,武将数量星级阶位验证!M69)*武将升星!Q66,P73)</f>
        <v>486</v>
      </c>
      <c r="AL73" s="64">
        <f>MAX(Y73+AG73+I73*(M73+1)+IF(武将数量星级阶位验证!N69="",0,武将数量星级阶位验证!N69)*武将升星!R66,Q73)</f>
        <v>448.01925656250148</v>
      </c>
      <c r="AM73" s="41">
        <f t="shared" si="74"/>
        <v>76.095791268815276</v>
      </c>
      <c r="AO73" s="17">
        <f>武将数量星级阶位验证!BJ69</f>
        <v>4641.2277510194099</v>
      </c>
      <c r="AP73" s="17">
        <f>武将数量星级阶位验证!BK69</f>
        <v>1428.5415202589222</v>
      </c>
      <c r="AQ73" s="63">
        <f>武将数量星级阶位验证!BL69</f>
        <v>231.2200634868027</v>
      </c>
      <c r="AR73" s="17">
        <f>武将数量星级阶位验证!BM69</f>
        <v>76.09579126881529</v>
      </c>
      <c r="AT73" s="17">
        <f t="shared" si="75"/>
        <v>340</v>
      </c>
      <c r="AU73" s="17">
        <f t="shared" si="76"/>
        <v>86.247032860782397</v>
      </c>
      <c r="BA73" s="17">
        <f>基础状态预期!J79</f>
        <v>6</v>
      </c>
      <c r="BB73" s="62">
        <f t="shared" si="77"/>
        <v>6</v>
      </c>
      <c r="BD73" s="17">
        <v>0</v>
      </c>
      <c r="BE73" s="17">
        <v>2</v>
      </c>
      <c r="BF73" s="17">
        <v>22</v>
      </c>
      <c r="BG73" s="17">
        <v>0</v>
      </c>
      <c r="BH73" s="62">
        <f t="shared" si="78"/>
        <v>24</v>
      </c>
      <c r="BJ73" s="17">
        <f t="shared" si="79"/>
        <v>0</v>
      </c>
      <c r="BK73" s="17">
        <f t="shared" si="80"/>
        <v>2</v>
      </c>
      <c r="BL73" s="17">
        <f t="shared" si="81"/>
        <v>22</v>
      </c>
      <c r="BM73" s="17">
        <f t="shared" si="82"/>
        <v>6</v>
      </c>
      <c r="BN73" s="62">
        <f t="shared" si="83"/>
        <v>30</v>
      </c>
      <c r="BR73" s="17">
        <f>武将升星!P66*基础状态预期!G79+G73*(K73+1)+W73+AE73</f>
        <v>42</v>
      </c>
      <c r="BS73" s="17">
        <f>武将升星!Q66*基础状态预期!H79+H73*(L73+1)+X73+AF73</f>
        <v>486</v>
      </c>
      <c r="BT73" s="17">
        <f>武将升星!R66*基础状态预期!I79+I73*(M73+1)+Y73+AG73</f>
        <v>423.74883363409191</v>
      </c>
      <c r="BU73" s="17">
        <f>武将升星!S66*基础状态预期!J79+J73*(N73+1)+Z73+AH73</f>
        <v>601.09579126881522</v>
      </c>
    </row>
    <row r="74" spans="2:73" x14ac:dyDescent="0.15">
      <c r="B74" s="17">
        <v>22</v>
      </c>
      <c r="E74" s="29">
        <f>基础状态预期!C80</f>
        <v>442</v>
      </c>
      <c r="F74" s="29">
        <f>基础状态预期!D80</f>
        <v>90.122782504866933</v>
      </c>
      <c r="G74" s="29">
        <f t="shared" si="67"/>
        <v>0</v>
      </c>
      <c r="H74" s="29">
        <f t="shared" si="68"/>
        <v>0</v>
      </c>
      <c r="I74" s="29">
        <f t="shared" si="69"/>
        <v>24</v>
      </c>
      <c r="J74" s="29">
        <f t="shared" si="70"/>
        <v>0</v>
      </c>
      <c r="K74" s="29">
        <f>武将战力价值情况!G70</f>
        <v>3</v>
      </c>
      <c r="L74" s="29">
        <f>武将战力价值情况!H70</f>
        <v>6</v>
      </c>
      <c r="M74" s="29">
        <f>武将战力价值情况!I70</f>
        <v>6.8484707912137202</v>
      </c>
      <c r="N74" s="29">
        <f>武将战力价值情况!J70</f>
        <v>7.4573784608933806</v>
      </c>
      <c r="O74" s="41">
        <f>MAX(同名需求(G74,求节点(武将升星!$C$104:$C$112,武将升星!E$104:E$112,K74),F$2),武将数量星级阶位验证!AA70)</f>
        <v>24</v>
      </c>
      <c r="P74" s="41">
        <f>MAX(同名需求(H74,求节点(武将升星!$C$104:$C$112,武将升星!F$104:F$112,L74),G$2),武将数量星级阶位验证!AB70)</f>
        <v>120</v>
      </c>
      <c r="Q74" s="41">
        <f>MAX(同名需求(I74,求节点(武将升星!$C$104:$C$112,武将升星!G$104:G$112,M74),H$2),武将数量星级阶位验证!AC70)</f>
        <v>525.81649494564635</v>
      </c>
      <c r="R74" s="41">
        <f>MAX(同名需求(J74,求节点(武将升星!$C$104:$C$112,武将升星!H$104:H$112,N74),I$2),武将数量星级阶位验证!AD70)</f>
        <v>94.977083061441135</v>
      </c>
      <c r="S74" s="29">
        <f>MAX(基础状态预期!P80:T80)</f>
        <v>3.6049113001946775</v>
      </c>
      <c r="T74" s="29">
        <f t="shared" si="71"/>
        <v>3.6049113001946775</v>
      </c>
      <c r="U74" s="29">
        <f t="shared" si="72"/>
        <v>3.6049113001946775</v>
      </c>
      <c r="V74" s="29">
        <f t="shared" si="73"/>
        <v>3.6049113001946775</v>
      </c>
      <c r="W74" s="41">
        <f>SUMIFS(武将进阶!F$13:F$18,武将进阶!$C$13:$C$18,"&lt;="&amp;T74)*H74+武将数量星级阶位验证!Q70</f>
        <v>0</v>
      </c>
      <c r="X74" s="41">
        <f>SUMIFS(武将进阶!G$13:G$18,武将进阶!$C$13:$C$18,"&lt;="&amp;U74)*I74+武将数量星级阶位验证!R70</f>
        <v>504</v>
      </c>
      <c r="Y74" s="41">
        <f>SUMIFS(武将进阶!H$13:H$18,武将进阶!$C$13:$C$18,"&lt;="&amp;V74)*J74+武将数量星级阶位验证!S70</f>
        <v>270.88403403504196</v>
      </c>
      <c r="Z74" s="41">
        <f>SUMIFS(武将进阶!I$13:I$18,武将进阶!$C$13:$C$18,"&lt;="&amp;W74)*K74+武将数量星级阶位验证!T70</f>
        <v>0</v>
      </c>
      <c r="AA74" s="29"/>
      <c r="AB74" s="29">
        <f>求节点(基础状态预期!$AT$17:$AT$55,基础状态预期!AW$17:AW$55,各r阵容卡情况!$F74)</f>
        <v>2</v>
      </c>
      <c r="AC74" s="29">
        <f>求节点(基础状态预期!$AT$17:$AT$55,基础状态预期!AX$17:AX$55,各r阵容卡情况!$F74)</f>
        <v>2</v>
      </c>
      <c r="AD74" s="29">
        <f>求节点(基础状态预期!$AT$17:$AT$55,基础状态预期!AY$17:AY$55,各r阵容卡情况!$F74)</f>
        <v>2</v>
      </c>
      <c r="AE74" s="41">
        <f>IF(AA74&lt;1,0,(AA74-1)*武将觉醒!E$34*G74)+武将数量星级阶位验证!V70</f>
        <v>0</v>
      </c>
      <c r="AF74" s="41">
        <f>IF(AB74&lt;1,0,(AB74-1)*武将觉醒!F$34*H74)+武将数量星级阶位验证!W70</f>
        <v>0</v>
      </c>
      <c r="AG74" s="41">
        <f>IF(AC74&lt;1,0,(AC74-1)*武将觉醒!G$34*I74)+武将数量星级阶位验证!X70</f>
        <v>24</v>
      </c>
      <c r="AH74" s="41">
        <f>IF(AD74&lt;1,0,(AD74-1)*武将觉醒!H$34*J74)+武将数量星级阶位验证!Y70</f>
        <v>0</v>
      </c>
      <c r="AJ74" s="29">
        <f>MAX(W74+AE74+G74*(K74+1)+IF(武将数量星级阶位验证!L70="",0,武将数量星级阶位验证!L70)*武将升星!P67,O74)</f>
        <v>24</v>
      </c>
      <c r="AK74" s="29">
        <f>MAX(X74+AF74+H74*(L74+1)+IF(武将数量星级阶位验证!M70="",0,武将数量星级阶位验证!M70)*武将升星!Q67,P74)</f>
        <v>504</v>
      </c>
      <c r="AL74" s="64">
        <f>MAX(Y74+AG74+I74*(M74+1)+IF(武将数量星级阶位验证!N70="",0,武将数量星级阶位验证!N70)*武将升星!R67,Q74)</f>
        <v>525.81649494564635</v>
      </c>
      <c r="AM74" s="41">
        <f t="shared" si="74"/>
        <v>94.977083061441135</v>
      </c>
      <c r="AO74" s="17">
        <f>武将数量星级阶位验证!BJ70</f>
        <v>5820.498130222818</v>
      </c>
      <c r="AP74" s="17">
        <f>武将数量星级阶位验证!BK70</f>
        <v>1761.3633468553589</v>
      </c>
      <c r="AQ74" s="63">
        <f>武将数量星级阶位验证!BL70</f>
        <v>278.59333747626823</v>
      </c>
      <c r="AR74" s="17">
        <f>武将数量星级阶位验证!BM70</f>
        <v>94.977083061441149</v>
      </c>
      <c r="AT74" s="17">
        <f t="shared" si="75"/>
        <v>442</v>
      </c>
      <c r="AU74" s="17">
        <f t="shared" si="76"/>
        <v>90.122782504866933</v>
      </c>
      <c r="BA74" s="17">
        <f>基础状态预期!J80</f>
        <v>6</v>
      </c>
      <c r="BB74" s="62">
        <f t="shared" si="77"/>
        <v>6</v>
      </c>
      <c r="BD74" s="17">
        <v>0</v>
      </c>
      <c r="BE74" s="17">
        <v>0</v>
      </c>
      <c r="BF74" s="17">
        <v>24</v>
      </c>
      <c r="BG74" s="17">
        <v>0</v>
      </c>
      <c r="BH74" s="62">
        <f t="shared" si="78"/>
        <v>24</v>
      </c>
      <c r="BJ74" s="17">
        <f t="shared" si="79"/>
        <v>0</v>
      </c>
      <c r="BK74" s="17">
        <f t="shared" si="80"/>
        <v>0</v>
      </c>
      <c r="BL74" s="17">
        <f t="shared" si="81"/>
        <v>24</v>
      </c>
      <c r="BM74" s="17">
        <f t="shared" si="82"/>
        <v>6</v>
      </c>
      <c r="BN74" s="62">
        <f t="shared" si="83"/>
        <v>30</v>
      </c>
      <c r="BR74" s="17">
        <f>武将升星!P67*基础状态预期!G80+G74*(K74+1)+W74+AE74</f>
        <v>0</v>
      </c>
      <c r="BS74" s="17">
        <f>武将升星!Q67*基础状态预期!H80+H74*(L74+1)+X74+AF74</f>
        <v>504</v>
      </c>
      <c r="BT74" s="17">
        <f>武将升星!R67*基础状态预期!I80+I74*(M74+1)+Y74+AG74</f>
        <v>483.24733302417121</v>
      </c>
      <c r="BU74" s="17">
        <f>武将升星!S67*基础状态预期!J80+J74*(N74+1)+Z74+AH74</f>
        <v>94.977083061441135</v>
      </c>
    </row>
    <row r="75" spans="2:73" x14ac:dyDescent="0.15">
      <c r="B75" s="17">
        <v>23</v>
      </c>
      <c r="E75" s="29">
        <f>基础状态预期!C81</f>
        <v>544</v>
      </c>
      <c r="F75" s="29">
        <f>基础状态预期!D81</f>
        <v>93.149045658279036</v>
      </c>
      <c r="G75" s="29">
        <f t="shared" si="67"/>
        <v>0</v>
      </c>
      <c r="H75" s="29">
        <f t="shared" si="68"/>
        <v>0</v>
      </c>
      <c r="I75" s="29">
        <f t="shared" si="69"/>
        <v>24</v>
      </c>
      <c r="J75" s="29">
        <f t="shared" si="70"/>
        <v>0</v>
      </c>
      <c r="K75" s="29">
        <f>武将战力价值情况!G71</f>
        <v>3</v>
      </c>
      <c r="L75" s="29">
        <f>武将战力价值情况!H71</f>
        <v>6</v>
      </c>
      <c r="M75" s="29">
        <f>武将战力价值情况!I71</f>
        <v>7.3526082808879227</v>
      </c>
      <c r="N75" s="29">
        <f>武将战力价值情况!J71</f>
        <v>8</v>
      </c>
      <c r="O75" s="41">
        <f>MAX(同名需求(G75,求节点(武将升星!$C$104:$C$112,武将升星!E$104:E$112,K75),F$2),武将数量星级阶位验证!AA71)</f>
        <v>24</v>
      </c>
      <c r="P75" s="41">
        <f>MAX(同名需求(H75,求节点(武将升星!$C$104:$C$112,武将升星!F$104:F$112,L75),G$2),武将数量星级阶位验证!AB71)</f>
        <v>120</v>
      </c>
      <c r="Q75" s="41">
        <f>MAX(同名需求(I75,求节点(武将升星!$C$104:$C$112,武将升星!G$104:G$112,M75),H$2),武将数量星级阶位验证!AC71)</f>
        <v>600.41732494206758</v>
      </c>
      <c r="R75" s="41">
        <f>MAX(同名需求(J75,求节点(武将升星!$C$104:$C$112,武将升星!H$104:H$112,N75),I$2),武将数量星级阶位验证!AD71)</f>
        <v>108</v>
      </c>
      <c r="S75" s="29">
        <f>MAX(基础状态预期!P81:T81)</f>
        <v>3.7259618263311616</v>
      </c>
      <c r="T75" s="29">
        <f t="shared" si="71"/>
        <v>3.7259618263311616</v>
      </c>
      <c r="U75" s="29">
        <f t="shared" si="72"/>
        <v>3.7259618263311616</v>
      </c>
      <c r="V75" s="29">
        <f t="shared" si="73"/>
        <v>3.7259618263311616</v>
      </c>
      <c r="W75" s="41">
        <f>SUMIFS(武将进阶!F$13:F$18,武将进阶!$C$13:$C$18,"&lt;="&amp;T75)*H75+武将数量星级阶位验证!Q71</f>
        <v>0</v>
      </c>
      <c r="X75" s="41">
        <f>SUMIFS(武将进阶!G$13:G$18,武将进阶!$C$13:$C$18,"&lt;="&amp;U75)*I75+武将数量星级阶位验证!R71</f>
        <v>504</v>
      </c>
      <c r="Y75" s="41">
        <f>SUMIFS(武将进阶!H$13:H$18,武将进阶!$C$13:$C$18,"&lt;="&amp;V75)*J75+武将数量星级阶位验证!S71</f>
        <v>292.67312873960907</v>
      </c>
      <c r="Z75" s="41">
        <f>SUMIFS(武将进阶!I$13:I$18,武将进阶!$C$13:$C$18,"&lt;="&amp;W75)*K75+武将数量星级阶位验证!T71</f>
        <v>0</v>
      </c>
      <c r="AA75" s="29"/>
      <c r="AB75" s="29">
        <f>求节点(基础状态预期!$AT$17:$AT$55,基础状态预期!AW$17:AW$55,各r阵容卡情况!$F75)</f>
        <v>2</v>
      </c>
      <c r="AC75" s="29">
        <f>求节点(基础状态预期!$AT$17:$AT$55,基础状态预期!AX$17:AX$55,各r阵容卡情况!$F75)</f>
        <v>2</v>
      </c>
      <c r="AD75" s="29">
        <f>求节点(基础状态预期!$AT$17:$AT$55,基础状态预期!AY$17:AY$55,各r阵容卡情况!$F75)</f>
        <v>2</v>
      </c>
      <c r="AE75" s="41">
        <f>IF(AA75&lt;1,0,(AA75-1)*武将觉醒!E$34*G75)+武将数量星级阶位验证!V71</f>
        <v>0</v>
      </c>
      <c r="AF75" s="41">
        <f>IF(AB75&lt;1,0,(AB75-1)*武将觉醒!F$34*H75)+武将数量星级阶位验证!W71</f>
        <v>0</v>
      </c>
      <c r="AG75" s="41">
        <f>IF(AC75&lt;1,0,(AC75-1)*武将觉醒!G$34*I75)+武将数量星级阶位验证!X71</f>
        <v>24</v>
      </c>
      <c r="AH75" s="41">
        <f>IF(AD75&lt;1,0,(AD75-1)*武将觉醒!H$34*J75)+武将数量星级阶位验证!Y71</f>
        <v>0</v>
      </c>
      <c r="AJ75" s="29">
        <f>MAX(W75+AE75+G75*(K75+1)+IF(武将数量星级阶位验证!L71="",0,武将数量星级阶位验证!L71)*武将升星!P68,O75)</f>
        <v>24</v>
      </c>
      <c r="AK75" s="29">
        <f>MAX(X75+AF75+H75*(L75+1)+IF(武将数量星级阶位验证!M71="",0,武将数量星级阶位验证!M71)*武将升星!Q68,P75)</f>
        <v>504</v>
      </c>
      <c r="AL75" s="64">
        <f>MAX(Y75+AG75+I75*(M75+1)+IF(武将数量星级阶位验证!N71="",0,武将数量星级阶位验证!N71)*武将升星!R68,Q75)</f>
        <v>600.41732494206758</v>
      </c>
      <c r="AM75" s="41">
        <f t="shared" si="74"/>
        <v>108</v>
      </c>
      <c r="AO75" s="17">
        <f>武将数量星级阶位验证!BJ71</f>
        <v>6990.5461947785643</v>
      </c>
      <c r="AP75" s="17">
        <f>武将数量星级阶位验证!BK71</f>
        <v>2089.2001385071135</v>
      </c>
      <c r="AQ75" s="63">
        <f>武将数量星级阶位验证!BL71</f>
        <v>325.21885622403147</v>
      </c>
      <c r="AR75" s="17">
        <f>武将数量星级阶位验证!BM71</f>
        <v>113.33494618487539</v>
      </c>
      <c r="AT75" s="17">
        <f t="shared" si="75"/>
        <v>544</v>
      </c>
      <c r="AU75" s="17">
        <f t="shared" si="76"/>
        <v>93.149045658279036</v>
      </c>
      <c r="BA75" s="17">
        <f>基础状态预期!J81</f>
        <v>6</v>
      </c>
      <c r="BB75" s="62">
        <f t="shared" si="77"/>
        <v>6</v>
      </c>
      <c r="BD75" s="17">
        <v>0</v>
      </c>
      <c r="BE75" s="17">
        <v>0</v>
      </c>
      <c r="BF75" s="17">
        <v>24</v>
      </c>
      <c r="BG75" s="17">
        <v>0</v>
      </c>
      <c r="BH75" s="62">
        <f t="shared" si="78"/>
        <v>24</v>
      </c>
      <c r="BJ75" s="17">
        <f t="shared" si="79"/>
        <v>0</v>
      </c>
      <c r="BK75" s="17">
        <f t="shared" si="80"/>
        <v>0</v>
      </c>
      <c r="BL75" s="17">
        <f t="shared" si="81"/>
        <v>24</v>
      </c>
      <c r="BM75" s="17">
        <f t="shared" si="82"/>
        <v>6</v>
      </c>
      <c r="BN75" s="62">
        <f t="shared" si="83"/>
        <v>30</v>
      </c>
      <c r="BR75" s="17">
        <f>武将升星!P68*基础状态预期!G81+G75*(K75+1)+W75+AE75</f>
        <v>0</v>
      </c>
      <c r="BS75" s="17">
        <f>武将升星!Q68*基础状态预期!H81+H75*(L75+1)+X75+AF75</f>
        <v>504</v>
      </c>
      <c r="BT75" s="17">
        <f>武将升星!R68*基础状态预期!I81+I75*(M75+1)+Y75+AG75</f>
        <v>517.13572748091929</v>
      </c>
      <c r="BU75" s="17">
        <f>武将升星!S68*基础状态预期!J81+J75*(N75+1)+Z75+AH75</f>
        <v>108</v>
      </c>
    </row>
    <row r="76" spans="2:73" x14ac:dyDescent="0.15">
      <c r="B76" s="17">
        <v>24</v>
      </c>
      <c r="E76" s="29">
        <f>基础状态预期!C82</f>
        <v>697</v>
      </c>
      <c r="F76" s="29">
        <f>基础状态预期!D82</f>
        <v>96.770480813454071</v>
      </c>
      <c r="G76" s="29">
        <f t="shared" si="67"/>
        <v>0</v>
      </c>
      <c r="H76" s="29">
        <f t="shared" si="68"/>
        <v>0</v>
      </c>
      <c r="I76" s="29">
        <f t="shared" si="69"/>
        <v>24</v>
      </c>
      <c r="J76" s="29">
        <f t="shared" si="70"/>
        <v>0</v>
      </c>
      <c r="K76" s="29">
        <f>武将战力价值情况!G72</f>
        <v>3</v>
      </c>
      <c r="L76" s="29">
        <f>武将战力价值情况!H72</f>
        <v>6</v>
      </c>
      <c r="M76" s="29">
        <f>武将战力价值情况!I72</f>
        <v>8</v>
      </c>
      <c r="N76" s="29">
        <f>武将战力价值情况!J72</f>
        <v>8</v>
      </c>
      <c r="O76" s="41">
        <f>MAX(同名需求(G76,求节点(武将升星!$C$104:$C$112,武将升星!E$104:E$112,K76),F$2),武将数量星级阶位验证!AA72)</f>
        <v>24</v>
      </c>
      <c r="P76" s="41">
        <f>MAX(同名需求(H76,求节点(武将升星!$C$104:$C$112,武将升星!F$104:F$112,L76),G$2),武将数量星级阶位验证!AB72)</f>
        <v>120</v>
      </c>
      <c r="Q76" s="41">
        <f>MAX(同名需求(I76,求节点(武将升星!$C$104:$C$112,武将升星!G$104:G$112,M76),H$2),武将数量星级阶位验证!AC72)</f>
        <v>704</v>
      </c>
      <c r="R76" s="41">
        <f>MAX(同名需求(J76,求节点(武将升星!$C$104:$C$112,武将升星!H$104:H$112,N76),I$2),武将数量星级阶位验证!AD72)</f>
        <v>108</v>
      </c>
      <c r="S76" s="29">
        <f>MAX(基础状态预期!P82:T82)</f>
        <v>3.870819232538163</v>
      </c>
      <c r="T76" s="29">
        <f t="shared" si="71"/>
        <v>3.870819232538163</v>
      </c>
      <c r="U76" s="29">
        <f t="shared" si="72"/>
        <v>3.870819232538163</v>
      </c>
      <c r="V76" s="29">
        <f t="shared" si="73"/>
        <v>3.870819232538163</v>
      </c>
      <c r="W76" s="41">
        <f>SUMIFS(武将进阶!F$13:F$18,武将进阶!$C$13:$C$18,"&lt;="&amp;T76)*H76+武将数量星级阶位验证!Q72</f>
        <v>0</v>
      </c>
      <c r="X76" s="41">
        <f>SUMIFS(武将进阶!G$13:G$18,武将进阶!$C$13:$C$18,"&lt;="&amp;U76)*I76+武将数量星级阶位验证!R72</f>
        <v>504</v>
      </c>
      <c r="Y76" s="41">
        <f>SUMIFS(武将进阶!H$13:H$18,武将进阶!$C$13:$C$18,"&lt;="&amp;V76)*J76+武将数量星级阶位验证!S72</f>
        <v>318.74746185686934</v>
      </c>
      <c r="Z76" s="41">
        <f>SUMIFS(武将进阶!I$13:I$18,武将进阶!$C$13:$C$18,"&lt;="&amp;W76)*K76+武将数量星级阶位验证!T72</f>
        <v>0</v>
      </c>
      <c r="AA76" s="29"/>
      <c r="AB76" s="29">
        <f>求节点(基础状态预期!$AT$17:$AT$55,基础状态预期!AW$17:AW$55,各r阵容卡情况!$F76)</f>
        <v>2</v>
      </c>
      <c r="AC76" s="29">
        <f>求节点(基础状态预期!$AT$17:$AT$55,基础状态预期!AX$17:AX$55,各r阵容卡情况!$F76)</f>
        <v>2</v>
      </c>
      <c r="AD76" s="29">
        <f>求节点(基础状态预期!$AT$17:$AT$55,基础状态预期!AY$17:AY$55,各r阵容卡情况!$F76)</f>
        <v>2</v>
      </c>
      <c r="AE76" s="41">
        <f>IF(AA76&lt;1,0,(AA76-1)*武将觉醒!E$34*G76)+武将数量星级阶位验证!V72</f>
        <v>0</v>
      </c>
      <c r="AF76" s="41">
        <f>IF(AB76&lt;1,0,(AB76-1)*武将觉醒!F$34*H76)+武将数量星级阶位验证!W72</f>
        <v>0</v>
      </c>
      <c r="AG76" s="41">
        <f>IF(AC76&lt;1,0,(AC76-1)*武将觉醒!G$34*I76)+武将数量星级阶位验证!X72</f>
        <v>24</v>
      </c>
      <c r="AH76" s="41">
        <f>IF(AD76&lt;1,0,(AD76-1)*武将觉醒!H$34*J76)+武将数量星级阶位验证!Y72</f>
        <v>0</v>
      </c>
      <c r="AJ76" s="29">
        <f>MAX(W76+AE76+G76*(K76+1)+IF(武将数量星级阶位验证!L72="",0,武将数量星级阶位验证!L72)*武将升星!P69,O76)</f>
        <v>24</v>
      </c>
      <c r="AK76" s="29">
        <f>MAX(X76+AF76+H76*(L76+1)+IF(武将数量星级阶位验证!M72="",0,武将数量星级阶位验证!M72)*武将升星!Q69,P76)</f>
        <v>504</v>
      </c>
      <c r="AL76" s="64">
        <f>MAX(Y76+AG76+I76*(M76+1)+IF(武将数量星级阶位验证!N72="",0,武将数量星级阶位验证!N72)*武将升星!R69,Q76)</f>
        <v>704</v>
      </c>
      <c r="AM76" s="41">
        <f t="shared" si="74"/>
        <v>108</v>
      </c>
      <c r="AO76" s="17">
        <f>武将数量星级阶位验证!BJ72</f>
        <v>8721.9531696063714</v>
      </c>
      <c r="AP76" s="17">
        <f>武将数量星级阶位验证!BK72</f>
        <v>2568.1633681437661</v>
      </c>
      <c r="AQ76" s="63">
        <f>武将数量星级阶位验证!BL72</f>
        <v>393.23834066952929</v>
      </c>
      <c r="AR76" s="17">
        <f>武将数量星级阶位验证!BM72</f>
        <v>139.52858529672389</v>
      </c>
      <c r="AT76" s="17">
        <f t="shared" si="75"/>
        <v>697</v>
      </c>
      <c r="AU76" s="17">
        <f t="shared" si="76"/>
        <v>96.770480813454071</v>
      </c>
      <c r="BA76" s="17">
        <f>基础状态预期!J82</f>
        <v>6</v>
      </c>
      <c r="BB76" s="62">
        <f t="shared" si="77"/>
        <v>6</v>
      </c>
      <c r="BD76" s="17">
        <v>0</v>
      </c>
      <c r="BE76" s="17">
        <v>0</v>
      </c>
      <c r="BF76" s="17">
        <v>24</v>
      </c>
      <c r="BG76" s="17">
        <v>0</v>
      </c>
      <c r="BH76" s="62">
        <f t="shared" si="78"/>
        <v>24</v>
      </c>
      <c r="BJ76" s="17">
        <f t="shared" si="79"/>
        <v>0</v>
      </c>
      <c r="BK76" s="17">
        <f t="shared" si="80"/>
        <v>0</v>
      </c>
      <c r="BL76" s="17">
        <f t="shared" si="81"/>
        <v>24</v>
      </c>
      <c r="BM76" s="17">
        <f t="shared" si="82"/>
        <v>6</v>
      </c>
      <c r="BN76" s="62">
        <f t="shared" si="83"/>
        <v>30</v>
      </c>
      <c r="BR76" s="17">
        <f>武将升星!P69*基础状态预期!G82+G76*(K76+1)+W76+AE76</f>
        <v>0</v>
      </c>
      <c r="BS76" s="17">
        <f>武将升星!Q69*基础状态预期!H82+H76*(L76+1)+X76+AF76</f>
        <v>504</v>
      </c>
      <c r="BT76" s="17">
        <f>武将升星!R69*基础状态预期!I82+I76*(M76+1)+Y76+AG76</f>
        <v>558.74746185686934</v>
      </c>
      <c r="BU76" s="17">
        <f>武将升星!S69*基础状态预期!J82+J76*(N76+1)+Z76+AH76</f>
        <v>108</v>
      </c>
    </row>
    <row r="77" spans="2:73" x14ac:dyDescent="0.15">
      <c r="B77" s="17">
        <v>25</v>
      </c>
      <c r="E77" s="29">
        <f>基础状态预期!C83</f>
        <v>901</v>
      </c>
      <c r="F77" s="29">
        <f>基础状态预期!D83</f>
        <v>100.40175326279811</v>
      </c>
      <c r="G77" s="29">
        <f t="shared" si="67"/>
        <v>0</v>
      </c>
      <c r="H77" s="29">
        <f t="shared" si="68"/>
        <v>0</v>
      </c>
      <c r="I77" s="29">
        <f t="shared" si="69"/>
        <v>24</v>
      </c>
      <c r="J77" s="29">
        <f t="shared" si="70"/>
        <v>0</v>
      </c>
      <c r="K77" s="29">
        <f>武将战力价值情况!G73</f>
        <v>3</v>
      </c>
      <c r="L77" s="29">
        <f>武将战力价值情况!H73</f>
        <v>6</v>
      </c>
      <c r="M77" s="29">
        <f>武将战力价值情况!I73</f>
        <v>8</v>
      </c>
      <c r="N77" s="29">
        <f>武将战力价值情况!J73</f>
        <v>8</v>
      </c>
      <c r="O77" s="41">
        <f>MAX(同名需求(G77,求节点(武将升星!$C$104:$C$112,武将升星!E$104:E$112,K77),F$2),武将数量星级阶位验证!AA73)</f>
        <v>24</v>
      </c>
      <c r="P77" s="41">
        <f>MAX(同名需求(H77,求节点(武将升星!$C$104:$C$112,武将升星!F$104:F$112,L77),G$2),武将数量星级阶位验证!AB73)</f>
        <v>120</v>
      </c>
      <c r="Q77" s="41">
        <f>MAX(同名需求(I77,求节点(武将升星!$C$104:$C$112,武将升星!G$104:G$112,M77),H$2),武将数量星级阶位验证!AC73)</f>
        <v>704</v>
      </c>
      <c r="R77" s="41">
        <f>MAX(同名需求(J77,求节点(武将升星!$C$104:$C$112,武将升星!H$104:H$112,N77),I$2),武将数量星级阶位验证!AD73)</f>
        <v>108</v>
      </c>
      <c r="S77" s="29">
        <f>MAX(基础状态预期!P83:T83)</f>
        <v>4.016070130511924</v>
      </c>
      <c r="T77" s="29">
        <f t="shared" si="71"/>
        <v>4.016070130511924</v>
      </c>
      <c r="U77" s="29">
        <f t="shared" si="72"/>
        <v>4.016070130511924</v>
      </c>
      <c r="V77" s="29">
        <f t="shared" si="73"/>
        <v>4.016070130511924</v>
      </c>
      <c r="W77" s="41">
        <f>SUMIFS(武将进阶!F$13:F$18,武将进阶!$C$13:$C$18,"&lt;="&amp;T77)*H77+武将数量星级阶位验证!Q73</f>
        <v>0</v>
      </c>
      <c r="X77" s="41">
        <f>SUMIFS(武将进阶!G$13:G$18,武将进阶!$C$13:$C$18,"&lt;="&amp;U77)*I77+武将数量星级阶位验证!R73</f>
        <v>984</v>
      </c>
      <c r="Y77" s="41">
        <f>SUMIFS(武将进阶!H$13:H$18,武将进阶!$C$13:$C$18,"&lt;="&amp;V77)*J77+武将数量星级阶位验证!S73</f>
        <v>346.8210391535772</v>
      </c>
      <c r="Z77" s="41">
        <f>SUMIFS(武将进阶!I$13:I$18,武将进阶!$C$13:$C$18,"&lt;="&amp;W77)*K77+武将数量星级阶位验证!T73</f>
        <v>0</v>
      </c>
      <c r="AA77" s="29"/>
      <c r="AB77" s="29">
        <f>求节点(基础状态预期!$AT$17:$AT$55,基础状态预期!AW$17:AW$55,各r阵容卡情况!$F77)</f>
        <v>2</v>
      </c>
      <c r="AC77" s="29">
        <f>求节点(基础状态预期!$AT$17:$AT$55,基础状态预期!AX$17:AX$55,各r阵容卡情况!$F77)</f>
        <v>2</v>
      </c>
      <c r="AD77" s="29">
        <f>求节点(基础状态预期!$AT$17:$AT$55,基础状态预期!AY$17:AY$55,各r阵容卡情况!$F77)</f>
        <v>2</v>
      </c>
      <c r="AE77" s="41">
        <f>IF(AA77&lt;1,0,(AA77-1)*武将觉醒!E$34*G77)+武将数量星级阶位验证!V73</f>
        <v>0</v>
      </c>
      <c r="AF77" s="41">
        <f>IF(AB77&lt;1,0,(AB77-1)*武将觉醒!F$34*H77)+武将数量星级阶位验证!W73</f>
        <v>0</v>
      </c>
      <c r="AG77" s="41">
        <f>IF(AC77&lt;1,0,(AC77-1)*武将觉醒!G$34*I77)+武将数量星级阶位验证!X73</f>
        <v>24</v>
      </c>
      <c r="AH77" s="41">
        <f>IF(AD77&lt;1,0,(AD77-1)*武将觉醒!H$34*J77)+武将数量星级阶位验证!Y73</f>
        <v>0</v>
      </c>
      <c r="AJ77" s="29">
        <f>MAX(W77+AE77+G77*(K77+1)+IF(武将数量星级阶位验证!L73="",0,武将数量星级阶位验证!L73)*武将升星!P70,O77)</f>
        <v>24</v>
      </c>
      <c r="AK77" s="29">
        <f>MAX(X77+AF77+H77*(L77+1)+IF(武将数量星级阶位验证!M73="",0,武将数量星级阶位验证!M73)*武将升星!Q70,P77)</f>
        <v>984</v>
      </c>
      <c r="AL77" s="64">
        <f>MAX(Y77+AG77+I77*(M77+1)+IF(武将数量星级阶位验证!N73="",0,武将数量星级阶位验证!N73)*武将升星!R70,Q77)</f>
        <v>704</v>
      </c>
      <c r="AM77" s="41">
        <f t="shared" si="74"/>
        <v>108</v>
      </c>
      <c r="AO77" s="17">
        <f>武将数量星级阶位验证!BJ73</f>
        <v>10977.627982982352</v>
      </c>
      <c r="AP77" s="17">
        <f>武将数量星级阶位验证!BK73</f>
        <v>3178.2038078064579</v>
      </c>
      <c r="AQ77" s="63">
        <f>武将数量星级阶位验证!BL73</f>
        <v>479.64440661893309</v>
      </c>
      <c r="AR77" s="17">
        <f>武将数量星级阶位验证!BM73</f>
        <v>171.45283146130654</v>
      </c>
      <c r="AT77" s="17">
        <f t="shared" si="75"/>
        <v>901</v>
      </c>
      <c r="AU77" s="17">
        <f t="shared" si="76"/>
        <v>100.40175326279811</v>
      </c>
      <c r="BA77" s="17">
        <f>基础状态预期!J83</f>
        <v>6</v>
      </c>
      <c r="BB77" s="62">
        <f t="shared" si="77"/>
        <v>6</v>
      </c>
      <c r="BD77" s="17">
        <v>0</v>
      </c>
      <c r="BE77" s="17">
        <v>0</v>
      </c>
      <c r="BF77" s="17">
        <v>24</v>
      </c>
      <c r="BG77" s="17">
        <v>0</v>
      </c>
      <c r="BH77" s="62">
        <f t="shared" si="78"/>
        <v>24</v>
      </c>
      <c r="BJ77" s="17">
        <f t="shared" si="79"/>
        <v>0</v>
      </c>
      <c r="BK77" s="17">
        <f t="shared" si="80"/>
        <v>0</v>
      </c>
      <c r="BL77" s="17">
        <f t="shared" si="81"/>
        <v>24</v>
      </c>
      <c r="BM77" s="17">
        <f t="shared" si="82"/>
        <v>6</v>
      </c>
      <c r="BN77" s="62">
        <f t="shared" si="83"/>
        <v>30</v>
      </c>
      <c r="BR77" s="17">
        <f>武将升星!P70*基础状态预期!G83+G77*(K77+1)+W77+AE77</f>
        <v>0</v>
      </c>
      <c r="BS77" s="17">
        <f>武将升星!Q70*基础状态预期!H83+H77*(L77+1)+X77+AF77</f>
        <v>984</v>
      </c>
      <c r="BT77" s="17">
        <f>武将升星!R70*基础状态预期!I83+I77*(M77+1)+Y77+AG77</f>
        <v>586.8210391535772</v>
      </c>
      <c r="BU77" s="17">
        <f>武将升星!S70*基础状态预期!J83+J77*(N77+1)+Z77+AH77</f>
        <v>108</v>
      </c>
    </row>
    <row r="78" spans="2:73" x14ac:dyDescent="0.15">
      <c r="B78" s="17">
        <v>26</v>
      </c>
      <c r="E78" s="29">
        <f>基础状态预期!C84</f>
        <v>1156</v>
      </c>
      <c r="F78" s="29">
        <f>基础状态预期!D84</f>
        <v>104.06236366727887</v>
      </c>
      <c r="G78" s="29">
        <f t="shared" si="67"/>
        <v>0</v>
      </c>
      <c r="H78" s="29">
        <f t="shared" si="68"/>
        <v>0</v>
      </c>
      <c r="I78" s="29">
        <f t="shared" si="69"/>
        <v>24</v>
      </c>
      <c r="J78" s="29">
        <f t="shared" si="70"/>
        <v>0</v>
      </c>
      <c r="K78" s="29">
        <f>武将战力价值情况!G74</f>
        <v>3</v>
      </c>
      <c r="L78" s="29">
        <f>武将战力价值情况!H74</f>
        <v>6</v>
      </c>
      <c r="M78" s="29">
        <f>武将战力价值情况!I74</f>
        <v>8</v>
      </c>
      <c r="N78" s="29">
        <f>武将战力价值情况!J74</f>
        <v>8</v>
      </c>
      <c r="O78" s="41">
        <f>MAX(同名需求(G78,求节点(武将升星!$C$104:$C$112,武将升星!E$104:E$112,K78),F$2),武将数量星级阶位验证!AA74)</f>
        <v>24</v>
      </c>
      <c r="P78" s="41">
        <f>MAX(同名需求(H78,求节点(武将升星!$C$104:$C$112,武将升星!F$104:F$112,L78),G$2),武将数量星级阶位验证!AB74)</f>
        <v>120</v>
      </c>
      <c r="Q78" s="41">
        <f>MAX(同名需求(I78,求节点(武将升星!$C$104:$C$112,武将升星!G$104:G$112,M78),H$2),武将数量星级阶位验证!AC74)</f>
        <v>704</v>
      </c>
      <c r="R78" s="41">
        <f>MAX(同名需求(J78,求节点(武将升星!$C$104:$C$112,武将升星!H$104:H$112,N78),I$2),武将数量星级阶位验证!AD74)</f>
        <v>108</v>
      </c>
      <c r="S78" s="29">
        <f>MAX(基础状态预期!P84:T84)</f>
        <v>4.1624945466911552</v>
      </c>
      <c r="T78" s="29">
        <f t="shared" si="71"/>
        <v>4.1624945466911552</v>
      </c>
      <c r="U78" s="29">
        <f t="shared" si="72"/>
        <v>4.1624945466911552</v>
      </c>
      <c r="V78" s="29">
        <f t="shared" si="73"/>
        <v>4.1624945466911552</v>
      </c>
      <c r="W78" s="41">
        <f>SUMIFS(武将进阶!F$13:F$18,武将进阶!$C$13:$C$18,"&lt;="&amp;T78)*H78+武将数量星级阶位验证!Q74</f>
        <v>0</v>
      </c>
      <c r="X78" s="41">
        <f>SUMIFS(武将进阶!G$13:G$18,武将进阶!$C$13:$C$18,"&lt;="&amp;U78)*I78+武将数量星级阶位验证!R74</f>
        <v>984</v>
      </c>
      <c r="Y78" s="41">
        <f>SUMIFS(武将进阶!H$13:H$18,武将进阶!$C$13:$C$18,"&lt;="&amp;V78)*J78+武将数量星级阶位验证!S74</f>
        <v>390.74836400734659</v>
      </c>
      <c r="Z78" s="41">
        <f>SUMIFS(武将进阶!I$13:I$18,武将进阶!$C$13:$C$18,"&lt;="&amp;W78)*K78+武将数量星级阶位验证!T74</f>
        <v>0</v>
      </c>
      <c r="AA78" s="29"/>
      <c r="AB78" s="29">
        <f>求节点(基础状态预期!$AT$17:$AT$55,基础状态预期!AW$17:AW$55,各r阵容卡情况!$F78)</f>
        <v>2</v>
      </c>
      <c r="AC78" s="29">
        <f>求节点(基础状态预期!$AT$17:$AT$55,基础状态预期!AX$17:AX$55,各r阵容卡情况!$F78)</f>
        <v>2</v>
      </c>
      <c r="AD78" s="29">
        <f>求节点(基础状态预期!$AT$17:$AT$55,基础状态预期!AY$17:AY$55,各r阵容卡情况!$F78)</f>
        <v>2</v>
      </c>
      <c r="AE78" s="41">
        <f>IF(AA78&lt;1,0,(AA78-1)*武将觉醒!E$34*G78)+武将数量星级阶位验证!V74</f>
        <v>0</v>
      </c>
      <c r="AF78" s="41">
        <f>IF(AB78&lt;1,0,(AB78-1)*武将觉醒!F$34*H78)+武将数量星级阶位验证!W74</f>
        <v>0</v>
      </c>
      <c r="AG78" s="41">
        <f>IF(AC78&lt;1,0,(AC78-1)*武将觉醒!G$34*I78)+武将数量星级阶位验证!X74</f>
        <v>24</v>
      </c>
      <c r="AH78" s="41">
        <f>IF(AD78&lt;1,0,(AD78-1)*武将觉醒!H$34*J78)+武将数量星级阶位验证!Y74</f>
        <v>0</v>
      </c>
      <c r="AJ78" s="29">
        <f>MAX(W78+AE78+G78*(K78+1)+IF(武将数量星级阶位验证!L74="",0,武将数量星级阶位验证!L74)*武将升星!P71,O78)</f>
        <v>24</v>
      </c>
      <c r="AK78" s="29">
        <f>MAX(X78+AF78+H78*(L78+1)+IF(武将数量星级阶位验证!M74="",0,武将数量星级阶位验证!M74)*武将升星!Q71,P78)</f>
        <v>984</v>
      </c>
      <c r="AL78" s="64">
        <f>MAX(Y78+AG78+I78*(M78+1)+IF(武将数量星级阶位验证!N74="",0,武将数量星级阶位验证!N74)*武将升星!R71,Q78)</f>
        <v>704</v>
      </c>
      <c r="AM78" s="41">
        <f t="shared" si="74"/>
        <v>108</v>
      </c>
      <c r="AO78" s="17">
        <f>武将数量星级阶位验证!BJ74</f>
        <v>13879.810637125391</v>
      </c>
      <c r="AP78" s="17">
        <f>武将数量星级阶位验证!BK74</f>
        <v>3985.3971343702628</v>
      </c>
      <c r="AQ78" s="63">
        <f>武将数量星级阶位验证!BL74</f>
        <v>594.34840560350381</v>
      </c>
      <c r="AR78" s="17">
        <f>武将数量星级阶位验证!BM74</f>
        <v>216.04563075050606</v>
      </c>
      <c r="AT78" s="17">
        <f t="shared" si="75"/>
        <v>1156</v>
      </c>
      <c r="AU78" s="17">
        <f t="shared" si="76"/>
        <v>104.06236366727887</v>
      </c>
      <c r="BA78" s="17">
        <f>基础状态预期!J84</f>
        <v>6</v>
      </c>
      <c r="BB78" s="62">
        <f t="shared" si="77"/>
        <v>6</v>
      </c>
      <c r="BD78" s="17">
        <v>0</v>
      </c>
      <c r="BE78" s="17">
        <v>0</v>
      </c>
      <c r="BF78" s="17">
        <v>24</v>
      </c>
      <c r="BG78" s="17">
        <v>0</v>
      </c>
      <c r="BH78" s="62">
        <f t="shared" si="78"/>
        <v>24</v>
      </c>
      <c r="BJ78" s="17">
        <f t="shared" si="79"/>
        <v>0</v>
      </c>
      <c r="BK78" s="17">
        <f t="shared" si="80"/>
        <v>0</v>
      </c>
      <c r="BL78" s="17">
        <f t="shared" si="81"/>
        <v>24</v>
      </c>
      <c r="BM78" s="17">
        <f t="shared" si="82"/>
        <v>6</v>
      </c>
      <c r="BN78" s="62">
        <f t="shared" si="83"/>
        <v>30</v>
      </c>
      <c r="BR78" s="17">
        <f>武将升星!P71*基础状态预期!G84+G78*(K78+1)+W78+AE78</f>
        <v>0</v>
      </c>
      <c r="BS78" s="17">
        <f>武将升星!Q71*基础状态预期!H84+H78*(L78+1)+X78+AF78</f>
        <v>984</v>
      </c>
      <c r="BT78" s="17">
        <f>武将升星!R71*基础状态预期!I84+I78*(M78+1)+Y78+AG78</f>
        <v>630.74836400734659</v>
      </c>
      <c r="BU78" s="17">
        <f>武将升星!S71*基础状态预期!J84+J78*(N78+1)+Z78+AH78</f>
        <v>108</v>
      </c>
    </row>
    <row r="79" spans="2:73" x14ac:dyDescent="0.15">
      <c r="B79" s="17">
        <v>27</v>
      </c>
      <c r="E79" s="29">
        <f>基础状态预期!C85</f>
        <v>1462</v>
      </c>
      <c r="F79" s="29">
        <f>基础状态预期!D85</f>
        <v>107.42257994053838</v>
      </c>
      <c r="G79" s="29">
        <f t="shared" si="67"/>
        <v>0</v>
      </c>
      <c r="H79" s="29">
        <f t="shared" si="68"/>
        <v>0</v>
      </c>
      <c r="I79" s="29">
        <f t="shared" si="69"/>
        <v>24</v>
      </c>
      <c r="J79" s="29">
        <f t="shared" si="70"/>
        <v>0</v>
      </c>
      <c r="K79" s="29">
        <f>武将战力价值情况!G75</f>
        <v>3</v>
      </c>
      <c r="L79" s="29">
        <f>武将战力价值情况!H75</f>
        <v>6</v>
      </c>
      <c r="M79" s="29">
        <f>武将战力价值情况!I75</f>
        <v>8</v>
      </c>
      <c r="N79" s="29">
        <f>武将战力价值情况!J75</f>
        <v>8</v>
      </c>
      <c r="O79" s="41">
        <f>MAX(同名需求(G79,求节点(武将升星!$C$104:$C$112,武将升星!E$104:E$112,K79),F$2),武将数量星级阶位验证!AA75)</f>
        <v>24</v>
      </c>
      <c r="P79" s="41">
        <f>MAX(同名需求(H79,求节点(武将升星!$C$104:$C$112,武将升星!F$104:F$112,L79),G$2),武将数量星级阶位验证!AB75)</f>
        <v>120</v>
      </c>
      <c r="Q79" s="41">
        <f>MAX(同名需求(I79,求节点(武将升星!$C$104:$C$112,武将升星!G$104:G$112,M79),H$2),武将数量星级阶位验证!AC75)</f>
        <v>704</v>
      </c>
      <c r="R79" s="41">
        <f>MAX(同名需求(J79,求节点(武将升星!$C$104:$C$112,武将升星!H$104:H$112,N79),I$2),武将数量星级阶位验证!AD75)</f>
        <v>108</v>
      </c>
      <c r="S79" s="29">
        <f>MAX(基础状态预期!P85:T85)</f>
        <v>4.2969031976215355</v>
      </c>
      <c r="T79" s="29">
        <f t="shared" si="71"/>
        <v>4.2969031976215355</v>
      </c>
      <c r="U79" s="29">
        <f t="shared" si="72"/>
        <v>4.2969031976215355</v>
      </c>
      <c r="V79" s="29">
        <f t="shared" si="73"/>
        <v>4.2969031976215355</v>
      </c>
      <c r="W79" s="41">
        <f>SUMIFS(武将进阶!F$13:F$18,武将进阶!$C$13:$C$18,"&lt;="&amp;T79)*H79+武将数量星级阶位验证!Q75</f>
        <v>0</v>
      </c>
      <c r="X79" s="41">
        <f>SUMIFS(武将进阶!G$13:G$18,武将进阶!$C$13:$C$18,"&lt;="&amp;U79)*I79+武将数量星级阶位验证!R75</f>
        <v>984</v>
      </c>
      <c r="Y79" s="41">
        <f>SUMIFS(武将进阶!H$13:H$18,武将进阶!$C$13:$C$18,"&lt;="&amp;V79)*J79+武将数量星级阶位验证!S75</f>
        <v>431.07095928646061</v>
      </c>
      <c r="Z79" s="41">
        <f>SUMIFS(武将进阶!I$13:I$18,武将进阶!$C$13:$C$18,"&lt;="&amp;W79)*K79+武将数量星级阶位验证!T75</f>
        <v>0</v>
      </c>
      <c r="AA79" s="29"/>
      <c r="AB79" s="29">
        <f>求节点(基础状态预期!$AT$17:$AT$55,基础状态预期!AW$17:AW$55,各r阵容卡情况!$F79)</f>
        <v>2</v>
      </c>
      <c r="AC79" s="29">
        <f>求节点(基础状态预期!$AT$17:$AT$55,基础状态预期!AX$17:AX$55,各r阵容卡情况!$F79)</f>
        <v>2</v>
      </c>
      <c r="AD79" s="29">
        <f>求节点(基础状态预期!$AT$17:$AT$55,基础状态预期!AY$17:AY$55,各r阵容卡情况!$F79)</f>
        <v>2</v>
      </c>
      <c r="AE79" s="41">
        <f>IF(AA79&lt;1,0,(AA79-1)*武将觉醒!E$34*G79)+武将数量星级阶位验证!V75</f>
        <v>0</v>
      </c>
      <c r="AF79" s="41">
        <f>IF(AB79&lt;1,0,(AB79-1)*武将觉醒!F$34*H79)+武将数量星级阶位验证!W75</f>
        <v>0</v>
      </c>
      <c r="AG79" s="41">
        <f>IF(AC79&lt;1,0,(AC79-1)*武将觉醒!G$34*I79)+武将数量星级阶位验证!X75</f>
        <v>24</v>
      </c>
      <c r="AH79" s="41">
        <f>IF(AD79&lt;1,0,(AD79-1)*武将觉醒!H$34*J79)+武将数量星级阶位验证!Y75</f>
        <v>0</v>
      </c>
      <c r="AJ79" s="29">
        <f>MAX(W79+AE79+G79*(K79+1)+IF(武将数量星级阶位验证!L75="",0,武将数量星级阶位验证!L75)*武将升星!P72,O79)</f>
        <v>24</v>
      </c>
      <c r="AK79" s="29">
        <f>MAX(X79+AF79+H79*(L79+1)+IF(武将数量星级阶位验证!M75="",0,武将数量星级阶位验证!M75)*武将升星!Q72,P79)</f>
        <v>984</v>
      </c>
      <c r="AL79" s="64">
        <f>MAX(Y79+AG79+I79*(M79+1)+IF(武将数量星级阶位验证!N75="",0,武将数量星级阶位验证!N75)*武将升星!R72,Q79)</f>
        <v>704</v>
      </c>
      <c r="AM79" s="41">
        <f t="shared" si="74"/>
        <v>108</v>
      </c>
      <c r="AO79" s="17">
        <f>武将数量星级阶位验证!BJ75</f>
        <v>17347.169911702</v>
      </c>
      <c r="AP79" s="17">
        <f>武将数量星级阶位验证!BK75</f>
        <v>4945.7805260332952</v>
      </c>
      <c r="AQ79" s="63">
        <f>武将数量星级阶位验证!BL75</f>
        <v>730.75591435295871</v>
      </c>
      <c r="AR79" s="17">
        <f>武将数量星级阶位验证!BM75</f>
        <v>268.69088687512448</v>
      </c>
      <c r="AT79" s="17">
        <f t="shared" si="75"/>
        <v>1462</v>
      </c>
      <c r="AU79" s="17">
        <f t="shared" si="76"/>
        <v>107.42257994053838</v>
      </c>
      <c r="BA79" s="17">
        <f>基础状态预期!J85</f>
        <v>6</v>
      </c>
      <c r="BB79" s="62">
        <f t="shared" si="77"/>
        <v>6</v>
      </c>
      <c r="BD79" s="17">
        <v>0</v>
      </c>
      <c r="BE79" s="17">
        <v>0</v>
      </c>
      <c r="BF79" s="17">
        <v>24</v>
      </c>
      <c r="BG79" s="17">
        <v>0</v>
      </c>
      <c r="BH79" s="62">
        <f t="shared" si="78"/>
        <v>24</v>
      </c>
      <c r="BJ79" s="17">
        <f t="shared" si="79"/>
        <v>0</v>
      </c>
      <c r="BK79" s="17">
        <f t="shared" si="80"/>
        <v>0</v>
      </c>
      <c r="BL79" s="17">
        <f t="shared" si="81"/>
        <v>24</v>
      </c>
      <c r="BM79" s="17">
        <f t="shared" si="82"/>
        <v>6</v>
      </c>
      <c r="BN79" s="62">
        <f t="shared" si="83"/>
        <v>30</v>
      </c>
      <c r="BR79" s="17">
        <f>武将升星!P72*基础状态预期!G85+G79*(K79+1)+W79+AE79</f>
        <v>0</v>
      </c>
      <c r="BS79" s="17">
        <f>武将升星!Q72*基础状态预期!H85+H79*(L79+1)+X79+AF79</f>
        <v>984</v>
      </c>
      <c r="BT79" s="17">
        <f>武将升星!R72*基础状态预期!I85+I79*(M79+1)+Y79+AG79</f>
        <v>671.07095928646061</v>
      </c>
      <c r="BU79" s="17">
        <f>武将升星!S72*基础状态预期!J85+J79*(N79+1)+Z79+AH79</f>
        <v>108</v>
      </c>
    </row>
    <row r="80" spans="2:73" x14ac:dyDescent="0.15">
      <c r="B80" s="17">
        <v>28</v>
      </c>
      <c r="E80" s="29">
        <f>基础状态预期!C86</f>
        <v>1870</v>
      </c>
      <c r="F80" s="29">
        <f>基础状态预期!D86</f>
        <v>111.00691759243479</v>
      </c>
      <c r="G80" s="29">
        <f t="shared" si="67"/>
        <v>0</v>
      </c>
      <c r="H80" s="29">
        <f t="shared" si="68"/>
        <v>0</v>
      </c>
      <c r="I80" s="29">
        <f t="shared" si="69"/>
        <v>24</v>
      </c>
      <c r="J80" s="29">
        <f t="shared" si="70"/>
        <v>0</v>
      </c>
      <c r="K80" s="29">
        <f>武将战力价值情况!G76</f>
        <v>3</v>
      </c>
      <c r="L80" s="29">
        <f>武将战力价值情况!H76</f>
        <v>6</v>
      </c>
      <c r="M80" s="29">
        <f>武将战力价值情况!I76</f>
        <v>8</v>
      </c>
      <c r="N80" s="29">
        <f>武将战力价值情况!J76</f>
        <v>8</v>
      </c>
      <c r="O80" s="41">
        <f>MAX(同名需求(G80,求节点(武将升星!$C$104:$C$112,武将升星!E$104:E$112,K80),F$2),武将数量星级阶位验证!AA76)</f>
        <v>24</v>
      </c>
      <c r="P80" s="41">
        <f>MAX(同名需求(H80,求节点(武将升星!$C$104:$C$112,武将升星!F$104:F$112,L80),G$2),武将数量星级阶位验证!AB76)</f>
        <v>120</v>
      </c>
      <c r="Q80" s="41">
        <f>MAX(同名需求(I80,求节点(武将升星!$C$104:$C$112,武将升星!G$104:G$112,M80),H$2),武将数量星级阶位验证!AC76)</f>
        <v>704</v>
      </c>
      <c r="R80" s="41">
        <f>MAX(同名需求(J80,求节点(武将升星!$C$104:$C$112,武将升星!H$104:H$112,N80),I$2),武将数量星级阶位验证!AD76)</f>
        <v>108</v>
      </c>
      <c r="S80" s="29">
        <f>MAX(基础状态预期!P86:T86)</f>
        <v>4.4402767036973918</v>
      </c>
      <c r="T80" s="29">
        <f t="shared" si="71"/>
        <v>4.4402767036973918</v>
      </c>
      <c r="U80" s="29">
        <f t="shared" si="72"/>
        <v>4.4402767036973918</v>
      </c>
      <c r="V80" s="29">
        <f t="shared" si="73"/>
        <v>4.4402767036973918</v>
      </c>
      <c r="W80" s="41">
        <f>SUMIFS(武将进阶!F$13:F$18,武将进阶!$C$13:$C$18,"&lt;="&amp;T80)*H80+武将数量星级阶位验证!Q76</f>
        <v>0</v>
      </c>
      <c r="X80" s="41">
        <f>SUMIFS(武将进阶!G$13:G$18,武将进阶!$C$13:$C$18,"&lt;="&amp;U80)*I80+武将数量星级阶位验证!R76</f>
        <v>984</v>
      </c>
      <c r="Y80" s="41">
        <f>SUMIFS(武将进阶!H$13:H$18,武将进阶!$C$13:$C$18,"&lt;="&amp;V80)*J80+武将数量星级阶位验证!S76</f>
        <v>474.08301110921752</v>
      </c>
      <c r="Z80" s="41">
        <f>SUMIFS(武将进阶!I$13:I$18,武将进阶!$C$13:$C$18,"&lt;="&amp;W80)*K80+武将数量星级阶位验证!T76</f>
        <v>0</v>
      </c>
      <c r="AA80" s="29"/>
      <c r="AB80" s="29">
        <f>求节点(基础状态预期!$AT$17:$AT$55,基础状态预期!AW$17:AW$55,各r阵容卡情况!$F80)</f>
        <v>2</v>
      </c>
      <c r="AC80" s="29">
        <f>求节点(基础状态预期!$AT$17:$AT$55,基础状态预期!AX$17:AX$55,各r阵容卡情况!$F80)</f>
        <v>2</v>
      </c>
      <c r="AD80" s="29">
        <f>求节点(基础状态预期!$AT$17:$AT$55,基础状态预期!AY$17:AY$55,各r阵容卡情况!$F80)</f>
        <v>2</v>
      </c>
      <c r="AE80" s="41">
        <f>IF(AA80&lt;1,0,(AA80-1)*武将觉醒!E$34*G80)+武将数量星级阶位验证!V76</f>
        <v>0</v>
      </c>
      <c r="AF80" s="41">
        <f>IF(AB80&lt;1,0,(AB80-1)*武将觉醒!F$34*H80)+武将数量星级阶位验证!W76</f>
        <v>0</v>
      </c>
      <c r="AG80" s="41">
        <f>IF(AC80&lt;1,0,(AC80-1)*武将觉醒!G$34*I80)+武将数量星级阶位验证!X76</f>
        <v>24</v>
      </c>
      <c r="AH80" s="41">
        <f>IF(AD80&lt;1,0,(AD80-1)*武将觉醒!H$34*J80)+武将数量星级阶位验证!Y76</f>
        <v>0</v>
      </c>
      <c r="AJ80" s="29">
        <f>MAX(W80+AE80+G80*(K80+1)+IF(武将数量星级阶位验证!L76="",0,武将数量星级阶位验证!L76)*武将升星!P73,O80)</f>
        <v>24</v>
      </c>
      <c r="AK80" s="29">
        <f>MAX(X80+AF80+H80*(L80+1)+IF(武将数量星级阶位验证!M76="",0,武将数量星级阶位验证!M76)*武将升星!Q73,P80)</f>
        <v>984</v>
      </c>
      <c r="AL80" s="64">
        <f>MAX(Y80+AG80+I80*(M80+1)+IF(武将数量星级阶位验证!N76="",0,武将数量星级阶位验证!N76)*武将升星!R73,Q80)</f>
        <v>714.08301110921752</v>
      </c>
      <c r="AM80" s="41">
        <f t="shared" si="74"/>
        <v>108</v>
      </c>
      <c r="AO80" s="17">
        <f>武将数量星级阶位验证!BJ76</f>
        <v>21906.458301252027</v>
      </c>
      <c r="AP80" s="17">
        <f>武将数量星级阶位验证!BK76</f>
        <v>6191.7742501143912</v>
      </c>
      <c r="AQ80" s="63">
        <f>武将数量星级阶位验证!BL76</f>
        <v>907.45497296512303</v>
      </c>
      <c r="AR80" s="17">
        <f>武将数量星级阶位验证!BM76</f>
        <v>335.26022790363953</v>
      </c>
      <c r="AT80" s="17">
        <f t="shared" si="75"/>
        <v>1870</v>
      </c>
      <c r="AU80" s="17">
        <f t="shared" si="76"/>
        <v>111.00691759243479</v>
      </c>
      <c r="BA80" s="17">
        <f>基础状态预期!J86</f>
        <v>6</v>
      </c>
      <c r="BB80" s="62">
        <f t="shared" si="77"/>
        <v>6</v>
      </c>
      <c r="BD80" s="17">
        <v>0</v>
      </c>
      <c r="BE80" s="17">
        <v>0</v>
      </c>
      <c r="BF80" s="17">
        <v>24</v>
      </c>
      <c r="BG80" s="17">
        <v>0</v>
      </c>
      <c r="BH80" s="62">
        <f t="shared" si="78"/>
        <v>24</v>
      </c>
      <c r="BJ80" s="17">
        <f t="shared" si="79"/>
        <v>0</v>
      </c>
      <c r="BK80" s="17">
        <f t="shared" si="80"/>
        <v>0</v>
      </c>
      <c r="BL80" s="17">
        <f t="shared" si="81"/>
        <v>24</v>
      </c>
      <c r="BM80" s="17">
        <f t="shared" si="82"/>
        <v>6</v>
      </c>
      <c r="BN80" s="62">
        <f t="shared" si="83"/>
        <v>30</v>
      </c>
      <c r="BR80" s="17">
        <f>武将升星!P73*基础状态预期!G86+G80*(K80+1)+W80+AE80</f>
        <v>0</v>
      </c>
      <c r="BS80" s="17">
        <f>武将升星!Q73*基础状态预期!H86+H80*(L80+1)+X80+AF80</f>
        <v>984</v>
      </c>
      <c r="BT80" s="17">
        <f>武将升星!R73*基础状态预期!I86+I80*(M80+1)+Y80+AG80</f>
        <v>714.08301110921752</v>
      </c>
      <c r="BU80" s="17">
        <f>武将升星!S73*基础状态预期!J86+J80*(N80+1)+Z80+AH80</f>
        <v>108</v>
      </c>
    </row>
    <row r="81" spans="2:73" x14ac:dyDescent="0.15">
      <c r="B81" s="17">
        <v>29</v>
      </c>
      <c r="E81" s="29">
        <f>基础状态预期!C87</f>
        <v>2380</v>
      </c>
      <c r="F81" s="29">
        <f>基础状态预期!D87</f>
        <v>114.47614359759058</v>
      </c>
      <c r="G81" s="29">
        <f t="shared" si="67"/>
        <v>0</v>
      </c>
      <c r="H81" s="29">
        <f t="shared" si="68"/>
        <v>0</v>
      </c>
      <c r="I81" s="29">
        <f t="shared" si="69"/>
        <v>24</v>
      </c>
      <c r="J81" s="29">
        <f t="shared" si="70"/>
        <v>0</v>
      </c>
      <c r="K81" s="29">
        <f>武将战力价值情况!G77</f>
        <v>3</v>
      </c>
      <c r="L81" s="29">
        <f>武将战力价值情况!H77</f>
        <v>6</v>
      </c>
      <c r="M81" s="29">
        <f>武将战力价值情况!I77</f>
        <v>8</v>
      </c>
      <c r="N81" s="29">
        <f>武将战力价值情况!J77</f>
        <v>8</v>
      </c>
      <c r="O81" s="41">
        <f>MAX(同名需求(G81,求节点(武将升星!$C$104:$C$112,武将升星!E$104:E$112,K81),F$2),武将数量星级阶位验证!AA77)</f>
        <v>24</v>
      </c>
      <c r="P81" s="41">
        <f>MAX(同名需求(H81,求节点(武将升星!$C$104:$C$112,武将升星!F$104:F$112,L81),G$2),武将数量星级阶位验证!AB77)</f>
        <v>120</v>
      </c>
      <c r="Q81" s="41">
        <f>MAX(同名需求(I81,求节点(武将升星!$C$104:$C$112,武将升星!G$104:G$112,M81),H$2),武将数量星级阶位验证!AC77)</f>
        <v>704</v>
      </c>
      <c r="R81" s="41">
        <f>MAX(同名需求(J81,求节点(武将升星!$C$104:$C$112,武将升星!H$104:H$112,N81),I$2),武将数量星级阶位验证!AD77)</f>
        <v>108</v>
      </c>
      <c r="S81" s="29">
        <f>MAX(基础状态预期!P87:T87)</f>
        <v>4.579045743903623</v>
      </c>
      <c r="T81" s="29">
        <f t="shared" si="71"/>
        <v>4.579045743903623</v>
      </c>
      <c r="U81" s="29">
        <f t="shared" si="72"/>
        <v>4.579045743903623</v>
      </c>
      <c r="V81" s="29">
        <f t="shared" si="73"/>
        <v>4.579045743903623</v>
      </c>
      <c r="W81" s="41">
        <f>SUMIFS(武将进阶!F$13:F$18,武将进阶!$C$13:$C$18,"&lt;="&amp;T81)*H81+武将数量星级阶位验证!Q77</f>
        <v>0</v>
      </c>
      <c r="X81" s="41">
        <f>SUMIFS(武将进阶!G$13:G$18,武将进阶!$C$13:$C$18,"&lt;="&amp;U81)*I81+武将数量星级阶位验证!R77</f>
        <v>984</v>
      </c>
      <c r="Y81" s="41">
        <f>SUMIFS(武将进阶!H$13:H$18,武将进阶!$C$13:$C$18,"&lt;="&amp;V81)*J81+武将数量星级阶位验证!S77</f>
        <v>515.71372317108694</v>
      </c>
      <c r="Z81" s="41">
        <f>SUMIFS(武将进阶!I$13:I$18,武将进阶!$C$13:$C$18,"&lt;="&amp;W81)*K81+武将数量星级阶位验证!T77</f>
        <v>0</v>
      </c>
      <c r="AA81" s="29"/>
      <c r="AB81" s="29">
        <f>求节点(基础状态预期!$AT$17:$AT$55,基础状态预期!AW$17:AW$55,各r阵容卡情况!$F81)</f>
        <v>2</v>
      </c>
      <c r="AC81" s="29">
        <f>求节点(基础状态预期!$AT$17:$AT$55,基础状态预期!AX$17:AX$55,各r阵容卡情况!$F81)</f>
        <v>2</v>
      </c>
      <c r="AD81" s="29">
        <f>求节点(基础状态预期!$AT$17:$AT$55,基础状态预期!AY$17:AY$55,各r阵容卡情况!$F81)</f>
        <v>2</v>
      </c>
      <c r="AE81" s="41">
        <f>IF(AA81&lt;1,0,(AA81-1)*武将觉醒!E$34*G81)+武将数量星级阶位验证!V77</f>
        <v>0</v>
      </c>
      <c r="AF81" s="41">
        <f>IF(AB81&lt;1,0,(AB81-1)*武将觉醒!F$34*H81)+武将数量星级阶位验证!W77</f>
        <v>0</v>
      </c>
      <c r="AG81" s="41">
        <f>IF(AC81&lt;1,0,(AC81-1)*武将觉醒!G$34*I81)+武将数量星级阶位验证!X77</f>
        <v>24</v>
      </c>
      <c r="AH81" s="41">
        <f>IF(AD81&lt;1,0,(AD81-1)*武将觉醒!H$34*J81)+武将数量星级阶位验证!Y77</f>
        <v>0</v>
      </c>
      <c r="AJ81" s="29">
        <f>MAX(W81+AE81+G81*(K81+1)+IF(武将数量星级阶位验证!L77="",0,武将数量星级阶位验证!L77)*武将升星!P74,O81)</f>
        <v>24</v>
      </c>
      <c r="AK81" s="29">
        <f>MAX(X81+AF81+H81*(L81+1)+IF(武将数量星级阶位验证!M77="",0,武将数量星级阶位验证!M77)*武将升星!Q74,P81)</f>
        <v>984</v>
      </c>
      <c r="AL81" s="64">
        <f>MAX(Y81+AG81+I81*(M81+1)+IF(武将数量星级阶位验证!N77="",0,武将数量星级阶位验证!N77)*武将升星!R74,Q81)</f>
        <v>755.71372317108694</v>
      </c>
      <c r="AM81" s="41">
        <f t="shared" si="74"/>
        <v>108</v>
      </c>
      <c r="AO81" s="17">
        <f>武将数量星级阶位验证!BJ77</f>
        <v>27585.352927440326</v>
      </c>
      <c r="AP81" s="17">
        <f>武将数量星级阶位验证!BK77</f>
        <v>7738.3389129188763</v>
      </c>
      <c r="AQ81" s="63">
        <f>武将数量星级阶位验证!BL77</f>
        <v>1126.6896723857958</v>
      </c>
      <c r="AR81" s="17">
        <f>武将数量星级阶位验证!BM77</f>
        <v>417.32451749811059</v>
      </c>
      <c r="AT81" s="17">
        <f t="shared" si="75"/>
        <v>2380</v>
      </c>
      <c r="AU81" s="17">
        <f t="shared" si="76"/>
        <v>114.47614359759058</v>
      </c>
      <c r="BA81" s="17">
        <f>基础状态预期!J87</f>
        <v>6</v>
      </c>
      <c r="BB81" s="62">
        <f t="shared" si="77"/>
        <v>6</v>
      </c>
      <c r="BD81" s="17">
        <v>0</v>
      </c>
      <c r="BE81" s="17">
        <v>0</v>
      </c>
      <c r="BF81" s="17">
        <v>24</v>
      </c>
      <c r="BG81" s="17">
        <v>0</v>
      </c>
      <c r="BH81" s="62">
        <f t="shared" si="78"/>
        <v>24</v>
      </c>
      <c r="BJ81" s="17">
        <f t="shared" si="79"/>
        <v>0</v>
      </c>
      <c r="BK81" s="17">
        <f t="shared" si="80"/>
        <v>0</v>
      </c>
      <c r="BL81" s="17">
        <f t="shared" si="81"/>
        <v>24</v>
      </c>
      <c r="BM81" s="17">
        <f t="shared" si="82"/>
        <v>6</v>
      </c>
      <c r="BN81" s="62">
        <f t="shared" si="83"/>
        <v>30</v>
      </c>
      <c r="BR81" s="17">
        <f>武将升星!P74*基础状态预期!G87+G81*(K81+1)+W81+AE81</f>
        <v>0</v>
      </c>
      <c r="BS81" s="17">
        <f>武将升星!Q74*基础状态预期!H87+H81*(L81+1)+X81+AF81</f>
        <v>984</v>
      </c>
      <c r="BT81" s="17">
        <f>武将升星!R74*基础状态预期!I87+I81*(M81+1)+Y81+AG81</f>
        <v>755.71372317108694</v>
      </c>
      <c r="BU81" s="17">
        <f>武将升星!S74*基础状态预期!J87+J81*(N81+1)+Z81+AH81</f>
        <v>108</v>
      </c>
    </row>
    <row r="82" spans="2:73" x14ac:dyDescent="0.15">
      <c r="B82" s="17">
        <v>30</v>
      </c>
      <c r="E82" s="29">
        <f>基础状态预期!C88</f>
        <v>3043</v>
      </c>
      <c r="F82" s="29">
        <f>基础状态预期!D88</f>
        <v>118.05724034557241</v>
      </c>
      <c r="G82" s="29">
        <f t="shared" si="67"/>
        <v>0</v>
      </c>
      <c r="H82" s="29">
        <f t="shared" si="68"/>
        <v>0</v>
      </c>
      <c r="I82" s="29">
        <f t="shared" si="69"/>
        <v>24</v>
      </c>
      <c r="J82" s="29">
        <f t="shared" si="70"/>
        <v>0</v>
      </c>
      <c r="K82" s="29">
        <f>武将战力价值情况!G78</f>
        <v>3</v>
      </c>
      <c r="L82" s="29">
        <f>武将战力价值情况!H78</f>
        <v>6</v>
      </c>
      <c r="M82" s="29">
        <f>武将战力价值情况!I78</f>
        <v>8</v>
      </c>
      <c r="N82" s="29">
        <f>武将战力价值情况!J78</f>
        <v>8</v>
      </c>
      <c r="O82" s="41">
        <f>MAX(同名需求(G82,求节点(武将升星!$C$104:$C$112,武将升星!E$104:E$112,K82),F$2),武将数量星级阶位验证!AA78)</f>
        <v>24</v>
      </c>
      <c r="P82" s="41">
        <f>MAX(同名需求(H82,求节点(武将升星!$C$104:$C$112,武将升星!F$104:F$112,L82),G$2),武将数量星级阶位验证!AB78)</f>
        <v>120</v>
      </c>
      <c r="Q82" s="41">
        <f>MAX(同名需求(I82,求节点(武将升星!$C$104:$C$112,武将升星!G$104:G$112,M82),H$2),武将数量星级阶位验证!AC78)</f>
        <v>704</v>
      </c>
      <c r="R82" s="41">
        <f>MAX(同名需求(J82,求节点(武将升星!$C$104:$C$112,武将升星!H$104:H$112,N82),I$2),武将数量星级阶位验证!AD78)</f>
        <v>108</v>
      </c>
      <c r="S82" s="29">
        <f>MAX(基础状态预期!P88:T88)</f>
        <v>4.7222896138228965</v>
      </c>
      <c r="T82" s="29">
        <f t="shared" si="71"/>
        <v>4.7222896138228965</v>
      </c>
      <c r="U82" s="29">
        <f t="shared" si="72"/>
        <v>4.7222896138228965</v>
      </c>
      <c r="V82" s="29">
        <f t="shared" si="73"/>
        <v>4.7222896138228965</v>
      </c>
      <c r="W82" s="41">
        <f>SUMIFS(武将进阶!F$13:F$18,武将进阶!$C$13:$C$18,"&lt;="&amp;T82)*H82+武将数量星级阶位验证!Q78</f>
        <v>0</v>
      </c>
      <c r="X82" s="41">
        <f>SUMIFS(武将进阶!G$13:G$18,武将进阶!$C$13:$C$18,"&lt;="&amp;U82)*I82+武将数量星级阶位验证!R78</f>
        <v>984</v>
      </c>
      <c r="Y82" s="41">
        <f>SUMIFS(武将进阶!H$13:H$18,武将进阶!$C$13:$C$18,"&lt;="&amp;V82)*J82+武将数量星级阶位验证!S78</f>
        <v>558.68688414686892</v>
      </c>
      <c r="Z82" s="41">
        <f>SUMIFS(武将进阶!I$13:I$18,武将进阶!$C$13:$C$18,"&lt;="&amp;W82)*K82+武将数量星级阶位验证!T78</f>
        <v>0</v>
      </c>
      <c r="AA82" s="29"/>
      <c r="AB82" s="29">
        <f>求节点(基础状态预期!$AT$17:$AT$55,基础状态预期!AW$17:AW$55,各r阵容卡情况!$F82)</f>
        <v>2</v>
      </c>
      <c r="AC82" s="29">
        <f>求节点(基础状态预期!$AT$17:$AT$55,基础状态预期!AX$17:AX$55,各r阵容卡情况!$F82)</f>
        <v>2</v>
      </c>
      <c r="AD82" s="29">
        <f>求节点(基础状态预期!$AT$17:$AT$55,基础状态预期!AY$17:AY$55,各r阵容卡情况!$F82)</f>
        <v>2</v>
      </c>
      <c r="AE82" s="41">
        <f>IF(AA82&lt;1,0,(AA82-1)*武将觉醒!E$34*G82)+武将数量星级阶位验证!V78</f>
        <v>0</v>
      </c>
      <c r="AF82" s="41">
        <f>IF(AB82&lt;1,0,(AB82-1)*武将觉醒!F$34*H82)+武将数量星级阶位验证!W78</f>
        <v>0</v>
      </c>
      <c r="AG82" s="41">
        <f>IF(AC82&lt;1,0,(AC82-1)*武将觉醒!G$34*I82)+武将数量星级阶位验证!X78</f>
        <v>24</v>
      </c>
      <c r="AH82" s="41">
        <f>IF(AD82&lt;1,0,(AD82-1)*武将觉醒!H$34*J82)+武将数量星级阶位验证!Y78</f>
        <v>0</v>
      </c>
      <c r="AJ82" s="29">
        <f>MAX(W82+AE82+G82*(K82+1)+IF(武将数量星级阶位验证!L78="",0,武将数量星级阶位验证!L78)*武将升星!P75,O82)</f>
        <v>24</v>
      </c>
      <c r="AK82" s="29">
        <f>MAX(X82+AF82+H82*(L82+1)+IF(武将数量星级阶位验证!M78="",0,武将数量星级阶位验证!M78)*武将升星!Q75,P82)</f>
        <v>984</v>
      </c>
      <c r="AL82" s="64">
        <f>MAX(Y82+AG82+I82*(M82+1)+IF(武将数量星级阶位验证!N78="",0,武将数量星级阶位验证!N78)*武将升星!R75,Q82)</f>
        <v>798.68688414686892</v>
      </c>
      <c r="AM82" s="41">
        <f t="shared" si="74"/>
        <v>108</v>
      </c>
      <c r="AO82" s="17">
        <f>武将数量星级阶位验证!BJ78</f>
        <v>34936.011654071321</v>
      </c>
      <c r="AP82" s="17">
        <f>武将数量星级阶位验证!BK78</f>
        <v>9731.6274138004956</v>
      </c>
      <c r="AQ82" s="63">
        <f>武将数量星级阶位验证!BL78</f>
        <v>1409.1079475180388</v>
      </c>
      <c r="AR82" s="17">
        <f>武将数量星级阶位验证!BM78</f>
        <v>522.19731009068062</v>
      </c>
      <c r="AT82" s="17">
        <f t="shared" si="75"/>
        <v>3043</v>
      </c>
      <c r="AU82" s="17">
        <f t="shared" si="76"/>
        <v>118.05724034557241</v>
      </c>
      <c r="BA82" s="17">
        <f>基础状态预期!J88</f>
        <v>6</v>
      </c>
      <c r="BB82" s="62">
        <f t="shared" si="77"/>
        <v>6</v>
      </c>
      <c r="BD82" s="17">
        <v>0</v>
      </c>
      <c r="BE82" s="17">
        <v>0</v>
      </c>
      <c r="BF82" s="17">
        <v>24</v>
      </c>
      <c r="BG82" s="17">
        <v>0</v>
      </c>
      <c r="BH82" s="62">
        <f t="shared" si="78"/>
        <v>24</v>
      </c>
      <c r="BJ82" s="17">
        <f t="shared" si="79"/>
        <v>0</v>
      </c>
      <c r="BK82" s="17">
        <f t="shared" si="80"/>
        <v>0</v>
      </c>
      <c r="BL82" s="17">
        <f t="shared" si="81"/>
        <v>24</v>
      </c>
      <c r="BM82" s="17">
        <f t="shared" si="82"/>
        <v>6</v>
      </c>
      <c r="BN82" s="62">
        <f t="shared" si="83"/>
        <v>30</v>
      </c>
      <c r="BR82" s="17">
        <f>武将升星!P75*基础状态预期!G88+G82*(K82+1)+W82+AE82</f>
        <v>0</v>
      </c>
      <c r="BS82" s="17">
        <f>武将升星!Q75*基础状态预期!H88+H82*(L82+1)+X82+AF82</f>
        <v>984</v>
      </c>
      <c r="BT82" s="17">
        <f>武将升星!R75*基础状态预期!I88+I82*(M82+1)+Y82+AG82</f>
        <v>798.68688414686892</v>
      </c>
      <c r="BU82" s="17">
        <f>武将升星!S75*基础状态预期!J88+J82*(N82+1)+Z82+AH82</f>
        <v>108</v>
      </c>
    </row>
    <row r="83" spans="2:73" x14ac:dyDescent="0.15">
      <c r="B83" s="17">
        <v>31</v>
      </c>
      <c r="E83" s="29">
        <f>基础状态预期!C89</f>
        <v>3859</v>
      </c>
      <c r="F83" s="29">
        <f>基础状态预期!D89</f>
        <v>121.49411884885473</v>
      </c>
      <c r="G83" s="29">
        <f t="shared" si="67"/>
        <v>0</v>
      </c>
      <c r="H83" s="29">
        <f t="shared" si="68"/>
        <v>0</v>
      </c>
      <c r="I83" s="29">
        <f t="shared" si="69"/>
        <v>24</v>
      </c>
      <c r="J83" s="29">
        <f t="shared" si="70"/>
        <v>0</v>
      </c>
      <c r="K83" s="29">
        <f>武将战力价值情况!G79</f>
        <v>3</v>
      </c>
      <c r="L83" s="29">
        <f>武将战力价值情况!H79</f>
        <v>6</v>
      </c>
      <c r="M83" s="29">
        <f>武将战力价值情况!I79</f>
        <v>8</v>
      </c>
      <c r="N83" s="29">
        <f>武将战力价值情况!J79</f>
        <v>8</v>
      </c>
      <c r="O83" s="41">
        <f>MAX(同名需求(G83,求节点(武将升星!$C$104:$C$112,武将升星!E$104:E$112,K83),F$2),武将数量星级阶位验证!AA79)</f>
        <v>24</v>
      </c>
      <c r="P83" s="41">
        <f>MAX(同名需求(H83,求节点(武将升星!$C$104:$C$112,武将升星!F$104:F$112,L83),G$2),武将数量星级阶位验证!AB79)</f>
        <v>120</v>
      </c>
      <c r="Q83" s="41">
        <f>MAX(同名需求(I83,求节点(武将升星!$C$104:$C$112,武将升星!G$104:G$112,M83),H$2),武将数量星级阶位验证!AC79)</f>
        <v>704</v>
      </c>
      <c r="R83" s="41">
        <f>MAX(同名需求(J83,求节点(武将升星!$C$104:$C$112,武将升星!H$104:H$112,N83),I$2),武将数量星级阶位验证!AD79)</f>
        <v>108</v>
      </c>
      <c r="S83" s="29">
        <f>MAX(基础状态预期!P89:T89)</f>
        <v>4.8597647539541891</v>
      </c>
      <c r="T83" s="29">
        <f t="shared" si="71"/>
        <v>4.8597647539541891</v>
      </c>
      <c r="U83" s="29">
        <f t="shared" si="72"/>
        <v>4.8597647539541891</v>
      </c>
      <c r="V83" s="29">
        <f t="shared" si="73"/>
        <v>4.8597647539541891</v>
      </c>
      <c r="W83" s="41">
        <f>SUMIFS(武将进阶!F$13:F$18,武将进阶!$C$13:$C$18,"&lt;="&amp;T83)*H83+武将数量星级阶位验证!Q79</f>
        <v>0</v>
      </c>
      <c r="X83" s="41">
        <f>SUMIFS(武将进阶!G$13:G$18,武将进阶!$C$13:$C$18,"&lt;="&amp;U83)*I83+武将数量星级阶位验证!R79</f>
        <v>984</v>
      </c>
      <c r="Y83" s="41">
        <f>SUMIFS(武将进阶!H$13:H$18,武将进阶!$C$13:$C$18,"&lt;="&amp;V83)*J83+武将数量星级阶位验证!S79</f>
        <v>599.92942618625671</v>
      </c>
      <c r="Z83" s="41">
        <f>SUMIFS(武将进阶!I$13:I$18,武将进阶!$C$13:$C$18,"&lt;="&amp;W83)*K83+武将数量星级阶位验证!T79</f>
        <v>0</v>
      </c>
      <c r="AA83" s="29"/>
      <c r="AB83" s="29">
        <f>求节点(基础状态预期!$AT$17:$AT$55,基础状态预期!AW$17:AW$55,各r阵容卡情况!$F83)</f>
        <v>2</v>
      </c>
      <c r="AC83" s="29">
        <f>求节点(基础状态预期!$AT$17:$AT$55,基础状态预期!AX$17:AX$55,各r阵容卡情况!$F83)</f>
        <v>2</v>
      </c>
      <c r="AD83" s="29">
        <f>求节点(基础状态预期!$AT$17:$AT$55,基础状态预期!AY$17:AY$55,各r阵容卡情况!$F83)</f>
        <v>2</v>
      </c>
      <c r="AE83" s="41">
        <f>IF(AA83&lt;1,0,(AA83-1)*武将觉醒!E$34*G83)+武将数量星级阶位验证!V79</f>
        <v>0</v>
      </c>
      <c r="AF83" s="41">
        <f>IF(AB83&lt;1,0,(AB83-1)*武将觉醒!F$34*H83)+武将数量星级阶位验证!W79</f>
        <v>0</v>
      </c>
      <c r="AG83" s="41">
        <f>IF(AC83&lt;1,0,(AC83-1)*武将觉醒!G$34*I83)+武将数量星级阶位验证!X79</f>
        <v>24</v>
      </c>
      <c r="AH83" s="41">
        <f>IF(AD83&lt;1,0,(AD83-1)*武将觉醒!H$34*J83)+武将数量星级阶位验证!Y79</f>
        <v>0</v>
      </c>
      <c r="AJ83" s="29">
        <f>MAX(W83+AE83+G83*(K83+1)+IF(武将数量星级阶位验证!L79="",0,武将数量星级阶位验证!L79)*武将升星!P76,O83)</f>
        <v>24</v>
      </c>
      <c r="AK83" s="29">
        <f>MAX(X83+AF83+H83*(L83+1)+IF(武将数量星级阶位验证!M79="",0,武将数量星级阶位验证!M79)*武将升星!Q76,P83)</f>
        <v>984</v>
      </c>
      <c r="AL83" s="64">
        <f>MAX(Y83+AG83+I83*(M83+1)+IF(武将数量星级阶位验证!N79="",0,武将数量星级阶位验证!N79)*武将升星!R76,Q83)</f>
        <v>839.92942618625671</v>
      </c>
      <c r="AM83" s="41">
        <f t="shared" si="74"/>
        <v>108</v>
      </c>
      <c r="AO83" s="17">
        <f>武将数量星级阶位验证!BJ79</f>
        <v>43891.597289484547</v>
      </c>
      <c r="AP83" s="17">
        <f>武将数量星级阶位验证!BK79</f>
        <v>12135.511541050884</v>
      </c>
      <c r="AQ83" s="63">
        <f>武将数量星级阶位验证!BL79</f>
        <v>1749.2905666055972</v>
      </c>
      <c r="AR83" s="17">
        <f>武将数量星级阶位验证!BM79</f>
        <v>646.08514345197136</v>
      </c>
      <c r="AT83" s="17">
        <f t="shared" si="75"/>
        <v>3859</v>
      </c>
      <c r="AU83" s="17">
        <f t="shared" si="76"/>
        <v>121.49411884885473</v>
      </c>
      <c r="BA83" s="17">
        <f>基础状态预期!J89</f>
        <v>6</v>
      </c>
      <c r="BB83" s="62">
        <f t="shared" si="77"/>
        <v>6</v>
      </c>
      <c r="BD83" s="17">
        <v>0</v>
      </c>
      <c r="BE83" s="17">
        <v>0</v>
      </c>
      <c r="BF83" s="17">
        <v>24</v>
      </c>
      <c r="BG83" s="17">
        <v>0</v>
      </c>
      <c r="BH83" s="62">
        <f t="shared" si="78"/>
        <v>24</v>
      </c>
      <c r="BJ83" s="17">
        <f t="shared" si="79"/>
        <v>0</v>
      </c>
      <c r="BK83" s="17">
        <f t="shared" si="80"/>
        <v>0</v>
      </c>
      <c r="BL83" s="17">
        <f t="shared" si="81"/>
        <v>24</v>
      </c>
      <c r="BM83" s="17">
        <f t="shared" si="82"/>
        <v>6</v>
      </c>
      <c r="BN83" s="62">
        <f t="shared" si="83"/>
        <v>30</v>
      </c>
      <c r="BR83" s="17">
        <f>武将升星!P76*基础状态预期!G89+G83*(K83+1)+W83+AE83</f>
        <v>0</v>
      </c>
      <c r="BS83" s="17">
        <f>武将升星!Q76*基础状态预期!H89+H83*(L83+1)+X83+AF83</f>
        <v>984</v>
      </c>
      <c r="BT83" s="17">
        <f>武将升星!R76*基础状态预期!I89+I83*(M83+1)+Y83+AG83</f>
        <v>839.92942618625671</v>
      </c>
      <c r="BU83" s="17">
        <f>武将升星!S76*基础状态预期!J89+J83*(N83+1)+Z83+AH83</f>
        <v>108</v>
      </c>
    </row>
    <row r="84" spans="2:73" x14ac:dyDescent="0.15">
      <c r="B84" s="17">
        <v>32</v>
      </c>
      <c r="E84" s="29">
        <f>基础状态预期!C90</f>
        <v>4930</v>
      </c>
      <c r="F84" s="29">
        <f>基础状态预期!D90</f>
        <v>125.03100311549058</v>
      </c>
      <c r="G84" s="29">
        <f t="shared" si="67"/>
        <v>0</v>
      </c>
      <c r="H84" s="29">
        <f t="shared" si="68"/>
        <v>0</v>
      </c>
      <c r="I84" s="29">
        <f t="shared" si="69"/>
        <v>24</v>
      </c>
      <c r="J84" s="29">
        <f t="shared" si="70"/>
        <v>0</v>
      </c>
      <c r="K84" s="29">
        <f>武将战力价值情况!G80</f>
        <v>3</v>
      </c>
      <c r="L84" s="29">
        <f>武将战力价值情况!H80</f>
        <v>6</v>
      </c>
      <c r="M84" s="29">
        <f>武将战力价值情况!I80</f>
        <v>8</v>
      </c>
      <c r="N84" s="29">
        <f>武将战力价值情况!J80</f>
        <v>8</v>
      </c>
      <c r="O84" s="41">
        <f>MAX(同名需求(G84,求节点(武将升星!$C$104:$C$112,武将升星!E$104:E$112,K84),F$2),武将数量星级阶位验证!AA80)</f>
        <v>24</v>
      </c>
      <c r="P84" s="41">
        <f>MAX(同名需求(H84,求节点(武将升星!$C$104:$C$112,武将升星!F$104:F$112,L84),G$2),武将数量星级阶位验证!AB80)</f>
        <v>120</v>
      </c>
      <c r="Q84" s="41">
        <f>MAX(同名需求(I84,求节点(武将升星!$C$104:$C$112,武将升星!G$104:G$112,M84),H$2),武将数量星级阶位验证!AC80)</f>
        <v>704</v>
      </c>
      <c r="R84" s="41">
        <f>MAX(同名需求(J84,求节点(武将升星!$C$104:$C$112,武将升星!H$104:H$112,N84),I$2),武将数量星级阶位验证!AD80)</f>
        <v>108</v>
      </c>
      <c r="S84" s="29">
        <f>MAX(基础状态预期!P90:T90)</f>
        <v>5</v>
      </c>
      <c r="T84" s="29">
        <f t="shared" si="71"/>
        <v>5</v>
      </c>
      <c r="U84" s="29">
        <f t="shared" si="72"/>
        <v>5</v>
      </c>
      <c r="V84" s="29">
        <f t="shared" si="73"/>
        <v>5</v>
      </c>
      <c r="W84" s="41">
        <f>SUMIFS(武将进阶!F$13:F$18,武将进阶!$C$13:$C$18,"&lt;="&amp;T84)*H84+武将数量星级阶位验证!Q80</f>
        <v>0</v>
      </c>
      <c r="X84" s="41">
        <f>SUMIFS(武将进阶!G$13:G$18,武将进阶!$C$13:$C$18,"&lt;="&amp;U84)*I84+武将数量星级阶位验证!R80</f>
        <v>1824</v>
      </c>
      <c r="Y84" s="41">
        <f>SUMIFS(武将进阶!H$13:H$18,武将进阶!$C$13:$C$18,"&lt;="&amp;V84)*J84+武将数量星级阶位验证!S80</f>
        <v>642</v>
      </c>
      <c r="Z84" s="41">
        <f>SUMIFS(武将进阶!I$13:I$18,武将进阶!$C$13:$C$18,"&lt;="&amp;W84)*K84+武将数量星级阶位验证!T80</f>
        <v>0</v>
      </c>
      <c r="AA84" s="29"/>
      <c r="AB84" s="29">
        <f>求节点(基础状态预期!$AT$17:$AT$55,基础状态预期!AW$17:AW$55,各r阵容卡情况!$F84)</f>
        <v>2</v>
      </c>
      <c r="AC84" s="29">
        <f>求节点(基础状态预期!$AT$17:$AT$55,基础状态预期!AX$17:AX$55,各r阵容卡情况!$F84)</f>
        <v>2</v>
      </c>
      <c r="AD84" s="29">
        <f>求节点(基础状态预期!$AT$17:$AT$55,基础状态预期!AY$17:AY$55,各r阵容卡情况!$F84)</f>
        <v>2</v>
      </c>
      <c r="AE84" s="41">
        <f>IF(AA84&lt;1,0,(AA84-1)*武将觉醒!E$34*G84)+武将数量星级阶位验证!V80</f>
        <v>0</v>
      </c>
      <c r="AF84" s="41">
        <f>IF(AB84&lt;1,0,(AB84-1)*武将觉醒!F$34*H84)+武将数量星级阶位验证!W80</f>
        <v>0</v>
      </c>
      <c r="AG84" s="41">
        <f>IF(AC84&lt;1,0,(AC84-1)*武将觉醒!G$34*I84)+武将数量星级阶位验证!X80</f>
        <v>24</v>
      </c>
      <c r="AH84" s="41">
        <f>IF(AD84&lt;1,0,(AD84-1)*武将觉醒!H$34*J84)+武将数量星级阶位验证!Y80</f>
        <v>0</v>
      </c>
      <c r="AJ84" s="29">
        <f>MAX(W84+AE84+G84*(K84+1)+IF(武将数量星级阶位验证!L80="",0,武将数量星级阶位验证!L80)*武将升星!P77,O84)</f>
        <v>24</v>
      </c>
      <c r="AK84" s="29">
        <f>MAX(X84+AF84+H84*(L84+1)+IF(武将数量星级阶位验证!M80="",0,武将数量星级阶位验证!M80)*武将升星!Q77,P84)</f>
        <v>1824</v>
      </c>
      <c r="AL84" s="64">
        <f>MAX(Y84+AG84+I84*(M84+1)+IF(武将数量星级阶位验证!N80="",0,武将数量星级阶位验证!N80)*武将升星!R77,Q84)</f>
        <v>882</v>
      </c>
      <c r="AM84" s="41">
        <f t="shared" si="74"/>
        <v>108</v>
      </c>
      <c r="AO84" s="17">
        <f>武将数量星级阶位验证!BJ80</f>
        <v>55599.757246524881</v>
      </c>
      <c r="AP84" s="17">
        <f>武将数量星级阶位验证!BK80</f>
        <v>15265.719625937556</v>
      </c>
      <c r="AQ84" s="63">
        <f>武将数量星级阶位验证!BL80</f>
        <v>2192.0467793385978</v>
      </c>
      <c r="AR84" s="17">
        <f>武将数量星级阶位验证!BM80</f>
        <v>806.07449236507193</v>
      </c>
      <c r="AT84" s="17">
        <f t="shared" si="75"/>
        <v>4930</v>
      </c>
      <c r="AU84" s="17">
        <f t="shared" si="76"/>
        <v>125.03100311549058</v>
      </c>
      <c r="BA84" s="17">
        <f>基础状态预期!J90</f>
        <v>6</v>
      </c>
      <c r="BB84" s="62">
        <f t="shared" si="77"/>
        <v>6</v>
      </c>
      <c r="BD84" s="17">
        <v>0</v>
      </c>
      <c r="BE84" s="17">
        <v>0</v>
      </c>
      <c r="BF84" s="17">
        <v>24</v>
      </c>
      <c r="BG84" s="17">
        <v>0</v>
      </c>
      <c r="BH84" s="62">
        <f t="shared" si="78"/>
        <v>24</v>
      </c>
      <c r="BJ84" s="17">
        <f t="shared" si="79"/>
        <v>0</v>
      </c>
      <c r="BK84" s="17">
        <f t="shared" si="80"/>
        <v>0</v>
      </c>
      <c r="BL84" s="17">
        <f t="shared" si="81"/>
        <v>24</v>
      </c>
      <c r="BM84" s="17">
        <f t="shared" si="82"/>
        <v>6</v>
      </c>
      <c r="BN84" s="62">
        <f t="shared" si="83"/>
        <v>30</v>
      </c>
      <c r="BR84" s="17">
        <f>武将升星!P77*基础状态预期!G90+G84*(K84+1)+W84+AE84</f>
        <v>0</v>
      </c>
      <c r="BS84" s="17">
        <f>武将升星!Q77*基础状态预期!H90+H84*(L84+1)+X84+AF84</f>
        <v>1824</v>
      </c>
      <c r="BT84" s="17">
        <f>武将升星!R77*基础状态预期!I90+I84*(M84+1)+Y84+AG84</f>
        <v>882</v>
      </c>
      <c r="BU84" s="17">
        <f>武将升星!S77*基础状态预期!J90+J84*(N84+1)+Z84+AH84</f>
        <v>108</v>
      </c>
    </row>
    <row r="85" spans="2:73" x14ac:dyDescent="0.15">
      <c r="B85" s="17">
        <v>33</v>
      </c>
      <c r="E85" s="29">
        <f>基础状态预期!C91</f>
        <v>6307</v>
      </c>
      <c r="F85" s="29">
        <f>基础状态预期!D91</f>
        <v>128.62542789463421</v>
      </c>
      <c r="G85" s="29">
        <f t="shared" si="67"/>
        <v>0</v>
      </c>
      <c r="H85" s="29">
        <f t="shared" si="68"/>
        <v>0</v>
      </c>
      <c r="I85" s="29">
        <f t="shared" si="69"/>
        <v>24</v>
      </c>
      <c r="J85" s="29">
        <f t="shared" si="70"/>
        <v>0</v>
      </c>
      <c r="K85" s="29">
        <f>武将战力价值情况!G81</f>
        <v>3</v>
      </c>
      <c r="L85" s="29">
        <f>武将战力价值情况!H81</f>
        <v>6</v>
      </c>
      <c r="M85" s="29">
        <f>武将战力价值情况!I81</f>
        <v>8</v>
      </c>
      <c r="N85" s="29">
        <f>武将战力价值情况!J81</f>
        <v>8</v>
      </c>
      <c r="O85" s="41">
        <f>MAX(同名需求(G85,求节点(武将升星!$C$104:$C$112,武将升星!E$104:E$112,K85),F$2),武将数量星级阶位验证!AA81)</f>
        <v>24</v>
      </c>
      <c r="P85" s="41">
        <f>MAX(同名需求(H85,求节点(武将升星!$C$104:$C$112,武将升星!F$104:F$112,L85),G$2),武将数量星级阶位验证!AB81)</f>
        <v>120</v>
      </c>
      <c r="Q85" s="41">
        <f>MAX(同名需求(I85,求节点(武将升星!$C$104:$C$112,武将升星!G$104:G$112,M85),H$2),武将数量星级阶位验证!AC81)</f>
        <v>704</v>
      </c>
      <c r="R85" s="41">
        <f>MAX(同名需求(J85,求节点(武将升星!$C$104:$C$112,武将升星!H$104:H$112,N85),I$2),武将数量星级阶位验证!AD81)</f>
        <v>108</v>
      </c>
      <c r="S85" s="29">
        <f>MAX(基础状态预期!P91:T91)</f>
        <v>5</v>
      </c>
      <c r="T85" s="29">
        <f t="shared" si="71"/>
        <v>5</v>
      </c>
      <c r="U85" s="29">
        <f t="shared" si="72"/>
        <v>5</v>
      </c>
      <c r="V85" s="29">
        <f t="shared" si="73"/>
        <v>5</v>
      </c>
      <c r="W85" s="41">
        <f>SUMIFS(武将进阶!F$13:F$18,武将进阶!$C$13:$C$18,"&lt;="&amp;T85)*H85+武将数量星级阶位验证!Q81</f>
        <v>0</v>
      </c>
      <c r="X85" s="41">
        <f>SUMIFS(武将进阶!G$13:G$18,武将进阶!$C$13:$C$18,"&lt;="&amp;U85)*I85+武将数量星级阶位验证!R81</f>
        <v>1824</v>
      </c>
      <c r="Y85" s="41">
        <f>SUMIFS(武将进阶!H$13:H$18,武将进阶!$C$13:$C$18,"&lt;="&amp;V85)*J85+武将数量星级阶位验证!S81</f>
        <v>642</v>
      </c>
      <c r="Z85" s="41">
        <f>SUMIFS(武将进阶!I$13:I$18,武将进阶!$C$13:$C$18,"&lt;="&amp;W85)*K85+武将数量星级阶位验证!T81</f>
        <v>0</v>
      </c>
      <c r="AA85" s="29"/>
      <c r="AB85" s="29">
        <f>求节点(基础状态预期!$AT$17:$AT$55,基础状态预期!AW$17:AW$55,各r阵容卡情况!$F85)</f>
        <v>2</v>
      </c>
      <c r="AC85" s="29">
        <f>求节点(基础状态预期!$AT$17:$AT$55,基础状态预期!AX$17:AX$55,各r阵容卡情况!$F85)</f>
        <v>2</v>
      </c>
      <c r="AD85" s="29">
        <f>求节点(基础状态预期!$AT$17:$AT$55,基础状态预期!AY$17:AY$55,各r阵容卡情况!$F85)</f>
        <v>2</v>
      </c>
      <c r="AE85" s="41">
        <f>IF(AA85&lt;1,0,(AA85-1)*武将觉醒!E$34*G85)+武将数量星级阶位验证!V81</f>
        <v>0</v>
      </c>
      <c r="AF85" s="41">
        <f>IF(AB85&lt;1,0,(AB85-1)*武将觉醒!F$34*H85)+武将数量星级阶位验证!W81</f>
        <v>0</v>
      </c>
      <c r="AG85" s="41">
        <f>IF(AC85&lt;1,0,(AC85-1)*武将觉醒!G$34*I85)+武将数量星级阶位验证!X81</f>
        <v>24</v>
      </c>
      <c r="AH85" s="41">
        <f>IF(AD85&lt;1,0,(AD85-1)*武将觉醒!H$34*J85)+武将数量星级阶位验证!Y81</f>
        <v>0</v>
      </c>
      <c r="AJ85" s="29">
        <f>MAX(W85+AE85+G85*(K85+1)+IF(武将数量星级阶位验证!L81="",0,武将数量星级阶位验证!L81)*武将升星!P78,O85)</f>
        <v>24</v>
      </c>
      <c r="AK85" s="29">
        <f>MAX(X85+AF85+H85*(L85+1)+IF(武将数量星级阶位验证!M81="",0,武将数量星级阶位验证!M81)*武将升星!Q78,P85)</f>
        <v>1824</v>
      </c>
      <c r="AL85" s="64">
        <f>MAX(Y85+AG85+I85*(M85+1)+IF(武将数量星级阶位验证!N81="",0,武将数量星级阶位验证!N81)*武将升星!R78,Q85)</f>
        <v>882</v>
      </c>
      <c r="AM85" s="41">
        <f t="shared" si="74"/>
        <v>108</v>
      </c>
      <c r="AO85" s="17">
        <f>武将数量星级阶位验证!BJ81</f>
        <v>70593.67738685396</v>
      </c>
      <c r="AP85" s="17">
        <f>武将数量星级阶位验证!BK81</f>
        <v>19258.149431520833</v>
      </c>
      <c r="AQ85" s="63">
        <f>武将数量星级阶位验证!BL81</f>
        <v>2756.4862501760899</v>
      </c>
      <c r="AR85" s="17">
        <f>武将数量星级阶位验证!BM81</f>
        <v>1008.4021219513161</v>
      </c>
      <c r="AT85" s="17">
        <f t="shared" si="75"/>
        <v>6307</v>
      </c>
      <c r="AU85" s="17">
        <f t="shared" si="76"/>
        <v>128.62542789463421</v>
      </c>
      <c r="BA85" s="17">
        <f>基础状态预期!J91</f>
        <v>6</v>
      </c>
      <c r="BB85" s="62">
        <f t="shared" si="77"/>
        <v>6</v>
      </c>
      <c r="BD85" s="17">
        <v>0</v>
      </c>
      <c r="BE85" s="17">
        <v>0</v>
      </c>
      <c r="BF85" s="17">
        <v>24</v>
      </c>
      <c r="BG85" s="17">
        <v>0</v>
      </c>
      <c r="BH85" s="62">
        <f t="shared" si="78"/>
        <v>24</v>
      </c>
      <c r="BJ85" s="17">
        <f t="shared" si="79"/>
        <v>0</v>
      </c>
      <c r="BK85" s="17">
        <f t="shared" si="80"/>
        <v>0</v>
      </c>
      <c r="BL85" s="17">
        <f t="shared" si="81"/>
        <v>24</v>
      </c>
      <c r="BM85" s="17">
        <f t="shared" si="82"/>
        <v>6</v>
      </c>
      <c r="BN85" s="62">
        <f t="shared" si="83"/>
        <v>30</v>
      </c>
      <c r="BR85" s="17">
        <f>武将升星!P78*基础状态预期!G91+G85*(K85+1)+W85+AE85</f>
        <v>0</v>
      </c>
      <c r="BS85" s="17">
        <f>武将升星!Q78*基础状态预期!H91+H85*(L85+1)+X85+AF85</f>
        <v>1824</v>
      </c>
      <c r="BT85" s="17">
        <f>武将升星!R78*基础状态预期!I91+I85*(M85+1)+Y85+AG85</f>
        <v>882</v>
      </c>
      <c r="BU85" s="17">
        <f>武将升星!S78*基础状态预期!J91+J85*(N85+1)+Z85+AH85</f>
        <v>108</v>
      </c>
    </row>
    <row r="86" spans="2:73" x14ac:dyDescent="0.15">
      <c r="B86" s="17">
        <v>34</v>
      </c>
      <c r="E86" s="29">
        <f>基础状态预期!C92</f>
        <v>8041</v>
      </c>
      <c r="F86" s="29">
        <f>基础状态预期!D92</f>
        <v>132.09902390525281</v>
      </c>
      <c r="G86" s="29">
        <f t="shared" si="67"/>
        <v>0</v>
      </c>
      <c r="H86" s="29">
        <f t="shared" si="68"/>
        <v>0</v>
      </c>
      <c r="I86" s="29">
        <f t="shared" si="69"/>
        <v>24</v>
      </c>
      <c r="J86" s="29">
        <f t="shared" si="70"/>
        <v>0</v>
      </c>
      <c r="K86" s="29">
        <f>武将战力价值情况!G82</f>
        <v>3</v>
      </c>
      <c r="L86" s="29">
        <f>武将战力价值情况!H82</f>
        <v>6</v>
      </c>
      <c r="M86" s="29">
        <f>武将战力价值情况!I82</f>
        <v>8</v>
      </c>
      <c r="N86" s="29">
        <f>武将战力价值情况!J82</f>
        <v>8</v>
      </c>
      <c r="O86" s="41">
        <f>MAX(同名需求(G86,求节点(武将升星!$C$104:$C$112,武将升星!E$104:E$112,K86),F$2),武将数量星级阶位验证!AA82)</f>
        <v>24</v>
      </c>
      <c r="P86" s="41">
        <f>MAX(同名需求(H86,求节点(武将升星!$C$104:$C$112,武将升星!F$104:F$112,L86),G$2),武将数量星级阶位验证!AB82)</f>
        <v>120</v>
      </c>
      <c r="Q86" s="41">
        <f>MAX(同名需求(I86,求节点(武将升星!$C$104:$C$112,武将升星!G$104:G$112,M86),H$2),武将数量星级阶位验证!AC82)</f>
        <v>704</v>
      </c>
      <c r="R86" s="41">
        <f>MAX(同名需求(J86,求节点(武将升星!$C$104:$C$112,武将升星!H$104:H$112,N86),I$2),武将数量星级阶位验证!AD82)</f>
        <v>108</v>
      </c>
      <c r="S86" s="29">
        <f>MAX(基础状态预期!P92:T92)</f>
        <v>5</v>
      </c>
      <c r="T86" s="29">
        <f t="shared" si="71"/>
        <v>5</v>
      </c>
      <c r="U86" s="29">
        <f t="shared" si="72"/>
        <v>5</v>
      </c>
      <c r="V86" s="29">
        <f t="shared" si="73"/>
        <v>5</v>
      </c>
      <c r="W86" s="41">
        <f>SUMIFS(武将进阶!F$13:F$18,武将进阶!$C$13:$C$18,"&lt;="&amp;T86)*H86+武将数量星级阶位验证!Q82</f>
        <v>0</v>
      </c>
      <c r="X86" s="41">
        <f>SUMIFS(武将进阶!G$13:G$18,武将进阶!$C$13:$C$18,"&lt;="&amp;U86)*I86+武将数量星级阶位验证!R82</f>
        <v>1824</v>
      </c>
      <c r="Y86" s="41">
        <f>SUMIFS(武将进阶!H$13:H$18,武将进阶!$C$13:$C$18,"&lt;="&amp;V86)*J86+武将数量星级阶位验证!S82</f>
        <v>642</v>
      </c>
      <c r="Z86" s="41">
        <f>SUMIFS(武将进阶!I$13:I$18,武将进阶!$C$13:$C$18,"&lt;="&amp;W86)*K86+武将数量星级阶位验证!T82</f>
        <v>0</v>
      </c>
      <c r="AA86" s="29"/>
      <c r="AB86" s="29">
        <f>求节点(基础状态预期!$AT$17:$AT$55,基础状态预期!AW$17:AW$55,各r阵容卡情况!$F86)</f>
        <v>2</v>
      </c>
      <c r="AC86" s="29">
        <f>求节点(基础状态预期!$AT$17:$AT$55,基础状态预期!AX$17:AX$55,各r阵容卡情况!$F86)</f>
        <v>2</v>
      </c>
      <c r="AD86" s="29">
        <f>求节点(基础状态预期!$AT$17:$AT$55,基础状态预期!AY$17:AY$55,各r阵容卡情况!$F86)</f>
        <v>2</v>
      </c>
      <c r="AE86" s="41">
        <f>IF(AA86&lt;1,0,(AA86-1)*武将觉醒!E$34*G86)+武将数量星级阶位验证!V82</f>
        <v>0</v>
      </c>
      <c r="AF86" s="41">
        <f>IF(AB86&lt;1,0,(AB86-1)*武将觉醒!F$34*H86)+武将数量星级阶位验证!W82</f>
        <v>0</v>
      </c>
      <c r="AG86" s="41">
        <f>IF(AC86&lt;1,0,(AC86-1)*武将觉醒!G$34*I86)+武将数量星级阶位验证!X82</f>
        <v>24</v>
      </c>
      <c r="AH86" s="41">
        <f>IF(AD86&lt;1,0,(AD86-1)*武将觉醒!H$34*J86)+武将数量星级阶位验证!Y82</f>
        <v>0</v>
      </c>
      <c r="AJ86" s="29">
        <f>MAX(W86+AE86+G86*(K86+1)+IF(武将数量星级阶位验证!L82="",0,武将数量星级阶位验证!L82)*武将升星!P79,O86)</f>
        <v>24</v>
      </c>
      <c r="AK86" s="29">
        <f>MAX(X86+AF86+H86*(L86+1)+IF(武将数量星级阶位验证!M82="",0,武将数量星级阶位验证!M82)*武将升星!Q79,P86)</f>
        <v>1824</v>
      </c>
      <c r="AL86" s="64">
        <f>MAX(Y86+AG86+I86*(M86+1)+IF(武将数量星级阶位验证!N82="",0,武将数量星级阶位验证!N82)*武将升星!R79,Q86)</f>
        <v>882</v>
      </c>
      <c r="AM86" s="41">
        <f t="shared" si="74"/>
        <v>108</v>
      </c>
      <c r="AO86" s="17">
        <f>武将数量星级阶位验证!BJ82</f>
        <v>89336.298839921481</v>
      </c>
      <c r="AP86" s="17">
        <f>武将数量星级阶位验证!BK82</f>
        <v>24210.728595341126</v>
      </c>
      <c r="AQ86" s="63">
        <f>武将数量星级阶位验证!BL82</f>
        <v>3456.0231247491329</v>
      </c>
      <c r="AR86" s="17">
        <f>武将数量星级阶位验证!BM82</f>
        <v>1255.3179341524465</v>
      </c>
      <c r="AT86" s="17">
        <f t="shared" si="75"/>
        <v>8041</v>
      </c>
      <c r="AU86" s="17">
        <f t="shared" si="76"/>
        <v>132.09902390525281</v>
      </c>
      <c r="BA86" s="17">
        <f>基础状态预期!J92</f>
        <v>6</v>
      </c>
      <c r="BB86" s="62">
        <f t="shared" si="77"/>
        <v>6</v>
      </c>
      <c r="BD86" s="17">
        <v>0</v>
      </c>
      <c r="BE86" s="17">
        <v>0</v>
      </c>
      <c r="BF86" s="17">
        <v>24</v>
      </c>
      <c r="BG86" s="17">
        <v>0</v>
      </c>
      <c r="BH86" s="62">
        <f t="shared" si="78"/>
        <v>24</v>
      </c>
      <c r="BJ86" s="17">
        <f t="shared" si="79"/>
        <v>0</v>
      </c>
      <c r="BK86" s="17">
        <f t="shared" si="80"/>
        <v>0</v>
      </c>
      <c r="BL86" s="17">
        <f t="shared" si="81"/>
        <v>24</v>
      </c>
      <c r="BM86" s="17">
        <f t="shared" si="82"/>
        <v>6</v>
      </c>
      <c r="BN86" s="62">
        <f t="shared" si="83"/>
        <v>30</v>
      </c>
      <c r="BR86" s="17">
        <f>武将升星!P79*基础状态预期!G92+G86*(K86+1)+W86+AE86</f>
        <v>0</v>
      </c>
      <c r="BS86" s="17">
        <f>武将升星!Q79*基础状态预期!H92+H86*(L86+1)+X86+AF86</f>
        <v>1824</v>
      </c>
      <c r="BT86" s="17">
        <f>武将升星!R79*基础状态预期!I92+I86*(M86+1)+Y86+AG86</f>
        <v>882</v>
      </c>
      <c r="BU86" s="17">
        <f>武将升星!S79*基础状态预期!J92+J86*(N86+1)+Z86+AH86</f>
        <v>108</v>
      </c>
    </row>
    <row r="87" spans="2:73" x14ac:dyDescent="0.15">
      <c r="B87" s="17">
        <v>35</v>
      </c>
      <c r="E87" s="29">
        <f>基础状态预期!C93</f>
        <v>10234</v>
      </c>
      <c r="F87" s="29">
        <f>基础状态预期!D93</f>
        <v>135.61521761503846</v>
      </c>
      <c r="G87" s="29">
        <f t="shared" si="67"/>
        <v>0</v>
      </c>
      <c r="H87" s="29">
        <f t="shared" si="68"/>
        <v>0</v>
      </c>
      <c r="I87" s="29">
        <f t="shared" si="69"/>
        <v>24</v>
      </c>
      <c r="J87" s="29">
        <f t="shared" si="70"/>
        <v>0</v>
      </c>
      <c r="K87" s="29">
        <f>武将战力价值情况!G83</f>
        <v>3</v>
      </c>
      <c r="L87" s="29">
        <f>武将战力价值情况!H83</f>
        <v>6</v>
      </c>
      <c r="M87" s="29">
        <f>武将战力价值情况!I83</f>
        <v>8</v>
      </c>
      <c r="N87" s="29">
        <f>武将战力价值情况!J83</f>
        <v>8</v>
      </c>
      <c r="O87" s="41">
        <f>MAX(同名需求(G87,求节点(武将升星!$C$104:$C$112,武将升星!E$104:E$112,K87),F$2),武将数量星级阶位验证!AA83)</f>
        <v>24</v>
      </c>
      <c r="P87" s="41">
        <f>MAX(同名需求(H87,求节点(武将升星!$C$104:$C$112,武将升星!F$104:F$112,L87),G$2),武将数量星级阶位验证!AB83)</f>
        <v>120</v>
      </c>
      <c r="Q87" s="41">
        <f>MAX(同名需求(I87,求节点(武将升星!$C$104:$C$112,武将升星!G$104:G$112,M87),H$2),武将数量星级阶位验证!AC83)</f>
        <v>704</v>
      </c>
      <c r="R87" s="41">
        <f>MAX(同名需求(J87,求节点(武将升星!$C$104:$C$112,武将升星!H$104:H$112,N87),I$2),武将数量星级阶位验证!AD83)</f>
        <v>108</v>
      </c>
      <c r="S87" s="29">
        <f>MAX(基础状态预期!P93:T93)</f>
        <v>5</v>
      </c>
      <c r="T87" s="29">
        <f t="shared" si="71"/>
        <v>5</v>
      </c>
      <c r="U87" s="29">
        <f t="shared" si="72"/>
        <v>5</v>
      </c>
      <c r="V87" s="29">
        <f t="shared" si="73"/>
        <v>5</v>
      </c>
      <c r="W87" s="41">
        <f>SUMIFS(武将进阶!F$13:F$18,武将进阶!$C$13:$C$18,"&lt;="&amp;T87)*H87+武将数量星级阶位验证!Q83</f>
        <v>0</v>
      </c>
      <c r="X87" s="41">
        <f>SUMIFS(武将进阶!G$13:G$18,武将进阶!$C$13:$C$18,"&lt;="&amp;U87)*I87+武将数量星级阶位验证!R83</f>
        <v>1824</v>
      </c>
      <c r="Y87" s="41">
        <f>SUMIFS(武将进阶!H$13:H$18,武将进阶!$C$13:$C$18,"&lt;="&amp;V87)*J87+武将数量星级阶位验证!S83</f>
        <v>642</v>
      </c>
      <c r="Z87" s="41">
        <f>SUMIFS(武将进阶!I$13:I$18,武将进阶!$C$13:$C$18,"&lt;="&amp;W87)*K87+武将数量星级阶位验证!T83</f>
        <v>0</v>
      </c>
      <c r="AA87" s="29"/>
      <c r="AB87" s="29">
        <f>求节点(基础状态预期!$AT$17:$AT$55,基础状态预期!AW$17:AW$55,各r阵容卡情况!$F87)</f>
        <v>2</v>
      </c>
      <c r="AC87" s="29">
        <f>求节点(基础状态预期!$AT$17:$AT$55,基础状态预期!AX$17:AX$55,各r阵容卡情况!$F87)</f>
        <v>2</v>
      </c>
      <c r="AD87" s="29">
        <f>求节点(基础状态预期!$AT$17:$AT$55,基础状态预期!AY$17:AY$55,各r阵容卡情况!$F87)</f>
        <v>2</v>
      </c>
      <c r="AE87" s="41">
        <f>IF(AA87&lt;1,0,(AA87-1)*武将觉醒!E$34*G87)+武将数量星级阶位验证!V83</f>
        <v>0</v>
      </c>
      <c r="AF87" s="41">
        <f>IF(AB87&lt;1,0,(AB87-1)*武将觉醒!F$34*H87)+武将数量星级阶位验证!W83</f>
        <v>0</v>
      </c>
      <c r="AG87" s="41">
        <f>IF(AC87&lt;1,0,(AC87-1)*武将觉醒!G$34*I87)+武将数量星级阶位验证!X83</f>
        <v>24</v>
      </c>
      <c r="AH87" s="41">
        <f>IF(AD87&lt;1,0,(AD87-1)*武将觉醒!H$34*J87)+武将数量星级阶位验证!Y83</f>
        <v>0</v>
      </c>
      <c r="AJ87" s="29">
        <f>MAX(W87+AE87+G87*(K87+1)+IF(武将数量星级阶位验证!L83="",0,武将数量星级阶位验证!L83)*武将升星!P80,O87)</f>
        <v>24</v>
      </c>
      <c r="AK87" s="29">
        <f>MAX(X87+AF87+H87*(L87+1)+IF(武将数量星级阶位验证!M83="",0,武将数量星级阶位验证!M83)*武将升星!Q80,P87)</f>
        <v>1824</v>
      </c>
      <c r="AL87" s="64">
        <f>MAX(Y87+AG87+I87*(M87+1)+IF(武将数量星级阶位验证!N83="",0,武将数量星级阶位验证!N83)*武将升星!R80,Q87)</f>
        <v>882</v>
      </c>
      <c r="AM87" s="41">
        <f t="shared" si="74"/>
        <v>108</v>
      </c>
      <c r="AO87" s="17">
        <f>武将数量星级阶位验证!BJ83</f>
        <v>112949.8504600289</v>
      </c>
      <c r="AP87" s="17">
        <f>武将数量星级阶位验证!BK83</f>
        <v>30425.445687291074</v>
      </c>
      <c r="AQ87" s="63">
        <f>武将数量星级阶位验证!BL83</f>
        <v>4333.4056885416258</v>
      </c>
      <c r="AR87" s="17">
        <f>武将数量星级阶位验证!BM83</f>
        <v>1562.4657288071912</v>
      </c>
      <c r="AT87" s="17">
        <f t="shared" si="75"/>
        <v>10234</v>
      </c>
      <c r="AU87" s="17">
        <f t="shared" si="76"/>
        <v>135.61521761503846</v>
      </c>
      <c r="BA87" s="17">
        <f>基础状态预期!J93</f>
        <v>6</v>
      </c>
      <c r="BB87" s="62">
        <f t="shared" si="77"/>
        <v>6</v>
      </c>
      <c r="BD87" s="17">
        <v>0</v>
      </c>
      <c r="BE87" s="17">
        <v>0</v>
      </c>
      <c r="BF87" s="17">
        <v>24</v>
      </c>
      <c r="BG87" s="17">
        <v>0</v>
      </c>
      <c r="BH87" s="62">
        <f t="shared" si="78"/>
        <v>24</v>
      </c>
      <c r="BJ87" s="17">
        <f t="shared" si="79"/>
        <v>0</v>
      </c>
      <c r="BK87" s="17">
        <f t="shared" si="80"/>
        <v>0</v>
      </c>
      <c r="BL87" s="17">
        <f t="shared" si="81"/>
        <v>24</v>
      </c>
      <c r="BM87" s="17">
        <f t="shared" si="82"/>
        <v>6</v>
      </c>
      <c r="BN87" s="62">
        <f t="shared" si="83"/>
        <v>30</v>
      </c>
      <c r="BR87" s="17">
        <f>武将升星!P80*基础状态预期!G93+G87*(K87+1)+W87+AE87</f>
        <v>0</v>
      </c>
      <c r="BS87" s="17">
        <f>武将升星!Q80*基础状态预期!H93+H87*(L87+1)+X87+AF87</f>
        <v>1824</v>
      </c>
      <c r="BT87" s="17">
        <f>武将升星!R80*基础状态预期!I93+I87*(M87+1)+Y87+AG87</f>
        <v>882</v>
      </c>
      <c r="BU87" s="17">
        <f>武将升星!S80*基础状态预期!J93+J87*(N87+1)+Z87+AH87</f>
        <v>108</v>
      </c>
    </row>
    <row r="88" spans="2:73" x14ac:dyDescent="0.15">
      <c r="B88" s="17">
        <v>36</v>
      </c>
      <c r="E88" s="29">
        <f>基础状态预期!C94</f>
        <v>13039</v>
      </c>
      <c r="F88" s="29">
        <f>基础状态预期!D94</f>
        <v>139.08794136138388</v>
      </c>
      <c r="G88" s="29">
        <f t="shared" si="67"/>
        <v>0</v>
      </c>
      <c r="H88" s="29">
        <f t="shared" si="68"/>
        <v>0</v>
      </c>
      <c r="I88" s="29">
        <f t="shared" si="69"/>
        <v>24</v>
      </c>
      <c r="J88" s="29">
        <f t="shared" si="70"/>
        <v>0</v>
      </c>
      <c r="K88" s="29">
        <f>武将战力价值情况!G84</f>
        <v>3</v>
      </c>
      <c r="L88" s="29">
        <f>武将战力价值情况!H84</f>
        <v>6</v>
      </c>
      <c r="M88" s="29">
        <f>武将战力价值情况!I84</f>
        <v>8</v>
      </c>
      <c r="N88" s="29">
        <f>武将战力价值情况!J84</f>
        <v>8</v>
      </c>
      <c r="O88" s="41">
        <f>MAX(同名需求(G88,求节点(武将升星!$C$104:$C$112,武将升星!E$104:E$112,K88),F$2),武将数量星级阶位验证!AA84)</f>
        <v>24</v>
      </c>
      <c r="P88" s="41">
        <f>MAX(同名需求(H88,求节点(武将升星!$C$104:$C$112,武将升星!F$104:F$112,L88),G$2),武将数量星级阶位验证!AB84)</f>
        <v>120</v>
      </c>
      <c r="Q88" s="41">
        <f>MAX(同名需求(I88,求节点(武将升星!$C$104:$C$112,武将升星!G$104:G$112,M88),H$2),武将数量星级阶位验证!AC84)</f>
        <v>704</v>
      </c>
      <c r="R88" s="41">
        <f>MAX(同名需求(J88,求节点(武将升星!$C$104:$C$112,武将升星!H$104:H$112,N88),I$2),武将数量星级阶位验证!AD84)</f>
        <v>108</v>
      </c>
      <c r="S88" s="29">
        <f>MAX(基础状态预期!P94:T94)</f>
        <v>5</v>
      </c>
      <c r="T88" s="29">
        <f t="shared" si="71"/>
        <v>5</v>
      </c>
      <c r="U88" s="29">
        <f t="shared" si="72"/>
        <v>5</v>
      </c>
      <c r="V88" s="29">
        <f t="shared" si="73"/>
        <v>5</v>
      </c>
      <c r="W88" s="41">
        <f>SUMIFS(武将进阶!F$13:F$18,武将进阶!$C$13:$C$18,"&lt;="&amp;T88)*H88+武将数量星级阶位验证!Q84</f>
        <v>0</v>
      </c>
      <c r="X88" s="41">
        <f>SUMIFS(武将进阶!G$13:G$18,武将进阶!$C$13:$C$18,"&lt;="&amp;U88)*I88+武将数量星级阶位验证!R84</f>
        <v>1824</v>
      </c>
      <c r="Y88" s="41">
        <f>SUMIFS(武将进阶!H$13:H$18,武将进阶!$C$13:$C$18,"&lt;="&amp;V88)*J88+武将数量星级阶位验证!S84</f>
        <v>642</v>
      </c>
      <c r="Z88" s="41">
        <f>SUMIFS(武将进阶!I$13:I$18,武将进阶!$C$13:$C$18,"&lt;="&amp;W88)*K88+武将数量星级阶位验证!T84</f>
        <v>0</v>
      </c>
      <c r="AA88" s="29"/>
      <c r="AB88" s="29">
        <f>求节点(基础状态预期!$AT$17:$AT$55,基础状态预期!AW$17:AW$55,各r阵容卡情况!$F88)</f>
        <v>2</v>
      </c>
      <c r="AC88" s="29">
        <f>求节点(基础状态预期!$AT$17:$AT$55,基础状态预期!AX$17:AX$55,各r阵容卡情况!$F88)</f>
        <v>2</v>
      </c>
      <c r="AD88" s="29">
        <f>求节点(基础状态预期!$AT$17:$AT$55,基础状态预期!AY$17:AY$55,各r阵容卡情况!$F88)</f>
        <v>2</v>
      </c>
      <c r="AE88" s="41">
        <f>IF(AA88&lt;1,0,(AA88-1)*武将觉醒!E$34*G88)+武将数量星级阶位验证!V84</f>
        <v>0</v>
      </c>
      <c r="AF88" s="41">
        <f>IF(AB88&lt;1,0,(AB88-1)*武将觉醒!F$34*H88)+武将数量星级阶位验证!W84</f>
        <v>0</v>
      </c>
      <c r="AG88" s="41">
        <f>IF(AC88&lt;1,0,(AC88-1)*武将觉醒!G$34*I88)+武将数量星级阶位验证!X84</f>
        <v>24</v>
      </c>
      <c r="AH88" s="41">
        <f>IF(AD88&lt;1,0,(AD88-1)*武将觉醒!H$34*J88)+武将数量星级阶位验证!Y84</f>
        <v>0</v>
      </c>
      <c r="AJ88" s="29">
        <f>MAX(W88+AE88+G88*(K88+1)+IF(武将数量星级阶位验证!L84="",0,武将数量星级阶位验证!L84)*武将升星!P81,O88)</f>
        <v>24</v>
      </c>
      <c r="AK88" s="29">
        <f>MAX(X88+AF88+H88*(L88+1)+IF(武将数量星级阶位验证!M84="",0,武将数量星级阶位验证!M84)*武将升星!Q81,P88)</f>
        <v>1824</v>
      </c>
      <c r="AL88" s="64">
        <f>MAX(Y88+AG88+I88*(M88+1)+IF(武将数量星级阶位验证!N84="",0,武将数量星级阶位验证!N84)*武将升星!R81,Q88)</f>
        <v>882</v>
      </c>
      <c r="AM88" s="41">
        <f t="shared" si="74"/>
        <v>108</v>
      </c>
      <c r="AO88" s="17">
        <f>武将数量星级阶位验证!BJ84</f>
        <v>143013.01015082849</v>
      </c>
      <c r="AP88" s="17">
        <f>武将数量星级阶位验证!BK84</f>
        <v>38298.70768231788</v>
      </c>
      <c r="AQ88" s="63">
        <f>武将数量星级阶位验证!BL84</f>
        <v>5444.2699877956466</v>
      </c>
      <c r="AR88" s="17">
        <f>武将数量星级阶位验证!BM84</f>
        <v>1947.3707382850057</v>
      </c>
      <c r="AT88" s="17">
        <f t="shared" si="75"/>
        <v>13039</v>
      </c>
      <c r="AU88" s="17">
        <f t="shared" si="76"/>
        <v>139.08794136138388</v>
      </c>
      <c r="BA88" s="17">
        <f>基础状态预期!J94</f>
        <v>6</v>
      </c>
      <c r="BB88" s="62">
        <f t="shared" si="77"/>
        <v>6</v>
      </c>
      <c r="BD88" s="17">
        <v>0</v>
      </c>
      <c r="BE88" s="17">
        <v>0</v>
      </c>
      <c r="BF88" s="17">
        <v>24</v>
      </c>
      <c r="BG88" s="17">
        <v>0</v>
      </c>
      <c r="BH88" s="62">
        <f t="shared" si="78"/>
        <v>24</v>
      </c>
      <c r="BJ88" s="17">
        <f t="shared" si="79"/>
        <v>0</v>
      </c>
      <c r="BK88" s="17">
        <f t="shared" si="80"/>
        <v>0</v>
      </c>
      <c r="BL88" s="17">
        <f t="shared" si="81"/>
        <v>24</v>
      </c>
      <c r="BM88" s="17">
        <f t="shared" si="82"/>
        <v>6</v>
      </c>
      <c r="BN88" s="62">
        <f t="shared" si="83"/>
        <v>30</v>
      </c>
      <c r="BR88" s="17">
        <f>武将升星!P81*基础状态预期!G94+G88*(K88+1)+W88+AE88</f>
        <v>0</v>
      </c>
      <c r="BS88" s="17">
        <f>武将升星!Q81*基础状态预期!H94+H88*(L88+1)+X88+AF88</f>
        <v>1824</v>
      </c>
      <c r="BT88" s="17">
        <f>武将升星!R81*基础状态预期!I94+I88*(M88+1)+Y88+AG88</f>
        <v>882</v>
      </c>
      <c r="BU88" s="17">
        <f>武将升星!S81*基础状态预期!J94+J88*(N88+1)+Z88+AH88</f>
        <v>108</v>
      </c>
    </row>
    <row r="89" spans="2:73" x14ac:dyDescent="0.15">
      <c r="B89" s="17">
        <v>37</v>
      </c>
      <c r="E89" s="29">
        <f>基础状态预期!C95</f>
        <v>16609</v>
      </c>
      <c r="F89" s="29">
        <f>基础状态预期!D95</f>
        <v>142.60670974426387</v>
      </c>
      <c r="G89" s="29">
        <f t="shared" si="67"/>
        <v>0</v>
      </c>
      <c r="H89" s="29">
        <f t="shared" si="68"/>
        <v>0</v>
      </c>
      <c r="I89" s="29">
        <f t="shared" si="69"/>
        <v>24</v>
      </c>
      <c r="J89" s="29">
        <f t="shared" si="70"/>
        <v>0</v>
      </c>
      <c r="K89" s="29">
        <f>武将战力价值情况!G85</f>
        <v>3</v>
      </c>
      <c r="L89" s="29">
        <f>武将战力价值情况!H85</f>
        <v>6</v>
      </c>
      <c r="M89" s="29">
        <f>武将战力价值情况!I85</f>
        <v>8</v>
      </c>
      <c r="N89" s="29">
        <f>武将战力价值情况!J85</f>
        <v>8</v>
      </c>
      <c r="O89" s="41">
        <f>MAX(同名需求(G89,求节点(武将升星!$C$104:$C$112,武将升星!E$104:E$112,K89),F$2),武将数量星级阶位验证!AA85)</f>
        <v>24</v>
      </c>
      <c r="P89" s="41">
        <f>MAX(同名需求(H89,求节点(武将升星!$C$104:$C$112,武将升星!F$104:F$112,L89),G$2),武将数量星级阶位验证!AB85)</f>
        <v>120</v>
      </c>
      <c r="Q89" s="41">
        <f>MAX(同名需求(I89,求节点(武将升星!$C$104:$C$112,武将升星!G$104:G$112,M89),H$2),武将数量星级阶位验证!AC85)</f>
        <v>704</v>
      </c>
      <c r="R89" s="41">
        <f>MAX(同名需求(J89,求节点(武将升星!$C$104:$C$112,武将升星!H$104:H$112,N89),I$2),武将数量星级阶位验证!AD85)</f>
        <v>108</v>
      </c>
      <c r="S89" s="29">
        <f>MAX(基础状态预期!P95:T95)</f>
        <v>5</v>
      </c>
      <c r="T89" s="29">
        <f t="shared" si="71"/>
        <v>5</v>
      </c>
      <c r="U89" s="29">
        <f t="shared" si="72"/>
        <v>5</v>
      </c>
      <c r="V89" s="29">
        <f t="shared" si="73"/>
        <v>5</v>
      </c>
      <c r="W89" s="41">
        <f>SUMIFS(武将进阶!F$13:F$18,武将进阶!$C$13:$C$18,"&lt;="&amp;T89)*H89+武将数量星级阶位验证!Q85</f>
        <v>0</v>
      </c>
      <c r="X89" s="41">
        <f>SUMIFS(武将进阶!G$13:G$18,武将进阶!$C$13:$C$18,"&lt;="&amp;U89)*I89+武将数量星级阶位验证!R85</f>
        <v>1824</v>
      </c>
      <c r="Y89" s="41">
        <f>SUMIFS(武将进阶!H$13:H$18,武将进阶!$C$13:$C$18,"&lt;="&amp;V89)*J89+武将数量星级阶位验证!S85</f>
        <v>642</v>
      </c>
      <c r="Z89" s="41">
        <f>SUMIFS(武将进阶!I$13:I$18,武将进阶!$C$13:$C$18,"&lt;="&amp;W89)*K89+武将数量星级阶位验证!T85</f>
        <v>0</v>
      </c>
      <c r="AA89" s="29"/>
      <c r="AB89" s="29">
        <f>求节点(基础状态预期!$AT$17:$AT$55,基础状态预期!AW$17:AW$55,各r阵容卡情况!$F89)</f>
        <v>2</v>
      </c>
      <c r="AC89" s="29">
        <f>求节点(基础状态预期!$AT$17:$AT$55,基础状态预期!AX$17:AX$55,各r阵容卡情况!$F89)</f>
        <v>2</v>
      </c>
      <c r="AD89" s="29">
        <f>求节点(基础状态预期!$AT$17:$AT$55,基础状态预期!AY$17:AY$55,各r阵容卡情况!$F89)</f>
        <v>2</v>
      </c>
      <c r="AE89" s="41">
        <f>IF(AA89&lt;1,0,(AA89-1)*武将觉醒!E$34*G89)+武将数量星级阶位验证!V85</f>
        <v>0</v>
      </c>
      <c r="AF89" s="41">
        <f>IF(AB89&lt;1,0,(AB89-1)*武将觉醒!F$34*H89)+武将数量星级阶位验证!W85</f>
        <v>0</v>
      </c>
      <c r="AG89" s="41">
        <f>IF(AC89&lt;1,0,(AC89-1)*武将觉醒!G$34*I89)+武将数量星级阶位验证!X85</f>
        <v>24</v>
      </c>
      <c r="AH89" s="41">
        <f>IF(AD89&lt;1,0,(AD89-1)*武将觉醒!H$34*J89)+武将数量星级阶位验证!Y85</f>
        <v>0</v>
      </c>
      <c r="AJ89" s="29">
        <f>MAX(W89+AE89+G89*(K89+1)+IF(武将数量星级阶位验证!L85="",0,武将数量星级阶位验证!L85)*武将升星!P82,O89)</f>
        <v>24</v>
      </c>
      <c r="AK89" s="29">
        <f>MAX(X89+AF89+H89*(L89+1)+IF(武将数量星级阶位验证!M85="",0,武将数量星级阶位验证!M85)*武将升星!Q82,P89)</f>
        <v>1824</v>
      </c>
      <c r="AL89" s="64">
        <f>MAX(Y89+AG89+I89*(M89+1)+IF(武将数量星级阶位验证!N85="",0,武将数量星级阶位验证!N85)*武将升星!R82,Q89)</f>
        <v>882</v>
      </c>
      <c r="AM89" s="41">
        <f t="shared" si="74"/>
        <v>108</v>
      </c>
      <c r="AO89" s="17">
        <f>武将数量星级阶位验证!BJ85</f>
        <v>181089.44544340379</v>
      </c>
      <c r="AP89" s="17">
        <f>武将数量星级阶位验证!BK85</f>
        <v>48218.807840466696</v>
      </c>
      <c r="AQ89" s="63">
        <f>武将数量星级阶位验证!BL85</f>
        <v>6843.035011517969</v>
      </c>
      <c r="AR89" s="17">
        <f>武将数量星级阶位验证!BM85</f>
        <v>2426.7062548906315</v>
      </c>
      <c r="AT89" s="17">
        <f t="shared" si="75"/>
        <v>16609</v>
      </c>
      <c r="AU89" s="17">
        <f t="shared" si="76"/>
        <v>142.60670974426387</v>
      </c>
      <c r="BA89" s="17">
        <f>基础状态预期!J95</f>
        <v>6</v>
      </c>
      <c r="BB89" s="62">
        <f t="shared" si="77"/>
        <v>6</v>
      </c>
      <c r="BD89" s="17">
        <v>0</v>
      </c>
      <c r="BE89" s="17">
        <v>0</v>
      </c>
      <c r="BF89" s="17">
        <v>24</v>
      </c>
      <c r="BG89" s="17">
        <v>0</v>
      </c>
      <c r="BH89" s="62">
        <f t="shared" si="78"/>
        <v>24</v>
      </c>
      <c r="BJ89" s="17">
        <f t="shared" si="79"/>
        <v>0</v>
      </c>
      <c r="BK89" s="17">
        <f t="shared" si="80"/>
        <v>0</v>
      </c>
      <c r="BL89" s="17">
        <f t="shared" si="81"/>
        <v>24</v>
      </c>
      <c r="BM89" s="17">
        <f t="shared" si="82"/>
        <v>6</v>
      </c>
      <c r="BN89" s="62">
        <f t="shared" si="83"/>
        <v>30</v>
      </c>
      <c r="BR89" s="17">
        <f>武将升星!P82*基础状态预期!G95+G89*(K89+1)+W89+AE89</f>
        <v>0</v>
      </c>
      <c r="BS89" s="17">
        <f>武将升星!Q82*基础状态预期!H95+H89*(L89+1)+X89+AF89</f>
        <v>1824</v>
      </c>
      <c r="BT89" s="17">
        <f>武将升星!R82*基础状态预期!I95+I89*(M89+1)+Y89+AG89</f>
        <v>882</v>
      </c>
      <c r="BU89" s="17">
        <f>武将升星!S82*基础状态预期!J95+J89*(N89+1)+Z89+AH89</f>
        <v>108</v>
      </c>
    </row>
    <row r="90" spans="2:73" x14ac:dyDescent="0.15">
      <c r="B90" s="17">
        <v>38</v>
      </c>
      <c r="E90" s="29">
        <f>基础状态预期!C96</f>
        <v>21148</v>
      </c>
      <c r="F90" s="29">
        <f>基础状态预期!D96</f>
        <v>146.07830147206653</v>
      </c>
      <c r="G90" s="29">
        <f t="shared" si="67"/>
        <v>0</v>
      </c>
      <c r="H90" s="29">
        <f t="shared" si="68"/>
        <v>0</v>
      </c>
      <c r="I90" s="29">
        <f t="shared" si="69"/>
        <v>24</v>
      </c>
      <c r="J90" s="29">
        <f t="shared" si="70"/>
        <v>0</v>
      </c>
      <c r="K90" s="29">
        <f>武将战力价值情况!G86</f>
        <v>3</v>
      </c>
      <c r="L90" s="29">
        <f>武将战力价值情况!H86</f>
        <v>6</v>
      </c>
      <c r="M90" s="29">
        <f>武将战力价值情况!I86</f>
        <v>8</v>
      </c>
      <c r="N90" s="29">
        <f>武将战力价值情况!J86</f>
        <v>8</v>
      </c>
      <c r="O90" s="41">
        <f>MAX(同名需求(G90,求节点(武将升星!$C$104:$C$112,武将升星!E$104:E$112,K90),F$2),武将数量星级阶位验证!AA86)</f>
        <v>24</v>
      </c>
      <c r="P90" s="41">
        <f>MAX(同名需求(H90,求节点(武将升星!$C$104:$C$112,武将升星!F$104:F$112,L90),G$2),武将数量星级阶位验证!AB86)</f>
        <v>120</v>
      </c>
      <c r="Q90" s="41">
        <f>MAX(同名需求(I90,求节点(武将升星!$C$104:$C$112,武将升星!G$104:G$112,M90),H$2),武将数量星级阶位验证!AC86)</f>
        <v>704</v>
      </c>
      <c r="R90" s="41">
        <f>MAX(同名需求(J90,求节点(武将升星!$C$104:$C$112,武将升星!H$104:H$112,N90),I$2),武将数量星级阶位验证!AD86)</f>
        <v>108</v>
      </c>
      <c r="S90" s="29">
        <f>MAX(基础状态预期!P96:T96)</f>
        <v>5</v>
      </c>
      <c r="T90" s="29">
        <f t="shared" si="71"/>
        <v>5</v>
      </c>
      <c r="U90" s="29">
        <f t="shared" si="72"/>
        <v>5</v>
      </c>
      <c r="V90" s="29">
        <f t="shared" si="73"/>
        <v>5</v>
      </c>
      <c r="W90" s="41">
        <f>SUMIFS(武将进阶!F$13:F$18,武将进阶!$C$13:$C$18,"&lt;="&amp;T90)*H90+武将数量星级阶位验证!Q86</f>
        <v>0</v>
      </c>
      <c r="X90" s="41">
        <f>SUMIFS(武将进阶!G$13:G$18,武将进阶!$C$13:$C$18,"&lt;="&amp;U90)*I90+武将数量星级阶位验证!R86</f>
        <v>1824</v>
      </c>
      <c r="Y90" s="41">
        <f>SUMIFS(武将进阶!H$13:H$18,武将进阶!$C$13:$C$18,"&lt;="&amp;V90)*J90+武将数量星级阶位验证!S86</f>
        <v>642</v>
      </c>
      <c r="Z90" s="41">
        <f>SUMIFS(武将进阶!I$13:I$18,武将进阶!$C$13:$C$18,"&lt;="&amp;W90)*K90+武将数量星级阶位验证!T86</f>
        <v>0</v>
      </c>
      <c r="AA90" s="29"/>
      <c r="AB90" s="29">
        <f>求节点(基础状态预期!$AT$17:$AT$55,基础状态预期!AW$17:AW$55,各r阵容卡情况!$F90)</f>
        <v>2</v>
      </c>
      <c r="AC90" s="29">
        <f>求节点(基础状态预期!$AT$17:$AT$55,基础状态预期!AX$17:AX$55,各r阵容卡情况!$F90)</f>
        <v>2</v>
      </c>
      <c r="AD90" s="29">
        <f>求节点(基础状态预期!$AT$17:$AT$55,基础状态预期!AY$17:AY$55,各r阵容卡情况!$F90)</f>
        <v>2</v>
      </c>
      <c r="AE90" s="41">
        <f>IF(AA90&lt;1,0,(AA90-1)*武将觉醒!E$34*G90)+武将数量星级阶位验证!V86</f>
        <v>0</v>
      </c>
      <c r="AF90" s="41">
        <f>IF(AB90&lt;1,0,(AB90-1)*武将觉醒!F$34*H90)+武将数量星级阶位验证!W86</f>
        <v>0</v>
      </c>
      <c r="AG90" s="41">
        <f>IF(AC90&lt;1,0,(AC90-1)*武将觉醒!G$34*I90)+武将数量星级阶位验证!X86</f>
        <v>24</v>
      </c>
      <c r="AH90" s="41">
        <f>IF(AD90&lt;1,0,(AD90-1)*武将觉醒!H$34*J90)+武将数量星级阶位验证!Y86</f>
        <v>0</v>
      </c>
      <c r="AJ90" s="29">
        <f>MAX(W90+AE90+G90*(K90+1)+IF(武将数量星级阶位验证!L86="",0,武将数量星级阶位验证!L86)*武将升星!P83,O90)</f>
        <v>24</v>
      </c>
      <c r="AK90" s="29">
        <f>MAX(X90+AF90+H90*(L90+1)+IF(武将数量星级阶位验证!M86="",0,武将数量星级阶位验证!M86)*武将升星!Q83,P90)</f>
        <v>1824</v>
      </c>
      <c r="AL90" s="64">
        <f>MAX(Y90+AG90+I90*(M90+1)+IF(武将数量星级阶位验证!N86="",0,武将数量星级阶位验证!N86)*武将升星!R83,Q90)</f>
        <v>882</v>
      </c>
      <c r="AM90" s="41">
        <f t="shared" si="74"/>
        <v>108</v>
      </c>
      <c r="AO90" s="17">
        <f>武将数量星级阶位验证!BJ86</f>
        <v>229323.92021930864</v>
      </c>
      <c r="AP90" s="17">
        <f>武将数量星级阶位验证!BK86</f>
        <v>60735.834746361194</v>
      </c>
      <c r="AQ90" s="63">
        <f>武将数量星级阶位验证!BL86</f>
        <v>8607.1140474021449</v>
      </c>
      <c r="AR90" s="17">
        <f>武将数量星级阶位验证!BM86</f>
        <v>3026.1015800095538</v>
      </c>
      <c r="AT90" s="17">
        <f t="shared" si="75"/>
        <v>21148</v>
      </c>
      <c r="AU90" s="17">
        <f t="shared" si="76"/>
        <v>146.07830147206653</v>
      </c>
      <c r="BA90" s="17">
        <f>基础状态预期!J96</f>
        <v>6</v>
      </c>
      <c r="BB90" s="62">
        <f t="shared" si="77"/>
        <v>6</v>
      </c>
      <c r="BD90" s="17">
        <v>0</v>
      </c>
      <c r="BE90" s="17">
        <v>0</v>
      </c>
      <c r="BF90" s="17">
        <v>24</v>
      </c>
      <c r="BG90" s="17">
        <v>0</v>
      </c>
      <c r="BH90" s="62">
        <f t="shared" si="78"/>
        <v>24</v>
      </c>
      <c r="BJ90" s="17">
        <f t="shared" si="79"/>
        <v>0</v>
      </c>
      <c r="BK90" s="17">
        <f t="shared" si="80"/>
        <v>0</v>
      </c>
      <c r="BL90" s="17">
        <f t="shared" si="81"/>
        <v>24</v>
      </c>
      <c r="BM90" s="17">
        <f t="shared" si="82"/>
        <v>6</v>
      </c>
      <c r="BN90" s="62">
        <f t="shared" si="83"/>
        <v>30</v>
      </c>
      <c r="BR90" s="17">
        <f>武将升星!P83*基础状态预期!G96+G90*(K90+1)+W90+AE90</f>
        <v>0</v>
      </c>
      <c r="BS90" s="17">
        <f>武将升星!Q83*基础状态预期!H96+H90*(L90+1)+X90+AF90</f>
        <v>1824</v>
      </c>
      <c r="BT90" s="17">
        <f>武将升星!R83*基础状态预期!I96+I90*(M90+1)+Y90+AG90</f>
        <v>882</v>
      </c>
      <c r="BU90" s="17">
        <f>武将升星!S83*基础状态预期!J96+J90*(N90+1)+Z90+AH90</f>
        <v>108</v>
      </c>
    </row>
    <row r="91" spans="2:73" x14ac:dyDescent="0.15">
      <c r="B91" s="17">
        <v>39</v>
      </c>
      <c r="E91" s="29">
        <f>基础状态预期!C97</f>
        <v>26962</v>
      </c>
      <c r="F91" s="29">
        <f>基础状态预期!D97</f>
        <v>149.61701338734093</v>
      </c>
      <c r="G91" s="29">
        <f t="shared" si="67"/>
        <v>0</v>
      </c>
      <c r="H91" s="29">
        <f t="shared" si="68"/>
        <v>0</v>
      </c>
      <c r="I91" s="29">
        <f t="shared" si="69"/>
        <v>24</v>
      </c>
      <c r="J91" s="29">
        <f t="shared" si="70"/>
        <v>0</v>
      </c>
      <c r="K91" s="29">
        <f>武将战力价值情况!G87</f>
        <v>3</v>
      </c>
      <c r="L91" s="29">
        <f>武将战力价值情况!H87</f>
        <v>6</v>
      </c>
      <c r="M91" s="29">
        <f>武将战力价值情况!I87</f>
        <v>8</v>
      </c>
      <c r="N91" s="29">
        <f>武将战力价值情况!J87</f>
        <v>8</v>
      </c>
      <c r="O91" s="41">
        <f>MAX(同名需求(G91,求节点(武将升星!$C$104:$C$112,武将升星!E$104:E$112,K91),F$2),武将数量星级阶位验证!AA87)</f>
        <v>24</v>
      </c>
      <c r="P91" s="41">
        <f>MAX(同名需求(H91,求节点(武将升星!$C$104:$C$112,武将升星!F$104:F$112,L91),G$2),武将数量星级阶位验证!AB87)</f>
        <v>120</v>
      </c>
      <c r="Q91" s="41">
        <f>MAX(同名需求(I91,求节点(武将升星!$C$104:$C$112,武将升星!G$104:G$112,M91),H$2),武将数量星级阶位验证!AC87)</f>
        <v>704</v>
      </c>
      <c r="R91" s="41">
        <f>MAX(同名需求(J91,求节点(武将升星!$C$104:$C$112,武将升星!H$104:H$112,N91),I$2),武将数量星级阶位验证!AD87)</f>
        <v>108</v>
      </c>
      <c r="S91" s="29">
        <f>MAX(基础状态预期!P97:T97)</f>
        <v>5</v>
      </c>
      <c r="T91" s="29">
        <f t="shared" si="71"/>
        <v>5</v>
      </c>
      <c r="U91" s="29">
        <f t="shared" si="72"/>
        <v>5</v>
      </c>
      <c r="V91" s="29">
        <f t="shared" si="73"/>
        <v>5</v>
      </c>
      <c r="W91" s="41">
        <f>SUMIFS(武将进阶!F$13:F$18,武将进阶!$C$13:$C$18,"&lt;="&amp;T91)*H91+武将数量星级阶位验证!Q87</f>
        <v>0</v>
      </c>
      <c r="X91" s="41">
        <f>SUMIFS(武将进阶!G$13:G$18,武将进阶!$C$13:$C$18,"&lt;="&amp;U91)*I91+武将数量星级阶位验证!R87</f>
        <v>1824</v>
      </c>
      <c r="Y91" s="41">
        <f>SUMIFS(武将进阶!H$13:H$18,武将进阶!$C$13:$C$18,"&lt;="&amp;V91)*J91+武将数量星级阶位验证!S87</f>
        <v>642</v>
      </c>
      <c r="Z91" s="41">
        <f>SUMIFS(武将进阶!I$13:I$18,武将进阶!$C$13:$C$18,"&lt;="&amp;W91)*K91+武将数量星级阶位验证!T87</f>
        <v>0</v>
      </c>
      <c r="AA91" s="29"/>
      <c r="AB91" s="29">
        <f>求节点(基础状态预期!$AT$17:$AT$55,基础状态预期!AW$17:AW$55,各r阵容卡情况!$F91)</f>
        <v>2</v>
      </c>
      <c r="AC91" s="29">
        <f>求节点(基础状态预期!$AT$17:$AT$55,基础状态预期!AX$17:AX$55,各r阵容卡情况!$F91)</f>
        <v>2</v>
      </c>
      <c r="AD91" s="29">
        <f>求节点(基础状态预期!$AT$17:$AT$55,基础状态预期!AY$17:AY$55,各r阵容卡情况!$F91)</f>
        <v>2</v>
      </c>
      <c r="AE91" s="41">
        <f>IF(AA91&lt;1,0,(AA91-1)*武将觉醒!E$34*G91)+武将数量星级阶位验证!V87</f>
        <v>0</v>
      </c>
      <c r="AF91" s="41">
        <f>IF(AB91&lt;1,0,(AB91-1)*武将觉醒!F$34*H91)+武将数量星级阶位验证!W87</f>
        <v>0</v>
      </c>
      <c r="AG91" s="41">
        <f>IF(AC91&lt;1,0,(AC91-1)*武将觉醒!G$34*I91)+武将数量星级阶位验证!X87</f>
        <v>24</v>
      </c>
      <c r="AH91" s="41">
        <f>IF(AD91&lt;1,0,(AD91-1)*武将觉醒!H$34*J91)+武将数量星级阶位验证!Y87</f>
        <v>0</v>
      </c>
      <c r="AJ91" s="29">
        <f>MAX(W91+AE91+G91*(K91+1)+IF(武将数量星级阶位验证!L87="",0,武将数量星级阶位验证!L87)*武将升星!P84,O91)</f>
        <v>24</v>
      </c>
      <c r="AK91" s="29">
        <f>MAX(X91+AF91+H91*(L91+1)+IF(武将数量星级阶位验证!M87="",0,武将数量星级阶位验证!M87)*武将升星!Q84,P91)</f>
        <v>1824</v>
      </c>
      <c r="AL91" s="64">
        <f>MAX(Y91+AG91+I91*(M91+1)+IF(武将数量星级阶位验证!N87="",0,武将数量星级阶位验证!N87)*武将升星!R84,Q91)</f>
        <v>882</v>
      </c>
      <c r="AM91" s="41">
        <f t="shared" si="74"/>
        <v>108</v>
      </c>
      <c r="AO91" s="17">
        <f>武将数量星级阶位验证!BJ87</f>
        <v>290793.28507534339</v>
      </c>
      <c r="AP91" s="17">
        <f>武将数量星级阶位验证!BK87</f>
        <v>76599.086019893497</v>
      </c>
      <c r="AQ91" s="63">
        <f>武将数量星级阶位验证!BL87</f>
        <v>10841.251738431989</v>
      </c>
      <c r="AR91" s="17">
        <f>武将数量星级阶位验证!BM87</f>
        <v>3776.037963730445</v>
      </c>
      <c r="AT91" s="17">
        <f t="shared" si="75"/>
        <v>26962</v>
      </c>
      <c r="AU91" s="17">
        <f t="shared" si="76"/>
        <v>149.61701338734093</v>
      </c>
      <c r="BA91" s="17">
        <f>基础状态预期!J97</f>
        <v>6</v>
      </c>
      <c r="BB91" s="62">
        <f t="shared" si="77"/>
        <v>6</v>
      </c>
      <c r="BD91" s="17">
        <v>0</v>
      </c>
      <c r="BE91" s="17">
        <v>0</v>
      </c>
      <c r="BF91" s="17">
        <v>24</v>
      </c>
      <c r="BG91" s="17">
        <v>0</v>
      </c>
      <c r="BH91" s="62">
        <f t="shared" si="78"/>
        <v>24</v>
      </c>
      <c r="BJ91" s="17">
        <f t="shared" si="79"/>
        <v>0</v>
      </c>
      <c r="BK91" s="17">
        <f t="shared" si="80"/>
        <v>0</v>
      </c>
      <c r="BL91" s="17">
        <f t="shared" si="81"/>
        <v>24</v>
      </c>
      <c r="BM91" s="17">
        <f t="shared" si="82"/>
        <v>6</v>
      </c>
      <c r="BN91" s="62">
        <f t="shared" si="83"/>
        <v>30</v>
      </c>
      <c r="BR91" s="17">
        <f>武将升星!P84*基础状态预期!G97+G91*(K91+1)+W91+AE91</f>
        <v>0</v>
      </c>
      <c r="BS91" s="17">
        <f>武将升星!Q84*基础状态预期!H97+H91*(L91+1)+X91+AF91</f>
        <v>1824</v>
      </c>
      <c r="BT91" s="17">
        <f>武将升星!R84*基础状态预期!I97+I91*(M91+1)+Y91+AG91</f>
        <v>882</v>
      </c>
      <c r="BU91" s="17">
        <f>武将升星!S84*基础状态预期!J97+J91*(N91+1)+Z91+AH91</f>
        <v>108</v>
      </c>
    </row>
    <row r="92" spans="2:73" x14ac:dyDescent="0.15">
      <c r="B92" s="17">
        <v>40</v>
      </c>
      <c r="E92" s="29">
        <f>基础状态预期!C98</f>
        <v>34357</v>
      </c>
      <c r="F92" s="29">
        <f>基础状态预期!D98</f>
        <v>153.01012120353457</v>
      </c>
      <c r="G92" s="29">
        <f t="shared" si="67"/>
        <v>0</v>
      </c>
      <c r="H92" s="29">
        <f t="shared" si="68"/>
        <v>0</v>
      </c>
      <c r="I92" s="29">
        <f t="shared" si="69"/>
        <v>24</v>
      </c>
      <c r="J92" s="29">
        <f t="shared" si="70"/>
        <v>0</v>
      </c>
      <c r="K92" s="29">
        <f>武将战力价值情况!G88</f>
        <v>3</v>
      </c>
      <c r="L92" s="29">
        <f>武将战力价值情况!H88</f>
        <v>6</v>
      </c>
      <c r="M92" s="29">
        <f>武将战力价值情况!I88</f>
        <v>8</v>
      </c>
      <c r="N92" s="29">
        <f>武将战力价值情况!J88</f>
        <v>8</v>
      </c>
      <c r="O92" s="41">
        <f>MAX(同名需求(G92,求节点(武将升星!$C$104:$C$112,武将升星!E$104:E$112,K92),F$2),武将数量星级阶位验证!AA88)</f>
        <v>24</v>
      </c>
      <c r="P92" s="41">
        <f>MAX(同名需求(H92,求节点(武将升星!$C$104:$C$112,武将升星!F$104:F$112,L92),G$2),武将数量星级阶位验证!AB88)</f>
        <v>120</v>
      </c>
      <c r="Q92" s="41">
        <f>MAX(同名需求(I92,求节点(武将升星!$C$104:$C$112,武将升星!G$104:G$112,M92),H$2),武将数量星级阶位验证!AC88)</f>
        <v>704</v>
      </c>
      <c r="R92" s="41">
        <f>MAX(同名需求(J92,求节点(武将升星!$C$104:$C$112,武将升星!H$104:H$112,N92),I$2),武将数量星级阶位验证!AD88)</f>
        <v>108</v>
      </c>
      <c r="S92" s="29">
        <f>MAX(基础状态预期!P98:T98)</f>
        <v>5</v>
      </c>
      <c r="T92" s="29">
        <f t="shared" si="71"/>
        <v>5</v>
      </c>
      <c r="U92" s="29">
        <f t="shared" si="72"/>
        <v>5</v>
      </c>
      <c r="V92" s="29">
        <f t="shared" si="73"/>
        <v>5</v>
      </c>
      <c r="W92" s="41">
        <f>SUMIFS(武将进阶!F$13:F$18,武将进阶!$C$13:$C$18,"&lt;="&amp;T92)*H92+武将数量星级阶位验证!Q88</f>
        <v>0</v>
      </c>
      <c r="X92" s="41">
        <f>SUMIFS(武将进阶!G$13:G$18,武将进阶!$C$13:$C$18,"&lt;="&amp;U92)*I92+武将数量星级阶位验证!R88</f>
        <v>1824</v>
      </c>
      <c r="Y92" s="41">
        <f>SUMIFS(武将进阶!H$13:H$18,武将进阶!$C$13:$C$18,"&lt;="&amp;V92)*J92+武将数量星级阶位验证!S88</f>
        <v>642</v>
      </c>
      <c r="Z92" s="41">
        <f>SUMIFS(武将进阶!I$13:I$18,武将进阶!$C$13:$C$18,"&lt;="&amp;W92)*K92+武将数量星级阶位验证!T88</f>
        <v>0</v>
      </c>
      <c r="AA92" s="29"/>
      <c r="AB92" s="29">
        <f>求节点(基础状态预期!$AT$17:$AT$55,基础状态预期!AW$17:AW$55,各r阵容卡情况!$F92)</f>
        <v>2</v>
      </c>
      <c r="AC92" s="29">
        <f>求节点(基础状态预期!$AT$17:$AT$55,基础状态预期!AX$17:AX$55,各r阵容卡情况!$F92)</f>
        <v>2</v>
      </c>
      <c r="AD92" s="29">
        <f>求节点(基础状态预期!$AT$17:$AT$55,基础状态预期!AY$17:AY$55,各r阵容卡情况!$F92)</f>
        <v>2</v>
      </c>
      <c r="AE92" s="41">
        <f>IF(AA92&lt;1,0,(AA92-1)*武将觉醒!E$34*G92)+武将数量星级阶位验证!V88</f>
        <v>0</v>
      </c>
      <c r="AF92" s="41">
        <f>IF(AB92&lt;1,0,(AB92-1)*武将觉醒!F$34*H92)+武将数量星级阶位验证!W88</f>
        <v>0</v>
      </c>
      <c r="AG92" s="41">
        <f>IF(AC92&lt;1,0,(AC92-1)*武将觉醒!G$34*I92)+武将数量星级阶位验证!X88</f>
        <v>24</v>
      </c>
      <c r="AH92" s="41">
        <f>IF(AD92&lt;1,0,(AD92-1)*武将觉醒!H$34*J92)+武将数量星级阶位验证!Y88</f>
        <v>0</v>
      </c>
      <c r="AJ92" s="29">
        <f>MAX(W92+AE92+G92*(K92+1)+IF(武将数量星级阶位验证!L88="",0,武将数量星级阶位验证!L88)*武将升星!P85,O92)</f>
        <v>24</v>
      </c>
      <c r="AK92" s="29">
        <f>MAX(X92+AF92+H92*(L92+1)+IF(武将数量星级阶位验证!M88="",0,武将数量星级阶位验证!M88)*武将升星!Q85,P92)</f>
        <v>1824</v>
      </c>
      <c r="AL92" s="64">
        <f>MAX(Y92+AG92+I92*(M92+1)+IF(武将数量星级阶位验证!N88="",0,武将数量星级阶位验证!N88)*武将升星!R85,Q92)</f>
        <v>882</v>
      </c>
      <c r="AM92" s="41">
        <f t="shared" si="74"/>
        <v>108</v>
      </c>
      <c r="AO92" s="17">
        <f>武将数量星级阶位验证!BJ88</f>
        <v>368733.6226026857</v>
      </c>
      <c r="AP92" s="17">
        <f>武将数量星级阶位验证!BK88</f>
        <v>96643.930629267692</v>
      </c>
      <c r="AQ92" s="63">
        <f>武将数量星级阶位验证!BL88</f>
        <v>13663.10342983812</v>
      </c>
      <c r="AR92" s="17">
        <f>武将数量星级阶位验证!BM88</f>
        <v>4716.0341477147367</v>
      </c>
      <c r="AT92" s="17">
        <f t="shared" si="75"/>
        <v>34357</v>
      </c>
      <c r="AU92" s="17">
        <f t="shared" si="76"/>
        <v>153.01012120353457</v>
      </c>
      <c r="BA92" s="17">
        <f>基础状态预期!J98</f>
        <v>6</v>
      </c>
      <c r="BB92" s="62">
        <f t="shared" si="77"/>
        <v>6</v>
      </c>
      <c r="BD92" s="17">
        <v>0</v>
      </c>
      <c r="BE92" s="17">
        <v>0</v>
      </c>
      <c r="BF92" s="17">
        <v>24</v>
      </c>
      <c r="BG92" s="17">
        <v>0</v>
      </c>
      <c r="BH92" s="62">
        <f t="shared" si="78"/>
        <v>24</v>
      </c>
      <c r="BJ92" s="17">
        <f t="shared" si="79"/>
        <v>0</v>
      </c>
      <c r="BK92" s="17">
        <f t="shared" si="80"/>
        <v>0</v>
      </c>
      <c r="BL92" s="17">
        <f t="shared" si="81"/>
        <v>24</v>
      </c>
      <c r="BM92" s="17">
        <f t="shared" si="82"/>
        <v>6</v>
      </c>
      <c r="BN92" s="62">
        <f t="shared" si="83"/>
        <v>30</v>
      </c>
      <c r="BR92" s="17">
        <f>武将升星!P85*基础状态预期!G98+G92*(K92+1)+W92+AE92</f>
        <v>0</v>
      </c>
      <c r="BS92" s="17">
        <f>武将升星!Q85*基础状态预期!H98+H92*(L92+1)+X92+AF92</f>
        <v>1824</v>
      </c>
      <c r="BT92" s="17">
        <f>武将升星!R85*基础状态预期!I98+I92*(M92+1)+Y92+AG92</f>
        <v>882</v>
      </c>
      <c r="BU92" s="17">
        <f>武将升星!S85*基础状态预期!J98+J92*(N92+1)+Z92+AH92</f>
        <v>108</v>
      </c>
    </row>
    <row r="93" spans="2:73" x14ac:dyDescent="0.15">
      <c r="B93" s="17">
        <v>41</v>
      </c>
      <c r="E93" s="29">
        <f>基础状态预期!C99</f>
        <v>43792</v>
      </c>
      <c r="F93" s="29">
        <f>基础状态预期!D99</f>
        <v>154.95970315183646</v>
      </c>
      <c r="G93" s="29">
        <f t="shared" si="67"/>
        <v>0</v>
      </c>
      <c r="H93" s="29">
        <f t="shared" si="68"/>
        <v>0</v>
      </c>
      <c r="I93" s="29">
        <f t="shared" si="69"/>
        <v>24</v>
      </c>
      <c r="J93" s="29">
        <f t="shared" si="70"/>
        <v>0</v>
      </c>
      <c r="K93" s="29">
        <f>武将战力价值情况!G89</f>
        <v>3</v>
      </c>
      <c r="L93" s="29">
        <f>武将战力价值情况!H89</f>
        <v>6</v>
      </c>
      <c r="M93" s="29">
        <f>武将战力价值情况!I89</f>
        <v>8</v>
      </c>
      <c r="N93" s="29">
        <f>武将战力价值情况!J89</f>
        <v>8</v>
      </c>
      <c r="O93" s="41">
        <f>MAX(同名需求(G93,求节点(武将升星!$C$104:$C$112,武将升星!E$104:E$112,K93),F$2),武将数量星级阶位验证!AA89)</f>
        <v>24</v>
      </c>
      <c r="P93" s="41">
        <f>MAX(同名需求(H93,求节点(武将升星!$C$104:$C$112,武将升星!F$104:F$112,L93),G$2),武将数量星级阶位验证!AB89)</f>
        <v>120</v>
      </c>
      <c r="Q93" s="41">
        <f>MAX(同名需求(I93,求节点(武将升星!$C$104:$C$112,武将升星!G$104:G$112,M93),H$2),武将数量星级阶位验证!AC89)</f>
        <v>704</v>
      </c>
      <c r="R93" s="41">
        <f>MAX(同名需求(J93,求节点(武将升星!$C$104:$C$112,武将升星!H$104:H$112,N93),I$2),武将数量星级阶位验证!AD89)</f>
        <v>108</v>
      </c>
      <c r="S93" s="29">
        <f>MAX(基础状态预期!P99:T99)</f>
        <v>5</v>
      </c>
      <c r="T93" s="29">
        <f t="shared" si="71"/>
        <v>5</v>
      </c>
      <c r="U93" s="29">
        <f t="shared" si="72"/>
        <v>5</v>
      </c>
      <c r="V93" s="29">
        <f t="shared" si="73"/>
        <v>5</v>
      </c>
      <c r="W93" s="41">
        <f>SUMIFS(武将进阶!F$13:F$18,武将进阶!$C$13:$C$18,"&lt;="&amp;T93)*H93+武将数量星级阶位验证!Q89</f>
        <v>0</v>
      </c>
      <c r="X93" s="41">
        <f>SUMIFS(武将进阶!G$13:G$18,武将进阶!$C$13:$C$18,"&lt;="&amp;U93)*I93+武将数量星级阶位验证!R89</f>
        <v>1824</v>
      </c>
      <c r="Y93" s="41">
        <f>SUMIFS(武将进阶!H$13:H$18,武将进阶!$C$13:$C$18,"&lt;="&amp;V93)*J93+武将数量星级阶位验证!S89</f>
        <v>642</v>
      </c>
      <c r="Z93" s="41">
        <f>SUMIFS(武将进阶!I$13:I$18,武将进阶!$C$13:$C$18,"&lt;="&amp;W93)*K93+武将数量星级阶位验证!T89</f>
        <v>0</v>
      </c>
      <c r="AA93" s="29"/>
      <c r="AB93" s="29">
        <f>求节点(基础状态预期!$AT$17:$AT$55,基础状态预期!AW$17:AW$55,各r阵容卡情况!$F93)</f>
        <v>2</v>
      </c>
      <c r="AC93" s="29">
        <f>求节点(基础状态预期!$AT$17:$AT$55,基础状态预期!AX$17:AX$55,各r阵容卡情况!$F93)</f>
        <v>2</v>
      </c>
      <c r="AD93" s="29">
        <f>求节点(基础状态预期!$AT$17:$AT$55,基础状态预期!AY$17:AY$55,各r阵容卡情况!$F93)</f>
        <v>2</v>
      </c>
      <c r="AE93" s="41">
        <f>IF(AA93&lt;1,0,(AA93-1)*武将觉醒!E$34*G93)+武将数量星级阶位验证!V89</f>
        <v>0</v>
      </c>
      <c r="AF93" s="41">
        <f>IF(AB93&lt;1,0,(AB93-1)*武将觉醒!F$34*H93)+武将数量星级阶位验证!W89</f>
        <v>0</v>
      </c>
      <c r="AG93" s="41">
        <f>IF(AC93&lt;1,0,(AC93-1)*武将觉醒!G$34*I93)+武将数量星级阶位验证!X89</f>
        <v>24</v>
      </c>
      <c r="AH93" s="41">
        <f>IF(AD93&lt;1,0,(AD93-1)*武将觉醒!H$34*J93)+武将数量星级阶位验证!Y89</f>
        <v>0</v>
      </c>
      <c r="AJ93" s="29">
        <f>MAX(W93+AE93+G93*(K93+1)+IF(武将数量星级阶位验证!L89="",0,武将数量星级阶位验证!L89)*武将升星!P86,O93)</f>
        <v>24</v>
      </c>
      <c r="AK93" s="29">
        <f>MAX(X93+AF93+H93*(L93+1)+IF(武将数量星级阶位验证!M89="",0,武将数量星级阶位验证!M89)*武将升星!Q86,P93)</f>
        <v>1824</v>
      </c>
      <c r="AL93" s="64">
        <f>MAX(Y93+AG93+I93*(M93+1)+IF(武将数量星级阶位验证!N89="",0,武将数量星级阶位验证!N89)*武将升星!R86,Q93)</f>
        <v>882</v>
      </c>
      <c r="AM93" s="41">
        <f t="shared" si="74"/>
        <v>108</v>
      </c>
      <c r="AO93" s="17">
        <f>武将数量星级阶位验证!BJ89</f>
        <v>467826.10280737438</v>
      </c>
      <c r="AP93" s="17">
        <f>武将数量星级阶位验证!BK89</f>
        <v>122029.93344261294</v>
      </c>
      <c r="AQ93" s="63">
        <f>武将数量星级阶位验证!BL89</f>
        <v>17235.128851839905</v>
      </c>
      <c r="AR93" s="17">
        <f>武将数量星级阶位验证!BM89</f>
        <v>5895.5519431159873</v>
      </c>
      <c r="AT93" s="17">
        <f t="shared" si="75"/>
        <v>43792</v>
      </c>
      <c r="AU93" s="17">
        <f t="shared" si="76"/>
        <v>154.95970315183646</v>
      </c>
      <c r="BA93" s="17">
        <f>基础状态预期!J99</f>
        <v>6</v>
      </c>
      <c r="BB93" s="62">
        <f t="shared" si="77"/>
        <v>6</v>
      </c>
      <c r="BD93" s="17">
        <v>0</v>
      </c>
      <c r="BE93" s="17">
        <v>0</v>
      </c>
      <c r="BF93" s="17">
        <v>24</v>
      </c>
      <c r="BG93" s="17">
        <v>0</v>
      </c>
      <c r="BH93" s="62">
        <f t="shared" si="78"/>
        <v>24</v>
      </c>
      <c r="BJ93" s="17">
        <f t="shared" si="79"/>
        <v>0</v>
      </c>
      <c r="BK93" s="17">
        <f t="shared" si="80"/>
        <v>0</v>
      </c>
      <c r="BL93" s="17">
        <f t="shared" si="81"/>
        <v>24</v>
      </c>
      <c r="BM93" s="17">
        <f t="shared" si="82"/>
        <v>6</v>
      </c>
      <c r="BN93" s="62">
        <f t="shared" si="83"/>
        <v>30</v>
      </c>
      <c r="BR93" s="17">
        <f>武将升星!P86*基础状态预期!G99+G93*(K93+1)+W93+AE93</f>
        <v>0</v>
      </c>
      <c r="BS93" s="17">
        <f>武将升星!Q86*基础状态预期!H99+H93*(L93+1)+X93+AF93</f>
        <v>1824</v>
      </c>
      <c r="BT93" s="17">
        <f>武将升星!R86*基础状态预期!I99+I93*(M93+1)+Y93+AG93</f>
        <v>882</v>
      </c>
      <c r="BU93" s="17">
        <f>武将升星!S86*基础状态预期!J99+J93*(N93+1)+Z93+AH93</f>
        <v>108</v>
      </c>
    </row>
    <row r="94" spans="2:73" x14ac:dyDescent="0.15">
      <c r="B94" s="17">
        <v>42</v>
      </c>
      <c r="C94" s="17">
        <f t="shared" si="45"/>
        <v>24</v>
      </c>
      <c r="D94" s="17">
        <v>17</v>
      </c>
      <c r="E94" s="29">
        <f>基础状态预期!C100</f>
        <v>55675</v>
      </c>
      <c r="F94" s="29">
        <f>基础状态预期!D100</f>
        <v>157.63974470288184</v>
      </c>
      <c r="G94" s="29">
        <f t="shared" si="67"/>
        <v>0</v>
      </c>
      <c r="H94" s="29">
        <f t="shared" si="68"/>
        <v>0</v>
      </c>
      <c r="I94" s="29">
        <f t="shared" si="69"/>
        <v>24</v>
      </c>
      <c r="J94" s="29">
        <f t="shared" si="70"/>
        <v>0</v>
      </c>
      <c r="K94" s="29">
        <f>武将战力价值情况!G90</f>
        <v>3</v>
      </c>
      <c r="L94" s="29">
        <f>武将战力价值情况!H90</f>
        <v>6</v>
      </c>
      <c r="M94" s="29">
        <f>武将战力价值情况!I90</f>
        <v>8</v>
      </c>
      <c r="N94" s="29">
        <f>武将战力价值情况!J90</f>
        <v>8</v>
      </c>
      <c r="O94" s="41">
        <f>MAX(同名需求(G94,求节点(武将升星!$C$104:$C$112,武将升星!E$104:E$112,K94),F$2),武将数量星级阶位验证!AA90)</f>
        <v>24</v>
      </c>
      <c r="P94" s="41">
        <f>MAX(同名需求(H94,求节点(武将升星!$C$104:$C$112,武将升星!F$104:F$112,L94),G$2),武将数量星级阶位验证!AB90)</f>
        <v>120</v>
      </c>
      <c r="Q94" s="41">
        <f>MAX(同名需求(I94,求节点(武将升星!$C$104:$C$112,武将升星!G$104:G$112,M94),H$2),武将数量星级阶位验证!AC90)</f>
        <v>704</v>
      </c>
      <c r="R94" s="41">
        <f>MAX(同名需求(J94,求节点(武将升星!$C$104:$C$112,武将升星!H$104:H$112,N94),I$2),武将数量星级阶位验证!AD90)</f>
        <v>108</v>
      </c>
      <c r="S94" s="29">
        <f>MAX(基础状态预期!P100:T100)</f>
        <v>5</v>
      </c>
      <c r="T94" s="29">
        <f t="shared" si="71"/>
        <v>5</v>
      </c>
      <c r="U94" s="29">
        <f t="shared" si="72"/>
        <v>5</v>
      </c>
      <c r="V94" s="29">
        <f t="shared" si="73"/>
        <v>5</v>
      </c>
      <c r="W94" s="41">
        <f>SUMIFS(武将进阶!F$13:F$18,武将进阶!$C$13:$C$18,"&lt;="&amp;T94)*H94+武将数量星级阶位验证!Q90</f>
        <v>0</v>
      </c>
      <c r="X94" s="41">
        <f>SUMIFS(武将进阶!G$13:G$18,武将进阶!$C$13:$C$18,"&lt;="&amp;U94)*I94+武将数量星级阶位验证!R90</f>
        <v>1824</v>
      </c>
      <c r="Y94" s="41">
        <f>SUMIFS(武将进阶!H$13:H$18,武将进阶!$C$13:$C$18,"&lt;="&amp;V94)*J94+武将数量星级阶位验证!S90</f>
        <v>642</v>
      </c>
      <c r="Z94" s="41">
        <f>SUMIFS(武将进阶!I$13:I$18,武将进阶!$C$13:$C$18,"&lt;="&amp;W94)*K94+武将数量星级阶位验证!T90</f>
        <v>0</v>
      </c>
      <c r="AA94" s="29"/>
      <c r="AB94" s="29">
        <f>求节点(基础状态预期!$AT$17:$AT$55,基础状态预期!AW$17:AW$55,各r阵容卡情况!$F94)</f>
        <v>2</v>
      </c>
      <c r="AC94" s="29">
        <f>求节点(基础状态预期!$AT$17:$AT$55,基础状态预期!AX$17:AX$55,各r阵容卡情况!$F94)</f>
        <v>2</v>
      </c>
      <c r="AD94" s="29">
        <f>求节点(基础状态预期!$AT$17:$AT$55,基础状态预期!AY$17:AY$55,各r阵容卡情况!$F94)</f>
        <v>2</v>
      </c>
      <c r="AE94" s="41">
        <f>IF(AA94&lt;1,0,(AA94-1)*武将觉醒!E$34*G94)+武将数量星级阶位验证!V90</f>
        <v>0</v>
      </c>
      <c r="AF94" s="41">
        <f>IF(AB94&lt;1,0,(AB94-1)*武将觉醒!F$34*H94)+武将数量星级阶位验证!W90</f>
        <v>0</v>
      </c>
      <c r="AG94" s="41">
        <f>IF(AC94&lt;1,0,(AC94-1)*武将觉醒!G$34*I94)+武将数量星级阶位验证!X90</f>
        <v>24</v>
      </c>
      <c r="AH94" s="41">
        <f>IF(AD94&lt;1,0,(AD94-1)*武将觉醒!H$34*J94)+武将数量星级阶位验证!Y90</f>
        <v>0</v>
      </c>
      <c r="AJ94" s="29">
        <f>MAX(W94+AE94+G94*(K94+1)+IF(武将数量星级阶位验证!L90="",0,武将数量星级阶位验证!L90)*武将升星!P87,O94)</f>
        <v>24</v>
      </c>
      <c r="AK94" s="29">
        <f>MAX(X94+AF94+H94*(L94+1)+IF(武将数量星级阶位验证!M90="",0,武将数量星级阶位验证!M90)*武将升星!Q87,P94)</f>
        <v>1824</v>
      </c>
      <c r="AL94" s="64">
        <f>MAX(Y94+AG94+I94*(M94+1)+IF(武将数量星级阶位验证!N90="",0,武将数量星级阶位验证!N90)*武将升星!R87,Q94)</f>
        <v>882</v>
      </c>
      <c r="AM94" s="41">
        <f t="shared" si="74"/>
        <v>108</v>
      </c>
      <c r="AO94" s="17">
        <f>武将数量星级阶位验证!BJ90</f>
        <v>591918.72916966653</v>
      </c>
      <c r="AP94" s="17">
        <f>武将数量星级阶位验证!BK90</f>
        <v>153618.60985466273</v>
      </c>
      <c r="AQ94" s="63">
        <f>武将数量星级阶位验证!BL90</f>
        <v>21676.355313647371</v>
      </c>
      <c r="AR94" s="17">
        <f>武将数量星级阶位验证!BM90</f>
        <v>7340.7904663812142</v>
      </c>
      <c r="AT94" s="17">
        <f t="shared" si="75"/>
        <v>55675</v>
      </c>
      <c r="AU94" s="17">
        <f t="shared" si="76"/>
        <v>157.63974470288184</v>
      </c>
      <c r="BA94" s="17">
        <f>基础状态预期!J100</f>
        <v>6</v>
      </c>
      <c r="BB94" s="62">
        <f t="shared" ref="BB94" si="84">SUM(AX94:BA94)</f>
        <v>6</v>
      </c>
      <c r="BD94" s="17">
        <v>0</v>
      </c>
      <c r="BE94" s="17">
        <v>0</v>
      </c>
      <c r="BF94" s="17">
        <v>24</v>
      </c>
      <c r="BG94" s="17">
        <v>0</v>
      </c>
      <c r="BH94" s="62">
        <f t="shared" si="78"/>
        <v>24</v>
      </c>
      <c r="BJ94" s="17">
        <f t="shared" si="79"/>
        <v>0</v>
      </c>
      <c r="BK94" s="17">
        <f t="shared" si="80"/>
        <v>0</v>
      </c>
      <c r="BL94" s="17">
        <f t="shared" si="81"/>
        <v>24</v>
      </c>
      <c r="BM94" s="17">
        <f t="shared" si="82"/>
        <v>6</v>
      </c>
      <c r="BN94" s="62">
        <f t="shared" si="83"/>
        <v>30</v>
      </c>
      <c r="BR94" s="17">
        <f>武将升星!P87*基础状态预期!G100+G94*(K94+1)+W94+AE94</f>
        <v>0</v>
      </c>
      <c r="BS94" s="17">
        <f>武将升星!Q87*基础状态预期!H100+H94*(L94+1)+X94+AF94</f>
        <v>1824</v>
      </c>
      <c r="BT94" s="17">
        <f>武将升星!R87*基础状态预期!I100+I94*(M94+1)+Y94+AG94</f>
        <v>882</v>
      </c>
      <c r="BU94" s="17">
        <f>武将升星!S87*基础状态预期!J100+J94*(N94+1)+Z94+AH94</f>
        <v>108</v>
      </c>
    </row>
    <row r="95" spans="2:73" x14ac:dyDescent="0.15">
      <c r="B95" s="17">
        <v>43</v>
      </c>
    </row>
    <row r="96" spans="2:73" x14ac:dyDescent="0.15">
      <c r="B96" s="17">
        <v>44</v>
      </c>
    </row>
    <row r="97" spans="2:73" x14ac:dyDescent="0.15">
      <c r="B97" s="17">
        <v>45</v>
      </c>
    </row>
    <row r="98" spans="2:73" x14ac:dyDescent="0.15">
      <c r="B98" s="17">
        <v>1</v>
      </c>
      <c r="G98" s="17" t="s">
        <v>77</v>
      </c>
    </row>
    <row r="99" spans="2:73" x14ac:dyDescent="0.15">
      <c r="B99" s="17">
        <v>2</v>
      </c>
      <c r="G99" s="161" t="s">
        <v>435</v>
      </c>
      <c r="H99" s="162"/>
      <c r="I99" s="162"/>
      <c r="J99" s="163"/>
      <c r="K99" s="161" t="s">
        <v>466</v>
      </c>
      <c r="L99" s="162"/>
      <c r="M99" s="162"/>
      <c r="N99" s="163"/>
      <c r="O99" s="161" t="s">
        <v>469</v>
      </c>
      <c r="P99" s="162"/>
      <c r="Q99" s="162"/>
      <c r="R99" s="163"/>
      <c r="S99" s="161" t="s">
        <v>436</v>
      </c>
      <c r="T99" s="162"/>
      <c r="U99" s="162"/>
      <c r="V99" s="163"/>
      <c r="W99" s="161" t="s">
        <v>467</v>
      </c>
      <c r="X99" s="162"/>
      <c r="Y99" s="162"/>
      <c r="Z99" s="163"/>
      <c r="AA99" s="161" t="s">
        <v>437</v>
      </c>
      <c r="AB99" s="162"/>
      <c r="AC99" s="162"/>
      <c r="AD99" s="163"/>
      <c r="AE99" s="161" t="s">
        <v>468</v>
      </c>
      <c r="AF99" s="162"/>
      <c r="AG99" s="162"/>
      <c r="AH99" s="163"/>
      <c r="AJ99" s="161" t="s">
        <v>422</v>
      </c>
      <c r="AK99" s="162"/>
      <c r="AL99" s="162"/>
      <c r="AM99" s="163"/>
      <c r="AO99" s="187" t="s">
        <v>421</v>
      </c>
      <c r="AP99" s="187"/>
      <c r="AQ99" s="187"/>
      <c r="AR99" s="187"/>
      <c r="AX99" s="187" t="s">
        <v>425</v>
      </c>
      <c r="AY99" s="187"/>
      <c r="AZ99" s="187"/>
      <c r="BA99" s="187"/>
      <c r="BB99" s="187"/>
      <c r="BD99" s="187" t="s">
        <v>423</v>
      </c>
      <c r="BE99" s="187"/>
      <c r="BF99" s="187"/>
      <c r="BG99" s="187"/>
      <c r="BH99" s="187"/>
      <c r="BJ99" s="187" t="s">
        <v>424</v>
      </c>
      <c r="BK99" s="187"/>
      <c r="BL99" s="187"/>
      <c r="BM99" s="187"/>
      <c r="BN99" s="187"/>
      <c r="BR99" s="187" t="s">
        <v>470</v>
      </c>
      <c r="BS99" s="187"/>
      <c r="BT99" s="187"/>
      <c r="BU99" s="187"/>
    </row>
    <row r="100" spans="2:73" x14ac:dyDescent="0.15">
      <c r="B100" s="17">
        <v>3</v>
      </c>
      <c r="E100" s="29" t="s">
        <v>163</v>
      </c>
      <c r="F100" s="29" t="s">
        <v>478</v>
      </c>
      <c r="G100" s="29" t="s">
        <v>1</v>
      </c>
      <c r="H100" s="29" t="s">
        <v>2</v>
      </c>
      <c r="I100" s="29" t="s">
        <v>0</v>
      </c>
      <c r="J100" s="29" t="s">
        <v>545</v>
      </c>
      <c r="K100" s="29" t="s">
        <v>1</v>
      </c>
      <c r="L100" s="29" t="s">
        <v>2</v>
      </c>
      <c r="M100" s="29" t="s">
        <v>0</v>
      </c>
      <c r="N100" s="29" t="s">
        <v>545</v>
      </c>
      <c r="O100" s="29" t="s">
        <v>1</v>
      </c>
      <c r="P100" s="29" t="s">
        <v>2</v>
      </c>
      <c r="Q100" s="29" t="s">
        <v>0</v>
      </c>
      <c r="R100" s="29" t="s">
        <v>545</v>
      </c>
      <c r="S100" s="29" t="s">
        <v>1</v>
      </c>
      <c r="T100" s="29" t="s">
        <v>2</v>
      </c>
      <c r="U100" s="29" t="s">
        <v>0</v>
      </c>
      <c r="V100" s="29" t="s">
        <v>545</v>
      </c>
      <c r="W100" s="29" t="s">
        <v>1</v>
      </c>
      <c r="X100" s="29" t="s">
        <v>2</v>
      </c>
      <c r="Y100" s="64" t="s">
        <v>0</v>
      </c>
      <c r="Z100" s="29" t="s">
        <v>545</v>
      </c>
      <c r="AA100" s="29" t="s">
        <v>1</v>
      </c>
      <c r="AB100" s="29" t="s">
        <v>2</v>
      </c>
      <c r="AC100" s="29" t="s">
        <v>0</v>
      </c>
      <c r="AD100" s="29" t="s">
        <v>545</v>
      </c>
      <c r="AE100" s="29" t="s">
        <v>1</v>
      </c>
      <c r="AF100" s="29" t="s">
        <v>2</v>
      </c>
      <c r="AG100" s="29" t="s">
        <v>0</v>
      </c>
      <c r="AH100" s="29" t="s">
        <v>545</v>
      </c>
      <c r="AJ100" s="29" t="s">
        <v>1</v>
      </c>
      <c r="AK100" s="29" t="s">
        <v>2</v>
      </c>
      <c r="AL100" s="64" t="s">
        <v>0</v>
      </c>
      <c r="AM100" s="29" t="s">
        <v>545</v>
      </c>
      <c r="AO100" s="17" t="s">
        <v>80</v>
      </c>
      <c r="AP100" s="17" t="s">
        <v>81</v>
      </c>
      <c r="AQ100" s="63" t="s">
        <v>82</v>
      </c>
      <c r="AR100" s="17" t="s">
        <v>545</v>
      </c>
      <c r="AT100" s="17" t="s">
        <v>420</v>
      </c>
      <c r="AU100" s="17" t="s">
        <v>484</v>
      </c>
      <c r="AX100" s="17" t="s">
        <v>80</v>
      </c>
      <c r="AY100" s="17" t="s">
        <v>81</v>
      </c>
      <c r="AZ100" s="17" t="s">
        <v>82</v>
      </c>
      <c r="BA100" s="17" t="s">
        <v>545</v>
      </c>
      <c r="BB100" s="62" t="s">
        <v>426</v>
      </c>
      <c r="BD100" s="17" t="s">
        <v>80</v>
      </c>
      <c r="BE100" s="17" t="s">
        <v>81</v>
      </c>
      <c r="BF100" s="17" t="s">
        <v>82</v>
      </c>
      <c r="BG100" s="17" t="s">
        <v>545</v>
      </c>
      <c r="BH100" s="62" t="s">
        <v>426</v>
      </c>
      <c r="BJ100" s="17" t="s">
        <v>80</v>
      </c>
      <c r="BK100" s="17" t="s">
        <v>81</v>
      </c>
      <c r="BL100" s="17" t="s">
        <v>82</v>
      </c>
      <c r="BM100" s="17" t="s">
        <v>545</v>
      </c>
      <c r="BN100" s="62" t="s">
        <v>426</v>
      </c>
      <c r="BR100" s="17" t="s">
        <v>80</v>
      </c>
      <c r="BS100" s="17" t="s">
        <v>81</v>
      </c>
      <c r="BT100" s="82" t="s">
        <v>82</v>
      </c>
      <c r="BU100" s="17" t="s">
        <v>545</v>
      </c>
    </row>
    <row r="101" spans="2:73" x14ac:dyDescent="0.15">
      <c r="B101" s="17">
        <v>4</v>
      </c>
      <c r="C101" s="17">
        <f>SUM(G101:J101)</f>
        <v>4</v>
      </c>
      <c r="D101" s="17">
        <v>1</v>
      </c>
      <c r="E101" s="29">
        <f>基础状态预期!C107</f>
        <v>0.7</v>
      </c>
      <c r="F101" s="29">
        <f>基础状态预期!D107</f>
        <v>10.099965341977441</v>
      </c>
      <c r="G101" s="29">
        <f>BD101</f>
        <v>4</v>
      </c>
      <c r="H101" s="29">
        <f t="shared" ref="H101:H116" si="85">BE101</f>
        <v>0</v>
      </c>
      <c r="I101" s="29">
        <f t="shared" ref="I101:I116" si="86">BF101</f>
        <v>0</v>
      </c>
      <c r="J101" s="29">
        <f t="shared" ref="J101:J116" si="87">BG101</f>
        <v>0</v>
      </c>
      <c r="K101" s="29">
        <f>武将战力价值情况!G97</f>
        <v>3</v>
      </c>
      <c r="L101" s="29">
        <f>武将战力价值情况!H97</f>
        <v>0.95229795184885058</v>
      </c>
      <c r="M101" s="29">
        <f>武将战力价值情况!I97</f>
        <v>0</v>
      </c>
      <c r="N101" s="29">
        <f>武将战力价值情况!J97</f>
        <v>0</v>
      </c>
      <c r="O101" s="41">
        <f>MAX(同名需求(G101,求节点(武将升星!$C$104:$C$112,武将升星!E$104:E$112,K101),F$2),武将数量星级阶位验证!AA97)</f>
        <v>28</v>
      </c>
      <c r="P101" s="41">
        <f>MAX(同名需求(H101,求节点(武将升星!$C$104:$C$112,武将升星!F$104:F$112,L101),G$2),武将数量星级阶位验证!AB97)</f>
        <v>11.522979518488505</v>
      </c>
      <c r="Q101" s="41">
        <f>MAX(同名需求(I101,求节点(武将升星!$C$104:$C$112,武将升星!G$104:G$112,M101),H$2),武将数量星级阶位验证!AC97)</f>
        <v>4</v>
      </c>
      <c r="R101" s="41">
        <f>MAX(同名需求(J101,求节点(武将升星!$C$104:$C$112,武将升星!H$104:H$112,N101),I$2),武将数量星级阶位验证!AD97)</f>
        <v>0</v>
      </c>
      <c r="S101" s="29">
        <f>MAX(基础状态预期!P107:T107)</f>
        <v>0.40399861367909762</v>
      </c>
      <c r="T101" s="29">
        <f>S101</f>
        <v>0.40399861367909762</v>
      </c>
      <c r="U101" s="29">
        <f t="shared" ref="U101:V101" si="88">T101</f>
        <v>0.40399861367909762</v>
      </c>
      <c r="V101" s="29">
        <f t="shared" si="88"/>
        <v>0.40399861367909762</v>
      </c>
      <c r="W101" s="41">
        <f>SUMIFS(武将进阶!F$13:F$18,武将进阶!$C$13:$C$18,"&lt;="&amp;T101)*H101+武将数量星级阶位验证!Q97</f>
        <v>2.4239916820745857</v>
      </c>
      <c r="X101" s="41">
        <f>SUMIFS(武将进阶!G$13:G$18,武将进阶!$C$13:$C$18,"&lt;="&amp;U101)*I101+武将数量星级阶位验证!R97</f>
        <v>4.8479833641491714</v>
      </c>
      <c r="Y101" s="41">
        <f>SUMIFS(武将进阶!H$13:H$18,武将进阶!$C$13:$C$18,"&lt;="&amp;V101)*J101+武将数量星级阶位验证!S97</f>
        <v>0</v>
      </c>
      <c r="Z101" s="41">
        <f>SUMIFS(武将进阶!I$13:I$18,武将进阶!$C$13:$C$18,"&lt;="&amp;W101)*K101+武将数量星级阶位验证!T97</f>
        <v>45</v>
      </c>
      <c r="AA101" s="29"/>
      <c r="AB101" s="29">
        <f>求节点(基础状态预期!$AT$17:$AT$55,基础状态预期!AW$17:AW$55,各r阵容卡情况!$F101)</f>
        <v>1.4994801296616166E-2</v>
      </c>
      <c r="AC101" s="29">
        <f>求节点(基础状态预期!$AT$17:$AT$55,基础状态预期!AX$17:AX$55,各r阵容卡情况!$F101)</f>
        <v>1.4994801296616166E-2</v>
      </c>
      <c r="AD101" s="29">
        <f>求节点(基础状态预期!$AT$17:$AT$55,基础状态预期!AY$17:AY$55,各r阵容卡情况!$F101)</f>
        <v>1.4994801296616166E-2</v>
      </c>
      <c r="AE101" s="41">
        <f>IF(AA101&lt;1,0,(AA101-1)*武将觉醒!E$34*G101)+武将数量星级阶位验证!V97</f>
        <v>0</v>
      </c>
      <c r="AF101" s="41">
        <f>IF(AB101&lt;1,0,(AB101-1)*武将觉醒!F$34*H101)+武将数量星级阶位验证!W97</f>
        <v>0</v>
      </c>
      <c r="AG101" s="41">
        <f>IF(AC101&lt;1,0,(AC101-1)*武将觉醒!G$34*I101)+武将数量星级阶位验证!X97</f>
        <v>0</v>
      </c>
      <c r="AH101" s="41">
        <f>IF(AD101&lt;1,0,(AD101-1)*武将觉醒!H$34*J101)+武将数量星级阶位验证!Y97</f>
        <v>0</v>
      </c>
      <c r="AJ101" s="29">
        <f>MAX(W101+AE101+G101*(K101+1)+IF(武将数量星级阶位验证!L97="",0,武将数量星级阶位验证!L97)*武将升星!P94,O101)</f>
        <v>28</v>
      </c>
      <c r="AK101" s="29">
        <f>MAX(X101+AF101+H101*(L101+1)+IF(武将数量星级阶位验证!M97="",0,武将数量星级阶位验证!M97)*武将升星!Q94,P101)</f>
        <v>11.522979518488505</v>
      </c>
      <c r="AL101" s="64">
        <f>MAX(Y101+AG101+I101*(M101+1)+IF(武将数量星级阶位验证!N97="",0,武将数量星级阶位验证!N97)*武将升星!R94,Q101)</f>
        <v>4</v>
      </c>
      <c r="AM101" s="41">
        <f>R101+AH101</f>
        <v>0</v>
      </c>
      <c r="AO101" s="17">
        <f>武将数量星级阶位验证!BJ97</f>
        <v>51.415168186268495</v>
      </c>
      <c r="AP101" s="17">
        <f>武将数量星级阶位验证!BK97</f>
        <v>19.522979518488505</v>
      </c>
      <c r="AQ101" s="63">
        <f>武将数量星级阶位验证!BL97</f>
        <v>5.3355254895748914</v>
      </c>
      <c r="AR101" s="17">
        <f>武将数量星级阶位验证!BM97</f>
        <v>0</v>
      </c>
      <c r="AT101" s="17">
        <f t="shared" ref="AT101:AT116" si="89">E101</f>
        <v>0.7</v>
      </c>
      <c r="AU101" s="17">
        <f t="shared" ref="AU101:AU116" si="90">F101</f>
        <v>10.099965341977441</v>
      </c>
      <c r="AW101" s="17" t="s">
        <v>168</v>
      </c>
      <c r="AX101" s="17">
        <v>2</v>
      </c>
      <c r="AY101" s="17">
        <v>2</v>
      </c>
      <c r="AZ101" s="17">
        <v>2</v>
      </c>
      <c r="BB101" s="62">
        <f>SUM(AX101:BA101)</f>
        <v>6</v>
      </c>
      <c r="BD101" s="17">
        <v>4</v>
      </c>
      <c r="BE101" s="17">
        <v>0</v>
      </c>
      <c r="BF101" s="17">
        <v>0</v>
      </c>
      <c r="BG101" s="17">
        <v>0</v>
      </c>
      <c r="BH101" s="62">
        <f>SUM(BD101:BG101)</f>
        <v>4</v>
      </c>
      <c r="BJ101" s="17">
        <f>AX101+BD101</f>
        <v>6</v>
      </c>
      <c r="BK101" s="17">
        <f t="shared" ref="BK101:BK116" si="91">AY101+BE101</f>
        <v>2</v>
      </c>
      <c r="BL101" s="17">
        <f t="shared" ref="BL101:BL116" si="92">AZ101+BF101</f>
        <v>2</v>
      </c>
      <c r="BM101" s="17">
        <f t="shared" ref="BM101:BM116" si="93">BA101+BG101</f>
        <v>0</v>
      </c>
      <c r="BN101" s="62">
        <f>SUM(BJ101:BM101)</f>
        <v>10</v>
      </c>
      <c r="BR101" s="17">
        <f>武将升星!P94*基础状态预期!G107+G101*(K101+1)+W101+AE101</f>
        <v>18.423991682074586</v>
      </c>
      <c r="BS101" s="17">
        <f>武将升星!Q94*基础状态预期!H107+H101*(L101+1)+X101+AF101</f>
        <v>8.7525792678468726</v>
      </c>
      <c r="BT101" s="17">
        <f>武将升星!R94*基础状态预期!I107+I101*(M101+1)+Y101+AG101</f>
        <v>4</v>
      </c>
      <c r="BU101" s="17">
        <f>武将升星!S94*基础状态预期!J107+J101*(N101+1)+Z101+AH101</f>
        <v>45</v>
      </c>
    </row>
    <row r="102" spans="2:73" x14ac:dyDescent="0.15">
      <c r="B102" s="17">
        <v>5</v>
      </c>
      <c r="C102" s="17">
        <f t="shared" ref="C102:C116" si="94">SUM(G102:J102)</f>
        <v>6</v>
      </c>
      <c r="D102" s="17">
        <v>2</v>
      </c>
      <c r="E102" s="29">
        <f>基础状态预期!C108</f>
        <v>2.0999999999999996</v>
      </c>
      <c r="F102" s="29">
        <f>基础状态预期!D108</f>
        <v>19.800198258084681</v>
      </c>
      <c r="G102" s="29">
        <f t="shared" ref="G102:G116" si="95">BD102</f>
        <v>6</v>
      </c>
      <c r="H102" s="29">
        <f t="shared" si="85"/>
        <v>0</v>
      </c>
      <c r="I102" s="29">
        <f t="shared" si="86"/>
        <v>0</v>
      </c>
      <c r="J102" s="29">
        <f t="shared" si="87"/>
        <v>0</v>
      </c>
      <c r="K102" s="29">
        <f>武将战力价值情况!G98</f>
        <v>3</v>
      </c>
      <c r="L102" s="29">
        <f>武将战力价值情况!H98</f>
        <v>2.6147600393732642</v>
      </c>
      <c r="M102" s="29">
        <f>武将战力价值情况!I98</f>
        <v>0</v>
      </c>
      <c r="N102" s="29">
        <f>武将战力价值情况!J98</f>
        <v>0</v>
      </c>
      <c r="O102" s="41">
        <f>MAX(同名需求(G102,求节点(武将升星!$C$104:$C$112,武将升星!E$104:E$112,K102),F$2),武将数量星级阶位验证!AA98)</f>
        <v>30</v>
      </c>
      <c r="P102" s="41">
        <f>MAX(同名需求(H102,求节点(武将升星!$C$104:$C$112,武将升星!F$104:F$112,L102),G$2),武将数量星级阶位验证!AB98)</f>
        <v>32.295200787465284</v>
      </c>
      <c r="Q102" s="41">
        <f>MAX(同名需求(I102,求节点(武将升星!$C$104:$C$112,武将升星!G$104:G$112,M102),H$2),武将数量星级阶位验证!AC98)</f>
        <v>6</v>
      </c>
      <c r="R102" s="41">
        <f>MAX(同名需求(J102,求节点(武将升星!$C$104:$C$112,武将升星!H$104:H$112,N102),I$2),武将数量星级阶位验证!AD98)</f>
        <v>0</v>
      </c>
      <c r="S102" s="29">
        <f>MAX(基础状态预期!P108:T108)</f>
        <v>0.79200793032338723</v>
      </c>
      <c r="T102" s="29">
        <f t="shared" ref="T102:V102" si="96">S102</f>
        <v>0.79200793032338723</v>
      </c>
      <c r="U102" s="29">
        <f t="shared" si="96"/>
        <v>0.79200793032338723</v>
      </c>
      <c r="V102" s="29">
        <f t="shared" si="96"/>
        <v>0.79200793032338723</v>
      </c>
      <c r="W102" s="41">
        <f>SUMIFS(武将进阶!F$13:F$18,武将进阶!$C$13:$C$18,"&lt;="&amp;T102)*H102+武将数量星级阶位验证!Q98</f>
        <v>0</v>
      </c>
      <c r="X102" s="41">
        <f>SUMIFS(武将进阶!G$13:G$18,武将进阶!$C$13:$C$18,"&lt;="&amp;U102)*I102+武将数量星级阶位验证!R98</f>
        <v>14.25614274582097</v>
      </c>
      <c r="Y102" s="41">
        <f>SUMIFS(武将进阶!H$13:H$18,武将进阶!$C$13:$C$18,"&lt;="&amp;V102)*J102+武将数量星级阶位验证!S98</f>
        <v>0</v>
      </c>
      <c r="Z102" s="41">
        <f>SUMIFS(武将进阶!I$13:I$18,武将进阶!$C$13:$C$18,"&lt;="&amp;W102)*K102+武将数量星级阶位验证!T98</f>
        <v>0</v>
      </c>
      <c r="AA102" s="29"/>
      <c r="AB102" s="29">
        <f>求节点(基础状态预期!$AT$17:$AT$55,基础状态预期!AW$17:AW$55,各r阵容卡情况!$F102)</f>
        <v>1</v>
      </c>
      <c r="AC102" s="29">
        <f>求节点(基础状态预期!$AT$17:$AT$55,基础状态预期!AX$17:AX$55,各r阵容卡情况!$F102)</f>
        <v>1</v>
      </c>
      <c r="AD102" s="29">
        <f>求节点(基础状态预期!$AT$17:$AT$55,基础状态预期!AY$17:AY$55,各r阵容卡情况!$F102)</f>
        <v>1</v>
      </c>
      <c r="AE102" s="41">
        <f>IF(AA102&lt;1,0,(AA102-1)*武将觉醒!E$34*G102)+武将数量星级阶位验证!V98</f>
        <v>0</v>
      </c>
      <c r="AF102" s="41">
        <f>IF(AB102&lt;1,0,(AB102-1)*武将觉醒!F$34*H102)+武将数量星级阶位验证!W98</f>
        <v>0</v>
      </c>
      <c r="AG102" s="41">
        <f>IF(AC102&lt;1,0,(AC102-1)*武将觉醒!G$34*I102)+武将数量星级阶位验证!X98</f>
        <v>0</v>
      </c>
      <c r="AH102" s="41">
        <f>IF(AD102&lt;1,0,(AD102-1)*武将觉醒!H$34*J102)+武将数量星级阶位验证!Y98</f>
        <v>0</v>
      </c>
      <c r="AJ102" s="29">
        <f>MAX(W102+AE102+G102*(K102+1)+IF(武将数量星级阶位验证!L98="",0,武将数量星级阶位验证!L98)*武将升星!P95,O102)</f>
        <v>30</v>
      </c>
      <c r="AK102" s="29">
        <f>MAX(X102+AF102+H102*(L102+1)+IF(武将数量星级阶位验证!M98="",0,武将数量星级阶位验证!M98)*武将升星!Q95,P102)</f>
        <v>32.295200787465284</v>
      </c>
      <c r="AL102" s="64">
        <f>MAX(Y102+AG102+I102*(M102+1)+IF(武将数量星级阶位验证!N98="",0,武将数量星级阶位验证!N98)*武将升星!R95,Q102)</f>
        <v>6</v>
      </c>
      <c r="AM102" s="41">
        <f t="shared" ref="AM102:AM116" si="97">R102+AH102</f>
        <v>0</v>
      </c>
      <c r="AO102" s="17">
        <f>武将数量星级阶位验证!BJ98</f>
        <v>114.06971444405491</v>
      </c>
      <c r="AP102" s="17">
        <f>武将数量星级阶位验证!BK98</f>
        <v>42.295200787465284</v>
      </c>
      <c r="AQ102" s="63">
        <f>武将数量星级阶位验证!BL98</f>
        <v>11.429587721474611</v>
      </c>
      <c r="AR102" s="17">
        <f>武将数量星级阶位验证!BM98</f>
        <v>0</v>
      </c>
      <c r="AT102" s="17">
        <f t="shared" si="89"/>
        <v>2.0999999999999996</v>
      </c>
      <c r="AU102" s="17">
        <f t="shared" si="90"/>
        <v>19.800198258084681</v>
      </c>
      <c r="AW102" s="17" t="s">
        <v>168</v>
      </c>
      <c r="AY102" s="17">
        <v>3</v>
      </c>
      <c r="AZ102" s="17">
        <v>3</v>
      </c>
      <c r="BB102" s="62">
        <f t="shared" ref="BB102:BB116" si="98">SUM(AX102:BA102)</f>
        <v>6</v>
      </c>
      <c r="BD102" s="17">
        <v>6</v>
      </c>
      <c r="BE102" s="17">
        <v>0</v>
      </c>
      <c r="BF102" s="17">
        <v>0</v>
      </c>
      <c r="BG102" s="17">
        <v>0</v>
      </c>
      <c r="BH102" s="62">
        <f t="shared" ref="BH102:BH116" si="99">SUM(BD102:BG102)</f>
        <v>6</v>
      </c>
      <c r="BJ102" s="17">
        <f t="shared" ref="BJ102:BJ116" si="100">AX102+BD102</f>
        <v>6</v>
      </c>
      <c r="BK102" s="17">
        <f t="shared" si="91"/>
        <v>3</v>
      </c>
      <c r="BL102" s="17">
        <f t="shared" si="92"/>
        <v>3</v>
      </c>
      <c r="BM102" s="17">
        <f t="shared" si="93"/>
        <v>0</v>
      </c>
      <c r="BN102" s="62">
        <f t="shared" ref="BN102:BN116" si="101">SUM(BJ102:BM102)</f>
        <v>12</v>
      </c>
      <c r="BR102" s="17">
        <f>武将升星!P95*基础状态预期!G108+G102*(K102+1)+W102+AE102</f>
        <v>24</v>
      </c>
      <c r="BS102" s="17">
        <f>武将升星!Q95*基础状态预期!H108+H102*(L102+1)+X102+AF102</f>
        <v>14.25614274582097</v>
      </c>
      <c r="BT102" s="17">
        <f>武将升星!R95*基础状态预期!I108+I102*(M102+1)+Y102+AG102</f>
        <v>6</v>
      </c>
      <c r="BU102" s="17">
        <f>武将升星!S95*基础状态预期!J108+J102*(N102+1)+Z102+AH102</f>
        <v>0</v>
      </c>
    </row>
    <row r="103" spans="2:73" x14ac:dyDescent="0.15">
      <c r="B103" s="17">
        <v>6</v>
      </c>
      <c r="C103" s="17">
        <f t="shared" si="94"/>
        <v>8</v>
      </c>
      <c r="D103" s="17">
        <v>3</v>
      </c>
      <c r="E103" s="29">
        <f>基础状态预期!C109</f>
        <v>4.1999999999999993</v>
      </c>
      <c r="F103" s="29">
        <f>基础状态预期!D109</f>
        <v>27.769105021676069</v>
      </c>
      <c r="G103" s="29">
        <f t="shared" si="95"/>
        <v>6</v>
      </c>
      <c r="H103" s="29">
        <f t="shared" si="85"/>
        <v>2</v>
      </c>
      <c r="I103" s="29">
        <f t="shared" si="86"/>
        <v>0</v>
      </c>
      <c r="J103" s="29">
        <f t="shared" si="87"/>
        <v>0</v>
      </c>
      <c r="K103" s="29">
        <f>武将战力价值情况!G99</f>
        <v>3</v>
      </c>
      <c r="L103" s="29">
        <f>武将战力价值情况!H99</f>
        <v>3.9704598355363032</v>
      </c>
      <c r="M103" s="29">
        <f>武将战力价值情况!I99</f>
        <v>0.47401274849368447</v>
      </c>
      <c r="N103" s="29">
        <f>武将战力价值情况!J99</f>
        <v>0</v>
      </c>
      <c r="O103" s="41">
        <f>MAX(同名需求(G103,求节点(武将升星!$C$104:$C$112,武将升星!E$104:E$112,K103),F$2),武将数量星级阶位验证!AA99)</f>
        <v>30</v>
      </c>
      <c r="P103" s="41">
        <f>MAX(同名需求(H103,求节点(武将升星!$C$104:$C$112,武将升星!F$104:F$112,L103),G$2),武将数量星级阶位验证!AB99)</f>
        <v>61.409196710726064</v>
      </c>
      <c r="Q103" s="41">
        <f>MAX(同名需求(I103,求节点(武将升星!$C$104:$C$112,武将升星!G$104:G$112,M103),H$2),武将数量星级阶位验证!AC99)</f>
        <v>14.295223098639479</v>
      </c>
      <c r="R103" s="41">
        <f>MAX(同名需求(J103,求节点(武将升星!$C$104:$C$112,武将升星!H$104:H$112,N103),I$2),武将数量星级阶位验证!AD99)</f>
        <v>0</v>
      </c>
      <c r="S103" s="29">
        <f>MAX(基础状态预期!P109:T109)</f>
        <v>1.1107642008670426</v>
      </c>
      <c r="T103" s="29">
        <f t="shared" ref="T103:V103" si="102">S103</f>
        <v>1.1107642008670426</v>
      </c>
      <c r="U103" s="29">
        <f t="shared" si="102"/>
        <v>1.1107642008670426</v>
      </c>
      <c r="V103" s="29">
        <f t="shared" si="102"/>
        <v>1.1107642008670426</v>
      </c>
      <c r="W103" s="41">
        <f>SUMIFS(武将进阶!F$13:F$18,武将进阶!$C$13:$C$18,"&lt;="&amp;T103)*H103+武将数量星级阶位验证!Q99</f>
        <v>6</v>
      </c>
      <c r="X103" s="41">
        <f>SUMIFS(武将进阶!G$13:G$18,武将进阶!$C$13:$C$18,"&lt;="&amp;U103)*I103+武将数量星级阶位验证!R99</f>
        <v>21.987511231213535</v>
      </c>
      <c r="Y103" s="41">
        <f>SUMIFS(武将进阶!H$13:H$18,武将进阶!$C$13:$C$18,"&lt;="&amp;V103)*J103+武将数量星级阶位验证!S99</f>
        <v>0</v>
      </c>
      <c r="Z103" s="41">
        <f>SUMIFS(武将进阶!I$13:I$18,武将进阶!$C$13:$C$18,"&lt;="&amp;W103)*K103+武将数量星级阶位验证!T99</f>
        <v>525</v>
      </c>
      <c r="AA103" s="29"/>
      <c r="AB103" s="29">
        <f>求节点(基础状态预期!$AT$17:$AT$55,基础状态预期!AW$17:AW$55,各r阵容卡情况!$F103)</f>
        <v>1</v>
      </c>
      <c r="AC103" s="29">
        <f>求节点(基础状态预期!$AT$17:$AT$55,基础状态预期!AX$17:AX$55,各r阵容卡情况!$F103)</f>
        <v>1</v>
      </c>
      <c r="AD103" s="29">
        <f>求节点(基础状态预期!$AT$17:$AT$55,基础状态预期!AY$17:AY$55,各r阵容卡情况!$F103)</f>
        <v>1</v>
      </c>
      <c r="AE103" s="41">
        <f>IF(AA103&lt;1,0,(AA103-1)*武将觉醒!E$34*G103)+武将数量星级阶位验证!V99</f>
        <v>0</v>
      </c>
      <c r="AF103" s="41">
        <f>IF(AB103&lt;1,0,(AB103-1)*武将觉醒!F$34*H103)+武将数量星级阶位验证!W99</f>
        <v>0</v>
      </c>
      <c r="AG103" s="41">
        <f>IF(AC103&lt;1,0,(AC103-1)*武将觉醒!G$34*I103)+武将数量星级阶位验证!X99</f>
        <v>0</v>
      </c>
      <c r="AH103" s="41">
        <f>IF(AD103&lt;1,0,(AD103-1)*武将觉醒!H$34*J103)+武将数量星级阶位验证!Y99</f>
        <v>0</v>
      </c>
      <c r="AJ103" s="29">
        <f>MAX(W103+AE103+G103*(K103+1)+IF(武将数量星级阶位验证!L99="",0,武将数量星级阶位验证!L99)*武将升星!P96,O103)</f>
        <v>30</v>
      </c>
      <c r="AK103" s="29">
        <f>MAX(X103+AF103+H103*(L103+1)+IF(武将数量星级阶位验证!M99="",0,武将数量星级阶位验证!M99)*武将升星!Q96,P103)</f>
        <v>61.409196710726064</v>
      </c>
      <c r="AL103" s="64">
        <f>MAX(Y103+AG103+I103*(M103+1)+IF(武将数量星级阶位验证!N99="",0,武将数量星级阶位验证!N99)*武将升星!R96,Q103)</f>
        <v>14.295223098639479</v>
      </c>
      <c r="AM103" s="41">
        <f t="shared" si="97"/>
        <v>0</v>
      </c>
      <c r="AO103" s="17">
        <f>武将数量星级阶位验证!BJ99</f>
        <v>190.66082937960499</v>
      </c>
      <c r="AP103" s="17">
        <f>武将数量星级阶位验证!BK99</f>
        <v>69.409196710726064</v>
      </c>
      <c r="AQ103" s="63">
        <f>武将数量星级阶位验证!BL99</f>
        <v>18.589461574891708</v>
      </c>
      <c r="AR103" s="17">
        <f>武将数量星级阶位验证!BM99</f>
        <v>0</v>
      </c>
      <c r="AT103" s="17">
        <f t="shared" si="89"/>
        <v>4.1999999999999993</v>
      </c>
      <c r="AU103" s="17">
        <f t="shared" si="90"/>
        <v>27.769105021676069</v>
      </c>
      <c r="AW103" s="17" t="s">
        <v>168</v>
      </c>
      <c r="AY103" s="17">
        <v>2</v>
      </c>
      <c r="AZ103" s="17">
        <v>4</v>
      </c>
      <c r="BB103" s="62">
        <f t="shared" si="98"/>
        <v>6</v>
      </c>
      <c r="BD103" s="17">
        <v>6</v>
      </c>
      <c r="BE103" s="17">
        <v>2</v>
      </c>
      <c r="BF103" s="17">
        <v>0</v>
      </c>
      <c r="BG103" s="17">
        <v>0</v>
      </c>
      <c r="BH103" s="62">
        <f t="shared" si="99"/>
        <v>8</v>
      </c>
      <c r="BJ103" s="17">
        <f t="shared" si="100"/>
        <v>6</v>
      </c>
      <c r="BK103" s="17">
        <f t="shared" si="91"/>
        <v>4</v>
      </c>
      <c r="BL103" s="17">
        <f t="shared" si="92"/>
        <v>4</v>
      </c>
      <c r="BM103" s="17">
        <f t="shared" si="93"/>
        <v>0</v>
      </c>
      <c r="BN103" s="62">
        <f t="shared" si="101"/>
        <v>14</v>
      </c>
      <c r="BR103" s="17">
        <f>武将升星!P96*基础状态预期!G109+G103*(K103+1)+W103+AE103</f>
        <v>30</v>
      </c>
      <c r="BS103" s="17">
        <f>武将升星!Q96*基础状态预期!H109+H103*(L103+1)+X103+AF103</f>
        <v>31.928430902286141</v>
      </c>
      <c r="BT103" s="17">
        <f>武将升星!R96*基础状态预期!I109+I103*(M103+1)+Y103+AG103</f>
        <v>8.8440764909621059</v>
      </c>
      <c r="BU103" s="17">
        <f>武将升星!S96*基础状态预期!J109+J103*(N103+1)+Z103+AH103</f>
        <v>525</v>
      </c>
    </row>
    <row r="104" spans="2:73" x14ac:dyDescent="0.15">
      <c r="B104" s="17">
        <v>7</v>
      </c>
      <c r="C104" s="17">
        <f t="shared" si="94"/>
        <v>12</v>
      </c>
      <c r="D104" s="17">
        <v>4</v>
      </c>
      <c r="E104" s="29">
        <f>基础状态预期!C110</f>
        <v>7</v>
      </c>
      <c r="F104" s="29">
        <f>基础状态预期!D110</f>
        <v>34.192155176139416</v>
      </c>
      <c r="G104" s="29">
        <f t="shared" si="95"/>
        <v>6</v>
      </c>
      <c r="H104" s="29">
        <f t="shared" si="85"/>
        <v>4</v>
      </c>
      <c r="I104" s="29">
        <f t="shared" si="86"/>
        <v>2</v>
      </c>
      <c r="J104" s="29">
        <f t="shared" si="87"/>
        <v>0</v>
      </c>
      <c r="K104" s="29">
        <f>武将战力价值情况!G100</f>
        <v>3</v>
      </c>
      <c r="L104" s="29">
        <f>武将战力价值情况!H100</f>
        <v>5.1000653336205781</v>
      </c>
      <c r="M104" s="29">
        <f>武将战力价值情况!I100</f>
        <v>1.1912960112427449</v>
      </c>
      <c r="N104" s="29">
        <f>武将战力价值情况!J100</f>
        <v>0</v>
      </c>
      <c r="O104" s="41">
        <f>MAX(同名需求(G104,求节点(武将升星!$C$104:$C$112,武将升星!E$104:E$112,K104),F$2),武将数量星级阶位验证!AA100)</f>
        <v>30</v>
      </c>
      <c r="P104" s="41">
        <f>MAX(同名需求(H104,求节点(武将升星!$C$104:$C$112,武将升星!F$104:F$112,L104),G$2),武将数量星级阶位验证!AB100)</f>
        <v>97.001960008617345</v>
      </c>
      <c r="Q104" s="41">
        <f>MAX(同名需求(I104,求节点(武将升星!$C$104:$C$112,武将升星!G$104:G$112,M104),H$2),武将数量星级阶位验证!AC100)</f>
        <v>26.847680196748037</v>
      </c>
      <c r="R104" s="41">
        <f>MAX(同名需求(J104,求节点(武将升星!$C$104:$C$112,武将升星!H$104:H$112,N104),I$2),武将数量星级阶位验证!AD100)</f>
        <v>0</v>
      </c>
      <c r="S104" s="29">
        <f>MAX(基础状态预期!P110:T110)</f>
        <v>1.3676862070455766</v>
      </c>
      <c r="T104" s="29">
        <f t="shared" ref="T104:V104" si="103">S104</f>
        <v>1.3676862070455766</v>
      </c>
      <c r="U104" s="29">
        <f t="shared" si="103"/>
        <v>1.3676862070455766</v>
      </c>
      <c r="V104" s="29">
        <f t="shared" si="103"/>
        <v>1.3676862070455766</v>
      </c>
      <c r="W104" s="41">
        <f>SUMIFS(武将进阶!F$13:F$18,武将进阶!$C$13:$C$18,"&lt;="&amp;T104)*H104+武将数量星级阶位验证!Q100</f>
        <v>12</v>
      </c>
      <c r="X104" s="41">
        <f>SUMIFS(武将进阶!G$13:G$18,武将进阶!$C$13:$C$18,"&lt;="&amp;U104)*I104+武将数量星级阶位验证!R100</f>
        <v>37.236703453640757</v>
      </c>
      <c r="Y104" s="41">
        <f>SUMIFS(武将进阶!H$13:H$18,武将进阶!$C$13:$C$18,"&lt;="&amp;V104)*J104+武将数量星级阶位验证!S100</f>
        <v>0</v>
      </c>
      <c r="Z104" s="41">
        <f>SUMIFS(武将进阶!I$13:I$18,武将进阶!$C$13:$C$18,"&lt;="&amp;W104)*K104+武将数量星级阶位验证!T100</f>
        <v>525</v>
      </c>
      <c r="AA104" s="29"/>
      <c r="AB104" s="29">
        <f>求节点(基础状态预期!$AT$17:$AT$55,基础状态预期!AW$17:AW$55,各r阵容卡情况!$F104)</f>
        <v>1.1986925293565693</v>
      </c>
      <c r="AC104" s="29">
        <f>求节点(基础状态预期!$AT$17:$AT$55,基础状态预期!AX$17:AX$55,各r阵容卡情况!$F104)</f>
        <v>1.1986925293565693</v>
      </c>
      <c r="AD104" s="29">
        <f>求节点(基础状态预期!$AT$17:$AT$55,基础状态预期!AY$17:AY$55,各r阵容卡情况!$F104)</f>
        <v>1.1986925293565693</v>
      </c>
      <c r="AE104" s="41">
        <f>IF(AA104&lt;1,0,(AA104-1)*武将觉醒!E$34*G104)+武将数量星级阶位验证!V100</f>
        <v>0</v>
      </c>
      <c r="AF104" s="41">
        <f>IF(AB104&lt;1,0,(AB104-1)*武将觉醒!F$34*H104)+武将数量星级阶位验证!W100</f>
        <v>3.9738505871313867</v>
      </c>
      <c r="AG104" s="41">
        <f>IF(AC104&lt;1,0,(AC104-1)*武将觉醒!G$34*I104)+武将数量星级阶位验证!X100</f>
        <v>5.2834295752111089</v>
      </c>
      <c r="AH104" s="41">
        <f>IF(AD104&lt;1,0,(AD104-1)*武将觉醒!H$34*J104)+武将数量星级阶位验证!Y100</f>
        <v>0</v>
      </c>
      <c r="AJ104" s="29">
        <f>MAX(W104+AE104+G104*(K104+1)+IF(武将数量星级阶位验证!L100="",0,武将数量星级阶位验证!L100)*武将升星!P97,O104)</f>
        <v>36</v>
      </c>
      <c r="AK104" s="29">
        <f>MAX(X104+AF104+H104*(L104+1)+IF(武将数量星级阶位验证!M100="",0,武将数量星级阶位验证!M100)*武将升星!Q97,P104)</f>
        <v>97.001960008617345</v>
      </c>
      <c r="AL104" s="64">
        <f>MAX(Y104+AG104+I104*(M104+1)+IF(武将数量星级阶位验证!N100="",0,武将数量星级阶位验证!N100)*武将升星!R97,Q104)</f>
        <v>26.847680196748037</v>
      </c>
      <c r="AM104" s="41">
        <f t="shared" si="97"/>
        <v>0</v>
      </c>
      <c r="AO104" s="17">
        <f>武将数量星级阶位验证!BJ100</f>
        <v>286.4642137712741</v>
      </c>
      <c r="AP104" s="17">
        <f>武将数量星级阶位验证!BK100</f>
        <v>103.00196000861736</v>
      </c>
      <c r="AQ104" s="63">
        <f>武将数量星级阶位验证!BL100</f>
        <v>27.416176252423632</v>
      </c>
      <c r="AR104" s="17">
        <f>武将数量星级阶位验证!BM100</f>
        <v>0</v>
      </c>
      <c r="AT104" s="17">
        <f t="shared" si="89"/>
        <v>7</v>
      </c>
      <c r="AU104" s="17">
        <f t="shared" si="90"/>
        <v>34.192155176139416</v>
      </c>
      <c r="AW104" s="17" t="s">
        <v>168</v>
      </c>
      <c r="AY104" s="17">
        <v>1</v>
      </c>
      <c r="AZ104" s="17">
        <v>5</v>
      </c>
      <c r="BB104" s="62">
        <f t="shared" si="98"/>
        <v>6</v>
      </c>
      <c r="BD104" s="17">
        <v>6</v>
      </c>
      <c r="BE104" s="17">
        <v>4</v>
      </c>
      <c r="BF104" s="17">
        <v>2</v>
      </c>
      <c r="BG104" s="17">
        <v>0</v>
      </c>
      <c r="BH104" s="62">
        <f t="shared" si="99"/>
        <v>12</v>
      </c>
      <c r="BJ104" s="17">
        <f t="shared" si="100"/>
        <v>6</v>
      </c>
      <c r="BK104" s="17">
        <f t="shared" si="91"/>
        <v>5</v>
      </c>
      <c r="BL104" s="17">
        <f t="shared" si="92"/>
        <v>7</v>
      </c>
      <c r="BM104" s="17">
        <f t="shared" si="93"/>
        <v>0</v>
      </c>
      <c r="BN104" s="62">
        <f t="shared" si="101"/>
        <v>18</v>
      </c>
      <c r="BR104" s="17">
        <f>武将升星!P97*基础状态预期!G110+G104*(K104+1)+W104+AE104</f>
        <v>36</v>
      </c>
      <c r="BS104" s="17">
        <f>武将升星!Q97*基础状态预期!H110+H104*(L104+1)+X104+AF104</f>
        <v>65.610815375254447</v>
      </c>
      <c r="BT104" s="17">
        <f>武将升星!R97*基础状态预期!I110+I104*(M104+1)+Y104+AG104</f>
        <v>22.813797665153068</v>
      </c>
      <c r="BU104" s="17">
        <f>武将升星!S97*基础状态预期!J110+J104*(N104+1)+Z104+AH104</f>
        <v>525</v>
      </c>
    </row>
    <row r="105" spans="2:73" x14ac:dyDescent="0.15">
      <c r="B105" s="17">
        <v>8</v>
      </c>
      <c r="C105" s="17">
        <f t="shared" si="94"/>
        <v>16</v>
      </c>
      <c r="D105" s="17">
        <v>5</v>
      </c>
      <c r="E105" s="29">
        <f>基础状态预期!C111</f>
        <v>10.5</v>
      </c>
      <c r="F105" s="29">
        <f>基础状态预期!D111</f>
        <v>39.631851677253941</v>
      </c>
      <c r="G105" s="29">
        <f t="shared" si="95"/>
        <v>6</v>
      </c>
      <c r="H105" s="29">
        <f t="shared" si="85"/>
        <v>6</v>
      </c>
      <c r="I105" s="29">
        <f t="shared" si="86"/>
        <v>4</v>
      </c>
      <c r="J105" s="29">
        <f t="shared" si="87"/>
        <v>0</v>
      </c>
      <c r="K105" s="29">
        <f>武将战力价值情况!G101</f>
        <v>3</v>
      </c>
      <c r="L105" s="29">
        <f>武将战力价值情况!H101</f>
        <v>6</v>
      </c>
      <c r="M105" s="29">
        <f>武将战力价值情况!I101</f>
        <v>1.8437826107937041</v>
      </c>
      <c r="N105" s="29">
        <f>武将战力价值情况!J101</f>
        <v>0</v>
      </c>
      <c r="O105" s="41">
        <f>MAX(同名需求(G105,求节点(武将升星!$C$104:$C$112,武将升星!E$104:E$112,K105),F$2),武将数量星级阶位验证!AA101)</f>
        <v>30</v>
      </c>
      <c r="P105" s="41">
        <f>MAX(同名需求(H105,求节点(武将升星!$C$104:$C$112,武将升星!F$104:F$112,L105),G$2),武将数量星级阶位验证!AB101)</f>
        <v>126</v>
      </c>
      <c r="Q105" s="41">
        <f>MAX(同名需求(I105,求节点(武将升星!$C$104:$C$112,武将升星!G$104:G$112,M105),H$2),武将数量星级阶位验证!AC101)</f>
        <v>40.875652215874084</v>
      </c>
      <c r="R105" s="41">
        <f>MAX(同名需求(J105,求节点(武将升星!$C$104:$C$112,武将升星!H$104:H$112,N105),I$2),武将数量星级阶位验证!AD101)</f>
        <v>0</v>
      </c>
      <c r="S105" s="29">
        <f>MAX(基础状态预期!P111:T111)</f>
        <v>1.5852740670901575</v>
      </c>
      <c r="T105" s="29">
        <f t="shared" ref="T105:V105" si="104">S105</f>
        <v>1.5852740670901575</v>
      </c>
      <c r="U105" s="29">
        <f t="shared" si="104"/>
        <v>1.5852740670901575</v>
      </c>
      <c r="V105" s="29">
        <f t="shared" si="104"/>
        <v>1.5852740670901575</v>
      </c>
      <c r="W105" s="41">
        <f>SUMIFS(武将进阶!F$13:F$18,武将进阶!$C$13:$C$18,"&lt;="&amp;T105)*H105+武将数量星级阶位验证!Q101</f>
        <v>18</v>
      </c>
      <c r="X105" s="41">
        <f>SUMIFS(武将进阶!G$13:G$18,武将进阶!$C$13:$C$18,"&lt;="&amp;U105)*I105+武将数量星级阶位验证!R101</f>
        <v>51.06986641524567</v>
      </c>
      <c r="Y105" s="41">
        <f>SUMIFS(武将进阶!H$13:H$18,武将进阶!$C$13:$C$18,"&lt;="&amp;V105)*J105+武将数量星级阶位验证!S101</f>
        <v>0</v>
      </c>
      <c r="Z105" s="41">
        <f>SUMIFS(武将进阶!I$13:I$18,武将进阶!$C$13:$C$18,"&lt;="&amp;W105)*K105+武将数量星级阶位验证!T101</f>
        <v>525</v>
      </c>
      <c r="AA105" s="29"/>
      <c r="AB105" s="29">
        <f>求节点(基础状态预期!$AT$17:$AT$55,基础状态预期!AW$17:AW$55,各r阵容卡情况!$F105)</f>
        <v>2</v>
      </c>
      <c r="AC105" s="29">
        <f>求节点(基础状态预期!$AT$17:$AT$55,基础状态预期!AX$17:AX$55,各r阵容卡情况!$F105)</f>
        <v>2</v>
      </c>
      <c r="AD105" s="29">
        <f>求节点(基础状态预期!$AT$17:$AT$55,基础状态预期!AY$17:AY$55,各r阵容卡情况!$F105)</f>
        <v>2</v>
      </c>
      <c r="AE105" s="41">
        <f>IF(AA105&lt;1,0,(AA105-1)*武将觉醒!E$34*G105)+武将数量星级阶位验证!V101</f>
        <v>0</v>
      </c>
      <c r="AF105" s="41">
        <f>IF(AB105&lt;1,0,(AB105-1)*武将觉醒!F$34*H105)+武将数量星级阶位验证!W101</f>
        <v>30</v>
      </c>
      <c r="AG105" s="41">
        <f>IF(AC105&lt;1,0,(AC105-1)*武将觉醒!G$34*I105)+武将数量星级阶位验证!X101</f>
        <v>10</v>
      </c>
      <c r="AH105" s="41">
        <f>IF(AD105&lt;1,0,(AD105-1)*武将觉醒!H$34*J105)+武将数量星级阶位验证!Y101</f>
        <v>0</v>
      </c>
      <c r="AJ105" s="29">
        <f>MAX(W105+AE105+G105*(K105+1)+IF(武将数量星级阶位验证!L101="",0,武将数量星级阶位验证!L101)*武将升星!P98,O105)</f>
        <v>42</v>
      </c>
      <c r="AK105" s="29">
        <f>MAX(X105+AF105+H105*(L105+1)+IF(武将数量星级阶位验证!M101="",0,武将数量星级阶位验证!M101)*武将升星!Q98,P105)</f>
        <v>126</v>
      </c>
      <c r="AL105" s="64">
        <f>MAX(Y105+AG105+I105*(M105+1)+IF(武将数量星级阶位验证!N101="",0,武将数量星级阶位验证!N101)*武将升星!R98,Q105)</f>
        <v>40.875652215874084</v>
      </c>
      <c r="AM105" s="41">
        <f t="shared" si="97"/>
        <v>0</v>
      </c>
      <c r="AO105" s="17">
        <f>武将数量星级阶位验证!BJ101</f>
        <v>380.72640637955533</v>
      </c>
      <c r="AP105" s="17">
        <f>武将数量星级阶位验证!BK101</f>
        <v>134.66702536893379</v>
      </c>
      <c r="AQ105" s="63">
        <f>武将数量星级阶位验证!BL101</f>
        <v>35.54541338501263</v>
      </c>
      <c r="AR105" s="17">
        <f>武将数量星级阶位验证!BM101</f>
        <v>0</v>
      </c>
      <c r="AT105" s="17">
        <f t="shared" si="89"/>
        <v>10.5</v>
      </c>
      <c r="AU105" s="17">
        <f t="shared" si="90"/>
        <v>39.631851677253941</v>
      </c>
      <c r="AW105" s="17" t="s">
        <v>168</v>
      </c>
      <c r="AZ105" s="17">
        <v>6</v>
      </c>
      <c r="BB105" s="62">
        <f t="shared" si="98"/>
        <v>6</v>
      </c>
      <c r="BD105" s="17">
        <v>6</v>
      </c>
      <c r="BE105" s="17">
        <v>6</v>
      </c>
      <c r="BF105" s="17">
        <v>4</v>
      </c>
      <c r="BG105" s="17">
        <v>0</v>
      </c>
      <c r="BH105" s="62">
        <f t="shared" si="99"/>
        <v>16</v>
      </c>
      <c r="BJ105" s="17">
        <f t="shared" si="100"/>
        <v>6</v>
      </c>
      <c r="BK105" s="17">
        <f t="shared" si="91"/>
        <v>6</v>
      </c>
      <c r="BL105" s="17">
        <f t="shared" si="92"/>
        <v>10</v>
      </c>
      <c r="BM105" s="17">
        <f t="shared" si="93"/>
        <v>0</v>
      </c>
      <c r="BN105" s="62">
        <f t="shared" si="101"/>
        <v>22</v>
      </c>
      <c r="BR105" s="17">
        <f>武将升星!P98*基础状态预期!G111+G105*(K105+1)+W105+AE105</f>
        <v>42</v>
      </c>
      <c r="BS105" s="17">
        <f>武将升星!Q98*基础状态预期!H111+H105*(L105+1)+X105+AF105</f>
        <v>123.06986641524567</v>
      </c>
      <c r="BT105" s="17">
        <f>武将升星!R98*基础状态预期!I111+I105*(M105+1)+Y105+AG105</f>
        <v>38.437826107937042</v>
      </c>
      <c r="BU105" s="17">
        <f>武将升星!S98*基础状态预期!J111+J105*(N105+1)+Z105+AH105</f>
        <v>525</v>
      </c>
    </row>
    <row r="106" spans="2:73" x14ac:dyDescent="0.15">
      <c r="B106" s="17">
        <v>9</v>
      </c>
      <c r="C106" s="17">
        <f t="shared" si="94"/>
        <v>19</v>
      </c>
      <c r="D106" s="17">
        <v>6</v>
      </c>
      <c r="E106" s="29">
        <f>基础状态预期!C112</f>
        <v>14</v>
      </c>
      <c r="F106" s="29">
        <f>基础状态预期!D112</f>
        <v>43.484929789964411</v>
      </c>
      <c r="G106" s="29">
        <f t="shared" si="95"/>
        <v>5</v>
      </c>
      <c r="H106" s="29">
        <f t="shared" si="85"/>
        <v>8</v>
      </c>
      <c r="I106" s="29">
        <f t="shared" si="86"/>
        <v>6</v>
      </c>
      <c r="J106" s="29">
        <f t="shared" si="87"/>
        <v>0</v>
      </c>
      <c r="K106" s="29">
        <f>武将战力价值情况!G102</f>
        <v>3</v>
      </c>
      <c r="L106" s="29">
        <f>武将战力价值情况!H102</f>
        <v>6</v>
      </c>
      <c r="M106" s="29">
        <f>武将战力价值情况!I102</f>
        <v>2.4730287736464525</v>
      </c>
      <c r="N106" s="29">
        <f>武将战力价值情况!J102</f>
        <v>0</v>
      </c>
      <c r="O106" s="41">
        <f>MAX(同名需求(G106,求节点(武将升星!$C$104:$C$112,武将升星!E$104:E$112,K106),F$2),武将数量星级阶位验证!AA102)</f>
        <v>29</v>
      </c>
      <c r="P106" s="41">
        <f>MAX(同名需求(H106,求节点(武将升星!$C$104:$C$112,武将升星!F$104:F$112,L106),G$2),武将数量星级阶位验证!AB102)</f>
        <v>128</v>
      </c>
      <c r="Q106" s="41">
        <f>MAX(同名需求(I106,求节点(武将升星!$C$104:$C$112,武将升星!G$104:G$112,M106),H$2),武将数量星级阶位验证!AC102)</f>
        <v>55.460575472929051</v>
      </c>
      <c r="R106" s="41">
        <f>MAX(同名需求(J106,求节点(武将升星!$C$104:$C$112,武将升星!H$104:H$112,N106),I$2),武将数量星级阶位验证!AD102)</f>
        <v>0</v>
      </c>
      <c r="S106" s="29">
        <f>MAX(基础状态预期!P112:T112)</f>
        <v>1.7393971915985764</v>
      </c>
      <c r="T106" s="29">
        <f t="shared" ref="T106:V106" si="105">S106</f>
        <v>1.7393971915985764</v>
      </c>
      <c r="U106" s="29">
        <f t="shared" si="105"/>
        <v>1.7393971915985764</v>
      </c>
      <c r="V106" s="29">
        <f t="shared" si="105"/>
        <v>1.7393971915985764</v>
      </c>
      <c r="W106" s="41">
        <f>SUMIFS(武将进阶!F$13:F$18,武将进阶!$C$13:$C$18,"&lt;="&amp;T106)*H106+武将数量星级阶位验证!Q102</f>
        <v>24</v>
      </c>
      <c r="X106" s="41">
        <f>SUMIFS(武将进阶!G$13:G$18,武将进阶!$C$13:$C$18,"&lt;="&amp;U106)*I106+武将数量星级阶位验证!R102</f>
        <v>62.618298897548755</v>
      </c>
      <c r="Y106" s="41">
        <f>SUMIFS(武将进阶!H$13:H$18,武将进阶!$C$13:$C$18,"&lt;="&amp;V106)*J106+武将数量星级阶位验证!S102</f>
        <v>0</v>
      </c>
      <c r="Z106" s="41">
        <f>SUMIFS(武将进阶!I$13:I$18,武将进阶!$C$13:$C$18,"&lt;="&amp;W106)*K106+武将数量星级阶位验证!T102</f>
        <v>525</v>
      </c>
      <c r="AA106" s="29"/>
      <c r="AB106" s="29">
        <f>求节点(基础状态预期!$AT$17:$AT$55,基础状态预期!AW$17:AW$55,各r阵容卡情况!$F106)</f>
        <v>2</v>
      </c>
      <c r="AC106" s="29">
        <f>求节点(基础状态预期!$AT$17:$AT$55,基础状态预期!AX$17:AX$55,各r阵容卡情况!$F106)</f>
        <v>2</v>
      </c>
      <c r="AD106" s="29">
        <f>求节点(基础状态预期!$AT$17:$AT$55,基础状态预期!AY$17:AY$55,各r阵容卡情况!$F106)</f>
        <v>2</v>
      </c>
      <c r="AE106" s="41">
        <f>IF(AA106&lt;1,0,(AA106-1)*武将觉醒!E$34*G106)+武将数量星级阶位验证!V102</f>
        <v>0</v>
      </c>
      <c r="AF106" s="41">
        <f>IF(AB106&lt;1,0,(AB106-1)*武将觉醒!F$34*H106)+武将数量星级阶位验证!W102</f>
        <v>40</v>
      </c>
      <c r="AG106" s="41">
        <f>IF(AC106&lt;1,0,(AC106-1)*武将觉醒!G$34*I106)+武将数量星级阶位验证!X102</f>
        <v>12</v>
      </c>
      <c r="AH106" s="41">
        <f>IF(AD106&lt;1,0,(AD106-1)*武将觉醒!H$34*J106)+武将数量星级阶位验证!Y102</f>
        <v>0</v>
      </c>
      <c r="AJ106" s="29">
        <f>MAX(W106+AE106+G106*(K106+1)+IF(武将数量星级阶位验证!L102="",0,武将数量星级阶位验证!L102)*武将升星!P99,O106)</f>
        <v>44</v>
      </c>
      <c r="AK106" s="29">
        <f>MAX(X106+AF106+H106*(L106+1)+IF(武将数量星级阶位验证!M102="",0,武将数量星级阶位验证!M102)*武将升星!Q99,P106)</f>
        <v>158.61829889754875</v>
      </c>
      <c r="AL106" s="64">
        <f>MAX(Y106+AG106+I106*(M106+1)+IF(武将数量星级阶位验证!N102="",0,武将数量星级阶位验证!N102)*武将升星!R99,Q106)</f>
        <v>55.460575472929051</v>
      </c>
      <c r="AM106" s="41">
        <f t="shared" si="97"/>
        <v>0</v>
      </c>
      <c r="AO106" s="17">
        <f>武将数量星级阶位验证!BJ102</f>
        <v>472.56170970733945</v>
      </c>
      <c r="AP106" s="17">
        <f>武将数量星级阶位验证!BK102</f>
        <v>165.34904697006155</v>
      </c>
      <c r="AQ106" s="63">
        <f>武将数量星级阶位验证!BL102</f>
        <v>43.398169460329811</v>
      </c>
      <c r="AR106" s="17">
        <f>武将数量星级阶位验证!BM102</f>
        <v>0</v>
      </c>
      <c r="AT106" s="17">
        <f t="shared" si="89"/>
        <v>14</v>
      </c>
      <c r="AU106" s="17">
        <f t="shared" si="90"/>
        <v>43.484929789964411</v>
      </c>
      <c r="AW106" s="17" t="s">
        <v>168</v>
      </c>
      <c r="AZ106" s="17">
        <v>5</v>
      </c>
      <c r="BA106" s="17">
        <v>1</v>
      </c>
      <c r="BB106" s="62">
        <f t="shared" si="98"/>
        <v>6</v>
      </c>
      <c r="BD106" s="17">
        <v>5</v>
      </c>
      <c r="BE106" s="17">
        <v>8</v>
      </c>
      <c r="BF106" s="17">
        <v>6</v>
      </c>
      <c r="BG106" s="17">
        <v>0</v>
      </c>
      <c r="BH106" s="62">
        <f t="shared" si="99"/>
        <v>19</v>
      </c>
      <c r="BJ106" s="17">
        <f t="shared" si="100"/>
        <v>5</v>
      </c>
      <c r="BK106" s="17">
        <f t="shared" si="91"/>
        <v>8</v>
      </c>
      <c r="BL106" s="17">
        <f t="shared" si="92"/>
        <v>11</v>
      </c>
      <c r="BM106" s="17">
        <f t="shared" si="93"/>
        <v>1</v>
      </c>
      <c r="BN106" s="62">
        <f t="shared" si="101"/>
        <v>25</v>
      </c>
      <c r="BR106" s="17">
        <f>武将升星!P99*基础状态预期!G112+G106*(K106+1)+W106+AE106</f>
        <v>44</v>
      </c>
      <c r="BS106" s="17">
        <f>武将升星!Q99*基础状态预期!H112+H106*(L106+1)+X106+AF106</f>
        <v>158.61829889754875</v>
      </c>
      <c r="BT106" s="17">
        <f>武将升星!R99*基础状态预期!I112+I106*(M106+1)+Y106+AG106</f>
        <v>53.676345283757428</v>
      </c>
      <c r="BU106" s="17">
        <f>武将升星!S99*基础状态预期!J112+J106*(N106+1)+Z106+AH106</f>
        <v>525</v>
      </c>
    </row>
    <row r="107" spans="2:73" x14ac:dyDescent="0.15">
      <c r="B107" s="17">
        <v>10</v>
      </c>
      <c r="C107" s="17">
        <f t="shared" si="94"/>
        <v>16</v>
      </c>
      <c r="D107" s="17">
        <v>7</v>
      </c>
      <c r="E107" s="29">
        <f>基础状态预期!C113</f>
        <v>21</v>
      </c>
      <c r="F107" s="29">
        <f>基础状态预期!D113</f>
        <v>49.18886033229559</v>
      </c>
      <c r="G107" s="29">
        <f t="shared" si="95"/>
        <v>0</v>
      </c>
      <c r="H107" s="29">
        <f t="shared" si="85"/>
        <v>10</v>
      </c>
      <c r="I107" s="29">
        <f t="shared" si="86"/>
        <v>6</v>
      </c>
      <c r="J107" s="29">
        <f t="shared" si="87"/>
        <v>0</v>
      </c>
      <c r="K107" s="29">
        <f>武将战力价值情况!G103</f>
        <v>3</v>
      </c>
      <c r="L107" s="29">
        <f>武将战力价值情况!H103</f>
        <v>6</v>
      </c>
      <c r="M107" s="29">
        <f>武将战力价值情况!I103</f>
        <v>3.2586909720530555</v>
      </c>
      <c r="N107" s="29">
        <f>武将战力价值情况!J103</f>
        <v>0</v>
      </c>
      <c r="O107" s="41">
        <f>MAX(同名需求(G107,求节点(武将升星!$C$104:$C$112,武将升星!E$104:E$112,K107),F$2),武将数量星级阶位验证!AA103)</f>
        <v>24</v>
      </c>
      <c r="P107" s="41">
        <f>MAX(同名需求(H107,求节点(武将升星!$C$104:$C$112,武将升星!F$104:F$112,L107),G$2),武将数量星级阶位验证!AB103)</f>
        <v>130</v>
      </c>
      <c r="Q107" s="41">
        <f>MAX(同名需求(I107,求节点(武将升星!$C$104:$C$112,武将升星!G$104:G$112,M107),H$2),武将数量星级阶位验证!AC103)</f>
        <v>76.347638882122226</v>
      </c>
      <c r="R107" s="41">
        <f>MAX(同名需求(J107,求节点(武将升星!$C$104:$C$112,武将升星!H$104:H$112,N107),I$2),武将数量星级阶位验证!AD103)</f>
        <v>0</v>
      </c>
      <c r="S107" s="29">
        <f>MAX(基础状态预期!P113:T113)</f>
        <v>1.9675544132918237</v>
      </c>
      <c r="T107" s="29">
        <f t="shared" ref="T107:V107" si="106">S107</f>
        <v>1.9675544132918237</v>
      </c>
      <c r="U107" s="29">
        <f t="shared" si="106"/>
        <v>1.9675544132918237</v>
      </c>
      <c r="V107" s="29">
        <f t="shared" si="106"/>
        <v>1.9675544132918237</v>
      </c>
      <c r="W107" s="41">
        <f>SUMIFS(武将进阶!F$13:F$18,武将进阶!$C$13:$C$18,"&lt;="&amp;T107)*H107+武将数量星级阶位验证!Q103</f>
        <v>30</v>
      </c>
      <c r="X107" s="41">
        <f>SUMIFS(武将进阶!G$13:G$18,武将进阶!$C$13:$C$18,"&lt;="&amp;U107)*I107+武将数量星级阶位验证!R103</f>
        <v>70.831958878505645</v>
      </c>
      <c r="Y107" s="41">
        <f>SUMIFS(武将进阶!H$13:H$18,武将进阶!$C$13:$C$18,"&lt;="&amp;V107)*J107+武将数量星级阶位验证!S103</f>
        <v>0</v>
      </c>
      <c r="Z107" s="41">
        <f>SUMIFS(武将进阶!I$13:I$18,武将进阶!$C$13:$C$18,"&lt;="&amp;W107)*K107+武将数量星级阶位验证!T103</f>
        <v>525</v>
      </c>
      <c r="AA107" s="29"/>
      <c r="AB107" s="29">
        <f>求节点(基础状态预期!$AT$17:$AT$55,基础状态预期!AW$17:AW$55,各r阵容卡情况!$F107)</f>
        <v>2</v>
      </c>
      <c r="AC107" s="29">
        <f>求节点(基础状态预期!$AT$17:$AT$55,基础状态预期!AX$17:AX$55,各r阵容卡情况!$F107)</f>
        <v>2</v>
      </c>
      <c r="AD107" s="29">
        <f>求节点(基础状态预期!$AT$17:$AT$55,基础状态预期!AY$17:AY$55,各r阵容卡情况!$F107)</f>
        <v>2</v>
      </c>
      <c r="AE107" s="41">
        <f>IF(AA107&lt;1,0,(AA107-1)*武将觉醒!E$34*G107)+武将数量星级阶位验证!V103</f>
        <v>0</v>
      </c>
      <c r="AF107" s="41">
        <f>IF(AB107&lt;1,0,(AB107-1)*武将觉醒!F$34*H107)+武将数量星级阶位验证!W103</f>
        <v>50</v>
      </c>
      <c r="AG107" s="41">
        <f>IF(AC107&lt;1,0,(AC107-1)*武将觉醒!G$34*I107)+武将数量星级阶位验证!X103</f>
        <v>12</v>
      </c>
      <c r="AH107" s="41">
        <f>IF(AD107&lt;1,0,(AD107-1)*武将觉醒!H$34*J107)+武将数量星级阶位验证!Y103</f>
        <v>0</v>
      </c>
      <c r="AJ107" s="29">
        <f>MAX(W107+AE107+G107*(K107+1)+IF(武将数量星级阶位验证!L103="",0,武将数量星级阶位验证!L103)*武将升星!P100,O107)</f>
        <v>30</v>
      </c>
      <c r="AK107" s="29">
        <f>MAX(X107+AF107+H107*(L107+1)+IF(武将数量星级阶位验证!M103="",0,武将数量星级阶位验证!M103)*武将升星!Q100,P107)</f>
        <v>190.83195887850565</v>
      </c>
      <c r="AL107" s="64">
        <f>MAX(Y107+AG107+I107*(M107+1)+IF(武将数量星级阶位验证!N103="",0,武将数量星级阶位验证!N103)*武将升星!R100,Q107)</f>
        <v>76.347638882122226</v>
      </c>
      <c r="AM107" s="41">
        <f t="shared" si="97"/>
        <v>0</v>
      </c>
      <c r="AO107" s="17">
        <f>武将数量星级阶位验证!BJ103</f>
        <v>639.3979910298458</v>
      </c>
      <c r="AP107" s="17">
        <f>武将数量星级阶位验证!BK103</f>
        <v>221.02641651459805</v>
      </c>
      <c r="AQ107" s="63">
        <f>武将数量星级阶位验证!BL103</f>
        <v>56.911351669458661</v>
      </c>
      <c r="AR107" s="17">
        <f>武将数量星级阶位验证!BM103</f>
        <v>0.40659632590082839</v>
      </c>
      <c r="AT107" s="17">
        <f t="shared" si="89"/>
        <v>21</v>
      </c>
      <c r="AU107" s="17">
        <f t="shared" si="90"/>
        <v>49.18886033229559</v>
      </c>
      <c r="AW107" s="17" t="s">
        <v>168</v>
      </c>
      <c r="AZ107" s="17">
        <v>4</v>
      </c>
      <c r="BA107" s="17">
        <v>2</v>
      </c>
      <c r="BB107" s="62">
        <f t="shared" si="98"/>
        <v>6</v>
      </c>
      <c r="BD107" s="17">
        <v>0</v>
      </c>
      <c r="BE107" s="17">
        <v>10</v>
      </c>
      <c r="BF107" s="17">
        <v>6</v>
      </c>
      <c r="BG107" s="17">
        <v>0</v>
      </c>
      <c r="BH107" s="62">
        <f t="shared" si="99"/>
        <v>16</v>
      </c>
      <c r="BJ107" s="17">
        <f t="shared" si="100"/>
        <v>0</v>
      </c>
      <c r="BK107" s="17">
        <f t="shared" si="91"/>
        <v>10</v>
      </c>
      <c r="BL107" s="17">
        <f t="shared" si="92"/>
        <v>10</v>
      </c>
      <c r="BM107" s="17">
        <f t="shared" si="93"/>
        <v>2</v>
      </c>
      <c r="BN107" s="62">
        <f t="shared" si="101"/>
        <v>22</v>
      </c>
      <c r="BR107" s="17">
        <f>武将升星!P100*基础状态预期!G113+G107*(K107+1)+W107+AE107</f>
        <v>30</v>
      </c>
      <c r="BS107" s="17">
        <f>武将升星!Q100*基础状态预期!H113+H107*(L107+1)+X107+AF107</f>
        <v>190.83195887850565</v>
      </c>
      <c r="BT107" s="17">
        <f>武将升星!R100*基础状态预期!I113+I107*(M107+1)+Y107+AG107</f>
        <v>64.656437496954993</v>
      </c>
      <c r="BU107" s="17">
        <f>武将升星!S100*基础状态预期!J113+J107*(N107+1)+Z107+AH107</f>
        <v>525</v>
      </c>
    </row>
    <row r="108" spans="2:73" x14ac:dyDescent="0.15">
      <c r="B108" s="17">
        <v>11</v>
      </c>
      <c r="C108" s="17">
        <f t="shared" si="94"/>
        <v>18</v>
      </c>
      <c r="D108" s="17">
        <v>8</v>
      </c>
      <c r="E108" s="29">
        <f>基础状态预期!C114</f>
        <v>28</v>
      </c>
      <c r="F108" s="29">
        <f>基础状态预期!D114</f>
        <v>53.212684955585161</v>
      </c>
      <c r="G108" s="29">
        <f t="shared" si="95"/>
        <v>0</v>
      </c>
      <c r="H108" s="29">
        <f t="shared" si="85"/>
        <v>12</v>
      </c>
      <c r="I108" s="29">
        <f t="shared" si="86"/>
        <v>6</v>
      </c>
      <c r="J108" s="29">
        <f t="shared" si="87"/>
        <v>0</v>
      </c>
      <c r="K108" s="29">
        <f>武将战力价值情况!G104</f>
        <v>3</v>
      </c>
      <c r="L108" s="29">
        <f>武将战力价值情况!H104</f>
        <v>6</v>
      </c>
      <c r="M108" s="29">
        <f>武将战力价值情况!I104</f>
        <v>3.7254480330267437</v>
      </c>
      <c r="N108" s="29">
        <f>武将战力价值情况!J104</f>
        <v>0.19192024826618459</v>
      </c>
      <c r="O108" s="41">
        <f>MAX(同名需求(G108,求节点(武将升星!$C$104:$C$112,武将升星!E$104:E$112,K108),F$2),武将数量星级阶位验证!AA104)</f>
        <v>24</v>
      </c>
      <c r="P108" s="41">
        <f>MAX(同名需求(H108,求节点(武将升星!$C$104:$C$112,武将升星!F$104:F$112,L108),G$2),武将数量星级阶位验证!AB104)</f>
        <v>252</v>
      </c>
      <c r="Q108" s="41">
        <f>MAX(同名需求(I108,求节点(武将升星!$C$104:$C$112,武将升星!G$104:G$112,M108),H$2),武将数量星级阶位验证!AC104)</f>
        <v>95.01792132106975</v>
      </c>
      <c r="R108" s="41">
        <f>MAX(同名需求(J108,求节点(武将升星!$C$104:$C$112,武将升星!H$104:H$112,N108),I$2),武将数量星级阶位验证!AD104)</f>
        <v>1.1919202482661846</v>
      </c>
      <c r="S108" s="29">
        <f>MAX(基础状态预期!P114:T114)</f>
        <v>2.1285073982234066</v>
      </c>
      <c r="T108" s="29">
        <f t="shared" ref="T108:V108" si="107">S108</f>
        <v>2.1285073982234066</v>
      </c>
      <c r="U108" s="29">
        <f t="shared" si="107"/>
        <v>2.1285073982234066</v>
      </c>
      <c r="V108" s="29">
        <f t="shared" si="107"/>
        <v>2.1285073982234066</v>
      </c>
      <c r="W108" s="41">
        <f>SUMIFS(武将进阶!F$13:F$18,武将进阶!$C$13:$C$18,"&lt;="&amp;T108)*H108+武将数量星级阶位验证!Q104</f>
        <v>108</v>
      </c>
      <c r="X108" s="41">
        <f>SUMIFS(武将进阶!G$13:G$18,武将进阶!$C$13:$C$18,"&lt;="&amp;U108)*I108+武将数量星级阶位验证!R104</f>
        <v>106.7104438934044</v>
      </c>
      <c r="Y108" s="41">
        <f>SUMIFS(武将进阶!H$13:H$18,武将进阶!$C$13:$C$18,"&lt;="&amp;V108)*J108+武将数量星级阶位验证!S104</f>
        <v>11.31313316802132</v>
      </c>
      <c r="Z108" s="41">
        <f>SUMIFS(武将进阶!I$13:I$18,武将进阶!$C$13:$C$18,"&lt;="&amp;W108)*K108+武将数量星级阶位验证!T104</f>
        <v>525</v>
      </c>
      <c r="AA108" s="29"/>
      <c r="AB108" s="29">
        <f>求节点(基础状态预期!$AT$17:$AT$55,基础状态预期!AW$17:AW$55,各r阵容卡情况!$F108)</f>
        <v>2</v>
      </c>
      <c r="AC108" s="29">
        <f>求节点(基础状态预期!$AT$17:$AT$55,基础状态预期!AX$17:AX$55,各r阵容卡情况!$F108)</f>
        <v>2</v>
      </c>
      <c r="AD108" s="29">
        <f>求节点(基础状态预期!$AT$17:$AT$55,基础状态预期!AY$17:AY$55,各r阵容卡情况!$F108)</f>
        <v>2</v>
      </c>
      <c r="AE108" s="41">
        <f>IF(AA108&lt;1,0,(AA108-1)*武将觉醒!E$34*G108)+武将数量星级阶位验证!V104</f>
        <v>0</v>
      </c>
      <c r="AF108" s="41">
        <f>IF(AB108&lt;1,0,(AB108-1)*武将觉醒!F$34*H108)+武将数量星级阶位验证!W104</f>
        <v>60</v>
      </c>
      <c r="AG108" s="41">
        <f>IF(AC108&lt;1,0,(AC108-1)*武将觉醒!G$34*I108)+武将数量星级阶位验证!X104</f>
        <v>14</v>
      </c>
      <c r="AH108" s="41">
        <f>IF(AD108&lt;1,0,(AD108-1)*武将觉醒!H$34*J108)+武将数量星级阶位验证!Y104</f>
        <v>0</v>
      </c>
      <c r="AJ108" s="29">
        <f>MAX(W108+AE108+G108*(K108+1)+IF(武将数量星级阶位验证!L104="",0,武将数量星级阶位验证!L104)*武将升星!P101,O108)</f>
        <v>108</v>
      </c>
      <c r="AK108" s="29">
        <f>MAX(X108+AF108+H108*(L108+1)+IF(武将数量星级阶位验证!M104="",0,武将数量星级阶位验证!M104)*武将升星!Q101,P108)</f>
        <v>252</v>
      </c>
      <c r="AL108" s="64">
        <f>MAX(Y108+AG108+I108*(M108+1)+IF(武将数量星级阶位验证!N104="",0,武将数量星级阶位验证!N104)*武将升星!R101,Q108)</f>
        <v>95.01792132106975</v>
      </c>
      <c r="AM108" s="41">
        <f t="shared" si="97"/>
        <v>1.1919202482661846</v>
      </c>
      <c r="AO108" s="17">
        <f>武将数量星级阶位验证!BJ104</f>
        <v>799.8082464713325</v>
      </c>
      <c r="AP108" s="17">
        <f>武将数量星级阶位验证!BK104</f>
        <v>275.15552331267338</v>
      </c>
      <c r="AQ108" s="63">
        <f>武将数量星级阶位验证!BL104</f>
        <v>69.436773902967872</v>
      </c>
      <c r="AR108" s="17">
        <f>武将数量星级阶位验证!BM104</f>
        <v>1.1919202482661846</v>
      </c>
      <c r="AT108" s="17">
        <f t="shared" si="89"/>
        <v>28</v>
      </c>
      <c r="AU108" s="17">
        <f t="shared" si="90"/>
        <v>53.212684955585161</v>
      </c>
      <c r="AW108" s="17" t="s">
        <v>168</v>
      </c>
      <c r="AZ108" s="17">
        <v>3</v>
      </c>
      <c r="BA108" s="17">
        <v>3</v>
      </c>
      <c r="BB108" s="62">
        <f t="shared" si="98"/>
        <v>6</v>
      </c>
      <c r="BD108" s="17">
        <v>0</v>
      </c>
      <c r="BE108" s="17">
        <v>12</v>
      </c>
      <c r="BF108" s="17">
        <v>6</v>
      </c>
      <c r="BG108" s="17">
        <v>0</v>
      </c>
      <c r="BH108" s="62">
        <f t="shared" si="99"/>
        <v>18</v>
      </c>
      <c r="BJ108" s="17">
        <f t="shared" si="100"/>
        <v>0</v>
      </c>
      <c r="BK108" s="17">
        <f t="shared" si="91"/>
        <v>12</v>
      </c>
      <c r="BL108" s="17">
        <f t="shared" si="92"/>
        <v>9</v>
      </c>
      <c r="BM108" s="17">
        <f t="shared" si="93"/>
        <v>3</v>
      </c>
      <c r="BN108" s="62">
        <f t="shared" si="101"/>
        <v>24</v>
      </c>
      <c r="BR108" s="17">
        <f>武将升星!P101*基础状态预期!G114+G108*(K108+1)+W108+AE108</f>
        <v>108</v>
      </c>
      <c r="BS108" s="17">
        <f>武将升星!Q101*基础状态预期!H114+H108*(L108+1)+X108+AF108</f>
        <v>250.7104438934044</v>
      </c>
      <c r="BT108" s="17">
        <f>武将升星!R101*基础状态预期!I114+I108*(M108+1)+Y108+AG108</f>
        <v>80.920301696449229</v>
      </c>
      <c r="BU108" s="17">
        <f>武将升星!S101*基础状态预期!J114+J108*(N108+1)+Z108+AH108</f>
        <v>526.19192024826623</v>
      </c>
    </row>
    <row r="109" spans="2:73" x14ac:dyDescent="0.15">
      <c r="B109" s="17">
        <v>12</v>
      </c>
      <c r="C109" s="17">
        <f t="shared" si="94"/>
        <v>22</v>
      </c>
      <c r="D109" s="17">
        <v>9</v>
      </c>
      <c r="E109" s="29">
        <f>基础状态预期!C115</f>
        <v>42</v>
      </c>
      <c r="F109" s="29">
        <f>基础状态预期!D115</f>
        <v>59.09095196730258</v>
      </c>
      <c r="G109" s="29">
        <f t="shared" si="95"/>
        <v>0</v>
      </c>
      <c r="H109" s="29">
        <f t="shared" si="85"/>
        <v>14</v>
      </c>
      <c r="I109" s="29">
        <f t="shared" si="86"/>
        <v>8</v>
      </c>
      <c r="J109" s="29">
        <f t="shared" si="87"/>
        <v>0</v>
      </c>
      <c r="K109" s="29">
        <f>武将战力价值情况!G105</f>
        <v>3</v>
      </c>
      <c r="L109" s="29">
        <f>武将战力价值情况!H105</f>
        <v>6</v>
      </c>
      <c r="M109" s="29">
        <f>武将战力价值情况!I105</f>
        <v>4.426398828873813</v>
      </c>
      <c r="N109" s="29">
        <f>武将战力价值情况!J105</f>
        <v>1.5542265669690796</v>
      </c>
      <c r="O109" s="41">
        <f>MAX(同名需求(G109,求节点(武将升星!$C$104:$C$112,武将升星!E$104:E$112,K109),F$2),武将数量星级阶位验证!AA105)</f>
        <v>24</v>
      </c>
      <c r="P109" s="41">
        <f>MAX(同名需求(H109,求节点(武将升星!$C$104:$C$112,武将升星!F$104:F$112,L109),G$2),武将数量星级阶位验证!AB105)</f>
        <v>254</v>
      </c>
      <c r="Q109" s="41">
        <f>MAX(同名需求(I109,求节点(武将升星!$C$104:$C$112,武将升星!G$104:G$112,M109),H$2),武将数量星级阶位验证!AC105)</f>
        <v>125.05595315495252</v>
      </c>
      <c r="R109" s="41">
        <f>MAX(同名需求(J109,求节点(武将升星!$C$104:$C$112,武将升星!H$104:H$112,N109),I$2),武将数量星级阶位验证!AD105)</f>
        <v>5.1084531339381591</v>
      </c>
      <c r="S109" s="29">
        <f>MAX(基础状态预期!P115:T115)</f>
        <v>2.3636380786921034</v>
      </c>
      <c r="T109" s="29">
        <f t="shared" ref="T109:V109" si="108">S109</f>
        <v>2.3636380786921034</v>
      </c>
      <c r="U109" s="29">
        <f t="shared" si="108"/>
        <v>2.3636380786921034</v>
      </c>
      <c r="V109" s="29">
        <f t="shared" si="108"/>
        <v>2.3636380786921034</v>
      </c>
      <c r="W109" s="41">
        <f>SUMIFS(武将进阶!F$13:F$18,武将进阶!$C$13:$C$18,"&lt;="&amp;T109)*H109+武将数量星级阶位验证!Q105</f>
        <v>126</v>
      </c>
      <c r="X109" s="41">
        <f>SUMIFS(武将进阶!G$13:G$18,武将进阶!$C$13:$C$18,"&lt;="&amp;U109)*I109+武将数量星级阶位验证!R105</f>
        <v>125.45462777722096</v>
      </c>
      <c r="Y109" s="41">
        <f>SUMIFS(武将进阶!H$13:H$18,武将进阶!$C$13:$C$18,"&lt;="&amp;V109)*J109+武将数量星级阶位验证!S105</f>
        <v>31.090970832915723</v>
      </c>
      <c r="Z109" s="41">
        <f>SUMIFS(武将进阶!I$13:I$18,武将进阶!$C$13:$C$18,"&lt;="&amp;W109)*K109+武将数量星级阶位验证!T105</f>
        <v>525</v>
      </c>
      <c r="AA109" s="29"/>
      <c r="AB109" s="29">
        <f>求节点(基础状态预期!$AT$17:$AT$55,基础状态预期!AW$17:AW$55,各r阵容卡情况!$F109)</f>
        <v>2</v>
      </c>
      <c r="AC109" s="29">
        <f>求节点(基础状态预期!$AT$17:$AT$55,基础状态预期!AX$17:AX$55,各r阵容卡情况!$F109)</f>
        <v>2</v>
      </c>
      <c r="AD109" s="29">
        <f>求节点(基础状态预期!$AT$17:$AT$55,基础状态预期!AY$17:AY$55,各r阵容卡情况!$F109)</f>
        <v>2</v>
      </c>
      <c r="AE109" s="41">
        <f>IF(AA109&lt;1,0,(AA109-1)*武将觉醒!E$34*G109)+武将数量星级阶位验证!V105</f>
        <v>0</v>
      </c>
      <c r="AF109" s="41">
        <f>IF(AB109&lt;1,0,(AB109-1)*武将觉醒!F$34*H109)+武将数量星级阶位验证!W105</f>
        <v>70</v>
      </c>
      <c r="AG109" s="41">
        <f>IF(AC109&lt;1,0,(AC109-1)*武将觉醒!G$34*I109)+武将数量星级阶位验证!X105</f>
        <v>18</v>
      </c>
      <c r="AH109" s="41">
        <f>IF(AD109&lt;1,0,(AD109-1)*武将觉醒!H$34*J109)+武将数量星级阶位验证!Y105</f>
        <v>0</v>
      </c>
      <c r="AJ109" s="29">
        <f>MAX(W109+AE109+G109*(K109+1)+IF(武将数量星级阶位验证!L105="",0,武将数量星级阶位验证!L105)*武将升星!P102,O109)</f>
        <v>126</v>
      </c>
      <c r="AK109" s="29">
        <f>MAX(X109+AF109+H109*(L109+1)+IF(武将数量星级阶位验证!M105="",0,武将数量星级阶位验证!M105)*武将升星!Q102,P109)</f>
        <v>293.45462777722094</v>
      </c>
      <c r="AL109" s="64">
        <f>MAX(Y109+AG109+I109*(M109+1)+IF(武将数量星级阶位验证!N105="",0,武将数量星级阶位验证!N105)*武将升星!R102,Q109)</f>
        <v>125.05595315495252</v>
      </c>
      <c r="AM109" s="41">
        <f t="shared" si="97"/>
        <v>5.1084531339381591</v>
      </c>
      <c r="AO109" s="17">
        <f>武将数量星级阶位验证!BJ105</f>
        <v>1103.9474286935083</v>
      </c>
      <c r="AP109" s="17">
        <f>武将数量星级阶位验证!BK105</f>
        <v>383.18958743871724</v>
      </c>
      <c r="AQ109" s="63">
        <f>武将数量星级阶位验证!BL105</f>
        <v>91.003493980146089</v>
      </c>
      <c r="AR109" s="17">
        <f>武将数量星级阶位验证!BM105</f>
        <v>5.1084531339381591</v>
      </c>
      <c r="AT109" s="17">
        <f t="shared" si="89"/>
        <v>42</v>
      </c>
      <c r="AU109" s="17">
        <f t="shared" si="90"/>
        <v>59.09095196730258</v>
      </c>
      <c r="AW109" s="17" t="s">
        <v>168</v>
      </c>
      <c r="AZ109" s="17">
        <v>2</v>
      </c>
      <c r="BA109" s="17">
        <v>4</v>
      </c>
      <c r="BB109" s="62">
        <f t="shared" si="98"/>
        <v>6</v>
      </c>
      <c r="BD109" s="17">
        <v>0</v>
      </c>
      <c r="BE109" s="17">
        <v>14</v>
      </c>
      <c r="BF109" s="17">
        <v>8</v>
      </c>
      <c r="BG109" s="17">
        <v>0</v>
      </c>
      <c r="BH109" s="62">
        <f t="shared" si="99"/>
        <v>22</v>
      </c>
      <c r="BJ109" s="17">
        <f t="shared" si="100"/>
        <v>0</v>
      </c>
      <c r="BK109" s="17">
        <f t="shared" si="91"/>
        <v>14</v>
      </c>
      <c r="BL109" s="17">
        <f t="shared" si="92"/>
        <v>10</v>
      </c>
      <c r="BM109" s="17">
        <f t="shared" si="93"/>
        <v>4</v>
      </c>
      <c r="BN109" s="62">
        <f t="shared" si="101"/>
        <v>28</v>
      </c>
      <c r="BR109" s="17">
        <f>武将升星!P102*基础状态预期!G115+G109*(K109+1)+W109+AE109</f>
        <v>126</v>
      </c>
      <c r="BS109" s="17">
        <f>武将升星!Q102*基础状态预期!H115+H109*(L109+1)+X109+AF109</f>
        <v>293.45462777722094</v>
      </c>
      <c r="BT109" s="17">
        <f>武将升星!R102*基础状态预期!I115+I109*(M109+1)+Y109+AG109</f>
        <v>119.91335209489674</v>
      </c>
      <c r="BU109" s="17">
        <f>武将升星!S102*基础状态预期!J115+J109*(N109+1)+Z109+AH109</f>
        <v>530.10845313393816</v>
      </c>
    </row>
    <row r="110" spans="2:73" x14ac:dyDescent="0.15">
      <c r="B110" s="17">
        <v>13</v>
      </c>
      <c r="C110" s="17">
        <f t="shared" si="94"/>
        <v>24</v>
      </c>
      <c r="D110" s="17">
        <v>10</v>
      </c>
      <c r="E110" s="29">
        <f>基础状态预期!C116</f>
        <v>62.999999999999993</v>
      </c>
      <c r="F110" s="29">
        <f>基础状态预期!D116</f>
        <v>64.819145630244321</v>
      </c>
      <c r="G110" s="29">
        <f t="shared" si="95"/>
        <v>0</v>
      </c>
      <c r="H110" s="29">
        <f t="shared" si="85"/>
        <v>15</v>
      </c>
      <c r="I110" s="29">
        <f t="shared" si="86"/>
        <v>9</v>
      </c>
      <c r="J110" s="29">
        <f t="shared" si="87"/>
        <v>0</v>
      </c>
      <c r="K110" s="29">
        <f>武将战力价值情况!G106</f>
        <v>3</v>
      </c>
      <c r="L110" s="29">
        <f>武将战力价值情况!H106</f>
        <v>6</v>
      </c>
      <c r="M110" s="29">
        <f>武将战力价值情况!I106</f>
        <v>4.8819892307450967</v>
      </c>
      <c r="N110" s="29">
        <f>武将战力价值情况!J106</f>
        <v>3.7093608650127785</v>
      </c>
      <c r="O110" s="41">
        <f>MAX(同名需求(G110,求节点(武将升星!$C$104:$C$112,武将升星!E$104:E$112,K110),F$2),武将数量星级阶位验证!AA106)</f>
        <v>24</v>
      </c>
      <c r="P110" s="41">
        <f>MAX(同名需求(H110,求节点(武将升星!$C$104:$C$112,武将升星!F$104:F$112,L110),G$2),武将数量星级阶位验证!AB106)</f>
        <v>255</v>
      </c>
      <c r="Q110" s="41">
        <f>MAX(同名需求(I110,求节点(武将升星!$C$104:$C$112,武将升星!G$104:G$112,M110),H$2),武将数量星级阶位验证!AC106)</f>
        <v>144.27956922980388</v>
      </c>
      <c r="R110" s="41">
        <f>MAX(同名需求(J110,求节点(武将升星!$C$104:$C$112,武将升星!H$104:H$112,N110),I$2),武将数量星级阶位验证!AD106)</f>
        <v>16.256165190076672</v>
      </c>
      <c r="S110" s="29">
        <f>MAX(基础状态预期!P116:T116)</f>
        <v>2.5927658252097729</v>
      </c>
      <c r="T110" s="29">
        <f t="shared" ref="T110:V110" si="109">S110</f>
        <v>2.5927658252097729</v>
      </c>
      <c r="U110" s="29">
        <f t="shared" si="109"/>
        <v>2.5927658252097729</v>
      </c>
      <c r="V110" s="29">
        <f t="shared" si="109"/>
        <v>2.5927658252097729</v>
      </c>
      <c r="W110" s="41">
        <f>SUMIFS(武将进阶!F$13:F$18,武将进阶!$C$13:$C$18,"&lt;="&amp;T110)*H110+武将数量星级阶位验证!Q106</f>
        <v>135</v>
      </c>
      <c r="X110" s="41">
        <f>SUMIFS(武将进阶!G$13:G$18,武将进阶!$C$13:$C$18,"&lt;="&amp;U110)*I110+武将数量星级阶位验证!R106</f>
        <v>129.33956970755185</v>
      </c>
      <c r="Y110" s="41">
        <f>SUMIFS(武将进阶!H$13:H$18,武将进阶!$C$13:$C$18,"&lt;="&amp;V110)*J110+武将数量星级阶位验证!S106</f>
        <v>59.00935456132774</v>
      </c>
      <c r="Z110" s="41">
        <f>SUMIFS(武将进阶!I$13:I$18,武将进阶!$C$13:$C$18,"&lt;="&amp;W110)*K110+武将数量星级阶位验证!T106</f>
        <v>525</v>
      </c>
      <c r="AA110" s="29"/>
      <c r="AB110" s="29">
        <f>求节点(基础状态预期!$AT$17:$AT$55,基础状态预期!AW$17:AW$55,各r阵容卡情况!$F110)</f>
        <v>2</v>
      </c>
      <c r="AC110" s="29">
        <f>求节点(基础状态预期!$AT$17:$AT$55,基础状态预期!AX$17:AX$55,各r阵容卡情况!$F110)</f>
        <v>2</v>
      </c>
      <c r="AD110" s="29">
        <f>求节点(基础状态预期!$AT$17:$AT$55,基础状态预期!AY$17:AY$55,各r阵容卡情况!$F110)</f>
        <v>2</v>
      </c>
      <c r="AE110" s="41">
        <f>IF(AA110&lt;1,0,(AA110-1)*武将觉醒!E$34*G110)+武将数量星级阶位验证!V106</f>
        <v>0</v>
      </c>
      <c r="AF110" s="41">
        <f>IF(AB110&lt;1,0,(AB110-1)*武将觉醒!F$34*H110)+武将数量星级阶位验证!W106</f>
        <v>75</v>
      </c>
      <c r="AG110" s="41">
        <f>IF(AC110&lt;1,0,(AC110-1)*武将觉醒!G$34*I110)+武将数量星级阶位验证!X106</f>
        <v>21</v>
      </c>
      <c r="AH110" s="41">
        <f>IF(AD110&lt;1,0,(AD110-1)*武将觉醒!H$34*J110)+武将数量星级阶位验证!Y106</f>
        <v>0</v>
      </c>
      <c r="AJ110" s="29">
        <f>MAX(W110+AE110+G110*(K110+1)+IF(武将数量星级阶位验证!L106="",0,武将数量星级阶位验证!L106)*武将升星!P103,O110)</f>
        <v>135</v>
      </c>
      <c r="AK110" s="29">
        <f>MAX(X110+AF110+H110*(L110+1)+IF(武将数量星级阶位验证!M106="",0,武将数量星级阶位验证!M106)*武将升星!Q103,P110)</f>
        <v>309.33956970755185</v>
      </c>
      <c r="AL110" s="64">
        <f>MAX(Y110+AG110+I110*(M110+1)+IF(武将数量星级阶位验证!N106="",0,武将数量星级阶位验证!N106)*武将升星!R103,Q110)</f>
        <v>156.2391930225042</v>
      </c>
      <c r="AM110" s="41">
        <f t="shared" si="97"/>
        <v>16.256165190076672</v>
      </c>
      <c r="AO110" s="17">
        <f>武将数量星级阶位验证!BJ106</f>
        <v>1507.3948431807999</v>
      </c>
      <c r="AP110" s="17">
        <f>武将数量星级阶位验证!BK106</f>
        <v>538.55305472914517</v>
      </c>
      <c r="AQ110" s="63">
        <f>武将数量星级阶位验证!BL106</f>
        <v>113.78301407371026</v>
      </c>
      <c r="AR110" s="17">
        <f>武将数量星级阶位验证!BM106</f>
        <v>16.256165190076672</v>
      </c>
      <c r="AT110" s="17">
        <f t="shared" si="89"/>
        <v>62.999999999999993</v>
      </c>
      <c r="AU110" s="17">
        <f t="shared" si="90"/>
        <v>64.819145630244321</v>
      </c>
      <c r="AW110" s="17" t="s">
        <v>168</v>
      </c>
      <c r="AZ110" s="17">
        <v>1</v>
      </c>
      <c r="BA110" s="17">
        <v>5</v>
      </c>
      <c r="BB110" s="62">
        <f t="shared" si="98"/>
        <v>6</v>
      </c>
      <c r="BD110" s="17">
        <v>0</v>
      </c>
      <c r="BE110" s="17">
        <v>15</v>
      </c>
      <c r="BF110" s="17">
        <v>9</v>
      </c>
      <c r="BG110" s="17">
        <v>0</v>
      </c>
      <c r="BH110" s="62">
        <f t="shared" si="99"/>
        <v>24</v>
      </c>
      <c r="BJ110" s="17">
        <f t="shared" si="100"/>
        <v>0</v>
      </c>
      <c r="BK110" s="17">
        <f t="shared" si="91"/>
        <v>15</v>
      </c>
      <c r="BL110" s="17">
        <f t="shared" si="92"/>
        <v>10</v>
      </c>
      <c r="BM110" s="17">
        <f t="shared" si="93"/>
        <v>5</v>
      </c>
      <c r="BN110" s="62">
        <f t="shared" si="101"/>
        <v>30</v>
      </c>
      <c r="BR110" s="17">
        <f>武将升星!P103*基础状态预期!G116+G110*(K110+1)+W110+AE110</f>
        <v>135</v>
      </c>
      <c r="BS110" s="17">
        <f>武将升星!Q103*基础状态预期!H116+H110*(L110+1)+X110+AF110</f>
        <v>309.33956970755185</v>
      </c>
      <c r="BT110" s="17">
        <f>武将升星!R103*基础状态预期!I116+I110*(M110+1)+Y110+AG110</f>
        <v>156.2391930225042</v>
      </c>
      <c r="BU110" s="17">
        <f>武将升星!S103*基础状态预期!J116+J110*(N110+1)+Z110+AH110</f>
        <v>541.25616519007667</v>
      </c>
    </row>
    <row r="111" spans="2:73" x14ac:dyDescent="0.15">
      <c r="B111" s="17">
        <v>14</v>
      </c>
      <c r="C111" s="17">
        <f t="shared" si="94"/>
        <v>24</v>
      </c>
      <c r="D111" s="17">
        <v>11</v>
      </c>
      <c r="E111" s="29">
        <f>基础状态预期!C117</f>
        <v>84</v>
      </c>
      <c r="F111" s="29">
        <f>基础状态预期!D117</f>
        <v>69.01697485309198</v>
      </c>
      <c r="G111" s="29">
        <f t="shared" si="95"/>
        <v>0</v>
      </c>
      <c r="H111" s="29">
        <f t="shared" si="85"/>
        <v>8</v>
      </c>
      <c r="I111" s="29">
        <f t="shared" si="86"/>
        <v>16</v>
      </c>
      <c r="J111" s="29">
        <f t="shared" si="87"/>
        <v>0</v>
      </c>
      <c r="K111" s="29">
        <f>武将战力价值情况!G107</f>
        <v>3</v>
      </c>
      <c r="L111" s="29">
        <f>武将战力价值情况!H107</f>
        <v>6</v>
      </c>
      <c r="M111" s="29">
        <f>武将战力价值情况!I107</f>
        <v>5.214550411846993</v>
      </c>
      <c r="N111" s="29">
        <f>武将战力价值情况!J107</f>
        <v>4.3664071001048033</v>
      </c>
      <c r="O111" s="41">
        <f>MAX(同名需求(G111,求节点(武将升星!$C$104:$C$112,武将升星!E$104:E$112,K111),F$2),武将数量星级阶位验证!AA107)</f>
        <v>24</v>
      </c>
      <c r="P111" s="41">
        <f>MAX(同名需求(H111,求节点(武将升星!$C$104:$C$112,武将升星!F$104:F$112,L111),G$2),武将数量星级阶位验证!AB107)</f>
        <v>128</v>
      </c>
      <c r="Q111" s="41">
        <f>MAX(同名需求(I111,求节点(武将升星!$C$104:$C$112,武将升星!G$104:G$112,M111),H$2),武将数量星级阶位验证!AC107)</f>
        <v>168.87302471081958</v>
      </c>
      <c r="R111" s="41">
        <f>MAX(同名需求(J111,求节点(武将升星!$C$104:$C$112,武将升星!H$104:H$112,N111),I$2),武将数量星级阶位验证!AD107)</f>
        <v>26.931256800838426</v>
      </c>
      <c r="S111" s="29">
        <f>MAX(基础状态预期!P117:T117)</f>
        <v>2.7606789941236793</v>
      </c>
      <c r="T111" s="29">
        <f t="shared" ref="T111:V111" si="110">S111</f>
        <v>2.7606789941236793</v>
      </c>
      <c r="U111" s="29">
        <f t="shared" si="110"/>
        <v>2.7606789941236793</v>
      </c>
      <c r="V111" s="29">
        <f t="shared" si="110"/>
        <v>2.7606789941236793</v>
      </c>
      <c r="W111" s="41">
        <f>SUMIFS(武将进阶!F$13:F$18,武将进阶!$C$13:$C$18,"&lt;="&amp;T111)*H111+武将数量星级阶位验证!Q107</f>
        <v>72</v>
      </c>
      <c r="X111" s="41">
        <f>SUMIFS(武将进阶!G$13:G$18,武将进阶!$C$13:$C$18,"&lt;="&amp;U111)*I111+武将数量星级阶位验证!R107</f>
        <v>180.25629585896831</v>
      </c>
      <c r="Y111" s="41">
        <f>SUMIFS(武将进阶!H$13:H$18,武将进阶!$C$13:$C$18,"&lt;="&amp;V111)*J111+武将数量星级阶位验证!S107</f>
        <v>90.768887576904916</v>
      </c>
      <c r="Z111" s="41">
        <f>SUMIFS(武将进阶!I$13:I$18,武将进阶!$C$13:$C$18,"&lt;="&amp;W111)*K111+武将数量星级阶位验证!T107</f>
        <v>525</v>
      </c>
      <c r="AA111" s="29"/>
      <c r="AB111" s="29">
        <f>求节点(基础状态预期!$AT$17:$AT$55,基础状态预期!AW$17:AW$55,各r阵容卡情况!$F111)</f>
        <v>2</v>
      </c>
      <c r="AC111" s="29">
        <f>求节点(基础状态预期!$AT$17:$AT$55,基础状态预期!AX$17:AX$55,各r阵容卡情况!$F111)</f>
        <v>2</v>
      </c>
      <c r="AD111" s="29">
        <f>求节点(基础状态预期!$AT$17:$AT$55,基础状态预期!AY$17:AY$55,各r阵容卡情况!$F111)</f>
        <v>2</v>
      </c>
      <c r="AE111" s="41">
        <f>IF(AA111&lt;1,0,(AA111-1)*武将觉醒!E$34*G111)+武将数量星级阶位验证!V107</f>
        <v>0</v>
      </c>
      <c r="AF111" s="41">
        <f>IF(AB111&lt;1,0,(AB111-1)*武将觉醒!F$34*H111)+武将数量星级阶位验证!W107</f>
        <v>40</v>
      </c>
      <c r="AG111" s="41">
        <f>IF(AC111&lt;1,0,(AC111-1)*武将觉醒!G$34*I111)+武将数量星级阶位验证!X107</f>
        <v>30</v>
      </c>
      <c r="AH111" s="41">
        <f>IF(AD111&lt;1,0,(AD111-1)*武将觉醒!H$34*J111)+武将数量星级阶位验证!Y107</f>
        <v>0</v>
      </c>
      <c r="AJ111" s="29">
        <f>MAX(W111+AE111+G111*(K111+1)+IF(武将数量星级阶位验证!L107="",0,武将数量星级阶位验证!L107)*武将升星!P104,O111)</f>
        <v>72</v>
      </c>
      <c r="AK111" s="29">
        <f>MAX(X111+AF111+H111*(L111+1)+IF(武将数量星级阶位验证!M107="",0,武将数量星级阶位验证!M107)*武将升星!Q104,P111)</f>
        <v>276.25629585896831</v>
      </c>
      <c r="AL111" s="64">
        <f>MAX(Y111+AG111+I111*(M111+1)+IF(武将数量星级阶位验证!N107="",0,武将数量星级阶位验证!N107)*武将升星!R104,Q111)</f>
        <v>237.48899663753878</v>
      </c>
      <c r="AM111" s="41">
        <f t="shared" si="97"/>
        <v>26.931256800838426</v>
      </c>
      <c r="AO111" s="17">
        <f>武将数量星级阶位验证!BJ107</f>
        <v>1901.1272818464583</v>
      </c>
      <c r="AP111" s="17">
        <f>武将数量星级阶位验证!BK107</f>
        <v>688.66518373760914</v>
      </c>
      <c r="AQ111" s="63">
        <f>武将数量星级阶位验证!BL107</f>
        <v>135.77483342497987</v>
      </c>
      <c r="AR111" s="17">
        <f>武将数量星级阶位验证!BM107</f>
        <v>26.931256800838426</v>
      </c>
      <c r="AT111" s="17">
        <f t="shared" si="89"/>
        <v>84</v>
      </c>
      <c r="AU111" s="17">
        <f t="shared" si="90"/>
        <v>69.01697485309198</v>
      </c>
      <c r="AW111" s="17" t="s">
        <v>168</v>
      </c>
      <c r="BA111" s="17">
        <v>6</v>
      </c>
      <c r="BB111" s="62">
        <f t="shared" si="98"/>
        <v>6</v>
      </c>
      <c r="BD111" s="17">
        <v>0</v>
      </c>
      <c r="BE111" s="17">
        <v>8</v>
      </c>
      <c r="BF111" s="17">
        <v>16</v>
      </c>
      <c r="BG111" s="17">
        <v>0</v>
      </c>
      <c r="BH111" s="62">
        <f t="shared" si="99"/>
        <v>24</v>
      </c>
      <c r="BJ111" s="17">
        <f t="shared" si="100"/>
        <v>0</v>
      </c>
      <c r="BK111" s="17">
        <f t="shared" si="91"/>
        <v>8</v>
      </c>
      <c r="BL111" s="17">
        <f t="shared" si="92"/>
        <v>16</v>
      </c>
      <c r="BM111" s="17">
        <f t="shared" si="93"/>
        <v>6</v>
      </c>
      <c r="BN111" s="62">
        <f t="shared" si="101"/>
        <v>30</v>
      </c>
      <c r="BR111" s="17">
        <f>武将升星!P104*基础状态预期!G117+G111*(K111+1)+W111+AE111</f>
        <v>72</v>
      </c>
      <c r="BS111" s="17">
        <f>武将升星!Q104*基础状态预期!H117+H111*(L111+1)+X111+AF111</f>
        <v>276.25629585896831</v>
      </c>
      <c r="BT111" s="17">
        <f>武将升星!R104*基础状态预期!I117+I111*(M111+1)+Y111+AG111</f>
        <v>237.48899663753878</v>
      </c>
      <c r="BU111" s="17">
        <f>武将升星!S104*基础状态预期!J117+J111*(N111+1)+Z111+AH111</f>
        <v>551.93125680083847</v>
      </c>
    </row>
    <row r="112" spans="2:73" x14ac:dyDescent="0.15">
      <c r="B112" s="17">
        <v>15</v>
      </c>
      <c r="C112" s="17">
        <f t="shared" si="94"/>
        <v>24</v>
      </c>
      <c r="D112" s="17">
        <v>12</v>
      </c>
      <c r="E112" s="29">
        <f>基础状态预期!C118</f>
        <v>105</v>
      </c>
      <c r="F112" s="29">
        <f>基础状态预期!D118</f>
        <v>72.23150684883845</v>
      </c>
      <c r="G112" s="29">
        <f t="shared" si="95"/>
        <v>0</v>
      </c>
      <c r="H112" s="29">
        <f t="shared" si="85"/>
        <v>6</v>
      </c>
      <c r="I112" s="29">
        <f t="shared" si="86"/>
        <v>18</v>
      </c>
      <c r="J112" s="29">
        <f t="shared" si="87"/>
        <v>0</v>
      </c>
      <c r="K112" s="29">
        <f>武将战力价值情况!G108</f>
        <v>3</v>
      </c>
      <c r="L112" s="29">
        <f>武将战力价值情况!H108</f>
        <v>6</v>
      </c>
      <c r="M112" s="29">
        <f>武将战力价值情况!I108</f>
        <v>5.4718065493298296</v>
      </c>
      <c r="N112" s="29">
        <f>武将战力价值情况!J108</f>
        <v>4.5987782987566082</v>
      </c>
      <c r="O112" s="41">
        <f>MAX(同名需求(G112,求节点(武将升星!$C$104:$C$112,武将升星!E$104:E$112,K112),F$2),武将数量星级阶位验证!AA108)</f>
        <v>24</v>
      </c>
      <c r="P112" s="41">
        <f>MAX(同名需求(H112,求节点(武将升星!$C$104:$C$112,武将升星!F$104:F$112,L112),G$2),武将数量星级阶位验证!AB108)</f>
        <v>126</v>
      </c>
      <c r="Q112" s="41">
        <f>MAX(同名需求(I112,求节点(武将升星!$C$104:$C$112,武将升星!G$104:G$112,M112),H$2),武将数量星级阶位验证!AC108)</f>
        <v>186.30839295978976</v>
      </c>
      <c r="R112" s="41">
        <f>MAX(同名需求(J112,求节点(武将升星!$C$104:$C$112,武将升星!H$104:H$112,N112),I$2),武将数量星级阶位验证!AD108)</f>
        <v>35.987782987566078</v>
      </c>
      <c r="S112" s="29">
        <f>MAX(基础状态预期!P118:T118)</f>
        <v>2.8892602739535382</v>
      </c>
      <c r="T112" s="29">
        <f t="shared" ref="T112:V112" si="111">S112</f>
        <v>2.8892602739535382</v>
      </c>
      <c r="U112" s="29">
        <f t="shared" si="111"/>
        <v>2.8892602739535382</v>
      </c>
      <c r="V112" s="29">
        <f t="shared" si="111"/>
        <v>2.8892602739535382</v>
      </c>
      <c r="W112" s="41">
        <f>SUMIFS(武将进阶!F$13:F$18,武将进阶!$C$13:$C$18,"&lt;="&amp;T112)*H112+武将数量星级阶位验证!Q108</f>
        <v>54</v>
      </c>
      <c r="X112" s="41">
        <f>SUMIFS(武将进阶!G$13:G$18,武将进阶!$C$13:$C$18,"&lt;="&amp;U112)*I112+武将数量星级阶位验证!R108</f>
        <v>181.67112328744247</v>
      </c>
      <c r="Y112" s="41">
        <f>SUMIFS(武将进阶!H$13:H$18,武将进阶!$C$13:$C$18,"&lt;="&amp;V112)*J112+武将数量星级阶位验证!S108</f>
        <v>125.03342465581845</v>
      </c>
      <c r="Z112" s="41">
        <f>SUMIFS(武将进阶!I$13:I$18,武将进阶!$C$13:$C$18,"&lt;="&amp;W112)*K112+武将数量星级阶位验证!T108</f>
        <v>525</v>
      </c>
      <c r="AA112" s="29"/>
      <c r="AB112" s="29">
        <f>求节点(基础状态预期!$AT$17:$AT$55,基础状态预期!AW$17:AW$55,各r阵容卡情况!$F112)</f>
        <v>2</v>
      </c>
      <c r="AC112" s="29">
        <f>求节点(基础状态预期!$AT$17:$AT$55,基础状态预期!AX$17:AX$55,各r阵容卡情况!$F112)</f>
        <v>2</v>
      </c>
      <c r="AD112" s="29">
        <f>求节点(基础状态预期!$AT$17:$AT$55,基础状态预期!AY$17:AY$55,各r阵容卡情况!$F112)</f>
        <v>2</v>
      </c>
      <c r="AE112" s="41">
        <f>IF(AA112&lt;1,0,(AA112-1)*武将觉醒!E$34*G112)+武将数量星级阶位验证!V108</f>
        <v>0</v>
      </c>
      <c r="AF112" s="41">
        <f>IF(AB112&lt;1,0,(AB112-1)*武将觉醒!F$34*H112)+武将数量星级阶位验证!W108</f>
        <v>30</v>
      </c>
      <c r="AG112" s="41">
        <f>IF(AC112&lt;1,0,(AC112-1)*武将觉醒!G$34*I112)+武将数量星级阶位验证!X108</f>
        <v>34</v>
      </c>
      <c r="AH112" s="41">
        <f>IF(AD112&lt;1,0,(AD112-1)*武将觉醒!H$34*J112)+武将数量星级阶位验证!Y108</f>
        <v>0</v>
      </c>
      <c r="AJ112" s="29">
        <f>MAX(W112+AE112+G112*(K112+1)+IF(武将数量星级阶位验证!L108="",0,武将数量星级阶位验证!L108)*武将升星!P105,O112)</f>
        <v>54</v>
      </c>
      <c r="AK112" s="29">
        <f>MAX(X112+AF112+H112*(L112+1)+IF(武将数量星级阶位验证!M108="",0,武将数量星级阶位验证!M108)*武将升星!Q105,P112)</f>
        <v>253.67112328744247</v>
      </c>
      <c r="AL112" s="64">
        <f>MAX(Y112+AG112+I112*(M112+1)+IF(武将数量星级阶位验证!N108="",0,武将数量星级阶位验证!N108)*武将升星!R105,Q112)</f>
        <v>284.94136219174487</v>
      </c>
      <c r="AM112" s="41">
        <f t="shared" si="97"/>
        <v>35.987782987566078</v>
      </c>
      <c r="AO112" s="17">
        <f>武将数量星级阶位验证!BJ108</f>
        <v>2261.5892090180823</v>
      </c>
      <c r="AP112" s="17">
        <f>武将数量星级阶位验证!BK108</f>
        <v>820.7932524790275</v>
      </c>
      <c r="AQ112" s="63">
        <f>武将数量星级阶位验证!BL108</f>
        <v>155.06904373619261</v>
      </c>
      <c r="AR112" s="17">
        <f>武将数量星级阶位验证!BM108</f>
        <v>35.987782987566078</v>
      </c>
      <c r="AT112" s="17">
        <f t="shared" si="89"/>
        <v>105</v>
      </c>
      <c r="AU112" s="17">
        <f t="shared" si="90"/>
        <v>72.23150684883845</v>
      </c>
      <c r="AW112" s="17" t="s">
        <v>168</v>
      </c>
      <c r="BA112" s="17">
        <v>6</v>
      </c>
      <c r="BB112" s="62">
        <f t="shared" si="98"/>
        <v>6</v>
      </c>
      <c r="BD112" s="17">
        <v>0</v>
      </c>
      <c r="BE112" s="17">
        <v>6</v>
      </c>
      <c r="BF112" s="17">
        <v>18</v>
      </c>
      <c r="BG112" s="17">
        <v>0</v>
      </c>
      <c r="BH112" s="62">
        <f t="shared" si="99"/>
        <v>24</v>
      </c>
      <c r="BJ112" s="17">
        <f t="shared" si="100"/>
        <v>0</v>
      </c>
      <c r="BK112" s="17">
        <f t="shared" si="91"/>
        <v>6</v>
      </c>
      <c r="BL112" s="17">
        <f t="shared" si="92"/>
        <v>18</v>
      </c>
      <c r="BM112" s="17">
        <f t="shared" si="93"/>
        <v>6</v>
      </c>
      <c r="BN112" s="62">
        <f t="shared" si="101"/>
        <v>30</v>
      </c>
      <c r="BR112" s="17">
        <f>武将升星!P105*基础状态预期!G118+G112*(K112+1)+W112+AE112</f>
        <v>54</v>
      </c>
      <c r="BS112" s="17">
        <f>武将升星!Q105*基础状态预期!H118+H112*(L112+1)+X112+AF112</f>
        <v>253.67112328744247</v>
      </c>
      <c r="BT112" s="17">
        <f>武将升星!R105*基础状态预期!I118+I112*(M112+1)+Y112+AG112</f>
        <v>284.94136219174487</v>
      </c>
      <c r="BU112" s="17">
        <f>武将升星!S105*基础状态预期!J118+J112*(N112+1)+Z112+AH112</f>
        <v>560.98778298756611</v>
      </c>
    </row>
    <row r="113" spans="2:73" x14ac:dyDescent="0.15">
      <c r="B113" s="17">
        <v>16</v>
      </c>
      <c r="C113" s="17">
        <f t="shared" si="94"/>
        <v>24</v>
      </c>
      <c r="D113" s="17">
        <v>13</v>
      </c>
      <c r="E113" s="29">
        <f>基础状态预期!C119</f>
        <v>125.99999999999999</v>
      </c>
      <c r="F113" s="29">
        <f>基础状态预期!D119</f>
        <v>74.840792411391348</v>
      </c>
      <c r="G113" s="29">
        <f t="shared" si="95"/>
        <v>0</v>
      </c>
      <c r="H113" s="29">
        <f t="shared" si="85"/>
        <v>4</v>
      </c>
      <c r="I113" s="29">
        <f t="shared" si="86"/>
        <v>20</v>
      </c>
      <c r="J113" s="29">
        <f t="shared" si="87"/>
        <v>0</v>
      </c>
      <c r="K113" s="29">
        <f>武将战力价值情况!G109</f>
        <v>3</v>
      </c>
      <c r="L113" s="29">
        <f>武将战力价值情况!H109</f>
        <v>6</v>
      </c>
      <c r="M113" s="29">
        <f>武将战力价值情况!I109</f>
        <v>5.7077493032530962</v>
      </c>
      <c r="N113" s="29">
        <f>武将战力价值情况!J109</f>
        <v>5.0051640554007939</v>
      </c>
      <c r="O113" s="41">
        <f>MAX(同名需求(G113,求节点(武将升星!$C$104:$C$112,武将升星!E$104:E$112,K113),F$2),武将数量星级阶位验证!AA109)</f>
        <v>24</v>
      </c>
      <c r="P113" s="41">
        <f>MAX(同名需求(H113,求节点(武将升星!$C$104:$C$112,武将升星!F$104:F$112,L113),G$2),武将数量星级阶位验证!AB109)</f>
        <v>124</v>
      </c>
      <c r="Q113" s="41">
        <f>MAX(同名需求(I113,求节点(武将升星!$C$104:$C$112,武将升星!G$104:G$112,M113),H$2),武将数量星级阶位验证!AC109)</f>
        <v>202.46495819518577</v>
      </c>
      <c r="R113" s="41">
        <f>MAX(同名需求(J113,求节点(武将升星!$C$104:$C$112,武将升星!H$104:H$112,N113),I$2),武将数量星级阶位验证!AD109)</f>
        <v>47.592952997214283</v>
      </c>
      <c r="S113" s="29">
        <f>MAX(基础状态预期!P119:T119)</f>
        <v>2.9936316964556537</v>
      </c>
      <c r="T113" s="29">
        <f t="shared" ref="T113:V113" si="112">S113</f>
        <v>2.9936316964556537</v>
      </c>
      <c r="U113" s="29">
        <f t="shared" si="112"/>
        <v>2.9936316964556537</v>
      </c>
      <c r="V113" s="29">
        <f t="shared" si="112"/>
        <v>2.9936316964556537</v>
      </c>
      <c r="W113" s="41">
        <f>SUMIFS(武将进阶!F$13:F$18,武将进阶!$C$13:$C$18,"&lt;="&amp;T113)*H113+武将数量星级阶位验证!Q109</f>
        <v>36</v>
      </c>
      <c r="X113" s="41">
        <f>SUMIFS(武将进阶!G$13:G$18,武将进阶!$C$13:$C$18,"&lt;="&amp;U113)*I113+武将数量星级阶位验证!R109</f>
        <v>190.46179017873393</v>
      </c>
      <c r="Y113" s="41">
        <f>SUMIFS(武将进阶!H$13:H$18,武将进阶!$C$13:$C$18,"&lt;="&amp;V113)*J113+武将数量星级阶位验证!S109</f>
        <v>147.86953794910974</v>
      </c>
      <c r="Z113" s="41">
        <f>SUMIFS(武将进阶!I$13:I$18,武将进阶!$C$13:$C$18,"&lt;="&amp;W113)*K113+武将数量星级阶位验证!T109</f>
        <v>525</v>
      </c>
      <c r="AA113" s="29"/>
      <c r="AB113" s="29">
        <f>求节点(基础状态预期!$AT$17:$AT$55,基础状态预期!AW$17:AW$55,各r阵容卡情况!$F113)</f>
        <v>2</v>
      </c>
      <c r="AC113" s="29">
        <f>求节点(基础状态预期!$AT$17:$AT$55,基础状态预期!AX$17:AX$55,各r阵容卡情况!$F113)</f>
        <v>2</v>
      </c>
      <c r="AD113" s="29">
        <f>求节点(基础状态预期!$AT$17:$AT$55,基础状态预期!AY$17:AY$55,各r阵容卡情况!$F113)</f>
        <v>2</v>
      </c>
      <c r="AE113" s="41">
        <f>IF(AA113&lt;1,0,(AA113-1)*武将觉醒!E$34*G113)+武将数量星级阶位验证!V109</f>
        <v>0</v>
      </c>
      <c r="AF113" s="41">
        <f>IF(AB113&lt;1,0,(AB113-1)*武将觉醒!F$34*H113)+武将数量星级阶位验证!W109</f>
        <v>20</v>
      </c>
      <c r="AG113" s="41">
        <f>IF(AC113&lt;1,0,(AC113-1)*武将觉醒!G$34*I113)+武将数量星级阶位验证!X109</f>
        <v>37</v>
      </c>
      <c r="AH113" s="41">
        <f>IF(AD113&lt;1,0,(AD113-1)*武将觉醒!H$34*J113)+武将数量星级阶位验证!Y109</f>
        <v>0</v>
      </c>
      <c r="AJ113" s="29">
        <f>MAX(W113+AE113+G113*(K113+1)+IF(武将数量星级阶位验证!L109="",0,武将数量星级阶位验证!L109)*武将升星!P106,O113)</f>
        <v>36</v>
      </c>
      <c r="AK113" s="29">
        <f>MAX(X113+AF113+H113*(L113+1)+IF(武将数量星级阶位验证!M109="",0,武将数量星级阶位验证!M109)*武将升星!Q106,P113)</f>
        <v>238.46179017873393</v>
      </c>
      <c r="AL113" s="64">
        <f>MAX(Y113+AG113+I113*(M113+1)+IF(武将数量星级阶位验证!N109="",0,武将数量星级阶位验证!N109)*武将升星!R106,Q113)</f>
        <v>324.0861479690513</v>
      </c>
      <c r="AM113" s="41">
        <f t="shared" si="97"/>
        <v>47.592952997214283</v>
      </c>
      <c r="AO113" s="17">
        <f>武将数量星级阶位验证!BJ109</f>
        <v>2602.3362563971041</v>
      </c>
      <c r="AP113" s="17">
        <f>武将数量星级阶位验证!BK109</f>
        <v>942.264629440661</v>
      </c>
      <c r="AQ113" s="63">
        <f>武将数量星级阶位验证!BL109</f>
        <v>172.76475028043762</v>
      </c>
      <c r="AR113" s="17">
        <f>武将数量星级阶位验证!BM109</f>
        <v>44.085206914113101</v>
      </c>
      <c r="AT113" s="17">
        <f t="shared" si="89"/>
        <v>125.99999999999999</v>
      </c>
      <c r="AU113" s="17">
        <f t="shared" si="90"/>
        <v>74.840792411391348</v>
      </c>
      <c r="AW113" s="17" t="s">
        <v>168</v>
      </c>
      <c r="BA113" s="17">
        <v>6</v>
      </c>
      <c r="BB113" s="62">
        <f t="shared" si="98"/>
        <v>6</v>
      </c>
      <c r="BD113" s="17">
        <v>0</v>
      </c>
      <c r="BE113" s="17">
        <v>4</v>
      </c>
      <c r="BF113" s="17">
        <v>20</v>
      </c>
      <c r="BG113" s="17">
        <v>0</v>
      </c>
      <c r="BH113" s="62">
        <f t="shared" si="99"/>
        <v>24</v>
      </c>
      <c r="BJ113" s="17">
        <f t="shared" si="100"/>
        <v>0</v>
      </c>
      <c r="BK113" s="17">
        <f t="shared" si="91"/>
        <v>4</v>
      </c>
      <c r="BL113" s="17">
        <f t="shared" si="92"/>
        <v>20</v>
      </c>
      <c r="BM113" s="17">
        <f t="shared" si="93"/>
        <v>6</v>
      </c>
      <c r="BN113" s="62">
        <f t="shared" si="101"/>
        <v>30</v>
      </c>
      <c r="BR113" s="17">
        <f>武将升星!P106*基础状态预期!G119+G113*(K113+1)+W113+AE113</f>
        <v>36</v>
      </c>
      <c r="BS113" s="17">
        <f>武将升星!Q106*基础状态预期!H119+H113*(L113+1)+X113+AF113</f>
        <v>238.46179017873393</v>
      </c>
      <c r="BT113" s="17">
        <f>武将升星!R106*基础状态预期!I119+I113*(M113+1)+Y113+AG113</f>
        <v>324.08614796905135</v>
      </c>
      <c r="BU113" s="17">
        <f>武将升星!S106*基础状态预期!J119+J113*(N113+1)+Z113+AH113</f>
        <v>569.08520691411309</v>
      </c>
    </row>
    <row r="114" spans="2:73" x14ac:dyDescent="0.15">
      <c r="B114" s="17">
        <v>17</v>
      </c>
      <c r="C114" s="17">
        <f t="shared" si="94"/>
        <v>24</v>
      </c>
      <c r="D114" s="17">
        <v>14</v>
      </c>
      <c r="E114" s="29">
        <f>基础状态预期!C120</f>
        <v>154</v>
      </c>
      <c r="F114" s="29">
        <f>基础状态预期!D120</f>
        <v>77.697893604818219</v>
      </c>
      <c r="G114" s="29">
        <f t="shared" si="95"/>
        <v>0</v>
      </c>
      <c r="H114" s="29">
        <f t="shared" si="85"/>
        <v>4</v>
      </c>
      <c r="I114" s="29">
        <f t="shared" si="86"/>
        <v>20</v>
      </c>
      <c r="J114" s="29">
        <f t="shared" si="87"/>
        <v>0</v>
      </c>
      <c r="K114" s="29">
        <f>武将战力价值情况!G110</f>
        <v>3</v>
      </c>
      <c r="L114" s="29">
        <f>武将战力价值情况!H110</f>
        <v>6</v>
      </c>
      <c r="M114" s="29">
        <f>武将战力价值情况!I110</f>
        <v>6.0246110058243652</v>
      </c>
      <c r="N114" s="29">
        <f>武将战力价值情况!J110</f>
        <v>5.3879990849900112</v>
      </c>
      <c r="O114" s="41">
        <f>MAX(同名需求(G114,求节点(武将升星!$C$104:$C$112,武将升星!E$104:E$112,K114),F$2),武将数量星级阶位验证!AA110)</f>
        <v>24</v>
      </c>
      <c r="P114" s="41">
        <f>MAX(同名需求(H114,求节点(武将升星!$C$104:$C$112,武将升星!F$104:F$112,L114),G$2),武将数量星级阶位验证!AB110)</f>
        <v>124</v>
      </c>
      <c r="Q114" s="41">
        <f>MAX(同名需求(I114,求节点(武将升星!$C$104:$C$112,武将升星!G$104:G$112,M114),H$2),武将数量星级阶位验证!AC110)</f>
        <v>221.47666034946189</v>
      </c>
      <c r="R114" s="41">
        <f>MAX(同名需求(J114,求节点(武将升星!$C$104:$C$112,武将升星!H$104:H$112,N114),I$2),武将数量星级阶位验证!AD110)</f>
        <v>54.983983529820208</v>
      </c>
      <c r="S114" s="29">
        <f>MAX(基础状态预期!P120:T120)</f>
        <v>3.107915744192729</v>
      </c>
      <c r="T114" s="29">
        <f t="shared" ref="T114:V114" si="113">S114</f>
        <v>3.107915744192729</v>
      </c>
      <c r="U114" s="29">
        <f t="shared" si="113"/>
        <v>3.107915744192729</v>
      </c>
      <c r="V114" s="29">
        <f t="shared" si="113"/>
        <v>3.107915744192729</v>
      </c>
      <c r="W114" s="41">
        <f>SUMIFS(武将进阶!F$13:F$18,武将进阶!$C$13:$C$18,"&lt;="&amp;T114)*H114+武将数量星级阶位验证!Q110</f>
        <v>84</v>
      </c>
      <c r="X114" s="41">
        <f>SUMIFS(武将进阶!G$13:G$18,武将进阶!$C$13:$C$18,"&lt;="&amp;U114)*I114+武将数量星级阶位验证!R110</f>
        <v>420</v>
      </c>
      <c r="Y114" s="41">
        <f>SUMIFS(武将进阶!H$13:H$18,武将进阶!$C$13:$C$18,"&lt;="&amp;V114)*J114+武将数量星级阶位验证!S110</f>
        <v>181.42483395469122</v>
      </c>
      <c r="Z114" s="41">
        <f>SUMIFS(武将进阶!I$13:I$18,武将进阶!$C$13:$C$18,"&lt;="&amp;W114)*K114+武将数量星级阶位验证!T110</f>
        <v>525</v>
      </c>
      <c r="AA114" s="29"/>
      <c r="AB114" s="29">
        <f>求节点(基础状态预期!$AT$17:$AT$55,基础状态预期!AW$17:AW$55,各r阵容卡情况!$F114)</f>
        <v>2</v>
      </c>
      <c r="AC114" s="29">
        <f>求节点(基础状态预期!$AT$17:$AT$55,基础状态预期!AX$17:AX$55,各r阵容卡情况!$F114)</f>
        <v>2</v>
      </c>
      <c r="AD114" s="29">
        <f>求节点(基础状态预期!$AT$17:$AT$55,基础状态预期!AY$17:AY$55,各r阵容卡情况!$F114)</f>
        <v>2</v>
      </c>
      <c r="AE114" s="41">
        <f>IF(AA114&lt;1,0,(AA114-1)*武将觉醒!E$34*G114)+武将数量星级阶位验证!V110</f>
        <v>0</v>
      </c>
      <c r="AF114" s="41">
        <f>IF(AB114&lt;1,0,(AB114-1)*武将觉醒!F$34*H114)+武将数量星级阶位验证!W110</f>
        <v>20</v>
      </c>
      <c r="AG114" s="41">
        <f>IF(AC114&lt;1,0,(AC114-1)*武将觉醒!G$34*I114)+武将数量星级阶位验证!X110</f>
        <v>20</v>
      </c>
      <c r="AH114" s="41">
        <f>IF(AD114&lt;1,0,(AD114-1)*武将觉醒!H$34*J114)+武将数量星级阶位验证!Y110</f>
        <v>0</v>
      </c>
      <c r="AJ114" s="29">
        <f>MAX(W114+AE114+G114*(K114+1)+IF(武将数量星级阶位验证!L110="",0,武将数量星级阶位验证!L110)*武将升星!P107,O114)</f>
        <v>84</v>
      </c>
      <c r="AK114" s="29">
        <f>MAX(X114+AF114+H114*(L114+1)+IF(武将数量星级阶位验证!M110="",0,武将数量星级阶位验证!M110)*武将升星!Q107,P114)</f>
        <v>468</v>
      </c>
      <c r="AL114" s="64">
        <f>MAX(Y114+AG114+I114*(M114+1)+IF(武将数量星级阶位验证!N110="",0,武将数量星级阶位验证!N110)*武将升星!R107,Q114)</f>
        <v>341.91705407117854</v>
      </c>
      <c r="AM114" s="41">
        <f t="shared" si="97"/>
        <v>54.983983529820208</v>
      </c>
      <c r="AO114" s="17">
        <f>武将数量星级阶位验证!BJ110</f>
        <v>3058.7666646088614</v>
      </c>
      <c r="AP114" s="17">
        <f>武将数量星级阶位验证!BK110</f>
        <v>1105.362147392962</v>
      </c>
      <c r="AQ114" s="63">
        <f>武将数量星级阶位验证!BL110</f>
        <v>196.52937797328281</v>
      </c>
      <c r="AR114" s="17">
        <f>武将数量星级阶位验证!BM110</f>
        <v>54.9839835298202</v>
      </c>
      <c r="AT114" s="17">
        <f t="shared" si="89"/>
        <v>154</v>
      </c>
      <c r="AU114" s="17">
        <f t="shared" si="90"/>
        <v>77.697893604818219</v>
      </c>
      <c r="AW114" s="17" t="s">
        <v>168</v>
      </c>
      <c r="BA114" s="17">
        <v>6</v>
      </c>
      <c r="BB114" s="62">
        <f t="shared" si="98"/>
        <v>6</v>
      </c>
      <c r="BD114" s="17">
        <v>0</v>
      </c>
      <c r="BE114" s="17">
        <v>4</v>
      </c>
      <c r="BF114" s="17">
        <v>20</v>
      </c>
      <c r="BG114" s="17">
        <v>0</v>
      </c>
      <c r="BH114" s="62">
        <f t="shared" si="99"/>
        <v>24</v>
      </c>
      <c r="BJ114" s="17">
        <f t="shared" si="100"/>
        <v>0</v>
      </c>
      <c r="BK114" s="17">
        <f t="shared" si="91"/>
        <v>4</v>
      </c>
      <c r="BL114" s="17">
        <f t="shared" si="92"/>
        <v>20</v>
      </c>
      <c r="BM114" s="17">
        <f t="shared" si="93"/>
        <v>6</v>
      </c>
      <c r="BN114" s="62">
        <f t="shared" si="101"/>
        <v>30</v>
      </c>
      <c r="BR114" s="17">
        <f>武将升星!P107*基础状态预期!G120+G114*(K114+1)+W114+AE114</f>
        <v>84</v>
      </c>
      <c r="BS114" s="17">
        <f>武将升星!Q107*基础状态预期!H120+H114*(L114+1)+X114+AF114</f>
        <v>468</v>
      </c>
      <c r="BT114" s="17">
        <f>武将升星!R107*基础状态预期!I120+I114*(M114+1)+Y114+AG114</f>
        <v>341.91705407117854</v>
      </c>
      <c r="BU114" s="17">
        <f>武将升星!S107*基础状态预期!J120+J114*(N114+1)+Z114+AH114</f>
        <v>579.98398352982019</v>
      </c>
    </row>
    <row r="115" spans="2:73" x14ac:dyDescent="0.15">
      <c r="B115" s="17">
        <v>18</v>
      </c>
      <c r="C115" s="17">
        <f t="shared" si="94"/>
        <v>24</v>
      </c>
      <c r="D115" s="17">
        <v>15</v>
      </c>
      <c r="E115" s="29">
        <f>基础状态预期!C121</f>
        <v>182</v>
      </c>
      <c r="F115" s="29">
        <f>基础状态预期!D121</f>
        <v>80.134867890916794</v>
      </c>
      <c r="G115" s="29">
        <f t="shared" si="95"/>
        <v>0</v>
      </c>
      <c r="H115" s="29">
        <f t="shared" si="85"/>
        <v>4</v>
      </c>
      <c r="I115" s="29">
        <f t="shared" si="86"/>
        <v>20</v>
      </c>
      <c r="J115" s="29">
        <f t="shared" si="87"/>
        <v>0</v>
      </c>
      <c r="K115" s="29">
        <f>武将战力价值情况!G111</f>
        <v>3</v>
      </c>
      <c r="L115" s="29">
        <f>武将战力价值情况!H111</f>
        <v>6</v>
      </c>
      <c r="M115" s="29">
        <f>武将战力价值情况!I111</f>
        <v>6.3262503715355471</v>
      </c>
      <c r="N115" s="29">
        <f>武将战力价值情况!J111</f>
        <v>5.9554308326012988</v>
      </c>
      <c r="O115" s="41">
        <f>MAX(同名需求(G115,求节点(武将升星!$C$104:$C$112,武将升星!E$104:E$112,K115),F$2),武将数量星级阶位验证!AA111)</f>
        <v>24</v>
      </c>
      <c r="P115" s="41">
        <f>MAX(同名需求(H115,求节点(武将升星!$C$104:$C$112,武将升星!F$104:F$112,L115),G$2),武将数量星级阶位验证!AB111)</f>
        <v>124</v>
      </c>
      <c r="Q115" s="41">
        <f>MAX(同名需求(I115,求节点(武将升星!$C$104:$C$112,武将升星!G$104:G$112,M115),H$2),武将数量星级阶位验证!AC111)</f>
        <v>239.57502229213281</v>
      </c>
      <c r="R115" s="41">
        <f>MAX(同名需求(J115,求节点(武将升星!$C$104:$C$112,武将升星!H$104:H$112,N115),I$2),武将数量星级阶位验证!AD111)</f>
        <v>65.197754986823384</v>
      </c>
      <c r="S115" s="29">
        <f>MAX(基础状态预期!P121:T121)</f>
        <v>3.2053947156366718</v>
      </c>
      <c r="T115" s="29">
        <f t="shared" ref="T115:V115" si="114">S115</f>
        <v>3.2053947156366718</v>
      </c>
      <c r="U115" s="29">
        <f t="shared" si="114"/>
        <v>3.2053947156366718</v>
      </c>
      <c r="V115" s="29">
        <f t="shared" si="114"/>
        <v>3.2053947156366718</v>
      </c>
      <c r="W115" s="41">
        <f>SUMIFS(武将进阶!F$13:F$18,武将进阶!$C$13:$C$18,"&lt;="&amp;T115)*H115+武将数量星级阶位验证!Q111</f>
        <v>84</v>
      </c>
      <c r="X115" s="41">
        <f>SUMIFS(武将进阶!G$13:G$18,武将进阶!$C$13:$C$18,"&lt;="&amp;U115)*I115+武将数量星级阶位验证!R111</f>
        <v>420</v>
      </c>
      <c r="Y115" s="41">
        <f>SUMIFS(武将进阶!H$13:H$18,武将进阶!$C$13:$C$18,"&lt;="&amp;V115)*J115+武将数量星级阶位验证!S111</f>
        <v>198.97104881460092</v>
      </c>
      <c r="Z115" s="41">
        <f>SUMIFS(武将进阶!I$13:I$18,武将进阶!$C$13:$C$18,"&lt;="&amp;W115)*K115+武将数量星级阶位验证!T111</f>
        <v>525</v>
      </c>
      <c r="AA115" s="29"/>
      <c r="AB115" s="29">
        <f>求节点(基础状态预期!$AT$17:$AT$55,基础状态预期!AW$17:AW$55,各r阵容卡情况!$F115)</f>
        <v>2</v>
      </c>
      <c r="AC115" s="29">
        <f>求节点(基础状态预期!$AT$17:$AT$55,基础状态预期!AX$17:AX$55,各r阵容卡情况!$F115)</f>
        <v>2</v>
      </c>
      <c r="AD115" s="29">
        <f>求节点(基础状态预期!$AT$17:$AT$55,基础状态预期!AY$17:AY$55,各r阵容卡情况!$F115)</f>
        <v>2</v>
      </c>
      <c r="AE115" s="41">
        <f>IF(AA115&lt;1,0,(AA115-1)*武将觉醒!E$34*G115)+武将数量星级阶位验证!V111</f>
        <v>0</v>
      </c>
      <c r="AF115" s="41">
        <f>IF(AB115&lt;1,0,(AB115-1)*武将觉醒!F$34*H115)+武将数量星级阶位验证!W111</f>
        <v>20</v>
      </c>
      <c r="AG115" s="41">
        <f>IF(AC115&lt;1,0,(AC115-1)*武将觉醒!G$34*I115)+武将数量星级阶位验证!X111</f>
        <v>20</v>
      </c>
      <c r="AH115" s="41">
        <f>IF(AD115&lt;1,0,(AD115-1)*武将觉醒!H$34*J115)+武将数量星级阶位验证!Y111</f>
        <v>0</v>
      </c>
      <c r="AJ115" s="29">
        <f>MAX(W115+AE115+G115*(K115+1)+IF(武将数量星级阶位验证!L111="",0,武将数量星级阶位验证!L111)*武将升星!P108,O115)</f>
        <v>84</v>
      </c>
      <c r="AK115" s="29">
        <f>MAX(X115+AF115+H115*(L115+1)+IF(武将数量星级阶位验证!M111="",0,武将数量星级阶位验证!M111)*武将升星!Q108,P115)</f>
        <v>468</v>
      </c>
      <c r="AL115" s="64">
        <f>MAX(Y115+AG115+I115*(M115+1)+IF(武将数量星级阶位验证!N111="",0,武将数量星级阶位验证!N111)*武将升星!R108,Q115)</f>
        <v>365.49605624531188</v>
      </c>
      <c r="AM115" s="41">
        <f t="shared" si="97"/>
        <v>65.197754986823384</v>
      </c>
      <c r="AO115" s="17">
        <f>武将数量星级阶位验证!BJ111</f>
        <v>3501.1164112250381</v>
      </c>
      <c r="AP115" s="17">
        <f>武将数量星级阶位验证!BK111</f>
        <v>1260.8484969152196</v>
      </c>
      <c r="AQ115" s="63">
        <f>武将数量星级阶位验证!BL111</f>
        <v>219.15233040162144</v>
      </c>
      <c r="AR115" s="17">
        <f>武将数量星级阶位验证!BM111</f>
        <v>65.197754986823384</v>
      </c>
      <c r="AT115" s="17">
        <f t="shared" si="89"/>
        <v>182</v>
      </c>
      <c r="AU115" s="17">
        <f t="shared" si="90"/>
        <v>80.134867890916794</v>
      </c>
      <c r="AW115" s="17" t="s">
        <v>168</v>
      </c>
      <c r="BA115" s="17">
        <v>6</v>
      </c>
      <c r="BB115" s="62">
        <f t="shared" si="98"/>
        <v>6</v>
      </c>
      <c r="BD115" s="17">
        <v>0</v>
      </c>
      <c r="BE115" s="17">
        <v>4</v>
      </c>
      <c r="BF115" s="17">
        <v>20</v>
      </c>
      <c r="BG115" s="17">
        <v>0</v>
      </c>
      <c r="BH115" s="62">
        <f t="shared" si="99"/>
        <v>24</v>
      </c>
      <c r="BJ115" s="17">
        <f t="shared" si="100"/>
        <v>0</v>
      </c>
      <c r="BK115" s="17">
        <f t="shared" si="91"/>
        <v>4</v>
      </c>
      <c r="BL115" s="17">
        <f t="shared" si="92"/>
        <v>20</v>
      </c>
      <c r="BM115" s="17">
        <f t="shared" si="93"/>
        <v>6</v>
      </c>
      <c r="BN115" s="62">
        <f t="shared" si="101"/>
        <v>30</v>
      </c>
      <c r="BR115" s="17">
        <f>武将升星!P108*基础状态预期!G121+G115*(K115+1)+W115+AE115</f>
        <v>84</v>
      </c>
      <c r="BS115" s="17">
        <f>武将升星!Q108*基础状态预期!H121+H115*(L115+1)+X115+AF115</f>
        <v>468</v>
      </c>
      <c r="BT115" s="17">
        <f>武将升星!R108*基础状态预期!I121+I115*(M115+1)+Y115+AG115</f>
        <v>365.49605624531188</v>
      </c>
      <c r="BU115" s="17">
        <f>武将升星!S108*基础状态预期!J121+J115*(N115+1)+Z115+AH115</f>
        <v>590.19775498682338</v>
      </c>
    </row>
    <row r="116" spans="2:73" x14ac:dyDescent="0.15">
      <c r="B116" s="17">
        <v>19</v>
      </c>
      <c r="C116" s="17">
        <f t="shared" si="94"/>
        <v>24</v>
      </c>
      <c r="D116" s="17">
        <v>16</v>
      </c>
      <c r="E116" s="29">
        <f>基础状态预期!C122</f>
        <v>210</v>
      </c>
      <c r="F116" s="29">
        <f>基础状态预期!D122</f>
        <v>82.238672852681816</v>
      </c>
      <c r="G116" s="29">
        <f t="shared" si="95"/>
        <v>0</v>
      </c>
      <c r="H116" s="29">
        <f t="shared" si="85"/>
        <v>4</v>
      </c>
      <c r="I116" s="29">
        <f t="shared" si="86"/>
        <v>20</v>
      </c>
      <c r="J116" s="29">
        <f t="shared" si="87"/>
        <v>0</v>
      </c>
      <c r="K116" s="29">
        <f>武将战力价值情况!G112</f>
        <v>3</v>
      </c>
      <c r="L116" s="29">
        <f>武将战力价值情况!H112</f>
        <v>6</v>
      </c>
      <c r="M116" s="29">
        <f>武将战力价值情况!I112</f>
        <v>6.6188946024324444</v>
      </c>
      <c r="N116" s="29">
        <f>武将战力价值情况!J112</f>
        <v>6.5003747431768746</v>
      </c>
      <c r="O116" s="41">
        <f>MAX(同名需求(G116,求节点(武将升星!$C$104:$C$112,武将升星!E$104:E$112,K116),F$2),武将数量星级阶位验证!AA112)</f>
        <v>24</v>
      </c>
      <c r="P116" s="41">
        <f>MAX(同名需求(H116,求节点(武将升星!$C$104:$C$112,武将升星!F$104:F$112,L116),G$2),武将数量星级阶位验证!AB112)</f>
        <v>124</v>
      </c>
      <c r="Q116" s="41">
        <f>MAX(同名需求(I116,求节点(武将升星!$C$104:$C$112,武将升星!G$104:G$112,M116),H$2),武将数量星级阶位验证!AC112)</f>
        <v>257.13367614594665</v>
      </c>
      <c r="R116" s="41">
        <f>MAX(同名需求(J116,求节点(武将升星!$C$104:$C$112,武将升星!H$104:H$112,N116),I$2),武将数量星级阶位验证!AD112)</f>
        <v>75.006745377183748</v>
      </c>
      <c r="S116" s="29">
        <f>MAX(基础状态预期!P122:T122)</f>
        <v>3.2895469141072726</v>
      </c>
      <c r="T116" s="29">
        <f t="shared" ref="T116:V116" si="115">S116</f>
        <v>3.2895469141072726</v>
      </c>
      <c r="U116" s="29">
        <f t="shared" si="115"/>
        <v>3.2895469141072726</v>
      </c>
      <c r="V116" s="29">
        <f t="shared" si="115"/>
        <v>3.2895469141072726</v>
      </c>
      <c r="W116" s="41">
        <f>SUMIFS(武将进阶!F$13:F$18,武将进阶!$C$13:$C$18,"&lt;="&amp;T116)*H116+武将数量星级阶位验证!Q112</f>
        <v>84</v>
      </c>
      <c r="X116" s="41">
        <f>SUMIFS(武将进阶!G$13:G$18,武将进阶!$C$13:$C$18,"&lt;="&amp;U116)*I116+武将数量星级阶位验证!R112</f>
        <v>420</v>
      </c>
      <c r="Y116" s="41">
        <f>SUMIFS(武将进阶!H$13:H$18,武将进阶!$C$13:$C$18,"&lt;="&amp;V116)*J116+武将数量星级阶位验证!S112</f>
        <v>214.11844453930905</v>
      </c>
      <c r="Z116" s="41">
        <f>SUMIFS(武将进阶!I$13:I$18,武将进阶!$C$13:$C$18,"&lt;="&amp;W116)*K116+武将数量星级阶位验证!T112</f>
        <v>525</v>
      </c>
      <c r="AA116" s="29"/>
      <c r="AB116" s="29">
        <f>求节点(基础状态预期!$AT$17:$AT$55,基础状态预期!AW$17:AW$55,各r阵容卡情况!$F116)</f>
        <v>2</v>
      </c>
      <c r="AC116" s="29">
        <f>求节点(基础状态预期!$AT$17:$AT$55,基础状态预期!AX$17:AX$55,各r阵容卡情况!$F116)</f>
        <v>2</v>
      </c>
      <c r="AD116" s="29">
        <f>求节点(基础状态预期!$AT$17:$AT$55,基础状态预期!AY$17:AY$55,各r阵容卡情况!$F116)</f>
        <v>2</v>
      </c>
      <c r="AE116" s="41">
        <f>IF(AA116&lt;1,0,(AA116-1)*武将觉醒!E$34*G116)+武将数量星级阶位验证!V112</f>
        <v>0</v>
      </c>
      <c r="AF116" s="41">
        <f>IF(AB116&lt;1,0,(AB116-1)*武将觉醒!F$34*H116)+武将数量星级阶位验证!W112</f>
        <v>20</v>
      </c>
      <c r="AG116" s="41">
        <f>IF(AC116&lt;1,0,(AC116-1)*武将觉醒!G$34*I116)+武将数量星级阶位验证!X112</f>
        <v>20</v>
      </c>
      <c r="AH116" s="41">
        <f>IF(AD116&lt;1,0,(AD116-1)*武将觉醒!H$34*J116)+武将数量星级阶位验证!Y112</f>
        <v>0</v>
      </c>
      <c r="AJ116" s="29">
        <f>MAX(W116+AE116+G116*(K116+1)+IF(武将数量星级阶位验证!L112="",0,武将数量星级阶位验证!L112)*武将升星!P109,O116)</f>
        <v>84</v>
      </c>
      <c r="AK116" s="29">
        <f>MAX(X116+AF116+H116*(L116+1)+IF(武将数量星级阶位验证!M112="",0,武将数量星级阶位验证!M112)*武将升星!Q109,P116)</f>
        <v>468</v>
      </c>
      <c r="AL116" s="64">
        <f>MAX(Y116+AG116+I116*(M116+1)+IF(武将数量星级阶位验证!N112="",0,武将数量星级阶位验证!N112)*武将升星!R109,Q116)</f>
        <v>386.49633658795796</v>
      </c>
      <c r="AM116" s="41">
        <f t="shared" si="97"/>
        <v>75.006745377183748</v>
      </c>
      <c r="AO116" s="17">
        <f>武将数量星级阶位验证!BJ112</f>
        <v>3935.1456581380016</v>
      </c>
      <c r="AP116" s="17">
        <f>武将数量星级阶位验证!BK112</f>
        <v>1411.8372790303349</v>
      </c>
      <c r="AQ116" s="63">
        <f>武将数量星级阶位验证!BL112</f>
        <v>241.10064771888872</v>
      </c>
      <c r="AR116" s="17">
        <f>武将数量星级阶位验证!BM112</f>
        <v>75.006745377183748</v>
      </c>
      <c r="AT116" s="17">
        <f t="shared" si="89"/>
        <v>210</v>
      </c>
      <c r="AU116" s="17">
        <f t="shared" si="90"/>
        <v>82.238672852681816</v>
      </c>
      <c r="AW116" s="17" t="s">
        <v>168</v>
      </c>
      <c r="BA116" s="17">
        <v>6</v>
      </c>
      <c r="BB116" s="62">
        <f t="shared" si="98"/>
        <v>6</v>
      </c>
      <c r="BD116" s="17">
        <v>0</v>
      </c>
      <c r="BE116" s="17">
        <v>4</v>
      </c>
      <c r="BF116" s="17">
        <v>20</v>
      </c>
      <c r="BG116" s="17">
        <v>0</v>
      </c>
      <c r="BH116" s="62">
        <f t="shared" si="99"/>
        <v>24</v>
      </c>
      <c r="BJ116" s="17">
        <f t="shared" si="100"/>
        <v>0</v>
      </c>
      <c r="BK116" s="17">
        <f t="shared" si="91"/>
        <v>4</v>
      </c>
      <c r="BL116" s="17">
        <f t="shared" si="92"/>
        <v>20</v>
      </c>
      <c r="BM116" s="17">
        <f t="shared" si="93"/>
        <v>6</v>
      </c>
      <c r="BN116" s="62">
        <f t="shared" si="101"/>
        <v>30</v>
      </c>
      <c r="BR116" s="17">
        <f>武将升星!P109*基础状态预期!G122+G116*(K116+1)+W116+AE116</f>
        <v>84</v>
      </c>
      <c r="BS116" s="17">
        <f>武将升星!Q109*基础状态预期!H122+H116*(L116+1)+X116+AF116</f>
        <v>468</v>
      </c>
      <c r="BT116" s="17">
        <f>武将升星!R109*基础状态预期!I122+I116*(M116+1)+Y116+AG116</f>
        <v>386.49633658795796</v>
      </c>
      <c r="BU116" s="17">
        <f>武将升星!S109*基础状态预期!J122+J116*(N116+1)+Z116+AH116</f>
        <v>600.00674537718373</v>
      </c>
    </row>
    <row r="117" spans="2:73" x14ac:dyDescent="0.15">
      <c r="B117" s="17">
        <v>20</v>
      </c>
      <c r="C117" s="17">
        <f t="shared" ref="C117:C139" si="116">SUM(G117:J117)</f>
        <v>24</v>
      </c>
      <c r="D117" s="17">
        <v>17</v>
      </c>
      <c r="E117" s="29">
        <f>基础状态预期!C123</f>
        <v>237.99999999999997</v>
      </c>
      <c r="F117" s="29">
        <f>基础状态预期!D123</f>
        <v>84.043767921022209</v>
      </c>
      <c r="G117" s="29">
        <f t="shared" ref="G117:G139" si="117">BD117</f>
        <v>0</v>
      </c>
      <c r="H117" s="29">
        <f t="shared" ref="H117:H139" si="118">BE117</f>
        <v>2</v>
      </c>
      <c r="I117" s="29">
        <f t="shared" ref="I117:I139" si="119">BF117</f>
        <v>22</v>
      </c>
      <c r="J117" s="29">
        <f t="shared" ref="J117:J139" si="120">BG117</f>
        <v>0</v>
      </c>
      <c r="K117" s="29">
        <f>武将战力价值情况!G113</f>
        <v>3</v>
      </c>
      <c r="L117" s="29">
        <f>武将战力价值情况!H113</f>
        <v>6</v>
      </c>
      <c r="M117" s="29">
        <f>武将战力价值情况!I113</f>
        <v>6.9006769298095456</v>
      </c>
      <c r="N117" s="29">
        <f>武将战力价值情况!J113</f>
        <v>7.0136229212147221</v>
      </c>
      <c r="O117" s="41">
        <f>MAX(同名需求(G117,求节点(武将升星!$C$104:$C$112,武将升星!E$104:E$112,K117),F$2),武将数量星级阶位验证!AA113)</f>
        <v>24</v>
      </c>
      <c r="P117" s="41">
        <f>MAX(同名需求(H117,求节点(武将升星!$C$104:$C$112,武将升星!F$104:F$112,L117),G$2),武将数量星级阶位验证!AB113)</f>
        <v>122</v>
      </c>
      <c r="Q117" s="41">
        <f>MAX(同名需求(I117,求节点(武将升星!$C$104:$C$112,武将升星!G$104:G$112,M117),H$2),武将数量星级阶位验证!AC113)</f>
        <v>530.08123157714545</v>
      </c>
      <c r="R117" s="41">
        <f>MAX(同名需求(J117,求节点(武将升星!$C$104:$C$112,武将升星!H$104:H$112,N117),I$2),武将数量星级阶位验证!AD113)</f>
        <v>84.32695010915333</v>
      </c>
      <c r="S117" s="29">
        <f>MAX(基础状态预期!P123:T123)</f>
        <v>3.3617507168408882</v>
      </c>
      <c r="T117" s="29">
        <f t="shared" ref="T117:T139" si="121">S117</f>
        <v>3.3617507168408882</v>
      </c>
      <c r="U117" s="29">
        <f t="shared" ref="U117:U139" si="122">T117</f>
        <v>3.3617507168408882</v>
      </c>
      <c r="V117" s="29">
        <f t="shared" ref="V117:V139" si="123">U117</f>
        <v>3.3617507168408882</v>
      </c>
      <c r="W117" s="41">
        <f>SUMIFS(武将进阶!F$13:F$18,武将进阶!$C$13:$C$18,"&lt;="&amp;T117)*H117+武将数量星级阶位验证!Q113</f>
        <v>42</v>
      </c>
      <c r="X117" s="41">
        <f>SUMIFS(武将进阶!G$13:G$18,武将进阶!$C$13:$C$18,"&lt;="&amp;U117)*I117+武将数量星级阶位验证!R113</f>
        <v>462</v>
      </c>
      <c r="Y117" s="41">
        <f>SUMIFS(武将进阶!H$13:H$18,武将进阶!$C$13:$C$18,"&lt;="&amp;V117)*J117+武将数量星级阶位验证!S113</f>
        <v>227.11512903135988</v>
      </c>
      <c r="Z117" s="41">
        <f>SUMIFS(武将进阶!I$13:I$18,武将进阶!$C$13:$C$18,"&lt;="&amp;W117)*K117+武将数量星级阶位验证!T113</f>
        <v>525</v>
      </c>
      <c r="AA117" s="29"/>
      <c r="AB117" s="29">
        <f>求节点(基础状态预期!$AT$17:$AT$55,基础状态预期!AW$17:AW$55,各r阵容卡情况!$F117)</f>
        <v>2</v>
      </c>
      <c r="AC117" s="29">
        <f>求节点(基础状态预期!$AT$17:$AT$55,基础状态预期!AX$17:AX$55,各r阵容卡情况!$F117)</f>
        <v>2</v>
      </c>
      <c r="AD117" s="29">
        <f>求节点(基础状态预期!$AT$17:$AT$55,基础状态预期!AY$17:AY$55,各r阵容卡情况!$F117)</f>
        <v>2</v>
      </c>
      <c r="AE117" s="41">
        <f>IF(AA117&lt;1,0,(AA117-1)*武将觉醒!E$34*G117)+武将数量星级阶位验证!V113</f>
        <v>0</v>
      </c>
      <c r="AF117" s="41">
        <f>IF(AB117&lt;1,0,(AB117-1)*武将觉醒!F$34*H117)+武将数量星级阶位验证!W113</f>
        <v>10</v>
      </c>
      <c r="AG117" s="41">
        <f>IF(AC117&lt;1,0,(AC117-1)*武将觉醒!G$34*I117)+武将数量星级阶位验证!X113</f>
        <v>22</v>
      </c>
      <c r="AH117" s="41">
        <f>IF(AD117&lt;1,0,(AD117-1)*武将觉醒!H$34*J117)+武将数量星级阶位验证!Y113</f>
        <v>0</v>
      </c>
      <c r="AJ117" s="29">
        <f>MAX(W117+AE117+G117*(K117+1)+IF(武将数量星级阶位验证!L113="",0,武将数量星级阶位验证!L113)*武将升星!P110,O117)</f>
        <v>42</v>
      </c>
      <c r="AK117" s="29">
        <f>MAX(X117+AF117+H117*(L117+1)+IF(武将数量星级阶位验证!M113="",0,武将数量星级阶位验证!M113)*武将升星!Q110,P117)</f>
        <v>486</v>
      </c>
      <c r="AL117" s="64">
        <f>MAX(Y117+AG117+I117*(M117+1)+IF(武将数量星级阶位验证!N113="",0,武将数量星级阶位验证!N113)*武将升星!R110,Q117)</f>
        <v>530.08123157714545</v>
      </c>
      <c r="AM117" s="41">
        <f t="shared" ref="AM117:AM139" si="124">R117+AH117</f>
        <v>84.32695010915333</v>
      </c>
      <c r="AO117" s="17">
        <f>武将数量星级阶位验证!BJ113</f>
        <v>4359.1276442951539</v>
      </c>
      <c r="AP117" s="17">
        <f>武将数量星级阶位验证!BK113</f>
        <v>1557.3951093855526</v>
      </c>
      <c r="AQ117" s="63">
        <f>武将数量星级阶位验证!BL113</f>
        <v>262.23432227217137</v>
      </c>
      <c r="AR117" s="17">
        <f>武将数量星级阶位验证!BM113</f>
        <v>84.326950109153344</v>
      </c>
      <c r="AT117" s="17">
        <f t="shared" ref="AT117:AT139" si="125">E117</f>
        <v>237.99999999999997</v>
      </c>
      <c r="AU117" s="17">
        <f t="shared" ref="AU117:AU139" si="126">F117</f>
        <v>84.043767921022209</v>
      </c>
      <c r="BA117" s="17">
        <v>6</v>
      </c>
      <c r="BB117" s="62">
        <f t="shared" ref="BB117:BB139" si="127">SUM(AX117:BA117)</f>
        <v>6</v>
      </c>
      <c r="BD117" s="17">
        <v>0</v>
      </c>
      <c r="BE117" s="17">
        <v>2</v>
      </c>
      <c r="BF117" s="17">
        <v>22</v>
      </c>
      <c r="BG117" s="17">
        <v>0</v>
      </c>
      <c r="BH117" s="62">
        <f t="shared" ref="BH117:BH139" si="128">SUM(BD117:BG117)</f>
        <v>24</v>
      </c>
      <c r="BJ117" s="17">
        <f t="shared" ref="BJ117:BJ139" si="129">AX117+BD117</f>
        <v>0</v>
      </c>
      <c r="BK117" s="17">
        <f t="shared" ref="BK117:BK139" si="130">AY117+BE117</f>
        <v>2</v>
      </c>
      <c r="BL117" s="17">
        <f t="shared" ref="BL117:BL139" si="131">AZ117+BF117</f>
        <v>22</v>
      </c>
      <c r="BM117" s="17">
        <f t="shared" ref="BM117:BM139" si="132">BA117+BG117</f>
        <v>6</v>
      </c>
      <c r="BN117" s="62">
        <f t="shared" ref="BN117:BN139" si="133">SUM(BJ117:BM117)</f>
        <v>30</v>
      </c>
      <c r="BR117" s="17">
        <f>武将升星!P110*基础状态预期!G123+G117*(K117+1)+W117+AE117</f>
        <v>42</v>
      </c>
      <c r="BS117" s="17">
        <f>武将升星!Q110*基础状态预期!H123+H117*(L117+1)+X117+AF117</f>
        <v>486</v>
      </c>
      <c r="BT117" s="17">
        <f>武将升星!R110*基础状态预期!I123+I117*(M117+1)+Y117+AG117</f>
        <v>422.93002148716988</v>
      </c>
      <c r="BU117" s="17">
        <f>武将升星!S110*基础状态预期!J123+J117*(N117+1)+Z117+AH117</f>
        <v>609.32695010915336</v>
      </c>
    </row>
    <row r="118" spans="2:73" x14ac:dyDescent="0.15">
      <c r="B118" s="17">
        <v>21</v>
      </c>
      <c r="C118" s="17">
        <f t="shared" si="116"/>
        <v>24</v>
      </c>
      <c r="D118" s="17">
        <v>18</v>
      </c>
      <c r="E118" s="29">
        <f>基础状态预期!C124</f>
        <v>280</v>
      </c>
      <c r="F118" s="29">
        <f>基础状态预期!D124</f>
        <v>86.385105215793828</v>
      </c>
      <c r="G118" s="29">
        <f t="shared" si="117"/>
        <v>0</v>
      </c>
      <c r="H118" s="29">
        <f t="shared" si="118"/>
        <v>0</v>
      </c>
      <c r="I118" s="29">
        <f t="shared" si="119"/>
        <v>24</v>
      </c>
      <c r="J118" s="29">
        <f t="shared" si="120"/>
        <v>0</v>
      </c>
      <c r="K118" s="29">
        <f>武将战力价值情况!G114</f>
        <v>3</v>
      </c>
      <c r="L118" s="29">
        <f>武将战力价值情况!H114</f>
        <v>6</v>
      </c>
      <c r="M118" s="29">
        <f>武将战力价值情况!I114</f>
        <v>7.2410060549951423</v>
      </c>
      <c r="N118" s="29">
        <f>武将战力价值情况!J114</f>
        <v>7.5923688153096789</v>
      </c>
      <c r="O118" s="41">
        <f>MAX(同名需求(G118,求节点(武将升星!$C$104:$C$112,武将升星!E$104:E$112,K118),F$2),武将数量星级阶位验证!AA114)</f>
        <v>24</v>
      </c>
      <c r="P118" s="41">
        <f>MAX(同名需求(H118,求节点(武将升星!$C$104:$C$112,武将升星!F$104:F$112,L118),G$2),武将数量星级阶位验证!AB114)</f>
        <v>120</v>
      </c>
      <c r="Q118" s="41">
        <f>MAX(同名需求(I118,求节点(武将升星!$C$104:$C$112,武将升星!G$104:G$112,M118),H$2),武将数量星级阶位验证!AC114)</f>
        <v>582.56096879922279</v>
      </c>
      <c r="R118" s="41">
        <f>MAX(同名需求(J118,求节点(武将升星!$C$104:$C$112,武将升星!H$104:H$112,N118),I$2),武将数量星级阶位验证!AD114)</f>
        <v>98.2168515674323</v>
      </c>
      <c r="S118" s="29">
        <f>MAX(基础状态预期!P124:T124)</f>
        <v>3.4554042086317533</v>
      </c>
      <c r="T118" s="29">
        <f t="shared" si="121"/>
        <v>3.4554042086317533</v>
      </c>
      <c r="U118" s="29">
        <f t="shared" si="122"/>
        <v>3.4554042086317533</v>
      </c>
      <c r="V118" s="29">
        <f t="shared" si="123"/>
        <v>3.4554042086317533</v>
      </c>
      <c r="W118" s="41">
        <f>SUMIFS(武将进阶!F$13:F$18,武将进阶!$C$13:$C$18,"&lt;="&amp;T118)*H118+武将数量星级阶位验证!Q114</f>
        <v>0</v>
      </c>
      <c r="X118" s="41">
        <f>SUMIFS(武将进阶!G$13:G$18,武将进阶!$C$13:$C$18,"&lt;="&amp;U118)*I118+武将数量星级阶位验证!R114</f>
        <v>504</v>
      </c>
      <c r="Y118" s="41">
        <f>SUMIFS(武将进阶!H$13:H$18,武将进阶!$C$13:$C$18,"&lt;="&amp;V118)*J118+武将数量星级阶位验证!S114</f>
        <v>243.97275755371558</v>
      </c>
      <c r="Z118" s="41">
        <f>SUMIFS(武将进阶!I$13:I$18,武将进阶!$C$13:$C$18,"&lt;="&amp;W118)*K118+武将数量星级阶位验证!T114</f>
        <v>0</v>
      </c>
      <c r="AA118" s="29"/>
      <c r="AB118" s="29">
        <f>求节点(基础状态预期!$AT$17:$AT$55,基础状态预期!AW$17:AW$55,各r阵容卡情况!$F118)</f>
        <v>2</v>
      </c>
      <c r="AC118" s="29">
        <f>求节点(基础状态预期!$AT$17:$AT$55,基础状态预期!AX$17:AX$55,各r阵容卡情况!$F118)</f>
        <v>2</v>
      </c>
      <c r="AD118" s="29">
        <f>求节点(基础状态预期!$AT$17:$AT$55,基础状态预期!AY$17:AY$55,各r阵容卡情况!$F118)</f>
        <v>2</v>
      </c>
      <c r="AE118" s="41">
        <f>IF(AA118&lt;1,0,(AA118-1)*武将觉醒!E$34*G118)+武将数量星级阶位验证!V114</f>
        <v>0</v>
      </c>
      <c r="AF118" s="41">
        <f>IF(AB118&lt;1,0,(AB118-1)*武将觉醒!F$34*H118)+武将数量星级阶位验证!W114</f>
        <v>0</v>
      </c>
      <c r="AG118" s="41">
        <f>IF(AC118&lt;1,0,(AC118-1)*武将觉醒!G$34*I118)+武将数量星级阶位验证!X114</f>
        <v>24</v>
      </c>
      <c r="AH118" s="41">
        <f>IF(AD118&lt;1,0,(AD118-1)*武将觉醒!H$34*J118)+武将数量星级阶位验证!Y114</f>
        <v>0</v>
      </c>
      <c r="AJ118" s="29">
        <f>MAX(W118+AE118+G118*(K118+1)+IF(武将数量星级阶位验证!L114="",0,武将数量星级阶位验证!L114)*武将升星!P111,O118)</f>
        <v>24</v>
      </c>
      <c r="AK118" s="29">
        <f>MAX(X118+AF118+H118*(L118+1)+IF(武将数量星级阶位验证!M114="",0,武将数量星级阶位验证!M114)*武将升星!Q111,P118)</f>
        <v>504</v>
      </c>
      <c r="AL118" s="64">
        <f>MAX(Y118+AG118+I118*(M118+1)+IF(武将数量星级阶位验证!N114="",0,武将数量星级阶位验证!N114)*武将升星!R111,Q118)</f>
        <v>582.56096879922279</v>
      </c>
      <c r="AM118" s="41">
        <f t="shared" si="124"/>
        <v>98.2168515674323</v>
      </c>
      <c r="AO118" s="17">
        <f>武将数量星级阶位验证!BJ114</f>
        <v>4993.242285381999</v>
      </c>
      <c r="AP118" s="17">
        <f>武将数量星级阶位验证!BK114</f>
        <v>1774.7273478108743</v>
      </c>
      <c r="AQ118" s="63">
        <f>武将数量星级阶位验证!BL114</f>
        <v>293.78415803596965</v>
      </c>
      <c r="AR118" s="17">
        <f>武将数量星级阶位验证!BM114</f>
        <v>98.2168515674323</v>
      </c>
      <c r="AT118" s="17">
        <f t="shared" si="125"/>
        <v>280</v>
      </c>
      <c r="AU118" s="17">
        <f t="shared" si="126"/>
        <v>86.385105215793828</v>
      </c>
      <c r="BA118" s="17">
        <v>6</v>
      </c>
      <c r="BB118" s="62">
        <f t="shared" si="127"/>
        <v>6</v>
      </c>
      <c r="BD118" s="17">
        <v>0</v>
      </c>
      <c r="BE118" s="17">
        <v>0</v>
      </c>
      <c r="BF118" s="17">
        <v>24</v>
      </c>
      <c r="BG118" s="17">
        <v>0</v>
      </c>
      <c r="BH118" s="62">
        <f t="shared" si="128"/>
        <v>24</v>
      </c>
      <c r="BJ118" s="17">
        <f t="shared" si="129"/>
        <v>0</v>
      </c>
      <c r="BK118" s="17">
        <f t="shared" si="130"/>
        <v>0</v>
      </c>
      <c r="BL118" s="17">
        <f t="shared" si="131"/>
        <v>24</v>
      </c>
      <c r="BM118" s="17">
        <f t="shared" si="132"/>
        <v>6</v>
      </c>
      <c r="BN118" s="62">
        <f t="shared" si="133"/>
        <v>30</v>
      </c>
      <c r="BR118" s="17">
        <f>武将升星!P111*基础状态预期!G124+G118*(K118+1)+W118+AE118</f>
        <v>0</v>
      </c>
      <c r="BS118" s="17">
        <f>武将升星!Q111*基础状态预期!H124+H118*(L118+1)+X118+AF118</f>
        <v>504</v>
      </c>
      <c r="BT118" s="17">
        <f>武将升星!R111*基础状态预期!I124+I118*(M118+1)+Y118+AG118</f>
        <v>465.75690287359902</v>
      </c>
      <c r="BU118" s="17">
        <f>武将升星!S111*基础状态预期!J124+J118*(N118+1)+Z118+AH118</f>
        <v>98.216851567432286</v>
      </c>
    </row>
    <row r="119" spans="2:73" x14ac:dyDescent="0.15">
      <c r="B119" s="17">
        <v>22</v>
      </c>
      <c r="C119" s="17">
        <f t="shared" si="116"/>
        <v>24</v>
      </c>
      <c r="D119" s="17">
        <v>19</v>
      </c>
      <c r="E119" s="29">
        <f>基础状态预期!C125</f>
        <v>364</v>
      </c>
      <c r="F119" s="29">
        <f>基础状态预期!D125</f>
        <v>90.406191748048585</v>
      </c>
      <c r="G119" s="29">
        <f t="shared" si="117"/>
        <v>0</v>
      </c>
      <c r="H119" s="29">
        <f t="shared" si="118"/>
        <v>0</v>
      </c>
      <c r="I119" s="29">
        <f t="shared" si="119"/>
        <v>24</v>
      </c>
      <c r="J119" s="29">
        <f t="shared" si="120"/>
        <v>0</v>
      </c>
      <c r="K119" s="29">
        <f>武将战力价值情况!G115</f>
        <v>3</v>
      </c>
      <c r="L119" s="29">
        <f>武将战力价值情况!H115</f>
        <v>6</v>
      </c>
      <c r="M119" s="29">
        <f>武将战力价值情况!I115</f>
        <v>7.8481623448853224</v>
      </c>
      <c r="N119" s="29">
        <f>武将战力价值情况!J115</f>
        <v>8</v>
      </c>
      <c r="O119" s="41">
        <f>MAX(同名需求(G119,求节点(武将升星!$C$104:$C$112,武将升星!E$104:E$112,K119),F$2),武将数量星级阶位验证!AA115)</f>
        <v>24</v>
      </c>
      <c r="P119" s="41">
        <f>MAX(同名需求(H119,求节点(武将升星!$C$104:$C$112,武将升星!F$104:F$112,L119),G$2),武将数量星级阶位验证!AB115)</f>
        <v>120</v>
      </c>
      <c r="Q119" s="41">
        <f>MAX(同名需求(I119,求节点(武将升星!$C$104:$C$112,武将升星!G$104:G$112,M119),H$2),武将数量星级阶位验证!AC115)</f>
        <v>679.70597518165164</v>
      </c>
      <c r="R119" s="41">
        <f>MAX(同名需求(J119,求节点(武将升星!$C$104:$C$112,武将升星!H$104:H$112,N119),I$2),武将数量星级阶位验证!AD115)</f>
        <v>108</v>
      </c>
      <c r="S119" s="29">
        <f>MAX(基础状态预期!P125:T125)</f>
        <v>3.6162476699219432</v>
      </c>
      <c r="T119" s="29">
        <f t="shared" si="121"/>
        <v>3.6162476699219432</v>
      </c>
      <c r="U119" s="29">
        <f t="shared" si="122"/>
        <v>3.6162476699219432</v>
      </c>
      <c r="V119" s="29">
        <f t="shared" si="123"/>
        <v>3.6162476699219432</v>
      </c>
      <c r="W119" s="41">
        <f>SUMIFS(武将进阶!F$13:F$18,武将进阶!$C$13:$C$18,"&lt;="&amp;T119)*H119+武将数量星级阶位验证!Q115</f>
        <v>0</v>
      </c>
      <c r="X119" s="41">
        <f>SUMIFS(武将进阶!G$13:G$18,武将进阶!$C$13:$C$18,"&lt;="&amp;U119)*I119+武将数量星级阶位验证!R115</f>
        <v>504</v>
      </c>
      <c r="Y119" s="41">
        <f>SUMIFS(武将进阶!H$13:H$18,武将进阶!$C$13:$C$18,"&lt;="&amp;V119)*J119+武将数量星级阶位验证!S115</f>
        <v>272.9245805859498</v>
      </c>
      <c r="Z119" s="41">
        <f>SUMIFS(武将进阶!I$13:I$18,武将进阶!$C$13:$C$18,"&lt;="&amp;W119)*K119+武将数量星级阶位验证!T115</f>
        <v>0</v>
      </c>
      <c r="AA119" s="29"/>
      <c r="AB119" s="29">
        <f>求节点(基础状态预期!$AT$17:$AT$55,基础状态预期!AW$17:AW$55,各r阵容卡情况!$F119)</f>
        <v>2</v>
      </c>
      <c r="AC119" s="29">
        <f>求节点(基础状态预期!$AT$17:$AT$55,基础状态预期!AX$17:AX$55,各r阵容卡情况!$F119)</f>
        <v>2</v>
      </c>
      <c r="AD119" s="29">
        <f>求节点(基础状态预期!$AT$17:$AT$55,基础状态预期!AY$17:AY$55,各r阵容卡情况!$F119)</f>
        <v>2</v>
      </c>
      <c r="AE119" s="41">
        <f>IF(AA119&lt;1,0,(AA119-1)*武将觉醒!E$34*G119)+武将数量星级阶位验证!V115</f>
        <v>0</v>
      </c>
      <c r="AF119" s="41">
        <f>IF(AB119&lt;1,0,(AB119-1)*武将觉醒!F$34*H119)+武将数量星级阶位验证!W115</f>
        <v>0</v>
      </c>
      <c r="AG119" s="41">
        <f>IF(AC119&lt;1,0,(AC119-1)*武将觉醒!G$34*I119)+武将数量星级阶位验证!X115</f>
        <v>24</v>
      </c>
      <c r="AH119" s="41">
        <f>IF(AD119&lt;1,0,(AD119-1)*武将觉醒!H$34*J119)+武将数量星级阶位验证!Y115</f>
        <v>0</v>
      </c>
      <c r="AJ119" s="29">
        <f>MAX(W119+AE119+G119*(K119+1)+IF(武将数量星级阶位验证!L115="",0,武将数量星级阶位验证!L115)*武将升星!P112,O119)</f>
        <v>24</v>
      </c>
      <c r="AK119" s="29">
        <f>MAX(X119+AF119+H119*(L119+1)+IF(武将数量星级阶位验证!M115="",0,武将数量星级阶位验证!M115)*武将升星!Q112,P119)</f>
        <v>504</v>
      </c>
      <c r="AL119" s="64">
        <f>MAX(Y119+AG119+I119*(M119+1)+IF(武将数量星级阶位验证!N115="",0,武将数量星级阶位验证!N115)*武将升星!R112,Q119)</f>
        <v>679.70597518165164</v>
      </c>
      <c r="AM119" s="41">
        <f t="shared" si="124"/>
        <v>108</v>
      </c>
      <c r="AO119" s="17">
        <f>武将数量星级阶位验证!BJ115</f>
        <v>6232.0683762465542</v>
      </c>
      <c r="AP119" s="17">
        <f>武将数量星级阶位验证!BK115</f>
        <v>2193.4982077376608</v>
      </c>
      <c r="AQ119" s="63">
        <f>武将数量星级阶位验证!BL115</f>
        <v>354.49978702498765</v>
      </c>
      <c r="AR119" s="17">
        <f>武将数量星级阶位验证!BM115</f>
        <v>124.56622896084309</v>
      </c>
      <c r="AT119" s="17">
        <f t="shared" si="125"/>
        <v>364</v>
      </c>
      <c r="AU119" s="17">
        <f t="shared" si="126"/>
        <v>90.406191748048585</v>
      </c>
      <c r="BA119" s="17">
        <v>6</v>
      </c>
      <c r="BB119" s="62">
        <f t="shared" si="127"/>
        <v>6</v>
      </c>
      <c r="BD119" s="17">
        <v>0</v>
      </c>
      <c r="BE119" s="17">
        <v>0</v>
      </c>
      <c r="BF119" s="17">
        <v>24</v>
      </c>
      <c r="BG119" s="17">
        <v>0</v>
      </c>
      <c r="BH119" s="62">
        <f t="shared" si="128"/>
        <v>24</v>
      </c>
      <c r="BJ119" s="17">
        <f t="shared" si="129"/>
        <v>0</v>
      </c>
      <c r="BK119" s="17">
        <f t="shared" si="130"/>
        <v>0</v>
      </c>
      <c r="BL119" s="17">
        <f t="shared" si="131"/>
        <v>24</v>
      </c>
      <c r="BM119" s="17">
        <f t="shared" si="132"/>
        <v>6</v>
      </c>
      <c r="BN119" s="62">
        <f t="shared" si="133"/>
        <v>30</v>
      </c>
      <c r="BR119" s="17">
        <f>武将升星!P112*基础状态预期!G125+G119*(K119+1)+W119+AE119</f>
        <v>0</v>
      </c>
      <c r="BS119" s="17">
        <f>武将升星!Q112*基础状态预期!H125+H119*(L119+1)+X119+AF119</f>
        <v>504</v>
      </c>
      <c r="BT119" s="17">
        <f>武将升星!R112*基础状态预期!I125+I119*(M119+1)+Y119+AG119</f>
        <v>509.28047686319752</v>
      </c>
      <c r="BU119" s="17">
        <f>武将升星!S112*基础状态预期!J125+J119*(N119+1)+Z119+AH119</f>
        <v>108</v>
      </c>
    </row>
    <row r="120" spans="2:73" x14ac:dyDescent="0.15">
      <c r="B120" s="17">
        <v>23</v>
      </c>
      <c r="C120" s="17">
        <f t="shared" si="116"/>
        <v>24</v>
      </c>
      <c r="D120" s="17">
        <v>20</v>
      </c>
      <c r="E120" s="29">
        <f>基础状态预期!C126</f>
        <v>448</v>
      </c>
      <c r="F120" s="29">
        <f>基础状态预期!D126</f>
        <v>93.471491811086082</v>
      </c>
      <c r="G120" s="29">
        <f t="shared" si="117"/>
        <v>0</v>
      </c>
      <c r="H120" s="29">
        <f t="shared" si="118"/>
        <v>0</v>
      </c>
      <c r="I120" s="29">
        <f t="shared" si="119"/>
        <v>24</v>
      </c>
      <c r="J120" s="29">
        <f t="shared" si="120"/>
        <v>0</v>
      </c>
      <c r="K120" s="29">
        <f>武将战力价值情况!G116</f>
        <v>3</v>
      </c>
      <c r="L120" s="29">
        <f>武将战力价值情况!H116</f>
        <v>6</v>
      </c>
      <c r="M120" s="29">
        <f>武将战力价值情况!I116</f>
        <v>8</v>
      </c>
      <c r="N120" s="29">
        <f>武将战力价值情况!J116</f>
        <v>8</v>
      </c>
      <c r="O120" s="41">
        <f>MAX(同名需求(G120,求节点(武将升星!$C$104:$C$112,武将升星!E$104:E$112,K120),F$2),武将数量星级阶位验证!AA116)</f>
        <v>24</v>
      </c>
      <c r="P120" s="41">
        <f>MAX(同名需求(H120,求节点(武将升星!$C$104:$C$112,武将升星!F$104:F$112,L120),G$2),武将数量星级阶位验证!AB116)</f>
        <v>120</v>
      </c>
      <c r="Q120" s="41">
        <f>MAX(同名需求(I120,求节点(武将升星!$C$104:$C$112,武将升星!G$104:G$112,M120),H$2),武将数量星级阶位验证!AC116)</f>
        <v>704</v>
      </c>
      <c r="R120" s="41">
        <f>MAX(同名需求(J120,求节点(武将升星!$C$104:$C$112,武将升星!H$104:H$112,N120),I$2),武将数量星级阶位验证!AD116)</f>
        <v>108</v>
      </c>
      <c r="S120" s="29">
        <f>MAX(基础状态预期!P126:T126)</f>
        <v>3.7388596724434433</v>
      </c>
      <c r="T120" s="29">
        <f t="shared" si="121"/>
        <v>3.7388596724434433</v>
      </c>
      <c r="U120" s="29">
        <f t="shared" si="122"/>
        <v>3.7388596724434433</v>
      </c>
      <c r="V120" s="29">
        <f t="shared" si="123"/>
        <v>3.7388596724434433</v>
      </c>
      <c r="W120" s="41">
        <f>SUMIFS(武将进阶!F$13:F$18,武将进阶!$C$13:$C$18,"&lt;="&amp;T120)*H120+武将数量星级阶位验证!Q116</f>
        <v>0</v>
      </c>
      <c r="X120" s="41">
        <f>SUMIFS(武将进阶!G$13:G$18,武将进阶!$C$13:$C$18,"&lt;="&amp;U120)*I120+武将数量星级阶位验证!R116</f>
        <v>504</v>
      </c>
      <c r="Y120" s="41">
        <f>SUMIFS(武将进阶!H$13:H$18,武将进阶!$C$13:$C$18,"&lt;="&amp;V120)*J120+武将数量星级阶位验证!S116</f>
        <v>294.99474103981981</v>
      </c>
      <c r="Z120" s="41">
        <f>SUMIFS(武将进阶!I$13:I$18,武将进阶!$C$13:$C$18,"&lt;="&amp;W120)*K120+武将数量星级阶位验证!T116</f>
        <v>0</v>
      </c>
      <c r="AA120" s="29"/>
      <c r="AB120" s="29">
        <f>求节点(基础状态预期!$AT$17:$AT$55,基础状态预期!AW$17:AW$55,各r阵容卡情况!$F120)</f>
        <v>2</v>
      </c>
      <c r="AC120" s="29">
        <f>求节点(基础状态预期!$AT$17:$AT$55,基础状态预期!AX$17:AX$55,各r阵容卡情况!$F120)</f>
        <v>2</v>
      </c>
      <c r="AD120" s="29">
        <f>求节点(基础状态预期!$AT$17:$AT$55,基础状态预期!AY$17:AY$55,各r阵容卡情况!$F120)</f>
        <v>2</v>
      </c>
      <c r="AE120" s="41">
        <f>IF(AA120&lt;1,0,(AA120-1)*武将觉醒!E$34*G120)+武将数量星级阶位验证!V116</f>
        <v>0</v>
      </c>
      <c r="AF120" s="41">
        <f>IF(AB120&lt;1,0,(AB120-1)*武将觉醒!F$34*H120)+武将数量星级阶位验证!W116</f>
        <v>0</v>
      </c>
      <c r="AG120" s="41">
        <f>IF(AC120&lt;1,0,(AC120-1)*武将觉醒!G$34*I120)+武将数量星级阶位验证!X116</f>
        <v>24</v>
      </c>
      <c r="AH120" s="41">
        <f>IF(AD120&lt;1,0,(AD120-1)*武将觉醒!H$34*J120)+武将数量星级阶位验证!Y116</f>
        <v>0</v>
      </c>
      <c r="AJ120" s="29">
        <f>MAX(W120+AE120+G120*(K120+1)+IF(武将数量星级阶位验证!L116="",0,武将数量星级阶位验证!L116)*武将升星!P113,O120)</f>
        <v>24</v>
      </c>
      <c r="AK120" s="29">
        <f>MAX(X120+AF120+H120*(L120+1)+IF(武将数量星级阶位验证!M116="",0,武将数量星级阶位验证!M116)*武将升星!Q113,P120)</f>
        <v>504</v>
      </c>
      <c r="AL120" s="64">
        <f>MAX(Y120+AG120+I120*(M120+1)+IF(武将数量星级阶位验证!N116="",0,武将数量星级阶位验证!N116)*武将升星!R113,Q120)</f>
        <v>704</v>
      </c>
      <c r="AM120" s="41">
        <f t="shared" si="124"/>
        <v>108</v>
      </c>
      <c r="AO120" s="17">
        <f>武将数量星级阶位验证!BJ116</f>
        <v>7440.4807438405751</v>
      </c>
      <c r="AP120" s="17">
        <f>武将数量星级阶位验证!BK116</f>
        <v>2595.8292172479423</v>
      </c>
      <c r="AQ120" s="63">
        <f>武将数量星级阶位验证!BL116</f>
        <v>412.74943845152984</v>
      </c>
      <c r="AR120" s="17">
        <f>武将数量星级阶位验证!BM116</f>
        <v>149.43601981676838</v>
      </c>
      <c r="AT120" s="17">
        <f t="shared" si="125"/>
        <v>448</v>
      </c>
      <c r="AU120" s="17">
        <f t="shared" si="126"/>
        <v>93.471491811086082</v>
      </c>
      <c r="BA120" s="17">
        <v>6</v>
      </c>
      <c r="BB120" s="62">
        <f t="shared" si="127"/>
        <v>6</v>
      </c>
      <c r="BD120" s="17">
        <v>0</v>
      </c>
      <c r="BE120" s="17">
        <v>0</v>
      </c>
      <c r="BF120" s="17">
        <v>24</v>
      </c>
      <c r="BG120" s="17">
        <v>0</v>
      </c>
      <c r="BH120" s="62">
        <f t="shared" si="128"/>
        <v>24</v>
      </c>
      <c r="BJ120" s="17">
        <f t="shared" si="129"/>
        <v>0</v>
      </c>
      <c r="BK120" s="17">
        <f t="shared" si="130"/>
        <v>0</v>
      </c>
      <c r="BL120" s="17">
        <f t="shared" si="131"/>
        <v>24</v>
      </c>
      <c r="BM120" s="17">
        <f t="shared" si="132"/>
        <v>6</v>
      </c>
      <c r="BN120" s="62">
        <f t="shared" si="133"/>
        <v>30</v>
      </c>
      <c r="BR120" s="17">
        <f>武将升星!P113*基础状态预期!G126+G120*(K120+1)+W120+AE120</f>
        <v>0</v>
      </c>
      <c r="BS120" s="17">
        <f>武将升星!Q113*基础状态预期!H126+H120*(L120+1)+X120+AF120</f>
        <v>504</v>
      </c>
      <c r="BT120" s="17">
        <f>武将升星!R113*基础状态预期!I126+I120*(M120+1)+Y120+AG120</f>
        <v>534.99474103981981</v>
      </c>
      <c r="BU120" s="17">
        <f>武将升星!S113*基础状态预期!J126+J120*(N120+1)+Z120+AH120</f>
        <v>108</v>
      </c>
    </row>
    <row r="121" spans="2:73" x14ac:dyDescent="0.15">
      <c r="B121" s="17">
        <v>24</v>
      </c>
      <c r="C121" s="17">
        <f t="shared" si="116"/>
        <v>24</v>
      </c>
      <c r="D121" s="17">
        <v>21</v>
      </c>
      <c r="E121" s="29">
        <f>基础状态预期!C127</f>
        <v>574</v>
      </c>
      <c r="F121" s="29">
        <f>基础状态预期!D127</f>
        <v>97.107381566993553</v>
      </c>
      <c r="G121" s="29">
        <f t="shared" si="117"/>
        <v>0</v>
      </c>
      <c r="H121" s="29">
        <f t="shared" si="118"/>
        <v>0</v>
      </c>
      <c r="I121" s="29">
        <f t="shared" si="119"/>
        <v>24</v>
      </c>
      <c r="J121" s="29">
        <f t="shared" si="120"/>
        <v>0</v>
      </c>
      <c r="K121" s="29">
        <f>武将战力价值情况!G117</f>
        <v>3</v>
      </c>
      <c r="L121" s="29">
        <f>武将战力价值情况!H117</f>
        <v>6</v>
      </c>
      <c r="M121" s="29">
        <f>武将战力价值情况!I117</f>
        <v>8</v>
      </c>
      <c r="N121" s="29">
        <f>武将战力价值情况!J117</f>
        <v>8</v>
      </c>
      <c r="O121" s="41">
        <f>MAX(同名需求(G121,求节点(武将升星!$C$104:$C$112,武将升星!E$104:E$112,K121),F$2),武将数量星级阶位验证!AA117)</f>
        <v>24</v>
      </c>
      <c r="P121" s="41">
        <f>MAX(同名需求(H121,求节点(武将升星!$C$104:$C$112,武将升星!F$104:F$112,L121),G$2),武将数量星级阶位验证!AB117)</f>
        <v>120</v>
      </c>
      <c r="Q121" s="41">
        <f>MAX(同名需求(I121,求节点(武将升星!$C$104:$C$112,武将升星!G$104:G$112,M121),H$2),武将数量星级阶位验证!AC117)</f>
        <v>704</v>
      </c>
      <c r="R121" s="41">
        <f>MAX(同名需求(J121,求节点(武将升星!$C$104:$C$112,武将升星!H$104:H$112,N121),I$2),武将数量星级阶位验证!AD117)</f>
        <v>108</v>
      </c>
      <c r="S121" s="29">
        <f>MAX(基础状态预期!P127:T127)</f>
        <v>3.8842952626797422</v>
      </c>
      <c r="T121" s="29">
        <f t="shared" si="121"/>
        <v>3.8842952626797422</v>
      </c>
      <c r="U121" s="29">
        <f t="shared" si="122"/>
        <v>3.8842952626797422</v>
      </c>
      <c r="V121" s="29">
        <f t="shared" si="123"/>
        <v>3.8842952626797422</v>
      </c>
      <c r="W121" s="41">
        <f>SUMIFS(武将进阶!F$13:F$18,武将进阶!$C$13:$C$18,"&lt;="&amp;T121)*H121+武将数量星级阶位验证!Q117</f>
        <v>0</v>
      </c>
      <c r="X121" s="41">
        <f>SUMIFS(武将进阶!G$13:G$18,武将进阶!$C$13:$C$18,"&lt;="&amp;U121)*I121+武将数量星级阶位验证!R117</f>
        <v>504</v>
      </c>
      <c r="Y121" s="41">
        <f>SUMIFS(武将进阶!H$13:H$18,武将进阶!$C$13:$C$18,"&lt;="&amp;V121)*J121+武将数量星级阶位验证!S117</f>
        <v>321.17314728235363</v>
      </c>
      <c r="Z121" s="41">
        <f>SUMIFS(武将进阶!I$13:I$18,武将进阶!$C$13:$C$18,"&lt;="&amp;W121)*K121+武将数量星级阶位验证!T117</f>
        <v>0</v>
      </c>
      <c r="AA121" s="29"/>
      <c r="AB121" s="29">
        <f>求节点(基础状态预期!$AT$17:$AT$55,基础状态预期!AW$17:AW$55,各r阵容卡情况!$F121)</f>
        <v>2</v>
      </c>
      <c r="AC121" s="29">
        <f>求节点(基础状态预期!$AT$17:$AT$55,基础状态预期!AX$17:AX$55,各r阵容卡情况!$F121)</f>
        <v>2</v>
      </c>
      <c r="AD121" s="29">
        <f>求节点(基础状态预期!$AT$17:$AT$55,基础状态预期!AY$17:AY$55,各r阵容卡情况!$F121)</f>
        <v>2</v>
      </c>
      <c r="AE121" s="41">
        <f>IF(AA121&lt;1,0,(AA121-1)*武将觉醒!E$34*G121)+武将数量星级阶位验证!V117</f>
        <v>0</v>
      </c>
      <c r="AF121" s="41">
        <f>IF(AB121&lt;1,0,(AB121-1)*武将觉醒!F$34*H121)+武将数量星级阶位验证!W117</f>
        <v>0</v>
      </c>
      <c r="AG121" s="41">
        <f>IF(AC121&lt;1,0,(AC121-1)*武将觉醒!G$34*I121)+武将数量星级阶位验证!X117</f>
        <v>24</v>
      </c>
      <c r="AH121" s="41">
        <f>IF(AD121&lt;1,0,(AD121-1)*武将觉醒!H$34*J121)+武将数量星级阶位验证!Y117</f>
        <v>0</v>
      </c>
      <c r="AJ121" s="29">
        <f>MAX(W121+AE121+G121*(K121+1)+IF(武将数量星级阶位验证!L117="",0,武将数量星级阶位验证!L117)*武将升星!P114,O121)</f>
        <v>24</v>
      </c>
      <c r="AK121" s="29">
        <f>MAX(X121+AF121+H121*(L121+1)+IF(武将数量星级阶位验证!M117="",0,武将数量星级阶位验证!M117)*武将升星!Q114,P121)</f>
        <v>504</v>
      </c>
      <c r="AL121" s="64">
        <f>MAX(Y121+AG121+I121*(M121+1)+IF(武将数量星级阶位验证!N117="",0,武将数量星级阶位验证!N117)*武将升星!R114,Q121)</f>
        <v>704</v>
      </c>
      <c r="AM121" s="41">
        <f t="shared" si="124"/>
        <v>108</v>
      </c>
      <c r="AO121" s="17">
        <f>武将数量星级阶位验证!BJ117</f>
        <v>9213.4273376933597</v>
      </c>
      <c r="AP121" s="17">
        <f>武将数量星级阶位验证!BK117</f>
        <v>3177.8814301413386</v>
      </c>
      <c r="AQ121" s="63">
        <f>武将数量星级阶位验证!BL117</f>
        <v>496.90727038553928</v>
      </c>
      <c r="AR121" s="17">
        <f>武将数量星级阶位验证!BM117</f>
        <v>184.81071897717405</v>
      </c>
      <c r="AT121" s="17">
        <f t="shared" si="125"/>
        <v>574</v>
      </c>
      <c r="AU121" s="17">
        <f t="shared" si="126"/>
        <v>97.107381566993553</v>
      </c>
      <c r="BA121" s="17">
        <v>6</v>
      </c>
      <c r="BB121" s="62">
        <f t="shared" si="127"/>
        <v>6</v>
      </c>
      <c r="BD121" s="17">
        <v>0</v>
      </c>
      <c r="BE121" s="17">
        <v>0</v>
      </c>
      <c r="BF121" s="17">
        <v>24</v>
      </c>
      <c r="BG121" s="17">
        <v>0</v>
      </c>
      <c r="BH121" s="62">
        <f t="shared" si="128"/>
        <v>24</v>
      </c>
      <c r="BJ121" s="17">
        <f t="shared" si="129"/>
        <v>0</v>
      </c>
      <c r="BK121" s="17">
        <f t="shared" si="130"/>
        <v>0</v>
      </c>
      <c r="BL121" s="17">
        <f t="shared" si="131"/>
        <v>24</v>
      </c>
      <c r="BM121" s="17">
        <f t="shared" si="132"/>
        <v>6</v>
      </c>
      <c r="BN121" s="62">
        <f t="shared" si="133"/>
        <v>30</v>
      </c>
      <c r="BR121" s="17">
        <f>武将升星!P114*基础状态预期!G127+G121*(K121+1)+W121+AE121</f>
        <v>0</v>
      </c>
      <c r="BS121" s="17">
        <f>武将升星!Q114*基础状态预期!H127+H121*(L121+1)+X121+AF121</f>
        <v>504</v>
      </c>
      <c r="BT121" s="17">
        <f>武将升星!R114*基础状态预期!I127+I121*(M121+1)+Y121+AG121</f>
        <v>561.17314728235363</v>
      </c>
      <c r="BU121" s="17">
        <f>武将升星!S114*基础状态预期!J127+J121*(N121+1)+Z121+AH121</f>
        <v>108</v>
      </c>
    </row>
    <row r="122" spans="2:73" x14ac:dyDescent="0.15">
      <c r="B122" s="17">
        <v>25</v>
      </c>
      <c r="C122" s="17">
        <f t="shared" si="116"/>
        <v>24</v>
      </c>
      <c r="D122" s="17">
        <v>22</v>
      </c>
      <c r="E122" s="29">
        <f>基础状态预期!C128</f>
        <v>742</v>
      </c>
      <c r="F122" s="29">
        <f>基础状态预期!D128</f>
        <v>100.71243145193914</v>
      </c>
      <c r="G122" s="29">
        <f t="shared" si="117"/>
        <v>0</v>
      </c>
      <c r="H122" s="29">
        <f t="shared" si="118"/>
        <v>0</v>
      </c>
      <c r="I122" s="29">
        <f t="shared" si="119"/>
        <v>24</v>
      </c>
      <c r="J122" s="29">
        <f t="shared" si="120"/>
        <v>0</v>
      </c>
      <c r="K122" s="29">
        <f>武将战力价值情况!G118</f>
        <v>3</v>
      </c>
      <c r="L122" s="29">
        <f>武将战力价值情况!H118</f>
        <v>6</v>
      </c>
      <c r="M122" s="29">
        <f>武将战力价值情况!I118</f>
        <v>8</v>
      </c>
      <c r="N122" s="29">
        <f>武将战力价值情况!J118</f>
        <v>8</v>
      </c>
      <c r="O122" s="41">
        <f>MAX(同名需求(G122,求节点(武将升星!$C$104:$C$112,武将升星!E$104:E$112,K122),F$2),武将数量星级阶位验证!AA118)</f>
        <v>24</v>
      </c>
      <c r="P122" s="41">
        <f>MAX(同名需求(H122,求节点(武将升星!$C$104:$C$112,武将升星!F$104:F$112,L122),G$2),武将数量星级阶位验证!AB118)</f>
        <v>120</v>
      </c>
      <c r="Q122" s="41">
        <f>MAX(同名需求(I122,求节点(武将升星!$C$104:$C$112,武将升星!G$104:G$112,M122),H$2),武将数量星级阶位验证!AC118)</f>
        <v>704</v>
      </c>
      <c r="R122" s="41">
        <f>MAX(同名需求(J122,求节点(武将升星!$C$104:$C$112,武将升星!H$104:H$112,N122),I$2),武将数量星级阶位验证!AD118)</f>
        <v>108</v>
      </c>
      <c r="S122" s="29">
        <f>MAX(基础状态预期!P128:T128)</f>
        <v>4.0284972580775653</v>
      </c>
      <c r="T122" s="29">
        <f t="shared" si="121"/>
        <v>4.0284972580775653</v>
      </c>
      <c r="U122" s="29">
        <f t="shared" si="122"/>
        <v>4.0284972580775653</v>
      </c>
      <c r="V122" s="29">
        <f t="shared" si="123"/>
        <v>4.0284972580775653</v>
      </c>
      <c r="W122" s="41">
        <f>SUMIFS(武将进阶!F$13:F$18,武将进阶!$C$13:$C$18,"&lt;="&amp;T122)*H122+武将数量星级阶位验证!Q118</f>
        <v>0</v>
      </c>
      <c r="X122" s="41">
        <f>SUMIFS(武将进阶!G$13:G$18,武将进阶!$C$13:$C$18,"&lt;="&amp;U122)*I122+武将数量星级阶位验证!R118</f>
        <v>984</v>
      </c>
      <c r="Y122" s="41">
        <f>SUMIFS(武将进阶!H$13:H$18,武将进阶!$C$13:$C$18,"&lt;="&amp;V122)*J122+武将数量星级阶位验证!S118</f>
        <v>350.54917742326961</v>
      </c>
      <c r="Z122" s="41">
        <f>SUMIFS(武将进阶!I$13:I$18,武将进阶!$C$13:$C$18,"&lt;="&amp;W122)*K122+武将数量星级阶位验证!T118</f>
        <v>0</v>
      </c>
      <c r="AA122" s="29"/>
      <c r="AB122" s="29">
        <f>求节点(基础状态预期!$AT$17:$AT$55,基础状态预期!AW$17:AW$55,各r阵容卡情况!$F122)</f>
        <v>2</v>
      </c>
      <c r="AC122" s="29">
        <f>求节点(基础状态预期!$AT$17:$AT$55,基础状态预期!AX$17:AX$55,各r阵容卡情况!$F122)</f>
        <v>2</v>
      </c>
      <c r="AD122" s="29">
        <f>求节点(基础状态预期!$AT$17:$AT$55,基础状态预期!AY$17:AY$55,各r阵容卡情况!$F122)</f>
        <v>2</v>
      </c>
      <c r="AE122" s="41">
        <f>IF(AA122&lt;1,0,(AA122-1)*武将觉醒!E$34*G122)+武将数量星级阶位验证!V118</f>
        <v>0</v>
      </c>
      <c r="AF122" s="41">
        <f>IF(AB122&lt;1,0,(AB122-1)*武将觉醒!F$34*H122)+武将数量星级阶位验证!W118</f>
        <v>0</v>
      </c>
      <c r="AG122" s="41">
        <f>IF(AC122&lt;1,0,(AC122-1)*武将觉醒!G$34*I122)+武将数量星级阶位验证!X118</f>
        <v>24</v>
      </c>
      <c r="AH122" s="41">
        <f>IF(AD122&lt;1,0,(AD122-1)*武将觉醒!H$34*J122)+武将数量星级阶位验证!Y118</f>
        <v>0</v>
      </c>
      <c r="AJ122" s="29">
        <f>MAX(W122+AE122+G122*(K122+1)+IF(武将数量星级阶位验证!L118="",0,武将数量星级阶位验证!L118)*武将升星!P115,O122)</f>
        <v>24</v>
      </c>
      <c r="AK122" s="29">
        <f>MAX(X122+AF122+H122*(L122+1)+IF(武将数量星级阶位验证!M118="",0,武将数量星级阶位验证!M118)*武将升星!Q115,P122)</f>
        <v>984</v>
      </c>
      <c r="AL122" s="64">
        <f>MAX(Y122+AG122+I122*(M122+1)+IF(武将数量星级阶位验证!N118="",0,武将数量星级阶位验证!N118)*武将升星!R115,Q122)</f>
        <v>704</v>
      </c>
      <c r="AM122" s="41">
        <f t="shared" si="124"/>
        <v>108</v>
      </c>
      <c r="AO122" s="17">
        <f>武将数量星级阶位验证!BJ118</f>
        <v>11540.366410845047</v>
      </c>
      <c r="AP122" s="17">
        <f>武将数量星级阶位验证!BK118</f>
        <v>3933.9566048179267</v>
      </c>
      <c r="AQ122" s="63">
        <f>武将数量星级阶位验证!BL118</f>
        <v>606.11854658702748</v>
      </c>
      <c r="AR122" s="17">
        <f>武将数量星级阶位验证!BM118</f>
        <v>230.17748469806699</v>
      </c>
      <c r="AT122" s="17">
        <f t="shared" si="125"/>
        <v>742</v>
      </c>
      <c r="AU122" s="17">
        <f t="shared" si="126"/>
        <v>100.71243145193914</v>
      </c>
      <c r="BA122" s="17">
        <v>6</v>
      </c>
      <c r="BB122" s="62">
        <f t="shared" si="127"/>
        <v>6</v>
      </c>
      <c r="BD122" s="17">
        <v>0</v>
      </c>
      <c r="BE122" s="17">
        <v>0</v>
      </c>
      <c r="BF122" s="17">
        <v>24</v>
      </c>
      <c r="BG122" s="17">
        <v>0</v>
      </c>
      <c r="BH122" s="62">
        <f t="shared" si="128"/>
        <v>24</v>
      </c>
      <c r="BJ122" s="17">
        <f t="shared" si="129"/>
        <v>0</v>
      </c>
      <c r="BK122" s="17">
        <f t="shared" si="130"/>
        <v>0</v>
      </c>
      <c r="BL122" s="17">
        <f t="shared" si="131"/>
        <v>24</v>
      </c>
      <c r="BM122" s="17">
        <f t="shared" si="132"/>
        <v>6</v>
      </c>
      <c r="BN122" s="62">
        <f t="shared" si="133"/>
        <v>30</v>
      </c>
      <c r="BR122" s="17">
        <f>武将升星!P115*基础状态预期!G128+G122*(K122+1)+W122+AE122</f>
        <v>0</v>
      </c>
      <c r="BS122" s="17">
        <f>武将升星!Q115*基础状态预期!H128+H122*(L122+1)+X122+AF122</f>
        <v>984</v>
      </c>
      <c r="BT122" s="17">
        <f>武将升星!R115*基础状态预期!I128+I122*(M122+1)+Y122+AG122</f>
        <v>590.54917742326961</v>
      </c>
      <c r="BU122" s="17">
        <f>武将升星!S115*基础状态预期!J128+J122*(N122+1)+Z122+AH122</f>
        <v>108</v>
      </c>
    </row>
    <row r="123" spans="2:73" x14ac:dyDescent="0.15">
      <c r="B123" s="17">
        <v>26</v>
      </c>
      <c r="C123" s="17">
        <f t="shared" si="116"/>
        <v>24</v>
      </c>
      <c r="D123" s="17">
        <v>23</v>
      </c>
      <c r="E123" s="29">
        <f>基础状态预期!C129</f>
        <v>951.99999999999989</v>
      </c>
      <c r="F123" s="29">
        <f>基础状态预期!D129</f>
        <v>104.39233713204413</v>
      </c>
      <c r="G123" s="29">
        <f t="shared" si="117"/>
        <v>0</v>
      </c>
      <c r="H123" s="29">
        <f t="shared" si="118"/>
        <v>0</v>
      </c>
      <c r="I123" s="29">
        <f t="shared" si="119"/>
        <v>24</v>
      </c>
      <c r="J123" s="29">
        <f t="shared" si="120"/>
        <v>0</v>
      </c>
      <c r="K123" s="29">
        <f>武将战力价值情况!G119</f>
        <v>3</v>
      </c>
      <c r="L123" s="29">
        <f>武将战力价值情况!H119</f>
        <v>6</v>
      </c>
      <c r="M123" s="29">
        <f>武将战力价值情况!I119</f>
        <v>8</v>
      </c>
      <c r="N123" s="29">
        <f>武将战力价值情况!J119</f>
        <v>8</v>
      </c>
      <c r="O123" s="41">
        <f>MAX(同名需求(G123,求节点(武将升星!$C$104:$C$112,武将升星!E$104:E$112,K123),F$2),武将数量星级阶位验证!AA119)</f>
        <v>24</v>
      </c>
      <c r="P123" s="41">
        <f>MAX(同名需求(H123,求节点(武将升星!$C$104:$C$112,武将升星!F$104:F$112,L123),G$2),武将数量星级阶位验证!AB119)</f>
        <v>120</v>
      </c>
      <c r="Q123" s="41">
        <f>MAX(同名需求(I123,求节点(武将升星!$C$104:$C$112,武将升星!G$104:G$112,M123),H$2),武将数量星级阶位验证!AC119)</f>
        <v>704</v>
      </c>
      <c r="R123" s="41">
        <f>MAX(同名需求(J123,求节点(武将升星!$C$104:$C$112,武将升星!H$104:H$112,N123),I$2),武将数量星级阶位验证!AD119)</f>
        <v>108</v>
      </c>
      <c r="S123" s="29">
        <f>MAX(基础状态预期!P129:T129)</f>
        <v>4.1756934852817658</v>
      </c>
      <c r="T123" s="29">
        <f t="shared" si="121"/>
        <v>4.1756934852817658</v>
      </c>
      <c r="U123" s="29">
        <f t="shared" si="122"/>
        <v>4.1756934852817658</v>
      </c>
      <c r="V123" s="29">
        <f t="shared" si="123"/>
        <v>4.1756934852817658</v>
      </c>
      <c r="W123" s="41">
        <f>SUMIFS(武将进阶!F$13:F$18,武将进阶!$C$13:$C$18,"&lt;="&amp;T123)*H123+武将数量星级阶位验证!Q119</f>
        <v>0</v>
      </c>
      <c r="X123" s="41">
        <f>SUMIFS(武将进阶!G$13:G$18,武将进阶!$C$13:$C$18,"&lt;="&amp;U123)*I123+武将数量星级阶位验证!R119</f>
        <v>984</v>
      </c>
      <c r="Y123" s="41">
        <f>SUMIFS(武将进阶!H$13:H$18,武将进阶!$C$13:$C$18,"&lt;="&amp;V123)*J123+武将数量星级阶位验证!S119</f>
        <v>394.70804558452977</v>
      </c>
      <c r="Z123" s="41">
        <f>SUMIFS(武将进阶!I$13:I$18,武将进阶!$C$13:$C$18,"&lt;="&amp;W123)*K123+武将数量星级阶位验证!T119</f>
        <v>0</v>
      </c>
      <c r="AA123" s="29"/>
      <c r="AB123" s="29">
        <f>求节点(基础状态预期!$AT$17:$AT$55,基础状态预期!AW$17:AW$55,各r阵容卡情况!$F123)</f>
        <v>2</v>
      </c>
      <c r="AC123" s="29">
        <f>求节点(基础状态预期!$AT$17:$AT$55,基础状态预期!AX$17:AX$55,各r阵容卡情况!$F123)</f>
        <v>2</v>
      </c>
      <c r="AD123" s="29">
        <f>求节点(基础状态预期!$AT$17:$AT$55,基础状态预期!AY$17:AY$55,各r阵容卡情况!$F123)</f>
        <v>2</v>
      </c>
      <c r="AE123" s="41">
        <f>IF(AA123&lt;1,0,(AA123-1)*武将觉醒!E$34*G123)+武将数量星级阶位验证!V119</f>
        <v>0</v>
      </c>
      <c r="AF123" s="41">
        <f>IF(AB123&lt;1,0,(AB123-1)*武将觉醒!F$34*H123)+武将数量星级阶位验证!W119</f>
        <v>0</v>
      </c>
      <c r="AG123" s="41">
        <f>IF(AC123&lt;1,0,(AC123-1)*武将觉醒!G$34*I123)+武将数量星级阶位验证!X119</f>
        <v>24</v>
      </c>
      <c r="AH123" s="41">
        <f>IF(AD123&lt;1,0,(AD123-1)*武将觉醒!H$34*J123)+武将数量星级阶位验证!Y119</f>
        <v>0</v>
      </c>
      <c r="AJ123" s="29">
        <f>MAX(W123+AE123+G123*(K123+1)+IF(武将数量星级阶位验证!L119="",0,武将数量星级阶位验证!L119)*武将升星!P116,O123)</f>
        <v>24</v>
      </c>
      <c r="AK123" s="29">
        <f>MAX(X123+AF123+H123*(L123+1)+IF(武将数量星级阶位验证!M119="",0,武将数量星级阶位验证!M119)*武将升星!Q116,P123)</f>
        <v>984</v>
      </c>
      <c r="AL123" s="64">
        <f>MAX(Y123+AG123+I123*(M123+1)+IF(武将数量星级阶位验证!N119="",0,武将数量星级阶位验证!N119)*武将升星!R116,Q123)</f>
        <v>704</v>
      </c>
      <c r="AM123" s="41">
        <f t="shared" si="124"/>
        <v>108</v>
      </c>
      <c r="AO123" s="17">
        <f>武将数量星级阶位验证!BJ119</f>
        <v>14545.075696974891</v>
      </c>
      <c r="AP123" s="17">
        <f>武将数量星级阶位验证!BK119</f>
        <v>4930.961624347573</v>
      </c>
      <c r="AQ123" s="63">
        <f>武将数量星级阶位验证!BL119</f>
        <v>750.41929951647444</v>
      </c>
      <c r="AR123" s="17">
        <f>武将数量星级阶位验证!BM119</f>
        <v>291.55793645573522</v>
      </c>
      <c r="AT123" s="17">
        <f t="shared" si="125"/>
        <v>951.99999999999989</v>
      </c>
      <c r="AU123" s="17">
        <f t="shared" si="126"/>
        <v>104.39233713204413</v>
      </c>
      <c r="BA123" s="17">
        <v>6</v>
      </c>
      <c r="BB123" s="62">
        <f t="shared" si="127"/>
        <v>6</v>
      </c>
      <c r="BD123" s="17">
        <v>0</v>
      </c>
      <c r="BE123" s="17">
        <v>0</v>
      </c>
      <c r="BF123" s="17">
        <v>24</v>
      </c>
      <c r="BG123" s="17">
        <v>0</v>
      </c>
      <c r="BH123" s="62">
        <f t="shared" si="128"/>
        <v>24</v>
      </c>
      <c r="BJ123" s="17">
        <f t="shared" si="129"/>
        <v>0</v>
      </c>
      <c r="BK123" s="17">
        <f t="shared" si="130"/>
        <v>0</v>
      </c>
      <c r="BL123" s="17">
        <f t="shared" si="131"/>
        <v>24</v>
      </c>
      <c r="BM123" s="17">
        <f t="shared" si="132"/>
        <v>6</v>
      </c>
      <c r="BN123" s="62">
        <f t="shared" si="133"/>
        <v>30</v>
      </c>
      <c r="BR123" s="17">
        <f>武将升星!P116*基础状态预期!G129+G123*(K123+1)+W123+AE123</f>
        <v>0</v>
      </c>
      <c r="BS123" s="17">
        <f>武将升星!Q116*基础状态预期!H129+H123*(L123+1)+X123+AF123</f>
        <v>984</v>
      </c>
      <c r="BT123" s="17">
        <f>武将升星!R116*基础状态预期!I129+I123*(M123+1)+Y123+AG123</f>
        <v>634.70804558452983</v>
      </c>
      <c r="BU123" s="17">
        <f>武将升星!S116*基础状态预期!J129+J123*(N123+1)+Z123+AH123</f>
        <v>108</v>
      </c>
    </row>
    <row r="124" spans="2:73" x14ac:dyDescent="0.15">
      <c r="B124" s="17">
        <v>27</v>
      </c>
      <c r="C124" s="17">
        <f t="shared" si="116"/>
        <v>24</v>
      </c>
      <c r="D124" s="17">
        <v>24</v>
      </c>
      <c r="E124" s="29">
        <f>基础状态预期!C130</f>
        <v>1204</v>
      </c>
      <c r="F124" s="29">
        <f>基础状态预期!D130</f>
        <v>107.81562240612369</v>
      </c>
      <c r="G124" s="29">
        <f t="shared" si="117"/>
        <v>0</v>
      </c>
      <c r="H124" s="29">
        <f t="shared" si="118"/>
        <v>0</v>
      </c>
      <c r="I124" s="29">
        <f t="shared" si="119"/>
        <v>24</v>
      </c>
      <c r="J124" s="29">
        <f t="shared" si="120"/>
        <v>0</v>
      </c>
      <c r="K124" s="29">
        <f>武将战力价值情况!G120</f>
        <v>3</v>
      </c>
      <c r="L124" s="29">
        <f>武将战力价值情况!H120</f>
        <v>6</v>
      </c>
      <c r="M124" s="29">
        <f>武将战力价值情况!I120</f>
        <v>8</v>
      </c>
      <c r="N124" s="29">
        <f>武将战力价值情况!J120</f>
        <v>8</v>
      </c>
      <c r="O124" s="41">
        <f>MAX(同名需求(G124,求节点(武将升星!$C$104:$C$112,武将升星!E$104:E$112,K124),F$2),武将数量星级阶位验证!AA120)</f>
        <v>24</v>
      </c>
      <c r="P124" s="41">
        <f>MAX(同名需求(H124,求节点(武将升星!$C$104:$C$112,武将升星!F$104:F$112,L124),G$2),武将数量星级阶位验证!AB120)</f>
        <v>120</v>
      </c>
      <c r="Q124" s="41">
        <f>MAX(同名需求(I124,求节点(武将升星!$C$104:$C$112,武将升星!G$104:G$112,M124),H$2),武将数量星级阶位验证!AC120)</f>
        <v>704</v>
      </c>
      <c r="R124" s="41">
        <f>MAX(同名需求(J124,求节点(武将升星!$C$104:$C$112,武将升星!H$104:H$112,N124),I$2),武将数量星级阶位验证!AD120)</f>
        <v>108</v>
      </c>
      <c r="S124" s="29">
        <f>MAX(基础状态预期!P130:T130)</f>
        <v>4.312624896244948</v>
      </c>
      <c r="T124" s="29">
        <f t="shared" si="121"/>
        <v>4.312624896244948</v>
      </c>
      <c r="U124" s="29">
        <f t="shared" si="122"/>
        <v>4.312624896244948</v>
      </c>
      <c r="V124" s="29">
        <f t="shared" si="123"/>
        <v>4.312624896244948</v>
      </c>
      <c r="W124" s="41">
        <f>SUMIFS(武将进阶!F$13:F$18,武将进阶!$C$13:$C$18,"&lt;="&amp;T124)*H124+武将数量星级阶位验证!Q120</f>
        <v>0</v>
      </c>
      <c r="X124" s="41">
        <f>SUMIFS(武将进阶!G$13:G$18,武将进阶!$C$13:$C$18,"&lt;="&amp;U124)*I124+武将数量星级阶位验证!R120</f>
        <v>984</v>
      </c>
      <c r="Y124" s="41">
        <f>SUMIFS(武将进阶!H$13:H$18,武将进阶!$C$13:$C$18,"&lt;="&amp;V124)*J124+武将数量星级阶位验证!S120</f>
        <v>435.78746887348439</v>
      </c>
      <c r="Z124" s="41">
        <f>SUMIFS(武将进阶!I$13:I$18,武将进阶!$C$13:$C$18,"&lt;="&amp;W124)*K124+武将数量星级阶位验证!T120</f>
        <v>0</v>
      </c>
      <c r="AA124" s="29"/>
      <c r="AB124" s="29">
        <f>求节点(基础状态预期!$AT$17:$AT$55,基础状态预期!AW$17:AW$55,各r阵容卡情况!$F124)</f>
        <v>2</v>
      </c>
      <c r="AC124" s="29">
        <f>求节点(基础状态预期!$AT$17:$AT$55,基础状态预期!AX$17:AX$55,各r阵容卡情况!$F124)</f>
        <v>2</v>
      </c>
      <c r="AD124" s="29">
        <f>求节点(基础状态预期!$AT$17:$AT$55,基础状态预期!AY$17:AY$55,各r阵容卡情况!$F124)</f>
        <v>2</v>
      </c>
      <c r="AE124" s="41">
        <f>IF(AA124&lt;1,0,(AA124-1)*武将觉醒!E$34*G124)+武将数量星级阶位验证!V120</f>
        <v>0</v>
      </c>
      <c r="AF124" s="41">
        <f>IF(AB124&lt;1,0,(AB124-1)*武将觉醒!F$34*H124)+武将数量星级阶位验证!W120</f>
        <v>0</v>
      </c>
      <c r="AG124" s="41">
        <f>IF(AC124&lt;1,0,(AC124-1)*武将觉醒!G$34*I124)+武将数量星级阶位验证!X120</f>
        <v>24</v>
      </c>
      <c r="AH124" s="41">
        <f>IF(AD124&lt;1,0,(AD124-1)*武将觉醒!H$34*J124)+武将数量星级阶位验证!Y120</f>
        <v>0</v>
      </c>
      <c r="AJ124" s="29">
        <f>MAX(W124+AE124+G124*(K124+1)+IF(武将数量星级阶位验证!L120="",0,武将数量星级阶位验证!L120)*武将升星!P117,O124)</f>
        <v>24</v>
      </c>
      <c r="AK124" s="29">
        <f>MAX(X124+AF124+H124*(L124+1)+IF(武将数量星级阶位验证!M120="",0,武将数量星级阶位验证!M120)*武将升星!Q117,P124)</f>
        <v>984</v>
      </c>
      <c r="AL124" s="64">
        <f>MAX(Y124+AG124+I124*(M124+1)+IF(武将数量星级阶位验证!N120="",0,武将数量星级阶位验证!N120)*武将升星!R117,Q124)</f>
        <v>704</v>
      </c>
      <c r="AM124" s="41">
        <f t="shared" si="124"/>
        <v>108</v>
      </c>
      <c r="AO124" s="17">
        <f>武将数量星级阶位验证!BJ120</f>
        <v>18131.567957140123</v>
      </c>
      <c r="AP124" s="17">
        <f>武将数量星级阶位验证!BK120</f>
        <v>6117.0114947071579</v>
      </c>
      <c r="AQ124" s="63">
        <f>武将数量星级阶位验证!BL120</f>
        <v>922.02678007041209</v>
      </c>
      <c r="AR124" s="17">
        <f>武将数量星级阶位验证!BM120</f>
        <v>364.28242478809779</v>
      </c>
      <c r="AT124" s="17">
        <f t="shared" si="125"/>
        <v>1204</v>
      </c>
      <c r="AU124" s="17">
        <f t="shared" si="126"/>
        <v>107.81562240612369</v>
      </c>
      <c r="BA124" s="17">
        <v>6</v>
      </c>
      <c r="BB124" s="62">
        <f t="shared" si="127"/>
        <v>6</v>
      </c>
      <c r="BD124" s="17">
        <v>0</v>
      </c>
      <c r="BE124" s="17">
        <v>0</v>
      </c>
      <c r="BF124" s="17">
        <v>24</v>
      </c>
      <c r="BG124" s="17">
        <v>0</v>
      </c>
      <c r="BH124" s="62">
        <f t="shared" si="128"/>
        <v>24</v>
      </c>
      <c r="BJ124" s="17">
        <f t="shared" si="129"/>
        <v>0</v>
      </c>
      <c r="BK124" s="17">
        <f t="shared" si="130"/>
        <v>0</v>
      </c>
      <c r="BL124" s="17">
        <f t="shared" si="131"/>
        <v>24</v>
      </c>
      <c r="BM124" s="17">
        <f t="shared" si="132"/>
        <v>6</v>
      </c>
      <c r="BN124" s="62">
        <f t="shared" si="133"/>
        <v>30</v>
      </c>
      <c r="BR124" s="17">
        <f>武将升星!P117*基础状态预期!G130+G124*(K124+1)+W124+AE124</f>
        <v>0</v>
      </c>
      <c r="BS124" s="17">
        <f>武将升星!Q117*基础状态预期!H130+H124*(L124+1)+X124+AF124</f>
        <v>984</v>
      </c>
      <c r="BT124" s="17">
        <f>武将升星!R117*基础状态预期!I130+I124*(M124+1)+Y124+AG124</f>
        <v>675.78746887348439</v>
      </c>
      <c r="BU124" s="17">
        <f>武将升星!S117*基础状态预期!J130+J124*(N124+1)+Z124+AH124</f>
        <v>108</v>
      </c>
    </row>
    <row r="125" spans="2:73" x14ac:dyDescent="0.15">
      <c r="B125" s="17">
        <v>28</v>
      </c>
      <c r="C125" s="17">
        <f t="shared" si="116"/>
        <v>24</v>
      </c>
      <c r="D125" s="17">
        <v>25</v>
      </c>
      <c r="E125" s="29">
        <f>基础状态预期!C131</f>
        <v>1540</v>
      </c>
      <c r="F125" s="29">
        <f>基础状态预期!D131</f>
        <v>111.36292001894914</v>
      </c>
      <c r="G125" s="29">
        <f t="shared" si="117"/>
        <v>0</v>
      </c>
      <c r="H125" s="29">
        <f t="shared" si="118"/>
        <v>0</v>
      </c>
      <c r="I125" s="29">
        <f t="shared" si="119"/>
        <v>24</v>
      </c>
      <c r="J125" s="29">
        <f t="shared" si="120"/>
        <v>0</v>
      </c>
      <c r="K125" s="29">
        <f>武将战力价值情况!G121</f>
        <v>3</v>
      </c>
      <c r="L125" s="29">
        <f>武将战力价值情况!H121</f>
        <v>6</v>
      </c>
      <c r="M125" s="29">
        <f>武将战力价值情况!I121</f>
        <v>8</v>
      </c>
      <c r="N125" s="29">
        <f>武将战力价值情况!J121</f>
        <v>8</v>
      </c>
      <c r="O125" s="41">
        <f>MAX(同名需求(G125,求节点(武将升星!$C$104:$C$112,武将升星!E$104:E$112,K125),F$2),武将数量星级阶位验证!AA121)</f>
        <v>24</v>
      </c>
      <c r="P125" s="41">
        <f>MAX(同名需求(H125,求节点(武将升星!$C$104:$C$112,武将升星!F$104:F$112,L125),G$2),武将数量星级阶位验证!AB121)</f>
        <v>120</v>
      </c>
      <c r="Q125" s="41">
        <f>MAX(同名需求(I125,求节点(武将升星!$C$104:$C$112,武将升星!G$104:G$112,M125),H$2),武将数量星级阶位验证!AC121)</f>
        <v>704</v>
      </c>
      <c r="R125" s="41">
        <f>MAX(同名需求(J125,求节点(武将升星!$C$104:$C$112,武将升星!H$104:H$112,N125),I$2),武将数量星级阶位验证!AD121)</f>
        <v>108</v>
      </c>
      <c r="S125" s="29">
        <f>MAX(基础状态预期!P131:T131)</f>
        <v>4.4545168007579656</v>
      </c>
      <c r="T125" s="29">
        <f t="shared" si="121"/>
        <v>4.4545168007579656</v>
      </c>
      <c r="U125" s="29">
        <f t="shared" si="122"/>
        <v>4.4545168007579656</v>
      </c>
      <c r="V125" s="29">
        <f t="shared" si="123"/>
        <v>4.4545168007579656</v>
      </c>
      <c r="W125" s="41">
        <f>SUMIFS(武将进阶!F$13:F$18,武将进阶!$C$13:$C$18,"&lt;="&amp;T125)*H125+武将数量星级阶位验证!Q121</f>
        <v>0</v>
      </c>
      <c r="X125" s="41">
        <f>SUMIFS(武将进阶!G$13:G$18,武将进阶!$C$13:$C$18,"&lt;="&amp;U125)*I125+武将数量星级阶位验证!R121</f>
        <v>984</v>
      </c>
      <c r="Y125" s="41">
        <f>SUMIFS(武将进阶!H$13:H$18,武将进阶!$C$13:$C$18,"&lt;="&amp;V125)*J125+武将数量星级阶位验证!S121</f>
        <v>478.35504022738968</v>
      </c>
      <c r="Z125" s="41">
        <f>SUMIFS(武将进阶!I$13:I$18,武将进阶!$C$13:$C$18,"&lt;="&amp;W125)*K125+武将数量星级阶位验证!T121</f>
        <v>0</v>
      </c>
      <c r="AA125" s="29"/>
      <c r="AB125" s="29">
        <f>求节点(基础状态预期!$AT$17:$AT$55,基础状态预期!AW$17:AW$55,各r阵容卡情况!$F125)</f>
        <v>2</v>
      </c>
      <c r="AC125" s="29">
        <f>求节点(基础状态预期!$AT$17:$AT$55,基础状态预期!AX$17:AX$55,各r阵容卡情况!$F125)</f>
        <v>2</v>
      </c>
      <c r="AD125" s="29">
        <f>求节点(基础状态预期!$AT$17:$AT$55,基础状态预期!AY$17:AY$55,各r阵容卡情况!$F125)</f>
        <v>2</v>
      </c>
      <c r="AE125" s="41">
        <f>IF(AA125&lt;1,0,(AA125-1)*武将觉醒!E$34*G125)+武将数量星级阶位验证!V121</f>
        <v>0</v>
      </c>
      <c r="AF125" s="41">
        <f>IF(AB125&lt;1,0,(AB125-1)*武将觉醒!F$34*H125)+武将数量星级阶位验证!W121</f>
        <v>0</v>
      </c>
      <c r="AG125" s="41">
        <f>IF(AC125&lt;1,0,(AC125-1)*武将觉醒!G$34*I125)+武将数量星级阶位验证!X121</f>
        <v>24</v>
      </c>
      <c r="AH125" s="41">
        <f>IF(AD125&lt;1,0,(AD125-1)*武将觉醒!H$34*J125)+武将数量星级阶位验证!Y121</f>
        <v>0</v>
      </c>
      <c r="AJ125" s="29">
        <f>MAX(W125+AE125+G125*(K125+1)+IF(武将数量星级阶位验证!L121="",0,武将数量星级阶位验证!L121)*武将升星!P118,O125)</f>
        <v>24</v>
      </c>
      <c r="AK125" s="29">
        <f>MAX(X125+AF125+H125*(L125+1)+IF(武将数量星级阶位验证!M121="",0,武将数量星级阶位验证!M121)*武将升星!Q118,P125)</f>
        <v>984</v>
      </c>
      <c r="AL125" s="64">
        <f>MAX(Y125+AG125+I125*(M125+1)+IF(武将数量星级阶位验证!N121="",0,武将数量星级阶位验证!N121)*武将升星!R118,Q125)</f>
        <v>718.35504022738974</v>
      </c>
      <c r="AM125" s="41">
        <f t="shared" si="124"/>
        <v>108</v>
      </c>
      <c r="AO125" s="17">
        <f>武将数量星级阶位验证!BJ121</f>
        <v>22867.167839645692</v>
      </c>
      <c r="AP125" s="17">
        <f>武将数量星级阶位验证!BK121</f>
        <v>7673.3357555209768</v>
      </c>
      <c r="AQ125" s="63">
        <f>武将数量星级阶位验证!BL121</f>
        <v>1147.0754191924848</v>
      </c>
      <c r="AR125" s="17">
        <f>武将数量星级阶位验证!BM121</f>
        <v>458.99160826134147</v>
      </c>
      <c r="AT125" s="17">
        <f t="shared" si="125"/>
        <v>1540</v>
      </c>
      <c r="AU125" s="17">
        <f t="shared" si="126"/>
        <v>111.36292001894914</v>
      </c>
      <c r="BA125" s="17">
        <v>6</v>
      </c>
      <c r="BB125" s="62">
        <f t="shared" si="127"/>
        <v>6</v>
      </c>
      <c r="BD125" s="17">
        <v>0</v>
      </c>
      <c r="BE125" s="17">
        <v>0</v>
      </c>
      <c r="BF125" s="17">
        <v>24</v>
      </c>
      <c r="BG125" s="17">
        <v>0</v>
      </c>
      <c r="BH125" s="62">
        <f t="shared" si="128"/>
        <v>24</v>
      </c>
      <c r="BJ125" s="17">
        <f t="shared" si="129"/>
        <v>0</v>
      </c>
      <c r="BK125" s="17">
        <f t="shared" si="130"/>
        <v>0</v>
      </c>
      <c r="BL125" s="17">
        <f t="shared" si="131"/>
        <v>24</v>
      </c>
      <c r="BM125" s="17">
        <f t="shared" si="132"/>
        <v>6</v>
      </c>
      <c r="BN125" s="62">
        <f t="shared" si="133"/>
        <v>30</v>
      </c>
      <c r="BR125" s="17">
        <f>武将升星!P118*基础状态预期!G131+G125*(K125+1)+W125+AE125</f>
        <v>0</v>
      </c>
      <c r="BS125" s="17">
        <f>武将升星!Q118*基础状态预期!H131+H125*(L125+1)+X125+AF125</f>
        <v>984</v>
      </c>
      <c r="BT125" s="17">
        <f>武将升星!R118*基础状态预期!I131+I125*(M125+1)+Y125+AG125</f>
        <v>718.35504022738974</v>
      </c>
      <c r="BU125" s="17">
        <f>武将升星!S118*基础状态预期!J131+J125*(N125+1)+Z125+AH125</f>
        <v>108</v>
      </c>
    </row>
    <row r="126" spans="2:73" x14ac:dyDescent="0.15">
      <c r="B126" s="17">
        <v>29</v>
      </c>
      <c r="C126" s="17">
        <f t="shared" si="116"/>
        <v>24</v>
      </c>
      <c r="D126" s="17">
        <v>26</v>
      </c>
      <c r="E126" s="29">
        <f>基础状态预期!C132</f>
        <v>1959.9999999999998</v>
      </c>
      <c r="F126" s="29">
        <f>基础状态预期!D132</f>
        <v>114.91934497223426</v>
      </c>
      <c r="G126" s="29">
        <f t="shared" si="117"/>
        <v>0</v>
      </c>
      <c r="H126" s="29">
        <f t="shared" si="118"/>
        <v>0</v>
      </c>
      <c r="I126" s="29">
        <f t="shared" si="119"/>
        <v>24</v>
      </c>
      <c r="J126" s="29">
        <f t="shared" si="120"/>
        <v>0</v>
      </c>
      <c r="K126" s="29">
        <f>武将战力价值情况!G122</f>
        <v>3</v>
      </c>
      <c r="L126" s="29">
        <f>武将战力价值情况!H122</f>
        <v>6</v>
      </c>
      <c r="M126" s="29">
        <f>武将战力价值情况!I122</f>
        <v>8</v>
      </c>
      <c r="N126" s="29">
        <f>武将战力价值情况!J122</f>
        <v>8</v>
      </c>
      <c r="O126" s="41">
        <f>MAX(同名需求(G126,求节点(武将升星!$C$104:$C$112,武将升星!E$104:E$112,K126),F$2),武将数量星级阶位验证!AA122)</f>
        <v>24</v>
      </c>
      <c r="P126" s="41">
        <f>MAX(同名需求(H126,求节点(武将升星!$C$104:$C$112,武将升星!F$104:F$112,L126),G$2),武将数量星级阶位验证!AB122)</f>
        <v>120</v>
      </c>
      <c r="Q126" s="41">
        <f>MAX(同名需求(I126,求节点(武将升星!$C$104:$C$112,武将升星!G$104:G$112,M126),H$2),武将数量星级阶位验证!AC122)</f>
        <v>704</v>
      </c>
      <c r="R126" s="41">
        <f>MAX(同名需求(J126,求节点(武将升星!$C$104:$C$112,武将升星!H$104:H$112,N126),I$2),武将数量星级阶位验证!AD122)</f>
        <v>108</v>
      </c>
      <c r="S126" s="29">
        <f>MAX(基础状态预期!P132:T132)</f>
        <v>4.5967737988893704</v>
      </c>
      <c r="T126" s="29">
        <f t="shared" si="121"/>
        <v>4.5967737988893704</v>
      </c>
      <c r="U126" s="29">
        <f t="shared" si="122"/>
        <v>4.5967737988893704</v>
      </c>
      <c r="V126" s="29">
        <f t="shared" si="123"/>
        <v>4.5967737988893704</v>
      </c>
      <c r="W126" s="41">
        <f>SUMIFS(武将进阶!F$13:F$18,武将进阶!$C$13:$C$18,"&lt;="&amp;T126)*H126+武将数量星级阶位验证!Q122</f>
        <v>0</v>
      </c>
      <c r="X126" s="41">
        <f>SUMIFS(武将进阶!G$13:G$18,武将进阶!$C$13:$C$18,"&lt;="&amp;U126)*I126+武将数量星级阶位验证!R122</f>
        <v>984</v>
      </c>
      <c r="Y126" s="41">
        <f>SUMIFS(武将进阶!H$13:H$18,武将进阶!$C$13:$C$18,"&lt;="&amp;V126)*J126+武将数量星级阶位验证!S122</f>
        <v>521.03213966681108</v>
      </c>
      <c r="Z126" s="41">
        <f>SUMIFS(武将进阶!I$13:I$18,武将进阶!$C$13:$C$18,"&lt;="&amp;W126)*K126+武将数量星级阶位验证!T122</f>
        <v>0</v>
      </c>
      <c r="AA126" s="29"/>
      <c r="AB126" s="29">
        <f>求节点(基础状态预期!$AT$17:$AT$55,基础状态预期!AW$17:AW$55,各r阵容卡情况!$F126)</f>
        <v>2</v>
      </c>
      <c r="AC126" s="29">
        <f>求节点(基础状态预期!$AT$17:$AT$55,基础状态预期!AX$17:AX$55,各r阵容卡情况!$F126)</f>
        <v>2</v>
      </c>
      <c r="AD126" s="29">
        <f>求节点(基础状态预期!$AT$17:$AT$55,基础状态预期!AY$17:AY$55,各r阵容卡情况!$F126)</f>
        <v>2</v>
      </c>
      <c r="AE126" s="41">
        <f>IF(AA126&lt;1,0,(AA126-1)*武将觉醒!E$34*G126)+武将数量星级阶位验证!V122</f>
        <v>0</v>
      </c>
      <c r="AF126" s="41">
        <f>IF(AB126&lt;1,0,(AB126-1)*武将觉醒!F$34*H126)+武将数量星级阶位验证!W122</f>
        <v>0</v>
      </c>
      <c r="AG126" s="41">
        <f>IF(AC126&lt;1,0,(AC126-1)*武将觉醒!G$34*I126)+武将数量星级阶位验证!X122</f>
        <v>24</v>
      </c>
      <c r="AH126" s="41">
        <f>IF(AD126&lt;1,0,(AD126-1)*武将觉醒!H$34*J126)+武将数量星级阶位验证!Y122</f>
        <v>0</v>
      </c>
      <c r="AJ126" s="29">
        <f>MAX(W126+AE126+G126*(K126+1)+IF(武将数量星级阶位验证!L122="",0,武将数量星级阶位验证!L122)*武将升星!P119,O126)</f>
        <v>24</v>
      </c>
      <c r="AK126" s="29">
        <f>MAX(X126+AF126+H126*(L126+1)+IF(武将数量星级阶位验证!M122="",0,武将数量星级阶位验证!M122)*武将升星!Q119,P126)</f>
        <v>984</v>
      </c>
      <c r="AL126" s="64">
        <f>MAX(Y126+AG126+I126*(M126+1)+IF(武将数量星级阶位验证!N122="",0,武将数量星级阶位验证!N122)*武将升星!R119,Q126)</f>
        <v>761.03213966681108</v>
      </c>
      <c r="AM126" s="41">
        <f t="shared" si="124"/>
        <v>108</v>
      </c>
      <c r="AO126" s="17">
        <f>武将数量星级阶位验证!BJ122</f>
        <v>28714.205938138446</v>
      </c>
      <c r="AP126" s="17">
        <f>武将数量星级阶位验证!BK122</f>
        <v>9579.5725655170609</v>
      </c>
      <c r="AQ126" s="63">
        <f>武将数量星级阶位验证!BL122</f>
        <v>1422.5109406918975</v>
      </c>
      <c r="AR126" s="17">
        <f>武将数量星级阶位验证!BM122</f>
        <v>573.85292116098901</v>
      </c>
      <c r="AT126" s="17">
        <f t="shared" si="125"/>
        <v>1959.9999999999998</v>
      </c>
      <c r="AU126" s="17">
        <f t="shared" si="126"/>
        <v>114.91934497223426</v>
      </c>
      <c r="BA126" s="17">
        <v>6</v>
      </c>
      <c r="BB126" s="62">
        <f t="shared" si="127"/>
        <v>6</v>
      </c>
      <c r="BD126" s="17">
        <v>0</v>
      </c>
      <c r="BE126" s="17">
        <v>0</v>
      </c>
      <c r="BF126" s="17">
        <v>24</v>
      </c>
      <c r="BG126" s="17">
        <v>0</v>
      </c>
      <c r="BH126" s="62">
        <f t="shared" si="128"/>
        <v>24</v>
      </c>
      <c r="BJ126" s="17">
        <f t="shared" si="129"/>
        <v>0</v>
      </c>
      <c r="BK126" s="17">
        <f t="shared" si="130"/>
        <v>0</v>
      </c>
      <c r="BL126" s="17">
        <f t="shared" si="131"/>
        <v>24</v>
      </c>
      <c r="BM126" s="17">
        <f t="shared" si="132"/>
        <v>6</v>
      </c>
      <c r="BN126" s="62">
        <f t="shared" si="133"/>
        <v>30</v>
      </c>
      <c r="BR126" s="17">
        <f>武将升星!P119*基础状态预期!G132+G126*(K126+1)+W126+AE126</f>
        <v>0</v>
      </c>
      <c r="BS126" s="17">
        <f>武将升星!Q119*基础状态预期!H132+H126*(L126+1)+X126+AF126</f>
        <v>984</v>
      </c>
      <c r="BT126" s="17">
        <f>武将升星!R119*基础状态预期!I132+I126*(M126+1)+Y126+AG126</f>
        <v>761.03213966681108</v>
      </c>
      <c r="BU126" s="17">
        <f>武将升星!S119*基础状态预期!J132+J126*(N126+1)+Z126+AH126</f>
        <v>108</v>
      </c>
    </row>
    <row r="127" spans="2:73" x14ac:dyDescent="0.15">
      <c r="B127" s="17">
        <v>30</v>
      </c>
      <c r="C127" s="17">
        <f t="shared" si="116"/>
        <v>24</v>
      </c>
      <c r="D127" s="17">
        <v>27</v>
      </c>
      <c r="E127" s="29">
        <f>基础状态预期!C133</f>
        <v>2506</v>
      </c>
      <c r="F127" s="29">
        <f>基础状态预期!D133</f>
        <v>118.44741987029688</v>
      </c>
      <c r="G127" s="29">
        <f t="shared" si="117"/>
        <v>0</v>
      </c>
      <c r="H127" s="29">
        <f t="shared" si="118"/>
        <v>0</v>
      </c>
      <c r="I127" s="29">
        <f t="shared" si="119"/>
        <v>24</v>
      </c>
      <c r="J127" s="29">
        <f t="shared" si="120"/>
        <v>0</v>
      </c>
      <c r="K127" s="29">
        <f>武将战力价值情况!G123</f>
        <v>3</v>
      </c>
      <c r="L127" s="29">
        <f>武将战力价值情况!H123</f>
        <v>6</v>
      </c>
      <c r="M127" s="29">
        <f>武将战力价值情况!I123</f>
        <v>8</v>
      </c>
      <c r="N127" s="29">
        <f>武将战力价值情况!J123</f>
        <v>8</v>
      </c>
      <c r="O127" s="41">
        <f>MAX(同名需求(G127,求节点(武将升星!$C$104:$C$112,武将升星!E$104:E$112,K127),F$2),武将数量星级阶位验证!AA123)</f>
        <v>24</v>
      </c>
      <c r="P127" s="41">
        <f>MAX(同名需求(H127,求节点(武将升星!$C$104:$C$112,武将升星!F$104:F$112,L127),G$2),武将数量星级阶位验证!AB123)</f>
        <v>120</v>
      </c>
      <c r="Q127" s="41">
        <f>MAX(同名需求(I127,求节点(武将升星!$C$104:$C$112,武将升星!G$104:G$112,M127),H$2),武将数量星级阶位验证!AC123)</f>
        <v>704</v>
      </c>
      <c r="R127" s="41">
        <f>MAX(同名需求(J127,求节点(武将升星!$C$104:$C$112,武将升星!H$104:H$112,N127),I$2),武将数量星级阶位验证!AD123)</f>
        <v>108</v>
      </c>
      <c r="S127" s="29">
        <f>MAX(基础状态预期!P133:T133)</f>
        <v>4.7378967948118751</v>
      </c>
      <c r="T127" s="29">
        <f t="shared" si="121"/>
        <v>4.7378967948118751</v>
      </c>
      <c r="U127" s="29">
        <f t="shared" si="122"/>
        <v>4.7378967948118751</v>
      </c>
      <c r="V127" s="29">
        <f t="shared" si="123"/>
        <v>4.7378967948118751</v>
      </c>
      <c r="W127" s="41">
        <f>SUMIFS(武将进阶!F$13:F$18,武将进阶!$C$13:$C$18,"&lt;="&amp;T127)*H127+武将数量星级阶位验证!Q123</f>
        <v>0</v>
      </c>
      <c r="X127" s="41">
        <f>SUMIFS(武将进阶!G$13:G$18,武将进阶!$C$13:$C$18,"&lt;="&amp;U127)*I127+武将数量星级阶位验证!R123</f>
        <v>984</v>
      </c>
      <c r="Y127" s="41">
        <f>SUMIFS(武将进阶!H$13:H$18,武将进阶!$C$13:$C$18,"&lt;="&amp;V127)*J127+武将数量星级阶位验证!S123</f>
        <v>563.36903844356254</v>
      </c>
      <c r="Z127" s="41">
        <f>SUMIFS(武将进阶!I$13:I$18,武将进阶!$C$13:$C$18,"&lt;="&amp;W127)*K127+武将数量星级阶位验证!T123</f>
        <v>0</v>
      </c>
      <c r="AA127" s="29"/>
      <c r="AB127" s="29">
        <f>求节点(基础状态预期!$AT$17:$AT$55,基础状态预期!AW$17:AW$55,各r阵容卡情况!$F127)</f>
        <v>2</v>
      </c>
      <c r="AC127" s="29">
        <f>求节点(基础状态预期!$AT$17:$AT$55,基础状态预期!AX$17:AX$55,各r阵容卡情况!$F127)</f>
        <v>2</v>
      </c>
      <c r="AD127" s="29">
        <f>求节点(基础状态预期!$AT$17:$AT$55,基础状态预期!AY$17:AY$55,各r阵容卡情况!$F127)</f>
        <v>2</v>
      </c>
      <c r="AE127" s="41">
        <f>IF(AA127&lt;1,0,(AA127-1)*武将觉醒!E$34*G127)+武将数量星级阶位验证!V123</f>
        <v>0</v>
      </c>
      <c r="AF127" s="41">
        <f>IF(AB127&lt;1,0,(AB127-1)*武将觉醒!F$34*H127)+武将数量星级阶位验证!W123</f>
        <v>0</v>
      </c>
      <c r="AG127" s="41">
        <f>IF(AC127&lt;1,0,(AC127-1)*武将觉醒!G$34*I127)+武将数量星级阶位验证!X123</f>
        <v>24</v>
      </c>
      <c r="AH127" s="41">
        <f>IF(AD127&lt;1,0,(AD127-1)*武将觉醒!H$34*J127)+武将数量星级阶位验证!Y123</f>
        <v>0</v>
      </c>
      <c r="AJ127" s="29">
        <f>MAX(W127+AE127+G127*(K127+1)+IF(武将数量星级阶位验证!L123="",0,武将数量星级阶位验证!L123)*武将升星!P120,O127)</f>
        <v>24</v>
      </c>
      <c r="AK127" s="29">
        <f>MAX(X127+AF127+H127*(L127+1)+IF(武将数量星级阶位验证!M123="",0,武将数量星级阶位验证!M123)*武将升星!Q120,P127)</f>
        <v>984</v>
      </c>
      <c r="AL127" s="64">
        <f>MAX(Y127+AG127+I127*(M127+1)+IF(武将数量星级阶位验证!N123="",0,武将数量星级阶位验证!N123)*武将升星!R120,Q127)</f>
        <v>803.36903844356254</v>
      </c>
      <c r="AM127" s="41">
        <f t="shared" si="124"/>
        <v>108</v>
      </c>
      <c r="AO127" s="17">
        <f>武将数量星级阶位验证!BJ123</f>
        <v>36286.01401895874</v>
      </c>
      <c r="AP127" s="17">
        <f>武将数量星级阶位验证!BK123</f>
        <v>12041.820176771271</v>
      </c>
      <c r="AQ127" s="63">
        <f>武将数量星级阶位验证!BL123</f>
        <v>1778.1980823800291</v>
      </c>
      <c r="AR127" s="17">
        <f>武将数量星级阶位验证!BM123</f>
        <v>721.74520617386793</v>
      </c>
      <c r="AT127" s="17">
        <f t="shared" si="125"/>
        <v>2506</v>
      </c>
      <c r="AU127" s="17">
        <f t="shared" si="126"/>
        <v>118.44741987029688</v>
      </c>
      <c r="BA127" s="17">
        <v>6</v>
      </c>
      <c r="BB127" s="62">
        <f t="shared" si="127"/>
        <v>6</v>
      </c>
      <c r="BD127" s="17">
        <v>0</v>
      </c>
      <c r="BE127" s="17">
        <v>0</v>
      </c>
      <c r="BF127" s="17">
        <v>24</v>
      </c>
      <c r="BG127" s="17">
        <v>0</v>
      </c>
      <c r="BH127" s="62">
        <f t="shared" si="128"/>
        <v>24</v>
      </c>
      <c r="BJ127" s="17">
        <f t="shared" si="129"/>
        <v>0</v>
      </c>
      <c r="BK127" s="17">
        <f t="shared" si="130"/>
        <v>0</v>
      </c>
      <c r="BL127" s="17">
        <f t="shared" si="131"/>
        <v>24</v>
      </c>
      <c r="BM127" s="17">
        <f t="shared" si="132"/>
        <v>6</v>
      </c>
      <c r="BN127" s="62">
        <f t="shared" si="133"/>
        <v>30</v>
      </c>
      <c r="BR127" s="17">
        <f>武将升星!P120*基础状态预期!G133+G127*(K127+1)+W127+AE127</f>
        <v>0</v>
      </c>
      <c r="BS127" s="17">
        <f>武将升星!Q120*基础状态预期!H133+H127*(L127+1)+X127+AF127</f>
        <v>984</v>
      </c>
      <c r="BT127" s="17">
        <f>武将升星!R120*基础状态预期!I133+I127*(M127+1)+Y127+AG127</f>
        <v>803.36903844356254</v>
      </c>
      <c r="BU127" s="17">
        <f>武将升星!S120*基础状态预期!J133+J127*(N127+1)+Z127+AH127</f>
        <v>108</v>
      </c>
    </row>
    <row r="128" spans="2:73" x14ac:dyDescent="0.15">
      <c r="B128" s="17">
        <v>31</v>
      </c>
      <c r="C128" s="17">
        <f t="shared" si="116"/>
        <v>24</v>
      </c>
      <c r="D128" s="17">
        <v>28</v>
      </c>
      <c r="E128" s="29">
        <f>基础状态预期!C134</f>
        <v>3178</v>
      </c>
      <c r="F128" s="29">
        <f>基础状态预期!D134</f>
        <v>121.97211685892326</v>
      </c>
      <c r="G128" s="29">
        <f t="shared" si="117"/>
        <v>0</v>
      </c>
      <c r="H128" s="29">
        <f t="shared" si="118"/>
        <v>0</v>
      </c>
      <c r="I128" s="29">
        <f t="shared" si="119"/>
        <v>24</v>
      </c>
      <c r="J128" s="29">
        <f t="shared" si="120"/>
        <v>0</v>
      </c>
      <c r="K128" s="29">
        <f>武将战力价值情况!G124</f>
        <v>3</v>
      </c>
      <c r="L128" s="29">
        <f>武将战力价值情况!H124</f>
        <v>6</v>
      </c>
      <c r="M128" s="29">
        <f>武将战力价值情况!I124</f>
        <v>8</v>
      </c>
      <c r="N128" s="29">
        <f>武将战力价值情况!J124</f>
        <v>8</v>
      </c>
      <c r="O128" s="41">
        <f>MAX(同名需求(G128,求节点(武将升星!$C$104:$C$112,武将升星!E$104:E$112,K128),F$2),武将数量星级阶位验证!AA124)</f>
        <v>24</v>
      </c>
      <c r="P128" s="41">
        <f>MAX(同名需求(H128,求节点(武将升星!$C$104:$C$112,武将升星!F$104:F$112,L128),G$2),武将数量星级阶位验证!AB124)</f>
        <v>120</v>
      </c>
      <c r="Q128" s="41">
        <f>MAX(同名需求(I128,求节点(武将升星!$C$104:$C$112,武将升星!G$104:G$112,M128),H$2),武将数量星级阶位验证!AC124)</f>
        <v>704</v>
      </c>
      <c r="R128" s="41">
        <f>MAX(同名需求(J128,求节点(武将升星!$C$104:$C$112,武将升星!H$104:H$112,N128),I$2),武将数量星级阶位验证!AD124)</f>
        <v>108</v>
      </c>
      <c r="S128" s="29">
        <f>MAX(基础状态预期!P134:T134)</f>
        <v>4.8788846743569305</v>
      </c>
      <c r="T128" s="29">
        <f t="shared" si="121"/>
        <v>4.8788846743569305</v>
      </c>
      <c r="U128" s="29">
        <f t="shared" si="122"/>
        <v>4.8788846743569305</v>
      </c>
      <c r="V128" s="29">
        <f t="shared" si="123"/>
        <v>4.8788846743569305</v>
      </c>
      <c r="W128" s="41">
        <f>SUMIFS(武将进阶!F$13:F$18,武将进阶!$C$13:$C$18,"&lt;="&amp;T128)*H128+武将数量星级阶位验证!Q124</f>
        <v>0</v>
      </c>
      <c r="X128" s="41">
        <f>SUMIFS(武将进阶!G$13:G$18,武将进阶!$C$13:$C$18,"&lt;="&amp;U128)*I128+武将数量星级阶位验证!R124</f>
        <v>984</v>
      </c>
      <c r="Y128" s="41">
        <f>SUMIFS(武将进阶!H$13:H$18,武将进阶!$C$13:$C$18,"&lt;="&amp;V128)*J128+武将数量星级阶位验证!S124</f>
        <v>605.66540230707915</v>
      </c>
      <c r="Z128" s="41">
        <f>SUMIFS(武将进阶!I$13:I$18,武将进阶!$C$13:$C$18,"&lt;="&amp;W128)*K128+武将数量星级阶位验证!T124</f>
        <v>0</v>
      </c>
      <c r="AA128" s="29"/>
      <c r="AB128" s="29">
        <f>求节点(基础状态预期!$AT$17:$AT$55,基础状态预期!AW$17:AW$55,各r阵容卡情况!$F128)</f>
        <v>2</v>
      </c>
      <c r="AC128" s="29">
        <f>求节点(基础状态预期!$AT$17:$AT$55,基础状态预期!AX$17:AX$55,各r阵容卡情况!$F128)</f>
        <v>2</v>
      </c>
      <c r="AD128" s="29">
        <f>求节点(基础状态预期!$AT$17:$AT$55,基础状态预期!AY$17:AY$55,各r阵容卡情况!$F128)</f>
        <v>2</v>
      </c>
      <c r="AE128" s="41">
        <f>IF(AA128&lt;1,0,(AA128-1)*武将觉醒!E$34*G128)+武将数量星级阶位验证!V124</f>
        <v>0</v>
      </c>
      <c r="AF128" s="41">
        <f>IF(AB128&lt;1,0,(AB128-1)*武将觉醒!F$34*H128)+武将数量星级阶位验证!W124</f>
        <v>0</v>
      </c>
      <c r="AG128" s="41">
        <f>IF(AC128&lt;1,0,(AC128-1)*武将觉醒!G$34*I128)+武将数量星级阶位验证!X124</f>
        <v>24</v>
      </c>
      <c r="AH128" s="41">
        <f>IF(AD128&lt;1,0,(AD128-1)*武将觉醒!H$34*J128)+武将数量星级阶位验证!Y124</f>
        <v>0</v>
      </c>
      <c r="AJ128" s="29">
        <f>MAX(W128+AE128+G128*(K128+1)+IF(武将数量星级阶位验证!L124="",0,武将数量星级阶位验证!L124)*武将升星!P121,O128)</f>
        <v>24</v>
      </c>
      <c r="AK128" s="29">
        <f>MAX(X128+AF128+H128*(L128+1)+IF(武将数量星级阶位验证!M124="",0,武将数量星级阶位验证!M124)*武将升星!Q121,P128)</f>
        <v>984</v>
      </c>
      <c r="AL128" s="64">
        <f>MAX(Y128+AG128+I128*(M128+1)+IF(武将数量星级阶位验证!N124="",0,武将数量星级阶位验证!N124)*武将升星!R121,Q128)</f>
        <v>845.66540230707915</v>
      </c>
      <c r="AM128" s="41">
        <f t="shared" si="124"/>
        <v>108</v>
      </c>
      <c r="AO128" s="17">
        <f>武将数量星级阶位验证!BJ124</f>
        <v>45514.996245938535</v>
      </c>
      <c r="AP128" s="17">
        <f>武将数量星级阶位验证!BK124</f>
        <v>15023.540299463055</v>
      </c>
      <c r="AQ128" s="63">
        <f>武将数量星级阶位验证!BL124</f>
        <v>2208.6561007837968</v>
      </c>
      <c r="AR128" s="17">
        <f>武将数量星级阶位验证!BM124</f>
        <v>899.38001721612852</v>
      </c>
      <c r="AT128" s="17">
        <f t="shared" si="125"/>
        <v>3178</v>
      </c>
      <c r="AU128" s="17">
        <f t="shared" si="126"/>
        <v>121.97211685892326</v>
      </c>
      <c r="BA128" s="17">
        <v>6</v>
      </c>
      <c r="BB128" s="62">
        <f t="shared" si="127"/>
        <v>6</v>
      </c>
      <c r="BD128" s="17">
        <v>0</v>
      </c>
      <c r="BE128" s="17">
        <v>0</v>
      </c>
      <c r="BF128" s="17">
        <v>24</v>
      </c>
      <c r="BG128" s="17">
        <v>0</v>
      </c>
      <c r="BH128" s="62">
        <f t="shared" si="128"/>
        <v>24</v>
      </c>
      <c r="BJ128" s="17">
        <f t="shared" si="129"/>
        <v>0</v>
      </c>
      <c r="BK128" s="17">
        <f t="shared" si="130"/>
        <v>0</v>
      </c>
      <c r="BL128" s="17">
        <f t="shared" si="131"/>
        <v>24</v>
      </c>
      <c r="BM128" s="17">
        <f t="shared" si="132"/>
        <v>6</v>
      </c>
      <c r="BN128" s="62">
        <f t="shared" si="133"/>
        <v>30</v>
      </c>
      <c r="BR128" s="17">
        <f>武将升星!P121*基础状态预期!G134+G128*(K128+1)+W128+AE128</f>
        <v>0</v>
      </c>
      <c r="BS128" s="17">
        <f>武将升星!Q121*基础状态预期!H134+H128*(L128+1)+X128+AF128</f>
        <v>984</v>
      </c>
      <c r="BT128" s="17">
        <f>武将升星!R121*基础状态预期!I134+I128*(M128+1)+Y128+AG128</f>
        <v>845.66540230707915</v>
      </c>
      <c r="BU128" s="17">
        <f>武将升星!S121*基础状态预期!J134+J128*(N128+1)+Z128+AH128</f>
        <v>108</v>
      </c>
    </row>
    <row r="129" spans="2:73" x14ac:dyDescent="0.15">
      <c r="B129" s="17">
        <v>32</v>
      </c>
      <c r="C129" s="17">
        <f t="shared" si="116"/>
        <v>24</v>
      </c>
      <c r="D129" s="17">
        <v>29</v>
      </c>
      <c r="E129" s="29">
        <f>基础状态预期!C135</f>
        <v>4059.9999999999995</v>
      </c>
      <c r="F129" s="29">
        <f>基础状态预期!D135</f>
        <v>125.41953077529134</v>
      </c>
      <c r="G129" s="29">
        <f t="shared" si="117"/>
        <v>0</v>
      </c>
      <c r="H129" s="29">
        <f t="shared" si="118"/>
        <v>0</v>
      </c>
      <c r="I129" s="29">
        <f t="shared" si="119"/>
        <v>24</v>
      </c>
      <c r="J129" s="29">
        <f t="shared" si="120"/>
        <v>0</v>
      </c>
      <c r="K129" s="29">
        <f>武将战力价值情况!G125</f>
        <v>3</v>
      </c>
      <c r="L129" s="29">
        <f>武将战力价值情况!H125</f>
        <v>6</v>
      </c>
      <c r="M129" s="29">
        <f>武将战力价值情况!I125</f>
        <v>8</v>
      </c>
      <c r="N129" s="29">
        <f>武将战力价值情况!J125</f>
        <v>8</v>
      </c>
      <c r="O129" s="41">
        <f>MAX(同名需求(G129,求节点(武将升星!$C$104:$C$112,武将升星!E$104:E$112,K129),F$2),武将数量星级阶位验证!AA125)</f>
        <v>24</v>
      </c>
      <c r="P129" s="41">
        <f>MAX(同名需求(H129,求节点(武将升星!$C$104:$C$112,武将升星!F$104:F$112,L129),G$2),武将数量星级阶位验证!AB125)</f>
        <v>120</v>
      </c>
      <c r="Q129" s="41">
        <f>MAX(同名需求(I129,求节点(武将升星!$C$104:$C$112,武将升星!G$104:G$112,M129),H$2),武将数量星级阶位验证!AC125)</f>
        <v>704</v>
      </c>
      <c r="R129" s="41">
        <f>MAX(同名需求(J129,求节点(武将升星!$C$104:$C$112,武将升星!H$104:H$112,N129),I$2),武将数量星级阶位验证!AD125)</f>
        <v>108</v>
      </c>
      <c r="S129" s="29">
        <f>MAX(基础状态预期!P135:T135)</f>
        <v>5</v>
      </c>
      <c r="T129" s="29">
        <f t="shared" si="121"/>
        <v>5</v>
      </c>
      <c r="U129" s="29">
        <f t="shared" si="122"/>
        <v>5</v>
      </c>
      <c r="V129" s="29">
        <f t="shared" si="123"/>
        <v>5</v>
      </c>
      <c r="W129" s="41">
        <f>SUMIFS(武将进阶!F$13:F$18,武将进阶!$C$13:$C$18,"&lt;="&amp;T129)*H129+武将数量星级阶位验证!Q125</f>
        <v>0</v>
      </c>
      <c r="X129" s="41">
        <f>SUMIFS(武将进阶!G$13:G$18,武将进阶!$C$13:$C$18,"&lt;="&amp;U129)*I129+武将数量星级阶位验证!R125</f>
        <v>1824</v>
      </c>
      <c r="Y129" s="41">
        <f>SUMIFS(武将进阶!H$13:H$18,武将进阶!$C$13:$C$18,"&lt;="&amp;V129)*J129+武将数量星级阶位验证!S125</f>
        <v>642</v>
      </c>
      <c r="Z129" s="41">
        <f>SUMIFS(武将进阶!I$13:I$18,武将进阶!$C$13:$C$18,"&lt;="&amp;W129)*K129+武将数量星级阶位验证!T125</f>
        <v>0</v>
      </c>
      <c r="AA129" s="29"/>
      <c r="AB129" s="29">
        <f>求节点(基础状态预期!$AT$17:$AT$55,基础状态预期!AW$17:AW$55,各r阵容卡情况!$F129)</f>
        <v>2</v>
      </c>
      <c r="AC129" s="29">
        <f>求节点(基础状态预期!$AT$17:$AT$55,基础状态预期!AX$17:AX$55,各r阵容卡情况!$F129)</f>
        <v>2</v>
      </c>
      <c r="AD129" s="29">
        <f>求节点(基础状态预期!$AT$17:$AT$55,基础状态预期!AY$17:AY$55,各r阵容卡情况!$F129)</f>
        <v>2</v>
      </c>
      <c r="AE129" s="41">
        <f>IF(AA129&lt;1,0,(AA129-1)*武将觉醒!E$34*G129)+武将数量星级阶位验证!V125</f>
        <v>0</v>
      </c>
      <c r="AF129" s="41">
        <f>IF(AB129&lt;1,0,(AB129-1)*武将觉醒!F$34*H129)+武将数量星级阶位验证!W125</f>
        <v>0</v>
      </c>
      <c r="AG129" s="41">
        <f>IF(AC129&lt;1,0,(AC129-1)*武将觉醒!G$34*I129)+武将数量星级阶位验证!X125</f>
        <v>24</v>
      </c>
      <c r="AH129" s="41">
        <f>IF(AD129&lt;1,0,(AD129-1)*武将觉醒!H$34*J129)+武将数量星级阶位验证!Y125</f>
        <v>0</v>
      </c>
      <c r="AJ129" s="29">
        <f>MAX(W129+AE129+G129*(K129+1)+IF(武将数量星级阶位验证!L125="",0,武将数量星级阶位验证!L125)*武将升星!P122,O129)</f>
        <v>24</v>
      </c>
      <c r="AK129" s="29">
        <f>MAX(X129+AF129+H129*(L129+1)+IF(武将数量星级阶位验证!M125="",0,武将数量星级阶位验证!M125)*武将升星!Q122,P129)</f>
        <v>1824</v>
      </c>
      <c r="AL129" s="64">
        <f>MAX(Y129+AG129+I129*(M129+1)+IF(武将数量星级阶位验证!N125="",0,武将数量星级阶位验证!N125)*武将升星!R122,Q129)</f>
        <v>882</v>
      </c>
      <c r="AM129" s="41">
        <f t="shared" si="124"/>
        <v>108</v>
      </c>
      <c r="AO129" s="17">
        <f>武将数量星级阶位验证!BJ125</f>
        <v>57501.370699617022</v>
      </c>
      <c r="AP129" s="17">
        <f>武将数量星级阶位验证!BK125</f>
        <v>18868.580544694669</v>
      </c>
      <c r="AQ129" s="63">
        <f>武将数量星级阶位验证!BL125</f>
        <v>2763.3621375685389</v>
      </c>
      <c r="AR129" s="17">
        <f>武将数量星级阶位验证!BM125</f>
        <v>1126.3636392869737</v>
      </c>
      <c r="AT129" s="17">
        <f t="shared" si="125"/>
        <v>4059.9999999999995</v>
      </c>
      <c r="AU129" s="17">
        <f t="shared" si="126"/>
        <v>125.41953077529134</v>
      </c>
      <c r="BA129" s="17">
        <v>6</v>
      </c>
      <c r="BB129" s="62">
        <f t="shared" si="127"/>
        <v>6</v>
      </c>
      <c r="BD129" s="17">
        <v>0</v>
      </c>
      <c r="BE129" s="17">
        <v>0</v>
      </c>
      <c r="BF129" s="17">
        <v>24</v>
      </c>
      <c r="BG129" s="17">
        <v>0</v>
      </c>
      <c r="BH129" s="62">
        <f t="shared" si="128"/>
        <v>24</v>
      </c>
      <c r="BJ129" s="17">
        <f t="shared" si="129"/>
        <v>0</v>
      </c>
      <c r="BK129" s="17">
        <f t="shared" si="130"/>
        <v>0</v>
      </c>
      <c r="BL129" s="17">
        <f t="shared" si="131"/>
        <v>24</v>
      </c>
      <c r="BM129" s="17">
        <f t="shared" si="132"/>
        <v>6</v>
      </c>
      <c r="BN129" s="62">
        <f t="shared" si="133"/>
        <v>30</v>
      </c>
      <c r="BR129" s="17">
        <f>武将升星!P122*基础状态预期!G135+G129*(K129+1)+W129+AE129</f>
        <v>0</v>
      </c>
      <c r="BS129" s="17">
        <f>武将升星!Q122*基础状态预期!H135+H129*(L129+1)+X129+AF129</f>
        <v>1824</v>
      </c>
      <c r="BT129" s="17">
        <f>武将升星!R122*基础状态预期!I135+I129*(M129+1)+Y129+AG129</f>
        <v>882</v>
      </c>
      <c r="BU129" s="17">
        <f>武将升星!S122*基础状态预期!J135+J129*(N129+1)+Z129+AH129</f>
        <v>108</v>
      </c>
    </row>
    <row r="130" spans="2:73" x14ac:dyDescent="0.15">
      <c r="B130" s="17">
        <v>33</v>
      </c>
      <c r="C130" s="17">
        <f t="shared" si="116"/>
        <v>24</v>
      </c>
      <c r="D130" s="17">
        <v>30</v>
      </c>
      <c r="E130" s="29">
        <f>基础状态预期!C136</f>
        <v>5194</v>
      </c>
      <c r="F130" s="29">
        <f>基础状态预期!D136</f>
        <v>129.09045404756728</v>
      </c>
      <c r="G130" s="29">
        <f t="shared" si="117"/>
        <v>0</v>
      </c>
      <c r="H130" s="29">
        <f t="shared" si="118"/>
        <v>0</v>
      </c>
      <c r="I130" s="29">
        <f t="shared" si="119"/>
        <v>24</v>
      </c>
      <c r="J130" s="29">
        <f t="shared" si="120"/>
        <v>0</v>
      </c>
      <c r="K130" s="29">
        <f>武将战力价值情况!G126</f>
        <v>3</v>
      </c>
      <c r="L130" s="29">
        <f>武将战力价值情况!H126</f>
        <v>6</v>
      </c>
      <c r="M130" s="29">
        <f>武将战力价值情况!I126</f>
        <v>8</v>
      </c>
      <c r="N130" s="29">
        <f>武将战力价值情况!J126</f>
        <v>8</v>
      </c>
      <c r="O130" s="41">
        <f>MAX(同名需求(G130,求节点(武将升星!$C$104:$C$112,武将升星!E$104:E$112,K130),F$2),武将数量星级阶位验证!AA126)</f>
        <v>24</v>
      </c>
      <c r="P130" s="41">
        <f>MAX(同名需求(H130,求节点(武将升星!$C$104:$C$112,武将升星!F$104:F$112,L130),G$2),武将数量星级阶位验证!AB126)</f>
        <v>120</v>
      </c>
      <c r="Q130" s="41">
        <f>MAX(同名需求(I130,求节点(武将升星!$C$104:$C$112,武将升星!G$104:G$112,M130),H$2),武将数量星级阶位验证!AC126)</f>
        <v>704</v>
      </c>
      <c r="R130" s="41">
        <f>MAX(同名需求(J130,求节点(武将升星!$C$104:$C$112,武将升星!H$104:H$112,N130),I$2),武将数量星级阶位验证!AD126)</f>
        <v>108</v>
      </c>
      <c r="S130" s="29">
        <f>MAX(基础状态预期!P136:T136)</f>
        <v>5</v>
      </c>
      <c r="T130" s="29">
        <f t="shared" si="121"/>
        <v>5</v>
      </c>
      <c r="U130" s="29">
        <f t="shared" si="122"/>
        <v>5</v>
      </c>
      <c r="V130" s="29">
        <f t="shared" si="123"/>
        <v>5</v>
      </c>
      <c r="W130" s="41">
        <f>SUMIFS(武将进阶!F$13:F$18,武将进阶!$C$13:$C$18,"&lt;="&amp;T130)*H130+武将数量星级阶位验证!Q126</f>
        <v>0</v>
      </c>
      <c r="X130" s="41">
        <f>SUMIFS(武将进阶!G$13:G$18,武将进阶!$C$13:$C$18,"&lt;="&amp;U130)*I130+武将数量星级阶位验证!R126</f>
        <v>1824</v>
      </c>
      <c r="Y130" s="41">
        <f>SUMIFS(武将进阶!H$13:H$18,武将进阶!$C$13:$C$18,"&lt;="&amp;V130)*J130+武将数量星级阶位验证!S126</f>
        <v>642</v>
      </c>
      <c r="Z130" s="41">
        <f>SUMIFS(武将进阶!I$13:I$18,武将进阶!$C$13:$C$18,"&lt;="&amp;W130)*K130+武将数量星级阶位验证!T126</f>
        <v>0</v>
      </c>
      <c r="AA130" s="29"/>
      <c r="AB130" s="29">
        <f>求节点(基础状态预期!$AT$17:$AT$55,基础状态预期!AW$17:AW$55,各r阵容卡情况!$F130)</f>
        <v>2</v>
      </c>
      <c r="AC130" s="29">
        <f>求节点(基础状态预期!$AT$17:$AT$55,基础状态预期!AX$17:AX$55,各r阵容卡情况!$F130)</f>
        <v>2</v>
      </c>
      <c r="AD130" s="29">
        <f>求节点(基础状态预期!$AT$17:$AT$55,基础状态预期!AY$17:AY$55,各r阵容卡情况!$F130)</f>
        <v>2</v>
      </c>
      <c r="AE130" s="41">
        <f>IF(AA130&lt;1,0,(AA130-1)*武将觉醒!E$34*G130)+武将数量星级阶位验证!V126</f>
        <v>0</v>
      </c>
      <c r="AF130" s="41">
        <f>IF(AB130&lt;1,0,(AB130-1)*武将觉醒!F$34*H130)+武将数量星级阶位验证!W126</f>
        <v>0</v>
      </c>
      <c r="AG130" s="41">
        <f>IF(AC130&lt;1,0,(AC130-1)*武将觉醒!G$34*I130)+武将数量星级阶位验证!X126</f>
        <v>24</v>
      </c>
      <c r="AH130" s="41">
        <f>IF(AD130&lt;1,0,(AD130-1)*武将觉醒!H$34*J130)+武将数量星级阶位验证!Y126</f>
        <v>0</v>
      </c>
      <c r="AJ130" s="29">
        <f>MAX(W130+AE130+G130*(K130+1)+IF(武将数量星级阶位验证!L126="",0,武将数量星级阶位验证!L126)*武将升星!P123,O130)</f>
        <v>24</v>
      </c>
      <c r="AK130" s="29">
        <f>MAX(X130+AF130+H130*(L130+1)+IF(武将数量星级阶位验证!M126="",0,武将数量星级阶位验证!M126)*武将升星!Q123,P130)</f>
        <v>1824</v>
      </c>
      <c r="AL130" s="64">
        <f>MAX(Y130+AG130+I130*(M130+1)+IF(武将数量星级阶位验证!N126="",0,武将数量星级阶位验证!N126)*武将升星!R123,Q130)</f>
        <v>882</v>
      </c>
      <c r="AM130" s="41">
        <f t="shared" si="124"/>
        <v>108</v>
      </c>
      <c r="AO130" s="17">
        <f>武将数量星级阶位验证!BJ126</f>
        <v>72870.774854656484</v>
      </c>
      <c r="AP130" s="17">
        <f>武将数量星级阶位验证!BK126</f>
        <v>23789.690898770055</v>
      </c>
      <c r="AQ130" s="63">
        <f>武将数量星级阶位验证!BL126</f>
        <v>3473.178690679847</v>
      </c>
      <c r="AR130" s="17">
        <f>武将数量星级阶位验证!BM126</f>
        <v>1416.1735711537585</v>
      </c>
      <c r="AT130" s="17">
        <f t="shared" si="125"/>
        <v>5194</v>
      </c>
      <c r="AU130" s="17">
        <f t="shared" si="126"/>
        <v>129.09045404756728</v>
      </c>
      <c r="BA130" s="17">
        <v>6</v>
      </c>
      <c r="BB130" s="62">
        <f t="shared" si="127"/>
        <v>6</v>
      </c>
      <c r="BD130" s="17">
        <v>0</v>
      </c>
      <c r="BE130" s="17">
        <v>0</v>
      </c>
      <c r="BF130" s="17">
        <v>24</v>
      </c>
      <c r="BG130" s="17">
        <v>0</v>
      </c>
      <c r="BH130" s="62">
        <f t="shared" si="128"/>
        <v>24</v>
      </c>
      <c r="BJ130" s="17">
        <f t="shared" si="129"/>
        <v>0</v>
      </c>
      <c r="BK130" s="17">
        <f t="shared" si="130"/>
        <v>0</v>
      </c>
      <c r="BL130" s="17">
        <f t="shared" si="131"/>
        <v>24</v>
      </c>
      <c r="BM130" s="17">
        <f t="shared" si="132"/>
        <v>6</v>
      </c>
      <c r="BN130" s="62">
        <f t="shared" si="133"/>
        <v>30</v>
      </c>
      <c r="BR130" s="17">
        <f>武将升星!P123*基础状态预期!G136+G130*(K130+1)+W130+AE130</f>
        <v>0</v>
      </c>
      <c r="BS130" s="17">
        <f>武将升星!Q123*基础状态预期!H136+H130*(L130+1)+X130+AF130</f>
        <v>1824</v>
      </c>
      <c r="BT130" s="17">
        <f>武将升星!R123*基础状态预期!I136+I130*(M130+1)+Y130+AG130</f>
        <v>882</v>
      </c>
      <c r="BU130" s="17">
        <f>武将升星!S123*基础状态预期!J136+J130*(N130+1)+Z130+AH130</f>
        <v>108</v>
      </c>
    </row>
    <row r="131" spans="2:73" x14ac:dyDescent="0.15">
      <c r="B131" s="17">
        <v>34</v>
      </c>
      <c r="C131" s="17">
        <f t="shared" si="116"/>
        <v>24</v>
      </c>
      <c r="D131" s="17">
        <v>31</v>
      </c>
      <c r="E131" s="29">
        <f>基础状态预期!C137</f>
        <v>6622</v>
      </c>
      <c r="F131" s="29">
        <f>基础状态预期!D137</f>
        <v>132.53488795708068</v>
      </c>
      <c r="G131" s="29">
        <f t="shared" si="117"/>
        <v>0</v>
      </c>
      <c r="H131" s="29">
        <f t="shared" si="118"/>
        <v>0</v>
      </c>
      <c r="I131" s="29">
        <f t="shared" si="119"/>
        <v>24</v>
      </c>
      <c r="J131" s="29">
        <f t="shared" si="120"/>
        <v>0</v>
      </c>
      <c r="K131" s="29">
        <f>武将战力价值情况!G127</f>
        <v>3</v>
      </c>
      <c r="L131" s="29">
        <f>武将战力价值情况!H127</f>
        <v>6</v>
      </c>
      <c r="M131" s="29">
        <f>武将战力价值情况!I127</f>
        <v>8</v>
      </c>
      <c r="N131" s="29">
        <f>武将战力价值情况!J127</f>
        <v>8</v>
      </c>
      <c r="O131" s="41">
        <f>MAX(同名需求(G131,求节点(武将升星!$C$104:$C$112,武将升星!E$104:E$112,K131),F$2),武将数量星级阶位验证!AA127)</f>
        <v>24</v>
      </c>
      <c r="P131" s="41">
        <f>MAX(同名需求(H131,求节点(武将升星!$C$104:$C$112,武将升星!F$104:F$112,L131),G$2),武将数量星级阶位验证!AB127)</f>
        <v>120</v>
      </c>
      <c r="Q131" s="41">
        <f>MAX(同名需求(I131,求节点(武将升星!$C$104:$C$112,武将升星!G$104:G$112,M131),H$2),武将数量星级阶位验证!AC127)</f>
        <v>704</v>
      </c>
      <c r="R131" s="41">
        <f>MAX(同名需求(J131,求节点(武将升星!$C$104:$C$112,武将升星!H$104:H$112,N131),I$2),武将数量星级阶位验证!AD127)</f>
        <v>108</v>
      </c>
      <c r="S131" s="29">
        <f>MAX(基础状态预期!P137:T137)</f>
        <v>5</v>
      </c>
      <c r="T131" s="29">
        <f t="shared" si="121"/>
        <v>5</v>
      </c>
      <c r="U131" s="29">
        <f t="shared" si="122"/>
        <v>5</v>
      </c>
      <c r="V131" s="29">
        <f t="shared" si="123"/>
        <v>5</v>
      </c>
      <c r="W131" s="41">
        <f>SUMIFS(武将进阶!F$13:F$18,武将进阶!$C$13:$C$18,"&lt;="&amp;T131)*H131+武将数量星级阶位验证!Q127</f>
        <v>0</v>
      </c>
      <c r="X131" s="41">
        <f>SUMIFS(武将进阶!G$13:G$18,武将进阶!$C$13:$C$18,"&lt;="&amp;U131)*I131+武将数量星级阶位验证!R127</f>
        <v>1824</v>
      </c>
      <c r="Y131" s="41">
        <f>SUMIFS(武将进阶!H$13:H$18,武将进阶!$C$13:$C$18,"&lt;="&amp;V131)*J131+武将数量星级阶位验证!S127</f>
        <v>642</v>
      </c>
      <c r="Z131" s="41">
        <f>SUMIFS(武将进阶!I$13:I$18,武将进阶!$C$13:$C$18,"&lt;="&amp;W131)*K131+武将数量星级阶位验证!T127</f>
        <v>0</v>
      </c>
      <c r="AA131" s="29"/>
      <c r="AB131" s="29">
        <f>求节点(基础状态预期!$AT$17:$AT$55,基础状态预期!AW$17:AW$55,各r阵容卡情况!$F131)</f>
        <v>2</v>
      </c>
      <c r="AC131" s="29">
        <f>求节点(基础状态预期!$AT$17:$AT$55,基础状态预期!AX$17:AX$55,各r阵容卡情况!$F131)</f>
        <v>2</v>
      </c>
      <c r="AD131" s="29">
        <f>求节点(基础状态预期!$AT$17:$AT$55,基础状态预期!AY$17:AY$55,各r阵容卡情况!$F131)</f>
        <v>2</v>
      </c>
      <c r="AE131" s="41">
        <f>IF(AA131&lt;1,0,(AA131-1)*武将觉醒!E$34*G131)+武将数量星级阶位验证!V127</f>
        <v>0</v>
      </c>
      <c r="AF131" s="41">
        <f>IF(AB131&lt;1,0,(AB131-1)*武将觉醒!F$34*H131)+武将数量星级阶位验证!W127</f>
        <v>0</v>
      </c>
      <c r="AG131" s="41">
        <f>IF(AC131&lt;1,0,(AC131-1)*武将觉醒!G$34*I131)+武将数量星级阶位验证!X127</f>
        <v>24</v>
      </c>
      <c r="AH131" s="41">
        <f>IF(AD131&lt;1,0,(AD131-1)*武将觉醒!H$34*J131)+武将数量星级阶位验证!Y127</f>
        <v>0</v>
      </c>
      <c r="AJ131" s="29">
        <f>MAX(W131+AE131+G131*(K131+1)+IF(武将数量星级阶位验证!L127="",0,武将数量星级阶位验证!L127)*武将升星!P124,O131)</f>
        <v>24</v>
      </c>
      <c r="AK131" s="29">
        <f>MAX(X131+AF131+H131*(L131+1)+IF(武将数量星级阶位验证!M127="",0,武将数量星级阶位验证!M127)*武将升星!Q124,P131)</f>
        <v>1824</v>
      </c>
      <c r="AL131" s="64">
        <f>MAX(Y131+AG131+I131*(M131+1)+IF(武将数量星级阶位验证!N127="",0,武将数量星级阶位验证!N127)*武将升星!R124,Q131)</f>
        <v>882</v>
      </c>
      <c r="AM131" s="41">
        <f t="shared" si="124"/>
        <v>108</v>
      </c>
      <c r="AO131" s="17">
        <f>武将数量星级阶位验证!BJ127</f>
        <v>92042.730064386327</v>
      </c>
      <c r="AP131" s="17">
        <f>武将数量星级阶位验证!BK127</f>
        <v>29888.207228353753</v>
      </c>
      <c r="AQ131" s="63">
        <f>武将数量星级阶位验证!BL127</f>
        <v>4352.2561401174016</v>
      </c>
      <c r="AR131" s="17">
        <f>武将数量星级阶位验证!BM127</f>
        <v>1772.2600408162912</v>
      </c>
      <c r="AT131" s="17">
        <f t="shared" si="125"/>
        <v>6622</v>
      </c>
      <c r="AU131" s="17">
        <f t="shared" si="126"/>
        <v>132.53488795708068</v>
      </c>
      <c r="BA131" s="17">
        <v>6</v>
      </c>
      <c r="BB131" s="62">
        <f t="shared" si="127"/>
        <v>6</v>
      </c>
      <c r="BD131" s="17">
        <v>0</v>
      </c>
      <c r="BE131" s="17">
        <v>0</v>
      </c>
      <c r="BF131" s="17">
        <v>24</v>
      </c>
      <c r="BG131" s="17">
        <v>0</v>
      </c>
      <c r="BH131" s="62">
        <f t="shared" si="128"/>
        <v>24</v>
      </c>
      <c r="BJ131" s="17">
        <f t="shared" si="129"/>
        <v>0</v>
      </c>
      <c r="BK131" s="17">
        <f t="shared" si="130"/>
        <v>0</v>
      </c>
      <c r="BL131" s="17">
        <f t="shared" si="131"/>
        <v>24</v>
      </c>
      <c r="BM131" s="17">
        <f t="shared" si="132"/>
        <v>6</v>
      </c>
      <c r="BN131" s="62">
        <f t="shared" si="133"/>
        <v>30</v>
      </c>
      <c r="BR131" s="17">
        <f>武将升星!P124*基础状态预期!G137+G131*(K131+1)+W131+AE131</f>
        <v>0</v>
      </c>
      <c r="BS131" s="17">
        <f>武将升星!Q124*基础状态预期!H137+H131*(L131+1)+X131+AF131</f>
        <v>1824</v>
      </c>
      <c r="BT131" s="17">
        <f>武将升星!R124*基础状态预期!I137+I131*(M131+1)+Y131+AG131</f>
        <v>882</v>
      </c>
      <c r="BU131" s="17">
        <f>武将升星!S124*基础状态预期!J137+J131*(N131+1)+Z131+AH131</f>
        <v>108</v>
      </c>
    </row>
    <row r="132" spans="2:73" x14ac:dyDescent="0.15">
      <c r="B132" s="17">
        <v>35</v>
      </c>
      <c r="C132" s="17">
        <f t="shared" si="116"/>
        <v>24</v>
      </c>
      <c r="D132" s="17">
        <v>32</v>
      </c>
      <c r="E132" s="29">
        <f>基础状态预期!C138</f>
        <v>8428</v>
      </c>
      <c r="F132" s="29">
        <f>基础状态预期!D138</f>
        <v>136.07141427598387</v>
      </c>
      <c r="G132" s="29">
        <f t="shared" si="117"/>
        <v>0</v>
      </c>
      <c r="H132" s="29">
        <f t="shared" si="118"/>
        <v>0</v>
      </c>
      <c r="I132" s="29">
        <f t="shared" si="119"/>
        <v>24</v>
      </c>
      <c r="J132" s="29">
        <f t="shared" si="120"/>
        <v>0</v>
      </c>
      <c r="K132" s="29">
        <f>武将战力价值情况!G128</f>
        <v>3</v>
      </c>
      <c r="L132" s="29">
        <f>武将战力价值情况!H128</f>
        <v>6</v>
      </c>
      <c r="M132" s="29">
        <f>武将战力价值情况!I128</f>
        <v>8</v>
      </c>
      <c r="N132" s="29">
        <f>武将战力价值情况!J128</f>
        <v>8</v>
      </c>
      <c r="O132" s="41">
        <f>MAX(同名需求(G132,求节点(武将升星!$C$104:$C$112,武将升星!E$104:E$112,K132),F$2),武将数量星级阶位验证!AA128)</f>
        <v>24</v>
      </c>
      <c r="P132" s="41">
        <f>MAX(同名需求(H132,求节点(武将升星!$C$104:$C$112,武将升星!F$104:F$112,L132),G$2),武将数量星级阶位验证!AB128)</f>
        <v>120</v>
      </c>
      <c r="Q132" s="41">
        <f>MAX(同名需求(I132,求节点(武将升星!$C$104:$C$112,武将升星!G$104:G$112,M132),H$2),武将数量星级阶位验证!AC128)</f>
        <v>704</v>
      </c>
      <c r="R132" s="41">
        <f>MAX(同名需求(J132,求节点(武将升星!$C$104:$C$112,武将升星!H$104:H$112,N132),I$2),武将数量星级阶位验证!AD128)</f>
        <v>108</v>
      </c>
      <c r="S132" s="29">
        <f>MAX(基础状态预期!P138:T138)</f>
        <v>5</v>
      </c>
      <c r="T132" s="29">
        <f t="shared" si="121"/>
        <v>5</v>
      </c>
      <c r="U132" s="29">
        <f t="shared" si="122"/>
        <v>5</v>
      </c>
      <c r="V132" s="29">
        <f t="shared" si="123"/>
        <v>5</v>
      </c>
      <c r="W132" s="41">
        <f>SUMIFS(武将进阶!F$13:F$18,武将进阶!$C$13:$C$18,"&lt;="&amp;T132)*H132+武将数量星级阶位验证!Q128</f>
        <v>0</v>
      </c>
      <c r="X132" s="41">
        <f>SUMIFS(武将进阶!G$13:G$18,武将进阶!$C$13:$C$18,"&lt;="&amp;U132)*I132+武将数量星级阶位验证!R128</f>
        <v>1824</v>
      </c>
      <c r="Y132" s="41">
        <f>SUMIFS(武将进阶!H$13:H$18,武将进阶!$C$13:$C$18,"&lt;="&amp;V132)*J132+武将数量星级阶位验证!S128</f>
        <v>642</v>
      </c>
      <c r="Z132" s="41">
        <f>SUMIFS(武将进阶!I$13:I$18,武将进阶!$C$13:$C$18,"&lt;="&amp;W132)*K132+武将数量星级阶位验证!T128</f>
        <v>0</v>
      </c>
      <c r="AA132" s="29"/>
      <c r="AB132" s="29">
        <f>求节点(基础状态预期!$AT$17:$AT$55,基础状态预期!AW$17:AW$55,各r阵容卡情况!$F132)</f>
        <v>2</v>
      </c>
      <c r="AC132" s="29">
        <f>求节点(基础状态预期!$AT$17:$AT$55,基础状态预期!AX$17:AX$55,各r阵容卡情况!$F132)</f>
        <v>2</v>
      </c>
      <c r="AD132" s="29">
        <f>求节点(基础状态预期!$AT$17:$AT$55,基础状态预期!AY$17:AY$55,各r阵容卡情况!$F132)</f>
        <v>2</v>
      </c>
      <c r="AE132" s="41">
        <f>IF(AA132&lt;1,0,(AA132-1)*武将觉醒!E$34*G132)+武将数量星级阶位验证!V128</f>
        <v>0</v>
      </c>
      <c r="AF132" s="41">
        <f>IF(AB132&lt;1,0,(AB132-1)*武将觉醒!F$34*H132)+武将数量星级阶位验证!W128</f>
        <v>0</v>
      </c>
      <c r="AG132" s="41">
        <f>IF(AC132&lt;1,0,(AC132-1)*武将觉醒!G$34*I132)+武将数量星级阶位验证!X128</f>
        <v>24</v>
      </c>
      <c r="AH132" s="41">
        <f>IF(AD132&lt;1,0,(AD132-1)*武将觉醒!H$34*J132)+武将数量星级阶位验证!Y128</f>
        <v>0</v>
      </c>
      <c r="AJ132" s="29">
        <f>MAX(W132+AE132+G132*(K132+1)+IF(武将数量星级阶位验证!L128="",0,武将数量星级阶位验证!L128)*武将升星!P125,O132)</f>
        <v>24</v>
      </c>
      <c r="AK132" s="29">
        <f>MAX(X132+AF132+H132*(L132+1)+IF(武将数量星级阶位验证!M128="",0,武将数量星级阶位验证!M128)*武将升星!Q125,P132)</f>
        <v>1824</v>
      </c>
      <c r="AL132" s="64">
        <f>MAX(Y132+AG132+I132*(M132+1)+IF(武将数量星级阶位验证!N128="",0,武将数量星级阶位验证!N128)*武将升星!R125,Q132)</f>
        <v>882</v>
      </c>
      <c r="AM132" s="41">
        <f t="shared" si="124"/>
        <v>108</v>
      </c>
      <c r="AO132" s="17">
        <f>武将数量星级阶位验证!BJ128</f>
        <v>116084.96541724497</v>
      </c>
      <c r="AP132" s="17">
        <f>武将数量星级阶位验证!BK128</f>
        <v>37490.415527196266</v>
      </c>
      <c r="AQ132" s="63">
        <f>武将数量星级阶位验证!BL128</f>
        <v>5447.4373849437779</v>
      </c>
      <c r="AR132" s="17">
        <f>武将数量星级阶位验证!BM128</f>
        <v>2212.6487877121172</v>
      </c>
      <c r="AT132" s="17">
        <f t="shared" si="125"/>
        <v>8428</v>
      </c>
      <c r="AU132" s="17">
        <f t="shared" si="126"/>
        <v>136.07141427598387</v>
      </c>
      <c r="BA132" s="17">
        <v>6</v>
      </c>
      <c r="BB132" s="62">
        <f t="shared" si="127"/>
        <v>6</v>
      </c>
      <c r="BD132" s="17">
        <v>0</v>
      </c>
      <c r="BE132" s="17">
        <v>0</v>
      </c>
      <c r="BF132" s="17">
        <v>24</v>
      </c>
      <c r="BG132" s="17">
        <v>0</v>
      </c>
      <c r="BH132" s="62">
        <f t="shared" si="128"/>
        <v>24</v>
      </c>
      <c r="BJ132" s="17">
        <f t="shared" si="129"/>
        <v>0</v>
      </c>
      <c r="BK132" s="17">
        <f t="shared" si="130"/>
        <v>0</v>
      </c>
      <c r="BL132" s="17">
        <f t="shared" si="131"/>
        <v>24</v>
      </c>
      <c r="BM132" s="17">
        <f t="shared" si="132"/>
        <v>6</v>
      </c>
      <c r="BN132" s="62">
        <f t="shared" si="133"/>
        <v>30</v>
      </c>
      <c r="BR132" s="17">
        <f>武将升星!P125*基础状态预期!G138+G132*(K132+1)+W132+AE132</f>
        <v>0</v>
      </c>
      <c r="BS132" s="17">
        <f>武将升星!Q125*基础状态预期!H138+H132*(L132+1)+X132+AF132</f>
        <v>1824</v>
      </c>
      <c r="BT132" s="17">
        <f>武将升星!R125*基础状态预期!I138+I132*(M132+1)+Y132+AG132</f>
        <v>882</v>
      </c>
      <c r="BU132" s="17">
        <f>武将升星!S125*基础状态预期!J138+J132*(N132+1)+Z132+AH132</f>
        <v>108</v>
      </c>
    </row>
    <row r="133" spans="2:73" x14ac:dyDescent="0.15">
      <c r="B133" s="17">
        <v>36</v>
      </c>
      <c r="C133" s="17">
        <f t="shared" si="116"/>
        <v>24</v>
      </c>
      <c r="D133" s="17">
        <v>33</v>
      </c>
      <c r="E133" s="29">
        <f>基础状态预期!C139</f>
        <v>10738</v>
      </c>
      <c r="F133" s="29">
        <f>基础状态预期!D139</f>
        <v>139.56936219880694</v>
      </c>
      <c r="G133" s="29">
        <f t="shared" si="117"/>
        <v>0</v>
      </c>
      <c r="H133" s="29">
        <f t="shared" si="118"/>
        <v>0</v>
      </c>
      <c r="I133" s="29">
        <f t="shared" si="119"/>
        <v>24</v>
      </c>
      <c r="J133" s="29">
        <f t="shared" si="120"/>
        <v>0</v>
      </c>
      <c r="K133" s="29">
        <f>武将战力价值情况!G129</f>
        <v>3</v>
      </c>
      <c r="L133" s="29">
        <f>武将战力价值情况!H129</f>
        <v>6</v>
      </c>
      <c r="M133" s="29">
        <f>武将战力价值情况!I129</f>
        <v>8</v>
      </c>
      <c r="N133" s="29">
        <f>武将战力价值情况!J129</f>
        <v>8</v>
      </c>
      <c r="O133" s="41">
        <f>MAX(同名需求(G133,求节点(武将升星!$C$104:$C$112,武将升星!E$104:E$112,K133),F$2),武将数量星级阶位验证!AA129)</f>
        <v>24</v>
      </c>
      <c r="P133" s="41">
        <f>MAX(同名需求(H133,求节点(武将升星!$C$104:$C$112,武将升星!F$104:F$112,L133),G$2),武将数量星级阶位验证!AB129)</f>
        <v>120</v>
      </c>
      <c r="Q133" s="41">
        <f>MAX(同名需求(I133,求节点(武将升星!$C$104:$C$112,武将升星!G$104:G$112,M133),H$2),武将数量星级阶位验证!AC129)</f>
        <v>704</v>
      </c>
      <c r="R133" s="41">
        <f>MAX(同名需求(J133,求节点(武将升星!$C$104:$C$112,武将升星!H$104:H$112,N133),I$2),武将数量星级阶位验证!AD129)</f>
        <v>108</v>
      </c>
      <c r="S133" s="29">
        <f>MAX(基础状态预期!P139:T139)</f>
        <v>5</v>
      </c>
      <c r="T133" s="29">
        <f t="shared" si="121"/>
        <v>5</v>
      </c>
      <c r="U133" s="29">
        <f t="shared" si="122"/>
        <v>5</v>
      </c>
      <c r="V133" s="29">
        <f t="shared" si="123"/>
        <v>5</v>
      </c>
      <c r="W133" s="41">
        <f>SUMIFS(武将进阶!F$13:F$18,武将进阶!$C$13:$C$18,"&lt;="&amp;T133)*H133+武将数量星级阶位验证!Q129</f>
        <v>0</v>
      </c>
      <c r="X133" s="41">
        <f>SUMIFS(武将进阶!G$13:G$18,武将进阶!$C$13:$C$18,"&lt;="&amp;U133)*I133+武将数量星级阶位验证!R129</f>
        <v>1824</v>
      </c>
      <c r="Y133" s="41">
        <f>SUMIFS(武将进阶!H$13:H$18,武将进阶!$C$13:$C$18,"&lt;="&amp;V133)*J133+武将数量星级阶位验证!S129</f>
        <v>642</v>
      </c>
      <c r="Z133" s="41">
        <f>SUMIFS(武将进阶!I$13:I$18,武将进阶!$C$13:$C$18,"&lt;="&amp;W133)*K133+武将数量星级阶位验证!T129</f>
        <v>0</v>
      </c>
      <c r="AA133" s="29"/>
      <c r="AB133" s="29">
        <f>求节点(基础状态预期!$AT$17:$AT$55,基础状态预期!AW$17:AW$55,各r阵容卡情况!$F133)</f>
        <v>2</v>
      </c>
      <c r="AC133" s="29">
        <f>求节点(基础状态预期!$AT$17:$AT$55,基础状态预期!AX$17:AX$55,各r阵容卡情况!$F133)</f>
        <v>2</v>
      </c>
      <c r="AD133" s="29">
        <f>求节点(基础状态预期!$AT$17:$AT$55,基础状态预期!AY$17:AY$55,各r阵容卡情况!$F133)</f>
        <v>2</v>
      </c>
      <c r="AE133" s="41">
        <f>IF(AA133&lt;1,0,(AA133-1)*武将觉醒!E$34*G133)+武将数量星级阶位验证!V129</f>
        <v>0</v>
      </c>
      <c r="AF133" s="41">
        <f>IF(AB133&lt;1,0,(AB133-1)*武将觉醒!F$34*H133)+武将数量星级阶位验证!W129</f>
        <v>0</v>
      </c>
      <c r="AG133" s="41">
        <f>IF(AC133&lt;1,0,(AC133-1)*武将觉醒!G$34*I133)+武将数量星级阶位验证!X129</f>
        <v>24</v>
      </c>
      <c r="AH133" s="41">
        <f>IF(AD133&lt;1,0,(AD133-1)*武将觉醒!H$34*J133)+武将数量星级阶位验证!Y129</f>
        <v>0</v>
      </c>
      <c r="AJ133" s="29">
        <f>MAX(W133+AE133+G133*(K133+1)+IF(武将数量星级阶位验证!L129="",0,武将数量星级阶位验证!L129)*武将升星!P126,O133)</f>
        <v>24</v>
      </c>
      <c r="AK133" s="29">
        <f>MAX(X133+AF133+H133*(L133+1)+IF(武将数量星级阶位验证!M129="",0,武将数量星级阶位验证!M129)*武将升星!Q126,P133)</f>
        <v>1824</v>
      </c>
      <c r="AL133" s="64">
        <f>MAX(Y133+AG133+I133*(M133+1)+IF(武将数量星级阶位验证!N129="",0,武将数量星级阶位验证!N129)*武将升星!R126,Q133)</f>
        <v>882</v>
      </c>
      <c r="AM133" s="41">
        <f t="shared" si="124"/>
        <v>108</v>
      </c>
      <c r="AO133" s="17">
        <f>武将数量星级阶位验证!BJ129</f>
        <v>146718.46078560787</v>
      </c>
      <c r="AP133" s="17">
        <f>武将数量星级阶位验证!BK129</f>
        <v>47150.277888473502</v>
      </c>
      <c r="AQ133" s="63">
        <f>武将数量星级阶位验证!BL129</f>
        <v>6838.666739135364</v>
      </c>
      <c r="AR133" s="17">
        <f>武将数量星级阶位验证!BM129</f>
        <v>2770.1864002270686</v>
      </c>
      <c r="AT133" s="17">
        <f t="shared" si="125"/>
        <v>10738</v>
      </c>
      <c r="AU133" s="17">
        <f t="shared" si="126"/>
        <v>139.56936219880694</v>
      </c>
      <c r="BA133" s="17">
        <v>6</v>
      </c>
      <c r="BB133" s="62">
        <f t="shared" si="127"/>
        <v>6</v>
      </c>
      <c r="BD133" s="17">
        <v>0</v>
      </c>
      <c r="BE133" s="17">
        <v>0</v>
      </c>
      <c r="BF133" s="17">
        <v>24</v>
      </c>
      <c r="BG133" s="17">
        <v>0</v>
      </c>
      <c r="BH133" s="62">
        <f t="shared" si="128"/>
        <v>24</v>
      </c>
      <c r="BJ133" s="17">
        <f t="shared" si="129"/>
        <v>0</v>
      </c>
      <c r="BK133" s="17">
        <f t="shared" si="130"/>
        <v>0</v>
      </c>
      <c r="BL133" s="17">
        <f t="shared" si="131"/>
        <v>24</v>
      </c>
      <c r="BM133" s="17">
        <f t="shared" si="132"/>
        <v>6</v>
      </c>
      <c r="BN133" s="62">
        <f t="shared" si="133"/>
        <v>30</v>
      </c>
      <c r="BR133" s="17">
        <f>武将升星!P126*基础状态预期!G139+G133*(K133+1)+W133+AE133</f>
        <v>0</v>
      </c>
      <c r="BS133" s="17">
        <f>武将升星!Q126*基础状态预期!H139+H133*(L133+1)+X133+AF133</f>
        <v>1824</v>
      </c>
      <c r="BT133" s="17">
        <f>武将升星!R126*基础状态预期!I139+I133*(M133+1)+Y133+AG133</f>
        <v>882</v>
      </c>
      <c r="BU133" s="17">
        <f>武将升星!S126*基础状态预期!J139+J133*(N133+1)+Z133+AH133</f>
        <v>108</v>
      </c>
    </row>
    <row r="134" spans="2:73" x14ac:dyDescent="0.15">
      <c r="B134" s="17">
        <v>37</v>
      </c>
      <c r="C134" s="17">
        <f t="shared" si="116"/>
        <v>24</v>
      </c>
      <c r="D134" s="17">
        <v>34</v>
      </c>
      <c r="E134" s="29">
        <f>基础状态预期!C140</f>
        <v>13678</v>
      </c>
      <c r="F134" s="29">
        <f>基础状态预期!D140</f>
        <v>143.08413721822018</v>
      </c>
      <c r="G134" s="29">
        <f t="shared" si="117"/>
        <v>0</v>
      </c>
      <c r="H134" s="29">
        <f t="shared" si="118"/>
        <v>0</v>
      </c>
      <c r="I134" s="29">
        <f t="shared" si="119"/>
        <v>24</v>
      </c>
      <c r="J134" s="29">
        <f t="shared" si="120"/>
        <v>0</v>
      </c>
      <c r="K134" s="29">
        <f>武将战力价值情况!G130</f>
        <v>3</v>
      </c>
      <c r="L134" s="29">
        <f>武将战力价值情况!H130</f>
        <v>6</v>
      </c>
      <c r="M134" s="29">
        <f>武将战力价值情况!I130</f>
        <v>8</v>
      </c>
      <c r="N134" s="29">
        <f>武将战力价值情况!J130</f>
        <v>8</v>
      </c>
      <c r="O134" s="41">
        <f>MAX(同名需求(G134,求节点(武将升星!$C$104:$C$112,武将升星!E$104:E$112,K134),F$2),武将数量星级阶位验证!AA130)</f>
        <v>24</v>
      </c>
      <c r="P134" s="41">
        <f>MAX(同名需求(H134,求节点(武将升星!$C$104:$C$112,武将升星!F$104:F$112,L134),G$2),武将数量星级阶位验证!AB130)</f>
        <v>120</v>
      </c>
      <c r="Q134" s="41">
        <f>MAX(同名需求(I134,求节点(武将升星!$C$104:$C$112,武将升星!G$104:G$112,M134),H$2),武将数量星级阶位验证!AC130)</f>
        <v>704</v>
      </c>
      <c r="R134" s="41">
        <f>MAX(同名需求(J134,求节点(武将升星!$C$104:$C$112,武将升星!H$104:H$112,N134),I$2),武将数量星级阶位验证!AD130)</f>
        <v>108</v>
      </c>
      <c r="S134" s="29">
        <f>MAX(基础状态预期!P140:T140)</f>
        <v>5</v>
      </c>
      <c r="T134" s="29">
        <f t="shared" si="121"/>
        <v>5</v>
      </c>
      <c r="U134" s="29">
        <f t="shared" si="122"/>
        <v>5</v>
      </c>
      <c r="V134" s="29">
        <f t="shared" si="123"/>
        <v>5</v>
      </c>
      <c r="W134" s="41">
        <f>SUMIFS(武将进阶!F$13:F$18,武将进阶!$C$13:$C$18,"&lt;="&amp;T134)*H134+武将数量星级阶位验证!Q130</f>
        <v>0</v>
      </c>
      <c r="X134" s="41">
        <f>SUMIFS(武将进阶!G$13:G$18,武将进阶!$C$13:$C$18,"&lt;="&amp;U134)*I134+武将数量星级阶位验证!R130</f>
        <v>1824</v>
      </c>
      <c r="Y134" s="41">
        <f>SUMIFS(武将进阶!H$13:H$18,武将进阶!$C$13:$C$18,"&lt;="&amp;V134)*J134+武将数量星级阶位验证!S130</f>
        <v>642</v>
      </c>
      <c r="Z134" s="41">
        <f>SUMIFS(武将进阶!I$13:I$18,武将进阶!$C$13:$C$18,"&lt;="&amp;W134)*K134+武将数量星级阶位验证!T130</f>
        <v>0</v>
      </c>
      <c r="AA134" s="29"/>
      <c r="AB134" s="29">
        <f>求节点(基础状态预期!$AT$17:$AT$55,基础状态预期!AW$17:AW$55,各r阵容卡情况!$F134)</f>
        <v>2</v>
      </c>
      <c r="AC134" s="29">
        <f>求节点(基础状态预期!$AT$17:$AT$55,基础状态预期!AX$17:AX$55,各r阵容卡情况!$F134)</f>
        <v>2</v>
      </c>
      <c r="AD134" s="29">
        <f>求节点(基础状态预期!$AT$17:$AT$55,基础状态预期!AY$17:AY$55,各r阵容卡情况!$F134)</f>
        <v>2</v>
      </c>
      <c r="AE134" s="41">
        <f>IF(AA134&lt;1,0,(AA134-1)*武将觉醒!E$34*G134)+武将数量星级阶位验证!V130</f>
        <v>0</v>
      </c>
      <c r="AF134" s="41">
        <f>IF(AB134&lt;1,0,(AB134-1)*武将觉醒!F$34*H134)+武将数量星级阶位验证!W130</f>
        <v>0</v>
      </c>
      <c r="AG134" s="41">
        <f>IF(AC134&lt;1,0,(AC134-1)*武将觉醒!G$34*I134)+武将数量星级阶位验证!X130</f>
        <v>24</v>
      </c>
      <c r="AH134" s="41">
        <f>IF(AD134&lt;1,0,(AD134-1)*武将觉醒!H$34*J134)+武将数量星级阶位验证!Y130</f>
        <v>0</v>
      </c>
      <c r="AJ134" s="29">
        <f>MAX(W134+AE134+G134*(K134+1)+IF(武将数量星级阶位验证!L130="",0,武将数量星级阶位验证!L130)*武将升星!P127,O134)</f>
        <v>24</v>
      </c>
      <c r="AK134" s="29">
        <f>MAX(X134+AF134+H134*(L134+1)+IF(武将数量星级阶位验证!M130="",0,武将数量星级阶位验证!M130)*武将升星!Q127,P134)</f>
        <v>1824</v>
      </c>
      <c r="AL134" s="64">
        <f>MAX(Y134+AG134+I134*(M134+1)+IF(武将数量星级阶位验证!N130="",0,武将数量星级阶位验证!N130)*武将升星!R127,Q134)</f>
        <v>882</v>
      </c>
      <c r="AM134" s="41">
        <f t="shared" si="124"/>
        <v>108</v>
      </c>
      <c r="AO134" s="17">
        <f>武将数量星级阶位验证!BJ130</f>
        <v>185406.59618809642</v>
      </c>
      <c r="AP134" s="17">
        <f>武将数量星级阶位验证!BK130</f>
        <v>59282.513241170018</v>
      </c>
      <c r="AQ134" s="63">
        <f>武将数量星级阶位验证!BL130</f>
        <v>8585.0020420398414</v>
      </c>
      <c r="AR134" s="17">
        <f>武将数量星级阶位验证!BM130</f>
        <v>3465.1875819697552</v>
      </c>
      <c r="AT134" s="17">
        <f t="shared" si="125"/>
        <v>13678</v>
      </c>
      <c r="AU134" s="17">
        <f t="shared" si="126"/>
        <v>143.08413721822018</v>
      </c>
      <c r="BA134" s="17">
        <v>6</v>
      </c>
      <c r="BB134" s="62">
        <f t="shared" si="127"/>
        <v>6</v>
      </c>
      <c r="BD134" s="17">
        <v>0</v>
      </c>
      <c r="BE134" s="17">
        <v>0</v>
      </c>
      <c r="BF134" s="17">
        <v>24</v>
      </c>
      <c r="BG134" s="17">
        <v>0</v>
      </c>
      <c r="BH134" s="62">
        <f t="shared" si="128"/>
        <v>24</v>
      </c>
      <c r="BJ134" s="17">
        <f t="shared" si="129"/>
        <v>0</v>
      </c>
      <c r="BK134" s="17">
        <f t="shared" si="130"/>
        <v>0</v>
      </c>
      <c r="BL134" s="17">
        <f t="shared" si="131"/>
        <v>24</v>
      </c>
      <c r="BM134" s="17">
        <f t="shared" si="132"/>
        <v>6</v>
      </c>
      <c r="BN134" s="62">
        <f t="shared" si="133"/>
        <v>30</v>
      </c>
      <c r="BR134" s="17">
        <f>武将升星!P127*基础状态预期!G140+G134*(K134+1)+W134+AE134</f>
        <v>0</v>
      </c>
      <c r="BS134" s="17">
        <f>武将升星!Q127*基础状态预期!H140+H134*(L134+1)+X134+AF134</f>
        <v>1824</v>
      </c>
      <c r="BT134" s="17">
        <f>武将升星!R127*基础状态预期!I140+I134*(M134+1)+Y134+AG134</f>
        <v>882</v>
      </c>
      <c r="BU134" s="17">
        <f>武将升星!S127*基础状态预期!J140+J134*(N134+1)+Z134+AH134</f>
        <v>108</v>
      </c>
    </row>
    <row r="135" spans="2:73" x14ac:dyDescent="0.15">
      <c r="B135" s="17">
        <v>38</v>
      </c>
      <c r="C135" s="17">
        <f t="shared" si="116"/>
        <v>24</v>
      </c>
      <c r="D135" s="17">
        <v>35</v>
      </c>
      <c r="E135" s="29">
        <f>基础状态预期!C141</f>
        <v>17416</v>
      </c>
      <c r="F135" s="29">
        <f>基础状态预期!D141</f>
        <v>146.62302564097175</v>
      </c>
      <c r="G135" s="29">
        <f t="shared" si="117"/>
        <v>0</v>
      </c>
      <c r="H135" s="29">
        <f t="shared" si="118"/>
        <v>0</v>
      </c>
      <c r="I135" s="29">
        <f t="shared" si="119"/>
        <v>24</v>
      </c>
      <c r="J135" s="29">
        <f t="shared" si="120"/>
        <v>0</v>
      </c>
      <c r="K135" s="29">
        <f>武将战力价值情况!G131</f>
        <v>3</v>
      </c>
      <c r="L135" s="29">
        <f>武将战力价值情况!H131</f>
        <v>6</v>
      </c>
      <c r="M135" s="29">
        <f>武将战力价值情况!I131</f>
        <v>8</v>
      </c>
      <c r="N135" s="29">
        <f>武将战力价值情况!J131</f>
        <v>8</v>
      </c>
      <c r="O135" s="41">
        <f>MAX(同名需求(G135,求节点(武将升星!$C$104:$C$112,武将升星!E$104:E$112,K135),F$2),武将数量星级阶位验证!AA131)</f>
        <v>24</v>
      </c>
      <c r="P135" s="41">
        <f>MAX(同名需求(H135,求节点(武将升星!$C$104:$C$112,武将升星!F$104:F$112,L135),G$2),武将数量星级阶位验证!AB131)</f>
        <v>120</v>
      </c>
      <c r="Q135" s="41">
        <f>MAX(同名需求(I135,求节点(武将升星!$C$104:$C$112,武将升星!G$104:G$112,M135),H$2),武将数量星级阶位验证!AC131)</f>
        <v>704</v>
      </c>
      <c r="R135" s="41">
        <f>MAX(同名需求(J135,求节点(武将升星!$C$104:$C$112,武将升星!H$104:H$112,N135),I$2),武将数量星级阶位验证!AD131)</f>
        <v>108</v>
      </c>
      <c r="S135" s="29">
        <f>MAX(基础状态预期!P141:T141)</f>
        <v>5</v>
      </c>
      <c r="T135" s="29">
        <f t="shared" si="121"/>
        <v>5</v>
      </c>
      <c r="U135" s="29">
        <f t="shared" si="122"/>
        <v>5</v>
      </c>
      <c r="V135" s="29">
        <f t="shared" si="123"/>
        <v>5</v>
      </c>
      <c r="W135" s="41">
        <f>SUMIFS(武将进阶!F$13:F$18,武将进阶!$C$13:$C$18,"&lt;="&amp;T135)*H135+武将数量星级阶位验证!Q131</f>
        <v>0</v>
      </c>
      <c r="X135" s="41">
        <f>SUMIFS(武将进阶!G$13:G$18,武将进阶!$C$13:$C$18,"&lt;="&amp;U135)*I135+武将数量星级阶位验证!R131</f>
        <v>1824</v>
      </c>
      <c r="Y135" s="41">
        <f>SUMIFS(武将进阶!H$13:H$18,武将进阶!$C$13:$C$18,"&lt;="&amp;V135)*J135+武将数量星级阶位验证!S131</f>
        <v>642</v>
      </c>
      <c r="Z135" s="41">
        <f>SUMIFS(武将进阶!I$13:I$18,武将进阶!$C$13:$C$18,"&lt;="&amp;W135)*K135+武将数量星级阶位验证!T131</f>
        <v>0</v>
      </c>
      <c r="AA135" s="29"/>
      <c r="AB135" s="29">
        <f>求节点(基础状态预期!$AT$17:$AT$55,基础状态预期!AW$17:AW$55,各r阵容卡情况!$F135)</f>
        <v>2</v>
      </c>
      <c r="AC135" s="29">
        <f>求节点(基础状态预期!$AT$17:$AT$55,基础状态预期!AX$17:AX$55,各r阵容卡情况!$F135)</f>
        <v>2</v>
      </c>
      <c r="AD135" s="29">
        <f>求节点(基础状态预期!$AT$17:$AT$55,基础状态预期!AY$17:AY$55,各r阵容卡情况!$F135)</f>
        <v>2</v>
      </c>
      <c r="AE135" s="41">
        <f>IF(AA135&lt;1,0,(AA135-1)*武将觉醒!E$34*G135)+武将数量星级阶位验证!V131</f>
        <v>0</v>
      </c>
      <c r="AF135" s="41">
        <f>IF(AB135&lt;1,0,(AB135-1)*武将觉醒!F$34*H135)+武将数量星级阶位验证!W131</f>
        <v>0</v>
      </c>
      <c r="AG135" s="41">
        <f>IF(AC135&lt;1,0,(AC135-1)*武将觉醒!G$34*I135)+武将数量星级阶位验证!X131</f>
        <v>24</v>
      </c>
      <c r="AH135" s="41">
        <f>IF(AD135&lt;1,0,(AD135-1)*武将觉醒!H$34*J135)+武将数量星级阶位验证!Y131</f>
        <v>0</v>
      </c>
      <c r="AJ135" s="29">
        <f>MAX(W135+AE135+G135*(K135+1)+IF(武将数量星级阶位验证!L131="",0,武将数量星级阶位验证!L131)*武将升星!P128,O135)</f>
        <v>24</v>
      </c>
      <c r="AK135" s="29">
        <f>MAX(X135+AF135+H135*(L135+1)+IF(武将数量星级阶位验证!M131="",0,武将数量星级阶位验证!M131)*武将升星!Q128,P135)</f>
        <v>1824</v>
      </c>
      <c r="AL135" s="64">
        <f>MAX(Y135+AG135+I135*(M135+1)+IF(武将数量星级阶位验证!N131="",0,武将数量星级阶位验证!N131)*武将升星!R128,Q135)</f>
        <v>882</v>
      </c>
      <c r="AM135" s="41">
        <f t="shared" si="124"/>
        <v>108</v>
      </c>
      <c r="AO135" s="17">
        <f>武将数量星级阶位验证!BJ131</f>
        <v>234243.00015645439</v>
      </c>
      <c r="AP135" s="17">
        <f>武将数量星级阶位验证!BK131</f>
        <v>74517.082953795936</v>
      </c>
      <c r="AQ135" s="63">
        <f>武将数量星级阶位验证!BL131</f>
        <v>10776.73749893373</v>
      </c>
      <c r="AR135" s="17">
        <f>武将数量星级阶位验证!BM131</f>
        <v>4331.6688561060882</v>
      </c>
      <c r="AT135" s="17">
        <f t="shared" si="125"/>
        <v>17416</v>
      </c>
      <c r="AU135" s="17">
        <f t="shared" si="126"/>
        <v>146.62302564097175</v>
      </c>
      <c r="BA135" s="17">
        <v>6</v>
      </c>
      <c r="BB135" s="62">
        <f t="shared" si="127"/>
        <v>6</v>
      </c>
      <c r="BD135" s="17">
        <v>0</v>
      </c>
      <c r="BE135" s="17">
        <v>0</v>
      </c>
      <c r="BF135" s="17">
        <v>24</v>
      </c>
      <c r="BG135" s="17">
        <v>0</v>
      </c>
      <c r="BH135" s="62">
        <f t="shared" si="128"/>
        <v>24</v>
      </c>
      <c r="BJ135" s="17">
        <f t="shared" si="129"/>
        <v>0</v>
      </c>
      <c r="BK135" s="17">
        <f t="shared" si="130"/>
        <v>0</v>
      </c>
      <c r="BL135" s="17">
        <f t="shared" si="131"/>
        <v>24</v>
      </c>
      <c r="BM135" s="17">
        <f t="shared" si="132"/>
        <v>6</v>
      </c>
      <c r="BN135" s="62">
        <f t="shared" si="133"/>
        <v>30</v>
      </c>
      <c r="BR135" s="17">
        <f>武将升星!P128*基础状态预期!G141+G135*(K135+1)+W135+AE135</f>
        <v>0</v>
      </c>
      <c r="BS135" s="17">
        <f>武将升星!Q128*基础状态预期!H141+H135*(L135+1)+X135+AF135</f>
        <v>1824</v>
      </c>
      <c r="BT135" s="17">
        <f>武将升星!R128*基础状态预期!I141+I135*(M135+1)+Y135+AG135</f>
        <v>882</v>
      </c>
      <c r="BU135" s="17">
        <f>武将升星!S128*基础状态预期!J141+J135*(N135+1)+Z135+AH135</f>
        <v>108</v>
      </c>
    </row>
    <row r="136" spans="2:73" x14ac:dyDescent="0.15">
      <c r="B136" s="17">
        <v>39</v>
      </c>
      <c r="C136" s="17">
        <f t="shared" si="116"/>
        <v>24</v>
      </c>
      <c r="D136" s="17">
        <v>36</v>
      </c>
      <c r="E136" s="29">
        <f>基础状态预期!C142</f>
        <v>22204</v>
      </c>
      <c r="F136" s="29">
        <f>基础状态预期!D142</f>
        <v>150.12999034316616</v>
      </c>
      <c r="G136" s="29">
        <f t="shared" si="117"/>
        <v>0</v>
      </c>
      <c r="H136" s="29">
        <f t="shared" si="118"/>
        <v>0</v>
      </c>
      <c r="I136" s="29">
        <f t="shared" si="119"/>
        <v>24</v>
      </c>
      <c r="J136" s="29">
        <f t="shared" si="120"/>
        <v>0</v>
      </c>
      <c r="K136" s="29">
        <f>武将战力价值情况!G132</f>
        <v>3</v>
      </c>
      <c r="L136" s="29">
        <f>武将战力价值情况!H132</f>
        <v>6</v>
      </c>
      <c r="M136" s="29">
        <f>武将战力价值情况!I132</f>
        <v>8</v>
      </c>
      <c r="N136" s="29">
        <f>武将战力价值情况!J132</f>
        <v>8</v>
      </c>
      <c r="O136" s="41">
        <f>MAX(同名需求(G136,求节点(武将升星!$C$104:$C$112,武将升星!E$104:E$112,K136),F$2),武将数量星级阶位验证!AA132)</f>
        <v>24</v>
      </c>
      <c r="P136" s="41">
        <f>MAX(同名需求(H136,求节点(武将升星!$C$104:$C$112,武将升星!F$104:F$112,L136),G$2),武将数量星级阶位验证!AB132)</f>
        <v>120</v>
      </c>
      <c r="Q136" s="41">
        <f>MAX(同名需求(I136,求节点(武将升星!$C$104:$C$112,武将升星!G$104:G$112,M136),H$2),武将数量星级阶位验证!AC132)</f>
        <v>704</v>
      </c>
      <c r="R136" s="41">
        <f>MAX(同名需求(J136,求节点(武将升星!$C$104:$C$112,武将升星!H$104:H$112,N136),I$2),武将数量星级阶位验证!AD132)</f>
        <v>108</v>
      </c>
      <c r="S136" s="29">
        <f>MAX(基础状态预期!P142:T142)</f>
        <v>5</v>
      </c>
      <c r="T136" s="29">
        <f t="shared" si="121"/>
        <v>5</v>
      </c>
      <c r="U136" s="29">
        <f t="shared" si="122"/>
        <v>5</v>
      </c>
      <c r="V136" s="29">
        <f t="shared" si="123"/>
        <v>5</v>
      </c>
      <c r="W136" s="41">
        <f>SUMIFS(武将进阶!F$13:F$18,武将进阶!$C$13:$C$18,"&lt;="&amp;T136)*H136+武将数量星级阶位验证!Q132</f>
        <v>0</v>
      </c>
      <c r="X136" s="41">
        <f>SUMIFS(武将进阶!G$13:G$18,武将进阶!$C$13:$C$18,"&lt;="&amp;U136)*I136+武将数量星级阶位验证!R132</f>
        <v>1824</v>
      </c>
      <c r="Y136" s="41">
        <f>SUMIFS(武将进阶!H$13:H$18,武将进阶!$C$13:$C$18,"&lt;="&amp;V136)*J136+武将数量星级阶位验证!S132</f>
        <v>642</v>
      </c>
      <c r="Z136" s="41">
        <f>SUMIFS(武将进阶!I$13:I$18,武将进阶!$C$13:$C$18,"&lt;="&amp;W136)*K136+武将数量星级阶位验证!T132</f>
        <v>0</v>
      </c>
      <c r="AA136" s="29"/>
      <c r="AB136" s="29">
        <f>求节点(基础状态预期!$AT$17:$AT$55,基础状态预期!AW$17:AW$55,各r阵容卡情况!$F136)</f>
        <v>2</v>
      </c>
      <c r="AC136" s="29">
        <f>求节点(基础状态预期!$AT$17:$AT$55,基础状态预期!AX$17:AX$55,各r阵容卡情况!$F136)</f>
        <v>2</v>
      </c>
      <c r="AD136" s="29">
        <f>求节点(基础状态预期!$AT$17:$AT$55,基础状态预期!AY$17:AY$55,各r阵容卡情况!$F136)</f>
        <v>2</v>
      </c>
      <c r="AE136" s="41">
        <f>IF(AA136&lt;1,0,(AA136-1)*武将觉醒!E$34*G136)+武将数量星级阶位验证!V132</f>
        <v>0</v>
      </c>
      <c r="AF136" s="41">
        <f>IF(AB136&lt;1,0,(AB136-1)*武将觉醒!F$34*H136)+武将数量星级阶位验证!W132</f>
        <v>0</v>
      </c>
      <c r="AG136" s="41">
        <f>IF(AC136&lt;1,0,(AC136-1)*武将觉醒!G$34*I136)+武将数量星级阶位验证!X132</f>
        <v>24</v>
      </c>
      <c r="AH136" s="41">
        <f>IF(AD136&lt;1,0,(AD136-1)*武将觉醒!H$34*J136)+武将数量星级阶位验证!Y132</f>
        <v>0</v>
      </c>
      <c r="AJ136" s="29">
        <f>MAX(W136+AE136+G136*(K136+1)+IF(武将数量星级阶位验证!L132="",0,武将数量星级阶位验证!L132)*武将升星!P129,O136)</f>
        <v>24</v>
      </c>
      <c r="AK136" s="29">
        <f>MAX(X136+AF136+H136*(L136+1)+IF(武将数量星级阶位验证!M132="",0,武将数量星级阶位验证!M132)*武将升星!Q129,P136)</f>
        <v>1824</v>
      </c>
      <c r="AL136" s="64">
        <f>MAX(Y136+AG136+I136*(M136+1)+IF(武将数量星级阶位验证!N132="",0,武将数量星级阶位验证!N132)*武将升星!R129,Q136)</f>
        <v>882</v>
      </c>
      <c r="AM136" s="41">
        <f t="shared" si="124"/>
        <v>108</v>
      </c>
      <c r="AO136" s="17">
        <f>武将数量星级阶位验证!BJ132</f>
        <v>296484.69830896147</v>
      </c>
      <c r="AP136" s="17">
        <f>武将数量星级阶位验证!BK132</f>
        <v>93861.94682001599</v>
      </c>
      <c r="AQ136" s="63">
        <f>武将数量星级阶位验证!BL132</f>
        <v>13558.767078866738</v>
      </c>
      <c r="AR136" s="17">
        <f>武将数量星级阶位验证!BM132</f>
        <v>5426.3266040658928</v>
      </c>
      <c r="AT136" s="17">
        <f t="shared" si="125"/>
        <v>22204</v>
      </c>
      <c r="AU136" s="17">
        <f t="shared" si="126"/>
        <v>150.12999034316616</v>
      </c>
      <c r="BA136" s="17">
        <v>6</v>
      </c>
      <c r="BB136" s="62">
        <f t="shared" si="127"/>
        <v>6</v>
      </c>
      <c r="BD136" s="17">
        <v>0</v>
      </c>
      <c r="BE136" s="17">
        <v>0</v>
      </c>
      <c r="BF136" s="17">
        <v>24</v>
      </c>
      <c r="BG136" s="17">
        <v>0</v>
      </c>
      <c r="BH136" s="62">
        <f t="shared" si="128"/>
        <v>24</v>
      </c>
      <c r="BJ136" s="17">
        <f t="shared" si="129"/>
        <v>0</v>
      </c>
      <c r="BK136" s="17">
        <f t="shared" si="130"/>
        <v>0</v>
      </c>
      <c r="BL136" s="17">
        <f t="shared" si="131"/>
        <v>24</v>
      </c>
      <c r="BM136" s="17">
        <f t="shared" si="132"/>
        <v>6</v>
      </c>
      <c r="BN136" s="62">
        <f t="shared" si="133"/>
        <v>30</v>
      </c>
      <c r="BR136" s="17">
        <f>武将升星!P129*基础状态预期!G142+G136*(K136+1)+W136+AE136</f>
        <v>0</v>
      </c>
      <c r="BS136" s="17">
        <f>武将升星!Q129*基础状态预期!H142+H136*(L136+1)+X136+AF136</f>
        <v>1824</v>
      </c>
      <c r="BT136" s="17">
        <f>武将升星!R129*基础状态预期!I142+I136*(M136+1)+Y136+AG136</f>
        <v>882</v>
      </c>
      <c r="BU136" s="17">
        <f>武将升星!S129*基础状态预期!J142+J136*(N136+1)+Z136+AH136</f>
        <v>108</v>
      </c>
    </row>
    <row r="137" spans="2:73" x14ac:dyDescent="0.15">
      <c r="B137" s="17">
        <v>40</v>
      </c>
      <c r="C137" s="17">
        <f t="shared" si="116"/>
        <v>24</v>
      </c>
      <c r="D137" s="17">
        <v>37</v>
      </c>
      <c r="E137" s="29">
        <f>基础状态预期!C143</f>
        <v>28294</v>
      </c>
      <c r="F137" s="29">
        <f>基础状态预期!D143</f>
        <v>153.11600330857166</v>
      </c>
      <c r="G137" s="29">
        <f t="shared" si="117"/>
        <v>0</v>
      </c>
      <c r="H137" s="29">
        <f t="shared" si="118"/>
        <v>0</v>
      </c>
      <c r="I137" s="29">
        <f t="shared" si="119"/>
        <v>24</v>
      </c>
      <c r="J137" s="29">
        <f t="shared" si="120"/>
        <v>0</v>
      </c>
      <c r="K137" s="29">
        <f>武将战力价值情况!G133</f>
        <v>3</v>
      </c>
      <c r="L137" s="29">
        <f>武将战力价值情况!H133</f>
        <v>6</v>
      </c>
      <c r="M137" s="29">
        <f>武将战力价值情况!I133</f>
        <v>8</v>
      </c>
      <c r="N137" s="29">
        <f>武将战力价值情况!J133</f>
        <v>8</v>
      </c>
      <c r="O137" s="41">
        <f>MAX(同名需求(G137,求节点(武将升星!$C$104:$C$112,武将升星!E$104:E$112,K137),F$2),武将数量星级阶位验证!AA133)</f>
        <v>24</v>
      </c>
      <c r="P137" s="41">
        <f>MAX(同名需求(H137,求节点(武将升星!$C$104:$C$112,武将升星!F$104:F$112,L137),G$2),武将数量星级阶位验证!AB133)</f>
        <v>120</v>
      </c>
      <c r="Q137" s="41">
        <f>MAX(同名需求(I137,求节点(武将升星!$C$104:$C$112,武将升星!G$104:G$112,M137),H$2),武将数量星级阶位验证!AC133)</f>
        <v>704</v>
      </c>
      <c r="R137" s="41">
        <f>MAX(同名需求(J137,求节点(武将升星!$C$104:$C$112,武将升星!H$104:H$112,N137),I$2),武将数量星级阶位验证!AD133)</f>
        <v>108</v>
      </c>
      <c r="S137" s="29">
        <f>MAX(基础状态预期!P143:T143)</f>
        <v>5</v>
      </c>
      <c r="T137" s="29">
        <f t="shared" si="121"/>
        <v>5</v>
      </c>
      <c r="U137" s="29">
        <f t="shared" si="122"/>
        <v>5</v>
      </c>
      <c r="V137" s="29">
        <f t="shared" si="123"/>
        <v>5</v>
      </c>
      <c r="W137" s="41">
        <f>SUMIFS(武将进阶!F$13:F$18,武将进阶!$C$13:$C$18,"&lt;="&amp;T137)*H137+武将数量星级阶位验证!Q133</f>
        <v>0</v>
      </c>
      <c r="X137" s="41">
        <f>SUMIFS(武将进阶!G$13:G$18,武将进阶!$C$13:$C$18,"&lt;="&amp;U137)*I137+武将数量星级阶位验证!R133</f>
        <v>1824</v>
      </c>
      <c r="Y137" s="41">
        <f>SUMIFS(武将进阶!H$13:H$18,武将进阶!$C$13:$C$18,"&lt;="&amp;V137)*J137+武将数量星级阶位验证!S133</f>
        <v>642</v>
      </c>
      <c r="Z137" s="41">
        <f>SUMIFS(武将进阶!I$13:I$18,武将进阶!$C$13:$C$18,"&lt;="&amp;W137)*K137+武将数量星级阶位验证!T133</f>
        <v>0</v>
      </c>
      <c r="AA137" s="29"/>
      <c r="AB137" s="29">
        <f>求节点(基础状态预期!$AT$17:$AT$55,基础状态预期!AW$17:AW$55,各r阵容卡情况!$F137)</f>
        <v>2</v>
      </c>
      <c r="AC137" s="29">
        <f>求节点(基础状态预期!$AT$17:$AT$55,基础状态预期!AX$17:AX$55,各r阵容卡情况!$F137)</f>
        <v>2</v>
      </c>
      <c r="AD137" s="29">
        <f>求节点(基础状态预期!$AT$17:$AT$55,基础状态预期!AY$17:AY$55,各r阵容卡情况!$F137)</f>
        <v>2</v>
      </c>
      <c r="AE137" s="41">
        <f>IF(AA137&lt;1,0,(AA137-1)*武将觉醒!E$34*G137)+武将数量星级阶位验证!V133</f>
        <v>0</v>
      </c>
      <c r="AF137" s="41">
        <f>IF(AB137&lt;1,0,(AB137-1)*武将觉醒!F$34*H137)+武将数量星级阶位验证!W133</f>
        <v>0</v>
      </c>
      <c r="AG137" s="41">
        <f>IF(AC137&lt;1,0,(AC137-1)*武将觉醒!G$34*I137)+武将数量星级阶位验证!X133</f>
        <v>24</v>
      </c>
      <c r="AH137" s="41">
        <f>IF(AD137&lt;1,0,(AD137-1)*武将觉醒!H$34*J137)+武将数量星级阶位验证!Y133</f>
        <v>0</v>
      </c>
      <c r="AJ137" s="29">
        <f>MAX(W137+AE137+G137*(K137+1)+IF(武将数量星级阶位验证!L133="",0,武将数量星级阶位验证!L133)*武将升星!P130,O137)</f>
        <v>24</v>
      </c>
      <c r="AK137" s="29">
        <f>MAX(X137+AF137+H137*(L137+1)+IF(武将数量星级阶位验证!M133="",0,武将数量星级阶位验证!M133)*武将升星!Q130,P137)</f>
        <v>1824</v>
      </c>
      <c r="AL137" s="64">
        <f>MAX(Y137+AG137+I137*(M137+1)+IF(武将数量星级阶位验证!N133="",0,武将数量星级阶位验证!N133)*武将升星!R130,Q137)</f>
        <v>882</v>
      </c>
      <c r="AM137" s="41">
        <f t="shared" si="124"/>
        <v>108</v>
      </c>
      <c r="AO137" s="17">
        <f>武将数量星级阶位验证!BJ133</f>
        <v>375177.15291535424</v>
      </c>
      <c r="AP137" s="17">
        <f>武将数量星级阶位验证!BK133</f>
        <v>118210.70606671476</v>
      </c>
      <c r="AQ137" s="63">
        <f>武将数量星级阶位验证!BL133</f>
        <v>17058.830965871552</v>
      </c>
      <c r="AR137" s="17">
        <f>武将数量星级阶位验证!BM133</f>
        <v>6795.5649362687818</v>
      </c>
      <c r="AT137" s="17">
        <f t="shared" si="125"/>
        <v>28294</v>
      </c>
      <c r="AU137" s="17">
        <f t="shared" si="126"/>
        <v>153.11600330857166</v>
      </c>
      <c r="BA137" s="17">
        <v>6</v>
      </c>
      <c r="BB137" s="62">
        <f t="shared" si="127"/>
        <v>6</v>
      </c>
      <c r="BD137" s="17">
        <v>0</v>
      </c>
      <c r="BE137" s="17">
        <v>0</v>
      </c>
      <c r="BF137" s="17">
        <v>24</v>
      </c>
      <c r="BG137" s="17">
        <v>0</v>
      </c>
      <c r="BH137" s="62">
        <f t="shared" si="128"/>
        <v>24</v>
      </c>
      <c r="BJ137" s="17">
        <f t="shared" si="129"/>
        <v>0</v>
      </c>
      <c r="BK137" s="17">
        <f t="shared" si="130"/>
        <v>0</v>
      </c>
      <c r="BL137" s="17">
        <f t="shared" si="131"/>
        <v>24</v>
      </c>
      <c r="BM137" s="17">
        <f t="shared" si="132"/>
        <v>6</v>
      </c>
      <c r="BN137" s="62">
        <f t="shared" si="133"/>
        <v>30</v>
      </c>
      <c r="BR137" s="17">
        <f>武将升星!P130*基础状态预期!G143+G137*(K137+1)+W137+AE137</f>
        <v>0</v>
      </c>
      <c r="BS137" s="17">
        <f>武将升星!Q130*基础状态预期!H143+H137*(L137+1)+X137+AF137</f>
        <v>1824</v>
      </c>
      <c r="BT137" s="17">
        <f>武将升星!R130*基础状态预期!I143+I137*(M137+1)+Y137+AG137</f>
        <v>882</v>
      </c>
      <c r="BU137" s="17">
        <f>武将升星!S130*基础状态预期!J143+J137*(N137+1)+Z137+AH137</f>
        <v>108</v>
      </c>
    </row>
    <row r="138" spans="2:73" x14ac:dyDescent="0.15">
      <c r="B138" s="17">
        <v>41</v>
      </c>
      <c r="C138" s="17">
        <f t="shared" si="116"/>
        <v>24</v>
      </c>
      <c r="D138" s="17">
        <v>38</v>
      </c>
      <c r="E138" s="29">
        <f>基础状态预期!C144</f>
        <v>36064</v>
      </c>
      <c r="F138" s="29">
        <f>基础状态预期!D144</f>
        <v>154.20294442048996</v>
      </c>
      <c r="G138" s="29">
        <f t="shared" si="117"/>
        <v>0</v>
      </c>
      <c r="H138" s="29">
        <f t="shared" si="118"/>
        <v>0</v>
      </c>
      <c r="I138" s="29">
        <f t="shared" si="119"/>
        <v>24</v>
      </c>
      <c r="J138" s="29">
        <f t="shared" si="120"/>
        <v>0</v>
      </c>
      <c r="K138" s="29">
        <f>武将战力价值情况!G134</f>
        <v>3</v>
      </c>
      <c r="L138" s="29">
        <f>武将战力价值情况!H134</f>
        <v>6</v>
      </c>
      <c r="M138" s="29">
        <f>武将战力价值情况!I134</f>
        <v>8</v>
      </c>
      <c r="N138" s="29">
        <f>武将战力价值情况!J134</f>
        <v>8</v>
      </c>
      <c r="O138" s="41">
        <f>MAX(同名需求(G138,求节点(武将升星!$C$104:$C$112,武将升星!E$104:E$112,K138),F$2),武将数量星级阶位验证!AA134)</f>
        <v>24</v>
      </c>
      <c r="P138" s="41">
        <f>MAX(同名需求(H138,求节点(武将升星!$C$104:$C$112,武将升星!F$104:F$112,L138),G$2),武将数量星级阶位验证!AB134)</f>
        <v>120</v>
      </c>
      <c r="Q138" s="41">
        <f>MAX(同名需求(I138,求节点(武将升星!$C$104:$C$112,武将升星!G$104:G$112,M138),H$2),武将数量星级阶位验证!AC134)</f>
        <v>704</v>
      </c>
      <c r="R138" s="41">
        <f>MAX(同名需求(J138,求节点(武将升星!$C$104:$C$112,武将升星!H$104:H$112,N138),I$2),武将数量星级阶位验证!AD134)</f>
        <v>108</v>
      </c>
      <c r="S138" s="29">
        <f>MAX(基础状态预期!P144:T144)</f>
        <v>5</v>
      </c>
      <c r="T138" s="29">
        <f t="shared" si="121"/>
        <v>5</v>
      </c>
      <c r="U138" s="29">
        <f t="shared" si="122"/>
        <v>5</v>
      </c>
      <c r="V138" s="29">
        <f t="shared" si="123"/>
        <v>5</v>
      </c>
      <c r="W138" s="41">
        <f>SUMIFS(武将进阶!F$13:F$18,武将进阶!$C$13:$C$18,"&lt;="&amp;T138)*H138+武将数量星级阶位验证!Q134</f>
        <v>0</v>
      </c>
      <c r="X138" s="41">
        <f>SUMIFS(武将进阶!G$13:G$18,武将进阶!$C$13:$C$18,"&lt;="&amp;U138)*I138+武将数量星级阶位验证!R134</f>
        <v>1824</v>
      </c>
      <c r="Y138" s="41">
        <f>SUMIFS(武将进阶!H$13:H$18,武将进阶!$C$13:$C$18,"&lt;="&amp;V138)*J138+武将数量星级阶位验证!S134</f>
        <v>642</v>
      </c>
      <c r="Z138" s="41">
        <f>SUMIFS(武将进阶!I$13:I$18,武将进阶!$C$13:$C$18,"&lt;="&amp;W138)*K138+武将数量星级阶位验证!T134</f>
        <v>0</v>
      </c>
      <c r="AA138" s="29"/>
      <c r="AB138" s="29">
        <f>求节点(基础状态预期!$AT$17:$AT$55,基础状态预期!AW$17:AW$55,各r阵容卡情况!$F138)</f>
        <v>2</v>
      </c>
      <c r="AC138" s="29">
        <f>求节点(基础状态预期!$AT$17:$AT$55,基础状态预期!AX$17:AX$55,各r阵容卡情况!$F138)</f>
        <v>2</v>
      </c>
      <c r="AD138" s="29">
        <f>求节点(基础状态预期!$AT$17:$AT$55,基础状态预期!AY$17:AY$55,各r阵容卡情况!$F138)</f>
        <v>2</v>
      </c>
      <c r="AE138" s="41">
        <f>IF(AA138&lt;1,0,(AA138-1)*武将觉醒!E$34*G138)+武将数量星级阶位验证!V134</f>
        <v>0</v>
      </c>
      <c r="AF138" s="41">
        <f>IF(AB138&lt;1,0,(AB138-1)*武将觉醒!F$34*H138)+武将数量星级阶位验证!W134</f>
        <v>0</v>
      </c>
      <c r="AG138" s="41">
        <f>IF(AC138&lt;1,0,(AC138-1)*武将觉醒!G$34*I138)+武将数量星级阶位验证!X134</f>
        <v>24</v>
      </c>
      <c r="AH138" s="41">
        <f>IF(AD138&lt;1,0,(AD138-1)*武将觉醒!H$34*J138)+武将数量星级阶位验证!Y134</f>
        <v>0</v>
      </c>
      <c r="AJ138" s="29">
        <f>MAX(W138+AE138+G138*(K138+1)+IF(武将数量星级阶位验证!L134="",0,武将数量星级阶位验证!L134)*武将升星!P131,O138)</f>
        <v>24</v>
      </c>
      <c r="AK138" s="29">
        <f>MAX(X138+AF138+H138*(L138+1)+IF(武将数量星级阶位验证!M134="",0,武将数量星级阶位验证!M134)*武将升星!Q131,P138)</f>
        <v>1824</v>
      </c>
      <c r="AL138" s="64">
        <f>MAX(Y138+AG138+I138*(M138+1)+IF(武将数量星级阶位验证!N134="",0,武将数量星级阶位验证!N134)*武将升星!R131,Q138)</f>
        <v>882</v>
      </c>
      <c r="AM138" s="41">
        <f t="shared" si="124"/>
        <v>108</v>
      </c>
      <c r="AO138" s="17">
        <f>武将数量星级阶位验证!BJ134</f>
        <v>474938.97331406287</v>
      </c>
      <c r="AP138" s="17">
        <f>武将数量星级阶位验证!BK134</f>
        <v>148931.01439034106</v>
      </c>
      <c r="AQ138" s="63">
        <f>武将数量星级阶位验证!BL134</f>
        <v>21472.627214415497</v>
      </c>
      <c r="AR138" s="17">
        <f>武将数量星级阶位验证!BM134</f>
        <v>8511.4426853951481</v>
      </c>
      <c r="AT138" s="17">
        <f t="shared" si="125"/>
        <v>36064</v>
      </c>
      <c r="AU138" s="17">
        <f t="shared" si="126"/>
        <v>154.20294442048996</v>
      </c>
      <c r="BA138" s="17">
        <v>6</v>
      </c>
      <c r="BB138" s="62">
        <f t="shared" si="127"/>
        <v>6</v>
      </c>
      <c r="BD138" s="17">
        <v>0</v>
      </c>
      <c r="BE138" s="17">
        <v>0</v>
      </c>
      <c r="BF138" s="17">
        <v>24</v>
      </c>
      <c r="BG138" s="17">
        <v>0</v>
      </c>
      <c r="BH138" s="62">
        <f t="shared" si="128"/>
        <v>24</v>
      </c>
      <c r="BJ138" s="17">
        <f t="shared" si="129"/>
        <v>0</v>
      </c>
      <c r="BK138" s="17">
        <f t="shared" si="130"/>
        <v>0</v>
      </c>
      <c r="BL138" s="17">
        <f t="shared" si="131"/>
        <v>24</v>
      </c>
      <c r="BM138" s="17">
        <f t="shared" si="132"/>
        <v>6</v>
      </c>
      <c r="BN138" s="62">
        <f t="shared" si="133"/>
        <v>30</v>
      </c>
      <c r="BR138" s="17">
        <f>武将升星!P131*基础状态预期!G144+G138*(K138+1)+W138+AE138</f>
        <v>0</v>
      </c>
      <c r="BS138" s="17">
        <f>武将升星!Q131*基础状态预期!H144+H138*(L138+1)+X138+AF138</f>
        <v>1824</v>
      </c>
      <c r="BT138" s="17">
        <f>武将升星!R131*基础状态预期!I144+I138*(M138+1)+Y138+AG138</f>
        <v>882</v>
      </c>
      <c r="BU138" s="17">
        <f>武将升星!S131*基础状态预期!J144+J138*(N138+1)+Z138+AH138</f>
        <v>108</v>
      </c>
    </row>
    <row r="139" spans="2:73" x14ac:dyDescent="0.15">
      <c r="B139" s="17">
        <v>42</v>
      </c>
      <c r="C139" s="17">
        <f t="shared" si="116"/>
        <v>24</v>
      </c>
      <c r="D139" s="17">
        <v>39</v>
      </c>
      <c r="E139" s="29">
        <f>基础状态预期!C145</f>
        <v>45850</v>
      </c>
      <c r="F139" s="29">
        <f>基础状态预期!D145</f>
        <v>155.2512378743358</v>
      </c>
      <c r="G139" s="29">
        <f t="shared" si="117"/>
        <v>0</v>
      </c>
      <c r="H139" s="29">
        <f t="shared" si="118"/>
        <v>0</v>
      </c>
      <c r="I139" s="29">
        <f t="shared" si="119"/>
        <v>24</v>
      </c>
      <c r="J139" s="29">
        <f t="shared" si="120"/>
        <v>0</v>
      </c>
      <c r="K139" s="29">
        <f>武将战力价值情况!G135</f>
        <v>3</v>
      </c>
      <c r="L139" s="29">
        <f>武将战力价值情况!H135</f>
        <v>6</v>
      </c>
      <c r="M139" s="29">
        <f>武将战力价值情况!I135</f>
        <v>8</v>
      </c>
      <c r="N139" s="29">
        <f>武将战力价值情况!J135</f>
        <v>8</v>
      </c>
      <c r="O139" s="41">
        <f>MAX(同名需求(G139,求节点(武将升星!$C$104:$C$112,武将升星!E$104:E$112,K139),F$2),武将数量星级阶位验证!AA135)</f>
        <v>24</v>
      </c>
      <c r="P139" s="41">
        <f>MAX(同名需求(H139,求节点(武将升星!$C$104:$C$112,武将升星!F$104:F$112,L139),G$2),武将数量星级阶位验证!AB135)</f>
        <v>120</v>
      </c>
      <c r="Q139" s="41">
        <f>MAX(同名需求(I139,求节点(武将升星!$C$104:$C$112,武将升星!G$104:G$112,M139),H$2),武将数量星级阶位验证!AC135)</f>
        <v>704</v>
      </c>
      <c r="R139" s="41">
        <f>MAX(同名需求(J139,求节点(武将升星!$C$104:$C$112,武将升星!H$104:H$112,N139),I$2),武将数量星级阶位验证!AD135)</f>
        <v>108</v>
      </c>
      <c r="S139" s="29">
        <f>MAX(基础状态预期!P145:T145)</f>
        <v>5</v>
      </c>
      <c r="T139" s="29">
        <f t="shared" si="121"/>
        <v>5</v>
      </c>
      <c r="U139" s="29">
        <f t="shared" si="122"/>
        <v>5</v>
      </c>
      <c r="V139" s="29">
        <f t="shared" si="123"/>
        <v>5</v>
      </c>
      <c r="W139" s="41">
        <f>SUMIFS(武将进阶!F$13:F$18,武将进阶!$C$13:$C$18,"&lt;="&amp;T139)*H139+武将数量星级阶位验证!Q135</f>
        <v>0</v>
      </c>
      <c r="X139" s="41">
        <f>SUMIFS(武将进阶!G$13:G$18,武将进阶!$C$13:$C$18,"&lt;="&amp;U139)*I139+武将数量星级阶位验证!R135</f>
        <v>1824</v>
      </c>
      <c r="Y139" s="41">
        <f>SUMIFS(武将进阶!H$13:H$18,武将进阶!$C$13:$C$18,"&lt;="&amp;V139)*J139+武将数量星级阶位验证!S135</f>
        <v>642</v>
      </c>
      <c r="Z139" s="41">
        <f>SUMIFS(武将进阶!I$13:I$18,武将进阶!$C$13:$C$18,"&lt;="&amp;W139)*K139+武将数量星级阶位验证!T135</f>
        <v>0</v>
      </c>
      <c r="AA139" s="29"/>
      <c r="AB139" s="29">
        <f>求节点(基础状态预期!$AT$17:$AT$55,基础状态预期!AW$17:AW$55,各r阵容卡情况!$F139)</f>
        <v>2</v>
      </c>
      <c r="AC139" s="29">
        <f>求节点(基础状态预期!$AT$17:$AT$55,基础状态预期!AX$17:AX$55,各r阵容卡情况!$F139)</f>
        <v>2</v>
      </c>
      <c r="AD139" s="29">
        <f>求节点(基础状态预期!$AT$17:$AT$55,基础状态预期!AY$17:AY$55,各r阵容卡情况!$F139)</f>
        <v>2</v>
      </c>
      <c r="AE139" s="41">
        <f>IF(AA139&lt;1,0,(AA139-1)*武将觉醒!E$34*G139)+武将数量星级阶位验证!V135</f>
        <v>0</v>
      </c>
      <c r="AF139" s="41">
        <f>IF(AB139&lt;1,0,(AB139-1)*武将觉醒!F$34*H139)+武将数量星级阶位验证!W135</f>
        <v>0</v>
      </c>
      <c r="AG139" s="41">
        <f>IF(AC139&lt;1,0,(AC139-1)*武将觉醒!G$34*I139)+武将数量星级阶位验证!X135</f>
        <v>24</v>
      </c>
      <c r="AH139" s="41">
        <f>IF(AD139&lt;1,0,(AD139-1)*武将觉醒!H$34*J139)+武将数量星级阶位验证!Y135</f>
        <v>0</v>
      </c>
      <c r="AJ139" s="29">
        <f>MAX(W139+AE139+G139*(K139+1)+IF(武将数量星级阶位验证!L135="",0,武将数量星级阶位验证!L135)*武将升星!P132,O139)</f>
        <v>24</v>
      </c>
      <c r="AK139" s="29">
        <f>MAX(X139+AF139+H139*(L139+1)+IF(武将数量星级阶位验证!M135="",0,武将数量星级阶位验证!M135)*武将升星!Q132,P139)</f>
        <v>1824</v>
      </c>
      <c r="AL139" s="64">
        <f>MAX(Y139+AG139+I139*(M139+1)+IF(武将数量星级阶位验证!N135="",0,武将数量星级阶位验证!N135)*武将升星!R132,Q139)</f>
        <v>882</v>
      </c>
      <c r="AM139" s="41">
        <f t="shared" si="124"/>
        <v>108</v>
      </c>
      <c r="AO139" s="17">
        <f>武将数量星级阶位验证!BJ135</f>
        <v>599798.76845584996</v>
      </c>
      <c r="AP139" s="17">
        <f>武将数量星级阶位验证!BK135</f>
        <v>187197.03879130704</v>
      </c>
      <c r="AQ139" s="63">
        <f>武将数量星级阶位验证!BL135</f>
        <v>26967.880874560396</v>
      </c>
      <c r="AR139" s="17">
        <f>武将数量星级阶位验证!BM135</f>
        <v>10634.274881482088</v>
      </c>
      <c r="AT139" s="17">
        <f t="shared" si="125"/>
        <v>45850</v>
      </c>
      <c r="AU139" s="17">
        <f t="shared" si="126"/>
        <v>155.2512378743358</v>
      </c>
      <c r="AW139" s="17" t="s">
        <v>168</v>
      </c>
      <c r="BA139" s="17">
        <v>6</v>
      </c>
      <c r="BB139" s="62">
        <f t="shared" si="127"/>
        <v>6</v>
      </c>
      <c r="BD139" s="17">
        <v>0</v>
      </c>
      <c r="BE139" s="17">
        <v>0</v>
      </c>
      <c r="BF139" s="17">
        <v>24</v>
      </c>
      <c r="BG139" s="17">
        <v>0</v>
      </c>
      <c r="BH139" s="62">
        <f t="shared" si="128"/>
        <v>24</v>
      </c>
      <c r="BJ139" s="17">
        <f t="shared" si="129"/>
        <v>0</v>
      </c>
      <c r="BK139" s="17">
        <f t="shared" si="130"/>
        <v>0</v>
      </c>
      <c r="BL139" s="17">
        <f t="shared" si="131"/>
        <v>24</v>
      </c>
      <c r="BM139" s="17">
        <f t="shared" si="132"/>
        <v>6</v>
      </c>
      <c r="BN139" s="62">
        <f t="shared" si="133"/>
        <v>30</v>
      </c>
      <c r="BR139" s="17">
        <f>武将升星!P132*基础状态预期!G145+G139*(K139+1)+W139+AE139</f>
        <v>0</v>
      </c>
      <c r="BS139" s="17">
        <f>武将升星!Q132*基础状态预期!H145+H139*(L139+1)+X139+AF139</f>
        <v>1824</v>
      </c>
      <c r="BT139" s="17">
        <f>武将升星!R132*基础状态预期!I145+I139*(M139+1)+Y139+AG139</f>
        <v>882</v>
      </c>
      <c r="BU139" s="17">
        <f>武将升星!S132*基础状态预期!J145+J139*(N139+1)+Z139+AH139</f>
        <v>108</v>
      </c>
    </row>
    <row r="140" spans="2:73" x14ac:dyDescent="0.15">
      <c r="B140" s="17">
        <v>43</v>
      </c>
    </row>
    <row r="141" spans="2:73" x14ac:dyDescent="0.15">
      <c r="B141" s="17">
        <v>44</v>
      </c>
    </row>
    <row r="142" spans="2:73" x14ac:dyDescent="0.15">
      <c r="B142" s="17">
        <v>45</v>
      </c>
      <c r="E142" s="7"/>
    </row>
    <row r="143" spans="2:73" x14ac:dyDescent="0.15">
      <c r="B143" s="17">
        <v>1</v>
      </c>
      <c r="G143" s="17" t="s">
        <v>78</v>
      </c>
    </row>
    <row r="144" spans="2:73" x14ac:dyDescent="0.15">
      <c r="B144" s="17">
        <v>2</v>
      </c>
      <c r="G144" s="161" t="s">
        <v>435</v>
      </c>
      <c r="H144" s="162"/>
      <c r="I144" s="162"/>
      <c r="J144" s="163"/>
      <c r="K144" s="161" t="s">
        <v>466</v>
      </c>
      <c r="L144" s="162"/>
      <c r="M144" s="162"/>
      <c r="N144" s="163"/>
      <c r="O144" s="161" t="s">
        <v>469</v>
      </c>
      <c r="P144" s="162"/>
      <c r="Q144" s="162"/>
      <c r="R144" s="163"/>
      <c r="S144" s="161" t="s">
        <v>436</v>
      </c>
      <c r="T144" s="162"/>
      <c r="U144" s="162"/>
      <c r="V144" s="163"/>
      <c r="W144" s="161" t="s">
        <v>467</v>
      </c>
      <c r="X144" s="162"/>
      <c r="Y144" s="162"/>
      <c r="Z144" s="163"/>
      <c r="AA144" s="161" t="s">
        <v>437</v>
      </c>
      <c r="AB144" s="162"/>
      <c r="AC144" s="162"/>
      <c r="AD144" s="163"/>
      <c r="AE144" s="161" t="s">
        <v>468</v>
      </c>
      <c r="AF144" s="162"/>
      <c r="AG144" s="162"/>
      <c r="AH144" s="163"/>
      <c r="AJ144" s="161" t="s">
        <v>422</v>
      </c>
      <c r="AK144" s="162"/>
      <c r="AL144" s="162"/>
      <c r="AM144" s="163"/>
      <c r="AO144" s="187" t="s">
        <v>421</v>
      </c>
      <c r="AP144" s="187"/>
      <c r="AQ144" s="187"/>
      <c r="AR144" s="187"/>
      <c r="AX144" s="187" t="s">
        <v>425</v>
      </c>
      <c r="AY144" s="187"/>
      <c r="AZ144" s="187"/>
      <c r="BA144" s="187"/>
      <c r="BB144" s="187"/>
      <c r="BD144" s="187" t="s">
        <v>423</v>
      </c>
      <c r="BE144" s="187"/>
      <c r="BF144" s="187"/>
      <c r="BG144" s="187"/>
      <c r="BH144" s="187"/>
      <c r="BJ144" s="187" t="s">
        <v>424</v>
      </c>
      <c r="BK144" s="187"/>
      <c r="BL144" s="187"/>
      <c r="BM144" s="187"/>
      <c r="BN144" s="187"/>
      <c r="BR144" s="187" t="s">
        <v>470</v>
      </c>
      <c r="BS144" s="187"/>
      <c r="BT144" s="187"/>
      <c r="BU144" s="187"/>
    </row>
    <row r="145" spans="2:73" x14ac:dyDescent="0.15">
      <c r="B145" s="17">
        <v>3</v>
      </c>
      <c r="E145" s="29" t="s">
        <v>163</v>
      </c>
      <c r="F145" s="29" t="s">
        <v>478</v>
      </c>
      <c r="G145" s="29" t="s">
        <v>1</v>
      </c>
      <c r="H145" s="29" t="s">
        <v>2</v>
      </c>
      <c r="I145" s="29" t="s">
        <v>0</v>
      </c>
      <c r="J145" s="29" t="s">
        <v>545</v>
      </c>
      <c r="K145" s="29" t="s">
        <v>1</v>
      </c>
      <c r="L145" s="29" t="s">
        <v>2</v>
      </c>
      <c r="M145" s="29" t="s">
        <v>0</v>
      </c>
      <c r="N145" s="29" t="s">
        <v>545</v>
      </c>
      <c r="O145" s="29" t="s">
        <v>1</v>
      </c>
      <c r="P145" s="29" t="s">
        <v>2</v>
      </c>
      <c r="Q145" s="29" t="s">
        <v>0</v>
      </c>
      <c r="R145" s="29" t="s">
        <v>545</v>
      </c>
      <c r="S145" s="29" t="s">
        <v>1</v>
      </c>
      <c r="T145" s="29" t="s">
        <v>2</v>
      </c>
      <c r="U145" s="29" t="s">
        <v>0</v>
      </c>
      <c r="V145" s="29" t="s">
        <v>545</v>
      </c>
      <c r="W145" s="29" t="s">
        <v>1</v>
      </c>
      <c r="X145" s="29" t="s">
        <v>2</v>
      </c>
      <c r="Y145" s="64" t="s">
        <v>0</v>
      </c>
      <c r="Z145" s="29" t="s">
        <v>545</v>
      </c>
      <c r="AA145" s="29" t="s">
        <v>1</v>
      </c>
      <c r="AB145" s="29" t="s">
        <v>2</v>
      </c>
      <c r="AC145" s="29" t="s">
        <v>0</v>
      </c>
      <c r="AD145" s="29" t="s">
        <v>545</v>
      </c>
      <c r="AE145" s="29" t="s">
        <v>1</v>
      </c>
      <c r="AF145" s="29" t="s">
        <v>2</v>
      </c>
      <c r="AG145" s="29" t="s">
        <v>0</v>
      </c>
      <c r="AH145" s="29" t="s">
        <v>545</v>
      </c>
      <c r="AJ145" s="29" t="s">
        <v>1</v>
      </c>
      <c r="AK145" s="29" t="s">
        <v>2</v>
      </c>
      <c r="AL145" s="64" t="s">
        <v>0</v>
      </c>
      <c r="AM145" s="29" t="s">
        <v>545</v>
      </c>
      <c r="AO145" s="17" t="s">
        <v>80</v>
      </c>
      <c r="AP145" s="17" t="s">
        <v>81</v>
      </c>
      <c r="AQ145" s="63" t="s">
        <v>82</v>
      </c>
      <c r="AR145" s="17" t="s">
        <v>545</v>
      </c>
      <c r="AT145" s="17" t="s">
        <v>420</v>
      </c>
      <c r="AU145" s="17" t="s">
        <v>484</v>
      </c>
      <c r="AX145" s="17" t="s">
        <v>80</v>
      </c>
      <c r="AY145" s="17" t="s">
        <v>81</v>
      </c>
      <c r="AZ145" s="17" t="s">
        <v>82</v>
      </c>
      <c r="BA145" s="17" t="s">
        <v>545</v>
      </c>
      <c r="BB145" s="62" t="s">
        <v>426</v>
      </c>
      <c r="BD145" s="17" t="s">
        <v>80</v>
      </c>
      <c r="BE145" s="17" t="s">
        <v>81</v>
      </c>
      <c r="BF145" s="17" t="s">
        <v>82</v>
      </c>
      <c r="BG145" s="17" t="s">
        <v>545</v>
      </c>
      <c r="BH145" s="62" t="s">
        <v>426</v>
      </c>
      <c r="BJ145" s="17" t="s">
        <v>80</v>
      </c>
      <c r="BK145" s="17" t="s">
        <v>81</v>
      </c>
      <c r="BL145" s="17" t="s">
        <v>82</v>
      </c>
      <c r="BM145" s="17" t="s">
        <v>545</v>
      </c>
      <c r="BN145" s="62" t="s">
        <v>426</v>
      </c>
      <c r="BR145" s="17" t="s">
        <v>80</v>
      </c>
      <c r="BS145" s="17" t="s">
        <v>81</v>
      </c>
      <c r="BT145" s="82" t="s">
        <v>82</v>
      </c>
      <c r="BU145" s="17" t="s">
        <v>545</v>
      </c>
    </row>
    <row r="146" spans="2:73" x14ac:dyDescent="0.15">
      <c r="B146" s="17">
        <v>4</v>
      </c>
      <c r="C146" s="17">
        <f>SUM(G146:J146)</f>
        <v>7</v>
      </c>
      <c r="D146" s="17">
        <v>1</v>
      </c>
      <c r="E146" s="29">
        <f>基础状态预期!C152</f>
        <v>0.5</v>
      </c>
      <c r="F146" s="29">
        <f>基础状态预期!D152</f>
        <v>10.00263241450434</v>
      </c>
      <c r="G146" s="29">
        <f>BD146</f>
        <v>5</v>
      </c>
      <c r="H146" s="29">
        <f t="shared" ref="H146:H161" si="134">BE146</f>
        <v>2</v>
      </c>
      <c r="I146" s="29">
        <f t="shared" ref="I146:I161" si="135">BF146</f>
        <v>0</v>
      </c>
      <c r="J146" s="29">
        <f t="shared" ref="J146:J161" si="136">BG146</f>
        <v>0</v>
      </c>
      <c r="K146" s="29">
        <f>武将战力价值情况!G142</f>
        <v>3</v>
      </c>
      <c r="L146" s="29">
        <f>武将战力价值情况!H142</f>
        <v>2.1748491953691911</v>
      </c>
      <c r="M146" s="29">
        <f>武将战力价值情况!I142</f>
        <v>0</v>
      </c>
      <c r="N146" s="29">
        <f>武将战力价值情况!J142</f>
        <v>0</v>
      </c>
      <c r="O146" s="41">
        <f>MAX(同名需求(G146,求节点(武将升星!$C$104:$C$112,武将升星!E$104:E$112,K146),F$2),武将数量星级阶位验证!AA142)</f>
        <v>29</v>
      </c>
      <c r="P146" s="41">
        <f>MAX(同名需求(H146,求节点(武将升星!$C$104:$C$112,武将升星!F$104:F$112,L146),G$2),武将数量星级阶位验证!AB142)</f>
        <v>25.496983907383822</v>
      </c>
      <c r="Q146" s="41">
        <f>MAX(同名需求(I146,求节点(武将升星!$C$104:$C$112,武将升星!G$104:G$112,M146),H$2),武将数量星级阶位验证!AC142)</f>
        <v>6</v>
      </c>
      <c r="R146" s="41">
        <f>MAX(同名需求(J146,求节点(武将升星!$C$104:$C$112,武将升星!H$104:H$112,N146),I$2),武将数量星级阶位验证!AD142)</f>
        <v>0</v>
      </c>
      <c r="S146" s="29">
        <f>MAX(基础状态预期!P152:T152)</f>
        <v>0.40010529658017358</v>
      </c>
      <c r="T146" s="29">
        <f>S146</f>
        <v>0.40010529658017358</v>
      </c>
      <c r="U146" s="29">
        <f t="shared" ref="U146:V146" si="137">T146</f>
        <v>0.40010529658017358</v>
      </c>
      <c r="V146" s="29">
        <f t="shared" si="137"/>
        <v>0.40010529658017358</v>
      </c>
      <c r="W146" s="41">
        <f>SUMIFS(武将进阶!F$13:F$18,武将进阶!$C$13:$C$18,"&lt;="&amp;T146)*H146+武将数量星级阶位验证!Q142</f>
        <v>0</v>
      </c>
      <c r="X146" s="41">
        <f>SUMIFS(武将进阶!G$13:G$18,武将进阶!$C$13:$C$18,"&lt;="&amp;U146)*I146+武将数量星级阶位验证!R142</f>
        <v>7.2018953384431237</v>
      </c>
      <c r="Y146" s="41">
        <f>SUMIFS(武将进阶!H$13:H$18,武将进阶!$C$13:$C$18,"&lt;="&amp;V146)*J146+武将数量星级阶位验证!S142</f>
        <v>0</v>
      </c>
      <c r="Z146" s="41">
        <f>SUMIFS(武将进阶!I$13:I$18,武将进阶!$C$13:$C$18,"&lt;="&amp;W146)*K146+武将数量星级阶位验证!T142</f>
        <v>0</v>
      </c>
      <c r="AA146" s="29"/>
      <c r="AB146" s="29">
        <f>求节点(基础状态预期!$AT$17:$AT$55,基础状态预期!AW$17:AW$55,各r阵容卡情况!$F146)</f>
        <v>3.948621756510562E-4</v>
      </c>
      <c r="AC146" s="29">
        <f>求节点(基础状态预期!$AT$17:$AT$55,基础状态预期!AX$17:AX$55,各r阵容卡情况!$F146)</f>
        <v>3.948621756510562E-4</v>
      </c>
      <c r="AD146" s="29">
        <f>求节点(基础状态预期!$AT$17:$AT$55,基础状态预期!AY$17:AY$55,各r阵容卡情况!$F146)</f>
        <v>3.948621756510562E-4</v>
      </c>
      <c r="AE146" s="41">
        <f>IF(AA146&lt;1,0,(AA146-1)*武将觉醒!E$34*G146)+武将数量星级阶位验证!V142</f>
        <v>0</v>
      </c>
      <c r="AF146" s="41">
        <f>IF(AB146&lt;1,0,(AB146-1)*武将觉醒!F$34*H146)+武将数量星级阶位验证!W142</f>
        <v>0</v>
      </c>
      <c r="AG146" s="41">
        <f>IF(AC146&lt;1,0,(AC146-1)*武将觉醒!G$34*I146)+武将数量星级阶位验证!X142</f>
        <v>0</v>
      </c>
      <c r="AH146" s="41">
        <f>IF(AD146&lt;1,0,(AD146-1)*武将觉醒!H$34*J146)+武将数量星级阶位验证!Y142</f>
        <v>0</v>
      </c>
      <c r="AJ146" s="29">
        <f>MAX(W146+AE146+G146*(K146+1)+IF(武将数量星级阶位验证!L142="",0,武将数量星级阶位验证!L142)*武将升星!P139,O146)</f>
        <v>29</v>
      </c>
      <c r="AK146" s="29">
        <f>MAX(X146+AF146+H146*(L146+1)+IF(武将数量星级阶位验证!M142="",0,武将数量星级阶位验证!M142)*武将升星!Q139,P146)</f>
        <v>25.496983907383822</v>
      </c>
      <c r="AL146" s="64">
        <f>MAX(Y146+AG146+I146*(M146+1)+IF(武将数量星级阶位验证!N142="",0,武将数量星级阶位验证!N142)*武将升星!R139,Q146)</f>
        <v>6</v>
      </c>
      <c r="AM146" s="41">
        <f>R146+AH146</f>
        <v>0</v>
      </c>
      <c r="AO146" s="17">
        <f>武将数量星级阶位验证!BJ142</f>
        <v>84.994116521353817</v>
      </c>
      <c r="AP146" s="17">
        <f>武将数量星级阶位验证!BK142</f>
        <v>33.496983907383822</v>
      </c>
      <c r="AQ146" s="63">
        <f>武将数量星级阶位验证!BL142</f>
        <v>9.3100892239516995</v>
      </c>
      <c r="AR146" s="17">
        <f>武将数量星级阶位验证!BM142</f>
        <v>0</v>
      </c>
      <c r="AT146" s="17">
        <f t="shared" ref="AT146:AT161" si="138">E146</f>
        <v>0.5</v>
      </c>
      <c r="AU146" s="17">
        <f t="shared" ref="AU146:AU161" si="139">F146</f>
        <v>10.00263241450434</v>
      </c>
      <c r="AW146" s="17" t="s">
        <v>168</v>
      </c>
      <c r="AX146" s="17">
        <v>1</v>
      </c>
      <c r="AY146" s="17">
        <v>2</v>
      </c>
      <c r="AZ146" s="17">
        <v>2</v>
      </c>
      <c r="BA146" s="17">
        <v>1</v>
      </c>
      <c r="BB146" s="62">
        <f>SUM(AX146:BA146)</f>
        <v>6</v>
      </c>
      <c r="BD146" s="17">
        <v>5</v>
      </c>
      <c r="BE146" s="17">
        <v>2</v>
      </c>
      <c r="BF146" s="17">
        <v>0</v>
      </c>
      <c r="BG146" s="17">
        <v>0</v>
      </c>
      <c r="BH146" s="62">
        <f>SUM(BD146:BG146)</f>
        <v>7</v>
      </c>
      <c r="BJ146" s="17">
        <f>AX146+BD146</f>
        <v>6</v>
      </c>
      <c r="BK146" s="17">
        <f t="shared" ref="BK146:BK161" si="140">AY146+BE146</f>
        <v>4</v>
      </c>
      <c r="BL146" s="17">
        <f t="shared" ref="BL146:BL161" si="141">AZ146+BF146</f>
        <v>2</v>
      </c>
      <c r="BM146" s="17">
        <f t="shared" ref="BM146:BM161" si="142">BA146+BG146</f>
        <v>1</v>
      </c>
      <c r="BN146" s="62">
        <f>SUM(BJ146:BM146)</f>
        <v>13</v>
      </c>
      <c r="BR146" s="17">
        <f>武将升星!P139*基础状态预期!G152+G146*(K146+1)+W146+AE146</f>
        <v>20</v>
      </c>
      <c r="BS146" s="17">
        <f>武将升星!Q139*基础状态预期!H152+H146*(L146+1)+X146+AF146</f>
        <v>13.551593729181505</v>
      </c>
      <c r="BT146" s="17">
        <f>武将升星!R139*基础状态预期!I152+I146*(M146+1)+Y146+AG146</f>
        <v>6</v>
      </c>
      <c r="BU146" s="17">
        <f>武将升星!S139*基础状态预期!J152+J146*(N146+1)+Z146+AH146</f>
        <v>0</v>
      </c>
    </row>
    <row r="147" spans="2:73" x14ac:dyDescent="0.15">
      <c r="B147" s="17">
        <v>5</v>
      </c>
      <c r="C147" s="17">
        <f t="shared" ref="C147:C161" si="143">SUM(G147:J147)</f>
        <v>10</v>
      </c>
      <c r="D147" s="17">
        <v>2</v>
      </c>
      <c r="E147" s="29">
        <f>基础状态预期!C153</f>
        <v>1.5</v>
      </c>
      <c r="F147" s="29">
        <f>基础状态预期!D153</f>
        <v>19.43005414991557</v>
      </c>
      <c r="G147" s="29">
        <f t="shared" ref="G147:G161" si="144">BD147</f>
        <v>6</v>
      </c>
      <c r="H147" s="29">
        <f t="shared" si="134"/>
        <v>4</v>
      </c>
      <c r="I147" s="29">
        <f t="shared" si="135"/>
        <v>0</v>
      </c>
      <c r="J147" s="29">
        <f t="shared" si="136"/>
        <v>0</v>
      </c>
      <c r="K147" s="29">
        <f>武将战力价值情况!G143</f>
        <v>3</v>
      </c>
      <c r="L147" s="29">
        <f>武将战力价值情况!H143</f>
        <v>4.2862108599907742</v>
      </c>
      <c r="M147" s="29">
        <f>武将战力价值情况!I143</f>
        <v>0.25078366524688622</v>
      </c>
      <c r="N147" s="29">
        <f>武将战力价值情况!J143</f>
        <v>0</v>
      </c>
      <c r="O147" s="41">
        <f>MAX(同名需求(G147,求节点(武将升星!$C$104:$C$112,武将升星!E$104:E$112,K147),F$2),武将数量星级阶位验证!AA143)</f>
        <v>30</v>
      </c>
      <c r="P147" s="41">
        <f>MAX(同名需求(H147,求节点(武将升星!$C$104:$C$112,武将升星!F$104:F$112,L147),G$2),武将数量星级阶位验证!AB143)</f>
        <v>72.586325799723227</v>
      </c>
      <c r="Q147" s="41">
        <f>MAX(同名需求(I147,求节点(武将升星!$C$104:$C$112,武将升星!G$104:G$112,M147),H$2),武将数量星级阶位验证!AC143)</f>
        <v>11.015673304937724</v>
      </c>
      <c r="R147" s="41">
        <f>MAX(同名需求(J147,求节点(武将升星!$C$104:$C$112,武将升星!H$104:H$112,N147),I$2),武将数量星级阶位验证!AD143)</f>
        <v>0</v>
      </c>
      <c r="S147" s="29">
        <f>MAX(基础状态预期!P153:T153)</f>
        <v>0.77720216599662284</v>
      </c>
      <c r="T147" s="29">
        <f t="shared" ref="T147:V147" si="145">S147</f>
        <v>0.77720216599662284</v>
      </c>
      <c r="U147" s="29">
        <f t="shared" si="145"/>
        <v>0.77720216599662284</v>
      </c>
      <c r="V147" s="29">
        <f t="shared" si="145"/>
        <v>0.77720216599662284</v>
      </c>
      <c r="W147" s="41">
        <f>SUMIFS(武将进阶!F$13:F$18,武将进阶!$C$13:$C$18,"&lt;="&amp;T147)*H147+武将数量星级阶位验证!Q143</f>
        <v>0</v>
      </c>
      <c r="X147" s="41">
        <f>SUMIFS(武将进阶!G$13:G$18,武将进阶!$C$13:$C$18,"&lt;="&amp;U147)*I147+武将数量星级阶位验证!R143</f>
        <v>13.989638987939212</v>
      </c>
      <c r="Y147" s="41">
        <f>SUMIFS(武将进阶!H$13:H$18,武将进阶!$C$13:$C$18,"&lt;="&amp;V147)*J147+武将数量星级阶位验证!S143</f>
        <v>0</v>
      </c>
      <c r="Z147" s="41">
        <f>SUMIFS(武将进阶!I$13:I$18,武将进阶!$C$13:$C$18,"&lt;="&amp;W147)*K147+武将数量星级阶位验证!T143</f>
        <v>0</v>
      </c>
      <c r="AA147" s="29"/>
      <c r="AB147" s="29">
        <f>求节点(基础状态预期!$AT$17:$AT$55,基础状态预期!AW$17:AW$55,各r阵容卡情况!$F147)</f>
        <v>1</v>
      </c>
      <c r="AC147" s="29">
        <f>求节点(基础状态预期!$AT$17:$AT$55,基础状态预期!AX$17:AX$55,各r阵容卡情况!$F147)</f>
        <v>1</v>
      </c>
      <c r="AD147" s="29">
        <f>求节点(基础状态预期!$AT$17:$AT$55,基础状态预期!AY$17:AY$55,各r阵容卡情况!$F147)</f>
        <v>1</v>
      </c>
      <c r="AE147" s="41">
        <f>IF(AA147&lt;1,0,(AA147-1)*武将觉醒!E$34*G147)+武将数量星级阶位验证!V143</f>
        <v>0</v>
      </c>
      <c r="AF147" s="41">
        <f>IF(AB147&lt;1,0,(AB147-1)*武将觉醒!F$34*H147)+武将数量星级阶位验证!W143</f>
        <v>0</v>
      </c>
      <c r="AG147" s="41">
        <f>IF(AC147&lt;1,0,(AC147-1)*武将觉醒!G$34*I147)+武将数量星级阶位验证!X143</f>
        <v>0</v>
      </c>
      <c r="AH147" s="41">
        <f>IF(AD147&lt;1,0,(AD147-1)*武将觉醒!H$34*J147)+武将数量星级阶位验证!Y143</f>
        <v>0</v>
      </c>
      <c r="AJ147" s="29">
        <f>MAX(W147+AE147+G147*(K147+1)+IF(武将数量星级阶位验证!L143="",0,武将数量星级阶位验证!L143)*武将升星!P140,O147)</f>
        <v>30</v>
      </c>
      <c r="AK147" s="29">
        <f>MAX(X147+AF147+H147*(L147+1)+IF(武将数量星级阶位验证!M143="",0,武将数量星级阶位验证!M143)*武将升星!Q140,P147)</f>
        <v>72.586325799723227</v>
      </c>
      <c r="AL147" s="64">
        <f>MAX(Y147+AG147+I147*(M147+1)+IF(武将数量星级阶位验证!N143="",0,武将数量星级阶位验证!N143)*武将升星!R140,Q147)</f>
        <v>11.015673304937724</v>
      </c>
      <c r="AM147" s="41">
        <f t="shared" ref="AM147:AM161" si="146">R147+AH147</f>
        <v>0</v>
      </c>
      <c r="AO147" s="17">
        <f>武将数量星级阶位验证!BJ143</f>
        <v>200.9053043180667</v>
      </c>
      <c r="AP147" s="17">
        <f>武将数量星级阶位验证!BK143</f>
        <v>78.586325799723227</v>
      </c>
      <c r="AQ147" s="63">
        <f>武将数量星级阶位验证!BL143</f>
        <v>21.769591631172158</v>
      </c>
      <c r="AR147" s="17">
        <f>武将数量星级阶位验证!BM143</f>
        <v>0</v>
      </c>
      <c r="AT147" s="17">
        <f t="shared" si="138"/>
        <v>1.5</v>
      </c>
      <c r="AU147" s="17">
        <f t="shared" si="139"/>
        <v>19.43005414991557</v>
      </c>
      <c r="AW147" s="17" t="s">
        <v>168</v>
      </c>
      <c r="AY147" s="17">
        <v>2</v>
      </c>
      <c r="AZ147" s="17">
        <v>3</v>
      </c>
      <c r="BA147" s="17">
        <v>1</v>
      </c>
      <c r="BB147" s="62">
        <f t="shared" ref="BB147:BB161" si="147">SUM(AX147:BA147)</f>
        <v>6</v>
      </c>
      <c r="BD147" s="17">
        <v>6</v>
      </c>
      <c r="BE147" s="17">
        <v>4</v>
      </c>
      <c r="BF147" s="17">
        <v>0</v>
      </c>
      <c r="BG147" s="17">
        <v>0</v>
      </c>
      <c r="BH147" s="62">
        <f t="shared" ref="BH147:BH161" si="148">SUM(BD147:BG147)</f>
        <v>10</v>
      </c>
      <c r="BJ147" s="17">
        <f t="shared" ref="BJ147:BJ161" si="149">AX147+BD147</f>
        <v>6</v>
      </c>
      <c r="BK147" s="17">
        <f t="shared" si="140"/>
        <v>6</v>
      </c>
      <c r="BL147" s="17">
        <f t="shared" si="141"/>
        <v>3</v>
      </c>
      <c r="BM147" s="17">
        <f t="shared" si="142"/>
        <v>1</v>
      </c>
      <c r="BN147" s="62">
        <f t="shared" ref="BN147:BN161" si="150">SUM(BJ147:BM147)</f>
        <v>16</v>
      </c>
      <c r="BR147" s="17">
        <f>武将升星!P140*基础状态预期!G153+G147*(K147+1)+W147+AE147</f>
        <v>24</v>
      </c>
      <c r="BS147" s="17">
        <f>武将升星!Q140*基础状态预期!H153+H147*(L147+1)+X147+AF147</f>
        <v>35.134482427902313</v>
      </c>
      <c r="BT147" s="17">
        <f>武将升星!R140*基础状态预期!I153+I147*(M147+1)+Y147+AG147</f>
        <v>7.5047019914813173</v>
      </c>
      <c r="BU147" s="17">
        <f>武将升星!S140*基础状态预期!J153+J147*(N147+1)+Z147+AH147</f>
        <v>0</v>
      </c>
    </row>
    <row r="148" spans="2:73" x14ac:dyDescent="0.15">
      <c r="B148" s="17">
        <v>6</v>
      </c>
      <c r="C148" s="17">
        <f t="shared" si="143"/>
        <v>12</v>
      </c>
      <c r="D148" s="17">
        <v>3</v>
      </c>
      <c r="E148" s="29">
        <f>基础状态预期!C154</f>
        <v>3</v>
      </c>
      <c r="F148" s="29">
        <f>基础状态预期!D154</f>
        <v>27.324610510337703</v>
      </c>
      <c r="G148" s="29">
        <f t="shared" si="144"/>
        <v>6</v>
      </c>
      <c r="H148" s="29">
        <f t="shared" si="134"/>
        <v>6</v>
      </c>
      <c r="I148" s="29">
        <f t="shared" si="135"/>
        <v>0</v>
      </c>
      <c r="J148" s="29">
        <f t="shared" si="136"/>
        <v>0</v>
      </c>
      <c r="K148" s="29">
        <f>武将战力价值情况!G144</f>
        <v>3</v>
      </c>
      <c r="L148" s="29">
        <f>武将战力价值情况!H144</f>
        <v>5.7131515865488884</v>
      </c>
      <c r="M148" s="29">
        <f>武将战力价值情况!I144</f>
        <v>1.0990636604602502</v>
      </c>
      <c r="N148" s="29">
        <f>武将战力价值情况!J144</f>
        <v>0</v>
      </c>
      <c r="O148" s="41">
        <f>MAX(同名需求(G148,求节点(武将升星!$C$104:$C$112,武将升星!E$104:E$112,K148),F$2),武将数量星级阶位验证!AA144)</f>
        <v>30</v>
      </c>
      <c r="P148" s="41">
        <f>MAX(同名需求(H148,求节点(武将升星!$C$104:$C$112,武将升星!F$104:F$112,L148),G$2),武将数量星级阶位验证!AB144)</f>
        <v>117.39454759646665</v>
      </c>
      <c r="Q148" s="41">
        <f>MAX(同名需求(I148,求节点(武将升星!$C$104:$C$112,武将升星!G$104:G$112,M148),H$2),武将数量星级阶位验证!AC144)</f>
        <v>27.981273209205003</v>
      </c>
      <c r="R148" s="41">
        <f>MAX(同名需求(J148,求节点(武将升星!$C$104:$C$112,武将升星!H$104:H$112,N148),I$2),武将数量星级阶位验证!AD144)</f>
        <v>0</v>
      </c>
      <c r="S148" s="29">
        <f>MAX(基础状态预期!P154:T154)</f>
        <v>1.0929844204135082</v>
      </c>
      <c r="T148" s="29">
        <f t="shared" ref="T148:V148" si="151">S148</f>
        <v>1.0929844204135082</v>
      </c>
      <c r="U148" s="29">
        <f t="shared" si="151"/>
        <v>1.0929844204135082</v>
      </c>
      <c r="V148" s="29">
        <f t="shared" si="151"/>
        <v>1.0929844204135082</v>
      </c>
      <c r="W148" s="41">
        <f>SUMIFS(武将进阶!F$13:F$18,武将进阶!$C$13:$C$18,"&lt;="&amp;T148)*H148+武将数量星级阶位验证!Q144</f>
        <v>18</v>
      </c>
      <c r="X148" s="41">
        <f>SUMIFS(武将进阶!G$13:G$18,武将进阶!$C$13:$C$18,"&lt;="&amp;U148)*I148+武将数量星级阶位验证!R144</f>
        <v>21.347439134886294</v>
      </c>
      <c r="Y148" s="41">
        <f>SUMIFS(武将进阶!H$13:H$18,武将进阶!$C$13:$C$18,"&lt;="&amp;V148)*J148+武将数量星级阶位验证!S144</f>
        <v>0</v>
      </c>
      <c r="Z148" s="41">
        <f>SUMIFS(武将进阶!I$13:I$18,武将进阶!$C$13:$C$18,"&lt;="&amp;W148)*K148+武将数量星级阶位验证!T144</f>
        <v>525</v>
      </c>
      <c r="AA148" s="29"/>
      <c r="AB148" s="29">
        <f>求节点(基础状态预期!$AT$17:$AT$55,基础状态预期!AW$17:AW$55,各r阵容卡情况!$F148)</f>
        <v>1</v>
      </c>
      <c r="AC148" s="29">
        <f>求节点(基础状态预期!$AT$17:$AT$55,基础状态预期!AX$17:AX$55,各r阵容卡情况!$F148)</f>
        <v>1</v>
      </c>
      <c r="AD148" s="29">
        <f>求节点(基础状态预期!$AT$17:$AT$55,基础状态预期!AY$17:AY$55,各r阵容卡情况!$F148)</f>
        <v>1</v>
      </c>
      <c r="AE148" s="41">
        <f>IF(AA148&lt;1,0,(AA148-1)*武将觉醒!E$34*G148)+武将数量星级阶位验证!V144</f>
        <v>0</v>
      </c>
      <c r="AF148" s="41">
        <f>IF(AB148&lt;1,0,(AB148-1)*武将觉醒!F$34*H148)+武将数量星级阶位验证!W144</f>
        <v>0</v>
      </c>
      <c r="AG148" s="41">
        <f>IF(AC148&lt;1,0,(AC148-1)*武将觉醒!G$34*I148)+武将数量星级阶位验证!X144</f>
        <v>0</v>
      </c>
      <c r="AH148" s="41">
        <f>IF(AD148&lt;1,0,(AD148-1)*武将觉醒!H$34*J148)+武将数量星级阶位验证!Y144</f>
        <v>0</v>
      </c>
      <c r="AJ148" s="29">
        <f>MAX(W148+AE148+G148*(K148+1)+IF(武将数量星级阶位验证!L144="",0,武将数量星级阶位验证!L144)*武将升星!P141,O148)</f>
        <v>42</v>
      </c>
      <c r="AK148" s="29">
        <f>MAX(X148+AF148+H148*(L148+1)+IF(武将数量星级阶位验证!M144="",0,武将数量星级阶位验证!M144)*武将升星!Q141,P148)</f>
        <v>117.39454759646665</v>
      </c>
      <c r="AL148" s="64">
        <f>MAX(Y148+AG148+I148*(M148+1)+IF(武将数量星级阶位验证!N144="",0,武将数量星级阶位验证!N144)*武将升星!R141,Q148)</f>
        <v>27.981273209205003</v>
      </c>
      <c r="AM148" s="41">
        <f t="shared" si="146"/>
        <v>0</v>
      </c>
      <c r="AO148" s="17">
        <f>武将数量星级阶位验证!BJ144</f>
        <v>313.48341437877701</v>
      </c>
      <c r="AP148" s="17">
        <f>武将数量星级阶位验证!BK144</f>
        <v>121.39454759646665</v>
      </c>
      <c r="AQ148" s="63">
        <f>武将数量星级阶位验证!BL144</f>
        <v>33.47659151150625</v>
      </c>
      <c r="AR148" s="17">
        <f>武将数量星级阶位验证!BM144</f>
        <v>0</v>
      </c>
      <c r="AT148" s="17">
        <f t="shared" si="138"/>
        <v>3</v>
      </c>
      <c r="AU148" s="17">
        <f t="shared" si="139"/>
        <v>27.324610510337703</v>
      </c>
      <c r="AW148" s="17" t="s">
        <v>168</v>
      </c>
      <c r="AY148" s="17">
        <v>1</v>
      </c>
      <c r="AZ148" s="17">
        <v>4</v>
      </c>
      <c r="BA148" s="17">
        <v>1</v>
      </c>
      <c r="BB148" s="62">
        <f t="shared" si="147"/>
        <v>6</v>
      </c>
      <c r="BD148" s="17">
        <v>6</v>
      </c>
      <c r="BE148" s="17">
        <v>6</v>
      </c>
      <c r="BF148" s="17">
        <v>0</v>
      </c>
      <c r="BG148" s="17">
        <v>0</v>
      </c>
      <c r="BH148" s="62">
        <f t="shared" si="148"/>
        <v>12</v>
      </c>
      <c r="BJ148" s="17">
        <f t="shared" si="149"/>
        <v>6</v>
      </c>
      <c r="BK148" s="17">
        <f t="shared" si="140"/>
        <v>7</v>
      </c>
      <c r="BL148" s="17">
        <f t="shared" si="141"/>
        <v>4</v>
      </c>
      <c r="BM148" s="17">
        <f t="shared" si="142"/>
        <v>1</v>
      </c>
      <c r="BN148" s="62">
        <f t="shared" si="150"/>
        <v>18</v>
      </c>
      <c r="BR148" s="17">
        <f>武将升星!P141*基础状态预期!G154+G148*(K148+1)+W148+AE148</f>
        <v>42</v>
      </c>
      <c r="BS148" s="17">
        <f>武将升星!Q141*基础状态预期!H154+H148*(L148+1)+X148+AF148</f>
        <v>61.626348654179623</v>
      </c>
      <c r="BT148" s="17">
        <f>武将升星!R141*基础状态预期!I154+I148*(M148+1)+Y148+AG148</f>
        <v>12.594381962761501</v>
      </c>
      <c r="BU148" s="17">
        <f>武将升星!S141*基础状态预期!J154+J148*(N148+1)+Z148+AH148</f>
        <v>525</v>
      </c>
    </row>
    <row r="149" spans="2:73" x14ac:dyDescent="0.15">
      <c r="B149" s="17">
        <v>7</v>
      </c>
      <c r="C149" s="17">
        <f t="shared" si="143"/>
        <v>14</v>
      </c>
      <c r="D149" s="17">
        <v>4</v>
      </c>
      <c r="E149" s="29">
        <f>基础状态预期!C155</f>
        <v>5</v>
      </c>
      <c r="F149" s="29">
        <f>基础状态预期!D155</f>
        <v>33.672145166817529</v>
      </c>
      <c r="G149" s="29">
        <f t="shared" si="144"/>
        <v>6</v>
      </c>
      <c r="H149" s="29">
        <f t="shared" si="134"/>
        <v>8</v>
      </c>
      <c r="I149" s="29">
        <f t="shared" si="135"/>
        <v>0</v>
      </c>
      <c r="J149" s="29">
        <f t="shared" si="136"/>
        <v>0</v>
      </c>
      <c r="K149" s="29">
        <f>武将战力价值情况!G145</f>
        <v>3</v>
      </c>
      <c r="L149" s="29">
        <f>武将战力价值情况!H145</f>
        <v>6</v>
      </c>
      <c r="M149" s="29">
        <f>武将战力价值情况!I145</f>
        <v>2.1887509101924376</v>
      </c>
      <c r="N149" s="29">
        <f>武将战力价值情况!J145</f>
        <v>0</v>
      </c>
      <c r="O149" s="41">
        <f>MAX(同名需求(G149,求节点(武将升星!$C$104:$C$112,武将升星!E$104:E$112,K149),F$2),武将数量星级阶位验证!AA145)</f>
        <v>30</v>
      </c>
      <c r="P149" s="41">
        <f>MAX(同名需求(H149,求节点(武将升星!$C$104:$C$112,武将升星!F$104:F$112,L149),G$2),武将数量星级阶位验证!AB145)</f>
        <v>128</v>
      </c>
      <c r="Q149" s="41">
        <f>MAX(同名需求(I149,求节点(武将升星!$C$104:$C$112,武将升星!G$104:G$112,M149),H$2),武将数量星级阶位验证!AC145)</f>
        <v>50.907523665003382</v>
      </c>
      <c r="R149" s="41">
        <f>MAX(同名需求(J149,求节点(武将升星!$C$104:$C$112,武将升星!H$104:H$112,N149),I$2),武将数量星级阶位验证!AD145)</f>
        <v>0</v>
      </c>
      <c r="S149" s="29">
        <f>MAX(基础状态预期!P155:T155)</f>
        <v>1.3468858066727012</v>
      </c>
      <c r="T149" s="29">
        <f t="shared" ref="T149:V149" si="152">S149</f>
        <v>1.3468858066727012</v>
      </c>
      <c r="U149" s="29">
        <f t="shared" si="152"/>
        <v>1.3468858066727012</v>
      </c>
      <c r="V149" s="29">
        <f t="shared" si="152"/>
        <v>1.3468858066727012</v>
      </c>
      <c r="W149" s="41">
        <f>SUMIFS(武将进阶!F$13:F$18,武将进阶!$C$13:$C$18,"&lt;="&amp;T149)*H149+武将数量星级阶位验证!Q145</f>
        <v>24</v>
      </c>
      <c r="X149" s="41">
        <f>SUMIFS(武将进阶!G$13:G$18,武将进阶!$C$13:$C$18,"&lt;="&amp;U149)*I149+武将数量星级阶位验证!R145</f>
        <v>30.48788904021724</v>
      </c>
      <c r="Y149" s="41">
        <f>SUMIFS(武将进阶!H$13:H$18,武将进阶!$C$13:$C$18,"&lt;="&amp;V149)*J149+武将数量星级阶位验证!S145</f>
        <v>0</v>
      </c>
      <c r="Z149" s="41">
        <f>SUMIFS(武将进阶!I$13:I$18,武将进阶!$C$13:$C$18,"&lt;="&amp;W149)*K149+武将数量星级阶位验证!T145</f>
        <v>525</v>
      </c>
      <c r="AA149" s="29"/>
      <c r="AB149" s="29">
        <f>求节点(基础状态预期!$AT$17:$AT$55,基础状态预期!AW$17:AW$55,各r阵容卡情况!$F149)</f>
        <v>1.1120241944695881</v>
      </c>
      <c r="AC149" s="29">
        <f>求节点(基础状态预期!$AT$17:$AT$55,基础状态预期!AX$17:AX$55,各r阵容卡情况!$F149)</f>
        <v>1.1120241944695881</v>
      </c>
      <c r="AD149" s="29">
        <f>求节点(基础状态预期!$AT$17:$AT$55,基础状态预期!AY$17:AY$55,各r阵容卡情况!$F149)</f>
        <v>1.1120241944695881</v>
      </c>
      <c r="AE149" s="41">
        <f>IF(AA149&lt;1,0,(AA149-1)*武将觉醒!E$34*G149)+武将数量星级阶位验证!V145</f>
        <v>0</v>
      </c>
      <c r="AF149" s="41">
        <f>IF(AB149&lt;1,0,(AB149-1)*武将觉醒!F$34*H149)+武将数量星级阶位验证!W145</f>
        <v>4.4809677787835245</v>
      </c>
      <c r="AG149" s="41">
        <f>IF(AC149&lt;1,0,(AC149-1)*武将觉醒!G$34*I149)+武将数量星级阶位验证!X145</f>
        <v>6</v>
      </c>
      <c r="AH149" s="41">
        <f>IF(AD149&lt;1,0,(AD149-1)*武将觉醒!H$34*J149)+武将数量星级阶位验证!Y145</f>
        <v>0</v>
      </c>
      <c r="AJ149" s="29">
        <f>MAX(W149+AE149+G149*(K149+1)+IF(武将数量星级阶位验证!L145="",0,武将数量星级阶位验证!L145)*武将升星!P142,O149)</f>
        <v>48</v>
      </c>
      <c r="AK149" s="29">
        <f>MAX(X149+AF149+H149*(L149+1)+IF(武将数量星级阶位验证!M145="",0,武将数量星级阶位验证!M145)*武将升星!Q142,P149)</f>
        <v>128</v>
      </c>
      <c r="AL149" s="64">
        <f>MAX(Y149+AG149+I149*(M149+1)+IF(武将数量星级阶位验证!N145="",0,武将数量星级阶位验证!N145)*武将升星!R142,Q149)</f>
        <v>50.907523665003382</v>
      </c>
      <c r="AM149" s="41">
        <f t="shared" si="146"/>
        <v>0</v>
      </c>
      <c r="AO149" s="17">
        <f>武将数量星级阶位验证!BJ145</f>
        <v>454.51293121815525</v>
      </c>
      <c r="AP149" s="17">
        <f>武将数量星级阶位验证!BK145</f>
        <v>174.79637720229073</v>
      </c>
      <c r="AQ149" s="63">
        <f>武将数量星级阶位验证!BL145</f>
        <v>48.052106088144271</v>
      </c>
      <c r="AR149" s="17">
        <f>武将数量星级阶位验证!BM145</f>
        <v>0</v>
      </c>
      <c r="AT149" s="17">
        <f t="shared" si="138"/>
        <v>5</v>
      </c>
      <c r="AU149" s="17">
        <f t="shared" si="139"/>
        <v>33.672145166817529</v>
      </c>
      <c r="AW149" s="17" t="s">
        <v>168</v>
      </c>
      <c r="AZ149" s="17">
        <v>5</v>
      </c>
      <c r="BA149" s="17">
        <v>1</v>
      </c>
      <c r="BB149" s="62">
        <f t="shared" si="147"/>
        <v>6</v>
      </c>
      <c r="BD149" s="17">
        <v>6</v>
      </c>
      <c r="BE149" s="17">
        <v>8</v>
      </c>
      <c r="BF149" s="17">
        <v>0</v>
      </c>
      <c r="BG149" s="17">
        <v>0</v>
      </c>
      <c r="BH149" s="62">
        <f t="shared" si="148"/>
        <v>14</v>
      </c>
      <c r="BJ149" s="17">
        <f t="shared" si="149"/>
        <v>6</v>
      </c>
      <c r="BK149" s="17">
        <f t="shared" si="140"/>
        <v>8</v>
      </c>
      <c r="BL149" s="17">
        <f t="shared" si="141"/>
        <v>5</v>
      </c>
      <c r="BM149" s="17">
        <f t="shared" si="142"/>
        <v>1</v>
      </c>
      <c r="BN149" s="62">
        <f t="shared" si="150"/>
        <v>20</v>
      </c>
      <c r="BR149" s="17">
        <f>武将升星!P142*基础状态预期!G155+G149*(K149+1)+W149+AE149</f>
        <v>48</v>
      </c>
      <c r="BS149" s="17">
        <f>武将升星!Q142*基础状态预期!H155+H149*(L149+1)+X149+AF149</f>
        <v>90.968856819000763</v>
      </c>
      <c r="BT149" s="17">
        <f>武将升星!R142*基础状态预期!I155+I149*(M149+1)+Y149+AG149</f>
        <v>25.132505461154626</v>
      </c>
      <c r="BU149" s="17">
        <f>武将升星!S142*基础状态预期!J155+J149*(N149+1)+Z149+AH149</f>
        <v>525</v>
      </c>
    </row>
    <row r="150" spans="2:73" x14ac:dyDescent="0.15">
      <c r="B150" s="17">
        <v>8</v>
      </c>
      <c r="C150" s="17">
        <f t="shared" si="143"/>
        <v>16</v>
      </c>
      <c r="D150" s="17">
        <v>5</v>
      </c>
      <c r="E150" s="29">
        <f>基础状态预期!C156</f>
        <v>7.5</v>
      </c>
      <c r="F150" s="29">
        <f>基础状态预期!D156</f>
        <v>39.138098927718012</v>
      </c>
      <c r="G150" s="29">
        <f t="shared" si="144"/>
        <v>0</v>
      </c>
      <c r="H150" s="29">
        <f t="shared" si="134"/>
        <v>10</v>
      </c>
      <c r="I150" s="29">
        <f t="shared" si="135"/>
        <v>6</v>
      </c>
      <c r="J150" s="29">
        <f t="shared" si="136"/>
        <v>0</v>
      </c>
      <c r="K150" s="29">
        <f>武将战力价值情况!G146</f>
        <v>3</v>
      </c>
      <c r="L150" s="29">
        <f>武将战力价值情况!H146</f>
        <v>6</v>
      </c>
      <c r="M150" s="29">
        <f>武将战力价值情况!I146</f>
        <v>3.2465520681096871</v>
      </c>
      <c r="N150" s="29">
        <f>武将战力价值情况!J146</f>
        <v>0</v>
      </c>
      <c r="O150" s="41">
        <f>MAX(同名需求(G150,求节点(武将升星!$C$104:$C$112,武将升星!E$104:E$112,K150),F$2),武将数量星级阶位验证!AA146)</f>
        <v>24</v>
      </c>
      <c r="P150" s="41">
        <f>MAX(同名需求(H150,求节点(武将升星!$C$104:$C$112,武将升星!F$104:F$112,L150),G$2),武将数量星级阶位验证!AB146)</f>
        <v>130</v>
      </c>
      <c r="Q150" s="41">
        <f>MAX(同名需求(I150,求节点(武将升星!$C$104:$C$112,武将升星!G$104:G$112,M150),H$2),武将数量星级阶位验证!AC146)</f>
        <v>81.862082724387477</v>
      </c>
      <c r="R150" s="41">
        <f>MAX(同名需求(J150,求节点(武将升星!$C$104:$C$112,武将升星!H$104:H$112,N150),I$2),武将数量星级阶位验证!AD146)</f>
        <v>0</v>
      </c>
      <c r="S150" s="29">
        <f>MAX(基础状态预期!P156:T156)</f>
        <v>1.5655239571087205</v>
      </c>
      <c r="T150" s="29">
        <f t="shared" ref="T150:V150" si="153">S150</f>
        <v>1.5655239571087205</v>
      </c>
      <c r="U150" s="29">
        <f t="shared" si="153"/>
        <v>1.5655239571087205</v>
      </c>
      <c r="V150" s="29">
        <f t="shared" si="153"/>
        <v>1.5655239571087205</v>
      </c>
      <c r="W150" s="41">
        <f>SUMIFS(武将进阶!F$13:F$18,武将进阶!$C$13:$C$18,"&lt;="&amp;T150)*H150+武将数量星级阶位验证!Q146</f>
        <v>30</v>
      </c>
      <c r="X150" s="41">
        <f>SUMIFS(武将进阶!G$13:G$18,武将进阶!$C$13:$C$18,"&lt;="&amp;U150)*I150+武将数量星级阶位验证!R146</f>
        <v>56.358862455913936</v>
      </c>
      <c r="Y150" s="41">
        <f>SUMIFS(武将进阶!H$13:H$18,武将进阶!$C$13:$C$18,"&lt;="&amp;V150)*J150+武将数量星级阶位验证!S146</f>
        <v>0</v>
      </c>
      <c r="Z150" s="41">
        <f>SUMIFS(武将进阶!I$13:I$18,武将进阶!$C$13:$C$18,"&lt;="&amp;W150)*K150+武将数量星级阶位验证!T146</f>
        <v>525</v>
      </c>
      <c r="AA150" s="29"/>
      <c r="AB150" s="29">
        <f>求节点(基础状态预期!$AT$17:$AT$55,基础状态预期!AW$17:AW$55,各r阵容卡情况!$F150)</f>
        <v>2</v>
      </c>
      <c r="AC150" s="29">
        <f>求节点(基础状态预期!$AT$17:$AT$55,基础状态预期!AX$17:AX$55,各r阵容卡情况!$F150)</f>
        <v>2</v>
      </c>
      <c r="AD150" s="29">
        <f>求节点(基础状态预期!$AT$17:$AT$55,基础状态预期!AY$17:AY$55,各r阵容卡情况!$F150)</f>
        <v>2</v>
      </c>
      <c r="AE150" s="41">
        <f>IF(AA150&lt;1,0,(AA150-1)*武将觉醒!E$34*G150)+武将数量星级阶位验证!V146</f>
        <v>0</v>
      </c>
      <c r="AF150" s="41">
        <f>IF(AB150&lt;1,0,(AB150-1)*武将觉醒!F$34*H150)+武将数量星级阶位验证!W146</f>
        <v>50</v>
      </c>
      <c r="AG150" s="41">
        <f>IF(AC150&lt;1,0,(AC150-1)*武将觉醒!G$34*I150)+武将数量星级阶位验证!X146</f>
        <v>12</v>
      </c>
      <c r="AH150" s="41">
        <f>IF(AD150&lt;1,0,(AD150-1)*武将觉醒!H$34*J150)+武将数量星级阶位验证!Y146</f>
        <v>0</v>
      </c>
      <c r="AJ150" s="29">
        <f>MAX(W150+AE150+G150*(K150+1)+IF(武将数量星级阶位验证!L146="",0,武将数量星级阶位验证!L146)*武将升星!P143,O150)</f>
        <v>30</v>
      </c>
      <c r="AK150" s="29">
        <f>MAX(X150+AF150+H150*(L150+1)+IF(武将数量星级阶位验证!M146="",0,武将数量星级阶位验证!M146)*武将升星!Q143,P150)</f>
        <v>176.35886245591394</v>
      </c>
      <c r="AL150" s="64">
        <f>MAX(Y150+AG150+I150*(M150+1)+IF(武将数量星级阶位验证!N146="",0,武将数量星级阶位验证!N146)*武将升星!R143,Q150)</f>
        <v>81.862082724387477</v>
      </c>
      <c r="AM150" s="41">
        <f t="shared" si="146"/>
        <v>0</v>
      </c>
      <c r="AO150" s="17">
        <f>武将数量星级阶位验证!BJ146</f>
        <v>618.12562989258504</v>
      </c>
      <c r="AP150" s="17">
        <f>武将数量星级阶位验证!BK146</f>
        <v>236.41481210838884</v>
      </c>
      <c r="AQ150" s="63">
        <f>武将数量星级阶位验证!BL146</f>
        <v>64.827603405484368</v>
      </c>
      <c r="AR150" s="17">
        <f>武将数量星级阶位验证!BM146</f>
        <v>0</v>
      </c>
      <c r="AT150" s="17">
        <f t="shared" si="138"/>
        <v>7.5</v>
      </c>
      <c r="AU150" s="17">
        <f t="shared" si="139"/>
        <v>39.138098927718012</v>
      </c>
      <c r="AW150" s="17" t="s">
        <v>168</v>
      </c>
      <c r="AZ150" s="17">
        <v>4</v>
      </c>
      <c r="BA150" s="17">
        <v>2</v>
      </c>
      <c r="BB150" s="62">
        <f t="shared" si="147"/>
        <v>6</v>
      </c>
      <c r="BD150" s="17">
        <v>0</v>
      </c>
      <c r="BE150" s="17">
        <v>10</v>
      </c>
      <c r="BF150" s="17">
        <v>6</v>
      </c>
      <c r="BG150" s="17">
        <v>0</v>
      </c>
      <c r="BH150" s="62">
        <f t="shared" si="148"/>
        <v>16</v>
      </c>
      <c r="BJ150" s="17">
        <f t="shared" si="149"/>
        <v>0</v>
      </c>
      <c r="BK150" s="17">
        <f t="shared" si="140"/>
        <v>10</v>
      </c>
      <c r="BL150" s="17">
        <f t="shared" si="141"/>
        <v>10</v>
      </c>
      <c r="BM150" s="17">
        <f t="shared" si="142"/>
        <v>2</v>
      </c>
      <c r="BN150" s="62">
        <f t="shared" si="150"/>
        <v>22</v>
      </c>
      <c r="BR150" s="17">
        <f>武将升星!P143*基础状态预期!G156+G150*(K150+1)+W150+AE150</f>
        <v>30</v>
      </c>
      <c r="BS150" s="17">
        <f>武将升星!Q143*基础状态预期!H156+H150*(L150+1)+X150+AF150</f>
        <v>176.35886245591394</v>
      </c>
      <c r="BT150" s="17">
        <f>武将升星!R143*基础状态预期!I156+I150*(M150+1)+Y150+AG150</f>
        <v>64.437937225974366</v>
      </c>
      <c r="BU150" s="17">
        <f>武将升星!S143*基础状态预期!J156+J150*(N150+1)+Z150+AH150</f>
        <v>525</v>
      </c>
    </row>
    <row r="151" spans="2:73" x14ac:dyDescent="0.15">
      <c r="B151" s="17">
        <v>9</v>
      </c>
      <c r="C151" s="17">
        <f t="shared" si="143"/>
        <v>18</v>
      </c>
      <c r="D151" s="17">
        <v>6</v>
      </c>
      <c r="E151" s="29">
        <f>基础状态预期!C157</f>
        <v>10</v>
      </c>
      <c r="F151" s="29">
        <f>基础状态预期!D157</f>
        <v>42.970748198558951</v>
      </c>
      <c r="G151" s="29">
        <f t="shared" si="144"/>
        <v>0</v>
      </c>
      <c r="H151" s="29">
        <f t="shared" si="134"/>
        <v>11</v>
      </c>
      <c r="I151" s="29">
        <f t="shared" si="135"/>
        <v>7</v>
      </c>
      <c r="J151" s="29">
        <f t="shared" si="136"/>
        <v>0</v>
      </c>
      <c r="K151" s="29">
        <f>武将战力价值情况!G147</f>
        <v>3</v>
      </c>
      <c r="L151" s="29">
        <f>武将战力价值情况!H147</f>
        <v>6</v>
      </c>
      <c r="M151" s="29">
        <f>武将战力价值情况!I147</f>
        <v>3.8343752939009965</v>
      </c>
      <c r="N151" s="29">
        <f>武将战力价值情况!J147</f>
        <v>0</v>
      </c>
      <c r="O151" s="41">
        <f>MAX(同名需求(G151,求节点(武将升星!$C$104:$C$112,武将升星!E$104:E$112,K151),F$2),武将数量星级阶位验证!AA147)</f>
        <v>24</v>
      </c>
      <c r="P151" s="41">
        <f>MAX(同名需求(H151,求节点(武将升星!$C$104:$C$112,武将升星!F$104:F$112,L151),G$2),武将数量星级阶位验证!AB147)</f>
        <v>251</v>
      </c>
      <c r="Q151" s="41">
        <f>MAX(同名需求(I151,求节点(武将升星!$C$104:$C$112,武将升星!G$104:G$112,M151),H$2),武将数量星级阶位验证!AC147)</f>
        <v>105.37501175603987</v>
      </c>
      <c r="R151" s="41">
        <f>MAX(同名需求(J151,求节点(武将升星!$C$104:$C$112,武将升星!H$104:H$112,N151),I$2),武将数量星级阶位验证!AD147)</f>
        <v>0</v>
      </c>
      <c r="S151" s="29">
        <f>MAX(基础状态预期!P157:T157)</f>
        <v>1.718829927942358</v>
      </c>
      <c r="T151" s="29">
        <f t="shared" ref="T151:V151" si="154">S151</f>
        <v>1.718829927942358</v>
      </c>
      <c r="U151" s="29">
        <f t="shared" si="154"/>
        <v>1.718829927942358</v>
      </c>
      <c r="V151" s="29">
        <f t="shared" si="154"/>
        <v>1.718829927942358</v>
      </c>
      <c r="W151" s="41">
        <f>SUMIFS(武将进阶!F$13:F$18,武将进阶!$C$13:$C$18,"&lt;="&amp;T151)*H151+武将数量星级阶位验证!Q147</f>
        <v>33</v>
      </c>
      <c r="X151" s="41">
        <f>SUMIFS(武将进阶!G$13:G$18,武将进阶!$C$13:$C$18,"&lt;="&amp;U151)*I151+武将数量星级阶位验证!R147</f>
        <v>64.877877405924892</v>
      </c>
      <c r="Y151" s="41">
        <f>SUMIFS(武将进阶!H$13:H$18,武将进阶!$C$13:$C$18,"&lt;="&amp;V151)*J151+武将数量星级阶位验证!S147</f>
        <v>0</v>
      </c>
      <c r="Z151" s="41">
        <f>SUMIFS(武将进阶!I$13:I$18,武将进阶!$C$13:$C$18,"&lt;="&amp;W151)*K151+武将数量星级阶位验证!T147</f>
        <v>525</v>
      </c>
      <c r="AA151" s="29"/>
      <c r="AB151" s="29">
        <f>求节点(基础状态预期!$AT$17:$AT$55,基础状态预期!AW$17:AW$55,各r阵容卡情况!$F151)</f>
        <v>2</v>
      </c>
      <c r="AC151" s="29">
        <f>求节点(基础状态预期!$AT$17:$AT$55,基础状态预期!AX$17:AX$55,各r阵容卡情况!$F151)</f>
        <v>2</v>
      </c>
      <c r="AD151" s="29">
        <f>求节点(基础状态预期!$AT$17:$AT$55,基础状态预期!AY$17:AY$55,各r阵容卡情况!$F151)</f>
        <v>2</v>
      </c>
      <c r="AE151" s="41">
        <f>IF(AA151&lt;1,0,(AA151-1)*武将觉醒!E$34*G151)+武将数量星级阶位验证!V147</f>
        <v>0</v>
      </c>
      <c r="AF151" s="41">
        <f>IF(AB151&lt;1,0,(AB151-1)*武将觉醒!F$34*H151)+武将数量星级阶位验证!W147</f>
        <v>55</v>
      </c>
      <c r="AG151" s="41">
        <f>IF(AC151&lt;1,0,(AC151-1)*武将觉醒!G$34*I151)+武将数量星级阶位验证!X147</f>
        <v>13</v>
      </c>
      <c r="AH151" s="41">
        <f>IF(AD151&lt;1,0,(AD151-1)*武将觉醒!H$34*J151)+武将数量星级阶位验证!Y147</f>
        <v>0</v>
      </c>
      <c r="AJ151" s="29">
        <f>MAX(W151+AE151+G151*(K151+1)+IF(武将数量星级阶位验证!L147="",0,武将数量星级阶位验证!L147)*武将升星!P144,O151)</f>
        <v>33</v>
      </c>
      <c r="AK151" s="29">
        <f>MAX(X151+AF151+H151*(L151+1)+IF(武将数量星级阶位验证!M147="",0,武将数量星级阶位验证!M147)*武将升星!Q144,P151)</f>
        <v>251</v>
      </c>
      <c r="AL151" s="64">
        <f>MAX(Y151+AG151+I151*(M151+1)+IF(武将数量星级阶位验证!N147="",0,武将数量星级阶位验证!N147)*武将升星!R144,Q151)</f>
        <v>105.37501175603987</v>
      </c>
      <c r="AM151" s="41">
        <f t="shared" si="146"/>
        <v>0</v>
      </c>
      <c r="AO151" s="17">
        <f>武将数量星级阶位验证!BJ147</f>
        <v>759.55434268141357</v>
      </c>
      <c r="AP151" s="17">
        <f>武将数量星级阶位验证!BK147</f>
        <v>289.04732868107891</v>
      </c>
      <c r="AQ151" s="63">
        <f>武将数量星级阶位验证!BL147</f>
        <v>79.075811191553441</v>
      </c>
      <c r="AR151" s="17">
        <f>武将数量星级阶位验证!BM147</f>
        <v>0</v>
      </c>
      <c r="AT151" s="17">
        <f t="shared" si="138"/>
        <v>10</v>
      </c>
      <c r="AU151" s="17">
        <f t="shared" si="139"/>
        <v>42.970748198558951</v>
      </c>
      <c r="AW151" s="17" t="s">
        <v>168</v>
      </c>
      <c r="AZ151" s="17">
        <v>3</v>
      </c>
      <c r="BA151" s="17">
        <v>3</v>
      </c>
      <c r="BB151" s="62">
        <f t="shared" si="147"/>
        <v>6</v>
      </c>
      <c r="BD151" s="17">
        <v>0</v>
      </c>
      <c r="BE151" s="17">
        <v>11</v>
      </c>
      <c r="BF151" s="17">
        <v>7</v>
      </c>
      <c r="BG151" s="17">
        <v>0</v>
      </c>
      <c r="BH151" s="62">
        <f t="shared" si="148"/>
        <v>18</v>
      </c>
      <c r="BJ151" s="17">
        <f t="shared" si="149"/>
        <v>0</v>
      </c>
      <c r="BK151" s="17">
        <f t="shared" si="140"/>
        <v>11</v>
      </c>
      <c r="BL151" s="17">
        <f t="shared" si="141"/>
        <v>10</v>
      </c>
      <c r="BM151" s="17">
        <f t="shared" si="142"/>
        <v>3</v>
      </c>
      <c r="BN151" s="62">
        <f t="shared" si="150"/>
        <v>24</v>
      </c>
      <c r="BR151" s="17">
        <f>武将升星!P144*基础状态预期!G157+G151*(K151+1)+W151+AE151</f>
        <v>33</v>
      </c>
      <c r="BS151" s="17">
        <f>武将升星!Q144*基础状态预期!H157+H151*(L151+1)+X151+AF151</f>
        <v>196.87787740592489</v>
      </c>
      <c r="BT151" s="17">
        <f>武将升星!R144*基础状态预期!I157+I151*(M151+1)+Y151+AG151</f>
        <v>80.853130584118929</v>
      </c>
      <c r="BU151" s="17">
        <f>武将升星!S144*基础状态预期!J157+J151*(N151+1)+Z151+AH151</f>
        <v>525</v>
      </c>
    </row>
    <row r="152" spans="2:73" x14ac:dyDescent="0.15">
      <c r="B152" s="17">
        <v>10</v>
      </c>
      <c r="C152" s="17">
        <f t="shared" si="143"/>
        <v>22</v>
      </c>
      <c r="D152" s="17">
        <v>7</v>
      </c>
      <c r="E152" s="29">
        <f>基础状态预期!C158</f>
        <v>15</v>
      </c>
      <c r="F152" s="29">
        <f>基础状态预期!D158</f>
        <v>48.731413734867289</v>
      </c>
      <c r="G152" s="29">
        <f t="shared" si="144"/>
        <v>0</v>
      </c>
      <c r="H152" s="29">
        <f t="shared" si="134"/>
        <v>14</v>
      </c>
      <c r="I152" s="29">
        <f t="shared" si="135"/>
        <v>8</v>
      </c>
      <c r="J152" s="29">
        <f t="shared" si="136"/>
        <v>0</v>
      </c>
      <c r="K152" s="29">
        <f>武将战力价值情况!G148</f>
        <v>3</v>
      </c>
      <c r="L152" s="29">
        <f>武将战力价值情况!H148</f>
        <v>6</v>
      </c>
      <c r="M152" s="29">
        <f>武将战力价值情况!I148</f>
        <v>4.8458022021284828</v>
      </c>
      <c r="N152" s="29">
        <f>武将战力价值情况!J148</f>
        <v>0</v>
      </c>
      <c r="O152" s="41">
        <f>MAX(同名需求(G152,求节点(武将升星!$C$104:$C$112,武将升星!E$104:E$112,K152),F$2),武将数量星级阶位验证!AA148)</f>
        <v>24</v>
      </c>
      <c r="P152" s="41">
        <f>MAX(同名需求(H152,求节点(武将升星!$C$104:$C$112,武将升星!F$104:F$112,L152),G$2),武将数量星级阶位验证!AB148)</f>
        <v>254</v>
      </c>
      <c r="Q152" s="41">
        <f>MAX(同名需求(I152,求节点(武将升星!$C$104:$C$112,武将升星!G$104:G$112,M152),H$2),武将数量星级阶位验证!AC148)</f>
        <v>155.98171451068109</v>
      </c>
      <c r="R152" s="41">
        <f>MAX(同名需求(J152,求节点(武将升星!$C$104:$C$112,武将升星!H$104:H$112,N152),I$2),武将数量星级阶位验证!AD148)</f>
        <v>0</v>
      </c>
      <c r="S152" s="29">
        <f>MAX(基础状态预期!P158:T158)</f>
        <v>1.9492565493946916</v>
      </c>
      <c r="T152" s="29">
        <f t="shared" ref="T152:V152" si="155">S152</f>
        <v>1.9492565493946916</v>
      </c>
      <c r="U152" s="29">
        <f t="shared" si="155"/>
        <v>1.9492565493946916</v>
      </c>
      <c r="V152" s="29">
        <f t="shared" si="155"/>
        <v>1.9492565493946916</v>
      </c>
      <c r="W152" s="41">
        <f>SUMIFS(武将进阶!F$13:F$18,武将进阶!$C$13:$C$18,"&lt;="&amp;T152)*H152+武将数量星级阶位验证!Q148</f>
        <v>42</v>
      </c>
      <c r="X152" s="41">
        <f>SUMIFS(武将进阶!G$13:G$18,武将进阶!$C$13:$C$18,"&lt;="&amp;U152)*I152+武将数量星级阶位验证!R148</f>
        <v>76.173235778208891</v>
      </c>
      <c r="Y152" s="41">
        <f>SUMIFS(武将进阶!H$13:H$18,武将进阶!$C$13:$C$18,"&lt;="&amp;V152)*J152+武将数量星级阶位验证!S148</f>
        <v>0</v>
      </c>
      <c r="Z152" s="41">
        <f>SUMIFS(武将进阶!I$13:I$18,武将进阶!$C$13:$C$18,"&lt;="&amp;W152)*K152+武将数量星级阶位验证!T148</f>
        <v>525</v>
      </c>
      <c r="AA152" s="29"/>
      <c r="AB152" s="29">
        <f>求节点(基础状态预期!$AT$17:$AT$55,基础状态预期!AW$17:AW$55,各r阵容卡情况!$F152)</f>
        <v>2</v>
      </c>
      <c r="AC152" s="29">
        <f>求节点(基础状态预期!$AT$17:$AT$55,基础状态预期!AX$17:AX$55,各r阵容卡情况!$F152)</f>
        <v>2</v>
      </c>
      <c r="AD152" s="29">
        <f>求节点(基础状态预期!$AT$17:$AT$55,基础状态预期!AY$17:AY$55,各r阵容卡情况!$F152)</f>
        <v>2</v>
      </c>
      <c r="AE152" s="41">
        <f>IF(AA152&lt;1,0,(AA152-1)*武将觉醒!E$34*G152)+武将数量星级阶位验证!V148</f>
        <v>0</v>
      </c>
      <c r="AF152" s="41">
        <f>IF(AB152&lt;1,0,(AB152-1)*武将觉醒!F$34*H152)+武将数量星级阶位验证!W148</f>
        <v>70</v>
      </c>
      <c r="AG152" s="41">
        <f>IF(AC152&lt;1,0,(AC152-1)*武将觉醒!G$34*I152)+武将数量星级阶位验证!X148</f>
        <v>14</v>
      </c>
      <c r="AH152" s="41">
        <f>IF(AD152&lt;1,0,(AD152-1)*武将觉醒!H$34*J152)+武将数量星级阶位验证!Y148</f>
        <v>0</v>
      </c>
      <c r="AJ152" s="29">
        <f>MAX(W152+AE152+G152*(K152+1)+IF(武将数量星级阶位验证!L148="",0,武将数量星级阶位验证!L148)*武将升星!P145,O152)</f>
        <v>42</v>
      </c>
      <c r="AK152" s="29">
        <f>MAX(X152+AF152+H152*(L152+1)+IF(武将数量星级阶位验证!M148="",0,武将数量星级阶位验证!M148)*武将升星!Q145,P152)</f>
        <v>254</v>
      </c>
      <c r="AL152" s="64">
        <f>MAX(Y152+AG152+I152*(M152+1)+IF(武将数量星级阶位验证!N148="",0,武将数量星级阶位验证!N148)*武将升星!R145,Q152)</f>
        <v>155.98171451068109</v>
      </c>
      <c r="AM152" s="41">
        <f t="shared" si="146"/>
        <v>0</v>
      </c>
      <c r="AO152" s="17">
        <f>武将数量星级阶位验证!BJ148</f>
        <v>1019.2032360645138</v>
      </c>
      <c r="AP152" s="17">
        <f>武将数量星级阶位验证!BK148</f>
        <v>387.18306729779152</v>
      </c>
      <c r="AQ152" s="63">
        <f>武将数量星级阶位验证!BL148</f>
        <v>104.37751860815952</v>
      </c>
      <c r="AR152" s="17">
        <f>武将数量星级阶位验证!BM148</f>
        <v>0.67976803962534471</v>
      </c>
      <c r="AT152" s="17">
        <f t="shared" si="138"/>
        <v>15</v>
      </c>
      <c r="AU152" s="17">
        <f t="shared" si="139"/>
        <v>48.731413734867289</v>
      </c>
      <c r="AW152" s="17" t="s">
        <v>168</v>
      </c>
      <c r="AZ152" s="17">
        <v>2</v>
      </c>
      <c r="BA152" s="17">
        <v>4</v>
      </c>
      <c r="BB152" s="62">
        <f t="shared" si="147"/>
        <v>6</v>
      </c>
      <c r="BD152" s="17">
        <v>0</v>
      </c>
      <c r="BE152" s="17">
        <v>14</v>
      </c>
      <c r="BF152" s="17">
        <v>8</v>
      </c>
      <c r="BG152" s="17">
        <v>0</v>
      </c>
      <c r="BH152" s="62">
        <f t="shared" si="148"/>
        <v>22</v>
      </c>
      <c r="BJ152" s="17">
        <f t="shared" si="149"/>
        <v>0</v>
      </c>
      <c r="BK152" s="17">
        <f t="shared" si="140"/>
        <v>14</v>
      </c>
      <c r="BL152" s="17">
        <f t="shared" si="141"/>
        <v>10</v>
      </c>
      <c r="BM152" s="17">
        <f t="shared" si="142"/>
        <v>4</v>
      </c>
      <c r="BN152" s="62">
        <f t="shared" si="150"/>
        <v>28</v>
      </c>
      <c r="BR152" s="17">
        <f>武将升星!P145*基础状态预期!G158+G152*(K152+1)+W152+AE152</f>
        <v>42</v>
      </c>
      <c r="BS152" s="17">
        <f>武将升星!Q145*基础状态预期!H158+H152*(L152+1)+X152+AF152</f>
        <v>244.17323577820889</v>
      </c>
      <c r="BT152" s="17">
        <f>武将升星!R145*基础状态预期!I158+I152*(M152+1)+Y152+AG152</f>
        <v>106.91604404256967</v>
      </c>
      <c r="BU152" s="17">
        <f>武将升星!S145*基础状态预期!J158+J152*(N152+1)+Z152+AH152</f>
        <v>525</v>
      </c>
    </row>
    <row r="153" spans="2:73" x14ac:dyDescent="0.15">
      <c r="B153" s="17">
        <v>11</v>
      </c>
      <c r="C153" s="17">
        <f t="shared" si="143"/>
        <v>24</v>
      </c>
      <c r="D153" s="17">
        <v>8</v>
      </c>
      <c r="E153" s="29">
        <f>基础状态预期!C159</f>
        <v>20</v>
      </c>
      <c r="F153" s="29">
        <f>基础状态预期!D159</f>
        <v>52.769987980532711</v>
      </c>
      <c r="G153" s="29">
        <f t="shared" si="144"/>
        <v>0</v>
      </c>
      <c r="H153" s="29">
        <f t="shared" si="134"/>
        <v>15</v>
      </c>
      <c r="I153" s="29">
        <f t="shared" si="135"/>
        <v>9</v>
      </c>
      <c r="J153" s="29">
        <f t="shared" si="136"/>
        <v>0</v>
      </c>
      <c r="K153" s="29">
        <f>武将战力价值情况!G149</f>
        <v>3</v>
      </c>
      <c r="L153" s="29">
        <f>武将战力价值情况!H149</f>
        <v>6</v>
      </c>
      <c r="M153" s="29">
        <f>武将战力价值情况!I149</f>
        <v>5.4425876027076479</v>
      </c>
      <c r="N153" s="29">
        <f>武将战力价值情况!J149</f>
        <v>0.87015854834510842</v>
      </c>
      <c r="O153" s="41">
        <f>MAX(同名需求(G153,求节点(武将升星!$C$104:$C$112,武将升星!E$104:E$112,K153),F$2),武将数量星级阶位验证!AA149)</f>
        <v>24</v>
      </c>
      <c r="P153" s="41">
        <f>MAX(同名需求(H153,求节点(武将升星!$C$104:$C$112,武将升星!F$104:F$112,L153),G$2),武将数量星级阶位验证!AB149)</f>
        <v>255</v>
      </c>
      <c r="Q153" s="41">
        <f>MAX(同名需求(I153,求节点(武将升星!$C$104:$C$112,武将升星!G$104:G$112,M153),H$2),武将数量星级阶位验证!AC149)</f>
        <v>186.55525616245887</v>
      </c>
      <c r="R153" s="41">
        <f>MAX(同名需求(J153,求节点(武将升星!$C$104:$C$112,武将升星!H$104:H$112,N153),I$2),武将数量星级阶位验证!AD149)</f>
        <v>1.8701585483451084</v>
      </c>
      <c r="S153" s="29">
        <f>MAX(基础状态预期!P159:T159)</f>
        <v>2.1107995192213083</v>
      </c>
      <c r="T153" s="29">
        <f t="shared" ref="T153:V153" si="156">S153</f>
        <v>2.1107995192213083</v>
      </c>
      <c r="U153" s="29">
        <f t="shared" si="156"/>
        <v>2.1107995192213083</v>
      </c>
      <c r="V153" s="29">
        <f t="shared" si="156"/>
        <v>2.1107995192213083</v>
      </c>
      <c r="W153" s="41">
        <f>SUMIFS(武将进阶!F$13:F$18,武将进阶!$C$13:$C$18,"&lt;="&amp;T153)*H153+武将数量星级阶位验证!Q149</f>
        <v>135</v>
      </c>
      <c r="X153" s="41">
        <f>SUMIFS(武将进阶!G$13:G$18,武将进阶!$C$13:$C$18,"&lt;="&amp;U153)*I153+武将数量星级阶位验证!R149</f>
        <v>132.64797115327849</v>
      </c>
      <c r="Y153" s="41">
        <f>SUMIFS(武将进阶!H$13:H$18,武将进阶!$C$13:$C$18,"&lt;="&amp;V153)*J153+武将数量星级阶位验证!S149</f>
        <v>10.994391345983548</v>
      </c>
      <c r="Z153" s="41">
        <f>SUMIFS(武将进阶!I$13:I$18,武将进阶!$C$13:$C$18,"&lt;="&amp;W153)*K153+武将数量星级阶位验证!T149</f>
        <v>525</v>
      </c>
      <c r="AA153" s="29"/>
      <c r="AB153" s="29">
        <f>求节点(基础状态预期!$AT$17:$AT$55,基础状态预期!AW$17:AW$55,各r阵容卡情况!$F153)</f>
        <v>2</v>
      </c>
      <c r="AC153" s="29">
        <f>求节点(基础状态预期!$AT$17:$AT$55,基础状态预期!AX$17:AX$55,各r阵容卡情况!$F153)</f>
        <v>2</v>
      </c>
      <c r="AD153" s="29">
        <f>求节点(基础状态预期!$AT$17:$AT$55,基础状态预期!AY$17:AY$55,各r阵容卡情况!$F153)</f>
        <v>2</v>
      </c>
      <c r="AE153" s="41">
        <f>IF(AA153&lt;1,0,(AA153-1)*武将觉醒!E$34*G153)+武将数量星级阶位验证!V149</f>
        <v>0</v>
      </c>
      <c r="AF153" s="41">
        <f>IF(AB153&lt;1,0,(AB153-1)*武将觉醒!F$34*H153)+武将数量星级阶位验证!W149</f>
        <v>75</v>
      </c>
      <c r="AG153" s="41">
        <f>IF(AC153&lt;1,0,(AC153-1)*武将觉醒!G$34*I153)+武将数量星级阶位验证!X149</f>
        <v>17</v>
      </c>
      <c r="AH153" s="41">
        <f>IF(AD153&lt;1,0,(AD153-1)*武将觉醒!H$34*J153)+武将数量星级阶位验证!Y149</f>
        <v>0</v>
      </c>
      <c r="AJ153" s="29">
        <f>MAX(W153+AE153+G153*(K153+1)+IF(武将数量星级阶位验证!L149="",0,武将数量星级阶位验证!L149)*武将升星!P146,O153)</f>
        <v>135</v>
      </c>
      <c r="AK153" s="29">
        <f>MAX(X153+AF153+H153*(L153+1)+IF(武将数量星级阶位验证!M149="",0,武将数量星级阶位验证!M149)*武将升星!Q146,P153)</f>
        <v>312.64797115327849</v>
      </c>
      <c r="AL153" s="64">
        <f>MAX(Y153+AG153+I153*(M153+1)+IF(武将数量星级阶位验证!N149="",0,武将数量星级阶位验证!N149)*武将升星!R146,Q153)</f>
        <v>186.55525616245887</v>
      </c>
      <c r="AM153" s="41">
        <f t="shared" si="146"/>
        <v>1.8701585483451084</v>
      </c>
      <c r="AO153" s="17">
        <f>武将数量星级阶位验证!BJ149</f>
        <v>1246.8009522610369</v>
      </c>
      <c r="AP153" s="17">
        <f>武将数量星级阶位验证!BK149</f>
        <v>474.04243454577579</v>
      </c>
      <c r="AQ153" s="63">
        <f>武将数量星级阶位验证!BL149</f>
        <v>125.6141572563955</v>
      </c>
      <c r="AR153" s="17">
        <f>武将数量星级阶位验证!BM149</f>
        <v>1.8701585483451084</v>
      </c>
      <c r="AT153" s="17">
        <f t="shared" si="138"/>
        <v>20</v>
      </c>
      <c r="AU153" s="17">
        <f t="shared" si="139"/>
        <v>52.769987980532711</v>
      </c>
      <c r="AW153" s="17" t="s">
        <v>168</v>
      </c>
      <c r="AZ153" s="17">
        <v>1</v>
      </c>
      <c r="BA153" s="17">
        <v>5</v>
      </c>
      <c r="BB153" s="62">
        <f t="shared" si="147"/>
        <v>6</v>
      </c>
      <c r="BD153" s="17">
        <v>0</v>
      </c>
      <c r="BE153" s="17">
        <v>15</v>
      </c>
      <c r="BF153" s="17">
        <v>9</v>
      </c>
      <c r="BG153" s="17">
        <v>0</v>
      </c>
      <c r="BH153" s="62">
        <f t="shared" si="148"/>
        <v>24</v>
      </c>
      <c r="BJ153" s="17">
        <f t="shared" si="149"/>
        <v>0</v>
      </c>
      <c r="BK153" s="17">
        <f t="shared" si="140"/>
        <v>15</v>
      </c>
      <c r="BL153" s="17">
        <f t="shared" si="141"/>
        <v>10</v>
      </c>
      <c r="BM153" s="17">
        <f t="shared" si="142"/>
        <v>5</v>
      </c>
      <c r="BN153" s="62">
        <f t="shared" si="150"/>
        <v>30</v>
      </c>
      <c r="BR153" s="17">
        <f>武将升星!P146*基础状态预期!G159+G153*(K153+1)+W153+AE153</f>
        <v>135</v>
      </c>
      <c r="BS153" s="17">
        <f>武将升星!Q146*基础状态预期!H159+H153*(L153+1)+X153+AF153</f>
        <v>312.64797115327849</v>
      </c>
      <c r="BT153" s="17">
        <f>武将升星!R146*基础状态预期!I159+I153*(M153+1)+Y153+AG153</f>
        <v>132.61649381096709</v>
      </c>
      <c r="BU153" s="17">
        <f>武将升星!S146*基础状态预期!J159+J153*(N153+1)+Z153+AH153</f>
        <v>526.8701585483451</v>
      </c>
    </row>
    <row r="154" spans="2:73" x14ac:dyDescent="0.15">
      <c r="B154" s="17">
        <v>12</v>
      </c>
      <c r="C154" s="17">
        <f t="shared" si="143"/>
        <v>24</v>
      </c>
      <c r="D154" s="17">
        <v>9</v>
      </c>
      <c r="E154" s="29">
        <f>基础状态预期!C160</f>
        <v>30</v>
      </c>
      <c r="F154" s="29">
        <f>基础状态预期!D160</f>
        <v>58.701446767877648</v>
      </c>
      <c r="G154" s="29">
        <f t="shared" si="144"/>
        <v>0</v>
      </c>
      <c r="H154" s="29">
        <f t="shared" si="134"/>
        <v>8</v>
      </c>
      <c r="I154" s="29">
        <f t="shared" si="135"/>
        <v>16</v>
      </c>
      <c r="J154" s="29">
        <f t="shared" si="136"/>
        <v>0</v>
      </c>
      <c r="K154" s="29">
        <f>武将战力价值情况!G150</f>
        <v>3</v>
      </c>
      <c r="L154" s="29">
        <f>武将战力价值情况!H150</f>
        <v>6</v>
      </c>
      <c r="M154" s="29">
        <f>武将战力价值情况!I150</f>
        <v>6.2157013816465776</v>
      </c>
      <c r="N154" s="29">
        <f>武将战力价值情况!J150</f>
        <v>2.7681293702554006</v>
      </c>
      <c r="O154" s="41">
        <f>MAX(同名需求(G154,求节点(武将升星!$C$104:$C$112,武将升星!E$104:E$112,K154),F$2),武将数量星级阶位验证!AA150)</f>
        <v>24</v>
      </c>
      <c r="P154" s="41">
        <f>MAX(同名需求(H154,求节点(武将升星!$C$104:$C$112,武将升星!F$104:F$112,L154),G$2),武将数量星级阶位验证!AB150)</f>
        <v>128</v>
      </c>
      <c r="Q154" s="41">
        <f>MAX(同名需求(I154,求节点(武将升星!$C$104:$C$112,武将升星!G$104:G$112,M154),H$2),武将数量星级阶位验证!AC150)</f>
        <v>236.13927570008599</v>
      </c>
      <c r="R154" s="41">
        <f>MAX(同名需求(J154,求节点(武将升星!$C$104:$C$112,武将升星!H$104:H$112,N154),I$2),武将数量星级阶位验证!AD150)</f>
        <v>7.5362587405108012</v>
      </c>
      <c r="S154" s="29">
        <f>MAX(基础状态预期!P160:T160)</f>
        <v>2.3480578707151061</v>
      </c>
      <c r="T154" s="29">
        <f t="shared" ref="T154:V154" si="157">S154</f>
        <v>2.3480578707151061</v>
      </c>
      <c r="U154" s="29">
        <f t="shared" si="157"/>
        <v>2.3480578707151061</v>
      </c>
      <c r="V154" s="29">
        <f t="shared" si="157"/>
        <v>2.3480578707151061</v>
      </c>
      <c r="W154" s="41">
        <f>SUMIFS(武将进阶!F$13:F$18,武将进阶!$C$13:$C$18,"&lt;="&amp;T154)*H154+武将数量星级阶位验证!Q150</f>
        <v>72</v>
      </c>
      <c r="X154" s="41">
        <f>SUMIFS(武将进阶!G$13:G$18,武将进阶!$C$13:$C$18,"&lt;="&amp;U154)*I154+武将数量星级阶位验证!R150</f>
        <v>196.70677779432509</v>
      </c>
      <c r="Y154" s="41">
        <f>SUMIFS(武将进阶!H$13:H$18,武将进阶!$C$13:$C$18,"&lt;="&amp;V154)*J154+武将数量星级阶位验证!S150</f>
        <v>30.530083345743819</v>
      </c>
      <c r="Z154" s="41">
        <f>SUMIFS(武将进阶!I$13:I$18,武将进阶!$C$13:$C$18,"&lt;="&amp;W154)*K154+武将数量星级阶位验证!T150</f>
        <v>525</v>
      </c>
      <c r="AA154" s="29"/>
      <c r="AB154" s="29">
        <f>求节点(基础状态预期!$AT$17:$AT$55,基础状态预期!AW$17:AW$55,各r阵容卡情况!$F154)</f>
        <v>2</v>
      </c>
      <c r="AC154" s="29">
        <f>求节点(基础状态预期!$AT$17:$AT$55,基础状态预期!AX$17:AX$55,各r阵容卡情况!$F154)</f>
        <v>2</v>
      </c>
      <c r="AD154" s="29">
        <f>求节点(基础状态预期!$AT$17:$AT$55,基础状态预期!AY$17:AY$55,各r阵容卡情况!$F154)</f>
        <v>2</v>
      </c>
      <c r="AE154" s="41">
        <f>IF(AA154&lt;1,0,(AA154-1)*武将觉醒!E$34*G154)+武将数量星级阶位验证!V150</f>
        <v>0</v>
      </c>
      <c r="AF154" s="41">
        <f>IF(AB154&lt;1,0,(AB154-1)*武将觉醒!F$34*H154)+武将数量星级阶位验证!W150</f>
        <v>40</v>
      </c>
      <c r="AG154" s="41">
        <f>IF(AC154&lt;1,0,(AC154-1)*武将觉醒!G$34*I154)+武将数量星级阶位验证!X150</f>
        <v>26</v>
      </c>
      <c r="AH154" s="41">
        <f>IF(AD154&lt;1,0,(AD154-1)*武将觉醒!H$34*J154)+武将数量星级阶位验证!Y150</f>
        <v>0</v>
      </c>
      <c r="AJ154" s="29">
        <f>MAX(W154+AE154+G154*(K154+1)+IF(武将数量星级阶位验证!L150="",0,武将数量星级阶位验证!L150)*武将升星!P147,O154)</f>
        <v>72</v>
      </c>
      <c r="AK154" s="29">
        <f>MAX(X154+AF154+H154*(L154+1)+IF(武将数量星级阶位验证!M150="",0,武将数量星级阶位验证!M150)*武将升星!Q147,P154)</f>
        <v>292.70677779432509</v>
      </c>
      <c r="AL154" s="64">
        <f>MAX(Y154+AG154+I154*(M154+1)+IF(武将数量星级阶位验证!N150="",0,武将数量星级阶位验证!N150)*武将升星!R147,Q154)</f>
        <v>236.13927570008599</v>
      </c>
      <c r="AM154" s="41">
        <f t="shared" si="146"/>
        <v>7.5362587405108012</v>
      </c>
      <c r="AO154" s="17">
        <f>武将数量星级阶位验证!BJ150</f>
        <v>1656.0738883265781</v>
      </c>
      <c r="AP154" s="17">
        <f>武将数量星级阶位验证!BK150</f>
        <v>640.1384396701942</v>
      </c>
      <c r="AQ154" s="63">
        <f>武将数量星级阶位验证!BL150</f>
        <v>160.19423336134824</v>
      </c>
      <c r="AR154" s="17">
        <f>武将数量星级阶位验证!BM150</f>
        <v>7.5362587405108012</v>
      </c>
      <c r="AT154" s="17">
        <f t="shared" si="138"/>
        <v>30</v>
      </c>
      <c r="AU154" s="17">
        <f t="shared" si="139"/>
        <v>58.701446767877648</v>
      </c>
      <c r="AW154" s="17" t="s">
        <v>168</v>
      </c>
      <c r="BA154" s="17">
        <v>6</v>
      </c>
      <c r="BB154" s="62">
        <f t="shared" si="147"/>
        <v>6</v>
      </c>
      <c r="BD154" s="17">
        <v>0</v>
      </c>
      <c r="BE154" s="17">
        <v>8</v>
      </c>
      <c r="BF154" s="17">
        <v>16</v>
      </c>
      <c r="BG154" s="17">
        <v>0</v>
      </c>
      <c r="BH154" s="62">
        <f t="shared" si="148"/>
        <v>24</v>
      </c>
      <c r="BJ154" s="17">
        <f t="shared" si="149"/>
        <v>0</v>
      </c>
      <c r="BK154" s="17">
        <f t="shared" si="140"/>
        <v>8</v>
      </c>
      <c r="BL154" s="17">
        <f t="shared" si="141"/>
        <v>16</v>
      </c>
      <c r="BM154" s="17">
        <f t="shared" si="142"/>
        <v>6</v>
      </c>
      <c r="BN154" s="62">
        <f t="shared" si="150"/>
        <v>30</v>
      </c>
      <c r="BR154" s="17">
        <f>武将升星!P147*基础状态预期!G160+G154*(K154+1)+W154+AE154</f>
        <v>72</v>
      </c>
      <c r="BS154" s="17">
        <f>武将升星!Q147*基础状态预期!H160+H154*(L154+1)+X154+AF154</f>
        <v>292.70677779432509</v>
      </c>
      <c r="BT154" s="17">
        <f>武将升星!R147*基础状态预期!I160+I154*(M154+1)+Y154+AG154</f>
        <v>218.56972203184802</v>
      </c>
      <c r="BU154" s="17">
        <f>武将升星!S147*基础状态预期!J160+J154*(N154+1)+Z154+AH154</f>
        <v>532.53625874051079</v>
      </c>
    </row>
    <row r="155" spans="2:73" x14ac:dyDescent="0.15">
      <c r="B155" s="17">
        <v>13</v>
      </c>
      <c r="C155" s="17">
        <f t="shared" si="143"/>
        <v>24</v>
      </c>
      <c r="D155" s="17">
        <v>10</v>
      </c>
      <c r="E155" s="29">
        <f>基础状态预期!C161</f>
        <v>45</v>
      </c>
      <c r="F155" s="29">
        <f>基础状态预期!D161</f>
        <v>64.399012521055653</v>
      </c>
      <c r="G155" s="29">
        <f t="shared" si="144"/>
        <v>0</v>
      </c>
      <c r="H155" s="29">
        <f t="shared" si="134"/>
        <v>4</v>
      </c>
      <c r="I155" s="29">
        <f t="shared" si="135"/>
        <v>20</v>
      </c>
      <c r="J155" s="29">
        <f t="shared" si="136"/>
        <v>0</v>
      </c>
      <c r="K155" s="29">
        <f>武将战力价值情况!G151</f>
        <v>3</v>
      </c>
      <c r="L155" s="29">
        <f>武将战力价值情况!H151</f>
        <v>6</v>
      </c>
      <c r="M155" s="29">
        <f>武将战力价值情况!I151</f>
        <v>6.7119993170962049</v>
      </c>
      <c r="N155" s="29">
        <f>武将战力价值情况!J151</f>
        <v>5.0719368133190912</v>
      </c>
      <c r="O155" s="41">
        <f>MAX(同名需求(G155,求节点(武将升星!$C$104:$C$112,武将升星!E$104:E$112,K155),F$2),武将数量星级阶位验证!AA151)</f>
        <v>24</v>
      </c>
      <c r="P155" s="41">
        <f>MAX(同名需求(H155,求节点(武将升星!$C$104:$C$112,武将升星!F$104:F$112,L155),G$2),武将数量星级阶位验证!AB151)</f>
        <v>124</v>
      </c>
      <c r="Q155" s="41">
        <f>MAX(同名需求(I155,求节点(武将升星!$C$104:$C$112,武将升星!G$104:G$112,M155),H$2),武将数量星级阶位验证!AC151)</f>
        <v>279.12795287963814</v>
      </c>
      <c r="R155" s="41">
        <f>MAX(同名需求(J155,求节点(武将升星!$C$104:$C$112,武将升星!H$104:H$112,N155),I$2),武将数量星级阶位验证!AD151)</f>
        <v>24.647431319871821</v>
      </c>
      <c r="S155" s="29">
        <f>MAX(基础状态预期!P161:T161)</f>
        <v>2.5759605008422262</v>
      </c>
      <c r="T155" s="29">
        <f t="shared" ref="T155:V155" si="158">S155</f>
        <v>2.5759605008422262</v>
      </c>
      <c r="U155" s="29">
        <f t="shared" si="158"/>
        <v>2.5759605008422262</v>
      </c>
      <c r="V155" s="29">
        <f t="shared" si="158"/>
        <v>2.5759605008422262</v>
      </c>
      <c r="W155" s="41">
        <f>SUMIFS(武将进阶!F$13:F$18,武将进阶!$C$13:$C$18,"&lt;="&amp;T155)*H155+武将数量星级阶位验证!Q151</f>
        <v>36</v>
      </c>
      <c r="X155" s="41">
        <f>SUMIFS(武将进阶!G$13:G$18,武将进阶!$C$13:$C$18,"&lt;="&amp;U155)*I155+武将数量星级阶位验证!R151</f>
        <v>227.73457803032014</v>
      </c>
      <c r="Y155" s="41">
        <f>SUMIFS(武将进阶!H$13:H$18,武将进阶!$C$13:$C$18,"&lt;="&amp;V155)*J155+武将数量星级阶位验证!S151</f>
        <v>58.101867045480219</v>
      </c>
      <c r="Z155" s="41">
        <f>SUMIFS(武将进阶!I$13:I$18,武将进阶!$C$13:$C$18,"&lt;="&amp;W155)*K155+武将数量星级阶位验证!T151</f>
        <v>525</v>
      </c>
      <c r="AA155" s="29"/>
      <c r="AB155" s="29">
        <f>求节点(基础状态预期!$AT$17:$AT$55,基础状态预期!AW$17:AW$55,各r阵容卡情况!$F155)</f>
        <v>2</v>
      </c>
      <c r="AC155" s="29">
        <f>求节点(基础状态预期!$AT$17:$AT$55,基础状态预期!AX$17:AX$55,各r阵容卡情况!$F155)</f>
        <v>2</v>
      </c>
      <c r="AD155" s="29">
        <f>求节点(基础状态预期!$AT$17:$AT$55,基础状态预期!AY$17:AY$55,各r阵容卡情况!$F155)</f>
        <v>2</v>
      </c>
      <c r="AE155" s="41">
        <f>IF(AA155&lt;1,0,(AA155-1)*武将觉醒!E$34*G155)+武将数量星级阶位验证!V151</f>
        <v>0</v>
      </c>
      <c r="AF155" s="41">
        <f>IF(AB155&lt;1,0,(AB155-1)*武将觉醒!F$34*H155)+武将数量星级阶位验证!W151</f>
        <v>20</v>
      </c>
      <c r="AG155" s="41">
        <f>IF(AC155&lt;1,0,(AC155-1)*武将觉醒!G$34*I155)+武将数量星级阶位验证!X151</f>
        <v>32</v>
      </c>
      <c r="AH155" s="41">
        <f>IF(AD155&lt;1,0,(AD155-1)*武将觉醒!H$34*J155)+武将数量星级阶位验证!Y151</f>
        <v>0</v>
      </c>
      <c r="AJ155" s="29">
        <f>MAX(W155+AE155+G155*(K155+1)+IF(武将数量星级阶位验证!L151="",0,武将数量星级阶位验证!L151)*武将升星!P148,O155)</f>
        <v>36</v>
      </c>
      <c r="AK155" s="29">
        <f>MAX(X155+AF155+H155*(L155+1)+IF(武将数量星级阶位验证!M151="",0,武将数量星级阶位验证!M151)*武将升星!Q148,P155)</f>
        <v>275.73457803032011</v>
      </c>
      <c r="AL155" s="64">
        <f>MAX(Y155+AG155+I155*(M155+1)+IF(武将数量星级阶位验证!N151="",0,武将数量星级阶位验证!N151)*武将升星!R148,Q155)</f>
        <v>283.74984724127017</v>
      </c>
      <c r="AM155" s="41">
        <f t="shared" si="146"/>
        <v>24.647431319871821</v>
      </c>
      <c r="AO155" s="17">
        <f>武将数量星级阶位验证!BJ151</f>
        <v>2202.6494786174835</v>
      </c>
      <c r="AP155" s="17">
        <f>武将数量星级阶位验证!BK151</f>
        <v>890.78740739500779</v>
      </c>
      <c r="AQ155" s="63">
        <f>武将数量星级阶位验证!BL151</f>
        <v>197.41657852007029</v>
      </c>
      <c r="AR155" s="17">
        <f>武将数量星级阶位验证!BM151</f>
        <v>24.647431319871821</v>
      </c>
      <c r="AT155" s="17">
        <f t="shared" si="138"/>
        <v>45</v>
      </c>
      <c r="AU155" s="17">
        <f t="shared" si="139"/>
        <v>64.399012521055653</v>
      </c>
      <c r="AW155" s="17" t="s">
        <v>168</v>
      </c>
      <c r="BA155" s="17">
        <v>6</v>
      </c>
      <c r="BB155" s="62">
        <f t="shared" si="147"/>
        <v>6</v>
      </c>
      <c r="BD155" s="17">
        <v>0</v>
      </c>
      <c r="BE155" s="17">
        <v>4</v>
      </c>
      <c r="BF155" s="17">
        <v>20</v>
      </c>
      <c r="BG155" s="17">
        <v>0</v>
      </c>
      <c r="BH155" s="62">
        <f t="shared" si="148"/>
        <v>24</v>
      </c>
      <c r="BJ155" s="17">
        <f t="shared" si="149"/>
        <v>0</v>
      </c>
      <c r="BK155" s="17">
        <f t="shared" si="140"/>
        <v>4</v>
      </c>
      <c r="BL155" s="17">
        <f t="shared" si="141"/>
        <v>20</v>
      </c>
      <c r="BM155" s="17">
        <f t="shared" si="142"/>
        <v>6</v>
      </c>
      <c r="BN155" s="62">
        <f t="shared" si="150"/>
        <v>30</v>
      </c>
      <c r="BR155" s="17">
        <f>武将升星!P148*基础状态预期!G161+G155*(K155+1)+W155+AE155</f>
        <v>36</v>
      </c>
      <c r="BS155" s="17">
        <f>武将升星!Q148*基础状态预期!H161+H155*(L155+1)+X155+AF155</f>
        <v>275.73457803032011</v>
      </c>
      <c r="BT155" s="17">
        <f>武将升星!R148*基础状态预期!I161+I155*(M155+1)+Y155+AG155</f>
        <v>283.74984724127017</v>
      </c>
      <c r="BU155" s="17">
        <f>武将升星!S148*基础状态预期!J161+J155*(N155+1)+Z155+AH155</f>
        <v>549.64743131987177</v>
      </c>
    </row>
    <row r="156" spans="2:73" x14ac:dyDescent="0.15">
      <c r="B156" s="17">
        <v>14</v>
      </c>
      <c r="C156" s="17">
        <f t="shared" si="143"/>
        <v>24</v>
      </c>
      <c r="D156" s="17">
        <v>11</v>
      </c>
      <c r="E156" s="29">
        <f>基础状态预期!C162</f>
        <v>60</v>
      </c>
      <c r="F156" s="29">
        <f>基础状态预期!D162</f>
        <v>68.627579426319684</v>
      </c>
      <c r="G156" s="29">
        <f t="shared" si="144"/>
        <v>0</v>
      </c>
      <c r="H156" s="29">
        <f t="shared" si="134"/>
        <v>4</v>
      </c>
      <c r="I156" s="29">
        <f t="shared" si="135"/>
        <v>20</v>
      </c>
      <c r="J156" s="29">
        <f t="shared" si="136"/>
        <v>0</v>
      </c>
      <c r="K156" s="29">
        <f>武将战力价值情况!G152</f>
        <v>3</v>
      </c>
      <c r="L156" s="29">
        <f>武将战力价值情况!H152</f>
        <v>6</v>
      </c>
      <c r="M156" s="29">
        <f>武将战力价值情况!I152</f>
        <v>7.1424602256349097</v>
      </c>
      <c r="N156" s="29">
        <f>武将战力价值情况!J152</f>
        <v>5.7558723508757987</v>
      </c>
      <c r="O156" s="41">
        <f>MAX(同名需求(G156,求节点(武将升星!$C$104:$C$112,武将升星!E$104:E$112,K156),F$2),武将数量星级阶位验证!AA152)</f>
        <v>24</v>
      </c>
      <c r="P156" s="41">
        <f>MAX(同名需求(H156,求节点(武将升星!$C$104:$C$112,武将升星!F$104:F$112,L156),G$2),武将数量星级阶位验证!AB152)</f>
        <v>124</v>
      </c>
      <c r="Q156" s="41">
        <f>MAX(同名需求(I156,求节点(武将升星!$C$104:$C$112,武将升星!G$104:G$112,M156),H$2),武将数量星级阶位验证!AC152)</f>
        <v>309.39681805079277</v>
      </c>
      <c r="R156" s="41">
        <f>MAX(同名需求(J156,求节点(武将升星!$C$104:$C$112,武将升星!H$104:H$112,N156),I$2),武将数量星级阶位验证!AD152)</f>
        <v>41.070468210509588</v>
      </c>
      <c r="S156" s="29">
        <f>MAX(基础状态预期!P162:T162)</f>
        <v>2.7451031770527874</v>
      </c>
      <c r="T156" s="29">
        <f t="shared" ref="T156:V156" si="159">S156</f>
        <v>2.7451031770527874</v>
      </c>
      <c r="U156" s="29">
        <f t="shared" si="159"/>
        <v>2.7451031770527874</v>
      </c>
      <c r="V156" s="29">
        <f t="shared" si="159"/>
        <v>2.7451031770527874</v>
      </c>
      <c r="W156" s="41">
        <f>SUMIFS(武将进阶!F$13:F$18,武将进阶!$C$13:$C$18,"&lt;="&amp;T156)*H156+武将数量星级阶位验证!Q152</f>
        <v>36</v>
      </c>
      <c r="X156" s="41">
        <f>SUMIFS(武将进阶!G$13:G$18,武将进阶!$C$13:$C$18,"&lt;="&amp;U156)*I156+武将数量星级阶位验证!R152</f>
        <v>215.88247624926692</v>
      </c>
      <c r="Y156" s="41">
        <f>SUMIFS(武将进阶!H$13:H$18,武将进阶!$C$13:$C$18,"&lt;="&amp;V156)*J156+武将数量星级阶位验证!S152</f>
        <v>89.647428747800689</v>
      </c>
      <c r="Z156" s="41">
        <f>SUMIFS(武将进阶!I$13:I$18,武将进阶!$C$13:$C$18,"&lt;="&amp;W156)*K156+武将数量星级阶位验证!T152</f>
        <v>525</v>
      </c>
      <c r="AA156" s="29"/>
      <c r="AB156" s="29">
        <f>求节点(基础状态预期!$AT$17:$AT$55,基础状态预期!AW$17:AW$55,各r阵容卡情况!$F156)</f>
        <v>2</v>
      </c>
      <c r="AC156" s="29">
        <f>求节点(基础状态预期!$AT$17:$AT$55,基础状态预期!AX$17:AX$55,各r阵容卡情况!$F156)</f>
        <v>2</v>
      </c>
      <c r="AD156" s="29">
        <f>求节点(基础状态预期!$AT$17:$AT$55,基础状态预期!AY$17:AY$55,各r阵容卡情况!$F156)</f>
        <v>2</v>
      </c>
      <c r="AE156" s="41">
        <f>IF(AA156&lt;1,0,(AA156-1)*武将觉醒!E$34*G156)+武将数量星级阶位验证!V152</f>
        <v>0</v>
      </c>
      <c r="AF156" s="41">
        <f>IF(AB156&lt;1,0,(AB156-1)*武将觉醒!F$34*H156)+武将数量星级阶位验证!W152</f>
        <v>20</v>
      </c>
      <c r="AG156" s="41">
        <f>IF(AC156&lt;1,0,(AC156-1)*武将觉醒!G$34*I156)+武将数量星级阶位验证!X152</f>
        <v>34</v>
      </c>
      <c r="AH156" s="41">
        <f>IF(AD156&lt;1,0,(AD156-1)*武将觉醒!H$34*J156)+武将数量星级阶位验证!Y152</f>
        <v>0</v>
      </c>
      <c r="AJ156" s="29">
        <f>MAX(W156+AE156+G156*(K156+1)+IF(武将数量星级阶位验证!L152="",0,武将数量星级阶位验证!L152)*武将升星!P149,O156)</f>
        <v>36</v>
      </c>
      <c r="AK156" s="29">
        <f>MAX(X156+AF156+H156*(L156+1)+IF(武将数量星级阶位验证!M152="",0,武将数量星级阶位验证!M152)*武将升星!Q149,P156)</f>
        <v>263.88247624926692</v>
      </c>
      <c r="AL156" s="64">
        <f>MAX(Y156+AG156+I156*(M156+1)+IF(武将数量星级阶位验证!N152="",0,武将数量星级阶位验证!N152)*武将升星!R149,Q156)</f>
        <v>315.63631506557817</v>
      </c>
      <c r="AM156" s="41">
        <f t="shared" si="146"/>
        <v>41.070468210509588</v>
      </c>
      <c r="AO156" s="17">
        <f>武将数量星级阶位验证!BJ152</f>
        <v>2732.2510552532149</v>
      </c>
      <c r="AP156" s="17">
        <f>武将数量星级阶位验证!BK152</f>
        <v>1132.2612326035114</v>
      </c>
      <c r="AQ156" s="63">
        <f>武将数量星级阶位验证!BL152</f>
        <v>233.26265230134584</v>
      </c>
      <c r="AR156" s="17">
        <f>武将数量星级阶位验证!BM152</f>
        <v>41.070468210509588</v>
      </c>
      <c r="AT156" s="17">
        <f t="shared" si="138"/>
        <v>60</v>
      </c>
      <c r="AU156" s="17">
        <f t="shared" si="139"/>
        <v>68.627579426319684</v>
      </c>
      <c r="AW156" s="17" t="s">
        <v>168</v>
      </c>
      <c r="BA156" s="17">
        <v>6</v>
      </c>
      <c r="BB156" s="62">
        <f t="shared" si="147"/>
        <v>6</v>
      </c>
      <c r="BD156" s="17">
        <v>0</v>
      </c>
      <c r="BE156" s="17">
        <v>4</v>
      </c>
      <c r="BF156" s="17">
        <v>20</v>
      </c>
      <c r="BG156" s="17">
        <v>0</v>
      </c>
      <c r="BH156" s="62">
        <f t="shared" si="148"/>
        <v>24</v>
      </c>
      <c r="BJ156" s="17">
        <f t="shared" si="149"/>
        <v>0</v>
      </c>
      <c r="BK156" s="17">
        <f t="shared" si="140"/>
        <v>4</v>
      </c>
      <c r="BL156" s="17">
        <f t="shared" si="141"/>
        <v>20</v>
      </c>
      <c r="BM156" s="17">
        <f t="shared" si="142"/>
        <v>6</v>
      </c>
      <c r="BN156" s="62">
        <f t="shared" si="150"/>
        <v>30</v>
      </c>
      <c r="BR156" s="17">
        <f>武将升星!P149*基础状态预期!G162+G156*(K156+1)+W156+AE156</f>
        <v>36</v>
      </c>
      <c r="BS156" s="17">
        <f>武将升星!Q149*基础状态预期!H162+H156*(L156+1)+X156+AF156</f>
        <v>263.88247624926692</v>
      </c>
      <c r="BT156" s="17">
        <f>武将升星!R149*基础状态预期!I162+I156*(M156+1)+Y156+AG156</f>
        <v>315.63631506557817</v>
      </c>
      <c r="BU156" s="17">
        <f>武将升星!S149*基础状态预期!J162+J156*(N156+1)+Z156+AH156</f>
        <v>566.0704682105096</v>
      </c>
    </row>
    <row r="157" spans="2:73" x14ac:dyDescent="0.15">
      <c r="B157" s="17">
        <v>15</v>
      </c>
      <c r="C157" s="17">
        <f t="shared" si="143"/>
        <v>22</v>
      </c>
      <c r="D157" s="17">
        <v>12</v>
      </c>
      <c r="E157" s="29">
        <f>基础状态预期!C163</f>
        <v>75</v>
      </c>
      <c r="F157" s="29">
        <f>基础状态预期!D163</f>
        <v>71.882008108111634</v>
      </c>
      <c r="G157" s="29">
        <f t="shared" si="144"/>
        <v>0</v>
      </c>
      <c r="H157" s="29">
        <f t="shared" si="134"/>
        <v>2</v>
      </c>
      <c r="I157" s="29">
        <f t="shared" si="135"/>
        <v>20</v>
      </c>
      <c r="J157" s="29">
        <f t="shared" si="136"/>
        <v>0</v>
      </c>
      <c r="K157" s="29">
        <f>武将战力价值情况!G153</f>
        <v>3</v>
      </c>
      <c r="L157" s="29">
        <f>武将战力价值情况!H153</f>
        <v>6</v>
      </c>
      <c r="M157" s="29">
        <f>武将战力价值情况!I153</f>
        <v>7.4886328392719808</v>
      </c>
      <c r="N157" s="29">
        <f>武将战力价值情况!J153</f>
        <v>6.1252732594908776</v>
      </c>
      <c r="O157" s="41">
        <f>MAX(同名需求(G157,求节点(武将升星!$C$104:$C$112,武将升星!E$104:E$112,K157),F$2),武将数量星级阶位验证!AA153)</f>
        <v>24</v>
      </c>
      <c r="P157" s="41">
        <f>MAX(同名需求(H157,求节点(武将升星!$C$104:$C$112,武将升星!F$104:F$112,L157),G$2),武将数量星级阶位验证!AB153)</f>
        <v>122</v>
      </c>
      <c r="Q157" s="41">
        <f>MAX(同名需求(I157,求节点(武将升星!$C$104:$C$112,武将升星!G$104:G$112,M157),H$2),武将数量星级阶位验证!AC153)</f>
        <v>337.96972603412161</v>
      </c>
      <c r="R157" s="41">
        <f>MAX(同名需求(J157,求节点(武将升星!$C$104:$C$112,武将升星!H$104:H$112,N157),I$2),武将数量星级阶位验证!AD153)</f>
        <v>56.87909889236316</v>
      </c>
      <c r="S157" s="29">
        <f>MAX(基础状态预期!P163:T163)</f>
        <v>2.8752803243244651</v>
      </c>
      <c r="T157" s="29">
        <f t="shared" ref="T157:V157" si="160">S157</f>
        <v>2.8752803243244651</v>
      </c>
      <c r="U157" s="29">
        <f t="shared" si="160"/>
        <v>2.8752803243244651</v>
      </c>
      <c r="V157" s="29">
        <f t="shared" si="160"/>
        <v>2.8752803243244651</v>
      </c>
      <c r="W157" s="41">
        <f>SUMIFS(武将进阶!F$13:F$18,武将进阶!$C$13:$C$18,"&lt;="&amp;T157)*H157+武将数量星级阶位验证!Q153</f>
        <v>18</v>
      </c>
      <c r="X157" s="41">
        <f>SUMIFS(武将进阶!G$13:G$18,武将进阶!$C$13:$C$18,"&lt;="&amp;U157)*I157+武将数量星级阶位验证!R153</f>
        <v>199.50336389189357</v>
      </c>
      <c r="Y157" s="41">
        <f>SUMIFS(武将进阶!H$13:H$18,武将进阶!$C$13:$C$18,"&lt;="&amp;V157)*J157+武将数量星级阶位验证!S153</f>
        <v>123.77522918920185</v>
      </c>
      <c r="Z157" s="41">
        <f>SUMIFS(武将进阶!I$13:I$18,武将进阶!$C$13:$C$18,"&lt;="&amp;W157)*K157+武将数量星级阶位验证!T153</f>
        <v>525</v>
      </c>
      <c r="AA157" s="29"/>
      <c r="AB157" s="29">
        <f>求节点(基础状态预期!$AT$17:$AT$55,基础状态预期!AW$17:AW$55,各r阵容卡情况!$F157)</f>
        <v>2</v>
      </c>
      <c r="AC157" s="29">
        <f>求节点(基础状态预期!$AT$17:$AT$55,基础状态预期!AX$17:AX$55,各r阵容卡情况!$F157)</f>
        <v>2</v>
      </c>
      <c r="AD157" s="29">
        <f>求节点(基础状态预期!$AT$17:$AT$55,基础状态预期!AY$17:AY$55,各r阵容卡情况!$F157)</f>
        <v>2</v>
      </c>
      <c r="AE157" s="41">
        <f>IF(AA157&lt;1,0,(AA157-1)*武将觉醒!E$34*G157)+武将数量星级阶位验证!V153</f>
        <v>0</v>
      </c>
      <c r="AF157" s="41">
        <f>IF(AB157&lt;1,0,(AB157-1)*武将觉醒!F$34*H157)+武将数量星级阶位验证!W153</f>
        <v>10</v>
      </c>
      <c r="AG157" s="41">
        <f>IF(AC157&lt;1,0,(AC157-1)*武将觉醒!G$34*I157)+武将数量星级阶位验证!X153</f>
        <v>36</v>
      </c>
      <c r="AH157" s="41">
        <f>IF(AD157&lt;1,0,(AD157-1)*武将觉醒!H$34*J157)+武将数量星级阶位验证!Y153</f>
        <v>0</v>
      </c>
      <c r="AJ157" s="29">
        <f>MAX(W157+AE157+G157*(K157+1)+IF(武将数量星级阶位验证!L153="",0,武将数量星级阶位验证!L153)*武将升星!P150,O157)</f>
        <v>24</v>
      </c>
      <c r="AK157" s="29">
        <f>MAX(X157+AF157+H157*(L157+1)+IF(武将数量星级阶位验证!M153="",0,武将数量星级阶位验证!M153)*武将升星!Q150,P157)</f>
        <v>223.50336389189357</v>
      </c>
      <c r="AL157" s="64">
        <f>MAX(Y157+AG157+I157*(M157+1)+IF(武将数量星级阶位验证!N153="",0,武将数量星级阶位验证!N153)*武将升星!R150,Q157)</f>
        <v>345.50241733172942</v>
      </c>
      <c r="AM157" s="41">
        <f t="shared" si="146"/>
        <v>56.87909889236316</v>
      </c>
      <c r="AO157" s="17">
        <f>武将数量星级阶位验证!BJ153</f>
        <v>3246.6972787389363</v>
      </c>
      <c r="AP157" s="17">
        <f>武将数量星级阶位验证!BK153</f>
        <v>1365.5429750282258</v>
      </c>
      <c r="AQ157" s="63">
        <f>武将数量星级阶位验证!BL153</f>
        <v>267.87991366505298</v>
      </c>
      <c r="AR157" s="17">
        <f>武将数量星级阶位验证!BM153</f>
        <v>56.879098892363167</v>
      </c>
      <c r="AT157" s="17">
        <f t="shared" si="138"/>
        <v>75</v>
      </c>
      <c r="AU157" s="17">
        <f t="shared" si="139"/>
        <v>71.882008108111634</v>
      </c>
      <c r="AW157" s="17" t="s">
        <v>168</v>
      </c>
      <c r="BA157" s="17">
        <v>6</v>
      </c>
      <c r="BB157" s="62">
        <f t="shared" si="147"/>
        <v>6</v>
      </c>
      <c r="BD157" s="17">
        <v>0</v>
      </c>
      <c r="BE157" s="65">
        <v>2</v>
      </c>
      <c r="BF157" s="17">
        <v>20</v>
      </c>
      <c r="BG157" s="17">
        <v>0</v>
      </c>
      <c r="BH157" s="62">
        <f t="shared" si="148"/>
        <v>22</v>
      </c>
      <c r="BJ157" s="17">
        <f t="shared" si="149"/>
        <v>0</v>
      </c>
      <c r="BK157" s="17">
        <f t="shared" si="140"/>
        <v>2</v>
      </c>
      <c r="BL157" s="17">
        <f t="shared" si="141"/>
        <v>20</v>
      </c>
      <c r="BM157" s="17">
        <f t="shared" si="142"/>
        <v>6</v>
      </c>
      <c r="BN157" s="62">
        <f t="shared" si="150"/>
        <v>28</v>
      </c>
      <c r="BR157" s="17">
        <f>武将升星!P150*基础状态预期!G163+G157*(K157+1)+W157+AE157</f>
        <v>18</v>
      </c>
      <c r="BS157" s="17">
        <f>武将升星!Q150*基础状态预期!H163+H157*(L157+1)+X157+AF157</f>
        <v>223.50336389189357</v>
      </c>
      <c r="BT157" s="17">
        <f>武将升星!R150*基础状态预期!I163+I157*(M157+1)+Y157+AG157</f>
        <v>345.50241733172936</v>
      </c>
      <c r="BU157" s="17">
        <f>武将升星!S150*基础状态预期!J163+J157*(N157+1)+Z157+AH157</f>
        <v>581.87909889236312</v>
      </c>
    </row>
    <row r="158" spans="2:73" x14ac:dyDescent="0.15">
      <c r="B158" s="17">
        <v>16</v>
      </c>
      <c r="C158" s="17">
        <f t="shared" si="143"/>
        <v>24</v>
      </c>
      <c r="D158" s="17">
        <v>13</v>
      </c>
      <c r="E158" s="29">
        <f>基础状态预期!C164</f>
        <v>90</v>
      </c>
      <c r="F158" s="29">
        <f>基础状态预期!D164</f>
        <v>74.493385467679886</v>
      </c>
      <c r="G158" s="29">
        <f t="shared" si="144"/>
        <v>0</v>
      </c>
      <c r="H158" s="29">
        <f t="shared" si="134"/>
        <v>0</v>
      </c>
      <c r="I158" s="29">
        <f t="shared" si="135"/>
        <v>24</v>
      </c>
      <c r="J158" s="29">
        <f t="shared" si="136"/>
        <v>0</v>
      </c>
      <c r="K158" s="29">
        <f>武将战力价值情况!G154</f>
        <v>3</v>
      </c>
      <c r="L158" s="29">
        <f>武将战力价值情况!H154</f>
        <v>6</v>
      </c>
      <c r="M158" s="29">
        <f>武将战力价值情况!I154</f>
        <v>7.8152925819557915</v>
      </c>
      <c r="N158" s="29">
        <f>武将战力价值情况!J154</f>
        <v>6.6795203652456774</v>
      </c>
      <c r="O158" s="41">
        <f>MAX(同名需求(G158,求节点(武将升星!$C$104:$C$112,武将升星!E$104:E$112,K158),F$2),武将数量星级阶位验证!AA154)</f>
        <v>24</v>
      </c>
      <c r="P158" s="41">
        <f>MAX(同名需求(H158,求节点(武将升星!$C$104:$C$112,武将升星!F$104:F$112,L158),G$2),武将数量星级阶位验证!AB154)</f>
        <v>120</v>
      </c>
      <c r="Q158" s="41">
        <f>MAX(同名需求(I158,求节点(武将升星!$C$104:$C$112,武将升星!G$104:G$112,M158),H$2),武将数量星级阶位验证!AC154)</f>
        <v>674.44681311292663</v>
      </c>
      <c r="R158" s="41">
        <f>MAX(同名需求(J158,求节点(武将升星!$C$104:$C$112,武将升星!H$104:H$112,N158),I$2),武将数量星级阶位验证!AD154)</f>
        <v>77.731366574422196</v>
      </c>
      <c r="S158" s="29">
        <f>MAX(基础状态预期!P164:T164)</f>
        <v>2.9797354187071954</v>
      </c>
      <c r="T158" s="29">
        <f t="shared" ref="T158:V158" si="161">S158</f>
        <v>2.9797354187071954</v>
      </c>
      <c r="U158" s="29">
        <f t="shared" si="161"/>
        <v>2.9797354187071954</v>
      </c>
      <c r="V158" s="29">
        <f t="shared" si="161"/>
        <v>2.9797354187071954</v>
      </c>
      <c r="W158" s="41">
        <f>SUMIFS(武将进阶!F$13:F$18,武将进阶!$C$13:$C$18,"&lt;="&amp;T158)*H158+武将数量星级阶位验证!Q154</f>
        <v>0</v>
      </c>
      <c r="X158" s="41">
        <f>SUMIFS(武将进阶!G$13:G$18,武将进阶!$C$13:$C$18,"&lt;="&amp;U158)*I158+武将数量星级阶位验证!R154</f>
        <v>226.37841251224319</v>
      </c>
      <c r="Y158" s="41">
        <f>SUMIFS(武将进阶!H$13:H$18,武将进阶!$C$13:$C$18,"&lt;="&amp;V158)*J158+武将数量星级阶位验证!S154</f>
        <v>146.49380645201234</v>
      </c>
      <c r="Z158" s="41">
        <f>SUMIFS(武将进阶!I$13:I$18,武将进阶!$C$13:$C$18,"&lt;="&amp;W158)*K158+武将数量星级阶位验证!T154</f>
        <v>0</v>
      </c>
      <c r="AA158" s="29"/>
      <c r="AB158" s="29">
        <f>求节点(基础状态预期!$AT$17:$AT$55,基础状态预期!AW$17:AW$55,各r阵容卡情况!$F158)</f>
        <v>2</v>
      </c>
      <c r="AC158" s="29">
        <f>求节点(基础状态预期!$AT$17:$AT$55,基础状态预期!AX$17:AX$55,各r阵容卡情况!$F158)</f>
        <v>2</v>
      </c>
      <c r="AD158" s="29">
        <f>求节点(基础状态预期!$AT$17:$AT$55,基础状态预期!AY$17:AY$55,各r阵容卡情况!$F158)</f>
        <v>2</v>
      </c>
      <c r="AE158" s="41">
        <f>IF(AA158&lt;1,0,(AA158-1)*武将觉醒!E$34*G158)+武将数量星级阶位验证!V154</f>
        <v>0</v>
      </c>
      <c r="AF158" s="41">
        <f>IF(AB158&lt;1,0,(AB158-1)*武将觉醒!F$34*H158)+武将数量星级阶位验证!W154</f>
        <v>0</v>
      </c>
      <c r="AG158" s="41">
        <f>IF(AC158&lt;1,0,(AC158-1)*武将觉醒!G$34*I158)+武将数量星级阶位验证!X154</f>
        <v>41</v>
      </c>
      <c r="AH158" s="41">
        <f>IF(AD158&lt;1,0,(AD158-1)*武将觉醒!H$34*J158)+武将数量星级阶位验证!Y154</f>
        <v>0</v>
      </c>
      <c r="AJ158" s="29">
        <f>MAX(W158+AE158+G158*(K158+1)+IF(武将数量星级阶位验证!L154="",0,武将数量星级阶位验证!L154)*武将升星!P151,O158)</f>
        <v>24</v>
      </c>
      <c r="AK158" s="29">
        <f>MAX(X158+AF158+H158*(L158+1)+IF(武将数量星级阶位验证!M154="",0,武将数量星级阶位验证!M154)*武将升星!Q151,P158)</f>
        <v>226.37841251224319</v>
      </c>
      <c r="AL158" s="64">
        <f>MAX(Y158+AG158+I158*(M158+1)+IF(武将数量星级阶位验证!N154="",0,武将数量星级阶位验证!N154)*武将升星!R151,Q158)</f>
        <v>674.44681311292663</v>
      </c>
      <c r="AM158" s="41">
        <f t="shared" si="146"/>
        <v>77.731366574422196</v>
      </c>
      <c r="AO158" s="17">
        <f>武将数量星级阶位验证!BJ154</f>
        <v>3737.077628048969</v>
      </c>
      <c r="AP158" s="17">
        <f>武将数量星级阶位验证!BK154</f>
        <v>1585.8161368174326</v>
      </c>
      <c r="AQ158" s="63">
        <f>武将数量星级阶位验证!BL154</f>
        <v>300.54588793343402</v>
      </c>
      <c r="AR158" s="17">
        <f>武将数量星级阶位验证!BM154</f>
        <v>71.712086026553678</v>
      </c>
      <c r="AT158" s="17">
        <f t="shared" si="138"/>
        <v>90</v>
      </c>
      <c r="AU158" s="17">
        <f t="shared" si="139"/>
        <v>74.493385467679886</v>
      </c>
      <c r="AW158" s="17" t="s">
        <v>168</v>
      </c>
      <c r="BA158" s="17">
        <v>6</v>
      </c>
      <c r="BB158" s="62">
        <f t="shared" si="147"/>
        <v>6</v>
      </c>
      <c r="BD158" s="17">
        <v>0</v>
      </c>
      <c r="BF158" s="65">
        <v>24</v>
      </c>
      <c r="BG158" s="17">
        <v>0</v>
      </c>
      <c r="BH158" s="62">
        <f t="shared" si="148"/>
        <v>24</v>
      </c>
      <c r="BJ158" s="17">
        <f t="shared" si="149"/>
        <v>0</v>
      </c>
      <c r="BK158" s="17">
        <f t="shared" si="140"/>
        <v>0</v>
      </c>
      <c r="BL158" s="17">
        <f t="shared" si="141"/>
        <v>24</v>
      </c>
      <c r="BM158" s="17">
        <f t="shared" si="142"/>
        <v>6</v>
      </c>
      <c r="BN158" s="62">
        <f t="shared" si="150"/>
        <v>30</v>
      </c>
      <c r="BR158" s="17">
        <f>武将升星!P151*基础状态预期!G164+G158*(K158+1)+W158+AE158</f>
        <v>0</v>
      </c>
      <c r="BS158" s="17">
        <f>武将升星!Q151*基础状态预期!H164+H158*(L158+1)+X158+AF158</f>
        <v>226.37841251224319</v>
      </c>
      <c r="BT158" s="17">
        <f>武将升星!R151*基础状态预期!I164+I158*(M158+1)+Y158+AG158</f>
        <v>407.69141358286288</v>
      </c>
      <c r="BU158" s="17">
        <f>武将升星!S151*基础状态预期!J164+J158*(N158+1)+Z158+AH158</f>
        <v>71.712086026553678</v>
      </c>
    </row>
    <row r="159" spans="2:73" x14ac:dyDescent="0.15">
      <c r="B159" s="17">
        <v>17</v>
      </c>
      <c r="C159" s="17">
        <f t="shared" si="143"/>
        <v>24</v>
      </c>
      <c r="D159" s="17">
        <v>14</v>
      </c>
      <c r="E159" s="29">
        <f>基础状态预期!C165</f>
        <v>110</v>
      </c>
      <c r="F159" s="29">
        <f>基础状态预期!D165</f>
        <v>77.332919927503724</v>
      </c>
      <c r="G159" s="29">
        <f t="shared" si="144"/>
        <v>0</v>
      </c>
      <c r="H159" s="29">
        <f t="shared" si="134"/>
        <v>0</v>
      </c>
      <c r="I159" s="29">
        <f t="shared" si="135"/>
        <v>24</v>
      </c>
      <c r="J159" s="29">
        <f t="shared" si="136"/>
        <v>0</v>
      </c>
      <c r="K159" s="29">
        <f>武将战力价值情况!G155</f>
        <v>3</v>
      </c>
      <c r="L159" s="29">
        <f>武将战力价值情况!H155</f>
        <v>6</v>
      </c>
      <c r="M159" s="29">
        <f>武将战力价值情况!I155</f>
        <v>8</v>
      </c>
      <c r="N159" s="29">
        <f>武将战力价值情况!J155</f>
        <v>7.265361011774873</v>
      </c>
      <c r="O159" s="41">
        <f>MAX(同名需求(G159,求节点(武将升星!$C$104:$C$112,武将升星!E$104:E$112,K159),F$2),武将数量星级阶位验证!AA155)</f>
        <v>24</v>
      </c>
      <c r="P159" s="41">
        <f>MAX(同名需求(H159,求节点(武将升星!$C$104:$C$112,武将升星!F$104:F$112,L159),G$2),武将数量星级阶位验证!AB155)</f>
        <v>120</v>
      </c>
      <c r="Q159" s="41">
        <f>MAX(同名需求(I159,求节点(武将升星!$C$104:$C$112,武将升星!G$104:G$112,M159),H$2),武将数量星级阶位验证!AC155)</f>
        <v>704</v>
      </c>
      <c r="R159" s="41">
        <f>MAX(同名需求(J159,求节点(武将升星!$C$104:$C$112,武将升星!H$104:H$112,N159),I$2),武将数量星级阶位验证!AD155)</f>
        <v>90.368664282596939</v>
      </c>
      <c r="S159" s="29">
        <f>MAX(基础状态预期!P165:T165)</f>
        <v>3.0933167971001492</v>
      </c>
      <c r="T159" s="29">
        <f t="shared" ref="T159:V159" si="162">S159</f>
        <v>3.0933167971001492</v>
      </c>
      <c r="U159" s="29">
        <f t="shared" si="162"/>
        <v>3.0933167971001492</v>
      </c>
      <c r="V159" s="29">
        <f t="shared" si="162"/>
        <v>3.0933167971001492</v>
      </c>
      <c r="W159" s="41">
        <f>SUMIFS(武将进阶!F$13:F$18,武将进阶!$C$13:$C$18,"&lt;="&amp;T159)*H159+武将数量星级阶位验证!Q155</f>
        <v>0</v>
      </c>
      <c r="X159" s="41">
        <f>SUMIFS(武将进阶!G$13:G$18,武将进阶!$C$13:$C$18,"&lt;="&amp;U159)*I159+武将数量星级阶位验证!R155</f>
        <v>504</v>
      </c>
      <c r="Y159" s="41">
        <f>SUMIFS(武将进阶!H$13:H$18,武将进阶!$C$13:$C$18,"&lt;="&amp;V159)*J159+武将数量星级阶位验证!S155</f>
        <v>178.79702347802686</v>
      </c>
      <c r="Z159" s="41">
        <f>SUMIFS(武将进阶!I$13:I$18,武将进阶!$C$13:$C$18,"&lt;="&amp;W159)*K159+武将数量星级阶位验证!T155</f>
        <v>0</v>
      </c>
      <c r="AA159" s="29"/>
      <c r="AB159" s="29">
        <f>求节点(基础状态预期!$AT$17:$AT$55,基础状态预期!AW$17:AW$55,各r阵容卡情况!$F159)</f>
        <v>2</v>
      </c>
      <c r="AC159" s="29">
        <f>求节点(基础状态预期!$AT$17:$AT$55,基础状态预期!AX$17:AX$55,各r阵容卡情况!$F159)</f>
        <v>2</v>
      </c>
      <c r="AD159" s="29">
        <f>求节点(基础状态预期!$AT$17:$AT$55,基础状态预期!AY$17:AY$55,各r阵容卡情况!$F159)</f>
        <v>2</v>
      </c>
      <c r="AE159" s="41">
        <f>IF(AA159&lt;1,0,(AA159-1)*武将觉醒!E$34*G159)+武将数量星级阶位验证!V155</f>
        <v>0</v>
      </c>
      <c r="AF159" s="41">
        <f>IF(AB159&lt;1,0,(AB159-1)*武将觉醒!F$34*H159)+武将数量星级阶位验证!W155</f>
        <v>0</v>
      </c>
      <c r="AG159" s="41">
        <f>IF(AC159&lt;1,0,(AC159-1)*武将觉醒!G$34*I159)+武将数量星级阶位验证!X155</f>
        <v>24</v>
      </c>
      <c r="AH159" s="41">
        <f>IF(AD159&lt;1,0,(AD159-1)*武将觉醒!H$34*J159)+武将数量星级阶位验证!Y155</f>
        <v>0</v>
      </c>
      <c r="AJ159" s="29">
        <f>MAX(W159+AE159+G159*(K159+1)+IF(武将数量星级阶位验证!L155="",0,武将数量星级阶位验证!L155)*武将升星!P152,O159)</f>
        <v>24</v>
      </c>
      <c r="AK159" s="29">
        <f>MAX(X159+AF159+H159*(L159+1)+IF(武将数量星级阶位验证!M155="",0,武将数量星级阶位验证!M155)*武将升星!Q152,P159)</f>
        <v>504</v>
      </c>
      <c r="AL159" s="64">
        <f>MAX(Y159+AG159+I159*(M159+1)+IF(武将数量星级阶位验证!N155="",0,武将数量星级阶位验证!N155)*武将升星!R152,Q159)</f>
        <v>704</v>
      </c>
      <c r="AM159" s="41">
        <f t="shared" si="146"/>
        <v>90.368664282596939</v>
      </c>
      <c r="AO159" s="17">
        <f>武将数量星级阶位验证!BJ155</f>
        <v>4363.2732250313702</v>
      </c>
      <c r="AP159" s="17">
        <f>武将数量星级阶位验证!BK155</f>
        <v>1864.5705135646763</v>
      </c>
      <c r="AQ159" s="63">
        <f>武将数量星级阶位验证!BL155</f>
        <v>341.85904444552057</v>
      </c>
      <c r="AR159" s="17">
        <f>武将数量星级阶位验证!BM155</f>
        <v>90.368664282596953</v>
      </c>
      <c r="AT159" s="17">
        <f t="shared" si="138"/>
        <v>110</v>
      </c>
      <c r="AU159" s="17">
        <f t="shared" si="139"/>
        <v>77.332919927503724</v>
      </c>
      <c r="AW159" s="17" t="s">
        <v>168</v>
      </c>
      <c r="BA159" s="17">
        <v>6</v>
      </c>
      <c r="BB159" s="62">
        <f t="shared" si="147"/>
        <v>6</v>
      </c>
      <c r="BD159" s="17">
        <v>0</v>
      </c>
      <c r="BF159" s="17">
        <v>24</v>
      </c>
      <c r="BG159" s="17">
        <v>0</v>
      </c>
      <c r="BH159" s="62">
        <f t="shared" si="148"/>
        <v>24</v>
      </c>
      <c r="BJ159" s="17">
        <f t="shared" si="149"/>
        <v>0</v>
      </c>
      <c r="BK159" s="17">
        <f t="shared" si="140"/>
        <v>0</v>
      </c>
      <c r="BL159" s="17">
        <f t="shared" si="141"/>
        <v>24</v>
      </c>
      <c r="BM159" s="17">
        <f t="shared" si="142"/>
        <v>6</v>
      </c>
      <c r="BN159" s="62">
        <f t="shared" si="150"/>
        <v>30</v>
      </c>
      <c r="BR159" s="17">
        <f>武将升星!P152*基础状态预期!G165+G159*(K159+1)+W159+AE159</f>
        <v>0</v>
      </c>
      <c r="BS159" s="17">
        <f>武将升星!Q152*基础状态预期!H165+H159*(L159+1)+X159+AF159</f>
        <v>504</v>
      </c>
      <c r="BT159" s="17">
        <f>武将升星!R152*基础状态预期!I165+I159*(M159+1)+Y159+AG159</f>
        <v>418.79702347802686</v>
      </c>
      <c r="BU159" s="17">
        <f>武将升星!S152*基础状态预期!J165+J159*(N159+1)+Z159+AH159</f>
        <v>90.368664282596953</v>
      </c>
    </row>
    <row r="160" spans="2:73" x14ac:dyDescent="0.15">
      <c r="B160" s="17">
        <v>18</v>
      </c>
      <c r="C160" s="17">
        <f t="shared" si="143"/>
        <v>24</v>
      </c>
      <c r="D160" s="17">
        <v>15</v>
      </c>
      <c r="E160" s="29">
        <f>基础状态预期!C166</f>
        <v>130</v>
      </c>
      <c r="F160" s="29">
        <f>基础状态预期!D166</f>
        <v>79.813360188853366</v>
      </c>
      <c r="G160" s="29">
        <f t="shared" si="144"/>
        <v>0</v>
      </c>
      <c r="H160" s="29">
        <f t="shared" si="134"/>
        <v>0</v>
      </c>
      <c r="I160" s="29">
        <f t="shared" si="135"/>
        <v>24</v>
      </c>
      <c r="J160" s="29">
        <f t="shared" si="136"/>
        <v>0</v>
      </c>
      <c r="K160" s="29">
        <f>武将战力价值情况!G156</f>
        <v>3</v>
      </c>
      <c r="L160" s="29">
        <f>武将战力价值情况!H156</f>
        <v>6</v>
      </c>
      <c r="M160" s="29">
        <f>武将战力价值情况!I156</f>
        <v>8</v>
      </c>
      <c r="N160" s="29">
        <f>武将战力价值情况!J156</f>
        <v>7.992461033269354</v>
      </c>
      <c r="O160" s="41">
        <f>MAX(同名需求(G160,求节点(武将升星!$C$104:$C$112,武将升星!E$104:E$112,K160),F$2),武将数量星级阶位验证!AA156)</f>
        <v>24</v>
      </c>
      <c r="P160" s="41">
        <f>MAX(同名需求(H160,求节点(武将升星!$C$104:$C$112,武将升星!F$104:F$112,L160),G$2),武将数量星级阶位验证!AB156)</f>
        <v>120</v>
      </c>
      <c r="Q160" s="41">
        <f>MAX(同名需求(I160,求节点(武将升星!$C$104:$C$112,武将升星!G$104:G$112,M160),H$2),武将数量星级阶位验证!AC156)</f>
        <v>704</v>
      </c>
      <c r="R160" s="41">
        <f>MAX(同名需求(J160,求节点(武将升星!$C$104:$C$112,武将升星!H$104:H$112,N160),I$2),武将数量星级阶位验证!AD156)</f>
        <v>107.8190647984645</v>
      </c>
      <c r="S160" s="29">
        <f>MAX(基础状态预期!P166:T166)</f>
        <v>3.1925344075541346</v>
      </c>
      <c r="T160" s="29">
        <f t="shared" ref="T160:V160" si="163">S160</f>
        <v>3.1925344075541346</v>
      </c>
      <c r="U160" s="29">
        <f t="shared" si="163"/>
        <v>3.1925344075541346</v>
      </c>
      <c r="V160" s="29">
        <f t="shared" si="163"/>
        <v>3.1925344075541346</v>
      </c>
      <c r="W160" s="41">
        <f>SUMIFS(武将进阶!F$13:F$18,武将进阶!$C$13:$C$18,"&lt;="&amp;T160)*H160+武将数量星级阶位验证!Q156</f>
        <v>0</v>
      </c>
      <c r="X160" s="41">
        <f>SUMIFS(武将进阶!G$13:G$18,武将进阶!$C$13:$C$18,"&lt;="&amp;U160)*I160+武将数量星级阶位验证!R156</f>
        <v>504</v>
      </c>
      <c r="Y160" s="41">
        <f>SUMIFS(武将进阶!H$13:H$18,武将进阶!$C$13:$C$18,"&lt;="&amp;V160)*J160+武将数量星级阶位验证!S156</f>
        <v>196.65619335974424</v>
      </c>
      <c r="Z160" s="41">
        <f>SUMIFS(武将进阶!I$13:I$18,武将进阶!$C$13:$C$18,"&lt;="&amp;W160)*K160+武将数量星级阶位验证!T156</f>
        <v>0</v>
      </c>
      <c r="AA160" s="29"/>
      <c r="AB160" s="29">
        <f>求节点(基础状态预期!$AT$17:$AT$55,基础状态预期!AW$17:AW$55,各r阵容卡情况!$F160)</f>
        <v>2</v>
      </c>
      <c r="AC160" s="29">
        <f>求节点(基础状态预期!$AT$17:$AT$55,基础状态预期!AX$17:AX$55,各r阵容卡情况!$F160)</f>
        <v>2</v>
      </c>
      <c r="AD160" s="29">
        <f>求节点(基础状态预期!$AT$17:$AT$55,基础状态预期!AY$17:AY$55,各r阵容卡情况!$F160)</f>
        <v>2</v>
      </c>
      <c r="AE160" s="41">
        <f>IF(AA160&lt;1,0,(AA160-1)*武将觉醒!E$34*G160)+武将数量星级阶位验证!V156</f>
        <v>0</v>
      </c>
      <c r="AF160" s="41">
        <f>IF(AB160&lt;1,0,(AB160-1)*武将觉醒!F$34*H160)+武将数量星级阶位验证!W156</f>
        <v>0</v>
      </c>
      <c r="AG160" s="41">
        <f>IF(AC160&lt;1,0,(AC160-1)*武将觉醒!G$34*I160)+武将数量星级阶位验证!X156</f>
        <v>24</v>
      </c>
      <c r="AH160" s="41">
        <f>IF(AD160&lt;1,0,(AD160-1)*武将觉醒!H$34*J160)+武将数量星级阶位验证!Y156</f>
        <v>0</v>
      </c>
      <c r="AJ160" s="29">
        <f>MAX(W160+AE160+G160*(K160+1)+IF(武将数量星级阶位验证!L156="",0,武将数量星级阶位验证!L156)*武将升星!P153,O160)</f>
        <v>24</v>
      </c>
      <c r="AK160" s="29">
        <f>MAX(X160+AF160+H160*(L160+1)+IF(武将数量星级阶位验证!M156="",0,武将数量星级阶位验证!M156)*武将升星!Q153,P160)</f>
        <v>504</v>
      </c>
      <c r="AL160" s="64">
        <f>MAX(Y160+AG160+I160*(M160+1)+IF(武将数量星级阶位验证!N156="",0,武将数量星级阶位验证!N156)*武将升星!R153,Q160)</f>
        <v>704</v>
      </c>
      <c r="AM160" s="41">
        <f t="shared" si="146"/>
        <v>107.8190647984645</v>
      </c>
      <c r="AO160" s="17">
        <f>武将数量星级阶位验证!BJ156</f>
        <v>4959.7164377561021</v>
      </c>
      <c r="AP160" s="17">
        <f>武将数量星级阶位验证!BK156</f>
        <v>2127.2425204429101</v>
      </c>
      <c r="AQ160" s="63">
        <f>武将数量星级阶位验证!BL156</f>
        <v>380.75984547725562</v>
      </c>
      <c r="AR160" s="17">
        <f>武将数量星级阶位验证!BM156</f>
        <v>107.8190647984645</v>
      </c>
      <c r="AT160" s="17">
        <f t="shared" si="138"/>
        <v>130</v>
      </c>
      <c r="AU160" s="17">
        <f t="shared" si="139"/>
        <v>79.813360188853366</v>
      </c>
      <c r="AW160" s="17" t="s">
        <v>168</v>
      </c>
      <c r="BA160" s="17">
        <v>6</v>
      </c>
      <c r="BB160" s="62">
        <f t="shared" si="147"/>
        <v>6</v>
      </c>
      <c r="BD160" s="17">
        <v>0</v>
      </c>
      <c r="BF160" s="17">
        <v>24</v>
      </c>
      <c r="BG160" s="17">
        <v>0</v>
      </c>
      <c r="BH160" s="62">
        <f t="shared" si="148"/>
        <v>24</v>
      </c>
      <c r="BJ160" s="17">
        <f t="shared" si="149"/>
        <v>0</v>
      </c>
      <c r="BK160" s="17">
        <f t="shared" si="140"/>
        <v>0</v>
      </c>
      <c r="BL160" s="17">
        <f t="shared" si="141"/>
        <v>24</v>
      </c>
      <c r="BM160" s="17">
        <f t="shared" si="142"/>
        <v>6</v>
      </c>
      <c r="BN160" s="62">
        <f t="shared" si="150"/>
        <v>30</v>
      </c>
      <c r="BR160" s="17">
        <f>武将升星!P153*基础状态预期!G166+G160*(K160+1)+W160+AE160</f>
        <v>0</v>
      </c>
      <c r="BS160" s="17">
        <f>武将升星!Q153*基础状态预期!H166+H160*(L160+1)+X160+AF160</f>
        <v>504</v>
      </c>
      <c r="BT160" s="17">
        <f>武将升星!R153*基础状态预期!I166+I160*(M160+1)+Y160+AG160</f>
        <v>436.65619335974424</v>
      </c>
      <c r="BU160" s="17">
        <f>武将升星!S153*基础状态预期!J166+J160*(N160+1)+Z160+AH160</f>
        <v>107.8190647984645</v>
      </c>
    </row>
    <row r="161" spans="2:73" x14ac:dyDescent="0.15">
      <c r="B161" s="17">
        <v>19</v>
      </c>
      <c r="C161" s="17">
        <f t="shared" si="143"/>
        <v>24</v>
      </c>
      <c r="D161" s="17">
        <v>16</v>
      </c>
      <c r="E161" s="29">
        <f>基础状态预期!C167</f>
        <v>150</v>
      </c>
      <c r="F161" s="29">
        <f>基础状态预期!D167</f>
        <v>81.919202803497143</v>
      </c>
      <c r="G161" s="29">
        <f t="shared" si="144"/>
        <v>0</v>
      </c>
      <c r="H161" s="29">
        <f t="shared" si="134"/>
        <v>0</v>
      </c>
      <c r="I161" s="29">
        <f t="shared" si="135"/>
        <v>24</v>
      </c>
      <c r="J161" s="29">
        <f t="shared" si="136"/>
        <v>0</v>
      </c>
      <c r="K161" s="29">
        <f>武将战力价值情况!G157</f>
        <v>3</v>
      </c>
      <c r="L161" s="29">
        <f>武将战力价值情况!H157</f>
        <v>6</v>
      </c>
      <c r="M161" s="29">
        <f>武将战力价值情况!I157</f>
        <v>8</v>
      </c>
      <c r="N161" s="29">
        <f>武将战力价值情况!J157</f>
        <v>8</v>
      </c>
      <c r="O161" s="41">
        <f>MAX(同名需求(G161,求节点(武将升星!$C$104:$C$112,武将升星!E$104:E$112,K161),F$2),武将数量星级阶位验证!AA157)</f>
        <v>24</v>
      </c>
      <c r="P161" s="41">
        <f>MAX(同名需求(H161,求节点(武将升星!$C$104:$C$112,武将升星!F$104:F$112,L161),G$2),武将数量星级阶位验证!AB157)</f>
        <v>120</v>
      </c>
      <c r="Q161" s="41">
        <f>MAX(同名需求(I161,求节点(武将升星!$C$104:$C$112,武将升星!G$104:G$112,M161),H$2),武将数量星级阶位验证!AC157)</f>
        <v>704</v>
      </c>
      <c r="R161" s="41">
        <f>MAX(同名需求(J161,求节点(武将升星!$C$104:$C$112,武将升星!H$104:H$112,N161),I$2),武将数量星级阶位验证!AD157)</f>
        <v>108</v>
      </c>
      <c r="S161" s="29">
        <f>MAX(基础状态预期!P167:T167)</f>
        <v>3.2767681121398855</v>
      </c>
      <c r="T161" s="29">
        <f t="shared" ref="T161:V161" si="164">S161</f>
        <v>3.2767681121398855</v>
      </c>
      <c r="U161" s="29">
        <f t="shared" si="164"/>
        <v>3.2767681121398855</v>
      </c>
      <c r="V161" s="29">
        <f t="shared" si="164"/>
        <v>3.2767681121398855</v>
      </c>
      <c r="W161" s="41">
        <f>SUMIFS(武将进阶!F$13:F$18,武将进阶!$C$13:$C$18,"&lt;="&amp;T161)*H161+武将数量星级阶位验证!Q157</f>
        <v>0</v>
      </c>
      <c r="X161" s="41">
        <f>SUMIFS(武将进阶!G$13:G$18,武将进阶!$C$13:$C$18,"&lt;="&amp;U161)*I161+武将数量星级阶位验证!R157</f>
        <v>504</v>
      </c>
      <c r="Y161" s="41">
        <f>SUMIFS(武将进阶!H$13:H$18,武将进阶!$C$13:$C$18,"&lt;="&amp;V161)*J161+武将数量星级阶位验证!S157</f>
        <v>211.81826018517941</v>
      </c>
      <c r="Z161" s="41">
        <f>SUMIFS(武将进阶!I$13:I$18,武将进阶!$C$13:$C$18,"&lt;="&amp;W161)*K161+武将数量星级阶位验证!T157</f>
        <v>0</v>
      </c>
      <c r="AA161" s="29"/>
      <c r="AB161" s="29">
        <f>求节点(基础状态预期!$AT$17:$AT$55,基础状态预期!AW$17:AW$55,各r阵容卡情况!$F161)</f>
        <v>2</v>
      </c>
      <c r="AC161" s="29">
        <f>求节点(基础状态预期!$AT$17:$AT$55,基础状态预期!AX$17:AX$55,各r阵容卡情况!$F161)</f>
        <v>2</v>
      </c>
      <c r="AD161" s="29">
        <f>求节点(基础状态预期!$AT$17:$AT$55,基础状态预期!AY$17:AY$55,各r阵容卡情况!$F161)</f>
        <v>2</v>
      </c>
      <c r="AE161" s="41">
        <f>IF(AA161&lt;1,0,(AA161-1)*武将觉醒!E$34*G161)+武将数量星级阶位验证!V157</f>
        <v>0</v>
      </c>
      <c r="AF161" s="41">
        <f>IF(AB161&lt;1,0,(AB161-1)*武将觉醒!F$34*H161)+武将数量星级阶位验证!W157</f>
        <v>0</v>
      </c>
      <c r="AG161" s="41">
        <f>IF(AC161&lt;1,0,(AC161-1)*武将觉醒!G$34*I161)+武将数量星级阶位验证!X157</f>
        <v>24</v>
      </c>
      <c r="AH161" s="41">
        <f>IF(AD161&lt;1,0,(AD161-1)*武将觉醒!H$34*J161)+武将数量星级阶位验证!Y157</f>
        <v>0</v>
      </c>
      <c r="AJ161" s="29">
        <f>MAX(W161+AE161+G161*(K161+1)+IF(武将数量星级阶位验证!L157="",0,武将数量星级阶位验证!L157)*武将升星!P154,O161)</f>
        <v>24</v>
      </c>
      <c r="AK161" s="29">
        <f>MAX(X161+AF161+H161*(L161+1)+IF(武将数量星级阶位验证!M157="",0,武将数量星级阶位验证!M157)*武将升星!Q154,P161)</f>
        <v>504</v>
      </c>
      <c r="AL161" s="64">
        <f>MAX(Y161+AG161+I161*(M161+1)+IF(武将数量星级阶位验证!N157="",0,武将数量星级阶位验证!N157)*武将升星!R154,Q161)</f>
        <v>704</v>
      </c>
      <c r="AM161" s="41">
        <f t="shared" si="146"/>
        <v>108</v>
      </c>
      <c r="AO161" s="17">
        <f>武将数量星级阶位验证!BJ157</f>
        <v>5560.215154118825</v>
      </c>
      <c r="AP161" s="17">
        <f>武将数量星级阶位验证!BK157</f>
        <v>2392.1066914497874</v>
      </c>
      <c r="AQ161" s="63">
        <f>武将数量星级阶位验证!BL157</f>
        <v>419.98947112828722</v>
      </c>
      <c r="AR161" s="17">
        <f>武将数量星级阶位验证!BM157</f>
        <v>125.43387762398029</v>
      </c>
      <c r="AT161" s="17">
        <f t="shared" si="138"/>
        <v>150</v>
      </c>
      <c r="AU161" s="17">
        <f t="shared" si="139"/>
        <v>81.919202803497143</v>
      </c>
      <c r="AW161" s="17" t="s">
        <v>168</v>
      </c>
      <c r="BA161" s="17">
        <v>6</v>
      </c>
      <c r="BB161" s="62">
        <f t="shared" si="147"/>
        <v>6</v>
      </c>
      <c r="BD161" s="17">
        <v>0</v>
      </c>
      <c r="BF161" s="17">
        <v>24</v>
      </c>
      <c r="BG161" s="17">
        <v>0</v>
      </c>
      <c r="BH161" s="62">
        <f t="shared" si="148"/>
        <v>24</v>
      </c>
      <c r="BJ161" s="17">
        <f t="shared" si="149"/>
        <v>0</v>
      </c>
      <c r="BK161" s="17">
        <f t="shared" si="140"/>
        <v>0</v>
      </c>
      <c r="BL161" s="17">
        <f t="shared" si="141"/>
        <v>24</v>
      </c>
      <c r="BM161" s="17">
        <f t="shared" si="142"/>
        <v>6</v>
      </c>
      <c r="BN161" s="62">
        <f t="shared" si="150"/>
        <v>30</v>
      </c>
      <c r="BR161" s="17">
        <f>武将升星!P154*基础状态预期!G167+G161*(K161+1)+W161+AE161</f>
        <v>0</v>
      </c>
      <c r="BS161" s="17">
        <f>武将升星!Q154*基础状态预期!H167+H161*(L161+1)+X161+AF161</f>
        <v>504</v>
      </c>
      <c r="BT161" s="17">
        <f>武将升星!R154*基础状态预期!I167+I161*(M161+1)+Y161+AG161</f>
        <v>451.81826018517938</v>
      </c>
      <c r="BU161" s="17">
        <f>武将升星!S154*基础状态预期!J167+J161*(N161+1)+Z161+AH161</f>
        <v>108</v>
      </c>
    </row>
    <row r="162" spans="2:73" x14ac:dyDescent="0.15">
      <c r="B162" s="17">
        <v>20</v>
      </c>
      <c r="C162" s="17">
        <f t="shared" ref="C162:C184" si="165">SUM(G162:J162)</f>
        <v>24</v>
      </c>
      <c r="D162" s="17">
        <v>17</v>
      </c>
      <c r="E162" s="29">
        <f>基础状态预期!C168</f>
        <v>170</v>
      </c>
      <c r="F162" s="29">
        <f>基础状态预期!D168</f>
        <v>83.738783536778797</v>
      </c>
      <c r="G162" s="29">
        <f t="shared" ref="G162:G184" si="166">BD162</f>
        <v>0</v>
      </c>
      <c r="H162" s="29">
        <f t="shared" ref="H162:H184" si="167">BE162</f>
        <v>0</v>
      </c>
      <c r="I162" s="29">
        <f t="shared" ref="I162:I184" si="168">BF162</f>
        <v>24</v>
      </c>
      <c r="J162" s="29">
        <f t="shared" ref="J162:J184" si="169">BG162</f>
        <v>0</v>
      </c>
      <c r="K162" s="29">
        <f>武将战力价值情况!G158</f>
        <v>3</v>
      </c>
      <c r="L162" s="29">
        <f>武将战力价值情况!H158</f>
        <v>6</v>
      </c>
      <c r="M162" s="29">
        <f>武将战力价值情况!I158</f>
        <v>8</v>
      </c>
      <c r="N162" s="29">
        <f>武将战力价值情况!J158</f>
        <v>8</v>
      </c>
      <c r="O162" s="41">
        <f>MAX(同名需求(G162,求节点(武将升星!$C$104:$C$112,武将升星!E$104:E$112,K162),F$2),武将数量星级阶位验证!AA158)</f>
        <v>24</v>
      </c>
      <c r="P162" s="41">
        <f>MAX(同名需求(H162,求节点(武将升星!$C$104:$C$112,武将升星!F$104:F$112,L162),G$2),武将数量星级阶位验证!AB158)</f>
        <v>120</v>
      </c>
      <c r="Q162" s="41">
        <f>MAX(同名需求(I162,求节点(武将升星!$C$104:$C$112,武将升星!G$104:G$112,M162),H$2),武将数量星级阶位验证!AC158)</f>
        <v>704</v>
      </c>
      <c r="R162" s="41">
        <f>MAX(同名需求(J162,求节点(武将升星!$C$104:$C$112,武将升星!H$104:H$112,N162),I$2),武将数量星级阶位验证!AD158)</f>
        <v>108</v>
      </c>
      <c r="S162" s="29">
        <f>MAX(基础状态预期!P168:T168)</f>
        <v>3.3495513414711517</v>
      </c>
      <c r="T162" s="29">
        <f t="shared" ref="T162:T184" si="170">S162</f>
        <v>3.3495513414711517</v>
      </c>
      <c r="U162" s="29">
        <f t="shared" ref="U162:U184" si="171">T162</f>
        <v>3.3495513414711517</v>
      </c>
      <c r="V162" s="29">
        <f t="shared" ref="V162:V184" si="172">U162</f>
        <v>3.3495513414711517</v>
      </c>
      <c r="W162" s="41">
        <f>SUMIFS(武将进阶!F$13:F$18,武将进阶!$C$13:$C$18,"&lt;="&amp;T162)*H162+武将数量星级阶位验证!Q158</f>
        <v>0</v>
      </c>
      <c r="X162" s="41">
        <f>SUMIFS(武将进阶!G$13:G$18,武将进阶!$C$13:$C$18,"&lt;="&amp;U162)*I162+武将数量星级阶位验证!R158</f>
        <v>504</v>
      </c>
      <c r="Y162" s="41">
        <f>SUMIFS(武将进阶!H$13:H$18,武将进阶!$C$13:$C$18,"&lt;="&amp;V162)*J162+武将数量星级阶位验证!S158</f>
        <v>224.91924146480733</v>
      </c>
      <c r="Z162" s="41">
        <f>SUMIFS(武将进阶!I$13:I$18,武将进阶!$C$13:$C$18,"&lt;="&amp;W162)*K162+武将数量星级阶位验证!T158</f>
        <v>0</v>
      </c>
      <c r="AA162" s="29"/>
      <c r="AB162" s="29">
        <f>求节点(基础状态预期!$AT$17:$AT$55,基础状态预期!AW$17:AW$55,各r阵容卡情况!$F162)</f>
        <v>2</v>
      </c>
      <c r="AC162" s="29">
        <f>求节点(基础状态预期!$AT$17:$AT$55,基础状态预期!AX$17:AX$55,各r阵容卡情况!$F162)</f>
        <v>2</v>
      </c>
      <c r="AD162" s="29">
        <f>求节点(基础状态预期!$AT$17:$AT$55,基础状态预期!AY$17:AY$55,各r阵容卡情况!$F162)</f>
        <v>2</v>
      </c>
      <c r="AE162" s="41">
        <f>IF(AA162&lt;1,0,(AA162-1)*武将觉醒!E$34*G162)+武将数量星级阶位验证!V158</f>
        <v>0</v>
      </c>
      <c r="AF162" s="41">
        <f>IF(AB162&lt;1,0,(AB162-1)*武将觉醒!F$34*H162)+武将数量星级阶位验证!W158</f>
        <v>0</v>
      </c>
      <c r="AG162" s="41">
        <f>IF(AC162&lt;1,0,(AC162-1)*武将觉醒!G$34*I162)+武将数量星级阶位验证!X158</f>
        <v>24</v>
      </c>
      <c r="AH162" s="41">
        <f>IF(AD162&lt;1,0,(AD162-1)*武将觉醒!H$34*J162)+武将数量星级阶位验证!Y158</f>
        <v>0</v>
      </c>
      <c r="AJ162" s="29">
        <f>MAX(W162+AE162+G162*(K162+1)+IF(武将数量星级阶位验证!L158="",0,武将数量星级阶位验证!L158)*武将升星!P155,O162)</f>
        <v>24</v>
      </c>
      <c r="AK162" s="29">
        <f>MAX(X162+AF162+H162*(L162+1)+IF(武将数量星级阶位验证!M158="",0,武将数量星级阶位验证!M158)*武将升星!Q155,P162)</f>
        <v>504</v>
      </c>
      <c r="AL162" s="64">
        <f>MAX(Y162+AG162+I162*(M162+1)+IF(武将数量星级阶位验证!N158="",0,武将数量星级阶位验证!N158)*武将升星!R155,Q162)</f>
        <v>704</v>
      </c>
      <c r="AM162" s="41">
        <f t="shared" ref="AM162:AM184" si="173">R162+AH162</f>
        <v>108</v>
      </c>
      <c r="AO162" s="17">
        <f>武将数量星级阶位验证!BJ158</f>
        <v>6139.3766944565705</v>
      </c>
      <c r="AP162" s="17">
        <f>武将数量星级阶位验证!BK158</f>
        <v>2645.4372537945146</v>
      </c>
      <c r="AQ162" s="63">
        <f>武将数量星级阶位验证!BL158</f>
        <v>457.4890554799963</v>
      </c>
      <c r="AR162" s="17">
        <f>武将数量星级阶位验证!BM158</f>
        <v>142.18366979983483</v>
      </c>
      <c r="AT162" s="17">
        <f t="shared" ref="AT162:AT184" si="174">E162</f>
        <v>170</v>
      </c>
      <c r="AU162" s="17">
        <f t="shared" ref="AU162:AU184" si="175">F162</f>
        <v>83.738783536778797</v>
      </c>
      <c r="BA162" s="17">
        <v>6</v>
      </c>
      <c r="BB162" s="62">
        <f t="shared" ref="BB162:BB184" si="176">SUM(AX162:BA162)</f>
        <v>6</v>
      </c>
      <c r="BD162" s="17">
        <v>0</v>
      </c>
      <c r="BF162" s="17">
        <v>24</v>
      </c>
      <c r="BG162" s="17">
        <v>0</v>
      </c>
      <c r="BH162" s="62">
        <f t="shared" ref="BH162:BH184" si="177">SUM(BD162:BG162)</f>
        <v>24</v>
      </c>
      <c r="BJ162" s="17">
        <f t="shared" ref="BJ162:BJ184" si="178">AX162+BD162</f>
        <v>0</v>
      </c>
      <c r="BK162" s="17">
        <f t="shared" ref="BK162:BK184" si="179">AY162+BE162</f>
        <v>0</v>
      </c>
      <c r="BL162" s="17">
        <f t="shared" ref="BL162:BL184" si="180">AZ162+BF162</f>
        <v>24</v>
      </c>
      <c r="BM162" s="17">
        <f t="shared" ref="BM162:BM184" si="181">BA162+BG162</f>
        <v>6</v>
      </c>
      <c r="BN162" s="62">
        <f t="shared" ref="BN162:BN184" si="182">SUM(BJ162:BM162)</f>
        <v>30</v>
      </c>
      <c r="BR162" s="17">
        <f>武将升星!P155*基础状态预期!G168+G162*(K162+1)+W162+AE162</f>
        <v>0</v>
      </c>
      <c r="BS162" s="17">
        <f>武将升星!Q155*基础状态预期!H168+H162*(L162+1)+X162+AF162</f>
        <v>504</v>
      </c>
      <c r="BT162" s="17">
        <f>武将升星!R155*基础状态预期!I168+I162*(M162+1)+Y162+AG162</f>
        <v>464.91924146480733</v>
      </c>
      <c r="BU162" s="17">
        <f>武将升星!S155*基础状态预期!J168+J162*(N162+1)+Z162+AH162</f>
        <v>108</v>
      </c>
    </row>
    <row r="163" spans="2:73" x14ac:dyDescent="0.15">
      <c r="B163" s="17">
        <v>21</v>
      </c>
      <c r="C163" s="17">
        <f t="shared" si="165"/>
        <v>24</v>
      </c>
      <c r="D163" s="17">
        <v>18</v>
      </c>
      <c r="E163" s="29">
        <f>基础状态预期!C169</f>
        <v>200</v>
      </c>
      <c r="F163" s="29">
        <f>基础状态预期!D169</f>
        <v>86.045919706798657</v>
      </c>
      <c r="G163" s="29">
        <f t="shared" si="166"/>
        <v>0</v>
      </c>
      <c r="H163" s="29">
        <f t="shared" si="167"/>
        <v>0</v>
      </c>
      <c r="I163" s="29">
        <f t="shared" si="168"/>
        <v>24</v>
      </c>
      <c r="J163" s="29">
        <f t="shared" si="169"/>
        <v>0</v>
      </c>
      <c r="K163" s="29">
        <f>武将战力价值情况!G159</f>
        <v>3</v>
      </c>
      <c r="L163" s="29">
        <f>武将战力价值情况!H159</f>
        <v>6</v>
      </c>
      <c r="M163" s="29">
        <f>武将战力价值情况!I159</f>
        <v>8</v>
      </c>
      <c r="N163" s="29">
        <f>武将战力价值情况!J159</f>
        <v>8</v>
      </c>
      <c r="O163" s="41">
        <f>MAX(同名需求(G163,求节点(武将升星!$C$104:$C$112,武将升星!E$104:E$112,K163),F$2),武将数量星级阶位验证!AA159)</f>
        <v>24</v>
      </c>
      <c r="P163" s="41">
        <f>MAX(同名需求(H163,求节点(武将升星!$C$104:$C$112,武将升星!F$104:F$112,L163),G$2),武将数量星级阶位验证!AB159)</f>
        <v>120</v>
      </c>
      <c r="Q163" s="41">
        <f>MAX(同名需求(I163,求节点(武将升星!$C$104:$C$112,武将升星!G$104:G$112,M163),H$2),武将数量星级阶位验证!AC159)</f>
        <v>704</v>
      </c>
      <c r="R163" s="41">
        <f>MAX(同名需求(J163,求节点(武将升星!$C$104:$C$112,武将升星!H$104:H$112,N163),I$2),武将数量星级阶位验证!AD159)</f>
        <v>108</v>
      </c>
      <c r="S163" s="29">
        <f>MAX(基础状态预期!P169:T169)</f>
        <v>3.4418367882719463</v>
      </c>
      <c r="T163" s="29">
        <f t="shared" si="170"/>
        <v>3.4418367882719463</v>
      </c>
      <c r="U163" s="29">
        <f t="shared" si="171"/>
        <v>3.4418367882719463</v>
      </c>
      <c r="V163" s="29">
        <f t="shared" si="172"/>
        <v>3.4418367882719463</v>
      </c>
      <c r="W163" s="41">
        <f>SUMIFS(武将进阶!F$13:F$18,武将进阶!$C$13:$C$18,"&lt;="&amp;T163)*H163+武将数量星级阶位验证!Q159</f>
        <v>0</v>
      </c>
      <c r="X163" s="41">
        <f>SUMIFS(武将进阶!G$13:G$18,武将进阶!$C$13:$C$18,"&lt;="&amp;U163)*I163+武将数量星级阶位验证!R159</f>
        <v>504</v>
      </c>
      <c r="Y163" s="41">
        <f>SUMIFS(武将进阶!H$13:H$18,武将进阶!$C$13:$C$18,"&lt;="&amp;V163)*J163+武将数量星级阶位验证!S159</f>
        <v>241.53062188895035</v>
      </c>
      <c r="Z163" s="41">
        <f>SUMIFS(武将进阶!I$13:I$18,武将进阶!$C$13:$C$18,"&lt;="&amp;W163)*K163+武将数量星级阶位验证!T159</f>
        <v>0</v>
      </c>
      <c r="AA163" s="29"/>
      <c r="AB163" s="29">
        <f>求节点(基础状态预期!$AT$17:$AT$55,基础状态预期!AW$17:AW$55,各r阵容卡情况!$F163)</f>
        <v>2</v>
      </c>
      <c r="AC163" s="29">
        <f>求节点(基础状态预期!$AT$17:$AT$55,基础状态预期!AX$17:AX$55,各r阵容卡情况!$F163)</f>
        <v>2</v>
      </c>
      <c r="AD163" s="29">
        <f>求节点(基础状态预期!$AT$17:$AT$55,基础状态预期!AY$17:AY$55,各r阵容卡情况!$F163)</f>
        <v>2</v>
      </c>
      <c r="AE163" s="41">
        <f>IF(AA163&lt;1,0,(AA163-1)*武将觉醒!E$34*G163)+武将数量星级阶位验证!V159</f>
        <v>0</v>
      </c>
      <c r="AF163" s="41">
        <f>IF(AB163&lt;1,0,(AB163-1)*武将觉醒!F$34*H163)+武将数量星级阶位验证!W159</f>
        <v>0</v>
      </c>
      <c r="AG163" s="41">
        <f>IF(AC163&lt;1,0,(AC163-1)*武将觉醒!G$34*I163)+武将数量星级阶位验证!X159</f>
        <v>24</v>
      </c>
      <c r="AH163" s="41">
        <f>IF(AD163&lt;1,0,(AD163-1)*武将觉醒!H$34*J163)+武将数量星级阶位验证!Y159</f>
        <v>0</v>
      </c>
      <c r="AJ163" s="29">
        <f>MAX(W163+AE163+G163*(K163+1)+IF(武将数量星级阶位验证!L159="",0,武将数量星级阶位验证!L159)*武将升星!P156,O163)</f>
        <v>24</v>
      </c>
      <c r="AK163" s="29">
        <f>MAX(X163+AF163+H163*(L163+1)+IF(武将数量星级阶位验证!M159="",0,武将数量星级阶位验证!M159)*武将升星!Q156,P163)</f>
        <v>504</v>
      </c>
      <c r="AL163" s="64">
        <f>MAX(Y163+AG163+I163*(M163+1)+IF(武将数量星级阶位验证!N159="",0,武将数量星级阶位验证!N159)*武将升星!R156,Q163)</f>
        <v>704</v>
      </c>
      <c r="AM163" s="41">
        <f t="shared" si="173"/>
        <v>108</v>
      </c>
      <c r="AO163" s="17">
        <f>武将数量星级阶位验证!BJ159</f>
        <v>6993.4505657806794</v>
      </c>
      <c r="AP163" s="17">
        <f>武将数量星级阶位验证!BK159</f>
        <v>3017.5042112670062</v>
      </c>
      <c r="AQ163" s="63">
        <f>武将数量星级阶位验证!BL159</f>
        <v>512.54909910087008</v>
      </c>
      <c r="AR163" s="17">
        <f>武将数量星级阶位验证!BM159</f>
        <v>166.7136916102717</v>
      </c>
      <c r="AT163" s="17">
        <f t="shared" si="174"/>
        <v>200</v>
      </c>
      <c r="AU163" s="17">
        <f t="shared" si="175"/>
        <v>86.045919706798657</v>
      </c>
      <c r="BA163" s="17">
        <v>6</v>
      </c>
      <c r="BB163" s="62">
        <f t="shared" si="176"/>
        <v>6</v>
      </c>
      <c r="BD163" s="17">
        <v>0</v>
      </c>
      <c r="BF163" s="17">
        <v>24</v>
      </c>
      <c r="BG163" s="17">
        <v>0</v>
      </c>
      <c r="BH163" s="62">
        <f t="shared" si="177"/>
        <v>24</v>
      </c>
      <c r="BJ163" s="17">
        <f t="shared" si="178"/>
        <v>0</v>
      </c>
      <c r="BK163" s="17">
        <f t="shared" si="179"/>
        <v>0</v>
      </c>
      <c r="BL163" s="17">
        <f t="shared" si="180"/>
        <v>24</v>
      </c>
      <c r="BM163" s="17">
        <f t="shared" si="181"/>
        <v>6</v>
      </c>
      <c r="BN163" s="62">
        <f t="shared" si="182"/>
        <v>30</v>
      </c>
      <c r="BR163" s="17">
        <f>武将升星!P156*基础状态预期!G169+G163*(K163+1)+W163+AE163</f>
        <v>0</v>
      </c>
      <c r="BS163" s="17">
        <f>武将升星!Q156*基础状态预期!H169+H163*(L163+1)+X163+AF163</f>
        <v>504</v>
      </c>
      <c r="BT163" s="17">
        <f>武将升星!R156*基础状态预期!I169+I163*(M163+1)+Y163+AG163</f>
        <v>481.53062188895035</v>
      </c>
      <c r="BU163" s="17">
        <f>武将升星!S156*基础状态预期!J169+J163*(N163+1)+Z163+AH163</f>
        <v>108</v>
      </c>
    </row>
    <row r="164" spans="2:73" x14ac:dyDescent="0.15">
      <c r="B164" s="17">
        <v>22</v>
      </c>
      <c r="C164" s="17">
        <f t="shared" si="165"/>
        <v>24</v>
      </c>
      <c r="D164" s="17">
        <v>19</v>
      </c>
      <c r="E164" s="29">
        <f>基础状态预期!C170</f>
        <v>260</v>
      </c>
      <c r="F164" s="29">
        <f>基础状态预期!D170</f>
        <v>90.288435080379244</v>
      </c>
      <c r="G164" s="29">
        <f t="shared" si="166"/>
        <v>0</v>
      </c>
      <c r="H164" s="29">
        <f t="shared" si="167"/>
        <v>0</v>
      </c>
      <c r="I164" s="29">
        <f t="shared" si="168"/>
        <v>24</v>
      </c>
      <c r="J164" s="29">
        <f t="shared" si="169"/>
        <v>0</v>
      </c>
      <c r="K164" s="29">
        <f>武将战力价值情况!G160</f>
        <v>3</v>
      </c>
      <c r="L164" s="29">
        <f>武将战力价值情况!H160</f>
        <v>6</v>
      </c>
      <c r="M164" s="29">
        <f>武将战力价值情况!I160</f>
        <v>8</v>
      </c>
      <c r="N164" s="29">
        <f>武将战力价值情况!J160</f>
        <v>8</v>
      </c>
      <c r="O164" s="41">
        <f>MAX(同名需求(G164,求节点(武将升星!$C$104:$C$112,武将升星!E$104:E$112,K164),F$2),武将数量星级阶位验证!AA160)</f>
        <v>24</v>
      </c>
      <c r="P164" s="41">
        <f>MAX(同名需求(H164,求节点(武将升星!$C$104:$C$112,武将升星!F$104:F$112,L164),G$2),武将数量星级阶位验证!AB160)</f>
        <v>120</v>
      </c>
      <c r="Q164" s="41">
        <f>MAX(同名需求(I164,求节点(武将升星!$C$104:$C$112,武将升星!G$104:G$112,M164),H$2),武将数量星级阶位验证!AC160)</f>
        <v>704</v>
      </c>
      <c r="R164" s="41">
        <f>MAX(同名需求(J164,求节点(武将升星!$C$104:$C$112,武将升星!H$104:H$112,N164),I$2),武将数量星级阶位验证!AD160)</f>
        <v>108</v>
      </c>
      <c r="S164" s="29">
        <f>MAX(基础状态预期!P170:T170)</f>
        <v>3.6115374032151699</v>
      </c>
      <c r="T164" s="29">
        <f t="shared" si="170"/>
        <v>3.6115374032151699</v>
      </c>
      <c r="U164" s="29">
        <f t="shared" si="171"/>
        <v>3.6115374032151699</v>
      </c>
      <c r="V164" s="29">
        <f t="shared" si="172"/>
        <v>3.6115374032151699</v>
      </c>
      <c r="W164" s="41">
        <f>SUMIFS(武将进阶!F$13:F$18,武将进阶!$C$13:$C$18,"&lt;="&amp;T164)*H164+武将数量星级阶位验证!Q160</f>
        <v>0</v>
      </c>
      <c r="X164" s="41">
        <f>SUMIFS(武将进阶!G$13:G$18,武将进阶!$C$13:$C$18,"&lt;="&amp;U164)*I164+武将数量星级阶位验证!R160</f>
        <v>504</v>
      </c>
      <c r="Y164" s="41">
        <f>SUMIFS(武将进阶!H$13:H$18,武将进阶!$C$13:$C$18,"&lt;="&amp;V164)*J164+武将数量星级阶位验证!S160</f>
        <v>272.07673257873057</v>
      </c>
      <c r="Z164" s="41">
        <f>SUMIFS(武将进阶!I$13:I$18,武将进阶!$C$13:$C$18,"&lt;="&amp;W164)*K164+武将数量星级阶位验证!T160</f>
        <v>0</v>
      </c>
      <c r="AA164" s="29"/>
      <c r="AB164" s="29">
        <f>求节点(基础状态预期!$AT$17:$AT$55,基础状态预期!AW$17:AW$55,各r阵容卡情况!$F164)</f>
        <v>2</v>
      </c>
      <c r="AC164" s="29">
        <f>求节点(基础状态预期!$AT$17:$AT$55,基础状态预期!AX$17:AX$55,各r阵容卡情况!$F164)</f>
        <v>2</v>
      </c>
      <c r="AD164" s="29">
        <f>求节点(基础状态预期!$AT$17:$AT$55,基础状态预期!AY$17:AY$55,各r阵容卡情况!$F164)</f>
        <v>2</v>
      </c>
      <c r="AE164" s="41">
        <f>IF(AA164&lt;1,0,(AA164-1)*武将觉醒!E$34*G164)+武将数量星级阶位验证!V160</f>
        <v>0</v>
      </c>
      <c r="AF164" s="41">
        <f>IF(AB164&lt;1,0,(AB164-1)*武将觉醒!F$34*H164)+武将数量星级阶位验证!W160</f>
        <v>0</v>
      </c>
      <c r="AG164" s="41">
        <f>IF(AC164&lt;1,0,(AC164-1)*武将觉醒!G$34*I164)+武将数量星级阶位验证!X160</f>
        <v>24</v>
      </c>
      <c r="AH164" s="41">
        <f>IF(AD164&lt;1,0,(AD164-1)*武将觉醒!H$34*J164)+武将数量星级阶位验证!Y160</f>
        <v>0</v>
      </c>
      <c r="AJ164" s="29">
        <f>MAX(W164+AE164+G164*(K164+1)+IF(武将数量星级阶位验证!L160="",0,武将数量星级阶位验证!L160)*武将升星!P157,O164)</f>
        <v>24</v>
      </c>
      <c r="AK164" s="29">
        <f>MAX(X164+AF164+H164*(L164+1)+IF(武将数量星级阶位验证!M160="",0,武将数量星级阶位验证!M160)*武将升星!Q157,P164)</f>
        <v>504</v>
      </c>
      <c r="AL164" s="64">
        <f>MAX(Y164+AG164+I164*(M164+1)+IF(武将数量星级阶位验证!N160="",0,武将数量星级阶位验证!N160)*武将升星!R157,Q164)</f>
        <v>704</v>
      </c>
      <c r="AM164" s="41">
        <f t="shared" si="173"/>
        <v>108</v>
      </c>
      <c r="AO164" s="17">
        <f>武将数量星级阶位验证!BJ160</f>
        <v>8634.3294303468683</v>
      </c>
      <c r="AP164" s="17">
        <f>武将数量星级阶位验证!BK160</f>
        <v>3725.276570491973</v>
      </c>
      <c r="AQ164" s="63">
        <f>武将数量星级阶位验证!BL160</f>
        <v>617.21495298461502</v>
      </c>
      <c r="AR164" s="17">
        <f>武将数量星级阶位验证!BM160</f>
        <v>213.0466185521442</v>
      </c>
      <c r="AT164" s="17">
        <f t="shared" si="174"/>
        <v>260</v>
      </c>
      <c r="AU164" s="17">
        <f t="shared" si="175"/>
        <v>90.288435080379244</v>
      </c>
      <c r="BA164" s="17">
        <v>6</v>
      </c>
      <c r="BB164" s="62">
        <f t="shared" si="176"/>
        <v>6</v>
      </c>
      <c r="BD164" s="17">
        <v>0</v>
      </c>
      <c r="BF164" s="17">
        <v>24</v>
      </c>
      <c r="BG164" s="17">
        <v>0</v>
      </c>
      <c r="BH164" s="62">
        <f t="shared" si="177"/>
        <v>24</v>
      </c>
      <c r="BJ164" s="17">
        <f t="shared" si="178"/>
        <v>0</v>
      </c>
      <c r="BK164" s="17">
        <f t="shared" si="179"/>
        <v>0</v>
      </c>
      <c r="BL164" s="17">
        <f t="shared" si="180"/>
        <v>24</v>
      </c>
      <c r="BM164" s="17">
        <f t="shared" si="181"/>
        <v>6</v>
      </c>
      <c r="BN164" s="62">
        <f t="shared" si="182"/>
        <v>30</v>
      </c>
      <c r="BR164" s="17">
        <f>武将升星!P157*基础状态预期!G170+G164*(K164+1)+W164+AE164</f>
        <v>0</v>
      </c>
      <c r="BS164" s="17">
        <f>武将升星!Q157*基础状态预期!H170+H164*(L164+1)+X164+AF164</f>
        <v>504</v>
      </c>
      <c r="BT164" s="17">
        <f>武将升星!R157*基础状态预期!I170+I164*(M164+1)+Y164+AG164</f>
        <v>512.07673257873057</v>
      </c>
      <c r="BU164" s="17">
        <f>武将升星!S157*基础状态预期!J170+J164*(N164+1)+Z164+AH164</f>
        <v>108</v>
      </c>
    </row>
    <row r="165" spans="2:73" x14ac:dyDescent="0.15">
      <c r="B165" s="17">
        <v>23</v>
      </c>
      <c r="C165" s="17">
        <f t="shared" si="165"/>
        <v>24</v>
      </c>
      <c r="D165" s="17">
        <v>20</v>
      </c>
      <c r="E165" s="29">
        <f>基础状态预期!C171</f>
        <v>320</v>
      </c>
      <c r="F165" s="29">
        <f>基础状态预期!D171</f>
        <v>93.400072017025948</v>
      </c>
      <c r="G165" s="29">
        <f t="shared" si="166"/>
        <v>0</v>
      </c>
      <c r="H165" s="29">
        <f t="shared" si="167"/>
        <v>0</v>
      </c>
      <c r="I165" s="29">
        <f t="shared" si="168"/>
        <v>24</v>
      </c>
      <c r="J165" s="29">
        <f t="shared" si="169"/>
        <v>0</v>
      </c>
      <c r="K165" s="29">
        <f>武将战力价值情况!G161</f>
        <v>3</v>
      </c>
      <c r="L165" s="29">
        <f>武将战力价值情况!H161</f>
        <v>6</v>
      </c>
      <c r="M165" s="29">
        <f>武将战力价值情况!I161</f>
        <v>8</v>
      </c>
      <c r="N165" s="29">
        <f>武将战力价值情况!J161</f>
        <v>8</v>
      </c>
      <c r="O165" s="41">
        <f>MAX(同名需求(G165,求节点(武将升星!$C$104:$C$112,武将升星!E$104:E$112,K165),F$2),武将数量星级阶位验证!AA161)</f>
        <v>24</v>
      </c>
      <c r="P165" s="41">
        <f>MAX(同名需求(H165,求节点(武将升星!$C$104:$C$112,武将升星!F$104:F$112,L165),G$2),武将数量星级阶位验证!AB161)</f>
        <v>120</v>
      </c>
      <c r="Q165" s="41">
        <f>MAX(同名需求(I165,求节点(武将升星!$C$104:$C$112,武将升星!G$104:G$112,M165),H$2),武将数量星级阶位验证!AC161)</f>
        <v>704</v>
      </c>
      <c r="R165" s="41">
        <f>MAX(同名需求(J165,求节点(武将升星!$C$104:$C$112,武将升星!H$104:H$112,N165),I$2),武将数量星级阶位验证!AD161)</f>
        <v>108</v>
      </c>
      <c r="S165" s="29">
        <f>MAX(基础状态预期!P171:T171)</f>
        <v>3.7360028806810379</v>
      </c>
      <c r="T165" s="29">
        <f t="shared" si="170"/>
        <v>3.7360028806810379</v>
      </c>
      <c r="U165" s="29">
        <f t="shared" si="171"/>
        <v>3.7360028806810379</v>
      </c>
      <c r="V165" s="29">
        <f t="shared" si="172"/>
        <v>3.7360028806810379</v>
      </c>
      <c r="W165" s="41">
        <f>SUMIFS(武将进阶!F$13:F$18,武将进阶!$C$13:$C$18,"&lt;="&amp;T165)*H165+武将数量星级阶位验证!Q161</f>
        <v>0</v>
      </c>
      <c r="X165" s="41">
        <f>SUMIFS(武将进阶!G$13:G$18,武将进阶!$C$13:$C$18,"&lt;="&amp;U165)*I165+武将数量星级阶位验证!R161</f>
        <v>504</v>
      </c>
      <c r="Y165" s="41">
        <f>SUMIFS(武将进阶!H$13:H$18,武将进阶!$C$13:$C$18,"&lt;="&amp;V165)*J165+武将数量星级阶位验证!S161</f>
        <v>294.48051852258681</v>
      </c>
      <c r="Z165" s="41">
        <f>SUMIFS(武将进阶!I$13:I$18,武将进阶!$C$13:$C$18,"&lt;="&amp;W165)*K165+武将数量星级阶位验证!T161</f>
        <v>0</v>
      </c>
      <c r="AA165" s="29"/>
      <c r="AB165" s="29">
        <f>求节点(基础状态预期!$AT$17:$AT$55,基础状态预期!AW$17:AW$55,各r阵容卡情况!$F165)</f>
        <v>2</v>
      </c>
      <c r="AC165" s="29">
        <f>求节点(基础状态预期!$AT$17:$AT$55,基础状态预期!AX$17:AX$55,各r阵容卡情况!$F165)</f>
        <v>2</v>
      </c>
      <c r="AD165" s="29">
        <f>求节点(基础状态预期!$AT$17:$AT$55,基础状态预期!AY$17:AY$55,各r阵容卡情况!$F165)</f>
        <v>2</v>
      </c>
      <c r="AE165" s="41">
        <f>IF(AA165&lt;1,0,(AA165-1)*武将觉醒!E$34*G165)+武将数量星级阶位验证!V161</f>
        <v>0</v>
      </c>
      <c r="AF165" s="41">
        <f>IF(AB165&lt;1,0,(AB165-1)*武将觉醒!F$34*H165)+武将数量星级阶位验证!W161</f>
        <v>0</v>
      </c>
      <c r="AG165" s="41">
        <f>IF(AC165&lt;1,0,(AC165-1)*武将觉醒!G$34*I165)+武将数量星级阶位验证!X161</f>
        <v>24</v>
      </c>
      <c r="AH165" s="41">
        <f>IF(AD165&lt;1,0,(AD165-1)*武将觉醒!H$34*J165)+武将数量星级阶位验证!Y161</f>
        <v>0</v>
      </c>
      <c r="AJ165" s="29">
        <f>MAX(W165+AE165+G165*(K165+1)+IF(武将数量星级阶位验证!L161="",0,武将数量星级阶位验证!L161)*武将升星!P158,O165)</f>
        <v>24</v>
      </c>
      <c r="AK165" s="29">
        <f>MAX(X165+AF165+H165*(L165+1)+IF(武将数量星级阶位验证!M161="",0,武将数量星级阶位验证!M161)*武将升星!Q158,P165)</f>
        <v>504</v>
      </c>
      <c r="AL165" s="64">
        <f>MAX(Y165+AG165+I165*(M165+1)+IF(武将数量星级阶位验证!N161="",0,武将数量星级阶位验证!N161)*武将升星!R158,Q165)</f>
        <v>704</v>
      </c>
      <c r="AM165" s="41">
        <f t="shared" si="173"/>
        <v>108</v>
      </c>
      <c r="AO165" s="17">
        <f>武将数量星级阶位验证!BJ161</f>
        <v>10253.403346410742</v>
      </c>
      <c r="AP165" s="17">
        <f>武将数量星级阶位验证!BK161</f>
        <v>4421.2624710670407</v>
      </c>
      <c r="AQ165" s="63">
        <f>武将数量星级阶位验证!BL161</f>
        <v>720.11283807087511</v>
      </c>
      <c r="AR165" s="17">
        <f>武将数量星级阶位验证!BM161</f>
        <v>258.49556109527424</v>
      </c>
      <c r="AT165" s="17">
        <f t="shared" si="174"/>
        <v>320</v>
      </c>
      <c r="AU165" s="17">
        <f t="shared" si="175"/>
        <v>93.400072017025948</v>
      </c>
      <c r="BA165" s="17">
        <v>6</v>
      </c>
      <c r="BB165" s="62">
        <f t="shared" si="176"/>
        <v>6</v>
      </c>
      <c r="BD165" s="17">
        <v>0</v>
      </c>
      <c r="BF165" s="17">
        <v>24</v>
      </c>
      <c r="BG165" s="17">
        <v>0</v>
      </c>
      <c r="BH165" s="62">
        <f t="shared" si="177"/>
        <v>24</v>
      </c>
      <c r="BJ165" s="17">
        <f t="shared" si="178"/>
        <v>0</v>
      </c>
      <c r="BK165" s="17">
        <f t="shared" si="179"/>
        <v>0</v>
      </c>
      <c r="BL165" s="17">
        <f t="shared" si="180"/>
        <v>24</v>
      </c>
      <c r="BM165" s="17">
        <f t="shared" si="181"/>
        <v>6</v>
      </c>
      <c r="BN165" s="62">
        <f t="shared" si="182"/>
        <v>30</v>
      </c>
      <c r="BR165" s="17">
        <f>武将升星!P158*基础状态预期!G171+G165*(K165+1)+W165+AE165</f>
        <v>0</v>
      </c>
      <c r="BS165" s="17">
        <f>武将升星!Q158*基础状态预期!H171+H165*(L165+1)+X165+AF165</f>
        <v>504</v>
      </c>
      <c r="BT165" s="17">
        <f>武将升星!R158*基础状态预期!I171+I165*(M165+1)+Y165+AG165</f>
        <v>534.48051852258686</v>
      </c>
      <c r="BU165" s="17">
        <f>武将升星!S158*基础状态预期!J171+J165*(N165+1)+Z165+AH165</f>
        <v>108</v>
      </c>
    </row>
    <row r="166" spans="2:73" x14ac:dyDescent="0.15">
      <c r="B166" s="17">
        <v>24</v>
      </c>
      <c r="C166" s="17">
        <f t="shared" si="165"/>
        <v>24</v>
      </c>
      <c r="D166" s="17">
        <v>21</v>
      </c>
      <c r="E166" s="29">
        <f>基础状态预期!C172</f>
        <v>410</v>
      </c>
      <c r="F166" s="29">
        <f>基础状态预期!D172</f>
        <v>97.006001686863456</v>
      </c>
      <c r="G166" s="29">
        <f t="shared" si="166"/>
        <v>0</v>
      </c>
      <c r="H166" s="29">
        <f t="shared" si="167"/>
        <v>0</v>
      </c>
      <c r="I166" s="29">
        <f t="shared" si="168"/>
        <v>24</v>
      </c>
      <c r="J166" s="29">
        <f t="shared" si="169"/>
        <v>0</v>
      </c>
      <c r="K166" s="29">
        <f>武将战力价值情况!G162</f>
        <v>3</v>
      </c>
      <c r="L166" s="29">
        <f>武将战力价值情况!H162</f>
        <v>6</v>
      </c>
      <c r="M166" s="29">
        <f>武将战力价值情况!I162</f>
        <v>8</v>
      </c>
      <c r="N166" s="29">
        <f>武将战力价值情况!J162</f>
        <v>8</v>
      </c>
      <c r="O166" s="41">
        <f>MAX(同名需求(G166,求节点(武将升星!$C$104:$C$112,武将升星!E$104:E$112,K166),F$2),武将数量星级阶位验证!AA162)</f>
        <v>24</v>
      </c>
      <c r="P166" s="41">
        <f>MAX(同名需求(H166,求节点(武将升星!$C$104:$C$112,武将升星!F$104:F$112,L166),G$2),武将数量星级阶位验证!AB162)</f>
        <v>120</v>
      </c>
      <c r="Q166" s="41">
        <f>MAX(同名需求(I166,求节点(武将升星!$C$104:$C$112,武将升星!G$104:G$112,M166),H$2),武将数量星级阶位验证!AC162)</f>
        <v>704</v>
      </c>
      <c r="R166" s="41">
        <f>MAX(同名需求(J166,求节点(武将升星!$C$104:$C$112,武将升星!H$104:H$112,N166),I$2),武将数量星级阶位验证!AD162)</f>
        <v>108</v>
      </c>
      <c r="S166" s="29">
        <f>MAX(基础状态预期!P172:T172)</f>
        <v>3.8802400674745385</v>
      </c>
      <c r="T166" s="29">
        <f t="shared" si="170"/>
        <v>3.8802400674745385</v>
      </c>
      <c r="U166" s="29">
        <f t="shared" si="171"/>
        <v>3.8802400674745385</v>
      </c>
      <c r="V166" s="29">
        <f t="shared" si="172"/>
        <v>3.8802400674745385</v>
      </c>
      <c r="W166" s="41">
        <f>SUMIFS(武将进阶!F$13:F$18,武将进阶!$C$13:$C$18,"&lt;="&amp;T166)*H166+武将数量星级阶位验证!Q162</f>
        <v>0</v>
      </c>
      <c r="X166" s="41">
        <f>SUMIFS(武将进阶!G$13:G$18,武将进阶!$C$13:$C$18,"&lt;="&amp;U166)*I166+武将数量星级阶位验证!R162</f>
        <v>504</v>
      </c>
      <c r="Y166" s="41">
        <f>SUMIFS(武将进阶!H$13:H$18,武将进阶!$C$13:$C$18,"&lt;="&amp;V166)*J166+武将数量星级阶位验证!S162</f>
        <v>320.44321214541696</v>
      </c>
      <c r="Z166" s="41">
        <f>SUMIFS(武将进阶!I$13:I$18,武将进阶!$C$13:$C$18,"&lt;="&amp;W166)*K166+武将数量星级阶位验证!T162</f>
        <v>0</v>
      </c>
      <c r="AA166" s="29"/>
      <c r="AB166" s="29">
        <f>求节点(基础状态预期!$AT$17:$AT$55,基础状态预期!AW$17:AW$55,各r阵容卡情况!$F166)</f>
        <v>2</v>
      </c>
      <c r="AC166" s="29">
        <f>求节点(基础状态预期!$AT$17:$AT$55,基础状态预期!AX$17:AX$55,各r阵容卡情况!$F166)</f>
        <v>2</v>
      </c>
      <c r="AD166" s="29">
        <f>求节点(基础状态预期!$AT$17:$AT$55,基础状态预期!AY$17:AY$55,各r阵容卡情况!$F166)</f>
        <v>2</v>
      </c>
      <c r="AE166" s="41">
        <f>IF(AA166&lt;1,0,(AA166-1)*武将觉醒!E$34*G166)+武将数量星级阶位验证!V162</f>
        <v>0</v>
      </c>
      <c r="AF166" s="41">
        <f>IF(AB166&lt;1,0,(AB166-1)*武将觉醒!F$34*H166)+武将数量星级阶位验证!W162</f>
        <v>0</v>
      </c>
      <c r="AG166" s="41">
        <f>IF(AC166&lt;1,0,(AC166-1)*武将觉醒!G$34*I166)+武将数量星级阶位验证!X162</f>
        <v>24</v>
      </c>
      <c r="AH166" s="41">
        <f>IF(AD166&lt;1,0,(AD166-1)*武将觉醒!H$34*J166)+武将数量星级阶位验证!Y162</f>
        <v>0</v>
      </c>
      <c r="AJ166" s="29">
        <f>MAX(W166+AE166+G166*(K166+1)+IF(武将数量星级阶位验证!L162="",0,武将数量星级阶位验证!L162)*武将升星!P159,O166)</f>
        <v>24</v>
      </c>
      <c r="AK166" s="29">
        <f>MAX(X166+AF166+H166*(L166+1)+IF(武将数量星级阶位验证!M162="",0,武将数量星级阶位验证!M162)*武将升星!Q159,P166)</f>
        <v>504</v>
      </c>
      <c r="AL166" s="64">
        <f>MAX(Y166+AG166+I166*(M166+1)+IF(武将数量星级阶位验证!N162="",0,武将数量星级阶位验证!N162)*武将升星!R159,Q166)</f>
        <v>704</v>
      </c>
      <c r="AM166" s="41">
        <f t="shared" si="173"/>
        <v>108</v>
      </c>
      <c r="AO166" s="17">
        <f>武将数量星级阶位验证!BJ162</f>
        <v>12580.297948739515</v>
      </c>
      <c r="AP166" s="17">
        <f>武将数量星级阶位验证!BK162</f>
        <v>5410.2595534069169</v>
      </c>
      <c r="AQ166" s="63">
        <f>武将数量星级阶位验证!BL162</f>
        <v>866.21240042185661</v>
      </c>
      <c r="AR166" s="17">
        <f>武将数量星级阶位验证!BM162</f>
        <v>322.54534227076499</v>
      </c>
      <c r="AT166" s="17">
        <f t="shared" si="174"/>
        <v>410</v>
      </c>
      <c r="AU166" s="17">
        <f t="shared" si="175"/>
        <v>97.006001686863456</v>
      </c>
      <c r="BA166" s="17">
        <v>6</v>
      </c>
      <c r="BB166" s="62">
        <f t="shared" si="176"/>
        <v>6</v>
      </c>
      <c r="BD166" s="17">
        <v>0</v>
      </c>
      <c r="BF166" s="17">
        <v>24</v>
      </c>
      <c r="BG166" s="17">
        <v>0</v>
      </c>
      <c r="BH166" s="62">
        <f t="shared" si="177"/>
        <v>24</v>
      </c>
      <c r="BJ166" s="17">
        <f t="shared" si="178"/>
        <v>0</v>
      </c>
      <c r="BK166" s="17">
        <f t="shared" si="179"/>
        <v>0</v>
      </c>
      <c r="BL166" s="17">
        <f t="shared" si="180"/>
        <v>24</v>
      </c>
      <c r="BM166" s="17">
        <f t="shared" si="181"/>
        <v>6</v>
      </c>
      <c r="BN166" s="62">
        <f t="shared" si="182"/>
        <v>30</v>
      </c>
      <c r="BR166" s="17">
        <f>武将升星!P159*基础状态预期!G172+G166*(K166+1)+W166+AE166</f>
        <v>0</v>
      </c>
      <c r="BS166" s="17">
        <f>武将升星!Q159*基础状态预期!H172+H166*(L166+1)+X166+AF166</f>
        <v>504</v>
      </c>
      <c r="BT166" s="17">
        <f>武将升星!R159*基础状态预期!I172+I166*(M166+1)+Y166+AG166</f>
        <v>560.44321214541696</v>
      </c>
      <c r="BU166" s="17">
        <f>武将升星!S159*基础状态预期!J172+J166*(N166+1)+Z166+AH166</f>
        <v>108</v>
      </c>
    </row>
    <row r="167" spans="2:73" x14ac:dyDescent="0.15">
      <c r="B167" s="17">
        <v>25</v>
      </c>
      <c r="C167" s="17">
        <f t="shared" si="165"/>
        <v>24</v>
      </c>
      <c r="D167" s="17">
        <v>22</v>
      </c>
      <c r="E167" s="29">
        <f>基础状态预期!C173</f>
        <v>530</v>
      </c>
      <c r="F167" s="29">
        <f>基础状态预期!D173</f>
        <v>100.64473135315967</v>
      </c>
      <c r="G167" s="29">
        <f t="shared" si="166"/>
        <v>0</v>
      </c>
      <c r="H167" s="29">
        <f t="shared" si="167"/>
        <v>0</v>
      </c>
      <c r="I167" s="29">
        <f t="shared" si="168"/>
        <v>24</v>
      </c>
      <c r="J167" s="29">
        <f t="shared" si="169"/>
        <v>0</v>
      </c>
      <c r="K167" s="29">
        <f>武将战力价值情况!G163</f>
        <v>3</v>
      </c>
      <c r="L167" s="29">
        <f>武将战力价值情况!H163</f>
        <v>6</v>
      </c>
      <c r="M167" s="29">
        <f>武将战力价值情况!I163</f>
        <v>8</v>
      </c>
      <c r="N167" s="29">
        <f>武将战力价值情况!J163</f>
        <v>8</v>
      </c>
      <c r="O167" s="41">
        <f>MAX(同名需求(G167,求节点(武将升星!$C$104:$C$112,武将升星!E$104:E$112,K167),F$2),武将数量星级阶位验证!AA163)</f>
        <v>24</v>
      </c>
      <c r="P167" s="41">
        <f>MAX(同名需求(H167,求节点(武将升星!$C$104:$C$112,武将升星!F$104:F$112,L167),G$2),武将数量星级阶位验证!AB163)</f>
        <v>120</v>
      </c>
      <c r="Q167" s="41">
        <f>MAX(同名需求(I167,求节点(武将升星!$C$104:$C$112,武将升星!G$104:G$112,M167),H$2),武将数量星级阶位验证!AC163)</f>
        <v>704</v>
      </c>
      <c r="R167" s="41">
        <f>MAX(同名需求(J167,求节点(武将升星!$C$104:$C$112,武将升星!H$104:H$112,N167),I$2),武将数量星级阶位验证!AD163)</f>
        <v>108</v>
      </c>
      <c r="S167" s="29">
        <f>MAX(基础状态预期!P173:T173)</f>
        <v>4.0257892541263871</v>
      </c>
      <c r="T167" s="29">
        <f t="shared" si="170"/>
        <v>4.0257892541263871</v>
      </c>
      <c r="U167" s="29">
        <f t="shared" si="171"/>
        <v>4.0257892541263871</v>
      </c>
      <c r="V167" s="29">
        <f t="shared" si="172"/>
        <v>4.0257892541263871</v>
      </c>
      <c r="W167" s="41">
        <f>SUMIFS(武将进阶!F$13:F$18,武将进阶!$C$13:$C$18,"&lt;="&amp;T167)*H167+武将数量星级阶位验证!Q163</f>
        <v>0</v>
      </c>
      <c r="X167" s="41">
        <f>SUMIFS(武将进阶!G$13:G$18,武将进阶!$C$13:$C$18,"&lt;="&amp;U167)*I167+武将数量星级阶位验证!R163</f>
        <v>984</v>
      </c>
      <c r="Y167" s="41">
        <f>SUMIFS(武将进阶!H$13:H$18,武将进阶!$C$13:$C$18,"&lt;="&amp;V167)*J167+武将数量星级阶位验证!S163</f>
        <v>349.73677623791616</v>
      </c>
      <c r="Z167" s="41">
        <f>SUMIFS(武将进阶!I$13:I$18,武将进阶!$C$13:$C$18,"&lt;="&amp;W167)*K167+武将数量星级阶位验证!T163</f>
        <v>0</v>
      </c>
      <c r="AA167" s="29"/>
      <c r="AB167" s="29">
        <f>求节点(基础状态预期!$AT$17:$AT$55,基础状态预期!AW$17:AW$55,各r阵容卡情况!$F167)</f>
        <v>2</v>
      </c>
      <c r="AC167" s="29">
        <f>求节点(基础状态预期!$AT$17:$AT$55,基础状态预期!AX$17:AX$55,各r阵容卡情况!$F167)</f>
        <v>2</v>
      </c>
      <c r="AD167" s="29">
        <f>求节点(基础状态预期!$AT$17:$AT$55,基础状态预期!AY$17:AY$55,各r阵容卡情况!$F167)</f>
        <v>2</v>
      </c>
      <c r="AE167" s="41">
        <f>IF(AA167&lt;1,0,(AA167-1)*武将觉醒!E$34*G167)+武将数量星级阶位验证!V163</f>
        <v>0</v>
      </c>
      <c r="AF167" s="41">
        <f>IF(AB167&lt;1,0,(AB167-1)*武将觉醒!F$34*H167)+武将数量星级阶位验证!W163</f>
        <v>0</v>
      </c>
      <c r="AG167" s="41">
        <f>IF(AC167&lt;1,0,(AC167-1)*武将觉醒!G$34*I167)+武将数量星级阶位验证!X163</f>
        <v>24</v>
      </c>
      <c r="AH167" s="41">
        <f>IF(AD167&lt;1,0,(AD167-1)*武将觉醒!H$34*J167)+武将数量星级阶位验证!Y163</f>
        <v>0</v>
      </c>
      <c r="AJ167" s="29">
        <f>MAX(W167+AE167+G167*(K167+1)+IF(武将数量星级阶位验证!L163="",0,武将数量星级阶位验证!L163)*武将升星!P160,O167)</f>
        <v>24</v>
      </c>
      <c r="AK167" s="29">
        <f>MAX(X167+AF167+H167*(L167+1)+IF(武将数量星级阶位验证!M163="",0,武将数量星级阶位验证!M163)*武将升星!Q160,P167)</f>
        <v>984</v>
      </c>
      <c r="AL167" s="64">
        <f>MAX(Y167+AG167+I167*(M167+1)+IF(武将数量星级阶位验证!N163="",0,武将数量星级阶位验证!N163)*武将升星!R160,Q167)</f>
        <v>704</v>
      </c>
      <c r="AM167" s="41">
        <f t="shared" si="173"/>
        <v>108</v>
      </c>
      <c r="AO167" s="17">
        <f>武将数量星级阶位验证!BJ163</f>
        <v>15593.328396694807</v>
      </c>
      <c r="AP167" s="17">
        <f>武将数量星级阶位验证!BK163</f>
        <v>6680.5462820313987</v>
      </c>
      <c r="AQ167" s="63">
        <f>武将数量星级阶位验证!BL163</f>
        <v>1053.7554097155289</v>
      </c>
      <c r="AR167" s="17">
        <f>武将数量星级阶位验证!BM163</f>
        <v>404.31684691760114</v>
      </c>
      <c r="AT167" s="17">
        <f t="shared" si="174"/>
        <v>530</v>
      </c>
      <c r="AU167" s="17">
        <f t="shared" si="175"/>
        <v>100.64473135315967</v>
      </c>
      <c r="BA167" s="17">
        <v>6</v>
      </c>
      <c r="BB167" s="62">
        <f t="shared" si="176"/>
        <v>6</v>
      </c>
      <c r="BD167" s="17">
        <v>0</v>
      </c>
      <c r="BF167" s="17">
        <v>24</v>
      </c>
      <c r="BG167" s="17">
        <v>0</v>
      </c>
      <c r="BH167" s="62">
        <f t="shared" si="177"/>
        <v>24</v>
      </c>
      <c r="BJ167" s="17">
        <f t="shared" si="178"/>
        <v>0</v>
      </c>
      <c r="BK167" s="17">
        <f t="shared" si="179"/>
        <v>0</v>
      </c>
      <c r="BL167" s="17">
        <f t="shared" si="180"/>
        <v>24</v>
      </c>
      <c r="BM167" s="17">
        <f t="shared" si="181"/>
        <v>6</v>
      </c>
      <c r="BN167" s="62">
        <f t="shared" si="182"/>
        <v>30</v>
      </c>
      <c r="BR167" s="17">
        <f>武将升星!P160*基础状态预期!G173+G167*(K167+1)+W167+AE167</f>
        <v>0</v>
      </c>
      <c r="BS167" s="17">
        <f>武将升星!Q160*基础状态预期!H173+H167*(L167+1)+X167+AF167</f>
        <v>984</v>
      </c>
      <c r="BT167" s="17">
        <f>武将升星!R160*基础状态预期!I173+I167*(M167+1)+Y167+AG167</f>
        <v>589.73677623791616</v>
      </c>
      <c r="BU167" s="17">
        <f>武将升星!S160*基础状态预期!J173+J167*(N167+1)+Z167+AH167</f>
        <v>108</v>
      </c>
    </row>
    <row r="168" spans="2:73" x14ac:dyDescent="0.15">
      <c r="B168" s="17">
        <v>26</v>
      </c>
      <c r="C168" s="17">
        <f t="shared" si="165"/>
        <v>24</v>
      </c>
      <c r="D168" s="17">
        <v>23</v>
      </c>
      <c r="E168" s="29">
        <f>基础状态预期!C174</f>
        <v>680</v>
      </c>
      <c r="F168" s="29">
        <f>基础状态预期!D174</f>
        <v>104.30731379164318</v>
      </c>
      <c r="G168" s="29">
        <f t="shared" si="166"/>
        <v>0</v>
      </c>
      <c r="H168" s="29">
        <f t="shared" si="167"/>
        <v>0</v>
      </c>
      <c r="I168" s="29">
        <f t="shared" si="168"/>
        <v>24</v>
      </c>
      <c r="J168" s="29">
        <f t="shared" si="169"/>
        <v>0</v>
      </c>
      <c r="K168" s="29">
        <f>武将战力价值情况!G164</f>
        <v>3</v>
      </c>
      <c r="L168" s="29">
        <f>武将战力价值情况!H164</f>
        <v>6</v>
      </c>
      <c r="M168" s="29">
        <f>武将战力价值情况!I164</f>
        <v>8</v>
      </c>
      <c r="N168" s="29">
        <f>武将战力价值情况!J164</f>
        <v>8</v>
      </c>
      <c r="O168" s="41">
        <f>MAX(同名需求(G168,求节点(武将升星!$C$104:$C$112,武将升星!E$104:E$112,K168),F$2),武将数量星级阶位验证!AA164)</f>
        <v>24</v>
      </c>
      <c r="P168" s="41">
        <f>MAX(同名需求(H168,求节点(武将升星!$C$104:$C$112,武将升星!F$104:F$112,L168),G$2),武将数量星级阶位验证!AB164)</f>
        <v>120</v>
      </c>
      <c r="Q168" s="41">
        <f>MAX(同名需求(I168,求节点(武将升星!$C$104:$C$112,武将升星!G$104:G$112,M168),H$2),武将数量星级阶位验证!AC164)</f>
        <v>704</v>
      </c>
      <c r="R168" s="41">
        <f>MAX(同名需求(J168,求节点(武将升星!$C$104:$C$112,武将升星!H$104:H$112,N168),I$2),武将数量星级阶位验证!AD164)</f>
        <v>108</v>
      </c>
      <c r="S168" s="29">
        <f>MAX(基础状态预期!P174:T174)</f>
        <v>4.172292551665727</v>
      </c>
      <c r="T168" s="29">
        <f t="shared" si="170"/>
        <v>4.172292551665727</v>
      </c>
      <c r="U168" s="29">
        <f t="shared" si="171"/>
        <v>4.172292551665727</v>
      </c>
      <c r="V168" s="29">
        <f t="shared" si="172"/>
        <v>4.172292551665727</v>
      </c>
      <c r="W168" s="41">
        <f>SUMIFS(武将进阶!F$13:F$18,武将进阶!$C$13:$C$18,"&lt;="&amp;T168)*H168+武将数量星级阶位验证!Q164</f>
        <v>0</v>
      </c>
      <c r="X168" s="41">
        <f>SUMIFS(武将进阶!G$13:G$18,武将进阶!$C$13:$C$18,"&lt;="&amp;U168)*I168+武将数量星级阶位验证!R164</f>
        <v>984</v>
      </c>
      <c r="Y168" s="41">
        <f>SUMIFS(武将进阶!H$13:H$18,武将进阶!$C$13:$C$18,"&lt;="&amp;V168)*J168+武将数量星级阶位验证!S164</f>
        <v>393.68776549971813</v>
      </c>
      <c r="Z168" s="41">
        <f>SUMIFS(武将进阶!I$13:I$18,武将进阶!$C$13:$C$18,"&lt;="&amp;W168)*K168+武将数量星级阶位验证!T164</f>
        <v>0</v>
      </c>
      <c r="AA168" s="29"/>
      <c r="AB168" s="29">
        <f>求节点(基础状态预期!$AT$17:$AT$55,基础状态预期!AW$17:AW$55,各r阵容卡情况!$F168)</f>
        <v>2</v>
      </c>
      <c r="AC168" s="29">
        <f>求节点(基础状态预期!$AT$17:$AT$55,基础状态预期!AX$17:AX$55,各r阵容卡情况!$F168)</f>
        <v>2</v>
      </c>
      <c r="AD168" s="29">
        <f>求节点(基础状态预期!$AT$17:$AT$55,基础状态预期!AY$17:AY$55,各r阵容卡情况!$F168)</f>
        <v>2</v>
      </c>
      <c r="AE168" s="41">
        <f>IF(AA168&lt;1,0,(AA168-1)*武将觉醒!E$34*G168)+武将数量星级阶位验证!V164</f>
        <v>0</v>
      </c>
      <c r="AF168" s="41">
        <f>IF(AB168&lt;1,0,(AB168-1)*武将觉醒!F$34*H168)+武将数量星级阶位验证!W164</f>
        <v>0</v>
      </c>
      <c r="AG168" s="41">
        <f>IF(AC168&lt;1,0,(AC168-1)*武将觉醒!G$34*I168)+武将数量星级阶位验证!X164</f>
        <v>24</v>
      </c>
      <c r="AH168" s="41">
        <f>IF(AD168&lt;1,0,(AD168-1)*武将觉醒!H$34*J168)+武将数量星级阶位验证!Y164</f>
        <v>0</v>
      </c>
      <c r="AJ168" s="29">
        <f>MAX(W168+AE168+G168*(K168+1)+IF(武将数量星级阶位验证!L164="",0,武将数量星级阶位验证!L164)*武将升星!P161,O168)</f>
        <v>24</v>
      </c>
      <c r="AK168" s="29">
        <f>MAX(X168+AF168+H168*(L168+1)+IF(武将数量星级阶位验证!M164="",0,武将数量星级阶位验证!M164)*武将升星!Q161,P168)</f>
        <v>984</v>
      </c>
      <c r="AL168" s="64">
        <f>MAX(Y168+AG168+I168*(M168+1)+IF(武将数量星级阶位验证!N164="",0,武将数量星级阶位验证!N164)*武将升星!R161,Q168)</f>
        <v>704</v>
      </c>
      <c r="AM168" s="41">
        <f t="shared" si="173"/>
        <v>108</v>
      </c>
      <c r="AO168" s="17">
        <f>武将数量星级阶位验证!BJ164</f>
        <v>19628.563854055777</v>
      </c>
      <c r="AP168" s="17">
        <f>武将数量星级阶位验证!BK164</f>
        <v>8413.7816643886799</v>
      </c>
      <c r="AQ168" s="63">
        <f>武将数量星级阶位验证!BL164</f>
        <v>1309.990717069121</v>
      </c>
      <c r="AR168" s="17">
        <f>武将数量星级阶位验证!BM164</f>
        <v>517.43450059439726</v>
      </c>
      <c r="AT168" s="17">
        <f t="shared" si="174"/>
        <v>680</v>
      </c>
      <c r="AU168" s="17">
        <f t="shared" si="175"/>
        <v>104.30731379164318</v>
      </c>
      <c r="BA168" s="17">
        <v>6</v>
      </c>
      <c r="BB168" s="62">
        <f t="shared" si="176"/>
        <v>6</v>
      </c>
      <c r="BD168" s="17">
        <v>0</v>
      </c>
      <c r="BF168" s="17">
        <v>24</v>
      </c>
      <c r="BG168" s="17">
        <v>0</v>
      </c>
      <c r="BH168" s="62">
        <f t="shared" si="177"/>
        <v>24</v>
      </c>
      <c r="BJ168" s="17">
        <f t="shared" si="178"/>
        <v>0</v>
      </c>
      <c r="BK168" s="17">
        <f t="shared" si="179"/>
        <v>0</v>
      </c>
      <c r="BL168" s="17">
        <f t="shared" si="180"/>
        <v>24</v>
      </c>
      <c r="BM168" s="17">
        <f t="shared" si="181"/>
        <v>6</v>
      </c>
      <c r="BN168" s="62">
        <f t="shared" si="182"/>
        <v>30</v>
      </c>
      <c r="BR168" s="17">
        <f>武将升星!P161*基础状态预期!G174+G168*(K168+1)+W168+AE168</f>
        <v>0</v>
      </c>
      <c r="BS168" s="17">
        <f>武将升星!Q161*基础状态预期!H174+H168*(L168+1)+X168+AF168</f>
        <v>984</v>
      </c>
      <c r="BT168" s="17">
        <f>武将升星!R161*基础状态预期!I174+I168*(M168+1)+Y168+AG168</f>
        <v>633.68776549971813</v>
      </c>
      <c r="BU168" s="17">
        <f>武将升星!S161*基础状态预期!J174+J168*(N168+1)+Z168+AH168</f>
        <v>108</v>
      </c>
    </row>
    <row r="169" spans="2:73" x14ac:dyDescent="0.15">
      <c r="B169" s="17">
        <v>27</v>
      </c>
      <c r="C169" s="17">
        <f t="shared" si="165"/>
        <v>24</v>
      </c>
      <c r="D169" s="17">
        <v>24</v>
      </c>
      <c r="E169" s="29">
        <f>基础状态预期!C175</f>
        <v>860</v>
      </c>
      <c r="F169" s="29">
        <f>基础状态预期!D175</f>
        <v>107.78950972208385</v>
      </c>
      <c r="G169" s="29">
        <f t="shared" si="166"/>
        <v>0</v>
      </c>
      <c r="H169" s="29">
        <f t="shared" si="167"/>
        <v>0</v>
      </c>
      <c r="I169" s="29">
        <f t="shared" si="168"/>
        <v>24</v>
      </c>
      <c r="J169" s="29">
        <f t="shared" si="169"/>
        <v>0</v>
      </c>
      <c r="K169" s="29">
        <f>武将战力价值情况!G165</f>
        <v>3</v>
      </c>
      <c r="L169" s="29">
        <f>武将战力价值情况!H165</f>
        <v>6</v>
      </c>
      <c r="M169" s="29">
        <f>武将战力价值情况!I165</f>
        <v>8</v>
      </c>
      <c r="N169" s="29">
        <f>武将战力价值情况!J165</f>
        <v>8</v>
      </c>
      <c r="O169" s="41">
        <f>MAX(同名需求(G169,求节点(武将升星!$C$104:$C$112,武将升星!E$104:E$112,K169),F$2),武将数量星级阶位验证!AA165)</f>
        <v>24</v>
      </c>
      <c r="P169" s="41">
        <f>MAX(同名需求(H169,求节点(武将升星!$C$104:$C$112,武将升星!F$104:F$112,L169),G$2),武将数量星级阶位验证!AB165)</f>
        <v>120</v>
      </c>
      <c r="Q169" s="41">
        <f>MAX(同名需求(I169,求节点(武将升星!$C$104:$C$112,武将升星!G$104:G$112,M169),H$2),武将数量星级阶位验证!AC165)</f>
        <v>704</v>
      </c>
      <c r="R169" s="41">
        <f>MAX(同名需求(J169,求节点(武将升星!$C$104:$C$112,武将升星!H$104:H$112,N169),I$2),武将数量星级阶位验证!AD165)</f>
        <v>108</v>
      </c>
      <c r="S169" s="29">
        <f>MAX(基础状态预期!P175:T175)</f>
        <v>4.3115803888833542</v>
      </c>
      <c r="T169" s="29">
        <f t="shared" si="170"/>
        <v>4.3115803888833542</v>
      </c>
      <c r="U169" s="29">
        <f t="shared" si="171"/>
        <v>4.3115803888833542</v>
      </c>
      <c r="V169" s="29">
        <f t="shared" si="172"/>
        <v>4.3115803888833542</v>
      </c>
      <c r="W169" s="41">
        <f>SUMIFS(武将进阶!F$13:F$18,武将进阶!$C$13:$C$18,"&lt;="&amp;T169)*H169+武将数量星级阶位验证!Q165</f>
        <v>0</v>
      </c>
      <c r="X169" s="41">
        <f>SUMIFS(武将进阶!G$13:G$18,武将进阶!$C$13:$C$18,"&lt;="&amp;U169)*I169+武将数量星级阶位验证!R165</f>
        <v>984</v>
      </c>
      <c r="Y169" s="41">
        <f>SUMIFS(武将进阶!H$13:H$18,武将进阶!$C$13:$C$18,"&lt;="&amp;V169)*J169+武将数量星级阶位验证!S165</f>
        <v>435.47411666500625</v>
      </c>
      <c r="Z169" s="41">
        <f>SUMIFS(武将进阶!I$13:I$18,武将进阶!$C$13:$C$18,"&lt;="&amp;W169)*K169+武将数量星级阶位验证!T165</f>
        <v>0</v>
      </c>
      <c r="AA169" s="29"/>
      <c r="AB169" s="29">
        <f>求节点(基础状态预期!$AT$17:$AT$55,基础状态预期!AW$17:AW$55,各r阵容卡情况!$F169)</f>
        <v>2</v>
      </c>
      <c r="AC169" s="29">
        <f>求节点(基础状态预期!$AT$17:$AT$55,基础状态预期!AX$17:AX$55,各r阵容卡情况!$F169)</f>
        <v>2</v>
      </c>
      <c r="AD169" s="29">
        <f>求节点(基础状态预期!$AT$17:$AT$55,基础状态预期!AY$17:AY$55,各r阵容卡情况!$F169)</f>
        <v>2</v>
      </c>
      <c r="AE169" s="41">
        <f>IF(AA169&lt;1,0,(AA169-1)*武将觉醒!E$34*G169)+武将数量星级阶位验证!V165</f>
        <v>0</v>
      </c>
      <c r="AF169" s="41">
        <f>IF(AB169&lt;1,0,(AB169-1)*武将觉醒!F$34*H169)+武将数量星级阶位验证!W165</f>
        <v>0</v>
      </c>
      <c r="AG169" s="41">
        <f>IF(AC169&lt;1,0,(AC169-1)*武将觉醒!G$34*I169)+武将数量星级阶位验证!X165</f>
        <v>24</v>
      </c>
      <c r="AH169" s="41">
        <f>IF(AD169&lt;1,0,(AD169-1)*武将觉醒!H$34*J169)+武将数量星级阶位验证!Y165</f>
        <v>0</v>
      </c>
      <c r="AJ169" s="29">
        <f>MAX(W169+AE169+G169*(K169+1)+IF(武将数量星级阶位验证!L165="",0,武将数量星级阶位验证!L165)*武将升星!P162,O169)</f>
        <v>24</v>
      </c>
      <c r="AK169" s="29">
        <f>MAX(X169+AF169+H169*(L169+1)+IF(武将数量星级阶位验证!M165="",0,武将数量星级阶位验证!M165)*武将升星!Q162,P169)</f>
        <v>984</v>
      </c>
      <c r="AL169" s="64">
        <f>MAX(Y169+AG169+I169*(M169+1)+IF(武将数量星级阶位验证!N165="",0,武将数量星级阶位验证!N165)*武将升星!R162,Q169)</f>
        <v>704</v>
      </c>
      <c r="AM169" s="41">
        <f t="shared" si="173"/>
        <v>108</v>
      </c>
      <c r="AO169" s="17">
        <f>武将数量星级阶位验证!BJ165</f>
        <v>24397.390530265704</v>
      </c>
      <c r="AP169" s="17">
        <f>武将数量星级阶位验证!BK165</f>
        <v>10453.958246123775</v>
      </c>
      <c r="AQ169" s="63">
        <f>武将数量星级阶位验证!BL165</f>
        <v>1611.5172043293851</v>
      </c>
      <c r="AR169" s="17">
        <f>武将数量星级阶位验证!BM165</f>
        <v>650.19774422452929</v>
      </c>
      <c r="AT169" s="17">
        <f t="shared" si="174"/>
        <v>860</v>
      </c>
      <c r="AU169" s="17">
        <f t="shared" si="175"/>
        <v>107.78950972208385</v>
      </c>
      <c r="BA169" s="17">
        <v>6</v>
      </c>
      <c r="BB169" s="62">
        <f t="shared" si="176"/>
        <v>6</v>
      </c>
      <c r="BD169" s="17">
        <v>0</v>
      </c>
      <c r="BF169" s="17">
        <v>24</v>
      </c>
      <c r="BG169" s="17">
        <v>0</v>
      </c>
      <c r="BH169" s="62">
        <f t="shared" si="177"/>
        <v>24</v>
      </c>
      <c r="BJ169" s="17">
        <f t="shared" si="178"/>
        <v>0</v>
      </c>
      <c r="BK169" s="17">
        <f t="shared" si="179"/>
        <v>0</v>
      </c>
      <c r="BL169" s="17">
        <f t="shared" si="180"/>
        <v>24</v>
      </c>
      <c r="BM169" s="17">
        <f t="shared" si="181"/>
        <v>6</v>
      </c>
      <c r="BN169" s="62">
        <f t="shared" si="182"/>
        <v>30</v>
      </c>
      <c r="BR169" s="17">
        <f>武将升星!P162*基础状态预期!G175+G169*(K169+1)+W169+AE169</f>
        <v>0</v>
      </c>
      <c r="BS169" s="17">
        <f>武将升星!Q162*基础状态预期!H175+H169*(L169+1)+X169+AF169</f>
        <v>984</v>
      </c>
      <c r="BT169" s="17">
        <f>武将升星!R162*基础状态预期!I175+I169*(M169+1)+Y169+AG169</f>
        <v>675.47411666500625</v>
      </c>
      <c r="BU169" s="17">
        <f>武将升星!S162*基础状态预期!J175+J169*(N169+1)+Z169+AH169</f>
        <v>108</v>
      </c>
    </row>
    <row r="170" spans="2:73" x14ac:dyDescent="0.15">
      <c r="B170" s="17">
        <v>28</v>
      </c>
      <c r="C170" s="17">
        <f t="shared" si="165"/>
        <v>24</v>
      </c>
      <c r="D170" s="17">
        <v>25</v>
      </c>
      <c r="E170" s="29">
        <f>基础状态预期!C176</f>
        <v>1100</v>
      </c>
      <c r="F170" s="29">
        <f>基础状态预期!D176</f>
        <v>111.29737083030383</v>
      </c>
      <c r="G170" s="29">
        <f t="shared" si="166"/>
        <v>0</v>
      </c>
      <c r="H170" s="29">
        <f t="shared" si="167"/>
        <v>0</v>
      </c>
      <c r="I170" s="29">
        <f t="shared" si="168"/>
        <v>24</v>
      </c>
      <c r="J170" s="29">
        <f t="shared" si="169"/>
        <v>0</v>
      </c>
      <c r="K170" s="29">
        <f>武将战力价值情况!G166</f>
        <v>3</v>
      </c>
      <c r="L170" s="29">
        <f>武将战力价值情况!H166</f>
        <v>6</v>
      </c>
      <c r="M170" s="29">
        <f>武将战力价值情况!I166</f>
        <v>8</v>
      </c>
      <c r="N170" s="29">
        <f>武将战力价值情况!J166</f>
        <v>8</v>
      </c>
      <c r="O170" s="41">
        <f>MAX(同名需求(G170,求节点(武将升星!$C$104:$C$112,武将升星!E$104:E$112,K170),F$2),武将数量星级阶位验证!AA166)</f>
        <v>24</v>
      </c>
      <c r="P170" s="41">
        <f>MAX(同名需求(H170,求节点(武将升星!$C$104:$C$112,武将升星!F$104:F$112,L170),G$2),武将数量星级阶位验证!AB166)</f>
        <v>120</v>
      </c>
      <c r="Q170" s="41">
        <f>MAX(同名需求(I170,求节点(武将升星!$C$104:$C$112,武将升星!G$104:G$112,M170),H$2),武将数量星级阶位验证!AC166)</f>
        <v>704</v>
      </c>
      <c r="R170" s="41">
        <f>MAX(同名需求(J170,求节点(武将升星!$C$104:$C$112,武将升星!H$104:H$112,N170),I$2),武将数量星级阶位验证!AD166)</f>
        <v>108</v>
      </c>
      <c r="S170" s="29">
        <f>MAX(基础状态预期!P176:T176)</f>
        <v>4.4518948332121537</v>
      </c>
      <c r="T170" s="29">
        <f t="shared" si="170"/>
        <v>4.4518948332121537</v>
      </c>
      <c r="U170" s="29">
        <f t="shared" si="171"/>
        <v>4.4518948332121537</v>
      </c>
      <c r="V170" s="29">
        <f t="shared" si="172"/>
        <v>4.4518948332121537</v>
      </c>
      <c r="W170" s="41">
        <f>SUMIFS(武将进阶!F$13:F$18,武将进阶!$C$13:$C$18,"&lt;="&amp;T170)*H170+武将数量星级阶位验证!Q166</f>
        <v>0</v>
      </c>
      <c r="X170" s="41">
        <f>SUMIFS(武将进阶!G$13:G$18,武将进阶!$C$13:$C$18,"&lt;="&amp;U170)*I170+武将数量星级阶位验证!R166</f>
        <v>984</v>
      </c>
      <c r="Y170" s="41">
        <f>SUMIFS(武将进阶!H$13:H$18,武将进阶!$C$13:$C$18,"&lt;="&amp;V170)*J170+武将数量星级阶位验证!S166</f>
        <v>477.56844996364617</v>
      </c>
      <c r="Z170" s="41">
        <f>SUMIFS(武将进阶!I$13:I$18,武将进阶!$C$13:$C$18,"&lt;="&amp;W170)*K170+武将数量星级阶位验证!T166</f>
        <v>0</v>
      </c>
      <c r="AA170" s="29"/>
      <c r="AB170" s="29">
        <f>求节点(基础状态预期!$AT$17:$AT$55,基础状态预期!AW$17:AW$55,各r阵容卡情况!$F170)</f>
        <v>2</v>
      </c>
      <c r="AC170" s="29">
        <f>求节点(基础状态预期!$AT$17:$AT$55,基础状态预期!AX$17:AX$55,各r阵容卡情况!$F170)</f>
        <v>2</v>
      </c>
      <c r="AD170" s="29">
        <f>求节点(基础状态预期!$AT$17:$AT$55,基础状态预期!AY$17:AY$55,各r阵容卡情况!$F170)</f>
        <v>2</v>
      </c>
      <c r="AE170" s="41">
        <f>IF(AA170&lt;1,0,(AA170-1)*武将觉醒!E$34*G170)+武将数量星级阶位验证!V166</f>
        <v>0</v>
      </c>
      <c r="AF170" s="41">
        <f>IF(AB170&lt;1,0,(AB170-1)*武将觉醒!F$34*H170)+武将数量星级阶位验证!W166</f>
        <v>0</v>
      </c>
      <c r="AG170" s="41">
        <f>IF(AC170&lt;1,0,(AC170-1)*武将觉醒!G$34*I170)+武将数量星级阶位验证!X166</f>
        <v>24</v>
      </c>
      <c r="AH170" s="41">
        <f>IF(AD170&lt;1,0,(AD170-1)*武将觉醒!H$34*J170)+武将数量星级阶位验证!Y166</f>
        <v>0</v>
      </c>
      <c r="AJ170" s="29">
        <f>MAX(W170+AE170+G170*(K170+1)+IF(武将数量星级阶位验证!L166="",0,武将数量星级阶位验证!L166)*武将升星!P163,O170)</f>
        <v>24</v>
      </c>
      <c r="AK170" s="29">
        <f>MAX(X170+AF170+H170*(L170+1)+IF(武将数量星级阶位验证!M166="",0,武将数量星级阶位验证!M166)*武将升星!Q163,P170)</f>
        <v>984</v>
      </c>
      <c r="AL170" s="64">
        <f>MAX(Y170+AG170+I170*(M170+1)+IF(武将数量星级阶位验证!N166="",0,武将数量星级阶位验证!N166)*武将升星!R163,Q170)</f>
        <v>717.56844996364612</v>
      </c>
      <c r="AM170" s="41">
        <f t="shared" si="173"/>
        <v>108</v>
      </c>
      <c r="AO170" s="17">
        <f>武将数量星级阶位验证!BJ166</f>
        <v>30671.490021404912</v>
      </c>
      <c r="AP170" s="17">
        <f>武将数量星级阶位验证!BK166</f>
        <v>13128.606619712535</v>
      </c>
      <c r="AQ170" s="63">
        <f>武将数量星级阶位验证!BL166</f>
        <v>2006.7144603676991</v>
      </c>
      <c r="AR170" s="17">
        <f>武将数量星级阶位验证!BM166</f>
        <v>823.79637224368628</v>
      </c>
      <c r="AT170" s="17">
        <f t="shared" si="174"/>
        <v>1100</v>
      </c>
      <c r="AU170" s="17">
        <f t="shared" si="175"/>
        <v>111.29737083030383</v>
      </c>
      <c r="BA170" s="17">
        <v>6</v>
      </c>
      <c r="BB170" s="62">
        <f t="shared" si="176"/>
        <v>6</v>
      </c>
      <c r="BD170" s="17">
        <v>0</v>
      </c>
      <c r="BF170" s="17">
        <v>24</v>
      </c>
      <c r="BG170" s="17">
        <v>0</v>
      </c>
      <c r="BH170" s="62">
        <f t="shared" si="177"/>
        <v>24</v>
      </c>
      <c r="BJ170" s="17">
        <f t="shared" si="178"/>
        <v>0</v>
      </c>
      <c r="BK170" s="17">
        <f t="shared" si="179"/>
        <v>0</v>
      </c>
      <c r="BL170" s="17">
        <f t="shared" si="180"/>
        <v>24</v>
      </c>
      <c r="BM170" s="17">
        <f t="shared" si="181"/>
        <v>6</v>
      </c>
      <c r="BN170" s="62">
        <f t="shared" si="182"/>
        <v>30</v>
      </c>
      <c r="BR170" s="17">
        <f>武将升星!P163*基础状态预期!G176+G170*(K170+1)+W170+AE170</f>
        <v>0</v>
      </c>
      <c r="BS170" s="17">
        <f>武将升星!Q163*基础状态预期!H176+H170*(L170+1)+X170+AF170</f>
        <v>984</v>
      </c>
      <c r="BT170" s="17">
        <f>武将升星!R163*基础状态预期!I176+I170*(M170+1)+Y170+AG170</f>
        <v>717.56844996364612</v>
      </c>
      <c r="BU170" s="17">
        <f>武将升星!S163*基础状态预期!J176+J170*(N170+1)+Z170+AH170</f>
        <v>108</v>
      </c>
    </row>
    <row r="171" spans="2:73" x14ac:dyDescent="0.15">
      <c r="B171" s="17">
        <v>29</v>
      </c>
      <c r="C171" s="17">
        <f t="shared" si="165"/>
        <v>24</v>
      </c>
      <c r="D171" s="17">
        <v>26</v>
      </c>
      <c r="E171" s="29">
        <f>基础状态预期!C177</f>
        <v>1400</v>
      </c>
      <c r="F171" s="29">
        <f>基础状态预期!D177</f>
        <v>114.91888401282834</v>
      </c>
      <c r="G171" s="29">
        <f t="shared" si="166"/>
        <v>0</v>
      </c>
      <c r="H171" s="29">
        <f t="shared" si="167"/>
        <v>0</v>
      </c>
      <c r="I171" s="29">
        <f t="shared" si="168"/>
        <v>24</v>
      </c>
      <c r="J171" s="29">
        <f t="shared" si="169"/>
        <v>0</v>
      </c>
      <c r="K171" s="29">
        <f>武将战力价值情况!G167</f>
        <v>3</v>
      </c>
      <c r="L171" s="29">
        <f>武将战力价值情况!H167</f>
        <v>6</v>
      </c>
      <c r="M171" s="29">
        <f>武将战力价值情况!I167</f>
        <v>8</v>
      </c>
      <c r="N171" s="29">
        <f>武将战力价值情况!J167</f>
        <v>8</v>
      </c>
      <c r="O171" s="41">
        <f>MAX(同名需求(G171,求节点(武将升星!$C$104:$C$112,武将升星!E$104:E$112,K171),F$2),武将数量星级阶位验证!AA167)</f>
        <v>24</v>
      </c>
      <c r="P171" s="41">
        <f>MAX(同名需求(H171,求节点(武将升星!$C$104:$C$112,武将升星!F$104:F$112,L171),G$2),武将数量星级阶位验证!AB167)</f>
        <v>120</v>
      </c>
      <c r="Q171" s="41">
        <f>MAX(同名需求(I171,求节点(武将升星!$C$104:$C$112,武将升星!G$104:G$112,M171),H$2),武将数量星级阶位验证!AC167)</f>
        <v>704</v>
      </c>
      <c r="R171" s="41">
        <f>MAX(同名需求(J171,求节点(武将升星!$C$104:$C$112,武将升星!H$104:H$112,N171),I$2),武将数量星级阶位验证!AD167)</f>
        <v>108</v>
      </c>
      <c r="S171" s="29">
        <f>MAX(基础状态预期!P177:T177)</f>
        <v>4.5967553605131339</v>
      </c>
      <c r="T171" s="29">
        <f t="shared" si="170"/>
        <v>4.5967553605131339</v>
      </c>
      <c r="U171" s="29">
        <f t="shared" si="171"/>
        <v>4.5967553605131339</v>
      </c>
      <c r="V171" s="29">
        <f t="shared" si="172"/>
        <v>4.5967553605131339</v>
      </c>
      <c r="W171" s="41">
        <f>SUMIFS(武将进阶!F$13:F$18,武将进阶!$C$13:$C$18,"&lt;="&amp;T171)*H171+武将数量星级阶位验证!Q167</f>
        <v>0</v>
      </c>
      <c r="X171" s="41">
        <f>SUMIFS(武将进阶!G$13:G$18,武将进阶!$C$13:$C$18,"&lt;="&amp;U171)*I171+武将数量星级阶位验证!R167</f>
        <v>984</v>
      </c>
      <c r="Y171" s="41">
        <f>SUMIFS(武将进阶!H$13:H$18,武将进阶!$C$13:$C$18,"&lt;="&amp;V171)*J171+武将数量星级阶位验证!S167</f>
        <v>521.02660815394017</v>
      </c>
      <c r="Z171" s="41">
        <f>SUMIFS(武将进阶!I$13:I$18,武将进阶!$C$13:$C$18,"&lt;="&amp;W171)*K171+武将数量星级阶位验证!T167</f>
        <v>0</v>
      </c>
      <c r="AA171" s="29"/>
      <c r="AB171" s="29">
        <f>求节点(基础状态预期!$AT$17:$AT$55,基础状态预期!AW$17:AW$55,各r阵容卡情况!$F171)</f>
        <v>2</v>
      </c>
      <c r="AC171" s="29">
        <f>求节点(基础状态预期!$AT$17:$AT$55,基础状态预期!AX$17:AX$55,各r阵容卡情况!$F171)</f>
        <v>2</v>
      </c>
      <c r="AD171" s="29">
        <f>求节点(基础状态预期!$AT$17:$AT$55,基础状态预期!AY$17:AY$55,各r阵容卡情况!$F171)</f>
        <v>2</v>
      </c>
      <c r="AE171" s="41">
        <f>IF(AA171&lt;1,0,(AA171-1)*武将觉醒!E$34*G171)+武将数量星级阶位验证!V167</f>
        <v>0</v>
      </c>
      <c r="AF171" s="41">
        <f>IF(AB171&lt;1,0,(AB171-1)*武将觉醒!F$34*H171)+武将数量星级阶位验证!W167</f>
        <v>0</v>
      </c>
      <c r="AG171" s="41">
        <f>IF(AC171&lt;1,0,(AC171-1)*武将觉醒!G$34*I171)+武将数量星级阶位验证!X167</f>
        <v>24</v>
      </c>
      <c r="AH171" s="41">
        <f>IF(AD171&lt;1,0,(AD171-1)*武将觉醒!H$34*J171)+武将数量星级阶位验证!Y167</f>
        <v>0</v>
      </c>
      <c r="AJ171" s="29">
        <f>MAX(W171+AE171+G171*(K171+1)+IF(武将数量星级阶位验证!L167="",0,武将数量星级阶位验证!L167)*武将升星!P164,O171)</f>
        <v>24</v>
      </c>
      <c r="AK171" s="29">
        <f>MAX(X171+AF171+H171*(L171+1)+IF(武将数量星级阶位验证!M167="",0,武将数量星级阶位验证!M167)*武将升星!Q164,P171)</f>
        <v>984</v>
      </c>
      <c r="AL171" s="64">
        <f>MAX(Y171+AG171+I171*(M171+1)+IF(武将数量星级阶位验证!N167="",0,武将数量星级阶位验证!N167)*武将升星!R164,Q171)</f>
        <v>761.02660815394017</v>
      </c>
      <c r="AM171" s="41">
        <f t="shared" si="173"/>
        <v>108</v>
      </c>
      <c r="AO171" s="17">
        <f>武将数量星级阶位验证!BJ167</f>
        <v>38441.031130157375</v>
      </c>
      <c r="AP171" s="17">
        <f>武将数量星级阶位验证!BK167</f>
        <v>16432.412624443597</v>
      </c>
      <c r="AQ171" s="63">
        <f>武将数量星级阶位验证!BL167</f>
        <v>2494.7853610773582</v>
      </c>
      <c r="AR171" s="17">
        <f>武将数量星级阶位验证!BM167</f>
        <v>1037.8318225985158</v>
      </c>
      <c r="AT171" s="17">
        <f t="shared" si="174"/>
        <v>1400</v>
      </c>
      <c r="AU171" s="17">
        <f t="shared" si="175"/>
        <v>114.91888401282834</v>
      </c>
      <c r="BA171" s="17">
        <v>6</v>
      </c>
      <c r="BB171" s="62">
        <f t="shared" si="176"/>
        <v>6</v>
      </c>
      <c r="BD171" s="17">
        <v>0</v>
      </c>
      <c r="BF171" s="17">
        <v>24</v>
      </c>
      <c r="BG171" s="17">
        <v>0</v>
      </c>
      <c r="BH171" s="62">
        <f t="shared" si="177"/>
        <v>24</v>
      </c>
      <c r="BJ171" s="17">
        <f t="shared" si="178"/>
        <v>0</v>
      </c>
      <c r="BK171" s="17">
        <f t="shared" si="179"/>
        <v>0</v>
      </c>
      <c r="BL171" s="17">
        <f t="shared" si="180"/>
        <v>24</v>
      </c>
      <c r="BM171" s="17">
        <f t="shared" si="181"/>
        <v>6</v>
      </c>
      <c r="BN171" s="62">
        <f t="shared" si="182"/>
        <v>30</v>
      </c>
      <c r="BR171" s="17">
        <f>武将升星!P164*基础状态预期!G177+G171*(K171+1)+W171+AE171</f>
        <v>0</v>
      </c>
      <c r="BS171" s="17">
        <f>武将升星!Q164*基础状态预期!H177+H171*(L171+1)+X171+AF171</f>
        <v>984</v>
      </c>
      <c r="BT171" s="17">
        <f>武将升星!R164*基础状态预期!I177+I171*(M171+1)+Y171+AG171</f>
        <v>761.02660815394017</v>
      </c>
      <c r="BU171" s="17">
        <f>武将升星!S164*基础状态预期!J177+J171*(N171+1)+Z171+AH171</f>
        <v>108</v>
      </c>
    </row>
    <row r="172" spans="2:73" x14ac:dyDescent="0.15">
      <c r="B172" s="17">
        <v>30</v>
      </c>
      <c r="C172" s="17">
        <f t="shared" si="165"/>
        <v>24</v>
      </c>
      <c r="D172" s="17">
        <v>27</v>
      </c>
      <c r="E172" s="29">
        <f>基础状态预期!C178</f>
        <v>1790</v>
      </c>
      <c r="F172" s="29">
        <f>基础状态预期!D178</f>
        <v>118.4172728380062</v>
      </c>
      <c r="G172" s="29">
        <f t="shared" si="166"/>
        <v>0</v>
      </c>
      <c r="H172" s="29">
        <f t="shared" si="167"/>
        <v>0</v>
      </c>
      <c r="I172" s="29">
        <f t="shared" si="168"/>
        <v>24</v>
      </c>
      <c r="J172" s="29">
        <f t="shared" si="169"/>
        <v>0</v>
      </c>
      <c r="K172" s="29">
        <f>武将战力价值情况!G168</f>
        <v>3</v>
      </c>
      <c r="L172" s="29">
        <f>武将战力价值情况!H168</f>
        <v>6</v>
      </c>
      <c r="M172" s="29">
        <f>武将战力价值情况!I168</f>
        <v>8</v>
      </c>
      <c r="N172" s="29">
        <f>武将战力价值情况!J168</f>
        <v>8</v>
      </c>
      <c r="O172" s="41">
        <f>MAX(同名需求(G172,求节点(武将升星!$C$104:$C$112,武将升星!E$104:E$112,K172),F$2),武将数量星级阶位验证!AA168)</f>
        <v>24</v>
      </c>
      <c r="P172" s="41">
        <f>MAX(同名需求(H172,求节点(武将升星!$C$104:$C$112,武将升星!F$104:F$112,L172),G$2),武将数量星级阶位验证!AB168)</f>
        <v>120</v>
      </c>
      <c r="Q172" s="41">
        <f>MAX(同名需求(I172,求节点(武将升星!$C$104:$C$112,武将升星!G$104:G$112,M172),H$2),武将数量星级阶位验证!AC168)</f>
        <v>704</v>
      </c>
      <c r="R172" s="41">
        <f>MAX(同名需求(J172,求节点(武将升星!$C$104:$C$112,武将升星!H$104:H$112,N172),I$2),武将数量星级阶位验证!AD168)</f>
        <v>108</v>
      </c>
      <c r="S172" s="29">
        <f>MAX(基础状态预期!P178:T178)</f>
        <v>4.7366909135202482</v>
      </c>
      <c r="T172" s="29">
        <f t="shared" si="170"/>
        <v>4.7366909135202482</v>
      </c>
      <c r="U172" s="29">
        <f t="shared" si="171"/>
        <v>4.7366909135202482</v>
      </c>
      <c r="V172" s="29">
        <f t="shared" si="172"/>
        <v>4.7366909135202482</v>
      </c>
      <c r="W172" s="41">
        <f>SUMIFS(武将进阶!F$13:F$18,武将进阶!$C$13:$C$18,"&lt;="&amp;T172)*H172+武将数量星级阶位验证!Q168</f>
        <v>0</v>
      </c>
      <c r="X172" s="41">
        <f>SUMIFS(武将进阶!G$13:G$18,武将进阶!$C$13:$C$18,"&lt;="&amp;U172)*I172+武将数量星级阶位验证!R168</f>
        <v>984</v>
      </c>
      <c r="Y172" s="41">
        <f>SUMIFS(武将进阶!H$13:H$18,武将进阶!$C$13:$C$18,"&lt;="&amp;V172)*J172+武将数量星级阶位验证!S168</f>
        <v>563.00727405607449</v>
      </c>
      <c r="Z172" s="41">
        <f>SUMIFS(武将进阶!I$13:I$18,武将进阶!$C$13:$C$18,"&lt;="&amp;W172)*K172+武将数量星级阶位验证!T168</f>
        <v>0</v>
      </c>
      <c r="AA172" s="29"/>
      <c r="AB172" s="29">
        <f>求节点(基础状态预期!$AT$17:$AT$55,基础状态预期!AW$17:AW$55,各r阵容卡情况!$F172)</f>
        <v>2</v>
      </c>
      <c r="AC172" s="29">
        <f>求节点(基础状态预期!$AT$17:$AT$55,基础状态预期!AX$17:AX$55,各r阵容卡情况!$F172)</f>
        <v>2</v>
      </c>
      <c r="AD172" s="29">
        <f>求节点(基础状态预期!$AT$17:$AT$55,基础状态预期!AY$17:AY$55,各r阵容卡情况!$F172)</f>
        <v>2</v>
      </c>
      <c r="AE172" s="41">
        <f>IF(AA172&lt;1,0,(AA172-1)*武将觉醒!E$34*G172)+武将数量星级阶位验证!V168</f>
        <v>0</v>
      </c>
      <c r="AF172" s="41">
        <f>IF(AB172&lt;1,0,(AB172-1)*武将觉醒!F$34*H172)+武将数量星级阶位验证!W168</f>
        <v>0</v>
      </c>
      <c r="AG172" s="41">
        <f>IF(AC172&lt;1,0,(AC172-1)*武将觉醒!G$34*I172)+武将数量星级阶位验证!X168</f>
        <v>24</v>
      </c>
      <c r="AH172" s="41">
        <f>IF(AD172&lt;1,0,(AD172-1)*武将觉醒!H$34*J172)+武将数量星级阶位验证!Y168</f>
        <v>0</v>
      </c>
      <c r="AJ172" s="29">
        <f>MAX(W172+AE172+G172*(K172+1)+IF(武将数量星级阶位验证!L168="",0,武将数量星级阶位验证!L168)*武将升星!P165,O172)</f>
        <v>24</v>
      </c>
      <c r="AK172" s="29">
        <f>MAX(X172+AF172+H172*(L172+1)+IF(武将数量星级阶位验证!M168="",0,武将数量星级阶位验证!M168)*武将升星!Q165,P172)</f>
        <v>984</v>
      </c>
      <c r="AL172" s="64">
        <f>MAX(Y172+AG172+I172*(M172+1)+IF(武将数量星级阶位验证!N168="",0,武将数量星级阶位验证!N168)*武将升星!R165,Q172)</f>
        <v>803.00727405607449</v>
      </c>
      <c r="AM172" s="41">
        <f t="shared" si="173"/>
        <v>108</v>
      </c>
      <c r="AO172" s="17">
        <f>武将数量星级阶位验证!BJ168</f>
        <v>48419.714743186778</v>
      </c>
      <c r="AP172" s="17">
        <f>武将数量星级阶位验证!BK168</f>
        <v>20661.565928783813</v>
      </c>
      <c r="AQ172" s="63">
        <f>武将数量星级阶位验证!BL168</f>
        <v>3119.4083567283906</v>
      </c>
      <c r="AR172" s="17">
        <f>武将数量星级阶位验证!BM168</f>
        <v>1311.143320424032</v>
      </c>
      <c r="AT172" s="17">
        <f t="shared" si="174"/>
        <v>1790</v>
      </c>
      <c r="AU172" s="17">
        <f t="shared" si="175"/>
        <v>118.4172728380062</v>
      </c>
      <c r="BA172" s="17">
        <v>6</v>
      </c>
      <c r="BB172" s="62">
        <f t="shared" si="176"/>
        <v>6</v>
      </c>
      <c r="BD172" s="17">
        <v>0</v>
      </c>
      <c r="BF172" s="17">
        <v>24</v>
      </c>
      <c r="BG172" s="17">
        <v>0</v>
      </c>
      <c r="BH172" s="62">
        <f t="shared" si="177"/>
        <v>24</v>
      </c>
      <c r="BJ172" s="17">
        <f t="shared" si="178"/>
        <v>0</v>
      </c>
      <c r="BK172" s="17">
        <f t="shared" si="179"/>
        <v>0</v>
      </c>
      <c r="BL172" s="17">
        <f t="shared" si="180"/>
        <v>24</v>
      </c>
      <c r="BM172" s="17">
        <f t="shared" si="181"/>
        <v>6</v>
      </c>
      <c r="BN172" s="62">
        <f t="shared" si="182"/>
        <v>30</v>
      </c>
      <c r="BR172" s="17">
        <f>武将升星!P165*基础状态预期!G178+G172*(K172+1)+W172+AE172</f>
        <v>0</v>
      </c>
      <c r="BS172" s="17">
        <f>武将升星!Q165*基础状态预期!H178+H172*(L172+1)+X172+AF172</f>
        <v>984</v>
      </c>
      <c r="BT172" s="17">
        <f>武将升星!R165*基础状态预期!I178+I172*(M172+1)+Y172+AG172</f>
        <v>803.00727405607449</v>
      </c>
      <c r="BU172" s="17">
        <f>武将升星!S165*基础状态预期!J178+J172*(N172+1)+Z172+AH172</f>
        <v>108</v>
      </c>
    </row>
    <row r="173" spans="2:73" x14ac:dyDescent="0.15">
      <c r="B173" s="17">
        <v>31</v>
      </c>
      <c r="C173" s="17">
        <f t="shared" si="165"/>
        <v>24</v>
      </c>
      <c r="D173" s="17">
        <v>28</v>
      </c>
      <c r="E173" s="29">
        <f>基础状态预期!C179</f>
        <v>2270</v>
      </c>
      <c r="F173" s="29">
        <f>基础状态预期!D179</f>
        <v>121.99245722798884</v>
      </c>
      <c r="G173" s="29">
        <f t="shared" si="166"/>
        <v>0</v>
      </c>
      <c r="H173" s="29">
        <f t="shared" si="167"/>
        <v>0</v>
      </c>
      <c r="I173" s="29">
        <f t="shared" si="168"/>
        <v>24</v>
      </c>
      <c r="J173" s="29">
        <f t="shared" si="169"/>
        <v>0</v>
      </c>
      <c r="K173" s="29">
        <f>武将战力价值情况!G169</f>
        <v>3</v>
      </c>
      <c r="L173" s="29">
        <f>武将战力价值情况!H169</f>
        <v>6</v>
      </c>
      <c r="M173" s="29">
        <f>武将战力价值情况!I169</f>
        <v>8</v>
      </c>
      <c r="N173" s="29">
        <f>武将战力价值情况!J169</f>
        <v>8</v>
      </c>
      <c r="O173" s="41">
        <f>MAX(同名需求(G173,求节点(武将升星!$C$104:$C$112,武将升星!E$104:E$112,K173),F$2),武将数量星级阶位验证!AA169)</f>
        <v>24</v>
      </c>
      <c r="P173" s="41">
        <f>MAX(同名需求(H173,求节点(武将升星!$C$104:$C$112,武将升星!F$104:F$112,L173),G$2),武将数量星级阶位验证!AB169)</f>
        <v>120</v>
      </c>
      <c r="Q173" s="41">
        <f>MAX(同名需求(I173,求节点(武将升星!$C$104:$C$112,武将升星!G$104:G$112,M173),H$2),武将数量星级阶位验证!AC169)</f>
        <v>704</v>
      </c>
      <c r="R173" s="41">
        <f>MAX(同名需求(J173,求节点(武将升星!$C$104:$C$112,武将升星!H$104:H$112,N173),I$2),武将数量星级阶位验证!AD169)</f>
        <v>108</v>
      </c>
      <c r="S173" s="29">
        <f>MAX(基础状态预期!P179:T179)</f>
        <v>4.8796982891195535</v>
      </c>
      <c r="T173" s="29">
        <f t="shared" si="170"/>
        <v>4.8796982891195535</v>
      </c>
      <c r="U173" s="29">
        <f t="shared" si="171"/>
        <v>4.8796982891195535</v>
      </c>
      <c r="V173" s="29">
        <f t="shared" si="172"/>
        <v>4.8796982891195535</v>
      </c>
      <c r="W173" s="41">
        <f>SUMIFS(武将进阶!F$13:F$18,武将进阶!$C$13:$C$18,"&lt;="&amp;T173)*H173+武将数量星级阶位验证!Q169</f>
        <v>0</v>
      </c>
      <c r="X173" s="41">
        <f>SUMIFS(武将进阶!G$13:G$18,武将进阶!$C$13:$C$18,"&lt;="&amp;U173)*I173+武将数量星级阶位验证!R169</f>
        <v>984</v>
      </c>
      <c r="Y173" s="41">
        <f>SUMIFS(武将进阶!H$13:H$18,武将进阶!$C$13:$C$18,"&lt;="&amp;V173)*J173+武将数量星级阶位验证!S169</f>
        <v>605.90948673586604</v>
      </c>
      <c r="Z173" s="41">
        <f>SUMIFS(武将进阶!I$13:I$18,武将进阶!$C$13:$C$18,"&lt;="&amp;W173)*K173+武将数量星级阶位验证!T169</f>
        <v>0</v>
      </c>
      <c r="AA173" s="29"/>
      <c r="AB173" s="29">
        <f>求节点(基础状态预期!$AT$17:$AT$55,基础状态预期!AW$17:AW$55,各r阵容卡情况!$F173)</f>
        <v>2</v>
      </c>
      <c r="AC173" s="29">
        <f>求节点(基础状态预期!$AT$17:$AT$55,基础状态预期!AX$17:AX$55,各r阵容卡情况!$F173)</f>
        <v>2</v>
      </c>
      <c r="AD173" s="29">
        <f>求节点(基础状态预期!$AT$17:$AT$55,基础状态预期!AY$17:AY$55,各r阵容卡情况!$F173)</f>
        <v>2</v>
      </c>
      <c r="AE173" s="41">
        <f>IF(AA173&lt;1,0,(AA173-1)*武将觉醒!E$34*G173)+武将数量星级阶位验证!V169</f>
        <v>0</v>
      </c>
      <c r="AF173" s="41">
        <f>IF(AB173&lt;1,0,(AB173-1)*武将觉醒!F$34*H173)+武将数量星级阶位验证!W169</f>
        <v>0</v>
      </c>
      <c r="AG173" s="41">
        <f>IF(AC173&lt;1,0,(AC173-1)*武将觉醒!G$34*I173)+武将数量星级阶位验证!X169</f>
        <v>24</v>
      </c>
      <c r="AH173" s="41">
        <f>IF(AD173&lt;1,0,(AD173-1)*武将觉醒!H$34*J173)+武将数量星级阶位验证!Y169</f>
        <v>0</v>
      </c>
      <c r="AJ173" s="29">
        <f>MAX(W173+AE173+G173*(K173+1)+IF(武将数量星级阶位验证!L169="",0,武将数量星级阶位验证!L169)*武将升星!P166,O173)</f>
        <v>24</v>
      </c>
      <c r="AK173" s="29">
        <f>MAX(X173+AF173+H173*(L173+1)+IF(武将数量星级阶位验证!M169="",0,武将数量星级阶位验证!M169)*武将升星!Q166,P173)</f>
        <v>984</v>
      </c>
      <c r="AL173" s="64">
        <f>MAX(Y173+AG173+I173*(M173+1)+IF(武将数量星级阶位验证!N169="",0,武将数量星级阶位验证!N169)*武将升星!R166,Q173)</f>
        <v>845.90948673586604</v>
      </c>
      <c r="AM173" s="41">
        <f t="shared" si="173"/>
        <v>108</v>
      </c>
      <c r="AO173" s="17">
        <f>武将数量星级阶位验证!BJ169</f>
        <v>60557.116990062794</v>
      </c>
      <c r="AP173" s="17">
        <f>武将数量星级阶位验证!BK169</f>
        <v>25788.810386554633</v>
      </c>
      <c r="AQ173" s="63">
        <f>武将数量星级阶位验证!BL169</f>
        <v>3876.4950253940137</v>
      </c>
      <c r="AR173" s="17">
        <f>武将数量星级阶位验证!BM169</f>
        <v>1641.6866547568436</v>
      </c>
      <c r="AT173" s="17">
        <f t="shared" si="174"/>
        <v>2270</v>
      </c>
      <c r="AU173" s="17">
        <f t="shared" si="175"/>
        <v>121.99245722798884</v>
      </c>
      <c r="BA173" s="17">
        <v>6</v>
      </c>
      <c r="BB173" s="62">
        <f t="shared" si="176"/>
        <v>6</v>
      </c>
      <c r="BD173" s="17">
        <v>0</v>
      </c>
      <c r="BF173" s="17">
        <v>24</v>
      </c>
      <c r="BG173" s="17">
        <v>0</v>
      </c>
      <c r="BH173" s="62">
        <f t="shared" si="177"/>
        <v>24</v>
      </c>
      <c r="BJ173" s="17">
        <f t="shared" si="178"/>
        <v>0</v>
      </c>
      <c r="BK173" s="17">
        <f t="shared" si="179"/>
        <v>0</v>
      </c>
      <c r="BL173" s="17">
        <f t="shared" si="180"/>
        <v>24</v>
      </c>
      <c r="BM173" s="17">
        <f t="shared" si="181"/>
        <v>6</v>
      </c>
      <c r="BN173" s="62">
        <f t="shared" si="182"/>
        <v>30</v>
      </c>
      <c r="BR173" s="17">
        <f>武将升星!P166*基础状态预期!G179+G173*(K173+1)+W173+AE173</f>
        <v>0</v>
      </c>
      <c r="BS173" s="17">
        <f>武将升星!Q166*基础状态预期!H179+H173*(L173+1)+X173+AF173</f>
        <v>984</v>
      </c>
      <c r="BT173" s="17">
        <f>武将升星!R166*基础状态预期!I179+I173*(M173+1)+Y173+AG173</f>
        <v>845.90948673586604</v>
      </c>
      <c r="BU173" s="17">
        <f>武将升星!S166*基础状态预期!J179+J173*(N173+1)+Z173+AH173</f>
        <v>108</v>
      </c>
    </row>
    <row r="174" spans="2:73" x14ac:dyDescent="0.15">
      <c r="B174" s="17">
        <v>32</v>
      </c>
      <c r="C174" s="17">
        <f t="shared" si="165"/>
        <v>24</v>
      </c>
      <c r="D174" s="17">
        <v>29</v>
      </c>
      <c r="E174" s="29">
        <f>基础状态预期!C180</f>
        <v>2900</v>
      </c>
      <c r="F174" s="29">
        <f>基础状态预期!D180</f>
        <v>125.43876546297123</v>
      </c>
      <c r="G174" s="29">
        <f t="shared" si="166"/>
        <v>0</v>
      </c>
      <c r="H174" s="29">
        <f t="shared" si="167"/>
        <v>0</v>
      </c>
      <c r="I174" s="29">
        <f t="shared" si="168"/>
        <v>24</v>
      </c>
      <c r="J174" s="29">
        <f t="shared" si="169"/>
        <v>0</v>
      </c>
      <c r="K174" s="29">
        <f>武将战力价值情况!G170</f>
        <v>3</v>
      </c>
      <c r="L174" s="29">
        <f>武将战力价值情况!H170</f>
        <v>6</v>
      </c>
      <c r="M174" s="29">
        <f>武将战力价值情况!I170</f>
        <v>8</v>
      </c>
      <c r="N174" s="29">
        <f>武将战力价值情况!J170</f>
        <v>8</v>
      </c>
      <c r="O174" s="41">
        <f>MAX(同名需求(G174,求节点(武将升星!$C$104:$C$112,武将升星!E$104:E$112,K174),F$2),武将数量星级阶位验证!AA170)</f>
        <v>24</v>
      </c>
      <c r="P174" s="41">
        <f>MAX(同名需求(H174,求节点(武将升星!$C$104:$C$112,武将升星!F$104:F$112,L174),G$2),武将数量星级阶位验证!AB170)</f>
        <v>120</v>
      </c>
      <c r="Q174" s="41">
        <f>MAX(同名需求(I174,求节点(武将升星!$C$104:$C$112,武将升星!G$104:G$112,M174),H$2),武将数量星级阶位验证!AC170)</f>
        <v>704</v>
      </c>
      <c r="R174" s="41">
        <f>MAX(同名需求(J174,求节点(武将升星!$C$104:$C$112,武将升星!H$104:H$112,N174),I$2),武将数量星级阶位验证!AD170)</f>
        <v>108</v>
      </c>
      <c r="S174" s="29">
        <f>MAX(基础状态预期!P180:T180)</f>
        <v>5</v>
      </c>
      <c r="T174" s="29">
        <f t="shared" si="170"/>
        <v>5</v>
      </c>
      <c r="U174" s="29">
        <f t="shared" si="171"/>
        <v>5</v>
      </c>
      <c r="V174" s="29">
        <f t="shared" si="172"/>
        <v>5</v>
      </c>
      <c r="W174" s="41">
        <f>SUMIFS(武将进阶!F$13:F$18,武将进阶!$C$13:$C$18,"&lt;="&amp;T174)*H174+武将数量星级阶位验证!Q170</f>
        <v>0</v>
      </c>
      <c r="X174" s="41">
        <f>SUMIFS(武将进阶!G$13:G$18,武将进阶!$C$13:$C$18,"&lt;="&amp;U174)*I174+武将数量星级阶位验证!R170</f>
        <v>1824</v>
      </c>
      <c r="Y174" s="41">
        <f>SUMIFS(武将进阶!H$13:H$18,武将进阶!$C$13:$C$18,"&lt;="&amp;V174)*J174+武将数量星级阶位验证!S170</f>
        <v>642</v>
      </c>
      <c r="Z174" s="41">
        <f>SUMIFS(武将进阶!I$13:I$18,武将进阶!$C$13:$C$18,"&lt;="&amp;W174)*K174+武将数量星级阶位验证!T170</f>
        <v>0</v>
      </c>
      <c r="AA174" s="29"/>
      <c r="AB174" s="29">
        <f>求节点(基础状态预期!$AT$17:$AT$55,基础状态预期!AW$17:AW$55,各r阵容卡情况!$F174)</f>
        <v>2</v>
      </c>
      <c r="AC174" s="29">
        <f>求节点(基础状态预期!$AT$17:$AT$55,基础状态预期!AX$17:AX$55,各r阵容卡情况!$F174)</f>
        <v>2</v>
      </c>
      <c r="AD174" s="29">
        <f>求节点(基础状态预期!$AT$17:$AT$55,基础状态预期!AY$17:AY$55,各r阵容卡情况!$F174)</f>
        <v>2</v>
      </c>
      <c r="AE174" s="41">
        <f>IF(AA174&lt;1,0,(AA174-1)*武将觉醒!E$34*G174)+武将数量星级阶位验证!V170</f>
        <v>0</v>
      </c>
      <c r="AF174" s="41">
        <f>IF(AB174&lt;1,0,(AB174-1)*武将觉醒!F$34*H174)+武将数量星级阶位验证!W170</f>
        <v>0</v>
      </c>
      <c r="AG174" s="41">
        <f>IF(AC174&lt;1,0,(AC174-1)*武将觉醒!G$34*I174)+武将数量星级阶位验证!X170</f>
        <v>24</v>
      </c>
      <c r="AH174" s="41">
        <f>IF(AD174&lt;1,0,(AD174-1)*武将觉醒!H$34*J174)+武将数量星级阶位验证!Y170</f>
        <v>0</v>
      </c>
      <c r="AJ174" s="29">
        <f>MAX(W174+AE174+G174*(K174+1)+IF(武将数量星级阶位验证!L170="",0,武将数量星级阶位验证!L170)*武将升星!P167,O174)</f>
        <v>24</v>
      </c>
      <c r="AK174" s="29">
        <f>MAX(X174+AF174+H174*(L174+1)+IF(武将数量星级阶位验证!M170="",0,武将数量星级阶位验证!M170)*武将升星!Q167,P174)</f>
        <v>1824</v>
      </c>
      <c r="AL174" s="64">
        <f>MAX(Y174+AG174+I174*(M174+1)+IF(武将数量星级阶位验证!N170="",0,武将数量星级阶位验证!N170)*武将升星!R167,Q174)</f>
        <v>882</v>
      </c>
      <c r="AM174" s="41">
        <f t="shared" si="173"/>
        <v>108</v>
      </c>
      <c r="AO174" s="17">
        <f>武将数量星级阶位验证!BJ170</f>
        <v>76302.047249506257</v>
      </c>
      <c r="AP174" s="17">
        <f>武将数量星级阶位验证!BK170</f>
        <v>32418.097013280822</v>
      </c>
      <c r="AQ174" s="63">
        <f>武将数量星级阶位验证!BL170</f>
        <v>4855.1380194029425</v>
      </c>
      <c r="AR174" s="17">
        <f>武将数量星级阶位验证!BM170</f>
        <v>2068.008151761308</v>
      </c>
      <c r="AT174" s="17">
        <f t="shared" si="174"/>
        <v>2900</v>
      </c>
      <c r="AU174" s="17">
        <f t="shared" si="175"/>
        <v>125.43876546297123</v>
      </c>
      <c r="BA174" s="17">
        <v>6</v>
      </c>
      <c r="BB174" s="62">
        <f t="shared" si="176"/>
        <v>6</v>
      </c>
      <c r="BD174" s="17">
        <v>0</v>
      </c>
      <c r="BF174" s="17">
        <v>24</v>
      </c>
      <c r="BG174" s="17">
        <v>0</v>
      </c>
      <c r="BH174" s="62">
        <f t="shared" si="177"/>
        <v>24</v>
      </c>
      <c r="BJ174" s="17">
        <f t="shared" si="178"/>
        <v>0</v>
      </c>
      <c r="BK174" s="17">
        <f t="shared" si="179"/>
        <v>0</v>
      </c>
      <c r="BL174" s="17">
        <f t="shared" si="180"/>
        <v>24</v>
      </c>
      <c r="BM174" s="17">
        <f t="shared" si="181"/>
        <v>6</v>
      </c>
      <c r="BN174" s="62">
        <f t="shared" si="182"/>
        <v>30</v>
      </c>
      <c r="BR174" s="17">
        <f>武将升星!P167*基础状态预期!G180+G174*(K174+1)+W174+AE174</f>
        <v>0</v>
      </c>
      <c r="BS174" s="17">
        <f>武将升星!Q167*基础状态预期!H180+H174*(L174+1)+X174+AF174</f>
        <v>1824</v>
      </c>
      <c r="BT174" s="17">
        <f>武将升星!R167*基础状态预期!I180+I174*(M174+1)+Y174+AG174</f>
        <v>882</v>
      </c>
      <c r="BU174" s="17">
        <f>武将升星!S167*基础状态预期!J180+J174*(N174+1)+Z174+AH174</f>
        <v>108</v>
      </c>
    </row>
    <row r="175" spans="2:73" x14ac:dyDescent="0.15">
      <c r="B175" s="17">
        <v>33</v>
      </c>
      <c r="C175" s="17">
        <f t="shared" si="165"/>
        <v>24</v>
      </c>
      <c r="D175" s="17">
        <v>30</v>
      </c>
      <c r="E175" s="29">
        <f>基础状态预期!C181</f>
        <v>3710</v>
      </c>
      <c r="F175" s="29">
        <f>基础状态预期!D181</f>
        <v>129.12105302323599</v>
      </c>
      <c r="G175" s="29">
        <f t="shared" si="166"/>
        <v>0</v>
      </c>
      <c r="H175" s="29">
        <f t="shared" si="167"/>
        <v>0</v>
      </c>
      <c r="I175" s="29">
        <f t="shared" si="168"/>
        <v>24</v>
      </c>
      <c r="J175" s="29">
        <f t="shared" si="169"/>
        <v>0</v>
      </c>
      <c r="K175" s="29">
        <f>武将战力价值情况!G171</f>
        <v>3</v>
      </c>
      <c r="L175" s="29">
        <f>武将战力价值情况!H171</f>
        <v>6</v>
      </c>
      <c r="M175" s="29">
        <f>武将战力价值情况!I171</f>
        <v>8</v>
      </c>
      <c r="N175" s="29">
        <f>武将战力价值情况!J171</f>
        <v>8</v>
      </c>
      <c r="O175" s="41">
        <f>MAX(同名需求(G175,求节点(武将升星!$C$104:$C$112,武将升星!E$104:E$112,K175),F$2),武将数量星级阶位验证!AA171)</f>
        <v>24</v>
      </c>
      <c r="P175" s="41">
        <f>MAX(同名需求(H175,求节点(武将升星!$C$104:$C$112,武将升星!F$104:F$112,L175),G$2),武将数量星级阶位验证!AB171)</f>
        <v>120</v>
      </c>
      <c r="Q175" s="41">
        <f>MAX(同名需求(I175,求节点(武将升星!$C$104:$C$112,武将升星!G$104:G$112,M175),H$2),武将数量星级阶位验证!AC171)</f>
        <v>704</v>
      </c>
      <c r="R175" s="41">
        <f>MAX(同名需求(J175,求节点(武将升星!$C$104:$C$112,武将升星!H$104:H$112,N175),I$2),武将数量星级阶位验证!AD171)</f>
        <v>108</v>
      </c>
      <c r="S175" s="29">
        <f>MAX(基础状态预期!P181:T181)</f>
        <v>5</v>
      </c>
      <c r="T175" s="29">
        <f t="shared" si="170"/>
        <v>5</v>
      </c>
      <c r="U175" s="29">
        <f t="shared" si="171"/>
        <v>5</v>
      </c>
      <c r="V175" s="29">
        <f t="shared" si="172"/>
        <v>5</v>
      </c>
      <c r="W175" s="41">
        <f>SUMIFS(武将进阶!F$13:F$18,武将进阶!$C$13:$C$18,"&lt;="&amp;T175)*H175+武将数量星级阶位验证!Q171</f>
        <v>0</v>
      </c>
      <c r="X175" s="41">
        <f>SUMIFS(武将进阶!G$13:G$18,武将进阶!$C$13:$C$18,"&lt;="&amp;U175)*I175+武将数量星级阶位验证!R171</f>
        <v>1824</v>
      </c>
      <c r="Y175" s="41">
        <f>SUMIFS(武将进阶!H$13:H$18,武将进阶!$C$13:$C$18,"&lt;="&amp;V175)*J175+武将数量星级阶位验证!S171</f>
        <v>642</v>
      </c>
      <c r="Z175" s="41">
        <f>SUMIFS(武将进阶!I$13:I$18,武将进阶!$C$13:$C$18,"&lt;="&amp;W175)*K175+武将数量星级阶位验证!T171</f>
        <v>0</v>
      </c>
      <c r="AA175" s="29"/>
      <c r="AB175" s="29">
        <f>求节点(基础状态预期!$AT$17:$AT$55,基础状态预期!AW$17:AW$55,各r阵容卡情况!$F175)</f>
        <v>2</v>
      </c>
      <c r="AC175" s="29">
        <f>求节点(基础状态预期!$AT$17:$AT$55,基础状态预期!AX$17:AX$55,各r阵容卡情况!$F175)</f>
        <v>2</v>
      </c>
      <c r="AD175" s="29">
        <f>求节点(基础状态预期!$AT$17:$AT$55,基础状态预期!AY$17:AY$55,各r阵容卡情况!$F175)</f>
        <v>2</v>
      </c>
      <c r="AE175" s="41">
        <f>IF(AA175&lt;1,0,(AA175-1)*武将觉醒!E$34*G175)+武将数量星级阶位验证!V171</f>
        <v>0</v>
      </c>
      <c r="AF175" s="41">
        <f>IF(AB175&lt;1,0,(AB175-1)*武将觉醒!F$34*H175)+武将数量星级阶位验证!W171</f>
        <v>0</v>
      </c>
      <c r="AG175" s="41">
        <f>IF(AC175&lt;1,0,(AC175-1)*武将觉醒!G$34*I175)+武将数量星级阶位验证!X171</f>
        <v>24</v>
      </c>
      <c r="AH175" s="41">
        <f>IF(AD175&lt;1,0,(AD175-1)*武将觉醒!H$34*J175)+武将数量星级阶位验证!Y171</f>
        <v>0</v>
      </c>
      <c r="AJ175" s="29">
        <f>MAX(W175+AE175+G175*(K175+1)+IF(武将数量星级阶位验证!L171="",0,武将数量星级阶位验证!L171)*武将升星!P168,O175)</f>
        <v>24</v>
      </c>
      <c r="AK175" s="29">
        <f>MAX(X175+AF175+H175*(L175+1)+IF(武将数量星级阶位验证!M171="",0,武将数量星级阶位验证!M171)*武将升星!Q168,P175)</f>
        <v>1824</v>
      </c>
      <c r="AL175" s="64">
        <f>MAX(Y175+AG175+I175*(M175+1)+IF(武将数量星级阶位验证!N171="",0,武将数量星级阶位验证!N171)*武将升星!R168,Q175)</f>
        <v>882</v>
      </c>
      <c r="AM175" s="41">
        <f t="shared" si="173"/>
        <v>108</v>
      </c>
      <c r="AO175" s="17">
        <f>武将数量星级阶位验证!BJ171</f>
        <v>96370.391482448234</v>
      </c>
      <c r="AP175" s="17">
        <f>武将数量星级阶位验证!BK171</f>
        <v>40846.796598654866</v>
      </c>
      <c r="AQ175" s="63">
        <f>武将数量星级阶位验证!BL171</f>
        <v>6099.1929572090485</v>
      </c>
      <c r="AR175" s="17">
        <f>武将数量星级阶位验证!BM171</f>
        <v>2609.035620664361</v>
      </c>
      <c r="AT175" s="17">
        <f t="shared" si="174"/>
        <v>3710</v>
      </c>
      <c r="AU175" s="17">
        <f t="shared" si="175"/>
        <v>129.12105302323599</v>
      </c>
      <c r="BA175" s="17">
        <v>6</v>
      </c>
      <c r="BB175" s="62">
        <f t="shared" si="176"/>
        <v>6</v>
      </c>
      <c r="BD175" s="17">
        <v>0</v>
      </c>
      <c r="BF175" s="17">
        <v>24</v>
      </c>
      <c r="BG175" s="17">
        <v>0</v>
      </c>
      <c r="BH175" s="62">
        <f t="shared" si="177"/>
        <v>24</v>
      </c>
      <c r="BJ175" s="17">
        <f t="shared" si="178"/>
        <v>0</v>
      </c>
      <c r="BK175" s="17">
        <f t="shared" si="179"/>
        <v>0</v>
      </c>
      <c r="BL175" s="17">
        <f t="shared" si="180"/>
        <v>24</v>
      </c>
      <c r="BM175" s="17">
        <f t="shared" si="181"/>
        <v>6</v>
      </c>
      <c r="BN175" s="62">
        <f t="shared" si="182"/>
        <v>30</v>
      </c>
      <c r="BR175" s="17">
        <f>武将升星!P168*基础状态预期!G181+G175*(K175+1)+W175+AE175</f>
        <v>0</v>
      </c>
      <c r="BS175" s="17">
        <f>武将升星!Q168*基础状态预期!H181+H175*(L175+1)+X175+AF175</f>
        <v>1824</v>
      </c>
      <c r="BT175" s="17">
        <f>武将升星!R168*基础状态预期!I181+I175*(M175+1)+Y175+AG175</f>
        <v>882</v>
      </c>
      <c r="BU175" s="17">
        <f>武将升星!S168*基础状态预期!J181+J175*(N175+1)+Z175+AH175</f>
        <v>108</v>
      </c>
    </row>
    <row r="176" spans="2:73" x14ac:dyDescent="0.15">
      <c r="B176" s="17">
        <v>34</v>
      </c>
      <c r="C176" s="17">
        <f t="shared" si="165"/>
        <v>24</v>
      </c>
      <c r="D176" s="17">
        <v>31</v>
      </c>
      <c r="E176" s="29">
        <f>基础状态预期!C182</f>
        <v>4730</v>
      </c>
      <c r="F176" s="29">
        <f>基础状态预期!D182</f>
        <v>132.61179169042359</v>
      </c>
      <c r="G176" s="29">
        <f t="shared" si="166"/>
        <v>0</v>
      </c>
      <c r="H176" s="29">
        <f t="shared" si="167"/>
        <v>0</v>
      </c>
      <c r="I176" s="29">
        <f t="shared" si="168"/>
        <v>24</v>
      </c>
      <c r="J176" s="29">
        <f t="shared" si="169"/>
        <v>0</v>
      </c>
      <c r="K176" s="29">
        <f>武将战力价值情况!G172</f>
        <v>3</v>
      </c>
      <c r="L176" s="29">
        <f>武将战力价值情况!H172</f>
        <v>6</v>
      </c>
      <c r="M176" s="29">
        <f>武将战力价值情况!I172</f>
        <v>8</v>
      </c>
      <c r="N176" s="29">
        <f>武将战力价值情况!J172</f>
        <v>8</v>
      </c>
      <c r="O176" s="41">
        <f>MAX(同名需求(G176,求节点(武将升星!$C$104:$C$112,武将升星!E$104:E$112,K176),F$2),武将数量星级阶位验证!AA172)</f>
        <v>24</v>
      </c>
      <c r="P176" s="41">
        <f>MAX(同名需求(H176,求节点(武将升星!$C$104:$C$112,武将升星!F$104:F$112,L176),G$2),武将数量星级阶位验证!AB172)</f>
        <v>120</v>
      </c>
      <c r="Q176" s="41">
        <f>MAX(同名需求(I176,求节点(武将升星!$C$104:$C$112,武将升星!G$104:G$112,M176),H$2),武将数量星级阶位验证!AC172)</f>
        <v>704</v>
      </c>
      <c r="R176" s="41">
        <f>MAX(同名需求(J176,求节点(武将升星!$C$104:$C$112,武将升星!H$104:H$112,N176),I$2),武将数量星级阶位验证!AD172)</f>
        <v>108</v>
      </c>
      <c r="S176" s="29">
        <f>MAX(基础状态预期!P182:T182)</f>
        <v>5</v>
      </c>
      <c r="T176" s="29">
        <f t="shared" si="170"/>
        <v>5</v>
      </c>
      <c r="U176" s="29">
        <f t="shared" si="171"/>
        <v>5</v>
      </c>
      <c r="V176" s="29">
        <f t="shared" si="172"/>
        <v>5</v>
      </c>
      <c r="W176" s="41">
        <f>SUMIFS(武将进阶!F$13:F$18,武将进阶!$C$13:$C$18,"&lt;="&amp;T176)*H176+武将数量星级阶位验证!Q172</f>
        <v>0</v>
      </c>
      <c r="X176" s="41">
        <f>SUMIFS(武将进阶!G$13:G$18,武将进阶!$C$13:$C$18,"&lt;="&amp;U176)*I176+武将数量星级阶位验证!R172</f>
        <v>1824</v>
      </c>
      <c r="Y176" s="41">
        <f>SUMIFS(武将进阶!H$13:H$18,武将进阶!$C$13:$C$18,"&lt;="&amp;V176)*J176+武将数量星级阶位验证!S172</f>
        <v>642</v>
      </c>
      <c r="Z176" s="41">
        <f>SUMIFS(武将进阶!I$13:I$18,武将进阶!$C$13:$C$18,"&lt;="&amp;W176)*K176+武将数量星级阶位验证!T172</f>
        <v>0</v>
      </c>
      <c r="AA176" s="29"/>
      <c r="AB176" s="29">
        <f>求节点(基础状态预期!$AT$17:$AT$55,基础状态预期!AW$17:AW$55,各r阵容卡情况!$F176)</f>
        <v>2</v>
      </c>
      <c r="AC176" s="29">
        <f>求节点(基础状态预期!$AT$17:$AT$55,基础状态预期!AX$17:AX$55,各r阵容卡情况!$F176)</f>
        <v>2</v>
      </c>
      <c r="AD176" s="29">
        <f>求节点(基础状态预期!$AT$17:$AT$55,基础状态预期!AY$17:AY$55,各r阵容卡情况!$F176)</f>
        <v>2</v>
      </c>
      <c r="AE176" s="41">
        <f>IF(AA176&lt;1,0,(AA176-1)*武将觉醒!E$34*G176)+武将数量星级阶位验证!V172</f>
        <v>0</v>
      </c>
      <c r="AF176" s="41">
        <f>IF(AB176&lt;1,0,(AB176-1)*武将觉醒!F$34*H176)+武将数量星级阶位验证!W172</f>
        <v>0</v>
      </c>
      <c r="AG176" s="41">
        <f>IF(AC176&lt;1,0,(AC176-1)*武将觉醒!G$34*I176)+武将数量星级阶位验证!X172</f>
        <v>24</v>
      </c>
      <c r="AH176" s="41">
        <f>IF(AD176&lt;1,0,(AD176-1)*武将觉醒!H$34*J176)+武将数量星级阶位验证!Y172</f>
        <v>0</v>
      </c>
      <c r="AJ176" s="29">
        <f>MAX(W176+AE176+G176*(K176+1)+IF(武将数量星级阶位验证!L172="",0,武将数量星级阶位验证!L172)*武将升星!P169,O176)</f>
        <v>24</v>
      </c>
      <c r="AK176" s="29">
        <f>MAX(X176+AF176+H176*(L176+1)+IF(武将数量星级阶位验证!M172="",0,武将数量星级阶位验证!M172)*武将升星!Q169,P176)</f>
        <v>1824</v>
      </c>
      <c r="AL176" s="64">
        <f>MAX(Y176+AG176+I176*(M176+1)+IF(武将数量星级阶位验证!N172="",0,武将数量星级阶位验证!N172)*武将升星!R169,Q176)</f>
        <v>882</v>
      </c>
      <c r="AM176" s="41">
        <f t="shared" si="173"/>
        <v>108</v>
      </c>
      <c r="AO176" s="17">
        <f>武将数量星级阶位验证!BJ172</f>
        <v>121363.06178740841</v>
      </c>
      <c r="AP176" s="17">
        <f>武将数量星级阶位验证!BK172</f>
        <v>51310.131898633343</v>
      </c>
      <c r="AQ176" s="63">
        <f>武将数量星级阶位验证!BL172</f>
        <v>7643.1932522058196</v>
      </c>
      <c r="AR176" s="17">
        <f>武将数量星级阶位验证!BM172</f>
        <v>3279.0357681627465</v>
      </c>
      <c r="AT176" s="17">
        <f t="shared" si="174"/>
        <v>4730</v>
      </c>
      <c r="AU176" s="17">
        <f t="shared" si="175"/>
        <v>132.61179169042359</v>
      </c>
      <c r="BA176" s="17">
        <v>6</v>
      </c>
      <c r="BB176" s="62">
        <f t="shared" si="176"/>
        <v>6</v>
      </c>
      <c r="BD176" s="17">
        <v>0</v>
      </c>
      <c r="BF176" s="17">
        <v>24</v>
      </c>
      <c r="BG176" s="17">
        <v>0</v>
      </c>
      <c r="BH176" s="62">
        <f t="shared" si="177"/>
        <v>24</v>
      </c>
      <c r="BJ176" s="17">
        <f t="shared" si="178"/>
        <v>0</v>
      </c>
      <c r="BK176" s="17">
        <f t="shared" si="179"/>
        <v>0</v>
      </c>
      <c r="BL176" s="17">
        <f t="shared" si="180"/>
        <v>24</v>
      </c>
      <c r="BM176" s="17">
        <f t="shared" si="181"/>
        <v>6</v>
      </c>
      <c r="BN176" s="62">
        <f t="shared" si="182"/>
        <v>30</v>
      </c>
      <c r="BR176" s="17">
        <f>武将升星!P169*基础状态预期!G182+G176*(K176+1)+W176+AE176</f>
        <v>0</v>
      </c>
      <c r="BS176" s="17">
        <f>武将升星!Q169*基础状态预期!H182+H176*(L176+1)+X176+AF176</f>
        <v>1824</v>
      </c>
      <c r="BT176" s="17">
        <f>武将升星!R169*基础状态预期!I182+I176*(M176+1)+Y176+AG176</f>
        <v>882</v>
      </c>
      <c r="BU176" s="17">
        <f>武将升星!S169*基础状态预期!J182+J176*(N176+1)+Z176+AH176</f>
        <v>108</v>
      </c>
    </row>
    <row r="177" spans="2:73" x14ac:dyDescent="0.15">
      <c r="B177" s="17">
        <v>35</v>
      </c>
      <c r="C177" s="17">
        <f t="shared" si="165"/>
        <v>24</v>
      </c>
      <c r="D177" s="17">
        <v>32</v>
      </c>
      <c r="E177" s="29">
        <f>基础状态预期!C183</f>
        <v>6020</v>
      </c>
      <c r="F177" s="29">
        <f>基础状态预期!D183</f>
        <v>136.12035534953262</v>
      </c>
      <c r="G177" s="29">
        <f t="shared" si="166"/>
        <v>0</v>
      </c>
      <c r="H177" s="29">
        <f t="shared" si="167"/>
        <v>0</v>
      </c>
      <c r="I177" s="29">
        <f t="shared" si="168"/>
        <v>24</v>
      </c>
      <c r="J177" s="29">
        <f t="shared" si="169"/>
        <v>0</v>
      </c>
      <c r="K177" s="29">
        <f>武将战力价值情况!G173</f>
        <v>3</v>
      </c>
      <c r="L177" s="29">
        <f>武将战力价值情况!H173</f>
        <v>6</v>
      </c>
      <c r="M177" s="29">
        <f>武将战力价值情况!I173</f>
        <v>8</v>
      </c>
      <c r="N177" s="29">
        <f>武将战力价值情况!J173</f>
        <v>8</v>
      </c>
      <c r="O177" s="41">
        <f>MAX(同名需求(G177,求节点(武将升星!$C$104:$C$112,武将升星!E$104:E$112,K177),F$2),武将数量星级阶位验证!AA173)</f>
        <v>24</v>
      </c>
      <c r="P177" s="41">
        <f>MAX(同名需求(H177,求节点(武将升星!$C$104:$C$112,武将升星!F$104:F$112,L177),G$2),武将数量星级阶位验证!AB173)</f>
        <v>120</v>
      </c>
      <c r="Q177" s="41">
        <f>MAX(同名需求(I177,求节点(武将升星!$C$104:$C$112,武将升星!G$104:G$112,M177),H$2),武将数量星级阶位验证!AC173)</f>
        <v>704</v>
      </c>
      <c r="R177" s="41">
        <f>MAX(同名需求(J177,求节点(武将升星!$C$104:$C$112,武将升星!H$104:H$112,N177),I$2),武将数量星级阶位验证!AD173)</f>
        <v>108</v>
      </c>
      <c r="S177" s="29">
        <f>MAX(基础状态预期!P183:T183)</f>
        <v>5</v>
      </c>
      <c r="T177" s="29">
        <f t="shared" si="170"/>
        <v>5</v>
      </c>
      <c r="U177" s="29">
        <f t="shared" si="171"/>
        <v>5</v>
      </c>
      <c r="V177" s="29">
        <f t="shared" si="172"/>
        <v>5</v>
      </c>
      <c r="W177" s="41">
        <f>SUMIFS(武将进阶!F$13:F$18,武将进阶!$C$13:$C$18,"&lt;="&amp;T177)*H177+武将数量星级阶位验证!Q173</f>
        <v>0</v>
      </c>
      <c r="X177" s="41">
        <f>SUMIFS(武将进阶!G$13:G$18,武将进阶!$C$13:$C$18,"&lt;="&amp;U177)*I177+武将数量星级阶位验证!R173</f>
        <v>1824</v>
      </c>
      <c r="Y177" s="41">
        <f>SUMIFS(武将进阶!H$13:H$18,武将进阶!$C$13:$C$18,"&lt;="&amp;V177)*J177+武将数量星级阶位验证!S173</f>
        <v>642</v>
      </c>
      <c r="Z177" s="41">
        <f>SUMIFS(武将进阶!I$13:I$18,武将进阶!$C$13:$C$18,"&lt;="&amp;W177)*K177+武将数量星级阶位验证!T173</f>
        <v>0</v>
      </c>
      <c r="AA177" s="29"/>
      <c r="AB177" s="29">
        <f>求节点(基础状态预期!$AT$17:$AT$55,基础状态预期!AW$17:AW$55,各r阵容卡情况!$F177)</f>
        <v>2</v>
      </c>
      <c r="AC177" s="29">
        <f>求节点(基础状态预期!$AT$17:$AT$55,基础状态预期!AX$17:AX$55,各r阵容卡情况!$F177)</f>
        <v>2</v>
      </c>
      <c r="AD177" s="29">
        <f>求节点(基础状态预期!$AT$17:$AT$55,基础状态预期!AY$17:AY$55,各r阵容卡情况!$F177)</f>
        <v>2</v>
      </c>
      <c r="AE177" s="41">
        <f>IF(AA177&lt;1,0,(AA177-1)*武将觉醒!E$34*G177)+武将数量星级阶位验证!V173</f>
        <v>0</v>
      </c>
      <c r="AF177" s="41">
        <f>IF(AB177&lt;1,0,(AB177-1)*武将觉醒!F$34*H177)+武将数量星级阶位验证!W173</f>
        <v>0</v>
      </c>
      <c r="AG177" s="41">
        <f>IF(AC177&lt;1,0,(AC177-1)*武将觉醒!G$34*I177)+武将数量星级阶位验证!X173</f>
        <v>24</v>
      </c>
      <c r="AH177" s="41">
        <f>IF(AD177&lt;1,0,(AD177-1)*武将觉醒!H$34*J177)+武将数量星级阶位验证!Y173</f>
        <v>0</v>
      </c>
      <c r="AJ177" s="29">
        <f>MAX(W177+AE177+G177*(K177+1)+IF(武将数量星级阶位验证!L173="",0,武将数量星级阶位验证!L173)*武将升星!P170,O177)</f>
        <v>24</v>
      </c>
      <c r="AK177" s="29">
        <f>MAX(X177+AF177+H177*(L177+1)+IF(武将数量星级阶位验证!M173="",0,武将数量星级阶位验证!M173)*武将升星!Q170,P177)</f>
        <v>1824</v>
      </c>
      <c r="AL177" s="64">
        <f>MAX(Y177+AG177+I177*(M177+1)+IF(武将数量星级阶位验证!N173="",0,武将数量星级阶位验证!N173)*武将升星!R170,Q177)</f>
        <v>882</v>
      </c>
      <c r="AM177" s="41">
        <f t="shared" si="173"/>
        <v>108</v>
      </c>
      <c r="AO177" s="17">
        <f>武将数量星级阶位验证!BJ173</f>
        <v>152597.84506118795</v>
      </c>
      <c r="AP177" s="17">
        <f>武将数量星级阶位验证!BK173</f>
        <v>64341.230965541195</v>
      </c>
      <c r="AQ177" s="63">
        <f>武将数量星级阶位验证!BL173</f>
        <v>9565.6081122419982</v>
      </c>
      <c r="AR177" s="17">
        <f>武将数量星级阶位验证!BM173</f>
        <v>4111.2431981808359</v>
      </c>
      <c r="AT177" s="17">
        <f t="shared" si="174"/>
        <v>6020</v>
      </c>
      <c r="AU177" s="17">
        <f t="shared" si="175"/>
        <v>136.12035534953262</v>
      </c>
      <c r="BA177" s="17">
        <v>6</v>
      </c>
      <c r="BB177" s="62">
        <f t="shared" si="176"/>
        <v>6</v>
      </c>
      <c r="BD177" s="17">
        <v>0</v>
      </c>
      <c r="BF177" s="17">
        <v>24</v>
      </c>
      <c r="BG177" s="17">
        <v>0</v>
      </c>
      <c r="BH177" s="62">
        <f t="shared" si="177"/>
        <v>24</v>
      </c>
      <c r="BJ177" s="17">
        <f t="shared" si="178"/>
        <v>0</v>
      </c>
      <c r="BK177" s="17">
        <f t="shared" si="179"/>
        <v>0</v>
      </c>
      <c r="BL177" s="17">
        <f t="shared" si="180"/>
        <v>24</v>
      </c>
      <c r="BM177" s="17">
        <f t="shared" si="181"/>
        <v>6</v>
      </c>
      <c r="BN177" s="62">
        <f t="shared" si="182"/>
        <v>30</v>
      </c>
      <c r="BR177" s="17">
        <f>武将升星!P170*基础状态预期!G183+G177*(K177+1)+W177+AE177</f>
        <v>0</v>
      </c>
      <c r="BS177" s="17">
        <f>武将升星!Q170*基础状态预期!H183+H177*(L177+1)+X177+AF177</f>
        <v>1824</v>
      </c>
      <c r="BT177" s="17">
        <f>武将升星!R170*基础状态预期!I183+I177*(M177+1)+Y177+AG177</f>
        <v>882</v>
      </c>
      <c r="BU177" s="17">
        <f>武将升星!S170*基础状态预期!J183+J177*(N177+1)+Z177+AH177</f>
        <v>108</v>
      </c>
    </row>
    <row r="178" spans="2:73" x14ac:dyDescent="0.15">
      <c r="B178" s="17">
        <v>36</v>
      </c>
      <c r="C178" s="17">
        <f t="shared" si="165"/>
        <v>24</v>
      </c>
      <c r="D178" s="17">
        <v>33</v>
      </c>
      <c r="E178" s="29">
        <f>基础状态预期!C184</f>
        <v>7670</v>
      </c>
      <c r="F178" s="29">
        <f>基础状态预期!D184</f>
        <v>139.6793621861803</v>
      </c>
      <c r="G178" s="29">
        <f t="shared" si="166"/>
        <v>0</v>
      </c>
      <c r="H178" s="29">
        <f t="shared" si="167"/>
        <v>0</v>
      </c>
      <c r="I178" s="29">
        <f t="shared" si="168"/>
        <v>24</v>
      </c>
      <c r="J178" s="29">
        <f t="shared" si="169"/>
        <v>0</v>
      </c>
      <c r="K178" s="29">
        <f>武将战力价值情况!G174</f>
        <v>3</v>
      </c>
      <c r="L178" s="29">
        <f>武将战力价值情况!H174</f>
        <v>6</v>
      </c>
      <c r="M178" s="29">
        <f>武将战力价值情况!I174</f>
        <v>8</v>
      </c>
      <c r="N178" s="29">
        <f>武将战力价值情况!J174</f>
        <v>8</v>
      </c>
      <c r="O178" s="41">
        <f>MAX(同名需求(G178,求节点(武将升星!$C$104:$C$112,武将升星!E$104:E$112,K178),F$2),武将数量星级阶位验证!AA174)</f>
        <v>24</v>
      </c>
      <c r="P178" s="41">
        <f>MAX(同名需求(H178,求节点(武将升星!$C$104:$C$112,武将升星!F$104:F$112,L178),G$2),武将数量星级阶位验证!AB174)</f>
        <v>120</v>
      </c>
      <c r="Q178" s="41">
        <f>MAX(同名需求(I178,求节点(武将升星!$C$104:$C$112,武将升星!G$104:G$112,M178),H$2),武将数量星级阶位验证!AC174)</f>
        <v>704</v>
      </c>
      <c r="R178" s="41">
        <f>MAX(同名需求(J178,求节点(武将升星!$C$104:$C$112,武将升星!H$104:H$112,N178),I$2),武将数量星级阶位验证!AD174)</f>
        <v>108</v>
      </c>
      <c r="S178" s="29">
        <f>MAX(基础状态预期!P184:T184)</f>
        <v>5</v>
      </c>
      <c r="T178" s="29">
        <f t="shared" si="170"/>
        <v>5</v>
      </c>
      <c r="U178" s="29">
        <f t="shared" si="171"/>
        <v>5</v>
      </c>
      <c r="V178" s="29">
        <f t="shared" si="172"/>
        <v>5</v>
      </c>
      <c r="W178" s="41">
        <f>SUMIFS(武将进阶!F$13:F$18,武将进阶!$C$13:$C$18,"&lt;="&amp;T178)*H178+武将数量星级阶位验证!Q174</f>
        <v>0</v>
      </c>
      <c r="X178" s="41">
        <f>SUMIFS(武将进阶!G$13:G$18,武将进阶!$C$13:$C$18,"&lt;="&amp;U178)*I178+武将数量星级阶位验证!R174</f>
        <v>1824</v>
      </c>
      <c r="Y178" s="41">
        <f>SUMIFS(武将进阶!H$13:H$18,武将进阶!$C$13:$C$18,"&lt;="&amp;V178)*J178+武将数量星级阶位验证!S174</f>
        <v>642</v>
      </c>
      <c r="Z178" s="41">
        <f>SUMIFS(武将进阶!I$13:I$18,武将进阶!$C$13:$C$18,"&lt;="&amp;W178)*K178+武将数量星级阶位验证!T174</f>
        <v>0</v>
      </c>
      <c r="AA178" s="29"/>
      <c r="AB178" s="29">
        <f>求节点(基础状态预期!$AT$17:$AT$55,基础状态预期!AW$17:AW$55,各r阵容卡情况!$F178)</f>
        <v>2</v>
      </c>
      <c r="AC178" s="29">
        <f>求节点(基础状态预期!$AT$17:$AT$55,基础状态预期!AX$17:AX$55,各r阵容卡情况!$F178)</f>
        <v>2</v>
      </c>
      <c r="AD178" s="29">
        <f>求节点(基础状态预期!$AT$17:$AT$55,基础状态预期!AY$17:AY$55,各r阵容卡情况!$F178)</f>
        <v>2</v>
      </c>
      <c r="AE178" s="41">
        <f>IF(AA178&lt;1,0,(AA178-1)*武将觉醒!E$34*G178)+武将数量星级阶位验证!V174</f>
        <v>0</v>
      </c>
      <c r="AF178" s="41">
        <f>IF(AB178&lt;1,0,(AB178-1)*武将觉醒!F$34*H178)+武将数量星级阶位验证!W174</f>
        <v>0</v>
      </c>
      <c r="AG178" s="41">
        <f>IF(AC178&lt;1,0,(AC178-1)*武将觉醒!G$34*I178)+武将数量星级阶位验证!X174</f>
        <v>24</v>
      </c>
      <c r="AH178" s="41">
        <f>IF(AD178&lt;1,0,(AD178-1)*武将觉醒!H$34*J178)+武将数量星级阶位验证!Y174</f>
        <v>0</v>
      </c>
      <c r="AJ178" s="29">
        <f>MAX(W178+AE178+G178*(K178+1)+IF(武将数量星级阶位验证!L174="",0,武将数量星级阶位验证!L174)*武将升星!P171,O178)</f>
        <v>24</v>
      </c>
      <c r="AK178" s="29">
        <f>MAX(X178+AF178+H178*(L178+1)+IF(武将数量星级阶位验证!M174="",0,武将数量星级阶位验证!M174)*武将升星!Q171,P178)</f>
        <v>1824</v>
      </c>
      <c r="AL178" s="64">
        <f>MAX(Y178+AG178+I178*(M178+1)+IF(武将数量星级阶位验证!N174="",0,武将数量星级阶位验证!N174)*武将升星!R171,Q178)</f>
        <v>882</v>
      </c>
      <c r="AM178" s="41">
        <f t="shared" si="173"/>
        <v>108</v>
      </c>
      <c r="AO178" s="17">
        <f>武将数量星级阶位验证!BJ174</f>
        <v>192172.74961396426</v>
      </c>
      <c r="AP178" s="17">
        <f>武将数量星级阶位验证!BK174</f>
        <v>80805.368561636496</v>
      </c>
      <c r="AQ178" s="63">
        <f>武将数量星级阶位验证!BL174</f>
        <v>11993.978751656294</v>
      </c>
      <c r="AR178" s="17">
        <f>武将数量星级阶位验证!BM174</f>
        <v>5160.4285178879836</v>
      </c>
      <c r="AT178" s="17">
        <f t="shared" si="174"/>
        <v>7670</v>
      </c>
      <c r="AU178" s="17">
        <f t="shared" si="175"/>
        <v>139.6793621861803</v>
      </c>
      <c r="BA178" s="17">
        <v>6</v>
      </c>
      <c r="BB178" s="62">
        <f t="shared" si="176"/>
        <v>6</v>
      </c>
      <c r="BD178" s="17">
        <v>0</v>
      </c>
      <c r="BF178" s="17">
        <v>24</v>
      </c>
      <c r="BG178" s="17">
        <v>0</v>
      </c>
      <c r="BH178" s="62">
        <f t="shared" si="177"/>
        <v>24</v>
      </c>
      <c r="BJ178" s="17">
        <f t="shared" si="178"/>
        <v>0</v>
      </c>
      <c r="BK178" s="17">
        <f t="shared" si="179"/>
        <v>0</v>
      </c>
      <c r="BL178" s="17">
        <f t="shared" si="180"/>
        <v>24</v>
      </c>
      <c r="BM178" s="17">
        <f t="shared" si="181"/>
        <v>6</v>
      </c>
      <c r="BN178" s="62">
        <f t="shared" si="182"/>
        <v>30</v>
      </c>
      <c r="BR178" s="17">
        <f>武将升星!P171*基础状态预期!G184+G178*(K178+1)+W178+AE178</f>
        <v>0</v>
      </c>
      <c r="BS178" s="17">
        <f>武将升星!Q171*基础状态预期!H184+H178*(L178+1)+X178+AF178</f>
        <v>1824</v>
      </c>
      <c r="BT178" s="17">
        <f>武将升星!R171*基础状态预期!I184+I178*(M178+1)+Y178+AG178</f>
        <v>882</v>
      </c>
      <c r="BU178" s="17">
        <f>武将升星!S171*基础状态预期!J184+J178*(N178+1)+Z178+AH178</f>
        <v>108</v>
      </c>
    </row>
    <row r="179" spans="2:73" x14ac:dyDescent="0.15">
      <c r="B179" s="17">
        <v>37</v>
      </c>
      <c r="C179" s="17">
        <f t="shared" si="165"/>
        <v>24</v>
      </c>
      <c r="D179" s="17">
        <v>34</v>
      </c>
      <c r="E179" s="29">
        <f>基础状态预期!C185</f>
        <v>9770</v>
      </c>
      <c r="F179" s="29">
        <f>基础状态预期!D185</f>
        <v>143.14123736077869</v>
      </c>
      <c r="G179" s="29">
        <f t="shared" si="166"/>
        <v>0</v>
      </c>
      <c r="H179" s="29">
        <f t="shared" si="167"/>
        <v>0</v>
      </c>
      <c r="I179" s="29">
        <f t="shared" si="168"/>
        <v>24</v>
      </c>
      <c r="J179" s="29">
        <f t="shared" si="169"/>
        <v>0</v>
      </c>
      <c r="K179" s="29">
        <f>武将战力价值情况!G175</f>
        <v>3</v>
      </c>
      <c r="L179" s="29">
        <f>武将战力价值情况!H175</f>
        <v>6</v>
      </c>
      <c r="M179" s="29">
        <f>武将战力价值情况!I175</f>
        <v>8</v>
      </c>
      <c r="N179" s="29">
        <f>武将战力价值情况!J175</f>
        <v>8</v>
      </c>
      <c r="O179" s="41">
        <f>MAX(同名需求(G179,求节点(武将升星!$C$104:$C$112,武将升星!E$104:E$112,K179),F$2),武将数量星级阶位验证!AA175)</f>
        <v>24</v>
      </c>
      <c r="P179" s="41">
        <f>MAX(同名需求(H179,求节点(武将升星!$C$104:$C$112,武将升星!F$104:F$112,L179),G$2),武将数量星级阶位验证!AB175)</f>
        <v>120</v>
      </c>
      <c r="Q179" s="41">
        <f>MAX(同名需求(I179,求节点(武将升星!$C$104:$C$112,武将升星!G$104:G$112,M179),H$2),武将数量星级阶位验证!AC175)</f>
        <v>704</v>
      </c>
      <c r="R179" s="41">
        <f>MAX(同名需求(J179,求节点(武将升星!$C$104:$C$112,武将升星!H$104:H$112,N179),I$2),武将数量星级阶位验证!AD175)</f>
        <v>108</v>
      </c>
      <c r="S179" s="29">
        <f>MAX(基础状态预期!P185:T185)</f>
        <v>5</v>
      </c>
      <c r="T179" s="29">
        <f t="shared" si="170"/>
        <v>5</v>
      </c>
      <c r="U179" s="29">
        <f t="shared" si="171"/>
        <v>5</v>
      </c>
      <c r="V179" s="29">
        <f t="shared" si="172"/>
        <v>5</v>
      </c>
      <c r="W179" s="41">
        <f>SUMIFS(武将进阶!F$13:F$18,武将进阶!$C$13:$C$18,"&lt;="&amp;T179)*H179+武将数量星级阶位验证!Q175</f>
        <v>0</v>
      </c>
      <c r="X179" s="41">
        <f>SUMIFS(武将进阶!G$13:G$18,武将进阶!$C$13:$C$18,"&lt;="&amp;U179)*I179+武将数量星级阶位验证!R175</f>
        <v>1824</v>
      </c>
      <c r="Y179" s="41">
        <f>SUMIFS(武将进阶!H$13:H$18,武将进阶!$C$13:$C$18,"&lt;="&amp;V179)*J179+武将数量星级阶位验证!S175</f>
        <v>642</v>
      </c>
      <c r="Z179" s="41">
        <f>SUMIFS(武将进阶!I$13:I$18,武将进阶!$C$13:$C$18,"&lt;="&amp;W179)*K179+武将数量星级阶位验证!T175</f>
        <v>0</v>
      </c>
      <c r="AA179" s="29"/>
      <c r="AB179" s="29">
        <f>求节点(基础状态预期!$AT$17:$AT$55,基础状态预期!AW$17:AW$55,各r阵容卡情况!$F179)</f>
        <v>2</v>
      </c>
      <c r="AC179" s="29">
        <f>求节点(基础状态预期!$AT$17:$AT$55,基础状态预期!AX$17:AX$55,各r阵容卡情况!$F179)</f>
        <v>2</v>
      </c>
      <c r="AD179" s="29">
        <f>求节点(基础状态预期!$AT$17:$AT$55,基础状态预期!AY$17:AY$55,各r阵容卡情况!$F179)</f>
        <v>2</v>
      </c>
      <c r="AE179" s="41">
        <f>IF(AA179&lt;1,0,(AA179-1)*武将觉醒!E$34*G179)+武将数量星级阶位验证!V175</f>
        <v>0</v>
      </c>
      <c r="AF179" s="41">
        <f>IF(AB179&lt;1,0,(AB179-1)*武将觉醒!F$34*H179)+武将数量星级阶位验证!W175</f>
        <v>0</v>
      </c>
      <c r="AG179" s="41">
        <f>IF(AC179&lt;1,0,(AC179-1)*武将觉醒!G$34*I179)+武将数量星级阶位验证!X175</f>
        <v>24</v>
      </c>
      <c r="AH179" s="41">
        <f>IF(AD179&lt;1,0,(AD179-1)*武将觉醒!H$34*J179)+武将数量星级阶位验证!Y175</f>
        <v>0</v>
      </c>
      <c r="AJ179" s="29">
        <f>MAX(W179+AE179+G179*(K179+1)+IF(武将数量星级阶位验证!L175="",0,武将数量星级阶位验证!L175)*武将升星!P172,O179)</f>
        <v>24</v>
      </c>
      <c r="AK179" s="29">
        <f>MAX(X179+AF179+H179*(L179+1)+IF(武将数量星级阶位验证!M175="",0,武将数量星级阶位验证!M175)*武将升星!Q172,P179)</f>
        <v>1824</v>
      </c>
      <c r="AL179" s="64">
        <f>MAX(Y179+AG179+I179*(M179+1)+IF(武将数量星级阶位验证!N175="",0,武将数量星级阶位验证!N175)*武将升星!R172,Q179)</f>
        <v>882</v>
      </c>
      <c r="AM179" s="41">
        <f t="shared" si="173"/>
        <v>108</v>
      </c>
      <c r="AO179" s="17">
        <f>武将数量星级阶位验证!BJ175</f>
        <v>242106.58234235572</v>
      </c>
      <c r="AP179" s="17">
        <f>武将数量星级阶位验证!BK175</f>
        <v>101525.00787428053</v>
      </c>
      <c r="AQ179" s="63">
        <f>武将数量星级阶位验证!BL175</f>
        <v>15049.424648552898</v>
      </c>
      <c r="AR179" s="17">
        <f>武将数量星级阶位验证!BM175</f>
        <v>6478.1514663362859</v>
      </c>
      <c r="AT179" s="17">
        <f t="shared" si="174"/>
        <v>9770</v>
      </c>
      <c r="AU179" s="17">
        <f t="shared" si="175"/>
        <v>143.14123736077869</v>
      </c>
      <c r="BA179" s="17">
        <v>6</v>
      </c>
      <c r="BB179" s="62">
        <f t="shared" si="176"/>
        <v>6</v>
      </c>
      <c r="BD179" s="17">
        <v>0</v>
      </c>
      <c r="BF179" s="17">
        <v>24</v>
      </c>
      <c r="BG179" s="17">
        <v>0</v>
      </c>
      <c r="BH179" s="62">
        <f t="shared" si="177"/>
        <v>24</v>
      </c>
      <c r="BJ179" s="17">
        <f t="shared" si="178"/>
        <v>0</v>
      </c>
      <c r="BK179" s="17">
        <f t="shared" si="179"/>
        <v>0</v>
      </c>
      <c r="BL179" s="17">
        <f t="shared" si="180"/>
        <v>24</v>
      </c>
      <c r="BM179" s="17">
        <f t="shared" si="181"/>
        <v>6</v>
      </c>
      <c r="BN179" s="62">
        <f t="shared" si="182"/>
        <v>30</v>
      </c>
      <c r="BR179" s="17">
        <f>武将升星!P172*基础状态预期!G185+G179*(K179+1)+W179+AE179</f>
        <v>0</v>
      </c>
      <c r="BS179" s="17">
        <f>武将升星!Q172*基础状态预期!H185+H179*(L179+1)+X179+AF179</f>
        <v>1824</v>
      </c>
      <c r="BT179" s="17">
        <f>武将升星!R172*基础状态预期!I185+I179*(M179+1)+Y179+AG179</f>
        <v>882</v>
      </c>
      <c r="BU179" s="17">
        <f>武将升星!S172*基础状态预期!J185+J179*(N179+1)+Z179+AH179</f>
        <v>108</v>
      </c>
    </row>
    <row r="180" spans="2:73" x14ac:dyDescent="0.15">
      <c r="B180" s="17">
        <v>38</v>
      </c>
      <c r="C180" s="17">
        <f t="shared" si="165"/>
        <v>24</v>
      </c>
      <c r="D180" s="17">
        <v>35</v>
      </c>
      <c r="E180" s="29">
        <f>基础状态预期!C186</f>
        <v>12440</v>
      </c>
      <c r="F180" s="29">
        <f>基础状态预期!D186</f>
        <v>146.75578521325724</v>
      </c>
      <c r="G180" s="29">
        <f t="shared" si="166"/>
        <v>0</v>
      </c>
      <c r="H180" s="29">
        <f t="shared" si="167"/>
        <v>0</v>
      </c>
      <c r="I180" s="29">
        <f t="shared" si="168"/>
        <v>24</v>
      </c>
      <c r="J180" s="29">
        <f t="shared" si="169"/>
        <v>0</v>
      </c>
      <c r="K180" s="29">
        <f>武将战力价值情况!G176</f>
        <v>3</v>
      </c>
      <c r="L180" s="29">
        <f>武将战力价值情况!H176</f>
        <v>6</v>
      </c>
      <c r="M180" s="29">
        <f>武将战力价值情况!I176</f>
        <v>8</v>
      </c>
      <c r="N180" s="29">
        <f>武将战力价值情况!J176</f>
        <v>8</v>
      </c>
      <c r="O180" s="41">
        <f>MAX(同名需求(G180,求节点(武将升星!$C$104:$C$112,武将升星!E$104:E$112,K180),F$2),武将数量星级阶位验证!AA176)</f>
        <v>24</v>
      </c>
      <c r="P180" s="41">
        <f>MAX(同名需求(H180,求节点(武将升星!$C$104:$C$112,武将升星!F$104:F$112,L180),G$2),武将数量星级阶位验证!AB176)</f>
        <v>120</v>
      </c>
      <c r="Q180" s="41">
        <f>MAX(同名需求(I180,求节点(武将升星!$C$104:$C$112,武将升星!G$104:G$112,M180),H$2),武将数量星级阶位验证!AC176)</f>
        <v>704</v>
      </c>
      <c r="R180" s="41">
        <f>MAX(同名需求(J180,求节点(武将升星!$C$104:$C$112,武将升星!H$104:H$112,N180),I$2),武将数量星级阶位验证!AD176)</f>
        <v>108</v>
      </c>
      <c r="S180" s="29">
        <f>MAX(基础状态预期!P186:T186)</f>
        <v>5</v>
      </c>
      <c r="T180" s="29">
        <f t="shared" si="170"/>
        <v>5</v>
      </c>
      <c r="U180" s="29">
        <f t="shared" si="171"/>
        <v>5</v>
      </c>
      <c r="V180" s="29">
        <f t="shared" si="172"/>
        <v>5</v>
      </c>
      <c r="W180" s="41">
        <f>SUMIFS(武将进阶!F$13:F$18,武将进阶!$C$13:$C$18,"&lt;="&amp;T180)*H180+武将数量星级阶位验证!Q176</f>
        <v>0</v>
      </c>
      <c r="X180" s="41">
        <f>SUMIFS(武将进阶!G$13:G$18,武将进阶!$C$13:$C$18,"&lt;="&amp;U180)*I180+武将数量星级阶位验证!R176</f>
        <v>1824</v>
      </c>
      <c r="Y180" s="41">
        <f>SUMIFS(武将进阶!H$13:H$18,武将进阶!$C$13:$C$18,"&lt;="&amp;V180)*J180+武将数量星级阶位验证!S176</f>
        <v>642</v>
      </c>
      <c r="Z180" s="41">
        <f>SUMIFS(武将进阶!I$13:I$18,武将进阶!$C$13:$C$18,"&lt;="&amp;W180)*K180+武将数量星级阶位验证!T176</f>
        <v>0</v>
      </c>
      <c r="AA180" s="29"/>
      <c r="AB180" s="29">
        <f>求节点(基础状态预期!$AT$17:$AT$55,基础状态预期!AW$17:AW$55,各r阵容卡情况!$F180)</f>
        <v>2</v>
      </c>
      <c r="AC180" s="29">
        <f>求节点(基础状态预期!$AT$17:$AT$55,基础状态预期!AX$17:AX$55,各r阵容卡情况!$F180)</f>
        <v>2</v>
      </c>
      <c r="AD180" s="29">
        <f>求节点(基础状态预期!$AT$17:$AT$55,基础状态预期!AY$17:AY$55,各r阵容卡情况!$F180)</f>
        <v>2</v>
      </c>
      <c r="AE180" s="41">
        <f>IF(AA180&lt;1,0,(AA180-1)*武将觉醒!E$34*G180)+武将数量星级阶位验证!V176</f>
        <v>0</v>
      </c>
      <c r="AF180" s="41">
        <f>IF(AB180&lt;1,0,(AB180-1)*武将觉醒!F$34*H180)+武将数量星级阶位验证!W176</f>
        <v>0</v>
      </c>
      <c r="AG180" s="41">
        <f>IF(AC180&lt;1,0,(AC180-1)*武将觉醒!G$34*I180)+武将数量星级阶位验证!X176</f>
        <v>24</v>
      </c>
      <c r="AH180" s="41">
        <f>IF(AD180&lt;1,0,(AD180-1)*武将觉醒!H$34*J180)+武将数量星级阶位验证!Y176</f>
        <v>0</v>
      </c>
      <c r="AJ180" s="29">
        <f>MAX(W180+AE180+G180*(K180+1)+IF(武将数量星级阶位验证!L176="",0,武将数量星级阶位验证!L176)*武将升星!P173,O180)</f>
        <v>24</v>
      </c>
      <c r="AK180" s="29">
        <f>MAX(X180+AF180+H180*(L180+1)+IF(武将数量星级阶位验证!M176="",0,武将数量星级阶位验证!M176)*武将升星!Q173,P180)</f>
        <v>1824</v>
      </c>
      <c r="AL180" s="64">
        <f>MAX(Y180+AG180+I180*(M180+1)+IF(武将数量星级阶位验证!N176="",0,武将数量星级阶位验证!N176)*武将升星!R173,Q180)</f>
        <v>882</v>
      </c>
      <c r="AM180" s="41">
        <f t="shared" si="173"/>
        <v>108</v>
      </c>
      <c r="AO180" s="17">
        <f>武将数量星级阶位验证!BJ176</f>
        <v>304847.09565805062</v>
      </c>
      <c r="AP180" s="17">
        <f>武将数量星级阶位验证!BK176</f>
        <v>127464.87993681832</v>
      </c>
      <c r="AQ180" s="63">
        <f>武将数量星级阶位验证!BL176</f>
        <v>18873.655457933564</v>
      </c>
      <c r="AR180" s="17">
        <f>武将数量星级阶位验证!BM176</f>
        <v>8123.2668710266198</v>
      </c>
      <c r="AT180" s="17">
        <f t="shared" si="174"/>
        <v>12440</v>
      </c>
      <c r="AU180" s="17">
        <f t="shared" si="175"/>
        <v>146.75578521325724</v>
      </c>
      <c r="BA180" s="17">
        <v>6</v>
      </c>
      <c r="BB180" s="62">
        <f t="shared" si="176"/>
        <v>6</v>
      </c>
      <c r="BD180" s="17">
        <v>0</v>
      </c>
      <c r="BF180" s="17">
        <v>24</v>
      </c>
      <c r="BG180" s="17">
        <v>0</v>
      </c>
      <c r="BH180" s="62">
        <f t="shared" si="177"/>
        <v>24</v>
      </c>
      <c r="BJ180" s="17">
        <f t="shared" si="178"/>
        <v>0</v>
      </c>
      <c r="BK180" s="17">
        <f t="shared" si="179"/>
        <v>0</v>
      </c>
      <c r="BL180" s="17">
        <f t="shared" si="180"/>
        <v>24</v>
      </c>
      <c r="BM180" s="17">
        <f t="shared" si="181"/>
        <v>6</v>
      </c>
      <c r="BN180" s="62">
        <f t="shared" si="182"/>
        <v>30</v>
      </c>
      <c r="BR180" s="17">
        <f>武将升星!P173*基础状态预期!G186+G180*(K180+1)+W180+AE180</f>
        <v>0</v>
      </c>
      <c r="BS180" s="17">
        <f>武将升星!Q173*基础状态预期!H186+H180*(L180+1)+X180+AF180</f>
        <v>1824</v>
      </c>
      <c r="BT180" s="17">
        <f>武将升星!R173*基础状态预期!I186+I180*(M180+1)+Y180+AG180</f>
        <v>882</v>
      </c>
      <c r="BU180" s="17">
        <f>武将升星!S173*基础状态预期!J186+J180*(N180+1)+Z180+AH180</f>
        <v>108</v>
      </c>
    </row>
    <row r="181" spans="2:73" x14ac:dyDescent="0.15">
      <c r="B181" s="17">
        <v>39</v>
      </c>
      <c r="C181" s="17">
        <f t="shared" si="165"/>
        <v>24</v>
      </c>
      <c r="D181" s="17">
        <v>36</v>
      </c>
      <c r="E181" s="29">
        <f>基础状态预期!C187</f>
        <v>15860</v>
      </c>
      <c r="F181" s="29">
        <f>基础状态预期!D187</f>
        <v>150.21349802228445</v>
      </c>
      <c r="G181" s="29">
        <f t="shared" si="166"/>
        <v>0</v>
      </c>
      <c r="H181" s="29">
        <f t="shared" si="167"/>
        <v>0</v>
      </c>
      <c r="I181" s="29">
        <f t="shared" si="168"/>
        <v>24</v>
      </c>
      <c r="J181" s="29">
        <f t="shared" si="169"/>
        <v>0</v>
      </c>
      <c r="K181" s="29">
        <f>武将战力价值情况!G177</f>
        <v>3</v>
      </c>
      <c r="L181" s="29">
        <f>武将战力价值情况!H177</f>
        <v>6</v>
      </c>
      <c r="M181" s="29">
        <f>武将战力价值情况!I177</f>
        <v>8</v>
      </c>
      <c r="N181" s="29">
        <f>武将战力价值情况!J177</f>
        <v>8</v>
      </c>
      <c r="O181" s="41">
        <f>MAX(同名需求(G181,求节点(武将升星!$C$104:$C$112,武将升星!E$104:E$112,K181),F$2),武将数量星级阶位验证!AA177)</f>
        <v>24</v>
      </c>
      <c r="P181" s="41">
        <f>MAX(同名需求(H181,求节点(武将升星!$C$104:$C$112,武将升星!F$104:F$112,L181),G$2),武将数量星级阶位验证!AB177)</f>
        <v>120</v>
      </c>
      <c r="Q181" s="41">
        <f>MAX(同名需求(I181,求节点(武将升星!$C$104:$C$112,武将升星!G$104:G$112,M181),H$2),武将数量星级阶位验证!AC177)</f>
        <v>704</v>
      </c>
      <c r="R181" s="41">
        <f>MAX(同名需求(J181,求节点(武将升星!$C$104:$C$112,武将升星!H$104:H$112,N181),I$2),武将数量星级阶位验证!AD177)</f>
        <v>108</v>
      </c>
      <c r="S181" s="29">
        <f>MAX(基础状态预期!P187:T187)</f>
        <v>5</v>
      </c>
      <c r="T181" s="29">
        <f t="shared" si="170"/>
        <v>5</v>
      </c>
      <c r="U181" s="29">
        <f t="shared" si="171"/>
        <v>5</v>
      </c>
      <c r="V181" s="29">
        <f t="shared" si="172"/>
        <v>5</v>
      </c>
      <c r="W181" s="41">
        <f>SUMIFS(武将进阶!F$13:F$18,武将进阶!$C$13:$C$18,"&lt;="&amp;T181)*H181+武将数量星级阶位验证!Q177</f>
        <v>0</v>
      </c>
      <c r="X181" s="41">
        <f>SUMIFS(武将进阶!G$13:G$18,武将进阶!$C$13:$C$18,"&lt;="&amp;U181)*I181+武将数量星级阶位验证!R177</f>
        <v>1824</v>
      </c>
      <c r="Y181" s="41">
        <f>SUMIFS(武将进阶!H$13:H$18,武将进阶!$C$13:$C$18,"&lt;="&amp;V181)*J181+武将数量星级阶位验证!S177</f>
        <v>642</v>
      </c>
      <c r="Z181" s="41">
        <f>SUMIFS(武将进阶!I$13:I$18,武将进阶!$C$13:$C$18,"&lt;="&amp;W181)*K181+武将数量星级阶位验证!T177</f>
        <v>0</v>
      </c>
      <c r="AA181" s="29"/>
      <c r="AB181" s="29">
        <f>求节点(基础状态预期!$AT$17:$AT$55,基础状态预期!AW$17:AW$55,各r阵容卡情况!$F181)</f>
        <v>2</v>
      </c>
      <c r="AC181" s="29">
        <f>求节点(基础状态预期!$AT$17:$AT$55,基础状态预期!AX$17:AX$55,各r阵容卡情况!$F181)</f>
        <v>2</v>
      </c>
      <c r="AD181" s="29">
        <f>求节点(基础状态预期!$AT$17:$AT$55,基础状态预期!AY$17:AY$55,各r阵容卡情况!$F181)</f>
        <v>2</v>
      </c>
      <c r="AE181" s="41">
        <f>IF(AA181&lt;1,0,(AA181-1)*武将觉醒!E$34*G181)+武将数量星级阶位验证!V177</f>
        <v>0</v>
      </c>
      <c r="AF181" s="41">
        <f>IF(AB181&lt;1,0,(AB181-1)*武将觉醒!F$34*H181)+武将数量星级阶位验证!W177</f>
        <v>0</v>
      </c>
      <c r="AG181" s="41">
        <f>IF(AC181&lt;1,0,(AC181-1)*武将觉醒!G$34*I181)+武将数量星级阶位验证!X177</f>
        <v>24</v>
      </c>
      <c r="AH181" s="41">
        <f>IF(AD181&lt;1,0,(AD181-1)*武将觉醒!H$34*J181)+武将数量星级阶位验证!Y177</f>
        <v>0</v>
      </c>
      <c r="AJ181" s="29">
        <f>MAX(W181+AE181+G181*(K181+1)+IF(武将数量星级阶位验证!L177="",0,武将数量星级阶位验证!L177)*武将升星!P174,O181)</f>
        <v>24</v>
      </c>
      <c r="AK181" s="29">
        <f>MAX(X181+AF181+H181*(L181+1)+IF(武将数量星级阶位验证!M177="",0,武将数量星级阶位验证!M177)*武将升星!Q174,P181)</f>
        <v>1824</v>
      </c>
      <c r="AL181" s="64">
        <f>MAX(Y181+AG181+I181*(M181+1)+IF(武将数量星级阶位验证!N177="",0,武将数量星级阶位验证!N177)*武将升星!R174,Q181)</f>
        <v>882</v>
      </c>
      <c r="AM181" s="41">
        <f t="shared" si="173"/>
        <v>108</v>
      </c>
      <c r="AO181" s="17">
        <f>武将数量星级阶位验证!BJ177</f>
        <v>384372.4796994669</v>
      </c>
      <c r="AP181" s="17">
        <f>武将数量星级阶位验证!BK177</f>
        <v>160237.79022947577</v>
      </c>
      <c r="AQ181" s="63">
        <f>武将数量星级阶位验证!BL177</f>
        <v>23704.092001832181</v>
      </c>
      <c r="AR181" s="17">
        <f>武将数量星级阶位验证!BM177</f>
        <v>10196.485142975929</v>
      </c>
      <c r="AT181" s="17">
        <f t="shared" si="174"/>
        <v>15860</v>
      </c>
      <c r="AU181" s="17">
        <f t="shared" si="175"/>
        <v>150.21349802228445</v>
      </c>
      <c r="BA181" s="17">
        <v>6</v>
      </c>
      <c r="BB181" s="62">
        <f t="shared" si="176"/>
        <v>6</v>
      </c>
      <c r="BD181" s="17">
        <v>0</v>
      </c>
      <c r="BF181" s="17">
        <v>24</v>
      </c>
      <c r="BG181" s="17">
        <v>0</v>
      </c>
      <c r="BH181" s="62">
        <f t="shared" si="177"/>
        <v>24</v>
      </c>
      <c r="BJ181" s="17">
        <f t="shared" si="178"/>
        <v>0</v>
      </c>
      <c r="BK181" s="17">
        <f t="shared" si="179"/>
        <v>0</v>
      </c>
      <c r="BL181" s="17">
        <f t="shared" si="180"/>
        <v>24</v>
      </c>
      <c r="BM181" s="17">
        <f t="shared" si="181"/>
        <v>6</v>
      </c>
      <c r="BN181" s="62">
        <f t="shared" si="182"/>
        <v>30</v>
      </c>
      <c r="BR181" s="17">
        <f>武将升星!P174*基础状态预期!G187+G181*(K181+1)+W181+AE181</f>
        <v>0</v>
      </c>
      <c r="BS181" s="17">
        <f>武将升星!Q174*基础状态预期!H187+H181*(L181+1)+X181+AF181</f>
        <v>1824</v>
      </c>
      <c r="BT181" s="17">
        <f>武将升星!R174*基础状态预期!I187+I181*(M181+1)+Y181+AG181</f>
        <v>882</v>
      </c>
      <c r="BU181" s="17">
        <f>武将升星!S174*基础状态预期!J187+J181*(N181+1)+Z181+AH181</f>
        <v>108</v>
      </c>
    </row>
    <row r="182" spans="2:73" x14ac:dyDescent="0.15">
      <c r="B182" s="17">
        <v>40</v>
      </c>
      <c r="C182" s="17">
        <f t="shared" si="165"/>
        <v>24</v>
      </c>
      <c r="D182" s="17">
        <v>37</v>
      </c>
      <c r="E182" s="29">
        <f>基础状态预期!C188</f>
        <v>20210</v>
      </c>
      <c r="F182" s="29">
        <f>基础状态预期!D188</f>
        <v>152.32856849044819</v>
      </c>
      <c r="G182" s="29">
        <f t="shared" si="166"/>
        <v>0</v>
      </c>
      <c r="H182" s="29">
        <f t="shared" si="167"/>
        <v>0</v>
      </c>
      <c r="I182" s="29">
        <f t="shared" si="168"/>
        <v>24</v>
      </c>
      <c r="J182" s="29">
        <f t="shared" si="169"/>
        <v>0</v>
      </c>
      <c r="K182" s="29">
        <f>武将战力价值情况!G178</f>
        <v>3</v>
      </c>
      <c r="L182" s="29">
        <f>武将战力价值情况!H178</f>
        <v>6</v>
      </c>
      <c r="M182" s="29">
        <f>武将战力价值情况!I178</f>
        <v>8</v>
      </c>
      <c r="N182" s="29">
        <f>武将战力价值情况!J178</f>
        <v>8</v>
      </c>
      <c r="O182" s="41">
        <f>MAX(同名需求(G182,求节点(武将升星!$C$104:$C$112,武将升星!E$104:E$112,K182),F$2),武将数量星级阶位验证!AA178)</f>
        <v>24</v>
      </c>
      <c r="P182" s="41">
        <f>MAX(同名需求(H182,求节点(武将升星!$C$104:$C$112,武将升星!F$104:F$112,L182),G$2),武将数量星级阶位验证!AB178)</f>
        <v>120</v>
      </c>
      <c r="Q182" s="41">
        <f>MAX(同名需求(I182,求节点(武将升星!$C$104:$C$112,武将升星!G$104:G$112,M182),H$2),武将数量星级阶位验证!AC178)</f>
        <v>704</v>
      </c>
      <c r="R182" s="41">
        <f>MAX(同名需求(J182,求节点(武将升星!$C$104:$C$112,武将升星!H$104:H$112,N182),I$2),武将数量星级阶位验证!AD178)</f>
        <v>108</v>
      </c>
      <c r="S182" s="29">
        <f>MAX(基础状态预期!P188:T188)</f>
        <v>5</v>
      </c>
      <c r="T182" s="29">
        <f t="shared" si="170"/>
        <v>5</v>
      </c>
      <c r="U182" s="29">
        <f t="shared" si="171"/>
        <v>5</v>
      </c>
      <c r="V182" s="29">
        <f t="shared" si="172"/>
        <v>5</v>
      </c>
      <c r="W182" s="41">
        <f>SUMIFS(武将进阶!F$13:F$18,武将进阶!$C$13:$C$18,"&lt;="&amp;T182)*H182+武将数量星级阶位验证!Q178</f>
        <v>0</v>
      </c>
      <c r="X182" s="41">
        <f>SUMIFS(武将进阶!G$13:G$18,武将进阶!$C$13:$C$18,"&lt;="&amp;U182)*I182+武将数量星级阶位验证!R178</f>
        <v>1824</v>
      </c>
      <c r="Y182" s="41">
        <f>SUMIFS(武将进阶!H$13:H$18,武将进阶!$C$13:$C$18,"&lt;="&amp;V182)*J182+武将数量星级阶位验证!S178</f>
        <v>642</v>
      </c>
      <c r="Z182" s="41">
        <f>SUMIFS(武将进阶!I$13:I$18,武将进阶!$C$13:$C$18,"&lt;="&amp;W182)*K182+武将数量星级阶位验证!T178</f>
        <v>0</v>
      </c>
      <c r="AA182" s="29"/>
      <c r="AB182" s="29">
        <f>求节点(基础状态预期!$AT$17:$AT$55,基础状态预期!AW$17:AW$55,各r阵容卡情况!$F182)</f>
        <v>2</v>
      </c>
      <c r="AC182" s="29">
        <f>求节点(基础状态预期!$AT$17:$AT$55,基础状态预期!AX$17:AX$55,各r阵容卡情况!$F182)</f>
        <v>2</v>
      </c>
      <c r="AD182" s="29">
        <f>求节点(基础状态预期!$AT$17:$AT$55,基础状态预期!AY$17:AY$55,各r阵容卡情况!$F182)</f>
        <v>2</v>
      </c>
      <c r="AE182" s="41">
        <f>IF(AA182&lt;1,0,(AA182-1)*武将觉醒!E$34*G182)+武将数量星级阶位验证!V178</f>
        <v>0</v>
      </c>
      <c r="AF182" s="41">
        <f>IF(AB182&lt;1,0,(AB182-1)*武将觉醒!F$34*H182)+武将数量星级阶位验证!W178</f>
        <v>0</v>
      </c>
      <c r="AG182" s="41">
        <f>IF(AC182&lt;1,0,(AC182-1)*武将觉醒!G$34*I182)+武将数量星级阶位验证!X178</f>
        <v>24</v>
      </c>
      <c r="AH182" s="41">
        <f>IF(AD182&lt;1,0,(AD182-1)*武将觉醒!H$34*J182)+武将数量星级阶位验证!Y178</f>
        <v>0</v>
      </c>
      <c r="AJ182" s="29">
        <f>MAX(W182+AE182+G182*(K182+1)+IF(武将数量星级阶位验证!L178="",0,武将数量星级阶位验证!L178)*武将升星!P175,O182)</f>
        <v>24</v>
      </c>
      <c r="AK182" s="29">
        <f>MAX(X182+AF182+H182*(L182+1)+IF(武将数量星级阶位验证!M178="",0,武将数量星级阶位验证!M178)*武将升星!Q175,P182)</f>
        <v>1824</v>
      </c>
      <c r="AL182" s="64">
        <f>MAX(Y182+AG182+I182*(M182+1)+IF(武将数量星级阶位验证!N178="",0,武将数量星级阶位验证!N178)*武将升星!R175,Q182)</f>
        <v>882</v>
      </c>
      <c r="AM182" s="41">
        <f t="shared" si="173"/>
        <v>108</v>
      </c>
      <c r="AO182" s="17">
        <f>武将数量星级阶位验证!BJ178</f>
        <v>484843.38635281043</v>
      </c>
      <c r="AP182" s="17">
        <f>武将数量星级阶位验证!BK178</f>
        <v>201555.17220425606</v>
      </c>
      <c r="AQ182" s="63">
        <f>武将数量星级阶位验证!BL178</f>
        <v>29792.949298049225</v>
      </c>
      <c r="AR182" s="17">
        <f>武将数量星级阶位验证!BM178</f>
        <v>12805.913791084451</v>
      </c>
      <c r="AT182" s="17">
        <f t="shared" si="174"/>
        <v>20210</v>
      </c>
      <c r="AU182" s="17">
        <f t="shared" si="175"/>
        <v>152.32856849044819</v>
      </c>
      <c r="BA182" s="17">
        <v>6</v>
      </c>
      <c r="BB182" s="62">
        <f t="shared" si="176"/>
        <v>6</v>
      </c>
      <c r="BD182" s="17">
        <v>0</v>
      </c>
      <c r="BF182" s="17">
        <v>24</v>
      </c>
      <c r="BG182" s="17">
        <v>0</v>
      </c>
      <c r="BH182" s="62">
        <f t="shared" si="177"/>
        <v>24</v>
      </c>
      <c r="BJ182" s="17">
        <f t="shared" si="178"/>
        <v>0</v>
      </c>
      <c r="BK182" s="17">
        <f t="shared" si="179"/>
        <v>0</v>
      </c>
      <c r="BL182" s="17">
        <f t="shared" si="180"/>
        <v>24</v>
      </c>
      <c r="BM182" s="17">
        <f t="shared" si="181"/>
        <v>6</v>
      </c>
      <c r="BN182" s="62">
        <f t="shared" si="182"/>
        <v>30</v>
      </c>
      <c r="BR182" s="17">
        <f>武将升星!P175*基础状态预期!G188+G182*(K182+1)+W182+AE182</f>
        <v>0</v>
      </c>
      <c r="BS182" s="17">
        <f>武将升星!Q175*基础状态预期!H188+H182*(L182+1)+X182+AF182</f>
        <v>1824</v>
      </c>
      <c r="BT182" s="17">
        <f>武将升星!R175*基础状态预期!I188+I182*(M182+1)+Y182+AG182</f>
        <v>882</v>
      </c>
      <c r="BU182" s="17">
        <f>武将升星!S175*基础状态预期!J188+J182*(N182+1)+Z182+AH182</f>
        <v>108</v>
      </c>
    </row>
    <row r="183" spans="2:73" x14ac:dyDescent="0.15">
      <c r="B183" s="17">
        <v>41</v>
      </c>
      <c r="C183" s="17">
        <f t="shared" si="165"/>
        <v>24</v>
      </c>
      <c r="D183" s="17">
        <v>38</v>
      </c>
      <c r="E183" s="29">
        <f>基础状态预期!C189</f>
        <v>25760</v>
      </c>
      <c r="F183" s="29">
        <f>基础状态预期!D189</f>
        <v>153.15627769682186</v>
      </c>
      <c r="G183" s="29">
        <f t="shared" si="166"/>
        <v>0</v>
      </c>
      <c r="H183" s="29">
        <f t="shared" si="167"/>
        <v>0</v>
      </c>
      <c r="I183" s="29">
        <f t="shared" si="168"/>
        <v>24</v>
      </c>
      <c r="J183" s="29">
        <f t="shared" si="169"/>
        <v>0</v>
      </c>
      <c r="K183" s="29">
        <f>武将战力价值情况!G179</f>
        <v>3</v>
      </c>
      <c r="L183" s="29">
        <f>武将战力价值情况!H179</f>
        <v>6</v>
      </c>
      <c r="M183" s="29">
        <f>武将战力价值情况!I179</f>
        <v>8</v>
      </c>
      <c r="N183" s="29">
        <f>武将战力价值情况!J179</f>
        <v>8</v>
      </c>
      <c r="O183" s="41">
        <f>MAX(同名需求(G183,求节点(武将升星!$C$104:$C$112,武将升星!E$104:E$112,K183),F$2),武将数量星级阶位验证!AA179)</f>
        <v>24</v>
      </c>
      <c r="P183" s="41">
        <f>MAX(同名需求(H183,求节点(武将升星!$C$104:$C$112,武将升星!F$104:F$112,L183),G$2),武将数量星级阶位验证!AB179)</f>
        <v>120</v>
      </c>
      <c r="Q183" s="41">
        <f>MAX(同名需求(I183,求节点(武将升星!$C$104:$C$112,武将升星!G$104:G$112,M183),H$2),武将数量星级阶位验证!AC179)</f>
        <v>704</v>
      </c>
      <c r="R183" s="41">
        <f>MAX(同名需求(J183,求节点(武将升星!$C$104:$C$112,武将升星!H$104:H$112,N183),I$2),武将数量星级阶位验证!AD179)</f>
        <v>108</v>
      </c>
      <c r="S183" s="29">
        <f>MAX(基础状态预期!P189:T189)</f>
        <v>5</v>
      </c>
      <c r="T183" s="29">
        <f t="shared" si="170"/>
        <v>5</v>
      </c>
      <c r="U183" s="29">
        <f t="shared" si="171"/>
        <v>5</v>
      </c>
      <c r="V183" s="29">
        <f t="shared" si="172"/>
        <v>5</v>
      </c>
      <c r="W183" s="41">
        <f>SUMIFS(武将进阶!F$13:F$18,武将进阶!$C$13:$C$18,"&lt;="&amp;T183)*H183+武将数量星级阶位验证!Q179</f>
        <v>0</v>
      </c>
      <c r="X183" s="41">
        <f>SUMIFS(武将进阶!G$13:G$18,武将进阶!$C$13:$C$18,"&lt;="&amp;U183)*I183+武将数量星级阶位验证!R179</f>
        <v>1824</v>
      </c>
      <c r="Y183" s="41">
        <f>SUMIFS(武将进阶!H$13:H$18,武将进阶!$C$13:$C$18,"&lt;="&amp;V183)*J183+武将数量星级阶位验证!S179</f>
        <v>642</v>
      </c>
      <c r="Z183" s="41">
        <f>SUMIFS(武将进阶!I$13:I$18,武将进阶!$C$13:$C$18,"&lt;="&amp;W183)*K183+武将数量星级阶位验证!T179</f>
        <v>0</v>
      </c>
      <c r="AA183" s="29"/>
      <c r="AB183" s="29">
        <f>求节点(基础状态预期!$AT$17:$AT$55,基础状态预期!AW$17:AW$55,各r阵容卡情况!$F183)</f>
        <v>2</v>
      </c>
      <c r="AC183" s="29">
        <f>求节点(基础状态预期!$AT$17:$AT$55,基础状态预期!AX$17:AX$55,各r阵容卡情况!$F183)</f>
        <v>2</v>
      </c>
      <c r="AD183" s="29">
        <f>求节点(基础状态预期!$AT$17:$AT$55,基础状态预期!AY$17:AY$55,各r阵容卡情况!$F183)</f>
        <v>2</v>
      </c>
      <c r="AE183" s="41">
        <f>IF(AA183&lt;1,0,(AA183-1)*武将觉醒!E$34*G183)+武将数量星级阶位验证!V179</f>
        <v>0</v>
      </c>
      <c r="AF183" s="41">
        <f>IF(AB183&lt;1,0,(AB183-1)*武将觉醒!F$34*H183)+武将数量星级阶位验证!W179</f>
        <v>0</v>
      </c>
      <c r="AG183" s="41">
        <f>IF(AC183&lt;1,0,(AC183-1)*武将觉醒!G$34*I183)+武将数量星级阶位验证!X179</f>
        <v>24</v>
      </c>
      <c r="AH183" s="41">
        <f>IF(AD183&lt;1,0,(AD183-1)*武将觉醒!H$34*J183)+武将数量星级阶位验证!Y179</f>
        <v>0</v>
      </c>
      <c r="AJ183" s="29">
        <f>MAX(W183+AE183+G183*(K183+1)+IF(武将数量星级阶位验证!L179="",0,武将数量星级阶位验证!L179)*武将升星!P176,O183)</f>
        <v>24</v>
      </c>
      <c r="AK183" s="29">
        <f>MAX(X183+AF183+H183*(L183+1)+IF(武将数量星级阶位验证!M179="",0,武将数量星级阶位验证!M179)*武将升星!Q176,P183)</f>
        <v>1824</v>
      </c>
      <c r="AL183" s="64">
        <f>MAX(Y183+AG183+I183*(M183+1)+IF(武将数量星级阶位验证!N179="",0,武将数量星级阶位验证!N179)*武将升星!R176,Q183)</f>
        <v>882</v>
      </c>
      <c r="AM183" s="41">
        <f t="shared" si="173"/>
        <v>108</v>
      </c>
      <c r="AO183" s="17">
        <f>武将数量星级阶位验证!BJ179</f>
        <v>611581.07237348624</v>
      </c>
      <c r="AP183" s="17">
        <f>武将数量星级阶位验证!BK179</f>
        <v>253487.02951272944</v>
      </c>
      <c r="AQ183" s="63">
        <f>武将数量星级阶位验证!BL179</f>
        <v>37443.977894320233</v>
      </c>
      <c r="AR183" s="17">
        <f>武将数量星级阶位验证!BM179</f>
        <v>16076.428089219955</v>
      </c>
      <c r="AT183" s="17">
        <f t="shared" si="174"/>
        <v>25760</v>
      </c>
      <c r="AU183" s="17">
        <f t="shared" si="175"/>
        <v>153.15627769682186</v>
      </c>
      <c r="BA183" s="17">
        <v>6</v>
      </c>
      <c r="BB183" s="62">
        <f t="shared" si="176"/>
        <v>6</v>
      </c>
      <c r="BD183" s="17">
        <v>0</v>
      </c>
      <c r="BF183" s="17">
        <v>24</v>
      </c>
      <c r="BG183" s="17">
        <v>0</v>
      </c>
      <c r="BH183" s="62">
        <f t="shared" si="177"/>
        <v>24</v>
      </c>
      <c r="BJ183" s="17">
        <f t="shared" si="178"/>
        <v>0</v>
      </c>
      <c r="BK183" s="17">
        <f t="shared" si="179"/>
        <v>0</v>
      </c>
      <c r="BL183" s="17">
        <f t="shared" si="180"/>
        <v>24</v>
      </c>
      <c r="BM183" s="17">
        <f t="shared" si="181"/>
        <v>6</v>
      </c>
      <c r="BN183" s="62">
        <f t="shared" si="182"/>
        <v>30</v>
      </c>
      <c r="BR183" s="17">
        <f>武将升星!P176*基础状态预期!G189+G183*(K183+1)+W183+AE183</f>
        <v>0</v>
      </c>
      <c r="BS183" s="17">
        <f>武将升星!Q176*基础状态预期!H189+H183*(L183+1)+X183+AF183</f>
        <v>1824</v>
      </c>
      <c r="BT183" s="17">
        <f>武将升星!R176*基础状态预期!I189+I183*(M183+1)+Y183+AG183</f>
        <v>882</v>
      </c>
      <c r="BU183" s="17">
        <f>武将升星!S176*基础状态预期!J189+J183*(N183+1)+Z183+AH183</f>
        <v>108</v>
      </c>
    </row>
    <row r="184" spans="2:73" x14ac:dyDescent="0.15">
      <c r="B184" s="17">
        <v>42</v>
      </c>
      <c r="C184" s="17">
        <f t="shared" si="165"/>
        <v>24</v>
      </c>
      <c r="D184" s="17">
        <v>39</v>
      </c>
      <c r="E184" s="29">
        <f>基础状态预期!C190</f>
        <v>32750</v>
      </c>
      <c r="F184" s="29">
        <f>基础状态预期!D190</f>
        <v>153.85863088955028</v>
      </c>
      <c r="G184" s="29">
        <f t="shared" si="166"/>
        <v>0</v>
      </c>
      <c r="H184" s="29">
        <f t="shared" si="167"/>
        <v>0</v>
      </c>
      <c r="I184" s="29">
        <f t="shared" si="168"/>
        <v>24</v>
      </c>
      <c r="J184" s="29">
        <f t="shared" si="169"/>
        <v>0</v>
      </c>
      <c r="K184" s="29">
        <f>武将战力价值情况!G180</f>
        <v>3</v>
      </c>
      <c r="L184" s="29">
        <f>武将战力价值情况!H180</f>
        <v>6</v>
      </c>
      <c r="M184" s="29">
        <f>武将战力价值情况!I180</f>
        <v>8</v>
      </c>
      <c r="N184" s="29">
        <f>武将战力价值情况!J180</f>
        <v>8</v>
      </c>
      <c r="O184" s="41">
        <f>MAX(同名需求(G184,求节点(武将升星!$C$104:$C$112,武将升星!E$104:E$112,K184),F$2),武将数量星级阶位验证!AA180)</f>
        <v>24</v>
      </c>
      <c r="P184" s="41">
        <f>MAX(同名需求(H184,求节点(武将升星!$C$104:$C$112,武将升星!F$104:F$112,L184),G$2),武将数量星级阶位验证!AB180)</f>
        <v>120</v>
      </c>
      <c r="Q184" s="41">
        <f>MAX(同名需求(I184,求节点(武将升星!$C$104:$C$112,武将升星!G$104:G$112,M184),H$2),武将数量星级阶位验证!AC180)</f>
        <v>704</v>
      </c>
      <c r="R184" s="41">
        <f>MAX(同名需求(J184,求节点(武将升星!$C$104:$C$112,武将升星!H$104:H$112,N184),I$2),武将数量星级阶位验证!AD180)</f>
        <v>108</v>
      </c>
      <c r="S184" s="29">
        <f>MAX(基础状态预期!P190:T190)</f>
        <v>5</v>
      </c>
      <c r="T184" s="29">
        <f t="shared" si="170"/>
        <v>5</v>
      </c>
      <c r="U184" s="29">
        <f t="shared" si="171"/>
        <v>5</v>
      </c>
      <c r="V184" s="29">
        <f t="shared" si="172"/>
        <v>5</v>
      </c>
      <c r="W184" s="41">
        <f>SUMIFS(武将进阶!F$13:F$18,武将进阶!$C$13:$C$18,"&lt;="&amp;T184)*H184+武将数量星级阶位验证!Q180</f>
        <v>0</v>
      </c>
      <c r="X184" s="41">
        <f>SUMIFS(武将进阶!G$13:G$18,武将进阶!$C$13:$C$18,"&lt;="&amp;U184)*I184+武将数量星级阶位验证!R180</f>
        <v>1824</v>
      </c>
      <c r="Y184" s="41">
        <f>SUMIFS(武将进阶!H$13:H$18,武将进阶!$C$13:$C$18,"&lt;="&amp;V184)*J184+武将数量星级阶位验证!S180</f>
        <v>642</v>
      </c>
      <c r="Z184" s="41">
        <f>SUMIFS(武将进阶!I$13:I$18,武将进阶!$C$13:$C$18,"&lt;="&amp;W184)*K184+武将数量星级阶位验证!T180</f>
        <v>0</v>
      </c>
      <c r="AA184" s="29"/>
      <c r="AB184" s="29">
        <f>求节点(基础状态预期!$AT$17:$AT$55,基础状态预期!AW$17:AW$55,各r阵容卡情况!$F184)</f>
        <v>2</v>
      </c>
      <c r="AC184" s="29">
        <f>求节点(基础状态预期!$AT$17:$AT$55,基础状态预期!AX$17:AX$55,各r阵容卡情况!$F184)</f>
        <v>2</v>
      </c>
      <c r="AD184" s="29">
        <f>求节点(基础状态预期!$AT$17:$AT$55,基础状态预期!AY$17:AY$55,各r阵容卡情况!$F184)</f>
        <v>2</v>
      </c>
      <c r="AE184" s="41">
        <f>IF(AA184&lt;1,0,(AA184-1)*武将觉醒!E$34*G184)+武将数量星级阶位验证!V180</f>
        <v>0</v>
      </c>
      <c r="AF184" s="41">
        <f>IF(AB184&lt;1,0,(AB184-1)*武将觉醒!F$34*H184)+武将数量星级阶位验证!W180</f>
        <v>0</v>
      </c>
      <c r="AG184" s="41">
        <f>IF(AC184&lt;1,0,(AC184-1)*武将觉醒!G$34*I184)+武将数量星级阶位验证!X180</f>
        <v>24</v>
      </c>
      <c r="AH184" s="41">
        <f>IF(AD184&lt;1,0,(AD184-1)*武将觉醒!H$34*J184)+武将数量星级阶位验证!Y180</f>
        <v>0</v>
      </c>
      <c r="AJ184" s="29">
        <f>MAX(W184+AE184+G184*(K184+1)+IF(武将数量星级阶位验证!L180="",0,武将数量星级阶位验证!L180)*武将升星!P177,O184)</f>
        <v>24</v>
      </c>
      <c r="AK184" s="29">
        <f>MAX(X184+AF184+H184*(L184+1)+IF(武将数量星级阶位验证!M180="",0,武将数量星级阶位验证!M180)*武将升星!Q177,P184)</f>
        <v>1824</v>
      </c>
      <c r="AL184" s="64">
        <f>MAX(Y184+AG184+I184*(M184+1)+IF(武将数量星级阶位验证!N180="",0,武将数量星级阶位验证!N180)*武将升星!R177,Q184)</f>
        <v>882</v>
      </c>
      <c r="AM184" s="41">
        <f t="shared" si="173"/>
        <v>108</v>
      </c>
      <c r="AO184" s="17">
        <f>武将数量星级阶位验证!BJ180</f>
        <v>769306.32458009338</v>
      </c>
      <c r="AP184" s="17">
        <f>武将数量星级阶位验证!BK180</f>
        <v>317868.38205684139</v>
      </c>
      <c r="AQ184" s="63">
        <f>武将数量星级阶位验证!BL180</f>
        <v>46926.430775937028</v>
      </c>
      <c r="AR184" s="17">
        <f>武将数量星级阶位验证!BM180</f>
        <v>20118.654530028354</v>
      </c>
      <c r="AT184" s="17">
        <f t="shared" si="174"/>
        <v>32750</v>
      </c>
      <c r="AU184" s="17">
        <f t="shared" si="175"/>
        <v>153.85863088955028</v>
      </c>
      <c r="AW184" s="17" t="s">
        <v>168</v>
      </c>
      <c r="BA184" s="17">
        <v>6</v>
      </c>
      <c r="BB184" s="62">
        <f t="shared" si="176"/>
        <v>6</v>
      </c>
      <c r="BD184" s="17">
        <v>0</v>
      </c>
      <c r="BF184" s="17">
        <v>24</v>
      </c>
      <c r="BG184" s="17">
        <v>0</v>
      </c>
      <c r="BH184" s="62">
        <f t="shared" si="177"/>
        <v>24</v>
      </c>
      <c r="BJ184" s="17">
        <f t="shared" si="178"/>
        <v>0</v>
      </c>
      <c r="BK184" s="17">
        <f t="shared" si="179"/>
        <v>0</v>
      </c>
      <c r="BL184" s="17">
        <f t="shared" si="180"/>
        <v>24</v>
      </c>
      <c r="BM184" s="17">
        <f t="shared" si="181"/>
        <v>6</v>
      </c>
      <c r="BN184" s="62">
        <f t="shared" si="182"/>
        <v>30</v>
      </c>
      <c r="BR184" s="17">
        <f>武将升星!P177*基础状态预期!G190+G184*(K184+1)+W184+AE184</f>
        <v>0</v>
      </c>
      <c r="BS184" s="17">
        <f>武将升星!Q177*基础状态预期!H190+H184*(L184+1)+X184+AF184</f>
        <v>1824</v>
      </c>
      <c r="BT184" s="17">
        <f>武将升星!R177*基础状态预期!I190+I184*(M184+1)+Y184+AG184</f>
        <v>882</v>
      </c>
      <c r="BU184" s="17">
        <f>武将升星!S177*基础状态预期!J190+J184*(N184+1)+Z184+AH184</f>
        <v>108</v>
      </c>
    </row>
    <row r="185" spans="2:73" x14ac:dyDescent="0.15">
      <c r="B185" s="17">
        <v>43</v>
      </c>
    </row>
    <row r="186" spans="2:73" x14ac:dyDescent="0.15">
      <c r="B186" s="17">
        <v>44</v>
      </c>
      <c r="E186" s="7"/>
    </row>
    <row r="187" spans="2:73" x14ac:dyDescent="0.15">
      <c r="B187" s="17">
        <v>45</v>
      </c>
      <c r="E187" s="7"/>
    </row>
    <row r="188" spans="2:73" x14ac:dyDescent="0.15">
      <c r="B188" s="17">
        <v>1</v>
      </c>
      <c r="G188" s="17" t="s">
        <v>419</v>
      </c>
    </row>
    <row r="189" spans="2:73" x14ac:dyDescent="0.15">
      <c r="B189" s="17">
        <v>2</v>
      </c>
      <c r="G189" s="161" t="s">
        <v>435</v>
      </c>
      <c r="H189" s="162"/>
      <c r="I189" s="162"/>
      <c r="J189" s="163"/>
      <c r="K189" s="161" t="s">
        <v>466</v>
      </c>
      <c r="L189" s="162"/>
      <c r="M189" s="162"/>
      <c r="N189" s="163"/>
      <c r="O189" s="161" t="s">
        <v>469</v>
      </c>
      <c r="P189" s="162"/>
      <c r="Q189" s="162"/>
      <c r="R189" s="163"/>
      <c r="S189" s="161" t="s">
        <v>436</v>
      </c>
      <c r="T189" s="162"/>
      <c r="U189" s="162"/>
      <c r="V189" s="163"/>
      <c r="W189" s="161" t="s">
        <v>467</v>
      </c>
      <c r="X189" s="162"/>
      <c r="Y189" s="162"/>
      <c r="Z189" s="163"/>
      <c r="AA189" s="161" t="s">
        <v>437</v>
      </c>
      <c r="AB189" s="162"/>
      <c r="AC189" s="162"/>
      <c r="AD189" s="163"/>
      <c r="AE189" s="161" t="s">
        <v>468</v>
      </c>
      <c r="AF189" s="162"/>
      <c r="AG189" s="162"/>
      <c r="AH189" s="163"/>
      <c r="AJ189" s="161" t="s">
        <v>422</v>
      </c>
      <c r="AK189" s="162"/>
      <c r="AL189" s="162"/>
      <c r="AM189" s="163"/>
      <c r="AO189" s="187" t="s">
        <v>421</v>
      </c>
      <c r="AP189" s="187"/>
      <c r="AQ189" s="187"/>
      <c r="AR189" s="187"/>
      <c r="AX189" s="187" t="s">
        <v>425</v>
      </c>
      <c r="AY189" s="187"/>
      <c r="AZ189" s="187"/>
      <c r="BA189" s="187"/>
      <c r="BB189" s="187"/>
      <c r="BD189" s="187" t="s">
        <v>423</v>
      </c>
      <c r="BE189" s="187"/>
      <c r="BF189" s="187"/>
      <c r="BG189" s="187"/>
      <c r="BH189" s="187"/>
      <c r="BJ189" s="187" t="s">
        <v>424</v>
      </c>
      <c r="BK189" s="187"/>
      <c r="BL189" s="187"/>
      <c r="BM189" s="187"/>
      <c r="BN189" s="187"/>
      <c r="BR189" s="187" t="s">
        <v>470</v>
      </c>
      <c r="BS189" s="187"/>
      <c r="BT189" s="187"/>
      <c r="BU189" s="187"/>
    </row>
    <row r="190" spans="2:73" x14ac:dyDescent="0.15">
      <c r="B190" s="17">
        <v>3</v>
      </c>
      <c r="E190" s="29" t="s">
        <v>163</v>
      </c>
      <c r="F190" s="29" t="s">
        <v>478</v>
      </c>
      <c r="G190" s="29" t="s">
        <v>1</v>
      </c>
      <c r="H190" s="29" t="s">
        <v>2</v>
      </c>
      <c r="I190" s="29" t="s">
        <v>0</v>
      </c>
      <c r="J190" s="29" t="s">
        <v>545</v>
      </c>
      <c r="K190" s="29" t="s">
        <v>1</v>
      </c>
      <c r="L190" s="29" t="s">
        <v>2</v>
      </c>
      <c r="M190" s="29" t="s">
        <v>0</v>
      </c>
      <c r="N190" s="29" t="s">
        <v>545</v>
      </c>
      <c r="O190" s="29" t="s">
        <v>1</v>
      </c>
      <c r="P190" s="29" t="s">
        <v>2</v>
      </c>
      <c r="Q190" s="29" t="s">
        <v>0</v>
      </c>
      <c r="R190" s="29" t="s">
        <v>545</v>
      </c>
      <c r="S190" s="29" t="s">
        <v>1</v>
      </c>
      <c r="T190" s="29" t="s">
        <v>2</v>
      </c>
      <c r="U190" s="29" t="s">
        <v>0</v>
      </c>
      <c r="V190" s="29" t="s">
        <v>545</v>
      </c>
      <c r="W190" s="29" t="s">
        <v>1</v>
      </c>
      <c r="X190" s="29" t="s">
        <v>2</v>
      </c>
      <c r="Y190" s="64" t="s">
        <v>0</v>
      </c>
      <c r="Z190" s="29" t="s">
        <v>545</v>
      </c>
      <c r="AA190" s="29" t="s">
        <v>1</v>
      </c>
      <c r="AB190" s="29" t="s">
        <v>2</v>
      </c>
      <c r="AC190" s="29" t="s">
        <v>0</v>
      </c>
      <c r="AD190" s="29" t="s">
        <v>545</v>
      </c>
      <c r="AE190" s="29" t="s">
        <v>1</v>
      </c>
      <c r="AF190" s="29" t="s">
        <v>2</v>
      </c>
      <c r="AG190" s="29" t="s">
        <v>0</v>
      </c>
      <c r="AH190" s="29" t="s">
        <v>545</v>
      </c>
      <c r="AJ190" s="29" t="s">
        <v>1</v>
      </c>
      <c r="AK190" s="29" t="s">
        <v>2</v>
      </c>
      <c r="AL190" s="64" t="s">
        <v>0</v>
      </c>
      <c r="AM190" s="29" t="s">
        <v>545</v>
      </c>
      <c r="AO190" s="17" t="s">
        <v>80</v>
      </c>
      <c r="AP190" s="17" t="s">
        <v>81</v>
      </c>
      <c r="AQ190" s="63" t="s">
        <v>82</v>
      </c>
      <c r="AR190" s="17" t="s">
        <v>545</v>
      </c>
      <c r="AT190" s="17" t="s">
        <v>420</v>
      </c>
      <c r="AU190" s="17" t="s">
        <v>484</v>
      </c>
      <c r="AX190" s="17" t="s">
        <v>80</v>
      </c>
      <c r="AY190" s="17" t="s">
        <v>81</v>
      </c>
      <c r="AZ190" s="17" t="s">
        <v>82</v>
      </c>
      <c r="BA190" s="17" t="s">
        <v>545</v>
      </c>
      <c r="BB190" s="62" t="s">
        <v>426</v>
      </c>
      <c r="BD190" s="17" t="s">
        <v>80</v>
      </c>
      <c r="BE190" s="17" t="s">
        <v>81</v>
      </c>
      <c r="BF190" s="17" t="s">
        <v>82</v>
      </c>
      <c r="BG190" s="17" t="s">
        <v>545</v>
      </c>
      <c r="BH190" s="62" t="s">
        <v>426</v>
      </c>
      <c r="BJ190" s="17" t="s">
        <v>80</v>
      </c>
      <c r="BK190" s="17" t="s">
        <v>81</v>
      </c>
      <c r="BL190" s="17" t="s">
        <v>82</v>
      </c>
      <c r="BM190" s="17" t="s">
        <v>545</v>
      </c>
      <c r="BN190" s="62" t="s">
        <v>426</v>
      </c>
      <c r="BR190" s="17" t="s">
        <v>80</v>
      </c>
      <c r="BS190" s="17" t="s">
        <v>81</v>
      </c>
      <c r="BT190" s="82" t="s">
        <v>82</v>
      </c>
      <c r="BU190" s="17" t="s">
        <v>545</v>
      </c>
    </row>
    <row r="191" spans="2:73" x14ac:dyDescent="0.15">
      <c r="B191" s="17">
        <v>4</v>
      </c>
      <c r="C191" s="17">
        <f>SUM(G191:J191)</f>
        <v>6</v>
      </c>
      <c r="D191" s="17">
        <v>1</v>
      </c>
      <c r="E191" s="29">
        <f>基础状态预期!C197</f>
        <v>0.27500000000000002</v>
      </c>
      <c r="F191" s="29">
        <f>基础状态预期!D197</f>
        <v>10.040470049930473</v>
      </c>
      <c r="G191" s="29">
        <f>BD191</f>
        <v>5</v>
      </c>
      <c r="H191" s="29">
        <f t="shared" ref="H191:H229" si="183">BE191</f>
        <v>1</v>
      </c>
      <c r="I191" s="29">
        <f t="shared" ref="I191:I229" si="184">BF191</f>
        <v>0</v>
      </c>
      <c r="J191" s="29">
        <f t="shared" ref="J191:J229" si="185">BG191</f>
        <v>0</v>
      </c>
      <c r="K191" s="29">
        <f>武将战力价值情况!G187</f>
        <v>3</v>
      </c>
      <c r="L191" s="29">
        <f>武将战力价值情况!H187</f>
        <v>2.6095540756983615</v>
      </c>
      <c r="M191" s="29">
        <f>武将战力价值情况!I187</f>
        <v>0</v>
      </c>
      <c r="N191" s="29">
        <f>武将战力价值情况!J187</f>
        <v>0</v>
      </c>
      <c r="O191" s="41">
        <f>MAX(同名需求(G191,求节点(武将升星!$C$104:$C$112,武将升星!E$104:E$112,K191),F$2),武将数量星级阶位验证!AA187)</f>
        <v>29</v>
      </c>
      <c r="P191" s="41">
        <f>MAX(同名需求(H191,求节点(武将升星!$C$104:$C$112,武将升星!F$104:F$112,L191),G$2),武将数量星级阶位验证!AB187)</f>
        <v>33.191081513967234</v>
      </c>
      <c r="Q191" s="41">
        <f>MAX(同名需求(I191,求节点(武将升星!$C$104:$C$112,武将升星!G$104:G$112,M191),H$2),武将数量星级阶位验证!AC187)</f>
        <v>6</v>
      </c>
      <c r="R191" s="41">
        <f>MAX(同名需求(J191,求节点(武将升星!$C$104:$C$112,武将升星!H$104:H$112,N191),I$2),武将数量星级阶位验证!AD187)</f>
        <v>0</v>
      </c>
      <c r="S191" s="29">
        <f>MAX(基础状态预期!P197:T197)</f>
        <v>0.40161880199721889</v>
      </c>
      <c r="T191" s="29">
        <f>S191</f>
        <v>0.40161880199721889</v>
      </c>
      <c r="U191" s="29">
        <f t="shared" ref="U191:V191" si="186">T191</f>
        <v>0.40161880199721889</v>
      </c>
      <c r="V191" s="29">
        <f t="shared" si="186"/>
        <v>0.40161880199721889</v>
      </c>
      <c r="W191" s="41">
        <f>SUMIFS(武将进阶!F$13:F$18,武将进阶!$C$13:$C$18,"&lt;="&amp;T191)*H191+武将数量星级阶位验证!Q187</f>
        <v>0</v>
      </c>
      <c r="X191" s="41">
        <f>SUMIFS(武将进阶!G$13:G$18,武将进阶!$C$13:$C$18,"&lt;="&amp;U191)*I191+武将数量星级阶位验证!R187</f>
        <v>7.22913843594994</v>
      </c>
      <c r="Y191" s="41">
        <f>SUMIFS(武将进阶!H$13:H$18,武将进阶!$C$13:$C$18,"&lt;="&amp;V191)*J191+武将数量星级阶位验证!S187</f>
        <v>0</v>
      </c>
      <c r="Z191" s="41">
        <f>SUMIFS(武将进阶!I$13:I$18,武将进阶!$C$13:$C$18,"&lt;="&amp;W191)*K191+武将数量星级阶位验证!T187</f>
        <v>0</v>
      </c>
      <c r="AA191" s="29"/>
      <c r="AB191" s="29">
        <f>求节点(基础状态预期!$AT$17:$AT$55,基础状态预期!AW$17:AW$55,各r阵容卡情况!$F191)</f>
        <v>6.0705074895709638E-3</v>
      </c>
      <c r="AC191" s="29">
        <f>求节点(基础状态预期!$AT$17:$AT$55,基础状态预期!AX$17:AX$55,各r阵容卡情况!$F191)</f>
        <v>6.0705074895709638E-3</v>
      </c>
      <c r="AD191" s="29">
        <f>求节点(基础状态预期!$AT$17:$AT$55,基础状态预期!AY$17:AY$55,各r阵容卡情况!$F191)</f>
        <v>6.0705074895709638E-3</v>
      </c>
      <c r="AE191" s="41">
        <f>IF(AA191&lt;1,0,(AA191-1)*武将觉醒!E$34*G191)+武将数量星级阶位验证!V187</f>
        <v>0</v>
      </c>
      <c r="AF191" s="41">
        <f>IF(AB191&lt;1,0,(AB191-1)*武将觉醒!F$34*H191)+武将数量星级阶位验证!W187</f>
        <v>0</v>
      </c>
      <c r="AG191" s="41">
        <f>IF(AC191&lt;1,0,(AC191-1)*武将觉醒!G$34*I191)+武将数量星级阶位验证!X187</f>
        <v>0</v>
      </c>
      <c r="AH191" s="41">
        <f>IF(AD191&lt;1,0,(AD191-1)*武将觉醒!H$34*J191)+武将数量星级阶位验证!Y187</f>
        <v>0</v>
      </c>
      <c r="AJ191" s="29">
        <f>MAX(W191+AE191+G191*(K191+1)+IF(武将数量星级阶位验证!L187="",0,武将数量星级阶位验证!L187)*武将升星!P184,O191)</f>
        <v>29</v>
      </c>
      <c r="AK191" s="29">
        <f>MAX(X191+AF191+H191*(L191+1)+IF(武将数量星级阶位验证!M187="",0,武将数量星级阶位验证!M187)*武将升星!Q184,P191)</f>
        <v>33.191081513967234</v>
      </c>
      <c r="AL191" s="64">
        <f>MAX(Y191+AG191+I191*(M191+1)+IF(武将数量星级阶位验证!N187="",0,武将数量星级阶位验证!N187)*武将升星!R184,Q191)</f>
        <v>6</v>
      </c>
      <c r="AM191" s="41">
        <f>R191+AH191</f>
        <v>0</v>
      </c>
      <c r="AO191" s="17">
        <f>武将数量星级阶位验证!BJ187</f>
        <v>105.42337311260658</v>
      </c>
      <c r="AP191" s="17">
        <f>武将数量星级阶位验证!BK187</f>
        <v>42.191081513967227</v>
      </c>
      <c r="AQ191" s="63">
        <f>武将数量星级阶位验证!BL187</f>
        <v>11.805226050803283</v>
      </c>
      <c r="AR191" s="17">
        <f>武将数量星级阶位验证!BM187</f>
        <v>0</v>
      </c>
      <c r="AT191" s="17">
        <f t="shared" ref="AT191:AT229" si="187">E191</f>
        <v>0.27500000000000002</v>
      </c>
      <c r="AU191" s="17">
        <f t="shared" ref="AU191:AU229" si="188">F191</f>
        <v>10.040470049930473</v>
      </c>
      <c r="AW191" s="17" t="s">
        <v>168</v>
      </c>
      <c r="AX191" s="17">
        <v>1</v>
      </c>
      <c r="AY191" s="17">
        <v>2</v>
      </c>
      <c r="AZ191" s="17">
        <v>2</v>
      </c>
      <c r="BA191" s="17">
        <v>1</v>
      </c>
      <c r="BB191" s="62">
        <f>SUM(AX191:BA191)</f>
        <v>6</v>
      </c>
      <c r="BD191" s="17">
        <v>5</v>
      </c>
      <c r="BE191" s="17">
        <v>1</v>
      </c>
      <c r="BF191" s="17">
        <v>0</v>
      </c>
      <c r="BG191" s="17">
        <v>0</v>
      </c>
      <c r="BH191" s="62">
        <f>SUM(BD191:BG191)</f>
        <v>6</v>
      </c>
      <c r="BJ191" s="17">
        <f>AX191+BD191</f>
        <v>6</v>
      </c>
      <c r="BK191" s="17">
        <f t="shared" ref="BK191:BK229" si="189">AY191+BE191</f>
        <v>3</v>
      </c>
      <c r="BL191" s="17">
        <f t="shared" ref="BL191:BL229" si="190">AZ191+BF191</f>
        <v>2</v>
      </c>
      <c r="BM191" s="17">
        <f t="shared" ref="BM191:BM229" si="191">BA191+BG191</f>
        <v>1</v>
      </c>
      <c r="BN191" s="62">
        <f>SUM(BJ191:BM191)</f>
        <v>12</v>
      </c>
      <c r="BR191" s="17">
        <f>武将升星!P184*基础状态预期!G197+G191*(K191+1)+W191+AE191</f>
        <v>20</v>
      </c>
      <c r="BS191" s="17">
        <f>武将升星!Q184*基础状态预期!H197+H191*(L191+1)+X191+AF191</f>
        <v>10.838692511648301</v>
      </c>
      <c r="BT191" s="17">
        <f>武将升星!R184*基础状态预期!I197+I191*(M191+1)+Y191+AG191</f>
        <v>6</v>
      </c>
      <c r="BU191" s="17">
        <f>武将升星!S184*基础状态预期!J197+J191*(N191+1)+Z191+AH191</f>
        <v>0</v>
      </c>
    </row>
    <row r="192" spans="2:73" x14ac:dyDescent="0.15">
      <c r="B192" s="17">
        <v>5</v>
      </c>
      <c r="C192" s="17">
        <f t="shared" ref="C192:C229" si="192">SUM(G192:J192)</f>
        <v>8</v>
      </c>
      <c r="D192" s="17">
        <v>2</v>
      </c>
      <c r="E192" s="29">
        <f>基础状态预期!C198</f>
        <v>0.82500000000000007</v>
      </c>
      <c r="F192" s="29">
        <f>基础状态预期!D198</f>
        <v>19.288856680060892</v>
      </c>
      <c r="G192" s="29">
        <f t="shared" ref="G192:G229" si="193">BD192</f>
        <v>6</v>
      </c>
      <c r="H192" s="29">
        <f t="shared" si="183"/>
        <v>2</v>
      </c>
      <c r="I192" s="29">
        <f t="shared" si="184"/>
        <v>0</v>
      </c>
      <c r="J192" s="29">
        <f t="shared" si="185"/>
        <v>0</v>
      </c>
      <c r="K192" s="29">
        <f>武将战力价值情况!G188</f>
        <v>3</v>
      </c>
      <c r="L192" s="29">
        <f>武将战力价值情况!H188</f>
        <v>5.5315121073338949</v>
      </c>
      <c r="M192" s="29">
        <f>武将战力价值情况!I188</f>
        <v>0.5060634612251893</v>
      </c>
      <c r="N192" s="29">
        <f>武将战力价值情况!J188</f>
        <v>0</v>
      </c>
      <c r="O192" s="41">
        <f>MAX(同名需求(G192,求节点(武将升星!$C$104:$C$112,武将升星!E$104:E$112,K192),F$2),武将数量星级阶位验证!AA188)</f>
        <v>30</v>
      </c>
      <c r="P192" s="41">
        <f>MAX(同名需求(H192,求节点(武将升星!$C$104:$C$112,武将升星!F$104:F$112,L192),G$2),武将数量星级阶位验证!AB188)</f>
        <v>107.94536322001684</v>
      </c>
      <c r="Q192" s="41">
        <f>MAX(同名需求(I192,求节点(武将升星!$C$104:$C$112,武将升星!G$104:G$112,M192),H$2),武将数量星级阶位验证!AC188)</f>
        <v>17.38642787756676</v>
      </c>
      <c r="R192" s="41">
        <f>MAX(同名需求(J192,求节点(武将升星!$C$104:$C$112,武将升星!H$104:H$112,N192),I$2),武将数量星级阶位验证!AD188)</f>
        <v>0</v>
      </c>
      <c r="S192" s="29">
        <f>MAX(基础状态预期!P198:T198)</f>
        <v>0.7715542672024357</v>
      </c>
      <c r="T192" s="29">
        <f t="shared" ref="T192:V192" si="194">S192</f>
        <v>0.7715542672024357</v>
      </c>
      <c r="U192" s="29">
        <f t="shared" si="194"/>
        <v>0.7715542672024357</v>
      </c>
      <c r="V192" s="29">
        <f t="shared" si="194"/>
        <v>0.7715542672024357</v>
      </c>
      <c r="W192" s="41">
        <f>SUMIFS(武将进阶!F$13:F$18,武将进阶!$C$13:$C$18,"&lt;="&amp;T192)*H192+武将数量星级阶位验证!Q188</f>
        <v>0</v>
      </c>
      <c r="X192" s="41">
        <f>SUMIFS(武将进阶!G$13:G$18,武将进阶!$C$13:$C$18,"&lt;="&amp;U192)*I192+武将数量星级阶位验证!R188</f>
        <v>13.887976809643842</v>
      </c>
      <c r="Y192" s="41">
        <f>SUMIFS(武将进阶!H$13:H$18,武将进阶!$C$13:$C$18,"&lt;="&amp;V192)*J192+武将数量星级阶位验证!S188</f>
        <v>0</v>
      </c>
      <c r="Z192" s="41">
        <f>SUMIFS(武将进阶!I$13:I$18,武将进阶!$C$13:$C$18,"&lt;="&amp;W192)*K192+武将数量星级阶位验证!T188</f>
        <v>0</v>
      </c>
      <c r="AA192" s="29"/>
      <c r="AB192" s="29">
        <f>求节点(基础状态预期!$AT$17:$AT$55,基础状态预期!AW$17:AW$55,各r阵容卡情况!$F192)</f>
        <v>1</v>
      </c>
      <c r="AC192" s="29">
        <f>求节点(基础状态预期!$AT$17:$AT$55,基础状态预期!AX$17:AX$55,各r阵容卡情况!$F192)</f>
        <v>1</v>
      </c>
      <c r="AD192" s="29">
        <f>求节点(基础状态预期!$AT$17:$AT$55,基础状态预期!AY$17:AY$55,各r阵容卡情况!$F192)</f>
        <v>1</v>
      </c>
      <c r="AE192" s="41">
        <f>IF(AA192&lt;1,0,(AA192-1)*武将觉醒!E$34*G192)+武将数量星级阶位验证!V188</f>
        <v>0</v>
      </c>
      <c r="AF192" s="41">
        <f>IF(AB192&lt;1,0,(AB192-1)*武将觉醒!F$34*H192)+武将数量星级阶位验证!W188</f>
        <v>0</v>
      </c>
      <c r="AG192" s="41">
        <f>IF(AC192&lt;1,0,(AC192-1)*武将觉醒!G$34*I192)+武将数量星级阶位验证!X188</f>
        <v>0</v>
      </c>
      <c r="AH192" s="41">
        <f>IF(AD192&lt;1,0,(AD192-1)*武将觉醒!H$34*J192)+武将数量星级阶位验证!Y188</f>
        <v>0</v>
      </c>
      <c r="AJ192" s="29">
        <f>MAX(W192+AE192+G192*(K192+1)+IF(武将数量星级阶位验证!L188="",0,武将数量星级阶位验证!L188)*武将升星!P185,O192)</f>
        <v>30</v>
      </c>
      <c r="AK192" s="29">
        <f>MAX(X192+AF192+H192*(L192+1)+IF(武将数量星级阶位验证!M188="",0,武将数量星级阶位验证!M188)*武将升星!Q185,P192)</f>
        <v>107.94536322001684</v>
      </c>
      <c r="AL192" s="64">
        <f>MAX(Y192+AG192+I192*(M192+1)+IF(武将数量星级阶位验证!N188="",0,武将数量星级阶位验证!N188)*武将升星!R185,Q192)</f>
        <v>17.38642787756676</v>
      </c>
      <c r="AM192" s="41">
        <f t="shared" ref="AM192:AM229" si="195">R192+AH192</f>
        <v>0</v>
      </c>
      <c r="AO192" s="17">
        <f>武将数量星级阶位验证!BJ188</f>
        <v>290.03253732441658</v>
      </c>
      <c r="AP192" s="17">
        <f>武将数量星级阶位验证!BK188</f>
        <v>115.94536322001683</v>
      </c>
      <c r="AQ192" s="63">
        <f>武将数量星级阶位验证!BL188</f>
        <v>32.426586530629734</v>
      </c>
      <c r="AR192" s="17">
        <f>武将数量星级阶位验证!BM188</f>
        <v>0</v>
      </c>
      <c r="AT192" s="17">
        <f t="shared" si="187"/>
        <v>0.82500000000000007</v>
      </c>
      <c r="AU192" s="17">
        <f t="shared" si="188"/>
        <v>19.288856680060892</v>
      </c>
      <c r="AW192" s="17" t="s">
        <v>168</v>
      </c>
      <c r="AY192" s="17">
        <v>2</v>
      </c>
      <c r="AZ192" s="17">
        <v>3</v>
      </c>
      <c r="BA192" s="17">
        <v>1</v>
      </c>
      <c r="BB192" s="62">
        <f t="shared" ref="BB192:BB229" si="196">SUM(AX192:BA192)</f>
        <v>6</v>
      </c>
      <c r="BD192" s="17">
        <v>6</v>
      </c>
      <c r="BE192" s="17">
        <v>2</v>
      </c>
      <c r="BF192" s="17">
        <v>0</v>
      </c>
      <c r="BG192" s="17">
        <v>0</v>
      </c>
      <c r="BH192" s="62">
        <f t="shared" ref="BH192:BH229" si="197">SUM(BD192:BG192)</f>
        <v>8</v>
      </c>
      <c r="BJ192" s="17">
        <f t="shared" ref="BJ192:BJ229" si="198">AX192+BD192</f>
        <v>6</v>
      </c>
      <c r="BK192" s="17">
        <f t="shared" si="189"/>
        <v>4</v>
      </c>
      <c r="BL192" s="17">
        <f t="shared" si="190"/>
        <v>3</v>
      </c>
      <c r="BM192" s="17">
        <f t="shared" si="191"/>
        <v>1</v>
      </c>
      <c r="BN192" s="62">
        <f t="shared" ref="BN192:BN229" si="199">SUM(BJ192:BM192)</f>
        <v>14</v>
      </c>
      <c r="BR192" s="17">
        <f>武将升星!P185*基础状态预期!G198+G192*(K192+1)+W192+AE192</f>
        <v>24</v>
      </c>
      <c r="BS192" s="17">
        <f>武将升星!Q185*基础状态预期!H198+H192*(L192+1)+X192+AF192</f>
        <v>26.95100102431163</v>
      </c>
      <c r="BT192" s="17">
        <f>武将升星!R185*基础状态预期!I198+I192*(M192+1)+Y192+AG192</f>
        <v>9.0363807673511367</v>
      </c>
      <c r="BU192" s="17">
        <f>武将升星!S185*基础状态预期!J198+J192*(N192+1)+Z192+AH192</f>
        <v>0</v>
      </c>
    </row>
    <row r="193" spans="2:73" x14ac:dyDescent="0.15">
      <c r="B193" s="17">
        <v>6</v>
      </c>
      <c r="C193" s="17">
        <f t="shared" si="192"/>
        <v>10</v>
      </c>
      <c r="D193" s="17">
        <v>3</v>
      </c>
      <c r="E193" s="29">
        <f>基础状态预期!C199</f>
        <v>1.6500000000000001</v>
      </c>
      <c r="F193" s="29">
        <f>基础状态预期!D199</f>
        <v>27.144641112884834</v>
      </c>
      <c r="G193" s="29">
        <f t="shared" si="193"/>
        <v>6</v>
      </c>
      <c r="H193" s="29">
        <f t="shared" si="183"/>
        <v>4</v>
      </c>
      <c r="I193" s="29">
        <f t="shared" si="184"/>
        <v>0</v>
      </c>
      <c r="J193" s="29">
        <f t="shared" si="185"/>
        <v>0</v>
      </c>
      <c r="K193" s="29">
        <f>武将战力价值情况!G189</f>
        <v>3</v>
      </c>
      <c r="L193" s="29">
        <f>武将战力价值情况!H189</f>
        <v>6</v>
      </c>
      <c r="M193" s="29">
        <f>武将战力价值情况!I189</f>
        <v>1.3990079363594083</v>
      </c>
      <c r="N193" s="29">
        <f>武将战力价值情况!J189</f>
        <v>0</v>
      </c>
      <c r="O193" s="41">
        <f>MAX(同名需求(G193,求节点(武将升星!$C$104:$C$112,武将升星!E$104:E$112,K193),F$2),武将数量星级阶位验证!AA189)</f>
        <v>30</v>
      </c>
      <c r="P193" s="41">
        <f>MAX(同名需求(H193,求节点(武将升星!$C$104:$C$112,武将升星!F$104:F$112,L193),G$2),武将数量星级阶位验证!AB189)</f>
        <v>124</v>
      </c>
      <c r="Q193" s="41">
        <f>MAX(同名需求(I193,求节点(武将升星!$C$104:$C$112,武将升星!G$104:G$112,M193),H$2),武将数量星级阶位验证!AC189)</f>
        <v>37.477678568086688</v>
      </c>
      <c r="R193" s="41">
        <f>MAX(同名需求(J193,求节点(武将升星!$C$104:$C$112,武将升星!H$104:H$112,N193),I$2),武将数量星级阶位验证!AD189)</f>
        <v>0</v>
      </c>
      <c r="S193" s="29">
        <f>MAX(基础状态预期!P199:T199)</f>
        <v>1.0857856445153933</v>
      </c>
      <c r="T193" s="29">
        <f t="shared" ref="T193:V193" si="200">S193</f>
        <v>1.0857856445153933</v>
      </c>
      <c r="U193" s="29">
        <f t="shared" si="200"/>
        <v>1.0857856445153933</v>
      </c>
      <c r="V193" s="29">
        <f t="shared" si="200"/>
        <v>1.0857856445153933</v>
      </c>
      <c r="W193" s="41">
        <f>SUMIFS(武将进阶!F$13:F$18,武将进阶!$C$13:$C$18,"&lt;="&amp;T193)*H193+武将数量星级阶位验证!Q189</f>
        <v>12</v>
      </c>
      <c r="X193" s="41">
        <f>SUMIFS(武将进阶!G$13:G$18,武将进阶!$C$13:$C$18,"&lt;="&amp;U193)*I193+武将数量星级阶位验证!R189</f>
        <v>21.088283202554159</v>
      </c>
      <c r="Y193" s="41">
        <f>SUMIFS(武将进阶!H$13:H$18,武将进阶!$C$13:$C$18,"&lt;="&amp;V193)*J193+武将数量星级阶位验证!S189</f>
        <v>0</v>
      </c>
      <c r="Z193" s="41">
        <f>SUMIFS(武将进阶!I$13:I$18,武将进阶!$C$13:$C$18,"&lt;="&amp;W193)*K193+武将数量星级阶位验证!T189</f>
        <v>525</v>
      </c>
      <c r="AA193" s="29"/>
      <c r="AB193" s="29">
        <f>求节点(基础状态预期!$AT$17:$AT$55,基础状态预期!AW$17:AW$55,各r阵容卡情况!$F193)</f>
        <v>1</v>
      </c>
      <c r="AC193" s="29">
        <f>求节点(基础状态预期!$AT$17:$AT$55,基础状态预期!AX$17:AX$55,各r阵容卡情况!$F193)</f>
        <v>1</v>
      </c>
      <c r="AD193" s="29">
        <f>求节点(基础状态预期!$AT$17:$AT$55,基础状态预期!AY$17:AY$55,各r阵容卡情况!$F193)</f>
        <v>1</v>
      </c>
      <c r="AE193" s="41">
        <f>IF(AA193&lt;1,0,(AA193-1)*武将觉醒!E$34*G193)+武将数量星级阶位验证!V189</f>
        <v>0</v>
      </c>
      <c r="AF193" s="41">
        <f>IF(AB193&lt;1,0,(AB193-1)*武将觉醒!F$34*H193)+武将数量星级阶位验证!W189</f>
        <v>0</v>
      </c>
      <c r="AG193" s="41">
        <f>IF(AC193&lt;1,0,(AC193-1)*武将觉醒!G$34*I193)+武将数量星级阶位验证!X189</f>
        <v>0.32649824710963316</v>
      </c>
      <c r="AH193" s="41">
        <f>IF(AD193&lt;1,0,(AD193-1)*武将觉醒!H$34*J193)+武将数量星级阶位验证!Y189</f>
        <v>0</v>
      </c>
      <c r="AJ193" s="29">
        <f>MAX(W193+AE193+G193*(K193+1)+IF(武将数量星级阶位验证!L189="",0,武将数量星级阶位验证!L189)*武将升星!P186,O193)</f>
        <v>36</v>
      </c>
      <c r="AK193" s="29">
        <f>MAX(X193+AF193+H193*(L193+1)+IF(武将数量星级阶位验证!M189="",0,武将数量星级阶位验证!M189)*武将升星!Q186,P193)</f>
        <v>124</v>
      </c>
      <c r="AL193" s="64">
        <f>MAX(Y193+AG193+I193*(M193+1)+IF(武将数量星级阶位验证!N189="",0,武将数量星级阶位验证!N189)*武将升星!R186,Q193)</f>
        <v>37.477678568086688</v>
      </c>
      <c r="AM193" s="41">
        <f t="shared" si="195"/>
        <v>0</v>
      </c>
      <c r="AO193" s="17">
        <f>武将数量星级阶位验证!BJ189</f>
        <v>445.51951936775896</v>
      </c>
      <c r="AP193" s="17">
        <f>武将数量星级阶位验证!BK189</f>
        <v>177.39126100972516</v>
      </c>
      <c r="AQ193" s="63">
        <f>武将数量星级阶位验证!BL189</f>
        <v>49.525198408985204</v>
      </c>
      <c r="AR193" s="17">
        <f>武将数量星级阶位验证!BM189</f>
        <v>0</v>
      </c>
      <c r="AT193" s="17">
        <f t="shared" si="187"/>
        <v>1.6500000000000001</v>
      </c>
      <c r="AU193" s="17">
        <f t="shared" si="188"/>
        <v>27.144641112884834</v>
      </c>
      <c r="AW193" s="17" t="s">
        <v>168</v>
      </c>
      <c r="AY193" s="17">
        <v>1</v>
      </c>
      <c r="AZ193" s="17">
        <v>4</v>
      </c>
      <c r="BA193" s="17">
        <v>1</v>
      </c>
      <c r="BB193" s="62">
        <f t="shared" si="196"/>
        <v>6</v>
      </c>
      <c r="BD193" s="17">
        <v>6</v>
      </c>
      <c r="BE193" s="17">
        <v>4</v>
      </c>
      <c r="BF193" s="17">
        <v>0</v>
      </c>
      <c r="BG193" s="17">
        <v>0</v>
      </c>
      <c r="BH193" s="62">
        <f t="shared" si="197"/>
        <v>10</v>
      </c>
      <c r="BJ193" s="17">
        <f t="shared" si="198"/>
        <v>6</v>
      </c>
      <c r="BK193" s="17">
        <f t="shared" si="189"/>
        <v>5</v>
      </c>
      <c r="BL193" s="17">
        <f t="shared" si="190"/>
        <v>4</v>
      </c>
      <c r="BM193" s="17">
        <f t="shared" si="191"/>
        <v>1</v>
      </c>
      <c r="BN193" s="62">
        <f t="shared" si="199"/>
        <v>16</v>
      </c>
      <c r="BR193" s="17">
        <f>武将升星!P186*基础状态预期!G199+G193*(K193+1)+W193+AE193</f>
        <v>36</v>
      </c>
      <c r="BS193" s="17">
        <f>武将升星!Q186*基础状态预期!H199+H193*(L193+1)+X193+AF193</f>
        <v>49.088283202554159</v>
      </c>
      <c r="BT193" s="17">
        <f>武将升星!R186*基础状态预期!I199+I193*(M193+1)+Y193+AG193</f>
        <v>14.720545865266082</v>
      </c>
      <c r="BU193" s="17">
        <f>武将升星!S186*基础状态预期!J199+J193*(N193+1)+Z193+AH193</f>
        <v>525</v>
      </c>
    </row>
    <row r="194" spans="2:73" x14ac:dyDescent="0.15">
      <c r="B194" s="17">
        <v>7</v>
      </c>
      <c r="C194" s="17">
        <f t="shared" si="192"/>
        <v>12</v>
      </c>
      <c r="D194" s="17">
        <v>4</v>
      </c>
      <c r="E194" s="29">
        <f>基础状态预期!C200</f>
        <v>2.75</v>
      </c>
      <c r="F194" s="29">
        <f>基础状态预期!D200</f>
        <v>33.399598377161809</v>
      </c>
      <c r="G194" s="29">
        <f t="shared" si="193"/>
        <v>6</v>
      </c>
      <c r="H194" s="29">
        <f t="shared" si="183"/>
        <v>6</v>
      </c>
      <c r="I194" s="29">
        <f t="shared" si="184"/>
        <v>0</v>
      </c>
      <c r="J194" s="29">
        <f t="shared" si="185"/>
        <v>0</v>
      </c>
      <c r="K194" s="29">
        <f>武将战力价值情况!G190</f>
        <v>3</v>
      </c>
      <c r="L194" s="29">
        <f>武将战力价值情况!H190</f>
        <v>6</v>
      </c>
      <c r="M194" s="29">
        <f>武将战力价值情况!I190</f>
        <v>2.3816015839203399</v>
      </c>
      <c r="N194" s="29">
        <f>武将战力价值情况!J190</f>
        <v>0</v>
      </c>
      <c r="O194" s="41">
        <f>MAX(同名需求(G194,求节点(武将升星!$C$104:$C$112,武将升星!E$104:E$112,K194),F$2),武将数量星级阶位验证!AA190)</f>
        <v>30</v>
      </c>
      <c r="P194" s="41">
        <f>MAX(同名需求(H194,求节点(武将升星!$C$104:$C$112,武将升星!F$104:F$112,L194),G$2),武将数量星级阶位验证!AB190)</f>
        <v>126</v>
      </c>
      <c r="Q194" s="41">
        <f>MAX(同名需求(I194,求节点(武将升星!$C$104:$C$112,武将升星!G$104:G$112,M194),H$2),武将数量星级阶位验证!AC190)</f>
        <v>61.875645141729684</v>
      </c>
      <c r="R194" s="41">
        <f>MAX(同名需求(J194,求节点(武将升星!$C$104:$C$112,武将升星!H$104:H$112,N194),I$2),武将数量星级阶位验证!AD190)</f>
        <v>0</v>
      </c>
      <c r="S194" s="29">
        <f>MAX(基础状态预期!P200:T200)</f>
        <v>1.3359839350864724</v>
      </c>
      <c r="T194" s="29">
        <f t="shared" ref="T194:V194" si="201">S194</f>
        <v>1.3359839350864724</v>
      </c>
      <c r="U194" s="29">
        <f t="shared" si="201"/>
        <v>1.3359839350864724</v>
      </c>
      <c r="V194" s="29">
        <f t="shared" si="201"/>
        <v>1.3359839350864724</v>
      </c>
      <c r="W194" s="41">
        <f>SUMIFS(武将进阶!F$13:F$18,武将进阶!$C$13:$C$18,"&lt;="&amp;T194)*H194+武将数量星级阶位验证!Q190</f>
        <v>18</v>
      </c>
      <c r="X194" s="41">
        <f>SUMIFS(武将进阶!G$13:G$18,武将进阶!$C$13:$C$18,"&lt;="&amp;U194)*I194+武将数量星级阶位验证!R190</f>
        <v>30.095421663113008</v>
      </c>
      <c r="Y194" s="41">
        <f>SUMIFS(武将进阶!H$13:H$18,武将进阶!$C$13:$C$18,"&lt;="&amp;V194)*J194+武将数量星级阶位验证!S190</f>
        <v>0</v>
      </c>
      <c r="Z194" s="41">
        <f>SUMIFS(武将进阶!I$13:I$18,武将进阶!$C$13:$C$18,"&lt;="&amp;W194)*K194+武将数量星级阶位验证!T190</f>
        <v>525</v>
      </c>
      <c r="AA194" s="29"/>
      <c r="AB194" s="29">
        <f>求节点(基础状态预期!$AT$17:$AT$55,基础状态预期!AW$17:AW$55,各r阵容卡情况!$F194)</f>
        <v>1.066599729526968</v>
      </c>
      <c r="AC194" s="29">
        <f>求节点(基础状态预期!$AT$17:$AT$55,基础状态预期!AX$17:AX$55,各r阵容卡情况!$F194)</f>
        <v>1.066599729526968</v>
      </c>
      <c r="AD194" s="29">
        <f>求节点(基础状态预期!$AT$17:$AT$55,基础状态预期!AY$17:AY$55,各r阵容卡情况!$F194)</f>
        <v>1.066599729526968</v>
      </c>
      <c r="AE194" s="41">
        <f>IF(AA194&lt;1,0,(AA194-1)*武将觉醒!E$34*G194)+武将数量星级阶位验证!V190</f>
        <v>0</v>
      </c>
      <c r="AF194" s="41">
        <f>IF(AB194&lt;1,0,(AB194-1)*武将觉醒!F$34*H194)+武将数量星级阶位验证!W190</f>
        <v>1.9979918858090406</v>
      </c>
      <c r="AG194" s="41">
        <f>IF(AC194&lt;1,0,(AC194-1)*武将觉醒!G$34*I194)+武将数量星级阶位验证!X190</f>
        <v>6</v>
      </c>
      <c r="AH194" s="41">
        <f>IF(AD194&lt;1,0,(AD194-1)*武将觉醒!H$34*J194)+武将数量星级阶位验证!Y190</f>
        <v>0</v>
      </c>
      <c r="AJ194" s="29">
        <f>MAX(W194+AE194+G194*(K194+1)+IF(武将数量星级阶位验证!L190="",0,武将数量星级阶位验证!L190)*武将升星!P187,O194)</f>
        <v>42</v>
      </c>
      <c r="AK194" s="29">
        <f>MAX(X194+AF194+H194*(L194+1)+IF(武将数量星级阶位验证!M190="",0,武将数量星级阶位验证!M190)*武将升星!Q187,P194)</f>
        <v>126</v>
      </c>
      <c r="AL194" s="64">
        <f>MAX(Y194+AG194+I194*(M194+1)+IF(武将数量星级阶位验证!N190="",0,武将数量星级阶位验证!N190)*武将升星!R187,Q194)</f>
        <v>61.875645141729684</v>
      </c>
      <c r="AM194" s="41">
        <f t="shared" si="195"/>
        <v>0</v>
      </c>
      <c r="AO194" s="17">
        <f>武将数量星级阶位验证!BJ190</f>
        <v>607.19127350844497</v>
      </c>
      <c r="AP194" s="17">
        <f>武将数量星级阶位验证!BK190</f>
        <v>240.8303259781043</v>
      </c>
      <c r="AQ194" s="63">
        <f>武将数量星级阶位验证!BL190</f>
        <v>67.123372931341834</v>
      </c>
      <c r="AR194" s="17">
        <f>武将数量星级阶位验证!BM190</f>
        <v>0</v>
      </c>
      <c r="AT194" s="17">
        <f t="shared" si="187"/>
        <v>2.75</v>
      </c>
      <c r="AU194" s="17">
        <f t="shared" si="188"/>
        <v>33.399598377161809</v>
      </c>
      <c r="AW194" s="17" t="s">
        <v>168</v>
      </c>
      <c r="AZ194" s="17">
        <v>5</v>
      </c>
      <c r="BA194" s="17">
        <v>1</v>
      </c>
      <c r="BB194" s="62">
        <f t="shared" si="196"/>
        <v>6</v>
      </c>
      <c r="BD194" s="17">
        <v>6</v>
      </c>
      <c r="BE194" s="17">
        <v>6</v>
      </c>
      <c r="BF194" s="17">
        <v>0</v>
      </c>
      <c r="BG194" s="17">
        <v>0</v>
      </c>
      <c r="BH194" s="62">
        <f t="shared" si="197"/>
        <v>12</v>
      </c>
      <c r="BJ194" s="17">
        <f t="shared" si="198"/>
        <v>6</v>
      </c>
      <c r="BK194" s="17">
        <f t="shared" si="189"/>
        <v>6</v>
      </c>
      <c r="BL194" s="17">
        <f t="shared" si="190"/>
        <v>5</v>
      </c>
      <c r="BM194" s="17">
        <f t="shared" si="191"/>
        <v>1</v>
      </c>
      <c r="BN194" s="62">
        <f t="shared" si="199"/>
        <v>18</v>
      </c>
      <c r="BR194" s="17">
        <f>武将升星!P187*基础状态预期!G200+G194*(K194+1)+W194+AE194</f>
        <v>42</v>
      </c>
      <c r="BS194" s="17">
        <f>武将升星!Q187*基础状态预期!H200+H194*(L194+1)+X194+AF194</f>
        <v>74.093413548922044</v>
      </c>
      <c r="BT194" s="17">
        <f>武将升星!R187*基础状态预期!I200+I194*(M194+1)+Y194+AG194</f>
        <v>26.289609503522041</v>
      </c>
      <c r="BU194" s="17">
        <f>武将升星!S187*基础状态预期!J200+J194*(N194+1)+Z194+AH194</f>
        <v>525</v>
      </c>
    </row>
    <row r="195" spans="2:73" x14ac:dyDescent="0.15">
      <c r="B195" s="17">
        <v>8</v>
      </c>
      <c r="C195" s="17">
        <f t="shared" si="192"/>
        <v>20</v>
      </c>
      <c r="D195" s="17">
        <v>5</v>
      </c>
      <c r="E195" s="29">
        <f>基础状态预期!C201</f>
        <v>4.125</v>
      </c>
      <c r="F195" s="29">
        <f>基础状态预期!D201</f>
        <v>38.848984787984186</v>
      </c>
      <c r="G195" s="29">
        <f t="shared" si="193"/>
        <v>0</v>
      </c>
      <c r="H195" s="29">
        <f t="shared" si="183"/>
        <v>8</v>
      </c>
      <c r="I195" s="29">
        <f t="shared" si="184"/>
        <v>12</v>
      </c>
      <c r="J195" s="29">
        <f t="shared" si="185"/>
        <v>0</v>
      </c>
      <c r="K195" s="29">
        <f>武将战力价值情况!G191</f>
        <v>3</v>
      </c>
      <c r="L195" s="29">
        <f>武将战力价值情况!H191</f>
        <v>6</v>
      </c>
      <c r="M195" s="29">
        <f>武将战力价值情况!I191</f>
        <v>3.2859339537469259</v>
      </c>
      <c r="N195" s="29">
        <f>武将战力价值情况!J191</f>
        <v>0</v>
      </c>
      <c r="O195" s="41">
        <f>MAX(同名需求(G195,求节点(武将升星!$C$104:$C$112,武将升星!E$104:E$112,K195),F$2),武将数量星级阶位验证!AA191)</f>
        <v>24</v>
      </c>
      <c r="P195" s="41">
        <f>MAX(同名需求(H195,求节点(武将升星!$C$104:$C$112,武将升星!F$104:F$112,L195),G$2),武将数量星级阶位验证!AB191)</f>
        <v>128</v>
      </c>
      <c r="Q195" s="41">
        <f>MAX(同名需求(I195,求节点(武将升星!$C$104:$C$112,武将升星!G$104:G$112,M195),H$2),武将数量星级阶位验证!AC191)</f>
        <v>92.367027918611669</v>
      </c>
      <c r="R195" s="41">
        <f>MAX(同名需求(J195,求节点(武将升星!$C$104:$C$112,武将升星!H$104:H$112,N195),I$2),武将数量星级阶位验证!AD191)</f>
        <v>0</v>
      </c>
      <c r="S195" s="29">
        <f>MAX(基础状态预期!P201:T201)</f>
        <v>1.5539593915193675</v>
      </c>
      <c r="T195" s="29">
        <f t="shared" ref="T195:V195" si="202">S195</f>
        <v>1.5539593915193675</v>
      </c>
      <c r="U195" s="29">
        <f t="shared" si="202"/>
        <v>1.5539593915193675</v>
      </c>
      <c r="V195" s="29">
        <f t="shared" si="202"/>
        <v>1.5539593915193675</v>
      </c>
      <c r="W195" s="41">
        <f>SUMIFS(武将进阶!F$13:F$18,武将进阶!$C$13:$C$18,"&lt;="&amp;T195)*H195+武将数量星级阶位验证!Q191</f>
        <v>24</v>
      </c>
      <c r="X195" s="41">
        <f>SUMIFS(武将进阶!G$13:G$18,武将进阶!$C$13:$C$18,"&lt;="&amp;U195)*I195+武将数量星级阶位验证!R191</f>
        <v>73.942538094697227</v>
      </c>
      <c r="Y195" s="41">
        <f>SUMIFS(武将进阶!H$13:H$18,武将进阶!$C$13:$C$18,"&lt;="&amp;V195)*J195+武将数量星级阶位验证!S191</f>
        <v>0</v>
      </c>
      <c r="Z195" s="41">
        <f>SUMIFS(武将进阶!I$13:I$18,武将进阶!$C$13:$C$18,"&lt;="&amp;W195)*K195+武将数量星级阶位验证!T191</f>
        <v>525</v>
      </c>
      <c r="AA195" s="29"/>
      <c r="AB195" s="29">
        <v>1.9</v>
      </c>
      <c r="AC195" s="29">
        <f>求节点(基础状态预期!$AT$17:$AT$55,基础状态预期!AX$17:AX$55,各r阵容卡情况!$F195)</f>
        <v>1.9748307979973643</v>
      </c>
      <c r="AD195" s="29">
        <f>求节点(基础状态预期!$AT$17:$AT$55,基础状态预期!AY$17:AY$55,各r阵容卡情况!$F195)</f>
        <v>1.9748307979973643</v>
      </c>
      <c r="AE195" s="41">
        <f>IF(AA195&lt;1,0,(AA195-1)*武将觉醒!E$34*G195)+武将数量星级阶位验证!V191</f>
        <v>0</v>
      </c>
      <c r="AF195" s="41">
        <f>IF(AB195&lt;1,0,(AB195-1)*武将觉醒!F$34*H195)+武将数量星级阶位验证!W191</f>
        <v>36</v>
      </c>
      <c r="AG195" s="41">
        <f>IF(AC195&lt;1,0,(AC195-1)*武将觉醒!G$34*I195)+武将数量星级阶位验证!X191</f>
        <v>17.697969575968372</v>
      </c>
      <c r="AH195" s="41">
        <f>IF(AD195&lt;1,0,(AD195-1)*武将觉醒!H$34*J195)+武将数量星级阶位验证!Y191</f>
        <v>0</v>
      </c>
      <c r="AJ195" s="29">
        <f>MAX(W195+AE195+G195*(K195+1)+IF(武将数量星级阶位验证!L191="",0,武将数量星级阶位验证!L191)*武将升星!P188,O195)</f>
        <v>24</v>
      </c>
      <c r="AK195" s="29">
        <f>MAX(X195+AF195+H195*(L195+1)+IF(武将数量星级阶位验证!M191="",0,武将数量星级阶位验证!M191)*武将升星!Q188,P195)</f>
        <v>165.94253809469723</v>
      </c>
      <c r="AL195" s="64">
        <f>MAX(Y195+AG195+I195*(M195+1)+IF(武将数量星级阶位验证!N191="",0,武将数量星级阶位验证!N191)*武将升星!R188,Q195)</f>
        <v>96.560384465894586</v>
      </c>
      <c r="AM195" s="41">
        <f t="shared" si="195"/>
        <v>0</v>
      </c>
      <c r="AO195" s="17">
        <f>武将数量星级阶位验证!BJ191</f>
        <v>800.94740192226163</v>
      </c>
      <c r="AP195" s="17">
        <f>武将数量星级阶位验证!BK191</f>
        <v>316.75353622167563</v>
      </c>
      <c r="AQ195" s="63">
        <f>武将数量星级阶位验证!BL191</f>
        <v>88.171697687346281</v>
      </c>
      <c r="AR195" s="17">
        <f>武将数量星级阶位验证!BM191</f>
        <v>0</v>
      </c>
      <c r="AT195" s="17">
        <f t="shared" si="187"/>
        <v>4.125</v>
      </c>
      <c r="AU195" s="17">
        <f t="shared" si="188"/>
        <v>38.848984787984186</v>
      </c>
      <c r="AW195" s="17" t="s">
        <v>168</v>
      </c>
      <c r="AZ195" s="17">
        <v>4</v>
      </c>
      <c r="BA195" s="17">
        <v>2</v>
      </c>
      <c r="BB195" s="62">
        <f t="shared" si="196"/>
        <v>6</v>
      </c>
      <c r="BD195" s="17">
        <v>0</v>
      </c>
      <c r="BE195" s="17">
        <v>8</v>
      </c>
      <c r="BF195" s="17">
        <v>12</v>
      </c>
      <c r="BG195" s="17">
        <v>0</v>
      </c>
      <c r="BH195" s="62">
        <f t="shared" si="197"/>
        <v>20</v>
      </c>
      <c r="BJ195" s="17">
        <f t="shared" si="198"/>
        <v>0</v>
      </c>
      <c r="BK195" s="17">
        <f t="shared" si="189"/>
        <v>8</v>
      </c>
      <c r="BL195" s="17">
        <f t="shared" si="190"/>
        <v>16</v>
      </c>
      <c r="BM195" s="17">
        <f t="shared" si="191"/>
        <v>2</v>
      </c>
      <c r="BN195" s="62">
        <f t="shared" si="199"/>
        <v>26</v>
      </c>
      <c r="BR195" s="17">
        <f>武将升星!P188*基础状态预期!G201+G195*(K195+1)+W195+AE195</f>
        <v>24</v>
      </c>
      <c r="BS195" s="17">
        <f>武将升星!Q188*基础状态预期!H201+H195*(L195+1)+X195+AF195</f>
        <v>165.94253809469723</v>
      </c>
      <c r="BT195" s="17">
        <f>武将升星!R188*基础状态预期!I201+I195*(M195+1)+Y195+AG195</f>
        <v>96.560384465894586</v>
      </c>
      <c r="BU195" s="17">
        <f>武将升星!S188*基础状态预期!J201+J195*(N195+1)+Z195+AH195</f>
        <v>525</v>
      </c>
    </row>
    <row r="196" spans="2:73" x14ac:dyDescent="0.15">
      <c r="B196" s="17">
        <v>9</v>
      </c>
      <c r="C196" s="17">
        <f t="shared" si="192"/>
        <v>24</v>
      </c>
      <c r="D196" s="17">
        <v>6</v>
      </c>
      <c r="E196" s="29">
        <f>基础状态预期!C202</f>
        <v>5.5</v>
      </c>
      <c r="F196" s="29">
        <f>基础状态预期!D202</f>
        <v>42.643360270022924</v>
      </c>
      <c r="G196" s="29">
        <f t="shared" si="193"/>
        <v>0</v>
      </c>
      <c r="H196" s="29">
        <f t="shared" si="183"/>
        <v>8</v>
      </c>
      <c r="I196" s="29">
        <f t="shared" si="184"/>
        <v>16</v>
      </c>
      <c r="J196" s="29">
        <f t="shared" si="185"/>
        <v>0</v>
      </c>
      <c r="K196" s="29">
        <f>武将战力价值情况!G192</f>
        <v>3</v>
      </c>
      <c r="L196" s="29">
        <f>武将战力价值情况!H192</f>
        <v>6</v>
      </c>
      <c r="M196" s="29">
        <f>武将战力价值情况!I192</f>
        <v>3.8693891740370221</v>
      </c>
      <c r="N196" s="29">
        <f>武将战力价值情况!J192</f>
        <v>0</v>
      </c>
      <c r="O196" s="41">
        <f>MAX(同名需求(G196,求节点(武将升星!$C$104:$C$112,武将升星!E$104:E$112,K196),F$2),武将数量星级阶位验证!AA192)</f>
        <v>24</v>
      </c>
      <c r="P196" s="41">
        <f>MAX(同名需求(H196,求节点(武将升星!$C$104:$C$112,武将升星!F$104:F$112,L196),G$2),武将数量星级阶位验证!AB192)</f>
        <v>128</v>
      </c>
      <c r="Q196" s="41">
        <f>MAX(同名需求(I196,求节点(武将升星!$C$104:$C$112,武将升星!G$104:G$112,M196),H$2),武将数量星级阶位验证!AC192)</f>
        <v>118.622512831666</v>
      </c>
      <c r="R196" s="41">
        <f>MAX(同名需求(J196,求节点(武将升星!$C$104:$C$112,武将升星!H$104:H$112,N196),I$2),武将数量星级阶位验证!AD192)</f>
        <v>0</v>
      </c>
      <c r="S196" s="29">
        <f>MAX(基础状态预期!P202:T202)</f>
        <v>1.7057344108009169</v>
      </c>
      <c r="T196" s="29">
        <f t="shared" ref="T196:V196" si="203">S196</f>
        <v>1.7057344108009169</v>
      </c>
      <c r="U196" s="29">
        <f t="shared" si="203"/>
        <v>1.7057344108009169</v>
      </c>
      <c r="V196" s="29">
        <f t="shared" si="203"/>
        <v>1.7057344108009169</v>
      </c>
      <c r="W196" s="41">
        <f>SUMIFS(武将进阶!F$13:F$18,武将进阶!$C$13:$C$18,"&lt;="&amp;T196)*H196+武将数量星级阶位验证!Q192</f>
        <v>24</v>
      </c>
      <c r="X196" s="41">
        <f>SUMIFS(武将进阶!G$13:G$18,武将进阶!$C$13:$C$18,"&lt;="&amp;U196)*I196+武将数量星级阶位验证!R192</f>
        <v>91.406438788833015</v>
      </c>
      <c r="Y196" s="41">
        <f>SUMIFS(武将进阶!H$13:H$18,武将进阶!$C$13:$C$18,"&lt;="&amp;V196)*J196+武将数量星级阶位验证!S192</f>
        <v>0</v>
      </c>
      <c r="Z196" s="41">
        <f>SUMIFS(武将进阶!I$13:I$18,武将进阶!$C$13:$C$18,"&lt;="&amp;W196)*K196+武将数量星级阶位验证!T192</f>
        <v>525</v>
      </c>
      <c r="AA196" s="29"/>
      <c r="AB196" s="29">
        <f>求节点(基础状态预期!$AT$17:$AT$55,基础状态预期!AW$17:AW$55,各r阵容卡情况!$F196)</f>
        <v>2</v>
      </c>
      <c r="AC196" s="29">
        <f>求节点(基础状态预期!$AT$17:$AT$55,基础状态预期!AX$17:AX$55,各r阵容卡情况!$F196)</f>
        <v>2</v>
      </c>
      <c r="AD196" s="29">
        <f>求节点(基础状态预期!$AT$17:$AT$55,基础状态预期!AY$17:AY$55,各r阵容卡情况!$F196)</f>
        <v>2</v>
      </c>
      <c r="AE196" s="41">
        <f>IF(AA196&lt;1,0,(AA196-1)*武将觉醒!E$34*G196)+武将数量星级阶位验证!V192</f>
        <v>0</v>
      </c>
      <c r="AF196" s="41">
        <f>IF(AB196&lt;1,0,(AB196-1)*武将觉醒!F$34*H196)+武将数量星级阶位验证!W192</f>
        <v>40</v>
      </c>
      <c r="AG196" s="41">
        <f>IF(AC196&lt;1,0,(AC196-1)*武将觉醒!G$34*I196)+武将数量星级阶位验证!X192</f>
        <v>22</v>
      </c>
      <c r="AH196" s="41">
        <f>IF(AD196&lt;1,0,(AD196-1)*武将觉醒!H$34*J196)+武将数量星级阶位验证!Y192</f>
        <v>0</v>
      </c>
      <c r="AJ196" s="29">
        <f>MAX(W196+AE196+G196*(K196+1)+IF(武将数量星级阶位验证!L192="",0,武将数量星级阶位验证!L192)*武将升星!P189,O196)</f>
        <v>24</v>
      </c>
      <c r="AK196" s="29">
        <f>MAX(X196+AF196+H196*(L196+1)+IF(武将数量星级阶位验证!M192="",0,武将数量星级阶位验证!M192)*武将升星!Q189,P196)</f>
        <v>187.40643878883301</v>
      </c>
      <c r="AL196" s="64">
        <f>MAX(Y196+AG196+I196*(M196+1)+IF(武将数量星级阶位验证!N192="",0,武将数量星级阶位验证!N192)*武将升星!R189,Q196)</f>
        <v>134.34289687303664</v>
      </c>
      <c r="AM196" s="41">
        <f t="shared" si="195"/>
        <v>0</v>
      </c>
      <c r="AO196" s="17">
        <f>武将数量星级阶位验证!BJ192</f>
        <v>989.5782115681003</v>
      </c>
      <c r="AP196" s="17">
        <f>武将数量星级阶位验证!BK192</f>
        <v>390.60066797695208</v>
      </c>
      <c r="AQ196" s="63">
        <f>武将数量星级阶位验证!BL192</f>
        <v>108.63612536851777</v>
      </c>
      <c r="AR196" s="17">
        <f>武将数量星级阶位验证!BM192</f>
        <v>0</v>
      </c>
      <c r="AT196" s="17">
        <f t="shared" si="187"/>
        <v>5.5</v>
      </c>
      <c r="AU196" s="17">
        <f t="shared" si="188"/>
        <v>42.643360270022924</v>
      </c>
      <c r="AW196" s="17" t="s">
        <v>168</v>
      </c>
      <c r="AZ196" s="17">
        <v>3</v>
      </c>
      <c r="BA196" s="17">
        <v>3</v>
      </c>
      <c r="BB196" s="62">
        <f t="shared" si="196"/>
        <v>6</v>
      </c>
      <c r="BD196" s="17">
        <v>0</v>
      </c>
      <c r="BE196" s="17">
        <v>8</v>
      </c>
      <c r="BF196" s="17">
        <v>16</v>
      </c>
      <c r="BG196" s="17">
        <v>0</v>
      </c>
      <c r="BH196" s="62">
        <f t="shared" si="197"/>
        <v>24</v>
      </c>
      <c r="BJ196" s="17">
        <f t="shared" si="198"/>
        <v>0</v>
      </c>
      <c r="BK196" s="17">
        <f t="shared" si="189"/>
        <v>8</v>
      </c>
      <c r="BL196" s="17">
        <f t="shared" si="190"/>
        <v>19</v>
      </c>
      <c r="BM196" s="17">
        <f t="shared" si="191"/>
        <v>3</v>
      </c>
      <c r="BN196" s="62">
        <f t="shared" si="199"/>
        <v>30</v>
      </c>
      <c r="BR196" s="17">
        <f>武将升星!P189*基础状态预期!G202+G196*(K196+1)+W196+AE196</f>
        <v>24</v>
      </c>
      <c r="BS196" s="17">
        <f>武将升星!Q189*基础状态预期!H202+H196*(L196+1)+X196+AF196</f>
        <v>187.40643878883301</v>
      </c>
      <c r="BT196" s="17">
        <f>武将升星!R189*基础状态预期!I202+I196*(M196+1)+Y196+AG196</f>
        <v>134.34289687303664</v>
      </c>
      <c r="BU196" s="17">
        <f>武将升星!S189*基础状态预期!J202+J196*(N196+1)+Z196+AH196</f>
        <v>525</v>
      </c>
    </row>
    <row r="197" spans="2:73" x14ac:dyDescent="0.15">
      <c r="B197" s="17">
        <v>10</v>
      </c>
      <c r="C197" s="17">
        <f t="shared" si="192"/>
        <v>24</v>
      </c>
      <c r="D197" s="17">
        <v>7</v>
      </c>
      <c r="E197" s="29">
        <f>基础状态预期!C203</f>
        <v>8.25</v>
      </c>
      <c r="F197" s="29">
        <f>基础状态预期!D203</f>
        <v>48.493134765265182</v>
      </c>
      <c r="G197" s="29">
        <f t="shared" si="193"/>
        <v>0</v>
      </c>
      <c r="H197" s="29">
        <f t="shared" si="183"/>
        <v>4</v>
      </c>
      <c r="I197" s="29">
        <f t="shared" si="184"/>
        <v>20</v>
      </c>
      <c r="J197" s="29">
        <f t="shared" si="185"/>
        <v>0</v>
      </c>
      <c r="K197" s="29">
        <f>武将战力价值情况!G193</f>
        <v>3</v>
      </c>
      <c r="L197" s="29">
        <f>武将战力价值情况!H193</f>
        <v>6</v>
      </c>
      <c r="M197" s="29">
        <f>武将战力价值情况!I193</f>
        <v>4.9206332693256787</v>
      </c>
      <c r="N197" s="29">
        <f>武将战力价值情况!J193</f>
        <v>0</v>
      </c>
      <c r="O197" s="41">
        <f>MAX(同名需求(G197,求节点(武将升星!$C$104:$C$112,武将升星!E$104:E$112,K197),F$2),武将数量星级阶位验证!AA193)</f>
        <v>24</v>
      </c>
      <c r="P197" s="41">
        <f>MAX(同名需求(H197,求节点(武将升星!$C$104:$C$112,武将升星!F$104:F$112,L197),G$2),武将数量星级阶位验证!AB193)</f>
        <v>124</v>
      </c>
      <c r="Q197" s="41">
        <f>MAX(同名需求(I197,求节点(武将升星!$C$104:$C$112,武将升星!G$104:G$112,M197),H$2),武将数量星级阶位验证!AC193)</f>
        <v>176.97609635156368</v>
      </c>
      <c r="R197" s="41">
        <f>MAX(同名需求(J197,求节点(武将升星!$C$104:$C$112,武将升星!H$104:H$112,N197),I$2),武将数量星级阶位验证!AD193)</f>
        <v>0</v>
      </c>
      <c r="S197" s="29">
        <f>MAX(基础状态预期!P203:T203)</f>
        <v>1.9397253906106073</v>
      </c>
      <c r="T197" s="29">
        <f t="shared" ref="T197:V197" si="204">S197</f>
        <v>1.9397253906106073</v>
      </c>
      <c r="U197" s="29">
        <f t="shared" si="204"/>
        <v>1.9397253906106073</v>
      </c>
      <c r="V197" s="29">
        <f t="shared" si="204"/>
        <v>1.9397253906106073</v>
      </c>
      <c r="W197" s="41">
        <f>SUMIFS(武将进阶!F$13:F$18,武将进阶!$C$13:$C$18,"&lt;="&amp;T197)*H197+武将数量星级阶位验证!Q193</f>
        <v>12</v>
      </c>
      <c r="X197" s="41">
        <f>SUMIFS(武将进阶!G$13:G$18,武将进阶!$C$13:$C$18,"&lt;="&amp;U197)*I197+武将数量星级阶位验证!R193</f>
        <v>111.83011406198187</v>
      </c>
      <c r="Y197" s="41">
        <f>SUMIFS(武将进阶!H$13:H$18,武将进阶!$C$13:$C$18,"&lt;="&amp;V197)*J197+武将数量星级阶位验证!S193</f>
        <v>0</v>
      </c>
      <c r="Z197" s="41">
        <f>SUMIFS(武将进阶!I$13:I$18,武将进阶!$C$13:$C$18,"&lt;="&amp;W197)*K197+武将数量星级阶位验证!T193</f>
        <v>525</v>
      </c>
      <c r="AA197" s="29"/>
      <c r="AB197" s="29">
        <f>求节点(基础状态预期!$AT$17:$AT$55,基础状态预期!AW$17:AW$55,各r阵容卡情况!$F197)</f>
        <v>2</v>
      </c>
      <c r="AC197" s="29">
        <f>求节点(基础状态预期!$AT$17:$AT$55,基础状态预期!AX$17:AX$55,各r阵容卡情况!$F197)</f>
        <v>2</v>
      </c>
      <c r="AD197" s="29">
        <f>求节点(基础状态预期!$AT$17:$AT$55,基础状态预期!AY$17:AY$55,各r阵容卡情况!$F197)</f>
        <v>2</v>
      </c>
      <c r="AE197" s="41">
        <f>IF(AA197&lt;1,0,(AA197-1)*武将觉醒!E$34*G197)+武将数量星级阶位验证!V193</f>
        <v>0</v>
      </c>
      <c r="AF197" s="41">
        <f>IF(AB197&lt;1,0,(AB197-1)*武将觉醒!F$34*H197)+武将数量星级阶位验证!W193</f>
        <v>20</v>
      </c>
      <c r="AG197" s="41">
        <f>IF(AC197&lt;1,0,(AC197-1)*武将觉醒!G$34*I197)+武将数量星级阶位验证!X193</f>
        <v>26</v>
      </c>
      <c r="AH197" s="41">
        <f>IF(AD197&lt;1,0,(AD197-1)*武将觉醒!H$34*J197)+武将数量星级阶位验证!Y193</f>
        <v>0</v>
      </c>
      <c r="AJ197" s="29">
        <f>MAX(W197+AE197+G197*(K197+1)+IF(武将数量星级阶位验证!L193="",0,武将数量星级阶位验证!L193)*武将升星!P190,O197)</f>
        <v>24</v>
      </c>
      <c r="AK197" s="29">
        <f>MAX(X197+AF197+H197*(L197+1)+IF(武将数量星级阶位验证!M193="",0,武将数量星级阶位验证!M193)*武将升星!Q190,P197)</f>
        <v>159.83011406198187</v>
      </c>
      <c r="AL197" s="64">
        <f>MAX(Y197+AG197+I197*(M197+1)+IF(武将数量星级阶位验证!N193="",0,武将数量星级阶位验证!N193)*武将升星!R190,Q197)</f>
        <v>191.46026461842172</v>
      </c>
      <c r="AM197" s="41">
        <f t="shared" si="195"/>
        <v>0</v>
      </c>
      <c r="AO197" s="17">
        <f>武将数量星级阶位验证!BJ193</f>
        <v>1322.9566316485134</v>
      </c>
      <c r="AP197" s="17">
        <f>武将数量星级阶位验证!BK193</f>
        <v>523.75331589402845</v>
      </c>
      <c r="AQ197" s="63">
        <f>武将数量星级阶位验证!BL193</f>
        <v>143.7816634662839</v>
      </c>
      <c r="AR197" s="17">
        <f>武将数量星级阶位验证!BM193</f>
        <v>0.77416588750245829</v>
      </c>
      <c r="AT197" s="17">
        <f t="shared" si="187"/>
        <v>8.25</v>
      </c>
      <c r="AU197" s="17">
        <f t="shared" si="188"/>
        <v>48.493134765265182</v>
      </c>
      <c r="AW197" s="17" t="s">
        <v>168</v>
      </c>
      <c r="AZ197" s="17">
        <v>2</v>
      </c>
      <c r="BA197" s="17">
        <v>4</v>
      </c>
      <c r="BB197" s="62">
        <f t="shared" si="196"/>
        <v>6</v>
      </c>
      <c r="BD197" s="17">
        <v>0</v>
      </c>
      <c r="BE197" s="17">
        <v>4</v>
      </c>
      <c r="BF197" s="17">
        <v>20</v>
      </c>
      <c r="BG197" s="17">
        <v>0</v>
      </c>
      <c r="BH197" s="62">
        <f t="shared" si="197"/>
        <v>24</v>
      </c>
      <c r="BJ197" s="17">
        <f t="shared" si="198"/>
        <v>0</v>
      </c>
      <c r="BK197" s="17">
        <f t="shared" si="189"/>
        <v>4</v>
      </c>
      <c r="BL197" s="17">
        <f t="shared" si="190"/>
        <v>22</v>
      </c>
      <c r="BM197" s="17">
        <f t="shared" si="191"/>
        <v>4</v>
      </c>
      <c r="BN197" s="62">
        <f t="shared" si="199"/>
        <v>30</v>
      </c>
      <c r="BR197" s="17">
        <f>武将升星!P190*基础状态预期!G203+G197*(K197+1)+W197+AE197</f>
        <v>12</v>
      </c>
      <c r="BS197" s="17">
        <f>武将升星!Q190*基础状态预期!H203+H197*(L197+1)+X197+AF197</f>
        <v>159.83011406198187</v>
      </c>
      <c r="BT197" s="17">
        <f>武将升星!R190*基础状态预期!I203+I197*(M197+1)+Y197+AG197</f>
        <v>191.46026461842172</v>
      </c>
      <c r="BU197" s="17">
        <f>武将升星!S190*基础状态预期!J203+J197*(N197+1)+Z197+AH197</f>
        <v>525</v>
      </c>
    </row>
    <row r="198" spans="2:73" x14ac:dyDescent="0.15">
      <c r="B198" s="17">
        <v>11</v>
      </c>
      <c r="C198" s="17">
        <f t="shared" si="192"/>
        <v>24</v>
      </c>
      <c r="D198" s="17">
        <v>8</v>
      </c>
      <c r="E198" s="29">
        <f>基础状态预期!C204</f>
        <v>11</v>
      </c>
      <c r="F198" s="29">
        <f>基础状态预期!D204</f>
        <v>52.559419343629337</v>
      </c>
      <c r="G198" s="29">
        <f t="shared" si="193"/>
        <v>0</v>
      </c>
      <c r="H198" s="29">
        <f t="shared" si="183"/>
        <v>2</v>
      </c>
      <c r="I198" s="29">
        <f t="shared" si="184"/>
        <v>22</v>
      </c>
      <c r="J198" s="29">
        <f t="shared" si="185"/>
        <v>0</v>
      </c>
      <c r="K198" s="29">
        <f>武将战力价值情况!G194</f>
        <v>3</v>
      </c>
      <c r="L198" s="29">
        <f>武将战力价值情况!H194</f>
        <v>6</v>
      </c>
      <c r="M198" s="29">
        <f>武将战力价值情况!I194</f>
        <v>5.5828245074753733</v>
      </c>
      <c r="N198" s="29">
        <f>武将战力价值情况!J194</f>
        <v>1.1724486135119863</v>
      </c>
      <c r="O198" s="41">
        <f>MAX(同名需求(G198,求节点(武将升星!$C$104:$C$112,武将升星!E$104:E$112,K198),F$2),武将数量星级阶位验证!AA194)</f>
        <v>24</v>
      </c>
      <c r="P198" s="41">
        <f>MAX(同名需求(H198,求节点(武将升星!$C$104:$C$112,武将升星!F$104:F$112,L198),G$2),武将数量星级阶位验证!AB194)</f>
        <v>122</v>
      </c>
      <c r="Q198" s="41">
        <f>MAX(同名需求(I198,求节点(武将升星!$C$104:$C$112,武将升星!G$104:G$112,M198),H$2),武将数量星级阶位验证!AC194)</f>
        <v>371.93894089704486</v>
      </c>
      <c r="R198" s="41">
        <f>MAX(同名需求(J198,求节点(武将升星!$C$104:$C$112,武将升星!H$104:H$112,N198),I$2),武将数量星级阶位验证!AD194)</f>
        <v>2.1724486135119863</v>
      </c>
      <c r="S198" s="29">
        <f>MAX(基础状态预期!P204:T204)</f>
        <v>2.1023767737451733</v>
      </c>
      <c r="T198" s="29">
        <f t="shared" ref="T198:V198" si="205">S198</f>
        <v>2.1023767737451733</v>
      </c>
      <c r="U198" s="29">
        <f t="shared" si="205"/>
        <v>2.1023767737451733</v>
      </c>
      <c r="V198" s="29">
        <f t="shared" si="205"/>
        <v>2.1023767737451733</v>
      </c>
      <c r="W198" s="41">
        <f>SUMIFS(武将进阶!F$13:F$18,武将进阶!$C$13:$C$18,"&lt;="&amp;T198)*H198+武将数量星级阶位验证!Q194</f>
        <v>18</v>
      </c>
      <c r="X198" s="41">
        <f>SUMIFS(武将进阶!G$13:G$18,武将进阶!$C$13:$C$18,"&lt;="&amp;U198)*I198+武将数量星级阶位验证!R194</f>
        <v>249.14260642471038</v>
      </c>
      <c r="Y198" s="41">
        <f>SUMIFS(武将进阶!H$13:H$18,武将进阶!$C$13:$C$18,"&lt;="&amp;V198)*J198+武将数量星级阶位验证!S194</f>
        <v>10.842781927413119</v>
      </c>
      <c r="Z198" s="41">
        <f>SUMIFS(武将进阶!I$13:I$18,武将进阶!$C$13:$C$18,"&lt;="&amp;W198)*K198+武将数量星级阶位验证!T194</f>
        <v>525</v>
      </c>
      <c r="AA198" s="29"/>
      <c r="AB198" s="29">
        <f>求节点(基础状态预期!$AT$17:$AT$55,基础状态预期!AW$17:AW$55,各r阵容卡情况!$F198)</f>
        <v>2</v>
      </c>
      <c r="AC198" s="29">
        <f>求节点(基础状态预期!$AT$17:$AT$55,基础状态预期!AX$17:AX$55,各r阵容卡情况!$F198)</f>
        <v>2</v>
      </c>
      <c r="AD198" s="29">
        <f>求节点(基础状态预期!$AT$17:$AT$55,基础状态预期!AY$17:AY$55,各r阵容卡情况!$F198)</f>
        <v>2</v>
      </c>
      <c r="AE198" s="41">
        <f>IF(AA198&lt;1,0,(AA198-1)*武将觉醒!E$34*G198)+武将数量星级阶位验证!V194</f>
        <v>0</v>
      </c>
      <c r="AF198" s="41">
        <f>IF(AB198&lt;1,0,(AB198-1)*武将觉醒!F$34*H198)+武将数量星级阶位验证!W194</f>
        <v>10</v>
      </c>
      <c r="AG198" s="41">
        <f>IF(AC198&lt;1,0,(AC198-1)*武将觉醒!G$34*I198)+武将数量星级阶位验证!X194</f>
        <v>30</v>
      </c>
      <c r="AH198" s="41">
        <f>IF(AD198&lt;1,0,(AD198-1)*武将觉醒!H$34*J198)+武将数量星级阶位验证!Y194</f>
        <v>0</v>
      </c>
      <c r="AJ198" s="29">
        <f>MAX(W198+AE198+G198*(K198+1)+IF(武将数量星级阶位验证!L194="",0,武将数量星级阶位验证!L194)*武将升星!P191,O198)</f>
        <v>24</v>
      </c>
      <c r="AK198" s="29">
        <f>MAX(X198+AF198+H198*(L198+1)+IF(武将数量星级阶位验证!M194="",0,武将数量星级阶位验证!M194)*武将升星!Q191,P198)</f>
        <v>273.14260642471038</v>
      </c>
      <c r="AL198" s="64">
        <f>MAX(Y198+AG198+I198*(M198+1)+IF(武将数量星级阶位验证!N194="",0,武将数量星级阶位验证!N194)*武将升星!R191,Q198)</f>
        <v>371.93894089704486</v>
      </c>
      <c r="AM198" s="41">
        <f t="shared" si="195"/>
        <v>2.1724486135119863</v>
      </c>
      <c r="AO198" s="17">
        <f>武将数量星级阶位验证!BJ194</f>
        <v>1619.0293810228752</v>
      </c>
      <c r="AP198" s="17">
        <f>武将数量星级阶位验证!BK194</f>
        <v>644.40187639482247</v>
      </c>
      <c r="AQ198" s="63">
        <f>武将数量星级阶位验证!BL194</f>
        <v>174.04517139398635</v>
      </c>
      <c r="AR198" s="17">
        <f>武将数量星级阶位验证!BM194</f>
        <v>2.1724486135119863</v>
      </c>
      <c r="AT198" s="17">
        <f t="shared" si="187"/>
        <v>11</v>
      </c>
      <c r="AU198" s="17">
        <f t="shared" si="188"/>
        <v>52.559419343629337</v>
      </c>
      <c r="AW198" s="17" t="s">
        <v>168</v>
      </c>
      <c r="AZ198" s="17">
        <v>1</v>
      </c>
      <c r="BA198" s="17">
        <v>5</v>
      </c>
      <c r="BB198" s="62">
        <f t="shared" si="196"/>
        <v>6</v>
      </c>
      <c r="BD198" s="17">
        <v>0</v>
      </c>
      <c r="BE198" s="65">
        <v>2</v>
      </c>
      <c r="BF198" s="17">
        <v>22</v>
      </c>
      <c r="BG198" s="17">
        <v>0</v>
      </c>
      <c r="BH198" s="62">
        <f t="shared" si="197"/>
        <v>24</v>
      </c>
      <c r="BJ198" s="17">
        <f t="shared" si="198"/>
        <v>0</v>
      </c>
      <c r="BK198" s="17">
        <f t="shared" si="189"/>
        <v>2</v>
      </c>
      <c r="BL198" s="17">
        <f t="shared" si="190"/>
        <v>23</v>
      </c>
      <c r="BM198" s="17">
        <f t="shared" si="191"/>
        <v>5</v>
      </c>
      <c r="BN198" s="62">
        <f t="shared" si="199"/>
        <v>30</v>
      </c>
      <c r="BR198" s="17">
        <f>武将升星!P191*基础状态预期!G204+G198*(K198+1)+W198+AE198</f>
        <v>18</v>
      </c>
      <c r="BS198" s="17">
        <f>武将升星!Q191*基础状态预期!H204+H198*(L198+1)+X198+AF198</f>
        <v>273.14260642471038</v>
      </c>
      <c r="BT198" s="17">
        <f>武将升星!R191*基础状态预期!I204+I198*(M198+1)+Y198+AG198</f>
        <v>234.40728870400193</v>
      </c>
      <c r="BU198" s="17">
        <f>武将升星!S191*基础状态预期!J204+J198*(N198+1)+Z198+AH198</f>
        <v>527.17244861351196</v>
      </c>
    </row>
    <row r="199" spans="2:73" x14ac:dyDescent="0.15">
      <c r="B199" s="17">
        <v>12</v>
      </c>
      <c r="C199" s="17">
        <f t="shared" si="192"/>
        <v>24</v>
      </c>
      <c r="D199" s="17">
        <v>9</v>
      </c>
      <c r="E199" s="29">
        <f>基础状态预期!C205</f>
        <v>16.5</v>
      </c>
      <c r="F199" s="29">
        <f>基础状态预期!D205</f>
        <v>58.560986008166232</v>
      </c>
      <c r="G199" s="29">
        <f t="shared" si="193"/>
        <v>0</v>
      </c>
      <c r="H199" s="29">
        <f t="shared" si="183"/>
        <v>0</v>
      </c>
      <c r="I199" s="29">
        <f t="shared" si="184"/>
        <v>24</v>
      </c>
      <c r="J199" s="29">
        <f t="shared" si="185"/>
        <v>0</v>
      </c>
      <c r="K199" s="29">
        <f>武将战力价值情况!G195</f>
        <v>3</v>
      </c>
      <c r="L199" s="29">
        <f>武将战力价值情况!H195</f>
        <v>6</v>
      </c>
      <c r="M199" s="29">
        <f>武将战力价值情况!I195</f>
        <v>6.6233090969741601</v>
      </c>
      <c r="N199" s="29">
        <f>武将战力价值情况!J195</f>
        <v>3.1004594949713136</v>
      </c>
      <c r="O199" s="41">
        <f>MAX(同名需求(G199,求节点(武将升星!$C$104:$C$112,武将升星!E$104:E$112,K199),F$2),武将数量星级阶位验证!AA195)</f>
        <v>24</v>
      </c>
      <c r="P199" s="41">
        <f>MAX(同名需求(H199,求节点(武将升星!$C$104:$C$112,武将升星!F$104:F$112,L199),G$2),武将数量星级阶位验证!AB195)</f>
        <v>120</v>
      </c>
      <c r="Q199" s="41">
        <f>MAX(同名需求(I199,求节点(武将升星!$C$104:$C$112,武将升星!G$104:G$112,M199),H$2),武将数量星级阶位验证!AC195)</f>
        <v>498.79709163689915</v>
      </c>
      <c r="R199" s="41">
        <f>MAX(同名需求(J199,求节点(武将升星!$C$104:$C$112,武将升星!H$104:H$112,N199),I$2),武将数量星级阶位验证!AD195)</f>
        <v>8.4018379798852543</v>
      </c>
      <c r="S199" s="29">
        <f>MAX(基础状态预期!P205:T205)</f>
        <v>2.3424394403266495</v>
      </c>
      <c r="T199" s="29">
        <f t="shared" ref="T199:V199" si="206">S199</f>
        <v>2.3424394403266495</v>
      </c>
      <c r="U199" s="29">
        <f t="shared" si="206"/>
        <v>2.3424394403266495</v>
      </c>
      <c r="V199" s="29">
        <f t="shared" si="206"/>
        <v>2.3424394403266495</v>
      </c>
      <c r="W199" s="41">
        <f>SUMIFS(武将进阶!F$13:F$18,武将进阶!$C$13:$C$18,"&lt;="&amp;T199)*H199+武将数量星级阶位验证!Q195</f>
        <v>0</v>
      </c>
      <c r="X199" s="41">
        <f>SUMIFS(武将进阶!G$13:G$18,武将进阶!$C$13:$C$18,"&lt;="&amp;U199)*I199+武将数量星级阶位验证!R195</f>
        <v>268.43709313567916</v>
      </c>
      <c r="Y199" s="41">
        <f>SUMIFS(武将进阶!H$13:H$18,武将进阶!$C$13:$C$18,"&lt;="&amp;V199)*J199+武将数量星级阶位验证!S195</f>
        <v>30.327819851759383</v>
      </c>
      <c r="Z199" s="41">
        <f>SUMIFS(武将进阶!I$13:I$18,武将进阶!$C$13:$C$18,"&lt;="&amp;W199)*K199+武将数量星级阶位验证!T195</f>
        <v>0</v>
      </c>
      <c r="AA199" s="29"/>
      <c r="AB199" s="29">
        <f>求节点(基础状态预期!$AT$17:$AT$55,基础状态预期!AW$17:AW$55,各r阵容卡情况!$F199)</f>
        <v>2</v>
      </c>
      <c r="AC199" s="29">
        <f>求节点(基础状态预期!$AT$17:$AT$55,基础状态预期!AX$17:AX$55,各r阵容卡情况!$F199)</f>
        <v>2</v>
      </c>
      <c r="AD199" s="29">
        <f>求节点(基础状态预期!$AT$17:$AT$55,基础状态预期!AY$17:AY$55,各r阵容卡情况!$F199)</f>
        <v>2</v>
      </c>
      <c r="AE199" s="41">
        <f>IF(AA199&lt;1,0,(AA199-1)*武将觉醒!E$34*G199)+武将数量星级阶位验证!V195</f>
        <v>0</v>
      </c>
      <c r="AF199" s="41">
        <f>IF(AB199&lt;1,0,(AB199-1)*武将觉醒!F$34*H199)+武将数量星级阶位验证!W195</f>
        <v>0</v>
      </c>
      <c r="AG199" s="41">
        <f>IF(AC199&lt;1,0,(AC199-1)*武将觉醒!G$34*I199)+武将数量星级阶位验证!X195</f>
        <v>34</v>
      </c>
      <c r="AH199" s="41">
        <f>IF(AD199&lt;1,0,(AD199-1)*武将觉醒!H$34*J199)+武将数量星级阶位验证!Y195</f>
        <v>0</v>
      </c>
      <c r="AJ199" s="29">
        <f>MAX(W199+AE199+G199*(K199+1)+IF(武将数量星级阶位验证!L195="",0,武将数量星级阶位验证!L195)*武将升星!P192,O199)</f>
        <v>24</v>
      </c>
      <c r="AK199" s="29">
        <f>MAX(X199+AF199+H199*(L199+1)+IF(武将数量星级阶位验证!M195="",0,武将数量星级阶位验证!M195)*武将升星!Q192,P199)</f>
        <v>268.43709313567916</v>
      </c>
      <c r="AL199" s="64">
        <f>MAX(Y199+AG199+I199*(M199+1)+IF(武将数量星级阶位验证!N195="",0,武将数量星级阶位验证!N195)*武将升星!R192,Q199)</f>
        <v>498.79709163689915</v>
      </c>
      <c r="AM199" s="41">
        <f t="shared" si="195"/>
        <v>8.4018379798852543</v>
      </c>
      <c r="AO199" s="17">
        <f>武将数量星级阶位验证!BJ195</f>
        <v>2113.065636456618</v>
      </c>
      <c r="AP199" s="17">
        <f>武将数量星级阶位验证!BK195</f>
        <v>860.29818860726482</v>
      </c>
      <c r="AQ199" s="63">
        <f>武将数量星级阶位验证!BL195</f>
        <v>219.91890746479424</v>
      </c>
      <c r="AR199" s="17">
        <f>武将数量星级阶位验证!BM195</f>
        <v>8.4018379798852543</v>
      </c>
      <c r="AT199" s="17">
        <f t="shared" si="187"/>
        <v>16.5</v>
      </c>
      <c r="AU199" s="17">
        <f t="shared" si="188"/>
        <v>58.560986008166232</v>
      </c>
      <c r="AW199" s="17" t="s">
        <v>168</v>
      </c>
      <c r="BA199" s="17">
        <v>6</v>
      </c>
      <c r="BB199" s="62">
        <f t="shared" si="196"/>
        <v>6</v>
      </c>
      <c r="BD199" s="17">
        <v>0</v>
      </c>
      <c r="BF199" s="65">
        <v>24</v>
      </c>
      <c r="BG199" s="17">
        <v>0</v>
      </c>
      <c r="BH199" s="62">
        <f t="shared" si="197"/>
        <v>24</v>
      </c>
      <c r="BJ199" s="17">
        <f t="shared" si="198"/>
        <v>0</v>
      </c>
      <c r="BK199" s="17">
        <f t="shared" si="189"/>
        <v>0</v>
      </c>
      <c r="BL199" s="17">
        <f t="shared" si="190"/>
        <v>24</v>
      </c>
      <c r="BM199" s="17">
        <f t="shared" si="191"/>
        <v>6</v>
      </c>
      <c r="BN199" s="62">
        <f t="shared" si="199"/>
        <v>30</v>
      </c>
      <c r="BR199" s="17">
        <f>武将升星!P192*基础状态预期!G205+G199*(K199+1)+W199+AE199</f>
        <v>0</v>
      </c>
      <c r="BS199" s="17">
        <f>武将升星!Q192*基础状态预期!H205+H199*(L199+1)+X199+AF199</f>
        <v>268.43709313567916</v>
      </c>
      <c r="BT199" s="17">
        <f>武将升星!R192*基础状态预期!I205+I199*(M199+1)+Y199+AG199</f>
        <v>298.76694734282916</v>
      </c>
      <c r="BU199" s="17">
        <f>武将升星!S192*基础状态预期!J205+J199*(N199+1)+Z199+AH199</f>
        <v>8.4018379798852543</v>
      </c>
    </row>
    <row r="200" spans="2:73" x14ac:dyDescent="0.15">
      <c r="B200" s="17">
        <v>13</v>
      </c>
      <c r="C200" s="17">
        <f t="shared" si="192"/>
        <v>24</v>
      </c>
      <c r="D200" s="17">
        <v>10</v>
      </c>
      <c r="E200" s="29">
        <f>基础状态预期!C206</f>
        <v>24.750000000000004</v>
      </c>
      <c r="F200" s="29">
        <f>基础状态预期!D206</f>
        <v>64.247064283227857</v>
      </c>
      <c r="G200" s="29">
        <f t="shared" si="193"/>
        <v>0</v>
      </c>
      <c r="H200" s="29">
        <f t="shared" si="183"/>
        <v>0</v>
      </c>
      <c r="I200" s="29">
        <f t="shared" si="184"/>
        <v>24</v>
      </c>
      <c r="J200" s="29">
        <f t="shared" si="185"/>
        <v>0</v>
      </c>
      <c r="K200" s="29">
        <f>武将战力价值情况!G196</f>
        <v>3</v>
      </c>
      <c r="L200" s="29">
        <f>武将战力价值情况!H196</f>
        <v>6</v>
      </c>
      <c r="M200" s="29">
        <f>武将战力价值情况!I196</f>
        <v>7.1423841951061631</v>
      </c>
      <c r="N200" s="29">
        <f>武将战力价值情况!J196</f>
        <v>5.081992541656331</v>
      </c>
      <c r="O200" s="41">
        <f>MAX(同名需求(G200,求节点(武将升星!$C$104:$C$112,武将升星!E$104:E$112,K200),F$2),武将数量星级阶位验证!AA196)</f>
        <v>24</v>
      </c>
      <c r="P200" s="41">
        <f>MAX(同名需求(H200,求节点(武将升星!$C$104:$C$112,武将升星!F$104:F$112,L200),G$2),武将数量星级阶位验证!AB196)</f>
        <v>120</v>
      </c>
      <c r="Q200" s="41">
        <f>MAX(同名需求(I200,求节点(武将升星!$C$104:$C$112,武将升星!G$104:G$112,M200),H$2),武将数量星级阶位验证!AC196)</f>
        <v>566.78147121698612</v>
      </c>
      <c r="R200" s="41">
        <f>MAX(同名需求(J200,求节点(武将升星!$C$104:$C$112,武将升星!H$104:H$112,N200),I$2),武将数量星级阶位验证!AD196)</f>
        <v>24.737932874906981</v>
      </c>
      <c r="S200" s="29">
        <f>MAX(基础状态预期!P206:T206)</f>
        <v>2.5698825713291145</v>
      </c>
      <c r="T200" s="29">
        <f t="shared" ref="T200:V200" si="207">S200</f>
        <v>2.5698825713291145</v>
      </c>
      <c r="U200" s="29">
        <f t="shared" si="207"/>
        <v>2.5698825713291145</v>
      </c>
      <c r="V200" s="29">
        <f t="shared" si="207"/>
        <v>2.5698825713291145</v>
      </c>
      <c r="W200" s="41">
        <f>SUMIFS(武将进阶!F$13:F$18,武将进阶!$C$13:$C$18,"&lt;="&amp;T200)*H200+武将数量星级阶位验证!Q196</f>
        <v>0</v>
      </c>
      <c r="X200" s="41">
        <f>SUMIFS(武将进阶!G$13:G$18,武将进阶!$C$13:$C$18,"&lt;="&amp;U200)*I200+武将数量星级阶位验证!R196</f>
        <v>263.5157725678481</v>
      </c>
      <c r="Y200" s="41">
        <f>SUMIFS(武将进阶!H$13:H$18,武将进阶!$C$13:$C$18,"&lt;="&amp;V200)*J200+武将数量星级阶位验证!S196</f>
        <v>57.773658851772176</v>
      </c>
      <c r="Z200" s="41">
        <f>SUMIFS(武将进阶!I$13:I$18,武将进阶!$C$13:$C$18,"&lt;="&amp;W200)*K200+武将数量星级阶位验证!T196</f>
        <v>0</v>
      </c>
      <c r="AA200" s="29"/>
      <c r="AB200" s="29">
        <f>求节点(基础状态预期!$AT$17:$AT$55,基础状态预期!AW$17:AW$55,各r阵容卡情况!$F200)</f>
        <v>2</v>
      </c>
      <c r="AC200" s="29">
        <f>求节点(基础状态预期!$AT$17:$AT$55,基础状态预期!AX$17:AX$55,各r阵容卡情况!$F200)</f>
        <v>2</v>
      </c>
      <c r="AD200" s="29">
        <f>求节点(基础状态预期!$AT$17:$AT$55,基础状态预期!AY$17:AY$55,各r阵容卡情况!$F200)</f>
        <v>2</v>
      </c>
      <c r="AE200" s="41">
        <f>IF(AA200&lt;1,0,(AA200-1)*武将觉醒!E$34*G200)+武将数量星级阶位验证!V196</f>
        <v>0</v>
      </c>
      <c r="AF200" s="41">
        <f>IF(AB200&lt;1,0,(AB200-1)*武将觉醒!F$34*H200)+武将数量星级阶位验证!W196</f>
        <v>0</v>
      </c>
      <c r="AG200" s="41">
        <f>IF(AC200&lt;1,0,(AC200-1)*武将觉醒!G$34*I200)+武将数量星级阶位验证!X196</f>
        <v>36</v>
      </c>
      <c r="AH200" s="41">
        <f>IF(AD200&lt;1,0,(AD200-1)*武将觉醒!H$34*J200)+武将数量星级阶位验证!Y196</f>
        <v>0</v>
      </c>
      <c r="AJ200" s="29">
        <f>MAX(W200+AE200+G200*(K200+1)+IF(武将数量星级阶位验证!L196="",0,武将数量星级阶位验证!L196)*武将升星!P193,O200)</f>
        <v>24</v>
      </c>
      <c r="AK200" s="29">
        <f>MAX(X200+AF200+H200*(L200+1)+IF(武将数量星级阶位验证!M196="",0,武将数量星级阶位验证!M196)*武将升星!Q193,P200)</f>
        <v>263.5157725678481</v>
      </c>
      <c r="AL200" s="64">
        <f>MAX(Y200+AG200+I200*(M200+1)+IF(武将数量星级阶位验证!N196="",0,武将数量星级阶位验证!N196)*武将升星!R193,Q200)</f>
        <v>566.78147121698612</v>
      </c>
      <c r="AM200" s="41">
        <f t="shared" si="195"/>
        <v>24.737932874906981</v>
      </c>
      <c r="AO200" s="17">
        <f>武将数量星级阶位验证!BJ196</f>
        <v>2685.2368957197882</v>
      </c>
      <c r="AP200" s="17">
        <f>武将数量星级阶位验证!BK196</f>
        <v>1144.941436857627</v>
      </c>
      <c r="AQ200" s="63">
        <f>武将数量星级阶位验证!BL196</f>
        <v>262.40914470234856</v>
      </c>
      <c r="AR200" s="17">
        <f>武将数量星级阶位验证!BM196</f>
        <v>24.737932874906981</v>
      </c>
      <c r="AT200" s="17">
        <f t="shared" si="187"/>
        <v>24.750000000000004</v>
      </c>
      <c r="AU200" s="17">
        <f t="shared" si="188"/>
        <v>64.247064283227857</v>
      </c>
      <c r="AW200" s="17" t="s">
        <v>168</v>
      </c>
      <c r="BA200" s="17">
        <v>6</v>
      </c>
      <c r="BB200" s="62">
        <f t="shared" si="196"/>
        <v>6</v>
      </c>
      <c r="BD200" s="17">
        <v>0</v>
      </c>
      <c r="BF200" s="17">
        <v>24</v>
      </c>
      <c r="BG200" s="17">
        <v>0</v>
      </c>
      <c r="BH200" s="62">
        <f t="shared" si="197"/>
        <v>24</v>
      </c>
      <c r="BJ200" s="17">
        <f t="shared" si="198"/>
        <v>0</v>
      </c>
      <c r="BK200" s="17">
        <f t="shared" si="189"/>
        <v>0</v>
      </c>
      <c r="BL200" s="17">
        <f t="shared" si="190"/>
        <v>24</v>
      </c>
      <c r="BM200" s="17">
        <f t="shared" si="191"/>
        <v>6</v>
      </c>
      <c r="BN200" s="62">
        <f t="shared" si="199"/>
        <v>30</v>
      </c>
      <c r="BR200" s="17">
        <f>武将升星!P193*基础状态预期!G206+G200*(K200+1)+W200+AE200</f>
        <v>0</v>
      </c>
      <c r="BS200" s="17">
        <f>武将升星!Q193*基础状态预期!H206+H200*(L200+1)+X200+AF200</f>
        <v>263.5157725678481</v>
      </c>
      <c r="BT200" s="17">
        <f>武将升星!R193*基础状态预期!I206+I200*(M200+1)+Y200+AG200</f>
        <v>332.89948987559404</v>
      </c>
      <c r="BU200" s="17">
        <f>武将升星!S193*基础状态预期!J206+J200*(N200+1)+Z200+AH200</f>
        <v>24.737932874906981</v>
      </c>
    </row>
    <row r="201" spans="2:73" x14ac:dyDescent="0.15">
      <c r="B201" s="17">
        <v>14</v>
      </c>
      <c r="C201" s="17">
        <f t="shared" si="192"/>
        <v>24</v>
      </c>
      <c r="D201" s="17">
        <v>11</v>
      </c>
      <c r="E201" s="29">
        <f>基础状态预期!C207</f>
        <v>33</v>
      </c>
      <c r="F201" s="29">
        <f>基础状态预期!D207</f>
        <v>68.518369035696878</v>
      </c>
      <c r="G201" s="29">
        <f t="shared" si="193"/>
        <v>0</v>
      </c>
      <c r="H201" s="29">
        <f t="shared" si="183"/>
        <v>0</v>
      </c>
      <c r="I201" s="29">
        <f t="shared" si="184"/>
        <v>24</v>
      </c>
      <c r="J201" s="29">
        <f t="shared" si="185"/>
        <v>0</v>
      </c>
      <c r="K201" s="29">
        <f>武将战力价值情况!G197</f>
        <v>3</v>
      </c>
      <c r="L201" s="29">
        <f>武将战力价值情况!H197</f>
        <v>6</v>
      </c>
      <c r="M201" s="29">
        <f>武将战力价值情况!I197</f>
        <v>7.5637474662874942</v>
      </c>
      <c r="N201" s="29">
        <f>武将战力价值情况!J197</f>
        <v>5.7443719768466801</v>
      </c>
      <c r="O201" s="41">
        <f>MAX(同名需求(G201,求节点(武将升星!$C$104:$C$112,武将升星!E$104:E$112,K201),F$2),武将数量星级阶位验证!AA197)</f>
        <v>24</v>
      </c>
      <c r="P201" s="41">
        <f>MAX(同名需求(H201,求节点(武将升星!$C$104:$C$112,武将升星!F$104:F$112,L201),G$2),武将数量星级阶位验证!AB197)</f>
        <v>120</v>
      </c>
      <c r="Q201" s="41">
        <f>MAX(同名需求(I201,求节点(武将升星!$C$104:$C$112,武将升星!G$104:G$112,M201),H$2),武将数量星级阶位验证!AC197)</f>
        <v>634.1995946059991</v>
      </c>
      <c r="R201" s="41">
        <f>MAX(同名需求(J201,求节点(武将升星!$C$104:$C$112,武将升星!H$104:H$112,N201),I$2),武将数量星级阶位验证!AD197)</f>
        <v>40.932463722160165</v>
      </c>
      <c r="S201" s="29">
        <f>MAX(基础状态预期!P207:T207)</f>
        <v>2.7407347614278752</v>
      </c>
      <c r="T201" s="29">
        <f t="shared" ref="T201:V201" si="208">S201</f>
        <v>2.7407347614278752</v>
      </c>
      <c r="U201" s="29">
        <f t="shared" si="208"/>
        <v>2.7407347614278752</v>
      </c>
      <c r="V201" s="29">
        <f t="shared" si="208"/>
        <v>2.7407347614278752</v>
      </c>
      <c r="W201" s="41">
        <f>SUMIFS(武将进阶!F$13:F$18,武将进阶!$C$13:$C$18,"&lt;="&amp;T201)*H201+武将数量星级阶位验证!Q197</f>
        <v>0</v>
      </c>
      <c r="X201" s="41">
        <f>SUMIFS(武将进阶!G$13:G$18,武将进阶!$C$13:$C$18,"&lt;="&amp;U201)*I201+武将数量星级阶位验证!R197</f>
        <v>251.77763427426902</v>
      </c>
      <c r="Y201" s="41">
        <f>SUMIFS(武将进阶!H$13:H$18,武将进阶!$C$13:$C$18,"&lt;="&amp;V201)*J201+武将数量星级阶位验证!S197</f>
        <v>89.332902822807014</v>
      </c>
      <c r="Z201" s="41">
        <f>SUMIFS(武将进阶!I$13:I$18,武将进阶!$C$13:$C$18,"&lt;="&amp;W201)*K201+武将数量星级阶位验证!T197</f>
        <v>0</v>
      </c>
      <c r="AA201" s="29"/>
      <c r="AB201" s="29">
        <f>求节点(基础状态预期!$AT$17:$AT$55,基础状态预期!AW$17:AW$55,各r阵容卡情况!$F201)</f>
        <v>2</v>
      </c>
      <c r="AC201" s="29">
        <f>求节点(基础状态预期!$AT$17:$AT$55,基础状态预期!AX$17:AX$55,各r阵容卡情况!$F201)</f>
        <v>2</v>
      </c>
      <c r="AD201" s="29">
        <f>求节点(基础状态预期!$AT$17:$AT$55,基础状态预期!AY$17:AY$55,各r阵容卡情况!$F201)</f>
        <v>2</v>
      </c>
      <c r="AE201" s="41">
        <f>IF(AA201&lt;1,0,(AA201-1)*武将觉醒!E$34*G201)+武将数量星级阶位验证!V197</f>
        <v>0</v>
      </c>
      <c r="AF201" s="41">
        <f>IF(AB201&lt;1,0,(AB201-1)*武将觉醒!F$34*H201)+武将数量星级阶位验证!W197</f>
        <v>0</v>
      </c>
      <c r="AG201" s="41">
        <f>IF(AC201&lt;1,0,(AC201-1)*武将觉醒!G$34*I201)+武将数量星级阶位验证!X197</f>
        <v>38</v>
      </c>
      <c r="AH201" s="41">
        <f>IF(AD201&lt;1,0,(AD201-1)*武将觉醒!H$34*J201)+武将数量星级阶位验证!Y197</f>
        <v>0</v>
      </c>
      <c r="AJ201" s="29">
        <f>MAX(W201+AE201+G201*(K201+1)+IF(武将数量星级阶位验证!L197="",0,武将数量星级阶位验证!L197)*武将升星!P194,O201)</f>
        <v>24</v>
      </c>
      <c r="AK201" s="29">
        <f>MAX(X201+AF201+H201*(L201+1)+IF(武将数量星级阶位验证!M197="",0,武将数量星级阶位验证!M197)*武将升星!Q194,P201)</f>
        <v>251.77763427426902</v>
      </c>
      <c r="AL201" s="64">
        <f>MAX(Y201+AG201+I201*(M201+1)+IF(武将数量星级阶位验证!N197="",0,武将数量星级阶位验证!N197)*武将升星!R194,Q201)</f>
        <v>634.1995946059991</v>
      </c>
      <c r="AM201" s="41">
        <f t="shared" si="195"/>
        <v>40.932463722160165</v>
      </c>
      <c r="AO201" s="17">
        <f>武将数量星级阶位验证!BJ197</f>
        <v>3253.0432635100947</v>
      </c>
      <c r="AP201" s="17">
        <f>武将数量星级阶位验证!BK197</f>
        <v>1427.2252843118467</v>
      </c>
      <c r="AQ201" s="63">
        <f>武将数量星级阶位验证!BL197</f>
        <v>304.54547182048157</v>
      </c>
      <c r="AR201" s="17">
        <f>武将数量星级阶位验证!BM197</f>
        <v>40.932463722160165</v>
      </c>
      <c r="AT201" s="17">
        <f t="shared" si="187"/>
        <v>33</v>
      </c>
      <c r="AU201" s="17">
        <f t="shared" si="188"/>
        <v>68.518369035696878</v>
      </c>
      <c r="AW201" s="17" t="s">
        <v>168</v>
      </c>
      <c r="BA201" s="17">
        <v>6</v>
      </c>
      <c r="BB201" s="62">
        <f t="shared" si="196"/>
        <v>6</v>
      </c>
      <c r="BD201" s="17">
        <v>0</v>
      </c>
      <c r="BF201" s="17">
        <v>24</v>
      </c>
      <c r="BG201" s="17">
        <v>0</v>
      </c>
      <c r="BH201" s="62">
        <f t="shared" si="197"/>
        <v>24</v>
      </c>
      <c r="BJ201" s="17">
        <f t="shared" si="198"/>
        <v>0</v>
      </c>
      <c r="BK201" s="17">
        <f t="shared" si="189"/>
        <v>0</v>
      </c>
      <c r="BL201" s="17">
        <f t="shared" si="190"/>
        <v>24</v>
      </c>
      <c r="BM201" s="17">
        <f t="shared" si="191"/>
        <v>6</v>
      </c>
      <c r="BN201" s="62">
        <f t="shared" si="199"/>
        <v>30</v>
      </c>
      <c r="BR201" s="17">
        <f>武将升星!P194*基础状态预期!G207+G201*(K201+1)+W201+AE201</f>
        <v>0</v>
      </c>
      <c r="BS201" s="17">
        <f>武将升星!Q194*基础状态预期!H207+H201*(L201+1)+X201+AF201</f>
        <v>251.77763427426902</v>
      </c>
      <c r="BT201" s="17">
        <f>武将升星!R194*基础状态预期!I207+I201*(M201+1)+Y201+AG201</f>
        <v>365.37282174400684</v>
      </c>
      <c r="BU201" s="17">
        <f>武将升星!S194*基础状态预期!J207+J201*(N201+1)+Z201+AH201</f>
        <v>40.932463722160165</v>
      </c>
    </row>
    <row r="202" spans="2:73" x14ac:dyDescent="0.15">
      <c r="B202" s="17">
        <v>15</v>
      </c>
      <c r="C202" s="17">
        <f t="shared" si="192"/>
        <v>24</v>
      </c>
      <c r="D202" s="17">
        <v>12</v>
      </c>
      <c r="E202" s="29">
        <f>基础状态预期!C208</f>
        <v>41.25</v>
      </c>
      <c r="F202" s="29">
        <f>基础状态预期!D208</f>
        <v>71.7664716439551</v>
      </c>
      <c r="G202" s="29">
        <f t="shared" si="193"/>
        <v>0</v>
      </c>
      <c r="H202" s="29">
        <f t="shared" si="183"/>
        <v>0</v>
      </c>
      <c r="I202" s="29">
        <f t="shared" si="184"/>
        <v>24</v>
      </c>
      <c r="J202" s="29">
        <f t="shared" si="185"/>
        <v>0</v>
      </c>
      <c r="K202" s="29">
        <f>武将战力价值情况!G198</f>
        <v>3</v>
      </c>
      <c r="L202" s="29">
        <f>武将战力价值情况!H198</f>
        <v>6</v>
      </c>
      <c r="M202" s="29">
        <f>武将战力价值情况!I198</f>
        <v>7.9891858248762349</v>
      </c>
      <c r="N202" s="29">
        <f>武将战力价值情况!J198</f>
        <v>6.152666537713988</v>
      </c>
      <c r="O202" s="41">
        <f>MAX(同名需求(G202,求节点(武将升星!$C$104:$C$112,武将升星!E$104:E$112,K202),F$2),武将数量星级阶位验证!AA198)</f>
        <v>24</v>
      </c>
      <c r="P202" s="41">
        <f>MAX(同名需求(H202,求节点(武将升星!$C$104:$C$112,武将升星!F$104:F$112,L202),G$2),武将数量星级阶位验证!AB198)</f>
        <v>120</v>
      </c>
      <c r="Q202" s="41">
        <f>MAX(同名需求(I202,求节点(武将升星!$C$104:$C$112,武将升星!G$104:G$112,M202),H$2),武将数量星级阶位验证!AC198)</f>
        <v>702.26973198019755</v>
      </c>
      <c r="R202" s="41">
        <f>MAX(同名需求(J202,求节点(武将升星!$C$104:$C$112,武将升星!H$104:H$112,N202),I$2),武将数量星级阶位验证!AD198)</f>
        <v>57.289998065709824</v>
      </c>
      <c r="S202" s="29">
        <f>MAX(基础状态预期!P208:T208)</f>
        <v>2.8706588657582039</v>
      </c>
      <c r="T202" s="29">
        <f t="shared" ref="T202:V202" si="209">S202</f>
        <v>2.8706588657582039</v>
      </c>
      <c r="U202" s="29">
        <f t="shared" si="209"/>
        <v>2.8706588657582039</v>
      </c>
      <c r="V202" s="29">
        <f t="shared" si="209"/>
        <v>2.8706588657582039</v>
      </c>
      <c r="W202" s="41">
        <f>SUMIFS(武将进阶!F$13:F$18,武将进阶!$C$13:$C$18,"&lt;="&amp;T202)*H202+武将数量星级阶位验证!Q198</f>
        <v>0</v>
      </c>
      <c r="X202" s="41">
        <f>SUMIFS(武将进阶!G$13:G$18,武将进阶!$C$13:$C$18,"&lt;="&amp;U202)*I202+武将数量星级阶位验证!R198</f>
        <v>235.44790638909845</v>
      </c>
      <c r="Y202" s="41">
        <f>SUMIFS(武将进阶!H$13:H$18,武将进阶!$C$13:$C$18,"&lt;="&amp;V202)*J202+武将数量星级阶位验证!S198</f>
        <v>123.35929791823835</v>
      </c>
      <c r="Z202" s="41">
        <f>SUMIFS(武将进阶!I$13:I$18,武将进阶!$C$13:$C$18,"&lt;="&amp;W202)*K202+武将数量星级阶位验证!T198</f>
        <v>0</v>
      </c>
      <c r="AA202" s="29"/>
      <c r="AB202" s="29">
        <f>求节点(基础状态预期!$AT$17:$AT$55,基础状态预期!AW$17:AW$55,各r阵容卡情况!$F202)</f>
        <v>2</v>
      </c>
      <c r="AC202" s="29">
        <f>求节点(基础状态预期!$AT$17:$AT$55,基础状态预期!AX$17:AX$55,各r阵容卡情况!$F202)</f>
        <v>2</v>
      </c>
      <c r="AD202" s="29">
        <f>求节点(基础状态预期!$AT$17:$AT$55,基础状态预期!AY$17:AY$55,各r阵容卡情况!$F202)</f>
        <v>2</v>
      </c>
      <c r="AE202" s="41">
        <f>IF(AA202&lt;1,0,(AA202-1)*武将觉醒!E$34*G202)+武将数量星级阶位验证!V198</f>
        <v>0</v>
      </c>
      <c r="AF202" s="41">
        <f>IF(AB202&lt;1,0,(AB202-1)*武将觉醒!F$34*H202)+武将数量星级阶位验证!W198</f>
        <v>0</v>
      </c>
      <c r="AG202" s="41">
        <f>IF(AC202&lt;1,0,(AC202-1)*武将觉醒!G$34*I202)+武将数量星级阶位验证!X198</f>
        <v>40</v>
      </c>
      <c r="AH202" s="41">
        <f>IF(AD202&lt;1,0,(AD202-1)*武将觉醒!H$34*J202)+武将数量星级阶位验证!Y198</f>
        <v>0</v>
      </c>
      <c r="AJ202" s="29">
        <f>MAX(W202+AE202+G202*(K202+1)+IF(武将数量星级阶位验证!L198="",0,武将数量星级阶位验证!L198)*武将升星!P195,O202)</f>
        <v>24</v>
      </c>
      <c r="AK202" s="29">
        <f>MAX(X202+AF202+H202*(L202+1)+IF(武将数量星级阶位验证!M198="",0,武将数量星级阶位验证!M198)*武将升星!Q195,P202)</f>
        <v>235.44790638909845</v>
      </c>
      <c r="AL202" s="64">
        <f>MAX(Y202+AG202+I202*(M202+1)+IF(武将数量星级阶位验证!N198="",0,武将数量星级阶位验证!N198)*武将升星!R195,Q202)</f>
        <v>702.26973198019755</v>
      </c>
      <c r="AM202" s="41">
        <f t="shared" si="195"/>
        <v>57.289998065709824</v>
      </c>
      <c r="AO202" s="17">
        <f>武将数量星级阶位验证!BJ198</f>
        <v>3825.875572436209</v>
      </c>
      <c r="AP202" s="17">
        <f>武将数量星级阶位验证!BK198</f>
        <v>1712.2258567043409</v>
      </c>
      <c r="AQ202" s="63">
        <f>武将数量星级阶位验证!BL198</f>
        <v>347.08930767935567</v>
      </c>
      <c r="AR202" s="17">
        <f>武将数量星级阶位验证!BM198</f>
        <v>57.289998065709824</v>
      </c>
      <c r="AT202" s="17">
        <f t="shared" si="187"/>
        <v>41.25</v>
      </c>
      <c r="AU202" s="17">
        <f t="shared" si="188"/>
        <v>71.7664716439551</v>
      </c>
      <c r="AW202" s="17" t="s">
        <v>168</v>
      </c>
      <c r="BA202" s="17">
        <v>6</v>
      </c>
      <c r="BB202" s="62">
        <f t="shared" si="196"/>
        <v>6</v>
      </c>
      <c r="BD202" s="17">
        <v>0</v>
      </c>
      <c r="BF202" s="17">
        <v>24</v>
      </c>
      <c r="BG202" s="17">
        <v>0</v>
      </c>
      <c r="BH202" s="62">
        <f t="shared" si="197"/>
        <v>24</v>
      </c>
      <c r="BJ202" s="17">
        <f t="shared" si="198"/>
        <v>0</v>
      </c>
      <c r="BK202" s="17">
        <f t="shared" si="189"/>
        <v>0</v>
      </c>
      <c r="BL202" s="17">
        <f t="shared" si="190"/>
        <v>24</v>
      </c>
      <c r="BM202" s="17">
        <f t="shared" si="191"/>
        <v>6</v>
      </c>
      <c r="BN202" s="62">
        <f t="shared" si="199"/>
        <v>30</v>
      </c>
      <c r="BR202" s="17">
        <f>武将升星!P195*基础状态预期!G208+G202*(K202+1)+W202+AE202</f>
        <v>0</v>
      </c>
      <c r="BS202" s="17">
        <f>武将升星!Q195*基础状态预期!H208+H202*(L202+1)+X202+AF202</f>
        <v>235.44790638909845</v>
      </c>
      <c r="BT202" s="17">
        <f>武将升星!R195*基础状态预期!I208+I202*(M202+1)+Y202+AG202</f>
        <v>397.05650101477295</v>
      </c>
      <c r="BU202" s="17">
        <f>武将升星!S195*基础状态预期!J208+J202*(N202+1)+Z202+AH202</f>
        <v>57.289998065709824</v>
      </c>
    </row>
    <row r="203" spans="2:73" x14ac:dyDescent="0.15">
      <c r="B203" s="17">
        <v>16</v>
      </c>
      <c r="C203" s="17">
        <f t="shared" si="192"/>
        <v>24</v>
      </c>
      <c r="D203" s="17">
        <v>13</v>
      </c>
      <c r="E203" s="29">
        <f>基础状态预期!C209</f>
        <v>49.500000000000007</v>
      </c>
      <c r="F203" s="29">
        <f>基础状态预期!D209</f>
        <v>74.370993278111257</v>
      </c>
      <c r="G203" s="29">
        <f t="shared" si="193"/>
        <v>0</v>
      </c>
      <c r="H203" s="29">
        <f t="shared" si="183"/>
        <v>0</v>
      </c>
      <c r="I203" s="29">
        <f t="shared" si="184"/>
        <v>24</v>
      </c>
      <c r="J203" s="29">
        <f t="shared" si="185"/>
        <v>0</v>
      </c>
      <c r="K203" s="29">
        <f>武将战力价值情况!G199</f>
        <v>3</v>
      </c>
      <c r="L203" s="29">
        <f>武将战力价值情况!H199</f>
        <v>6</v>
      </c>
      <c r="M203" s="29">
        <f>武将战力价值情况!I199</f>
        <v>8</v>
      </c>
      <c r="N203" s="29">
        <f>武将战力价值情况!J199</f>
        <v>6.7429454942393452</v>
      </c>
      <c r="O203" s="41">
        <f>MAX(同名需求(G203,求节点(武将升星!$C$104:$C$112,武将升星!E$104:E$112,K203),F$2),武将数量星级阶位验证!AA199)</f>
        <v>24</v>
      </c>
      <c r="P203" s="41">
        <f>MAX(同名需求(H203,求节点(武将升星!$C$104:$C$112,武将升星!F$104:F$112,L203),G$2),武将数量星级阶位验证!AB199)</f>
        <v>120</v>
      </c>
      <c r="Q203" s="41">
        <f>MAX(同名需求(I203,求节点(武将升星!$C$104:$C$112,武将升星!G$104:G$112,M203),H$2),武将数量星级阶位验证!AC199)</f>
        <v>704</v>
      </c>
      <c r="R203" s="41">
        <f>MAX(同名需求(J203,求节点(武将升星!$C$104:$C$112,武将升星!H$104:H$112,N203),I$2),武将数量星级阶位验证!AD199)</f>
        <v>78.87301889630821</v>
      </c>
      <c r="S203" s="29">
        <f>MAX(基础状态预期!P209:T209)</f>
        <v>2.9748397311244501</v>
      </c>
      <c r="T203" s="29">
        <f t="shared" ref="T203:V203" si="210">S203</f>
        <v>2.9748397311244501</v>
      </c>
      <c r="U203" s="29">
        <f t="shared" si="210"/>
        <v>2.9748397311244501</v>
      </c>
      <c r="V203" s="29">
        <f t="shared" si="210"/>
        <v>2.9748397311244501</v>
      </c>
      <c r="W203" s="41">
        <f>SUMIFS(武将进阶!F$13:F$18,武将进阶!$C$13:$C$18,"&lt;="&amp;T203)*H203+武将数量星级阶位验证!Q199</f>
        <v>0</v>
      </c>
      <c r="X203" s="41">
        <f>SUMIFS(武将进阶!G$13:G$18,武将进阶!$C$13:$C$18,"&lt;="&amp;U203)*I203+武将数量星级阶位验证!R199</f>
        <v>226.34903838674671</v>
      </c>
      <c r="Y203" s="41">
        <f>SUMIFS(武将进阶!H$13:H$18,武将进阶!$C$13:$C$18,"&lt;="&amp;V203)*J203+武将数量星级阶位验证!S199</f>
        <v>146.00913338132057</v>
      </c>
      <c r="Z203" s="41">
        <f>SUMIFS(武将进阶!I$13:I$18,武将进阶!$C$13:$C$18,"&lt;="&amp;W203)*K203+武将数量星级阶位验证!T199</f>
        <v>0</v>
      </c>
      <c r="AA203" s="29"/>
      <c r="AB203" s="29">
        <f>求节点(基础状态预期!$AT$17:$AT$55,基础状态预期!AW$17:AW$55,各r阵容卡情况!$F203)</f>
        <v>2</v>
      </c>
      <c r="AC203" s="29">
        <f>求节点(基础状态预期!$AT$17:$AT$55,基础状态预期!AX$17:AX$55,各r阵容卡情况!$F203)</f>
        <v>2</v>
      </c>
      <c r="AD203" s="29">
        <f>求节点(基础状态预期!$AT$17:$AT$55,基础状态预期!AY$17:AY$55,各r阵容卡情况!$F203)</f>
        <v>2</v>
      </c>
      <c r="AE203" s="41">
        <f>IF(AA203&lt;1,0,(AA203-1)*武将觉醒!E$34*G203)+武将数量星级阶位验证!V199</f>
        <v>0</v>
      </c>
      <c r="AF203" s="41">
        <f>IF(AB203&lt;1,0,(AB203-1)*武将觉醒!F$34*H203)+武将数量星级阶位验证!W199</f>
        <v>0</v>
      </c>
      <c r="AG203" s="41">
        <f>IF(AC203&lt;1,0,(AC203-1)*武将觉醒!G$34*I203)+武将数量星级阶位验证!X199</f>
        <v>41</v>
      </c>
      <c r="AH203" s="41">
        <f>IF(AD203&lt;1,0,(AD203-1)*武将觉醒!H$34*J203)+武将数量星级阶位验证!Y199</f>
        <v>0</v>
      </c>
      <c r="AJ203" s="29">
        <f>MAX(W203+AE203+G203*(K203+1)+IF(武将数量星级阶位验证!L199="",0,武将数量星级阶位验证!L199)*武将升星!P196,O203)</f>
        <v>24</v>
      </c>
      <c r="AK203" s="29">
        <f>MAX(X203+AF203+H203*(L203+1)+IF(武将数量星级阶位验证!M199="",0,武将数量星级阶位验证!M199)*武将升星!Q196,P203)</f>
        <v>226.34903838674671</v>
      </c>
      <c r="AL203" s="64">
        <f>MAX(Y203+AG203+I203*(M203+1)+IF(武将数量星级阶位验证!N199="",0,武将数量星级阶位验证!N199)*武将升星!R196,Q203)</f>
        <v>704</v>
      </c>
      <c r="AM203" s="41">
        <f t="shared" si="195"/>
        <v>78.87301889630821</v>
      </c>
      <c r="AO203" s="17">
        <f>武将数量星级阶位验证!BJ199</f>
        <v>4371.29915227109</v>
      </c>
      <c r="AP203" s="17">
        <f>武将数量星级阶位验证!BK199</f>
        <v>1982.4108998583304</v>
      </c>
      <c r="AQ203" s="63">
        <f>武将数量星级阶位验证!BL199</f>
        <v>387.41081415245407</v>
      </c>
      <c r="AR203" s="17">
        <f>武将数量星级阶位验证!BM199</f>
        <v>72.758600654949191</v>
      </c>
      <c r="AT203" s="17">
        <f t="shared" si="187"/>
        <v>49.500000000000007</v>
      </c>
      <c r="AU203" s="17">
        <f t="shared" si="188"/>
        <v>74.370993278111257</v>
      </c>
      <c r="AW203" s="17" t="s">
        <v>168</v>
      </c>
      <c r="BA203" s="17">
        <v>6</v>
      </c>
      <c r="BB203" s="62">
        <f t="shared" si="196"/>
        <v>6</v>
      </c>
      <c r="BD203" s="17">
        <v>0</v>
      </c>
      <c r="BF203" s="17">
        <v>24</v>
      </c>
      <c r="BG203" s="17">
        <v>0</v>
      </c>
      <c r="BH203" s="62">
        <f t="shared" si="197"/>
        <v>24</v>
      </c>
      <c r="BJ203" s="17">
        <f t="shared" si="198"/>
        <v>0</v>
      </c>
      <c r="BK203" s="17">
        <f t="shared" si="189"/>
        <v>0</v>
      </c>
      <c r="BL203" s="17">
        <f t="shared" si="190"/>
        <v>24</v>
      </c>
      <c r="BM203" s="17">
        <f t="shared" si="191"/>
        <v>6</v>
      </c>
      <c r="BN203" s="62">
        <f t="shared" si="199"/>
        <v>30</v>
      </c>
      <c r="BR203" s="17">
        <f>武将升星!P196*基础状态预期!G209+G203*(K203+1)+W203+AE203</f>
        <v>0</v>
      </c>
      <c r="BS203" s="17">
        <f>武将升星!Q196*基础状态预期!H209+H203*(L203+1)+X203+AF203</f>
        <v>226.34903838674671</v>
      </c>
      <c r="BT203" s="17">
        <f>武将升星!R196*基础状态预期!I209+I203*(M203+1)+Y203+AG203</f>
        <v>412.00913338132057</v>
      </c>
      <c r="BU203" s="17">
        <f>武将升星!S196*基础状态预期!J209+J203*(N203+1)+Z203+AH203</f>
        <v>72.758600654949191</v>
      </c>
    </row>
    <row r="204" spans="2:73" x14ac:dyDescent="0.15">
      <c r="B204" s="17">
        <v>17</v>
      </c>
      <c r="C204" s="17">
        <f t="shared" si="192"/>
        <v>24</v>
      </c>
      <c r="D204" s="17">
        <v>14</v>
      </c>
      <c r="E204" s="29">
        <f>基础状态预期!C210</f>
        <v>60.500000000000007</v>
      </c>
      <c r="F204" s="29">
        <f>基础状态预期!D210</f>
        <v>77.234275947206214</v>
      </c>
      <c r="G204" s="29">
        <f t="shared" si="193"/>
        <v>0</v>
      </c>
      <c r="H204" s="29">
        <f t="shared" si="183"/>
        <v>0</v>
      </c>
      <c r="I204" s="29">
        <f t="shared" si="184"/>
        <v>24</v>
      </c>
      <c r="J204" s="29">
        <f t="shared" si="185"/>
        <v>0</v>
      </c>
      <c r="K204" s="29">
        <f>武将战力价值情况!G200</f>
        <v>3</v>
      </c>
      <c r="L204" s="29">
        <f>武将战力价值情况!H200</f>
        <v>6</v>
      </c>
      <c r="M204" s="29">
        <f>武将战力价值情况!I200</f>
        <v>8</v>
      </c>
      <c r="N204" s="29">
        <f>武将战力价值情况!J200</f>
        <v>7.392415473182151</v>
      </c>
      <c r="O204" s="41">
        <f>MAX(同名需求(G204,求节点(武将升星!$C$104:$C$112,武将升星!E$104:E$112,K204),F$2),武将数量星级阶位验证!AA200)</f>
        <v>24</v>
      </c>
      <c r="P204" s="41">
        <f>MAX(同名需求(H204,求节点(武将升星!$C$104:$C$112,武将升星!F$104:F$112,L204),G$2),武将数量星级阶位验证!AB200)</f>
        <v>120</v>
      </c>
      <c r="Q204" s="41">
        <f>MAX(同名需求(I204,求节点(武将升星!$C$104:$C$112,武将升星!G$104:G$112,M204),H$2),武将数量星级阶位验证!AC200)</f>
        <v>704</v>
      </c>
      <c r="R204" s="41">
        <f>MAX(同名需求(J204,求节点(武将升星!$C$104:$C$112,武将升星!H$104:H$112,N204),I$2),武将数量星级阶位验证!AD200)</f>
        <v>93.417971356371623</v>
      </c>
      <c r="S204" s="29">
        <f>MAX(基础状态预期!P210:T210)</f>
        <v>3.0893710378882484</v>
      </c>
      <c r="T204" s="29">
        <f t="shared" ref="T204:V204" si="211">S204</f>
        <v>3.0893710378882484</v>
      </c>
      <c r="U204" s="29">
        <f t="shared" si="211"/>
        <v>3.0893710378882484</v>
      </c>
      <c r="V204" s="29">
        <f t="shared" si="211"/>
        <v>3.0893710378882484</v>
      </c>
      <c r="W204" s="41">
        <f>SUMIFS(武将进阶!F$13:F$18,武将进阶!$C$13:$C$18,"&lt;="&amp;T204)*H204+武将数量星级阶位验证!Q200</f>
        <v>0</v>
      </c>
      <c r="X204" s="41">
        <f>SUMIFS(武将进阶!G$13:G$18,武将进阶!$C$13:$C$18,"&lt;="&amp;U204)*I204+武将数量星级阶位验证!R200</f>
        <v>504</v>
      </c>
      <c r="Y204" s="41">
        <f>SUMIFS(武将进阶!H$13:H$18,武将进阶!$C$13:$C$18,"&lt;="&amp;V204)*J204+武将数量星级阶位验证!S200</f>
        <v>178.08678681988471</v>
      </c>
      <c r="Z204" s="41">
        <f>SUMIFS(武将进阶!I$13:I$18,武将进阶!$C$13:$C$18,"&lt;="&amp;W204)*K204+武将数量星级阶位验证!T200</f>
        <v>0</v>
      </c>
      <c r="AA204" s="29"/>
      <c r="AB204" s="29">
        <f>求节点(基础状态预期!$AT$17:$AT$55,基础状态预期!AW$17:AW$55,各r阵容卡情况!$F204)</f>
        <v>2</v>
      </c>
      <c r="AC204" s="29">
        <f>求节点(基础状态预期!$AT$17:$AT$55,基础状态预期!AX$17:AX$55,各r阵容卡情况!$F204)</f>
        <v>2</v>
      </c>
      <c r="AD204" s="29">
        <f>求节点(基础状态预期!$AT$17:$AT$55,基础状态预期!AY$17:AY$55,各r阵容卡情况!$F204)</f>
        <v>2</v>
      </c>
      <c r="AE204" s="41">
        <f>IF(AA204&lt;1,0,(AA204-1)*武将觉醒!E$34*G204)+武将数量星级阶位验证!V200</f>
        <v>0</v>
      </c>
      <c r="AF204" s="41">
        <f>IF(AB204&lt;1,0,(AB204-1)*武将觉醒!F$34*H204)+武将数量星级阶位验证!W200</f>
        <v>0</v>
      </c>
      <c r="AG204" s="41">
        <f>IF(AC204&lt;1,0,(AC204-1)*武将觉醒!G$34*I204)+武将数量星级阶位验证!X200</f>
        <v>24</v>
      </c>
      <c r="AH204" s="41">
        <f>IF(AD204&lt;1,0,(AD204-1)*武将觉醒!H$34*J204)+武将数量星级阶位验证!Y200</f>
        <v>0</v>
      </c>
      <c r="AJ204" s="29">
        <f>MAX(W204+AE204+G204*(K204+1)+IF(武将数量星级阶位验证!L200="",0,武将数量星级阶位验证!L200)*武将升星!P197,O204)</f>
        <v>24</v>
      </c>
      <c r="AK204" s="29">
        <f>MAX(X204+AF204+H204*(L204+1)+IF(武将数量星级阶位验证!M200="",0,武将数量星级阶位验证!M200)*武将升星!Q197,P204)</f>
        <v>504</v>
      </c>
      <c r="AL204" s="64">
        <f>MAX(Y204+AG204+I204*(M204+1)+IF(武将数量星级阶位验证!N200="",0,武将数量星级阶位验证!N200)*武将升星!R197,Q204)</f>
        <v>704</v>
      </c>
      <c r="AM204" s="41">
        <f t="shared" si="195"/>
        <v>93.417971356371623</v>
      </c>
      <c r="AO204" s="17">
        <f>武将数量星级阶位验证!BJ200</f>
        <v>5099.596415564949</v>
      </c>
      <c r="AP204" s="17">
        <f>武将数量星级阶位验证!BK200</f>
        <v>2343.2337448820376</v>
      </c>
      <c r="AQ204" s="63">
        <f>武将数量星级阶位验证!BL200</f>
        <v>441.25924090601018</v>
      </c>
      <c r="AR204" s="17">
        <f>武将数量星级阶位验证!BM200</f>
        <v>93.417971356371623</v>
      </c>
      <c r="AT204" s="17">
        <f t="shared" si="187"/>
        <v>60.500000000000007</v>
      </c>
      <c r="AU204" s="17">
        <f t="shared" si="188"/>
        <v>77.234275947206214</v>
      </c>
      <c r="AW204" s="17" t="s">
        <v>168</v>
      </c>
      <c r="BA204" s="17">
        <v>6</v>
      </c>
      <c r="BB204" s="62">
        <f t="shared" si="196"/>
        <v>6</v>
      </c>
      <c r="BD204" s="17">
        <v>0</v>
      </c>
      <c r="BF204" s="17">
        <v>24</v>
      </c>
      <c r="BG204" s="17">
        <v>0</v>
      </c>
      <c r="BH204" s="62">
        <f t="shared" si="197"/>
        <v>24</v>
      </c>
      <c r="BJ204" s="17">
        <f t="shared" si="198"/>
        <v>0</v>
      </c>
      <c r="BK204" s="17">
        <f t="shared" si="189"/>
        <v>0</v>
      </c>
      <c r="BL204" s="17">
        <f t="shared" si="190"/>
        <v>24</v>
      </c>
      <c r="BM204" s="17">
        <f t="shared" si="191"/>
        <v>6</v>
      </c>
      <c r="BN204" s="62">
        <f t="shared" si="199"/>
        <v>30</v>
      </c>
      <c r="BR204" s="17">
        <f>武将升星!P197*基础状态预期!G210+G204*(K204+1)+W204+AE204</f>
        <v>0</v>
      </c>
      <c r="BS204" s="17">
        <f>武将升星!Q197*基础状态预期!H210+H204*(L204+1)+X204+AF204</f>
        <v>504</v>
      </c>
      <c r="BT204" s="17">
        <f>武将升星!R197*基础状态预期!I210+I204*(M204+1)+Y204+AG204</f>
        <v>418.08678681988471</v>
      </c>
      <c r="BU204" s="17">
        <f>武将升星!S197*基础状态预期!J210+J204*(N204+1)+Z204+AH204</f>
        <v>93.417971356371623</v>
      </c>
    </row>
    <row r="205" spans="2:73" x14ac:dyDescent="0.15">
      <c r="B205" s="17">
        <v>18</v>
      </c>
      <c r="C205" s="17">
        <f t="shared" si="192"/>
        <v>24</v>
      </c>
      <c r="D205" s="17">
        <v>15</v>
      </c>
      <c r="E205" s="29">
        <f>基础状态预期!C211</f>
        <v>71.5</v>
      </c>
      <c r="F205" s="29">
        <f>基础状态预期!D211</f>
        <v>79.725666247801229</v>
      </c>
      <c r="G205" s="29">
        <f t="shared" si="193"/>
        <v>0</v>
      </c>
      <c r="H205" s="29">
        <f t="shared" si="183"/>
        <v>0</v>
      </c>
      <c r="I205" s="29">
        <f t="shared" si="184"/>
        <v>24</v>
      </c>
      <c r="J205" s="29">
        <f t="shared" si="185"/>
        <v>0</v>
      </c>
      <c r="K205" s="29">
        <f>武将战力价值情况!G201</f>
        <v>3</v>
      </c>
      <c r="L205" s="29">
        <f>武将战力价值情况!H201</f>
        <v>6</v>
      </c>
      <c r="M205" s="29">
        <f>武将战力价值情况!I201</f>
        <v>8</v>
      </c>
      <c r="N205" s="29">
        <f>武将战力价值情况!J201</f>
        <v>8</v>
      </c>
      <c r="O205" s="41">
        <f>MAX(同名需求(G205,求节点(武将升星!$C$104:$C$112,武将升星!E$104:E$112,K205),F$2),武将数量星级阶位验证!AA201)</f>
        <v>24</v>
      </c>
      <c r="P205" s="41">
        <f>MAX(同名需求(H205,求节点(武将升星!$C$104:$C$112,武将升星!F$104:F$112,L205),G$2),武将数量星级阶位验证!AB201)</f>
        <v>120</v>
      </c>
      <c r="Q205" s="41">
        <f>MAX(同名需求(I205,求节点(武将升星!$C$104:$C$112,武将升星!G$104:G$112,M205),H$2),武将数量星级阶位验证!AC201)</f>
        <v>704</v>
      </c>
      <c r="R205" s="41">
        <f>MAX(同名需求(J205,求节点(武将升星!$C$104:$C$112,武将升星!H$104:H$112,N205),I$2),武将数量星级阶位验证!AD201)</f>
        <v>108</v>
      </c>
      <c r="S205" s="29">
        <f>MAX(基础状态预期!P211:T211)</f>
        <v>3.1890266499120492</v>
      </c>
      <c r="T205" s="29">
        <f t="shared" ref="T205:V205" si="212">S205</f>
        <v>3.1890266499120492</v>
      </c>
      <c r="U205" s="29">
        <f t="shared" si="212"/>
        <v>3.1890266499120492</v>
      </c>
      <c r="V205" s="29">
        <f t="shared" si="212"/>
        <v>3.1890266499120492</v>
      </c>
      <c r="W205" s="41">
        <f>SUMIFS(武将进阶!F$13:F$18,武将进阶!$C$13:$C$18,"&lt;="&amp;T205)*H205+武将数量星级阶位验证!Q201</f>
        <v>0</v>
      </c>
      <c r="X205" s="41">
        <f>SUMIFS(武将进阶!G$13:G$18,武将进阶!$C$13:$C$18,"&lt;="&amp;U205)*I205+武将数量星级阶位验证!R201</f>
        <v>504</v>
      </c>
      <c r="Y205" s="41">
        <f>SUMIFS(武将进阶!H$13:H$18,武将进阶!$C$13:$C$18,"&lt;="&amp;V205)*J205+武将数量星级阶位验证!S201</f>
        <v>196.02479698416886</v>
      </c>
      <c r="Z205" s="41">
        <f>SUMIFS(武将进阶!I$13:I$18,武将进阶!$C$13:$C$18,"&lt;="&amp;W205)*K205+武将数量星级阶位验证!T201</f>
        <v>0</v>
      </c>
      <c r="AA205" s="29"/>
      <c r="AB205" s="29">
        <f>求节点(基础状态预期!$AT$17:$AT$55,基础状态预期!AW$17:AW$55,各r阵容卡情况!$F205)</f>
        <v>2</v>
      </c>
      <c r="AC205" s="29">
        <f>求节点(基础状态预期!$AT$17:$AT$55,基础状态预期!AX$17:AX$55,各r阵容卡情况!$F205)</f>
        <v>2</v>
      </c>
      <c r="AD205" s="29">
        <f>求节点(基础状态预期!$AT$17:$AT$55,基础状态预期!AY$17:AY$55,各r阵容卡情况!$F205)</f>
        <v>2</v>
      </c>
      <c r="AE205" s="41">
        <f>IF(AA205&lt;1,0,(AA205-1)*武将觉醒!E$34*G205)+武将数量星级阶位验证!V201</f>
        <v>0</v>
      </c>
      <c r="AF205" s="41">
        <f>IF(AB205&lt;1,0,(AB205-1)*武将觉醒!F$34*H205)+武将数量星级阶位验证!W201</f>
        <v>0</v>
      </c>
      <c r="AG205" s="41">
        <f>IF(AC205&lt;1,0,(AC205-1)*武将觉醒!G$34*I205)+武将数量星级阶位验证!X201</f>
        <v>24</v>
      </c>
      <c r="AH205" s="41">
        <f>IF(AD205&lt;1,0,(AD205-1)*武将觉醒!H$34*J205)+武将数量星级阶位验证!Y201</f>
        <v>0</v>
      </c>
      <c r="AJ205" s="29">
        <f>MAX(W205+AE205+G205*(K205+1)+IF(武将数量星级阶位验证!L201="",0,武将数量星级阶位验证!L201)*武将升星!P198,O205)</f>
        <v>24</v>
      </c>
      <c r="AK205" s="29">
        <f>MAX(X205+AF205+H205*(L205+1)+IF(武将数量星级阶位验证!M201="",0,武将数量星级阶位验证!M201)*武将升星!Q198,P205)</f>
        <v>504</v>
      </c>
      <c r="AL205" s="64">
        <f>MAX(Y205+AG205+I205*(M205+1)+IF(武将数量星级阶位验证!N201="",0,武将数量星级阶位验证!N201)*武将升星!R198,Q205)</f>
        <v>704</v>
      </c>
      <c r="AM205" s="41">
        <f t="shared" si="195"/>
        <v>108</v>
      </c>
      <c r="AO205" s="17">
        <f>武将数量星级阶位验证!BJ201</f>
        <v>5790.4887508952934</v>
      </c>
      <c r="AP205" s="17">
        <f>武将数量星级阶位验证!BK201</f>
        <v>2683.8377099254672</v>
      </c>
      <c r="AQ205" s="63">
        <f>武将数量星级阶位验证!BL201</f>
        <v>492.07483566252461</v>
      </c>
      <c r="AR205" s="17">
        <f>武将数量星级阶位验证!BM201</f>
        <v>112.86420925897741</v>
      </c>
      <c r="AT205" s="17">
        <f t="shared" si="187"/>
        <v>71.5</v>
      </c>
      <c r="AU205" s="17">
        <f t="shared" si="188"/>
        <v>79.725666247801229</v>
      </c>
      <c r="AW205" s="17" t="s">
        <v>168</v>
      </c>
      <c r="BA205" s="17">
        <v>6</v>
      </c>
      <c r="BB205" s="62">
        <f t="shared" si="196"/>
        <v>6</v>
      </c>
      <c r="BD205" s="17">
        <v>0</v>
      </c>
      <c r="BF205" s="17">
        <v>24</v>
      </c>
      <c r="BG205" s="17">
        <v>0</v>
      </c>
      <c r="BH205" s="62">
        <f t="shared" si="197"/>
        <v>24</v>
      </c>
      <c r="BJ205" s="17">
        <f t="shared" si="198"/>
        <v>0</v>
      </c>
      <c r="BK205" s="17">
        <f t="shared" si="189"/>
        <v>0</v>
      </c>
      <c r="BL205" s="17">
        <f t="shared" si="190"/>
        <v>24</v>
      </c>
      <c r="BM205" s="17">
        <f t="shared" si="191"/>
        <v>6</v>
      </c>
      <c r="BN205" s="62">
        <f t="shared" si="199"/>
        <v>30</v>
      </c>
      <c r="BR205" s="17">
        <f>武将升星!P198*基础状态预期!G211+G205*(K205+1)+W205+AE205</f>
        <v>0</v>
      </c>
      <c r="BS205" s="17">
        <f>武将升星!Q198*基础状态预期!H211+H205*(L205+1)+X205+AF205</f>
        <v>504</v>
      </c>
      <c r="BT205" s="17">
        <f>武将升星!R198*基础状态预期!I211+I205*(M205+1)+Y205+AG205</f>
        <v>436.02479698416886</v>
      </c>
      <c r="BU205" s="17">
        <f>武将升星!S198*基础状态预期!J211+J205*(N205+1)+Z205+AH205</f>
        <v>108</v>
      </c>
    </row>
    <row r="206" spans="2:73" x14ac:dyDescent="0.15">
      <c r="B206" s="17">
        <v>19</v>
      </c>
      <c r="C206" s="17">
        <f t="shared" si="192"/>
        <v>24</v>
      </c>
      <c r="D206" s="17">
        <v>16</v>
      </c>
      <c r="E206" s="29">
        <f>基础状态预期!C212</f>
        <v>82.5</v>
      </c>
      <c r="F206" s="29">
        <f>基础状态预期!D212</f>
        <v>81.863982387630472</v>
      </c>
      <c r="G206" s="29">
        <f t="shared" si="193"/>
        <v>0</v>
      </c>
      <c r="H206" s="29">
        <f t="shared" si="183"/>
        <v>0</v>
      </c>
      <c r="I206" s="29">
        <f t="shared" si="184"/>
        <v>24</v>
      </c>
      <c r="J206" s="29">
        <f t="shared" si="185"/>
        <v>0</v>
      </c>
      <c r="K206" s="29">
        <f>武将战力价值情况!G202</f>
        <v>3</v>
      </c>
      <c r="L206" s="29">
        <f>武将战力价值情况!H202</f>
        <v>6</v>
      </c>
      <c r="M206" s="29">
        <f>武将战力价值情况!I202</f>
        <v>8</v>
      </c>
      <c r="N206" s="29">
        <f>武将战力价值情况!J202</f>
        <v>8</v>
      </c>
      <c r="O206" s="41">
        <f>MAX(同名需求(G206,求节点(武将升星!$C$104:$C$112,武将升星!E$104:E$112,K206),F$2),武将数量星级阶位验证!AA202)</f>
        <v>24</v>
      </c>
      <c r="P206" s="41">
        <f>MAX(同名需求(H206,求节点(武将升星!$C$104:$C$112,武将升星!F$104:F$112,L206),G$2),武将数量星级阶位验证!AB202)</f>
        <v>120</v>
      </c>
      <c r="Q206" s="41">
        <f>MAX(同名需求(I206,求节点(武将升星!$C$104:$C$112,武将升星!G$104:G$112,M206),H$2),武将数量星级阶位验证!AC202)</f>
        <v>704</v>
      </c>
      <c r="R206" s="41">
        <f>MAX(同名需求(J206,求节点(武将升星!$C$104:$C$112,武将升星!H$104:H$112,N206),I$2),武将数量星级阶位验证!AD202)</f>
        <v>108</v>
      </c>
      <c r="S206" s="29">
        <f>MAX(基础状态预期!P212:T212)</f>
        <v>3.274559295505219</v>
      </c>
      <c r="T206" s="29">
        <f t="shared" ref="T206:V206" si="213">S206</f>
        <v>3.274559295505219</v>
      </c>
      <c r="U206" s="29">
        <f t="shared" si="213"/>
        <v>3.274559295505219</v>
      </c>
      <c r="V206" s="29">
        <f t="shared" si="213"/>
        <v>3.274559295505219</v>
      </c>
      <c r="W206" s="41">
        <f>SUMIFS(武将进阶!F$13:F$18,武将进阶!$C$13:$C$18,"&lt;="&amp;T206)*H206+武将数量星级阶位验证!Q202</f>
        <v>0</v>
      </c>
      <c r="X206" s="41">
        <f>SUMIFS(武将进阶!G$13:G$18,武将进阶!$C$13:$C$18,"&lt;="&amp;U206)*I206+武将数量星级阶位验证!R202</f>
        <v>504</v>
      </c>
      <c r="Y206" s="41">
        <f>SUMIFS(武将进阶!H$13:H$18,武将进阶!$C$13:$C$18,"&lt;="&amp;V206)*J206+武将数量星级阶位验证!S202</f>
        <v>211.4206731909394</v>
      </c>
      <c r="Z206" s="41">
        <f>SUMIFS(武将进阶!I$13:I$18,武将进阶!$C$13:$C$18,"&lt;="&amp;W206)*K206+武将数量星级阶位验证!T202</f>
        <v>0</v>
      </c>
      <c r="AA206" s="29"/>
      <c r="AB206" s="29">
        <f>求节点(基础状态预期!$AT$17:$AT$55,基础状态预期!AW$17:AW$55,各r阵容卡情况!$F206)</f>
        <v>2</v>
      </c>
      <c r="AC206" s="29">
        <f>求节点(基础状态预期!$AT$17:$AT$55,基础状态预期!AX$17:AX$55,各r阵容卡情况!$F206)</f>
        <v>2</v>
      </c>
      <c r="AD206" s="29">
        <f>求节点(基础状态预期!$AT$17:$AT$55,基础状态预期!AY$17:AY$55,各r阵容卡情况!$F206)</f>
        <v>2</v>
      </c>
      <c r="AE206" s="41">
        <f>IF(AA206&lt;1,0,(AA206-1)*武将觉醒!E$34*G206)+武将数量星级阶位验证!V202</f>
        <v>0</v>
      </c>
      <c r="AF206" s="41">
        <f>IF(AB206&lt;1,0,(AB206-1)*武将觉醒!F$34*H206)+武将数量星级阶位验证!W202</f>
        <v>0</v>
      </c>
      <c r="AG206" s="41">
        <f>IF(AC206&lt;1,0,(AC206-1)*武将觉醒!G$34*I206)+武将数量星级阶位验证!X202</f>
        <v>24</v>
      </c>
      <c r="AH206" s="41">
        <f>IF(AD206&lt;1,0,(AD206-1)*武将觉醒!H$34*J206)+武将数量星级阶位验证!Y202</f>
        <v>0</v>
      </c>
      <c r="AJ206" s="29">
        <f>MAX(W206+AE206+G206*(K206+1)+IF(武将数量星级阶位验证!L202="",0,武将数量星级阶位验证!L202)*武将升星!P199,O206)</f>
        <v>24</v>
      </c>
      <c r="AK206" s="29">
        <f>MAX(X206+AF206+H206*(L206+1)+IF(武将数量星级阶位验证!M202="",0,武将数量星级阶位验证!M202)*武将升星!Q199,P206)</f>
        <v>504</v>
      </c>
      <c r="AL206" s="64">
        <f>MAX(Y206+AG206+I206*(M206+1)+IF(武将数量星级阶位验证!N202="",0,武将数量星级阶位验证!N202)*武将升星!R199,Q206)</f>
        <v>704</v>
      </c>
      <c r="AM206" s="41">
        <f t="shared" si="195"/>
        <v>108</v>
      </c>
      <c r="AO206" s="17">
        <f>武将数量星级阶位验证!BJ202</f>
        <v>6485.5582546214155</v>
      </c>
      <c r="AP206" s="17">
        <f>武将数量星级阶位验证!BK202</f>
        <v>3026.6996038314787</v>
      </c>
      <c r="AQ206" s="63">
        <f>武将数量星级阶位验证!BL202</f>
        <v>543.22911974842634</v>
      </c>
      <c r="AR206" s="17">
        <f>武将数量星级阶位验证!BM202</f>
        <v>132.44592289333812</v>
      </c>
      <c r="AT206" s="17">
        <f t="shared" si="187"/>
        <v>82.5</v>
      </c>
      <c r="AU206" s="17">
        <f t="shared" si="188"/>
        <v>81.863982387630472</v>
      </c>
      <c r="AW206" s="17" t="s">
        <v>168</v>
      </c>
      <c r="BA206" s="17">
        <v>6</v>
      </c>
      <c r="BB206" s="62">
        <f t="shared" si="196"/>
        <v>6</v>
      </c>
      <c r="BD206" s="17">
        <v>0</v>
      </c>
      <c r="BF206" s="17">
        <v>24</v>
      </c>
      <c r="BG206" s="17">
        <v>0</v>
      </c>
      <c r="BH206" s="62">
        <f t="shared" si="197"/>
        <v>24</v>
      </c>
      <c r="BJ206" s="17">
        <f t="shared" si="198"/>
        <v>0</v>
      </c>
      <c r="BK206" s="17">
        <f t="shared" si="189"/>
        <v>0</v>
      </c>
      <c r="BL206" s="17">
        <f t="shared" si="190"/>
        <v>24</v>
      </c>
      <c r="BM206" s="17">
        <f t="shared" si="191"/>
        <v>6</v>
      </c>
      <c r="BN206" s="62">
        <f t="shared" si="199"/>
        <v>30</v>
      </c>
      <c r="BR206" s="17">
        <f>武将升星!P199*基础状态预期!G212+G206*(K206+1)+W206+AE206</f>
        <v>0</v>
      </c>
      <c r="BS206" s="17">
        <f>武将升星!Q199*基础状态预期!H212+H206*(L206+1)+X206+AF206</f>
        <v>504</v>
      </c>
      <c r="BT206" s="17">
        <f>武将升星!R199*基础状态预期!I212+I206*(M206+1)+Y206+AG206</f>
        <v>451.4206731909394</v>
      </c>
      <c r="BU206" s="17">
        <f>武将升星!S199*基础状态预期!J212+J206*(N206+1)+Z206+AH206</f>
        <v>108</v>
      </c>
    </row>
    <row r="207" spans="2:73" x14ac:dyDescent="0.15">
      <c r="B207" s="17">
        <v>20</v>
      </c>
      <c r="C207" s="17">
        <f t="shared" ref="C207:C228" si="214">SUM(G207:J207)</f>
        <v>24</v>
      </c>
      <c r="D207" s="17">
        <v>17</v>
      </c>
      <c r="E207" s="29">
        <f>基础状态预期!C213</f>
        <v>93.500000000000014</v>
      </c>
      <c r="F207" s="29">
        <f>基础状态预期!D213</f>
        <v>83.667042947574714</v>
      </c>
      <c r="G207" s="29">
        <f t="shared" ref="G207:G228" si="215">BD207</f>
        <v>0</v>
      </c>
      <c r="H207" s="29">
        <f t="shared" ref="H207:H228" si="216">BE207</f>
        <v>0</v>
      </c>
      <c r="I207" s="29">
        <f t="shared" ref="I207:I228" si="217">BF207</f>
        <v>24</v>
      </c>
      <c r="J207" s="29">
        <f t="shared" ref="J207:J228" si="218">BG207</f>
        <v>0</v>
      </c>
      <c r="K207" s="29">
        <f>武将战力价值情况!G203</f>
        <v>3</v>
      </c>
      <c r="L207" s="29">
        <f>武将战力价值情况!H203</f>
        <v>6</v>
      </c>
      <c r="M207" s="29">
        <f>武将战力价值情况!I203</f>
        <v>8</v>
      </c>
      <c r="N207" s="29">
        <f>武将战力价值情况!J203</f>
        <v>8</v>
      </c>
      <c r="O207" s="41">
        <f>MAX(同名需求(G207,求节点(武将升星!$C$104:$C$112,武将升星!E$104:E$112,K207),F$2),武将数量星级阶位验证!AA203)</f>
        <v>24</v>
      </c>
      <c r="P207" s="41">
        <f>MAX(同名需求(H207,求节点(武将升星!$C$104:$C$112,武将升星!F$104:F$112,L207),G$2),武将数量星级阶位验证!AB203)</f>
        <v>120</v>
      </c>
      <c r="Q207" s="41">
        <f>MAX(同名需求(I207,求节点(武将升星!$C$104:$C$112,武将升星!G$104:G$112,M207),H$2),武将数量星级阶位验证!AC203)</f>
        <v>704</v>
      </c>
      <c r="R207" s="41">
        <f>MAX(同名需求(J207,求节点(武将升星!$C$104:$C$112,武将升星!H$104:H$112,N207),I$2),武将数量星级阶位验证!AD203)</f>
        <v>108</v>
      </c>
      <c r="S207" s="29">
        <f>MAX(基础状态预期!P213:T213)</f>
        <v>3.3466817179029884</v>
      </c>
      <c r="T207" s="29">
        <f t="shared" ref="T207:T228" si="219">S207</f>
        <v>3.3466817179029884</v>
      </c>
      <c r="U207" s="29">
        <f t="shared" ref="U207:U228" si="220">T207</f>
        <v>3.3466817179029884</v>
      </c>
      <c r="V207" s="29">
        <f t="shared" ref="V207:V228" si="221">U207</f>
        <v>3.3466817179029884</v>
      </c>
      <c r="W207" s="41">
        <f>SUMIFS(武将进阶!F$13:F$18,武将进阶!$C$13:$C$18,"&lt;="&amp;T207)*H207+武将数量星级阶位验证!Q203</f>
        <v>0</v>
      </c>
      <c r="X207" s="41">
        <f>SUMIFS(武将进阶!G$13:G$18,武将进阶!$C$13:$C$18,"&lt;="&amp;U207)*I207+武将数量星级阶位验证!R203</f>
        <v>504</v>
      </c>
      <c r="Y207" s="41">
        <f>SUMIFS(武将进阶!H$13:H$18,武将进阶!$C$13:$C$18,"&lt;="&amp;V207)*J207+武将数量星级阶位验证!S203</f>
        <v>224.40270922253791</v>
      </c>
      <c r="Z207" s="41">
        <f>SUMIFS(武将进阶!I$13:I$18,武将进阶!$C$13:$C$18,"&lt;="&amp;W207)*K207+武将数量星级阶位验证!T203</f>
        <v>0</v>
      </c>
      <c r="AA207" s="29"/>
      <c r="AB207" s="29">
        <f>求节点(基础状态预期!$AT$17:$AT$55,基础状态预期!AW$17:AW$55,各r阵容卡情况!$F207)</f>
        <v>2</v>
      </c>
      <c r="AC207" s="29">
        <f>求节点(基础状态预期!$AT$17:$AT$55,基础状态预期!AX$17:AX$55,各r阵容卡情况!$F207)</f>
        <v>2</v>
      </c>
      <c r="AD207" s="29">
        <f>求节点(基础状态预期!$AT$17:$AT$55,基础状态预期!AY$17:AY$55,各r阵容卡情况!$F207)</f>
        <v>2</v>
      </c>
      <c r="AE207" s="41">
        <f>IF(AA207&lt;1,0,(AA207-1)*武将觉醒!E$34*G207)+武将数量星级阶位验证!V203</f>
        <v>0</v>
      </c>
      <c r="AF207" s="41">
        <f>IF(AB207&lt;1,0,(AB207-1)*武将觉醒!F$34*H207)+武将数量星级阶位验证!W203</f>
        <v>0</v>
      </c>
      <c r="AG207" s="41">
        <f>IF(AC207&lt;1,0,(AC207-1)*武将觉醒!G$34*I207)+武将数量星级阶位验证!X203</f>
        <v>24</v>
      </c>
      <c r="AH207" s="41">
        <f>IF(AD207&lt;1,0,(AD207-1)*武将觉醒!H$34*J207)+武将数量星级阶位验证!Y203</f>
        <v>0</v>
      </c>
      <c r="AJ207" s="29">
        <f>MAX(W207+AE207+G207*(K207+1)+IF(武将数量星级阶位验证!L203="",0,武将数量星级阶位验证!L203)*武将升星!P200,O207)</f>
        <v>24</v>
      </c>
      <c r="AK207" s="29">
        <f>MAX(X207+AF207+H207*(L207+1)+IF(武将数量星级阶位验证!M203="",0,武将数量星级阶位验证!M203)*武将升星!Q200,P207)</f>
        <v>504</v>
      </c>
      <c r="AL207" s="64">
        <f>MAX(Y207+AG207+I207*(M207+1)+IF(武将数量星级阶位验证!N203="",0,武将数量星级阶位验证!N203)*武将升星!R200,Q207)</f>
        <v>704</v>
      </c>
      <c r="AM207" s="41">
        <f t="shared" ref="AM207:AM228" si="222">R207+AH207</f>
        <v>108</v>
      </c>
      <c r="AO207" s="17">
        <f>武将数量星级阶位验证!BJ203</f>
        <v>7144.4664361372897</v>
      </c>
      <c r="AP207" s="17">
        <f>武将数量星级阶位验证!BK203</f>
        <v>3350.0148370833026</v>
      </c>
      <c r="AQ207" s="63">
        <f>武将数量星级阶位验证!BL203</f>
        <v>591.45140473619995</v>
      </c>
      <c r="AR207" s="17">
        <f>武将数量星级阶位验证!BM203</f>
        <v>150.85483688844755</v>
      </c>
      <c r="AT207" s="17">
        <f t="shared" ref="AT207:AT228" si="223">E207</f>
        <v>93.500000000000014</v>
      </c>
      <c r="AU207" s="17">
        <f t="shared" ref="AU207:AU228" si="224">F207</f>
        <v>83.667042947574714</v>
      </c>
      <c r="AW207" s="17" t="s">
        <v>168</v>
      </c>
      <c r="BA207" s="17">
        <v>6</v>
      </c>
      <c r="BB207" s="62">
        <f t="shared" ref="BB207:BB228" si="225">SUM(AX207:BA207)</f>
        <v>6</v>
      </c>
      <c r="BD207" s="17">
        <v>0</v>
      </c>
      <c r="BF207" s="17">
        <v>24</v>
      </c>
      <c r="BG207" s="17">
        <v>0</v>
      </c>
      <c r="BH207" s="62">
        <f t="shared" ref="BH207:BH228" si="226">SUM(BD207:BG207)</f>
        <v>24</v>
      </c>
      <c r="BJ207" s="17">
        <f t="shared" ref="BJ207:BJ228" si="227">AX207+BD207</f>
        <v>0</v>
      </c>
      <c r="BK207" s="17">
        <f t="shared" ref="BK207:BK228" si="228">AY207+BE207</f>
        <v>0</v>
      </c>
      <c r="BL207" s="17">
        <f t="shared" ref="BL207:BL228" si="229">AZ207+BF207</f>
        <v>24</v>
      </c>
      <c r="BM207" s="17">
        <f t="shared" ref="BM207:BM228" si="230">BA207+BG207</f>
        <v>6</v>
      </c>
      <c r="BN207" s="62">
        <f t="shared" ref="BN207:BN228" si="231">SUM(BJ207:BM207)</f>
        <v>30</v>
      </c>
      <c r="BR207" s="17">
        <f>武将升星!P200*基础状态预期!G213+G207*(K207+1)+W207+AE207</f>
        <v>0</v>
      </c>
      <c r="BS207" s="17">
        <f>武将升星!Q200*基础状态预期!H213+H207*(L207+1)+X207+AF207</f>
        <v>504</v>
      </c>
      <c r="BT207" s="17">
        <f>武将升星!R200*基础状态预期!I213+I207*(M207+1)+Y207+AG207</f>
        <v>464.40270922253791</v>
      </c>
      <c r="BU207" s="17">
        <f>武将升星!S200*基础状态预期!J213+J207*(N207+1)+Z207+AH207</f>
        <v>108</v>
      </c>
    </row>
    <row r="208" spans="2:73" x14ac:dyDescent="0.15">
      <c r="B208" s="17">
        <v>21</v>
      </c>
      <c r="C208" s="17">
        <f t="shared" si="214"/>
        <v>24</v>
      </c>
      <c r="D208" s="17">
        <v>18</v>
      </c>
      <c r="E208" s="29">
        <f>基础状态预期!C214</f>
        <v>110.00000000000001</v>
      </c>
      <c r="F208" s="29">
        <f>基础状态预期!D214</f>
        <v>86.154780808490059</v>
      </c>
      <c r="G208" s="29">
        <f t="shared" si="215"/>
        <v>0</v>
      </c>
      <c r="H208" s="29">
        <f t="shared" si="216"/>
        <v>0</v>
      </c>
      <c r="I208" s="29">
        <f t="shared" si="217"/>
        <v>24</v>
      </c>
      <c r="J208" s="29">
        <f t="shared" si="218"/>
        <v>0</v>
      </c>
      <c r="K208" s="29">
        <f>武将战力价值情况!G204</f>
        <v>3</v>
      </c>
      <c r="L208" s="29">
        <f>武将战力价值情况!H204</f>
        <v>6</v>
      </c>
      <c r="M208" s="29">
        <f>武将战力价值情况!I204</f>
        <v>8</v>
      </c>
      <c r="N208" s="29">
        <f>武将战力价值情况!J204</f>
        <v>8</v>
      </c>
      <c r="O208" s="41">
        <f>MAX(同名需求(G208,求节点(武将升星!$C$104:$C$112,武将升星!E$104:E$112,K208),F$2),武将数量星级阶位验证!AA204)</f>
        <v>24</v>
      </c>
      <c r="P208" s="41">
        <f>MAX(同名需求(H208,求节点(武将升星!$C$104:$C$112,武将升星!F$104:F$112,L208),G$2),武将数量星级阶位验证!AB204)</f>
        <v>120</v>
      </c>
      <c r="Q208" s="41">
        <f>MAX(同名需求(I208,求节点(武将升星!$C$104:$C$112,武将升星!G$104:G$112,M208),H$2),武将数量星级阶位验证!AC204)</f>
        <v>704</v>
      </c>
      <c r="R208" s="41">
        <f>MAX(同名需求(J208,求节点(武将升星!$C$104:$C$112,武将升星!H$104:H$112,N208),I$2),武将数量星级阶位验证!AD204)</f>
        <v>108</v>
      </c>
      <c r="S208" s="29">
        <f>MAX(基础状态预期!P214:T214)</f>
        <v>3.4461912323396025</v>
      </c>
      <c r="T208" s="29">
        <f t="shared" si="219"/>
        <v>3.4461912323396025</v>
      </c>
      <c r="U208" s="29">
        <f t="shared" si="220"/>
        <v>3.4461912323396025</v>
      </c>
      <c r="V208" s="29">
        <f t="shared" si="221"/>
        <v>3.4461912323396025</v>
      </c>
      <c r="W208" s="41">
        <f>SUMIFS(武将进阶!F$13:F$18,武将进阶!$C$13:$C$18,"&lt;="&amp;T208)*H208+武将数量星级阶位验证!Q204</f>
        <v>0</v>
      </c>
      <c r="X208" s="41">
        <f>SUMIFS(武将进阶!G$13:G$18,武将进阶!$C$13:$C$18,"&lt;="&amp;U208)*I208+武将数量星级阶位验证!R204</f>
        <v>504</v>
      </c>
      <c r="Y208" s="41">
        <f>SUMIFS(武将进阶!H$13:H$18,武将进阶!$C$13:$C$18,"&lt;="&amp;V208)*J208+武将数量星级阶位验证!S204</f>
        <v>242.31442182112846</v>
      </c>
      <c r="Z208" s="41">
        <f>SUMIFS(武将进阶!I$13:I$18,武将进阶!$C$13:$C$18,"&lt;="&amp;W208)*K208+武将数量星级阶位验证!T204</f>
        <v>0</v>
      </c>
      <c r="AA208" s="29"/>
      <c r="AB208" s="29">
        <f>求节点(基础状态预期!$AT$17:$AT$55,基础状态预期!AW$17:AW$55,各r阵容卡情况!$F208)</f>
        <v>2</v>
      </c>
      <c r="AC208" s="29">
        <f>求节点(基础状态预期!$AT$17:$AT$55,基础状态预期!AX$17:AX$55,各r阵容卡情况!$F208)</f>
        <v>2</v>
      </c>
      <c r="AD208" s="29">
        <f>求节点(基础状态预期!$AT$17:$AT$55,基础状态预期!AY$17:AY$55,各r阵容卡情况!$F208)</f>
        <v>2</v>
      </c>
      <c r="AE208" s="41">
        <f>IF(AA208&lt;1,0,(AA208-1)*武将觉醒!E$34*G208)+武将数量星级阶位验证!V204</f>
        <v>0</v>
      </c>
      <c r="AF208" s="41">
        <f>IF(AB208&lt;1,0,(AB208-1)*武将觉醒!F$34*H208)+武将数量星级阶位验证!W204</f>
        <v>0</v>
      </c>
      <c r="AG208" s="41">
        <f>IF(AC208&lt;1,0,(AC208-1)*武将觉醒!G$34*I208)+武将数量星级阶位验证!X204</f>
        <v>24</v>
      </c>
      <c r="AH208" s="41">
        <f>IF(AD208&lt;1,0,(AD208-1)*武将觉醒!H$34*J208)+武将数量星级阶位验证!Y204</f>
        <v>0</v>
      </c>
      <c r="AJ208" s="29">
        <f>MAX(W208+AE208+G208*(K208+1)+IF(武将数量星级阶位验证!L204="",0,武将数量星级阶位验证!L204)*武将升星!P201,O208)</f>
        <v>24</v>
      </c>
      <c r="AK208" s="29">
        <f>MAX(X208+AF208+H208*(L208+1)+IF(武将数量星级阶位验证!M204="",0,武将数量星级阶位验证!M204)*武将升星!Q201,P208)</f>
        <v>504</v>
      </c>
      <c r="AL208" s="64">
        <f>MAX(Y208+AG208+I208*(M208+1)+IF(武将数量星级阶位验证!N204="",0,武将数量星级阶位验证!N204)*武将升星!R201,Q208)</f>
        <v>704</v>
      </c>
      <c r="AM208" s="41">
        <f t="shared" si="222"/>
        <v>108</v>
      </c>
      <c r="AO208" s="17">
        <f>武将数量星级阶位验证!BJ204</f>
        <v>8105.7525606676309</v>
      </c>
      <c r="AP208" s="17">
        <f>武将数量星级阶位验证!BK204</f>
        <v>3820.3519314240275</v>
      </c>
      <c r="AQ208" s="63">
        <f>武将数量星级阶位验证!BL204</f>
        <v>661.58946888730861</v>
      </c>
      <c r="AR208" s="17">
        <f>武将数量星级阶位验证!BM204</f>
        <v>177.59006254889104</v>
      </c>
      <c r="AT208" s="17">
        <f t="shared" si="223"/>
        <v>110.00000000000001</v>
      </c>
      <c r="AU208" s="17">
        <f t="shared" si="224"/>
        <v>86.154780808490059</v>
      </c>
      <c r="AW208" s="17" t="s">
        <v>168</v>
      </c>
      <c r="BA208" s="17">
        <v>6</v>
      </c>
      <c r="BB208" s="62">
        <f t="shared" si="225"/>
        <v>6</v>
      </c>
      <c r="BD208" s="17">
        <v>0</v>
      </c>
      <c r="BF208" s="17">
        <v>24</v>
      </c>
      <c r="BG208" s="17">
        <v>0</v>
      </c>
      <c r="BH208" s="62">
        <f t="shared" si="226"/>
        <v>24</v>
      </c>
      <c r="BJ208" s="17">
        <f t="shared" si="227"/>
        <v>0</v>
      </c>
      <c r="BK208" s="17">
        <f t="shared" si="228"/>
        <v>0</v>
      </c>
      <c r="BL208" s="17">
        <f t="shared" si="229"/>
        <v>24</v>
      </c>
      <c r="BM208" s="17">
        <f t="shared" si="230"/>
        <v>6</v>
      </c>
      <c r="BN208" s="62">
        <f t="shared" si="231"/>
        <v>30</v>
      </c>
      <c r="BR208" s="17">
        <f>武将升星!P201*基础状态预期!G214+G208*(K208+1)+W208+AE208</f>
        <v>0</v>
      </c>
      <c r="BS208" s="17">
        <f>武将升星!Q201*基础状态预期!H214+H208*(L208+1)+X208+AF208</f>
        <v>504</v>
      </c>
      <c r="BT208" s="17">
        <f>武将升星!R201*基础状态预期!I214+I208*(M208+1)+Y208+AG208</f>
        <v>482.31442182112846</v>
      </c>
      <c r="BU208" s="17">
        <f>武将升星!S201*基础状态预期!J214+J208*(N208+1)+Z208+AH208</f>
        <v>108</v>
      </c>
    </row>
    <row r="209" spans="2:73" x14ac:dyDescent="0.15">
      <c r="B209" s="17">
        <v>22</v>
      </c>
      <c r="C209" s="17">
        <f t="shared" si="214"/>
        <v>24</v>
      </c>
      <c r="D209" s="17">
        <v>19</v>
      </c>
      <c r="E209" s="29">
        <f>基础状态预期!C215</f>
        <v>143</v>
      </c>
      <c r="F209" s="29">
        <f>基础状态预期!D215</f>
        <v>90.480184629206022</v>
      </c>
      <c r="G209" s="29">
        <f t="shared" si="215"/>
        <v>0</v>
      </c>
      <c r="H209" s="29">
        <f t="shared" si="216"/>
        <v>0</v>
      </c>
      <c r="I209" s="29">
        <f t="shared" si="217"/>
        <v>24</v>
      </c>
      <c r="J209" s="29">
        <f t="shared" si="218"/>
        <v>0</v>
      </c>
      <c r="K209" s="29">
        <f>武将战力价值情况!G205</f>
        <v>3</v>
      </c>
      <c r="L209" s="29">
        <f>武将战力价值情况!H205</f>
        <v>6</v>
      </c>
      <c r="M209" s="29">
        <f>武将战力价值情况!I205</f>
        <v>8</v>
      </c>
      <c r="N209" s="29">
        <f>武将战力价值情况!J205</f>
        <v>8</v>
      </c>
      <c r="O209" s="41">
        <f>MAX(同名需求(G209,求节点(武将升星!$C$104:$C$112,武将升星!E$104:E$112,K209),F$2),武将数量星级阶位验证!AA205)</f>
        <v>24</v>
      </c>
      <c r="P209" s="41">
        <f>MAX(同名需求(H209,求节点(武将升星!$C$104:$C$112,武将升星!F$104:F$112,L209),G$2),武将数量星级阶位验证!AB205)</f>
        <v>120</v>
      </c>
      <c r="Q209" s="41">
        <f>MAX(同名需求(I209,求节点(武将升星!$C$104:$C$112,武将升星!G$104:G$112,M209),H$2),武将数量星级阶位验证!AC205)</f>
        <v>704</v>
      </c>
      <c r="R209" s="41">
        <f>MAX(同名需求(J209,求节点(武将升星!$C$104:$C$112,武将升星!H$104:H$112,N209),I$2),武将数量星级阶位验证!AD205)</f>
        <v>108</v>
      </c>
      <c r="S209" s="29">
        <f>MAX(基础状态预期!P215:T215)</f>
        <v>3.6192073851682407</v>
      </c>
      <c r="T209" s="29">
        <f t="shared" si="219"/>
        <v>3.6192073851682407</v>
      </c>
      <c r="U209" s="29">
        <f t="shared" si="220"/>
        <v>3.6192073851682407</v>
      </c>
      <c r="V209" s="29">
        <f t="shared" si="221"/>
        <v>3.6192073851682407</v>
      </c>
      <c r="W209" s="41">
        <f>SUMIFS(武将进阶!F$13:F$18,武将进阶!$C$13:$C$18,"&lt;="&amp;T209)*H209+武将数量星级阶位验证!Q205</f>
        <v>0</v>
      </c>
      <c r="X209" s="41">
        <f>SUMIFS(武将进阶!G$13:G$18,武将进阶!$C$13:$C$18,"&lt;="&amp;U209)*I209+武将数量星级阶位验证!R205</f>
        <v>504</v>
      </c>
      <c r="Y209" s="41">
        <f>SUMIFS(武将进阶!H$13:H$18,武将进阶!$C$13:$C$18,"&lt;="&amp;V209)*J209+武将数量星级阶位验证!S205</f>
        <v>273.4573293302833</v>
      </c>
      <c r="Z209" s="41">
        <f>SUMIFS(武将进阶!I$13:I$18,武将进阶!$C$13:$C$18,"&lt;="&amp;W209)*K209+武将数量星级阶位验证!T205</f>
        <v>0</v>
      </c>
      <c r="AA209" s="29"/>
      <c r="AB209" s="29">
        <f>求节点(基础状态预期!$AT$17:$AT$55,基础状态预期!AW$17:AW$55,各r阵容卡情况!$F209)</f>
        <v>2</v>
      </c>
      <c r="AC209" s="29">
        <f>求节点(基础状态预期!$AT$17:$AT$55,基础状态预期!AX$17:AX$55,各r阵容卡情况!$F209)</f>
        <v>2</v>
      </c>
      <c r="AD209" s="29">
        <f>求节点(基础状态预期!$AT$17:$AT$55,基础状态预期!AY$17:AY$55,各r阵容卡情况!$F209)</f>
        <v>2</v>
      </c>
      <c r="AE209" s="41">
        <f>IF(AA209&lt;1,0,(AA209-1)*武将觉醒!E$34*G209)+武将数量星级阶位验证!V205</f>
        <v>0</v>
      </c>
      <c r="AF209" s="41">
        <f>IF(AB209&lt;1,0,(AB209-1)*武将觉醒!F$34*H209)+武将数量星级阶位验证!W205</f>
        <v>0</v>
      </c>
      <c r="AG209" s="41">
        <f>IF(AC209&lt;1,0,(AC209-1)*武将觉醒!G$34*I209)+武将数量星级阶位验证!X205</f>
        <v>24</v>
      </c>
      <c r="AH209" s="41">
        <f>IF(AD209&lt;1,0,(AD209-1)*武将觉醒!H$34*J209)+武将数量星级阶位验证!Y205</f>
        <v>0</v>
      </c>
      <c r="AJ209" s="29">
        <f>MAX(W209+AE209+G209*(K209+1)+IF(武将数量星级阶位验证!L205="",0,武将数量星级阶位验证!L205)*武将升星!P202,O209)</f>
        <v>24</v>
      </c>
      <c r="AK209" s="29">
        <f>MAX(X209+AF209+H209*(L209+1)+IF(武将数量星级阶位验证!M205="",0,武将数量星级阶位验证!M205)*武将升星!Q202,P209)</f>
        <v>504</v>
      </c>
      <c r="AL209" s="64">
        <f>MAX(Y209+AG209+I209*(M209+1)+IF(武将数量星级阶位验证!N205="",0,武将数量星级阶位验证!N205)*武将升星!R202,Q209)</f>
        <v>704</v>
      </c>
      <c r="AM209" s="41">
        <f t="shared" si="222"/>
        <v>108</v>
      </c>
      <c r="AO209" s="17">
        <f>武将数量星级阶位验证!BJ205</f>
        <v>9946.8136913513536</v>
      </c>
      <c r="AP209" s="17">
        <f>武将数量星级阶位验证!BK205</f>
        <v>4716.9660561179317</v>
      </c>
      <c r="AQ209" s="63">
        <f>武将数量星级阶位验证!BL205</f>
        <v>795.25658759139424</v>
      </c>
      <c r="AR209" s="17">
        <f>武将数量星级阶位验证!BM205</f>
        <v>228.41691003052529</v>
      </c>
      <c r="AT209" s="17">
        <f t="shared" si="223"/>
        <v>143</v>
      </c>
      <c r="AU209" s="17">
        <f t="shared" si="224"/>
        <v>90.480184629206022</v>
      </c>
      <c r="AW209" s="17" t="s">
        <v>168</v>
      </c>
      <c r="BA209" s="17">
        <v>6</v>
      </c>
      <c r="BB209" s="62">
        <f t="shared" si="225"/>
        <v>6</v>
      </c>
      <c r="BD209" s="17">
        <v>0</v>
      </c>
      <c r="BF209" s="17">
        <v>24</v>
      </c>
      <c r="BG209" s="17">
        <v>0</v>
      </c>
      <c r="BH209" s="62">
        <f t="shared" si="226"/>
        <v>24</v>
      </c>
      <c r="BJ209" s="17">
        <f t="shared" si="227"/>
        <v>0</v>
      </c>
      <c r="BK209" s="17">
        <f t="shared" si="228"/>
        <v>0</v>
      </c>
      <c r="BL209" s="17">
        <f t="shared" si="229"/>
        <v>24</v>
      </c>
      <c r="BM209" s="17">
        <f t="shared" si="230"/>
        <v>6</v>
      </c>
      <c r="BN209" s="62">
        <f t="shared" si="231"/>
        <v>30</v>
      </c>
      <c r="BR209" s="17">
        <f>武将升星!P202*基础状态预期!G215+G209*(K209+1)+W209+AE209</f>
        <v>0</v>
      </c>
      <c r="BS209" s="17">
        <f>武将升星!Q202*基础状态预期!H215+H209*(L209+1)+X209+AF209</f>
        <v>504</v>
      </c>
      <c r="BT209" s="17">
        <f>武将升星!R202*基础状态预期!I215+I209*(M209+1)+Y209+AG209</f>
        <v>513.4573293302833</v>
      </c>
      <c r="BU209" s="17">
        <f>武将升星!S202*基础状态预期!J215+J209*(N209+1)+Z209+AH209</f>
        <v>108</v>
      </c>
    </row>
    <row r="210" spans="2:73" x14ac:dyDescent="0.15">
      <c r="B210" s="17">
        <v>23</v>
      </c>
      <c r="C210" s="17">
        <f t="shared" si="214"/>
        <v>24</v>
      </c>
      <c r="D210" s="17">
        <v>20</v>
      </c>
      <c r="E210" s="29">
        <f>基础状态预期!C216</f>
        <v>176</v>
      </c>
      <c r="F210" s="29">
        <f>基础状态预期!D216</f>
        <v>93.6774218048877</v>
      </c>
      <c r="G210" s="29">
        <f t="shared" si="215"/>
        <v>0</v>
      </c>
      <c r="H210" s="29">
        <f t="shared" si="216"/>
        <v>0</v>
      </c>
      <c r="I210" s="29">
        <f t="shared" si="217"/>
        <v>24</v>
      </c>
      <c r="J210" s="29">
        <f t="shared" si="218"/>
        <v>0</v>
      </c>
      <c r="K210" s="29">
        <f>武将战力价值情况!G206</f>
        <v>3</v>
      </c>
      <c r="L210" s="29">
        <f>武将战力价值情况!H206</f>
        <v>6</v>
      </c>
      <c r="M210" s="29">
        <f>武将战力价值情况!I206</f>
        <v>8</v>
      </c>
      <c r="N210" s="29">
        <f>武将战力价值情况!J206</f>
        <v>8</v>
      </c>
      <c r="O210" s="41">
        <f>MAX(同名需求(G210,求节点(武将升星!$C$104:$C$112,武将升星!E$104:E$112,K210),F$2),武将数量星级阶位验证!AA206)</f>
        <v>24</v>
      </c>
      <c r="P210" s="41">
        <f>MAX(同名需求(H210,求节点(武将升星!$C$104:$C$112,武将升星!F$104:F$112,L210),G$2),武将数量星级阶位验证!AB206)</f>
        <v>120</v>
      </c>
      <c r="Q210" s="41">
        <f>MAX(同名需求(I210,求节点(武将升星!$C$104:$C$112,武将升星!G$104:G$112,M210),H$2),武将数量星级阶位验证!AC206)</f>
        <v>704</v>
      </c>
      <c r="R210" s="41">
        <f>MAX(同名需求(J210,求节点(武将升星!$C$104:$C$112,武将升星!H$104:H$112,N210),I$2),武将数量星级阶位验证!AD206)</f>
        <v>108</v>
      </c>
      <c r="S210" s="29">
        <f>MAX(基础状态预期!P216:T216)</f>
        <v>3.7470968721955078</v>
      </c>
      <c r="T210" s="29">
        <f t="shared" si="219"/>
        <v>3.7470968721955078</v>
      </c>
      <c r="U210" s="29">
        <f t="shared" si="220"/>
        <v>3.7470968721955078</v>
      </c>
      <c r="V210" s="29">
        <f t="shared" si="221"/>
        <v>3.7470968721955078</v>
      </c>
      <c r="W210" s="41">
        <f>SUMIFS(武将进阶!F$13:F$18,武将进阶!$C$13:$C$18,"&lt;="&amp;T210)*H210+武将数量星级阶位验证!Q206</f>
        <v>0</v>
      </c>
      <c r="X210" s="41">
        <f>SUMIFS(武将进阶!G$13:G$18,武将进阶!$C$13:$C$18,"&lt;="&amp;U210)*I210+武将数量星级阶位验证!R206</f>
        <v>504</v>
      </c>
      <c r="Y210" s="41">
        <f>SUMIFS(武将进阶!H$13:H$18,武将进阶!$C$13:$C$18,"&lt;="&amp;V210)*J210+武将数量星级阶位验证!S206</f>
        <v>296.4774369951914</v>
      </c>
      <c r="Z210" s="41">
        <f>SUMIFS(武将进阶!I$13:I$18,武将进阶!$C$13:$C$18,"&lt;="&amp;W210)*K210+武将数量星级阶位验证!T206</f>
        <v>0</v>
      </c>
      <c r="AA210" s="29"/>
      <c r="AB210" s="29">
        <f>求节点(基础状态预期!$AT$17:$AT$55,基础状态预期!AW$17:AW$55,各r阵容卡情况!$F210)</f>
        <v>2</v>
      </c>
      <c r="AC210" s="29">
        <f>求节点(基础状态预期!$AT$17:$AT$55,基础状态预期!AX$17:AX$55,各r阵容卡情况!$F210)</f>
        <v>2</v>
      </c>
      <c r="AD210" s="29">
        <f>求节点(基础状态预期!$AT$17:$AT$55,基础状态预期!AY$17:AY$55,各r阵容卡情况!$F210)</f>
        <v>2</v>
      </c>
      <c r="AE210" s="41">
        <f>IF(AA210&lt;1,0,(AA210-1)*武将觉醒!E$34*G210)+武将数量星级阶位验证!V206</f>
        <v>0</v>
      </c>
      <c r="AF210" s="41">
        <f>IF(AB210&lt;1,0,(AB210-1)*武将觉醒!F$34*H210)+武将数量星级阶位验证!W206</f>
        <v>0</v>
      </c>
      <c r="AG210" s="41">
        <f>IF(AC210&lt;1,0,(AC210-1)*武将觉醒!G$34*I210)+武将数量星级阶位验证!X206</f>
        <v>24</v>
      </c>
      <c r="AH210" s="41">
        <f>IF(AD210&lt;1,0,(AD210-1)*武将觉醒!H$34*J210)+武将数量星级阶位验证!Y206</f>
        <v>0</v>
      </c>
      <c r="AJ210" s="29">
        <f>MAX(W210+AE210+G210*(K210+1)+IF(武将数量星级阶位验证!L206="",0,武将数量星级阶位验证!L206)*武将升星!P203,O210)</f>
        <v>24</v>
      </c>
      <c r="AK210" s="29">
        <f>MAX(X210+AF210+H210*(L210+1)+IF(武将数量星级阶位验证!M206="",0,武将数量星级阶位验证!M206)*武将升星!Q203,P210)</f>
        <v>504</v>
      </c>
      <c r="AL210" s="64">
        <f>MAX(Y210+AG210+I210*(M210+1)+IF(武将数量星级阶位验证!N206="",0,武将数量星级阶位验证!N206)*武将升星!R203,Q210)</f>
        <v>704</v>
      </c>
      <c r="AM210" s="41">
        <f t="shared" si="222"/>
        <v>108</v>
      </c>
      <c r="AO210" s="17">
        <f>武将数量星级阶位验证!BJ206</f>
        <v>11756.614598215518</v>
      </c>
      <c r="AP210" s="17">
        <f>武将数量星级阶位验证!BK206</f>
        <v>5596.6827625309925</v>
      </c>
      <c r="AQ210" s="63">
        <f>武将数量星级阶位验证!BL206</f>
        <v>926.3890935533534</v>
      </c>
      <c r="AR210" s="17">
        <f>武将数量星级阶位验证!BM206</f>
        <v>278.22991241530895</v>
      </c>
      <c r="AT210" s="17">
        <f t="shared" si="223"/>
        <v>176</v>
      </c>
      <c r="AU210" s="17">
        <f t="shared" si="224"/>
        <v>93.6774218048877</v>
      </c>
      <c r="AW210" s="17" t="s">
        <v>168</v>
      </c>
      <c r="BA210" s="17">
        <v>6</v>
      </c>
      <c r="BB210" s="62">
        <f t="shared" si="225"/>
        <v>6</v>
      </c>
      <c r="BD210" s="17">
        <v>0</v>
      </c>
      <c r="BF210" s="17">
        <v>24</v>
      </c>
      <c r="BG210" s="17">
        <v>0</v>
      </c>
      <c r="BH210" s="62">
        <f t="shared" si="226"/>
        <v>24</v>
      </c>
      <c r="BJ210" s="17">
        <f t="shared" si="227"/>
        <v>0</v>
      </c>
      <c r="BK210" s="17">
        <f t="shared" si="228"/>
        <v>0</v>
      </c>
      <c r="BL210" s="17">
        <f t="shared" si="229"/>
        <v>24</v>
      </c>
      <c r="BM210" s="17">
        <f t="shared" si="230"/>
        <v>6</v>
      </c>
      <c r="BN210" s="62">
        <f t="shared" si="231"/>
        <v>30</v>
      </c>
      <c r="BR210" s="17">
        <f>武将升星!P203*基础状态预期!G216+G210*(K210+1)+W210+AE210</f>
        <v>0</v>
      </c>
      <c r="BS210" s="17">
        <f>武将升星!Q203*基础状态预期!H216+H210*(L210+1)+X210+AF210</f>
        <v>504</v>
      </c>
      <c r="BT210" s="17">
        <f>武将升星!R203*基础状态预期!I216+I210*(M210+1)+Y210+AG210</f>
        <v>536.4774369951914</v>
      </c>
      <c r="BU210" s="17">
        <f>武将升星!S203*基础状态预期!J216+J210*(N210+1)+Z210+AH210</f>
        <v>108</v>
      </c>
    </row>
    <row r="211" spans="2:73" x14ac:dyDescent="0.15">
      <c r="B211" s="17">
        <v>24</v>
      </c>
      <c r="C211" s="17">
        <f t="shared" si="214"/>
        <v>24</v>
      </c>
      <c r="D211" s="17">
        <v>21</v>
      </c>
      <c r="E211" s="29">
        <f>基础状态预期!C217</f>
        <v>225.50000000000003</v>
      </c>
      <c r="F211" s="29">
        <f>基础状态预期!D217</f>
        <v>97.125654465362558</v>
      </c>
      <c r="G211" s="29">
        <f t="shared" si="215"/>
        <v>0</v>
      </c>
      <c r="H211" s="29">
        <f t="shared" si="216"/>
        <v>0</v>
      </c>
      <c r="I211" s="29">
        <f t="shared" si="217"/>
        <v>24</v>
      </c>
      <c r="J211" s="29">
        <f t="shared" si="218"/>
        <v>0</v>
      </c>
      <c r="K211" s="29">
        <f>武将战力价值情况!G207</f>
        <v>3</v>
      </c>
      <c r="L211" s="29">
        <f>武将战力价值情况!H207</f>
        <v>6</v>
      </c>
      <c r="M211" s="29">
        <f>武将战力价值情况!I207</f>
        <v>8</v>
      </c>
      <c r="N211" s="29">
        <f>武将战力价值情况!J207</f>
        <v>8</v>
      </c>
      <c r="O211" s="41">
        <f>MAX(同名需求(G211,求节点(武将升星!$C$104:$C$112,武将升星!E$104:E$112,K211),F$2),武将数量星级阶位验证!AA207)</f>
        <v>24</v>
      </c>
      <c r="P211" s="41">
        <f>MAX(同名需求(H211,求节点(武将升星!$C$104:$C$112,武将升星!F$104:F$112,L211),G$2),武将数量星级阶位验证!AB207)</f>
        <v>120</v>
      </c>
      <c r="Q211" s="41">
        <f>MAX(同名需求(I211,求节点(武将升星!$C$104:$C$112,武将升星!G$104:G$112,M211),H$2),武将数量星级阶位验证!AC207)</f>
        <v>704</v>
      </c>
      <c r="R211" s="41">
        <f>MAX(同名需求(J211,求节点(武将升星!$C$104:$C$112,武将升星!H$104:H$112,N211),I$2),武将数量星级阶位验证!AD207)</f>
        <v>108</v>
      </c>
      <c r="S211" s="29">
        <f>MAX(基础状态预期!P217:T217)</f>
        <v>3.8850261786145026</v>
      </c>
      <c r="T211" s="29">
        <f t="shared" si="219"/>
        <v>3.8850261786145026</v>
      </c>
      <c r="U211" s="29">
        <f t="shared" si="220"/>
        <v>3.8850261786145026</v>
      </c>
      <c r="V211" s="29">
        <f t="shared" si="221"/>
        <v>3.8850261786145026</v>
      </c>
      <c r="W211" s="41">
        <f>SUMIFS(武将进阶!F$13:F$18,武将进阶!$C$13:$C$18,"&lt;="&amp;T211)*H211+武将数量星级阶位验证!Q207</f>
        <v>0</v>
      </c>
      <c r="X211" s="41">
        <f>SUMIFS(武将进阶!G$13:G$18,武将进阶!$C$13:$C$18,"&lt;="&amp;U211)*I211+武将数量星级阶位验证!R207</f>
        <v>504</v>
      </c>
      <c r="Y211" s="41">
        <f>SUMIFS(武将进阶!H$13:H$18,武将进阶!$C$13:$C$18,"&lt;="&amp;V211)*J211+武将数量星级阶位验证!S207</f>
        <v>321.3047121506105</v>
      </c>
      <c r="Z211" s="41">
        <f>SUMIFS(武将进阶!I$13:I$18,武将进阶!$C$13:$C$18,"&lt;="&amp;W211)*K211+武将数量星级阶位验证!T207</f>
        <v>0</v>
      </c>
      <c r="AA211" s="29"/>
      <c r="AB211" s="29">
        <f>求节点(基础状态预期!$AT$17:$AT$55,基础状态预期!AW$17:AW$55,各r阵容卡情况!$F211)</f>
        <v>2</v>
      </c>
      <c r="AC211" s="29">
        <f>求节点(基础状态预期!$AT$17:$AT$55,基础状态预期!AX$17:AX$55,各r阵容卡情况!$F211)</f>
        <v>2</v>
      </c>
      <c r="AD211" s="29">
        <f>求节点(基础状态预期!$AT$17:$AT$55,基础状态预期!AY$17:AY$55,各r阵容卡情况!$F211)</f>
        <v>2</v>
      </c>
      <c r="AE211" s="41">
        <f>IF(AA211&lt;1,0,(AA211-1)*武将觉醒!E$34*G211)+武将数量星级阶位验证!V207</f>
        <v>0</v>
      </c>
      <c r="AF211" s="41">
        <f>IF(AB211&lt;1,0,(AB211-1)*武将觉醒!F$34*H211)+武将数量星级阶位验证!W207</f>
        <v>0</v>
      </c>
      <c r="AG211" s="41">
        <f>IF(AC211&lt;1,0,(AC211-1)*武将觉醒!G$34*I211)+武将数量星级阶位验证!X207</f>
        <v>24</v>
      </c>
      <c r="AH211" s="41">
        <f>IF(AD211&lt;1,0,(AD211-1)*武将觉醒!H$34*J211)+武将数量星级阶位验证!Y207</f>
        <v>0</v>
      </c>
      <c r="AJ211" s="29">
        <f>MAX(W211+AE211+G211*(K211+1)+IF(武将数量星级阶位验证!L207="",0,武将数量星级阶位验证!L207)*武将升星!P204,O211)</f>
        <v>24</v>
      </c>
      <c r="AK211" s="29">
        <f>MAX(X211+AF211+H211*(L211+1)+IF(武将数量星级阶位验证!M207="",0,武将数量星级阶位验证!M207)*武将升星!Q204,P211)</f>
        <v>504</v>
      </c>
      <c r="AL211" s="64">
        <f>MAX(Y211+AG211+I211*(M211+1)+IF(武将数量星级阶位验证!N207="",0,武将数量星级阶位验证!N207)*武将升星!R204,Q211)</f>
        <v>704</v>
      </c>
      <c r="AM211" s="41">
        <f t="shared" si="222"/>
        <v>108</v>
      </c>
      <c r="AO211" s="17">
        <f>武将数量星级阶位验证!BJ207</f>
        <v>14332.998354294366</v>
      </c>
      <c r="AP211" s="17">
        <f>武将数量星级阶位验证!BK207</f>
        <v>6841.4915496006415</v>
      </c>
      <c r="AQ211" s="63">
        <f>武将数量星级阶位验证!BL207</f>
        <v>1111.8729116138006</v>
      </c>
      <c r="AR211" s="17">
        <f>武将数量星级阶位验证!BM207</f>
        <v>348.46343963948789</v>
      </c>
      <c r="AT211" s="17">
        <f t="shared" si="223"/>
        <v>225.50000000000003</v>
      </c>
      <c r="AU211" s="17">
        <f t="shared" si="224"/>
        <v>97.125654465362558</v>
      </c>
      <c r="AW211" s="17" t="s">
        <v>168</v>
      </c>
      <c r="BA211" s="17">
        <v>6</v>
      </c>
      <c r="BB211" s="62">
        <f t="shared" si="225"/>
        <v>6</v>
      </c>
      <c r="BD211" s="17">
        <v>0</v>
      </c>
      <c r="BF211" s="17">
        <v>24</v>
      </c>
      <c r="BG211" s="17">
        <v>0</v>
      </c>
      <c r="BH211" s="62">
        <f t="shared" si="226"/>
        <v>24</v>
      </c>
      <c r="BJ211" s="17">
        <f t="shared" si="227"/>
        <v>0</v>
      </c>
      <c r="BK211" s="17">
        <f t="shared" si="228"/>
        <v>0</v>
      </c>
      <c r="BL211" s="17">
        <f t="shared" si="229"/>
        <v>24</v>
      </c>
      <c r="BM211" s="17">
        <f t="shared" si="230"/>
        <v>6</v>
      </c>
      <c r="BN211" s="62">
        <f t="shared" si="231"/>
        <v>30</v>
      </c>
      <c r="BR211" s="17">
        <f>武将升星!P204*基础状态预期!G217+G211*(K211+1)+W211+AE211</f>
        <v>0</v>
      </c>
      <c r="BS211" s="17">
        <f>武将升星!Q204*基础状态预期!H217+H211*(L211+1)+X211+AF211</f>
        <v>504</v>
      </c>
      <c r="BT211" s="17">
        <f>武将升星!R204*基础状态预期!I217+I211*(M211+1)+Y211+AG211</f>
        <v>561.3047121506105</v>
      </c>
      <c r="BU211" s="17">
        <f>武将升星!S204*基础状态预期!J217+J211*(N211+1)+Z211+AH211</f>
        <v>108</v>
      </c>
    </row>
    <row r="212" spans="2:73" x14ac:dyDescent="0.15">
      <c r="B212" s="17">
        <v>25</v>
      </c>
      <c r="C212" s="17">
        <f t="shared" si="214"/>
        <v>24</v>
      </c>
      <c r="D212" s="17">
        <v>22</v>
      </c>
      <c r="E212" s="29">
        <f>基础状态预期!C218</f>
        <v>291.5</v>
      </c>
      <c r="F212" s="29">
        <f>基础状态预期!D218</f>
        <v>100.89689545435591</v>
      </c>
      <c r="G212" s="29">
        <f t="shared" si="215"/>
        <v>0</v>
      </c>
      <c r="H212" s="29">
        <f t="shared" si="216"/>
        <v>0</v>
      </c>
      <c r="I212" s="29">
        <f t="shared" si="217"/>
        <v>24</v>
      </c>
      <c r="J212" s="29">
        <f t="shared" si="218"/>
        <v>0</v>
      </c>
      <c r="K212" s="29">
        <f>武将战力价值情况!G208</f>
        <v>3</v>
      </c>
      <c r="L212" s="29">
        <f>武将战力价值情况!H208</f>
        <v>6</v>
      </c>
      <c r="M212" s="29">
        <f>武将战力价值情况!I208</f>
        <v>8</v>
      </c>
      <c r="N212" s="29">
        <f>武将战力价值情况!J208</f>
        <v>8</v>
      </c>
      <c r="O212" s="41">
        <f>MAX(同名需求(G212,求节点(武将升星!$C$104:$C$112,武将升星!E$104:E$112,K212),F$2),武将数量星级阶位验证!AA208)</f>
        <v>24</v>
      </c>
      <c r="P212" s="41">
        <f>MAX(同名需求(H212,求节点(武将升星!$C$104:$C$112,武将升星!F$104:F$112,L212),G$2),武将数量星级阶位验证!AB208)</f>
        <v>120</v>
      </c>
      <c r="Q212" s="41">
        <f>MAX(同名需求(I212,求节点(武将升星!$C$104:$C$112,武将升星!G$104:G$112,M212),H$2),武将数量星级阶位验证!AC208)</f>
        <v>704</v>
      </c>
      <c r="R212" s="41">
        <f>MAX(同名需求(J212,求节点(武将升星!$C$104:$C$112,武将升星!H$104:H$112,N212),I$2),武将数量星级阶位验证!AD208)</f>
        <v>108</v>
      </c>
      <c r="S212" s="29">
        <f>MAX(基础状态预期!P218:T218)</f>
        <v>4.0358758181742367</v>
      </c>
      <c r="T212" s="29">
        <f t="shared" si="219"/>
        <v>4.0358758181742367</v>
      </c>
      <c r="U212" s="29">
        <f t="shared" si="220"/>
        <v>4.0358758181742367</v>
      </c>
      <c r="V212" s="29">
        <f t="shared" si="221"/>
        <v>4.0358758181742367</v>
      </c>
      <c r="W212" s="41">
        <f>SUMIFS(武将进阶!F$13:F$18,武将进阶!$C$13:$C$18,"&lt;="&amp;T212)*H212+武将数量星级阶位验证!Q208</f>
        <v>0</v>
      </c>
      <c r="X212" s="41">
        <f>SUMIFS(武将进阶!G$13:G$18,武将进阶!$C$13:$C$18,"&lt;="&amp;U212)*I212+武将数量星级阶位验证!R208</f>
        <v>984</v>
      </c>
      <c r="Y212" s="41">
        <f>SUMIFS(武将进阶!H$13:H$18,武将进阶!$C$13:$C$18,"&lt;="&amp;V212)*J212+武将数量星级阶位验证!S208</f>
        <v>352.76274545227102</v>
      </c>
      <c r="Z212" s="41">
        <f>SUMIFS(武将进阶!I$13:I$18,武将进阶!$C$13:$C$18,"&lt;="&amp;W212)*K212+武将数量星级阶位验证!T208</f>
        <v>0</v>
      </c>
      <c r="AA212" s="29"/>
      <c r="AB212" s="29">
        <f>求节点(基础状态预期!$AT$17:$AT$55,基础状态预期!AW$17:AW$55,各r阵容卡情况!$F212)</f>
        <v>2</v>
      </c>
      <c r="AC212" s="29">
        <f>求节点(基础状态预期!$AT$17:$AT$55,基础状态预期!AX$17:AX$55,各r阵容卡情况!$F212)</f>
        <v>2</v>
      </c>
      <c r="AD212" s="29">
        <f>求节点(基础状态预期!$AT$17:$AT$55,基础状态预期!AY$17:AY$55,各r阵容卡情况!$F212)</f>
        <v>2</v>
      </c>
      <c r="AE212" s="41">
        <f>IF(AA212&lt;1,0,(AA212-1)*武将觉醒!E$34*G212)+武将数量星级阶位验证!V208</f>
        <v>0</v>
      </c>
      <c r="AF212" s="41">
        <f>IF(AB212&lt;1,0,(AB212-1)*武将觉醒!F$34*H212)+武将数量星级阶位验证!W208</f>
        <v>0</v>
      </c>
      <c r="AG212" s="41">
        <f>IF(AC212&lt;1,0,(AC212-1)*武将觉醒!G$34*I212)+武将数量星级阶位验证!X208</f>
        <v>24</v>
      </c>
      <c r="AH212" s="41">
        <f>IF(AD212&lt;1,0,(AD212-1)*武将觉醒!H$34*J212)+武将数量星级阶位验证!Y208</f>
        <v>0</v>
      </c>
      <c r="AJ212" s="29">
        <f>MAX(W212+AE212+G212*(K212+1)+IF(武将数量星级阶位验证!L208="",0,武将数量星级阶位验证!L208)*武将升星!P205,O212)</f>
        <v>24</v>
      </c>
      <c r="AK212" s="29">
        <f>MAX(X212+AF212+H212*(L212+1)+IF(武将数量星级阶位验证!M208="",0,武将数量星级阶位验证!M208)*武将升星!Q205,P212)</f>
        <v>984</v>
      </c>
      <c r="AL212" s="64">
        <f>MAX(Y212+AG212+I212*(M212+1)+IF(武将数量星级阶位验证!N208="",0,武将数量星级阶位验证!N208)*武将升星!R205,Q212)</f>
        <v>704</v>
      </c>
      <c r="AM212" s="41">
        <f t="shared" si="222"/>
        <v>108</v>
      </c>
      <c r="AO212" s="17">
        <f>武将数量星级阶位验证!BJ208</f>
        <v>17663.488408819943</v>
      </c>
      <c r="AP212" s="17">
        <f>武将数量星级阶位验证!BK208</f>
        <v>8444.6483358306832</v>
      </c>
      <c r="AQ212" s="63">
        <f>武将数量星级阶位验证!BL208</f>
        <v>1350.6964295483069</v>
      </c>
      <c r="AR212" s="17">
        <f>武将数量星级阶位验证!BM208</f>
        <v>438.71284681329035</v>
      </c>
      <c r="AT212" s="17">
        <f t="shared" si="223"/>
        <v>291.5</v>
      </c>
      <c r="AU212" s="17">
        <f t="shared" si="224"/>
        <v>100.89689545435591</v>
      </c>
      <c r="AW212" s="17" t="s">
        <v>168</v>
      </c>
      <c r="BA212" s="17">
        <v>6</v>
      </c>
      <c r="BB212" s="62">
        <f t="shared" si="225"/>
        <v>6</v>
      </c>
      <c r="BD212" s="17">
        <v>0</v>
      </c>
      <c r="BF212" s="17">
        <v>24</v>
      </c>
      <c r="BG212" s="17">
        <v>0</v>
      </c>
      <c r="BH212" s="62">
        <f t="shared" si="226"/>
        <v>24</v>
      </c>
      <c r="BJ212" s="17">
        <f t="shared" si="227"/>
        <v>0</v>
      </c>
      <c r="BK212" s="17">
        <f t="shared" si="228"/>
        <v>0</v>
      </c>
      <c r="BL212" s="17">
        <f t="shared" si="229"/>
        <v>24</v>
      </c>
      <c r="BM212" s="17">
        <f t="shared" si="230"/>
        <v>6</v>
      </c>
      <c r="BN212" s="62">
        <f t="shared" si="231"/>
        <v>30</v>
      </c>
      <c r="BR212" s="17">
        <f>武将升星!P205*基础状态预期!G218+G212*(K212+1)+W212+AE212</f>
        <v>0</v>
      </c>
      <c r="BS212" s="17">
        <f>武将升星!Q205*基础状态预期!H218+H212*(L212+1)+X212+AF212</f>
        <v>984</v>
      </c>
      <c r="BT212" s="17">
        <f>武将升星!R205*基础状态预期!I218+I212*(M212+1)+Y212+AG212</f>
        <v>592.76274545227102</v>
      </c>
      <c r="BU212" s="17">
        <f>武将升星!S205*基础状态预期!J218+J212*(N212+1)+Z212+AH212</f>
        <v>108</v>
      </c>
    </row>
    <row r="213" spans="2:73" x14ac:dyDescent="0.15">
      <c r="B213" s="17">
        <v>26</v>
      </c>
      <c r="C213" s="17">
        <f t="shared" si="214"/>
        <v>24</v>
      </c>
      <c r="D213" s="17">
        <v>23</v>
      </c>
      <c r="E213" s="29">
        <f>基础状态预期!C219</f>
        <v>374.00000000000006</v>
      </c>
      <c r="F213" s="29">
        <f>基础状态预期!D219</f>
        <v>104.52148587104635</v>
      </c>
      <c r="G213" s="29">
        <f t="shared" si="215"/>
        <v>0</v>
      </c>
      <c r="H213" s="29">
        <f t="shared" si="216"/>
        <v>0</v>
      </c>
      <c r="I213" s="29">
        <f t="shared" si="217"/>
        <v>24</v>
      </c>
      <c r="J213" s="29">
        <f t="shared" si="218"/>
        <v>0</v>
      </c>
      <c r="K213" s="29">
        <f>武将战力价值情况!G209</f>
        <v>3</v>
      </c>
      <c r="L213" s="29">
        <f>武将战力价值情况!H209</f>
        <v>6</v>
      </c>
      <c r="M213" s="29">
        <f>武将战力价值情况!I209</f>
        <v>8</v>
      </c>
      <c r="N213" s="29">
        <f>武将战力价值情况!J209</f>
        <v>8</v>
      </c>
      <c r="O213" s="41">
        <f>MAX(同名需求(G213,求节点(武将升星!$C$104:$C$112,武将升星!E$104:E$112,K213),F$2),武将数量星级阶位验证!AA209)</f>
        <v>24</v>
      </c>
      <c r="P213" s="41">
        <f>MAX(同名需求(H213,求节点(武将升星!$C$104:$C$112,武将升星!F$104:F$112,L213),G$2),武将数量星级阶位验证!AB209)</f>
        <v>120</v>
      </c>
      <c r="Q213" s="41">
        <f>MAX(同名需求(I213,求节点(武将升星!$C$104:$C$112,武将升星!G$104:G$112,M213),H$2),武将数量星级阶位验证!AC209)</f>
        <v>704</v>
      </c>
      <c r="R213" s="41">
        <f>MAX(同名需求(J213,求节点(武将升星!$C$104:$C$112,武将升星!H$104:H$112,N213),I$2),武将数量星级阶位验证!AD209)</f>
        <v>108</v>
      </c>
      <c r="S213" s="29">
        <f>MAX(基础状态预期!P219:T219)</f>
        <v>4.180859434841854</v>
      </c>
      <c r="T213" s="29">
        <f t="shared" si="219"/>
        <v>4.180859434841854</v>
      </c>
      <c r="U213" s="29">
        <f t="shared" si="220"/>
        <v>4.180859434841854</v>
      </c>
      <c r="V213" s="29">
        <f t="shared" si="221"/>
        <v>4.180859434841854</v>
      </c>
      <c r="W213" s="41">
        <f>SUMIFS(武将进阶!F$13:F$18,武将进阶!$C$13:$C$18,"&lt;="&amp;T213)*H213+武将数量星级阶位验证!Q209</f>
        <v>0</v>
      </c>
      <c r="X213" s="41">
        <f>SUMIFS(武将进阶!G$13:G$18,武将进阶!$C$13:$C$18,"&lt;="&amp;U213)*I213+武将数量星级阶位验证!R209</f>
        <v>984</v>
      </c>
      <c r="Y213" s="41">
        <f>SUMIFS(武将进阶!H$13:H$18,武将进阶!$C$13:$C$18,"&lt;="&amp;V213)*J213+武将数量星级阶位验证!S209</f>
        <v>396.25783045255622</v>
      </c>
      <c r="Z213" s="41">
        <f>SUMIFS(武将进阶!I$13:I$18,武将进阶!$C$13:$C$18,"&lt;="&amp;W213)*K213+武将数量星级阶位验证!T209</f>
        <v>0</v>
      </c>
      <c r="AA213" s="29"/>
      <c r="AB213" s="29">
        <f>求节点(基础状态预期!$AT$17:$AT$55,基础状态预期!AW$17:AW$55,各r阵容卡情况!$F213)</f>
        <v>2</v>
      </c>
      <c r="AC213" s="29">
        <f>求节点(基础状态预期!$AT$17:$AT$55,基础状态预期!AX$17:AX$55,各r阵容卡情况!$F213)</f>
        <v>2</v>
      </c>
      <c r="AD213" s="29">
        <f>求节点(基础状态预期!$AT$17:$AT$55,基础状态预期!AY$17:AY$55,各r阵容卡情况!$F213)</f>
        <v>2</v>
      </c>
      <c r="AE213" s="41">
        <f>IF(AA213&lt;1,0,(AA213-1)*武将觉醒!E$34*G213)+武将数量星级阶位验证!V209</f>
        <v>0</v>
      </c>
      <c r="AF213" s="41">
        <f>IF(AB213&lt;1,0,(AB213-1)*武将觉醒!F$34*H213)+武将数量星级阶位验证!W209</f>
        <v>0</v>
      </c>
      <c r="AG213" s="41">
        <f>IF(AC213&lt;1,0,(AC213-1)*武将觉醒!G$34*I213)+武将数量星级阶位验证!X209</f>
        <v>24</v>
      </c>
      <c r="AH213" s="41">
        <f>IF(AD213&lt;1,0,(AD213-1)*武将觉醒!H$34*J213)+武将数量星级阶位验证!Y209</f>
        <v>0</v>
      </c>
      <c r="AJ213" s="29">
        <f>MAX(W213+AE213+G213*(K213+1)+IF(武将数量星级阶位验证!L209="",0,武将数量星级阶位验证!L209)*武将升星!P206,O213)</f>
        <v>24</v>
      </c>
      <c r="AK213" s="29">
        <f>MAX(X213+AF213+H213*(L213+1)+IF(武将数量星级阶位验证!M209="",0,武将数量星级阶位验证!M209)*武将升星!Q206,P213)</f>
        <v>984</v>
      </c>
      <c r="AL213" s="64">
        <f>MAX(Y213+AG213+I213*(M213+1)+IF(武将数量星级阶位验证!N209="",0,武将数量星级阶位验证!N209)*武将升星!R206,Q213)</f>
        <v>704</v>
      </c>
      <c r="AM213" s="41">
        <f t="shared" si="222"/>
        <v>108</v>
      </c>
      <c r="AO213" s="17">
        <f>武将数量星级阶位验证!BJ209</f>
        <v>22185.350810564254</v>
      </c>
      <c r="AP213" s="17">
        <f>武将数量星级阶位验证!BK209</f>
        <v>10642.513147584363</v>
      </c>
      <c r="AQ213" s="63">
        <f>武将数量星级阶位验证!BL209</f>
        <v>1678.3136513113591</v>
      </c>
      <c r="AR213" s="17">
        <f>武将数量星级阶位验证!BM209</f>
        <v>563.15973551851118</v>
      </c>
      <c r="AT213" s="17">
        <f t="shared" si="223"/>
        <v>374.00000000000006</v>
      </c>
      <c r="AU213" s="17">
        <f t="shared" si="224"/>
        <v>104.52148587104635</v>
      </c>
      <c r="AW213" s="17" t="s">
        <v>168</v>
      </c>
      <c r="BA213" s="17">
        <v>6</v>
      </c>
      <c r="BB213" s="62">
        <f t="shared" si="225"/>
        <v>6</v>
      </c>
      <c r="BD213" s="17">
        <v>0</v>
      </c>
      <c r="BF213" s="17">
        <v>24</v>
      </c>
      <c r="BG213" s="17">
        <v>0</v>
      </c>
      <c r="BH213" s="62">
        <f t="shared" si="226"/>
        <v>24</v>
      </c>
      <c r="BJ213" s="17">
        <f t="shared" si="227"/>
        <v>0</v>
      </c>
      <c r="BK213" s="17">
        <f t="shared" si="228"/>
        <v>0</v>
      </c>
      <c r="BL213" s="17">
        <f t="shared" si="229"/>
        <v>24</v>
      </c>
      <c r="BM213" s="17">
        <f t="shared" si="230"/>
        <v>6</v>
      </c>
      <c r="BN213" s="62">
        <f t="shared" si="231"/>
        <v>30</v>
      </c>
      <c r="BR213" s="17">
        <f>武将升星!P206*基础状态预期!G219+G213*(K213+1)+W213+AE213</f>
        <v>0</v>
      </c>
      <c r="BS213" s="17">
        <f>武将升星!Q206*基础状态预期!H219+H213*(L213+1)+X213+AF213</f>
        <v>984</v>
      </c>
      <c r="BT213" s="17">
        <f>武将升星!R206*基础状态预期!I219+I213*(M213+1)+Y213+AG213</f>
        <v>636.25783045255616</v>
      </c>
      <c r="BU213" s="17">
        <f>武将升星!S206*基础状态预期!J219+J213*(N213+1)+Z213+AH213</f>
        <v>108</v>
      </c>
    </row>
    <row r="214" spans="2:73" x14ac:dyDescent="0.15">
      <c r="B214" s="17">
        <v>27</v>
      </c>
      <c r="C214" s="17">
        <f t="shared" si="214"/>
        <v>24</v>
      </c>
      <c r="D214" s="17">
        <v>24</v>
      </c>
      <c r="E214" s="29">
        <f>基础状态预期!C220</f>
        <v>473.00000000000006</v>
      </c>
      <c r="F214" s="29">
        <f>基础状态预期!D220</f>
        <v>108.05586950728798</v>
      </c>
      <c r="G214" s="29">
        <f t="shared" si="215"/>
        <v>0</v>
      </c>
      <c r="H214" s="29">
        <f t="shared" si="216"/>
        <v>0</v>
      </c>
      <c r="I214" s="29">
        <f t="shared" si="217"/>
        <v>24</v>
      </c>
      <c r="J214" s="29">
        <f t="shared" si="218"/>
        <v>0</v>
      </c>
      <c r="K214" s="29">
        <f>武将战力价值情况!G210</f>
        <v>3</v>
      </c>
      <c r="L214" s="29">
        <f>武将战力价值情况!H210</f>
        <v>6</v>
      </c>
      <c r="M214" s="29">
        <f>武将战力价值情况!I210</f>
        <v>8</v>
      </c>
      <c r="N214" s="29">
        <f>武将战力价值情况!J210</f>
        <v>8</v>
      </c>
      <c r="O214" s="41">
        <f>MAX(同名需求(G214,求节点(武将升星!$C$104:$C$112,武将升星!E$104:E$112,K214),F$2),武将数量星级阶位验证!AA210)</f>
        <v>24</v>
      </c>
      <c r="P214" s="41">
        <f>MAX(同名需求(H214,求节点(武将升星!$C$104:$C$112,武将升星!F$104:F$112,L214),G$2),武将数量星级阶位验证!AB210)</f>
        <v>120</v>
      </c>
      <c r="Q214" s="41">
        <f>MAX(同名需求(I214,求节点(武将升星!$C$104:$C$112,武将升星!G$104:G$112,M214),H$2),武将数量星级阶位验证!AC210)</f>
        <v>704</v>
      </c>
      <c r="R214" s="41">
        <f>MAX(同名需求(J214,求节点(武将升星!$C$104:$C$112,武将升星!H$104:H$112,N214),I$2),武将数量星级阶位验证!AD210)</f>
        <v>108</v>
      </c>
      <c r="S214" s="29">
        <f>MAX(基础状态预期!P220:T220)</f>
        <v>4.3222347802915193</v>
      </c>
      <c r="T214" s="29">
        <f t="shared" si="219"/>
        <v>4.3222347802915193</v>
      </c>
      <c r="U214" s="29">
        <f t="shared" si="220"/>
        <v>4.3222347802915193</v>
      </c>
      <c r="V214" s="29">
        <f t="shared" si="221"/>
        <v>4.3222347802915193</v>
      </c>
      <c r="W214" s="41">
        <f>SUMIFS(武将进阶!F$13:F$18,武将进阶!$C$13:$C$18,"&lt;="&amp;T214)*H214+武将数量星级阶位验证!Q210</f>
        <v>0</v>
      </c>
      <c r="X214" s="41">
        <f>SUMIFS(武将进阶!G$13:G$18,武将进阶!$C$13:$C$18,"&lt;="&amp;U214)*I214+武将数量星级阶位验证!R210</f>
        <v>984</v>
      </c>
      <c r="Y214" s="41">
        <f>SUMIFS(武将进阶!H$13:H$18,武将进阶!$C$13:$C$18,"&lt;="&amp;V214)*J214+武将数量星级阶位验证!S210</f>
        <v>438.67043408745576</v>
      </c>
      <c r="Z214" s="41">
        <f>SUMIFS(武将进阶!I$13:I$18,武将进阶!$C$13:$C$18,"&lt;="&amp;W214)*K214+武将数量星级阶位验证!T210</f>
        <v>0</v>
      </c>
      <c r="AA214" s="29"/>
      <c r="AB214" s="29">
        <f>求节点(基础状态预期!$AT$17:$AT$55,基础状态预期!AW$17:AW$55,各r阵容卡情况!$F214)</f>
        <v>2</v>
      </c>
      <c r="AC214" s="29">
        <f>求节点(基础状态预期!$AT$17:$AT$55,基础状态预期!AX$17:AX$55,各r阵容卡情况!$F214)</f>
        <v>2</v>
      </c>
      <c r="AD214" s="29">
        <f>求节点(基础状态预期!$AT$17:$AT$55,基础状态预期!AY$17:AY$55,各r阵容卡情况!$F214)</f>
        <v>2</v>
      </c>
      <c r="AE214" s="41">
        <f>IF(AA214&lt;1,0,(AA214-1)*武将觉醒!E$34*G214)+武将数量星级阶位验证!V210</f>
        <v>0</v>
      </c>
      <c r="AF214" s="41">
        <f>IF(AB214&lt;1,0,(AB214-1)*武将觉醒!F$34*H214)+武将数量星级阶位验证!W210</f>
        <v>0</v>
      </c>
      <c r="AG214" s="41">
        <f>IF(AC214&lt;1,0,(AC214-1)*武将觉醒!G$34*I214)+武将数量星级阶位验证!X210</f>
        <v>24</v>
      </c>
      <c r="AH214" s="41">
        <f>IF(AD214&lt;1,0,(AD214-1)*武将觉醒!H$34*J214)+武将数量星级阶位验证!Y210</f>
        <v>0</v>
      </c>
      <c r="AJ214" s="29">
        <f>MAX(W214+AE214+G214*(K214+1)+IF(武将数量星级阶位验证!L210="",0,武将数量星级阶位验证!L210)*武将升星!P207,O214)</f>
        <v>24</v>
      </c>
      <c r="AK214" s="29">
        <f>MAX(X214+AF214+H214*(L214+1)+IF(武将数量星级阶位验证!M210="",0,武将数量星级阶位验证!M210)*武将升星!Q207,P214)</f>
        <v>984</v>
      </c>
      <c r="AL214" s="64">
        <f>MAX(Y214+AG214+I214*(M214+1)+IF(武将数量星级阶位验证!N210="",0,武将数量星级阶位验证!N210)*武将升星!R207,Q214)</f>
        <v>704</v>
      </c>
      <c r="AM214" s="41">
        <f t="shared" si="222"/>
        <v>108</v>
      </c>
      <c r="AO214" s="17">
        <f>武将数量星级阶位验证!BJ210</f>
        <v>27526.376369095644</v>
      </c>
      <c r="AP214" s="17">
        <f>武将数量星级阶位验证!BK210</f>
        <v>13233.891827871601</v>
      </c>
      <c r="AQ214" s="63">
        <f>武将数量星级阶位验证!BL210</f>
        <v>2064.5454533544448</v>
      </c>
      <c r="AR214" s="17">
        <f>武将数量星级阶位验证!BM210</f>
        <v>709.73245633574538</v>
      </c>
      <c r="AT214" s="17">
        <f t="shared" si="223"/>
        <v>473.00000000000006</v>
      </c>
      <c r="AU214" s="17">
        <f t="shared" si="224"/>
        <v>108.05586950728798</v>
      </c>
      <c r="AW214" s="17" t="s">
        <v>168</v>
      </c>
      <c r="BA214" s="17">
        <v>6</v>
      </c>
      <c r="BB214" s="62">
        <f t="shared" si="225"/>
        <v>6</v>
      </c>
      <c r="BD214" s="17">
        <v>0</v>
      </c>
      <c r="BF214" s="17">
        <v>24</v>
      </c>
      <c r="BG214" s="17">
        <v>0</v>
      </c>
      <c r="BH214" s="62">
        <f t="shared" si="226"/>
        <v>24</v>
      </c>
      <c r="BJ214" s="17">
        <f t="shared" si="227"/>
        <v>0</v>
      </c>
      <c r="BK214" s="17">
        <f t="shared" si="228"/>
        <v>0</v>
      </c>
      <c r="BL214" s="17">
        <f t="shared" si="229"/>
        <v>24</v>
      </c>
      <c r="BM214" s="17">
        <f t="shared" si="230"/>
        <v>6</v>
      </c>
      <c r="BN214" s="62">
        <f t="shared" si="231"/>
        <v>30</v>
      </c>
      <c r="BR214" s="17">
        <f>武将升星!P207*基础状态预期!G220+G214*(K214+1)+W214+AE214</f>
        <v>0</v>
      </c>
      <c r="BS214" s="17">
        <f>武将升星!Q207*基础状态预期!H220+H214*(L214+1)+X214+AF214</f>
        <v>984</v>
      </c>
      <c r="BT214" s="17">
        <f>武将升星!R207*基础状态预期!I220+I214*(M214+1)+Y214+AG214</f>
        <v>678.67043408745576</v>
      </c>
      <c r="BU214" s="17">
        <f>武将升星!S207*基础状态预期!J220+J214*(N214+1)+Z214+AH214</f>
        <v>108</v>
      </c>
    </row>
    <row r="215" spans="2:73" x14ac:dyDescent="0.15">
      <c r="B215" s="17">
        <v>28</v>
      </c>
      <c r="C215" s="17">
        <f t="shared" si="214"/>
        <v>24</v>
      </c>
      <c r="D215" s="17">
        <v>25</v>
      </c>
      <c r="E215" s="29">
        <f>基础状态预期!C221</f>
        <v>605</v>
      </c>
      <c r="F215" s="29">
        <f>基础状态预期!D221</f>
        <v>111.54601176466306</v>
      </c>
      <c r="G215" s="29">
        <f t="shared" si="215"/>
        <v>0</v>
      </c>
      <c r="H215" s="29">
        <f t="shared" si="216"/>
        <v>0</v>
      </c>
      <c r="I215" s="29">
        <f t="shared" si="217"/>
        <v>24</v>
      </c>
      <c r="J215" s="29">
        <f t="shared" si="218"/>
        <v>0</v>
      </c>
      <c r="K215" s="29">
        <f>武将战力价值情况!G211</f>
        <v>3</v>
      </c>
      <c r="L215" s="29">
        <f>武将战力价值情况!H211</f>
        <v>6</v>
      </c>
      <c r="M215" s="29">
        <f>武将战力价值情况!I211</f>
        <v>8</v>
      </c>
      <c r="N215" s="29">
        <f>武将战力价值情况!J211</f>
        <v>8</v>
      </c>
      <c r="O215" s="41">
        <f>MAX(同名需求(G215,求节点(武将升星!$C$104:$C$112,武将升星!E$104:E$112,K215),F$2),武将数量星级阶位验证!AA211)</f>
        <v>24</v>
      </c>
      <c r="P215" s="41">
        <f>MAX(同名需求(H215,求节点(武将升星!$C$104:$C$112,武将升星!F$104:F$112,L215),G$2),武将数量星级阶位验证!AB211)</f>
        <v>120</v>
      </c>
      <c r="Q215" s="41">
        <f>MAX(同名需求(I215,求节点(武将升星!$C$104:$C$112,武将升星!G$104:G$112,M215),H$2),武将数量星级阶位验证!AC211)</f>
        <v>704</v>
      </c>
      <c r="R215" s="41">
        <f>MAX(同名需求(J215,求节点(武将升星!$C$104:$C$112,武将升星!H$104:H$112,N215),I$2),武将数量星级阶位验证!AD211)</f>
        <v>108</v>
      </c>
      <c r="S215" s="29">
        <f>MAX(基础状态预期!P221:T221)</f>
        <v>4.4618404705865222</v>
      </c>
      <c r="T215" s="29">
        <f t="shared" si="219"/>
        <v>4.4618404705865222</v>
      </c>
      <c r="U215" s="29">
        <f t="shared" si="220"/>
        <v>4.4618404705865222</v>
      </c>
      <c r="V215" s="29">
        <f t="shared" si="221"/>
        <v>4.4618404705865222</v>
      </c>
      <c r="W215" s="41">
        <f>SUMIFS(武将进阶!F$13:F$18,武将进阶!$C$13:$C$18,"&lt;="&amp;T215)*H215+武将数量星级阶位验证!Q211</f>
        <v>0</v>
      </c>
      <c r="X215" s="41">
        <f>SUMIFS(武将进阶!G$13:G$18,武将进阶!$C$13:$C$18,"&lt;="&amp;U215)*I215+武将数量星级阶位验证!R211</f>
        <v>984</v>
      </c>
      <c r="Y215" s="41">
        <f>SUMIFS(武将进阶!H$13:H$18,武将进阶!$C$13:$C$18,"&lt;="&amp;V215)*J215+武将数量星级阶位验证!S211</f>
        <v>480.55214117595665</v>
      </c>
      <c r="Z215" s="41">
        <f>SUMIFS(武将进阶!I$13:I$18,武将进阶!$C$13:$C$18,"&lt;="&amp;W215)*K215+武将数量星级阶位验证!T211</f>
        <v>0</v>
      </c>
      <c r="AA215" s="29"/>
      <c r="AB215" s="29">
        <f>求节点(基础状态预期!$AT$17:$AT$55,基础状态预期!AW$17:AW$55,各r阵容卡情况!$F215)</f>
        <v>2</v>
      </c>
      <c r="AC215" s="29">
        <f>求节点(基础状态预期!$AT$17:$AT$55,基础状态预期!AX$17:AX$55,各r阵容卡情况!$F215)</f>
        <v>2</v>
      </c>
      <c r="AD215" s="29">
        <f>求节点(基础状态预期!$AT$17:$AT$55,基础状态预期!AY$17:AY$55,各r阵容卡情况!$F215)</f>
        <v>2</v>
      </c>
      <c r="AE215" s="41">
        <f>IF(AA215&lt;1,0,(AA215-1)*武将觉醒!E$34*G215)+武将数量星级阶位验证!V211</f>
        <v>0</v>
      </c>
      <c r="AF215" s="41">
        <f>IF(AB215&lt;1,0,(AB215-1)*武将觉醒!F$34*H215)+武将数量星级阶位验证!W211</f>
        <v>0</v>
      </c>
      <c r="AG215" s="41">
        <f>IF(AC215&lt;1,0,(AC215-1)*武将觉醒!G$34*I215)+武将数量星级阶位验证!X211</f>
        <v>24</v>
      </c>
      <c r="AH215" s="41">
        <f>IF(AD215&lt;1,0,(AD215-1)*武将觉醒!H$34*J215)+武将数量星级阶位验证!Y211</f>
        <v>0</v>
      </c>
      <c r="AJ215" s="29">
        <f>MAX(W215+AE215+G215*(K215+1)+IF(武将数量星级阶位验证!L211="",0,武将数量星级阶位验证!L211)*武将升星!P208,O215)</f>
        <v>24</v>
      </c>
      <c r="AK215" s="29">
        <f>MAX(X215+AF215+H215*(L215+1)+IF(武将数量星级阶位验证!M211="",0,武将数量星级阶位验证!M211)*武将升星!Q208,P215)</f>
        <v>984</v>
      </c>
      <c r="AL215" s="64">
        <f>MAX(Y215+AG215+I215*(M215+1)+IF(武将数量星级阶位验证!N211="",0,武将数量星级阶位验证!N211)*武将升星!R208,Q215)</f>
        <v>720.55214117595665</v>
      </c>
      <c r="AM215" s="41">
        <f t="shared" si="222"/>
        <v>108</v>
      </c>
      <c r="AO215" s="17">
        <f>武将数量星级阶位验证!BJ211</f>
        <v>34546.680303174828</v>
      </c>
      <c r="AP215" s="17">
        <f>武将数量星级阶位验证!BK211</f>
        <v>16634.43449494143</v>
      </c>
      <c r="AQ215" s="63">
        <f>武将数量星级阶位验证!BL211</f>
        <v>2571.3268534149188</v>
      </c>
      <c r="AR215" s="17">
        <f>武将数量星级阶位验证!BM211</f>
        <v>901.88501635993509</v>
      </c>
      <c r="AT215" s="17">
        <f t="shared" si="223"/>
        <v>605</v>
      </c>
      <c r="AU215" s="17">
        <f t="shared" si="224"/>
        <v>111.54601176466306</v>
      </c>
      <c r="AW215" s="17" t="s">
        <v>168</v>
      </c>
      <c r="BA215" s="17">
        <v>6</v>
      </c>
      <c r="BB215" s="62">
        <f t="shared" si="225"/>
        <v>6</v>
      </c>
      <c r="BD215" s="17">
        <v>0</v>
      </c>
      <c r="BF215" s="17">
        <v>24</v>
      </c>
      <c r="BG215" s="17">
        <v>0</v>
      </c>
      <c r="BH215" s="62">
        <f t="shared" si="226"/>
        <v>24</v>
      </c>
      <c r="BJ215" s="17">
        <f t="shared" si="227"/>
        <v>0</v>
      </c>
      <c r="BK215" s="17">
        <f t="shared" si="228"/>
        <v>0</v>
      </c>
      <c r="BL215" s="17">
        <f t="shared" si="229"/>
        <v>24</v>
      </c>
      <c r="BM215" s="17">
        <f t="shared" si="230"/>
        <v>6</v>
      </c>
      <c r="BN215" s="62">
        <f t="shared" si="231"/>
        <v>30</v>
      </c>
      <c r="BR215" s="17">
        <f>武将升星!P208*基础状态预期!G221+G215*(K215+1)+W215+AE215</f>
        <v>0</v>
      </c>
      <c r="BS215" s="17">
        <f>武将升星!Q208*基础状态预期!H221+H215*(L215+1)+X215+AF215</f>
        <v>984</v>
      </c>
      <c r="BT215" s="17">
        <f>武将升星!R208*基础状态预期!I221+I215*(M215+1)+Y215+AG215</f>
        <v>720.55214117595665</v>
      </c>
      <c r="BU215" s="17">
        <f>武将升星!S208*基础状态预期!J221+J215*(N215+1)+Z215+AH215</f>
        <v>108</v>
      </c>
    </row>
    <row r="216" spans="2:73" x14ac:dyDescent="0.15">
      <c r="B216" s="17">
        <v>29</v>
      </c>
      <c r="C216" s="17">
        <f t="shared" si="214"/>
        <v>24</v>
      </c>
      <c r="D216" s="17">
        <v>26</v>
      </c>
      <c r="E216" s="29">
        <f>基础状态预期!C222</f>
        <v>770.00000000000011</v>
      </c>
      <c r="F216" s="29">
        <f>基础状态预期!D222</f>
        <v>115.20444967370992</v>
      </c>
      <c r="G216" s="29">
        <f t="shared" si="215"/>
        <v>0</v>
      </c>
      <c r="H216" s="29">
        <f t="shared" si="216"/>
        <v>0</v>
      </c>
      <c r="I216" s="29">
        <f t="shared" si="217"/>
        <v>24</v>
      </c>
      <c r="J216" s="29">
        <f t="shared" si="218"/>
        <v>0</v>
      </c>
      <c r="K216" s="29">
        <f>武将战力价值情况!G212</f>
        <v>3</v>
      </c>
      <c r="L216" s="29">
        <f>武将战力价值情况!H212</f>
        <v>6</v>
      </c>
      <c r="M216" s="29">
        <f>武将战力价值情况!I212</f>
        <v>8</v>
      </c>
      <c r="N216" s="29">
        <f>武将战力价值情况!J212</f>
        <v>8</v>
      </c>
      <c r="O216" s="41">
        <f>MAX(同名需求(G216,求节点(武将升星!$C$104:$C$112,武将升星!E$104:E$112,K216),F$2),武将数量星级阶位验证!AA212)</f>
        <v>24</v>
      </c>
      <c r="P216" s="41">
        <f>MAX(同名需求(H216,求节点(武将升星!$C$104:$C$112,武将升星!F$104:F$112,L216),G$2),武将数量星级阶位验证!AB212)</f>
        <v>120</v>
      </c>
      <c r="Q216" s="41">
        <f>MAX(同名需求(I216,求节点(武将升星!$C$104:$C$112,武将升星!G$104:G$112,M216),H$2),武将数量星级阶位验证!AC212)</f>
        <v>704</v>
      </c>
      <c r="R216" s="41">
        <f>MAX(同名需求(J216,求节点(武将升星!$C$104:$C$112,武将升星!H$104:H$112,N216),I$2),武将数量星级阶位验证!AD212)</f>
        <v>108</v>
      </c>
      <c r="S216" s="29">
        <f>MAX(基础状态预期!P222:T222)</f>
        <v>4.6081779869483963</v>
      </c>
      <c r="T216" s="29">
        <f t="shared" si="219"/>
        <v>4.6081779869483963</v>
      </c>
      <c r="U216" s="29">
        <f t="shared" si="220"/>
        <v>4.6081779869483963</v>
      </c>
      <c r="V216" s="29">
        <f t="shared" si="221"/>
        <v>4.6081779869483963</v>
      </c>
      <c r="W216" s="41">
        <f>SUMIFS(武将进阶!F$13:F$18,武将进阶!$C$13:$C$18,"&lt;="&amp;T216)*H216+武将数量星级阶位验证!Q212</f>
        <v>0</v>
      </c>
      <c r="X216" s="41">
        <f>SUMIFS(武将进阶!G$13:G$18,武将进阶!$C$13:$C$18,"&lt;="&amp;U216)*I216+武将数量星级阶位验证!R212</f>
        <v>984</v>
      </c>
      <c r="Y216" s="41">
        <f>SUMIFS(武将进阶!H$13:H$18,武将进阶!$C$13:$C$18,"&lt;="&amp;V216)*J216+武将数量星级阶位验证!S212</f>
        <v>524.45339608451889</v>
      </c>
      <c r="Z216" s="41">
        <f>SUMIFS(武将进阶!I$13:I$18,武将进阶!$C$13:$C$18,"&lt;="&amp;W216)*K216+武将数量星级阶位验证!T212</f>
        <v>0</v>
      </c>
      <c r="AA216" s="29"/>
      <c r="AB216" s="29">
        <f>求节点(基础状态预期!$AT$17:$AT$55,基础状态预期!AW$17:AW$55,各r阵容卡情况!$F216)</f>
        <v>2</v>
      </c>
      <c r="AC216" s="29">
        <f>求节点(基础状态预期!$AT$17:$AT$55,基础状态预期!AX$17:AX$55,各r阵容卡情况!$F216)</f>
        <v>2</v>
      </c>
      <c r="AD216" s="29">
        <f>求节点(基础状态预期!$AT$17:$AT$55,基础状态预期!AY$17:AY$55,各r阵容卡情况!$F216)</f>
        <v>2</v>
      </c>
      <c r="AE216" s="41">
        <f>IF(AA216&lt;1,0,(AA216-1)*武将觉醒!E$34*G216)+武将数量星级阶位验证!V212</f>
        <v>0</v>
      </c>
      <c r="AF216" s="41">
        <f>IF(AB216&lt;1,0,(AB216-1)*武将觉醒!F$34*H216)+武将数量星级阶位验证!W212</f>
        <v>0</v>
      </c>
      <c r="AG216" s="41">
        <f>IF(AC216&lt;1,0,(AC216-1)*武将觉醒!G$34*I216)+武将数量星级阶位验证!X212</f>
        <v>24</v>
      </c>
      <c r="AH216" s="41">
        <f>IF(AD216&lt;1,0,(AD216-1)*武将觉醒!H$34*J216)+武将数量星级阶位验证!Y212</f>
        <v>0</v>
      </c>
      <c r="AJ216" s="29">
        <f>MAX(W216+AE216+G216*(K216+1)+IF(武将数量星级阶位验证!L212="",0,武将数量星级阶位验证!L212)*武将升星!P209,O216)</f>
        <v>24</v>
      </c>
      <c r="AK216" s="29">
        <f>MAX(X216+AF216+H216*(L216+1)+IF(武将数量星级阶位验证!M212="",0,武将数量星级阶位验证!M212)*武将升星!Q209,P216)</f>
        <v>984</v>
      </c>
      <c r="AL216" s="64">
        <f>MAX(Y216+AG216+I216*(M216+1)+IF(武将数量星级阶位验证!N212="",0,武将数量星级阶位验证!N212)*武将升星!R209,Q216)</f>
        <v>764.45339608451889</v>
      </c>
      <c r="AM216" s="41">
        <f t="shared" si="222"/>
        <v>108</v>
      </c>
      <c r="AO216" s="17">
        <f>武将数量星级阶位验证!BJ212</f>
        <v>43208.109954852167</v>
      </c>
      <c r="AP216" s="17">
        <f>武将数量星级阶位验证!BK212</f>
        <v>20823.518090442692</v>
      </c>
      <c r="AQ216" s="63">
        <f>武将数量星级阶位验证!BL212</f>
        <v>3195.5643927401084</v>
      </c>
      <c r="AR216" s="17">
        <f>武将数量星级阶位验证!BM212</f>
        <v>1138.3800320900109</v>
      </c>
      <c r="AT216" s="17">
        <f t="shared" si="223"/>
        <v>770.00000000000011</v>
      </c>
      <c r="AU216" s="17">
        <f t="shared" si="224"/>
        <v>115.20444967370992</v>
      </c>
      <c r="AW216" s="17" t="s">
        <v>168</v>
      </c>
      <c r="BA216" s="17">
        <v>6</v>
      </c>
      <c r="BB216" s="62">
        <f t="shared" si="225"/>
        <v>6</v>
      </c>
      <c r="BD216" s="17">
        <v>0</v>
      </c>
      <c r="BF216" s="17">
        <v>24</v>
      </c>
      <c r="BG216" s="17">
        <v>0</v>
      </c>
      <c r="BH216" s="62">
        <f t="shared" si="226"/>
        <v>24</v>
      </c>
      <c r="BJ216" s="17">
        <f t="shared" si="227"/>
        <v>0</v>
      </c>
      <c r="BK216" s="17">
        <f t="shared" si="228"/>
        <v>0</v>
      </c>
      <c r="BL216" s="17">
        <f t="shared" si="229"/>
        <v>24</v>
      </c>
      <c r="BM216" s="17">
        <f t="shared" si="230"/>
        <v>6</v>
      </c>
      <c r="BN216" s="62">
        <f t="shared" si="231"/>
        <v>30</v>
      </c>
      <c r="BR216" s="17">
        <f>武将升星!P209*基础状态预期!G222+G216*(K216+1)+W216+AE216</f>
        <v>0</v>
      </c>
      <c r="BS216" s="17">
        <f>武将升星!Q209*基础状态预期!H222+H216*(L216+1)+X216+AF216</f>
        <v>984</v>
      </c>
      <c r="BT216" s="17">
        <f>武将升星!R209*基础状态预期!I222+I216*(M216+1)+Y216+AG216</f>
        <v>764.45339608451889</v>
      </c>
      <c r="BU216" s="17">
        <f>武将升星!S209*基础状态预期!J222+J216*(N216+1)+Z216+AH216</f>
        <v>108</v>
      </c>
    </row>
    <row r="217" spans="2:73" x14ac:dyDescent="0.15">
      <c r="B217" s="17">
        <v>30</v>
      </c>
      <c r="C217" s="17">
        <f t="shared" si="214"/>
        <v>24</v>
      </c>
      <c r="D217" s="17">
        <v>27</v>
      </c>
      <c r="E217" s="29">
        <f>基础状态预期!C223</f>
        <v>984.50000000000011</v>
      </c>
      <c r="F217" s="29">
        <f>基础状态预期!D223</f>
        <v>118.75432507225094</v>
      </c>
      <c r="G217" s="29">
        <f t="shared" si="215"/>
        <v>0</v>
      </c>
      <c r="H217" s="29">
        <f t="shared" si="216"/>
        <v>0</v>
      </c>
      <c r="I217" s="29">
        <f t="shared" si="217"/>
        <v>24</v>
      </c>
      <c r="J217" s="29">
        <f t="shared" si="218"/>
        <v>0</v>
      </c>
      <c r="K217" s="29">
        <f>武将战力价值情况!G213</f>
        <v>3</v>
      </c>
      <c r="L217" s="29">
        <f>武将战力价值情况!H213</f>
        <v>6</v>
      </c>
      <c r="M217" s="29">
        <f>武将战力价值情况!I213</f>
        <v>8</v>
      </c>
      <c r="N217" s="29">
        <f>武将战力价值情况!J213</f>
        <v>8</v>
      </c>
      <c r="O217" s="41">
        <f>MAX(同名需求(G217,求节点(武将升星!$C$104:$C$112,武将升星!E$104:E$112,K217),F$2),武将数量星级阶位验证!AA213)</f>
        <v>24</v>
      </c>
      <c r="P217" s="41">
        <f>MAX(同名需求(H217,求节点(武将升星!$C$104:$C$112,武将升星!F$104:F$112,L217),G$2),武将数量星级阶位验证!AB213)</f>
        <v>120</v>
      </c>
      <c r="Q217" s="41">
        <f>MAX(同名需求(I217,求节点(武将升星!$C$104:$C$112,武将升星!G$104:G$112,M217),H$2),武将数量星级阶位验证!AC213)</f>
        <v>704</v>
      </c>
      <c r="R217" s="41">
        <f>MAX(同名需求(J217,求节点(武将升星!$C$104:$C$112,武将升星!H$104:H$112,N217),I$2),武将数量星级阶位验证!AD213)</f>
        <v>108</v>
      </c>
      <c r="S217" s="29">
        <f>MAX(基础状态预期!P223:T223)</f>
        <v>4.7501730028900377</v>
      </c>
      <c r="T217" s="29">
        <f t="shared" si="219"/>
        <v>4.7501730028900377</v>
      </c>
      <c r="U217" s="29">
        <f t="shared" si="220"/>
        <v>4.7501730028900377</v>
      </c>
      <c r="V217" s="29">
        <f t="shared" si="221"/>
        <v>4.7501730028900377</v>
      </c>
      <c r="W217" s="41">
        <f>SUMIFS(武将进阶!F$13:F$18,武将进阶!$C$13:$C$18,"&lt;="&amp;T217)*H217+武将数量星级阶位验证!Q213</f>
        <v>0</v>
      </c>
      <c r="X217" s="41">
        <f>SUMIFS(武将进阶!G$13:G$18,武将进阶!$C$13:$C$18,"&lt;="&amp;U217)*I217+武将数量星级阶位验证!R213</f>
        <v>984</v>
      </c>
      <c r="Y217" s="41">
        <f>SUMIFS(武将进阶!H$13:H$18,武将进阶!$C$13:$C$18,"&lt;="&amp;V217)*J217+武将数量星级阶位验证!S213</f>
        <v>567.05190086701134</v>
      </c>
      <c r="Z217" s="41">
        <f>SUMIFS(武将进阶!I$13:I$18,武将进阶!$C$13:$C$18,"&lt;="&amp;W217)*K217+武将数量星级阶位验证!T213</f>
        <v>0</v>
      </c>
      <c r="AA217" s="29"/>
      <c r="AB217" s="29">
        <f>求节点(基础状态预期!$AT$17:$AT$55,基础状态预期!AW$17:AW$55,各r阵容卡情况!$F217)</f>
        <v>2</v>
      </c>
      <c r="AC217" s="29">
        <f>求节点(基础状态预期!$AT$17:$AT$55,基础状态预期!AX$17:AX$55,各r阵容卡情况!$F217)</f>
        <v>2</v>
      </c>
      <c r="AD217" s="29">
        <f>求节点(基础状态预期!$AT$17:$AT$55,基础状态预期!AY$17:AY$55,各r阵容卡情况!$F217)</f>
        <v>2</v>
      </c>
      <c r="AE217" s="41">
        <f>IF(AA217&lt;1,0,(AA217-1)*武将觉醒!E$34*G217)+武将数量星级阶位验证!V213</f>
        <v>0</v>
      </c>
      <c r="AF217" s="41">
        <f>IF(AB217&lt;1,0,(AB217-1)*武将觉醒!F$34*H217)+武将数量星级阶位验证!W213</f>
        <v>0</v>
      </c>
      <c r="AG217" s="41">
        <f>IF(AC217&lt;1,0,(AC217-1)*武将觉醒!G$34*I217)+武将数量星级阶位验证!X213</f>
        <v>24</v>
      </c>
      <c r="AH217" s="41">
        <f>IF(AD217&lt;1,0,(AD217-1)*武将觉醒!H$34*J217)+武将数量星级阶位验证!Y213</f>
        <v>0</v>
      </c>
      <c r="AJ217" s="29">
        <f>MAX(W217+AE217+G217*(K217+1)+IF(武将数量星级阶位验证!L213="",0,武将数量星级阶位验证!L213)*武将升星!P210,O217)</f>
        <v>24</v>
      </c>
      <c r="AK217" s="29">
        <f>MAX(X217+AF217+H217*(L217+1)+IF(武将数量星级阶位验证!M213="",0,武将数量星级阶位验证!M213)*武将升星!Q210,P217)</f>
        <v>984</v>
      </c>
      <c r="AL217" s="64">
        <f>MAX(Y217+AG217+I217*(M217+1)+IF(武将数量星级阶位验证!N213="",0,武将数量星级阶位验证!N213)*武将升星!R210,Q217)</f>
        <v>807.05190086701134</v>
      </c>
      <c r="AM217" s="41">
        <f t="shared" si="222"/>
        <v>108</v>
      </c>
      <c r="AO217" s="17">
        <f>武将数量星级阶位验证!BJ213</f>
        <v>54335.664764590983</v>
      </c>
      <c r="AP217" s="17">
        <f>武将数量星级阶位验证!BK213</f>
        <v>26197.811230842053</v>
      </c>
      <c r="AQ217" s="63">
        <f>武将数量星级阶位验证!BL213</f>
        <v>3996.3458638000125</v>
      </c>
      <c r="AR217" s="17">
        <f>武将数量星级阶位验证!BM213</f>
        <v>1441.5326205139727</v>
      </c>
      <c r="AT217" s="17">
        <f t="shared" si="223"/>
        <v>984.50000000000011</v>
      </c>
      <c r="AU217" s="17">
        <f t="shared" si="224"/>
        <v>118.75432507225094</v>
      </c>
      <c r="AW217" s="17" t="s">
        <v>168</v>
      </c>
      <c r="BA217" s="17">
        <v>6</v>
      </c>
      <c r="BB217" s="62">
        <f t="shared" si="225"/>
        <v>6</v>
      </c>
      <c r="BD217" s="17">
        <v>0</v>
      </c>
      <c r="BF217" s="17">
        <v>24</v>
      </c>
      <c r="BG217" s="17">
        <v>0</v>
      </c>
      <c r="BH217" s="62">
        <f t="shared" si="226"/>
        <v>24</v>
      </c>
      <c r="BJ217" s="17">
        <f t="shared" si="227"/>
        <v>0</v>
      </c>
      <c r="BK217" s="17">
        <f t="shared" si="228"/>
        <v>0</v>
      </c>
      <c r="BL217" s="17">
        <f t="shared" si="229"/>
        <v>24</v>
      </c>
      <c r="BM217" s="17">
        <f t="shared" si="230"/>
        <v>6</v>
      </c>
      <c r="BN217" s="62">
        <f t="shared" si="231"/>
        <v>30</v>
      </c>
      <c r="BR217" s="17">
        <f>武将升星!P210*基础状态预期!G223+G217*(K217+1)+W217+AE217</f>
        <v>0</v>
      </c>
      <c r="BS217" s="17">
        <f>武将升星!Q210*基础状态预期!H223+H217*(L217+1)+X217+AF217</f>
        <v>984</v>
      </c>
      <c r="BT217" s="17">
        <f>武将升星!R210*基础状态预期!I223+I217*(M217+1)+Y217+AG217</f>
        <v>807.05190086701134</v>
      </c>
      <c r="BU217" s="17">
        <f>武将升星!S210*基础状态预期!J223+J217*(N217+1)+Z217+AH217</f>
        <v>108</v>
      </c>
    </row>
    <row r="218" spans="2:73" x14ac:dyDescent="0.15">
      <c r="B218" s="17">
        <v>31</v>
      </c>
      <c r="C218" s="17">
        <f t="shared" si="214"/>
        <v>24</v>
      </c>
      <c r="D218" s="17">
        <v>28</v>
      </c>
      <c r="E218" s="29">
        <f>基础状态预期!C224</f>
        <v>1248.5</v>
      </c>
      <c r="F218" s="29">
        <f>基础状态预期!D224</f>
        <v>122.26514676047371</v>
      </c>
      <c r="G218" s="29">
        <f t="shared" si="215"/>
        <v>0</v>
      </c>
      <c r="H218" s="29">
        <f t="shared" si="216"/>
        <v>0</v>
      </c>
      <c r="I218" s="29">
        <f t="shared" si="217"/>
        <v>24</v>
      </c>
      <c r="J218" s="29">
        <f t="shared" si="218"/>
        <v>0</v>
      </c>
      <c r="K218" s="29">
        <f>武将战力价值情况!G214</f>
        <v>3</v>
      </c>
      <c r="L218" s="29">
        <f>武将战力价值情况!H214</f>
        <v>6</v>
      </c>
      <c r="M218" s="29">
        <f>武将战力价值情况!I214</f>
        <v>8</v>
      </c>
      <c r="N218" s="29">
        <f>武将战力价值情况!J214</f>
        <v>8</v>
      </c>
      <c r="O218" s="41">
        <f>MAX(同名需求(G218,求节点(武将升星!$C$104:$C$112,武将升星!E$104:E$112,K218),F$2),武将数量星级阶位验证!AA214)</f>
        <v>24</v>
      </c>
      <c r="P218" s="41">
        <f>MAX(同名需求(H218,求节点(武将升星!$C$104:$C$112,武将升星!F$104:F$112,L218),G$2),武将数量星级阶位验证!AB214)</f>
        <v>120</v>
      </c>
      <c r="Q218" s="41">
        <f>MAX(同名需求(I218,求节点(武将升星!$C$104:$C$112,武将升星!G$104:G$112,M218),H$2),武将数量星级阶位验证!AC214)</f>
        <v>704</v>
      </c>
      <c r="R218" s="41">
        <f>MAX(同名需求(J218,求节点(武将升星!$C$104:$C$112,武将升星!H$104:H$112,N218),I$2),武将数量星级阶位验证!AD214)</f>
        <v>108</v>
      </c>
      <c r="S218" s="29">
        <f>MAX(基础状态预期!P224:T224)</f>
        <v>4.8906058704189483</v>
      </c>
      <c r="T218" s="29">
        <f t="shared" si="219"/>
        <v>4.8906058704189483</v>
      </c>
      <c r="U218" s="29">
        <f t="shared" si="220"/>
        <v>4.8906058704189483</v>
      </c>
      <c r="V218" s="29">
        <f t="shared" si="221"/>
        <v>4.8906058704189483</v>
      </c>
      <c r="W218" s="41">
        <f>SUMIFS(武将进阶!F$13:F$18,武将进阶!$C$13:$C$18,"&lt;="&amp;T218)*H218+武将数量星级阶位验证!Q214</f>
        <v>0</v>
      </c>
      <c r="X218" s="41">
        <f>SUMIFS(武将进阶!G$13:G$18,武将进阶!$C$13:$C$18,"&lt;="&amp;U218)*I218+武将数量星级阶位验证!R214</f>
        <v>984</v>
      </c>
      <c r="Y218" s="41">
        <f>SUMIFS(武将进阶!H$13:H$18,武将进阶!$C$13:$C$18,"&lt;="&amp;V218)*J218+武将数量星级阶位验证!S214</f>
        <v>609.18176112568449</v>
      </c>
      <c r="Z218" s="41">
        <f>SUMIFS(武将进阶!I$13:I$18,武将进阶!$C$13:$C$18,"&lt;="&amp;W218)*K218+武将数量星级阶位验证!T214</f>
        <v>0</v>
      </c>
      <c r="AA218" s="29"/>
      <c r="AB218" s="29">
        <f>求节点(基础状态预期!$AT$17:$AT$55,基础状态预期!AW$17:AW$55,各r阵容卡情况!$F218)</f>
        <v>2</v>
      </c>
      <c r="AC218" s="29">
        <f>求节点(基础状态预期!$AT$17:$AT$55,基础状态预期!AX$17:AX$55,各r阵容卡情况!$F218)</f>
        <v>2</v>
      </c>
      <c r="AD218" s="29">
        <f>求节点(基础状态预期!$AT$17:$AT$55,基础状态预期!AY$17:AY$55,各r阵容卡情况!$F218)</f>
        <v>2</v>
      </c>
      <c r="AE218" s="41">
        <f>IF(AA218&lt;1,0,(AA218-1)*武将觉醒!E$34*G218)+武将数量星级阶位验证!V214</f>
        <v>0</v>
      </c>
      <c r="AF218" s="41">
        <f>IF(AB218&lt;1,0,(AB218-1)*武将觉醒!F$34*H218)+武将数量星级阶位验证!W214</f>
        <v>0</v>
      </c>
      <c r="AG218" s="41">
        <f>IF(AC218&lt;1,0,(AC218-1)*武将觉醒!G$34*I218)+武将数量星级阶位验证!X214</f>
        <v>24</v>
      </c>
      <c r="AH218" s="41">
        <f>IF(AD218&lt;1,0,(AD218-1)*武将觉醒!H$34*J218)+武将数量星级阶位验证!Y214</f>
        <v>0</v>
      </c>
      <c r="AJ218" s="29">
        <f>MAX(W218+AE218+G218*(K218+1)+IF(武将数量星级阶位验证!L214="",0,武将数量星级阶位验证!L214)*武将升星!P211,O218)</f>
        <v>24</v>
      </c>
      <c r="AK218" s="29">
        <f>MAX(X218+AF218+H218*(L218+1)+IF(武将数量星级阶位验证!M214="",0,武将数量星级阶位验证!M214)*武将升星!Q211,P218)</f>
        <v>984</v>
      </c>
      <c r="AL218" s="64">
        <f>MAX(Y218+AG218+I218*(M218+1)+IF(武将数量星级阶位验证!N214="",0,武将数量星级阶位验证!N214)*武将升星!R211,Q218)</f>
        <v>849.18176112568449</v>
      </c>
      <c r="AM218" s="41">
        <f t="shared" si="222"/>
        <v>108</v>
      </c>
      <c r="AO218" s="17">
        <f>武将数量星级阶位验证!BJ214</f>
        <v>67840.330740915335</v>
      </c>
      <c r="AP218" s="17">
        <f>武将数量星级阶位验证!BK214</f>
        <v>32709.198245071435</v>
      </c>
      <c r="AQ218" s="63">
        <f>武将数量星级阶位验证!BL214</f>
        <v>4966.4539159344195</v>
      </c>
      <c r="AR218" s="17">
        <f>武将数量星级阶位验证!BM214</f>
        <v>1808.4558413677355</v>
      </c>
      <c r="AT218" s="17">
        <f t="shared" si="223"/>
        <v>1248.5</v>
      </c>
      <c r="AU218" s="17">
        <f t="shared" si="224"/>
        <v>122.26514676047371</v>
      </c>
      <c r="AW218" s="17" t="s">
        <v>168</v>
      </c>
      <c r="BA218" s="17">
        <v>6</v>
      </c>
      <c r="BB218" s="62">
        <f t="shared" si="225"/>
        <v>6</v>
      </c>
      <c r="BD218" s="17">
        <v>0</v>
      </c>
      <c r="BF218" s="17">
        <v>24</v>
      </c>
      <c r="BG218" s="17">
        <v>0</v>
      </c>
      <c r="BH218" s="62">
        <f t="shared" si="226"/>
        <v>24</v>
      </c>
      <c r="BJ218" s="17">
        <f t="shared" si="227"/>
        <v>0</v>
      </c>
      <c r="BK218" s="17">
        <f t="shared" si="228"/>
        <v>0</v>
      </c>
      <c r="BL218" s="17">
        <f t="shared" si="229"/>
        <v>24</v>
      </c>
      <c r="BM218" s="17">
        <f t="shared" si="230"/>
        <v>6</v>
      </c>
      <c r="BN218" s="62">
        <f t="shared" si="231"/>
        <v>30</v>
      </c>
      <c r="BR218" s="17">
        <f>武将升星!P211*基础状态预期!G224+G218*(K218+1)+W218+AE218</f>
        <v>0</v>
      </c>
      <c r="BS218" s="17">
        <f>武将升星!Q211*基础状态预期!H224+H218*(L218+1)+X218+AF218</f>
        <v>984</v>
      </c>
      <c r="BT218" s="17">
        <f>武将升星!R211*基础状态预期!I224+I218*(M218+1)+Y218+AG218</f>
        <v>849.18176112568449</v>
      </c>
      <c r="BU218" s="17">
        <f>武将升星!S211*基础状态预期!J224+J218*(N218+1)+Z218+AH218</f>
        <v>108</v>
      </c>
    </row>
    <row r="219" spans="2:73" x14ac:dyDescent="0.15">
      <c r="B219" s="17">
        <v>32</v>
      </c>
      <c r="C219" s="17">
        <f t="shared" si="214"/>
        <v>24</v>
      </c>
      <c r="D219" s="17">
        <v>29</v>
      </c>
      <c r="E219" s="29">
        <f>基础状态预期!C225</f>
        <v>1595.0000000000002</v>
      </c>
      <c r="F219" s="29">
        <f>基础状态预期!D225</f>
        <v>125.84855083483956</v>
      </c>
      <c r="G219" s="29">
        <f t="shared" si="215"/>
        <v>0</v>
      </c>
      <c r="H219" s="29">
        <f t="shared" si="216"/>
        <v>0</v>
      </c>
      <c r="I219" s="29">
        <f t="shared" si="217"/>
        <v>24</v>
      </c>
      <c r="J219" s="29">
        <f t="shared" si="218"/>
        <v>0</v>
      </c>
      <c r="K219" s="29">
        <f>武将战力价值情况!G215</f>
        <v>3</v>
      </c>
      <c r="L219" s="29">
        <f>武将战力价值情况!H215</f>
        <v>6</v>
      </c>
      <c r="M219" s="29">
        <f>武将战力价值情况!I215</f>
        <v>8</v>
      </c>
      <c r="N219" s="29">
        <f>武将战力价值情况!J215</f>
        <v>8</v>
      </c>
      <c r="O219" s="41">
        <f>MAX(同名需求(G219,求节点(武将升星!$C$104:$C$112,武将升星!E$104:E$112,K219),F$2),武将数量星级阶位验证!AA215)</f>
        <v>24</v>
      </c>
      <c r="P219" s="41">
        <f>MAX(同名需求(H219,求节点(武将升星!$C$104:$C$112,武将升星!F$104:F$112,L219),G$2),武将数量星级阶位验证!AB215)</f>
        <v>120</v>
      </c>
      <c r="Q219" s="41">
        <f>MAX(同名需求(I219,求节点(武将升星!$C$104:$C$112,武将升星!G$104:G$112,M219),H$2),武将数量星级阶位验证!AC215)</f>
        <v>704</v>
      </c>
      <c r="R219" s="41">
        <f>MAX(同名需求(J219,求节点(武将升星!$C$104:$C$112,武将升星!H$104:H$112,N219),I$2),武将数量星级阶位验证!AD215)</f>
        <v>108</v>
      </c>
      <c r="S219" s="29">
        <f>MAX(基础状态预期!P225:T225)</f>
        <v>5</v>
      </c>
      <c r="T219" s="29">
        <f t="shared" si="219"/>
        <v>5</v>
      </c>
      <c r="U219" s="29">
        <f t="shared" si="220"/>
        <v>5</v>
      </c>
      <c r="V219" s="29">
        <f t="shared" si="221"/>
        <v>5</v>
      </c>
      <c r="W219" s="41">
        <f>SUMIFS(武将进阶!F$13:F$18,武将进阶!$C$13:$C$18,"&lt;="&amp;T219)*H219+武将数量星级阶位验证!Q215</f>
        <v>0</v>
      </c>
      <c r="X219" s="41">
        <f>SUMIFS(武将进阶!G$13:G$18,武将进阶!$C$13:$C$18,"&lt;="&amp;U219)*I219+武将数量星级阶位验证!R215</f>
        <v>1824</v>
      </c>
      <c r="Y219" s="41">
        <f>SUMIFS(武将进阶!H$13:H$18,武将进阶!$C$13:$C$18,"&lt;="&amp;V219)*J219+武将数量星级阶位验证!S215</f>
        <v>642</v>
      </c>
      <c r="Z219" s="41">
        <f>SUMIFS(武将进阶!I$13:I$18,武将进阶!$C$13:$C$18,"&lt;="&amp;W219)*K219+武将数量星级阶位验证!T215</f>
        <v>0</v>
      </c>
      <c r="AA219" s="29"/>
      <c r="AB219" s="29">
        <f>求节点(基础状态预期!$AT$17:$AT$55,基础状态预期!AW$17:AW$55,各r阵容卡情况!$F219)</f>
        <v>2</v>
      </c>
      <c r="AC219" s="29">
        <f>求节点(基础状态预期!$AT$17:$AT$55,基础状态预期!AX$17:AX$55,各r阵容卡情况!$F219)</f>
        <v>2</v>
      </c>
      <c r="AD219" s="29">
        <f>求节点(基础状态预期!$AT$17:$AT$55,基础状态预期!AY$17:AY$55,各r阵容卡情况!$F219)</f>
        <v>2</v>
      </c>
      <c r="AE219" s="41">
        <f>IF(AA219&lt;1,0,(AA219-1)*武将觉醒!E$34*G219)+武将数量星级阶位验证!V215</f>
        <v>0</v>
      </c>
      <c r="AF219" s="41">
        <f>IF(AB219&lt;1,0,(AB219-1)*武将觉醒!F$34*H219)+武将数量星级阶位验证!W215</f>
        <v>0</v>
      </c>
      <c r="AG219" s="41">
        <f>IF(AC219&lt;1,0,(AC219-1)*武将觉醒!G$34*I219)+武将数量星级阶位验证!X215</f>
        <v>24</v>
      </c>
      <c r="AH219" s="41">
        <f>IF(AD219&lt;1,0,(AD219-1)*武将觉醒!H$34*J219)+武将数量星级阶位验证!Y215</f>
        <v>0</v>
      </c>
      <c r="AJ219" s="29">
        <f>MAX(W219+AE219+G219*(K219+1)+IF(武将数量星级阶位验证!L215="",0,武将数量星级阶位验证!L215)*武将升星!P212,O219)</f>
        <v>24</v>
      </c>
      <c r="AK219" s="29">
        <f>MAX(X219+AF219+H219*(L219+1)+IF(武将数量星级阶位验证!M215="",0,武将数量星级阶位验证!M215)*武将升星!Q212,P219)</f>
        <v>1824</v>
      </c>
      <c r="AL219" s="64">
        <f>MAX(Y219+AG219+I219*(M219+1)+IF(武将数量星级阶位验证!N215="",0,武将数量星级阶位验证!N215)*武将升星!R212,Q219)</f>
        <v>882</v>
      </c>
      <c r="AM219" s="41">
        <f t="shared" si="222"/>
        <v>108</v>
      </c>
      <c r="AO219" s="17">
        <f>武将数量星级阶位验证!BJ215</f>
        <v>85290.401565518187</v>
      </c>
      <c r="AP219" s="17">
        <f>武将数量星级阶位验证!BK215</f>
        <v>41106.8513935054</v>
      </c>
      <c r="AQ219" s="63">
        <f>武将数量星级阶位验证!BL215</f>
        <v>6217.4393881995147</v>
      </c>
      <c r="AR219" s="17">
        <f>武将数量星级阶位验证!BM215</f>
        <v>2281.1300302737736</v>
      </c>
      <c r="AT219" s="17">
        <f t="shared" si="223"/>
        <v>1595.0000000000002</v>
      </c>
      <c r="AU219" s="17">
        <f t="shared" si="224"/>
        <v>125.84855083483956</v>
      </c>
      <c r="AW219" s="17" t="s">
        <v>168</v>
      </c>
      <c r="BA219" s="17">
        <v>6</v>
      </c>
      <c r="BB219" s="62">
        <f t="shared" si="225"/>
        <v>6</v>
      </c>
      <c r="BD219" s="17">
        <v>0</v>
      </c>
      <c r="BF219" s="17">
        <v>24</v>
      </c>
      <c r="BG219" s="17">
        <v>0</v>
      </c>
      <c r="BH219" s="62">
        <f t="shared" si="226"/>
        <v>24</v>
      </c>
      <c r="BJ219" s="17">
        <f t="shared" si="227"/>
        <v>0</v>
      </c>
      <c r="BK219" s="17">
        <f t="shared" si="228"/>
        <v>0</v>
      </c>
      <c r="BL219" s="17">
        <f t="shared" si="229"/>
        <v>24</v>
      </c>
      <c r="BM219" s="17">
        <f t="shared" si="230"/>
        <v>6</v>
      </c>
      <c r="BN219" s="62">
        <f t="shared" si="231"/>
        <v>30</v>
      </c>
      <c r="BR219" s="17">
        <f>武将升星!P212*基础状态预期!G225+G219*(K219+1)+W219+AE219</f>
        <v>0</v>
      </c>
      <c r="BS219" s="17">
        <f>武将升星!Q212*基础状态预期!H225+H219*(L219+1)+X219+AF219</f>
        <v>1824</v>
      </c>
      <c r="BT219" s="17">
        <f>武将升星!R212*基础状态预期!I225+I219*(M219+1)+Y219+AG219</f>
        <v>882</v>
      </c>
      <c r="BU219" s="17">
        <f>武将升星!S212*基础状态预期!J225+J219*(N219+1)+Z219+AH219</f>
        <v>108</v>
      </c>
    </row>
    <row r="220" spans="2:73" x14ac:dyDescent="0.15">
      <c r="B220" s="17">
        <v>33</v>
      </c>
      <c r="C220" s="17">
        <f t="shared" si="214"/>
        <v>24</v>
      </c>
      <c r="D220" s="17">
        <v>30</v>
      </c>
      <c r="E220" s="29">
        <f>基础状态预期!C226</f>
        <v>2040.5000000000002</v>
      </c>
      <c r="F220" s="29">
        <f>基础状态预期!D226</f>
        <v>129.43528964176323</v>
      </c>
      <c r="G220" s="29">
        <f t="shared" si="215"/>
        <v>0</v>
      </c>
      <c r="H220" s="29">
        <f t="shared" si="216"/>
        <v>0</v>
      </c>
      <c r="I220" s="29">
        <f t="shared" si="217"/>
        <v>24</v>
      </c>
      <c r="J220" s="29">
        <f t="shared" si="218"/>
        <v>0</v>
      </c>
      <c r="K220" s="29">
        <f>武将战力价值情况!G216</f>
        <v>3</v>
      </c>
      <c r="L220" s="29">
        <f>武将战力价值情况!H216</f>
        <v>6</v>
      </c>
      <c r="M220" s="29">
        <f>武将战力价值情况!I216</f>
        <v>8</v>
      </c>
      <c r="N220" s="29">
        <f>武将战力价值情况!J216</f>
        <v>8</v>
      </c>
      <c r="O220" s="41">
        <f>MAX(同名需求(G220,求节点(武将升星!$C$104:$C$112,武将升星!E$104:E$112,K220),F$2),武将数量星级阶位验证!AA216)</f>
        <v>24</v>
      </c>
      <c r="P220" s="41">
        <f>MAX(同名需求(H220,求节点(武将升星!$C$104:$C$112,武将升星!F$104:F$112,L220),G$2),武将数量星级阶位验证!AB216)</f>
        <v>120</v>
      </c>
      <c r="Q220" s="41">
        <f>MAX(同名需求(I220,求节点(武将升星!$C$104:$C$112,武将升星!G$104:G$112,M220),H$2),武将数量星级阶位验证!AC216)</f>
        <v>704</v>
      </c>
      <c r="R220" s="41">
        <f>MAX(同名需求(J220,求节点(武将升星!$C$104:$C$112,武将升星!H$104:H$112,N220),I$2),武将数量星级阶位验证!AD216)</f>
        <v>108</v>
      </c>
      <c r="S220" s="29">
        <f>MAX(基础状态预期!P226:T226)</f>
        <v>5</v>
      </c>
      <c r="T220" s="29">
        <f t="shared" si="219"/>
        <v>5</v>
      </c>
      <c r="U220" s="29">
        <f t="shared" si="220"/>
        <v>5</v>
      </c>
      <c r="V220" s="29">
        <f t="shared" si="221"/>
        <v>5</v>
      </c>
      <c r="W220" s="41">
        <f>SUMIFS(武将进阶!F$13:F$18,武将进阶!$C$13:$C$18,"&lt;="&amp;T220)*H220+武将数量星级阶位验证!Q216</f>
        <v>0</v>
      </c>
      <c r="X220" s="41">
        <f>SUMIFS(武将进阶!G$13:G$18,武将进阶!$C$13:$C$18,"&lt;="&amp;U220)*I220+武将数量星级阶位验证!R216</f>
        <v>1824</v>
      </c>
      <c r="Y220" s="41">
        <f>SUMIFS(武将进阶!H$13:H$18,武将进阶!$C$13:$C$18,"&lt;="&amp;V220)*J220+武将数量星级阶位验证!S216</f>
        <v>642</v>
      </c>
      <c r="Z220" s="41">
        <f>SUMIFS(武将进阶!I$13:I$18,武将进阶!$C$13:$C$18,"&lt;="&amp;W220)*K220+武将数量星级阶位验证!T216</f>
        <v>0</v>
      </c>
      <c r="AA220" s="29"/>
      <c r="AB220" s="29">
        <f>求节点(基础状态预期!$AT$17:$AT$55,基础状态预期!AW$17:AW$55,各r阵容卡情况!$F220)</f>
        <v>2</v>
      </c>
      <c r="AC220" s="29">
        <f>求节点(基础状态预期!$AT$17:$AT$55,基础状态预期!AX$17:AX$55,各r阵容卡情况!$F220)</f>
        <v>2</v>
      </c>
      <c r="AD220" s="29">
        <f>求节点(基础状态预期!$AT$17:$AT$55,基础状态预期!AY$17:AY$55,各r阵容卡情况!$F220)</f>
        <v>2</v>
      </c>
      <c r="AE220" s="41">
        <f>IF(AA220&lt;1,0,(AA220-1)*武将觉醒!E$34*G220)+武将数量星级阶位验证!V216</f>
        <v>0</v>
      </c>
      <c r="AF220" s="41">
        <f>IF(AB220&lt;1,0,(AB220-1)*武将觉醒!F$34*H220)+武将数量星级阶位验证!W216</f>
        <v>0</v>
      </c>
      <c r="AG220" s="41">
        <f>IF(AC220&lt;1,0,(AC220-1)*武将觉醒!G$34*I220)+武将数量星级阶位验证!X216</f>
        <v>24</v>
      </c>
      <c r="AH220" s="41">
        <f>IF(AD220&lt;1,0,(AD220-1)*武将觉醒!H$34*J220)+武将数量星级阶位验证!Y216</f>
        <v>0</v>
      </c>
      <c r="AJ220" s="29">
        <f>MAX(W220+AE220+G220*(K220+1)+IF(武将数量星级阶位验证!L216="",0,武将数量星级阶位验证!L216)*武将升星!P213,O220)</f>
        <v>24</v>
      </c>
      <c r="AK220" s="29">
        <f>MAX(X220+AF220+H220*(L220+1)+IF(武将数量星级阶位验证!M216="",0,武将数量星级阶位验证!M216)*武将升星!Q213,P220)</f>
        <v>1824</v>
      </c>
      <c r="AL220" s="64">
        <f>MAX(Y220+AG220+I220*(M220+1)+IF(武将数量星级阶位验证!N216="",0,武将数量星级阶位验证!N216)*武将升星!R213,Q220)</f>
        <v>882</v>
      </c>
      <c r="AM220" s="41">
        <f t="shared" si="222"/>
        <v>108</v>
      </c>
      <c r="AO220" s="17">
        <f>武将数量星级阶位验证!BJ216</f>
        <v>107545.71104352633</v>
      </c>
      <c r="AP220" s="17">
        <f>武将数量星级阶位验证!BK216</f>
        <v>51806.268678915199</v>
      </c>
      <c r="AQ220" s="63">
        <f>武将数量星级阶位验证!BL216</f>
        <v>7811.2144810109858</v>
      </c>
      <c r="AR220" s="17">
        <f>武将数量星级阶位验证!BM216</f>
        <v>2883.0000673983618</v>
      </c>
      <c r="AT220" s="17">
        <f t="shared" si="223"/>
        <v>2040.5000000000002</v>
      </c>
      <c r="AU220" s="17">
        <f t="shared" si="224"/>
        <v>129.43528964176323</v>
      </c>
      <c r="AW220" s="17" t="s">
        <v>168</v>
      </c>
      <c r="BA220" s="17">
        <v>6</v>
      </c>
      <c r="BB220" s="62">
        <f t="shared" si="225"/>
        <v>6</v>
      </c>
      <c r="BD220" s="17">
        <v>0</v>
      </c>
      <c r="BF220" s="17">
        <v>24</v>
      </c>
      <c r="BG220" s="17">
        <v>0</v>
      </c>
      <c r="BH220" s="62">
        <f t="shared" si="226"/>
        <v>24</v>
      </c>
      <c r="BJ220" s="17">
        <f t="shared" si="227"/>
        <v>0</v>
      </c>
      <c r="BK220" s="17">
        <f t="shared" si="228"/>
        <v>0</v>
      </c>
      <c r="BL220" s="17">
        <f t="shared" si="229"/>
        <v>24</v>
      </c>
      <c r="BM220" s="17">
        <f t="shared" si="230"/>
        <v>6</v>
      </c>
      <c r="BN220" s="62">
        <f t="shared" si="231"/>
        <v>30</v>
      </c>
      <c r="BR220" s="17">
        <f>武将升星!P213*基础状态预期!G226+G220*(K220+1)+W220+AE220</f>
        <v>0</v>
      </c>
      <c r="BS220" s="17">
        <f>武将升星!Q213*基础状态预期!H226+H220*(L220+1)+X220+AF220</f>
        <v>1824</v>
      </c>
      <c r="BT220" s="17">
        <f>武将升星!R213*基础状态预期!I226+I220*(M220+1)+Y220+AG220</f>
        <v>882</v>
      </c>
      <c r="BU220" s="17">
        <f>武将升星!S213*基础状态预期!J226+J220*(N220+1)+Z220+AH220</f>
        <v>108</v>
      </c>
    </row>
    <row r="221" spans="2:73" x14ac:dyDescent="0.15">
      <c r="B221" s="17">
        <v>34</v>
      </c>
      <c r="C221" s="17">
        <f t="shared" si="214"/>
        <v>24</v>
      </c>
      <c r="D221" s="17">
        <v>31</v>
      </c>
      <c r="E221" s="29">
        <f>基础状态预期!C227</f>
        <v>2601.5</v>
      </c>
      <c r="F221" s="29">
        <f>基础状态预期!D227</f>
        <v>133.03192104200832</v>
      </c>
      <c r="G221" s="29">
        <f t="shared" si="215"/>
        <v>0</v>
      </c>
      <c r="H221" s="29">
        <f t="shared" si="216"/>
        <v>0</v>
      </c>
      <c r="I221" s="29">
        <f t="shared" si="217"/>
        <v>24</v>
      </c>
      <c r="J221" s="29">
        <f t="shared" si="218"/>
        <v>0</v>
      </c>
      <c r="K221" s="29">
        <f>武将战力价值情况!G217</f>
        <v>3</v>
      </c>
      <c r="L221" s="29">
        <f>武将战力价值情况!H217</f>
        <v>6</v>
      </c>
      <c r="M221" s="29">
        <f>武将战力价值情况!I217</f>
        <v>8</v>
      </c>
      <c r="N221" s="29">
        <f>武将战力价值情况!J217</f>
        <v>8</v>
      </c>
      <c r="O221" s="41">
        <f>MAX(同名需求(G221,求节点(武将升星!$C$104:$C$112,武将升星!E$104:E$112,K221),F$2),武将数量星级阶位验证!AA217)</f>
        <v>24</v>
      </c>
      <c r="P221" s="41">
        <f>MAX(同名需求(H221,求节点(武将升星!$C$104:$C$112,武将升星!F$104:F$112,L221),G$2),武将数量星级阶位验证!AB217)</f>
        <v>120</v>
      </c>
      <c r="Q221" s="41">
        <f>MAX(同名需求(I221,求节点(武将升星!$C$104:$C$112,武将升星!G$104:G$112,M221),H$2),武将数量星级阶位验证!AC217)</f>
        <v>704</v>
      </c>
      <c r="R221" s="41">
        <f>MAX(同名需求(J221,求节点(武将升星!$C$104:$C$112,武将升星!H$104:H$112,N221),I$2),武将数量星级阶位验证!AD217)</f>
        <v>108</v>
      </c>
      <c r="S221" s="29">
        <f>MAX(基础状态预期!P227:T227)</f>
        <v>5</v>
      </c>
      <c r="T221" s="29">
        <f t="shared" si="219"/>
        <v>5</v>
      </c>
      <c r="U221" s="29">
        <f t="shared" si="220"/>
        <v>5</v>
      </c>
      <c r="V221" s="29">
        <f t="shared" si="221"/>
        <v>5</v>
      </c>
      <c r="W221" s="41">
        <f>SUMIFS(武将进阶!F$13:F$18,武将进阶!$C$13:$C$18,"&lt;="&amp;T221)*H221+武将数量星级阶位验证!Q217</f>
        <v>0</v>
      </c>
      <c r="X221" s="41">
        <f>SUMIFS(武将进阶!G$13:G$18,武将进阶!$C$13:$C$18,"&lt;="&amp;U221)*I221+武将数量星级阶位验证!R217</f>
        <v>1824</v>
      </c>
      <c r="Y221" s="41">
        <f>SUMIFS(武将进阶!H$13:H$18,武将进阶!$C$13:$C$18,"&lt;="&amp;V221)*J221+武将数量星级阶位验证!S217</f>
        <v>642</v>
      </c>
      <c r="Z221" s="41">
        <f>SUMIFS(武将进阶!I$13:I$18,武将进阶!$C$13:$C$18,"&lt;="&amp;W221)*K221+武将数量星级阶位验证!T217</f>
        <v>0</v>
      </c>
      <c r="AA221" s="29"/>
      <c r="AB221" s="29">
        <f>求节点(基础状态预期!$AT$17:$AT$55,基础状态预期!AW$17:AW$55,各r阵容卡情况!$F221)</f>
        <v>2</v>
      </c>
      <c r="AC221" s="29">
        <f>求节点(基础状态预期!$AT$17:$AT$55,基础状态预期!AX$17:AX$55,各r阵容卡情况!$F221)</f>
        <v>2</v>
      </c>
      <c r="AD221" s="29">
        <f>求节点(基础状态预期!$AT$17:$AT$55,基础状态预期!AY$17:AY$55,各r阵容卡情况!$F221)</f>
        <v>2</v>
      </c>
      <c r="AE221" s="41">
        <f>IF(AA221&lt;1,0,(AA221-1)*武将觉醒!E$34*G221)+武将数量星级阶位验证!V217</f>
        <v>0</v>
      </c>
      <c r="AF221" s="41">
        <f>IF(AB221&lt;1,0,(AB221-1)*武将觉醒!F$34*H221)+武将数量星级阶位验证!W217</f>
        <v>0</v>
      </c>
      <c r="AG221" s="41">
        <f>IF(AC221&lt;1,0,(AC221-1)*武将觉醒!G$34*I221)+武将数量星级阶位验证!X217</f>
        <v>24</v>
      </c>
      <c r="AH221" s="41">
        <f>IF(AD221&lt;1,0,(AD221-1)*武将觉醒!H$34*J221)+武将数量星级阶位验证!Y217</f>
        <v>0</v>
      </c>
      <c r="AJ221" s="29">
        <f>MAX(W221+AE221+G221*(K221+1)+IF(武将数量星级阶位验证!L217="",0,武将数量星级阶位验证!L217)*武将升星!P214,O221)</f>
        <v>24</v>
      </c>
      <c r="AK221" s="29">
        <f>MAX(X221+AF221+H221*(L221+1)+IF(武将数量星级阶位验证!M217="",0,武将数量星级阶位验证!M217)*武将升星!Q214,P221)</f>
        <v>1824</v>
      </c>
      <c r="AL221" s="64">
        <f>MAX(Y221+AG221+I221*(M221+1)+IF(武将数量星级阶位验证!N217="",0,武将数量星级阶位验证!N217)*武将升星!R214,Q221)</f>
        <v>882</v>
      </c>
      <c r="AM221" s="41">
        <f t="shared" si="222"/>
        <v>108</v>
      </c>
      <c r="AO221" s="17">
        <f>武将数量星级阶位验证!BJ217</f>
        <v>135188.36004549361</v>
      </c>
      <c r="AP221" s="17">
        <f>武将数量星级阶位验证!BK217</f>
        <v>65072.822193492109</v>
      </c>
      <c r="AQ221" s="63">
        <f>武将数量星级阶位验证!BL217</f>
        <v>9787.1725081975219</v>
      </c>
      <c r="AR221" s="17">
        <f>武将数量星级阶位验证!BM217</f>
        <v>3628.5032782729763</v>
      </c>
      <c r="AT221" s="17">
        <f t="shared" si="223"/>
        <v>2601.5</v>
      </c>
      <c r="AU221" s="17">
        <f t="shared" si="224"/>
        <v>133.03192104200832</v>
      </c>
      <c r="AW221" s="17" t="s">
        <v>168</v>
      </c>
      <c r="BA221" s="17">
        <v>6</v>
      </c>
      <c r="BB221" s="62">
        <f t="shared" si="225"/>
        <v>6</v>
      </c>
      <c r="BD221" s="17">
        <v>0</v>
      </c>
      <c r="BF221" s="17">
        <v>24</v>
      </c>
      <c r="BG221" s="17">
        <v>0</v>
      </c>
      <c r="BH221" s="62">
        <f t="shared" si="226"/>
        <v>24</v>
      </c>
      <c r="BJ221" s="17">
        <f t="shared" si="227"/>
        <v>0</v>
      </c>
      <c r="BK221" s="17">
        <f t="shared" si="228"/>
        <v>0</v>
      </c>
      <c r="BL221" s="17">
        <f t="shared" si="229"/>
        <v>24</v>
      </c>
      <c r="BM221" s="17">
        <f t="shared" si="230"/>
        <v>6</v>
      </c>
      <c r="BN221" s="62">
        <f t="shared" si="231"/>
        <v>30</v>
      </c>
      <c r="BR221" s="17">
        <f>武将升星!P214*基础状态预期!G227+G221*(K221+1)+W221+AE221</f>
        <v>0</v>
      </c>
      <c r="BS221" s="17">
        <f>武将升星!Q214*基础状态预期!H227+H221*(L221+1)+X221+AF221</f>
        <v>1824</v>
      </c>
      <c r="BT221" s="17">
        <f>武将升星!R214*基础状态预期!I227+I221*(M221+1)+Y221+AG221</f>
        <v>882</v>
      </c>
      <c r="BU221" s="17">
        <f>武将升星!S214*基础状态预期!J227+J221*(N221+1)+Z221+AH221</f>
        <v>108</v>
      </c>
    </row>
    <row r="222" spans="2:73" x14ac:dyDescent="0.15">
      <c r="B222" s="17">
        <v>35</v>
      </c>
      <c r="C222" s="17">
        <f t="shared" si="214"/>
        <v>24</v>
      </c>
      <c r="D222" s="17">
        <v>32</v>
      </c>
      <c r="E222" s="29">
        <f>基础状态预期!C228</f>
        <v>3311.0000000000005</v>
      </c>
      <c r="F222" s="29">
        <f>基础状态预期!D228</f>
        <v>136.45508882162355</v>
      </c>
      <c r="G222" s="29">
        <f t="shared" si="215"/>
        <v>0</v>
      </c>
      <c r="H222" s="29">
        <f t="shared" si="216"/>
        <v>0</v>
      </c>
      <c r="I222" s="29">
        <f t="shared" si="217"/>
        <v>24</v>
      </c>
      <c r="J222" s="29">
        <f t="shared" si="218"/>
        <v>0</v>
      </c>
      <c r="K222" s="29">
        <f>武将战力价值情况!G218</f>
        <v>3</v>
      </c>
      <c r="L222" s="29">
        <f>武将战力价值情况!H218</f>
        <v>6</v>
      </c>
      <c r="M222" s="29">
        <f>武将战力价值情况!I218</f>
        <v>8</v>
      </c>
      <c r="N222" s="29">
        <f>武将战力价值情况!J218</f>
        <v>8</v>
      </c>
      <c r="O222" s="41">
        <f>MAX(同名需求(G222,求节点(武将升星!$C$104:$C$112,武将升星!E$104:E$112,K222),F$2),武将数量星级阶位验证!AA218)</f>
        <v>24</v>
      </c>
      <c r="P222" s="41">
        <f>MAX(同名需求(H222,求节点(武将升星!$C$104:$C$112,武将升星!F$104:F$112,L222),G$2),武将数量星级阶位验证!AB218)</f>
        <v>120</v>
      </c>
      <c r="Q222" s="41">
        <f>MAX(同名需求(I222,求节点(武将升星!$C$104:$C$112,武将升星!G$104:G$112,M222),H$2),武将数量星级阶位验证!AC218)</f>
        <v>704</v>
      </c>
      <c r="R222" s="41">
        <f>MAX(同名需求(J222,求节点(武将升星!$C$104:$C$112,武将升星!H$104:H$112,N222),I$2),武将数量星级阶位验证!AD218)</f>
        <v>108</v>
      </c>
      <c r="S222" s="29">
        <f>MAX(基础状态预期!P228:T228)</f>
        <v>5</v>
      </c>
      <c r="T222" s="29">
        <f t="shared" si="219"/>
        <v>5</v>
      </c>
      <c r="U222" s="29">
        <f t="shared" si="220"/>
        <v>5</v>
      </c>
      <c r="V222" s="29">
        <f t="shared" si="221"/>
        <v>5</v>
      </c>
      <c r="W222" s="41">
        <f>SUMIFS(武将进阶!F$13:F$18,武将进阶!$C$13:$C$18,"&lt;="&amp;T222)*H222+武将数量星级阶位验证!Q218</f>
        <v>0</v>
      </c>
      <c r="X222" s="41">
        <f>SUMIFS(武将进阶!G$13:G$18,武将进阶!$C$13:$C$18,"&lt;="&amp;U222)*I222+武将数量星级阶位验证!R218</f>
        <v>1824</v>
      </c>
      <c r="Y222" s="41">
        <f>SUMIFS(武将进阶!H$13:H$18,武将进阶!$C$13:$C$18,"&lt;="&amp;V222)*J222+武将数量星级阶位验证!S218</f>
        <v>642</v>
      </c>
      <c r="Z222" s="41">
        <f>SUMIFS(武将进阶!I$13:I$18,武将进阶!$C$13:$C$18,"&lt;="&amp;W222)*K222+武将数量星级阶位验证!T218</f>
        <v>0</v>
      </c>
      <c r="AA222" s="29"/>
      <c r="AB222" s="29">
        <f>求节点(基础状态预期!$AT$17:$AT$55,基础状态预期!AW$17:AW$55,各r阵容卡情况!$F222)</f>
        <v>2</v>
      </c>
      <c r="AC222" s="29">
        <f>求节点(基础状态预期!$AT$17:$AT$55,基础状态预期!AX$17:AX$55,各r阵容卡情况!$F222)</f>
        <v>2</v>
      </c>
      <c r="AD222" s="29">
        <f>求节点(基础状态预期!$AT$17:$AT$55,基础状态预期!AY$17:AY$55,各r阵容卡情况!$F222)</f>
        <v>2</v>
      </c>
      <c r="AE222" s="41">
        <f>IF(AA222&lt;1,0,(AA222-1)*武将觉醒!E$34*G222)+武将数量星级阶位验证!V218</f>
        <v>0</v>
      </c>
      <c r="AF222" s="41">
        <f>IF(AB222&lt;1,0,(AB222-1)*武将觉醒!F$34*H222)+武将数量星级阶位验证!W218</f>
        <v>0</v>
      </c>
      <c r="AG222" s="41">
        <f>IF(AC222&lt;1,0,(AC222-1)*武将觉醒!G$34*I222)+武将数量星级阶位验证!X218</f>
        <v>24</v>
      </c>
      <c r="AH222" s="41">
        <f>IF(AD222&lt;1,0,(AD222-1)*武将觉醒!H$34*J222)+武将数量星级阶位验证!Y218</f>
        <v>0</v>
      </c>
      <c r="AJ222" s="29">
        <f>MAX(W222+AE222+G222*(K222+1)+IF(武将数量星级阶位验证!L218="",0,武将数量星级阶位验证!L218)*武将升星!P215,O222)</f>
        <v>24</v>
      </c>
      <c r="AK222" s="29">
        <f>MAX(X222+AF222+H222*(L222+1)+IF(武将数量星级阶位验证!M218="",0,武将数量星级阶位验证!M218)*武将升星!Q215,P222)</f>
        <v>1824</v>
      </c>
      <c r="AL222" s="64">
        <f>MAX(Y222+AG222+I222*(M222+1)+IF(武将数量星级阶位验证!N218="",0,武将数量星级阶位验证!N218)*武将升星!R215,Q222)</f>
        <v>882</v>
      </c>
      <c r="AM222" s="41">
        <f t="shared" si="222"/>
        <v>108</v>
      </c>
      <c r="AO222" s="17">
        <f>武将数量星级阶位验证!BJ218</f>
        <v>169606.13844499274</v>
      </c>
      <c r="AP222" s="17">
        <f>武将数量星级阶位验证!BK218</f>
        <v>81558.114571599741</v>
      </c>
      <c r="AQ222" s="63">
        <f>武将数量星级阶位验证!BL218</f>
        <v>12242.228864913668</v>
      </c>
      <c r="AR222" s="17">
        <f>武将数量星级阶位验证!BM218</f>
        <v>4553.7658209594347</v>
      </c>
      <c r="AT222" s="17">
        <f t="shared" si="223"/>
        <v>3311.0000000000005</v>
      </c>
      <c r="AU222" s="17">
        <f t="shared" si="224"/>
        <v>136.45508882162355</v>
      </c>
      <c r="AW222" s="17" t="s">
        <v>168</v>
      </c>
      <c r="BA222" s="17">
        <v>6</v>
      </c>
      <c r="BB222" s="62">
        <f t="shared" si="225"/>
        <v>6</v>
      </c>
      <c r="BD222" s="17">
        <v>0</v>
      </c>
      <c r="BF222" s="17">
        <v>24</v>
      </c>
      <c r="BG222" s="17">
        <v>0</v>
      </c>
      <c r="BH222" s="62">
        <f t="shared" si="226"/>
        <v>24</v>
      </c>
      <c r="BJ222" s="17">
        <f t="shared" si="227"/>
        <v>0</v>
      </c>
      <c r="BK222" s="17">
        <f t="shared" si="228"/>
        <v>0</v>
      </c>
      <c r="BL222" s="17">
        <f t="shared" si="229"/>
        <v>24</v>
      </c>
      <c r="BM222" s="17">
        <f t="shared" si="230"/>
        <v>6</v>
      </c>
      <c r="BN222" s="62">
        <f t="shared" si="231"/>
        <v>30</v>
      </c>
      <c r="BR222" s="17">
        <f>武将升星!P215*基础状态预期!G228+G222*(K222+1)+W222+AE222</f>
        <v>0</v>
      </c>
      <c r="BS222" s="17">
        <f>武将升星!Q215*基础状态预期!H228+H222*(L222+1)+X222+AF222</f>
        <v>1824</v>
      </c>
      <c r="BT222" s="17">
        <f>武将升星!R215*基础状态预期!I228+I222*(M222+1)+Y222+AG222</f>
        <v>882</v>
      </c>
      <c r="BU222" s="17">
        <f>武将升星!S215*基础状态预期!J228+J222*(N222+1)+Z222+AH222</f>
        <v>108</v>
      </c>
    </row>
    <row r="223" spans="2:73" x14ac:dyDescent="0.15">
      <c r="B223" s="17">
        <v>36</v>
      </c>
      <c r="C223" s="17">
        <f t="shared" si="214"/>
        <v>24</v>
      </c>
      <c r="D223" s="17">
        <v>33</v>
      </c>
      <c r="E223" s="29">
        <f>基础状态预期!C229</f>
        <v>4218.5</v>
      </c>
      <c r="F223" s="29">
        <f>基础状态预期!D229</f>
        <v>140.08772492574531</v>
      </c>
      <c r="G223" s="29">
        <f t="shared" si="215"/>
        <v>0</v>
      </c>
      <c r="H223" s="29">
        <f t="shared" si="216"/>
        <v>0</v>
      </c>
      <c r="I223" s="29">
        <f t="shared" si="217"/>
        <v>24</v>
      </c>
      <c r="J223" s="29">
        <f t="shared" si="218"/>
        <v>0</v>
      </c>
      <c r="K223" s="29">
        <f>武将战力价值情况!G219</f>
        <v>3</v>
      </c>
      <c r="L223" s="29">
        <f>武将战力价值情况!H219</f>
        <v>6</v>
      </c>
      <c r="M223" s="29">
        <f>武将战力价值情况!I219</f>
        <v>8</v>
      </c>
      <c r="N223" s="29">
        <f>武将战力价值情况!J219</f>
        <v>8</v>
      </c>
      <c r="O223" s="41">
        <f>MAX(同名需求(G223,求节点(武将升星!$C$104:$C$112,武将升星!E$104:E$112,K223),F$2),武将数量星级阶位验证!AA219)</f>
        <v>24</v>
      </c>
      <c r="P223" s="41">
        <f>MAX(同名需求(H223,求节点(武将升星!$C$104:$C$112,武将升星!F$104:F$112,L223),G$2),武将数量星级阶位验证!AB219)</f>
        <v>120</v>
      </c>
      <c r="Q223" s="41">
        <f>MAX(同名需求(I223,求节点(武将升星!$C$104:$C$112,武将升星!G$104:G$112,M223),H$2),武将数量星级阶位验证!AC219)</f>
        <v>704</v>
      </c>
      <c r="R223" s="41">
        <f>MAX(同名需求(J223,求节点(武将升星!$C$104:$C$112,武将升星!H$104:H$112,N223),I$2),武将数量星级阶位验证!AD219)</f>
        <v>108</v>
      </c>
      <c r="S223" s="29">
        <f>MAX(基础状态预期!P229:T229)</f>
        <v>5</v>
      </c>
      <c r="T223" s="29">
        <f t="shared" si="219"/>
        <v>5</v>
      </c>
      <c r="U223" s="29">
        <f t="shared" si="220"/>
        <v>5</v>
      </c>
      <c r="V223" s="29">
        <f t="shared" si="221"/>
        <v>5</v>
      </c>
      <c r="W223" s="41">
        <f>SUMIFS(武将进阶!F$13:F$18,武将进阶!$C$13:$C$18,"&lt;="&amp;T223)*H223+武将数量星级阶位验证!Q219</f>
        <v>0</v>
      </c>
      <c r="X223" s="41">
        <f>SUMIFS(武将进阶!G$13:G$18,武将进阶!$C$13:$C$18,"&lt;="&amp;U223)*I223+武将数量星级阶位验证!R219</f>
        <v>1824</v>
      </c>
      <c r="Y223" s="41">
        <f>SUMIFS(武将进阶!H$13:H$18,武将进阶!$C$13:$C$18,"&lt;="&amp;V223)*J223+武将数量星级阶位验证!S219</f>
        <v>642</v>
      </c>
      <c r="Z223" s="41">
        <f>SUMIFS(武将进阶!I$13:I$18,武将进阶!$C$13:$C$18,"&lt;="&amp;W223)*K223+武将数量星级阶位验证!T219</f>
        <v>0</v>
      </c>
      <c r="AA223" s="29"/>
      <c r="AB223" s="29">
        <f>求节点(基础状态预期!$AT$17:$AT$55,基础状态预期!AW$17:AW$55,各r阵容卡情况!$F223)</f>
        <v>2</v>
      </c>
      <c r="AC223" s="29">
        <f>求节点(基础状态预期!$AT$17:$AT$55,基础状态预期!AX$17:AX$55,各r阵容卡情况!$F223)</f>
        <v>2</v>
      </c>
      <c r="AD223" s="29">
        <f>求节点(基础状态预期!$AT$17:$AT$55,基础状态预期!AY$17:AY$55,各r阵容卡情况!$F223)</f>
        <v>2</v>
      </c>
      <c r="AE223" s="41">
        <f>IF(AA223&lt;1,0,(AA223-1)*武将觉醒!E$34*G223)+武将数量星级阶位验证!V219</f>
        <v>0</v>
      </c>
      <c r="AF223" s="41">
        <f>IF(AB223&lt;1,0,(AB223-1)*武将觉醒!F$34*H223)+武将数量星级阶位验证!W219</f>
        <v>0</v>
      </c>
      <c r="AG223" s="41">
        <f>IF(AC223&lt;1,0,(AC223-1)*武将觉醒!G$34*I223)+武将数量星级阶位验证!X219</f>
        <v>24</v>
      </c>
      <c r="AH223" s="41">
        <f>IF(AD223&lt;1,0,(AD223-1)*武将觉醒!H$34*J223)+武将数量星级阶位验证!Y219</f>
        <v>0</v>
      </c>
      <c r="AJ223" s="29">
        <f>MAX(W223+AE223+G223*(K223+1)+IF(武将数量星级阶位验证!L219="",0,武将数量星级阶位验证!L219)*武将升星!P216,O223)</f>
        <v>24</v>
      </c>
      <c r="AK223" s="29">
        <f>MAX(X223+AF223+H223*(L223+1)+IF(武将数量星级阶位验证!M219="",0,武将数量星级阶位验证!M219)*武将升星!Q216,P223)</f>
        <v>1824</v>
      </c>
      <c r="AL223" s="64">
        <f>MAX(Y223+AG223+I223*(M223+1)+IF(武将数量星级阶位验证!N219="",0,武将数量星级阶位验证!N219)*武将升星!R216,Q223)</f>
        <v>882</v>
      </c>
      <c r="AM223" s="41">
        <f t="shared" si="222"/>
        <v>108</v>
      </c>
      <c r="AO223" s="17">
        <f>武将数量星级阶位验证!BJ219</f>
        <v>213202.54364548053</v>
      </c>
      <c r="AP223" s="17">
        <f>武将数量星级阶位验证!BK219</f>
        <v>102413.50251780936</v>
      </c>
      <c r="AQ223" s="63">
        <f>武将数量星级阶位验证!BL219</f>
        <v>15347.849556845113</v>
      </c>
      <c r="AR223" s="17">
        <f>武将数量星级阶位验证!BM219</f>
        <v>5723.4140977320121</v>
      </c>
      <c r="AT223" s="17">
        <f t="shared" si="223"/>
        <v>4218.5</v>
      </c>
      <c r="AU223" s="17">
        <f t="shared" si="224"/>
        <v>140.08772492574531</v>
      </c>
      <c r="AW223" s="17" t="s">
        <v>168</v>
      </c>
      <c r="BA223" s="17">
        <v>6</v>
      </c>
      <c r="BB223" s="62">
        <f t="shared" si="225"/>
        <v>6</v>
      </c>
      <c r="BD223" s="17">
        <v>0</v>
      </c>
      <c r="BF223" s="17">
        <v>24</v>
      </c>
      <c r="BG223" s="17">
        <v>0</v>
      </c>
      <c r="BH223" s="62">
        <f t="shared" si="226"/>
        <v>24</v>
      </c>
      <c r="BJ223" s="17">
        <f t="shared" si="227"/>
        <v>0</v>
      </c>
      <c r="BK223" s="17">
        <f t="shared" si="228"/>
        <v>0</v>
      </c>
      <c r="BL223" s="17">
        <f t="shared" si="229"/>
        <v>24</v>
      </c>
      <c r="BM223" s="17">
        <f t="shared" si="230"/>
        <v>6</v>
      </c>
      <c r="BN223" s="62">
        <f t="shared" si="231"/>
        <v>30</v>
      </c>
      <c r="BR223" s="17">
        <f>武将升星!P216*基础状态预期!G229+G223*(K223+1)+W223+AE223</f>
        <v>0</v>
      </c>
      <c r="BS223" s="17">
        <f>武将升星!Q216*基础状态预期!H229+H223*(L223+1)+X223+AF223</f>
        <v>1824</v>
      </c>
      <c r="BT223" s="17">
        <f>武将升星!R216*基础状态预期!I229+I223*(M223+1)+Y223+AG223</f>
        <v>882</v>
      </c>
      <c r="BU223" s="17">
        <f>武将升星!S216*基础状态预期!J229+J223*(N223+1)+Z223+AH223</f>
        <v>108</v>
      </c>
    </row>
    <row r="224" spans="2:73" x14ac:dyDescent="0.15">
      <c r="B224" s="17">
        <v>37</v>
      </c>
      <c r="C224" s="17">
        <f t="shared" si="214"/>
        <v>24</v>
      </c>
      <c r="D224" s="17">
        <v>34</v>
      </c>
      <c r="E224" s="29">
        <f>基础状态预期!C230</f>
        <v>5373.5</v>
      </c>
      <c r="F224" s="29">
        <f>基础状态预期!D230</f>
        <v>143.51956656528549</v>
      </c>
      <c r="G224" s="29">
        <f t="shared" si="215"/>
        <v>0</v>
      </c>
      <c r="H224" s="29">
        <f t="shared" si="216"/>
        <v>0</v>
      </c>
      <c r="I224" s="29">
        <f t="shared" si="217"/>
        <v>24</v>
      </c>
      <c r="J224" s="29">
        <f t="shared" si="218"/>
        <v>0</v>
      </c>
      <c r="K224" s="29">
        <f>武将战力价值情况!G220</f>
        <v>3</v>
      </c>
      <c r="L224" s="29">
        <f>武将战力价值情况!H220</f>
        <v>6</v>
      </c>
      <c r="M224" s="29">
        <f>武将战力价值情况!I220</f>
        <v>8</v>
      </c>
      <c r="N224" s="29">
        <f>武将战力价值情况!J220</f>
        <v>8</v>
      </c>
      <c r="O224" s="41">
        <f>MAX(同名需求(G224,求节点(武将升星!$C$104:$C$112,武将升星!E$104:E$112,K224),F$2),武将数量星级阶位验证!AA220)</f>
        <v>24</v>
      </c>
      <c r="P224" s="41">
        <f>MAX(同名需求(H224,求节点(武将升星!$C$104:$C$112,武将升星!F$104:F$112,L224),G$2),武将数量星级阶位验证!AB220)</f>
        <v>120</v>
      </c>
      <c r="Q224" s="41">
        <f>MAX(同名需求(I224,求节点(武将升星!$C$104:$C$112,武将升星!G$104:G$112,M224),H$2),武将数量星级阶位验证!AC220)</f>
        <v>704</v>
      </c>
      <c r="R224" s="41">
        <f>MAX(同名需求(J224,求节点(武将升星!$C$104:$C$112,武将升星!H$104:H$112,N224),I$2),武将数量星级阶位验证!AD220)</f>
        <v>108</v>
      </c>
      <c r="S224" s="29">
        <f>MAX(基础状态预期!P230:T230)</f>
        <v>5</v>
      </c>
      <c r="T224" s="29">
        <f t="shared" si="219"/>
        <v>5</v>
      </c>
      <c r="U224" s="29">
        <f t="shared" si="220"/>
        <v>5</v>
      </c>
      <c r="V224" s="29">
        <f t="shared" si="221"/>
        <v>5</v>
      </c>
      <c r="W224" s="41">
        <f>SUMIFS(武将进阶!F$13:F$18,武将进阶!$C$13:$C$18,"&lt;="&amp;T224)*H224+武将数量星级阶位验证!Q220</f>
        <v>0</v>
      </c>
      <c r="X224" s="41">
        <f>SUMIFS(武将进阶!G$13:G$18,武将进阶!$C$13:$C$18,"&lt;="&amp;U224)*I224+武将数量星级阶位验证!R220</f>
        <v>1824</v>
      </c>
      <c r="Y224" s="41">
        <f>SUMIFS(武将进阶!H$13:H$18,武将进阶!$C$13:$C$18,"&lt;="&amp;V224)*J224+武将数量星级阶位验证!S220</f>
        <v>642</v>
      </c>
      <c r="Z224" s="41">
        <f>SUMIFS(武将进阶!I$13:I$18,武将进阶!$C$13:$C$18,"&lt;="&amp;W224)*K224+武将数量星级阶位验证!T220</f>
        <v>0</v>
      </c>
      <c r="AA224" s="29"/>
      <c r="AB224" s="29">
        <f>求节点(基础状态预期!$AT$17:$AT$55,基础状态预期!AW$17:AW$55,各r阵容卡情况!$F224)</f>
        <v>2</v>
      </c>
      <c r="AC224" s="29">
        <f>求节点(基础状态预期!$AT$17:$AT$55,基础状态预期!AX$17:AX$55,各r阵容卡情况!$F224)</f>
        <v>2</v>
      </c>
      <c r="AD224" s="29">
        <f>求节点(基础状态预期!$AT$17:$AT$55,基础状态预期!AY$17:AY$55,各r阵容卡情况!$F224)</f>
        <v>2</v>
      </c>
      <c r="AE224" s="41">
        <f>IF(AA224&lt;1,0,(AA224-1)*武将觉醒!E$34*G224)+武将数量星级阶位验证!V220</f>
        <v>0</v>
      </c>
      <c r="AF224" s="41">
        <f>IF(AB224&lt;1,0,(AB224-1)*武将觉醒!F$34*H224)+武将数量星级阶位验证!W220</f>
        <v>0</v>
      </c>
      <c r="AG224" s="41">
        <f>IF(AC224&lt;1,0,(AC224-1)*武将觉醒!G$34*I224)+武将数量星级阶位验证!X220</f>
        <v>24</v>
      </c>
      <c r="AH224" s="41">
        <f>IF(AD224&lt;1,0,(AD224-1)*武将觉醒!H$34*J224)+武将数量星级阶位验证!Y220</f>
        <v>0</v>
      </c>
      <c r="AJ224" s="29">
        <f>MAX(W224+AE224+G224*(K224+1)+IF(武将数量星级阶位验证!L220="",0,武将数量星级阶位验证!L220)*武将升星!P217,O224)</f>
        <v>24</v>
      </c>
      <c r="AK224" s="29">
        <f>MAX(X224+AF224+H224*(L224+1)+IF(武将数量星级阶位验证!M220="",0,武将数量星级阶位验证!M220)*武将升星!Q217,P224)</f>
        <v>1824</v>
      </c>
      <c r="AL224" s="64">
        <f>MAX(Y224+AG224+I224*(M224+1)+IF(武将数量星级阶位验证!N220="",0,武将数量星级阶位验证!N220)*武将升星!R217,Q224)</f>
        <v>882</v>
      </c>
      <c r="AM224" s="41">
        <f t="shared" si="222"/>
        <v>108</v>
      </c>
      <c r="AO224" s="17">
        <f>武将数量星级阶位验证!BJ220</f>
        <v>268080.52106314973</v>
      </c>
      <c r="AP224" s="17">
        <f>武将数量星级阶位验证!BK220</f>
        <v>128627.88220303596</v>
      </c>
      <c r="AQ224" s="63">
        <f>武将数量星级阶位验证!BL220</f>
        <v>19251.131509629104</v>
      </c>
      <c r="AR224" s="17">
        <f>武将数量星级阶位验证!BM220</f>
        <v>7192.326878845608</v>
      </c>
      <c r="AT224" s="17">
        <f t="shared" si="223"/>
        <v>5373.5</v>
      </c>
      <c r="AU224" s="17">
        <f t="shared" si="224"/>
        <v>143.51956656528549</v>
      </c>
      <c r="AW224" s="17" t="s">
        <v>168</v>
      </c>
      <c r="BA224" s="17">
        <v>6</v>
      </c>
      <c r="BB224" s="62">
        <f t="shared" si="225"/>
        <v>6</v>
      </c>
      <c r="BD224" s="17">
        <v>0</v>
      </c>
      <c r="BF224" s="17">
        <v>24</v>
      </c>
      <c r="BG224" s="17">
        <v>0</v>
      </c>
      <c r="BH224" s="62">
        <f t="shared" si="226"/>
        <v>24</v>
      </c>
      <c r="BJ224" s="17">
        <f t="shared" si="227"/>
        <v>0</v>
      </c>
      <c r="BK224" s="17">
        <f t="shared" si="228"/>
        <v>0</v>
      </c>
      <c r="BL224" s="17">
        <f t="shared" si="229"/>
        <v>24</v>
      </c>
      <c r="BM224" s="17">
        <f t="shared" si="230"/>
        <v>6</v>
      </c>
      <c r="BN224" s="62">
        <f t="shared" si="231"/>
        <v>30</v>
      </c>
      <c r="BR224" s="17">
        <f>武将升星!P217*基础状态预期!G230+G224*(K224+1)+W224+AE224</f>
        <v>0</v>
      </c>
      <c r="BS224" s="17">
        <f>武将升星!Q217*基础状态预期!H230+H224*(L224+1)+X224+AF224</f>
        <v>1824</v>
      </c>
      <c r="BT224" s="17">
        <f>武将升星!R217*基础状态预期!I230+I224*(M224+1)+Y224+AG224</f>
        <v>882</v>
      </c>
      <c r="BU224" s="17">
        <f>武将升星!S217*基础状态预期!J230+J224*(N224+1)+Z224+AH224</f>
        <v>108</v>
      </c>
    </row>
    <row r="225" spans="2:73" x14ac:dyDescent="0.15">
      <c r="B225" s="17">
        <v>38</v>
      </c>
      <c r="C225" s="17">
        <f t="shared" si="214"/>
        <v>24</v>
      </c>
      <c r="D225" s="17">
        <v>35</v>
      </c>
      <c r="E225" s="29">
        <f>基础状态预期!C231</f>
        <v>6842.0000000000009</v>
      </c>
      <c r="F225" s="29">
        <f>基础状态预期!D231</f>
        <v>147.17868266109423</v>
      </c>
      <c r="G225" s="29">
        <f t="shared" si="215"/>
        <v>0</v>
      </c>
      <c r="H225" s="29">
        <f t="shared" si="216"/>
        <v>0</v>
      </c>
      <c r="I225" s="29">
        <f t="shared" si="217"/>
        <v>24</v>
      </c>
      <c r="J225" s="29">
        <f t="shared" si="218"/>
        <v>0</v>
      </c>
      <c r="K225" s="29">
        <f>武将战力价值情况!G221</f>
        <v>3</v>
      </c>
      <c r="L225" s="29">
        <f>武将战力价值情况!H221</f>
        <v>6</v>
      </c>
      <c r="M225" s="29">
        <f>武将战力价值情况!I221</f>
        <v>8</v>
      </c>
      <c r="N225" s="29">
        <f>武将战力价值情况!J221</f>
        <v>8</v>
      </c>
      <c r="O225" s="41">
        <f>MAX(同名需求(G225,求节点(武将升星!$C$104:$C$112,武将升星!E$104:E$112,K225),F$2),武将数量星级阶位验证!AA221)</f>
        <v>24</v>
      </c>
      <c r="P225" s="41">
        <f>MAX(同名需求(H225,求节点(武将升星!$C$104:$C$112,武将升星!F$104:F$112,L225),G$2),武将数量星级阶位验证!AB221)</f>
        <v>120</v>
      </c>
      <c r="Q225" s="41">
        <f>MAX(同名需求(I225,求节点(武将升星!$C$104:$C$112,武将升星!G$104:G$112,M225),H$2),武将数量星级阶位验证!AC221)</f>
        <v>704</v>
      </c>
      <c r="R225" s="41">
        <f>MAX(同名需求(J225,求节点(武将升星!$C$104:$C$112,武将升星!H$104:H$112,N225),I$2),武将数量星级阶位验证!AD221)</f>
        <v>108</v>
      </c>
      <c r="S225" s="29">
        <f>MAX(基础状态预期!P231:T231)</f>
        <v>5</v>
      </c>
      <c r="T225" s="29">
        <f t="shared" si="219"/>
        <v>5</v>
      </c>
      <c r="U225" s="29">
        <f t="shared" si="220"/>
        <v>5</v>
      </c>
      <c r="V225" s="29">
        <f t="shared" si="221"/>
        <v>5</v>
      </c>
      <c r="W225" s="41">
        <f>SUMIFS(武将进阶!F$13:F$18,武将进阶!$C$13:$C$18,"&lt;="&amp;T225)*H225+武将数量星级阶位验证!Q221</f>
        <v>0</v>
      </c>
      <c r="X225" s="41">
        <f>SUMIFS(武将进阶!G$13:G$18,武将进阶!$C$13:$C$18,"&lt;="&amp;U225)*I225+武将数量星级阶位验证!R221</f>
        <v>1824</v>
      </c>
      <c r="Y225" s="41">
        <f>SUMIFS(武将进阶!H$13:H$18,武将进阶!$C$13:$C$18,"&lt;="&amp;V225)*J225+武将数量星级阶位验证!S221</f>
        <v>642</v>
      </c>
      <c r="Z225" s="41">
        <f>SUMIFS(武将进阶!I$13:I$18,武将进阶!$C$13:$C$18,"&lt;="&amp;W225)*K225+武将数量星级阶位验证!T221</f>
        <v>0</v>
      </c>
      <c r="AA225" s="29"/>
      <c r="AB225" s="29">
        <f>求节点(基础状态预期!$AT$17:$AT$55,基础状态预期!AW$17:AW$55,各r阵容卡情况!$F225)</f>
        <v>2</v>
      </c>
      <c r="AC225" s="29">
        <f>求节点(基础状态预期!$AT$17:$AT$55,基础状态预期!AX$17:AX$55,各r阵容卡情况!$F225)</f>
        <v>2</v>
      </c>
      <c r="AD225" s="29">
        <f>求节点(基础状态预期!$AT$17:$AT$55,基础状态预期!AY$17:AY$55,各r阵容卡情况!$F225)</f>
        <v>2</v>
      </c>
      <c r="AE225" s="41">
        <f>IF(AA225&lt;1,0,(AA225-1)*武将觉醒!E$34*G225)+武将数量星级阶位验证!V221</f>
        <v>0</v>
      </c>
      <c r="AF225" s="41">
        <f>IF(AB225&lt;1,0,(AB225-1)*武将觉醒!F$34*H225)+武将数量星级阶位验证!W221</f>
        <v>0</v>
      </c>
      <c r="AG225" s="41">
        <f>IF(AC225&lt;1,0,(AC225-1)*武将觉醒!G$34*I225)+武将数量星级阶位验证!X221</f>
        <v>24</v>
      </c>
      <c r="AH225" s="41">
        <f>IF(AD225&lt;1,0,(AD225-1)*武将觉醒!H$34*J225)+武将数量星级阶位验证!Y221</f>
        <v>0</v>
      </c>
      <c r="AJ225" s="29">
        <f>MAX(W225+AE225+G225*(K225+1)+IF(武将数量星级阶位验证!L221="",0,武将数量星级阶位验证!L221)*武将升星!P218,O225)</f>
        <v>24</v>
      </c>
      <c r="AK225" s="29">
        <f>MAX(X225+AF225+H225*(L225+1)+IF(武将数量星级阶位验证!M221="",0,武将数量星级阶位验证!M221)*武将升星!Q218,P225)</f>
        <v>1824</v>
      </c>
      <c r="AL225" s="64">
        <f>MAX(Y225+AG225+I225*(M225+1)+IF(武将数量星级阶位验证!N221="",0,武将数量星级阶位验证!N221)*武将升星!R218,Q225)</f>
        <v>882</v>
      </c>
      <c r="AM225" s="41">
        <f t="shared" si="222"/>
        <v>108</v>
      </c>
      <c r="AO225" s="17">
        <f>武将数量星级阶位验证!BJ221</f>
        <v>336793.99435793789</v>
      </c>
      <c r="AP225" s="17">
        <f>武将数量星级阶位验证!BK221</f>
        <v>161384.64479481333</v>
      </c>
      <c r="AQ225" s="63">
        <f>武将数量星级阶位验证!BL221</f>
        <v>24127.933398395708</v>
      </c>
      <c r="AR225" s="17">
        <f>武将数量星级阶位验证!BM221</f>
        <v>9025.56763435225</v>
      </c>
      <c r="AT225" s="17">
        <f t="shared" si="223"/>
        <v>6842.0000000000009</v>
      </c>
      <c r="AU225" s="17">
        <f t="shared" si="224"/>
        <v>147.17868266109423</v>
      </c>
      <c r="AW225" s="17" t="s">
        <v>168</v>
      </c>
      <c r="BA225" s="17">
        <v>6</v>
      </c>
      <c r="BB225" s="62">
        <f t="shared" si="225"/>
        <v>6</v>
      </c>
      <c r="BD225" s="17">
        <v>0</v>
      </c>
      <c r="BF225" s="17">
        <v>24</v>
      </c>
      <c r="BG225" s="17">
        <v>0</v>
      </c>
      <c r="BH225" s="62">
        <f t="shared" si="226"/>
        <v>24</v>
      </c>
      <c r="BJ225" s="17">
        <f t="shared" si="227"/>
        <v>0</v>
      </c>
      <c r="BK225" s="17">
        <f t="shared" si="228"/>
        <v>0</v>
      </c>
      <c r="BL225" s="17">
        <f t="shared" si="229"/>
        <v>24</v>
      </c>
      <c r="BM225" s="17">
        <f t="shared" si="230"/>
        <v>6</v>
      </c>
      <c r="BN225" s="62">
        <f t="shared" si="231"/>
        <v>30</v>
      </c>
      <c r="BR225" s="17">
        <f>武将升星!P218*基础状态预期!G231+G225*(K225+1)+W225+AE225</f>
        <v>0</v>
      </c>
      <c r="BS225" s="17">
        <f>武将升星!Q218*基础状态预期!H231+H225*(L225+1)+X225+AF225</f>
        <v>1824</v>
      </c>
      <c r="BT225" s="17">
        <f>武将升星!R218*基础状态预期!I231+I225*(M225+1)+Y225+AG225</f>
        <v>882</v>
      </c>
      <c r="BU225" s="17">
        <f>武将升星!S218*基础状态预期!J231+J225*(N225+1)+Z225+AH225</f>
        <v>108</v>
      </c>
    </row>
    <row r="226" spans="2:73" x14ac:dyDescent="0.15">
      <c r="B226" s="17">
        <v>39</v>
      </c>
      <c r="C226" s="17">
        <f t="shared" si="214"/>
        <v>24</v>
      </c>
      <c r="D226" s="17">
        <v>36</v>
      </c>
      <c r="E226" s="29">
        <f>基础状态预期!C232</f>
        <v>8723</v>
      </c>
      <c r="F226" s="29">
        <f>基础状态预期!D232</f>
        <v>150.49637054967232</v>
      </c>
      <c r="G226" s="29">
        <f t="shared" si="215"/>
        <v>0</v>
      </c>
      <c r="H226" s="29">
        <f t="shared" si="216"/>
        <v>0</v>
      </c>
      <c r="I226" s="29">
        <f t="shared" si="217"/>
        <v>24</v>
      </c>
      <c r="J226" s="29">
        <f t="shared" si="218"/>
        <v>0</v>
      </c>
      <c r="K226" s="29">
        <f>武将战力价值情况!G222</f>
        <v>3</v>
      </c>
      <c r="L226" s="29">
        <f>武将战力价值情况!H222</f>
        <v>6</v>
      </c>
      <c r="M226" s="29">
        <f>武将战力价值情况!I222</f>
        <v>8</v>
      </c>
      <c r="N226" s="29">
        <f>武将战力价值情况!J222</f>
        <v>8</v>
      </c>
      <c r="O226" s="41">
        <f>MAX(同名需求(G226,求节点(武将升星!$C$104:$C$112,武将升星!E$104:E$112,K226),F$2),武将数量星级阶位验证!AA222)</f>
        <v>24</v>
      </c>
      <c r="P226" s="41">
        <f>MAX(同名需求(H226,求节点(武将升星!$C$104:$C$112,武将升星!F$104:F$112,L226),G$2),武将数量星级阶位验证!AB222)</f>
        <v>120</v>
      </c>
      <c r="Q226" s="41">
        <f>MAX(同名需求(I226,求节点(武将升星!$C$104:$C$112,武将升星!G$104:G$112,M226),H$2),武将数量星级阶位验证!AC222)</f>
        <v>704</v>
      </c>
      <c r="R226" s="41">
        <f>MAX(同名需求(J226,求节点(武将升星!$C$104:$C$112,武将升星!H$104:H$112,N226),I$2),武将数量星级阶位验证!AD222)</f>
        <v>108</v>
      </c>
      <c r="S226" s="29">
        <f>MAX(基础状态预期!P232:T232)</f>
        <v>5</v>
      </c>
      <c r="T226" s="29">
        <f t="shared" si="219"/>
        <v>5</v>
      </c>
      <c r="U226" s="29">
        <f t="shared" si="220"/>
        <v>5</v>
      </c>
      <c r="V226" s="29">
        <f t="shared" si="221"/>
        <v>5</v>
      </c>
      <c r="W226" s="41">
        <f>SUMIFS(武将进阶!F$13:F$18,武将进阶!$C$13:$C$18,"&lt;="&amp;T226)*H226+武将数量星级阶位验证!Q222</f>
        <v>0</v>
      </c>
      <c r="X226" s="41">
        <f>SUMIFS(武将进阶!G$13:G$18,武将进阶!$C$13:$C$18,"&lt;="&amp;U226)*I226+武将数量星级阶位验证!R222</f>
        <v>1824</v>
      </c>
      <c r="Y226" s="41">
        <f>SUMIFS(武将进阶!H$13:H$18,武将进阶!$C$13:$C$18,"&lt;="&amp;V226)*J226+武将数量星级阶位验证!S222</f>
        <v>642</v>
      </c>
      <c r="Z226" s="41">
        <f>SUMIFS(武将进阶!I$13:I$18,武将进阶!$C$13:$C$18,"&lt;="&amp;W226)*K226+武将数量星级阶位验证!T222</f>
        <v>0</v>
      </c>
      <c r="AA226" s="29"/>
      <c r="AB226" s="29">
        <f>求节点(基础状态预期!$AT$17:$AT$55,基础状态预期!AW$17:AW$55,各r阵容卡情况!$F226)</f>
        <v>2</v>
      </c>
      <c r="AC226" s="29">
        <f>求节点(基础状态预期!$AT$17:$AT$55,基础状态预期!AX$17:AX$55,各r阵容卡情况!$F226)</f>
        <v>2</v>
      </c>
      <c r="AD226" s="29">
        <f>求节点(基础状态预期!$AT$17:$AT$55,基础状态预期!AY$17:AY$55,各r阵容卡情况!$F226)</f>
        <v>2</v>
      </c>
      <c r="AE226" s="41">
        <f>IF(AA226&lt;1,0,(AA226-1)*武将觉醒!E$34*G226)+武将数量星级阶位验证!V222</f>
        <v>0</v>
      </c>
      <c r="AF226" s="41">
        <f>IF(AB226&lt;1,0,(AB226-1)*武将觉醒!F$34*H226)+武将数量星级阶位验证!W222</f>
        <v>0</v>
      </c>
      <c r="AG226" s="41">
        <f>IF(AC226&lt;1,0,(AC226-1)*武将觉醒!G$34*I226)+武将数量星级阶位验证!X222</f>
        <v>24</v>
      </c>
      <c r="AH226" s="41">
        <f>IF(AD226&lt;1,0,(AD226-1)*武将觉醒!H$34*J226)+武将数量星级阶位验证!Y222</f>
        <v>0</v>
      </c>
      <c r="AJ226" s="29">
        <f>MAX(W226+AE226+G226*(K226+1)+IF(武将数量星级阶位验证!L222="",0,武将数量星级阶位验证!L222)*武将升星!P219,O226)</f>
        <v>24</v>
      </c>
      <c r="AK226" s="29">
        <f>MAX(X226+AF226+H226*(L226+1)+IF(武将数量星级阶位验证!M222="",0,武将数量星级阶位验证!M222)*武将升星!Q219,P226)</f>
        <v>1824</v>
      </c>
      <c r="AL226" s="64">
        <f>MAX(Y226+AG226+I226*(M226+1)+IF(武将数量星级阶位验证!N222="",0,武将数量星级阶位验证!N222)*武将升星!R219,Q226)</f>
        <v>882</v>
      </c>
      <c r="AM226" s="41">
        <f t="shared" si="222"/>
        <v>108</v>
      </c>
      <c r="AO226" s="17">
        <f>武将数量星级阶位验证!BJ222</f>
        <v>423768.03097917081</v>
      </c>
      <c r="AP226" s="17">
        <f>武将数量星级阶位验证!BK222</f>
        <v>202780.05648196628</v>
      </c>
      <c r="AQ226" s="63">
        <f>武将数量星级阶位验证!BL222</f>
        <v>30290.220151468646</v>
      </c>
      <c r="AR226" s="17">
        <f>武将数量星级阶位验证!BM222</f>
        <v>11340.002335581426</v>
      </c>
      <c r="AT226" s="17">
        <f t="shared" si="223"/>
        <v>8723</v>
      </c>
      <c r="AU226" s="17">
        <f t="shared" si="224"/>
        <v>150.49637054967232</v>
      </c>
      <c r="AW226" s="17" t="s">
        <v>168</v>
      </c>
      <c r="BA226" s="17">
        <v>6</v>
      </c>
      <c r="BB226" s="62">
        <f t="shared" si="225"/>
        <v>6</v>
      </c>
      <c r="BD226" s="17">
        <v>0</v>
      </c>
      <c r="BF226" s="17">
        <v>24</v>
      </c>
      <c r="BG226" s="17">
        <v>0</v>
      </c>
      <c r="BH226" s="62">
        <f t="shared" si="226"/>
        <v>24</v>
      </c>
      <c r="BJ226" s="17">
        <f t="shared" si="227"/>
        <v>0</v>
      </c>
      <c r="BK226" s="17">
        <f t="shared" si="228"/>
        <v>0</v>
      </c>
      <c r="BL226" s="17">
        <f t="shared" si="229"/>
        <v>24</v>
      </c>
      <c r="BM226" s="17">
        <f t="shared" si="230"/>
        <v>6</v>
      </c>
      <c r="BN226" s="62">
        <f t="shared" si="231"/>
        <v>30</v>
      </c>
      <c r="BR226" s="17">
        <f>武将升星!P219*基础状态预期!G232+G226*(K226+1)+W226+AE226</f>
        <v>0</v>
      </c>
      <c r="BS226" s="17">
        <f>武将升星!Q219*基础状态预期!H232+H226*(L226+1)+X226+AF226</f>
        <v>1824</v>
      </c>
      <c r="BT226" s="17">
        <f>武将升星!R219*基础状态预期!I232+I226*(M226+1)+Y226+AG226</f>
        <v>882</v>
      </c>
      <c r="BU226" s="17">
        <f>武将升星!S219*基础状态预期!J232+J226*(N226+1)+Z226+AH226</f>
        <v>108</v>
      </c>
    </row>
    <row r="227" spans="2:73" x14ac:dyDescent="0.15">
      <c r="B227" s="17">
        <v>40</v>
      </c>
      <c r="C227" s="17">
        <f t="shared" si="214"/>
        <v>24</v>
      </c>
      <c r="D227" s="17">
        <v>37</v>
      </c>
      <c r="E227" s="29">
        <f>基础状态预期!C233</f>
        <v>11115.5</v>
      </c>
      <c r="F227" s="29">
        <f>基础状态预期!D233</f>
        <v>151.40240982411487</v>
      </c>
      <c r="G227" s="29">
        <f t="shared" si="215"/>
        <v>0</v>
      </c>
      <c r="H227" s="29">
        <f t="shared" si="216"/>
        <v>0</v>
      </c>
      <c r="I227" s="29">
        <f t="shared" si="217"/>
        <v>24</v>
      </c>
      <c r="J227" s="29">
        <f t="shared" si="218"/>
        <v>0</v>
      </c>
      <c r="K227" s="29">
        <f>武将战力价值情况!G223</f>
        <v>3</v>
      </c>
      <c r="L227" s="29">
        <f>武将战力价值情况!H223</f>
        <v>6</v>
      </c>
      <c r="M227" s="29">
        <f>武将战力价值情况!I223</f>
        <v>8</v>
      </c>
      <c r="N227" s="29">
        <f>武将战力价值情况!J223</f>
        <v>8</v>
      </c>
      <c r="O227" s="41">
        <f>MAX(同名需求(G227,求节点(武将升星!$C$104:$C$112,武将升星!E$104:E$112,K227),F$2),武将数量星级阶位验证!AA223)</f>
        <v>24</v>
      </c>
      <c r="P227" s="41">
        <f>MAX(同名需求(H227,求节点(武将升星!$C$104:$C$112,武将升星!F$104:F$112,L227),G$2),武将数量星级阶位验证!AB223)</f>
        <v>120</v>
      </c>
      <c r="Q227" s="41">
        <f>MAX(同名需求(I227,求节点(武将升星!$C$104:$C$112,武将升星!G$104:G$112,M227),H$2),武将数量星级阶位验证!AC223)</f>
        <v>704</v>
      </c>
      <c r="R227" s="41">
        <f>MAX(同名需求(J227,求节点(武将升星!$C$104:$C$112,武将升星!H$104:H$112,N227),I$2),武将数量星级阶位验证!AD223)</f>
        <v>108</v>
      </c>
      <c r="S227" s="29">
        <f>MAX(基础状态预期!P233:T233)</f>
        <v>5</v>
      </c>
      <c r="T227" s="29">
        <f t="shared" si="219"/>
        <v>5</v>
      </c>
      <c r="U227" s="29">
        <f t="shared" si="220"/>
        <v>5</v>
      </c>
      <c r="V227" s="29">
        <f t="shared" si="221"/>
        <v>5</v>
      </c>
      <c r="W227" s="41">
        <f>SUMIFS(武将进阶!F$13:F$18,武将进阶!$C$13:$C$18,"&lt;="&amp;T227)*H227+武将数量星级阶位验证!Q223</f>
        <v>0</v>
      </c>
      <c r="X227" s="41">
        <f>SUMIFS(武将进阶!G$13:G$18,武将进阶!$C$13:$C$18,"&lt;="&amp;U227)*I227+武将数量星级阶位验证!R223</f>
        <v>1824</v>
      </c>
      <c r="Y227" s="41">
        <f>SUMIFS(武将进阶!H$13:H$18,武将进阶!$C$13:$C$18,"&lt;="&amp;V227)*J227+武将数量星级阶位验证!S223</f>
        <v>642</v>
      </c>
      <c r="Z227" s="41">
        <f>SUMIFS(武将进阶!I$13:I$18,武将进阶!$C$13:$C$18,"&lt;="&amp;W227)*K227+武将数量星级阶位验证!T223</f>
        <v>0</v>
      </c>
      <c r="AA227" s="29"/>
      <c r="AB227" s="29">
        <f>求节点(基础状态预期!$AT$17:$AT$55,基础状态预期!AW$17:AW$55,各r阵容卡情况!$F227)</f>
        <v>2</v>
      </c>
      <c r="AC227" s="29">
        <f>求节点(基础状态预期!$AT$17:$AT$55,基础状态预期!AX$17:AX$55,各r阵容卡情况!$F227)</f>
        <v>2</v>
      </c>
      <c r="AD227" s="29">
        <f>求节点(基础状态预期!$AT$17:$AT$55,基础状态预期!AY$17:AY$55,各r阵容卡情况!$F227)</f>
        <v>2</v>
      </c>
      <c r="AE227" s="41">
        <f>IF(AA227&lt;1,0,(AA227-1)*武将觉醒!E$34*G227)+武将数量星级阶位验证!V223</f>
        <v>0</v>
      </c>
      <c r="AF227" s="41">
        <f>IF(AB227&lt;1,0,(AB227-1)*武将觉醒!F$34*H227)+武将数量星级阶位验证!W223</f>
        <v>0</v>
      </c>
      <c r="AG227" s="41">
        <f>IF(AC227&lt;1,0,(AC227-1)*武将觉醒!G$34*I227)+武将数量星级阶位验证!X223</f>
        <v>24</v>
      </c>
      <c r="AH227" s="41">
        <f>IF(AD227&lt;1,0,(AD227-1)*武将觉醒!H$34*J227)+武将数量星级阶位验证!Y223</f>
        <v>0</v>
      </c>
      <c r="AJ227" s="29">
        <f>MAX(W227+AE227+G227*(K227+1)+IF(武将数量星级阶位验证!L223="",0,武将数量星级阶位验证!L223)*武将升星!P220,O227)</f>
        <v>24</v>
      </c>
      <c r="AK227" s="29">
        <f>MAX(X227+AF227+H227*(L227+1)+IF(武将数量星级阶位验证!M223="",0,武将数量星级阶位验证!M223)*武将升星!Q220,P227)</f>
        <v>1824</v>
      </c>
      <c r="AL227" s="64">
        <f>MAX(Y227+AG227+I227*(M227+1)+IF(武将数量星级阶位验证!N223="",0,武将数量星级阶位验证!N223)*武将升星!R220,Q227)</f>
        <v>882</v>
      </c>
      <c r="AM227" s="41">
        <f t="shared" si="222"/>
        <v>108</v>
      </c>
      <c r="AO227" s="17">
        <f>武将数量星级阶位验证!BJ223</f>
        <v>533398.1972956243</v>
      </c>
      <c r="AP227" s="17">
        <f>武将数量星级阶位验证!BK223</f>
        <v>254894.43692329252</v>
      </c>
      <c r="AQ227" s="63">
        <f>武将数量星级阶位验证!BL223</f>
        <v>38047.564717667577</v>
      </c>
      <c r="AR227" s="17">
        <f>武将数量星级阶位验证!BM223</f>
        <v>14251.540162061001</v>
      </c>
      <c r="AT227" s="17">
        <f t="shared" si="223"/>
        <v>11115.5</v>
      </c>
      <c r="AU227" s="17">
        <f t="shared" si="224"/>
        <v>151.40240982411487</v>
      </c>
      <c r="AW227" s="17" t="s">
        <v>168</v>
      </c>
      <c r="BA227" s="17">
        <v>6</v>
      </c>
      <c r="BB227" s="62">
        <f t="shared" si="225"/>
        <v>6</v>
      </c>
      <c r="BD227" s="17">
        <v>0</v>
      </c>
      <c r="BF227" s="17">
        <v>24</v>
      </c>
      <c r="BG227" s="17">
        <v>0</v>
      </c>
      <c r="BH227" s="62">
        <f t="shared" si="226"/>
        <v>24</v>
      </c>
      <c r="BJ227" s="17">
        <f t="shared" si="227"/>
        <v>0</v>
      </c>
      <c r="BK227" s="17">
        <f t="shared" si="228"/>
        <v>0</v>
      </c>
      <c r="BL227" s="17">
        <f t="shared" si="229"/>
        <v>24</v>
      </c>
      <c r="BM227" s="17">
        <f t="shared" si="230"/>
        <v>6</v>
      </c>
      <c r="BN227" s="62">
        <f t="shared" si="231"/>
        <v>30</v>
      </c>
      <c r="BR227" s="17">
        <f>武将升星!P220*基础状态预期!G233+G227*(K227+1)+W227+AE227</f>
        <v>0</v>
      </c>
      <c r="BS227" s="17">
        <f>武将升星!Q220*基础状态预期!H233+H227*(L227+1)+X227+AF227</f>
        <v>1824</v>
      </c>
      <c r="BT227" s="17">
        <f>武将升星!R220*基础状态预期!I233+I227*(M227+1)+Y227+AG227</f>
        <v>882</v>
      </c>
      <c r="BU227" s="17">
        <f>武将升星!S220*基础状态预期!J233+J227*(N227+1)+Z227+AH227</f>
        <v>108</v>
      </c>
    </row>
    <row r="228" spans="2:73" x14ac:dyDescent="0.15">
      <c r="B228" s="17">
        <v>41</v>
      </c>
      <c r="C228" s="17">
        <f t="shared" si="214"/>
        <v>24</v>
      </c>
      <c r="D228" s="17">
        <v>38</v>
      </c>
      <c r="E228" s="29">
        <f>基础状态预期!C234</f>
        <v>14168.000000000002</v>
      </c>
      <c r="F228" s="29">
        <f>基础状态预期!D234</f>
        <v>152.00526961196863</v>
      </c>
      <c r="G228" s="29">
        <f t="shared" si="215"/>
        <v>0</v>
      </c>
      <c r="H228" s="29">
        <f t="shared" si="216"/>
        <v>0</v>
      </c>
      <c r="I228" s="29">
        <f t="shared" si="217"/>
        <v>24</v>
      </c>
      <c r="J228" s="29">
        <f t="shared" si="218"/>
        <v>0</v>
      </c>
      <c r="K228" s="29">
        <f>武将战力价值情况!G224</f>
        <v>3</v>
      </c>
      <c r="L228" s="29">
        <f>武将战力价值情况!H224</f>
        <v>6</v>
      </c>
      <c r="M228" s="29">
        <f>武将战力价值情况!I224</f>
        <v>8</v>
      </c>
      <c r="N228" s="29">
        <f>武将战力价值情况!J224</f>
        <v>8</v>
      </c>
      <c r="O228" s="41">
        <f>MAX(同名需求(G228,求节点(武将升星!$C$104:$C$112,武将升星!E$104:E$112,K228),F$2),武将数量星级阶位验证!AA224)</f>
        <v>24</v>
      </c>
      <c r="P228" s="41">
        <f>MAX(同名需求(H228,求节点(武将升星!$C$104:$C$112,武将升星!F$104:F$112,L228),G$2),武将数量星级阶位验证!AB224)</f>
        <v>120</v>
      </c>
      <c r="Q228" s="41">
        <f>MAX(同名需求(I228,求节点(武将升星!$C$104:$C$112,武将升星!G$104:G$112,M228),H$2),武将数量星级阶位验证!AC224)</f>
        <v>704</v>
      </c>
      <c r="R228" s="41">
        <f>MAX(同名需求(J228,求节点(武将升星!$C$104:$C$112,武将升星!H$104:H$112,N228),I$2),武将数量星级阶位验证!AD224)</f>
        <v>108</v>
      </c>
      <c r="S228" s="29">
        <f>MAX(基础状态预期!P234:T234)</f>
        <v>5</v>
      </c>
      <c r="T228" s="29">
        <f t="shared" si="219"/>
        <v>5</v>
      </c>
      <c r="U228" s="29">
        <f t="shared" si="220"/>
        <v>5</v>
      </c>
      <c r="V228" s="29">
        <f t="shared" si="221"/>
        <v>5</v>
      </c>
      <c r="W228" s="41">
        <f>SUMIFS(武将进阶!F$13:F$18,武将进阶!$C$13:$C$18,"&lt;="&amp;T228)*H228+武将数量星级阶位验证!Q224</f>
        <v>0</v>
      </c>
      <c r="X228" s="41">
        <f>SUMIFS(武将进阶!G$13:G$18,武将进阶!$C$13:$C$18,"&lt;="&amp;U228)*I228+武将数量星级阶位验证!R224</f>
        <v>1824</v>
      </c>
      <c r="Y228" s="41">
        <f>SUMIFS(武将进阶!H$13:H$18,武将进阶!$C$13:$C$18,"&lt;="&amp;V228)*J228+武将数量星级阶位验证!S224</f>
        <v>642</v>
      </c>
      <c r="Z228" s="41">
        <f>SUMIFS(武将进阶!I$13:I$18,武将进阶!$C$13:$C$18,"&lt;="&amp;W228)*K228+武将数量星级阶位验证!T224</f>
        <v>0</v>
      </c>
      <c r="AA228" s="29"/>
      <c r="AB228" s="29">
        <f>求节点(基础状态预期!$AT$17:$AT$55,基础状态预期!AW$17:AW$55,各r阵容卡情况!$F228)</f>
        <v>2</v>
      </c>
      <c r="AC228" s="29">
        <f>求节点(基础状态预期!$AT$17:$AT$55,基础状态预期!AX$17:AX$55,各r阵容卡情况!$F228)</f>
        <v>2</v>
      </c>
      <c r="AD228" s="29">
        <f>求节点(基础状态预期!$AT$17:$AT$55,基础状态预期!AY$17:AY$55,各r阵容卡情况!$F228)</f>
        <v>2</v>
      </c>
      <c r="AE228" s="41">
        <f>IF(AA228&lt;1,0,(AA228-1)*武将觉醒!E$34*G228)+武将数量星级阶位验证!V224</f>
        <v>0</v>
      </c>
      <c r="AF228" s="41">
        <f>IF(AB228&lt;1,0,(AB228-1)*武将觉醒!F$34*H228)+武将数量星级阶位验证!W224</f>
        <v>0</v>
      </c>
      <c r="AG228" s="41">
        <f>IF(AC228&lt;1,0,(AC228-1)*武将觉醒!G$34*I228)+武将数量星级阶位验证!X224</f>
        <v>24</v>
      </c>
      <c r="AH228" s="41">
        <f>IF(AD228&lt;1,0,(AD228-1)*武将觉醒!H$34*J228)+武将数量星级阶位验证!Y224</f>
        <v>0</v>
      </c>
      <c r="AJ228" s="29">
        <f>MAX(W228+AE228+G228*(K228+1)+IF(武将数量星级阶位验证!L224="",0,武将数量星级阶位验证!L224)*武将升星!P221,O228)</f>
        <v>24</v>
      </c>
      <c r="AK228" s="29">
        <f>MAX(X228+AF228+H228*(L228+1)+IF(武将数量星级阶位验证!M224="",0,武将数量星级阶位验证!M224)*武将升星!Q221,P228)</f>
        <v>1824</v>
      </c>
      <c r="AL228" s="64">
        <f>MAX(Y228+AG228+I228*(M228+1)+IF(武将数量星级阶位验证!N224="",0,武将数量星级阶位验证!N224)*武将升星!R221,Q228)</f>
        <v>882</v>
      </c>
      <c r="AM228" s="41">
        <f t="shared" si="222"/>
        <v>108</v>
      </c>
      <c r="AO228" s="17">
        <f>武将数量星级阶位验证!BJ224</f>
        <v>671333.02497612173</v>
      </c>
      <c r="AP228" s="17">
        <f>武将数量星级阶位验证!BK224</f>
        <v>320337.55323707487</v>
      </c>
      <c r="AQ228" s="63">
        <f>武将数量星级阶位验证!BL224</f>
        <v>47787.719664734934</v>
      </c>
      <c r="AR228" s="17">
        <f>武将数量星级阶位验证!BM224</f>
        <v>17903.402140887942</v>
      </c>
      <c r="AT228" s="17">
        <f t="shared" si="223"/>
        <v>14168.000000000002</v>
      </c>
      <c r="AU228" s="17">
        <f t="shared" si="224"/>
        <v>152.00526961196863</v>
      </c>
      <c r="AW228" s="17" t="s">
        <v>168</v>
      </c>
      <c r="BA228" s="17">
        <v>6</v>
      </c>
      <c r="BB228" s="62">
        <f t="shared" si="225"/>
        <v>6</v>
      </c>
      <c r="BD228" s="17">
        <v>0</v>
      </c>
      <c r="BF228" s="17">
        <v>24</v>
      </c>
      <c r="BG228" s="17">
        <v>0</v>
      </c>
      <c r="BH228" s="62">
        <f t="shared" si="226"/>
        <v>24</v>
      </c>
      <c r="BJ228" s="17">
        <f t="shared" si="227"/>
        <v>0</v>
      </c>
      <c r="BK228" s="17">
        <f t="shared" si="228"/>
        <v>0</v>
      </c>
      <c r="BL228" s="17">
        <f t="shared" si="229"/>
        <v>24</v>
      </c>
      <c r="BM228" s="17">
        <f t="shared" si="230"/>
        <v>6</v>
      </c>
      <c r="BN228" s="62">
        <f t="shared" si="231"/>
        <v>30</v>
      </c>
      <c r="BR228" s="17">
        <f>武将升星!P221*基础状态预期!G234+G228*(K228+1)+W228+AE228</f>
        <v>0</v>
      </c>
      <c r="BS228" s="17">
        <f>武将升星!Q221*基础状态预期!H234+H228*(L228+1)+X228+AF228</f>
        <v>1824</v>
      </c>
      <c r="BT228" s="17">
        <f>武将升星!R221*基础状态预期!I234+I228*(M228+1)+Y228+AG228</f>
        <v>882</v>
      </c>
      <c r="BU228" s="17">
        <f>武将升星!S221*基础状态预期!J234+J228*(N228+1)+Z228+AH228</f>
        <v>108</v>
      </c>
    </row>
    <row r="229" spans="2:73" x14ac:dyDescent="0.15">
      <c r="B229" s="17">
        <v>42</v>
      </c>
      <c r="C229" s="17">
        <f t="shared" si="192"/>
        <v>24</v>
      </c>
      <c r="D229" s="17">
        <v>39</v>
      </c>
      <c r="E229" s="29">
        <f>基础状态预期!C235</f>
        <v>18012.5</v>
      </c>
      <c r="F229" s="29">
        <f>基础状态预期!D235</f>
        <v>152.38629594951036</v>
      </c>
      <c r="G229" s="29">
        <f t="shared" si="193"/>
        <v>0</v>
      </c>
      <c r="H229" s="29">
        <f t="shared" si="183"/>
        <v>0</v>
      </c>
      <c r="I229" s="29">
        <f t="shared" si="184"/>
        <v>24</v>
      </c>
      <c r="J229" s="29">
        <f t="shared" si="185"/>
        <v>0</v>
      </c>
      <c r="K229" s="29">
        <f>武将战力价值情况!G225</f>
        <v>3</v>
      </c>
      <c r="L229" s="29">
        <f>武将战力价值情况!H225</f>
        <v>6</v>
      </c>
      <c r="M229" s="29">
        <f>武将战力价值情况!I225</f>
        <v>8</v>
      </c>
      <c r="N229" s="29">
        <f>武将战力价值情况!J225</f>
        <v>8</v>
      </c>
      <c r="O229" s="41">
        <f>MAX(同名需求(G229,求节点(武将升星!$C$104:$C$112,武将升星!E$104:E$112,K229),F$2),武将数量星级阶位验证!AA225)</f>
        <v>24</v>
      </c>
      <c r="P229" s="41">
        <f>MAX(同名需求(H229,求节点(武将升星!$C$104:$C$112,武将升星!F$104:F$112,L229),G$2),武将数量星级阶位验证!AB225)</f>
        <v>120</v>
      </c>
      <c r="Q229" s="41">
        <f>MAX(同名需求(I229,求节点(武将升星!$C$104:$C$112,武将升星!G$104:G$112,M229),H$2),武将数量星级阶位验证!AC225)</f>
        <v>704</v>
      </c>
      <c r="R229" s="41">
        <f>MAX(同名需求(J229,求节点(武将升星!$C$104:$C$112,武将升星!H$104:H$112,N229),I$2),武将数量星级阶位验证!AD225)</f>
        <v>108</v>
      </c>
      <c r="S229" s="29">
        <f>MAX(基础状态预期!P235:T235)</f>
        <v>5</v>
      </c>
      <c r="T229" s="29">
        <f t="shared" ref="T229:V229" si="232">S229</f>
        <v>5</v>
      </c>
      <c r="U229" s="29">
        <f t="shared" si="232"/>
        <v>5</v>
      </c>
      <c r="V229" s="29">
        <f t="shared" si="232"/>
        <v>5</v>
      </c>
      <c r="W229" s="41">
        <f>SUMIFS(武将进阶!F$13:F$18,武将进阶!$C$13:$C$18,"&lt;="&amp;T229)*H229+武将数量星级阶位验证!Q225</f>
        <v>0</v>
      </c>
      <c r="X229" s="41">
        <f>SUMIFS(武将进阶!G$13:G$18,武将进阶!$C$13:$C$18,"&lt;="&amp;U229)*I229+武将数量星级阶位验证!R225</f>
        <v>1824</v>
      </c>
      <c r="Y229" s="41">
        <f>SUMIFS(武将进阶!H$13:H$18,武将进阶!$C$13:$C$18,"&lt;="&amp;V229)*J229+武将数量星级阶位验证!S225</f>
        <v>642</v>
      </c>
      <c r="Z229" s="41">
        <f>SUMIFS(武将进阶!I$13:I$18,武将进阶!$C$13:$C$18,"&lt;="&amp;W229)*K229+武将数量星级阶位验证!T225</f>
        <v>0</v>
      </c>
      <c r="AA229" s="29"/>
      <c r="AB229" s="29">
        <f>求节点(基础状态预期!$AT$17:$AT$55,基础状态预期!AW$17:AW$55,各r阵容卡情况!$F229)</f>
        <v>2</v>
      </c>
      <c r="AC229" s="29">
        <f>求节点(基础状态预期!$AT$17:$AT$55,基础状态预期!AX$17:AX$55,各r阵容卡情况!$F229)</f>
        <v>2</v>
      </c>
      <c r="AD229" s="29">
        <f>求节点(基础状态预期!$AT$17:$AT$55,基础状态预期!AY$17:AY$55,各r阵容卡情况!$F229)</f>
        <v>2</v>
      </c>
      <c r="AE229" s="41">
        <f>IF(AA229&lt;1,0,(AA229-1)*武将觉醒!E$34*G229)+武将数量星级阶位验证!V225</f>
        <v>0</v>
      </c>
      <c r="AF229" s="41">
        <f>IF(AB229&lt;1,0,(AB229-1)*武将觉醒!F$34*H229)+武将数量星级阶位验证!W225</f>
        <v>0</v>
      </c>
      <c r="AG229" s="41">
        <f>IF(AC229&lt;1,0,(AC229-1)*武将觉醒!G$34*I229)+武将数量星级阶位验证!X225</f>
        <v>24</v>
      </c>
      <c r="AH229" s="41">
        <f>IF(AD229&lt;1,0,(AD229-1)*武将觉醒!H$34*J229)+武将数量星级阶位验证!Y225</f>
        <v>0</v>
      </c>
      <c r="AJ229" s="29">
        <f>MAX(W229+AE229+G229*(K229+1)+IF(武将数量星级阶位验证!L225="",0,武将数量星级阶位验证!L225)*武将升星!P222,O229)</f>
        <v>24</v>
      </c>
      <c r="AK229" s="29">
        <f>MAX(X229+AF229+H229*(L229+1)+IF(武将数量星级阶位验证!M225="",0,武将数量星级阶位验证!M225)*武将升星!Q222,P229)</f>
        <v>1824</v>
      </c>
      <c r="AL229" s="64">
        <f>MAX(Y229+AG229+I229*(M229+1)+IF(武将数量星级阶位验证!N225="",0,武将数量星级阶位验证!N225)*武将升星!R222,Q229)</f>
        <v>882</v>
      </c>
      <c r="AM229" s="41">
        <f t="shared" si="195"/>
        <v>108</v>
      </c>
      <c r="AO229" s="17">
        <f>武将数量星级阶位验证!BJ225</f>
        <v>842503.69004321226</v>
      </c>
      <c r="AP229" s="17">
        <f>武将数量星级阶位验证!BK225</f>
        <v>401380.68975982652</v>
      </c>
      <c r="AQ229" s="63">
        <f>武将数量星级阶位验证!BL225</f>
        <v>59848.077643147684</v>
      </c>
      <c r="AR229" s="17">
        <f>武将数量星级阶位验证!BM225</f>
        <v>22419.98533225304</v>
      </c>
      <c r="AT229" s="17">
        <f t="shared" si="187"/>
        <v>18012.5</v>
      </c>
      <c r="AU229" s="17">
        <f t="shared" si="188"/>
        <v>152.38629594951036</v>
      </c>
      <c r="AW229" s="17" t="s">
        <v>168</v>
      </c>
      <c r="BA229" s="17">
        <v>6</v>
      </c>
      <c r="BB229" s="62">
        <f t="shared" si="196"/>
        <v>6</v>
      </c>
      <c r="BD229" s="17">
        <v>0</v>
      </c>
      <c r="BF229" s="17">
        <v>24</v>
      </c>
      <c r="BG229" s="17">
        <v>0</v>
      </c>
      <c r="BH229" s="62">
        <f t="shared" si="197"/>
        <v>24</v>
      </c>
      <c r="BJ229" s="17">
        <f t="shared" si="198"/>
        <v>0</v>
      </c>
      <c r="BK229" s="17">
        <f t="shared" si="189"/>
        <v>0</v>
      </c>
      <c r="BL229" s="17">
        <f t="shared" si="190"/>
        <v>24</v>
      </c>
      <c r="BM229" s="17">
        <f t="shared" si="191"/>
        <v>6</v>
      </c>
      <c r="BN229" s="62">
        <f t="shared" si="199"/>
        <v>30</v>
      </c>
      <c r="BR229" s="17">
        <f>武将升星!P222*基础状态预期!G235+G229*(K229+1)+W229+AE229</f>
        <v>0</v>
      </c>
      <c r="BS229" s="17">
        <f>武将升星!Q222*基础状态预期!H235+H229*(L229+1)+X229+AF229</f>
        <v>1824</v>
      </c>
      <c r="BT229" s="17">
        <f>武将升星!R222*基础状态预期!I235+I229*(M229+1)+Y229+AG229</f>
        <v>882</v>
      </c>
      <c r="BU229" s="17">
        <f>武将升星!S222*基础状态预期!J235+J229*(N229+1)+Z229+AH229</f>
        <v>108</v>
      </c>
    </row>
    <row r="230" spans="2:73" x14ac:dyDescent="0.15">
      <c r="B230" s="17">
        <v>43</v>
      </c>
    </row>
    <row r="231" spans="2:73" x14ac:dyDescent="0.15">
      <c r="B231" s="17">
        <v>44</v>
      </c>
    </row>
    <row r="232" spans="2:73" x14ac:dyDescent="0.15">
      <c r="B232" s="17">
        <v>45</v>
      </c>
    </row>
  </sheetData>
  <mergeCells count="65">
    <mergeCell ref="AX189:BB189"/>
    <mergeCell ref="BD54:BH54"/>
    <mergeCell ref="BJ54:BN54"/>
    <mergeCell ref="BD99:BH99"/>
    <mergeCell ref="BJ99:BN99"/>
    <mergeCell ref="BD144:BH144"/>
    <mergeCell ref="BJ144:BN144"/>
    <mergeCell ref="BD189:BH189"/>
    <mergeCell ref="BJ189:BN189"/>
    <mergeCell ref="AX99:BB99"/>
    <mergeCell ref="AX144:BB144"/>
    <mergeCell ref="AJ9:AM9"/>
    <mergeCell ref="AO9:AR9"/>
    <mergeCell ref="AA54:AD54"/>
    <mergeCell ref="BJ9:BN9"/>
    <mergeCell ref="BD9:BH9"/>
    <mergeCell ref="AX9:BB9"/>
    <mergeCell ref="AX54:BB54"/>
    <mergeCell ref="AA9:AD9"/>
    <mergeCell ref="AO54:AR54"/>
    <mergeCell ref="AJ54:AM54"/>
    <mergeCell ref="G9:J9"/>
    <mergeCell ref="K9:N9"/>
    <mergeCell ref="S99:V99"/>
    <mergeCell ref="S54:V54"/>
    <mergeCell ref="AE99:AH99"/>
    <mergeCell ref="AE54:AH54"/>
    <mergeCell ref="AA99:AD99"/>
    <mergeCell ref="W9:Z9"/>
    <mergeCell ref="AE9:AH9"/>
    <mergeCell ref="S9:V9"/>
    <mergeCell ref="K99:N99"/>
    <mergeCell ref="O99:R99"/>
    <mergeCell ref="K54:N54"/>
    <mergeCell ref="O54:R54"/>
    <mergeCell ref="O9:R9"/>
    <mergeCell ref="K189:N189"/>
    <mergeCell ref="O189:R189"/>
    <mergeCell ref="S189:V189"/>
    <mergeCell ref="G54:J54"/>
    <mergeCell ref="G99:J99"/>
    <mergeCell ref="G189:J189"/>
    <mergeCell ref="G144:J144"/>
    <mergeCell ref="K144:N144"/>
    <mergeCell ref="O144:R144"/>
    <mergeCell ref="S144:V144"/>
    <mergeCell ref="AE144:AH144"/>
    <mergeCell ref="AO189:AR189"/>
    <mergeCell ref="AO144:AR144"/>
    <mergeCell ref="AO99:AR99"/>
    <mergeCell ref="AJ144:AM144"/>
    <mergeCell ref="AJ189:AM189"/>
    <mergeCell ref="AE189:AH189"/>
    <mergeCell ref="AJ99:AM99"/>
    <mergeCell ref="W189:Z189"/>
    <mergeCell ref="W144:Z144"/>
    <mergeCell ref="W54:Z54"/>
    <mergeCell ref="W99:Z99"/>
    <mergeCell ref="AA189:AD189"/>
    <mergeCell ref="AA144:AD144"/>
    <mergeCell ref="BR9:BU9"/>
    <mergeCell ref="BR54:BU54"/>
    <mergeCell ref="BR99:BU99"/>
    <mergeCell ref="BR144:BU144"/>
    <mergeCell ref="BR189:BU189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28</vt:i4>
      </vt:variant>
    </vt:vector>
  </HeadingPairs>
  <TitlesOfParts>
    <vt:vector size="28" baseType="lpstr">
      <vt:lpstr>节奏总纲</vt:lpstr>
      <vt:lpstr>其他调用</vt:lpstr>
      <vt:lpstr>基础状态预期</vt:lpstr>
      <vt:lpstr>备份</vt:lpstr>
      <vt:lpstr>武将升星</vt:lpstr>
      <vt:lpstr>武将升级</vt:lpstr>
      <vt:lpstr>第4特性</vt:lpstr>
      <vt:lpstr>武将羁绊</vt:lpstr>
      <vt:lpstr>三国武将羁绊</vt:lpstr>
      <vt:lpstr>武将上阵羁绊</vt:lpstr>
      <vt:lpstr>武将进阶</vt:lpstr>
      <vt:lpstr>武将觉醒</vt:lpstr>
      <vt:lpstr>武将天赋</vt:lpstr>
      <vt:lpstr>武将经验消耗</vt:lpstr>
      <vt:lpstr>银币消耗</vt:lpstr>
      <vt:lpstr>属性汇总</vt:lpstr>
      <vt:lpstr>武将升星（废弃）</vt:lpstr>
      <vt:lpstr>Sheet2</vt:lpstr>
      <vt:lpstr>武将觉醒(废弃）</vt:lpstr>
      <vt:lpstr>属性分配（废弃）</vt:lpstr>
      <vt:lpstr>武将数量星级阶位验证</vt:lpstr>
      <vt:lpstr>武将天赋进度验证</vt:lpstr>
      <vt:lpstr>抽奖相关（日韩版本）</vt:lpstr>
      <vt:lpstr>130和140抽将（越南）</vt:lpstr>
      <vt:lpstr>140武将价值</vt:lpstr>
      <vt:lpstr>祈愿验证</vt:lpstr>
      <vt:lpstr>武将战力价值情况</vt:lpstr>
      <vt:lpstr>各r阵容卡情况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2006-09-16T00:00:00Z</dcterms:created>
  <dcterms:modified xsi:type="dcterms:W3CDTF">2023-06-26T12:23:28Z</dcterms:modified>
</cp:coreProperties>
</file>